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Z10" i="7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AF9" i="7" s="1"/>
  <c r="U9" i="7"/>
  <c r="T9" i="7"/>
  <c r="F9" i="7"/>
  <c r="B9" i="7"/>
  <c r="H9" i="7" s="1"/>
  <c r="AA10" i="7" l="1"/>
  <c r="N9" i="7"/>
  <c r="AL9" i="7"/>
  <c r="AR9" i="7" s="1"/>
  <c r="AX9" i="7" s="1"/>
  <c r="BD9" i="7" s="1"/>
  <c r="BJ9" i="7" s="1"/>
  <c r="BP9" i="7" s="1"/>
  <c r="BV9" i="7" s="1"/>
  <c r="V10" i="7"/>
  <c r="C9" i="7"/>
  <c r="I9" i="7" s="1"/>
  <c r="X9" i="7"/>
  <c r="AD9" i="7" s="1"/>
  <c r="AA9" i="7"/>
  <c r="AG9" i="7" s="1"/>
  <c r="AM9" i="7" s="1"/>
  <c r="AS9" i="7" s="1"/>
  <c r="AY9" i="7" s="1"/>
  <c r="BE9" i="7" s="1"/>
  <c r="BK9" i="7" s="1"/>
  <c r="BQ9" i="7" s="1"/>
  <c r="BW9" i="7" s="1"/>
  <c r="U10" i="7"/>
  <c r="O9" i="7" l="1"/>
  <c r="CF380" i="6" l="1"/>
  <c r="CE380" i="6"/>
  <c r="CD380" i="6"/>
  <c r="CB380" i="6"/>
  <c r="CA380" i="6"/>
  <c r="BZ380" i="6"/>
  <c r="BX380" i="6"/>
  <c r="BW380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B380" i="18"/>
  <c r="M32" i="19" l="1"/>
  <c r="H10" i="7"/>
  <c r="AF10" i="7"/>
  <c r="L32" i="19"/>
  <c r="K32" i="19"/>
  <c r="K10" i="7" l="1"/>
  <c r="J10" i="7"/>
  <c r="L9" i="7"/>
  <c r="N10" i="7" s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BN12" i="6"/>
  <c r="BO13" i="6"/>
  <c r="BP13" i="6" s="1"/>
  <c r="I41" i="27"/>
  <c r="I42" i="27"/>
  <c r="I43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0" i="27"/>
  <c r="K21" i="27"/>
  <c r="L43" i="27"/>
  <c r="J43" i="27"/>
  <c r="L42" i="27"/>
  <c r="J42" i="27"/>
  <c r="L41" i="27"/>
  <c r="J41" i="27"/>
  <c r="L40" i="27"/>
  <c r="J40" i="27"/>
  <c r="L20" i="27"/>
  <c r="J20" i="27"/>
  <c r="M43" i="27"/>
  <c r="M42" i="27"/>
  <c r="M41" i="27"/>
  <c r="M40" i="27"/>
  <c r="M20" i="27"/>
  <c r="I40" i="27"/>
  <c r="N40" i="27"/>
  <c r="N39" i="27"/>
  <c r="N38" i="27"/>
  <c r="N37" i="27"/>
  <c r="N36" i="27"/>
  <c r="N35" i="27"/>
  <c r="N34" i="27"/>
  <c r="E12" i="27"/>
  <c r="D12" i="27"/>
  <c r="W12" i="27"/>
  <c r="W10" i="27"/>
  <c r="H12" i="27"/>
  <c r="F12" i="27"/>
  <c r="H11" i="27"/>
  <c r="H10" i="27"/>
  <c r="G11" i="27"/>
  <c r="D11" i="27"/>
  <c r="F11" i="27" s="1"/>
  <c r="D10" i="27"/>
  <c r="F10" i="27" s="1"/>
  <c r="E10" i="27"/>
  <c r="D13" i="27"/>
  <c r="E13" i="27"/>
  <c r="O70" i="27"/>
  <c r="N33" i="27"/>
  <c r="O69" i="27"/>
  <c r="N46" i="27"/>
  <c r="N31" i="27"/>
  <c r="O67" i="27"/>
  <c r="N30" i="27"/>
  <c r="O66" i="27"/>
  <c r="N32" i="27"/>
  <c r="O68" i="27"/>
  <c r="N25" i="27"/>
  <c r="O61" i="27"/>
  <c r="N27" i="27"/>
  <c r="N26" i="27"/>
  <c r="O63" i="27"/>
  <c r="N28" i="27"/>
  <c r="O64" i="27"/>
  <c r="N29" i="27"/>
  <c r="O65" i="27"/>
  <c r="AW56" i="27"/>
  <c r="H56" i="27"/>
  <c r="O75" i="27"/>
  <c r="O74" i="27"/>
  <c r="O73" i="27"/>
  <c r="N45" i="27"/>
  <c r="K16" i="27"/>
  <c r="A62" i="27"/>
  <c r="AF56" i="27"/>
  <c r="K18" i="27"/>
  <c r="K17" i="27"/>
  <c r="I4" i="19"/>
  <c r="BO14" i="6"/>
  <c r="BO12" i="6"/>
  <c r="N22" i="27"/>
  <c r="O58" i="27"/>
  <c r="N23" i="27"/>
  <c r="O59" i="27"/>
  <c r="N24" i="27"/>
  <c r="O60" i="27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72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/>
  <c r="N42" i="27"/>
  <c r="O78" i="27"/>
  <c r="N41" i="27"/>
  <c r="O77" i="27"/>
  <c r="O76" i="27"/>
  <c r="N21" i="27"/>
  <c r="O57" i="27"/>
  <c r="N20" i="27"/>
  <c r="O56" i="27"/>
  <c r="N19" i="27"/>
  <c r="N18" i="27"/>
  <c r="N17" i="27"/>
  <c r="N16" i="27"/>
  <c r="L12" i="27"/>
  <c r="L11" i="27"/>
  <c r="L10" i="27"/>
  <c r="C6" i="27"/>
  <c r="B6" i="27"/>
  <c r="N5" i="27"/>
  <c r="H20" i="27"/>
  <c r="AV56" i="27" s="1"/>
  <c r="D5" i="27"/>
  <c r="F5" i="27" s="1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O18" i="1" s="1"/>
  <c r="BF17" i="6"/>
  <c r="BF16" i="6"/>
  <c r="AC16" i="1" s="1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M3" i="6"/>
  <c r="AL13" i="6"/>
  <c r="E358" i="6" s="1"/>
  <c r="AK13" i="6"/>
  <c r="E344" i="6" s="1"/>
  <c r="AJ13" i="6"/>
  <c r="AI20" i="6" s="1"/>
  <c r="AI13" i="6"/>
  <c r="E316" i="6" s="1"/>
  <c r="AH13" i="6"/>
  <c r="AG20" i="6" s="1"/>
  <c r="AG13" i="6"/>
  <c r="AF20" i="6" s="1"/>
  <c r="AF13" i="6"/>
  <c r="AG16" i="6" s="1"/>
  <c r="AE13" i="6"/>
  <c r="AE18" i="6" s="1"/>
  <c r="AD13" i="6"/>
  <c r="V29" i="6" s="1"/>
  <c r="V33" i="6" s="1"/>
  <c r="AC13" i="6"/>
  <c r="AD16" i="6" s="1"/>
  <c r="AB13" i="6"/>
  <c r="AA20" i="6" s="1"/>
  <c r="AA13" i="6"/>
  <c r="AB16" i="6" s="1"/>
  <c r="Z13" i="6"/>
  <c r="Z18" i="6" s="1"/>
  <c r="Y13" i="6"/>
  <c r="Y18" i="6" s="1"/>
  <c r="X13" i="6"/>
  <c r="W13" i="6"/>
  <c r="V20" i="6" s="1"/>
  <c r="V13" i="6"/>
  <c r="U13" i="6"/>
  <c r="T13" i="6"/>
  <c r="S13" i="6"/>
  <c r="S18" i="6" s="1"/>
  <c r="R13" i="6"/>
  <c r="Q13" i="6"/>
  <c r="E64" i="6" s="1"/>
  <c r="P13" i="6"/>
  <c r="O13" i="6"/>
  <c r="N44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AE12" i="1"/>
  <c r="I380" i="1"/>
  <c r="H380" i="15" s="1"/>
  <c r="I380" i="15" s="1"/>
  <c r="H9" i="16"/>
  <c r="B13" i="19"/>
  <c r="H9" i="15"/>
  <c r="B12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J381" i="1"/>
  <c r="J382" i="1"/>
  <c r="J383" i="1"/>
  <c r="Q12" i="1"/>
  <c r="H9" i="17"/>
  <c r="B14" i="19" s="1"/>
  <c r="B383" i="17"/>
  <c r="B381" i="17"/>
  <c r="B382" i="17"/>
  <c r="I15" i="1"/>
  <c r="V14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F190" i="6"/>
  <c r="H190" i="6" s="1"/>
  <c r="Z22" i="6"/>
  <c r="N32" i="6"/>
  <c r="O30" i="6"/>
  <c r="M34" i="6"/>
  <c r="N21" i="6"/>
  <c r="BE369" i="6"/>
  <c r="AE369" i="1" s="1"/>
  <c r="BE370" i="6"/>
  <c r="BE368" i="6"/>
  <c r="AE368" i="1" s="1"/>
  <c r="BE367" i="6"/>
  <c r="AE367" i="1" s="1"/>
  <c r="BE366" i="6"/>
  <c r="AE366" i="1" s="1"/>
  <c r="BE365" i="6"/>
  <c r="AE365" i="1" s="1"/>
  <c r="BE364" i="6"/>
  <c r="AE364" i="1" s="1"/>
  <c r="BE363" i="6"/>
  <c r="AE363" i="1" s="1"/>
  <c r="BE362" i="6"/>
  <c r="AE362" i="1" s="1"/>
  <c r="BE361" i="6"/>
  <c r="AE361" i="1" s="1"/>
  <c r="BE360" i="6"/>
  <c r="BE359" i="6"/>
  <c r="AE359" i="1" s="1"/>
  <c r="BE358" i="6"/>
  <c r="AE358" i="1" s="1"/>
  <c r="BE357" i="6"/>
  <c r="AE357" i="1" s="1"/>
  <c r="BE356" i="6"/>
  <c r="AE356" i="1" s="1"/>
  <c r="BE355" i="6"/>
  <c r="AE355" i="1" s="1"/>
  <c r="BE354" i="6"/>
  <c r="AE354" i="1" s="1"/>
  <c r="BE353" i="6"/>
  <c r="BE352" i="6"/>
  <c r="AE352" i="1" s="1"/>
  <c r="BE351" i="6"/>
  <c r="BE350" i="6"/>
  <c r="BE349" i="6"/>
  <c r="AE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AE343" i="1" s="1"/>
  <c r="BE342" i="6"/>
  <c r="AE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AE330" i="1" s="1"/>
  <c r="BE329" i="6"/>
  <c r="BE328" i="6"/>
  <c r="AE328" i="1" s="1"/>
  <c r="BE327" i="6"/>
  <c r="BE326" i="6"/>
  <c r="AE326" i="1" s="1"/>
  <c r="BE325" i="6"/>
  <c r="AE325" i="1" s="1"/>
  <c r="BE324" i="6"/>
  <c r="AE324" i="1" s="1"/>
  <c r="BE323" i="6"/>
  <c r="AE323" i="1" s="1"/>
  <c r="BE322" i="6"/>
  <c r="AE322" i="1" s="1"/>
  <c r="BE321" i="6"/>
  <c r="AE321" i="1" s="1"/>
  <c r="BE320" i="6"/>
  <c r="AE320" i="1" s="1"/>
  <c r="BE319" i="6"/>
  <c r="AE319" i="1" s="1"/>
  <c r="BE318" i="6"/>
  <c r="AE318" i="1" s="1"/>
  <c r="BE317" i="6"/>
  <c r="BE316" i="6"/>
  <c r="AE316" i="1" s="1"/>
  <c r="BE315" i="6"/>
  <c r="AE315" i="1" s="1"/>
  <c r="BE314" i="6"/>
  <c r="AE314" i="1" s="1"/>
  <c r="BE313" i="6"/>
  <c r="BE312" i="6"/>
  <c r="AE312" i="1" s="1"/>
  <c r="BE311" i="6"/>
  <c r="AE311" i="1" s="1"/>
  <c r="BE310" i="6"/>
  <c r="AE310" i="1" s="1"/>
  <c r="BE309" i="6"/>
  <c r="BE308" i="6"/>
  <c r="AE308" i="1" s="1"/>
  <c r="BE307" i="6"/>
  <c r="AE307" i="1" s="1"/>
  <c r="BE306" i="6"/>
  <c r="AE306" i="1" s="1"/>
  <c r="BE305" i="6"/>
  <c r="AE305" i="1" s="1"/>
  <c r="BE304" i="6"/>
  <c r="AE304" i="1" s="1"/>
  <c r="BE303" i="6"/>
  <c r="AE303" i="1" s="1"/>
  <c r="BE302" i="6"/>
  <c r="BE301" i="6"/>
  <c r="BE300" i="6"/>
  <c r="AE300" i="1" s="1"/>
  <c r="BE299" i="6"/>
  <c r="AE299" i="1" s="1"/>
  <c r="BE298" i="6"/>
  <c r="AE298" i="1" s="1"/>
  <c r="BE297" i="6"/>
  <c r="AE297" i="1" s="1"/>
  <c r="BE296" i="6"/>
  <c r="AE296" i="1" s="1"/>
  <c r="BE295" i="6"/>
  <c r="AE295" i="1" s="1"/>
  <c r="BE294" i="6"/>
  <c r="AE294" i="1" s="1"/>
  <c r="BE293" i="6"/>
  <c r="AE293" i="1" s="1"/>
  <c r="BE292" i="6"/>
  <c r="AE292" i="1" s="1"/>
  <c r="BE291" i="6"/>
  <c r="BE290" i="6"/>
  <c r="AE290" i="1" s="1"/>
  <c r="BE289" i="6"/>
  <c r="AE289" i="1" s="1"/>
  <c r="BE288" i="6"/>
  <c r="AE288" i="1" s="1"/>
  <c r="BE287" i="6"/>
  <c r="AE287" i="1" s="1"/>
  <c r="BE286" i="6"/>
  <c r="AE286" i="1" s="1"/>
  <c r="BE285" i="6"/>
  <c r="BE284" i="6"/>
  <c r="AE284" i="1" s="1"/>
  <c r="BE283" i="6"/>
  <c r="AE283" i="1" s="1"/>
  <c r="BE282" i="6"/>
  <c r="AE282" i="1" s="1"/>
  <c r="BE281" i="6"/>
  <c r="AE281" i="1" s="1"/>
  <c r="BE280" i="6"/>
  <c r="AE280" i="1" s="1"/>
  <c r="BE279" i="6"/>
  <c r="AE279" i="1" s="1"/>
  <c r="BE278" i="6"/>
  <c r="AE278" i="1" s="1"/>
  <c r="BE277" i="6"/>
  <c r="AE277" i="1" s="1"/>
  <c r="BE276" i="6"/>
  <c r="AE276" i="1" s="1"/>
  <c r="BE275" i="6"/>
  <c r="BE274" i="6"/>
  <c r="AE274" i="1" s="1"/>
  <c r="BE273" i="6"/>
  <c r="AE273" i="1" s="1"/>
  <c r="BE272" i="6"/>
  <c r="AE272" i="1" s="1"/>
  <c r="BE271" i="6"/>
  <c r="AE271" i="1" s="1"/>
  <c r="BE270" i="6"/>
  <c r="AE270" i="1" s="1"/>
  <c r="BE269" i="6"/>
  <c r="BE268" i="6"/>
  <c r="AE268" i="1" s="1"/>
  <c r="BE267" i="6"/>
  <c r="AE267" i="1" s="1"/>
  <c r="BE266" i="6"/>
  <c r="AE266" i="1" s="1"/>
  <c r="BE265" i="6"/>
  <c r="AE265" i="1" s="1"/>
  <c r="BE264" i="6"/>
  <c r="AE264" i="1" s="1"/>
  <c r="BE263" i="6"/>
  <c r="BE262" i="6"/>
  <c r="AE262" i="1" s="1"/>
  <c r="BE261" i="6"/>
  <c r="AE261" i="1" s="1"/>
  <c r="BE260" i="6"/>
  <c r="AE260" i="1" s="1"/>
  <c r="BE259" i="6"/>
  <c r="AE259" i="1" s="1"/>
  <c r="BE258" i="6"/>
  <c r="AE258" i="1" s="1"/>
  <c r="BE257" i="6"/>
  <c r="BE256" i="6"/>
  <c r="AE256" i="1" s="1"/>
  <c r="BE255" i="6"/>
  <c r="AE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AE249" i="1" s="1"/>
  <c r="BE248" i="6"/>
  <c r="AE248" i="1" s="1"/>
  <c r="BE247" i="6"/>
  <c r="BE246" i="6"/>
  <c r="AE246" i="1" s="1"/>
  <c r="BE245" i="6"/>
  <c r="AE245" i="1" s="1"/>
  <c r="BE244" i="6"/>
  <c r="AE244" i="1" s="1"/>
  <c r="BE243" i="6"/>
  <c r="AE243" i="1" s="1"/>
  <c r="BE242" i="6"/>
  <c r="AE242" i="1" s="1"/>
  <c r="BE241" i="6"/>
  <c r="BE240" i="6"/>
  <c r="AE240" i="1" s="1"/>
  <c r="BE239" i="6"/>
  <c r="BE238" i="6"/>
  <c r="AE238" i="1" s="1"/>
  <c r="BE237" i="6"/>
  <c r="AE237" i="1" s="1"/>
  <c r="BE236" i="6"/>
  <c r="AE236" i="1" s="1"/>
  <c r="BE235" i="6"/>
  <c r="AE235" i="1" s="1"/>
  <c r="BE234" i="6"/>
  <c r="AE234" i="1" s="1"/>
  <c r="BE233" i="6"/>
  <c r="AE233" i="1" s="1"/>
  <c r="BE232" i="6"/>
  <c r="AE232" i="1" s="1"/>
  <c r="BE231" i="6"/>
  <c r="BE230" i="6"/>
  <c r="AE230" i="1" s="1"/>
  <c r="BE229" i="6"/>
  <c r="AE229" i="1" s="1"/>
  <c r="BE228" i="6"/>
  <c r="AE228" i="1" s="1"/>
  <c r="BE227" i="6"/>
  <c r="AE227" i="1" s="1"/>
  <c r="BE226" i="6"/>
  <c r="AE226" i="1" s="1"/>
  <c r="BE225" i="6"/>
  <c r="AE225" i="1" s="1"/>
  <c r="BE224" i="6"/>
  <c r="AE224" i="1" s="1"/>
  <c r="BE223" i="6"/>
  <c r="AE223" i="1" s="1"/>
  <c r="BE222" i="6"/>
  <c r="AE222" i="1" s="1"/>
  <c r="BE221" i="6"/>
  <c r="AE221" i="1" s="1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AE207" i="1" s="1"/>
  <c r="BE206" i="6"/>
  <c r="AE206" i="1" s="1"/>
  <c r="BE205" i="6"/>
  <c r="BE204" i="6"/>
  <c r="AE204" i="1" s="1"/>
  <c r="BE203" i="6"/>
  <c r="AE203" i="1" s="1"/>
  <c r="BE202" i="6"/>
  <c r="AE202" i="1" s="1"/>
  <c r="BE201" i="6"/>
  <c r="AE201" i="1" s="1"/>
  <c r="BE200" i="6"/>
  <c r="AE200" i="1" s="1"/>
  <c r="BE199" i="6"/>
  <c r="BE198" i="6"/>
  <c r="AE198" i="1" s="1"/>
  <c r="BE197" i="6"/>
  <c r="AE197" i="1" s="1"/>
  <c r="BE196" i="6"/>
  <c r="AE196" i="1" s="1"/>
  <c r="BE195" i="6"/>
  <c r="AE195" i="1" s="1"/>
  <c r="BE194" i="6"/>
  <c r="AE194" i="1" s="1"/>
  <c r="BE193" i="6"/>
  <c r="BE192" i="6"/>
  <c r="AE192" i="1" s="1"/>
  <c r="BE191" i="6"/>
  <c r="AE191" i="1" s="1"/>
  <c r="BE190" i="6"/>
  <c r="AE190" i="1" s="1"/>
  <c r="BE189" i="6"/>
  <c r="AE189" i="1" s="1"/>
  <c r="BE188" i="6"/>
  <c r="AE188" i="1" s="1"/>
  <c r="BE187" i="6"/>
  <c r="AE187" i="1" s="1"/>
  <c r="BE186" i="6"/>
  <c r="AE186" i="1" s="1"/>
  <c r="BE185" i="6"/>
  <c r="BE184" i="6"/>
  <c r="AE184" i="1" s="1"/>
  <c r="BE183" i="6"/>
  <c r="AE183" i="1" s="1"/>
  <c r="BE182" i="6"/>
  <c r="AE182" i="1" s="1"/>
  <c r="BE181" i="6"/>
  <c r="BE180" i="6"/>
  <c r="BH9" i="6" s="1"/>
  <c r="U12" i="1" s="1"/>
  <c r="C16" i="7" s="1"/>
  <c r="BE179" i="6"/>
  <c r="AE179" i="1" s="1"/>
  <c r="BE178" i="6"/>
  <c r="AE178" i="1" s="1"/>
  <c r="BE177" i="6"/>
  <c r="AE177" i="1" s="1"/>
  <c r="BE176" i="6"/>
  <c r="AE176" i="1" s="1"/>
  <c r="BE175" i="6"/>
  <c r="AE175" i="1" s="1"/>
  <c r="BE174" i="6"/>
  <c r="AE174" i="1" s="1"/>
  <c r="BE173" i="6"/>
  <c r="BE172" i="6"/>
  <c r="AE172" i="1" s="1"/>
  <c r="BE171" i="6"/>
  <c r="AE171" i="1" s="1"/>
  <c r="BE170" i="6"/>
  <c r="AE170" i="1" s="1"/>
  <c r="BE169" i="6"/>
  <c r="AE169" i="1" s="1"/>
  <c r="BE168" i="6"/>
  <c r="AE168" i="1" s="1"/>
  <c r="BE167" i="6"/>
  <c r="BE166" i="6"/>
  <c r="AE166" i="1" s="1"/>
  <c r="BE165" i="6"/>
  <c r="AE165" i="1" s="1"/>
  <c r="BE164" i="6"/>
  <c r="AE164" i="1" s="1"/>
  <c r="BE163" i="6"/>
  <c r="AE163" i="1" s="1"/>
  <c r="BE162" i="6"/>
  <c r="AE162" i="1" s="1"/>
  <c r="BE161" i="6"/>
  <c r="AE161" i="1" s="1"/>
  <c r="BE160" i="6"/>
  <c r="AE160" i="1" s="1"/>
  <c r="BE159" i="6"/>
  <c r="AE159" i="1" s="1"/>
  <c r="BE158" i="6"/>
  <c r="AE158" i="1" s="1"/>
  <c r="BE157" i="6"/>
  <c r="AE157" i="1" s="1"/>
  <c r="BE156" i="6"/>
  <c r="AE156" i="1" s="1"/>
  <c r="BE155" i="6"/>
  <c r="BE154" i="6"/>
  <c r="AE154" i="1" s="1"/>
  <c r="BE153" i="6"/>
  <c r="AE153" i="1" s="1"/>
  <c r="BE152" i="6"/>
  <c r="AE152" i="1" s="1"/>
  <c r="BE151" i="6"/>
  <c r="AE151" i="1" s="1"/>
  <c r="BE150" i="6"/>
  <c r="AE150" i="1" s="1"/>
  <c r="BE149" i="6"/>
  <c r="BE148" i="6"/>
  <c r="AE148" i="1" s="1"/>
  <c r="BE147" i="6"/>
  <c r="AE147" i="1" s="1"/>
  <c r="BE146" i="6"/>
  <c r="AE146" i="1" s="1"/>
  <c r="BE145" i="6"/>
  <c r="AE145" i="1" s="1"/>
  <c r="BE144" i="6"/>
  <c r="AE144" i="1" s="1"/>
  <c r="BE143" i="6"/>
  <c r="AE143" i="1" s="1"/>
  <c r="BE142" i="6"/>
  <c r="AE142" i="1" s="1"/>
  <c r="BE141" i="6"/>
  <c r="AE141" i="1" s="1"/>
  <c r="BE140" i="6"/>
  <c r="AE140" i="1" s="1"/>
  <c r="BE139" i="6"/>
  <c r="BE138" i="6"/>
  <c r="AE138" i="1" s="1"/>
  <c r="BE137" i="6"/>
  <c r="AE137" i="1" s="1"/>
  <c r="BE136" i="6"/>
  <c r="AE136" i="1" s="1"/>
  <c r="BE135" i="6"/>
  <c r="AE135" i="1" s="1"/>
  <c r="BE134" i="6"/>
  <c r="AE134" i="1" s="1"/>
  <c r="BE133" i="6"/>
  <c r="BE132" i="6"/>
  <c r="AE132" i="1" s="1"/>
  <c r="BE131" i="6"/>
  <c r="AE131" i="1" s="1"/>
  <c r="BE130" i="6"/>
  <c r="AE130" i="1" s="1"/>
  <c r="BE129" i="6"/>
  <c r="AE129" i="1" s="1"/>
  <c r="BE128" i="6"/>
  <c r="AE128" i="1" s="1"/>
  <c r="BE127" i="6"/>
  <c r="AE127" i="1" s="1"/>
  <c r="BE126" i="6"/>
  <c r="AE126" i="1" s="1"/>
  <c r="BE125" i="6"/>
  <c r="AE125" i="1" s="1"/>
  <c r="BE124" i="6"/>
  <c r="AE124" i="1" s="1"/>
  <c r="BE123" i="6"/>
  <c r="BE122" i="6"/>
  <c r="AE122" i="1" s="1"/>
  <c r="BE121" i="6"/>
  <c r="AE121" i="1" s="1"/>
  <c r="BE120" i="6"/>
  <c r="AE120" i="1" s="1"/>
  <c r="BE119" i="6"/>
  <c r="BE118" i="6"/>
  <c r="AE118" i="1" s="1"/>
  <c r="BE117" i="6"/>
  <c r="AE117" i="1" s="1"/>
  <c r="BE116" i="6"/>
  <c r="AE116" i="1" s="1"/>
  <c r="BE115" i="6"/>
  <c r="AE115" i="1" s="1"/>
  <c r="BE114" i="6"/>
  <c r="AE114" i="1" s="1"/>
  <c r="BE113" i="6"/>
  <c r="BE112" i="6"/>
  <c r="AE112" i="1" s="1"/>
  <c r="BE111" i="6"/>
  <c r="AE111" i="1" s="1"/>
  <c r="BE110" i="6"/>
  <c r="AE110" i="1" s="1"/>
  <c r="BE109" i="6"/>
  <c r="AE109" i="1" s="1"/>
  <c r="BE108" i="6"/>
  <c r="AE108" i="1" s="1"/>
  <c r="BE107" i="6"/>
  <c r="AE107" i="1" s="1"/>
  <c r="BE106" i="6"/>
  <c r="AE106" i="1" s="1"/>
  <c r="BE105" i="6"/>
  <c r="AE105" i="1" s="1"/>
  <c r="BE104" i="6"/>
  <c r="AE104" i="1" s="1"/>
  <c r="BE103" i="6"/>
  <c r="BE102" i="6"/>
  <c r="AE102" i="1" s="1"/>
  <c r="BE101" i="6"/>
  <c r="AE101" i="1" s="1"/>
  <c r="BE100" i="6"/>
  <c r="AE100" i="1" s="1"/>
  <c r="BE99" i="6"/>
  <c r="AE99" i="1" s="1"/>
  <c r="BE98" i="6"/>
  <c r="AE98" i="1" s="1"/>
  <c r="BE97" i="6"/>
  <c r="AE97" i="1" s="1"/>
  <c r="BE96" i="6"/>
  <c r="AE96" i="1" s="1"/>
  <c r="BE95" i="6"/>
  <c r="BE94" i="6"/>
  <c r="AE94" i="1" s="1"/>
  <c r="BE93" i="6"/>
  <c r="AE93" i="1" s="1"/>
  <c r="BE92" i="6"/>
  <c r="AE92" i="1" s="1"/>
  <c r="BE91" i="6"/>
  <c r="AE91" i="1" s="1"/>
  <c r="BE90" i="6"/>
  <c r="AE90" i="1" s="1"/>
  <c r="BE89" i="6"/>
  <c r="AE89" i="1" s="1"/>
  <c r="BE88" i="6"/>
  <c r="AE88" i="1" s="1"/>
  <c r="BE87" i="6"/>
  <c r="AE87" i="1" s="1"/>
  <c r="BE86" i="6"/>
  <c r="AE86" i="1" s="1"/>
  <c r="BE85" i="6"/>
  <c r="AE85" i="1" s="1"/>
  <c r="BE84" i="6"/>
  <c r="AE84" i="1" s="1"/>
  <c r="BE83" i="6"/>
  <c r="BE82" i="6"/>
  <c r="AE82" i="1" s="1"/>
  <c r="BE81" i="6"/>
  <c r="AE81" i="1" s="1"/>
  <c r="BE80" i="6"/>
  <c r="AE80" i="1" s="1"/>
  <c r="BE79" i="6"/>
  <c r="AE79" i="1" s="1"/>
  <c r="BE78" i="6"/>
  <c r="AE78" i="1" s="1"/>
  <c r="BE77" i="6"/>
  <c r="AE77" i="1" s="1"/>
  <c r="BE76" i="6"/>
  <c r="AE76" i="1" s="1"/>
  <c r="BE75" i="6"/>
  <c r="BE74" i="6"/>
  <c r="AE74" i="1" s="1"/>
  <c r="BE73" i="6"/>
  <c r="AE73" i="1" s="1"/>
  <c r="BE72" i="6"/>
  <c r="AE72" i="1" s="1"/>
  <c r="BE71" i="6"/>
  <c r="AE71" i="1" s="1"/>
  <c r="BE70" i="6"/>
  <c r="AE70" i="1" s="1"/>
  <c r="BE69" i="6"/>
  <c r="AE69" i="1" s="1"/>
  <c r="BE68" i="6"/>
  <c r="AE68" i="1" s="1"/>
  <c r="BE67" i="6"/>
  <c r="AE67" i="1" s="1"/>
  <c r="BE66" i="6"/>
  <c r="AE66" i="1" s="1"/>
  <c r="BE65" i="6"/>
  <c r="AE65" i="1" s="1"/>
  <c r="BE64" i="6"/>
  <c r="AE64" i="1" s="1"/>
  <c r="BE63" i="6"/>
  <c r="AE63" i="1" s="1"/>
  <c r="BE62" i="6"/>
  <c r="AE62" i="1" s="1"/>
  <c r="BE61" i="6"/>
  <c r="BE60" i="6"/>
  <c r="AE60" i="1" s="1"/>
  <c r="BE59" i="6"/>
  <c r="AE59" i="1" s="1"/>
  <c r="BE58" i="6"/>
  <c r="AE58" i="1" s="1"/>
  <c r="BE57" i="6"/>
  <c r="AE57" i="1" s="1"/>
  <c r="BE56" i="6"/>
  <c r="AE56" i="1" s="1"/>
  <c r="BE55" i="6"/>
  <c r="BE54" i="6"/>
  <c r="AE54" i="1" s="1"/>
  <c r="BE53" i="6"/>
  <c r="BE52" i="6"/>
  <c r="AE52" i="1" s="1"/>
  <c r="BE51" i="6"/>
  <c r="AE51" i="1" s="1"/>
  <c r="BE50" i="6"/>
  <c r="AE50" i="1" s="1"/>
  <c r="BE49" i="6"/>
  <c r="AE49" i="1" s="1"/>
  <c r="BE48" i="6"/>
  <c r="AE48" i="1" s="1"/>
  <c r="BE47" i="6"/>
  <c r="AE47" i="1" s="1"/>
  <c r="BE46" i="6"/>
  <c r="AE46" i="1" s="1"/>
  <c r="BE45" i="6"/>
  <c r="AE45" i="1" s="1"/>
  <c r="BE44" i="6"/>
  <c r="AE44" i="1" s="1"/>
  <c r="BE43" i="6"/>
  <c r="AE43" i="1" s="1"/>
  <c r="BE42" i="6"/>
  <c r="AE42" i="1" s="1"/>
  <c r="BE41" i="6"/>
  <c r="AE41" i="1" s="1"/>
  <c r="BE40" i="6"/>
  <c r="AE40" i="1" s="1"/>
  <c r="BE39" i="6"/>
  <c r="BE38" i="6"/>
  <c r="AE38" i="1" s="1"/>
  <c r="BE37" i="6"/>
  <c r="AE37" i="1" s="1"/>
  <c r="BE36" i="6"/>
  <c r="AE36" i="1" s="1"/>
  <c r="BE35" i="6"/>
  <c r="BE34" i="6"/>
  <c r="AE34" i="1" s="1"/>
  <c r="BE33" i="6"/>
  <c r="BE32" i="6"/>
  <c r="AE32" i="1" s="1"/>
  <c r="BE31" i="6"/>
  <c r="AE31" i="1" s="1"/>
  <c r="BE30" i="6"/>
  <c r="AE30" i="1" s="1"/>
  <c r="BE29" i="6"/>
  <c r="AE29" i="1" s="1"/>
  <c r="BE28" i="6"/>
  <c r="AE28" i="1" s="1"/>
  <c r="BE27" i="6"/>
  <c r="BE26" i="6"/>
  <c r="AE26" i="1" s="1"/>
  <c r="BE25" i="6"/>
  <c r="AE25" i="1" s="1"/>
  <c r="BE24" i="6"/>
  <c r="AE24" i="1" s="1"/>
  <c r="BE23" i="6"/>
  <c r="AE23" i="1" s="1"/>
  <c r="BE22" i="6"/>
  <c r="AE22" i="1" s="1"/>
  <c r="BE21" i="6"/>
  <c r="AE21" i="1" s="1"/>
  <c r="BE20" i="6"/>
  <c r="AE20" i="1" s="1"/>
  <c r="BE19" i="6"/>
  <c r="Q19" i="1" s="1"/>
  <c r="BE18" i="6"/>
  <c r="AE18" i="1" s="1"/>
  <c r="BE17" i="6"/>
  <c r="AE17" i="1" s="1"/>
  <c r="BE16" i="6"/>
  <c r="AE16" i="1" s="1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AE371" i="1" s="1"/>
  <c r="BE372" i="6"/>
  <c r="AE372" i="1" s="1"/>
  <c r="BE373" i="6"/>
  <c r="AE373" i="1" s="1"/>
  <c r="BE374" i="6"/>
  <c r="AE374" i="1" s="1"/>
  <c r="BE375" i="6"/>
  <c r="AE375" i="1" s="1"/>
  <c r="BE376" i="6"/>
  <c r="AE376" i="1" s="1"/>
  <c r="BE377" i="6"/>
  <c r="AE377" i="1" s="1"/>
  <c r="BE378" i="6"/>
  <c r="BE379" i="6"/>
  <c r="AE379" i="1" s="1"/>
  <c r="AE12" i="15" s="1"/>
  <c r="BE380" i="6"/>
  <c r="F14" i="1"/>
  <c r="A11" i="19"/>
  <c r="A35" i="19" s="1"/>
  <c r="A61" i="19"/>
  <c r="A6" i="6"/>
  <c r="X1" i="1"/>
  <c r="L12" i="1"/>
  <c r="AF59" i="27"/>
  <c r="BR10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 s="1"/>
  <c r="AP321" i="6"/>
  <c r="AR321" i="6" s="1"/>
  <c r="AQ321" i="6"/>
  <c r="AP347" i="6"/>
  <c r="AR347" i="6"/>
  <c r="AQ344" i="6"/>
  <c r="AP350" i="6"/>
  <c r="AR350" i="6" s="1"/>
  <c r="AP314" i="6"/>
  <c r="AR314" i="6" s="1"/>
  <c r="AP334" i="6"/>
  <c r="AR334" i="6" s="1"/>
  <c r="AQ334" i="6"/>
  <c r="AP303" i="6"/>
  <c r="AR303" i="6"/>
  <c r="AP302" i="6"/>
  <c r="AR302" i="6"/>
  <c r="AQ331" i="6"/>
  <c r="AP324" i="6"/>
  <c r="AR324" i="6" s="1"/>
  <c r="AQ319" i="6"/>
  <c r="AQ348" i="6"/>
  <c r="AP331" i="6"/>
  <c r="AR331" i="6" s="1"/>
  <c r="AS331" i="6" s="1"/>
  <c r="AP328" i="6"/>
  <c r="AR328" i="6"/>
  <c r="AP306" i="6"/>
  <c r="AR306" i="6"/>
  <c r="AQ302" i="6"/>
  <c r="AQ326" i="6"/>
  <c r="AP340" i="6"/>
  <c r="AR340" i="6"/>
  <c r="AP335" i="6"/>
  <c r="AR335" i="6"/>
  <c r="AQ310" i="6"/>
  <c r="AQ338" i="6"/>
  <c r="AQ332" i="6"/>
  <c r="AP354" i="6"/>
  <c r="AR354" i="6"/>
  <c r="AP342" i="6"/>
  <c r="AR342" i="6"/>
  <c r="AS342" i="6" s="1"/>
  <c r="AQ314" i="6"/>
  <c r="AP355" i="6"/>
  <c r="AR355" i="6" s="1"/>
  <c r="AS355" i="6" s="1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 s="1"/>
  <c r="AQ198" i="6"/>
  <c r="AQ245" i="6"/>
  <c r="AP225" i="6"/>
  <c r="AR225" i="6" s="1"/>
  <c r="AQ199" i="6"/>
  <c r="AP230" i="6"/>
  <c r="AR230" i="6"/>
  <c r="AQ192" i="6"/>
  <c r="AQ222" i="6"/>
  <c r="AP204" i="6"/>
  <c r="AR204" i="6"/>
  <c r="AQ227" i="6"/>
  <c r="AP233" i="6"/>
  <c r="AR233" i="6" s="1"/>
  <c r="AP226" i="6"/>
  <c r="AR226" i="6" s="1"/>
  <c r="AP191" i="6"/>
  <c r="AR191" i="6" s="1"/>
  <c r="AQ210" i="6"/>
  <c r="AQ206" i="6"/>
  <c r="AS206" i="6"/>
  <c r="AP221" i="6"/>
  <c r="AR221" i="6"/>
  <c r="AS221" i="6" s="1"/>
  <c r="AP219" i="6"/>
  <c r="AR219" i="6"/>
  <c r="AS219" i="6" s="1"/>
  <c r="AQ234" i="6"/>
  <c r="AQ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 s="1"/>
  <c r="AQ197" i="6"/>
  <c r="AS197" i="6" s="1"/>
  <c r="AQ218" i="6"/>
  <c r="AP228" i="6"/>
  <c r="AR228" i="6" s="1"/>
  <c r="AP236" i="6"/>
  <c r="AR236" i="6" s="1"/>
  <c r="AP244" i="6"/>
  <c r="AR244" i="6" s="1"/>
  <c r="AS244" i="6" s="1"/>
  <c r="AP192" i="6"/>
  <c r="AR192" i="6"/>
  <c r="AQ213" i="6"/>
  <c r="AQ224" i="6"/>
  <c r="AP232" i="6"/>
  <c r="AR232" i="6"/>
  <c r="AQ231" i="6"/>
  <c r="AP197" i="6"/>
  <c r="AR197" i="6" s="1"/>
  <c r="AP195" i="6"/>
  <c r="AR195" i="6"/>
  <c r="AS195" i="6" s="1"/>
  <c r="AP245" i="6"/>
  <c r="AR245" i="6"/>
  <c r="AQ205" i="6"/>
  <c r="AP201" i="6"/>
  <c r="AR201" i="6" s="1"/>
  <c r="AS201" i="6" s="1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/>
  <c r="AS227" i="6" s="1"/>
  <c r="AQ212" i="6"/>
  <c r="AQ207" i="6"/>
  <c r="AQ235" i="6"/>
  <c r="AQ209" i="6"/>
  <c r="AQ211" i="6"/>
  <c r="AP224" i="6"/>
  <c r="AR224" i="6"/>
  <c r="AS224" i="6" s="1"/>
  <c r="AP222" i="6"/>
  <c r="AR222" i="6" s="1"/>
  <c r="AQ229" i="6"/>
  <c r="AQ215" i="6"/>
  <c r="AP240" i="6"/>
  <c r="AR240" i="6" s="1"/>
  <c r="AQ230" i="6"/>
  <c r="AS230" i="6" s="1"/>
  <c r="AP215" i="6"/>
  <c r="AR215" i="6"/>
  <c r="AS215" i="6" s="1"/>
  <c r="AQ223" i="6"/>
  <c r="AP218" i="6"/>
  <c r="AR218" i="6"/>
  <c r="AP194" i="6"/>
  <c r="AR194" i="6"/>
  <c r="AS194" i="6" s="1"/>
  <c r="AP234" i="6"/>
  <c r="AR234" i="6" s="1"/>
  <c r="AS234" i="6"/>
  <c r="AQ232" i="6"/>
  <c r="AP208" i="6"/>
  <c r="AR208" i="6" s="1"/>
  <c r="AS208" i="6" s="1"/>
  <c r="AP207" i="6"/>
  <c r="AR207" i="6" s="1"/>
  <c r="AS207" i="6" s="1"/>
  <c r="AP211" i="6"/>
  <c r="AR211" i="6" s="1"/>
  <c r="AS211" i="6" s="1"/>
  <c r="AQ221" i="6"/>
  <c r="AP214" i="6"/>
  <c r="AR214" i="6" s="1"/>
  <c r="AS214" i="6"/>
  <c r="AQ193" i="6"/>
  <c r="AP203" i="6"/>
  <c r="AR203" i="6" s="1"/>
  <c r="AS203" i="6" s="1"/>
  <c r="AP213" i="6"/>
  <c r="AR213" i="6"/>
  <c r="AQ242" i="6"/>
  <c r="AS242" i="6"/>
  <c r="AP243" i="6"/>
  <c r="AR243" i="6"/>
  <c r="AS243" i="6" s="1"/>
  <c r="AP241" i="6"/>
  <c r="AR241" i="6" s="1"/>
  <c r="AS241" i="6" s="1"/>
  <c r="AQ225" i="6"/>
  <c r="AP239" i="6"/>
  <c r="AR239" i="6" s="1"/>
  <c r="AS239" i="6"/>
  <c r="AP193" i="6"/>
  <c r="AR193" i="6"/>
  <c r="AS193" i="6" s="1"/>
  <c r="AP212" i="6"/>
  <c r="AR212" i="6" s="1"/>
  <c r="AS212" i="6"/>
  <c r="AQ220" i="6"/>
  <c r="AQ196" i="6"/>
  <c r="AP237" i="6"/>
  <c r="AR237" i="6" s="1"/>
  <c r="AS237" i="6" s="1"/>
  <c r="AQ228" i="6"/>
  <c r="AP220" i="6"/>
  <c r="AR220" i="6"/>
  <c r="AP235" i="6"/>
  <c r="AR235" i="6"/>
  <c r="AS235" i="6" s="1"/>
  <c r="AQ219" i="6"/>
  <c r="AP210" i="6"/>
  <c r="AR210" i="6"/>
  <c r="AP200" i="6"/>
  <c r="AR200" i="6" s="1"/>
  <c r="AS200" i="6" s="1"/>
  <c r="AP199" i="6"/>
  <c r="AR199" i="6" s="1"/>
  <c r="AS199" i="6"/>
  <c r="M36" i="6"/>
  <c r="BP14" i="6"/>
  <c r="AF63" i="27"/>
  <c r="BW15" i="7"/>
  <c r="AF64" i="27"/>
  <c r="A3" i="7"/>
  <c r="A15" i="1"/>
  <c r="L15" i="1" s="1"/>
  <c r="J1" i="15"/>
  <c r="L1" i="1"/>
  <c r="A15" i="15"/>
  <c r="B6" i="6"/>
  <c r="G3" i="7"/>
  <c r="Y14" i="15"/>
  <c r="F14" i="15"/>
  <c r="J380" i="15"/>
  <c r="X1" i="15"/>
  <c r="A12" i="19"/>
  <c r="A36" i="19" s="1"/>
  <c r="A62" i="19"/>
  <c r="L1" i="15"/>
  <c r="V14" i="15"/>
  <c r="J1" i="16"/>
  <c r="K15" i="1"/>
  <c r="M3" i="7"/>
  <c r="A13" i="19"/>
  <c r="A37" i="19" s="1"/>
  <c r="V14" i="16"/>
  <c r="A16" i="15"/>
  <c r="AB15" i="15"/>
  <c r="X15" i="15"/>
  <c r="K15" i="15"/>
  <c r="A17" i="15"/>
  <c r="X16" i="15"/>
  <c r="K16" i="15"/>
  <c r="AB16" i="15"/>
  <c r="A18" i="15"/>
  <c r="X17" i="15"/>
  <c r="K18" i="15"/>
  <c r="X18" i="15"/>
  <c r="W36" i="6"/>
  <c r="Y47" i="6"/>
  <c r="Y52" i="6"/>
  <c r="Z45" i="6"/>
  <c r="Z51" i="6"/>
  <c r="AQ304" i="6"/>
  <c r="AQ337" i="6"/>
  <c r="AP352" i="6"/>
  <c r="AR352" i="6" s="1"/>
  <c r="AQ340" i="6"/>
  <c r="AS340" i="6" s="1"/>
  <c r="AQ308" i="6"/>
  <c r="AQ305" i="6"/>
  <c r="AP353" i="6"/>
  <c r="AR353" i="6" s="1"/>
  <c r="AQ320" i="6"/>
  <c r="AQ327" i="6"/>
  <c r="AP330" i="6"/>
  <c r="AR330" i="6" s="1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 s="1"/>
  <c r="AP320" i="6"/>
  <c r="AR320" i="6" s="1"/>
  <c r="AS320" i="6"/>
  <c r="AQ333" i="6"/>
  <c r="AQ357" i="6"/>
  <c r="AS357" i="6" s="1"/>
  <c r="AP317" i="6"/>
  <c r="AR317" i="6" s="1"/>
  <c r="AQ313" i="6"/>
  <c r="Z36" i="6"/>
  <c r="AP345" i="6"/>
  <c r="AR345" i="6" s="1"/>
  <c r="AQ353" i="6"/>
  <c r="AQ316" i="6"/>
  <c r="AP304" i="6"/>
  <c r="AR304" i="6" s="1"/>
  <c r="AP312" i="6"/>
  <c r="AR312" i="6" s="1"/>
  <c r="AS312" i="6" s="1"/>
  <c r="AP319" i="6"/>
  <c r="AR319" i="6" s="1"/>
  <c r="AQ317" i="6"/>
  <c r="AQ325" i="6"/>
  <c r="AP351" i="6"/>
  <c r="AR351" i="6" s="1"/>
  <c r="AQ309" i="6"/>
  <c r="AS309" i="6" s="1"/>
  <c r="AP341" i="6"/>
  <c r="AR341" i="6" s="1"/>
  <c r="AP318" i="6"/>
  <c r="AR318" i="6" s="1"/>
  <c r="AP332" i="6"/>
  <c r="AR332" i="6" s="1"/>
  <c r="AS332" i="6" s="1"/>
  <c r="AP305" i="6"/>
  <c r="AR305" i="6"/>
  <c r="AP344" i="6"/>
  <c r="AR344" i="6"/>
  <c r="AS344" i="6" s="1"/>
  <c r="AQ330" i="6"/>
  <c r="AP348" i="6"/>
  <c r="AR348" i="6"/>
  <c r="AS348" i="6" s="1"/>
  <c r="AP315" i="6"/>
  <c r="AR315" i="6" s="1"/>
  <c r="AP346" i="6"/>
  <c r="AR346" i="6" s="1"/>
  <c r="AP336" i="6"/>
  <c r="AR336" i="6" s="1"/>
  <c r="AQ322" i="6"/>
  <c r="AP323" i="6"/>
  <c r="AR323" i="6"/>
  <c r="AS323" i="6" s="1"/>
  <c r="AQ347" i="6"/>
  <c r="AP313" i="6"/>
  <c r="AR313" i="6"/>
  <c r="AP325" i="6"/>
  <c r="AR325" i="6" s="1"/>
  <c r="AQ328" i="6"/>
  <c r="AS328" i="6" s="1"/>
  <c r="AQ346" i="6"/>
  <c r="AP329" i="6"/>
  <c r="AR329" i="6"/>
  <c r="AS329" i="6" s="1"/>
  <c r="AQ355" i="6"/>
  <c r="AP327" i="6"/>
  <c r="AR327" i="6" s="1"/>
  <c r="AQ315" i="6"/>
  <c r="AP310" i="6"/>
  <c r="AR310" i="6"/>
  <c r="AQ311" i="6"/>
  <c r="AP339" i="6"/>
  <c r="AR339" i="6"/>
  <c r="AP333" i="6"/>
  <c r="AR333" i="6"/>
  <c r="AP307" i="6"/>
  <c r="AR307" i="6"/>
  <c r="AS307" i="6" s="1"/>
  <c r="AQ312" i="6"/>
  <c r="AP326" i="6"/>
  <c r="AR326" i="6"/>
  <c r="AQ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 s="1"/>
  <c r="F176" i="6"/>
  <c r="H176" i="6" s="1"/>
  <c r="G182" i="6"/>
  <c r="G30" i="6"/>
  <c r="F150" i="6"/>
  <c r="H150" i="6" s="1"/>
  <c r="F16" i="6"/>
  <c r="H16" i="6" s="1"/>
  <c r="G15" i="6"/>
  <c r="F182" i="6"/>
  <c r="H182" i="6"/>
  <c r="I182" i="6" s="1"/>
  <c r="F145" i="6"/>
  <c r="H145" i="6" s="1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302" i="6"/>
  <c r="AK22" i="6"/>
  <c r="G335" i="6"/>
  <c r="G333" i="6"/>
  <c r="F370" i="6"/>
  <c r="H370" i="6"/>
  <c r="F325" i="6"/>
  <c r="H325" i="6"/>
  <c r="F355" i="6"/>
  <c r="H355" i="6"/>
  <c r="G363" i="6"/>
  <c r="F346" i="6"/>
  <c r="H346" i="6" s="1"/>
  <c r="G328" i="6"/>
  <c r="F374" i="6"/>
  <c r="H374" i="6"/>
  <c r="G342" i="6"/>
  <c r="F339" i="6"/>
  <c r="H339" i="6" s="1"/>
  <c r="G326" i="6"/>
  <c r="F341" i="6"/>
  <c r="H341" i="6"/>
  <c r="G343" i="6"/>
  <c r="G327" i="6"/>
  <c r="AK21" i="6"/>
  <c r="F302" i="6"/>
  <c r="H302" i="6" s="1"/>
  <c r="G305" i="6"/>
  <c r="G299" i="6"/>
  <c r="G307" i="6"/>
  <c r="G289" i="6"/>
  <c r="F309" i="6"/>
  <c r="H309" i="6" s="1"/>
  <c r="F313" i="6"/>
  <c r="H313" i="6" s="1"/>
  <c r="F315" i="6"/>
  <c r="H315" i="6" s="1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 s="1"/>
  <c r="F298" i="6"/>
  <c r="H298" i="6" s="1"/>
  <c r="F292" i="6"/>
  <c r="H292" i="6" s="1"/>
  <c r="G297" i="6"/>
  <c r="G314" i="6"/>
  <c r="G306" i="6"/>
  <c r="F294" i="6"/>
  <c r="H294" i="6"/>
  <c r="F342" i="6"/>
  <c r="H342" i="6"/>
  <c r="G341" i="6"/>
  <c r="F323" i="6"/>
  <c r="H323" i="6" s="1"/>
  <c r="G292" i="6"/>
  <c r="G294" i="6"/>
  <c r="F293" i="6"/>
  <c r="H293" i="6" s="1"/>
  <c r="F296" i="6"/>
  <c r="H296" i="6" s="1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 s="1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 s="1"/>
  <c r="F366" i="6"/>
  <c r="H366" i="6" s="1"/>
  <c r="F319" i="6"/>
  <c r="H319" i="6" s="1"/>
  <c r="G224" i="6"/>
  <c r="G368" i="6"/>
  <c r="F220" i="6"/>
  <c r="H220" i="6" s="1"/>
  <c r="G332" i="6"/>
  <c r="F338" i="6"/>
  <c r="H338" i="6"/>
  <c r="G338" i="6"/>
  <c r="G318" i="6"/>
  <c r="G340" i="6"/>
  <c r="F332" i="6"/>
  <c r="H332" i="6" s="1"/>
  <c r="I332" i="6"/>
  <c r="G275" i="6"/>
  <c r="F286" i="6"/>
  <c r="H286" i="6" s="1"/>
  <c r="F276" i="6"/>
  <c r="H276" i="6" s="1"/>
  <c r="F281" i="6"/>
  <c r="H281" i="6" s="1"/>
  <c r="G285" i="6"/>
  <c r="G287" i="6"/>
  <c r="G269" i="6"/>
  <c r="F277" i="6"/>
  <c r="H277" i="6"/>
  <c r="F273" i="6"/>
  <c r="H273" i="6"/>
  <c r="G279" i="6"/>
  <c r="G265" i="6"/>
  <c r="G274" i="6"/>
  <c r="F282" i="6"/>
  <c r="H282" i="6" s="1"/>
  <c r="G272" i="6"/>
  <c r="G290" i="6"/>
  <c r="G304" i="6"/>
  <c r="F304" i="6"/>
  <c r="H304" i="6"/>
  <c r="G308" i="6"/>
  <c r="F314" i="6"/>
  <c r="H314" i="6" s="1"/>
  <c r="I314" i="6" s="1"/>
  <c r="G310" i="6"/>
  <c r="G298" i="6"/>
  <c r="F310" i="6"/>
  <c r="H310" i="6"/>
  <c r="I310" i="6" s="1"/>
  <c r="F297" i="6"/>
  <c r="H297" i="6" s="1"/>
  <c r="F307" i="6"/>
  <c r="H307" i="6" s="1"/>
  <c r="G313" i="6"/>
  <c r="F295" i="6"/>
  <c r="H295" i="6"/>
  <c r="F311" i="6"/>
  <c r="H311" i="6"/>
  <c r="F258" i="6"/>
  <c r="H258" i="6"/>
  <c r="F234" i="6"/>
  <c r="H234" i="6"/>
  <c r="G256" i="6"/>
  <c r="F247" i="6"/>
  <c r="H247" i="6" s="1"/>
  <c r="F236" i="6"/>
  <c r="H236" i="6" s="1"/>
  <c r="G251" i="6"/>
  <c r="G238" i="6"/>
  <c r="G237" i="6"/>
  <c r="G249" i="6"/>
  <c r="G242" i="6"/>
  <c r="F250" i="6"/>
  <c r="H250" i="6"/>
  <c r="F243" i="6"/>
  <c r="H243" i="6"/>
  <c r="G245" i="6"/>
  <c r="F232" i="6"/>
  <c r="H232" i="6" s="1"/>
  <c r="F290" i="6"/>
  <c r="H290" i="6" s="1"/>
  <c r="F305" i="6"/>
  <c r="H305" i="6" s="1"/>
  <c r="F213" i="6"/>
  <c r="H213" i="6" s="1"/>
  <c r="F230" i="6"/>
  <c r="H230" i="6" s="1"/>
  <c r="G374" i="6"/>
  <c r="G352" i="6"/>
  <c r="G231" i="6"/>
  <c r="F226" i="6"/>
  <c r="H226" i="6" s="1"/>
  <c r="G376" i="6"/>
  <c r="G321" i="6"/>
  <c r="G354" i="6"/>
  <c r="G320" i="6"/>
  <c r="F193" i="6"/>
  <c r="H193" i="6" s="1"/>
  <c r="G214" i="6"/>
  <c r="F224" i="6"/>
  <c r="H224" i="6"/>
  <c r="F229" i="6"/>
  <c r="H229" i="6"/>
  <c r="G229" i="6"/>
  <c r="G198" i="6"/>
  <c r="G373" i="6"/>
  <c r="F351" i="6"/>
  <c r="H351" i="6" s="1"/>
  <c r="I351" i="6" s="1"/>
  <c r="G350" i="6"/>
  <c r="G353" i="6"/>
  <c r="F216" i="6"/>
  <c r="H216" i="6" s="1"/>
  <c r="F222" i="6"/>
  <c r="H222" i="6" s="1"/>
  <c r="G212" i="6"/>
  <c r="G197" i="6"/>
  <c r="F376" i="6"/>
  <c r="H376" i="6" s="1"/>
  <c r="I376" i="6"/>
  <c r="F337" i="6"/>
  <c r="H337" i="6"/>
  <c r="F354" i="6"/>
  <c r="H354" i="6"/>
  <c r="I354" i="6" s="1"/>
  <c r="G370" i="6"/>
  <c r="G356" i="6"/>
  <c r="F373" i="6"/>
  <c r="H373" i="6" s="1"/>
  <c r="G322" i="6"/>
  <c r="F353" i="6"/>
  <c r="H353" i="6"/>
  <c r="I353" i="6" s="1"/>
  <c r="F367" i="6"/>
  <c r="H367" i="6" s="1"/>
  <c r="F361" i="6"/>
  <c r="H361" i="6" s="1"/>
  <c r="F192" i="6"/>
  <c r="H192" i="6" s="1"/>
  <c r="F215" i="6"/>
  <c r="H215" i="6" s="1"/>
  <c r="G216" i="6"/>
  <c r="G228" i="6"/>
  <c r="G220" i="6"/>
  <c r="G213" i="6"/>
  <c r="F227" i="6"/>
  <c r="H227" i="6" s="1"/>
  <c r="F211" i="6"/>
  <c r="H211" i="6" s="1"/>
  <c r="F203" i="6"/>
  <c r="H203" i="6" s="1"/>
  <c r="G372" i="6"/>
  <c r="G377" i="6"/>
  <c r="F330" i="6"/>
  <c r="H330" i="6" s="1"/>
  <c r="G365" i="6"/>
  <c r="F369" i="6"/>
  <c r="H369" i="6"/>
  <c r="F347" i="6"/>
  <c r="H347" i="6"/>
  <c r="G361" i="6"/>
  <c r="F225" i="6"/>
  <c r="H225" i="6" s="1"/>
  <c r="F194" i="6"/>
  <c r="H194" i="6" s="1"/>
  <c r="G217" i="6"/>
  <c r="G207" i="6"/>
  <c r="F228" i="6"/>
  <c r="H228" i="6" s="1"/>
  <c r="G215" i="6"/>
  <c r="G227" i="6"/>
  <c r="G194" i="6"/>
  <c r="G202" i="6"/>
  <c r="G380" i="6"/>
  <c r="F326" i="6"/>
  <c r="H326" i="6"/>
  <c r="I326" i="6" s="1"/>
  <c r="G334" i="6"/>
  <c r="F363" i="6"/>
  <c r="H363" i="6"/>
  <c r="G362" i="6"/>
  <c r="G367" i="6"/>
  <c r="G359" i="6"/>
  <c r="F368" i="6"/>
  <c r="H368" i="6" s="1"/>
  <c r="I368" i="6"/>
  <c r="G371" i="6"/>
  <c r="F197" i="6"/>
  <c r="H197" i="6" s="1"/>
  <c r="G199" i="6"/>
  <c r="F336" i="6"/>
  <c r="H336" i="6"/>
  <c r="F331" i="6"/>
  <c r="H331" i="6"/>
  <c r="F345" i="6"/>
  <c r="H345" i="6"/>
  <c r="G355" i="6"/>
  <c r="F356" i="6"/>
  <c r="H356" i="6" s="1"/>
  <c r="G192" i="6"/>
  <c r="F195" i="6"/>
  <c r="H195" i="6"/>
  <c r="I195" i="6" s="1"/>
  <c r="F199" i="6"/>
  <c r="H199" i="6"/>
  <c r="F321" i="6"/>
  <c r="H321" i="6"/>
  <c r="G337" i="6"/>
  <c r="Y21" i="6"/>
  <c r="O37" i="6"/>
  <c r="O36" i="6"/>
  <c r="AQ179" i="6"/>
  <c r="AP171" i="6"/>
  <c r="AR171" i="6" s="1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 s="1"/>
  <c r="AP188" i="6"/>
  <c r="AR188" i="6" s="1"/>
  <c r="AQ50" i="6"/>
  <c r="AP189" i="6"/>
  <c r="AR189" i="6"/>
  <c r="AP110" i="6"/>
  <c r="AR110" i="6"/>
  <c r="AP80" i="6"/>
  <c r="AR80" i="6"/>
  <c r="AQ95" i="6"/>
  <c r="AP141" i="6"/>
  <c r="AR141" i="6" s="1"/>
  <c r="AP119" i="6"/>
  <c r="AR119" i="6" s="1"/>
  <c r="AQ122" i="6"/>
  <c r="AQ159" i="6"/>
  <c r="AP74" i="6"/>
  <c r="AR74" i="6" s="1"/>
  <c r="AP52" i="6"/>
  <c r="AR52" i="6" s="1"/>
  <c r="AP167" i="6"/>
  <c r="AR167" i="6" s="1"/>
  <c r="AP138" i="6"/>
  <c r="AR138" i="6" s="1"/>
  <c r="AP70" i="6"/>
  <c r="AR70" i="6" s="1"/>
  <c r="AQ153" i="6"/>
  <c r="AP101" i="6"/>
  <c r="AR101" i="6"/>
  <c r="AQ45" i="6"/>
  <c r="AQ170" i="6"/>
  <c r="AQ87" i="6"/>
  <c r="AQ98" i="6"/>
  <c r="AP169" i="6"/>
  <c r="AR169" i="6"/>
  <c r="AQ178" i="6"/>
  <c r="AP165" i="6"/>
  <c r="AR165" i="6" s="1"/>
  <c r="AP86" i="6"/>
  <c r="AR86" i="6" s="1"/>
  <c r="AP72" i="6"/>
  <c r="AR72" i="6" s="1"/>
  <c r="AP58" i="6"/>
  <c r="AR58" i="6" s="1"/>
  <c r="AQ105" i="6"/>
  <c r="AP61" i="6"/>
  <c r="AR61" i="6"/>
  <c r="AQ22" i="6"/>
  <c r="AQ128" i="6"/>
  <c r="AQ146" i="6"/>
  <c r="AP75" i="6"/>
  <c r="AR75" i="6" s="1"/>
  <c r="AQ140" i="6"/>
  <c r="AQ77" i="6"/>
  <c r="AP186" i="6"/>
  <c r="AR186" i="6" s="1"/>
  <c r="AQ42" i="6"/>
  <c r="AP77" i="6"/>
  <c r="AR77" i="6"/>
  <c r="AP139" i="6"/>
  <c r="AR139" i="6"/>
  <c r="AS139" i="6" s="1"/>
  <c r="AQ94" i="6"/>
  <c r="AQ134" i="6"/>
  <c r="AQ30" i="6"/>
  <c r="AP88" i="6"/>
  <c r="AR88" i="6" s="1"/>
  <c r="AP62" i="6"/>
  <c r="AR62" i="6" s="1"/>
  <c r="AQ113" i="6"/>
  <c r="AQ24" i="6"/>
  <c r="AQ73" i="6"/>
  <c r="AS73" i="6" s="1"/>
  <c r="AQ164" i="6"/>
  <c r="AQ166" i="6"/>
  <c r="AP116" i="6"/>
  <c r="AR116" i="6"/>
  <c r="AP59" i="6"/>
  <c r="AR59" i="6"/>
  <c r="AQ52" i="6"/>
  <c r="AP37" i="6"/>
  <c r="AR37" i="6" s="1"/>
  <c r="AS37" i="6" s="1"/>
  <c r="AP132" i="6"/>
  <c r="AR132" i="6" s="1"/>
  <c r="AP96" i="6"/>
  <c r="AR96" i="6" s="1"/>
  <c r="AP79" i="6"/>
  <c r="AR79" i="6" s="1"/>
  <c r="AP161" i="6"/>
  <c r="AR161" i="6" s="1"/>
  <c r="AP29" i="6"/>
  <c r="AR29" i="6" s="1"/>
  <c r="AQ67" i="6"/>
  <c r="AP95" i="6"/>
  <c r="AR95" i="6"/>
  <c r="AS95" i="6" s="1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 s="1"/>
  <c r="AQ189" i="6"/>
  <c r="AQ180" i="6"/>
  <c r="AP34" i="6"/>
  <c r="AR34" i="6" s="1"/>
  <c r="AQ93" i="6"/>
  <c r="AP17" i="6"/>
  <c r="AR17" i="6"/>
  <c r="AP151" i="6"/>
  <c r="AR151" i="6"/>
  <c r="AP32" i="6"/>
  <c r="AR32" i="6"/>
  <c r="AQ106" i="6"/>
  <c r="AQ78" i="6"/>
  <c r="AQ160" i="6"/>
  <c r="AP25" i="6"/>
  <c r="AR25" i="6" s="1"/>
  <c r="AP105" i="6"/>
  <c r="AR105" i="6" s="1"/>
  <c r="AP178" i="6"/>
  <c r="AR178" i="6" s="1"/>
  <c r="AQ16" i="6"/>
  <c r="AQ123" i="6"/>
  <c r="AQ72" i="6"/>
  <c r="AP36" i="6"/>
  <c r="AR36" i="6"/>
  <c r="AS36" i="6" s="1"/>
  <c r="AP51" i="6"/>
  <c r="AR51" i="6"/>
  <c r="AP164" i="6"/>
  <c r="AR164" i="6"/>
  <c r="AQ60" i="6"/>
  <c r="AQ86" i="6"/>
  <c r="AQ135" i="6"/>
  <c r="AQ114" i="6"/>
  <c r="AS114" i="6" s="1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 s="1"/>
  <c r="AQ141" i="6"/>
  <c r="AQ18" i="6"/>
  <c r="AQ174" i="6"/>
  <c r="AQ61" i="6"/>
  <c r="AQ149" i="6"/>
  <c r="AP135" i="6"/>
  <c r="AR135" i="6"/>
  <c r="AQ56" i="6"/>
  <c r="AP24" i="6"/>
  <c r="AR24" i="6" s="1"/>
  <c r="AP107" i="6"/>
  <c r="AR107" i="6" s="1"/>
  <c r="AP118" i="6"/>
  <c r="AR118" i="6" s="1"/>
  <c r="AP103" i="6"/>
  <c r="AR103" i="6" s="1"/>
  <c r="AQ181" i="6"/>
  <c r="AQ38" i="6"/>
  <c r="AP147" i="6"/>
  <c r="AR147" i="6" s="1"/>
  <c r="AP98" i="6"/>
  <c r="AR98" i="6" s="1"/>
  <c r="AQ63" i="6"/>
  <c r="AQ91" i="6"/>
  <c r="AQ129" i="6"/>
  <c r="AP130" i="6"/>
  <c r="AR130" i="6"/>
  <c r="AQ29" i="6"/>
  <c r="AQ117" i="6"/>
  <c r="AQ175" i="6"/>
  <c r="AQ19" i="6"/>
  <c r="AP181" i="6"/>
  <c r="AR181" i="6"/>
  <c r="AS181" i="6" s="1"/>
  <c r="AP162" i="6"/>
  <c r="AR162" i="6" s="1"/>
  <c r="AP68" i="6"/>
  <c r="AR68" i="6" s="1"/>
  <c r="AP50" i="6"/>
  <c r="AR50" i="6" s="1"/>
  <c r="AS50" i="6" s="1"/>
  <c r="AQ158" i="6"/>
  <c r="AQ96" i="6"/>
  <c r="AP121" i="6"/>
  <c r="AR121" i="6"/>
  <c r="AQ103" i="6"/>
  <c r="AQ133" i="6"/>
  <c r="AQ163" i="6"/>
  <c r="AP53" i="6"/>
  <c r="AR53" i="6" s="1"/>
  <c r="AQ35" i="6"/>
  <c r="AQ76" i="6"/>
  <c r="AP183" i="6"/>
  <c r="AR183" i="6" s="1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 s="1"/>
  <c r="AQ112" i="6"/>
  <c r="AP177" i="6"/>
  <c r="AR177" i="6"/>
  <c r="AS177" i="6" s="1"/>
  <c r="AP179" i="6"/>
  <c r="AR179" i="6"/>
  <c r="AS179" i="6" s="1"/>
  <c r="AP85" i="6"/>
  <c r="AR85" i="6" s="1"/>
  <c r="AP128" i="6"/>
  <c r="AR128" i="6" s="1"/>
  <c r="AQ177" i="6"/>
  <c r="AP67" i="6"/>
  <c r="AR67" i="6" s="1"/>
  <c r="AP175" i="6"/>
  <c r="AR175" i="6" s="1"/>
  <c r="AS175" i="6"/>
  <c r="AP137" i="6"/>
  <c r="AR137" i="6"/>
  <c r="AP57" i="6"/>
  <c r="AR57" i="6"/>
  <c r="AQ75" i="6"/>
  <c r="AQ119" i="6"/>
  <c r="AQ15" i="6"/>
  <c r="AP131" i="6"/>
  <c r="AR131" i="6" s="1"/>
  <c r="AP142" i="6"/>
  <c r="AR142" i="6" s="1"/>
  <c r="AQ173" i="6"/>
  <c r="AP76" i="6"/>
  <c r="AR76" i="6"/>
  <c r="AQ48" i="6"/>
  <c r="AP140" i="6"/>
  <c r="AR140" i="6" s="1"/>
  <c r="AQ152" i="6"/>
  <c r="AP182" i="6"/>
  <c r="AR182" i="6"/>
  <c r="AQ27" i="6"/>
  <c r="AP28" i="6"/>
  <c r="AR28" i="6" s="1"/>
  <c r="AQ108" i="6"/>
  <c r="AQ21" i="6"/>
  <c r="AP83" i="6"/>
  <c r="AR83" i="6" s="1"/>
  <c r="AP163" i="6"/>
  <c r="AR163" i="6" s="1"/>
  <c r="AP152" i="6"/>
  <c r="AR152" i="6" s="1"/>
  <c r="AP47" i="6"/>
  <c r="AR47" i="6" s="1"/>
  <c r="AQ144" i="6"/>
  <c r="AP150" i="6"/>
  <c r="AR150" i="6"/>
  <c r="AS150" i="6" s="1"/>
  <c r="AQ84" i="6"/>
  <c r="AP73" i="6"/>
  <c r="AR73" i="6"/>
  <c r="AQ79" i="6"/>
  <c r="AP44" i="6"/>
  <c r="AR44" i="6" s="1"/>
  <c r="AQ143" i="6"/>
  <c r="AQ154" i="6"/>
  <c r="AQ139" i="6"/>
  <c r="AP122" i="6"/>
  <c r="AR122" i="6" s="1"/>
  <c r="AP120" i="6"/>
  <c r="AR120" i="6" s="1"/>
  <c r="AP19" i="6"/>
  <c r="AR19" i="6" s="1"/>
  <c r="AQ138" i="6"/>
  <c r="AP69" i="6"/>
  <c r="AR69" i="6"/>
  <c r="AP184" i="6"/>
  <c r="AR184" i="6"/>
  <c r="AP49" i="6"/>
  <c r="AR49" i="6"/>
  <c r="AQ20" i="6"/>
  <c r="AP38" i="6"/>
  <c r="AR38" i="6" s="1"/>
  <c r="AP146" i="6"/>
  <c r="AR146" i="6" s="1"/>
  <c r="AP55" i="6"/>
  <c r="AR55" i="6" s="1"/>
  <c r="AP23" i="6"/>
  <c r="AR23" i="6" s="1"/>
  <c r="AP40" i="6"/>
  <c r="AR40" i="6" s="1"/>
  <c r="AP108" i="6"/>
  <c r="AR108" i="6" s="1"/>
  <c r="AS108" i="6"/>
  <c r="AP91" i="6"/>
  <c r="AR91" i="6"/>
  <c r="AP113" i="6"/>
  <c r="AR113" i="6"/>
  <c r="AP136" i="6"/>
  <c r="AR136" i="6" s="1"/>
  <c r="AQ104" i="6"/>
  <c r="AQ46" i="6"/>
  <c r="AQ32" i="6"/>
  <c r="AQ136" i="6"/>
  <c r="AP176" i="6"/>
  <c r="AR176" i="6" s="1"/>
  <c r="AS176" i="6" s="1"/>
  <c r="AP87" i="6"/>
  <c r="AR87" i="6"/>
  <c r="AS87" i="6" s="1"/>
  <c r="AQ55" i="6"/>
  <c r="AQ57" i="6"/>
  <c r="AQ64" i="6"/>
  <c r="AP89" i="6"/>
  <c r="AR89" i="6"/>
  <c r="AQ168" i="6"/>
  <c r="AP157" i="6"/>
  <c r="AR157" i="6" s="1"/>
  <c r="AP185" i="6"/>
  <c r="AR185" i="6" s="1"/>
  <c r="AQ137" i="6"/>
  <c r="AP102" i="6"/>
  <c r="AR102" i="6"/>
  <c r="AQ116" i="6"/>
  <c r="AQ126" i="6"/>
  <c r="AQ118" i="6"/>
  <c r="AP124" i="6"/>
  <c r="AR124" i="6" s="1"/>
  <c r="AS124" i="6" s="1"/>
  <c r="AP15" i="6"/>
  <c r="AP144" i="6"/>
  <c r="AR144" i="6" s="1"/>
  <c r="AS144" i="6"/>
  <c r="AP125" i="6"/>
  <c r="AR125" i="6"/>
  <c r="AS125" i="6" s="1"/>
  <c r="AQ102" i="6"/>
  <c r="AQ147" i="6"/>
  <c r="P37" i="6"/>
  <c r="P36" i="6"/>
  <c r="AP187" i="6"/>
  <c r="AR187" i="6" s="1"/>
  <c r="AP94" i="6"/>
  <c r="AR94" i="6" s="1"/>
  <c r="AS94" i="6" s="1"/>
  <c r="AP60" i="6"/>
  <c r="AR60" i="6"/>
  <c r="AS60" i="6" s="1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 s="1"/>
  <c r="AP56" i="6"/>
  <c r="AR56" i="6" s="1"/>
  <c r="AP84" i="6"/>
  <c r="AR84" i="6" s="1"/>
  <c r="AS84" i="6" s="1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 s="1"/>
  <c r="AQ37" i="6"/>
  <c r="AP112" i="6"/>
  <c r="AR112" i="6" s="1"/>
  <c r="AP111" i="6"/>
  <c r="AR111" i="6" s="1"/>
  <c r="AP27" i="6"/>
  <c r="AR27" i="6" s="1"/>
  <c r="AQ101" i="6"/>
  <c r="AQ70" i="6"/>
  <c r="AP63" i="6"/>
  <c r="AR63" i="6" s="1"/>
  <c r="AS63" i="6"/>
  <c r="AQ151" i="6"/>
  <c r="AP42" i="6"/>
  <c r="AR42" i="6" s="1"/>
  <c r="AQ36" i="6"/>
  <c r="AQ49" i="6"/>
  <c r="AQ53" i="6"/>
  <c r="AP126" i="6"/>
  <c r="AR126" i="6"/>
  <c r="AQ54" i="6"/>
  <c r="AP168" i="6"/>
  <c r="AR168" i="6" s="1"/>
  <c r="AS168" i="6"/>
  <c r="AP26" i="6"/>
  <c r="AR26" i="6"/>
  <c r="AQ109" i="6"/>
  <c r="AQ182" i="6"/>
  <c r="AQ115" i="6"/>
  <c r="AQ82" i="6"/>
  <c r="AP48" i="6"/>
  <c r="AR48" i="6"/>
  <c r="AS48" i="6" s="1"/>
  <c r="AP149" i="6"/>
  <c r="AR149" i="6" s="1"/>
  <c r="AP18" i="6"/>
  <c r="AR18" i="6" s="1"/>
  <c r="AQ17" i="6"/>
  <c r="AQ142" i="6"/>
  <c r="AP71" i="6"/>
  <c r="AR71" i="6" s="1"/>
  <c r="AS71" i="6"/>
  <c r="AQ59" i="6"/>
  <c r="AQ39" i="6"/>
  <c r="AQ183" i="6"/>
  <c r="AP133" i="6"/>
  <c r="AR133" i="6" s="1"/>
  <c r="AP78" i="6"/>
  <c r="AR78" i="6"/>
  <c r="AP45" i="6"/>
  <c r="AR45" i="6"/>
  <c r="AQ44" i="6"/>
  <c r="AQ62" i="6"/>
  <c r="AP153" i="6"/>
  <c r="AR153" i="6"/>
  <c r="AP180" i="6"/>
  <c r="AR180" i="6"/>
  <c r="AS180" i="6" s="1"/>
  <c r="AQ89" i="6"/>
  <c r="AS89" i="6" s="1"/>
  <c r="AQ26" i="6"/>
  <c r="AQ169" i="6"/>
  <c r="AQ80" i="6"/>
  <c r="AQ161" i="6"/>
  <c r="AS161" i="6" s="1"/>
  <c r="AQ25" i="6"/>
  <c r="AS25" i="6"/>
  <c r="AP104" i="6"/>
  <c r="AR104" i="6"/>
  <c r="AP97" i="6"/>
  <c r="AR97" i="6"/>
  <c r="AP16" i="6"/>
  <c r="AR16" i="6"/>
  <c r="AP156" i="6"/>
  <c r="AR156" i="6"/>
  <c r="AS156" i="6" s="1"/>
  <c r="AP145" i="6"/>
  <c r="AR145" i="6" s="1"/>
  <c r="AQ121" i="6"/>
  <c r="AS121" i="6" s="1"/>
  <c r="AQ145" i="6"/>
  <c r="AQ185" i="6"/>
  <c r="AS185" i="6" s="1"/>
  <c r="AP166" i="6"/>
  <c r="AR166" i="6"/>
  <c r="AS166" i="6" s="1"/>
  <c r="AP90" i="6"/>
  <c r="AR90" i="6"/>
  <c r="AQ58" i="6"/>
  <c r="AQ51" i="6"/>
  <c r="AP172" i="6"/>
  <c r="AR172" i="6"/>
  <c r="AS172" i="6" s="1"/>
  <c r="AP129" i="6"/>
  <c r="AR129" i="6"/>
  <c r="AS129" i="6" s="1"/>
  <c r="AP21" i="6"/>
  <c r="AR21" i="6" s="1"/>
  <c r="AA32" i="6"/>
  <c r="Z34" i="6"/>
  <c r="Z37" i="6"/>
  <c r="AB28" i="6"/>
  <c r="AA34" i="6"/>
  <c r="AC22" i="6"/>
  <c r="F221" i="6"/>
  <c r="H221" i="6" s="1"/>
  <c r="I221" i="6" s="1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 s="1"/>
  <c r="F271" i="6"/>
  <c r="H271" i="6" s="1"/>
  <c r="G277" i="6"/>
  <c r="F266" i="6"/>
  <c r="H266" i="6"/>
  <c r="F262" i="6"/>
  <c r="H262" i="6"/>
  <c r="F268" i="6"/>
  <c r="H268" i="6"/>
  <c r="G262" i="6"/>
  <c r="F269" i="6"/>
  <c r="H269" i="6" s="1"/>
  <c r="G278" i="6"/>
  <c r="F275" i="6"/>
  <c r="H275" i="6"/>
  <c r="G258" i="6"/>
  <c r="G236" i="6"/>
  <c r="F242" i="6"/>
  <c r="H242" i="6"/>
  <c r="I242" i="6" s="1"/>
  <c r="F253" i="6"/>
  <c r="H253" i="6" s="1"/>
  <c r="F238" i="6"/>
  <c r="H238" i="6" s="1"/>
  <c r="I238" i="6" s="1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F239" i="6"/>
  <c r="H239" i="6"/>
  <c r="I239" i="6" s="1"/>
  <c r="G254" i="6"/>
  <c r="I254" i="6" s="1"/>
  <c r="F279" i="6"/>
  <c r="H279" i="6"/>
  <c r="I279" i="6" s="1"/>
  <c r="F261" i="6"/>
  <c r="H261" i="6"/>
  <c r="I261" i="6" s="1"/>
  <c r="G282" i="6"/>
  <c r="I282" i="6"/>
  <c r="G268" i="6"/>
  <c r="F274" i="6"/>
  <c r="H274" i="6" s="1"/>
  <c r="I274" i="6" s="1"/>
  <c r="G266" i="6"/>
  <c r="G273" i="6"/>
  <c r="F237" i="6"/>
  <c r="H237" i="6" s="1"/>
  <c r="G253" i="6"/>
  <c r="I253" i="6" s="1"/>
  <c r="G244" i="6"/>
  <c r="G233" i="6"/>
  <c r="I233" i="6" s="1"/>
  <c r="F257" i="6"/>
  <c r="H257" i="6"/>
  <c r="I257" i="6" s="1"/>
  <c r="F241" i="6"/>
  <c r="H241" i="6" s="1"/>
  <c r="F255" i="6"/>
  <c r="H255" i="6" s="1"/>
  <c r="I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/>
  <c r="G151" i="6"/>
  <c r="G157" i="6"/>
  <c r="I157" i="6" s="1"/>
  <c r="G153" i="6"/>
  <c r="G150" i="6"/>
  <c r="I150" i="6" s="1"/>
  <c r="G154" i="6"/>
  <c r="F147" i="6"/>
  <c r="H147" i="6" s="1"/>
  <c r="I147" i="6" s="1"/>
  <c r="G143" i="6"/>
  <c r="G142" i="6"/>
  <c r="G141" i="6"/>
  <c r="F148" i="6"/>
  <c r="H148" i="6"/>
  <c r="G152" i="6"/>
  <c r="G135" i="6"/>
  <c r="G159" i="6"/>
  <c r="F159" i="6"/>
  <c r="H159" i="6" s="1"/>
  <c r="F151" i="6"/>
  <c r="H151" i="6" s="1"/>
  <c r="I151" i="6" s="1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 s="1"/>
  <c r="G28" i="6"/>
  <c r="F140" i="6"/>
  <c r="H140" i="6"/>
  <c r="F136" i="6"/>
  <c r="H136" i="6"/>
  <c r="I136" i="6" s="1"/>
  <c r="G156" i="6"/>
  <c r="F155" i="6"/>
  <c r="H155" i="6" s="1"/>
  <c r="F146" i="6"/>
  <c r="H146" i="6" s="1"/>
  <c r="G147" i="6"/>
  <c r="G146" i="6"/>
  <c r="G138" i="6"/>
  <c r="F154" i="6"/>
  <c r="H154" i="6"/>
  <c r="I154" i="6" s="1"/>
  <c r="F138" i="6"/>
  <c r="H138" i="6" s="1"/>
  <c r="I138" i="6"/>
  <c r="F142" i="6"/>
  <c r="H142" i="6"/>
  <c r="G18" i="6"/>
  <c r="G24" i="6"/>
  <c r="F24" i="6"/>
  <c r="H24" i="6" s="1"/>
  <c r="F33" i="6"/>
  <c r="H33" i="6" s="1"/>
  <c r="F170" i="6"/>
  <c r="H170" i="6" s="1"/>
  <c r="G21" i="6"/>
  <c r="I21" i="6" s="1"/>
  <c r="F180" i="6"/>
  <c r="H180" i="6"/>
  <c r="I180" i="6" s="1"/>
  <c r="F189" i="6"/>
  <c r="H189" i="6"/>
  <c r="F187" i="6"/>
  <c r="H187" i="6"/>
  <c r="I187" i="6" s="1"/>
  <c r="F31" i="6"/>
  <c r="H31" i="6"/>
  <c r="G19" i="6"/>
  <c r="F181" i="6"/>
  <c r="H181" i="6" s="1"/>
  <c r="I181" i="6" s="1"/>
  <c r="F167" i="6"/>
  <c r="H167" i="6"/>
  <c r="G35" i="6"/>
  <c r="F35" i="6"/>
  <c r="H35" i="6" s="1"/>
  <c r="F144" i="6"/>
  <c r="H144" i="6" s="1"/>
  <c r="G160" i="6"/>
  <c r="F158" i="6"/>
  <c r="H158" i="6"/>
  <c r="G137" i="6"/>
  <c r="F152" i="6"/>
  <c r="H152" i="6" s="1"/>
  <c r="F184" i="6"/>
  <c r="H184" i="6" s="1"/>
  <c r="I184" i="6" s="1"/>
  <c r="F161" i="6"/>
  <c r="H161" i="6" s="1"/>
  <c r="F139" i="6"/>
  <c r="H139" i="6" s="1"/>
  <c r="I139" i="6" s="1"/>
  <c r="G161" i="6"/>
  <c r="F30" i="6"/>
  <c r="H30" i="6"/>
  <c r="F23" i="6"/>
  <c r="F19" i="6"/>
  <c r="H19" i="6" s="1"/>
  <c r="I19" i="6"/>
  <c r="F186" i="6"/>
  <c r="H186" i="6"/>
  <c r="F165" i="6"/>
  <c r="H165" i="6"/>
  <c r="I165" i="6" s="1"/>
  <c r="G23" i="6"/>
  <c r="G16" i="6"/>
  <c r="F174" i="6"/>
  <c r="H174" i="6" s="1"/>
  <c r="F179" i="6"/>
  <c r="H179" i="6" s="1"/>
  <c r="I179" i="6" s="1"/>
  <c r="F175" i="6"/>
  <c r="H175" i="6" s="1"/>
  <c r="F185" i="6"/>
  <c r="H185" i="6" s="1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 s="1"/>
  <c r="G26" i="6"/>
  <c r="G12" i="6" s="1"/>
  <c r="F164" i="6"/>
  <c r="H164" i="6"/>
  <c r="I164" i="6" s="1"/>
  <c r="G171" i="6"/>
  <c r="G144" i="6"/>
  <c r="G188" i="6"/>
  <c r="S22" i="6"/>
  <c r="F93" i="6"/>
  <c r="H93" i="6"/>
  <c r="I93" i="6" s="1"/>
  <c r="F109" i="6"/>
  <c r="H109" i="6"/>
  <c r="F124" i="6"/>
  <c r="H124" i="6"/>
  <c r="I124" i="6" s="1"/>
  <c r="G99" i="6"/>
  <c r="G96" i="6"/>
  <c r="G95" i="6"/>
  <c r="G127" i="6"/>
  <c r="G102" i="6"/>
  <c r="G120" i="6"/>
  <c r="G121" i="6"/>
  <c r="G109" i="6"/>
  <c r="F108" i="6"/>
  <c r="H108" i="6"/>
  <c r="I108" i="6" s="1"/>
  <c r="G117" i="6"/>
  <c r="F125" i="6"/>
  <c r="H125" i="6" s="1"/>
  <c r="G115" i="6"/>
  <c r="F117" i="6"/>
  <c r="H117" i="6"/>
  <c r="G130" i="6"/>
  <c r="F132" i="6"/>
  <c r="H132" i="6" s="1"/>
  <c r="F133" i="6"/>
  <c r="H133" i="6" s="1"/>
  <c r="I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/>
  <c r="I82" i="6" s="1"/>
  <c r="G66" i="6"/>
  <c r="F77" i="6"/>
  <c r="H77" i="6" s="1"/>
  <c r="I77" i="6" s="1"/>
  <c r="F79" i="6"/>
  <c r="H79" i="6" s="1"/>
  <c r="F89" i="6"/>
  <c r="H89" i="6" s="1"/>
  <c r="F90" i="6"/>
  <c r="H90" i="6" s="1"/>
  <c r="I90" i="6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/>
  <c r="G43" i="6"/>
  <c r="G59" i="6"/>
  <c r="F60" i="6"/>
  <c r="H60" i="6"/>
  <c r="G61" i="6"/>
  <c r="G51" i="6"/>
  <c r="G37" i="6"/>
  <c r="G48" i="6"/>
  <c r="F48" i="6"/>
  <c r="H48" i="6"/>
  <c r="G57" i="6"/>
  <c r="G49" i="6"/>
  <c r="F54" i="6"/>
  <c r="H54" i="6"/>
  <c r="I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/>
  <c r="I51" i="6" s="1"/>
  <c r="G54" i="6"/>
  <c r="F95" i="6"/>
  <c r="H95" i="6" s="1"/>
  <c r="F85" i="6"/>
  <c r="H85" i="6" s="1"/>
  <c r="G73" i="6"/>
  <c r="G88" i="6"/>
  <c r="F112" i="6"/>
  <c r="H112" i="6" s="1"/>
  <c r="I112" i="6" s="1"/>
  <c r="G125" i="6"/>
  <c r="F126" i="6"/>
  <c r="H126" i="6"/>
  <c r="F84" i="6"/>
  <c r="H84" i="6"/>
  <c r="F40" i="6"/>
  <c r="H40" i="6"/>
  <c r="G53" i="6"/>
  <c r="F92" i="6"/>
  <c r="H92" i="6" s="1"/>
  <c r="F97" i="6"/>
  <c r="H97" i="6" s="1"/>
  <c r="G52" i="6"/>
  <c r="G81" i="6"/>
  <c r="F39" i="6"/>
  <c r="H39" i="6" s="1"/>
  <c r="F57" i="6"/>
  <c r="H57" i="6" s="1"/>
  <c r="I57" i="6" s="1"/>
  <c r="G98" i="6"/>
  <c r="F129" i="6"/>
  <c r="H129" i="6" s="1"/>
  <c r="G100" i="6"/>
  <c r="I100" i="6" s="1"/>
  <c r="F49" i="6"/>
  <c r="H49" i="6"/>
  <c r="I49" i="6" s="1"/>
  <c r="G56" i="6"/>
  <c r="F121" i="6"/>
  <c r="H121" i="6" s="1"/>
  <c r="I121" i="6" s="1"/>
  <c r="G38" i="6"/>
  <c r="G46" i="6"/>
  <c r="G123" i="6"/>
  <c r="F102" i="6"/>
  <c r="H102" i="6" s="1"/>
  <c r="I102" i="6"/>
  <c r="F134" i="6"/>
  <c r="H134" i="6"/>
  <c r="I134" i="6" s="1"/>
  <c r="G136" i="6"/>
  <c r="F137" i="6"/>
  <c r="H137" i="6" s="1"/>
  <c r="I137" i="6" s="1"/>
  <c r="F22" i="6"/>
  <c r="H22" i="6"/>
  <c r="F162" i="6"/>
  <c r="H162" i="6"/>
  <c r="G164" i="6"/>
  <c r="F163" i="6"/>
  <c r="H163" i="6"/>
  <c r="G187" i="6"/>
  <c r="G163" i="6"/>
  <c r="G33" i="6"/>
  <c r="G172" i="6"/>
  <c r="G180" i="6"/>
  <c r="F173" i="6"/>
  <c r="H173" i="6" s="1"/>
  <c r="G155" i="6"/>
  <c r="F18" i="6"/>
  <c r="H18" i="6"/>
  <c r="I18" i="6" s="1"/>
  <c r="G105" i="6"/>
  <c r="F94" i="6"/>
  <c r="H94" i="6"/>
  <c r="I94" i="6" s="1"/>
  <c r="F114" i="6"/>
  <c r="H114" i="6"/>
  <c r="F104" i="6"/>
  <c r="H104" i="6"/>
  <c r="F105" i="6"/>
  <c r="H105" i="6"/>
  <c r="I105" i="6" s="1"/>
  <c r="F131" i="6"/>
  <c r="H131" i="6" s="1"/>
  <c r="F96" i="6"/>
  <c r="H96" i="6" s="1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 s="1"/>
  <c r="G79" i="6"/>
  <c r="F67" i="6"/>
  <c r="H67" i="6"/>
  <c r="F69" i="6"/>
  <c r="H69" i="6"/>
  <c r="G80" i="6"/>
  <c r="F83" i="6"/>
  <c r="H83" i="6" s="1"/>
  <c r="I83" i="6" s="1"/>
  <c r="G75" i="6"/>
  <c r="G70" i="6"/>
  <c r="F68" i="6"/>
  <c r="H68" i="6"/>
  <c r="G85" i="6"/>
  <c r="F70" i="6"/>
  <c r="H70" i="6" s="1"/>
  <c r="F74" i="6"/>
  <c r="H74" i="6" s="1"/>
  <c r="I74" i="6" s="1"/>
  <c r="G55" i="6"/>
  <c r="F50" i="6"/>
  <c r="H50" i="6" s="1"/>
  <c r="F45" i="6"/>
  <c r="H45" i="6" s="1"/>
  <c r="I45" i="6" s="1"/>
  <c r="F55" i="6"/>
  <c r="H55" i="6"/>
  <c r="I55" i="6" s="1"/>
  <c r="G40" i="6"/>
  <c r="F47" i="6"/>
  <c r="H47" i="6"/>
  <c r="I47" i="6" s="1"/>
  <c r="F36" i="6"/>
  <c r="H36" i="6" s="1"/>
  <c r="G44" i="6"/>
  <c r="I44" i="6" s="1"/>
  <c r="G63" i="6"/>
  <c r="G42" i="6"/>
  <c r="I42" i="6" s="1"/>
  <c r="G89" i="6"/>
  <c r="G41" i="6"/>
  <c r="F103" i="6"/>
  <c r="H103" i="6"/>
  <c r="I103" i="6" s="1"/>
  <c r="F127" i="6"/>
  <c r="H127" i="6"/>
  <c r="G101" i="6"/>
  <c r="G94" i="6"/>
  <c r="G29" i="6"/>
  <c r="G20" i="6"/>
  <c r="G145" i="6"/>
  <c r="G186" i="6"/>
  <c r="G175" i="6"/>
  <c r="F99" i="6"/>
  <c r="H99" i="6" s="1"/>
  <c r="I99" i="6"/>
  <c r="G118" i="6"/>
  <c r="G97" i="6"/>
  <c r="F128" i="6"/>
  <c r="H128" i="6"/>
  <c r="F115" i="6"/>
  <c r="H115" i="6"/>
  <c r="F120" i="6"/>
  <c r="H120" i="6"/>
  <c r="F116" i="6"/>
  <c r="H116" i="6" s="1"/>
  <c r="F118" i="6"/>
  <c r="H118" i="6" s="1"/>
  <c r="I118" i="6" s="1"/>
  <c r="G113" i="6"/>
  <c r="G74" i="6"/>
  <c r="F65" i="6"/>
  <c r="H65" i="6"/>
  <c r="F75" i="6"/>
  <c r="H75" i="6"/>
  <c r="I75" i="6" s="1"/>
  <c r="G67" i="6"/>
  <c r="F71" i="6"/>
  <c r="H71" i="6"/>
  <c r="G71" i="6"/>
  <c r="F61" i="6"/>
  <c r="G47" i="6"/>
  <c r="G58" i="6"/>
  <c r="F38" i="6"/>
  <c r="H38" i="6"/>
  <c r="I38" i="6" s="1"/>
  <c r="G60" i="6"/>
  <c r="G116" i="6"/>
  <c r="G119" i="6"/>
  <c r="F130" i="6"/>
  <c r="H130" i="6"/>
  <c r="F81" i="6"/>
  <c r="H81" i="6"/>
  <c r="F98" i="6"/>
  <c r="H98" i="6"/>
  <c r="I98" i="6" s="1"/>
  <c r="G39" i="6"/>
  <c r="G104" i="6"/>
  <c r="G93" i="6"/>
  <c r="G178" i="6"/>
  <c r="F183" i="6"/>
  <c r="H183" i="6"/>
  <c r="G176" i="6"/>
  <c r="I176" i="6"/>
  <c r="G140" i="6"/>
  <c r="F178" i="6"/>
  <c r="H178" i="6" s="1"/>
  <c r="I178" i="6" s="1"/>
  <c r="G148" i="6"/>
  <c r="I148" i="6"/>
  <c r="G22" i="6"/>
  <c r="G92" i="6"/>
  <c r="G128" i="6"/>
  <c r="G114" i="6"/>
  <c r="G103" i="6"/>
  <c r="F123" i="6"/>
  <c r="H123" i="6"/>
  <c r="I123" i="6" s="1"/>
  <c r="F119" i="6"/>
  <c r="H119" i="6" s="1"/>
  <c r="F111" i="6"/>
  <c r="H111" i="6" s="1"/>
  <c r="G110" i="6"/>
  <c r="G132" i="6"/>
  <c r="G84" i="6"/>
  <c r="G82" i="6"/>
  <c r="G72" i="6"/>
  <c r="F66" i="6"/>
  <c r="H66" i="6"/>
  <c r="F76" i="6"/>
  <c r="H76" i="6"/>
  <c r="G65" i="6"/>
  <c r="F44" i="6"/>
  <c r="H44" i="6" s="1"/>
  <c r="G62" i="6"/>
  <c r="F56" i="6"/>
  <c r="H56" i="6"/>
  <c r="I56" i="6" s="1"/>
  <c r="F53" i="6"/>
  <c r="H53" i="6" s="1"/>
  <c r="F62" i="6"/>
  <c r="H62" i="6" s="1"/>
  <c r="F59" i="6"/>
  <c r="H59" i="6" s="1"/>
  <c r="I59" i="6" s="1"/>
  <c r="F63" i="6"/>
  <c r="H63" i="6"/>
  <c r="I63" i="6" s="1"/>
  <c r="F101" i="6"/>
  <c r="H101" i="6" s="1"/>
  <c r="I101" i="6" s="1"/>
  <c r="F73" i="6"/>
  <c r="H73" i="6"/>
  <c r="G129" i="6"/>
  <c r="F88" i="6"/>
  <c r="H88" i="6"/>
  <c r="G131" i="6"/>
  <c r="F43" i="6"/>
  <c r="H43" i="6" s="1"/>
  <c r="F100" i="6"/>
  <c r="H100" i="6" s="1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I202" i="6"/>
  <c r="F209" i="6"/>
  <c r="H209" i="6"/>
  <c r="F198" i="6"/>
  <c r="H198" i="6"/>
  <c r="I198" i="6" s="1"/>
  <c r="F210" i="6"/>
  <c r="H210" i="6" s="1"/>
  <c r="I210" i="6"/>
  <c r="F320" i="6"/>
  <c r="H320" i="6"/>
  <c r="I320" i="6" s="1"/>
  <c r="F335" i="6"/>
  <c r="H335" i="6" s="1"/>
  <c r="I335" i="6"/>
  <c r="F317" i="6"/>
  <c r="H317" i="6"/>
  <c r="F333" i="6"/>
  <c r="H333" i="6"/>
  <c r="I333" i="6" s="1"/>
  <c r="G316" i="6"/>
  <c r="F264" i="6"/>
  <c r="H264" i="6"/>
  <c r="G284" i="6"/>
  <c r="F263" i="6"/>
  <c r="H263" i="6" s="1"/>
  <c r="I263" i="6"/>
  <c r="F272" i="6"/>
  <c r="H272" i="6"/>
  <c r="G261" i="6"/>
  <c r="G260" i="6"/>
  <c r="F278" i="6"/>
  <c r="H278" i="6"/>
  <c r="G264" i="6"/>
  <c r="F284" i="6"/>
  <c r="H284" i="6" s="1"/>
  <c r="G283" i="6"/>
  <c r="F283" i="6"/>
  <c r="H283" i="6"/>
  <c r="G276" i="6"/>
  <c r="I276" i="6"/>
  <c r="F267" i="6"/>
  <c r="H267" i="6"/>
  <c r="I267" i="6" s="1"/>
  <c r="G281" i="6"/>
  <c r="F300" i="6"/>
  <c r="H300" i="6"/>
  <c r="G315" i="6"/>
  <c r="F312" i="6"/>
  <c r="H312" i="6" s="1"/>
  <c r="I312" i="6" s="1"/>
  <c r="G291" i="6"/>
  <c r="F301" i="6"/>
  <c r="H301" i="6" s="1"/>
  <c r="I301" i="6"/>
  <c r="F291" i="6"/>
  <c r="H291" i="6"/>
  <c r="I291" i="6" s="1"/>
  <c r="G309" i="6"/>
  <c r="I309" i="6" s="1"/>
  <c r="G311" i="6"/>
  <c r="G293" i="6"/>
  <c r="F303" i="6"/>
  <c r="H303" i="6"/>
  <c r="G296" i="6"/>
  <c r="F308" i="6"/>
  <c r="H308" i="6" s="1"/>
  <c r="G235" i="6"/>
  <c r="F249" i="6"/>
  <c r="H249" i="6"/>
  <c r="I249" i="6" s="1"/>
  <c r="G241" i="6"/>
  <c r="F246" i="6"/>
  <c r="H246" i="6" s="1"/>
  <c r="I246" i="6" s="1"/>
  <c r="F256" i="6"/>
  <c r="H256" i="6" s="1"/>
  <c r="I256" i="6"/>
  <c r="G246" i="6"/>
  <c r="F259" i="6"/>
  <c r="H259" i="6" s="1"/>
  <c r="I259" i="6" s="1"/>
  <c r="G250" i="6"/>
  <c r="F240" i="6"/>
  <c r="H240" i="6"/>
  <c r="G248" i="6"/>
  <c r="I248" i="6"/>
  <c r="F245" i="6"/>
  <c r="H245" i="6"/>
  <c r="F244" i="6"/>
  <c r="H244" i="6"/>
  <c r="G255" i="6"/>
  <c r="F233" i="6"/>
  <c r="H233" i="6" s="1"/>
  <c r="F306" i="6"/>
  <c r="H306" i="6" s="1"/>
  <c r="I306" i="6" s="1"/>
  <c r="R52" i="6"/>
  <c r="S51" i="6"/>
  <c r="F219" i="6"/>
  <c r="H219" i="6"/>
  <c r="F204" i="6"/>
  <c r="H204" i="6"/>
  <c r="F322" i="6"/>
  <c r="H322" i="6"/>
  <c r="G357" i="6"/>
  <c r="G226" i="6"/>
  <c r="G195" i="6"/>
  <c r="F327" i="6"/>
  <c r="H327" i="6"/>
  <c r="G366" i="6"/>
  <c r="G369" i="6"/>
  <c r="I369" i="6" s="1"/>
  <c r="F365" i="6"/>
  <c r="H365" i="6" s="1"/>
  <c r="I365" i="6" s="1"/>
  <c r="G200" i="6"/>
  <c r="F205" i="6"/>
  <c r="H205" i="6" s="1"/>
  <c r="G221" i="6"/>
  <c r="F208" i="6"/>
  <c r="H208" i="6"/>
  <c r="F223" i="6"/>
  <c r="H223" i="6"/>
  <c r="G375" i="6"/>
  <c r="G329" i="6"/>
  <c r="F357" i="6"/>
  <c r="H357" i="6"/>
  <c r="G348" i="6"/>
  <c r="G225" i="6"/>
  <c r="I225" i="6" s="1"/>
  <c r="G211" i="6"/>
  <c r="G219" i="6"/>
  <c r="G218" i="6"/>
  <c r="G379" i="6"/>
  <c r="F324" i="6"/>
  <c r="H324" i="6" s="1"/>
  <c r="F358" i="6"/>
  <c r="H358" i="6" s="1"/>
  <c r="G358" i="6"/>
  <c r="F352" i="6"/>
  <c r="H352" i="6"/>
  <c r="F377" i="6"/>
  <c r="H377" i="6" s="1"/>
  <c r="I377" i="6" s="1"/>
  <c r="F201" i="6"/>
  <c r="H201" i="6"/>
  <c r="G319" i="6"/>
  <c r="F350" i="6"/>
  <c r="H350" i="6" s="1"/>
  <c r="G378" i="6"/>
  <c r="I378" i="6" s="1"/>
  <c r="F196" i="6"/>
  <c r="H196" i="6"/>
  <c r="I196" i="6" s="1"/>
  <c r="F328" i="6"/>
  <c r="H328" i="6"/>
  <c r="I328" i="6" s="1"/>
  <c r="G209" i="6"/>
  <c r="G230" i="6"/>
  <c r="I230" i="6"/>
  <c r="G205" i="6"/>
  <c r="F218" i="6"/>
  <c r="H218" i="6" s="1"/>
  <c r="I218" i="6"/>
  <c r="F214" i="6"/>
  <c r="H214" i="6"/>
  <c r="I214" i="6" s="1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 s="1"/>
  <c r="F212" i="6"/>
  <c r="H212" i="6" s="1"/>
  <c r="F191" i="6"/>
  <c r="H191" i="6" s="1"/>
  <c r="F372" i="6"/>
  <c r="H372" i="6" s="1"/>
  <c r="I372" i="6" s="1"/>
  <c r="F380" i="6"/>
  <c r="H380" i="6" s="1"/>
  <c r="G325" i="6"/>
  <c r="I325" i="6" s="1"/>
  <c r="G330" i="6"/>
  <c r="F344" i="6"/>
  <c r="H344" i="6"/>
  <c r="G349" i="6"/>
  <c r="F362" i="6"/>
  <c r="H362" i="6" s="1"/>
  <c r="G360" i="6"/>
  <c r="G347" i="6"/>
  <c r="G201" i="6"/>
  <c r="I201" i="6" s="1"/>
  <c r="G196" i="6"/>
  <c r="F340" i="6"/>
  <c r="H340" i="6" s="1"/>
  <c r="I340" i="6" s="1"/>
  <c r="F343" i="6"/>
  <c r="H343" i="6" s="1"/>
  <c r="I343" i="6"/>
  <c r="F360" i="6"/>
  <c r="H360" i="6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/>
  <c r="AQ291" i="6"/>
  <c r="AP281" i="6"/>
  <c r="AR281" i="6" s="1"/>
  <c r="AS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/>
  <c r="AP268" i="6"/>
  <c r="AR268" i="6"/>
  <c r="AQ268" i="6"/>
  <c r="AQ281" i="6"/>
  <c r="AQ278" i="6"/>
  <c r="AS278" i="6" s="1"/>
  <c r="AQ277" i="6"/>
  <c r="AS277" i="6"/>
  <c r="AP292" i="6"/>
  <c r="AR292" i="6"/>
  <c r="AS292" i="6" s="1"/>
  <c r="AQ301" i="6"/>
  <c r="AQ285" i="6"/>
  <c r="AQ286" i="6"/>
  <c r="AP287" i="6"/>
  <c r="AR287" i="6"/>
  <c r="AP276" i="6"/>
  <c r="AR276" i="6"/>
  <c r="AQ284" i="6"/>
  <c r="AP267" i="6"/>
  <c r="AR267" i="6" s="1"/>
  <c r="AQ295" i="6"/>
  <c r="AP257" i="6"/>
  <c r="AR257" i="6"/>
  <c r="AS257" i="6" s="1"/>
  <c r="AP299" i="6"/>
  <c r="AR299" i="6" s="1"/>
  <c r="AS299" i="6"/>
  <c r="AQ250" i="6"/>
  <c r="AQ274" i="6"/>
  <c r="AS274" i="6" s="1"/>
  <c r="AP289" i="6"/>
  <c r="AR289" i="6"/>
  <c r="AS289" i="6" s="1"/>
  <c r="AP249" i="6"/>
  <c r="AR249" i="6"/>
  <c r="AS249" i="6" s="1"/>
  <c r="AP297" i="6"/>
  <c r="AR297" i="6"/>
  <c r="AS297" i="6" s="1"/>
  <c r="AP282" i="6"/>
  <c r="AR282" i="6"/>
  <c r="AS282" i="6" s="1"/>
  <c r="AP251" i="6"/>
  <c r="AR251" i="6"/>
  <c r="AS251" i="6" s="1"/>
  <c r="AP246" i="6"/>
  <c r="AR246" i="6" s="1"/>
  <c r="AP270" i="6"/>
  <c r="AR270" i="6" s="1"/>
  <c r="AS270" i="6" s="1"/>
  <c r="AP300" i="6"/>
  <c r="AR300" i="6"/>
  <c r="AQ260" i="6"/>
  <c r="AP271" i="6"/>
  <c r="AR271" i="6" s="1"/>
  <c r="AS271" i="6"/>
  <c r="AQ266" i="6"/>
  <c r="AQ251" i="6"/>
  <c r="AP294" i="6"/>
  <c r="AR294" i="6"/>
  <c r="AQ292" i="6"/>
  <c r="AP253" i="6"/>
  <c r="AR253" i="6" s="1"/>
  <c r="AS253" i="6" s="1"/>
  <c r="AQ252" i="6"/>
  <c r="AQ246" i="6"/>
  <c r="AQ276" i="6"/>
  <c r="AQ296" i="6"/>
  <c r="AP274" i="6"/>
  <c r="AR274" i="6" s="1"/>
  <c r="AP283" i="6"/>
  <c r="AR283" i="6"/>
  <c r="AS283" i="6" s="1"/>
  <c r="AQ254" i="6"/>
  <c r="AP248" i="6"/>
  <c r="AR248" i="6"/>
  <c r="AP290" i="6"/>
  <c r="AR290" i="6"/>
  <c r="AP295" i="6"/>
  <c r="AR295" i="6"/>
  <c r="AP285" i="6"/>
  <c r="AR285" i="6" s="1"/>
  <c r="AS285" i="6" s="1"/>
  <c r="AP278" i="6"/>
  <c r="AR278" i="6" s="1"/>
  <c r="AP265" i="6"/>
  <c r="AR265" i="6"/>
  <c r="AP250" i="6"/>
  <c r="AR250" i="6"/>
  <c r="AS250" i="6" s="1"/>
  <c r="AQ247" i="6"/>
  <c r="AP269" i="6"/>
  <c r="AR269" i="6"/>
  <c r="AQ287" i="6"/>
  <c r="AP252" i="6"/>
  <c r="AR252" i="6" s="1"/>
  <c r="AS252" i="6"/>
  <c r="AQ298" i="6"/>
  <c r="AQ265" i="6"/>
  <c r="AP262" i="6"/>
  <c r="AR262" i="6"/>
  <c r="AS262" i="6" s="1"/>
  <c r="AP254" i="6"/>
  <c r="AR254" i="6"/>
  <c r="AS254" i="6" s="1"/>
  <c r="AQ290" i="6"/>
  <c r="AQ289" i="6"/>
  <c r="AQ294" i="6"/>
  <c r="AP247" i="6"/>
  <c r="AQ275" i="6"/>
  <c r="AS275" i="6"/>
  <c r="AQ264" i="6"/>
  <c r="AQ267" i="6"/>
  <c r="AP255" i="6"/>
  <c r="AR255" i="6"/>
  <c r="AQ262" i="6"/>
  <c r="AP263" i="6"/>
  <c r="AR263" i="6" s="1"/>
  <c r="AP264" i="6"/>
  <c r="AR264" i="6" s="1"/>
  <c r="AS264" i="6" s="1"/>
  <c r="AQ253" i="6"/>
  <c r="AQ280" i="6"/>
  <c r="AP280" i="6"/>
  <c r="AR280" i="6" s="1"/>
  <c r="AS280" i="6"/>
  <c r="AQ255" i="6"/>
  <c r="AQ261" i="6"/>
  <c r="AP291" i="6"/>
  <c r="AR291" i="6"/>
  <c r="AS291" i="6" s="1"/>
  <c r="AP259" i="6"/>
  <c r="AR259" i="6" s="1"/>
  <c r="AP288" i="6"/>
  <c r="AR288" i="6" s="1"/>
  <c r="AS288" i="6" s="1"/>
  <c r="AP279" i="6"/>
  <c r="AR279" i="6"/>
  <c r="AS279" i="6" s="1"/>
  <c r="AQ256" i="6"/>
  <c r="AQ258" i="6"/>
  <c r="AS346" i="6"/>
  <c r="AS304" i="6"/>
  <c r="AS17" i="6"/>
  <c r="AS287" i="6"/>
  <c r="AU378" i="6"/>
  <c r="AW378" i="6" s="1"/>
  <c r="AX378" i="6" s="1"/>
  <c r="AV314" i="6"/>
  <c r="AU260" i="6"/>
  <c r="AW260" i="6"/>
  <c r="AV279" i="6"/>
  <c r="AU305" i="6"/>
  <c r="AW305" i="6" s="1"/>
  <c r="AU294" i="6"/>
  <c r="AW294" i="6" s="1"/>
  <c r="AX294" i="6" s="1"/>
  <c r="AV267" i="6"/>
  <c r="AU266" i="6"/>
  <c r="AW266" i="6"/>
  <c r="AV263" i="6"/>
  <c r="AV286" i="6"/>
  <c r="AU261" i="6"/>
  <c r="AW261" i="6"/>
  <c r="AV315" i="6"/>
  <c r="AU292" i="6"/>
  <c r="AW292" i="6" s="1"/>
  <c r="AU279" i="6"/>
  <c r="AW279" i="6" s="1"/>
  <c r="AX279" i="6" s="1"/>
  <c r="AU302" i="6"/>
  <c r="AW302" i="6"/>
  <c r="AU281" i="6"/>
  <c r="AW281" i="6"/>
  <c r="AV291" i="6"/>
  <c r="AU296" i="6"/>
  <c r="AW296" i="6" s="1"/>
  <c r="AV304" i="6"/>
  <c r="AX304" i="6" s="1"/>
  <c r="AU312" i="6"/>
  <c r="AW312" i="6"/>
  <c r="AX312" i="6" s="1"/>
  <c r="AV297" i="6"/>
  <c r="AV300" i="6"/>
  <c r="AU315" i="6"/>
  <c r="AW315" i="6"/>
  <c r="AX315" i="6" s="1"/>
  <c r="AV277" i="6"/>
  <c r="AV264" i="6"/>
  <c r="AV295" i="6"/>
  <c r="AV308" i="6"/>
  <c r="AU285" i="6"/>
  <c r="AW285" i="6"/>
  <c r="AV276" i="6"/>
  <c r="AU380" i="6"/>
  <c r="AW380" i="6" s="1"/>
  <c r="AV372" i="6"/>
  <c r="AU375" i="6"/>
  <c r="AW375" i="6"/>
  <c r="AV379" i="6"/>
  <c r="AU254" i="6"/>
  <c r="AW254" i="6" s="1"/>
  <c r="AU212" i="6"/>
  <c r="AW212" i="6" s="1"/>
  <c r="AV220" i="6"/>
  <c r="AU230" i="6"/>
  <c r="AW230" i="6"/>
  <c r="AU242" i="6"/>
  <c r="AW242" i="6"/>
  <c r="AV214" i="6"/>
  <c r="AV210" i="6"/>
  <c r="AU207" i="6"/>
  <c r="AW207" i="6"/>
  <c r="AV251" i="6"/>
  <c r="AU211" i="6"/>
  <c r="AW211" i="6"/>
  <c r="AX211" i="6" s="1"/>
  <c r="AV253" i="6"/>
  <c r="AV237" i="6"/>
  <c r="AV247" i="6"/>
  <c r="AV208" i="6"/>
  <c r="AX208" i="6" s="1"/>
  <c r="AV215" i="6"/>
  <c r="AU234" i="6"/>
  <c r="AW234" i="6" s="1"/>
  <c r="AX234" i="6" s="1"/>
  <c r="X52" i="6"/>
  <c r="AU244" i="6"/>
  <c r="AW244" i="6"/>
  <c r="AV244" i="6"/>
  <c r="AU243" i="6"/>
  <c r="AW243" i="6" s="1"/>
  <c r="AU249" i="6"/>
  <c r="AW249" i="6" s="1"/>
  <c r="AV216" i="6"/>
  <c r="AU221" i="6"/>
  <c r="AW221" i="6"/>
  <c r="AV238" i="6"/>
  <c r="AU257" i="6"/>
  <c r="AW257" i="6" s="1"/>
  <c r="AV206" i="6"/>
  <c r="AV249" i="6"/>
  <c r="AU248" i="6"/>
  <c r="AW248" i="6" s="1"/>
  <c r="AU239" i="6"/>
  <c r="AW239" i="6" s="1"/>
  <c r="AU224" i="6"/>
  <c r="AW224" i="6" s="1"/>
  <c r="AX224" i="6" s="1"/>
  <c r="AU245" i="6"/>
  <c r="AW245" i="6" s="1"/>
  <c r="AU206" i="6"/>
  <c r="AW206" i="6" s="1"/>
  <c r="AX206" i="6" s="1"/>
  <c r="AV241" i="6"/>
  <c r="AV252" i="6"/>
  <c r="AU228" i="6"/>
  <c r="AW228" i="6"/>
  <c r="AV211" i="6"/>
  <c r="AU205" i="6"/>
  <c r="AW205" i="6" s="1"/>
  <c r="AV232" i="6"/>
  <c r="AV217" i="6"/>
  <c r="AU233" i="6"/>
  <c r="AW233" i="6" s="1"/>
  <c r="AX233" i="6" s="1"/>
  <c r="AU229" i="6"/>
  <c r="AW229" i="6" s="1"/>
  <c r="AU210" i="6"/>
  <c r="AW210" i="6" s="1"/>
  <c r="AX210" i="6" s="1"/>
  <c r="AU217" i="6"/>
  <c r="AW217" i="6"/>
  <c r="AX217" i="6" s="1"/>
  <c r="AU253" i="6"/>
  <c r="AW253" i="6" s="1"/>
  <c r="AX253" i="6" s="1"/>
  <c r="AV209" i="6"/>
  <c r="AU231" i="6"/>
  <c r="AW231" i="6"/>
  <c r="AV229" i="6"/>
  <c r="AV207" i="6"/>
  <c r="AU251" i="6"/>
  <c r="AW251" i="6"/>
  <c r="AV218" i="6"/>
  <c r="AX218" i="6" s="1"/>
  <c r="AU256" i="6"/>
  <c r="AW256" i="6"/>
  <c r="AU223" i="6"/>
  <c r="AW223" i="6"/>
  <c r="AX223" i="6" s="1"/>
  <c r="AV234" i="6"/>
  <c r="AV250" i="6"/>
  <c r="AV227" i="6"/>
  <c r="AV256" i="6"/>
  <c r="AV282" i="6"/>
  <c r="AU290" i="6"/>
  <c r="AW290" i="6" s="1"/>
  <c r="AU298" i="6"/>
  <c r="AW298" i="6" s="1"/>
  <c r="AU280" i="6"/>
  <c r="AW280" i="6" s="1"/>
  <c r="AX280" i="6" s="1"/>
  <c r="AV275" i="6"/>
  <c r="AU288" i="6"/>
  <c r="AW288" i="6"/>
  <c r="AU270" i="6"/>
  <c r="AW270" i="6"/>
  <c r="AV296" i="6"/>
  <c r="AV293" i="6"/>
  <c r="AU265" i="6"/>
  <c r="AW265" i="6"/>
  <c r="AV280" i="6"/>
  <c r="AU269" i="6"/>
  <c r="AW269" i="6" s="1"/>
  <c r="AU278" i="6"/>
  <c r="AW278" i="6" s="1"/>
  <c r="AX278" i="6" s="1"/>
  <c r="AU303" i="6"/>
  <c r="AW303" i="6" s="1"/>
  <c r="AV303" i="6"/>
  <c r="AX303" i="6" s="1"/>
  <c r="AU274" i="6"/>
  <c r="AW274" i="6"/>
  <c r="AX274" i="6" s="1"/>
  <c r="AU287" i="6"/>
  <c r="AW287" i="6"/>
  <c r="AU263" i="6"/>
  <c r="AW263" i="6"/>
  <c r="AX263" i="6" s="1"/>
  <c r="AU308" i="6"/>
  <c r="AW308" i="6" s="1"/>
  <c r="AV271" i="6"/>
  <c r="AV262" i="6"/>
  <c r="AV285" i="6"/>
  <c r="AU299" i="6"/>
  <c r="AW299" i="6"/>
  <c r="AX299" i="6" s="1"/>
  <c r="AU276" i="6"/>
  <c r="AW276" i="6"/>
  <c r="AX276" i="6" s="1"/>
  <c r="AU277" i="6"/>
  <c r="AW277" i="6"/>
  <c r="AX277" i="6" s="1"/>
  <c r="AU313" i="6"/>
  <c r="AW313" i="6" s="1"/>
  <c r="AV269" i="6"/>
  <c r="AX269" i="6" s="1"/>
  <c r="AV375" i="6"/>
  <c r="AV377" i="6"/>
  <c r="AU379" i="6"/>
  <c r="AW379" i="6"/>
  <c r="AX379" i="6" s="1"/>
  <c r="AU222" i="6"/>
  <c r="AW222" i="6"/>
  <c r="AX222" i="6" s="1"/>
  <c r="AV225" i="6"/>
  <c r="AU259" i="6"/>
  <c r="AW259" i="6" s="1"/>
  <c r="AU226" i="6"/>
  <c r="AW226" i="6" s="1"/>
  <c r="AV236" i="6"/>
  <c r="AV254" i="6"/>
  <c r="AU240" i="6"/>
  <c r="AW240" i="6" s="1"/>
  <c r="AX240" i="6" s="1"/>
  <c r="AV243" i="6"/>
  <c r="AV224" i="6"/>
  <c r="AU236" i="6"/>
  <c r="AW236" i="6" s="1"/>
  <c r="AU213" i="6"/>
  <c r="AW213" i="6" s="1"/>
  <c r="AV258" i="6"/>
  <c r="AV235" i="6"/>
  <c r="AU372" i="6"/>
  <c r="AW372" i="6" s="1"/>
  <c r="AV222" i="6"/>
  <c r="AV213" i="6"/>
  <c r="AU250" i="6"/>
  <c r="AW250" i="6" s="1"/>
  <c r="AX250" i="6" s="1"/>
  <c r="AU218" i="6"/>
  <c r="AW218" i="6" s="1"/>
  <c r="AV205" i="6"/>
  <c r="AX205" i="6" s="1"/>
  <c r="AV228" i="6"/>
  <c r="AV246" i="6"/>
  <c r="AV231" i="6"/>
  <c r="AV239" i="6"/>
  <c r="AU241" i="6"/>
  <c r="AW241" i="6"/>
  <c r="AX241" i="6" s="1"/>
  <c r="AU220" i="6"/>
  <c r="AW220" i="6" s="1"/>
  <c r="AV245" i="6"/>
  <c r="AX245" i="6" s="1"/>
  <c r="AU232" i="6"/>
  <c r="AW232" i="6"/>
  <c r="AX232" i="6" s="1"/>
  <c r="AV212" i="6"/>
  <c r="AV230" i="6"/>
  <c r="AX230" i="6" s="1"/>
  <c r="AV221" i="6"/>
  <c r="AV226" i="6"/>
  <c r="AX226" i="6" s="1"/>
  <c r="AU237" i="6"/>
  <c r="AW237" i="6"/>
  <c r="AX237" i="6" s="1"/>
  <c r="AU227" i="6"/>
  <c r="AW227" i="6" s="1"/>
  <c r="AU216" i="6"/>
  <c r="AW216" i="6" s="1"/>
  <c r="AX216" i="6" s="1"/>
  <c r="AU371" i="6"/>
  <c r="AW371" i="6"/>
  <c r="AV326" i="6"/>
  <c r="AU319" i="6"/>
  <c r="AW319" i="6" s="1"/>
  <c r="AV362" i="6"/>
  <c r="AX362" i="6" s="1"/>
  <c r="AU348" i="6"/>
  <c r="AW348" i="6"/>
  <c r="AU323" i="6"/>
  <c r="AW323" i="6"/>
  <c r="AX323" i="6" s="1"/>
  <c r="AV339" i="6"/>
  <c r="AU367" i="6"/>
  <c r="AW367" i="6" s="1"/>
  <c r="AX367" i="6" s="1"/>
  <c r="AU352" i="6"/>
  <c r="AW352" i="6"/>
  <c r="AU345" i="6"/>
  <c r="AW345" i="6"/>
  <c r="AV336" i="6"/>
  <c r="AU353" i="6"/>
  <c r="AW353" i="6" s="1"/>
  <c r="AU340" i="6"/>
  <c r="AW340" i="6" s="1"/>
  <c r="AX340" i="6" s="1"/>
  <c r="AV337" i="6"/>
  <c r="AV317" i="6"/>
  <c r="AU338" i="6"/>
  <c r="AW338" i="6" s="1"/>
  <c r="AV370" i="6"/>
  <c r="AX370" i="6" s="1"/>
  <c r="AU365" i="6"/>
  <c r="AW365" i="6"/>
  <c r="AX365" i="6" s="1"/>
  <c r="AV328" i="6"/>
  <c r="AV352" i="6"/>
  <c r="AX352" i="6" s="1"/>
  <c r="AU334" i="6"/>
  <c r="AW334" i="6"/>
  <c r="AU366" i="6"/>
  <c r="AW366" i="6"/>
  <c r="AX366" i="6" s="1"/>
  <c r="AV363" i="6"/>
  <c r="AV322" i="6"/>
  <c r="AU364" i="6"/>
  <c r="AW364" i="6"/>
  <c r="AX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/>
  <c r="AV347" i="6"/>
  <c r="AV367" i="6"/>
  <c r="AU347" i="6"/>
  <c r="AW347" i="6"/>
  <c r="AX347" i="6" s="1"/>
  <c r="AU363" i="6"/>
  <c r="AW363" i="6" s="1"/>
  <c r="AX363" i="6" s="1"/>
  <c r="AU358" i="6"/>
  <c r="AW358" i="6" s="1"/>
  <c r="AU343" i="6"/>
  <c r="AW343" i="6" s="1"/>
  <c r="AV332" i="6"/>
  <c r="AU355" i="6"/>
  <c r="AW355" i="6"/>
  <c r="AU329" i="6"/>
  <c r="AW329" i="6"/>
  <c r="AU349" i="6"/>
  <c r="AW349" i="6"/>
  <c r="AV364" i="6"/>
  <c r="AU360" i="6"/>
  <c r="AW360" i="6" s="1"/>
  <c r="AV316" i="6"/>
  <c r="AU317" i="6"/>
  <c r="AW317" i="6"/>
  <c r="AX317" i="6" s="1"/>
  <c r="AV325" i="6"/>
  <c r="AV327" i="6"/>
  <c r="AV344" i="6"/>
  <c r="AU337" i="6"/>
  <c r="AW337" i="6"/>
  <c r="AV357" i="6"/>
  <c r="AU341" i="6"/>
  <c r="AW341" i="6" s="1"/>
  <c r="AU373" i="6"/>
  <c r="AW373" i="6" s="1"/>
  <c r="AU374" i="6"/>
  <c r="AW374" i="6" s="1"/>
  <c r="AU258" i="6"/>
  <c r="AW258" i="6" s="1"/>
  <c r="AX258" i="6" s="1"/>
  <c r="AU255" i="6"/>
  <c r="AW255" i="6" s="1"/>
  <c r="AU238" i="6"/>
  <c r="AW238" i="6" s="1"/>
  <c r="AX238" i="6" s="1"/>
  <c r="AV242" i="6"/>
  <c r="AU225" i="6"/>
  <c r="AW225" i="6"/>
  <c r="AU215" i="6"/>
  <c r="AW215" i="6"/>
  <c r="AX215" i="6" s="1"/>
  <c r="AU209" i="6"/>
  <c r="AW209" i="6" s="1"/>
  <c r="AV240" i="6"/>
  <c r="AU246" i="6"/>
  <c r="AW246" i="6"/>
  <c r="AV257" i="6"/>
  <c r="AU219" i="6"/>
  <c r="AW219" i="6" s="1"/>
  <c r="AV255" i="6"/>
  <c r="AX255" i="6" s="1"/>
  <c r="AU247" i="6"/>
  <c r="AW247" i="6"/>
  <c r="AX247" i="6" s="1"/>
  <c r="AU208" i="6"/>
  <c r="AW208" i="6" s="1"/>
  <c r="AV248" i="6"/>
  <c r="AU214" i="6"/>
  <c r="AW214" i="6" s="1"/>
  <c r="AX214" i="6"/>
  <c r="AU252" i="6"/>
  <c r="AW252" i="6"/>
  <c r="AX252" i="6" s="1"/>
  <c r="AV233" i="6"/>
  <c r="AV259" i="6"/>
  <c r="AV223" i="6"/>
  <c r="AV219" i="6"/>
  <c r="AX219" i="6" s="1"/>
  <c r="AU235" i="6"/>
  <c r="AW235" i="6"/>
  <c r="AX235" i="6" s="1"/>
  <c r="AV351" i="6"/>
  <c r="AU331" i="6"/>
  <c r="AW331" i="6"/>
  <c r="AU370" i="6"/>
  <c r="AW370" i="6"/>
  <c r="AV333" i="6"/>
  <c r="AU324" i="6"/>
  <c r="AW324" i="6" s="1"/>
  <c r="AU322" i="6"/>
  <c r="AW322" i="6" s="1"/>
  <c r="AX322" i="6" s="1"/>
  <c r="AV323" i="6"/>
  <c r="AV365" i="6"/>
  <c r="AV355" i="6"/>
  <c r="AV330" i="6"/>
  <c r="AV318" i="6"/>
  <c r="AV348" i="6"/>
  <c r="AV331" i="6"/>
  <c r="AU332" i="6"/>
  <c r="AW332" i="6" s="1"/>
  <c r="AU318" i="6"/>
  <c r="AW318" i="6" s="1"/>
  <c r="AX318" i="6" s="1"/>
  <c r="AU359" i="6"/>
  <c r="AW359" i="6" s="1"/>
  <c r="AU333" i="6"/>
  <c r="AW333" i="6" s="1"/>
  <c r="AU351" i="6"/>
  <c r="AW351" i="6" s="1"/>
  <c r="AX351" i="6"/>
  <c r="AV343" i="6"/>
  <c r="AV368" i="6"/>
  <c r="AU361" i="6"/>
  <c r="AW361" i="6" s="1"/>
  <c r="AV369" i="6"/>
  <c r="AV371" i="6"/>
  <c r="AV359" i="6"/>
  <c r="AV346" i="6"/>
  <c r="AV334" i="6"/>
  <c r="AV324" i="6"/>
  <c r="AV361" i="6"/>
  <c r="AV340" i="6"/>
  <c r="AV366" i="6"/>
  <c r="AU368" i="6"/>
  <c r="AW368" i="6"/>
  <c r="AX368" i="6" s="1"/>
  <c r="AU330" i="6"/>
  <c r="AW330" i="6"/>
  <c r="AX330" i="6" s="1"/>
  <c r="AU369" i="6"/>
  <c r="AW369" i="6"/>
  <c r="AX369" i="6" s="1"/>
  <c r="AU354" i="6"/>
  <c r="AW354" i="6"/>
  <c r="AX354" i="6" s="1"/>
  <c r="AU320" i="6"/>
  <c r="AW320" i="6" s="1"/>
  <c r="AU316" i="6"/>
  <c r="AW316" i="6" s="1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 s="1"/>
  <c r="AU344" i="6"/>
  <c r="AW344" i="6" s="1"/>
  <c r="AU362" i="6"/>
  <c r="AW362" i="6" s="1"/>
  <c r="AU325" i="6"/>
  <c r="AW325" i="6" s="1"/>
  <c r="AX325" i="6" s="1"/>
  <c r="AV356" i="6"/>
  <c r="AU321" i="6"/>
  <c r="AW321" i="6"/>
  <c r="AV338" i="6"/>
  <c r="AV321" i="6"/>
  <c r="AU328" i="6"/>
  <c r="AW328" i="6"/>
  <c r="AX328" i="6" s="1"/>
  <c r="AV350" i="6"/>
  <c r="AU339" i="6"/>
  <c r="AW339" i="6"/>
  <c r="AX339" i="6" s="1"/>
  <c r="AV329" i="6"/>
  <c r="AV320" i="6"/>
  <c r="X51" i="6"/>
  <c r="AV376" i="6"/>
  <c r="AV374" i="6"/>
  <c r="AU376" i="6"/>
  <c r="AW376" i="6"/>
  <c r="AX376" i="6" s="1"/>
  <c r="AV298" i="6"/>
  <c r="AX298" i="6" s="1"/>
  <c r="AV310" i="6"/>
  <c r="AU271" i="6"/>
  <c r="AW271" i="6" s="1"/>
  <c r="AX271" i="6" s="1"/>
  <c r="AU267" i="6"/>
  <c r="AW267" i="6"/>
  <c r="AU310" i="6"/>
  <c r="AW310" i="6"/>
  <c r="AX310" i="6" s="1"/>
  <c r="AU304" i="6"/>
  <c r="AW304" i="6" s="1"/>
  <c r="AU293" i="6"/>
  <c r="AW293" i="6" s="1"/>
  <c r="AX293" i="6"/>
  <c r="AV283" i="6"/>
  <c r="AV306" i="6"/>
  <c r="AV289" i="6"/>
  <c r="AV290" i="6"/>
  <c r="AV270" i="6"/>
  <c r="AV307" i="6"/>
  <c r="AX307" i="6" s="1"/>
  <c r="AU309" i="6"/>
  <c r="AW309" i="6"/>
  <c r="AU291" i="6"/>
  <c r="AW291" i="6"/>
  <c r="AX291" i="6" s="1"/>
  <c r="AU272" i="6"/>
  <c r="AW272" i="6" s="1"/>
  <c r="AV278" i="6"/>
  <c r="AV260" i="6"/>
  <c r="AV261" i="6"/>
  <c r="AX261" i="6" s="1"/>
  <c r="AV313" i="6"/>
  <c r="AV272" i="6"/>
  <c r="AX272" i="6" s="1"/>
  <c r="AV284" i="6"/>
  <c r="AU282" i="6"/>
  <c r="AW282" i="6" s="1"/>
  <c r="AX282" i="6" s="1"/>
  <c r="AV309" i="6"/>
  <c r="AV305" i="6"/>
  <c r="AU301" i="6"/>
  <c r="AW301" i="6"/>
  <c r="AU283" i="6"/>
  <c r="AW283" i="6"/>
  <c r="AX283" i="6" s="1"/>
  <c r="AV268" i="6"/>
  <c r="AV292" i="6"/>
  <c r="AV380" i="6"/>
  <c r="AV378" i="6"/>
  <c r="AV373" i="6"/>
  <c r="AU377" i="6"/>
  <c r="AW377" i="6"/>
  <c r="AX377" i="6" s="1"/>
  <c r="AV266" i="6"/>
  <c r="AU300" i="6"/>
  <c r="AW300" i="6"/>
  <c r="AU268" i="6"/>
  <c r="AW268" i="6" s="1"/>
  <c r="AX268" i="6" s="1"/>
  <c r="AU311" i="6"/>
  <c r="AW311" i="6"/>
  <c r="AU306" i="6"/>
  <c r="AW306" i="6"/>
  <c r="AU295" i="6"/>
  <c r="AW295" i="6"/>
  <c r="AX295" i="6" s="1"/>
  <c r="AU289" i="6"/>
  <c r="AW289" i="6" s="1"/>
  <c r="AX289" i="6" s="1"/>
  <c r="AU273" i="6"/>
  <c r="AW273" i="6"/>
  <c r="AV274" i="6"/>
  <c r="AU286" i="6"/>
  <c r="AW286" i="6" s="1"/>
  <c r="AV302" i="6"/>
  <c r="AX302" i="6" s="1"/>
  <c r="AU262" i="6"/>
  <c r="AW262" i="6"/>
  <c r="AX262" i="6" s="1"/>
  <c r="AU264" i="6"/>
  <c r="AW264" i="6"/>
  <c r="AX264" i="6" s="1"/>
  <c r="AV299" i="6"/>
  <c r="AV287" i="6"/>
  <c r="AV311" i="6"/>
  <c r="AU314" i="6"/>
  <c r="AW314" i="6" s="1"/>
  <c r="AV288" i="6"/>
  <c r="AV265" i="6"/>
  <c r="AU275" i="6"/>
  <c r="AW275" i="6" s="1"/>
  <c r="AX275" i="6"/>
  <c r="AV294" i="6"/>
  <c r="AU297" i="6"/>
  <c r="AW297" i="6" s="1"/>
  <c r="AX297" i="6" s="1"/>
  <c r="AU307" i="6"/>
  <c r="AW307" i="6"/>
  <c r="AV312" i="6"/>
  <c r="AV301" i="6"/>
  <c r="AU284" i="6"/>
  <c r="AW284" i="6" s="1"/>
  <c r="AV273" i="6"/>
  <c r="AV281" i="6"/>
  <c r="I22" i="6"/>
  <c r="AA37" i="6"/>
  <c r="AA36" i="6"/>
  <c r="AQ373" i="6"/>
  <c r="AS373" i="6" s="1"/>
  <c r="AP369" i="6"/>
  <c r="AR369" i="6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S368" i="6" s="1"/>
  <c r="AQ371" i="6"/>
  <c r="AQ366" i="6"/>
  <c r="AQ358" i="6"/>
  <c r="AP371" i="6"/>
  <c r="AR371" i="6" s="1"/>
  <c r="AQ378" i="6"/>
  <c r="AP361" i="6"/>
  <c r="AR361" i="6"/>
  <c r="AQ362" i="6"/>
  <c r="AP370" i="6"/>
  <c r="AR370" i="6" s="1"/>
  <c r="AP375" i="6"/>
  <c r="AR375" i="6" s="1"/>
  <c r="AQ377" i="6"/>
  <c r="AP362" i="6"/>
  <c r="AR362" i="6"/>
  <c r="AS362" i="6" s="1"/>
  <c r="AP377" i="6"/>
  <c r="AR377" i="6" s="1"/>
  <c r="AS377" i="6" s="1"/>
  <c r="AP368" i="6"/>
  <c r="AR368" i="6"/>
  <c r="AP379" i="6"/>
  <c r="AR379" i="6"/>
  <c r="AQ376" i="6"/>
  <c r="AQ379" i="6"/>
  <c r="AQ374" i="6"/>
  <c r="AP372" i="6"/>
  <c r="AR372" i="6" s="1"/>
  <c r="AP374" i="6"/>
  <c r="AR374" i="6" s="1"/>
  <c r="AS374" i="6" s="1"/>
  <c r="AP376" i="6"/>
  <c r="AR376" i="6"/>
  <c r="AP360" i="6"/>
  <c r="AR360" i="6"/>
  <c r="AQ372" i="6"/>
  <c r="AS372" i="6"/>
  <c r="AP364" i="6"/>
  <c r="AR364" i="6"/>
  <c r="AS364" i="6" s="1"/>
  <c r="AQ375" i="6"/>
  <c r="AQ370" i="6"/>
  <c r="AP378" i="6"/>
  <c r="AR378" i="6"/>
  <c r="AQ369" i="6"/>
  <c r="AP373" i="6"/>
  <c r="AR373" i="6" s="1"/>
  <c r="AP366" i="6"/>
  <c r="AR366" i="6" s="1"/>
  <c r="AS366" i="6" s="1"/>
  <c r="AP367" i="6"/>
  <c r="AR367" i="6" s="1"/>
  <c r="AS367" i="6"/>
  <c r="AP365" i="6"/>
  <c r="AR365" i="6"/>
  <c r="AS365" i="6" s="1"/>
  <c r="AP380" i="6"/>
  <c r="AR380" i="6" s="1"/>
  <c r="AP358" i="6"/>
  <c r="AR358" i="6" s="1"/>
  <c r="AS358" i="6" s="1"/>
  <c r="AQ380" i="6"/>
  <c r="AS173" i="6"/>
  <c r="AS88" i="6"/>
  <c r="AS82" i="6"/>
  <c r="I227" i="6"/>
  <c r="I220" i="6"/>
  <c r="I334" i="6"/>
  <c r="AS284" i="6"/>
  <c r="AA52" i="6"/>
  <c r="AA51" i="6"/>
  <c r="I40" i="6"/>
  <c r="I48" i="6"/>
  <c r="I135" i="6"/>
  <c r="I34" i="6"/>
  <c r="I280" i="6"/>
  <c r="AS109" i="6"/>
  <c r="AR15" i="6"/>
  <c r="AS157" i="6"/>
  <c r="AS137" i="6"/>
  <c r="AS184" i="6"/>
  <c r="AS103" i="6"/>
  <c r="AS178" i="6"/>
  <c r="AS77" i="6"/>
  <c r="AS127" i="6"/>
  <c r="I337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 s="1"/>
  <c r="AU177" i="6"/>
  <c r="AW177" i="6" s="1"/>
  <c r="AX177" i="6" s="1"/>
  <c r="AV108" i="6"/>
  <c r="AV157" i="6"/>
  <c r="AU146" i="6"/>
  <c r="AW146" i="6" s="1"/>
  <c r="AU124" i="6"/>
  <c r="AW124" i="6" s="1"/>
  <c r="AX124" i="6" s="1"/>
  <c r="AU110" i="6"/>
  <c r="AW110" i="6"/>
  <c r="AU166" i="6"/>
  <c r="AW166" i="6"/>
  <c r="AV104" i="6"/>
  <c r="AU153" i="6"/>
  <c r="AW153" i="6" s="1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X163" i="6" s="1"/>
  <c r="AV134" i="6"/>
  <c r="AV127" i="6"/>
  <c r="AV190" i="6"/>
  <c r="AU136" i="6"/>
  <c r="AW136" i="6" s="1"/>
  <c r="AX136" i="6" s="1"/>
  <c r="AU184" i="6"/>
  <c r="AW184" i="6" s="1"/>
  <c r="AV149" i="6"/>
  <c r="AU157" i="6"/>
  <c r="AW157" i="6"/>
  <c r="AX157" i="6" s="1"/>
  <c r="AU173" i="6"/>
  <c r="AW173" i="6" s="1"/>
  <c r="AV141" i="6"/>
  <c r="AU139" i="6"/>
  <c r="AW139" i="6"/>
  <c r="AV183" i="6"/>
  <c r="AU97" i="6"/>
  <c r="AW97" i="6" s="1"/>
  <c r="AV158" i="6"/>
  <c r="AV129" i="6"/>
  <c r="AU193" i="6"/>
  <c r="AW193" i="6" s="1"/>
  <c r="AV147" i="6"/>
  <c r="AX147" i="6" s="1"/>
  <c r="AU133" i="6"/>
  <c r="AW133" i="6"/>
  <c r="AX133" i="6" s="1"/>
  <c r="AV193" i="6"/>
  <c r="AV186" i="6"/>
  <c r="AV154" i="6"/>
  <c r="AU156" i="6"/>
  <c r="AW156" i="6" s="1"/>
  <c r="AX156" i="6" s="1"/>
  <c r="AU116" i="6"/>
  <c r="AW116" i="6" s="1"/>
  <c r="AV132" i="6"/>
  <c r="AU203" i="6"/>
  <c r="AW203" i="6"/>
  <c r="AX203" i="6" s="1"/>
  <c r="AU189" i="6"/>
  <c r="AW189" i="6" s="1"/>
  <c r="AV102" i="6"/>
  <c r="AU148" i="6"/>
  <c r="AW148" i="6"/>
  <c r="AV161" i="6"/>
  <c r="AU183" i="6"/>
  <c r="AW183" i="6" s="1"/>
  <c r="AV106" i="6"/>
  <c r="AU196" i="6"/>
  <c r="AW196" i="6"/>
  <c r="AU155" i="6"/>
  <c r="AW155" i="6"/>
  <c r="AV98" i="6"/>
  <c r="AV64" i="6"/>
  <c r="AU91" i="6"/>
  <c r="AW91" i="6"/>
  <c r="AU65" i="6"/>
  <c r="AW65" i="6"/>
  <c r="AX65" i="6" s="1"/>
  <c r="AV88" i="6"/>
  <c r="AV54" i="6"/>
  <c r="AU141" i="6"/>
  <c r="AW141" i="6" s="1"/>
  <c r="AX141" i="6" s="1"/>
  <c r="AU160" i="6"/>
  <c r="AW160" i="6"/>
  <c r="AU82" i="6"/>
  <c r="AW82" i="6"/>
  <c r="AV77" i="6"/>
  <c r="AU57" i="6"/>
  <c r="AW57" i="6" s="1"/>
  <c r="AV36" i="6"/>
  <c r="AV12" i="6" s="1"/>
  <c r="AU161" i="6"/>
  <c r="AW161" i="6"/>
  <c r="AX161" i="6" s="1"/>
  <c r="AV112" i="6"/>
  <c r="AV82" i="6"/>
  <c r="AU71" i="6"/>
  <c r="AW71" i="6" s="1"/>
  <c r="AV79" i="6"/>
  <c r="AV162" i="6"/>
  <c r="AU103" i="6"/>
  <c r="AW103" i="6" s="1"/>
  <c r="AV165" i="6"/>
  <c r="AU185" i="6"/>
  <c r="AW185" i="6"/>
  <c r="AX185" i="6" s="1"/>
  <c r="AU190" i="6"/>
  <c r="AW190" i="6" s="1"/>
  <c r="AX190" i="6" s="1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 s="1"/>
  <c r="AX67" i="6"/>
  <c r="AV53" i="6"/>
  <c r="AU55" i="6"/>
  <c r="AW55" i="6" s="1"/>
  <c r="AV60" i="6"/>
  <c r="AU164" i="6"/>
  <c r="AW164" i="6"/>
  <c r="AU93" i="6"/>
  <c r="AW93" i="6"/>
  <c r="AU84" i="6"/>
  <c r="AW84" i="6"/>
  <c r="AV74" i="6"/>
  <c r="AU41" i="6"/>
  <c r="AW41" i="6" s="1"/>
  <c r="AU34" i="6"/>
  <c r="AW34" i="6" s="1"/>
  <c r="AU15" i="6"/>
  <c r="AW15" i="6" s="1"/>
  <c r="AU20" i="6"/>
  <c r="AW20" i="6"/>
  <c r="AV35" i="6"/>
  <c r="AV23" i="6"/>
  <c r="AU22" i="6"/>
  <c r="AW22" i="6"/>
  <c r="AX22" i="6" s="1"/>
  <c r="AV22" i="6"/>
  <c r="AV34" i="6"/>
  <c r="AV21" i="6"/>
  <c r="AV26" i="6"/>
  <c r="AV33" i="6"/>
  <c r="AU29" i="6"/>
  <c r="AW29" i="6" s="1"/>
  <c r="AX29" i="6" s="1"/>
  <c r="AU27" i="6"/>
  <c r="AW27" i="6" s="1"/>
  <c r="AV24" i="6"/>
  <c r="AU24" i="6"/>
  <c r="AW24" i="6"/>
  <c r="AU21" i="6"/>
  <c r="AW21" i="6"/>
  <c r="AV27" i="6"/>
  <c r="AU30" i="6"/>
  <c r="AW30" i="6" s="1"/>
  <c r="AX30" i="6" s="1"/>
  <c r="AV16" i="6"/>
  <c r="AU23" i="6"/>
  <c r="AW23" i="6"/>
  <c r="AU17" i="6"/>
  <c r="AW17" i="6" s="1"/>
  <c r="AX17" i="6" s="1"/>
  <c r="AV173" i="6"/>
  <c r="AU192" i="6"/>
  <c r="AW192" i="6"/>
  <c r="AU176" i="6"/>
  <c r="AW176" i="6"/>
  <c r="AV159" i="6"/>
  <c r="AV140" i="6"/>
  <c r="AV113" i="6"/>
  <c r="AU115" i="6"/>
  <c r="AW115" i="6" s="1"/>
  <c r="AV169" i="6"/>
  <c r="AU129" i="6"/>
  <c r="AW129" i="6"/>
  <c r="AX129" i="6" s="1"/>
  <c r="AV153" i="6"/>
  <c r="AU145" i="6"/>
  <c r="AW145" i="6"/>
  <c r="AV171" i="6"/>
  <c r="AV119" i="6"/>
  <c r="AV185" i="6"/>
  <c r="AV125" i="6"/>
  <c r="AV122" i="6"/>
  <c r="AU194" i="6"/>
  <c r="AW194" i="6" s="1"/>
  <c r="AV194" i="6"/>
  <c r="AV111" i="6"/>
  <c r="AV198" i="6"/>
  <c r="AX198" i="6" s="1"/>
  <c r="AV80" i="6"/>
  <c r="AV48" i="6"/>
  <c r="AU80" i="6"/>
  <c r="AW80" i="6"/>
  <c r="AX80" i="6" s="1"/>
  <c r="AU48" i="6"/>
  <c r="AW48" i="6" s="1"/>
  <c r="AX48" i="6"/>
  <c r="AV70" i="6"/>
  <c r="AV38" i="6"/>
  <c r="AV177" i="6"/>
  <c r="AU88" i="6"/>
  <c r="AW88" i="6"/>
  <c r="AX88" i="6" s="1"/>
  <c r="AU50" i="6"/>
  <c r="AW50" i="6" s="1"/>
  <c r="AV45" i="6"/>
  <c r="AV68" i="6"/>
  <c r="AU105" i="6"/>
  <c r="AW105" i="6"/>
  <c r="AX105" i="6" s="1"/>
  <c r="AV191" i="6"/>
  <c r="AU68" i="6"/>
  <c r="AW68" i="6"/>
  <c r="AX68" i="6" s="1"/>
  <c r="AV50" i="6"/>
  <c r="AU56" i="6"/>
  <c r="AW56" i="6" s="1"/>
  <c r="AV47" i="6"/>
  <c r="AU125" i="6"/>
  <c r="AW125" i="6"/>
  <c r="AU168" i="6"/>
  <c r="AW168" i="6"/>
  <c r="AU172" i="6"/>
  <c r="AW172" i="6"/>
  <c r="AU107" i="6"/>
  <c r="AW107" i="6" s="1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V144" i="6"/>
  <c r="AV90" i="6"/>
  <c r="AU78" i="6"/>
  <c r="AW78" i="6" s="1"/>
  <c r="AU40" i="6"/>
  <c r="AW40" i="6" s="1"/>
  <c r="AU149" i="6"/>
  <c r="AW149" i="6" s="1"/>
  <c r="AX149" i="6" s="1"/>
  <c r="AV105" i="6"/>
  <c r="AU53" i="6"/>
  <c r="AW53" i="6"/>
  <c r="AX53" i="6" s="1"/>
  <c r="AV55" i="6"/>
  <c r="AU92" i="6"/>
  <c r="AW92" i="6"/>
  <c r="AX92" i="6" s="1"/>
  <c r="AV42" i="6"/>
  <c r="AV32" i="6"/>
  <c r="AX32" i="6" s="1"/>
  <c r="AU18" i="6"/>
  <c r="AW18" i="6"/>
  <c r="AU33" i="6"/>
  <c r="AW33" i="6"/>
  <c r="AX33" i="6" s="1"/>
  <c r="AU32" i="6"/>
  <c r="AW32" i="6" s="1"/>
  <c r="AV15" i="6"/>
  <c r="AX15" i="6" s="1"/>
  <c r="AU35" i="6"/>
  <c r="AW35" i="6"/>
  <c r="AX35" i="6" s="1"/>
  <c r="AU26" i="6"/>
  <c r="AW26" i="6"/>
  <c r="AX26" i="6" s="1"/>
  <c r="AV20" i="6"/>
  <c r="AX20" i="6"/>
  <c r="AU31" i="6"/>
  <c r="AW31" i="6"/>
  <c r="AX31" i="6" s="1"/>
  <c r="AV29" i="6"/>
  <c r="AV18" i="6"/>
  <c r="AV28" i="6"/>
  <c r="AU16" i="6"/>
  <c r="AV25" i="6"/>
  <c r="AU25" i="6"/>
  <c r="AW25" i="6" s="1"/>
  <c r="AX25" i="6" s="1"/>
  <c r="AV31" i="6"/>
  <c r="AV19" i="6"/>
  <c r="AV17" i="6"/>
  <c r="AU28" i="6"/>
  <c r="AW28" i="6"/>
  <c r="AU19" i="6"/>
  <c r="AW19" i="6"/>
  <c r="AV30" i="6"/>
  <c r="AV160" i="6"/>
  <c r="AU126" i="6"/>
  <c r="AW126" i="6" s="1"/>
  <c r="AX126" i="6" s="1"/>
  <c r="AU99" i="6"/>
  <c r="AW99" i="6" s="1"/>
  <c r="AV176" i="6"/>
  <c r="AX176" i="6" s="1"/>
  <c r="AU106" i="6"/>
  <c r="AW106" i="6"/>
  <c r="AV199" i="6"/>
  <c r="AU175" i="6"/>
  <c r="AW175" i="6" s="1"/>
  <c r="AX175" i="6" s="1"/>
  <c r="AV110" i="6"/>
  <c r="AV101" i="6"/>
  <c r="AU165" i="6"/>
  <c r="AW165" i="6"/>
  <c r="AX165" i="6" s="1"/>
  <c r="AV201" i="6"/>
  <c r="AV156" i="6"/>
  <c r="AV94" i="6"/>
  <c r="AV93" i="6"/>
  <c r="AU140" i="6"/>
  <c r="AW140" i="6" s="1"/>
  <c r="AU122" i="6"/>
  <c r="AW122" i="6" s="1"/>
  <c r="AX122" i="6"/>
  <c r="AU104" i="6"/>
  <c r="AW104" i="6"/>
  <c r="AX104" i="6" s="1"/>
  <c r="AV197" i="6"/>
  <c r="AV99" i="6"/>
  <c r="AU144" i="6"/>
  <c r="AW144" i="6" s="1"/>
  <c r="AX144" i="6"/>
  <c r="AV181" i="6"/>
  <c r="AV103" i="6"/>
  <c r="AV189" i="6"/>
  <c r="AU150" i="6"/>
  <c r="AW150" i="6" s="1"/>
  <c r="AX150" i="6" s="1"/>
  <c r="AU119" i="6"/>
  <c r="AW119" i="6" s="1"/>
  <c r="AU195" i="6"/>
  <c r="AW195" i="6" s="1"/>
  <c r="AX195" i="6" s="1"/>
  <c r="AV148" i="6"/>
  <c r="AV151" i="6"/>
  <c r="AV137" i="6"/>
  <c r="AU199" i="6"/>
  <c r="AW199" i="6"/>
  <c r="AU169" i="6"/>
  <c r="AW169" i="6"/>
  <c r="AU120" i="6"/>
  <c r="AW120" i="6" s="1"/>
  <c r="AX120" i="6" s="1"/>
  <c r="AV196" i="6"/>
  <c r="AU159" i="6"/>
  <c r="AW159" i="6"/>
  <c r="AX159" i="6" s="1"/>
  <c r="AV116" i="6"/>
  <c r="AX116" i="6" s="1"/>
  <c r="AV95" i="6"/>
  <c r="AU158" i="6"/>
  <c r="AW158" i="6" s="1"/>
  <c r="AX158" i="6" s="1"/>
  <c r="AU202" i="6"/>
  <c r="AW202" i="6"/>
  <c r="AU170" i="6"/>
  <c r="AW170" i="6"/>
  <c r="AV152" i="6"/>
  <c r="AU178" i="6"/>
  <c r="AW178" i="6" s="1"/>
  <c r="AU109" i="6"/>
  <c r="AW109" i="6" s="1"/>
  <c r="AV138" i="6"/>
  <c r="AV145" i="6"/>
  <c r="AU118" i="6"/>
  <c r="AW118" i="6" s="1"/>
  <c r="AV114" i="6"/>
  <c r="AU142" i="6"/>
  <c r="AW142" i="6"/>
  <c r="AX142" i="6" s="1"/>
  <c r="AV109" i="6"/>
  <c r="AV56" i="6"/>
  <c r="AU90" i="6"/>
  <c r="AW90" i="6"/>
  <c r="AX90" i="6" s="1"/>
  <c r="AU63" i="6"/>
  <c r="AW63" i="6"/>
  <c r="AX63" i="6" s="1"/>
  <c r="AV78" i="6"/>
  <c r="AV46" i="6"/>
  <c r="AU113" i="6"/>
  <c r="AW113" i="6"/>
  <c r="AX113" i="6" s="1"/>
  <c r="AV155" i="6"/>
  <c r="AU69" i="6"/>
  <c r="AW69" i="6"/>
  <c r="AV61" i="6"/>
  <c r="AV84" i="6"/>
  <c r="AU137" i="6"/>
  <c r="AW137" i="6"/>
  <c r="AX137" i="6" s="1"/>
  <c r="AV143" i="6"/>
  <c r="AX143" i="6" s="1"/>
  <c r="AU89" i="6"/>
  <c r="AW89" i="6"/>
  <c r="AV66" i="6"/>
  <c r="AU62" i="6"/>
  <c r="AW62" i="6" s="1"/>
  <c r="AV63" i="6"/>
  <c r="AU135" i="6"/>
  <c r="AW135" i="6"/>
  <c r="AU182" i="6"/>
  <c r="AW182" i="6"/>
  <c r="AV146" i="6"/>
  <c r="AU171" i="6"/>
  <c r="AW171" i="6" s="1"/>
  <c r="AX171" i="6"/>
  <c r="AV130" i="6"/>
  <c r="AU76" i="6"/>
  <c r="AW76" i="6" s="1"/>
  <c r="AU60" i="6"/>
  <c r="AW60" i="6" s="1"/>
  <c r="AX60" i="6"/>
  <c r="AU44" i="6"/>
  <c r="AW44" i="6"/>
  <c r="AX44" i="6" s="1"/>
  <c r="AV75" i="6"/>
  <c r="AV43" i="6"/>
  <c r="AX43" i="6" s="1"/>
  <c r="AU79" i="6"/>
  <c r="AW79" i="6"/>
  <c r="AU47" i="6"/>
  <c r="AW47" i="6"/>
  <c r="AV57" i="6"/>
  <c r="AV178" i="6"/>
  <c r="AV163" i="6"/>
  <c r="AU52" i="6"/>
  <c r="AW52" i="6" s="1"/>
  <c r="AX52" i="6" s="1"/>
  <c r="AV37" i="6"/>
  <c r="AU46" i="6"/>
  <c r="AW46" i="6"/>
  <c r="AV44" i="6"/>
  <c r="AV128" i="6"/>
  <c r="AV182" i="6"/>
  <c r="AU66" i="6"/>
  <c r="AW66" i="6" s="1"/>
  <c r="AX66" i="6"/>
  <c r="AV58" i="6"/>
  <c r="AV71" i="6"/>
  <c r="AX71" i="6" s="1"/>
  <c r="AV192" i="6"/>
  <c r="AU131" i="6"/>
  <c r="AW131" i="6" s="1"/>
  <c r="AX131" i="6" s="1"/>
  <c r="AU108" i="6"/>
  <c r="AW108" i="6" s="1"/>
  <c r="AU128" i="6"/>
  <c r="AW128" i="6" s="1"/>
  <c r="AU96" i="6"/>
  <c r="AW96" i="6" s="1"/>
  <c r="AV167" i="6"/>
  <c r="AX167" i="6" s="1"/>
  <c r="AV142" i="6"/>
  <c r="AV139" i="6"/>
  <c r="AV195" i="6"/>
  <c r="AU117" i="6"/>
  <c r="AW117" i="6" s="1"/>
  <c r="AV166" i="6"/>
  <c r="AV126" i="6"/>
  <c r="AV115" i="6"/>
  <c r="AV174" i="6"/>
  <c r="AU130" i="6"/>
  <c r="AW130" i="6" s="1"/>
  <c r="AU112" i="6"/>
  <c r="AW112" i="6" s="1"/>
  <c r="AX112" i="6" s="1"/>
  <c r="AU180" i="6"/>
  <c r="AW180" i="6"/>
  <c r="AV136" i="6"/>
  <c r="AU167" i="6"/>
  <c r="AW167" i="6" s="1"/>
  <c r="AU98" i="6"/>
  <c r="AW98" i="6" s="1"/>
  <c r="AX98" i="6" s="1"/>
  <c r="AV120" i="6"/>
  <c r="AV188" i="6"/>
  <c r="AU154" i="6"/>
  <c r="AW154" i="6"/>
  <c r="AU143" i="6"/>
  <c r="AW143" i="6"/>
  <c r="AU94" i="6"/>
  <c r="AW94" i="6"/>
  <c r="AU162" i="6"/>
  <c r="AW162" i="6" s="1"/>
  <c r="AX162" i="6" s="1"/>
  <c r="AV118" i="6"/>
  <c r="AU174" i="6"/>
  <c r="AW174" i="6" s="1"/>
  <c r="AU201" i="6"/>
  <c r="AW201" i="6" s="1"/>
  <c r="AX201" i="6" s="1"/>
  <c r="AU187" i="6"/>
  <c r="AW187" i="6"/>
  <c r="AU127" i="6"/>
  <c r="AW127" i="6" s="1"/>
  <c r="AX127" i="6" s="1"/>
  <c r="AU101" i="6"/>
  <c r="AW101" i="6" s="1"/>
  <c r="AV170" i="6"/>
  <c r="AV150" i="6"/>
  <c r="AV180" i="6"/>
  <c r="AX180" i="6" s="1"/>
  <c r="AV121" i="6"/>
  <c r="AU138" i="6"/>
  <c r="AW138" i="6" s="1"/>
  <c r="AU198" i="6"/>
  <c r="AW198" i="6" s="1"/>
  <c r="AU188" i="6"/>
  <c r="AW188" i="6" s="1"/>
  <c r="AV131" i="6"/>
  <c r="AV179" i="6"/>
  <c r="AV168" i="6"/>
  <c r="AV135" i="6"/>
  <c r="AX135" i="6"/>
  <c r="AU147" i="6"/>
  <c r="AW147" i="6"/>
  <c r="AV200" i="6"/>
  <c r="AU197" i="6"/>
  <c r="AW197" i="6" s="1"/>
  <c r="AV164" i="6"/>
  <c r="AV72" i="6"/>
  <c r="AV40" i="6"/>
  <c r="AU70" i="6"/>
  <c r="AW70" i="6"/>
  <c r="AX70" i="6" s="1"/>
  <c r="AU38" i="6"/>
  <c r="AW38" i="6"/>
  <c r="AV62" i="6"/>
  <c r="AV89" i="6"/>
  <c r="AU181" i="6"/>
  <c r="AW181" i="6" s="1"/>
  <c r="AU85" i="6"/>
  <c r="AW85" i="6" s="1"/>
  <c r="AX85" i="6" s="1"/>
  <c r="AU37" i="6"/>
  <c r="AW37" i="6" s="1"/>
  <c r="AU86" i="6"/>
  <c r="AW86" i="6" s="1"/>
  <c r="AX86" i="6" s="1"/>
  <c r="AV52" i="6"/>
  <c r="AU186" i="6"/>
  <c r="AW186" i="6"/>
  <c r="AU114" i="6"/>
  <c r="AW114" i="6" s="1"/>
  <c r="AU51" i="6"/>
  <c r="AW51" i="6" s="1"/>
  <c r="AX51" i="6"/>
  <c r="AV85" i="6"/>
  <c r="AU39" i="6"/>
  <c r="AW39" i="6" s="1"/>
  <c r="AX39" i="6" s="1"/>
  <c r="AV83" i="6"/>
  <c r="AU111" i="6"/>
  <c r="AW111" i="6"/>
  <c r="AX111" i="6" s="1"/>
  <c r="AU191" i="6"/>
  <c r="AW191" i="6" s="1"/>
  <c r="AX191" i="6" s="1"/>
  <c r="AV117" i="6"/>
  <c r="AU100" i="6"/>
  <c r="AW100" i="6"/>
  <c r="AV92" i="6"/>
  <c r="AU74" i="6"/>
  <c r="AW74" i="6" s="1"/>
  <c r="AU58" i="6"/>
  <c r="AW58" i="6" s="1"/>
  <c r="AX58" i="6" s="1"/>
  <c r="AU42" i="6"/>
  <c r="AW42" i="6"/>
  <c r="AV59" i="6"/>
  <c r="AX59" i="6"/>
  <c r="AU83" i="6"/>
  <c r="AW83" i="6"/>
  <c r="AX83" i="6" s="1"/>
  <c r="AU54" i="6"/>
  <c r="AW54" i="6" s="1"/>
  <c r="AV73" i="6"/>
  <c r="AV41" i="6"/>
  <c r="AU200" i="6"/>
  <c r="AW200" i="6" s="1"/>
  <c r="AV97" i="6"/>
  <c r="AV69" i="6"/>
  <c r="AU72" i="6"/>
  <c r="AW72" i="6" s="1"/>
  <c r="AX72" i="6" s="1"/>
  <c r="AV76" i="6"/>
  <c r="AU123" i="6"/>
  <c r="AW123" i="6" s="1"/>
  <c r="AX123" i="6"/>
  <c r="AU151" i="6"/>
  <c r="AW151" i="6"/>
  <c r="AU87" i="6"/>
  <c r="AW87" i="6"/>
  <c r="AX87" i="6" s="1"/>
  <c r="AU36" i="6"/>
  <c r="AW36" i="6" s="1"/>
  <c r="AX36" i="6"/>
  <c r="AU73" i="6"/>
  <c r="AW73" i="6"/>
  <c r="AX73" i="6" s="1"/>
  <c r="AV39" i="6"/>
  <c r="U51" i="6"/>
  <c r="AV204" i="6"/>
  <c r="AU204" i="6"/>
  <c r="AW204" i="6" s="1"/>
  <c r="U52" i="6"/>
  <c r="I294" i="6"/>
  <c r="I302" i="6"/>
  <c r="AX101" i="6"/>
  <c r="AX24" i="6"/>
  <c r="AX314" i="6"/>
  <c r="AX164" i="6"/>
  <c r="AX189" i="6"/>
  <c r="AX343" i="6"/>
  <c r="I20" i="27"/>
  <c r="O5" i="27"/>
  <c r="J55" i="27"/>
  <c r="BN14" i="6"/>
  <c r="F55" i="27"/>
  <c r="I144" i="6"/>
  <c r="I262" i="6"/>
  <c r="I260" i="6"/>
  <c r="I217" i="6"/>
  <c r="AX196" i="6"/>
  <c r="I122" i="6"/>
  <c r="AX181" i="6"/>
  <c r="AX46" i="6"/>
  <c r="AX78" i="6"/>
  <c r="AX260" i="6"/>
  <c r="AX267" i="6"/>
  <c r="AX225" i="6"/>
  <c r="AX308" i="6"/>
  <c r="I191" i="6"/>
  <c r="I200" i="6"/>
  <c r="I349" i="6"/>
  <c r="I358" i="6"/>
  <c r="I53" i="6"/>
  <c r="I111" i="6"/>
  <c r="I81" i="6"/>
  <c r="I70" i="6"/>
  <c r="I68" i="6"/>
  <c r="AS233" i="6"/>
  <c r="AS341" i="6"/>
  <c r="I173" i="6"/>
  <c r="I163" i="6"/>
  <c r="I95" i="6"/>
  <c r="I86" i="6"/>
  <c r="I72" i="6"/>
  <c r="I166" i="6"/>
  <c r="I30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S99" i="6"/>
  <c r="AS217" i="6"/>
  <c r="AS204" i="6"/>
  <c r="AX114" i="6"/>
  <c r="AX197" i="6"/>
  <c r="AX128" i="6"/>
  <c r="AX178" i="6"/>
  <c r="AX119" i="6"/>
  <c r="AX19" i="6"/>
  <c r="AX192" i="6"/>
  <c r="AX27" i="6"/>
  <c r="AX34" i="6"/>
  <c r="AS376" i="6"/>
  <c r="AS361" i="6"/>
  <c r="AS363" i="6"/>
  <c r="AX306" i="6"/>
  <c r="AX209" i="6"/>
  <c r="AX220" i="6"/>
  <c r="AX239" i="6"/>
  <c r="I207" i="6"/>
  <c r="I327" i="6"/>
  <c r="I43" i="6"/>
  <c r="I88" i="6"/>
  <c r="I62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99" i="6"/>
  <c r="AX82" i="6"/>
  <c r="AX64" i="6"/>
  <c r="AX106" i="6"/>
  <c r="AX152" i="6"/>
  <c r="AX179" i="6"/>
  <c r="AX349" i="6"/>
  <c r="AX355" i="6"/>
  <c r="AX338" i="6"/>
  <c r="AX353" i="6"/>
  <c r="AX345" i="6"/>
  <c r="AX221" i="6"/>
  <c r="AS267" i="6"/>
  <c r="I79" i="6"/>
  <c r="AX41" i="6"/>
  <c r="AX28" i="6"/>
  <c r="AX81" i="6"/>
  <c r="AX273" i="6"/>
  <c r="AX309" i="6"/>
  <c r="AX361" i="6"/>
  <c r="AX236" i="6"/>
  <c r="AX290" i="6"/>
  <c r="AX372" i="6"/>
  <c r="I348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AS39" i="6"/>
  <c r="AS126" i="6"/>
  <c r="AS111" i="6"/>
  <c r="AS131" i="6"/>
  <c r="AS31" i="6"/>
  <c r="AS158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94" i="6"/>
  <c r="AX61" i="6"/>
  <c r="AX335" i="6"/>
  <c r="AX356" i="6"/>
  <c r="AX333" i="6"/>
  <c r="AX249" i="6"/>
  <c r="I364" i="6"/>
  <c r="I344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02" i="6"/>
  <c r="AS379" i="6"/>
  <c r="AS69" i="6"/>
  <c r="AS116" i="6"/>
  <c r="AX151" i="6"/>
  <c r="AX74" i="6"/>
  <c r="AX100" i="6"/>
  <c r="AX38" i="6"/>
  <c r="AX168" i="6"/>
  <c r="AX174" i="6"/>
  <c r="AX154" i="6"/>
  <c r="AX130" i="6"/>
  <c r="AX96" i="6"/>
  <c r="AX47" i="6"/>
  <c r="AX76" i="6"/>
  <c r="AX109" i="6"/>
  <c r="AX202" i="6"/>
  <c r="AX140" i="6"/>
  <c r="AX125" i="6"/>
  <c r="AX55" i="6"/>
  <c r="AX184" i="6"/>
  <c r="AX134" i="6"/>
  <c r="AS360" i="6"/>
  <c r="AS359" i="6"/>
  <c r="AX286" i="6"/>
  <c r="AX344" i="6"/>
  <c r="AX326" i="6"/>
  <c r="AX350" i="6"/>
  <c r="AX359" i="6"/>
  <c r="AX324" i="6"/>
  <c r="AX374" i="6"/>
  <c r="AX341" i="6"/>
  <c r="AX337" i="6"/>
  <c r="AX329" i="6"/>
  <c r="AX371" i="6"/>
  <c r="AX244" i="6"/>
  <c r="AX254" i="6"/>
  <c r="AS259" i="6"/>
  <c r="AS255" i="6"/>
  <c r="AS294" i="6"/>
  <c r="AS265" i="6"/>
  <c r="AS246" i="6"/>
  <c r="AS273" i="6"/>
  <c r="AS301" i="6"/>
  <c r="I330" i="6"/>
  <c r="I204" i="6"/>
  <c r="I245" i="6"/>
  <c r="I240" i="6"/>
  <c r="I300" i="6"/>
  <c r="I272" i="6"/>
  <c r="I66" i="6"/>
  <c r="I52" i="6"/>
  <c r="I171" i="6"/>
  <c r="I20" i="6"/>
  <c r="I186" i="6"/>
  <c r="I31" i="6"/>
  <c r="I155" i="6"/>
  <c r="I167" i="6"/>
  <c r="I153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138" i="6"/>
  <c r="AX182" i="6"/>
  <c r="AX18" i="6"/>
  <c r="AX21" i="6"/>
  <c r="AX84" i="6"/>
  <c r="AX139" i="6"/>
  <c r="AS370" i="6"/>
  <c r="AX320" i="6"/>
  <c r="AX331" i="6"/>
  <c r="AX360" i="6"/>
  <c r="AX358" i="6"/>
  <c r="AX357" i="6"/>
  <c r="AX319" i="6"/>
  <c r="AX265" i="6"/>
  <c r="AX296" i="6"/>
  <c r="AX288" i="6"/>
  <c r="AX231" i="6"/>
  <c r="AS269" i="6"/>
  <c r="AS248" i="6"/>
  <c r="AS276" i="6"/>
  <c r="AS286" i="6"/>
  <c r="AS272" i="6"/>
  <c r="I206" i="6"/>
  <c r="I283" i="6"/>
  <c r="I92" i="6"/>
  <c r="I80" i="6"/>
  <c r="I226" i="6"/>
  <c r="AX62" i="6"/>
  <c r="AX40" i="6"/>
  <c r="AX75" i="6"/>
  <c r="AX115" i="6"/>
  <c r="AX155" i="6"/>
  <c r="AX153" i="6"/>
  <c r="AX166" i="6"/>
  <c r="AX110" i="6"/>
  <c r="AX146" i="6"/>
  <c r="AX107" i="6"/>
  <c r="AX95" i="6"/>
  <c r="AX121" i="6"/>
  <c r="AX311" i="6"/>
  <c r="AX313" i="6"/>
  <c r="AX334" i="6"/>
  <c r="AX348" i="6"/>
  <c r="AX259" i="6"/>
  <c r="AX242" i="6"/>
  <c r="AX375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8" i="6"/>
  <c r="I168" i="6"/>
  <c r="AS182" i="6"/>
  <c r="AS142" i="6"/>
  <c r="AS46" i="6"/>
  <c r="AS100" i="6"/>
  <c r="AS53" i="6"/>
  <c r="AS133" i="6"/>
  <c r="AS115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I146" i="6"/>
  <c r="I266" i="6"/>
  <c r="AS49" i="6"/>
  <c r="AR20" i="6"/>
  <c r="AS20" i="6" s="1"/>
  <c r="AP13" i="6"/>
  <c r="AX200" i="6"/>
  <c r="AX108" i="6"/>
  <c r="AX69" i="6"/>
  <c r="AX118" i="6"/>
  <c r="AX145" i="6"/>
  <c r="AX57" i="6"/>
  <c r="AX183" i="6"/>
  <c r="AX327" i="6"/>
  <c r="AX213" i="6"/>
  <c r="AX266" i="6"/>
  <c r="I278" i="6"/>
  <c r="I209" i="6"/>
  <c r="I131" i="6"/>
  <c r="AS15" i="6"/>
  <c r="AS68" i="6"/>
  <c r="AS186" i="6"/>
  <c r="AX42" i="6"/>
  <c r="AX170" i="6"/>
  <c r="AX199" i="6"/>
  <c r="AV13" i="6"/>
  <c r="AU12" i="6"/>
  <c r="AX50" i="6"/>
  <c r="AX93" i="6"/>
  <c r="AX49" i="6"/>
  <c r="AX77" i="6"/>
  <c r="AX91" i="6"/>
  <c r="AX148" i="6"/>
  <c r="AX173" i="6"/>
  <c r="AS380" i="6"/>
  <c r="AS378" i="6"/>
  <c r="AS371" i="6"/>
  <c r="AX284" i="6"/>
  <c r="AX321" i="6"/>
  <c r="AX332" i="6"/>
  <c r="AX227" i="6"/>
  <c r="AX270" i="6"/>
  <c r="AX229" i="6"/>
  <c r="AX228" i="6"/>
  <c r="AX243" i="6"/>
  <c r="AX212" i="6"/>
  <c r="AS298" i="6"/>
  <c r="I362" i="6"/>
  <c r="I359" i="6"/>
  <c r="I183" i="6"/>
  <c r="I37" i="6"/>
  <c r="I132" i="6"/>
  <c r="H17" i="6"/>
  <c r="I29" i="6"/>
  <c r="AS18" i="6"/>
  <c r="AS19" i="6"/>
  <c r="I199" i="6"/>
  <c r="I224" i="6"/>
  <c r="I247" i="6"/>
  <c r="I342" i="6"/>
  <c r="AS263" i="6"/>
  <c r="AS300" i="6"/>
  <c r="I379" i="6"/>
  <c r="I208" i="6"/>
  <c r="I308" i="6"/>
  <c r="I162" i="6"/>
  <c r="I129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I17" i="6"/>
  <c r="G56" i="27"/>
  <c r="U55" i="27"/>
  <c r="I56" i="27"/>
  <c r="AY63" i="27"/>
  <c r="AF62" i="27"/>
  <c r="AY71" i="27"/>
  <c r="AX70" i="27"/>
  <c r="AY75" i="27"/>
  <c r="AX66" i="27"/>
  <c r="AY60" i="27"/>
  <c r="AO60" i="27" s="1"/>
  <c r="AY76" i="27"/>
  <c r="AY79" i="27"/>
  <c r="AO79" i="27" s="1"/>
  <c r="AY73" i="27"/>
  <c r="AY61" i="27"/>
  <c r="H22" i="27"/>
  <c r="AX64" i="27"/>
  <c r="AF71" i="27"/>
  <c r="AF68" i="27"/>
  <c r="AF70" i="27"/>
  <c r="AF66" i="27"/>
  <c r="P66" i="27" s="1"/>
  <c r="G29" i="27" s="1"/>
  <c r="W55" i="27"/>
  <c r="G10" i="27"/>
  <c r="I10" i="27" s="1"/>
  <c r="J16" i="27" s="1"/>
  <c r="L16" i="27" s="1"/>
  <c r="J18" i="27"/>
  <c r="AF65" i="27"/>
  <c r="H28" i="27"/>
  <c r="M21" i="27"/>
  <c r="M22" i="27"/>
  <c r="M30" i="27"/>
  <c r="M38" i="27"/>
  <c r="AO75" i="27"/>
  <c r="H24" i="27"/>
  <c r="H32" i="27"/>
  <c r="M26" i="27"/>
  <c r="M34" i="27"/>
  <c r="H42" i="27"/>
  <c r="H43" i="27"/>
  <c r="H41" i="27"/>
  <c r="H26" i="27"/>
  <c r="H30" i="27"/>
  <c r="AE65" i="27"/>
  <c r="M24" i="27"/>
  <c r="M28" i="27"/>
  <c r="N64" i="27"/>
  <c r="M32" i="27"/>
  <c r="M36" i="27"/>
  <c r="H40" i="27"/>
  <c r="P54" i="27"/>
  <c r="H25" i="27"/>
  <c r="H27" i="27"/>
  <c r="H29" i="27"/>
  <c r="AE64" i="27"/>
  <c r="H31" i="27"/>
  <c r="H33" i="27"/>
  <c r="H34" i="27"/>
  <c r="H35" i="27"/>
  <c r="AE71" i="27"/>
  <c r="H36" i="27"/>
  <c r="H37" i="27"/>
  <c r="H38" i="27"/>
  <c r="P74" i="27"/>
  <c r="H39" i="27"/>
  <c r="P75" i="27"/>
  <c r="M23" i="27"/>
  <c r="N59" i="27"/>
  <c r="M25" i="27"/>
  <c r="N61" i="27"/>
  <c r="M27" i="27"/>
  <c r="M29" i="27"/>
  <c r="M31" i="27"/>
  <c r="M33" i="27"/>
  <c r="N69" i="27"/>
  <c r="M35" i="27"/>
  <c r="M37" i="27"/>
  <c r="M39" i="27"/>
  <c r="N75" i="27"/>
  <c r="N57" i="27"/>
  <c r="O72" i="27"/>
  <c r="AX56" i="27"/>
  <c r="AX76" i="27"/>
  <c r="AX60" i="27"/>
  <c r="AY62" i="27"/>
  <c r="AO62" i="27"/>
  <c r="AY77" i="27"/>
  <c r="AO76" i="27"/>
  <c r="AX63" i="27"/>
  <c r="AN63" i="27"/>
  <c r="AX73" i="27"/>
  <c r="N58" i="27"/>
  <c r="N66" i="27"/>
  <c r="AY68" i="27"/>
  <c r="N60" i="27"/>
  <c r="O55" i="27"/>
  <c r="AY59" i="27"/>
  <c r="AO59" i="27"/>
  <c r="N67" i="27"/>
  <c r="AX78" i="27"/>
  <c r="AO61" i="27"/>
  <c r="AV57" i="27"/>
  <c r="N76" i="27"/>
  <c r="N77" i="27"/>
  <c r="P73" i="27"/>
  <c r="N78" i="27"/>
  <c r="N74" i="27"/>
  <c r="N73" i="27"/>
  <c r="N71" i="27"/>
  <c r="N70" i="27"/>
  <c r="N68" i="27"/>
  <c r="AX75" i="27"/>
  <c r="AX62" i="27"/>
  <c r="AN61" i="27" s="1"/>
  <c r="Q54" i="27"/>
  <c r="AX77" i="27"/>
  <c r="AY67" i="27"/>
  <c r="AX59" i="27"/>
  <c r="N65" i="27"/>
  <c r="AX74" i="27"/>
  <c r="AN73" i="27" s="1"/>
  <c r="AX58" i="27"/>
  <c r="AY57" i="27"/>
  <c r="AY64" i="27"/>
  <c r="AO63" i="27"/>
  <c r="AY72" i="27"/>
  <c r="AX67" i="27"/>
  <c r="AN66" i="27" s="1"/>
  <c r="AX61" i="27"/>
  <c r="AY56" i="27"/>
  <c r="AX79" i="27"/>
  <c r="AE61" i="27"/>
  <c r="C54" i="27"/>
  <c r="AX65" i="27"/>
  <c r="AN65" i="27"/>
  <c r="AX69" i="27"/>
  <c r="AN69" i="27"/>
  <c r="AX71" i="27"/>
  <c r="AN70" i="27"/>
  <c r="AY78" i="27"/>
  <c r="AO78" i="27"/>
  <c r="AY74" i="27"/>
  <c r="AO74" i="27"/>
  <c r="AY70" i="27"/>
  <c r="AO70" i="27"/>
  <c r="AY69" i="27"/>
  <c r="AY66" i="27"/>
  <c r="AY65" i="27"/>
  <c r="AY58" i="27"/>
  <c r="AO58" i="27" s="1"/>
  <c r="H23" i="27"/>
  <c r="AE59" i="27"/>
  <c r="H21" i="27"/>
  <c r="P57" i="27"/>
  <c r="AX68" i="27"/>
  <c r="AN68" i="27" s="1"/>
  <c r="AX72" i="27"/>
  <c r="AX57" i="27"/>
  <c r="AN56" i="27" s="1"/>
  <c r="P56" i="27"/>
  <c r="N79" i="27"/>
  <c r="P71" i="27"/>
  <c r="P65" i="27"/>
  <c r="G28" i="27" s="1"/>
  <c r="P64" i="27"/>
  <c r="O62" i="27"/>
  <c r="O71" i="27"/>
  <c r="N72" i="27"/>
  <c r="T55" i="27"/>
  <c r="BM14" i="6"/>
  <c r="F56" i="27"/>
  <c r="E55" i="27"/>
  <c r="K55" i="27"/>
  <c r="X55" i="27"/>
  <c r="BQ14" i="6"/>
  <c r="J56" i="27"/>
  <c r="K78" i="27"/>
  <c r="G12" i="27"/>
  <c r="I79" i="27"/>
  <c r="F79" i="27"/>
  <c r="E79" i="27"/>
  <c r="J79" i="27"/>
  <c r="H79" i="27"/>
  <c r="G79" i="27"/>
  <c r="K79" i="27"/>
  <c r="I11" i="27"/>
  <c r="I12" i="27"/>
  <c r="P62" i="27"/>
  <c r="AE60" i="27"/>
  <c r="AE57" i="27"/>
  <c r="P58" i="27"/>
  <c r="AE56" i="27"/>
  <c r="P70" i="27"/>
  <c r="G34" i="27" s="1"/>
  <c r="P68" i="27"/>
  <c r="AE70" i="27"/>
  <c r="AN62" i="27"/>
  <c r="AE58" i="27"/>
  <c r="N63" i="27"/>
  <c r="P78" i="27"/>
  <c r="AE73" i="27"/>
  <c r="AE76" i="27"/>
  <c r="G37" i="27"/>
  <c r="G38" i="27"/>
  <c r="AE68" i="27"/>
  <c r="P59" i="27"/>
  <c r="G22" i="27" s="1"/>
  <c r="AE72" i="27"/>
  <c r="P77" i="27"/>
  <c r="G40" i="27"/>
  <c r="G42" i="27"/>
  <c r="AE69" i="27"/>
  <c r="G20" i="27"/>
  <c r="AE62" i="27"/>
  <c r="N62" i="27"/>
  <c r="P63" i="27"/>
  <c r="G26" i="27" s="1"/>
  <c r="AE74" i="27"/>
  <c r="AE79" i="27"/>
  <c r="AE77" i="27"/>
  <c r="AO71" i="27"/>
  <c r="AE66" i="27"/>
  <c r="AE67" i="27"/>
  <c r="AO69" i="27"/>
  <c r="AN71" i="27"/>
  <c r="AN72" i="27"/>
  <c r="AO64" i="27"/>
  <c r="AE63" i="27"/>
  <c r="AN64" i="27"/>
  <c r="AO77" i="27"/>
  <c r="BL14" i="6"/>
  <c r="D55" i="27"/>
  <c r="S55" i="27"/>
  <c r="E56" i="27"/>
  <c r="L55" i="27"/>
  <c r="BR14" i="6"/>
  <c r="Y55" i="27"/>
  <c r="K56" i="27"/>
  <c r="G78" i="27"/>
  <c r="I78" i="27"/>
  <c r="F78" i="27"/>
  <c r="L78" i="27"/>
  <c r="H78" i="27"/>
  <c r="J78" i="27"/>
  <c r="G21" i="27"/>
  <c r="D78" i="27"/>
  <c r="E78" i="27"/>
  <c r="G41" i="27"/>
  <c r="BS14" i="6"/>
  <c r="Z55" i="27"/>
  <c r="M55" i="27"/>
  <c r="L56" i="27"/>
  <c r="L79" i="27"/>
  <c r="D56" i="27"/>
  <c r="BK14" i="6"/>
  <c r="R55" i="27"/>
  <c r="C55" i="27"/>
  <c r="D79" i="27"/>
  <c r="L77" i="27"/>
  <c r="E77" i="27"/>
  <c r="F77" i="27"/>
  <c r="M77" i="27"/>
  <c r="D77" i="27"/>
  <c r="G77" i="27"/>
  <c r="C77" i="27"/>
  <c r="J77" i="27"/>
  <c r="I77" i="27"/>
  <c r="H77" i="27"/>
  <c r="K77" i="27"/>
  <c r="F76" i="27"/>
  <c r="M76" i="27"/>
  <c r="D76" i="27"/>
  <c r="G76" i="27"/>
  <c r="L76" i="27"/>
  <c r="E76" i="27"/>
  <c r="K76" i="27"/>
  <c r="J76" i="27"/>
  <c r="I76" i="27"/>
  <c r="C76" i="27"/>
  <c r="H76" i="27"/>
  <c r="C56" i="27"/>
  <c r="BJ14" i="6"/>
  <c r="Q55" i="27"/>
  <c r="C79" i="27"/>
  <c r="C78" i="27"/>
  <c r="AA55" i="27"/>
  <c r="M56" i="27"/>
  <c r="BT14" i="6"/>
  <c r="M79" i="27"/>
  <c r="M78" i="27"/>
  <c r="E13" i="7"/>
  <c r="B11" i="7"/>
  <c r="O11" i="1"/>
  <c r="A19" i="15"/>
  <c r="AB18" i="15"/>
  <c r="K17" i="15"/>
  <c r="AB17" i="15"/>
  <c r="F14" i="16"/>
  <c r="C6" i="6"/>
  <c r="X1" i="16"/>
  <c r="J1" i="17"/>
  <c r="L1" i="16"/>
  <c r="A16" i="1"/>
  <c r="X15" i="1"/>
  <c r="AB15" i="1"/>
  <c r="O9" i="1"/>
  <c r="B13" i="7" s="1"/>
  <c r="AB16" i="1"/>
  <c r="X16" i="1"/>
  <c r="K16" i="1"/>
  <c r="A17" i="1"/>
  <c r="AJ16" i="1"/>
  <c r="L16" i="1"/>
  <c r="BV13" i="7"/>
  <c r="F7" i="1"/>
  <c r="AC12" i="1" s="1"/>
  <c r="BP13" i="7"/>
  <c r="E8" i="1"/>
  <c r="K11" i="19" s="1"/>
  <c r="K35" i="19" s="1"/>
  <c r="AJ15" i="1"/>
  <c r="D6" i="6"/>
  <c r="A15" i="17"/>
  <c r="K15" i="17" s="1"/>
  <c r="F14" i="17"/>
  <c r="A64" i="19"/>
  <c r="V14" i="17"/>
  <c r="L1" i="17"/>
  <c r="X1" i="17"/>
  <c r="J1" i="18"/>
  <c r="Y3" i="7" s="1"/>
  <c r="S3" i="7"/>
  <c r="Y14" i="17"/>
  <c r="A14" i="19"/>
  <c r="A38" i="19" s="1"/>
  <c r="A20" i="15"/>
  <c r="X19" i="15"/>
  <c r="K19" i="15"/>
  <c r="AB19" i="15"/>
  <c r="B15" i="7"/>
  <c r="P11" i="1"/>
  <c r="AK16" i="1" s="1"/>
  <c r="D11" i="7"/>
  <c r="F8" i="1"/>
  <c r="AB20" i="15"/>
  <c r="K20" i="15"/>
  <c r="O9" i="17"/>
  <c r="AJ15" i="17" s="1"/>
  <c r="Y14" i="18"/>
  <c r="A15" i="19"/>
  <c r="A39" i="19" s="1"/>
  <c r="F14" i="18"/>
  <c r="E6" i="6"/>
  <c r="A15" i="18"/>
  <c r="J1" i="20"/>
  <c r="Y14" i="20" s="1"/>
  <c r="AB15" i="17"/>
  <c r="AC9" i="1"/>
  <c r="A18" i="1"/>
  <c r="AK17" i="1"/>
  <c r="L17" i="1"/>
  <c r="K17" i="1"/>
  <c r="AJ17" i="1"/>
  <c r="AB17" i="1"/>
  <c r="X17" i="1"/>
  <c r="AE3" i="7"/>
  <c r="V14" i="20"/>
  <c r="L1" i="20"/>
  <c r="F14" i="20"/>
  <c r="X1" i="20"/>
  <c r="X15" i="18"/>
  <c r="AB15" i="18"/>
  <c r="A16" i="18"/>
  <c r="K15" i="18"/>
  <c r="AK18" i="1"/>
  <c r="AJ18" i="1"/>
  <c r="AB18" i="1"/>
  <c r="K18" i="1"/>
  <c r="A19" i="1"/>
  <c r="L18" i="1"/>
  <c r="X18" i="1"/>
  <c r="P10" i="1"/>
  <c r="AI11" i="1"/>
  <c r="AE11" i="1"/>
  <c r="Q10" i="1"/>
  <c r="L11" i="19"/>
  <c r="AE309" i="1"/>
  <c r="AE327" i="1"/>
  <c r="BM15" i="7"/>
  <c r="AE247" i="1"/>
  <c r="AE269" i="1"/>
  <c r="E15" i="7"/>
  <c r="AE185" i="1"/>
  <c r="AE302" i="1"/>
  <c r="AE205" i="1"/>
  <c r="AE360" i="1"/>
  <c r="AE35" i="1"/>
  <c r="AE257" i="1"/>
  <c r="AE241" i="1"/>
  <c r="BY15" i="7"/>
  <c r="BS15" i="7"/>
  <c r="AE317" i="1"/>
  <c r="AE123" i="1"/>
  <c r="AE33" i="1"/>
  <c r="AE27" i="1"/>
  <c r="AE55" i="1"/>
  <c r="AE53" i="1"/>
  <c r="AE75" i="1"/>
  <c r="AE378" i="1"/>
  <c r="AE83" i="1"/>
  <c r="AE103" i="1"/>
  <c r="AE119" i="1"/>
  <c r="AE139" i="1"/>
  <c r="AE155" i="1"/>
  <c r="AE173" i="1"/>
  <c r="AE181" i="1"/>
  <c r="AE199" i="1"/>
  <c r="AE219" i="1"/>
  <c r="AE239" i="1"/>
  <c r="AE350" i="1"/>
  <c r="AE275" i="1"/>
  <c r="AE291" i="1"/>
  <c r="AE313" i="1"/>
  <c r="AE335" i="1"/>
  <c r="AE351" i="1"/>
  <c r="AE39" i="1"/>
  <c r="AE61" i="1"/>
  <c r="AE95" i="1"/>
  <c r="AE113" i="1"/>
  <c r="AE133" i="1"/>
  <c r="AE149" i="1"/>
  <c r="AE167" i="1"/>
  <c r="AE370" i="1"/>
  <c r="AE193" i="1"/>
  <c r="AE211" i="1"/>
  <c r="AE231" i="1"/>
  <c r="AE263" i="1"/>
  <c r="AE285" i="1"/>
  <c r="AE301" i="1"/>
  <c r="AE329" i="1"/>
  <c r="AE337" i="1"/>
  <c r="AE345" i="1"/>
  <c r="AE353" i="1"/>
  <c r="AE19" i="1"/>
  <c r="AK19" i="1"/>
  <c r="L19" i="1"/>
  <c r="AJ19" i="1"/>
  <c r="X19" i="1"/>
  <c r="K19" i="1"/>
  <c r="AB19" i="1"/>
  <c r="A20" i="1"/>
  <c r="A21" i="1" s="1"/>
  <c r="Q15" i="1"/>
  <c r="X16" i="18"/>
  <c r="A17" i="18"/>
  <c r="AB16" i="18"/>
  <c r="K16" i="18"/>
  <c r="AB17" i="18"/>
  <c r="A18" i="18"/>
  <c r="X18" i="18" s="1"/>
  <c r="X17" i="18"/>
  <c r="K17" i="18"/>
  <c r="AK20" i="1"/>
  <c r="AJ20" i="1"/>
  <c r="L20" i="1"/>
  <c r="X20" i="1"/>
  <c r="I16" i="1"/>
  <c r="I17" i="1"/>
  <c r="K18" i="18"/>
  <c r="AB18" i="18"/>
  <c r="I18" i="1"/>
  <c r="I20" i="1"/>
  <c r="I21" i="1"/>
  <c r="I19" i="1"/>
  <c r="I23" i="1"/>
  <c r="I25" i="1"/>
  <c r="I26" i="1"/>
  <c r="I27" i="1"/>
  <c r="I22" i="1"/>
  <c r="I28" i="1"/>
  <c r="I24" i="1"/>
  <c r="I31" i="1"/>
  <c r="I29" i="1"/>
  <c r="I30" i="1"/>
  <c r="I32" i="1"/>
  <c r="I33" i="1"/>
  <c r="I34" i="1"/>
  <c r="I35" i="1"/>
  <c r="I37" i="1"/>
  <c r="I36" i="1"/>
  <c r="I38" i="1"/>
  <c r="I39" i="1"/>
  <c r="I41" i="1"/>
  <c r="I40" i="1"/>
  <c r="I43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9" i="1"/>
  <c r="I58" i="1"/>
  <c r="I60" i="1"/>
  <c r="I61" i="1"/>
  <c r="I62" i="1"/>
  <c r="I63" i="1"/>
  <c r="I64" i="1"/>
  <c r="I65" i="1"/>
  <c r="I67" i="1"/>
  <c r="I66" i="1"/>
  <c r="I68" i="1"/>
  <c r="I69" i="1"/>
  <c r="I71" i="1"/>
  <c r="I70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88" i="1"/>
  <c r="I90" i="1"/>
  <c r="I91" i="1"/>
  <c r="I92" i="1"/>
  <c r="I93" i="1"/>
  <c r="I94" i="1"/>
  <c r="I96" i="1"/>
  <c r="I95" i="1"/>
  <c r="I97" i="1"/>
  <c r="I98" i="1"/>
  <c r="I100" i="1"/>
  <c r="I99" i="1"/>
  <c r="I101" i="1"/>
  <c r="I102" i="1"/>
  <c r="I103" i="1"/>
  <c r="I104" i="1"/>
  <c r="I105" i="1"/>
  <c r="I106" i="1"/>
  <c r="I107" i="1"/>
  <c r="I109" i="1"/>
  <c r="I108" i="1"/>
  <c r="I110" i="1"/>
  <c r="I111" i="1"/>
  <c r="I112" i="1"/>
  <c r="I114" i="1"/>
  <c r="I113" i="1"/>
  <c r="I115" i="1"/>
  <c r="I116" i="1"/>
  <c r="I117" i="1"/>
  <c r="I118" i="1"/>
  <c r="I120" i="1"/>
  <c r="I119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50" i="1"/>
  <c r="I149" i="1"/>
  <c r="I151" i="1"/>
  <c r="I153" i="1"/>
  <c r="I152" i="1"/>
  <c r="I154" i="1"/>
  <c r="I155" i="1"/>
  <c r="I157" i="1"/>
  <c r="I156" i="1"/>
  <c r="I158" i="1"/>
  <c r="I159" i="1"/>
  <c r="I160" i="1"/>
  <c r="I161" i="1"/>
  <c r="I163" i="1"/>
  <c r="I162" i="1"/>
  <c r="I164" i="1"/>
  <c r="I165" i="1"/>
  <c r="I166" i="1"/>
  <c r="I167" i="1"/>
  <c r="I169" i="1"/>
  <c r="I170" i="1"/>
  <c r="I168" i="1"/>
  <c r="I171" i="1"/>
  <c r="I173" i="1"/>
  <c r="I172" i="1"/>
  <c r="I174" i="1"/>
  <c r="I175" i="1"/>
  <c r="I177" i="1"/>
  <c r="I176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2" i="1"/>
  <c r="I191" i="1"/>
  <c r="I193" i="1"/>
  <c r="I194" i="1"/>
  <c r="I195" i="1"/>
  <c r="I196" i="1"/>
  <c r="I198" i="1"/>
  <c r="I197" i="1"/>
  <c r="I200" i="1"/>
  <c r="I199" i="1"/>
  <c r="I201" i="1"/>
  <c r="I202" i="1"/>
  <c r="I204" i="1"/>
  <c r="I205" i="1"/>
  <c r="I203" i="1"/>
  <c r="I206" i="1"/>
  <c r="I208" i="1"/>
  <c r="I207" i="1"/>
  <c r="I209" i="1"/>
  <c r="I211" i="1"/>
  <c r="I212" i="1"/>
  <c r="I210" i="1"/>
  <c r="I213" i="1"/>
  <c r="I214" i="1"/>
  <c r="I215" i="1"/>
  <c r="I216" i="1"/>
  <c r="I217" i="1"/>
  <c r="I218" i="1"/>
  <c r="I219" i="1"/>
  <c r="I220" i="1"/>
  <c r="I221" i="1"/>
  <c r="I223" i="1"/>
  <c r="I222" i="1"/>
  <c r="I224" i="1"/>
  <c r="Q20" i="1" l="1"/>
  <c r="Q17" i="1"/>
  <c r="AC18" i="1"/>
  <c r="P12" i="1"/>
  <c r="AE15" i="1"/>
  <c r="Q10" i="7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P10" i="7"/>
  <c r="R9" i="7"/>
  <c r="AV9" i="7"/>
  <c r="AX10" i="7" s="1"/>
  <c r="BB9" i="7" s="1"/>
  <c r="BD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E180" i="1"/>
  <c r="AE382" i="1" s="1"/>
  <c r="Q18" i="1"/>
  <c r="U29" i="6"/>
  <c r="T35" i="6" s="1"/>
  <c r="AF18" i="6"/>
  <c r="W29" i="6"/>
  <c r="V35" i="6" s="1"/>
  <c r="Q16" i="1"/>
  <c r="BH10" i="6"/>
  <c r="BH11" i="6" s="1"/>
  <c r="BH12" i="6" s="1"/>
  <c r="AN13" i="6"/>
  <c r="AM20" i="6" s="1"/>
  <c r="O16" i="6"/>
  <c r="AC20" i="6"/>
  <c r="T29" i="6"/>
  <c r="T33" i="6" s="1"/>
  <c r="AE20" i="6"/>
  <c r="O18" i="6"/>
  <c r="AI18" i="6"/>
  <c r="AG18" i="6"/>
  <c r="AG24" i="6" s="1"/>
  <c r="AG23" i="6" s="1"/>
  <c r="O16" i="1"/>
  <c r="BQ16" i="7"/>
  <c r="U11" i="1"/>
  <c r="U10" i="1"/>
  <c r="AI231" i="1" s="1"/>
  <c r="AH231" i="1" s="1"/>
  <c r="AG231" i="1" s="1"/>
  <c r="AF231" i="1" s="1"/>
  <c r="O9" i="18"/>
  <c r="AJ16" i="18" s="1"/>
  <c r="T13" i="7"/>
  <c r="AJ380" i="17"/>
  <c r="O9" i="15"/>
  <c r="W44" i="6"/>
  <c r="W48" i="6" s="1"/>
  <c r="E288" i="6"/>
  <c r="AH16" i="6"/>
  <c r="AI358" i="1"/>
  <c r="AH358" i="1" s="1"/>
  <c r="AG358" i="1" s="1"/>
  <c r="AF358" i="1" s="1"/>
  <c r="F7" i="17"/>
  <c r="E8" i="17"/>
  <c r="K14" i="19" s="1"/>
  <c r="K38" i="19" s="1"/>
  <c r="E246" i="6"/>
  <c r="Y20" i="6"/>
  <c r="E190" i="6"/>
  <c r="E274" i="6"/>
  <c r="E218" i="6"/>
  <c r="E22" i="6"/>
  <c r="AC16" i="6"/>
  <c r="BL13" i="7"/>
  <c r="BR13" i="7"/>
  <c r="BX13" i="7"/>
  <c r="B383" i="1"/>
  <c r="H9" i="1"/>
  <c r="B11" i="19" s="1"/>
  <c r="B382" i="1"/>
  <c r="B381" i="1"/>
  <c r="BW16" i="7"/>
  <c r="BK16" i="7"/>
  <c r="AI12" i="1"/>
  <c r="AT2" i="7"/>
  <c r="K21" i="1"/>
  <c r="AB21" i="1"/>
  <c r="AJ21" i="1"/>
  <c r="X21" i="1"/>
  <c r="Q21" i="1"/>
  <c r="AK21" i="1"/>
  <c r="L21" i="1"/>
  <c r="A22" i="1"/>
  <c r="AC21" i="1"/>
  <c r="A19" i="18"/>
  <c r="AC20" i="1"/>
  <c r="O20" i="1"/>
  <c r="K20" i="1"/>
  <c r="AB20" i="1"/>
  <c r="L18" i="27"/>
  <c r="L14" i="27" s="1"/>
  <c r="L17" i="27"/>
  <c r="J1" i="22"/>
  <c r="A16" i="19"/>
  <c r="A40" i="19" s="1"/>
  <c r="F6" i="6"/>
  <c r="A15" i="20"/>
  <c r="X15" i="17"/>
  <c r="A16" i="17"/>
  <c r="V14" i="18"/>
  <c r="L1" i="18"/>
  <c r="X1" i="18"/>
  <c r="A65" i="19"/>
  <c r="N15" i="7"/>
  <c r="X20" i="15"/>
  <c r="A21" i="15"/>
  <c r="AK15" i="1"/>
  <c r="AK380" i="1"/>
  <c r="E7" i="1"/>
  <c r="BJ13" i="7"/>
  <c r="AJ380" i="1"/>
  <c r="H15" i="7"/>
  <c r="G27" i="27"/>
  <c r="AN67" i="27"/>
  <c r="AN57" i="27"/>
  <c r="AO66" i="27"/>
  <c r="AO65" i="27"/>
  <c r="AO67" i="27"/>
  <c r="AO68" i="27"/>
  <c r="AN60" i="27"/>
  <c r="P76" i="27"/>
  <c r="G39" i="27" s="1"/>
  <c r="AE75" i="27"/>
  <c r="AK76" i="27"/>
  <c r="AE78" i="27"/>
  <c r="P79" i="27"/>
  <c r="F13" i="6"/>
  <c r="AX79" i="6"/>
  <c r="AX89" i="6"/>
  <c r="AW16" i="6"/>
  <c r="AU13" i="6"/>
  <c r="AX56" i="6"/>
  <c r="AX97" i="6"/>
  <c r="AS375" i="6"/>
  <c r="AX316" i="6"/>
  <c r="AR247" i="6"/>
  <c r="AS247" i="6" s="1"/>
  <c r="AP12" i="6"/>
  <c r="H61" i="6"/>
  <c r="I61" i="6" s="1"/>
  <c r="F12" i="6"/>
  <c r="I127" i="6"/>
  <c r="I96" i="6"/>
  <c r="J35" i="27"/>
  <c r="L35" i="27" s="1"/>
  <c r="J33" i="27"/>
  <c r="L33" i="27" s="1"/>
  <c r="J31" i="27"/>
  <c r="L31" i="27" s="1"/>
  <c r="J29" i="27"/>
  <c r="L29" i="27" s="1"/>
  <c r="J36" i="27"/>
  <c r="L36" i="27" s="1"/>
  <c r="J34" i="27"/>
  <c r="L34" i="27" s="1"/>
  <c r="J32" i="27"/>
  <c r="L32" i="27" s="1"/>
  <c r="J30" i="27"/>
  <c r="L30" i="27" s="1"/>
  <c r="AO57" i="27"/>
  <c r="AO56" i="27"/>
  <c r="AN74" i="27"/>
  <c r="AN75" i="27" s="1"/>
  <c r="AN76" i="27" s="1"/>
  <c r="AN77" i="27" s="1"/>
  <c r="AN78" i="27" s="1"/>
  <c r="AN79" i="27" s="1"/>
  <c r="AN59" i="27"/>
  <c r="AN58" i="27"/>
  <c r="J37" i="27"/>
  <c r="L37" i="27" s="1"/>
  <c r="J27" i="27"/>
  <c r="L27" i="27" s="1"/>
  <c r="J25" i="27"/>
  <c r="L25" i="27" s="1"/>
  <c r="J23" i="27"/>
  <c r="L23" i="27" s="1"/>
  <c r="J28" i="27"/>
  <c r="L28" i="27" s="1"/>
  <c r="J26" i="27"/>
  <c r="L26" i="27" s="1"/>
  <c r="J24" i="27"/>
  <c r="L24" i="27" s="1"/>
  <c r="J22" i="27"/>
  <c r="L22" i="27" s="1"/>
  <c r="J21" i="27"/>
  <c r="L21" i="27" s="1"/>
  <c r="J17" i="27"/>
  <c r="AO72" i="27"/>
  <c r="AO73" i="27"/>
  <c r="AX103" i="6"/>
  <c r="AX373" i="6"/>
  <c r="AX287" i="6"/>
  <c r="AX256" i="6"/>
  <c r="AX248" i="6"/>
  <c r="AX380" i="6"/>
  <c r="AX285" i="6"/>
  <c r="I26" i="6"/>
  <c r="G13" i="6"/>
  <c r="I27" i="6"/>
  <c r="I235" i="6"/>
  <c r="I271" i="6"/>
  <c r="AQ13" i="6"/>
  <c r="AQ12" i="6"/>
  <c r="AS51" i="6"/>
  <c r="AS16" i="6"/>
  <c r="AR13" i="6"/>
  <c r="J39" i="27"/>
  <c r="L39" i="27" s="1"/>
  <c r="J38" i="27"/>
  <c r="L38" i="27" s="1"/>
  <c r="AX186" i="6"/>
  <c r="AX187" i="6"/>
  <c r="AX94" i="6"/>
  <c r="AX169" i="6"/>
  <c r="AX132" i="6"/>
  <c r="AX172" i="6"/>
  <c r="AX23" i="6"/>
  <c r="AX160" i="6"/>
  <c r="AX193" i="6"/>
  <c r="AX300" i="6"/>
  <c r="AX301" i="6"/>
  <c r="AX246" i="6"/>
  <c r="AX251" i="6"/>
  <c r="AX257" i="6"/>
  <c r="AX207" i="6"/>
  <c r="AS295" i="6"/>
  <c r="AS290" i="6"/>
  <c r="AS268" i="6"/>
  <c r="AS256" i="6"/>
  <c r="I120" i="6"/>
  <c r="I67" i="6"/>
  <c r="I243" i="6"/>
  <c r="I311" i="6"/>
  <c r="AS196" i="6"/>
  <c r="I352" i="6"/>
  <c r="I73" i="6"/>
  <c r="I39" i="6"/>
  <c r="I60" i="6"/>
  <c r="I110" i="6"/>
  <c r="I24" i="6"/>
  <c r="I12" i="6" s="1"/>
  <c r="AS42" i="6"/>
  <c r="AS113" i="6"/>
  <c r="I374" i="6"/>
  <c r="C15" i="7"/>
  <c r="BK15" i="7"/>
  <c r="BQ15" i="7"/>
  <c r="AS310" i="6"/>
  <c r="AS313" i="6"/>
  <c r="A15" i="16"/>
  <c r="A63" i="19"/>
  <c r="Y14" i="16"/>
  <c r="AS210" i="6"/>
  <c r="AS209" i="6"/>
  <c r="AS335" i="6"/>
  <c r="L11" i="1"/>
  <c r="BR5" i="6"/>
  <c r="BR7" i="6"/>
  <c r="BR8" i="6"/>
  <c r="O17" i="1"/>
  <c r="O21" i="1"/>
  <c r="AC15" i="1"/>
  <c r="O15" i="1"/>
  <c r="AC19" i="1"/>
  <c r="O19" i="1"/>
  <c r="AC17" i="1"/>
  <c r="V44" i="6"/>
  <c r="U50" i="6" s="1"/>
  <c r="R20" i="6"/>
  <c r="V31" i="6"/>
  <c r="R16" i="6"/>
  <c r="P16" i="6"/>
  <c r="AA18" i="6"/>
  <c r="Z16" i="6"/>
  <c r="AL18" i="6"/>
  <c r="M50" i="6"/>
  <c r="O46" i="6"/>
  <c r="AI16" i="6"/>
  <c r="E260" i="6"/>
  <c r="N20" i="6"/>
  <c r="E232" i="6"/>
  <c r="Z29" i="6"/>
  <c r="Y35" i="6" s="1"/>
  <c r="AJ18" i="6"/>
  <c r="L29" i="6"/>
  <c r="M31" i="6" s="1"/>
  <c r="N48" i="6"/>
  <c r="AH18" i="6"/>
  <c r="AD20" i="6"/>
  <c r="AF16" i="6"/>
  <c r="AE16" i="6"/>
  <c r="AD18" i="6"/>
  <c r="AB18" i="6"/>
  <c r="AA16" i="6"/>
  <c r="N29" i="6"/>
  <c r="M35" i="6" s="1"/>
  <c r="M20" i="6"/>
  <c r="E204" i="6"/>
  <c r="T44" i="6"/>
  <c r="AB20" i="6"/>
  <c r="U44" i="6"/>
  <c r="AC18" i="6"/>
  <c r="Z20" i="6"/>
  <c r="AJ16" i="6"/>
  <c r="E330" i="6"/>
  <c r="Y29" i="6"/>
  <c r="AH20" i="6"/>
  <c r="L13" i="6"/>
  <c r="X44" i="6"/>
  <c r="AK16" i="6"/>
  <c r="X29" i="6"/>
  <c r="Y31" i="6" s="1"/>
  <c r="E302" i="6"/>
  <c r="D13" i="7"/>
  <c r="BS13" i="7"/>
  <c r="BY13" i="7"/>
  <c r="BM13" i="7"/>
  <c r="AK20" i="6"/>
  <c r="AM16" i="6"/>
  <c r="AL16" i="6"/>
  <c r="L44" i="6"/>
  <c r="M46" i="6" s="1"/>
  <c r="AK18" i="6"/>
  <c r="Y44" i="6"/>
  <c r="AJ20" i="6"/>
  <c r="O20" i="6"/>
  <c r="P18" i="6"/>
  <c r="O29" i="6"/>
  <c r="E50" i="6"/>
  <c r="Q16" i="6"/>
  <c r="AB29" i="6"/>
  <c r="AA35" i="6" s="1"/>
  <c r="Q20" i="6"/>
  <c r="E78" i="6"/>
  <c r="S16" i="6"/>
  <c r="R18" i="6"/>
  <c r="P29" i="6"/>
  <c r="S20" i="6"/>
  <c r="T18" i="6"/>
  <c r="Q29" i="6"/>
  <c r="U16" i="6"/>
  <c r="E106" i="6"/>
  <c r="W16" i="6"/>
  <c r="R29" i="6"/>
  <c r="E134" i="6"/>
  <c r="U20" i="6"/>
  <c r="V18" i="6"/>
  <c r="E162" i="6"/>
  <c r="S29" i="6"/>
  <c r="W20" i="6"/>
  <c r="Y16" i="6"/>
  <c r="X18" i="6"/>
  <c r="Z44" i="6"/>
  <c r="AL20" i="6"/>
  <c r="M13" i="6"/>
  <c r="E372" i="6"/>
  <c r="AM18" i="6"/>
  <c r="AN16" i="6"/>
  <c r="AO13" i="6"/>
  <c r="E36" i="6"/>
  <c r="O44" i="6"/>
  <c r="AB44" i="6"/>
  <c r="AA50" i="6" s="1"/>
  <c r="Q18" i="6"/>
  <c r="P20" i="6"/>
  <c r="T16" i="6"/>
  <c r="P44" i="6"/>
  <c r="E92" i="6"/>
  <c r="Q44" i="6"/>
  <c r="T20" i="6"/>
  <c r="V16" i="6"/>
  <c r="E120" i="6"/>
  <c r="U18" i="6"/>
  <c r="X16" i="6"/>
  <c r="W18" i="6"/>
  <c r="E148" i="6"/>
  <c r="R44" i="6"/>
  <c r="E176" i="6"/>
  <c r="X20" i="6"/>
  <c r="S44" i="6"/>
  <c r="U35" i="6"/>
  <c r="W31" i="6"/>
  <c r="AI177" i="1" l="1"/>
  <c r="AH177" i="1" s="1"/>
  <c r="AG177" i="1" s="1"/>
  <c r="AF177" i="1" s="1"/>
  <c r="AI282" i="1"/>
  <c r="AH282" i="1" s="1"/>
  <c r="AG282" i="1" s="1"/>
  <c r="AF282" i="1" s="1"/>
  <c r="AI107" i="1"/>
  <c r="AH107" i="1" s="1"/>
  <c r="AG107" i="1" s="1"/>
  <c r="AF107" i="1" s="1"/>
  <c r="AE381" i="1"/>
  <c r="BH9" i="7"/>
  <c r="BJ10" i="7" s="1"/>
  <c r="AI302" i="1"/>
  <c r="AH302" i="1" s="1"/>
  <c r="AG302" i="1" s="1"/>
  <c r="AI165" i="1"/>
  <c r="AH165" i="1" s="1"/>
  <c r="AG165" i="1" s="1"/>
  <c r="AF165" i="1" s="1"/>
  <c r="AI168" i="1"/>
  <c r="AI62" i="1"/>
  <c r="AH62" i="1" s="1"/>
  <c r="AG62" i="1" s="1"/>
  <c r="AF62" i="1" s="1"/>
  <c r="AI260" i="1"/>
  <c r="AH260" i="1" s="1"/>
  <c r="AG260" i="1" s="1"/>
  <c r="AF260" i="1" s="1"/>
  <c r="AI357" i="1"/>
  <c r="AH357" i="1" s="1"/>
  <c r="AG357" i="1" s="1"/>
  <c r="AF357" i="1" s="1"/>
  <c r="AI115" i="1"/>
  <c r="AH115" i="1" s="1"/>
  <c r="AG115" i="1" s="1"/>
  <c r="AI377" i="1"/>
  <c r="AH377" i="1" s="1"/>
  <c r="AG377" i="1" s="1"/>
  <c r="AF377" i="1" s="1"/>
  <c r="AI54" i="1"/>
  <c r="AI218" i="1"/>
  <c r="AH218" i="1" s="1"/>
  <c r="AG218" i="1" s="1"/>
  <c r="AF218" i="1" s="1"/>
  <c r="AI15" i="1"/>
  <c r="AH15" i="1" s="1"/>
  <c r="AI124" i="1"/>
  <c r="AH124" i="1" s="1"/>
  <c r="AG124" i="1" s="1"/>
  <c r="AF124" i="1" s="1"/>
  <c r="AI205" i="1"/>
  <c r="AH205" i="1" s="1"/>
  <c r="AG205" i="1" s="1"/>
  <c r="AF205" i="1" s="1"/>
  <c r="AI66" i="1"/>
  <c r="AH66" i="1" s="1"/>
  <c r="AG66" i="1" s="1"/>
  <c r="AF66" i="1" s="1"/>
  <c r="AE383" i="1"/>
  <c r="AI305" i="1"/>
  <c r="AH305" i="1" s="1"/>
  <c r="AG305" i="1" s="1"/>
  <c r="AI175" i="1"/>
  <c r="AH175" i="1" s="1"/>
  <c r="AG175" i="1" s="1"/>
  <c r="AF175" i="1" s="1"/>
  <c r="AI161" i="1"/>
  <c r="AH161" i="1" s="1"/>
  <c r="AG161" i="1" s="1"/>
  <c r="AF161" i="1" s="1"/>
  <c r="AI363" i="1"/>
  <c r="AH363" i="1" s="1"/>
  <c r="AG363" i="1" s="1"/>
  <c r="AI319" i="1"/>
  <c r="AH319" i="1" s="1"/>
  <c r="AG319" i="1" s="1"/>
  <c r="AF319" i="1" s="1"/>
  <c r="AI294" i="1"/>
  <c r="AH294" i="1" s="1"/>
  <c r="AG294" i="1" s="1"/>
  <c r="AF294" i="1" s="1"/>
  <c r="AI342" i="1"/>
  <c r="AH342" i="1" s="1"/>
  <c r="AG342" i="1" s="1"/>
  <c r="AF342" i="1" s="1"/>
  <c r="AI307" i="1"/>
  <c r="AI143" i="1"/>
  <c r="AH143" i="1" s="1"/>
  <c r="AG143" i="1" s="1"/>
  <c r="AF143" i="1" s="1"/>
  <c r="AI187" i="1"/>
  <c r="AH187" i="1" s="1"/>
  <c r="AG187" i="1" s="1"/>
  <c r="AF187" i="1" s="1"/>
  <c r="AI184" i="1"/>
  <c r="AH184" i="1" s="1"/>
  <c r="AG184" i="1" s="1"/>
  <c r="AF184" i="1" s="1"/>
  <c r="AI111" i="1"/>
  <c r="AH111" i="1" s="1"/>
  <c r="AG111" i="1" s="1"/>
  <c r="AF111" i="1" s="1"/>
  <c r="AI150" i="1"/>
  <c r="AH150" i="1" s="1"/>
  <c r="AG150" i="1" s="1"/>
  <c r="AF150" i="1" s="1"/>
  <c r="AI329" i="1"/>
  <c r="AH329" i="1" s="1"/>
  <c r="AG329" i="1" s="1"/>
  <c r="AF329" i="1" s="1"/>
  <c r="AI254" i="1"/>
  <c r="AH254" i="1" s="1"/>
  <c r="AG254" i="1" s="1"/>
  <c r="AF254" i="1" s="1"/>
  <c r="AI145" i="1"/>
  <c r="AI169" i="1"/>
  <c r="AH169" i="1" s="1"/>
  <c r="AG169" i="1" s="1"/>
  <c r="AF169" i="1" s="1"/>
  <c r="AI103" i="1"/>
  <c r="AI122" i="1"/>
  <c r="AH122" i="1" s="1"/>
  <c r="AG122" i="1" s="1"/>
  <c r="AI87" i="1"/>
  <c r="AH87" i="1" s="1"/>
  <c r="AG87" i="1" s="1"/>
  <c r="AF87" i="1" s="1"/>
  <c r="AI263" i="1"/>
  <c r="AH263" i="1" s="1"/>
  <c r="AG263" i="1" s="1"/>
  <c r="AI352" i="1"/>
  <c r="AH352" i="1" s="1"/>
  <c r="AG352" i="1" s="1"/>
  <c r="AF352" i="1" s="1"/>
  <c r="AI242" i="1"/>
  <c r="AH242" i="1" s="1"/>
  <c r="AG242" i="1" s="1"/>
  <c r="AF242" i="1" s="1"/>
  <c r="AI317" i="1"/>
  <c r="AH317" i="1" s="1"/>
  <c r="AG317" i="1" s="1"/>
  <c r="AF317" i="1" s="1"/>
  <c r="AI24" i="1"/>
  <c r="AH24" i="1" s="1"/>
  <c r="AG24" i="1" s="1"/>
  <c r="AI74" i="1"/>
  <c r="AH74" i="1" s="1"/>
  <c r="AG74" i="1" s="1"/>
  <c r="I11" i="7"/>
  <c r="O11" i="7" s="1"/>
  <c r="P11" i="15"/>
  <c r="AK17" i="15" s="1"/>
  <c r="W33" i="6"/>
  <c r="BH248" i="6"/>
  <c r="BH246" i="6"/>
  <c r="BH182" i="6"/>
  <c r="BH18" i="6"/>
  <c r="BH308" i="6"/>
  <c r="BH343" i="6"/>
  <c r="BH85" i="6"/>
  <c r="BH317" i="6"/>
  <c r="BH369" i="6"/>
  <c r="BH60" i="6"/>
  <c r="BH277" i="6"/>
  <c r="BH110" i="6"/>
  <c r="BM16" i="7"/>
  <c r="AI151" i="1"/>
  <c r="AH151" i="1" s="1"/>
  <c r="AG151" i="1" s="1"/>
  <c r="AF151" i="1" s="1"/>
  <c r="AI313" i="1"/>
  <c r="AH313" i="1" s="1"/>
  <c r="AG313" i="1" s="1"/>
  <c r="AF313" i="1" s="1"/>
  <c r="AI58" i="1"/>
  <c r="AH58" i="1" s="1"/>
  <c r="AG58" i="1" s="1"/>
  <c r="AF58" i="1" s="1"/>
  <c r="AI146" i="1"/>
  <c r="AH146" i="1" s="1"/>
  <c r="AG146" i="1" s="1"/>
  <c r="AF146" i="1" s="1"/>
  <c r="AI239" i="1"/>
  <c r="AH239" i="1" s="1"/>
  <c r="AG239" i="1" s="1"/>
  <c r="AF239" i="1" s="1"/>
  <c r="AI248" i="1"/>
  <c r="AI359" i="1"/>
  <c r="AH359" i="1" s="1"/>
  <c r="AG359" i="1" s="1"/>
  <c r="AF359" i="1" s="1"/>
  <c r="AI346" i="1"/>
  <c r="AH346" i="1" s="1"/>
  <c r="AG346" i="1" s="1"/>
  <c r="AF346" i="1" s="1"/>
  <c r="AI179" i="1"/>
  <c r="AH179" i="1" s="1"/>
  <c r="AG179" i="1" s="1"/>
  <c r="AF179" i="1" s="1"/>
  <c r="AI200" i="1"/>
  <c r="AH200" i="1" s="1"/>
  <c r="AG200" i="1" s="1"/>
  <c r="AF200" i="1" s="1"/>
  <c r="AI312" i="1"/>
  <c r="AH312" i="1" s="1"/>
  <c r="AG312" i="1" s="1"/>
  <c r="AF312" i="1" s="1"/>
  <c r="AI63" i="1"/>
  <c r="AH63" i="1" s="1"/>
  <c r="AG63" i="1" s="1"/>
  <c r="AF63" i="1" s="1"/>
  <c r="AI348" i="1"/>
  <c r="AH348" i="1" s="1"/>
  <c r="AG348" i="1" s="1"/>
  <c r="AF348" i="1" s="1"/>
  <c r="AI178" i="1"/>
  <c r="AH178" i="1" s="1"/>
  <c r="AG178" i="1" s="1"/>
  <c r="AF178" i="1" s="1"/>
  <c r="AI245" i="1"/>
  <c r="AH245" i="1" s="1"/>
  <c r="AG245" i="1" s="1"/>
  <c r="AF245" i="1" s="1"/>
  <c r="AI37" i="1"/>
  <c r="AH37" i="1" s="1"/>
  <c r="AG37" i="1" s="1"/>
  <c r="AF37" i="1" s="1"/>
  <c r="AI154" i="1"/>
  <c r="AH154" i="1" s="1"/>
  <c r="AG154" i="1" s="1"/>
  <c r="AF154" i="1" s="1"/>
  <c r="AF115" i="1"/>
  <c r="AI370" i="1"/>
  <c r="AH370" i="1" s="1"/>
  <c r="AG370" i="1" s="1"/>
  <c r="AF370" i="1" s="1"/>
  <c r="AI70" i="1"/>
  <c r="AH70" i="1" s="1"/>
  <c r="AG70" i="1" s="1"/>
  <c r="AF70" i="1" s="1"/>
  <c r="AI170" i="1"/>
  <c r="AH170" i="1" s="1"/>
  <c r="AG170" i="1" s="1"/>
  <c r="AF170" i="1" s="1"/>
  <c r="AI128" i="1"/>
  <c r="AH128" i="1" s="1"/>
  <c r="AG128" i="1" s="1"/>
  <c r="AF128" i="1" s="1"/>
  <c r="AI42" i="1"/>
  <c r="AH42" i="1" s="1"/>
  <c r="AG42" i="1" s="1"/>
  <c r="AF42" i="1" s="1"/>
  <c r="AI29" i="1"/>
  <c r="AH29" i="1" s="1"/>
  <c r="AG29" i="1" s="1"/>
  <c r="AF29" i="1" s="1"/>
  <c r="AI162" i="1"/>
  <c r="AH162" i="1" s="1"/>
  <c r="AG162" i="1" s="1"/>
  <c r="AF162" i="1" s="1"/>
  <c r="AI258" i="1"/>
  <c r="AH258" i="1" s="1"/>
  <c r="AG258" i="1" s="1"/>
  <c r="AF258" i="1" s="1"/>
  <c r="AI97" i="1"/>
  <c r="AH97" i="1" s="1"/>
  <c r="AG97" i="1" s="1"/>
  <c r="AF97" i="1" s="1"/>
  <c r="U21" i="1"/>
  <c r="T21" i="1" s="1"/>
  <c r="AI374" i="1"/>
  <c r="AH374" i="1" s="1"/>
  <c r="AG374" i="1" s="1"/>
  <c r="AF374" i="1" s="1"/>
  <c r="AI172" i="1"/>
  <c r="AH172" i="1" s="1"/>
  <c r="AG172" i="1" s="1"/>
  <c r="AF172" i="1" s="1"/>
  <c r="AI152" i="1"/>
  <c r="AH152" i="1" s="1"/>
  <c r="AG152" i="1" s="1"/>
  <c r="AF152" i="1" s="1"/>
  <c r="AI108" i="1"/>
  <c r="AI68" i="1"/>
  <c r="AI226" i="1"/>
  <c r="AH226" i="1" s="1"/>
  <c r="AG226" i="1" s="1"/>
  <c r="AF226" i="1" s="1"/>
  <c r="AI65" i="1"/>
  <c r="AH65" i="1" s="1"/>
  <c r="AG65" i="1" s="1"/>
  <c r="AI368" i="1"/>
  <c r="AH368" i="1" s="1"/>
  <c r="AG368" i="1" s="1"/>
  <c r="AI215" i="1"/>
  <c r="AH215" i="1" s="1"/>
  <c r="AG215" i="1" s="1"/>
  <c r="AF215" i="1" s="1"/>
  <c r="AI204" i="1"/>
  <c r="AH204" i="1" s="1"/>
  <c r="AG204" i="1" s="1"/>
  <c r="AF204" i="1" s="1"/>
  <c r="AI308" i="1"/>
  <c r="AI72" i="1"/>
  <c r="AH72" i="1" s="1"/>
  <c r="AG72" i="1" s="1"/>
  <c r="AI369" i="1"/>
  <c r="AI268" i="1"/>
  <c r="AH268" i="1" s="1"/>
  <c r="AG268" i="1" s="1"/>
  <c r="AI216" i="1"/>
  <c r="AH216" i="1" s="1"/>
  <c r="AG216" i="1" s="1"/>
  <c r="AF216" i="1" s="1"/>
  <c r="AI44" i="1"/>
  <c r="AH44" i="1" s="1"/>
  <c r="AG44" i="1" s="1"/>
  <c r="AF44" i="1" s="1"/>
  <c r="X31" i="6"/>
  <c r="S35" i="6"/>
  <c r="U33" i="6"/>
  <c r="AF24" i="6"/>
  <c r="AF23" i="6" s="1"/>
  <c r="AF25" i="6" s="1"/>
  <c r="AN18" i="6"/>
  <c r="AJ16" i="15"/>
  <c r="AJ18" i="15"/>
  <c r="P11" i="16"/>
  <c r="F8" i="16" s="1"/>
  <c r="AI11" i="16" s="1"/>
  <c r="BY16" i="7"/>
  <c r="AI155" i="1"/>
  <c r="AH155" i="1" s="1"/>
  <c r="AG155" i="1" s="1"/>
  <c r="AF155" i="1" s="1"/>
  <c r="AI333" i="1"/>
  <c r="AH333" i="1" s="1"/>
  <c r="AG333" i="1" s="1"/>
  <c r="AF333" i="1" s="1"/>
  <c r="AI18" i="1"/>
  <c r="AH18" i="1" s="1"/>
  <c r="AG18" i="1" s="1"/>
  <c r="AI347" i="1"/>
  <c r="AH347" i="1" s="1"/>
  <c r="AG347" i="1" s="1"/>
  <c r="AF347" i="1" s="1"/>
  <c r="AI300" i="1"/>
  <c r="AH300" i="1" s="1"/>
  <c r="AG300" i="1" s="1"/>
  <c r="AF300" i="1" s="1"/>
  <c r="AI341" i="1"/>
  <c r="AH341" i="1" s="1"/>
  <c r="AG341" i="1" s="1"/>
  <c r="AF341" i="1" s="1"/>
  <c r="AI235" i="1"/>
  <c r="AH235" i="1" s="1"/>
  <c r="AG235" i="1" s="1"/>
  <c r="AF235" i="1" s="1"/>
  <c r="AI281" i="1"/>
  <c r="AH281" i="1" s="1"/>
  <c r="AG281" i="1" s="1"/>
  <c r="AF281" i="1" s="1"/>
  <c r="AI56" i="1"/>
  <c r="AH56" i="1" s="1"/>
  <c r="AG56" i="1" s="1"/>
  <c r="AF56" i="1" s="1"/>
  <c r="AI43" i="1"/>
  <c r="AH43" i="1" s="1"/>
  <c r="AG43" i="1" s="1"/>
  <c r="AF43" i="1" s="1"/>
  <c r="AI173" i="1"/>
  <c r="AH173" i="1" s="1"/>
  <c r="AG173" i="1" s="1"/>
  <c r="AF173" i="1" s="1"/>
  <c r="AI39" i="1"/>
  <c r="AI147" i="1"/>
  <c r="AH147" i="1" s="1"/>
  <c r="AG147" i="1" s="1"/>
  <c r="AF147" i="1" s="1"/>
  <c r="AI82" i="1"/>
  <c r="AH82" i="1" s="1"/>
  <c r="AG82" i="1" s="1"/>
  <c r="AF82" i="1" s="1"/>
  <c r="AI123" i="1"/>
  <c r="AI167" i="1"/>
  <c r="AH167" i="1" s="1"/>
  <c r="AG167" i="1" s="1"/>
  <c r="AF167" i="1" s="1"/>
  <c r="AI133" i="1"/>
  <c r="AH133" i="1" s="1"/>
  <c r="AG133" i="1" s="1"/>
  <c r="AI48" i="1"/>
  <c r="AI240" i="1"/>
  <c r="AH240" i="1" s="1"/>
  <c r="AG240" i="1" s="1"/>
  <c r="AF240" i="1" s="1"/>
  <c r="AI344" i="1"/>
  <c r="AH344" i="1" s="1"/>
  <c r="AG344" i="1" s="1"/>
  <c r="AF344" i="1" s="1"/>
  <c r="AI373" i="1"/>
  <c r="AI135" i="1"/>
  <c r="AH135" i="1" s="1"/>
  <c r="AG135" i="1" s="1"/>
  <c r="AF135" i="1" s="1"/>
  <c r="AI209" i="1"/>
  <c r="AH209" i="1" s="1"/>
  <c r="AG209" i="1" s="1"/>
  <c r="AF209" i="1" s="1"/>
  <c r="AI195" i="1"/>
  <c r="AH195" i="1" s="1"/>
  <c r="AG195" i="1" s="1"/>
  <c r="AF195" i="1" s="1"/>
  <c r="AI84" i="1"/>
  <c r="AH84" i="1" s="1"/>
  <c r="AG84" i="1" s="1"/>
  <c r="AF84" i="1" s="1"/>
  <c r="AI88" i="1"/>
  <c r="AH88" i="1" s="1"/>
  <c r="AG88" i="1" s="1"/>
  <c r="AF88" i="1" s="1"/>
  <c r="AI131" i="1"/>
  <c r="AH131" i="1" s="1"/>
  <c r="AG131" i="1" s="1"/>
  <c r="AI284" i="1"/>
  <c r="AH284" i="1" s="1"/>
  <c r="AG284" i="1" s="1"/>
  <c r="AF284" i="1" s="1"/>
  <c r="AI144" i="1"/>
  <c r="AH144" i="1" s="1"/>
  <c r="AG144" i="1" s="1"/>
  <c r="AF144" i="1" s="1"/>
  <c r="AI159" i="1"/>
  <c r="AH159" i="1" s="1"/>
  <c r="AG159" i="1" s="1"/>
  <c r="AF159" i="1" s="1"/>
  <c r="AI331" i="1"/>
  <c r="AH331" i="1" s="1"/>
  <c r="AG331" i="1" s="1"/>
  <c r="AF331" i="1" s="1"/>
  <c r="AI221" i="1"/>
  <c r="AH221" i="1" s="1"/>
  <c r="AG221" i="1" s="1"/>
  <c r="AF221" i="1" s="1"/>
  <c r="AI55" i="1"/>
  <c r="AH55" i="1" s="1"/>
  <c r="AG55" i="1" s="1"/>
  <c r="AF55" i="1" s="1"/>
  <c r="AI255" i="1"/>
  <c r="AH255" i="1" s="1"/>
  <c r="AG255" i="1" s="1"/>
  <c r="AI77" i="1"/>
  <c r="AI315" i="1"/>
  <c r="AH315" i="1" s="1"/>
  <c r="AG315" i="1" s="1"/>
  <c r="AI290" i="1"/>
  <c r="AH290" i="1" s="1"/>
  <c r="AG290" i="1" s="1"/>
  <c r="AF290" i="1" s="1"/>
  <c r="AI109" i="1"/>
  <c r="AH109" i="1" s="1"/>
  <c r="AG109" i="1" s="1"/>
  <c r="AF109" i="1" s="1"/>
  <c r="AI140" i="1"/>
  <c r="AH140" i="1" s="1"/>
  <c r="AG140" i="1" s="1"/>
  <c r="AF140" i="1" s="1"/>
  <c r="AI203" i="1"/>
  <c r="AH203" i="1" s="1"/>
  <c r="AG203" i="1" s="1"/>
  <c r="AF203" i="1" s="1"/>
  <c r="AI52" i="1"/>
  <c r="AH52" i="1" s="1"/>
  <c r="AG52" i="1" s="1"/>
  <c r="BS16" i="7"/>
  <c r="AI190" i="1"/>
  <c r="AH190" i="1" s="1"/>
  <c r="AG190" i="1" s="1"/>
  <c r="AF190" i="1" s="1"/>
  <c r="AI252" i="1"/>
  <c r="AI158" i="1"/>
  <c r="AH158" i="1" s="1"/>
  <c r="AG158" i="1" s="1"/>
  <c r="AF158" i="1" s="1"/>
  <c r="AI262" i="1"/>
  <c r="AH262" i="1" s="1"/>
  <c r="AG262" i="1" s="1"/>
  <c r="AF262" i="1" s="1"/>
  <c r="AI201" i="1"/>
  <c r="AH201" i="1" s="1"/>
  <c r="AG201" i="1" s="1"/>
  <c r="AF201" i="1" s="1"/>
  <c r="AI59" i="1"/>
  <c r="AH59" i="1" s="1"/>
  <c r="AG59" i="1" s="1"/>
  <c r="AI27" i="1"/>
  <c r="AI99" i="1"/>
  <c r="AH99" i="1" s="1"/>
  <c r="AG99" i="1" s="1"/>
  <c r="AF99" i="1" s="1"/>
  <c r="AI322" i="1"/>
  <c r="AH322" i="1" s="1"/>
  <c r="AG322" i="1" s="1"/>
  <c r="AI189" i="1"/>
  <c r="AH189" i="1" s="1"/>
  <c r="AG189" i="1" s="1"/>
  <c r="AF189" i="1" s="1"/>
  <c r="AI182" i="1"/>
  <c r="AH182" i="1" s="1"/>
  <c r="AG182" i="1" s="1"/>
  <c r="AF182" i="1" s="1"/>
  <c r="AI285" i="1"/>
  <c r="AH285" i="1" s="1"/>
  <c r="AG285" i="1" s="1"/>
  <c r="AF285" i="1" s="1"/>
  <c r="AI340" i="1"/>
  <c r="AH340" i="1" s="1"/>
  <c r="AG340" i="1" s="1"/>
  <c r="AF340" i="1" s="1"/>
  <c r="AI259" i="1"/>
  <c r="AH259" i="1" s="1"/>
  <c r="AG259" i="1" s="1"/>
  <c r="AI33" i="1"/>
  <c r="AI355" i="1"/>
  <c r="AH355" i="1" s="1"/>
  <c r="AG355" i="1" s="1"/>
  <c r="AF355" i="1" s="1"/>
  <c r="AI134" i="1"/>
  <c r="AH134" i="1" s="1"/>
  <c r="AG134" i="1" s="1"/>
  <c r="AF134" i="1" s="1"/>
  <c r="AI318" i="1"/>
  <c r="AI51" i="1"/>
  <c r="AI163" i="1"/>
  <c r="AH163" i="1" s="1"/>
  <c r="AG163" i="1" s="1"/>
  <c r="AF163" i="1" s="1"/>
  <c r="AI379" i="1"/>
  <c r="AH379" i="1" s="1"/>
  <c r="AG379" i="1" s="1"/>
  <c r="AF379" i="1" s="1"/>
  <c r="AI328" i="1"/>
  <c r="AH328" i="1" s="1"/>
  <c r="AG328" i="1" s="1"/>
  <c r="AF328" i="1" s="1"/>
  <c r="AI272" i="1"/>
  <c r="AH272" i="1" s="1"/>
  <c r="AG272" i="1" s="1"/>
  <c r="AF272" i="1" s="1"/>
  <c r="AI127" i="1"/>
  <c r="AH127" i="1" s="1"/>
  <c r="AG127" i="1" s="1"/>
  <c r="AF127" i="1" s="1"/>
  <c r="AI130" i="1"/>
  <c r="AH130" i="1" s="1"/>
  <c r="AG130" i="1" s="1"/>
  <c r="AF130" i="1" s="1"/>
  <c r="AI207" i="1"/>
  <c r="AH207" i="1" s="1"/>
  <c r="AG207" i="1" s="1"/>
  <c r="AF207" i="1" s="1"/>
  <c r="AI335" i="1"/>
  <c r="AH335" i="1" s="1"/>
  <c r="AG335" i="1" s="1"/>
  <c r="AF335" i="1" s="1"/>
  <c r="AI298" i="1"/>
  <c r="AH298" i="1" s="1"/>
  <c r="AG298" i="1" s="1"/>
  <c r="AF298" i="1" s="1"/>
  <c r="AI181" i="1"/>
  <c r="AH181" i="1" s="1"/>
  <c r="AG181" i="1" s="1"/>
  <c r="AF181" i="1" s="1"/>
  <c r="AI191" i="1"/>
  <c r="AH191" i="1" s="1"/>
  <c r="AG191" i="1" s="1"/>
  <c r="AF191" i="1" s="1"/>
  <c r="AI361" i="1"/>
  <c r="AH361" i="1" s="1"/>
  <c r="AG361" i="1" s="1"/>
  <c r="AF361" i="1" s="1"/>
  <c r="AI365" i="1"/>
  <c r="AH365" i="1" s="1"/>
  <c r="AG365" i="1" s="1"/>
  <c r="AF365" i="1" s="1"/>
  <c r="AI105" i="1"/>
  <c r="AH105" i="1" s="1"/>
  <c r="AG105" i="1" s="1"/>
  <c r="AF105" i="1" s="1"/>
  <c r="AI76" i="1"/>
  <c r="AH76" i="1" s="1"/>
  <c r="AG76" i="1" s="1"/>
  <c r="AF76" i="1" s="1"/>
  <c r="AI125" i="1"/>
  <c r="AH125" i="1" s="1"/>
  <c r="AG125" i="1" s="1"/>
  <c r="AF125" i="1" s="1"/>
  <c r="BH99" i="6"/>
  <c r="BH294" i="6"/>
  <c r="BH271" i="6"/>
  <c r="BH186" i="6"/>
  <c r="BH87" i="6"/>
  <c r="BH306" i="6"/>
  <c r="BH307" i="6"/>
  <c r="BH76" i="6"/>
  <c r="BH151" i="6"/>
  <c r="BH88" i="6"/>
  <c r="BH98" i="6"/>
  <c r="E16" i="7"/>
  <c r="AI250" i="1"/>
  <c r="AH250" i="1" s="1"/>
  <c r="AG250" i="1" s="1"/>
  <c r="AF250" i="1" s="1"/>
  <c r="AI222" i="1"/>
  <c r="AH222" i="1" s="1"/>
  <c r="AG222" i="1" s="1"/>
  <c r="AF222" i="1" s="1"/>
  <c r="AI232" i="1"/>
  <c r="AH232" i="1" s="1"/>
  <c r="AG232" i="1" s="1"/>
  <c r="AF232" i="1" s="1"/>
  <c r="AI273" i="1"/>
  <c r="AH273" i="1" s="1"/>
  <c r="AG273" i="1" s="1"/>
  <c r="AF273" i="1" s="1"/>
  <c r="AI185" i="1"/>
  <c r="AH185" i="1" s="1"/>
  <c r="AG185" i="1" s="1"/>
  <c r="AF185" i="1" s="1"/>
  <c r="AI227" i="1"/>
  <c r="AH227" i="1" s="1"/>
  <c r="AG227" i="1" s="1"/>
  <c r="AF227" i="1" s="1"/>
  <c r="AI266" i="1"/>
  <c r="AH266" i="1" s="1"/>
  <c r="AG266" i="1" s="1"/>
  <c r="AF266" i="1" s="1"/>
  <c r="AI362" i="1"/>
  <c r="AH362" i="1" s="1"/>
  <c r="AG362" i="1" s="1"/>
  <c r="AF362" i="1" s="1"/>
  <c r="AI64" i="1"/>
  <c r="AH64" i="1" s="1"/>
  <c r="AG64" i="1" s="1"/>
  <c r="AF64" i="1" s="1"/>
  <c r="AI279" i="1"/>
  <c r="AH279" i="1" s="1"/>
  <c r="AG279" i="1" s="1"/>
  <c r="AF279" i="1" s="1"/>
  <c r="AI375" i="1"/>
  <c r="AH375" i="1" s="1"/>
  <c r="AG375" i="1" s="1"/>
  <c r="AF375" i="1" s="1"/>
  <c r="AI98" i="1"/>
  <c r="AH98" i="1" s="1"/>
  <c r="AG98" i="1" s="1"/>
  <c r="AF98" i="1" s="1"/>
  <c r="AI269" i="1"/>
  <c r="AH269" i="1" s="1"/>
  <c r="AG269" i="1" s="1"/>
  <c r="AF269" i="1" s="1"/>
  <c r="AI20" i="1"/>
  <c r="AH20" i="1" s="1"/>
  <c r="AG20" i="1" s="1"/>
  <c r="AF20" i="1" s="1"/>
  <c r="AI371" i="1"/>
  <c r="AH371" i="1" s="1"/>
  <c r="AG371" i="1" s="1"/>
  <c r="AF371" i="1" s="1"/>
  <c r="AI75" i="1"/>
  <c r="AI136" i="1"/>
  <c r="AH136" i="1" s="1"/>
  <c r="AG136" i="1" s="1"/>
  <c r="AF136" i="1" s="1"/>
  <c r="AI141" i="1"/>
  <c r="AH141" i="1" s="1"/>
  <c r="AG141" i="1" s="1"/>
  <c r="AF141" i="1" s="1"/>
  <c r="AI291" i="1"/>
  <c r="AH291" i="1" s="1"/>
  <c r="AG291" i="1" s="1"/>
  <c r="AF291" i="1" s="1"/>
  <c r="AI166" i="1"/>
  <c r="AH166" i="1" s="1"/>
  <c r="AG166" i="1" s="1"/>
  <c r="AF166" i="1" s="1"/>
  <c r="AI220" i="1"/>
  <c r="AH220" i="1" s="1"/>
  <c r="AG220" i="1" s="1"/>
  <c r="AF220" i="1" s="1"/>
  <c r="AI208" i="1"/>
  <c r="AH208" i="1" s="1"/>
  <c r="AG208" i="1" s="1"/>
  <c r="AF208" i="1" s="1"/>
  <c r="AI60" i="1"/>
  <c r="AH60" i="1" s="1"/>
  <c r="AG60" i="1" s="1"/>
  <c r="AF60" i="1" s="1"/>
  <c r="AI265" i="1"/>
  <c r="AH265" i="1" s="1"/>
  <c r="AG265" i="1" s="1"/>
  <c r="AF265" i="1" s="1"/>
  <c r="AI316" i="1"/>
  <c r="AH316" i="1" s="1"/>
  <c r="AG316" i="1" s="1"/>
  <c r="AF316" i="1" s="1"/>
  <c r="AI139" i="1"/>
  <c r="AH139" i="1" s="1"/>
  <c r="AG139" i="1" s="1"/>
  <c r="AF139" i="1" s="1"/>
  <c r="AI304" i="1"/>
  <c r="AH304" i="1" s="1"/>
  <c r="AG304" i="1" s="1"/>
  <c r="AF304" i="1" s="1"/>
  <c r="AI157" i="1"/>
  <c r="AH157" i="1" s="1"/>
  <c r="AG157" i="1" s="1"/>
  <c r="AF157" i="1" s="1"/>
  <c r="AI311" i="1"/>
  <c r="AH311" i="1" s="1"/>
  <c r="AG311" i="1" s="1"/>
  <c r="AF311" i="1" s="1"/>
  <c r="AI326" i="1"/>
  <c r="AI228" i="1"/>
  <c r="AH228" i="1" s="1"/>
  <c r="AG228" i="1" s="1"/>
  <c r="AF228" i="1" s="1"/>
  <c r="AI118" i="1"/>
  <c r="AH118" i="1" s="1"/>
  <c r="AG118" i="1" s="1"/>
  <c r="AF118" i="1" s="1"/>
  <c r="AI117" i="1"/>
  <c r="AH117" i="1" s="1"/>
  <c r="AG117" i="1" s="1"/>
  <c r="AF117" i="1" s="1"/>
  <c r="AF363" i="1"/>
  <c r="AI104" i="1"/>
  <c r="AH104" i="1" s="1"/>
  <c r="AG104" i="1" s="1"/>
  <c r="AF104" i="1" s="1"/>
  <c r="AI211" i="1"/>
  <c r="AH211" i="1" s="1"/>
  <c r="AG211" i="1" s="1"/>
  <c r="AF211" i="1" s="1"/>
  <c r="AI47" i="1"/>
  <c r="AH47" i="1" s="1"/>
  <c r="AG47" i="1" s="1"/>
  <c r="AF47" i="1" s="1"/>
  <c r="AI320" i="1"/>
  <c r="AH320" i="1" s="1"/>
  <c r="AG320" i="1" s="1"/>
  <c r="AF320" i="1" s="1"/>
  <c r="AI299" i="1"/>
  <c r="AI219" i="1"/>
  <c r="AH219" i="1" s="1"/>
  <c r="AG219" i="1" s="1"/>
  <c r="AF219" i="1" s="1"/>
  <c r="AI264" i="1"/>
  <c r="AH264" i="1" s="1"/>
  <c r="AG264" i="1" s="1"/>
  <c r="AF264" i="1" s="1"/>
  <c r="AI321" i="1"/>
  <c r="AH321" i="1" s="1"/>
  <c r="AG321" i="1" s="1"/>
  <c r="AF321" i="1" s="1"/>
  <c r="AI120" i="1"/>
  <c r="AH120" i="1" s="1"/>
  <c r="AG120" i="1" s="1"/>
  <c r="AF120" i="1" s="1"/>
  <c r="AI230" i="1"/>
  <c r="AH230" i="1" s="1"/>
  <c r="AG230" i="1" s="1"/>
  <c r="AF230" i="1" s="1"/>
  <c r="AI350" i="1"/>
  <c r="AH350" i="1" s="1"/>
  <c r="AG350" i="1" s="1"/>
  <c r="AF350" i="1" s="1"/>
  <c r="AI309" i="1"/>
  <c r="AH309" i="1" s="1"/>
  <c r="AG309" i="1" s="1"/>
  <c r="AF309" i="1" s="1"/>
  <c r="AI49" i="1"/>
  <c r="AH49" i="1" s="1"/>
  <c r="AG49" i="1" s="1"/>
  <c r="AF49" i="1" s="1"/>
  <c r="AI38" i="1"/>
  <c r="AH38" i="1" s="1"/>
  <c r="AG38" i="1" s="1"/>
  <c r="AF38" i="1" s="1"/>
  <c r="AI106" i="1"/>
  <c r="AH106" i="1" s="1"/>
  <c r="AG106" i="1" s="1"/>
  <c r="AF106" i="1" s="1"/>
  <c r="AI237" i="1"/>
  <c r="AH237" i="1" s="1"/>
  <c r="AG237" i="1" s="1"/>
  <c r="AF237" i="1" s="1"/>
  <c r="AI241" i="1"/>
  <c r="AH241" i="1" s="1"/>
  <c r="AG241" i="1" s="1"/>
  <c r="AF241" i="1" s="1"/>
  <c r="AI234" i="1"/>
  <c r="AI278" i="1"/>
  <c r="AH278" i="1" s="1"/>
  <c r="AG278" i="1" s="1"/>
  <c r="AF278" i="1" s="1"/>
  <c r="AI188" i="1"/>
  <c r="AH188" i="1" s="1"/>
  <c r="AG188" i="1" s="1"/>
  <c r="AF188" i="1" s="1"/>
  <c r="H13" i="7"/>
  <c r="AI132" i="1"/>
  <c r="AI119" i="1"/>
  <c r="AH119" i="1" s="1"/>
  <c r="AG119" i="1" s="1"/>
  <c r="AF119" i="1" s="1"/>
  <c r="AI345" i="1"/>
  <c r="AH345" i="1" s="1"/>
  <c r="AG345" i="1" s="1"/>
  <c r="AF345" i="1" s="1"/>
  <c r="AI137" i="1"/>
  <c r="AH137" i="1" s="1"/>
  <c r="AG137" i="1" s="1"/>
  <c r="AF137" i="1" s="1"/>
  <c r="AI45" i="1"/>
  <c r="AI196" i="1"/>
  <c r="AH196" i="1" s="1"/>
  <c r="AG196" i="1" s="1"/>
  <c r="AF196" i="1" s="1"/>
  <c r="AI270" i="1"/>
  <c r="AH270" i="1" s="1"/>
  <c r="AG270" i="1" s="1"/>
  <c r="AF270" i="1" s="1"/>
  <c r="AI93" i="1"/>
  <c r="AH93" i="1" s="1"/>
  <c r="AG93" i="1" s="1"/>
  <c r="AF93" i="1" s="1"/>
  <c r="AI217" i="1"/>
  <c r="AH217" i="1" s="1"/>
  <c r="AG217" i="1" s="1"/>
  <c r="AF217" i="1" s="1"/>
  <c r="AI176" i="1"/>
  <c r="AH176" i="1" s="1"/>
  <c r="AG176" i="1" s="1"/>
  <c r="AF176" i="1" s="1"/>
  <c r="AI280" i="1"/>
  <c r="AH280" i="1" s="1"/>
  <c r="AG280" i="1" s="1"/>
  <c r="AF280" i="1" s="1"/>
  <c r="AI142" i="1"/>
  <c r="AH142" i="1" s="1"/>
  <c r="AG142" i="1" s="1"/>
  <c r="AF142" i="1" s="1"/>
  <c r="AI267" i="1"/>
  <c r="AI26" i="1"/>
  <c r="AI306" i="1"/>
  <c r="AI293" i="1"/>
  <c r="AH293" i="1" s="1"/>
  <c r="AG293" i="1" s="1"/>
  <c r="AF293" i="1" s="1"/>
  <c r="AI22" i="1"/>
  <c r="AH22" i="1" s="1"/>
  <c r="AG22" i="1" s="1"/>
  <c r="AF22" i="1" s="1"/>
  <c r="AI46" i="1"/>
  <c r="AI233" i="1"/>
  <c r="AH233" i="1" s="1"/>
  <c r="AG233" i="1" s="1"/>
  <c r="AF233" i="1" s="1"/>
  <c r="AI85" i="1"/>
  <c r="AH85" i="1" s="1"/>
  <c r="AG85" i="1" s="1"/>
  <c r="AF85" i="1" s="1"/>
  <c r="AI57" i="1"/>
  <c r="AI337" i="1"/>
  <c r="AH337" i="1" s="1"/>
  <c r="AG337" i="1" s="1"/>
  <c r="AF337" i="1" s="1"/>
  <c r="AI297" i="1"/>
  <c r="AH297" i="1" s="1"/>
  <c r="AG297" i="1" s="1"/>
  <c r="AF297" i="1" s="1"/>
  <c r="AI101" i="1"/>
  <c r="AH101" i="1" s="1"/>
  <c r="AG101" i="1" s="1"/>
  <c r="AF101" i="1" s="1"/>
  <c r="AI25" i="1"/>
  <c r="AI199" i="1"/>
  <c r="AH199" i="1" s="1"/>
  <c r="AG199" i="1" s="1"/>
  <c r="AF199" i="1" s="1"/>
  <c r="AI210" i="1"/>
  <c r="AH210" i="1" s="1"/>
  <c r="AG210" i="1" s="1"/>
  <c r="AF210" i="1" s="1"/>
  <c r="AI376" i="1"/>
  <c r="AI138" i="1"/>
  <c r="AH138" i="1" s="1"/>
  <c r="AG138" i="1" s="1"/>
  <c r="AF138" i="1" s="1"/>
  <c r="AI287" i="1"/>
  <c r="AH287" i="1" s="1"/>
  <c r="AG287" i="1" s="1"/>
  <c r="AF287" i="1" s="1"/>
  <c r="AI292" i="1"/>
  <c r="AH292" i="1" s="1"/>
  <c r="AG292" i="1" s="1"/>
  <c r="AF292" i="1" s="1"/>
  <c r="AI236" i="1"/>
  <c r="AH236" i="1" s="1"/>
  <c r="AG236" i="1" s="1"/>
  <c r="AF236" i="1" s="1"/>
  <c r="AI36" i="1"/>
  <c r="AH36" i="1" s="1"/>
  <c r="AG36" i="1" s="1"/>
  <c r="AF36" i="1" s="1"/>
  <c r="AA29" i="6"/>
  <c r="U31" i="6"/>
  <c r="AI24" i="6"/>
  <c r="AI23" i="6" s="1"/>
  <c r="AI25" i="6" s="1"/>
  <c r="O31" i="6"/>
  <c r="O24" i="6"/>
  <c r="O23" i="6" s="1"/>
  <c r="O25" i="6" s="1"/>
  <c r="AL24" i="6"/>
  <c r="AL23" i="6" s="1"/>
  <c r="AL25" i="6" s="1"/>
  <c r="AJ380" i="18"/>
  <c r="Z13" i="7"/>
  <c r="F7" i="18"/>
  <c r="AC12" i="18" s="1"/>
  <c r="AI206" i="1"/>
  <c r="AH206" i="1" s="1"/>
  <c r="AG206" i="1" s="1"/>
  <c r="AF206" i="1" s="1"/>
  <c r="AI224" i="1"/>
  <c r="AH224" i="1" s="1"/>
  <c r="AG224" i="1" s="1"/>
  <c r="AF224" i="1" s="1"/>
  <c r="AI303" i="1"/>
  <c r="AI214" i="1"/>
  <c r="AH214" i="1" s="1"/>
  <c r="AG214" i="1" s="1"/>
  <c r="AF214" i="1" s="1"/>
  <c r="AI164" i="1"/>
  <c r="AH164" i="1" s="1"/>
  <c r="AG164" i="1" s="1"/>
  <c r="AF164" i="1" s="1"/>
  <c r="AI31" i="1"/>
  <c r="AI126" i="1"/>
  <c r="AH126" i="1" s="1"/>
  <c r="AG126" i="1" s="1"/>
  <c r="AF126" i="1" s="1"/>
  <c r="AI366" i="1"/>
  <c r="AI90" i="1"/>
  <c r="AH90" i="1" s="1"/>
  <c r="AG90" i="1" s="1"/>
  <c r="AF90" i="1" s="1"/>
  <c r="AI276" i="1"/>
  <c r="AH276" i="1" s="1"/>
  <c r="AG276" i="1" s="1"/>
  <c r="AF276" i="1" s="1"/>
  <c r="AI153" i="1"/>
  <c r="AH153" i="1" s="1"/>
  <c r="AG153" i="1" s="1"/>
  <c r="AF153" i="1" s="1"/>
  <c r="AI81" i="1"/>
  <c r="AH81" i="1" s="1"/>
  <c r="AG81" i="1" s="1"/>
  <c r="AF81" i="1" s="1"/>
  <c r="AI378" i="1"/>
  <c r="AH378" i="1" s="1"/>
  <c r="AG378" i="1" s="1"/>
  <c r="AF378" i="1" s="1"/>
  <c r="AI330" i="1"/>
  <c r="AH330" i="1" s="1"/>
  <c r="AG330" i="1" s="1"/>
  <c r="AF330" i="1" s="1"/>
  <c r="AI295" i="1"/>
  <c r="AH295" i="1" s="1"/>
  <c r="AG295" i="1" s="1"/>
  <c r="AF295" i="1" s="1"/>
  <c r="AI80" i="1"/>
  <c r="AH80" i="1" s="1"/>
  <c r="AG80" i="1" s="1"/>
  <c r="AF80" i="1" s="1"/>
  <c r="AI35" i="1"/>
  <c r="AH35" i="1" s="1"/>
  <c r="AG35" i="1" s="1"/>
  <c r="AF35" i="1" s="1"/>
  <c r="AI349" i="1"/>
  <c r="AH349" i="1" s="1"/>
  <c r="AG349" i="1" s="1"/>
  <c r="AF349" i="1" s="1"/>
  <c r="AI354" i="1"/>
  <c r="AH354" i="1" s="1"/>
  <c r="AG354" i="1" s="1"/>
  <c r="AF354" i="1" s="1"/>
  <c r="AI238" i="1"/>
  <c r="AH238" i="1" s="1"/>
  <c r="AG238" i="1" s="1"/>
  <c r="AF238" i="1" s="1"/>
  <c r="AI256" i="1"/>
  <c r="AH256" i="1" s="1"/>
  <c r="AG256" i="1" s="1"/>
  <c r="AF256" i="1" s="1"/>
  <c r="AI69" i="1"/>
  <c r="AH69" i="1" s="1"/>
  <c r="AG69" i="1" s="1"/>
  <c r="AF69" i="1" s="1"/>
  <c r="AI336" i="1"/>
  <c r="AH336" i="1" s="1"/>
  <c r="AG336" i="1" s="1"/>
  <c r="AF336" i="1" s="1"/>
  <c r="AI30" i="1"/>
  <c r="AH30" i="1" s="1"/>
  <c r="AG30" i="1" s="1"/>
  <c r="AF30" i="1" s="1"/>
  <c r="AI79" i="1"/>
  <c r="AH79" i="1" s="1"/>
  <c r="AG79" i="1" s="1"/>
  <c r="AF79" i="1" s="1"/>
  <c r="AI193" i="1"/>
  <c r="AH193" i="1" s="1"/>
  <c r="AG193" i="1" s="1"/>
  <c r="AF193" i="1" s="1"/>
  <c r="AI34" i="1"/>
  <c r="AI32" i="1"/>
  <c r="AI353" i="1"/>
  <c r="AI113" i="1"/>
  <c r="U18" i="1"/>
  <c r="T18" i="1" s="1"/>
  <c r="S18" i="1" s="1"/>
  <c r="R18" i="1" s="1"/>
  <c r="U19" i="1"/>
  <c r="T19" i="1" s="1"/>
  <c r="S19" i="1" s="1"/>
  <c r="R19" i="1" s="1"/>
  <c r="U16" i="1"/>
  <c r="U15" i="1"/>
  <c r="U20" i="1"/>
  <c r="T20" i="1" s="1"/>
  <c r="S20" i="1" s="1"/>
  <c r="R20" i="1" s="1"/>
  <c r="AI91" i="1"/>
  <c r="AH91" i="1" s="1"/>
  <c r="AG91" i="1" s="1"/>
  <c r="AF91" i="1" s="1"/>
  <c r="AI23" i="1"/>
  <c r="AH23" i="1" s="1"/>
  <c r="AG23" i="1" s="1"/>
  <c r="AF23" i="1" s="1"/>
  <c r="AI50" i="1"/>
  <c r="AI314" i="1"/>
  <c r="AI324" i="1"/>
  <c r="AI21" i="1"/>
  <c r="AI325" i="1"/>
  <c r="AI261" i="1"/>
  <c r="AH261" i="1" s="1"/>
  <c r="AG261" i="1" s="1"/>
  <c r="AF261" i="1" s="1"/>
  <c r="AI17" i="1"/>
  <c r="AH17" i="1" s="1"/>
  <c r="AG17" i="1" s="1"/>
  <c r="AF17" i="1" s="1"/>
  <c r="AI243" i="1"/>
  <c r="AH243" i="1" s="1"/>
  <c r="AG243" i="1" s="1"/>
  <c r="AF243" i="1" s="1"/>
  <c r="AI114" i="1"/>
  <c r="AH114" i="1" s="1"/>
  <c r="AG114" i="1" s="1"/>
  <c r="AF114" i="1" s="1"/>
  <c r="AI192" i="1"/>
  <c r="AH192" i="1" s="1"/>
  <c r="AG192" i="1" s="1"/>
  <c r="AF192" i="1" s="1"/>
  <c r="AI149" i="1"/>
  <c r="AH149" i="1" s="1"/>
  <c r="AG149" i="1" s="1"/>
  <c r="AF149" i="1" s="1"/>
  <c r="AI89" i="1"/>
  <c r="AH89" i="1" s="1"/>
  <c r="AG89" i="1" s="1"/>
  <c r="AF89" i="1" s="1"/>
  <c r="AI339" i="1"/>
  <c r="AI283" i="1"/>
  <c r="AH283" i="1" s="1"/>
  <c r="AG283" i="1" s="1"/>
  <c r="AF283" i="1" s="1"/>
  <c r="AI289" i="1"/>
  <c r="AH289" i="1" s="1"/>
  <c r="AG289" i="1" s="1"/>
  <c r="AF289" i="1" s="1"/>
  <c r="AI334" i="1"/>
  <c r="AH334" i="1" s="1"/>
  <c r="AG334" i="1" s="1"/>
  <c r="AF334" i="1" s="1"/>
  <c r="AI156" i="1"/>
  <c r="AH156" i="1" s="1"/>
  <c r="AG156" i="1" s="1"/>
  <c r="AF156" i="1" s="1"/>
  <c r="AI323" i="1"/>
  <c r="AI16" i="1"/>
  <c r="AH16" i="1" s="1"/>
  <c r="AG16" i="1" s="1"/>
  <c r="AF16" i="1" s="1"/>
  <c r="AI338" i="1"/>
  <c r="AH338" i="1" s="1"/>
  <c r="AG338" i="1" s="1"/>
  <c r="AF338" i="1" s="1"/>
  <c r="AI71" i="1"/>
  <c r="AH71" i="1" s="1"/>
  <c r="AG71" i="1" s="1"/>
  <c r="AF71" i="1" s="1"/>
  <c r="AI96" i="1"/>
  <c r="AH96" i="1" s="1"/>
  <c r="AG96" i="1" s="1"/>
  <c r="AF96" i="1" s="1"/>
  <c r="AI372" i="1"/>
  <c r="AH372" i="1" s="1"/>
  <c r="AG372" i="1" s="1"/>
  <c r="AF372" i="1" s="1"/>
  <c r="AI229" i="1"/>
  <c r="AH229" i="1" s="1"/>
  <c r="AG229" i="1" s="1"/>
  <c r="AF229" i="1" s="1"/>
  <c r="AI53" i="1"/>
  <c r="AI73" i="1"/>
  <c r="AI78" i="1"/>
  <c r="AH78" i="1" s="1"/>
  <c r="AG78" i="1" s="1"/>
  <c r="AF78" i="1" s="1"/>
  <c r="U17" i="1"/>
  <c r="AI301" i="1"/>
  <c r="AH301" i="1" s="1"/>
  <c r="AG301" i="1" s="1"/>
  <c r="AF301" i="1" s="1"/>
  <c r="AI94" i="1"/>
  <c r="AH94" i="1" s="1"/>
  <c r="AG94" i="1" s="1"/>
  <c r="AF94" i="1" s="1"/>
  <c r="AI174" i="1"/>
  <c r="AH174" i="1" s="1"/>
  <c r="AG174" i="1" s="1"/>
  <c r="AF174" i="1" s="1"/>
  <c r="AI129" i="1"/>
  <c r="AI332" i="1"/>
  <c r="AI186" i="1"/>
  <c r="AH186" i="1" s="1"/>
  <c r="AG186" i="1" s="1"/>
  <c r="AF186" i="1" s="1"/>
  <c r="AI198" i="1"/>
  <c r="AH198" i="1" s="1"/>
  <c r="AG198" i="1" s="1"/>
  <c r="AF198" i="1" s="1"/>
  <c r="AI343" i="1"/>
  <c r="AH343" i="1" s="1"/>
  <c r="AG343" i="1" s="1"/>
  <c r="AF343" i="1" s="1"/>
  <c r="AI41" i="1"/>
  <c r="AH41" i="1" s="1"/>
  <c r="AG41" i="1" s="1"/>
  <c r="AF41" i="1" s="1"/>
  <c r="AI28" i="1"/>
  <c r="AH28" i="1" s="1"/>
  <c r="AG28" i="1" s="1"/>
  <c r="AF28" i="1" s="1"/>
  <c r="AI288" i="1"/>
  <c r="AH288" i="1" s="1"/>
  <c r="AG288" i="1" s="1"/>
  <c r="AF288" i="1" s="1"/>
  <c r="AI274" i="1"/>
  <c r="AH274" i="1" s="1"/>
  <c r="AG274" i="1" s="1"/>
  <c r="AF274" i="1" s="1"/>
  <c r="AI271" i="1"/>
  <c r="AH271" i="1" s="1"/>
  <c r="AG271" i="1" s="1"/>
  <c r="AF271" i="1" s="1"/>
  <c r="AI102" i="1"/>
  <c r="AH102" i="1" s="1"/>
  <c r="AG102" i="1" s="1"/>
  <c r="AF102" i="1" s="1"/>
  <c r="AI296" i="1"/>
  <c r="AH296" i="1" s="1"/>
  <c r="AG296" i="1" s="1"/>
  <c r="AF296" i="1" s="1"/>
  <c r="AI251" i="1"/>
  <c r="AH251" i="1" s="1"/>
  <c r="AG251" i="1" s="1"/>
  <c r="AF251" i="1" s="1"/>
  <c r="AI83" i="1"/>
  <c r="AH83" i="1" s="1"/>
  <c r="AG83" i="1" s="1"/>
  <c r="AF83" i="1" s="1"/>
  <c r="AI148" i="1"/>
  <c r="AH148" i="1" s="1"/>
  <c r="AG148" i="1" s="1"/>
  <c r="AF148" i="1" s="1"/>
  <c r="AI110" i="1"/>
  <c r="AH110" i="1" s="1"/>
  <c r="AG110" i="1" s="1"/>
  <c r="AF110" i="1" s="1"/>
  <c r="AI86" i="1"/>
  <c r="AH86" i="1" s="1"/>
  <c r="AG86" i="1" s="1"/>
  <c r="AF86" i="1" s="1"/>
  <c r="AI194" i="1"/>
  <c r="AH194" i="1" s="1"/>
  <c r="AG194" i="1" s="1"/>
  <c r="AF194" i="1" s="1"/>
  <c r="AI213" i="1"/>
  <c r="AH213" i="1" s="1"/>
  <c r="AG213" i="1" s="1"/>
  <c r="AF213" i="1" s="1"/>
  <c r="AI249" i="1"/>
  <c r="AI95" i="1"/>
  <c r="AH95" i="1" s="1"/>
  <c r="AG95" i="1" s="1"/>
  <c r="AF95" i="1" s="1"/>
  <c r="AI171" i="1"/>
  <c r="AH171" i="1" s="1"/>
  <c r="AG171" i="1" s="1"/>
  <c r="AF171" i="1" s="1"/>
  <c r="AI253" i="1"/>
  <c r="AI112" i="1"/>
  <c r="AI19" i="1"/>
  <c r="AI275" i="1"/>
  <c r="AH275" i="1" s="1"/>
  <c r="AG275" i="1" s="1"/>
  <c r="AF275" i="1" s="1"/>
  <c r="AI67" i="1"/>
  <c r="AI183" i="1"/>
  <c r="AH183" i="1" s="1"/>
  <c r="AG183" i="1" s="1"/>
  <c r="AF183" i="1" s="1"/>
  <c r="AI246" i="1"/>
  <c r="AI100" i="1"/>
  <c r="AH100" i="1" s="1"/>
  <c r="AG100" i="1" s="1"/>
  <c r="AF100" i="1" s="1"/>
  <c r="AI225" i="1"/>
  <c r="AH225" i="1" s="1"/>
  <c r="AG225" i="1" s="1"/>
  <c r="AF225" i="1" s="1"/>
  <c r="AI121" i="1"/>
  <c r="AI310" i="1"/>
  <c r="AH310" i="1" s="1"/>
  <c r="AG310" i="1" s="1"/>
  <c r="AF310" i="1" s="1"/>
  <c r="AI327" i="1"/>
  <c r="AH327" i="1" s="1"/>
  <c r="AG327" i="1" s="1"/>
  <c r="AF327" i="1" s="1"/>
  <c r="AI197" i="1"/>
  <c r="AH197" i="1" s="1"/>
  <c r="AG197" i="1" s="1"/>
  <c r="AF197" i="1" s="1"/>
  <c r="AI351" i="1"/>
  <c r="AH351" i="1" s="1"/>
  <c r="AG351" i="1" s="1"/>
  <c r="AF351" i="1" s="1"/>
  <c r="AI61" i="1"/>
  <c r="AH61" i="1" s="1"/>
  <c r="AG61" i="1" s="1"/>
  <c r="AF61" i="1" s="1"/>
  <c r="AI40" i="1"/>
  <c r="AH40" i="1" s="1"/>
  <c r="AG40" i="1" s="1"/>
  <c r="AF40" i="1" s="1"/>
  <c r="AI247" i="1"/>
  <c r="AH247" i="1" s="1"/>
  <c r="AG247" i="1" s="1"/>
  <c r="AF247" i="1" s="1"/>
  <c r="AI92" i="1"/>
  <c r="AH92" i="1" s="1"/>
  <c r="AG92" i="1" s="1"/>
  <c r="AF92" i="1" s="1"/>
  <c r="AI160" i="1"/>
  <c r="AH160" i="1" s="1"/>
  <c r="AG160" i="1" s="1"/>
  <c r="AF160" i="1" s="1"/>
  <c r="AI223" i="1"/>
  <c r="AH223" i="1" s="1"/>
  <c r="AG223" i="1" s="1"/>
  <c r="AF223" i="1" s="1"/>
  <c r="AI364" i="1"/>
  <c r="AH364" i="1" s="1"/>
  <c r="AG364" i="1" s="1"/>
  <c r="AF364" i="1" s="1"/>
  <c r="AI202" i="1"/>
  <c r="AH202" i="1" s="1"/>
  <c r="AG202" i="1" s="1"/>
  <c r="AF202" i="1" s="1"/>
  <c r="AI257" i="1"/>
  <c r="AI180" i="1"/>
  <c r="AH180" i="1" s="1"/>
  <c r="AG180" i="1" s="1"/>
  <c r="AF180" i="1" s="1"/>
  <c r="AI212" i="1"/>
  <c r="AH212" i="1" s="1"/>
  <c r="AG212" i="1" s="1"/>
  <c r="AF212" i="1" s="1"/>
  <c r="AI360" i="1"/>
  <c r="AI277" i="1"/>
  <c r="AH277" i="1" s="1"/>
  <c r="AG277" i="1" s="1"/>
  <c r="AF277" i="1" s="1"/>
  <c r="AI286" i="1"/>
  <c r="AH286" i="1" s="1"/>
  <c r="AG286" i="1" s="1"/>
  <c r="AF286" i="1" s="1"/>
  <c r="AI356" i="1"/>
  <c r="AI367" i="1"/>
  <c r="AI244" i="1"/>
  <c r="AH244" i="1" s="1"/>
  <c r="AG244" i="1" s="1"/>
  <c r="AF244" i="1" s="1"/>
  <c r="AI116" i="1"/>
  <c r="AK20" i="15"/>
  <c r="AJ17" i="18"/>
  <c r="AJ15" i="18"/>
  <c r="AJ18" i="18"/>
  <c r="O9" i="20"/>
  <c r="F7" i="15"/>
  <c r="AC9" i="15" s="1"/>
  <c r="AF13" i="7"/>
  <c r="AJ20" i="15"/>
  <c r="AJ15" i="15"/>
  <c r="AJ19" i="15"/>
  <c r="AJ17" i="15"/>
  <c r="AJ380" i="15"/>
  <c r="R24" i="6"/>
  <c r="R23" i="6" s="1"/>
  <c r="R25" i="6" s="1"/>
  <c r="X46" i="6"/>
  <c r="V50" i="6"/>
  <c r="E7" i="17"/>
  <c r="O10" i="17" s="1"/>
  <c r="AI12" i="15"/>
  <c r="BH25" i="6"/>
  <c r="BH38" i="6"/>
  <c r="BH106" i="6"/>
  <c r="BH284" i="6"/>
  <c r="BH146" i="6"/>
  <c r="BH216" i="6"/>
  <c r="BH227" i="6"/>
  <c r="BH312" i="6"/>
  <c r="BH329" i="6"/>
  <c r="BH215" i="6"/>
  <c r="BH373" i="6"/>
  <c r="BH120" i="6"/>
  <c r="BH325" i="6"/>
  <c r="BH287" i="6"/>
  <c r="BH127" i="6"/>
  <c r="BH323" i="6"/>
  <c r="BH73" i="6"/>
  <c r="BH55" i="6"/>
  <c r="BH208" i="6"/>
  <c r="BH334" i="6"/>
  <c r="BH64" i="6"/>
  <c r="BH175" i="6"/>
  <c r="AF255" i="1"/>
  <c r="Q24" i="6"/>
  <c r="Q23" i="6" s="1"/>
  <c r="Q25" i="6" s="1"/>
  <c r="AA24" i="6"/>
  <c r="AA23" i="6" s="1"/>
  <c r="AA25" i="6" s="1"/>
  <c r="AC9" i="17"/>
  <c r="AC12" i="17"/>
  <c r="O11" i="17"/>
  <c r="N33" i="6"/>
  <c r="Y24" i="6"/>
  <c r="Y23" i="6" s="1"/>
  <c r="Y25" i="6" s="1"/>
  <c r="AD24" i="6"/>
  <c r="AD23" i="6" s="1"/>
  <c r="AD25" i="6" s="1"/>
  <c r="AH24" i="6"/>
  <c r="AH23" i="6" s="1"/>
  <c r="AH25" i="6" s="1"/>
  <c r="BH160" i="6"/>
  <c r="BH204" i="6"/>
  <c r="BH263" i="6"/>
  <c r="BH116" i="6"/>
  <c r="BH377" i="6"/>
  <c r="BH26" i="6"/>
  <c r="BH342" i="6"/>
  <c r="BH264" i="6"/>
  <c r="BH326" i="6"/>
  <c r="BH51" i="6"/>
  <c r="BH327" i="6"/>
  <c r="BH112" i="6"/>
  <c r="BH113" i="6"/>
  <c r="BH32" i="6"/>
  <c r="BH188" i="6"/>
  <c r="BH366" i="6"/>
  <c r="BH242" i="6"/>
  <c r="BH144" i="6"/>
  <c r="BH268" i="6"/>
  <c r="BH180" i="6"/>
  <c r="BH37" i="6"/>
  <c r="BH152" i="6"/>
  <c r="BH201" i="6"/>
  <c r="BH226" i="6"/>
  <c r="BH169" i="6"/>
  <c r="BH205" i="6"/>
  <c r="BH221" i="6"/>
  <c r="BH314" i="6"/>
  <c r="BH357" i="6"/>
  <c r="BH380" i="6"/>
  <c r="BH95" i="6"/>
  <c r="BH310" i="6"/>
  <c r="BH219" i="6"/>
  <c r="BH176" i="6"/>
  <c r="BH56" i="6"/>
  <c r="BH232" i="6"/>
  <c r="BH42" i="6"/>
  <c r="BH114" i="6"/>
  <c r="BH102" i="6"/>
  <c r="BH40" i="6"/>
  <c r="BH81" i="6"/>
  <c r="BH91" i="6"/>
  <c r="BH348" i="6"/>
  <c r="BH165" i="6"/>
  <c r="BH365" i="6"/>
  <c r="BH189" i="6"/>
  <c r="BH279" i="6"/>
  <c r="BH256" i="6"/>
  <c r="BH143" i="6"/>
  <c r="BH48" i="6"/>
  <c r="BH150" i="6"/>
  <c r="BH28" i="6"/>
  <c r="BH207" i="6"/>
  <c r="BH301" i="6"/>
  <c r="BH283" i="6"/>
  <c r="BH282" i="6"/>
  <c r="BH177" i="6"/>
  <c r="BH130" i="6"/>
  <c r="BH138" i="6"/>
  <c r="BH129" i="6"/>
  <c r="BH195" i="6"/>
  <c r="BH69" i="6"/>
  <c r="BH345" i="6"/>
  <c r="BH324" i="6"/>
  <c r="BH350" i="6"/>
  <c r="BH217" i="6"/>
  <c r="BH251" i="6"/>
  <c r="BH167" i="6"/>
  <c r="BH133" i="6"/>
  <c r="BH337" i="6"/>
  <c r="BH79" i="6"/>
  <c r="BH52" i="6"/>
  <c r="BH346" i="6"/>
  <c r="BH328" i="6"/>
  <c r="BH128" i="6"/>
  <c r="BH173" i="6"/>
  <c r="BH302" i="6"/>
  <c r="BH104" i="6"/>
  <c r="BH225" i="6"/>
  <c r="BH155" i="6"/>
  <c r="BH275" i="6"/>
  <c r="BH280" i="6"/>
  <c r="BH233" i="6"/>
  <c r="BH103" i="6"/>
  <c r="BH163" i="6"/>
  <c r="BH356" i="6"/>
  <c r="BH70" i="6"/>
  <c r="BH303" i="6"/>
  <c r="BH333" i="6"/>
  <c r="BH244" i="6"/>
  <c r="BH45" i="6"/>
  <c r="BH236" i="6"/>
  <c r="BH199" i="6"/>
  <c r="BH238" i="6"/>
  <c r="BH206" i="6"/>
  <c r="BH89" i="6"/>
  <c r="BH194" i="6"/>
  <c r="BH75" i="6"/>
  <c r="BH375" i="6"/>
  <c r="BH229" i="6"/>
  <c r="BH269" i="6"/>
  <c r="BH200" i="6"/>
  <c r="BH158" i="6"/>
  <c r="BH135" i="6"/>
  <c r="BH281" i="6"/>
  <c r="BH293" i="6"/>
  <c r="BH289" i="6"/>
  <c r="BH181" i="6"/>
  <c r="BH63" i="6"/>
  <c r="BH367" i="6"/>
  <c r="BH33" i="6"/>
  <c r="BH49" i="6"/>
  <c r="BH34" i="6"/>
  <c r="BH338" i="6"/>
  <c r="BH187" i="6"/>
  <c r="BH142" i="6"/>
  <c r="BH140" i="6"/>
  <c r="BH276" i="6"/>
  <c r="BH57" i="6"/>
  <c r="BH209" i="6"/>
  <c r="BH220" i="6"/>
  <c r="BH108" i="6"/>
  <c r="BH250" i="6"/>
  <c r="BH344" i="6"/>
  <c r="BH58" i="6"/>
  <c r="BH119" i="6"/>
  <c r="BH341" i="6"/>
  <c r="BH320" i="6"/>
  <c r="BH339" i="6"/>
  <c r="BH336" i="6"/>
  <c r="BH379" i="6"/>
  <c r="BH315" i="6"/>
  <c r="BH115" i="6"/>
  <c r="BH93" i="6"/>
  <c r="BH161" i="6"/>
  <c r="BH299" i="6"/>
  <c r="BH171" i="6"/>
  <c r="BH335" i="6"/>
  <c r="BH178" i="6"/>
  <c r="BH78" i="6"/>
  <c r="BH105" i="6"/>
  <c r="BH376" i="6"/>
  <c r="BH354" i="6"/>
  <c r="BH198" i="6"/>
  <c r="BH191" i="6"/>
  <c r="BH241" i="6"/>
  <c r="BH278" i="6"/>
  <c r="BH84" i="6"/>
  <c r="BH190" i="6"/>
  <c r="BH203" i="6"/>
  <c r="BH266" i="6"/>
  <c r="BH15" i="6"/>
  <c r="BH27" i="6"/>
  <c r="BH125" i="6"/>
  <c r="BH183" i="6"/>
  <c r="BH162" i="6"/>
  <c r="BH235" i="6"/>
  <c r="BH86" i="6"/>
  <c r="BH364" i="6"/>
  <c r="BH290" i="6"/>
  <c r="BH74" i="6"/>
  <c r="BH16" i="6"/>
  <c r="BH197" i="6"/>
  <c r="BH223" i="6"/>
  <c r="BH39" i="6"/>
  <c r="BH214" i="6"/>
  <c r="BH243" i="6"/>
  <c r="BH154" i="6"/>
  <c r="BH20" i="6"/>
  <c r="BH260" i="6"/>
  <c r="BH123" i="6"/>
  <c r="BH230" i="6"/>
  <c r="BH170" i="6"/>
  <c r="BH68" i="6"/>
  <c r="BH309" i="6"/>
  <c r="BH118" i="6"/>
  <c r="BH66" i="6"/>
  <c r="BH239" i="6"/>
  <c r="BH353" i="6"/>
  <c r="BH245" i="6"/>
  <c r="BH292" i="6"/>
  <c r="BH304" i="6"/>
  <c r="BH35" i="6"/>
  <c r="BH231" i="6"/>
  <c r="BH378" i="6"/>
  <c r="BH82" i="6"/>
  <c r="BH159" i="6"/>
  <c r="BH222" i="6"/>
  <c r="BH96" i="6"/>
  <c r="BH134" i="6"/>
  <c r="BH43" i="6"/>
  <c r="BH67" i="6"/>
  <c r="BH319" i="6"/>
  <c r="BH100" i="6"/>
  <c r="BH54" i="6"/>
  <c r="BH371" i="6"/>
  <c r="BH90" i="6"/>
  <c r="BH109" i="6"/>
  <c r="BH61" i="6"/>
  <c r="BH259" i="6"/>
  <c r="BH305" i="6"/>
  <c r="BH210" i="6"/>
  <c r="BH211" i="6"/>
  <c r="BH296" i="6"/>
  <c r="BH53" i="6"/>
  <c r="BH184" i="6"/>
  <c r="BH257" i="6"/>
  <c r="BH44" i="6"/>
  <c r="BH202" i="6"/>
  <c r="BH234" i="6"/>
  <c r="BH267" i="6"/>
  <c r="BH80" i="6"/>
  <c r="BH157" i="6"/>
  <c r="BH136" i="6"/>
  <c r="BH147" i="6"/>
  <c r="BH351" i="6"/>
  <c r="BH139" i="6"/>
  <c r="BH359" i="6"/>
  <c r="BH358" i="6"/>
  <c r="BH370" i="6"/>
  <c r="BH322" i="6"/>
  <c r="BH94" i="6"/>
  <c r="BH286" i="6"/>
  <c r="BH179" i="6"/>
  <c r="BH164" i="6"/>
  <c r="BH331" i="6"/>
  <c r="BH363" i="6"/>
  <c r="BH253" i="6"/>
  <c r="BH196" i="6"/>
  <c r="BH212" i="6"/>
  <c r="BH237" i="6"/>
  <c r="BH107" i="6"/>
  <c r="BH255" i="6"/>
  <c r="BH274" i="6"/>
  <c r="BH132" i="6"/>
  <c r="BH46" i="6"/>
  <c r="BH361" i="6"/>
  <c r="BH72" i="6"/>
  <c r="BH41" i="6"/>
  <c r="BH291" i="6"/>
  <c r="BH247" i="6"/>
  <c r="BH273" i="6"/>
  <c r="BH101" i="6"/>
  <c r="BH47" i="6"/>
  <c r="BH156" i="6"/>
  <c r="BH71" i="6"/>
  <c r="BH59" i="6"/>
  <c r="BH295" i="6"/>
  <c r="BH360" i="6"/>
  <c r="BH374" i="6"/>
  <c r="BH362" i="6"/>
  <c r="BH92" i="6"/>
  <c r="BH321" i="6"/>
  <c r="BH313" i="6"/>
  <c r="BH62" i="6"/>
  <c r="BH297" i="6"/>
  <c r="BH124" i="6"/>
  <c r="BH111" i="6"/>
  <c r="BH347" i="6"/>
  <c r="BH36" i="6"/>
  <c r="BH249" i="6"/>
  <c r="BH311" i="6"/>
  <c r="BH29" i="6"/>
  <c r="BH131" i="6"/>
  <c r="BH355" i="6"/>
  <c r="BH126" i="6"/>
  <c r="BH272" i="6"/>
  <c r="BH166" i="6"/>
  <c r="BH262" i="6"/>
  <c r="BH265" i="6"/>
  <c r="BH192" i="6"/>
  <c r="BH270" i="6"/>
  <c r="BH24" i="6"/>
  <c r="BH149" i="6"/>
  <c r="BH261" i="6"/>
  <c r="BH330" i="6"/>
  <c r="BH352" i="6"/>
  <c r="BH349" i="6"/>
  <c r="BH213" i="6"/>
  <c r="BH318" i="6"/>
  <c r="BH97" i="6"/>
  <c r="BH368" i="6"/>
  <c r="BH228" i="6"/>
  <c r="BH148" i="6"/>
  <c r="BH300" i="6"/>
  <c r="BH298" i="6"/>
  <c r="BH340" i="6"/>
  <c r="BH258" i="6"/>
  <c r="BH77" i="6"/>
  <c r="BH145" i="6"/>
  <c r="BH254" i="6"/>
  <c r="BH332" i="6"/>
  <c r="BH22" i="6"/>
  <c r="BH50" i="6"/>
  <c r="BH185" i="6"/>
  <c r="BH218" i="6"/>
  <c r="BH117" i="6"/>
  <c r="BH316" i="6"/>
  <c r="BH193" i="6"/>
  <c r="BH174" i="6"/>
  <c r="BH31" i="6"/>
  <c r="BH137" i="6"/>
  <c r="BH122" i="6"/>
  <c r="BH224" i="6"/>
  <c r="BH30" i="6"/>
  <c r="BH172" i="6"/>
  <c r="BH252" i="6"/>
  <c r="BH141" i="6"/>
  <c r="BH65" i="6"/>
  <c r="BH372" i="6"/>
  <c r="BH285" i="6"/>
  <c r="BH19" i="6"/>
  <c r="BH121" i="6"/>
  <c r="BH153" i="6"/>
  <c r="BH168" i="6"/>
  <c r="BH83" i="6"/>
  <c r="BH23" i="6"/>
  <c r="BH288" i="6"/>
  <c r="BH17" i="6"/>
  <c r="BH240" i="6"/>
  <c r="BH21" i="6"/>
  <c r="J57" i="27"/>
  <c r="I57" i="27"/>
  <c r="E57" i="27"/>
  <c r="G57" i="27"/>
  <c r="I21" i="27"/>
  <c r="L57" i="27"/>
  <c r="F57" i="27"/>
  <c r="C57" i="27"/>
  <c r="H57" i="27"/>
  <c r="K57" i="27"/>
  <c r="D57" i="27"/>
  <c r="M57" i="27"/>
  <c r="H64" i="27"/>
  <c r="I28" i="27"/>
  <c r="G64" i="27"/>
  <c r="E64" i="27"/>
  <c r="J64" i="27"/>
  <c r="D64" i="27"/>
  <c r="K64" i="27"/>
  <c r="F64" i="27"/>
  <c r="I64" i="27"/>
  <c r="L64" i="27"/>
  <c r="C64" i="27"/>
  <c r="M64" i="27"/>
  <c r="I37" i="27"/>
  <c r="L73" i="27"/>
  <c r="H73" i="27"/>
  <c r="E73" i="27"/>
  <c r="G73" i="27"/>
  <c r="I73" i="27"/>
  <c r="D73" i="27"/>
  <c r="K73" i="27"/>
  <c r="M73" i="27"/>
  <c r="C73" i="27"/>
  <c r="J73" i="27"/>
  <c r="F73" i="27"/>
  <c r="I36" i="27"/>
  <c r="J72" i="27"/>
  <c r="I72" i="27"/>
  <c r="K72" i="27"/>
  <c r="M72" i="27"/>
  <c r="E72" i="27"/>
  <c r="G72" i="27"/>
  <c r="D72" i="27"/>
  <c r="C72" i="27"/>
  <c r="F72" i="27"/>
  <c r="L72" i="27"/>
  <c r="H72" i="27"/>
  <c r="I35" i="27"/>
  <c r="J71" i="27"/>
  <c r="H71" i="27"/>
  <c r="I71" i="27"/>
  <c r="G71" i="27"/>
  <c r="F71" i="27"/>
  <c r="C71" i="27"/>
  <c r="L71" i="27"/>
  <c r="K71" i="27"/>
  <c r="D71" i="27"/>
  <c r="M71" i="27"/>
  <c r="E71" i="27"/>
  <c r="AW12" i="6"/>
  <c r="AX16" i="6"/>
  <c r="AW13" i="6"/>
  <c r="AK72" i="27"/>
  <c r="AK77" i="27"/>
  <c r="AK67" i="27"/>
  <c r="AK75" i="27"/>
  <c r="AK63" i="27"/>
  <c r="AK64" i="27"/>
  <c r="AK57" i="27"/>
  <c r="AK73" i="27"/>
  <c r="AK66" i="27"/>
  <c r="AK59" i="27"/>
  <c r="AK56" i="27"/>
  <c r="AK78" i="27"/>
  <c r="AK74" i="27"/>
  <c r="AK70" i="27"/>
  <c r="AK62" i="27"/>
  <c r="AK79" i="27"/>
  <c r="AK65" i="27"/>
  <c r="AK60" i="27"/>
  <c r="AK71" i="27"/>
  <c r="AK58" i="27"/>
  <c r="AK68" i="27"/>
  <c r="AK61" i="27"/>
  <c r="AK69" i="27"/>
  <c r="O10" i="1"/>
  <c r="AC10" i="1"/>
  <c r="A22" i="15"/>
  <c r="X21" i="15"/>
  <c r="AB21" i="15"/>
  <c r="K21" i="15"/>
  <c r="AJ21" i="15"/>
  <c r="K16" i="17"/>
  <c r="X16" i="17"/>
  <c r="AB16" i="17"/>
  <c r="A17" i="17"/>
  <c r="AJ16" i="17"/>
  <c r="A15" i="22"/>
  <c r="Y14" i="22"/>
  <c r="G6" i="6"/>
  <c r="X1" i="22"/>
  <c r="V14" i="22"/>
  <c r="F14" i="22"/>
  <c r="A17" i="19"/>
  <c r="A41" i="19" s="1"/>
  <c r="AK3" i="7"/>
  <c r="L1" i="22"/>
  <c r="J1" i="23"/>
  <c r="I13" i="6"/>
  <c r="AH75" i="1"/>
  <c r="AG75" i="1" s="1"/>
  <c r="AF75" i="1" s="1"/>
  <c r="AH326" i="1"/>
  <c r="AG326" i="1" s="1"/>
  <c r="AF326" i="1" s="1"/>
  <c r="AH299" i="1"/>
  <c r="AG299" i="1" s="1"/>
  <c r="AF299" i="1" s="1"/>
  <c r="AH145" i="1"/>
  <c r="AG145" i="1" s="1"/>
  <c r="AF145" i="1" s="1"/>
  <c r="A23" i="1"/>
  <c r="AB22" i="1"/>
  <c r="L22" i="1"/>
  <c r="X22" i="1"/>
  <c r="Q22" i="1"/>
  <c r="AC22" i="1"/>
  <c r="K22" i="1"/>
  <c r="AK22" i="1"/>
  <c r="AJ22" i="1"/>
  <c r="O22" i="1"/>
  <c r="U22" i="1"/>
  <c r="A16" i="16"/>
  <c r="AB15" i="16"/>
  <c r="X15" i="16"/>
  <c r="K15" i="16"/>
  <c r="K75" i="27"/>
  <c r="H75" i="27"/>
  <c r="F75" i="27"/>
  <c r="J75" i="27"/>
  <c r="I75" i="27"/>
  <c r="E75" i="27"/>
  <c r="L75" i="27"/>
  <c r="C75" i="27"/>
  <c r="M75" i="27"/>
  <c r="I39" i="27"/>
  <c r="D75" i="27"/>
  <c r="G75" i="27"/>
  <c r="H60" i="27"/>
  <c r="I60" i="27"/>
  <c r="E60" i="27"/>
  <c r="K60" i="27"/>
  <c r="I24" i="27"/>
  <c r="J60" i="27"/>
  <c r="F60" i="27"/>
  <c r="L60" i="27"/>
  <c r="D60" i="27"/>
  <c r="G60" i="27"/>
  <c r="C60" i="27"/>
  <c r="M60" i="27"/>
  <c r="I25" i="27"/>
  <c r="F61" i="27"/>
  <c r="L61" i="27"/>
  <c r="G61" i="27"/>
  <c r="J61" i="27"/>
  <c r="K61" i="27"/>
  <c r="D61" i="27"/>
  <c r="E61" i="27"/>
  <c r="I61" i="27"/>
  <c r="H61" i="27"/>
  <c r="C61" i="27"/>
  <c r="M61" i="27"/>
  <c r="K68" i="27"/>
  <c r="E68" i="27"/>
  <c r="F68" i="27"/>
  <c r="G68" i="27"/>
  <c r="L68" i="27"/>
  <c r="D68" i="27"/>
  <c r="J68" i="27"/>
  <c r="H68" i="27"/>
  <c r="I32" i="27"/>
  <c r="C68" i="27"/>
  <c r="I68" i="27"/>
  <c r="M68" i="27"/>
  <c r="I31" i="27"/>
  <c r="M67" i="27"/>
  <c r="G67" i="27"/>
  <c r="I67" i="27"/>
  <c r="H67" i="27"/>
  <c r="D67" i="27"/>
  <c r="C67" i="27"/>
  <c r="E67" i="27"/>
  <c r="L67" i="27"/>
  <c r="F67" i="27"/>
  <c r="K67" i="27"/>
  <c r="J67" i="27"/>
  <c r="AL76" i="27"/>
  <c r="AM76" i="27"/>
  <c r="S24" i="6"/>
  <c r="S23" i="6" s="1"/>
  <c r="S25" i="6" s="1"/>
  <c r="L11" i="15"/>
  <c r="L12" i="15"/>
  <c r="G74" i="27"/>
  <c r="K74" i="27"/>
  <c r="M74" i="27"/>
  <c r="I74" i="27"/>
  <c r="J74" i="27"/>
  <c r="E74" i="27"/>
  <c r="D74" i="27"/>
  <c r="I38" i="27"/>
  <c r="F74" i="27"/>
  <c r="C74" i="27"/>
  <c r="H74" i="27"/>
  <c r="L74" i="27"/>
  <c r="AR12" i="6"/>
  <c r="AS12" i="6"/>
  <c r="AS13" i="6"/>
  <c r="H12" i="6"/>
  <c r="F58" i="27"/>
  <c r="L58" i="27"/>
  <c r="I58" i="27"/>
  <c r="K58" i="27"/>
  <c r="I22" i="27"/>
  <c r="G58" i="27"/>
  <c r="E58" i="27"/>
  <c r="H58" i="27"/>
  <c r="C58" i="27"/>
  <c r="M58" i="27"/>
  <c r="D58" i="27"/>
  <c r="J58" i="27"/>
  <c r="G62" i="27"/>
  <c r="J62" i="27"/>
  <c r="H62" i="27"/>
  <c r="I62" i="27"/>
  <c r="I26" i="27"/>
  <c r="L62" i="27"/>
  <c r="E62" i="27"/>
  <c r="D62" i="27"/>
  <c r="C62" i="27"/>
  <c r="F62" i="27"/>
  <c r="K62" i="27"/>
  <c r="M62" i="27"/>
  <c r="G59" i="27"/>
  <c r="I59" i="27"/>
  <c r="F59" i="27"/>
  <c r="D59" i="27"/>
  <c r="H59" i="27"/>
  <c r="J59" i="27"/>
  <c r="L59" i="27"/>
  <c r="M59" i="27"/>
  <c r="E59" i="27"/>
  <c r="K59" i="27"/>
  <c r="I23" i="27"/>
  <c r="C59" i="27"/>
  <c r="J63" i="27"/>
  <c r="G63" i="27"/>
  <c r="F63" i="27"/>
  <c r="E63" i="27"/>
  <c r="D63" i="27"/>
  <c r="I63" i="27"/>
  <c r="H63" i="27"/>
  <c r="M63" i="27"/>
  <c r="K63" i="27"/>
  <c r="I27" i="27"/>
  <c r="L63" i="27"/>
  <c r="C63" i="27"/>
  <c r="F66" i="27"/>
  <c r="J66" i="27"/>
  <c r="I66" i="27"/>
  <c r="E66" i="27"/>
  <c r="H66" i="27"/>
  <c r="C66" i="27"/>
  <c r="I30" i="27"/>
  <c r="G66" i="27"/>
  <c r="M66" i="27"/>
  <c r="L66" i="27"/>
  <c r="D66" i="27"/>
  <c r="K66" i="27"/>
  <c r="I34" i="27"/>
  <c r="G70" i="27"/>
  <c r="E70" i="27"/>
  <c r="C70" i="27"/>
  <c r="I70" i="27"/>
  <c r="H70" i="27"/>
  <c r="F70" i="27"/>
  <c r="M70" i="27"/>
  <c r="K70" i="27"/>
  <c r="J70" i="27"/>
  <c r="D70" i="27"/>
  <c r="L70" i="27"/>
  <c r="I29" i="27"/>
  <c r="I65" i="27"/>
  <c r="J65" i="27"/>
  <c r="H65" i="27"/>
  <c r="G65" i="27"/>
  <c r="E65" i="27"/>
  <c r="C65" i="27"/>
  <c r="M65" i="27"/>
  <c r="F65" i="27"/>
  <c r="L65" i="27"/>
  <c r="D65" i="27"/>
  <c r="K65" i="27"/>
  <c r="I33" i="27"/>
  <c r="L69" i="27"/>
  <c r="G69" i="27"/>
  <c r="E69" i="27"/>
  <c r="C69" i="27"/>
  <c r="K69" i="27"/>
  <c r="F69" i="27"/>
  <c r="D69" i="27"/>
  <c r="H69" i="27"/>
  <c r="I69" i="27"/>
  <c r="M69" i="27"/>
  <c r="J69" i="27"/>
  <c r="AB15" i="20"/>
  <c r="A16" i="20"/>
  <c r="X15" i="20"/>
  <c r="K15" i="20"/>
  <c r="H13" i="6"/>
  <c r="AH54" i="1"/>
  <c r="AG54" i="1" s="1"/>
  <c r="AF54" i="1" s="1"/>
  <c r="AH248" i="1"/>
  <c r="AG248" i="1" s="1"/>
  <c r="AF248" i="1" s="1"/>
  <c r="AH307" i="1"/>
  <c r="AG307" i="1" s="1"/>
  <c r="AF307" i="1" s="1"/>
  <c r="AH168" i="1"/>
  <c r="AG168" i="1" s="1"/>
  <c r="AF168" i="1" s="1"/>
  <c r="AH234" i="1"/>
  <c r="AG234" i="1" s="1"/>
  <c r="AF234" i="1" s="1"/>
  <c r="AH103" i="1"/>
  <c r="AG103" i="1" s="1"/>
  <c r="AF103" i="1" s="1"/>
  <c r="X19" i="18"/>
  <c r="AB19" i="18"/>
  <c r="AJ19" i="18"/>
  <c r="A20" i="18"/>
  <c r="K19" i="18"/>
  <c r="W46" i="6"/>
  <c r="V48" i="6"/>
  <c r="Z24" i="6"/>
  <c r="Z23" i="6" s="1"/>
  <c r="Z25" i="6" s="1"/>
  <c r="Z33" i="6"/>
  <c r="AA31" i="6"/>
  <c r="M29" i="6"/>
  <c r="M16" i="6"/>
  <c r="Y33" i="6"/>
  <c r="Y39" i="6" s="1"/>
  <c r="Y38" i="6" s="1"/>
  <c r="Y40" i="6" s="1"/>
  <c r="Z31" i="6"/>
  <c r="X35" i="6"/>
  <c r="W24" i="6"/>
  <c r="W23" i="6" s="1"/>
  <c r="W25" i="6" s="1"/>
  <c r="U24" i="6"/>
  <c r="U23" i="6" s="1"/>
  <c r="U25" i="6" s="1"/>
  <c r="E12" i="6"/>
  <c r="X33" i="6"/>
  <c r="AJ24" i="6"/>
  <c r="AJ23" i="6" s="1"/>
  <c r="Y46" i="6"/>
  <c r="X48" i="6"/>
  <c r="W50" i="6"/>
  <c r="U48" i="6"/>
  <c r="T50" i="6"/>
  <c r="V46" i="6"/>
  <c r="U46" i="6"/>
  <c r="T48" i="6"/>
  <c r="S50" i="6"/>
  <c r="AB24" i="6"/>
  <c r="AB23" i="6" s="1"/>
  <c r="AB25" i="6" s="1"/>
  <c r="AC24" i="6"/>
  <c r="AC23" i="6" s="1"/>
  <c r="AE24" i="6"/>
  <c r="AE23" i="6" s="1"/>
  <c r="W35" i="6"/>
  <c r="E13" i="6"/>
  <c r="Z46" i="6"/>
  <c r="Y48" i="6"/>
  <c r="X50" i="6"/>
  <c r="AK24" i="6"/>
  <c r="AK23" i="6" s="1"/>
  <c r="T46" i="6"/>
  <c r="S48" i="6"/>
  <c r="R50" i="6"/>
  <c r="O48" i="6"/>
  <c r="P46" i="6"/>
  <c r="N50" i="6"/>
  <c r="AA44" i="6"/>
  <c r="AN20" i="6"/>
  <c r="X24" i="6"/>
  <c r="X23" i="6" s="1"/>
  <c r="X25" i="6" s="1"/>
  <c r="R33" i="6"/>
  <c r="S31" i="6"/>
  <c r="Q35" i="6"/>
  <c r="Q33" i="6"/>
  <c r="R31" i="6"/>
  <c r="P35" i="6"/>
  <c r="P24" i="6"/>
  <c r="P23" i="6" s="1"/>
  <c r="P25" i="6" s="1"/>
  <c r="AG25" i="6"/>
  <c r="R48" i="6"/>
  <c r="Q50" i="6"/>
  <c r="S46" i="6"/>
  <c r="P50" i="6"/>
  <c r="Q48" i="6"/>
  <c r="R46" i="6"/>
  <c r="O50" i="6"/>
  <c r="Q46" i="6"/>
  <c r="P48" i="6"/>
  <c r="AM24" i="6"/>
  <c r="AM23" i="6" s="1"/>
  <c r="AM25" i="6" s="1"/>
  <c r="N16" i="6"/>
  <c r="M18" i="6"/>
  <c r="M44" i="6"/>
  <c r="Z48" i="6"/>
  <c r="AA46" i="6"/>
  <c r="Y50" i="6"/>
  <c r="S33" i="6"/>
  <c r="T31" i="6"/>
  <c r="R35" i="6"/>
  <c r="V24" i="6"/>
  <c r="V23" i="6" s="1"/>
  <c r="V25" i="6" s="1"/>
  <c r="T24" i="6"/>
  <c r="T23" i="6" s="1"/>
  <c r="T25" i="6" s="1"/>
  <c r="P33" i="6"/>
  <c r="Q31" i="6"/>
  <c r="O35" i="6"/>
  <c r="O33" i="6"/>
  <c r="N35" i="6"/>
  <c r="P31" i="6"/>
  <c r="V39" i="6"/>
  <c r="V38" i="6" s="1"/>
  <c r="V40" i="6" s="1"/>
  <c r="AK15" i="16" l="1"/>
  <c r="P10" i="16"/>
  <c r="AF302" i="1"/>
  <c r="AF72" i="1"/>
  <c r="AF133" i="1"/>
  <c r="F8" i="15"/>
  <c r="L12" i="19" s="1"/>
  <c r="AK19" i="15"/>
  <c r="AF368" i="1"/>
  <c r="AF268" i="1"/>
  <c r="AC12" i="15"/>
  <c r="AC18" i="15" s="1"/>
  <c r="Q11" i="15"/>
  <c r="AF65" i="1"/>
  <c r="AF52" i="1"/>
  <c r="AF131" i="1"/>
  <c r="AF305" i="1"/>
  <c r="AF24" i="1"/>
  <c r="AF263" i="1"/>
  <c r="AF122" i="1"/>
  <c r="P12" i="15"/>
  <c r="BK10" i="7"/>
  <c r="BN9" i="7"/>
  <c r="BP10" i="7" s="1"/>
  <c r="L21" i="15"/>
  <c r="D21" i="15" s="1"/>
  <c r="AF74" i="1"/>
  <c r="AI383" i="1"/>
  <c r="P12" i="16"/>
  <c r="AK21" i="15"/>
  <c r="AE11" i="16"/>
  <c r="L13" i="19"/>
  <c r="AF322" i="1"/>
  <c r="AF18" i="1"/>
  <c r="AK16" i="15"/>
  <c r="AK380" i="15"/>
  <c r="W39" i="6"/>
  <c r="W38" i="6" s="1"/>
  <c r="W40" i="6" s="1"/>
  <c r="AK18" i="15"/>
  <c r="AK15" i="15"/>
  <c r="O9" i="16"/>
  <c r="AJ16" i="16" s="1"/>
  <c r="V13" i="7"/>
  <c r="AH369" i="1"/>
  <c r="AG369" i="1" s="1"/>
  <c r="AF369" i="1" s="1"/>
  <c r="AH308" i="1"/>
  <c r="AG308" i="1" s="1"/>
  <c r="AF308" i="1" s="1"/>
  <c r="AH68" i="1"/>
  <c r="AG68" i="1" s="1"/>
  <c r="AF68" i="1" s="1"/>
  <c r="AH108" i="1"/>
  <c r="AG108" i="1" s="1"/>
  <c r="AF108" i="1" s="1"/>
  <c r="U39" i="6"/>
  <c r="U38" i="6" s="1"/>
  <c r="U40" i="6" s="1"/>
  <c r="AT245" i="6" s="1"/>
  <c r="AN24" i="6"/>
  <c r="AN23" i="6" s="1"/>
  <c r="AN25" i="6" s="1"/>
  <c r="AH376" i="1"/>
  <c r="AG376" i="1" s="1"/>
  <c r="AF376" i="1" s="1"/>
  <c r="AH46" i="1"/>
  <c r="AG46" i="1" s="1"/>
  <c r="AF46" i="1" s="1"/>
  <c r="AH26" i="1"/>
  <c r="AG26" i="1" s="1"/>
  <c r="AF26" i="1" s="1"/>
  <c r="AH318" i="1"/>
  <c r="AG318" i="1" s="1"/>
  <c r="AF318" i="1" s="1"/>
  <c r="AH252" i="1"/>
  <c r="AG252" i="1" s="1"/>
  <c r="AF252" i="1" s="1"/>
  <c r="AH48" i="1"/>
  <c r="AG48" i="1" s="1"/>
  <c r="AF48" i="1" s="1"/>
  <c r="AH39" i="1"/>
  <c r="AG39" i="1" s="1"/>
  <c r="AF39" i="1" s="1"/>
  <c r="P11" i="17"/>
  <c r="AK17" i="17" s="1"/>
  <c r="T15" i="7"/>
  <c r="AI382" i="1"/>
  <c r="AI381" i="1"/>
  <c r="AF315" i="1"/>
  <c r="AF259" i="1"/>
  <c r="AF59" i="1"/>
  <c r="AH25" i="1"/>
  <c r="AG25" i="1" s="1"/>
  <c r="AF25" i="1" s="1"/>
  <c r="AH57" i="1"/>
  <c r="AG57" i="1" s="1"/>
  <c r="AF57" i="1" s="1"/>
  <c r="AH306" i="1"/>
  <c r="AG306" i="1" s="1"/>
  <c r="AF306" i="1" s="1"/>
  <c r="AH267" i="1"/>
  <c r="AG267" i="1" s="1"/>
  <c r="AF267" i="1" s="1"/>
  <c r="AH45" i="1"/>
  <c r="AG45" i="1" s="1"/>
  <c r="AF45" i="1" s="1"/>
  <c r="AH132" i="1"/>
  <c r="AG132" i="1" s="1"/>
  <c r="AF132" i="1" s="1"/>
  <c r="AH51" i="1"/>
  <c r="AG51" i="1" s="1"/>
  <c r="AF51" i="1" s="1"/>
  <c r="AH33" i="1"/>
  <c r="AG33" i="1" s="1"/>
  <c r="AF33" i="1" s="1"/>
  <c r="AH27" i="1"/>
  <c r="AG27" i="1" s="1"/>
  <c r="AF27" i="1" s="1"/>
  <c r="AH77" i="1"/>
  <c r="AG77" i="1" s="1"/>
  <c r="AF77" i="1" s="1"/>
  <c r="AH373" i="1"/>
  <c r="AG373" i="1" s="1"/>
  <c r="AF373" i="1" s="1"/>
  <c r="AH123" i="1"/>
  <c r="AG123" i="1" s="1"/>
  <c r="AF123" i="1" s="1"/>
  <c r="AA33" i="6"/>
  <c r="AA39" i="6" s="1"/>
  <c r="AA38" i="6" s="1"/>
  <c r="AA40" i="6" s="1"/>
  <c r="Z35" i="6"/>
  <c r="Z39" i="6" s="1"/>
  <c r="Z38" i="6" s="1"/>
  <c r="S39" i="6"/>
  <c r="S38" i="6" s="1"/>
  <c r="S40" i="6" s="1"/>
  <c r="X39" i="6"/>
  <c r="X38" i="6" s="1"/>
  <c r="J196" i="6"/>
  <c r="AD196" i="1" s="1"/>
  <c r="J212" i="6"/>
  <c r="AD212" i="1" s="1"/>
  <c r="X54" i="6"/>
  <c r="X53" i="6" s="1"/>
  <c r="X55" i="6" s="1"/>
  <c r="J194" i="6"/>
  <c r="AD194" i="1" s="1"/>
  <c r="J303" i="6"/>
  <c r="O11" i="15"/>
  <c r="AC9" i="18"/>
  <c r="AH116" i="1"/>
  <c r="AG116" i="1" s="1"/>
  <c r="AF116" i="1" s="1"/>
  <c r="AH367" i="1"/>
  <c r="AG367" i="1" s="1"/>
  <c r="AF367" i="1" s="1"/>
  <c r="AH360" i="1"/>
  <c r="AG360" i="1" s="1"/>
  <c r="AF360" i="1" s="1"/>
  <c r="AH121" i="1"/>
  <c r="AG121" i="1" s="1"/>
  <c r="AF121" i="1" s="1"/>
  <c r="AH112" i="1"/>
  <c r="AG112" i="1" s="1"/>
  <c r="AF112" i="1" s="1"/>
  <c r="AH249" i="1"/>
  <c r="AG249" i="1" s="1"/>
  <c r="AF249" i="1" s="1"/>
  <c r="AH332" i="1"/>
  <c r="AG332" i="1" s="1"/>
  <c r="AF332" i="1" s="1"/>
  <c r="AH53" i="1"/>
  <c r="AG53" i="1" s="1"/>
  <c r="AF53" i="1" s="1"/>
  <c r="AH339" i="1"/>
  <c r="AG339" i="1" s="1"/>
  <c r="AF339" i="1" s="1"/>
  <c r="AH325" i="1"/>
  <c r="AG325" i="1" s="1"/>
  <c r="AF325" i="1" s="1"/>
  <c r="AH324" i="1"/>
  <c r="AG324" i="1" s="1"/>
  <c r="AF324" i="1" s="1"/>
  <c r="AH50" i="1"/>
  <c r="AG50" i="1" s="1"/>
  <c r="AF50" i="1" s="1"/>
  <c r="T15" i="1"/>
  <c r="S15" i="1" s="1"/>
  <c r="R15" i="1" s="1"/>
  <c r="AH113" i="1"/>
  <c r="AG113" i="1" s="1"/>
  <c r="AF113" i="1" s="1"/>
  <c r="AH32" i="1"/>
  <c r="AG32" i="1" s="1"/>
  <c r="AF32" i="1" s="1"/>
  <c r="AH366" i="1"/>
  <c r="AG366" i="1" s="1"/>
  <c r="AF366" i="1" s="1"/>
  <c r="AH31" i="1"/>
  <c r="AG31" i="1" s="1"/>
  <c r="AF31" i="1" s="1"/>
  <c r="AH356" i="1"/>
  <c r="AG356" i="1" s="1"/>
  <c r="AF356" i="1" s="1"/>
  <c r="AH257" i="1"/>
  <c r="AG257" i="1" s="1"/>
  <c r="AF257" i="1" s="1"/>
  <c r="AH246" i="1"/>
  <c r="AG246" i="1" s="1"/>
  <c r="AF246" i="1" s="1"/>
  <c r="AH67" i="1"/>
  <c r="AG67" i="1" s="1"/>
  <c r="AF67" i="1" s="1"/>
  <c r="AH19" i="1"/>
  <c r="AG19" i="1" s="1"/>
  <c r="AF19" i="1" s="1"/>
  <c r="AH253" i="1"/>
  <c r="AG253" i="1" s="1"/>
  <c r="AF253" i="1" s="1"/>
  <c r="AH129" i="1"/>
  <c r="AG129" i="1" s="1"/>
  <c r="AF129" i="1" s="1"/>
  <c r="T17" i="1"/>
  <c r="S17" i="1" s="1"/>
  <c r="R17" i="1" s="1"/>
  <c r="AH73" i="1"/>
  <c r="AG73" i="1" s="1"/>
  <c r="AF73" i="1" s="1"/>
  <c r="AH323" i="1"/>
  <c r="AG323" i="1" s="1"/>
  <c r="AF323" i="1" s="1"/>
  <c r="AH21" i="1"/>
  <c r="AG21" i="1" s="1"/>
  <c r="AF21" i="1" s="1"/>
  <c r="AH314" i="1"/>
  <c r="AG314" i="1" s="1"/>
  <c r="AF314" i="1" s="1"/>
  <c r="T16" i="1"/>
  <c r="S16" i="1" s="1"/>
  <c r="R16" i="1" s="1"/>
  <c r="AH353" i="1"/>
  <c r="AG353" i="1" s="1"/>
  <c r="AF353" i="1" s="1"/>
  <c r="AH34" i="1"/>
  <c r="AG34" i="1" s="1"/>
  <c r="AF34" i="1" s="1"/>
  <c r="AH303" i="1"/>
  <c r="AG303" i="1" s="1"/>
  <c r="AF303" i="1" s="1"/>
  <c r="F7" i="20"/>
  <c r="AJ380" i="20"/>
  <c r="AJ15" i="20"/>
  <c r="O12" i="15"/>
  <c r="O11" i="18"/>
  <c r="J216" i="6"/>
  <c r="AD216" i="1" s="1"/>
  <c r="J210" i="6"/>
  <c r="AD210" i="1" s="1"/>
  <c r="J191" i="6"/>
  <c r="AD191" i="1" s="1"/>
  <c r="J209" i="6"/>
  <c r="AD209" i="1" s="1"/>
  <c r="J197" i="6"/>
  <c r="AD197" i="1" s="1"/>
  <c r="J301" i="6"/>
  <c r="AD301" i="1" s="1"/>
  <c r="J306" i="6"/>
  <c r="Q11" i="16"/>
  <c r="U11" i="7"/>
  <c r="K20" i="18"/>
  <c r="X20" i="18"/>
  <c r="A21" i="18"/>
  <c r="AB20" i="18"/>
  <c r="AJ20" i="18"/>
  <c r="AG15" i="1"/>
  <c r="K16" i="20"/>
  <c r="X16" i="20"/>
  <c r="A17" i="20"/>
  <c r="AB16" i="20"/>
  <c r="AJ16" i="20"/>
  <c r="L12" i="16"/>
  <c r="L11" i="16"/>
  <c r="L15" i="16" s="1"/>
  <c r="T22" i="1"/>
  <c r="S22" i="1" s="1"/>
  <c r="R22" i="1" s="1"/>
  <c r="AB23" i="1"/>
  <c r="Q23" i="1"/>
  <c r="X23" i="1"/>
  <c r="A24" i="1"/>
  <c r="U23" i="1"/>
  <c r="K23" i="1"/>
  <c r="L23" i="1"/>
  <c r="AJ23" i="1"/>
  <c r="AK23" i="1"/>
  <c r="AC23" i="1"/>
  <c r="O23" i="1"/>
  <c r="A16" i="22"/>
  <c r="AB15" i="22"/>
  <c r="K15" i="22"/>
  <c r="X15" i="22"/>
  <c r="AL69" i="27"/>
  <c r="AM69" i="27"/>
  <c r="AJ69" i="27" s="1"/>
  <c r="AL68" i="27"/>
  <c r="AM68" i="27"/>
  <c r="AJ68" i="27" s="1"/>
  <c r="AM71" i="27"/>
  <c r="AL71" i="27"/>
  <c r="AL65" i="27"/>
  <c r="AM65" i="27"/>
  <c r="AJ65" i="27" s="1"/>
  <c r="AM62" i="27"/>
  <c r="AL62" i="27"/>
  <c r="AM74" i="27"/>
  <c r="AL74" i="27"/>
  <c r="AM56" i="27"/>
  <c r="AL56" i="27"/>
  <c r="AL66" i="27"/>
  <c r="AM66" i="27"/>
  <c r="AJ66" i="27" s="1"/>
  <c r="AM57" i="27"/>
  <c r="AL57" i="27"/>
  <c r="AL63" i="27"/>
  <c r="AM63" i="27"/>
  <c r="AJ63" i="27" s="1"/>
  <c r="AM67" i="27"/>
  <c r="AL67" i="27"/>
  <c r="AM72" i="27"/>
  <c r="AL72" i="27"/>
  <c r="L16" i="15"/>
  <c r="D16" i="15" s="1"/>
  <c r="L18" i="15"/>
  <c r="D18" i="15" s="1"/>
  <c r="L17" i="15"/>
  <c r="D17" i="15" s="1"/>
  <c r="L15" i="15"/>
  <c r="L19" i="15"/>
  <c r="D19" i="15" s="1"/>
  <c r="L20" i="15"/>
  <c r="D20" i="15" s="1"/>
  <c r="AJ76" i="27"/>
  <c r="A17" i="16"/>
  <c r="K16" i="16"/>
  <c r="L16" i="16"/>
  <c r="D16" i="16" s="1"/>
  <c r="X16" i="16"/>
  <c r="AB16" i="16"/>
  <c r="AK16" i="16"/>
  <c r="S21" i="1"/>
  <c r="L1" i="23"/>
  <c r="V14" i="23"/>
  <c r="Y14" i="23"/>
  <c r="H6" i="6"/>
  <c r="AQ3" i="7"/>
  <c r="J1" i="24"/>
  <c r="A15" i="23"/>
  <c r="A18" i="19"/>
  <c r="A42" i="19" s="1"/>
  <c r="X1" i="23"/>
  <c r="F14" i="23"/>
  <c r="O9" i="22"/>
  <c r="AJ15" i="22" s="1"/>
  <c r="K17" i="17"/>
  <c r="AJ17" i="17"/>
  <c r="X17" i="17"/>
  <c r="AB17" i="17"/>
  <c r="A18" i="17"/>
  <c r="L22" i="15"/>
  <c r="D22" i="15" s="1"/>
  <c r="K22" i="15"/>
  <c r="AB22" i="15"/>
  <c r="AJ22" i="15"/>
  <c r="X22" i="15"/>
  <c r="A23" i="15"/>
  <c r="AK22" i="15"/>
  <c r="C13" i="7"/>
  <c r="I10" i="7" s="1"/>
  <c r="BK13" i="7"/>
  <c r="BQ13" i="7"/>
  <c r="BW13" i="7"/>
  <c r="AM61" i="27"/>
  <c r="AL61" i="27"/>
  <c r="AL58" i="27"/>
  <c r="AM58" i="27"/>
  <c r="AJ58" i="27" s="1"/>
  <c r="AL60" i="27"/>
  <c r="AM60" i="27"/>
  <c r="AJ60" i="27" s="1"/>
  <c r="AM79" i="27"/>
  <c r="AL79" i="27"/>
  <c r="AM70" i="27"/>
  <c r="AL70" i="27"/>
  <c r="AL78" i="27"/>
  <c r="AM78" i="27"/>
  <c r="AJ78" i="27" s="1"/>
  <c r="AM59" i="27"/>
  <c r="AL59" i="27"/>
  <c r="AL73" i="27"/>
  <c r="AM73" i="27"/>
  <c r="AJ73" i="27" s="1"/>
  <c r="AL64" i="27"/>
  <c r="AM64" i="27"/>
  <c r="AJ64" i="27" s="1"/>
  <c r="AL75" i="27"/>
  <c r="AM75" i="27"/>
  <c r="AJ75" i="27" s="1"/>
  <c r="AM77" i="27"/>
  <c r="AL77" i="27"/>
  <c r="AX13" i="6"/>
  <c r="AX12" i="6"/>
  <c r="J304" i="6"/>
  <c r="J311" i="6"/>
  <c r="AD311" i="1" s="1"/>
  <c r="J312" i="6"/>
  <c r="J285" i="6"/>
  <c r="J287" i="6"/>
  <c r="J204" i="6"/>
  <c r="AD204" i="1" s="1"/>
  <c r="J192" i="6"/>
  <c r="AD192" i="1" s="1"/>
  <c r="J198" i="6"/>
  <c r="AD198" i="1" s="1"/>
  <c r="J208" i="6"/>
  <c r="J202" i="6"/>
  <c r="AD202" i="1" s="1"/>
  <c r="J203" i="6"/>
  <c r="J195" i="6"/>
  <c r="AD195" i="1" s="1"/>
  <c r="J294" i="6"/>
  <c r="J292" i="6"/>
  <c r="J190" i="6"/>
  <c r="J206" i="6"/>
  <c r="J201" i="6"/>
  <c r="J205" i="6"/>
  <c r="J215" i="6"/>
  <c r="J193" i="6"/>
  <c r="J211" i="6"/>
  <c r="J217" i="6"/>
  <c r="J199" i="6"/>
  <c r="J207" i="6"/>
  <c r="J213" i="6"/>
  <c r="AD213" i="1" s="1"/>
  <c r="J214" i="6"/>
  <c r="J200" i="6"/>
  <c r="J286" i="6"/>
  <c r="J277" i="6"/>
  <c r="J279" i="6"/>
  <c r="J293" i="6"/>
  <c r="J283" i="6"/>
  <c r="AD283" i="1" s="1"/>
  <c r="AC25" i="6"/>
  <c r="J241" i="6" s="1"/>
  <c r="P39" i="6"/>
  <c r="P38" i="6" s="1"/>
  <c r="P40" i="6" s="1"/>
  <c r="AK25" i="6"/>
  <c r="J353" i="6" s="1"/>
  <c r="AE25" i="6"/>
  <c r="J248" i="6" s="1"/>
  <c r="W54" i="6"/>
  <c r="W53" i="6" s="1"/>
  <c r="AJ25" i="6"/>
  <c r="J321" i="6" s="1"/>
  <c r="V54" i="6"/>
  <c r="V53" i="6" s="1"/>
  <c r="U54" i="6"/>
  <c r="U53" i="6" s="1"/>
  <c r="U55" i="6" s="1"/>
  <c r="N31" i="6"/>
  <c r="N39" i="6" s="1"/>
  <c r="N38" i="6" s="1"/>
  <c r="N40" i="6" s="1"/>
  <c r="M33" i="6"/>
  <c r="M39" i="6" s="1"/>
  <c r="M38" i="6" s="1"/>
  <c r="M40" i="6" s="1"/>
  <c r="J296" i="6"/>
  <c r="J281" i="6"/>
  <c r="J300" i="6"/>
  <c r="AD300" i="1" s="1"/>
  <c r="J280" i="6"/>
  <c r="J290" i="6"/>
  <c r="AD290" i="1" s="1"/>
  <c r="J276" i="6"/>
  <c r="J284" i="6"/>
  <c r="J299" i="6"/>
  <c r="J278" i="6"/>
  <c r="J274" i="6"/>
  <c r="J309" i="6"/>
  <c r="J310" i="6"/>
  <c r="AD310" i="1" s="1"/>
  <c r="J305" i="6"/>
  <c r="J313" i="6"/>
  <c r="U13" i="7"/>
  <c r="J42" i="6"/>
  <c r="O39" i="6"/>
  <c r="O38" i="6" s="1"/>
  <c r="O40" i="6" s="1"/>
  <c r="J50" i="6"/>
  <c r="J65" i="6"/>
  <c r="J77" i="6"/>
  <c r="J69" i="6"/>
  <c r="J68" i="6"/>
  <c r="J66" i="6"/>
  <c r="J59" i="6"/>
  <c r="J51" i="6"/>
  <c r="J54" i="6"/>
  <c r="J70" i="6"/>
  <c r="J61" i="6"/>
  <c r="J55" i="6"/>
  <c r="J58" i="6"/>
  <c r="J56" i="6"/>
  <c r="J63" i="6"/>
  <c r="J73" i="6"/>
  <c r="J74" i="6"/>
  <c r="J75" i="6"/>
  <c r="J53" i="6"/>
  <c r="J64" i="6"/>
  <c r="J60" i="6"/>
  <c r="J62" i="6"/>
  <c r="J52" i="6"/>
  <c r="J76" i="6"/>
  <c r="J72" i="6"/>
  <c r="J71" i="6"/>
  <c r="J57" i="6"/>
  <c r="J67" i="6"/>
  <c r="J117" i="6"/>
  <c r="J119" i="6"/>
  <c r="J113" i="6"/>
  <c r="J114" i="6"/>
  <c r="J112" i="6"/>
  <c r="J127" i="6"/>
  <c r="J120" i="6"/>
  <c r="J128" i="6"/>
  <c r="J108" i="6"/>
  <c r="J111" i="6"/>
  <c r="J118" i="6"/>
  <c r="J130" i="6"/>
  <c r="J122" i="6"/>
  <c r="J132" i="6"/>
  <c r="J115" i="6"/>
  <c r="J131" i="6"/>
  <c r="J133" i="6"/>
  <c r="J116" i="6"/>
  <c r="J126" i="6"/>
  <c r="J129" i="6"/>
  <c r="J107" i="6"/>
  <c r="J123" i="6"/>
  <c r="J125" i="6"/>
  <c r="J109" i="6"/>
  <c r="J110" i="6"/>
  <c r="J106" i="6"/>
  <c r="J121" i="6"/>
  <c r="J124" i="6"/>
  <c r="J150" i="6"/>
  <c r="J148" i="6"/>
  <c r="J156" i="6"/>
  <c r="J158" i="6"/>
  <c r="J161" i="6"/>
  <c r="J160" i="6"/>
  <c r="J153" i="6"/>
  <c r="J149" i="6"/>
  <c r="J155" i="6"/>
  <c r="J154" i="6"/>
  <c r="J157" i="6"/>
  <c r="J140" i="6"/>
  <c r="J142" i="6"/>
  <c r="J143" i="6"/>
  <c r="J139" i="6"/>
  <c r="J144" i="6"/>
  <c r="J137" i="6"/>
  <c r="J141" i="6"/>
  <c r="J145" i="6"/>
  <c r="J152" i="6"/>
  <c r="J151" i="6"/>
  <c r="J135" i="6"/>
  <c r="J146" i="6"/>
  <c r="J138" i="6"/>
  <c r="J147" i="6"/>
  <c r="J136" i="6"/>
  <c r="J159" i="6"/>
  <c r="J134" i="6"/>
  <c r="N46" i="6"/>
  <c r="N54" i="6" s="1"/>
  <c r="M48" i="6"/>
  <c r="N24" i="6"/>
  <c r="N23" i="6" s="1"/>
  <c r="P54" i="6"/>
  <c r="P53" i="6" s="1"/>
  <c r="P55" i="6" s="1"/>
  <c r="Q54" i="6"/>
  <c r="Q53" i="6" s="1"/>
  <c r="R54" i="6"/>
  <c r="R53" i="6" s="1"/>
  <c r="R55" i="6" s="1"/>
  <c r="J288" i="6"/>
  <c r="J282" i="6"/>
  <c r="J289" i="6"/>
  <c r="J297" i="6"/>
  <c r="J295" i="6"/>
  <c r="R39" i="6"/>
  <c r="R38" i="6" s="1"/>
  <c r="R40" i="6" s="1"/>
  <c r="O54" i="6"/>
  <c r="O53" i="6" s="1"/>
  <c r="S54" i="6"/>
  <c r="S53" i="6" s="1"/>
  <c r="J37" i="6"/>
  <c r="J41" i="6"/>
  <c r="J47" i="6"/>
  <c r="J43" i="6"/>
  <c r="J45" i="6"/>
  <c r="J36" i="6"/>
  <c r="J44" i="6"/>
  <c r="J100" i="6"/>
  <c r="J87" i="6"/>
  <c r="J81" i="6"/>
  <c r="J102" i="6"/>
  <c r="J80" i="6"/>
  <c r="J98" i="6"/>
  <c r="J103" i="6"/>
  <c r="J104" i="6"/>
  <c r="J86" i="6"/>
  <c r="J85" i="6"/>
  <c r="J91" i="6"/>
  <c r="J99" i="6"/>
  <c r="J94" i="6"/>
  <c r="J101" i="6"/>
  <c r="J92" i="6"/>
  <c r="J90" i="6"/>
  <c r="J97" i="6"/>
  <c r="J105" i="6"/>
  <c r="J79" i="6"/>
  <c r="J89" i="6"/>
  <c r="J83" i="6"/>
  <c r="J78" i="6"/>
  <c r="J84" i="6"/>
  <c r="J82" i="6"/>
  <c r="J93" i="6"/>
  <c r="J96" i="6"/>
  <c r="J95" i="6"/>
  <c r="J88" i="6"/>
  <c r="T39" i="6"/>
  <c r="T38" i="6" s="1"/>
  <c r="T40" i="6" s="1"/>
  <c r="J188" i="6"/>
  <c r="J187" i="6"/>
  <c r="J184" i="6"/>
  <c r="J182" i="6"/>
  <c r="J186" i="6"/>
  <c r="J185" i="6"/>
  <c r="J164" i="6"/>
  <c r="J180" i="6"/>
  <c r="J176" i="6"/>
  <c r="J163" i="6"/>
  <c r="J177" i="6"/>
  <c r="J178" i="6"/>
  <c r="J169" i="6"/>
  <c r="J166" i="6"/>
  <c r="J162" i="6"/>
  <c r="J171" i="6"/>
  <c r="J167" i="6"/>
  <c r="J172" i="6"/>
  <c r="J181" i="6"/>
  <c r="J168" i="6"/>
  <c r="J170" i="6"/>
  <c r="J173" i="6"/>
  <c r="J165" i="6"/>
  <c r="J179" i="6"/>
  <c r="J174" i="6"/>
  <c r="J189" i="6"/>
  <c r="J183" i="6"/>
  <c r="J175" i="6"/>
  <c r="Y54" i="6"/>
  <c r="Y53" i="6" s="1"/>
  <c r="Y55" i="6" s="1"/>
  <c r="M24" i="6"/>
  <c r="M23" i="6" s="1"/>
  <c r="M25" i="6" s="1"/>
  <c r="J370" i="6"/>
  <c r="J364" i="6"/>
  <c r="J362" i="6"/>
  <c r="J369" i="6"/>
  <c r="J371" i="6"/>
  <c r="J367" i="6"/>
  <c r="J366" i="6"/>
  <c r="J361" i="6"/>
  <c r="J358" i="6"/>
  <c r="J368" i="6"/>
  <c r="J365" i="6"/>
  <c r="J359" i="6"/>
  <c r="J360" i="6"/>
  <c r="J363" i="6"/>
  <c r="J275" i="6"/>
  <c r="J291" i="6"/>
  <c r="J298" i="6"/>
  <c r="Q39" i="6"/>
  <c r="Q38" i="6" s="1"/>
  <c r="Z50" i="6"/>
  <c r="Z54" i="6" s="1"/>
  <c r="Z53" i="6" s="1"/>
  <c r="AA48" i="6"/>
  <c r="AA54" i="6" s="1"/>
  <c r="T54" i="6"/>
  <c r="T53" i="6" s="1"/>
  <c r="J308" i="6"/>
  <c r="J315" i="6"/>
  <c r="J307" i="6"/>
  <c r="J302" i="6"/>
  <c r="J314" i="6"/>
  <c r="J39" i="6"/>
  <c r="J40" i="6"/>
  <c r="J38" i="6"/>
  <c r="J48" i="6"/>
  <c r="J49" i="6"/>
  <c r="J46" i="6"/>
  <c r="P10" i="15" l="1"/>
  <c r="AE11" i="15"/>
  <c r="AC21" i="15"/>
  <c r="AC16" i="15"/>
  <c r="AC17" i="15"/>
  <c r="AC22" i="15"/>
  <c r="AC15" i="15"/>
  <c r="AC20" i="15"/>
  <c r="AC19" i="15"/>
  <c r="AI11" i="15"/>
  <c r="AD305" i="1"/>
  <c r="K13" i="7"/>
  <c r="BT9" i="7"/>
  <c r="BV10" i="7" s="1"/>
  <c r="BQ10" i="7"/>
  <c r="AH381" i="1"/>
  <c r="J374" i="6"/>
  <c r="AD374" i="1" s="1"/>
  <c r="AJ15" i="16"/>
  <c r="N13" i="7"/>
  <c r="F7" i="16"/>
  <c r="O12" i="16" s="1"/>
  <c r="O12" i="17"/>
  <c r="J377" i="6"/>
  <c r="AD377" i="1" s="1"/>
  <c r="J372" i="6"/>
  <c r="AD372" i="1" s="1"/>
  <c r="J375" i="6"/>
  <c r="AD375" i="1" s="1"/>
  <c r="J380" i="6"/>
  <c r="J328" i="6"/>
  <c r="AD328" i="1" s="1"/>
  <c r="AD303" i="1"/>
  <c r="J376" i="6"/>
  <c r="AD376" i="1" s="1"/>
  <c r="J379" i="6"/>
  <c r="AD379" i="1" s="1"/>
  <c r="J373" i="6"/>
  <c r="AD373" i="1" s="1"/>
  <c r="J378" i="6"/>
  <c r="AD378" i="1" s="1"/>
  <c r="AB13" i="7"/>
  <c r="AH382" i="1"/>
  <c r="F8" i="17"/>
  <c r="P12" i="17"/>
  <c r="AK15" i="17"/>
  <c r="AK380" i="17"/>
  <c r="AK16" i="17"/>
  <c r="AH383" i="1"/>
  <c r="AD306" i="1"/>
  <c r="P11" i="18"/>
  <c r="Z15" i="7"/>
  <c r="J13" i="7"/>
  <c r="O11" i="20"/>
  <c r="AC12" i="20"/>
  <c r="AC9" i="20"/>
  <c r="J319" i="6"/>
  <c r="AD319" i="1" s="1"/>
  <c r="J227" i="6"/>
  <c r="AD227" i="1" s="1"/>
  <c r="J354" i="6"/>
  <c r="AD354" i="1" s="1"/>
  <c r="J229" i="6"/>
  <c r="AD229" i="1" s="1"/>
  <c r="J238" i="6"/>
  <c r="AD238" i="1" s="1"/>
  <c r="J233" i="6"/>
  <c r="AD233" i="1" s="1"/>
  <c r="J232" i="6"/>
  <c r="AD232" i="1" s="1"/>
  <c r="Q11" i="17"/>
  <c r="AA11" i="7"/>
  <c r="J240" i="6"/>
  <c r="AD240" i="1" s="1"/>
  <c r="J218" i="6"/>
  <c r="AD218" i="1" s="1"/>
  <c r="J239" i="6"/>
  <c r="AD239" i="1" s="1"/>
  <c r="J222" i="6"/>
  <c r="AD222" i="1" s="1"/>
  <c r="J234" i="6"/>
  <c r="AD234" i="1" s="1"/>
  <c r="AJ77" i="27"/>
  <c r="AJ59" i="27"/>
  <c r="AJ70" i="27"/>
  <c r="AJ79" i="27"/>
  <c r="AJ61" i="27"/>
  <c r="E8" i="15"/>
  <c r="K12" i="19" s="1"/>
  <c r="K36" i="19" s="1"/>
  <c r="E7" i="15"/>
  <c r="A19" i="17"/>
  <c r="K18" i="17"/>
  <c r="AK18" i="17"/>
  <c r="AB18" i="17"/>
  <c r="X18" i="17"/>
  <c r="AJ18" i="17"/>
  <c r="F7" i="22"/>
  <c r="AL13" i="7"/>
  <c r="A16" i="23"/>
  <c r="X15" i="23"/>
  <c r="K15" i="23"/>
  <c r="AB15" i="23"/>
  <c r="O9" i="23"/>
  <c r="AJ15" i="23" s="1"/>
  <c r="R21" i="1"/>
  <c r="V76" i="27"/>
  <c r="X76" i="27"/>
  <c r="S76" i="27"/>
  <c r="Y76" i="27"/>
  <c r="U76" i="27"/>
  <c r="Z76" i="27"/>
  <c r="Q76" i="27"/>
  <c r="R76" i="27"/>
  <c r="AA76" i="27"/>
  <c r="T76" i="27"/>
  <c r="W76" i="27"/>
  <c r="AJ72" i="27"/>
  <c r="AJ67" i="27"/>
  <c r="AJ57" i="27"/>
  <c r="AJ56" i="27"/>
  <c r="AJ74" i="27"/>
  <c r="AJ62" i="27"/>
  <c r="AJ71" i="27"/>
  <c r="X24" i="1"/>
  <c r="A25" i="1"/>
  <c r="AB24" i="1"/>
  <c r="AK24" i="1"/>
  <c r="O24" i="1"/>
  <c r="AC24" i="1"/>
  <c r="AJ24" i="1"/>
  <c r="L24" i="1"/>
  <c r="K24" i="1"/>
  <c r="Q24" i="1"/>
  <c r="U24" i="1"/>
  <c r="A18" i="20"/>
  <c r="K17" i="20"/>
  <c r="AB17" i="20"/>
  <c r="X17" i="20"/>
  <c r="AJ17" i="20"/>
  <c r="AG382" i="1"/>
  <c r="AG383" i="1"/>
  <c r="AG381" i="1"/>
  <c r="AF15" i="1"/>
  <c r="S75" i="27"/>
  <c r="Y75" i="27"/>
  <c r="Q75" i="27"/>
  <c r="Z75" i="27"/>
  <c r="R75" i="27"/>
  <c r="U75" i="27"/>
  <c r="W75" i="27"/>
  <c r="T75" i="27"/>
  <c r="X75" i="27"/>
  <c r="AA75" i="27"/>
  <c r="AB75" i="27" s="1"/>
  <c r="AC75" i="27" s="1"/>
  <c r="AD75" i="27" s="1"/>
  <c r="V75" i="27"/>
  <c r="X64" i="27"/>
  <c r="T64" i="27"/>
  <c r="Y64" i="27"/>
  <c r="Z64" i="27"/>
  <c r="U64" i="27"/>
  <c r="Q64" i="27"/>
  <c r="V64" i="27"/>
  <c r="R64" i="27"/>
  <c r="W64" i="27"/>
  <c r="S64" i="27"/>
  <c r="AA64" i="27"/>
  <c r="Y73" i="27"/>
  <c r="W73" i="27"/>
  <c r="T73" i="27"/>
  <c r="V73" i="27"/>
  <c r="R73" i="27"/>
  <c r="Q73" i="27"/>
  <c r="S73" i="27"/>
  <c r="AA73" i="27"/>
  <c r="Z73" i="27"/>
  <c r="U73" i="27"/>
  <c r="X73" i="27"/>
  <c r="R78" i="27"/>
  <c r="T78" i="27"/>
  <c r="U78" i="27"/>
  <c r="X78" i="27"/>
  <c r="Z78" i="27"/>
  <c r="Q78" i="27"/>
  <c r="S78" i="27"/>
  <c r="Y78" i="27"/>
  <c r="AA78" i="27"/>
  <c r="V78" i="27"/>
  <c r="W78" i="27"/>
  <c r="V60" i="27"/>
  <c r="X60" i="27"/>
  <c r="S60" i="27"/>
  <c r="R60" i="27"/>
  <c r="AA60" i="27"/>
  <c r="U60" i="27"/>
  <c r="T60" i="27"/>
  <c r="W60" i="27"/>
  <c r="Y60" i="27"/>
  <c r="Z60" i="27"/>
  <c r="Q60" i="27"/>
  <c r="Q58" i="27"/>
  <c r="T58" i="27"/>
  <c r="S58" i="27"/>
  <c r="Z58" i="27"/>
  <c r="W58" i="27"/>
  <c r="AA58" i="27"/>
  <c r="R58" i="27"/>
  <c r="X58" i="27"/>
  <c r="U58" i="27"/>
  <c r="Y58" i="27"/>
  <c r="V58" i="27"/>
  <c r="X23" i="15"/>
  <c r="AB23" i="15"/>
  <c r="AK23" i="15"/>
  <c r="K23" i="15"/>
  <c r="L23" i="15"/>
  <c r="D23" i="15" s="1"/>
  <c r="A24" i="15"/>
  <c r="AJ23" i="15"/>
  <c r="AC23" i="15"/>
  <c r="L1" i="24"/>
  <c r="Y14" i="24"/>
  <c r="I6" i="6"/>
  <c r="F14" i="24"/>
  <c r="AW3" i="7"/>
  <c r="A15" i="24"/>
  <c r="V14" i="24"/>
  <c r="X1" i="24"/>
  <c r="J1" i="25"/>
  <c r="A19" i="19"/>
  <c r="A43" i="19" s="1"/>
  <c r="AB17" i="16"/>
  <c r="A18" i="16"/>
  <c r="X17" i="16"/>
  <c r="K17" i="16"/>
  <c r="L17" i="16"/>
  <c r="D17" i="16" s="1"/>
  <c r="AK17" i="16"/>
  <c r="AJ17" i="16"/>
  <c r="D15" i="15"/>
  <c r="W63" i="27"/>
  <c r="S63" i="27"/>
  <c r="U63" i="27"/>
  <c r="V63" i="27"/>
  <c r="AA63" i="27"/>
  <c r="AB63" i="27" s="1"/>
  <c r="AC63" i="27" s="1"/>
  <c r="AD63" i="27" s="1"/>
  <c r="R63" i="27"/>
  <c r="T63" i="27"/>
  <c r="Z63" i="27"/>
  <c r="X63" i="27"/>
  <c r="Y63" i="27"/>
  <c r="Q63" i="27"/>
  <c r="T66" i="27"/>
  <c r="Q66" i="27"/>
  <c r="V66" i="27"/>
  <c r="R66" i="27"/>
  <c r="U66" i="27"/>
  <c r="S66" i="27"/>
  <c r="AA66" i="27"/>
  <c r="Y66" i="27"/>
  <c r="W66" i="27"/>
  <c r="Z66" i="27"/>
  <c r="X66" i="27"/>
  <c r="AA65" i="27"/>
  <c r="AB65" i="27" s="1"/>
  <c r="AC65" i="27" s="1"/>
  <c r="AD65" i="27" s="1"/>
  <c r="W65" i="27"/>
  <c r="U65" i="27"/>
  <c r="S65" i="27"/>
  <c r="Y65" i="27"/>
  <c r="R65" i="27"/>
  <c r="Q65" i="27"/>
  <c r="Z65" i="27"/>
  <c r="T65" i="27"/>
  <c r="V65" i="27"/>
  <c r="X65" i="27"/>
  <c r="V68" i="27"/>
  <c r="Q68" i="27"/>
  <c r="X68" i="27"/>
  <c r="R68" i="27"/>
  <c r="Z68" i="27"/>
  <c r="W68" i="27"/>
  <c r="AA68" i="27"/>
  <c r="S68" i="27"/>
  <c r="U68" i="27"/>
  <c r="T68" i="27"/>
  <c r="Y68" i="27"/>
  <c r="AA69" i="27"/>
  <c r="V69" i="27"/>
  <c r="Q69" i="27"/>
  <c r="W69" i="27"/>
  <c r="X69" i="27"/>
  <c r="Z69" i="27"/>
  <c r="Y69" i="27"/>
  <c r="T69" i="27"/>
  <c r="U69" i="27"/>
  <c r="R69" i="27"/>
  <c r="S69" i="27"/>
  <c r="A17" i="22"/>
  <c r="K16" i="22"/>
  <c r="AB16" i="22"/>
  <c r="X16" i="22"/>
  <c r="AJ16" i="22"/>
  <c r="T23" i="1"/>
  <c r="D15" i="16"/>
  <c r="L12" i="17"/>
  <c r="L11" i="17"/>
  <c r="L18" i="17" s="1"/>
  <c r="D18" i="17" s="1"/>
  <c r="AB21" i="18"/>
  <c r="X21" i="18"/>
  <c r="K21" i="18"/>
  <c r="AK21" i="18"/>
  <c r="A22" i="18"/>
  <c r="AJ21" i="18"/>
  <c r="AD353" i="1"/>
  <c r="AD200" i="1"/>
  <c r="AD304" i="1"/>
  <c r="AD274" i="1"/>
  <c r="AD299" i="1"/>
  <c r="AD280" i="1"/>
  <c r="AD281" i="1"/>
  <c r="AD241" i="1"/>
  <c r="AD215" i="1"/>
  <c r="AD201" i="1"/>
  <c r="AD208" i="1"/>
  <c r="AD287" i="1"/>
  <c r="AD312" i="1"/>
  <c r="AD313" i="1"/>
  <c r="AD286" i="1"/>
  <c r="AD193" i="1"/>
  <c r="AD205" i="1"/>
  <c r="AD292" i="1"/>
  <c r="AD285" i="1"/>
  <c r="AD279" i="1"/>
  <c r="AD214" i="1"/>
  <c r="AD207" i="1"/>
  <c r="AD217" i="1"/>
  <c r="AD206" i="1"/>
  <c r="J351" i="6"/>
  <c r="J341" i="6"/>
  <c r="AD341" i="1" s="1"/>
  <c r="J343" i="6"/>
  <c r="AD293" i="1"/>
  <c r="AD203" i="1"/>
  <c r="AD294" i="1"/>
  <c r="AD277" i="1"/>
  <c r="J335" i="6"/>
  <c r="J329" i="6"/>
  <c r="J322" i="6"/>
  <c r="AD322" i="1" s="1"/>
  <c r="J317" i="6"/>
  <c r="J326" i="6"/>
  <c r="W55" i="6"/>
  <c r="AY307" i="6" s="1"/>
  <c r="J323" i="6"/>
  <c r="AD323" i="1" s="1"/>
  <c r="J320" i="6"/>
  <c r="J325" i="6"/>
  <c r="J316" i="6"/>
  <c r="J254" i="6"/>
  <c r="J268" i="6"/>
  <c r="AD268" i="1" s="1"/>
  <c r="J264" i="6"/>
  <c r="J346" i="6"/>
  <c r="J355" i="6"/>
  <c r="AD355" i="1" s="1"/>
  <c r="J347" i="6"/>
  <c r="J332" i="6"/>
  <c r="AD332" i="1" s="1"/>
  <c r="J356" i="6"/>
  <c r="J344" i="6"/>
  <c r="J342" i="6"/>
  <c r="X40" i="6"/>
  <c r="AT320" i="6" s="1"/>
  <c r="AD199" i="1"/>
  <c r="AD211" i="1"/>
  <c r="AD190" i="1"/>
  <c r="V55" i="6"/>
  <c r="AY257" i="6" s="1"/>
  <c r="Z40" i="6"/>
  <c r="AT353" i="6" s="1"/>
  <c r="AD248" i="1"/>
  <c r="AT20" i="6"/>
  <c r="AD309" i="1"/>
  <c r="AD278" i="1"/>
  <c r="AD284" i="1"/>
  <c r="AD296" i="1"/>
  <c r="J261" i="6"/>
  <c r="J271" i="6"/>
  <c r="J249" i="6"/>
  <c r="J251" i="6"/>
  <c r="J262" i="6"/>
  <c r="J255" i="6"/>
  <c r="J258" i="6"/>
  <c r="J260" i="6"/>
  <c r="J272" i="6"/>
  <c r="J257" i="6"/>
  <c r="J265" i="6"/>
  <c r="J256" i="6"/>
  <c r="J250" i="6"/>
  <c r="J246" i="6"/>
  <c r="J270" i="6"/>
  <c r="J259" i="6"/>
  <c r="J269" i="6"/>
  <c r="J253" i="6"/>
  <c r="J252" i="6"/>
  <c r="J247" i="6"/>
  <c r="J266" i="6"/>
  <c r="J273" i="6"/>
  <c r="J267" i="6"/>
  <c r="J263" i="6"/>
  <c r="J345" i="6"/>
  <c r="J338" i="6"/>
  <c r="J244" i="6"/>
  <c r="J237" i="6"/>
  <c r="J243" i="6"/>
  <c r="J225" i="6"/>
  <c r="J224" i="6"/>
  <c r="J242" i="6"/>
  <c r="J337" i="6"/>
  <c r="AD337" i="1" s="1"/>
  <c r="J333" i="6"/>
  <c r="J350" i="6"/>
  <c r="J339" i="6"/>
  <c r="J352" i="6"/>
  <c r="J336" i="6"/>
  <c r="J349" i="6"/>
  <c r="J357" i="6"/>
  <c r="J340" i="6"/>
  <c r="J330" i="6"/>
  <c r="J331" i="6"/>
  <c r="J334" i="6"/>
  <c r="J324" i="6"/>
  <c r="J327" i="6"/>
  <c r="J318" i="6"/>
  <c r="J348" i="6"/>
  <c r="J231" i="6"/>
  <c r="J221" i="6"/>
  <c r="J235" i="6"/>
  <c r="J223" i="6"/>
  <c r="J230" i="6"/>
  <c r="J228" i="6"/>
  <c r="J226" i="6"/>
  <c r="J219" i="6"/>
  <c r="J236" i="6"/>
  <c r="J220" i="6"/>
  <c r="J245" i="6"/>
  <c r="AD276" i="1"/>
  <c r="E7" i="18"/>
  <c r="E8" i="18"/>
  <c r="K15" i="19" s="1"/>
  <c r="K39" i="19" s="1"/>
  <c r="N25" i="6"/>
  <c r="J31" i="6" s="1"/>
  <c r="Q40" i="6"/>
  <c r="AT89" i="6" s="1"/>
  <c r="S55" i="6"/>
  <c r="AY151" i="6" s="1"/>
  <c r="AD48" i="1"/>
  <c r="AD321" i="1"/>
  <c r="AD291" i="1"/>
  <c r="AD363" i="1"/>
  <c r="AD359" i="1"/>
  <c r="AD368" i="1"/>
  <c r="AD358" i="1"/>
  <c r="AD366" i="1"/>
  <c r="AD371" i="1"/>
  <c r="AD362" i="1"/>
  <c r="AD370" i="1"/>
  <c r="Z55" i="6"/>
  <c r="AY345" i="6" s="1"/>
  <c r="AD183" i="1"/>
  <c r="AD174" i="1"/>
  <c r="AD165" i="1"/>
  <c r="AD170" i="1"/>
  <c r="AD181" i="1"/>
  <c r="AD167" i="1"/>
  <c r="AD162" i="1"/>
  <c r="AD169" i="1"/>
  <c r="AD177" i="1"/>
  <c r="AD176" i="1"/>
  <c r="AD164" i="1"/>
  <c r="AD186" i="1"/>
  <c r="AD184" i="1"/>
  <c r="AD188" i="1"/>
  <c r="AD88" i="1"/>
  <c r="AD96" i="1"/>
  <c r="AD82" i="1"/>
  <c r="AD78" i="1"/>
  <c r="AD89" i="1"/>
  <c r="AD105" i="1"/>
  <c r="AD90" i="1"/>
  <c r="AD101" i="1"/>
  <c r="AD99" i="1"/>
  <c r="AD85" i="1"/>
  <c r="AD104" i="1"/>
  <c r="AD98" i="1"/>
  <c r="AD102" i="1"/>
  <c r="AD87" i="1"/>
  <c r="AD43" i="1"/>
  <c r="AD37" i="1"/>
  <c r="AT241" i="6"/>
  <c r="AT238" i="6"/>
  <c r="AT212" i="6"/>
  <c r="AT231" i="6"/>
  <c r="AT196" i="6"/>
  <c r="AT227" i="6"/>
  <c r="AT207" i="6"/>
  <c r="AT217" i="6"/>
  <c r="AT203" i="6"/>
  <c r="AT191" i="6"/>
  <c r="AT200" i="6"/>
  <c r="AT230" i="6"/>
  <c r="AT213" i="6"/>
  <c r="AT237" i="6"/>
  <c r="AT223" i="6"/>
  <c r="AT234" i="6"/>
  <c r="AT216" i="6"/>
  <c r="AT199" i="6"/>
  <c r="AT224" i="6"/>
  <c r="AT225" i="6"/>
  <c r="AT240" i="6"/>
  <c r="AT226" i="6"/>
  <c r="AT201" i="6"/>
  <c r="AT195" i="6"/>
  <c r="AT190" i="6"/>
  <c r="AT193" i="6"/>
  <c r="AT194" i="6"/>
  <c r="AT211" i="6"/>
  <c r="AD297" i="1"/>
  <c r="AD282" i="1"/>
  <c r="M54" i="6"/>
  <c r="M53" i="6" s="1"/>
  <c r="M55" i="6" s="1"/>
  <c r="AD134" i="1"/>
  <c r="AD136" i="1"/>
  <c r="AD138" i="1"/>
  <c r="AD135" i="1"/>
  <c r="AD152" i="1"/>
  <c r="AD141" i="1"/>
  <c r="AD144" i="1"/>
  <c r="AD143" i="1"/>
  <c r="AD140" i="1"/>
  <c r="AD154" i="1"/>
  <c r="AD149" i="1"/>
  <c r="AD160" i="1"/>
  <c r="AD158" i="1"/>
  <c r="AD148" i="1"/>
  <c r="AD124" i="1"/>
  <c r="AD106" i="1"/>
  <c r="AD109" i="1"/>
  <c r="AD123" i="1"/>
  <c r="AD129" i="1"/>
  <c r="AD116" i="1"/>
  <c r="AD131" i="1"/>
  <c r="AD132" i="1"/>
  <c r="AD130" i="1"/>
  <c r="AD111" i="1"/>
  <c r="AD128" i="1"/>
  <c r="AD127" i="1"/>
  <c r="AD114" i="1"/>
  <c r="AD119" i="1"/>
  <c r="AD67" i="1"/>
  <c r="AD71" i="1"/>
  <c r="AD76" i="1"/>
  <c r="AD62" i="1"/>
  <c r="AD64" i="1"/>
  <c r="AD75" i="1"/>
  <c r="AD73" i="1"/>
  <c r="AD56" i="1"/>
  <c r="AD55" i="1"/>
  <c r="AD70" i="1"/>
  <c r="AD51" i="1"/>
  <c r="AD66" i="1"/>
  <c r="AD69" i="1"/>
  <c r="AD65" i="1"/>
  <c r="AT252" i="6"/>
  <c r="AT266" i="6"/>
  <c r="AT261" i="6"/>
  <c r="AT247" i="6"/>
  <c r="AT251" i="6"/>
  <c r="AT260" i="6"/>
  <c r="AT263" i="6"/>
  <c r="AT267" i="6"/>
  <c r="AT268" i="6"/>
  <c r="AT270" i="6"/>
  <c r="AT271" i="6"/>
  <c r="AT273" i="6"/>
  <c r="AT262" i="6"/>
  <c r="AT19" i="6"/>
  <c r="AT21" i="6"/>
  <c r="AT16" i="6"/>
  <c r="AT18" i="6"/>
  <c r="AD46" i="1"/>
  <c r="AD40" i="1"/>
  <c r="AD314" i="1"/>
  <c r="AD315" i="1"/>
  <c r="AD49" i="1"/>
  <c r="AD38" i="1"/>
  <c r="AD39" i="1"/>
  <c r="AD302" i="1"/>
  <c r="AD307" i="1"/>
  <c r="AD308" i="1"/>
  <c r="T55" i="6"/>
  <c r="AY228" i="6" s="1"/>
  <c r="AT134" i="6"/>
  <c r="AT136" i="6"/>
  <c r="AT151" i="6"/>
  <c r="AT139" i="6"/>
  <c r="AT143" i="6"/>
  <c r="AT154" i="6"/>
  <c r="AT158" i="6"/>
  <c r="AT149" i="6"/>
  <c r="AT155" i="6"/>
  <c r="AT141" i="6"/>
  <c r="AT152" i="6"/>
  <c r="AT137" i="6"/>
  <c r="AT145" i="6"/>
  <c r="AT144" i="6"/>
  <c r="AT147" i="6"/>
  <c r="AT148" i="6"/>
  <c r="AT140" i="6"/>
  <c r="AT160" i="6"/>
  <c r="AT173" i="6"/>
  <c r="AT188" i="6"/>
  <c r="AT180" i="6"/>
  <c r="AT189" i="6"/>
  <c r="AT169" i="6"/>
  <c r="AT179" i="6"/>
  <c r="AT175" i="6"/>
  <c r="AT182" i="6"/>
  <c r="AT163" i="6"/>
  <c r="AT184" i="6"/>
  <c r="AT170" i="6"/>
  <c r="AT176" i="6"/>
  <c r="AT166" i="6"/>
  <c r="AT185" i="6"/>
  <c r="AT157" i="6"/>
  <c r="AT142" i="6"/>
  <c r="AT161" i="6"/>
  <c r="AT159" i="6"/>
  <c r="AT135" i="6"/>
  <c r="AT162" i="6"/>
  <c r="AT181" i="6"/>
  <c r="AT165" i="6"/>
  <c r="AT186" i="6"/>
  <c r="AT168" i="6"/>
  <c r="AT177" i="6"/>
  <c r="AT174" i="6"/>
  <c r="AT156" i="6"/>
  <c r="AT146" i="6"/>
  <c r="AT138" i="6"/>
  <c r="AT167" i="6"/>
  <c r="AT187" i="6"/>
  <c r="AT171" i="6"/>
  <c r="AT183" i="6"/>
  <c r="AT150" i="6"/>
  <c r="AT172" i="6"/>
  <c r="AT178" i="6"/>
  <c r="AT153" i="6"/>
  <c r="AT164" i="6"/>
  <c r="AD298" i="1"/>
  <c r="AD275" i="1"/>
  <c r="Q55" i="6"/>
  <c r="AY126" i="6" s="1"/>
  <c r="AT57" i="6"/>
  <c r="AT28" i="6"/>
  <c r="AT25" i="6"/>
  <c r="AT44" i="6"/>
  <c r="AT58" i="6"/>
  <c r="AT45" i="6"/>
  <c r="AT66" i="6"/>
  <c r="AT22" i="6"/>
  <c r="AT51" i="6"/>
  <c r="AT38" i="6"/>
  <c r="AT56" i="6"/>
  <c r="AT70" i="6"/>
  <c r="AT59" i="6"/>
  <c r="AT54" i="6"/>
  <c r="AT26" i="6"/>
  <c r="AT76" i="6"/>
  <c r="AT69" i="6"/>
  <c r="AT53" i="6"/>
  <c r="AT35" i="6"/>
  <c r="AT40" i="6"/>
  <c r="AT60" i="6"/>
  <c r="AT39" i="6"/>
  <c r="AT67" i="6"/>
  <c r="AT73" i="6"/>
  <c r="AT64" i="6"/>
  <c r="AT27" i="6"/>
  <c r="AT52" i="6"/>
  <c r="AT24" i="6"/>
  <c r="AT75" i="6"/>
  <c r="AT31" i="6"/>
  <c r="AT48" i="6"/>
  <c r="AT23" i="6"/>
  <c r="AT30" i="6"/>
  <c r="AT49" i="6"/>
  <c r="AT33" i="6"/>
  <c r="AT77" i="6"/>
  <c r="AT41" i="6"/>
  <c r="AT37" i="6"/>
  <c r="AT65" i="6"/>
  <c r="AT36" i="6"/>
  <c r="AT63" i="6"/>
  <c r="AT43" i="6"/>
  <c r="AT50" i="6"/>
  <c r="AT42" i="6"/>
  <c r="AT72" i="6"/>
  <c r="AT34" i="6"/>
  <c r="AT71" i="6"/>
  <c r="AT68" i="6"/>
  <c r="AT62" i="6"/>
  <c r="AT32" i="6"/>
  <c r="AT55" i="6"/>
  <c r="AT47" i="6"/>
  <c r="AT29" i="6"/>
  <c r="AT74" i="6"/>
  <c r="AT61" i="6"/>
  <c r="AT46" i="6"/>
  <c r="AD360" i="1"/>
  <c r="AD365" i="1"/>
  <c r="AD361" i="1"/>
  <c r="AD367" i="1"/>
  <c r="AD369" i="1"/>
  <c r="AD364" i="1"/>
  <c r="AY331" i="6"/>
  <c r="AY321" i="6"/>
  <c r="AY320" i="6"/>
  <c r="AY343" i="6"/>
  <c r="AY327" i="6"/>
  <c r="AY330" i="6"/>
  <c r="AY328" i="6"/>
  <c r="AY325" i="6"/>
  <c r="AY336" i="6"/>
  <c r="AY322" i="6"/>
  <c r="AY323" i="6"/>
  <c r="AY333" i="6"/>
  <c r="AY316" i="6"/>
  <c r="AY339" i="6"/>
  <c r="AY324" i="6"/>
  <c r="AY326" i="6"/>
  <c r="AY341" i="6"/>
  <c r="AY337" i="6"/>
  <c r="AY318" i="6"/>
  <c r="AY340" i="6"/>
  <c r="AY317" i="6"/>
  <c r="AY338" i="6"/>
  <c r="AY329" i="6"/>
  <c r="AY335" i="6"/>
  <c r="AY342" i="6"/>
  <c r="AY334" i="6"/>
  <c r="AY319" i="6"/>
  <c r="AY332" i="6"/>
  <c r="AD175" i="1"/>
  <c r="AD189" i="1"/>
  <c r="AD179" i="1"/>
  <c r="AD173" i="1"/>
  <c r="AD168" i="1"/>
  <c r="AD172" i="1"/>
  <c r="AD171" i="1"/>
  <c r="AD166" i="1"/>
  <c r="AD178" i="1"/>
  <c r="AD163" i="1"/>
  <c r="AD180" i="1"/>
  <c r="AD185" i="1"/>
  <c r="AD182" i="1"/>
  <c r="AD187" i="1"/>
  <c r="AD95" i="1"/>
  <c r="AD93" i="1"/>
  <c r="AD84" i="1"/>
  <c r="AD83" i="1"/>
  <c r="AD79" i="1"/>
  <c r="AD97" i="1"/>
  <c r="AD92" i="1"/>
  <c r="AD94" i="1"/>
  <c r="AD91" i="1"/>
  <c r="AD86" i="1"/>
  <c r="AD103" i="1"/>
  <c r="AD80" i="1"/>
  <c r="AD81" i="1"/>
  <c r="AD100" i="1"/>
  <c r="AD44" i="1"/>
  <c r="AD36" i="1"/>
  <c r="AD45" i="1"/>
  <c r="AD47" i="1"/>
  <c r="AD41" i="1"/>
  <c r="O55" i="6"/>
  <c r="AY83" i="6" s="1"/>
  <c r="AT205" i="6"/>
  <c r="AT215" i="6"/>
  <c r="AT198" i="6"/>
  <c r="AT232" i="6"/>
  <c r="AT228" i="6"/>
  <c r="AT233" i="6"/>
  <c r="AT235" i="6"/>
  <c r="AT236" i="6"/>
  <c r="AT243" i="6"/>
  <c r="AT206" i="6"/>
  <c r="AT229" i="6"/>
  <c r="AT219" i="6"/>
  <c r="AT209" i="6"/>
  <c r="AT197" i="6"/>
  <c r="AT218" i="6"/>
  <c r="AT242" i="6"/>
  <c r="AT210" i="6"/>
  <c r="AT244" i="6"/>
  <c r="AT204" i="6"/>
  <c r="AT214" i="6"/>
  <c r="AT192" i="6"/>
  <c r="AT202" i="6"/>
  <c r="AT221" i="6"/>
  <c r="AT220" i="6"/>
  <c r="AT239" i="6"/>
  <c r="AT208" i="6"/>
  <c r="AT222" i="6"/>
  <c r="AD295" i="1"/>
  <c r="AD289" i="1"/>
  <c r="AD288" i="1"/>
  <c r="N53" i="6"/>
  <c r="N55" i="6" s="1"/>
  <c r="AA53" i="6"/>
  <c r="AD159" i="1"/>
  <c r="AD147" i="1"/>
  <c r="AD146" i="1"/>
  <c r="AD151" i="1"/>
  <c r="AD145" i="1"/>
  <c r="AD137" i="1"/>
  <c r="AD139" i="1"/>
  <c r="AD142" i="1"/>
  <c r="AD157" i="1"/>
  <c r="AD155" i="1"/>
  <c r="AD153" i="1"/>
  <c r="AD161" i="1"/>
  <c r="AD156" i="1"/>
  <c r="AD150" i="1"/>
  <c r="AD121" i="1"/>
  <c r="AD110" i="1"/>
  <c r="AD125" i="1"/>
  <c r="AD107" i="1"/>
  <c r="AD126" i="1"/>
  <c r="AD133" i="1"/>
  <c r="AD115" i="1"/>
  <c r="AD122" i="1"/>
  <c r="AD118" i="1"/>
  <c r="AD108" i="1"/>
  <c r="AD120" i="1"/>
  <c r="AD112" i="1"/>
  <c r="AD113" i="1"/>
  <c r="AD117" i="1"/>
  <c r="AD57" i="1"/>
  <c r="AD72" i="1"/>
  <c r="AD52" i="1"/>
  <c r="AD60" i="1"/>
  <c r="AD53" i="1"/>
  <c r="AD74" i="1"/>
  <c r="AD63" i="1"/>
  <c r="AD58" i="1"/>
  <c r="AD61" i="1"/>
  <c r="AD54" i="1"/>
  <c r="AD59" i="1"/>
  <c r="AD68" i="1"/>
  <c r="AD77" i="1"/>
  <c r="AD50" i="1"/>
  <c r="AD42" i="1"/>
  <c r="AT257" i="6"/>
  <c r="AT264" i="6"/>
  <c r="AT269" i="6"/>
  <c r="AT255" i="6"/>
  <c r="AT250" i="6"/>
  <c r="AT265" i="6"/>
  <c r="AT259" i="6"/>
  <c r="AT256" i="6"/>
  <c r="AT254" i="6"/>
  <c r="AT258" i="6"/>
  <c r="AT272" i="6"/>
  <c r="AT253" i="6"/>
  <c r="AT248" i="6"/>
  <c r="AT249" i="6"/>
  <c r="AT246" i="6"/>
  <c r="AT15" i="6"/>
  <c r="AT17" i="6"/>
  <c r="W13" i="7" l="1"/>
  <c r="AH13" i="7"/>
  <c r="Q13" i="7"/>
  <c r="BZ9" i="7"/>
  <c r="BW10" i="7"/>
  <c r="O11" i="16"/>
  <c r="O12" i="18"/>
  <c r="AC12" i="16"/>
  <c r="AC9" i="16"/>
  <c r="AT292" i="6"/>
  <c r="AF15" i="7"/>
  <c r="P11" i="20"/>
  <c r="AK18" i="20" s="1"/>
  <c r="AK19" i="18"/>
  <c r="AK16" i="18"/>
  <c r="AK380" i="18"/>
  <c r="AK18" i="18"/>
  <c r="AK17" i="18"/>
  <c r="AK20" i="18"/>
  <c r="P12" i="18"/>
  <c r="F8" i="18"/>
  <c r="AK15" i="18"/>
  <c r="AI11" i="17"/>
  <c r="P10" i="17"/>
  <c r="AE11" i="17"/>
  <c r="L14" i="19"/>
  <c r="AY371" i="6"/>
  <c r="J15" i="6"/>
  <c r="AD15" i="1" s="1"/>
  <c r="AT283" i="6"/>
  <c r="AY256" i="6"/>
  <c r="AZ256" i="6" s="1"/>
  <c r="AY227" i="6"/>
  <c r="AZ227" i="6" s="1"/>
  <c r="AY353" i="6"/>
  <c r="AZ353" i="6" s="1"/>
  <c r="AY366" i="6"/>
  <c r="AY265" i="6"/>
  <c r="AZ265" i="6" s="1"/>
  <c r="AT291" i="6"/>
  <c r="AT280" i="6"/>
  <c r="AT299" i="6"/>
  <c r="AY361" i="6"/>
  <c r="AT275" i="6"/>
  <c r="AT279" i="6"/>
  <c r="AY351" i="6"/>
  <c r="AY363" i="6"/>
  <c r="AY308" i="6"/>
  <c r="AT290" i="6"/>
  <c r="AT288" i="6"/>
  <c r="AT274" i="6"/>
  <c r="AT298" i="6"/>
  <c r="AT296" i="6"/>
  <c r="AT281" i="6"/>
  <c r="AT282" i="6"/>
  <c r="AT277" i="6"/>
  <c r="AT278" i="6"/>
  <c r="AY245" i="6"/>
  <c r="AZ245" i="6" s="1"/>
  <c r="AY258" i="6"/>
  <c r="AZ258" i="6" s="1"/>
  <c r="AY235" i="6"/>
  <c r="AZ235" i="6" s="1"/>
  <c r="AT329" i="6"/>
  <c r="AY230" i="6"/>
  <c r="AZ230" i="6" s="1"/>
  <c r="AY207" i="6"/>
  <c r="AZ207" i="6" s="1"/>
  <c r="AY358" i="6"/>
  <c r="AY356" i="6"/>
  <c r="AY360" i="6"/>
  <c r="AY354" i="6"/>
  <c r="AY368" i="6"/>
  <c r="AY364" i="6"/>
  <c r="AY348" i="6"/>
  <c r="AY290" i="6"/>
  <c r="AY273" i="6"/>
  <c r="AY289" i="6"/>
  <c r="AY275" i="6"/>
  <c r="AY240" i="6"/>
  <c r="AZ240" i="6" s="1"/>
  <c r="AY248" i="6"/>
  <c r="AZ248" i="6" s="1"/>
  <c r="AY244" i="6"/>
  <c r="AZ244" i="6" s="1"/>
  <c r="AY234" i="6"/>
  <c r="AZ234" i="6" s="1"/>
  <c r="AT323" i="6"/>
  <c r="AZ323" i="6" s="1"/>
  <c r="AY215" i="6"/>
  <c r="AZ215" i="6" s="1"/>
  <c r="AY252" i="6"/>
  <c r="AZ252" i="6" s="1"/>
  <c r="AY220" i="6"/>
  <c r="AZ220" i="6" s="1"/>
  <c r="AY210" i="6"/>
  <c r="AZ210" i="6" s="1"/>
  <c r="AY226" i="6"/>
  <c r="AZ226" i="6" s="1"/>
  <c r="AY344" i="6"/>
  <c r="AY370" i="6"/>
  <c r="AY350" i="6"/>
  <c r="AY365" i="6"/>
  <c r="AY362" i="6"/>
  <c r="AY357" i="6"/>
  <c r="AY355" i="6"/>
  <c r="AY369" i="6"/>
  <c r="AY349" i="6"/>
  <c r="AY367" i="6"/>
  <c r="AY346" i="6"/>
  <c r="AY359" i="6"/>
  <c r="AY352" i="6"/>
  <c r="AY347" i="6"/>
  <c r="J18" i="6"/>
  <c r="AD18" i="1" s="1"/>
  <c r="J20" i="6"/>
  <c r="AD20" i="1" s="1"/>
  <c r="AY224" i="6"/>
  <c r="AZ224" i="6" s="1"/>
  <c r="AY208" i="6"/>
  <c r="AZ208" i="6" s="1"/>
  <c r="J22" i="6"/>
  <c r="AD22" i="1" s="1"/>
  <c r="AY306" i="6"/>
  <c r="AY243" i="6"/>
  <c r="AZ243" i="6" s="1"/>
  <c r="AY242" i="6"/>
  <c r="AZ242" i="6" s="1"/>
  <c r="AY249" i="6"/>
  <c r="AY232" i="6"/>
  <c r="AZ232" i="6" s="1"/>
  <c r="AC380" i="6" s="1"/>
  <c r="AC381" i="6" s="1"/>
  <c r="AY271" i="6"/>
  <c r="AZ271" i="6" s="1"/>
  <c r="AY292" i="6"/>
  <c r="AY311" i="6"/>
  <c r="AY238" i="6"/>
  <c r="AZ238" i="6" s="1"/>
  <c r="AY236" i="6"/>
  <c r="AZ236" i="6" s="1"/>
  <c r="AY255" i="6"/>
  <c r="AZ255" i="6" s="1"/>
  <c r="AY254" i="6"/>
  <c r="AZ254" i="6" s="1"/>
  <c r="AY259" i="6"/>
  <c r="AZ259" i="6" s="1"/>
  <c r="AY247" i="6"/>
  <c r="AZ247" i="6" s="1"/>
  <c r="AY251" i="6"/>
  <c r="AZ251" i="6" s="1"/>
  <c r="Q11" i="18"/>
  <c r="AG11" i="7"/>
  <c r="A23" i="18"/>
  <c r="K22" i="18"/>
  <c r="AB22" i="18"/>
  <c r="AK22" i="18"/>
  <c r="X22" i="18"/>
  <c r="AJ22" i="18"/>
  <c r="AB17" i="22"/>
  <c r="X17" i="22"/>
  <c r="A18" i="22"/>
  <c r="K17" i="22"/>
  <c r="AJ17" i="22"/>
  <c r="AB68" i="27"/>
  <c r="AC68" i="27" s="1"/>
  <c r="AF69" i="27" s="1"/>
  <c r="P69" i="27" s="1"/>
  <c r="K18" i="16"/>
  <c r="X18" i="16"/>
  <c r="L18" i="16"/>
  <c r="A19" i="16"/>
  <c r="AB18" i="16"/>
  <c r="AK18" i="16"/>
  <c r="AJ18" i="16"/>
  <c r="X1" i="25"/>
  <c r="Y14" i="25"/>
  <c r="L1" i="25"/>
  <c r="A15" i="25"/>
  <c r="J6" i="6"/>
  <c r="F14" i="25"/>
  <c r="A20" i="19"/>
  <c r="A44" i="19" s="1"/>
  <c r="BC3" i="7"/>
  <c r="V14" i="25"/>
  <c r="O9" i="24"/>
  <c r="AJ15" i="24" s="1"/>
  <c r="AF383" i="1"/>
  <c r="AF381" i="1"/>
  <c r="AF382" i="1"/>
  <c r="T24" i="1"/>
  <c r="S24" i="1" s="1"/>
  <c r="R24" i="1" s="1"/>
  <c r="AA62" i="27"/>
  <c r="AB62" i="27" s="1"/>
  <c r="AC62" i="27" s="1"/>
  <c r="AD62" i="27" s="1"/>
  <c r="Y62" i="27"/>
  <c r="W62" i="27"/>
  <c r="S62" i="27"/>
  <c r="Q62" i="27"/>
  <c r="T62" i="27"/>
  <c r="U62" i="27"/>
  <c r="X62" i="27"/>
  <c r="R62" i="27"/>
  <c r="V62" i="27"/>
  <c r="Z62" i="27"/>
  <c r="AA56" i="27"/>
  <c r="Q56" i="27"/>
  <c r="V56" i="27"/>
  <c r="Z56" i="27"/>
  <c r="X56" i="27"/>
  <c r="S56" i="27"/>
  <c r="Y56" i="27"/>
  <c r="W56" i="27"/>
  <c r="U56" i="27"/>
  <c r="T56" i="27"/>
  <c r="R56" i="27"/>
  <c r="W67" i="27"/>
  <c r="R67" i="27"/>
  <c r="Z67" i="27"/>
  <c r="V67" i="27"/>
  <c r="T67" i="27"/>
  <c r="X67" i="27"/>
  <c r="AA67" i="27"/>
  <c r="AB67" i="27" s="1"/>
  <c r="AC67" i="27" s="1"/>
  <c r="AF67" i="27" s="1"/>
  <c r="P67" i="27" s="1"/>
  <c r="S67" i="27"/>
  <c r="U67" i="27"/>
  <c r="Q67" i="27"/>
  <c r="Y67" i="27"/>
  <c r="AR13" i="7"/>
  <c r="AJ380" i="23"/>
  <c r="F7" i="23"/>
  <c r="AC9" i="22"/>
  <c r="AC12" i="22"/>
  <c r="O11" i="22"/>
  <c r="AB19" i="17"/>
  <c r="A20" i="17"/>
  <c r="AK19" i="17"/>
  <c r="X19" i="17"/>
  <c r="L19" i="17"/>
  <c r="D19" i="17" s="1"/>
  <c r="K19" i="17"/>
  <c r="AJ19" i="17"/>
  <c r="AC10" i="15"/>
  <c r="O10" i="15"/>
  <c r="O24" i="15" s="1"/>
  <c r="AA61" i="27"/>
  <c r="AB61" i="27" s="1"/>
  <c r="AC61" i="27" s="1"/>
  <c r="AF61" i="27" s="1"/>
  <c r="P61" i="27" s="1"/>
  <c r="Z61" i="27"/>
  <c r="Y61" i="27"/>
  <c r="T61" i="27"/>
  <c r="R61" i="27"/>
  <c r="V61" i="27"/>
  <c r="S61" i="27"/>
  <c r="Q61" i="27"/>
  <c r="W61" i="27"/>
  <c r="U61" i="27"/>
  <c r="X61" i="27"/>
  <c r="Z70" i="27"/>
  <c r="Y70" i="27"/>
  <c r="U70" i="27"/>
  <c r="W70" i="27"/>
  <c r="S70" i="27"/>
  <c r="T70" i="27"/>
  <c r="Q70" i="27"/>
  <c r="R70" i="27"/>
  <c r="V70" i="27"/>
  <c r="X70" i="27"/>
  <c r="AA70" i="27"/>
  <c r="W77" i="27"/>
  <c r="Y77" i="27"/>
  <c r="AA77" i="27"/>
  <c r="AB77" i="27" s="1"/>
  <c r="AC77" i="27" s="1"/>
  <c r="AD77" i="27" s="1"/>
  <c r="T77" i="27"/>
  <c r="X77" i="27"/>
  <c r="V77" i="27"/>
  <c r="U77" i="27"/>
  <c r="Q77" i="27"/>
  <c r="R77" i="27"/>
  <c r="S77" i="27"/>
  <c r="Z77" i="27"/>
  <c r="AT376" i="6"/>
  <c r="L15" i="17"/>
  <c r="L16" i="17"/>
  <c r="D16" i="17" s="1"/>
  <c r="L17" i="17"/>
  <c r="D17" i="17" s="1"/>
  <c r="L12" i="18"/>
  <c r="L11" i="18"/>
  <c r="S23" i="1"/>
  <c r="AB69" i="27"/>
  <c r="AC69" i="27" s="1"/>
  <c r="X15" i="24"/>
  <c r="A16" i="24"/>
  <c r="AB15" i="24"/>
  <c r="K15" i="24"/>
  <c r="L24" i="15"/>
  <c r="A25" i="15"/>
  <c r="AK24" i="15"/>
  <c r="AB24" i="15"/>
  <c r="K24" i="15"/>
  <c r="X24" i="15"/>
  <c r="AJ24" i="15"/>
  <c r="AC24" i="15"/>
  <c r="AB64" i="27"/>
  <c r="AC64" i="27" s="1"/>
  <c r="AD64" i="27" s="1"/>
  <c r="AB18" i="20"/>
  <c r="A19" i="20"/>
  <c r="X18" i="20"/>
  <c r="K18" i="20"/>
  <c r="AJ18" i="20"/>
  <c r="L25" i="1"/>
  <c r="AJ25" i="1"/>
  <c r="A26" i="1"/>
  <c r="AK25" i="1"/>
  <c r="U25" i="1"/>
  <c r="X25" i="1"/>
  <c r="Q25" i="1"/>
  <c r="AB25" i="1"/>
  <c r="K25" i="1"/>
  <c r="AC25" i="1"/>
  <c r="O25" i="1"/>
  <c r="Z71" i="27"/>
  <c r="Q71" i="27"/>
  <c r="T71" i="27"/>
  <c r="V71" i="27"/>
  <c r="Y71" i="27"/>
  <c r="X71" i="27"/>
  <c r="W71" i="27"/>
  <c r="S71" i="27"/>
  <c r="AA71" i="27"/>
  <c r="R71" i="27"/>
  <c r="U71" i="27"/>
  <c r="X74" i="27"/>
  <c r="T74" i="27"/>
  <c r="W74" i="27"/>
  <c r="AA74" i="27"/>
  <c r="AB74" i="27" s="1"/>
  <c r="AC74" i="27" s="1"/>
  <c r="AD74" i="27" s="1"/>
  <c r="U74" i="27"/>
  <c r="Z74" i="27"/>
  <c r="V74" i="27"/>
  <c r="Q74" i="27"/>
  <c r="R74" i="27"/>
  <c r="Y74" i="27"/>
  <c r="S74" i="27"/>
  <c r="AA57" i="27"/>
  <c r="AB57" i="27" s="1"/>
  <c r="AC57" i="27" s="1"/>
  <c r="AD57" i="27" s="1"/>
  <c r="U57" i="27"/>
  <c r="V57" i="27"/>
  <c r="S57" i="27"/>
  <c r="Y57" i="27"/>
  <c r="Z57" i="27"/>
  <c r="X57" i="27"/>
  <c r="T57" i="27"/>
  <c r="W57" i="27"/>
  <c r="R57" i="27"/>
  <c r="Q57" i="27"/>
  <c r="Q72" i="27"/>
  <c r="S72" i="27"/>
  <c r="R72" i="27"/>
  <c r="Y72" i="27"/>
  <c r="Z72" i="27"/>
  <c r="AA72" i="27"/>
  <c r="AB72" i="27" s="1"/>
  <c r="AC72" i="27" s="1"/>
  <c r="X72" i="27"/>
  <c r="U72" i="27"/>
  <c r="T72" i="27"/>
  <c r="V72" i="27"/>
  <c r="W72" i="27"/>
  <c r="X16" i="23"/>
  <c r="K16" i="23"/>
  <c r="A17" i="23"/>
  <c r="AB16" i="23"/>
  <c r="AJ16" i="23"/>
  <c r="W79" i="27"/>
  <c r="U79" i="27"/>
  <c r="R79" i="27"/>
  <c r="X79" i="27"/>
  <c r="V79" i="27"/>
  <c r="Y79" i="27"/>
  <c r="Q79" i="27"/>
  <c r="AA79" i="27"/>
  <c r="AB79" i="27" s="1"/>
  <c r="AC79" i="27" s="1"/>
  <c r="AD79" i="27" s="1"/>
  <c r="Z79" i="27"/>
  <c r="S79" i="27"/>
  <c r="T79" i="27"/>
  <c r="U59" i="27"/>
  <c r="X59" i="27"/>
  <c r="W59" i="27"/>
  <c r="Z59" i="27"/>
  <c r="AA59" i="27"/>
  <c r="AB59" i="27" s="1"/>
  <c r="AC59" i="27" s="1"/>
  <c r="AF60" i="27" s="1"/>
  <c r="P60" i="27" s="1"/>
  <c r="V59" i="27"/>
  <c r="Y59" i="27"/>
  <c r="S59" i="27"/>
  <c r="T59" i="27"/>
  <c r="R59" i="27"/>
  <c r="Q59" i="27"/>
  <c r="AZ249" i="6"/>
  <c r="AZ273" i="6"/>
  <c r="AD352" i="1"/>
  <c r="AY277" i="6"/>
  <c r="AY301" i="6"/>
  <c r="AY284" i="6"/>
  <c r="AY314" i="6"/>
  <c r="AY310" i="6"/>
  <c r="AY260" i="6"/>
  <c r="AZ260" i="6" s="1"/>
  <c r="AE380" i="6" s="1"/>
  <c r="AE381" i="6" s="1"/>
  <c r="AY261" i="6"/>
  <c r="AZ261" i="6" s="1"/>
  <c r="AY281" i="6"/>
  <c r="AY304" i="6"/>
  <c r="AY266" i="6"/>
  <c r="AZ266" i="6" s="1"/>
  <c r="AY270" i="6"/>
  <c r="AZ270" i="6" s="1"/>
  <c r="AT300" i="6"/>
  <c r="AT314" i="6"/>
  <c r="AT327" i="6"/>
  <c r="AZ327" i="6" s="1"/>
  <c r="AT313" i="6"/>
  <c r="AT319" i="6"/>
  <c r="AZ319" i="6" s="1"/>
  <c r="AT306" i="6"/>
  <c r="AT318" i="6"/>
  <c r="AZ318" i="6" s="1"/>
  <c r="AT328" i="6"/>
  <c r="AZ328" i="6" s="1"/>
  <c r="AD264" i="1"/>
  <c r="AD254" i="1"/>
  <c r="AD351" i="1"/>
  <c r="AT284" i="6"/>
  <c r="AZ284" i="6" s="1"/>
  <c r="AT276" i="6"/>
  <c r="AT301" i="6"/>
  <c r="AT293" i="6"/>
  <c r="AT297" i="6"/>
  <c r="AZ329" i="6"/>
  <c r="AZ320" i="6"/>
  <c r="AT287" i="6"/>
  <c r="AT294" i="6"/>
  <c r="AT285" i="6"/>
  <c r="AT286" i="6"/>
  <c r="AT289" i="6"/>
  <c r="AT295" i="6"/>
  <c r="AD344" i="1"/>
  <c r="AT321" i="6"/>
  <c r="AZ321" i="6" s="1"/>
  <c r="AT302" i="6"/>
  <c r="AT303" i="6"/>
  <c r="AT310" i="6"/>
  <c r="AD343" i="1"/>
  <c r="AD329" i="1"/>
  <c r="AD335" i="1"/>
  <c r="AD317" i="1"/>
  <c r="AT348" i="6"/>
  <c r="AZ348" i="6" s="1"/>
  <c r="AT93" i="6"/>
  <c r="AT123" i="6"/>
  <c r="AT130" i="6"/>
  <c r="AT105" i="6"/>
  <c r="AT86" i="6"/>
  <c r="AT84" i="6"/>
  <c r="AT85" i="6"/>
  <c r="AD339" i="1"/>
  <c r="AD326" i="1"/>
  <c r="AD31" i="1"/>
  <c r="J30" i="6"/>
  <c r="AT377" i="6"/>
  <c r="AT372" i="6"/>
  <c r="AT334" i="6"/>
  <c r="AZ334" i="6" s="1"/>
  <c r="AD342" i="1"/>
  <c r="AD356" i="1"/>
  <c r="AD347" i="1"/>
  <c r="AD346" i="1"/>
  <c r="J26" i="6"/>
  <c r="AD26" i="1" s="1"/>
  <c r="J33" i="6"/>
  <c r="J35" i="6"/>
  <c r="J25" i="6"/>
  <c r="J28" i="6"/>
  <c r="J32" i="6"/>
  <c r="J29" i="6"/>
  <c r="J34" i="6"/>
  <c r="J23" i="6"/>
  <c r="J27" i="6"/>
  <c r="J24" i="6"/>
  <c r="J17" i="6"/>
  <c r="P17" i="1" s="1"/>
  <c r="V17" i="1" s="1"/>
  <c r="J19" i="6"/>
  <c r="P19" i="1" s="1"/>
  <c r="J16" i="6"/>
  <c r="J21" i="6"/>
  <c r="AD21" i="1" s="1"/>
  <c r="AT339" i="6"/>
  <c r="AZ339" i="6" s="1"/>
  <c r="AT345" i="6"/>
  <c r="AZ345" i="6" s="1"/>
  <c r="AT341" i="6"/>
  <c r="AZ341" i="6" s="1"/>
  <c r="AT356" i="6"/>
  <c r="AT331" i="6"/>
  <c r="AZ331" i="6" s="1"/>
  <c r="AT343" i="6"/>
  <c r="AZ343" i="6" s="1"/>
  <c r="AT335" i="6"/>
  <c r="AZ335" i="6" s="1"/>
  <c r="AT358" i="6"/>
  <c r="AT366" i="6"/>
  <c r="AT362" i="6"/>
  <c r="AT359" i="6"/>
  <c r="AT344" i="6"/>
  <c r="AT354" i="6"/>
  <c r="AT336" i="6"/>
  <c r="AZ336" i="6" s="1"/>
  <c r="AT355" i="6"/>
  <c r="AT360" i="6"/>
  <c r="AT378" i="6"/>
  <c r="AD316" i="1"/>
  <c r="AD320" i="1"/>
  <c r="AZ257" i="6"/>
  <c r="AD349" i="1"/>
  <c r="AY295" i="6"/>
  <c r="AY299" i="6"/>
  <c r="AY300" i="6"/>
  <c r="AY288" i="6"/>
  <c r="AY312" i="6"/>
  <c r="AY303" i="6"/>
  <c r="AY302" i="6"/>
  <c r="AY282" i="6"/>
  <c r="AY291" i="6"/>
  <c r="AY309" i="6"/>
  <c r="AY298" i="6"/>
  <c r="AY293" i="6"/>
  <c r="AY276" i="6"/>
  <c r="AY280" i="6"/>
  <c r="AY296" i="6"/>
  <c r="AY267" i="6"/>
  <c r="AZ267" i="6" s="1"/>
  <c r="AY313" i="6"/>
  <c r="AY263" i="6"/>
  <c r="AZ263" i="6" s="1"/>
  <c r="AY305" i="6"/>
  <c r="AY294" i="6"/>
  <c r="AY315" i="6"/>
  <c r="AY269" i="6"/>
  <c r="AZ269" i="6" s="1"/>
  <c r="AY264" i="6"/>
  <c r="AZ264" i="6" s="1"/>
  <c r="AY262" i="6"/>
  <c r="AZ262" i="6" s="1"/>
  <c r="AY283" i="6"/>
  <c r="AY274" i="6"/>
  <c r="AY297" i="6"/>
  <c r="AY278" i="6"/>
  <c r="AY268" i="6"/>
  <c r="AZ268" i="6" s="1"/>
  <c r="AT103" i="6"/>
  <c r="AT127" i="6"/>
  <c r="AT128" i="6"/>
  <c r="AT125" i="6"/>
  <c r="AT108" i="6"/>
  <c r="AT100" i="6"/>
  <c r="AT311" i="6"/>
  <c r="AT315" i="6"/>
  <c r="AT308" i="6"/>
  <c r="AT309" i="6"/>
  <c r="AT304" i="6"/>
  <c r="AT312" i="6"/>
  <c r="AT326" i="6"/>
  <c r="AZ326" i="6" s="1"/>
  <c r="AT317" i="6"/>
  <c r="AZ317" i="6" s="1"/>
  <c r="AT307" i="6"/>
  <c r="AZ307" i="6" s="1"/>
  <c r="AT322" i="6"/>
  <c r="AZ322" i="6" s="1"/>
  <c r="AT316" i="6"/>
  <c r="AZ316" i="6" s="1"/>
  <c r="AI380" i="6" s="1"/>
  <c r="AI381" i="6" s="1"/>
  <c r="AT305" i="6"/>
  <c r="AT324" i="6"/>
  <c r="AZ324" i="6" s="1"/>
  <c r="AT325" i="6"/>
  <c r="AZ325" i="6" s="1"/>
  <c r="AD325" i="1"/>
  <c r="AD245" i="1"/>
  <c r="AD236" i="1"/>
  <c r="AD226" i="1"/>
  <c r="AD230" i="1"/>
  <c r="AD235" i="1"/>
  <c r="AD231" i="1"/>
  <c r="AD327" i="1"/>
  <c r="AD334" i="1"/>
  <c r="AD330" i="1"/>
  <c r="AD357" i="1"/>
  <c r="AD242" i="1"/>
  <c r="AD225" i="1"/>
  <c r="AD237" i="1"/>
  <c r="AD338" i="1"/>
  <c r="AD263" i="1"/>
  <c r="AD273" i="1"/>
  <c r="AD247" i="1"/>
  <c r="AD253" i="1"/>
  <c r="AD259" i="1"/>
  <c r="AD246" i="1"/>
  <c r="AD256" i="1"/>
  <c r="AD257" i="1"/>
  <c r="AD260" i="1"/>
  <c r="AD255" i="1"/>
  <c r="AD251" i="1"/>
  <c r="AD271" i="1"/>
  <c r="AT380" i="6"/>
  <c r="AT374" i="6"/>
  <c r="AT375" i="6"/>
  <c r="AT370" i="6"/>
  <c r="AT361" i="6"/>
  <c r="AT113" i="6"/>
  <c r="AT120" i="6"/>
  <c r="AT117" i="6"/>
  <c r="AT121" i="6"/>
  <c r="AT95" i="6"/>
  <c r="AT124" i="6"/>
  <c r="AT101" i="6"/>
  <c r="AT102" i="6"/>
  <c r="AT99" i="6"/>
  <c r="AT111" i="6"/>
  <c r="AT119" i="6"/>
  <c r="AT97" i="6"/>
  <c r="AT110" i="6"/>
  <c r="AD336" i="1"/>
  <c r="AD333" i="1"/>
  <c r="AD220" i="1"/>
  <c r="AD219" i="1"/>
  <c r="AD228" i="1"/>
  <c r="AD223" i="1"/>
  <c r="AD221" i="1"/>
  <c r="AD348" i="1"/>
  <c r="AD318" i="1"/>
  <c r="AD324" i="1"/>
  <c r="AD331" i="1"/>
  <c r="AD340" i="1"/>
  <c r="AD350" i="1"/>
  <c r="AD224" i="1"/>
  <c r="AD243" i="1"/>
  <c r="AD244" i="1"/>
  <c r="AD345" i="1"/>
  <c r="AD267" i="1"/>
  <c r="AD266" i="1"/>
  <c r="AD252" i="1"/>
  <c r="AD269" i="1"/>
  <c r="AD270" i="1"/>
  <c r="AD250" i="1"/>
  <c r="AD265" i="1"/>
  <c r="AD272" i="1"/>
  <c r="AD258" i="1"/>
  <c r="AD262" i="1"/>
  <c r="AD249" i="1"/>
  <c r="AD261" i="1"/>
  <c r="AT364" i="6"/>
  <c r="AT363" i="6"/>
  <c r="AT365" i="6"/>
  <c r="AT379" i="6"/>
  <c r="AT371" i="6"/>
  <c r="AT373" i="6"/>
  <c r="AT368" i="6"/>
  <c r="AT367" i="6"/>
  <c r="AT369" i="6"/>
  <c r="AT350" i="6"/>
  <c r="AT337" i="6"/>
  <c r="AZ337" i="6" s="1"/>
  <c r="AT352" i="6"/>
  <c r="AT357" i="6"/>
  <c r="AT342" i="6"/>
  <c r="AZ342" i="6" s="1"/>
  <c r="AT340" i="6"/>
  <c r="AZ340" i="6" s="1"/>
  <c r="AT333" i="6"/>
  <c r="AZ333" i="6" s="1"/>
  <c r="AT346" i="6"/>
  <c r="AT332" i="6"/>
  <c r="AZ332" i="6" s="1"/>
  <c r="AT330" i="6"/>
  <c r="AZ330" i="6" s="1"/>
  <c r="AJ380" i="6" s="1"/>
  <c r="AJ381" i="6" s="1"/>
  <c r="AT347" i="6"/>
  <c r="AT351" i="6"/>
  <c r="AT338" i="6"/>
  <c r="AZ338" i="6" s="1"/>
  <c r="AT349" i="6"/>
  <c r="AY246" i="6"/>
  <c r="AZ246" i="6" s="1"/>
  <c r="AD380" i="6" s="1"/>
  <c r="AD381" i="6" s="1"/>
  <c r="AY250" i="6"/>
  <c r="AZ250" i="6" s="1"/>
  <c r="AY237" i="6"/>
  <c r="AZ237" i="6" s="1"/>
  <c r="AY233" i="6"/>
  <c r="AZ233" i="6" s="1"/>
  <c r="AY285" i="6"/>
  <c r="AY272" i="6"/>
  <c r="AZ272" i="6" s="1"/>
  <c r="AY239" i="6"/>
  <c r="AZ239" i="6" s="1"/>
  <c r="AY241" i="6"/>
  <c r="AZ241" i="6" s="1"/>
  <c r="AY253" i="6"/>
  <c r="AZ253" i="6" s="1"/>
  <c r="AY279" i="6"/>
  <c r="AY287" i="6"/>
  <c r="AY286" i="6"/>
  <c r="O10" i="18"/>
  <c r="AZ228" i="6"/>
  <c r="AZ151" i="6"/>
  <c r="AA55" i="6"/>
  <c r="AY223" i="6" s="1"/>
  <c r="AZ223" i="6" s="1"/>
  <c r="AY206" i="6"/>
  <c r="AZ206" i="6" s="1"/>
  <c r="AY212" i="6"/>
  <c r="AZ212" i="6" s="1"/>
  <c r="AY211" i="6"/>
  <c r="AZ211" i="6" s="1"/>
  <c r="AY54" i="6"/>
  <c r="AZ54" i="6" s="1"/>
  <c r="AY81" i="6"/>
  <c r="AY52" i="6"/>
  <c r="AZ52" i="6" s="1"/>
  <c r="AY74" i="6"/>
  <c r="AZ74" i="6" s="1"/>
  <c r="AY78" i="6"/>
  <c r="AY69" i="6"/>
  <c r="AZ69" i="6" s="1"/>
  <c r="AY40" i="6"/>
  <c r="AZ40" i="6" s="1"/>
  <c r="AY86" i="6"/>
  <c r="AY88" i="6"/>
  <c r="AY48" i="6"/>
  <c r="AZ48" i="6" s="1"/>
  <c r="AY79" i="6"/>
  <c r="AY77" i="6"/>
  <c r="AZ77" i="6" s="1"/>
  <c r="AY46" i="6"/>
  <c r="AZ46" i="6" s="1"/>
  <c r="AY91" i="6"/>
  <c r="AY82" i="6"/>
  <c r="AY37" i="6"/>
  <c r="AZ37" i="6" s="1"/>
  <c r="AY84" i="6"/>
  <c r="AY47" i="6"/>
  <c r="AZ47" i="6" s="1"/>
  <c r="AY66" i="6"/>
  <c r="AZ66" i="6" s="1"/>
  <c r="AY38" i="6"/>
  <c r="AZ38" i="6" s="1"/>
  <c r="AY50" i="6"/>
  <c r="AZ50" i="6" s="1"/>
  <c r="P380" i="6" s="1"/>
  <c r="P381" i="6" s="1"/>
  <c r="AY65" i="6"/>
  <c r="AZ65" i="6" s="1"/>
  <c r="AY42" i="6"/>
  <c r="AZ42" i="6" s="1"/>
  <c r="AY70" i="6"/>
  <c r="AZ70" i="6" s="1"/>
  <c r="AY71" i="6"/>
  <c r="AZ71" i="6" s="1"/>
  <c r="AY61" i="6"/>
  <c r="AZ61" i="6" s="1"/>
  <c r="AY53" i="6"/>
  <c r="AZ53" i="6" s="1"/>
  <c r="AY43" i="6"/>
  <c r="AZ43" i="6" s="1"/>
  <c r="AY108" i="6"/>
  <c r="AY133" i="6"/>
  <c r="AY95" i="6"/>
  <c r="AY129" i="6"/>
  <c r="AY143" i="6"/>
  <c r="AZ143" i="6" s="1"/>
  <c r="AY141" i="6"/>
  <c r="AZ141" i="6" s="1"/>
  <c r="AY101" i="6"/>
  <c r="AY93" i="6"/>
  <c r="AY127" i="6"/>
  <c r="AY122" i="6"/>
  <c r="AY131" i="6"/>
  <c r="AY107" i="6"/>
  <c r="AY104" i="6"/>
  <c r="AY92" i="6"/>
  <c r="AY114" i="6"/>
  <c r="AY147" i="6"/>
  <c r="AZ147" i="6" s="1"/>
  <c r="AY130" i="6"/>
  <c r="AY119" i="6"/>
  <c r="AY128" i="6"/>
  <c r="AY125" i="6"/>
  <c r="AY115" i="6"/>
  <c r="AY96" i="6"/>
  <c r="AY97" i="6"/>
  <c r="AY145" i="6"/>
  <c r="AZ145" i="6" s="1"/>
  <c r="AY132" i="6"/>
  <c r="AY136" i="6"/>
  <c r="AZ136" i="6" s="1"/>
  <c r="AY139" i="6"/>
  <c r="AZ139" i="6" s="1"/>
  <c r="AY113" i="6"/>
  <c r="AY205" i="6"/>
  <c r="AZ205" i="6" s="1"/>
  <c r="AY221" i="6"/>
  <c r="AZ221" i="6" s="1"/>
  <c r="AY214" i="6"/>
  <c r="AZ214" i="6" s="1"/>
  <c r="AY217" i="6"/>
  <c r="AZ217" i="6" s="1"/>
  <c r="AY209" i="6"/>
  <c r="AZ209" i="6" s="1"/>
  <c r="AY216" i="6"/>
  <c r="AZ216" i="6" s="1"/>
  <c r="AY173" i="6"/>
  <c r="AZ173" i="6" s="1"/>
  <c r="AY176" i="6"/>
  <c r="AZ176" i="6" s="1"/>
  <c r="Y380" i="6" s="1"/>
  <c r="Y381" i="6" s="1"/>
  <c r="AY200" i="6"/>
  <c r="AZ200" i="6" s="1"/>
  <c r="AY185" i="6"/>
  <c r="AZ185" i="6" s="1"/>
  <c r="AY186" i="6"/>
  <c r="AZ186" i="6" s="1"/>
  <c r="AY163" i="6"/>
  <c r="AZ163" i="6" s="1"/>
  <c r="AY187" i="6"/>
  <c r="AZ187" i="6" s="1"/>
  <c r="AY192" i="6"/>
  <c r="AZ192" i="6" s="1"/>
  <c r="AY160" i="6"/>
  <c r="AZ160" i="6" s="1"/>
  <c r="AY198" i="6"/>
  <c r="AZ198" i="6" s="1"/>
  <c r="AY152" i="6"/>
  <c r="AZ152" i="6" s="1"/>
  <c r="AY194" i="6"/>
  <c r="AZ194" i="6" s="1"/>
  <c r="AY182" i="6"/>
  <c r="AZ182" i="6" s="1"/>
  <c r="AY168" i="6"/>
  <c r="AZ168" i="6" s="1"/>
  <c r="AY188" i="6"/>
  <c r="AZ188" i="6" s="1"/>
  <c r="AY180" i="6"/>
  <c r="AZ180" i="6" s="1"/>
  <c r="AY159" i="6"/>
  <c r="AZ159" i="6" s="1"/>
  <c r="AY156" i="6"/>
  <c r="AZ156" i="6" s="1"/>
  <c r="AY161" i="6"/>
  <c r="AZ161" i="6" s="1"/>
  <c r="AY179" i="6"/>
  <c r="AZ179" i="6" s="1"/>
  <c r="AY181" i="6"/>
  <c r="AZ181" i="6" s="1"/>
  <c r="AY174" i="6"/>
  <c r="AZ174" i="6" s="1"/>
  <c r="AY175" i="6"/>
  <c r="AZ175" i="6" s="1"/>
  <c r="AY203" i="6"/>
  <c r="AZ203" i="6" s="1"/>
  <c r="AY149" i="6"/>
  <c r="AZ149" i="6" s="1"/>
  <c r="AY177" i="6"/>
  <c r="AZ177" i="6" s="1"/>
  <c r="AY197" i="6"/>
  <c r="AZ197" i="6" s="1"/>
  <c r="AY166" i="6"/>
  <c r="AZ166" i="6" s="1"/>
  <c r="AT91" i="6"/>
  <c r="AT129" i="6"/>
  <c r="AT118" i="6"/>
  <c r="AT81" i="6"/>
  <c r="AT82" i="6"/>
  <c r="AT122" i="6"/>
  <c r="AT96" i="6"/>
  <c r="AT90" i="6"/>
  <c r="AT106" i="6"/>
  <c r="AT133" i="6"/>
  <c r="AT114" i="6"/>
  <c r="AT109" i="6"/>
  <c r="AT87" i="6"/>
  <c r="AT116" i="6"/>
  <c r="AT112" i="6"/>
  <c r="AT104" i="6"/>
  <c r="AT78" i="6"/>
  <c r="AT115" i="6"/>
  <c r="AT80" i="6"/>
  <c r="AT92" i="6"/>
  <c r="AT98" i="6"/>
  <c r="AT132" i="6"/>
  <c r="AT107" i="6"/>
  <c r="AT79" i="6"/>
  <c r="AT83" i="6"/>
  <c r="AZ83" i="6" s="1"/>
  <c r="AT126" i="6"/>
  <c r="AZ126" i="6" s="1"/>
  <c r="AT131" i="6"/>
  <c r="AT88" i="6"/>
  <c r="AY225" i="6"/>
  <c r="AZ225" i="6" s="1"/>
  <c r="AY218" i="6"/>
  <c r="AZ218" i="6" s="1"/>
  <c r="AB380" i="6" s="1"/>
  <c r="AB381" i="6" s="1"/>
  <c r="AY27" i="6"/>
  <c r="AZ27" i="6" s="1"/>
  <c r="AY24" i="6"/>
  <c r="AZ24" i="6" s="1"/>
  <c r="AY33" i="6"/>
  <c r="AZ33" i="6" s="1"/>
  <c r="AY29" i="6"/>
  <c r="AZ29" i="6" s="1"/>
  <c r="AY20" i="6"/>
  <c r="AZ20" i="6" s="1"/>
  <c r="AY32" i="6"/>
  <c r="AZ32" i="6" s="1"/>
  <c r="AY17" i="6"/>
  <c r="AZ17" i="6" s="1"/>
  <c r="AY18" i="6"/>
  <c r="AZ18" i="6" s="1"/>
  <c r="AY28" i="6"/>
  <c r="AZ28" i="6" s="1"/>
  <c r="AY31" i="6"/>
  <c r="AZ31" i="6" s="1"/>
  <c r="AY26" i="6"/>
  <c r="AZ26" i="6" s="1"/>
  <c r="AY30" i="6"/>
  <c r="AZ30" i="6" s="1"/>
  <c r="AY16" i="6"/>
  <c r="AZ16" i="6" s="1"/>
  <c r="AY25" i="6"/>
  <c r="AZ25" i="6" s="1"/>
  <c r="AY19" i="6"/>
  <c r="AZ19" i="6" s="1"/>
  <c r="AY22" i="6"/>
  <c r="AZ22" i="6" s="1"/>
  <c r="N380" i="6" s="1"/>
  <c r="N381" i="6" s="1"/>
  <c r="AY34" i="6"/>
  <c r="AZ34" i="6" s="1"/>
  <c r="AY15" i="6"/>
  <c r="AY21" i="6"/>
  <c r="AZ21" i="6" s="1"/>
  <c r="AY23" i="6"/>
  <c r="AZ23" i="6" s="1"/>
  <c r="AY35" i="6"/>
  <c r="AZ35" i="6" s="1"/>
  <c r="AY213" i="6"/>
  <c r="AZ213" i="6" s="1"/>
  <c r="AY222" i="6"/>
  <c r="AZ222" i="6" s="1"/>
  <c r="AY231" i="6"/>
  <c r="AZ231" i="6" s="1"/>
  <c r="AY204" i="6"/>
  <c r="AZ204" i="6" s="1"/>
  <c r="AA380" i="6" s="1"/>
  <c r="AA381" i="6" s="1"/>
  <c r="AY68" i="6"/>
  <c r="AZ68" i="6" s="1"/>
  <c r="AY58" i="6"/>
  <c r="AZ58" i="6" s="1"/>
  <c r="AY56" i="6"/>
  <c r="AZ56" i="6" s="1"/>
  <c r="AY80" i="6"/>
  <c r="AY60" i="6"/>
  <c r="AZ60" i="6" s="1"/>
  <c r="AY76" i="6"/>
  <c r="AZ76" i="6" s="1"/>
  <c r="AY72" i="6"/>
  <c r="AZ72" i="6" s="1"/>
  <c r="AY89" i="6"/>
  <c r="AZ89" i="6" s="1"/>
  <c r="AY55" i="6"/>
  <c r="AZ55" i="6" s="1"/>
  <c r="AY63" i="6"/>
  <c r="AZ63" i="6" s="1"/>
  <c r="AY85" i="6"/>
  <c r="AY62" i="6"/>
  <c r="AZ62" i="6" s="1"/>
  <c r="AY73" i="6"/>
  <c r="AZ73" i="6" s="1"/>
  <c r="AY49" i="6"/>
  <c r="AZ49" i="6" s="1"/>
  <c r="AY87" i="6"/>
  <c r="AY75" i="6"/>
  <c r="AZ75" i="6" s="1"/>
  <c r="AY64" i="6"/>
  <c r="AZ64" i="6" s="1"/>
  <c r="Q380" i="6" s="1"/>
  <c r="Q381" i="6" s="1"/>
  <c r="AY57" i="6"/>
  <c r="AZ57" i="6" s="1"/>
  <c r="AY67" i="6"/>
  <c r="AZ67" i="6" s="1"/>
  <c r="AY41" i="6"/>
  <c r="AZ41" i="6" s="1"/>
  <c r="AY39" i="6"/>
  <c r="AZ39" i="6" s="1"/>
  <c r="AY44" i="6"/>
  <c r="AZ44" i="6" s="1"/>
  <c r="AY45" i="6"/>
  <c r="AZ45" i="6" s="1"/>
  <c r="AY90" i="6"/>
  <c r="AY59" i="6"/>
  <c r="AZ59" i="6" s="1"/>
  <c r="AY51" i="6"/>
  <c r="AZ51" i="6" s="1"/>
  <c r="AY36" i="6"/>
  <c r="AZ36" i="6" s="1"/>
  <c r="O380" i="6" s="1"/>
  <c r="O381" i="6" s="1"/>
  <c r="AY137" i="6"/>
  <c r="AZ137" i="6" s="1"/>
  <c r="AY117" i="6"/>
  <c r="AY105" i="6"/>
  <c r="AY144" i="6"/>
  <c r="AZ144" i="6" s="1"/>
  <c r="AY116" i="6"/>
  <c r="AY121" i="6"/>
  <c r="AY109" i="6"/>
  <c r="AY100" i="6"/>
  <c r="AY124" i="6"/>
  <c r="AY110" i="6"/>
  <c r="AY146" i="6"/>
  <c r="AZ146" i="6" s="1"/>
  <c r="AY98" i="6"/>
  <c r="AY138" i="6"/>
  <c r="AZ138" i="6" s="1"/>
  <c r="AY135" i="6"/>
  <c r="AZ135" i="6" s="1"/>
  <c r="AY111" i="6"/>
  <c r="AY99" i="6"/>
  <c r="AY94" i="6"/>
  <c r="AY142" i="6"/>
  <c r="AZ142" i="6" s="1"/>
  <c r="AY118" i="6"/>
  <c r="AY102" i="6"/>
  <c r="AY123" i="6"/>
  <c r="AY103" i="6"/>
  <c r="AY120" i="6"/>
  <c r="AY134" i="6"/>
  <c r="AZ134" i="6" s="1"/>
  <c r="V380" i="6" s="1"/>
  <c r="V381" i="6" s="1"/>
  <c r="AY106" i="6"/>
  <c r="AY140" i="6"/>
  <c r="AZ140" i="6" s="1"/>
  <c r="AY112" i="6"/>
  <c r="AY219" i="6"/>
  <c r="AZ219" i="6" s="1"/>
  <c r="AY229" i="6"/>
  <c r="AZ229" i="6" s="1"/>
  <c r="AY184" i="6"/>
  <c r="AZ184" i="6" s="1"/>
  <c r="AY153" i="6"/>
  <c r="AZ153" i="6" s="1"/>
  <c r="AY199" i="6"/>
  <c r="AZ199" i="6" s="1"/>
  <c r="AY190" i="6"/>
  <c r="AZ190" i="6" s="1"/>
  <c r="Z380" i="6" s="1"/>
  <c r="Z381" i="6" s="1"/>
  <c r="AY201" i="6"/>
  <c r="AZ201" i="6" s="1"/>
  <c r="AY164" i="6"/>
  <c r="AZ164" i="6" s="1"/>
  <c r="AY202" i="6"/>
  <c r="AZ202" i="6" s="1"/>
  <c r="AY183" i="6"/>
  <c r="AZ183" i="6" s="1"/>
  <c r="AY189" i="6"/>
  <c r="AZ189" i="6" s="1"/>
  <c r="AY167" i="6"/>
  <c r="AZ167" i="6" s="1"/>
  <c r="AY162" i="6"/>
  <c r="AZ162" i="6" s="1"/>
  <c r="X380" i="6" s="1"/>
  <c r="X381" i="6" s="1"/>
  <c r="AY172" i="6"/>
  <c r="AZ172" i="6" s="1"/>
  <c r="AY196" i="6"/>
  <c r="AZ196" i="6" s="1"/>
  <c r="AY165" i="6"/>
  <c r="AZ165" i="6" s="1"/>
  <c r="AY195" i="6"/>
  <c r="AZ195" i="6" s="1"/>
  <c r="AY154" i="6"/>
  <c r="AZ154" i="6" s="1"/>
  <c r="AY169" i="6"/>
  <c r="AZ169" i="6" s="1"/>
  <c r="AY148" i="6"/>
  <c r="AZ148" i="6" s="1"/>
  <c r="W380" i="6" s="1"/>
  <c r="W381" i="6" s="1"/>
  <c r="AY155" i="6"/>
  <c r="AZ155" i="6" s="1"/>
  <c r="AY170" i="6"/>
  <c r="AZ170" i="6" s="1"/>
  <c r="AY150" i="6"/>
  <c r="AZ150" i="6" s="1"/>
  <c r="AY158" i="6"/>
  <c r="AZ158" i="6" s="1"/>
  <c r="AY157" i="6"/>
  <c r="AZ157" i="6" s="1"/>
  <c r="AY178" i="6"/>
  <c r="AZ178" i="6" s="1"/>
  <c r="AY171" i="6"/>
  <c r="AZ171" i="6" s="1"/>
  <c r="AY191" i="6"/>
  <c r="AZ191" i="6" s="1"/>
  <c r="AY193" i="6"/>
  <c r="AZ193" i="6" s="1"/>
  <c r="AT94" i="6"/>
  <c r="AC13" i="7" l="1"/>
  <c r="P13" i="7"/>
  <c r="AZ349" i="6"/>
  <c r="AZ346" i="6"/>
  <c r="AZ364" i="6"/>
  <c r="AZ283" i="6"/>
  <c r="AZ291" i="6"/>
  <c r="AZ281" i="6"/>
  <c r="AZ351" i="6"/>
  <c r="AZ371" i="6"/>
  <c r="O12" i="20"/>
  <c r="AZ292" i="6"/>
  <c r="P15" i="1"/>
  <c r="V15" i="1" s="1"/>
  <c r="AK16" i="20"/>
  <c r="AK380" i="20"/>
  <c r="P12" i="20"/>
  <c r="F8" i="20"/>
  <c r="AK15" i="20"/>
  <c r="AK17" i="20"/>
  <c r="L15" i="19"/>
  <c r="P10" i="18"/>
  <c r="AE11" i="18"/>
  <c r="AI11" i="18"/>
  <c r="P11" i="22"/>
  <c r="AK18" i="22" s="1"/>
  <c r="AL15" i="7"/>
  <c r="AZ308" i="6"/>
  <c r="AZ311" i="6"/>
  <c r="AZ288" i="6"/>
  <c r="AG380" i="6" s="1"/>
  <c r="AG381" i="6" s="1"/>
  <c r="AZ299" i="6"/>
  <c r="AZ366" i="6"/>
  <c r="AZ275" i="6"/>
  <c r="AZ363" i="6"/>
  <c r="AZ361" i="6"/>
  <c r="AZ296" i="6"/>
  <c r="AZ279" i="6"/>
  <c r="AZ368" i="6"/>
  <c r="AZ280" i="6"/>
  <c r="AZ298" i="6"/>
  <c r="AZ277" i="6"/>
  <c r="AZ347" i="6"/>
  <c r="AZ367" i="6"/>
  <c r="AZ370" i="6"/>
  <c r="AZ304" i="6"/>
  <c r="AZ278" i="6"/>
  <c r="AZ274" i="6"/>
  <c r="AF380" i="6" s="1"/>
  <c r="AF381" i="6" s="1"/>
  <c r="AZ282" i="6"/>
  <c r="AZ360" i="6"/>
  <c r="AZ358" i="6"/>
  <c r="AL380" i="6" s="1"/>
  <c r="AL381" i="6" s="1"/>
  <c r="AZ290" i="6"/>
  <c r="AZ99" i="6"/>
  <c r="AZ110" i="6"/>
  <c r="AZ117" i="6"/>
  <c r="AZ86" i="6"/>
  <c r="P20" i="1"/>
  <c r="V20" i="1" s="1"/>
  <c r="AA20" i="1" s="1"/>
  <c r="Z20" i="1" s="1"/>
  <c r="Y20" i="1" s="1"/>
  <c r="AZ344" i="6"/>
  <c r="AK380" i="6" s="1"/>
  <c r="AK381" i="6" s="1"/>
  <c r="AZ362" i="6"/>
  <c r="AZ356" i="6"/>
  <c r="AZ293" i="6"/>
  <c r="P18" i="1"/>
  <c r="V18" i="1" s="1"/>
  <c r="AA18" i="1" s="1"/>
  <c r="Z18" i="1" s="1"/>
  <c r="Y18" i="1" s="1"/>
  <c r="AZ276" i="6"/>
  <c r="AZ300" i="6"/>
  <c r="AZ295" i="6"/>
  <c r="AZ354" i="6"/>
  <c r="AZ289" i="6"/>
  <c r="AZ352" i="6"/>
  <c r="AZ350" i="6"/>
  <c r="AZ355" i="6"/>
  <c r="P22" i="1"/>
  <c r="V22" i="1" s="1"/>
  <c r="AA22" i="1" s="1"/>
  <c r="Z22" i="1" s="1"/>
  <c r="Y22" i="1" s="1"/>
  <c r="AZ120" i="6"/>
  <c r="U380" i="6" s="1"/>
  <c r="U381" i="6" s="1"/>
  <c r="AZ111" i="6"/>
  <c r="AZ124" i="6"/>
  <c r="AZ123" i="6"/>
  <c r="AZ287" i="6"/>
  <c r="AZ285" i="6"/>
  <c r="AZ310" i="6"/>
  <c r="AZ306" i="6"/>
  <c r="AZ87" i="6"/>
  <c r="AD19" i="1"/>
  <c r="AZ357" i="6"/>
  <c r="AZ369" i="6"/>
  <c r="AZ365" i="6"/>
  <c r="AZ297" i="6"/>
  <c r="AZ313" i="6"/>
  <c r="AZ302" i="6"/>
  <c r="AH380" i="6" s="1"/>
  <c r="AH381" i="6" s="1"/>
  <c r="AZ359" i="6"/>
  <c r="AN13" i="7"/>
  <c r="Q11" i="20"/>
  <c r="AM11" i="7"/>
  <c r="A18" i="23"/>
  <c r="X17" i="23"/>
  <c r="K17" i="23"/>
  <c r="AB17" i="23"/>
  <c r="AJ17" i="23"/>
  <c r="T25" i="1"/>
  <c r="L26" i="1"/>
  <c r="A27" i="1"/>
  <c r="AK26" i="1"/>
  <c r="U26" i="1"/>
  <c r="O26" i="1"/>
  <c r="Q26" i="1"/>
  <c r="X26" i="1"/>
  <c r="K26" i="1"/>
  <c r="AC26" i="1"/>
  <c r="AB26" i="1"/>
  <c r="AJ26" i="1"/>
  <c r="AB19" i="20"/>
  <c r="K19" i="20"/>
  <c r="AK19" i="20"/>
  <c r="X19" i="20"/>
  <c r="A20" i="20"/>
  <c r="AJ19" i="20"/>
  <c r="AB73" i="27"/>
  <c r="AC73" i="27" s="1"/>
  <c r="AD73" i="27" s="1"/>
  <c r="D24" i="15"/>
  <c r="AB16" i="24"/>
  <c r="X16" i="24"/>
  <c r="A17" i="24"/>
  <c r="K16" i="24"/>
  <c r="AJ16" i="24"/>
  <c r="L16" i="18"/>
  <c r="L15" i="18"/>
  <c r="L17" i="18"/>
  <c r="L18" i="18"/>
  <c r="L19" i="18"/>
  <c r="L20" i="18"/>
  <c r="L21" i="18"/>
  <c r="D15" i="17"/>
  <c r="G25" i="27"/>
  <c r="AD61" i="27" s="1"/>
  <c r="G24" i="27"/>
  <c r="AC15" i="16"/>
  <c r="AC16" i="16"/>
  <c r="AC17" i="16"/>
  <c r="G30" i="27"/>
  <c r="G31" i="27"/>
  <c r="AD67" i="27" s="1"/>
  <c r="AB60" i="27"/>
  <c r="AC60" i="27" s="1"/>
  <c r="AJ380" i="24"/>
  <c r="AX13" i="7"/>
  <c r="F7" i="24"/>
  <c r="AB15" i="25"/>
  <c r="A16" i="25"/>
  <c r="K15" i="25"/>
  <c r="X15" i="25"/>
  <c r="AC18" i="16"/>
  <c r="X19" i="16"/>
  <c r="L19" i="16"/>
  <c r="D19" i="16" s="1"/>
  <c r="K19" i="16"/>
  <c r="AK19" i="16"/>
  <c r="AB19" i="16"/>
  <c r="A20" i="16"/>
  <c r="AJ19" i="16"/>
  <c r="AC19" i="16"/>
  <c r="G33" i="27"/>
  <c r="AD69" i="27" s="1"/>
  <c r="G32" i="27"/>
  <c r="AD68" i="27" s="1"/>
  <c r="AZ314" i="6"/>
  <c r="G23" i="27"/>
  <c r="AD59" i="27" s="1"/>
  <c r="A82" i="27" a="1"/>
  <c r="AB71" i="27"/>
  <c r="AC71" i="27" s="1"/>
  <c r="AF72" i="27" s="1"/>
  <c r="P72" i="27" s="1"/>
  <c r="AB78" i="27"/>
  <c r="AC78" i="27" s="1"/>
  <c r="AD78" i="27" s="1"/>
  <c r="A26" i="15"/>
  <c r="L25" i="15"/>
  <c r="D25" i="15" s="1"/>
  <c r="AB25" i="15"/>
  <c r="AK25" i="15"/>
  <c r="K25" i="15"/>
  <c r="X25" i="15"/>
  <c r="AJ25" i="15"/>
  <c r="AC25" i="15"/>
  <c r="O25" i="15"/>
  <c r="R23" i="1"/>
  <c r="P23" i="1" s="1"/>
  <c r="L11" i="20"/>
  <c r="AB70" i="27"/>
  <c r="AC70" i="27" s="1"/>
  <c r="AD70" i="27" s="1"/>
  <c r="O17" i="15"/>
  <c r="E17" i="15" s="1"/>
  <c r="O15" i="15"/>
  <c r="O21" i="15"/>
  <c r="E21" i="15" s="1"/>
  <c r="O18" i="15"/>
  <c r="E18" i="15" s="1"/>
  <c r="I13" i="7"/>
  <c r="O10" i="7" s="1"/>
  <c r="O19" i="15"/>
  <c r="E19" i="15" s="1"/>
  <c r="O22" i="15"/>
  <c r="E22" i="15" s="1"/>
  <c r="O16" i="15"/>
  <c r="E16" i="15" s="1"/>
  <c r="O20" i="15"/>
  <c r="E20" i="15" s="1"/>
  <c r="O23" i="15"/>
  <c r="E23" i="15" s="1"/>
  <c r="X20" i="17"/>
  <c r="K20" i="17"/>
  <c r="AB20" i="17"/>
  <c r="AK20" i="17"/>
  <c r="L20" i="17"/>
  <c r="D20" i="17" s="1"/>
  <c r="A21" i="17"/>
  <c r="AJ20" i="17"/>
  <c r="AC9" i="23"/>
  <c r="AC12" i="23"/>
  <c r="O11" i="23"/>
  <c r="AB76" i="27"/>
  <c r="AC76" i="27" s="1"/>
  <c r="AD76" i="27" s="1"/>
  <c r="AB56" i="27"/>
  <c r="AC56" i="27" s="1"/>
  <c r="AD56" i="27" s="1"/>
  <c r="AB58" i="27"/>
  <c r="AC58" i="27" s="1"/>
  <c r="AD58" i="27" s="1"/>
  <c r="D18" i="16"/>
  <c r="AB66" i="27"/>
  <c r="AC66" i="27" s="1"/>
  <c r="A19" i="22"/>
  <c r="K18" i="22"/>
  <c r="X18" i="22"/>
  <c r="AB18" i="22"/>
  <c r="AJ18" i="22"/>
  <c r="L22" i="18"/>
  <c r="AB23" i="18"/>
  <c r="A24" i="18"/>
  <c r="O24" i="18" s="1"/>
  <c r="L23" i="18"/>
  <c r="AK23" i="18"/>
  <c r="K23" i="18"/>
  <c r="AJ23" i="18"/>
  <c r="X23" i="18"/>
  <c r="AZ301" i="6"/>
  <c r="AZ286" i="6"/>
  <c r="AZ294" i="6"/>
  <c r="AZ303" i="6"/>
  <c r="AZ125" i="6"/>
  <c r="AZ93" i="6"/>
  <c r="P21" i="1"/>
  <c r="V21" i="1" s="1"/>
  <c r="AA21" i="1" s="1"/>
  <c r="Z21" i="1" s="1"/>
  <c r="Y21" i="1" s="1"/>
  <c r="AD35" i="1"/>
  <c r="AD29" i="1"/>
  <c r="J12" i="6"/>
  <c r="AZ109" i="6"/>
  <c r="AZ116" i="6"/>
  <c r="AZ105" i="6"/>
  <c r="AZ90" i="6"/>
  <c r="AD17" i="1"/>
  <c r="AD16" i="1"/>
  <c r="AZ128" i="6"/>
  <c r="AZ130" i="6"/>
  <c r="AZ101" i="6"/>
  <c r="AZ95" i="6"/>
  <c r="AZ108" i="6"/>
  <c r="AZ84" i="6"/>
  <c r="AZ103" i="6"/>
  <c r="AZ85" i="6"/>
  <c r="V19" i="1"/>
  <c r="AA19" i="1" s="1"/>
  <c r="Z19" i="1" s="1"/>
  <c r="Y19" i="1" s="1"/>
  <c r="AD28" i="1"/>
  <c r="J13" i="6"/>
  <c r="AZ315" i="6"/>
  <c r="AZ305" i="6"/>
  <c r="AZ312" i="6"/>
  <c r="AD27" i="1"/>
  <c r="AD34" i="1"/>
  <c r="AZ102" i="6"/>
  <c r="AZ100" i="6"/>
  <c r="AZ121" i="6"/>
  <c r="P16" i="1"/>
  <c r="V16" i="1" s="1"/>
  <c r="AA16" i="1" s="1"/>
  <c r="Z16" i="1" s="1"/>
  <c r="Y16" i="1" s="1"/>
  <c r="AZ97" i="6"/>
  <c r="AZ127" i="6"/>
  <c r="AD33" i="1"/>
  <c r="AD25" i="1"/>
  <c r="AD32" i="1"/>
  <c r="AZ309" i="6"/>
  <c r="P24" i="1"/>
  <c r="V24" i="1" s="1"/>
  <c r="AD24" i="1"/>
  <c r="AD23" i="1"/>
  <c r="AD30" i="1"/>
  <c r="AT12" i="6"/>
  <c r="AZ112" i="6"/>
  <c r="AZ106" i="6"/>
  <c r="T380" i="6" s="1"/>
  <c r="T381" i="6" s="1"/>
  <c r="AZ118" i="6"/>
  <c r="AZ113" i="6"/>
  <c r="AZ119" i="6"/>
  <c r="AZ98" i="6"/>
  <c r="AZ80" i="6"/>
  <c r="O15" i="18"/>
  <c r="O18" i="18"/>
  <c r="O19" i="18"/>
  <c r="O16" i="18"/>
  <c r="O20" i="18"/>
  <c r="O22" i="18"/>
  <c r="O17" i="18"/>
  <c r="O21" i="18"/>
  <c r="AA13" i="7"/>
  <c r="AG10" i="7" s="1"/>
  <c r="O23" i="18"/>
  <c r="AT13" i="6"/>
  <c r="AZ94" i="6"/>
  <c r="AZ96" i="6"/>
  <c r="AZ92" i="6"/>
  <c r="S380" i="6" s="1"/>
  <c r="S381" i="6" s="1"/>
  <c r="AZ107" i="6"/>
  <c r="AZ122" i="6"/>
  <c r="AZ129" i="6"/>
  <c r="AZ133" i="6"/>
  <c r="AZ91" i="6"/>
  <c r="AZ81" i="6"/>
  <c r="AY376" i="6"/>
  <c r="AZ376" i="6" s="1"/>
  <c r="AY378" i="6"/>
  <c r="AZ378" i="6" s="1"/>
  <c r="AY373" i="6"/>
  <c r="AZ373" i="6" s="1"/>
  <c r="AY372" i="6"/>
  <c r="AZ372" i="6" s="1"/>
  <c r="AM380" i="6" s="1"/>
  <c r="AM381" i="6" s="1"/>
  <c r="AY375" i="6"/>
  <c r="AZ375" i="6" s="1"/>
  <c r="AZ15" i="6"/>
  <c r="AZ132" i="6"/>
  <c r="AZ115" i="6"/>
  <c r="AZ114" i="6"/>
  <c r="AZ104" i="6"/>
  <c r="AZ131" i="6"/>
  <c r="AZ82" i="6"/>
  <c r="AZ79" i="6"/>
  <c r="AZ88" i="6"/>
  <c r="AZ78" i="6"/>
  <c r="R380" i="6" s="1"/>
  <c r="R381" i="6" s="1"/>
  <c r="AY377" i="6"/>
  <c r="AZ377" i="6" s="1"/>
  <c r="AY374" i="6"/>
  <c r="AZ374" i="6" s="1"/>
  <c r="AY380" i="6"/>
  <c r="AZ380" i="6" s="1"/>
  <c r="AY379" i="6"/>
  <c r="AZ379" i="6" s="1"/>
  <c r="O12" i="22" l="1"/>
  <c r="AI13" i="7"/>
  <c r="AC9" i="24"/>
  <c r="P11" i="23"/>
  <c r="AR15" i="7"/>
  <c r="P10" i="20"/>
  <c r="L16" i="19"/>
  <c r="AK16" i="22"/>
  <c r="AK17" i="22"/>
  <c r="F8" i="22"/>
  <c r="AK15" i="22"/>
  <c r="P12" i="22"/>
  <c r="AD383" i="1"/>
  <c r="AD381" i="1"/>
  <c r="AA17" i="1"/>
  <c r="Z17" i="1" s="1"/>
  <c r="Y17" i="1" s="1"/>
  <c r="AT13" i="7"/>
  <c r="Q11" i="22"/>
  <c r="AS11" i="7"/>
  <c r="AA24" i="1"/>
  <c r="Z24" i="1" s="1"/>
  <c r="Y24" i="1" s="1"/>
  <c r="V23" i="1"/>
  <c r="K19" i="22"/>
  <c r="AB19" i="22"/>
  <c r="A20" i="22"/>
  <c r="X19" i="22"/>
  <c r="AK19" i="22"/>
  <c r="AJ19" i="22"/>
  <c r="A22" i="17"/>
  <c r="X21" i="17"/>
  <c r="L21" i="17"/>
  <c r="AJ21" i="17"/>
  <c r="K21" i="17"/>
  <c r="AB21" i="17"/>
  <c r="AK21" i="17"/>
  <c r="E15" i="15"/>
  <c r="L11" i="22"/>
  <c r="L12" i="20"/>
  <c r="L16" i="20" s="1"/>
  <c r="E25" i="15"/>
  <c r="A27" i="15"/>
  <c r="K26" i="15"/>
  <c r="AK26" i="15"/>
  <c r="X26" i="15"/>
  <c r="AB26" i="15"/>
  <c r="L26" i="15"/>
  <c r="D26" i="15" s="1"/>
  <c r="AJ26" i="15"/>
  <c r="AC26" i="15"/>
  <c r="O26" i="15"/>
  <c r="G35" i="27"/>
  <c r="AD71" i="27" s="1"/>
  <c r="G36" i="27"/>
  <c r="AD72" i="27" s="1"/>
  <c r="K20" i="16"/>
  <c r="A21" i="16"/>
  <c r="AK20" i="16"/>
  <c r="X20" i="16"/>
  <c r="L20" i="16"/>
  <c r="AB20" i="16"/>
  <c r="AJ20" i="16"/>
  <c r="AC20" i="16"/>
  <c r="AB16" i="25"/>
  <c r="K16" i="25"/>
  <c r="X16" i="25"/>
  <c r="A17" i="25"/>
  <c r="AC12" i="24"/>
  <c r="O11" i="24"/>
  <c r="AD60" i="27"/>
  <c r="X17" i="24"/>
  <c r="AB17" i="24"/>
  <c r="K17" i="24"/>
  <c r="A18" i="24"/>
  <c r="AJ17" i="24"/>
  <c r="T26" i="1"/>
  <c r="L27" i="1"/>
  <c r="X27" i="1"/>
  <c r="AB27" i="1"/>
  <c r="K27" i="1"/>
  <c r="U27" i="1"/>
  <c r="AJ27" i="1"/>
  <c r="A28" i="1"/>
  <c r="AK27" i="1"/>
  <c r="Q27" i="1"/>
  <c r="O27" i="1"/>
  <c r="AC27" i="1"/>
  <c r="S25" i="1"/>
  <c r="AA23" i="1"/>
  <c r="Z23" i="1" s="1"/>
  <c r="Y23" i="1" s="1"/>
  <c r="A25" i="18"/>
  <c r="X24" i="18"/>
  <c r="AJ24" i="18"/>
  <c r="L24" i="18"/>
  <c r="AK24" i="18"/>
  <c r="K24" i="18"/>
  <c r="AB24" i="18"/>
  <c r="E8" i="16"/>
  <c r="K13" i="19" s="1"/>
  <c r="K37" i="19" s="1"/>
  <c r="E7" i="16"/>
  <c r="W87" i="27"/>
  <c r="V83" i="27"/>
  <c r="F87" i="27"/>
  <c r="X93" i="27"/>
  <c r="C87" i="27"/>
  <c r="E88" i="27"/>
  <c r="C83" i="27"/>
  <c r="O91" i="27"/>
  <c r="K92" i="27"/>
  <c r="D93" i="27"/>
  <c r="S86" i="27"/>
  <c r="N92" i="27"/>
  <c r="O93" i="27"/>
  <c r="Q87" i="27"/>
  <c r="N89" i="27"/>
  <c r="L84" i="27"/>
  <c r="H91" i="27"/>
  <c r="G94" i="27"/>
  <c r="V91" i="27"/>
  <c r="A86" i="27"/>
  <c r="Q84" i="27"/>
  <c r="O82" i="27"/>
  <c r="I90" i="27"/>
  <c r="S82" i="27"/>
  <c r="P92" i="27"/>
  <c r="Z91" i="27"/>
  <c r="Z92" i="27"/>
  <c r="C90" i="27"/>
  <c r="I87" i="27"/>
  <c r="U88" i="27"/>
  <c r="M88" i="27"/>
  <c r="F88" i="27"/>
  <c r="I91" i="27"/>
  <c r="E90" i="27"/>
  <c r="E89" i="27"/>
  <c r="O83" i="27"/>
  <c r="X92" i="27"/>
  <c r="Z88" i="27"/>
  <c r="G85" i="27"/>
  <c r="C86" i="27"/>
  <c r="L85" i="27"/>
  <c r="D92" i="27"/>
  <c r="D82" i="27"/>
  <c r="Y91" i="27"/>
  <c r="P87" i="27"/>
  <c r="E94" i="27"/>
  <c r="U90" i="27"/>
  <c r="U89" i="27"/>
  <c r="K91" i="27"/>
  <c r="B92" i="27"/>
  <c r="Y84" i="27"/>
  <c r="X87" i="27"/>
  <c r="O90" i="27"/>
  <c r="L88" i="27"/>
  <c r="E87" i="27"/>
  <c r="B88" i="27"/>
  <c r="Q85" i="27"/>
  <c r="P82" i="27"/>
  <c r="C93" i="27"/>
  <c r="B87" i="27"/>
  <c r="I88" i="27"/>
  <c r="G90" i="27"/>
  <c r="L89" i="27"/>
  <c r="N88" i="27"/>
  <c r="J82" i="27"/>
  <c r="R93" i="27"/>
  <c r="K90" i="27"/>
  <c r="N83" i="27"/>
  <c r="N86" i="27"/>
  <c r="F82" i="27"/>
  <c r="R84" i="27"/>
  <c r="B89" i="27"/>
  <c r="I85" i="27"/>
  <c r="C91" i="27"/>
  <c r="Y86" i="27"/>
  <c r="J93" i="27"/>
  <c r="L82" i="27"/>
  <c r="Q92" i="27"/>
  <c r="G91" i="27"/>
  <c r="V84" i="27"/>
  <c r="K87" i="27"/>
  <c r="D83" i="27"/>
  <c r="K85" i="27"/>
  <c r="J89" i="27"/>
  <c r="U92" i="27"/>
  <c r="X91" i="27"/>
  <c r="O92" i="27"/>
  <c r="I89" i="27"/>
  <c r="A91" i="27"/>
  <c r="H84" i="27"/>
  <c r="P83" i="27"/>
  <c r="S87" i="27"/>
  <c r="X89" i="27"/>
  <c r="V88" i="27"/>
  <c r="T93" i="27"/>
  <c r="S93" i="27"/>
  <c r="M89" i="27"/>
  <c r="G84" i="27"/>
  <c r="Z86" i="27"/>
  <c r="O84" i="27"/>
  <c r="D85" i="27"/>
  <c r="P90" i="27"/>
  <c r="Q83" i="27"/>
  <c r="N94" i="27"/>
  <c r="G89" i="27"/>
  <c r="R87" i="27"/>
  <c r="L94" i="27"/>
  <c r="J88" i="27"/>
  <c r="H94" i="27"/>
  <c r="M84" i="27"/>
  <c r="T91" i="27"/>
  <c r="K86" i="27"/>
  <c r="L93" i="27"/>
  <c r="X84" i="27"/>
  <c r="B94" i="27"/>
  <c r="H88" i="27"/>
  <c r="N85" i="27"/>
  <c r="C88" i="27"/>
  <c r="J86" i="27"/>
  <c r="W83" i="27"/>
  <c r="I93" i="27"/>
  <c r="K82" i="27"/>
  <c r="E91" i="27"/>
  <c r="M87" i="27"/>
  <c r="I86" i="27"/>
  <c r="K88" i="27"/>
  <c r="F89" i="27"/>
  <c r="Y87" i="27"/>
  <c r="M93" i="27"/>
  <c r="Z93" i="27"/>
  <c r="Z83" i="27"/>
  <c r="A94" i="27"/>
  <c r="N87" i="27"/>
  <c r="P91" i="27"/>
  <c r="S89" i="27"/>
  <c r="W92" i="27"/>
  <c r="K93" i="27"/>
  <c r="D88" i="27"/>
  <c r="G92" i="27"/>
  <c r="W88" i="27"/>
  <c r="X86" i="27"/>
  <c r="H90" i="27"/>
  <c r="W86" i="27"/>
  <c r="B83" i="27"/>
  <c r="E82" i="27"/>
  <c r="H83" i="27"/>
  <c r="D84" i="27"/>
  <c r="U87" i="27"/>
  <c r="P89" i="27"/>
  <c r="D87" i="27"/>
  <c r="B93" i="27"/>
  <c r="H89" i="27"/>
  <c r="J83" i="27"/>
  <c r="T88" i="27"/>
  <c r="C84" i="27"/>
  <c r="W94" i="27"/>
  <c r="R91" i="27"/>
  <c r="L91" i="27"/>
  <c r="F90" i="27"/>
  <c r="Q89" i="27"/>
  <c r="U86" i="27"/>
  <c r="T84" i="27"/>
  <c r="E84" i="27"/>
  <c r="A89" i="27"/>
  <c r="G82" i="27"/>
  <c r="G93" i="27"/>
  <c r="Y94" i="27"/>
  <c r="N82" i="27"/>
  <c r="S90" i="27"/>
  <c r="E85" i="27"/>
  <c r="X85" i="27"/>
  <c r="J92" i="27"/>
  <c r="Q94" i="27"/>
  <c r="T86" i="27"/>
  <c r="C85" i="27"/>
  <c r="P84" i="27"/>
  <c r="I92" i="27"/>
  <c r="Y93" i="27"/>
  <c r="B91" i="27"/>
  <c r="S85" i="27"/>
  <c r="G87" i="27"/>
  <c r="X88" i="27"/>
  <c r="Z85" i="27"/>
  <c r="Z90" i="27"/>
  <c r="J87" i="27"/>
  <c r="O94" i="27"/>
  <c r="S83" i="27"/>
  <c r="Z89" i="27"/>
  <c r="J85" i="27"/>
  <c r="L90" i="27"/>
  <c r="A83" i="27"/>
  <c r="Q93" i="27"/>
  <c r="C94" i="27"/>
  <c r="Y83" i="27"/>
  <c r="W90" i="27"/>
  <c r="M91" i="27"/>
  <c r="Y85" i="27"/>
  <c r="G86" i="27"/>
  <c r="V94" i="27"/>
  <c r="B84" i="27"/>
  <c r="Q86" i="27"/>
  <c r="P86" i="27"/>
  <c r="R90" i="27"/>
  <c r="Q82" i="27"/>
  <c r="U93" i="27"/>
  <c r="N93" i="27"/>
  <c r="O88" i="27"/>
  <c r="T92" i="27"/>
  <c r="A85" i="27"/>
  <c r="T82" i="27"/>
  <c r="C89" i="27"/>
  <c r="A82" i="27"/>
  <c r="N90" i="27"/>
  <c r="E86" i="27"/>
  <c r="E92" i="27"/>
  <c r="Z87" i="27"/>
  <c r="R85" i="27"/>
  <c r="X83" i="27"/>
  <c r="U91" i="27"/>
  <c r="U83" i="27"/>
  <c r="Y90" i="27"/>
  <c r="Z82" i="27"/>
  <c r="F85" i="27"/>
  <c r="W85" i="27"/>
  <c r="V82" i="27"/>
  <c r="Z84" i="27"/>
  <c r="C92" i="27"/>
  <c r="L92" i="27"/>
  <c r="X82" i="27"/>
  <c r="R88" i="27"/>
  <c r="G83" i="27"/>
  <c r="M90" i="27"/>
  <c r="P94" i="27"/>
  <c r="V87" i="27"/>
  <c r="J91" i="27"/>
  <c r="V89" i="27"/>
  <c r="Y82" i="27"/>
  <c r="M94" i="27"/>
  <c r="I82" i="27"/>
  <c r="R86" i="27"/>
  <c r="V93" i="27"/>
  <c r="F93" i="27"/>
  <c r="W91" i="27"/>
  <c r="R83" i="27"/>
  <c r="U82" i="27"/>
  <c r="Z94" i="27"/>
  <c r="J84" i="27"/>
  <c r="B90" i="27"/>
  <c r="M82" i="27"/>
  <c r="K89" i="27"/>
  <c r="Y92" i="27"/>
  <c r="P88" i="27"/>
  <c r="I94" i="27"/>
  <c r="J94" i="27"/>
  <c r="S94" i="27"/>
  <c r="R82" i="27"/>
  <c r="W93" i="27"/>
  <c r="O87" i="27"/>
  <c r="B86" i="27"/>
  <c r="T83" i="27"/>
  <c r="V86" i="27"/>
  <c r="X90" i="27"/>
  <c r="O86" i="27"/>
  <c r="U84" i="27"/>
  <c r="M86" i="27"/>
  <c r="D91" i="27"/>
  <c r="E83" i="27"/>
  <c r="X94" i="27"/>
  <c r="A90" i="27"/>
  <c r="F84" i="27"/>
  <c r="S88" i="27"/>
  <c r="Y88" i="27"/>
  <c r="A87" i="27"/>
  <c r="T90" i="27"/>
  <c r="O89" i="27"/>
  <c r="T85" i="27"/>
  <c r="L86" i="27"/>
  <c r="E93" i="27"/>
  <c r="L83" i="27"/>
  <c r="H93" i="27"/>
  <c r="Q91" i="27"/>
  <c r="P85" i="27"/>
  <c r="S84" i="27"/>
  <c r="A84" i="27"/>
  <c r="F92" i="27"/>
  <c r="Q90" i="27"/>
  <c r="Y89" i="27"/>
  <c r="T87" i="27"/>
  <c r="F83" i="27"/>
  <c r="V90" i="27"/>
  <c r="W89" i="27"/>
  <c r="C82" i="27"/>
  <c r="H87" i="27"/>
  <c r="M83" i="27"/>
  <c r="W82" i="27"/>
  <c r="O85" i="27"/>
  <c r="T94" i="27"/>
  <c r="G88" i="27"/>
  <c r="H86" i="27"/>
  <c r="W84" i="27"/>
  <c r="J90" i="27"/>
  <c r="K94" i="27"/>
  <c r="U85" i="27"/>
  <c r="K84" i="27"/>
  <c r="M85" i="27"/>
  <c r="T89" i="27"/>
  <c r="B85" i="27"/>
  <c r="D86" i="27"/>
  <c r="F91" i="27"/>
  <c r="K83" i="27"/>
  <c r="R92" i="27"/>
  <c r="M92" i="27"/>
  <c r="V85" i="27"/>
  <c r="D90" i="27"/>
  <c r="D94" i="27"/>
  <c r="F86" i="27"/>
  <c r="I84" i="27"/>
  <c r="V92" i="27"/>
  <c r="N84" i="27"/>
  <c r="I83" i="27"/>
  <c r="S92" i="27"/>
  <c r="U94" i="27"/>
  <c r="A88" i="27"/>
  <c r="F94" i="27"/>
  <c r="R89" i="27"/>
  <c r="N91" i="27"/>
  <c r="H85" i="27"/>
  <c r="P93" i="27"/>
  <c r="A93" i="27"/>
  <c r="H92" i="27"/>
  <c r="D89" i="27"/>
  <c r="B82" i="27"/>
  <c r="R94" i="27"/>
  <c r="Q88" i="27"/>
  <c r="H82" i="27"/>
  <c r="S91" i="27"/>
  <c r="L87" i="27"/>
  <c r="A92" i="27"/>
  <c r="O9" i="25"/>
  <c r="AD66" i="27"/>
  <c r="E24" i="15"/>
  <c r="AB20" i="20"/>
  <c r="AK20" i="20"/>
  <c r="X20" i="20"/>
  <c r="K20" i="20"/>
  <c r="A21" i="20"/>
  <c r="AJ20" i="20"/>
  <c r="A19" i="23"/>
  <c r="K18" i="23"/>
  <c r="X18" i="23"/>
  <c r="AB18" i="23"/>
  <c r="AJ18" i="23"/>
  <c r="AD382" i="1"/>
  <c r="E8" i="20"/>
  <c r="K16" i="19" s="1"/>
  <c r="E7" i="20"/>
  <c r="AA15" i="1"/>
  <c r="AZ13" i="6"/>
  <c r="AZ12" i="6"/>
  <c r="AY12" i="6"/>
  <c r="AY13" i="6"/>
  <c r="K40" i="19" l="1"/>
  <c r="O12" i="23"/>
  <c r="AU13" i="7" s="1"/>
  <c r="AO13" i="7"/>
  <c r="AE11" i="22"/>
  <c r="L17" i="19"/>
  <c r="AI11" i="22"/>
  <c r="P10" i="22"/>
  <c r="AK16" i="23"/>
  <c r="AK17" i="23"/>
  <c r="F8" i="23"/>
  <c r="AK380" i="23"/>
  <c r="P12" i="23"/>
  <c r="AK15" i="23"/>
  <c r="AK18" i="23"/>
  <c r="AX15" i="7"/>
  <c r="P11" i="24"/>
  <c r="L20" i="20"/>
  <c r="L18" i="20"/>
  <c r="L19" i="20"/>
  <c r="L17" i="20"/>
  <c r="L15" i="20"/>
  <c r="AZ13" i="7"/>
  <c r="E26" i="15"/>
  <c r="Q11" i="23"/>
  <c r="AY11" i="7"/>
  <c r="A22" i="20"/>
  <c r="L21" i="20"/>
  <c r="AK21" i="20"/>
  <c r="X21" i="20"/>
  <c r="AB21" i="20"/>
  <c r="K21" i="20"/>
  <c r="AJ21" i="20"/>
  <c r="BD13" i="7"/>
  <c r="F7" i="25"/>
  <c r="AJ380" i="25"/>
  <c r="AJ15" i="25"/>
  <c r="AK28" i="1"/>
  <c r="L28" i="1"/>
  <c r="AJ28" i="1"/>
  <c r="K28" i="1"/>
  <c r="U28" i="1"/>
  <c r="AC28" i="1"/>
  <c r="X28" i="1"/>
  <c r="Q28" i="1"/>
  <c r="O28" i="1"/>
  <c r="AB28" i="1"/>
  <c r="A29" i="1"/>
  <c r="T27" i="1"/>
  <c r="AB17" i="25"/>
  <c r="K17" i="25"/>
  <c r="AJ17" i="25"/>
  <c r="X17" i="25"/>
  <c r="A18" i="25"/>
  <c r="A22" i="16"/>
  <c r="AB21" i="16"/>
  <c r="L21" i="16"/>
  <c r="D21" i="16" s="1"/>
  <c r="AK21" i="16"/>
  <c r="X21" i="16"/>
  <c r="K21" i="16"/>
  <c r="AJ21" i="16"/>
  <c r="AC21" i="16"/>
  <c r="AB27" i="15"/>
  <c r="X27" i="15"/>
  <c r="K27" i="15"/>
  <c r="AJ27" i="15"/>
  <c r="L27" i="15"/>
  <c r="A28" i="15"/>
  <c r="AK27" i="15"/>
  <c r="AC27" i="15"/>
  <c r="O27" i="15"/>
  <c r="L12" i="22"/>
  <c r="L11" i="23"/>
  <c r="L20" i="22"/>
  <c r="X20" i="22"/>
  <c r="AK20" i="22"/>
  <c r="AB20" i="22"/>
  <c r="K20" i="22"/>
  <c r="A21" i="22"/>
  <c r="AJ20" i="22"/>
  <c r="K19" i="23"/>
  <c r="A20" i="23"/>
  <c r="X19" i="23"/>
  <c r="AK19" i="23"/>
  <c r="AB19" i="23"/>
  <c r="AJ19" i="23"/>
  <c r="AC10" i="16"/>
  <c r="AC22" i="17" s="1"/>
  <c r="O10" i="16"/>
  <c r="O21" i="16" s="1"/>
  <c r="K25" i="18"/>
  <c r="X25" i="18"/>
  <c r="L25" i="18"/>
  <c r="AK25" i="18"/>
  <c r="A26" i="18"/>
  <c r="AB25" i="18"/>
  <c r="AJ25" i="18"/>
  <c r="O25" i="18"/>
  <c r="R25" i="1"/>
  <c r="S26" i="1"/>
  <c r="R26" i="1" s="1"/>
  <c r="P26" i="1" s="1"/>
  <c r="V26" i="1" s="1"/>
  <c r="AA26" i="1" s="1"/>
  <c r="Z26" i="1" s="1"/>
  <c r="Y26" i="1" s="1"/>
  <c r="X18" i="24"/>
  <c r="AB18" i="24"/>
  <c r="K18" i="24"/>
  <c r="A19" i="24"/>
  <c r="AJ18" i="24"/>
  <c r="AJ16" i="25"/>
  <c r="D20" i="16"/>
  <c r="D21" i="17"/>
  <c r="K22" i="17"/>
  <c r="X22" i="17"/>
  <c r="AJ22" i="17"/>
  <c r="A23" i="17"/>
  <c r="L22" i="17"/>
  <c r="AB22" i="17"/>
  <c r="AK22" i="17"/>
  <c r="O10" i="20"/>
  <c r="Z15" i="1"/>
  <c r="O12" i="24" l="1"/>
  <c r="BA13" i="7" s="1"/>
  <c r="AK17" i="24"/>
  <c r="AK380" i="24"/>
  <c r="AK15" i="24"/>
  <c r="AK16" i="24"/>
  <c r="F8" i="24"/>
  <c r="P12" i="24"/>
  <c r="AK18" i="24"/>
  <c r="P11" i="25"/>
  <c r="AK18" i="25" s="1"/>
  <c r="BD15" i="7"/>
  <c r="L18" i="19"/>
  <c r="P10" i="23"/>
  <c r="E21" i="16"/>
  <c r="O22" i="17"/>
  <c r="L19" i="22"/>
  <c r="L18" i="22"/>
  <c r="L16" i="22"/>
  <c r="L17" i="22"/>
  <c r="L15" i="22"/>
  <c r="Q11" i="24"/>
  <c r="BE11" i="7"/>
  <c r="Q11" i="25" s="1"/>
  <c r="A24" i="17"/>
  <c r="AB23" i="17"/>
  <c r="AJ23" i="17"/>
  <c r="L23" i="17"/>
  <c r="D23" i="17" s="1"/>
  <c r="AK23" i="17"/>
  <c r="K23" i="17"/>
  <c r="X23" i="17"/>
  <c r="O23" i="17"/>
  <c r="E23" i="17" s="1"/>
  <c r="AC23" i="17"/>
  <c r="K19" i="24"/>
  <c r="AK19" i="24"/>
  <c r="AB19" i="24"/>
  <c r="A20" i="24"/>
  <c r="X19" i="24"/>
  <c r="AJ19" i="24"/>
  <c r="AC15" i="17"/>
  <c r="AC20" i="17"/>
  <c r="AC19" i="17"/>
  <c r="AC18" i="17"/>
  <c r="AC16" i="17"/>
  <c r="AC17" i="17"/>
  <c r="AC21" i="17"/>
  <c r="X20" i="23"/>
  <c r="AB20" i="23"/>
  <c r="AK20" i="23"/>
  <c r="K20" i="23"/>
  <c r="A21" i="23"/>
  <c r="AJ20" i="23"/>
  <c r="L11" i="24"/>
  <c r="K28" i="15"/>
  <c r="X28" i="15"/>
  <c r="AJ28" i="15"/>
  <c r="AB28" i="15"/>
  <c r="A29" i="15"/>
  <c r="L28" i="15"/>
  <c r="D28" i="15" s="1"/>
  <c r="AK28" i="15"/>
  <c r="AC28" i="15"/>
  <c r="O28" i="15"/>
  <c r="AB22" i="16"/>
  <c r="K22" i="16"/>
  <c r="AK22" i="16"/>
  <c r="A23" i="16"/>
  <c r="X22" i="16"/>
  <c r="L22" i="16"/>
  <c r="AJ22" i="16"/>
  <c r="AC22" i="16"/>
  <c r="O22" i="16"/>
  <c r="S27" i="1"/>
  <c r="R27" i="1" s="1"/>
  <c r="P27" i="1" s="1"/>
  <c r="V27" i="1" s="1"/>
  <c r="AA27" i="1" s="1"/>
  <c r="Z27" i="1" s="1"/>
  <c r="Y27" i="1" s="1"/>
  <c r="L29" i="1"/>
  <c r="K29" i="1"/>
  <c r="X29" i="1"/>
  <c r="AK29" i="1"/>
  <c r="AC29" i="1"/>
  <c r="AJ29" i="1"/>
  <c r="AB29" i="1"/>
  <c r="U29" i="1"/>
  <c r="A20" i="7"/>
  <c r="A30" i="1"/>
  <c r="Q29" i="1"/>
  <c r="O29" i="1"/>
  <c r="C20" i="7" s="1"/>
  <c r="T28" i="1"/>
  <c r="D22" i="17"/>
  <c r="P25" i="1"/>
  <c r="K26" i="18"/>
  <c r="AB26" i="18"/>
  <c r="AJ26" i="18"/>
  <c r="X26" i="18"/>
  <c r="A27" i="18"/>
  <c r="L26" i="18"/>
  <c r="AK26" i="18"/>
  <c r="O26" i="18"/>
  <c r="O16" i="16"/>
  <c r="E16" i="16" s="1"/>
  <c r="O17" i="17"/>
  <c r="E17" i="17" s="1"/>
  <c r="O18" i="16"/>
  <c r="E18" i="16" s="1"/>
  <c r="O16" i="17"/>
  <c r="E16" i="17" s="1"/>
  <c r="O19" i="17"/>
  <c r="E19" i="17" s="1"/>
  <c r="O15" i="16"/>
  <c r="O18" i="17"/>
  <c r="E18" i="17" s="1"/>
  <c r="O20" i="17"/>
  <c r="E20" i="17" s="1"/>
  <c r="O15" i="17"/>
  <c r="AC10" i="17"/>
  <c r="O17" i="16"/>
  <c r="E17" i="16" s="1"/>
  <c r="O13" i="7"/>
  <c r="O19" i="16"/>
  <c r="E19" i="16" s="1"/>
  <c r="O20" i="16"/>
  <c r="E20" i="16" s="1"/>
  <c r="O21" i="17"/>
  <c r="E21" i="17" s="1"/>
  <c r="X21" i="22"/>
  <c r="AB21" i="22"/>
  <c r="AK21" i="22"/>
  <c r="K21" i="22"/>
  <c r="L21" i="22"/>
  <c r="A22" i="22"/>
  <c r="AJ21" i="22"/>
  <c r="L12" i="23"/>
  <c r="D27" i="15"/>
  <c r="K18" i="25"/>
  <c r="AJ18" i="25"/>
  <c r="X18" i="25"/>
  <c r="A19" i="25"/>
  <c r="AB18" i="25"/>
  <c r="AC12" i="25"/>
  <c r="O11" i="25"/>
  <c r="AC9" i="25"/>
  <c r="L22" i="20"/>
  <c r="AB22" i="20"/>
  <c r="AK22" i="20"/>
  <c r="A23" i="20"/>
  <c r="K22" i="20"/>
  <c r="X22" i="20"/>
  <c r="AJ22" i="20"/>
  <c r="AG13" i="7"/>
  <c r="AM10" i="7" s="1"/>
  <c r="O15" i="20"/>
  <c r="O19" i="20"/>
  <c r="O20" i="20"/>
  <c r="O16" i="20"/>
  <c r="O18" i="20"/>
  <c r="O21" i="20"/>
  <c r="O22" i="20"/>
  <c r="O23" i="20"/>
  <c r="O17" i="20"/>
  <c r="Y15" i="1"/>
  <c r="O12" i="25" l="1"/>
  <c r="E22" i="17"/>
  <c r="E7" i="22"/>
  <c r="O10" i="22" s="1"/>
  <c r="O20" i="22" s="1"/>
  <c r="E8" i="22"/>
  <c r="K17" i="19" s="1"/>
  <c r="K41" i="19" s="1"/>
  <c r="BG13" i="7"/>
  <c r="AK16" i="25"/>
  <c r="P12" i="25"/>
  <c r="AK380" i="25"/>
  <c r="AK17" i="25"/>
  <c r="F8" i="25"/>
  <c r="AK15" i="25"/>
  <c r="BJ15" i="7"/>
  <c r="BL11" i="7"/>
  <c r="BK11" i="7"/>
  <c r="L19" i="19"/>
  <c r="AI11" i="24"/>
  <c r="AE11" i="24"/>
  <c r="P10" i="24"/>
  <c r="L19" i="23"/>
  <c r="BF13" i="7"/>
  <c r="AB19" i="25"/>
  <c r="A20" i="25"/>
  <c r="AJ19" i="25"/>
  <c r="X19" i="25"/>
  <c r="K19" i="25"/>
  <c r="AK19" i="25"/>
  <c r="L18" i="23"/>
  <c r="L16" i="23"/>
  <c r="AC10" i="18"/>
  <c r="AC17" i="18" s="1"/>
  <c r="E15" i="16"/>
  <c r="X30" i="1"/>
  <c r="AJ30" i="1"/>
  <c r="L30" i="1"/>
  <c r="AB30" i="1"/>
  <c r="Q30" i="1"/>
  <c r="K30" i="1"/>
  <c r="AC30" i="1"/>
  <c r="O30" i="1"/>
  <c r="A31" i="1"/>
  <c r="AK30" i="1"/>
  <c r="U30" i="1"/>
  <c r="T29" i="1"/>
  <c r="D22" i="16"/>
  <c r="L23" i="16"/>
  <c r="D23" i="16" s="1"/>
  <c r="X23" i="16"/>
  <c r="K23" i="16"/>
  <c r="A24" i="16"/>
  <c r="AB23" i="16"/>
  <c r="AK23" i="16"/>
  <c r="AJ23" i="16"/>
  <c r="AC23" i="16"/>
  <c r="O23" i="16"/>
  <c r="E23" i="16" s="1"/>
  <c r="E28" i="15"/>
  <c r="A32" i="7"/>
  <c r="AB29" i="15"/>
  <c r="A30" i="15"/>
  <c r="AK29" i="15"/>
  <c r="K29" i="15"/>
  <c r="X29" i="15"/>
  <c r="L29" i="15"/>
  <c r="AJ29" i="15"/>
  <c r="AC29" i="15"/>
  <c r="O29" i="15"/>
  <c r="C32" i="7" s="1"/>
  <c r="L20" i="23"/>
  <c r="X23" i="20"/>
  <c r="A24" i="20"/>
  <c r="AB23" i="20"/>
  <c r="L23" i="20"/>
  <c r="AK23" i="20"/>
  <c r="K23" i="20"/>
  <c r="AJ23" i="20"/>
  <c r="E27" i="15"/>
  <c r="L12" i="24"/>
  <c r="L17" i="23"/>
  <c r="L15" i="23"/>
  <c r="AB22" i="22"/>
  <c r="L22" i="22"/>
  <c r="X22" i="22"/>
  <c r="K22" i="22"/>
  <c r="A23" i="22"/>
  <c r="AK22" i="22"/>
  <c r="AJ22" i="22"/>
  <c r="E15" i="17"/>
  <c r="L27" i="18"/>
  <c r="AB27" i="18"/>
  <c r="AJ27" i="18"/>
  <c r="A28" i="18"/>
  <c r="X27" i="18"/>
  <c r="K27" i="18"/>
  <c r="AK27" i="18"/>
  <c r="O27" i="18"/>
  <c r="V25" i="1"/>
  <c r="S28" i="1"/>
  <c r="B20" i="7"/>
  <c r="E22" i="16"/>
  <c r="L11" i="25"/>
  <c r="L21" i="23"/>
  <c r="K21" i="23"/>
  <c r="AK21" i="23"/>
  <c r="A22" i="23"/>
  <c r="X21" i="23"/>
  <c r="AB21" i="23"/>
  <c r="AJ21" i="23"/>
  <c r="X20" i="24"/>
  <c r="L20" i="24"/>
  <c r="AK20" i="24"/>
  <c r="A21" i="24"/>
  <c r="AB20" i="24"/>
  <c r="K20" i="24"/>
  <c r="AJ20" i="24"/>
  <c r="X24" i="17"/>
  <c r="L24" i="17"/>
  <c r="K24" i="17"/>
  <c r="AK24" i="17"/>
  <c r="A25" i="17"/>
  <c r="AJ24" i="17"/>
  <c r="AB24" i="17"/>
  <c r="O24" i="17"/>
  <c r="AC24" i="17"/>
  <c r="AC27" i="18" l="1"/>
  <c r="AC25" i="18"/>
  <c r="AC19" i="18"/>
  <c r="AC26" i="18"/>
  <c r="AC16" i="18"/>
  <c r="AC21" i="18"/>
  <c r="AC15" i="18"/>
  <c r="AC23" i="18"/>
  <c r="AC22" i="18"/>
  <c r="AC20" i="18"/>
  <c r="AC24" i="18"/>
  <c r="AC18" i="18"/>
  <c r="O15" i="22"/>
  <c r="O17" i="22"/>
  <c r="O22" i="22"/>
  <c r="AM13" i="7"/>
  <c r="AS10" i="7" s="1"/>
  <c r="O19" i="22"/>
  <c r="O21" i="22"/>
  <c r="O23" i="22"/>
  <c r="O18" i="22"/>
  <c r="O16" i="22"/>
  <c r="BR11" i="7"/>
  <c r="BQ11" i="7"/>
  <c r="BP15" i="7"/>
  <c r="P10" i="25"/>
  <c r="L20" i="19"/>
  <c r="L16" i="24"/>
  <c r="D24" i="17"/>
  <c r="A23" i="23"/>
  <c r="X22" i="23"/>
  <c r="L22" i="23"/>
  <c r="K22" i="23"/>
  <c r="AK22" i="23"/>
  <c r="AB22" i="23"/>
  <c r="AJ22" i="23"/>
  <c r="R28" i="1"/>
  <c r="L12" i="25"/>
  <c r="L19" i="25" s="1"/>
  <c r="L17" i="24"/>
  <c r="L15" i="24"/>
  <c r="D29" i="15"/>
  <c r="B32" i="7"/>
  <c r="AB30" i="15"/>
  <c r="K30" i="15"/>
  <c r="AJ30" i="15"/>
  <c r="X30" i="15"/>
  <c r="A31" i="15"/>
  <c r="L30" i="15"/>
  <c r="AK30" i="15"/>
  <c r="AC30" i="15"/>
  <c r="O30" i="15"/>
  <c r="T30" i="1"/>
  <c r="AK31" i="1"/>
  <c r="L31" i="1"/>
  <c r="AJ31" i="1"/>
  <c r="Q31" i="1"/>
  <c r="AB31" i="1"/>
  <c r="X31" i="1"/>
  <c r="A32" i="1"/>
  <c r="K31" i="1"/>
  <c r="U31" i="1"/>
  <c r="AC31" i="1"/>
  <c r="O31" i="1"/>
  <c r="X25" i="17"/>
  <c r="A26" i="17"/>
  <c r="AJ25" i="17"/>
  <c r="L25" i="17"/>
  <c r="AK25" i="17"/>
  <c r="AB25" i="17"/>
  <c r="K25" i="17"/>
  <c r="AC25" i="17"/>
  <c r="O25" i="17"/>
  <c r="AB21" i="24"/>
  <c r="K21" i="24"/>
  <c r="AK21" i="24"/>
  <c r="L21" i="24"/>
  <c r="X21" i="24"/>
  <c r="A22" i="24"/>
  <c r="AJ21" i="24"/>
  <c r="AA25" i="1"/>
  <c r="L28" i="18"/>
  <c r="K28" i="18"/>
  <c r="AJ28" i="18"/>
  <c r="X28" i="18"/>
  <c r="AK28" i="18"/>
  <c r="A29" i="18"/>
  <c r="AB28" i="18"/>
  <c r="O28" i="18"/>
  <c r="AC28" i="18"/>
  <c r="AB23" i="22"/>
  <c r="A24" i="22"/>
  <c r="K23" i="22"/>
  <c r="X23" i="22"/>
  <c r="AK23" i="22"/>
  <c r="L23" i="22"/>
  <c r="AJ23" i="22"/>
  <c r="AB24" i="20"/>
  <c r="A25" i="20"/>
  <c r="K24" i="20"/>
  <c r="X24" i="20"/>
  <c r="L24" i="20"/>
  <c r="AK24" i="20"/>
  <c r="AJ24" i="20"/>
  <c r="O24" i="20"/>
  <c r="L19" i="24"/>
  <c r="L18" i="24"/>
  <c r="X24" i="16"/>
  <c r="AB24" i="16"/>
  <c r="AK24" i="16"/>
  <c r="A25" i="16"/>
  <c r="L24" i="16"/>
  <c r="D24" i="16" s="1"/>
  <c r="K24" i="16"/>
  <c r="AJ24" i="16"/>
  <c r="AC24" i="16"/>
  <c r="O24" i="16"/>
  <c r="E24" i="16" s="1"/>
  <c r="S29" i="1"/>
  <c r="R29" i="1" s="1"/>
  <c r="P29" i="1" s="1"/>
  <c r="AC10" i="20"/>
  <c r="AC24" i="20" s="1"/>
  <c r="A21" i="25"/>
  <c r="AJ20" i="25"/>
  <c r="K20" i="25"/>
  <c r="X20" i="25"/>
  <c r="AB20" i="25"/>
  <c r="AK20" i="25"/>
  <c r="AC15" i="20" l="1"/>
  <c r="AC18" i="20"/>
  <c r="AC16" i="20"/>
  <c r="AC23" i="20"/>
  <c r="AC22" i="20"/>
  <c r="AC21" i="20"/>
  <c r="AC19" i="20"/>
  <c r="AC20" i="20"/>
  <c r="AC17" i="20"/>
  <c r="E8" i="23"/>
  <c r="K18" i="19" s="1"/>
  <c r="K42" i="19" s="1"/>
  <c r="E7" i="23"/>
  <c r="O10" i="23" s="1"/>
  <c r="BV15" i="7"/>
  <c r="BW11" i="7"/>
  <c r="BX11" i="7"/>
  <c r="L20" i="25"/>
  <c r="L16" i="25"/>
  <c r="D20" i="7"/>
  <c r="V29" i="1"/>
  <c r="AA29" i="1" s="1"/>
  <c r="Z29" i="1" s="1"/>
  <c r="Y29" i="1" s="1"/>
  <c r="Z25" i="1"/>
  <c r="L22" i="24"/>
  <c r="A23" i="24"/>
  <c r="X22" i="24"/>
  <c r="AB22" i="24"/>
  <c r="AK22" i="24"/>
  <c r="K22" i="24"/>
  <c r="AJ22" i="24"/>
  <c r="X31" i="15"/>
  <c r="K31" i="15"/>
  <c r="AJ31" i="15"/>
  <c r="L31" i="15"/>
  <c r="D31" i="15" s="1"/>
  <c r="AK31" i="15"/>
  <c r="A32" i="15"/>
  <c r="AB31" i="15"/>
  <c r="O31" i="15"/>
  <c r="AC31" i="15"/>
  <c r="E29" i="15"/>
  <c r="P28" i="1"/>
  <c r="L17" i="25"/>
  <c r="L15" i="25"/>
  <c r="AC22" i="22"/>
  <c r="AC16" i="22"/>
  <c r="AC19" i="22"/>
  <c r="AC17" i="22"/>
  <c r="AC21" i="22"/>
  <c r="AC15" i="22"/>
  <c r="AC20" i="22"/>
  <c r="AC18" i="22"/>
  <c r="AC10" i="22"/>
  <c r="A26" i="16"/>
  <c r="X25" i="16"/>
  <c r="AB25" i="16"/>
  <c r="K25" i="16"/>
  <c r="L25" i="16"/>
  <c r="AK25" i="16"/>
  <c r="AJ25" i="16"/>
  <c r="AC25" i="16"/>
  <c r="O25" i="16"/>
  <c r="X21" i="25"/>
  <c r="AB21" i="25"/>
  <c r="A22" i="25"/>
  <c r="AK21" i="25"/>
  <c r="K21" i="25"/>
  <c r="AJ21" i="25"/>
  <c r="L21" i="25"/>
  <c r="X25" i="20"/>
  <c r="K25" i="20"/>
  <c r="L25" i="20"/>
  <c r="AB25" i="20"/>
  <c r="A26" i="20"/>
  <c r="AK25" i="20"/>
  <c r="AJ25" i="20"/>
  <c r="AC25" i="20"/>
  <c r="O25" i="20"/>
  <c r="AC23" i="22"/>
  <c r="A25" i="22"/>
  <c r="K24" i="22"/>
  <c r="AB24" i="22"/>
  <c r="L24" i="22"/>
  <c r="AK24" i="22"/>
  <c r="X24" i="22"/>
  <c r="AJ24" i="22"/>
  <c r="AC24" i="22"/>
  <c r="O24" i="22"/>
  <c r="AB29" i="18"/>
  <c r="A68" i="7"/>
  <c r="A30" i="18"/>
  <c r="AJ29" i="18"/>
  <c r="X29" i="18"/>
  <c r="L29" i="18"/>
  <c r="K29" i="18"/>
  <c r="AK29" i="18"/>
  <c r="AC29" i="18"/>
  <c r="O29" i="18"/>
  <c r="D25" i="17"/>
  <c r="E25" i="17" s="1"/>
  <c r="X26" i="17"/>
  <c r="A27" i="17"/>
  <c r="K26" i="17"/>
  <c r="AK26" i="17"/>
  <c r="AB26" i="17"/>
  <c r="L26" i="17"/>
  <c r="AJ26" i="17"/>
  <c r="O26" i="17"/>
  <c r="AC26" i="17"/>
  <c r="T31" i="1"/>
  <c r="AK32" i="1"/>
  <c r="AB32" i="1"/>
  <c r="A33" i="1"/>
  <c r="L32" i="1"/>
  <c r="O32" i="1"/>
  <c r="AJ32" i="1"/>
  <c r="K32" i="1"/>
  <c r="AC32" i="1"/>
  <c r="X32" i="1"/>
  <c r="Q32" i="1"/>
  <c r="U32" i="1"/>
  <c r="S30" i="1"/>
  <c r="R30" i="1" s="1"/>
  <c r="P30" i="1" s="1"/>
  <c r="V30" i="1" s="1"/>
  <c r="AA30" i="1" s="1"/>
  <c r="Z30" i="1" s="1"/>
  <c r="Y30" i="1" s="1"/>
  <c r="D30" i="15"/>
  <c r="E30" i="15" s="1"/>
  <c r="L18" i="25"/>
  <c r="A24" i="23"/>
  <c r="L23" i="23"/>
  <c r="X23" i="23"/>
  <c r="AB23" i="23"/>
  <c r="K23" i="23"/>
  <c r="AK23" i="23"/>
  <c r="AJ23" i="23"/>
  <c r="AC23" i="23"/>
  <c r="E24" i="17"/>
  <c r="O17" i="23" l="1"/>
  <c r="O23" i="23"/>
  <c r="AS13" i="7"/>
  <c r="AY10" i="7" s="1"/>
  <c r="O16" i="23"/>
  <c r="O18" i="23"/>
  <c r="O19" i="23"/>
  <c r="O21" i="23"/>
  <c r="O20" i="23"/>
  <c r="O15" i="23"/>
  <c r="O22" i="23"/>
  <c r="D26" i="17"/>
  <c r="A28" i="17"/>
  <c r="AB27" i="17"/>
  <c r="X27" i="17"/>
  <c r="AK27" i="17"/>
  <c r="K27" i="17"/>
  <c r="L27" i="17"/>
  <c r="AJ27" i="17"/>
  <c r="O27" i="17"/>
  <c r="AC27" i="17"/>
  <c r="C68" i="7"/>
  <c r="B68" i="7"/>
  <c r="K26" i="20"/>
  <c r="X26" i="20"/>
  <c r="L26" i="20"/>
  <c r="AB26" i="20"/>
  <c r="AK26" i="20"/>
  <c r="A27" i="20"/>
  <c r="AJ26" i="20"/>
  <c r="AC26" i="20"/>
  <c r="O26" i="20"/>
  <c r="AC21" i="23"/>
  <c r="AC16" i="23"/>
  <c r="AC19" i="23"/>
  <c r="AC18" i="23"/>
  <c r="AC17" i="23"/>
  <c r="AC22" i="23"/>
  <c r="AC15" i="23"/>
  <c r="AC20" i="23"/>
  <c r="AC10" i="23"/>
  <c r="E31" i="15"/>
  <c r="AB32" i="15"/>
  <c r="L32" i="15"/>
  <c r="X32" i="15"/>
  <c r="AJ32" i="15"/>
  <c r="K32" i="15"/>
  <c r="AK32" i="15"/>
  <c r="A33" i="15"/>
  <c r="AC32" i="15"/>
  <c r="O32" i="15"/>
  <c r="AB23" i="24"/>
  <c r="X23" i="24"/>
  <c r="AK23" i="24"/>
  <c r="L23" i="24"/>
  <c r="A24" i="24"/>
  <c r="K23" i="24"/>
  <c r="AJ23" i="24"/>
  <c r="AC23" i="24"/>
  <c r="Y25" i="1"/>
  <c r="K24" i="23"/>
  <c r="AB24" i="23"/>
  <c r="AK24" i="23"/>
  <c r="X24" i="23"/>
  <c r="A25" i="23"/>
  <c r="L24" i="23"/>
  <c r="AJ24" i="23"/>
  <c r="AC24" i="23"/>
  <c r="O24" i="23"/>
  <c r="T32" i="1"/>
  <c r="AB33" i="1"/>
  <c r="L33" i="1"/>
  <c r="A34" i="1"/>
  <c r="U33" i="1"/>
  <c r="Q33" i="1"/>
  <c r="AJ33" i="1"/>
  <c r="K33" i="1"/>
  <c r="X33" i="1"/>
  <c r="AK33" i="1"/>
  <c r="AC33" i="1"/>
  <c r="O33" i="1"/>
  <c r="S31" i="1"/>
  <c r="R31" i="1" s="1"/>
  <c r="P31" i="1" s="1"/>
  <c r="V31" i="1" s="1"/>
  <c r="AA31" i="1" s="1"/>
  <c r="Z31" i="1" s="1"/>
  <c r="Y31" i="1" s="1"/>
  <c r="X30" i="18"/>
  <c r="AB30" i="18"/>
  <c r="K30" i="18"/>
  <c r="AK30" i="18"/>
  <c r="L30" i="18"/>
  <c r="A31" i="18"/>
  <c r="AJ30" i="18"/>
  <c r="O30" i="18"/>
  <c r="AC30" i="18"/>
  <c r="L25" i="22"/>
  <c r="K25" i="22"/>
  <c r="AK25" i="22"/>
  <c r="A26" i="22"/>
  <c r="AB25" i="22"/>
  <c r="X25" i="22"/>
  <c r="AJ25" i="22"/>
  <c r="AC25" i="22"/>
  <c r="O25" i="22"/>
  <c r="K22" i="25"/>
  <c r="X22" i="25"/>
  <c r="A23" i="25"/>
  <c r="AK22" i="25"/>
  <c r="L22" i="25"/>
  <c r="AB22" i="25"/>
  <c r="AJ22" i="25"/>
  <c r="D25" i="16"/>
  <c r="X26" i="16"/>
  <c r="K26" i="16"/>
  <c r="AB26" i="16"/>
  <c r="L26" i="16"/>
  <c r="A27" i="16"/>
  <c r="AK26" i="16"/>
  <c r="AJ26" i="16"/>
  <c r="AC26" i="16"/>
  <c r="O26" i="16"/>
  <c r="V28" i="1"/>
  <c r="E8" i="24" l="1"/>
  <c r="K19" i="19" s="1"/>
  <c r="K43" i="19" s="1"/>
  <c r="E7" i="24"/>
  <c r="O10" i="24" s="1"/>
  <c r="O24" i="24" s="1"/>
  <c r="AA28" i="1"/>
  <c r="L27" i="16"/>
  <c r="AB27" i="16"/>
  <c r="K27" i="16"/>
  <c r="X27" i="16"/>
  <c r="A28" i="16"/>
  <c r="AK27" i="16"/>
  <c r="AJ27" i="16"/>
  <c r="AC27" i="16"/>
  <c r="O27" i="16"/>
  <c r="E25" i="16"/>
  <c r="K31" i="18"/>
  <c r="AB31" i="18"/>
  <c r="AJ31" i="18"/>
  <c r="X31" i="18"/>
  <c r="A32" i="18"/>
  <c r="L31" i="18"/>
  <c r="AK31" i="18"/>
  <c r="O31" i="18"/>
  <c r="AC31" i="18"/>
  <c r="AB34" i="1"/>
  <c r="K34" i="1"/>
  <c r="AJ34" i="1"/>
  <c r="L34" i="1"/>
  <c r="U34" i="1"/>
  <c r="Q34" i="1"/>
  <c r="AC34" i="1"/>
  <c r="A35" i="1"/>
  <c r="AK34" i="1"/>
  <c r="X34" i="1"/>
  <c r="O34" i="1"/>
  <c r="S32" i="1"/>
  <c r="R32" i="1" s="1"/>
  <c r="P32" i="1" s="1"/>
  <c r="A34" i="15"/>
  <c r="L33" i="15"/>
  <c r="D33" i="15" s="1"/>
  <c r="AB33" i="15"/>
  <c r="AJ33" i="15"/>
  <c r="AK33" i="15"/>
  <c r="X33" i="15"/>
  <c r="K33" i="15"/>
  <c r="AC33" i="15"/>
  <c r="O33" i="15"/>
  <c r="AC18" i="24"/>
  <c r="AC20" i="24"/>
  <c r="AC17" i="24"/>
  <c r="AC19" i="24"/>
  <c r="AC16" i="24"/>
  <c r="AC21" i="24"/>
  <c r="AC15" i="24"/>
  <c r="AC22" i="24"/>
  <c r="A28" i="20"/>
  <c r="AB27" i="20"/>
  <c r="AK27" i="20"/>
  <c r="X27" i="20"/>
  <c r="L27" i="20"/>
  <c r="K27" i="20"/>
  <c r="AJ27" i="20"/>
  <c r="AC27" i="20"/>
  <c r="O27" i="20"/>
  <c r="D27" i="17"/>
  <c r="E27" i="17" s="1"/>
  <c r="D26" i="16"/>
  <c r="E26" i="16" s="1"/>
  <c r="A24" i="25"/>
  <c r="L23" i="25"/>
  <c r="X23" i="25"/>
  <c r="AK23" i="25"/>
  <c r="K23" i="25"/>
  <c r="AB23" i="25"/>
  <c r="AJ23" i="25"/>
  <c r="K26" i="22"/>
  <c r="L26" i="22"/>
  <c r="A27" i="22"/>
  <c r="X26" i="22"/>
  <c r="AB26" i="22"/>
  <c r="AK26" i="22"/>
  <c r="AJ26" i="22"/>
  <c r="AC26" i="22"/>
  <c r="O26" i="22"/>
  <c r="T33" i="1"/>
  <c r="L25" i="23"/>
  <c r="K25" i="23"/>
  <c r="AK25" i="23"/>
  <c r="AB25" i="23"/>
  <c r="A26" i="23"/>
  <c r="X25" i="23"/>
  <c r="AJ25" i="23"/>
  <c r="AC25" i="23"/>
  <c r="O25" i="23"/>
  <c r="K24" i="24"/>
  <c r="AB24" i="24"/>
  <c r="L24" i="24"/>
  <c r="X24" i="24"/>
  <c r="AK24" i="24"/>
  <c r="A25" i="24"/>
  <c r="AJ24" i="24"/>
  <c r="AC24" i="24"/>
  <c r="D32" i="15"/>
  <c r="L28" i="17"/>
  <c r="X28" i="17"/>
  <c r="AJ28" i="17"/>
  <c r="A29" i="17"/>
  <c r="AB28" i="17"/>
  <c r="K28" i="17"/>
  <c r="AK28" i="17"/>
  <c r="O28" i="17"/>
  <c r="AC28" i="17"/>
  <c r="E26" i="17"/>
  <c r="AC10" i="24" l="1"/>
  <c r="AC23" i="25" s="1"/>
  <c r="O21" i="24"/>
  <c r="O23" i="24"/>
  <c r="O22" i="24"/>
  <c r="O17" i="24"/>
  <c r="O20" i="24"/>
  <c r="O16" i="24"/>
  <c r="O18" i="24"/>
  <c r="O19" i="24"/>
  <c r="O15" i="24"/>
  <c r="AY13" i="7"/>
  <c r="BE10" i="7" s="1"/>
  <c r="E33" i="15"/>
  <c r="A56" i="7"/>
  <c r="L29" i="17"/>
  <c r="A30" i="17"/>
  <c r="AJ29" i="17"/>
  <c r="X29" i="17"/>
  <c r="K29" i="17"/>
  <c r="AB29" i="17"/>
  <c r="AK29" i="17"/>
  <c r="AC29" i="17"/>
  <c r="O29" i="17"/>
  <c r="C56" i="7" s="1"/>
  <c r="AB25" i="24"/>
  <c r="K25" i="24"/>
  <c r="AK25" i="24"/>
  <c r="L25" i="24"/>
  <c r="X25" i="24"/>
  <c r="A26" i="24"/>
  <c r="AJ25" i="24"/>
  <c r="AC25" i="24"/>
  <c r="O25" i="24"/>
  <c r="AB27" i="22"/>
  <c r="X27" i="22"/>
  <c r="A28" i="22"/>
  <c r="K27" i="22"/>
  <c r="AK27" i="22"/>
  <c r="L27" i="22"/>
  <c r="AJ27" i="22"/>
  <c r="AC27" i="22"/>
  <c r="O27" i="22"/>
  <c r="K24" i="25"/>
  <c r="L24" i="25"/>
  <c r="AJ24" i="25"/>
  <c r="A25" i="25"/>
  <c r="X24" i="25"/>
  <c r="AB24" i="25"/>
  <c r="AK24" i="25"/>
  <c r="X34" i="15"/>
  <c r="L34" i="15"/>
  <c r="AB34" i="15"/>
  <c r="AK34" i="15"/>
  <c r="AJ34" i="15"/>
  <c r="K34" i="15"/>
  <c r="A35" i="15"/>
  <c r="AC34" i="15"/>
  <c r="O34" i="15"/>
  <c r="V32" i="1"/>
  <c r="T34" i="1"/>
  <c r="AB32" i="18"/>
  <c r="K32" i="18"/>
  <c r="A33" i="18"/>
  <c r="AK32" i="18"/>
  <c r="X32" i="18"/>
  <c r="L32" i="18"/>
  <c r="AJ32" i="18"/>
  <c r="O32" i="18"/>
  <c r="AC32" i="18"/>
  <c r="K28" i="16"/>
  <c r="AB28" i="16"/>
  <c r="AK28" i="16"/>
  <c r="A29" i="16"/>
  <c r="X28" i="16"/>
  <c r="L28" i="16"/>
  <c r="D28" i="16" s="1"/>
  <c r="AJ28" i="16"/>
  <c r="AC28" i="16"/>
  <c r="O28" i="16"/>
  <c r="D27" i="16"/>
  <c r="E27" i="16" s="1"/>
  <c r="Z28" i="1"/>
  <c r="D28" i="17"/>
  <c r="K26" i="23"/>
  <c r="L26" i="23"/>
  <c r="X26" i="23"/>
  <c r="AB26" i="23"/>
  <c r="A27" i="23"/>
  <c r="AK26" i="23"/>
  <c r="AJ26" i="23"/>
  <c r="AC26" i="23"/>
  <c r="O26" i="23"/>
  <c r="S33" i="1"/>
  <c r="R33" i="1" s="1"/>
  <c r="P33" i="1" s="1"/>
  <c r="V33" i="1" s="1"/>
  <c r="AA33" i="1" s="1"/>
  <c r="Z33" i="1" s="1"/>
  <c r="Y33" i="1" s="1"/>
  <c r="X28" i="20"/>
  <c r="A29" i="20"/>
  <c r="L28" i="20"/>
  <c r="K28" i="20"/>
  <c r="AK28" i="20"/>
  <c r="AB28" i="20"/>
  <c r="AJ28" i="20"/>
  <c r="AC28" i="20"/>
  <c r="O28" i="20"/>
  <c r="AC19" i="25"/>
  <c r="E32" i="15"/>
  <c r="L35" i="1"/>
  <c r="AJ35" i="1"/>
  <c r="A36" i="1"/>
  <c r="AB35" i="1"/>
  <c r="X35" i="1"/>
  <c r="AK35" i="1"/>
  <c r="K35" i="1"/>
  <c r="U35" i="1"/>
  <c r="Q35" i="1"/>
  <c r="O35" i="1"/>
  <c r="AC35" i="1"/>
  <c r="AC16" i="25" l="1"/>
  <c r="AC21" i="25"/>
  <c r="AC15" i="25"/>
  <c r="AC17" i="25"/>
  <c r="AC20" i="25"/>
  <c r="AC22" i="25"/>
  <c r="AC18" i="25"/>
  <c r="AC24" i="25"/>
  <c r="E7" i="25"/>
  <c r="E8" i="25"/>
  <c r="K20" i="19" s="1"/>
  <c r="K44" i="19" s="1"/>
  <c r="AB36" i="1"/>
  <c r="AJ36" i="1"/>
  <c r="L36" i="1"/>
  <c r="AK36" i="1"/>
  <c r="Q36" i="1"/>
  <c r="K36" i="1"/>
  <c r="X36" i="1"/>
  <c r="A37" i="1"/>
  <c r="AC36" i="1"/>
  <c r="U36" i="1"/>
  <c r="O36" i="1"/>
  <c r="K29" i="20"/>
  <c r="L29" i="20"/>
  <c r="AB29" i="20"/>
  <c r="A30" i="20"/>
  <c r="AE20" i="7"/>
  <c r="X29" i="20"/>
  <c r="AK29" i="20"/>
  <c r="AJ29" i="20"/>
  <c r="AC29" i="20"/>
  <c r="O29" i="20"/>
  <c r="AG20" i="7" s="1"/>
  <c r="A28" i="23"/>
  <c r="AB27" i="23"/>
  <c r="AK27" i="23"/>
  <c r="X27" i="23"/>
  <c r="L27" i="23"/>
  <c r="K27" i="23"/>
  <c r="AJ27" i="23"/>
  <c r="AC27" i="23"/>
  <c r="O27" i="23"/>
  <c r="E28" i="16"/>
  <c r="X33" i="18"/>
  <c r="L33" i="18"/>
  <c r="K33" i="18"/>
  <c r="AK33" i="18"/>
  <c r="AB33" i="18"/>
  <c r="A34" i="18"/>
  <c r="AJ33" i="18"/>
  <c r="O33" i="18"/>
  <c r="AC33" i="18"/>
  <c r="S34" i="1"/>
  <c r="R34" i="1" s="1"/>
  <c r="P34" i="1" s="1"/>
  <c r="AA32" i="1"/>
  <c r="D34" i="15"/>
  <c r="AB30" i="17"/>
  <c r="X30" i="17"/>
  <c r="A31" i="17"/>
  <c r="AK30" i="17"/>
  <c r="K30" i="17"/>
  <c r="L30" i="17"/>
  <c r="D30" i="17" s="1"/>
  <c r="AJ30" i="17"/>
  <c r="O30" i="17"/>
  <c r="E30" i="17" s="1"/>
  <c r="AC30" i="17"/>
  <c r="T35" i="1"/>
  <c r="Y28" i="1"/>
  <c r="AB29" i="16"/>
  <c r="L29" i="16"/>
  <c r="A30" i="16"/>
  <c r="K29" i="16"/>
  <c r="AK29" i="16"/>
  <c r="X29" i="16"/>
  <c r="A44" i="7"/>
  <c r="AJ29" i="16"/>
  <c r="AC29" i="16"/>
  <c r="O29" i="16"/>
  <c r="C44" i="7" s="1"/>
  <c r="E34" i="15"/>
  <c r="L35" i="15"/>
  <c r="D35" i="15" s="1"/>
  <c r="A36" i="15"/>
  <c r="AJ35" i="15"/>
  <c r="X35" i="15"/>
  <c r="K35" i="15"/>
  <c r="AB35" i="15"/>
  <c r="AK35" i="15"/>
  <c r="AC35" i="15"/>
  <c r="O35" i="15"/>
  <c r="E35" i="15" s="1"/>
  <c r="K25" i="25"/>
  <c r="AB25" i="25"/>
  <c r="A26" i="25"/>
  <c r="AK25" i="25"/>
  <c r="L25" i="25"/>
  <c r="X25" i="25"/>
  <c r="AJ25" i="25"/>
  <c r="AC25" i="25"/>
  <c r="L28" i="22"/>
  <c r="AB28" i="22"/>
  <c r="AK28" i="22"/>
  <c r="K28" i="22"/>
  <c r="X28" i="22"/>
  <c r="A29" i="22"/>
  <c r="AJ28" i="22"/>
  <c r="AC28" i="22"/>
  <c r="O28" i="22"/>
  <c r="A27" i="24"/>
  <c r="L26" i="24"/>
  <c r="K26" i="24"/>
  <c r="AB26" i="24"/>
  <c r="X26" i="24"/>
  <c r="AK26" i="24"/>
  <c r="AJ26" i="24"/>
  <c r="AC26" i="24"/>
  <c r="O26" i="24"/>
  <c r="D29" i="17"/>
  <c r="E29" i="17" s="1"/>
  <c r="B56" i="7"/>
  <c r="E28" i="17"/>
  <c r="O10" i="25" l="1"/>
  <c r="O26" i="25" s="1"/>
  <c r="AC10" i="25"/>
  <c r="V34" i="1"/>
  <c r="L29" i="22"/>
  <c r="X29" i="22"/>
  <c r="A30" i="22"/>
  <c r="K29" i="22"/>
  <c r="AB29" i="22"/>
  <c r="AE32" i="7"/>
  <c r="AK29" i="22"/>
  <c r="AJ29" i="22"/>
  <c r="AC29" i="22"/>
  <c r="O29" i="22"/>
  <c r="AG32" i="7" s="1"/>
  <c r="L30" i="16"/>
  <c r="D30" i="16" s="1"/>
  <c r="AB30" i="16"/>
  <c r="AK30" i="16"/>
  <c r="X30" i="16"/>
  <c r="K30" i="16"/>
  <c r="A31" i="16"/>
  <c r="AJ30" i="16"/>
  <c r="AC30" i="16"/>
  <c r="O30" i="16"/>
  <c r="E30" i="16" s="1"/>
  <c r="AB34" i="18"/>
  <c r="A35" i="18"/>
  <c r="K34" i="18"/>
  <c r="AK34" i="18"/>
  <c r="L34" i="18"/>
  <c r="X34" i="18"/>
  <c r="AJ34" i="18"/>
  <c r="O34" i="18"/>
  <c r="AC34" i="18"/>
  <c r="L28" i="23"/>
  <c r="X28" i="23"/>
  <c r="AK28" i="23"/>
  <c r="K28" i="23"/>
  <c r="AB28" i="23"/>
  <c r="A29" i="23"/>
  <c r="AJ28" i="23"/>
  <c r="AC28" i="23"/>
  <c r="O28" i="23"/>
  <c r="A31" i="20"/>
  <c r="AB30" i="20"/>
  <c r="X30" i="20"/>
  <c r="L30" i="20"/>
  <c r="K30" i="20"/>
  <c r="AK30" i="20"/>
  <c r="AJ30" i="20"/>
  <c r="AC30" i="20"/>
  <c r="O30" i="20"/>
  <c r="AF20" i="7"/>
  <c r="X27" i="24"/>
  <c r="AB27" i="24"/>
  <c r="L27" i="24"/>
  <c r="K27" i="24"/>
  <c r="A28" i="24"/>
  <c r="AK27" i="24"/>
  <c r="AJ27" i="24"/>
  <c r="AC27" i="24"/>
  <c r="O27" i="24"/>
  <c r="AB26" i="25"/>
  <c r="L26" i="25"/>
  <c r="AJ26" i="25"/>
  <c r="K26" i="25"/>
  <c r="X26" i="25"/>
  <c r="A27" i="25"/>
  <c r="AK26" i="25"/>
  <c r="AC26" i="25"/>
  <c r="X36" i="15"/>
  <c r="A37" i="15"/>
  <c r="AJ36" i="15"/>
  <c r="AB36" i="15"/>
  <c r="L36" i="15"/>
  <c r="K36" i="15"/>
  <c r="AK36" i="15"/>
  <c r="AC36" i="15"/>
  <c r="O36" i="15"/>
  <c r="B44" i="7"/>
  <c r="D29" i="16"/>
  <c r="E29" i="16" s="1"/>
  <c r="S35" i="1"/>
  <c r="R35" i="1" s="1"/>
  <c r="P35" i="1" s="1"/>
  <c r="V35" i="1" s="1"/>
  <c r="AA35" i="1" s="1"/>
  <c r="Z35" i="1" s="1"/>
  <c r="Y35" i="1" s="1"/>
  <c r="A32" i="17"/>
  <c r="K31" i="17"/>
  <c r="AB31" i="17"/>
  <c r="AK31" i="17"/>
  <c r="X31" i="17"/>
  <c r="L31" i="17"/>
  <c r="AJ31" i="17"/>
  <c r="O31" i="17"/>
  <c r="AC31" i="17"/>
  <c r="Z32" i="1"/>
  <c r="T36" i="1"/>
  <c r="AB37" i="1"/>
  <c r="A38" i="1"/>
  <c r="K37" i="1"/>
  <c r="AK37" i="1"/>
  <c r="X37" i="1"/>
  <c r="L37" i="1"/>
  <c r="AJ37" i="1"/>
  <c r="U37" i="1"/>
  <c r="Q37" i="1"/>
  <c r="O37" i="1"/>
  <c r="AC37" i="1"/>
  <c r="O19" i="25" l="1"/>
  <c r="O20" i="25"/>
  <c r="O16" i="25"/>
  <c r="O22" i="25"/>
  <c r="O17" i="25"/>
  <c r="O18" i="25"/>
  <c r="BE13" i="7"/>
  <c r="O15" i="25"/>
  <c r="O23" i="25"/>
  <c r="O21" i="25"/>
  <c r="O24" i="25"/>
  <c r="O25" i="25"/>
  <c r="T37" i="1"/>
  <c r="AB38" i="1"/>
  <c r="K38" i="1"/>
  <c r="L38" i="1"/>
  <c r="O38" i="1"/>
  <c r="Q38" i="1"/>
  <c r="AJ38" i="1"/>
  <c r="A39" i="1"/>
  <c r="X38" i="1"/>
  <c r="AK38" i="1"/>
  <c r="AC38" i="1"/>
  <c r="U38" i="1"/>
  <c r="Y32" i="1"/>
  <c r="A33" i="17"/>
  <c r="X32" i="17"/>
  <c r="K32" i="17"/>
  <c r="AK32" i="17"/>
  <c r="L32" i="17"/>
  <c r="D32" i="17" s="1"/>
  <c r="AB32" i="17"/>
  <c r="AJ32" i="17"/>
  <c r="AC32" i="17"/>
  <c r="O32" i="17"/>
  <c r="D36" i="15"/>
  <c r="E36" i="15" s="1"/>
  <c r="L27" i="25"/>
  <c r="K27" i="25"/>
  <c r="AJ27" i="25"/>
  <c r="AB27" i="25"/>
  <c r="X27" i="25"/>
  <c r="A28" i="25"/>
  <c r="AK27" i="25"/>
  <c r="AC27" i="25"/>
  <c r="O27" i="25"/>
  <c r="S36" i="1"/>
  <c r="R36" i="1" s="1"/>
  <c r="P36" i="1" s="1"/>
  <c r="V36" i="1" s="1"/>
  <c r="D31" i="17"/>
  <c r="E31" i="17" s="1"/>
  <c r="X37" i="15"/>
  <c r="AB37" i="15"/>
  <c r="AJ37" i="15"/>
  <c r="A38" i="15"/>
  <c r="K37" i="15"/>
  <c r="L37" i="15"/>
  <c r="D37" i="15" s="1"/>
  <c r="AK37" i="15"/>
  <c r="AC37" i="15"/>
  <c r="O37" i="15"/>
  <c r="K28" i="24"/>
  <c r="A29" i="24"/>
  <c r="AK28" i="24"/>
  <c r="AB28" i="24"/>
  <c r="L28" i="24"/>
  <c r="X28" i="24"/>
  <c r="AJ28" i="24"/>
  <c r="AC28" i="24"/>
  <c r="O28" i="24"/>
  <c r="X31" i="20"/>
  <c r="L31" i="20"/>
  <c r="AK31" i="20"/>
  <c r="AB31" i="20"/>
  <c r="A32" i="20"/>
  <c r="K31" i="20"/>
  <c r="AJ31" i="20"/>
  <c r="AC31" i="20"/>
  <c r="O31" i="20"/>
  <c r="K29" i="23"/>
  <c r="AE44" i="7"/>
  <c r="A30" i="23"/>
  <c r="AB29" i="23"/>
  <c r="X29" i="23"/>
  <c r="L29" i="23"/>
  <c r="AK29" i="23"/>
  <c r="AJ29" i="23"/>
  <c r="AC29" i="23"/>
  <c r="O29" i="23"/>
  <c r="AG44" i="7" s="1"/>
  <c r="K35" i="18"/>
  <c r="X35" i="18"/>
  <c r="A36" i="18"/>
  <c r="AK35" i="18"/>
  <c r="L35" i="18"/>
  <c r="AB35" i="18"/>
  <c r="AJ35" i="18"/>
  <c r="AC35" i="18"/>
  <c r="O35" i="18"/>
  <c r="AB31" i="16"/>
  <c r="X31" i="16"/>
  <c r="K31" i="16"/>
  <c r="A32" i="16"/>
  <c r="AK31" i="16"/>
  <c r="L31" i="16"/>
  <c r="AJ31" i="16"/>
  <c r="AC31" i="16"/>
  <c r="O31" i="16"/>
  <c r="K30" i="22"/>
  <c r="X30" i="22"/>
  <c r="AK30" i="22"/>
  <c r="A31" i="22"/>
  <c r="AB30" i="22"/>
  <c r="L30" i="22"/>
  <c r="AJ30" i="22"/>
  <c r="AC30" i="22"/>
  <c r="O30" i="22"/>
  <c r="AF32" i="7"/>
  <c r="AA34" i="1"/>
  <c r="AA36" i="1" l="1"/>
  <c r="Z36" i="1" s="1"/>
  <c r="Y36" i="1" s="1"/>
  <c r="A32" i="22"/>
  <c r="K31" i="22"/>
  <c r="L31" i="22"/>
  <c r="AB31" i="22"/>
  <c r="X31" i="22"/>
  <c r="AK31" i="22"/>
  <c r="AJ31" i="22"/>
  <c r="AC31" i="22"/>
  <c r="O31" i="22"/>
  <c r="K30" i="23"/>
  <c r="X30" i="23"/>
  <c r="AB30" i="23"/>
  <c r="A31" i="23"/>
  <c r="L30" i="23"/>
  <c r="AK30" i="23"/>
  <c r="AJ30" i="23"/>
  <c r="AC30" i="23"/>
  <c r="O30" i="23"/>
  <c r="AB29" i="24"/>
  <c r="K29" i="24"/>
  <c r="X29" i="24"/>
  <c r="AE56" i="7"/>
  <c r="L29" i="24"/>
  <c r="A30" i="24"/>
  <c r="AK29" i="24"/>
  <c r="AJ29" i="24"/>
  <c r="AC29" i="24"/>
  <c r="O29" i="24"/>
  <c r="E37" i="15"/>
  <c r="E32" i="17"/>
  <c r="L33" i="17"/>
  <c r="A34" i="17"/>
  <c r="AJ33" i="17"/>
  <c r="X33" i="17"/>
  <c r="AB33" i="17"/>
  <c r="K33" i="17"/>
  <c r="AK33" i="17"/>
  <c r="O33" i="17"/>
  <c r="AC33" i="17"/>
  <c r="Z34" i="1"/>
  <c r="D31" i="16"/>
  <c r="E31" i="16" s="1"/>
  <c r="X32" i="16"/>
  <c r="AB32" i="16"/>
  <c r="L32" i="16"/>
  <c r="A33" i="16"/>
  <c r="AK32" i="16"/>
  <c r="K32" i="16"/>
  <c r="AJ32" i="16"/>
  <c r="AC32" i="16"/>
  <c r="O32" i="16"/>
  <c r="L36" i="18"/>
  <c r="A37" i="18"/>
  <c r="AJ36" i="18"/>
  <c r="X36" i="18"/>
  <c r="K36" i="18"/>
  <c r="AB36" i="18"/>
  <c r="AK36" i="18"/>
  <c r="O36" i="18"/>
  <c r="AC36" i="18"/>
  <c r="AF44" i="7"/>
  <c r="L32" i="20"/>
  <c r="K32" i="20"/>
  <c r="AK32" i="20"/>
  <c r="AB32" i="20"/>
  <c r="X32" i="20"/>
  <c r="A33" i="20"/>
  <c r="AJ32" i="20"/>
  <c r="AC32" i="20"/>
  <c r="O32" i="20"/>
  <c r="AB38" i="15"/>
  <c r="L38" i="15"/>
  <c r="K38" i="15"/>
  <c r="AK38" i="15"/>
  <c r="AC38" i="15"/>
  <c r="A39" i="15"/>
  <c r="X38" i="15"/>
  <c r="AJ38" i="15"/>
  <c r="O38" i="15"/>
  <c r="A29" i="25"/>
  <c r="X28" i="25"/>
  <c r="AB28" i="25"/>
  <c r="AK28" i="25"/>
  <c r="L28" i="25"/>
  <c r="K28" i="25"/>
  <c r="AJ28" i="25"/>
  <c r="AC28" i="25"/>
  <c r="O28" i="25"/>
  <c r="T38" i="1"/>
  <c r="AJ39" i="1"/>
  <c r="X39" i="1"/>
  <c r="AB39" i="1"/>
  <c r="K39" i="1"/>
  <c r="Q39" i="1"/>
  <c r="A40" i="1"/>
  <c r="AK39" i="1"/>
  <c r="L39" i="1"/>
  <c r="U39" i="1"/>
  <c r="AC39" i="1"/>
  <c r="O39" i="1"/>
  <c r="S37" i="1"/>
  <c r="R37" i="1" s="1"/>
  <c r="P37" i="1" s="1"/>
  <c r="V37" i="1" s="1"/>
  <c r="AA37" i="1" s="1"/>
  <c r="Z37" i="1" s="1"/>
  <c r="Y37" i="1" s="1"/>
  <c r="T39" i="1" l="1"/>
  <c r="S38" i="1"/>
  <c r="R38" i="1" s="1"/>
  <c r="P38" i="1" s="1"/>
  <c r="V38" i="1" s="1"/>
  <c r="AA38" i="1" s="1"/>
  <c r="Z38" i="1" s="1"/>
  <c r="L29" i="25"/>
  <c r="A30" i="25"/>
  <c r="X29" i="25"/>
  <c r="AJ29" i="25"/>
  <c r="AE68" i="7"/>
  <c r="K29" i="25"/>
  <c r="AB29" i="25"/>
  <c r="AK29" i="25"/>
  <c r="AC29" i="25"/>
  <c r="O29" i="25"/>
  <c r="AG68" i="7" s="1"/>
  <c r="D32" i="16"/>
  <c r="E32" i="16" s="1"/>
  <c r="Y34" i="1"/>
  <c r="D33" i="17"/>
  <c r="E33" i="17" s="1"/>
  <c r="AF56" i="7"/>
  <c r="A32" i="23"/>
  <c r="L31" i="23"/>
  <c r="X31" i="23"/>
  <c r="AB31" i="23"/>
  <c r="K31" i="23"/>
  <c r="AK31" i="23"/>
  <c r="AJ31" i="23"/>
  <c r="AC31" i="23"/>
  <c r="O31" i="23"/>
  <c r="K40" i="1"/>
  <c r="L40" i="1"/>
  <c r="A41" i="1"/>
  <c r="X40" i="1"/>
  <c r="Q40" i="1"/>
  <c r="AK40" i="1"/>
  <c r="AB40" i="1"/>
  <c r="AJ40" i="1"/>
  <c r="AC40" i="1"/>
  <c r="U40" i="1"/>
  <c r="O40" i="1"/>
  <c r="L39" i="15"/>
  <c r="A40" i="15"/>
  <c r="AK39" i="15"/>
  <c r="X39" i="15"/>
  <c r="K39" i="15"/>
  <c r="AB39" i="15"/>
  <c r="AJ39" i="15"/>
  <c r="AC39" i="15"/>
  <c r="O39" i="15"/>
  <c r="D38" i="15"/>
  <c r="E38" i="15" s="1"/>
  <c r="AB33" i="20"/>
  <c r="A34" i="20"/>
  <c r="K33" i="20"/>
  <c r="X33" i="20"/>
  <c r="L33" i="20"/>
  <c r="AK33" i="20"/>
  <c r="AJ33" i="20"/>
  <c r="AC33" i="20"/>
  <c r="O33" i="20"/>
  <c r="X37" i="18"/>
  <c r="A38" i="18"/>
  <c r="AB37" i="18"/>
  <c r="AK37" i="18"/>
  <c r="K37" i="18"/>
  <c r="L37" i="18"/>
  <c r="AJ37" i="18"/>
  <c r="AC37" i="18"/>
  <c r="O37" i="18"/>
  <c r="AB33" i="16"/>
  <c r="X33" i="16"/>
  <c r="K33" i="16"/>
  <c r="A34" i="16"/>
  <c r="L33" i="16"/>
  <c r="AK33" i="16"/>
  <c r="AJ33" i="16"/>
  <c r="AC33" i="16"/>
  <c r="O33" i="16"/>
  <c r="A35" i="17"/>
  <c r="K34" i="17"/>
  <c r="L34" i="17"/>
  <c r="AK34" i="17"/>
  <c r="AB34" i="17"/>
  <c r="X34" i="17"/>
  <c r="AJ34" i="17"/>
  <c r="O34" i="17"/>
  <c r="AC34" i="17"/>
  <c r="AG56" i="7"/>
  <c r="X30" i="24"/>
  <c r="K30" i="24"/>
  <c r="A31" i="24"/>
  <c r="AB30" i="24"/>
  <c r="L30" i="24"/>
  <c r="AK30" i="24"/>
  <c r="AJ30" i="24"/>
  <c r="AC30" i="24"/>
  <c r="O30" i="24"/>
  <c r="K32" i="22"/>
  <c r="X32" i="22"/>
  <c r="AK32" i="22"/>
  <c r="A33" i="22"/>
  <c r="AB32" i="22"/>
  <c r="L32" i="22"/>
  <c r="AJ32" i="22"/>
  <c r="AC32" i="22"/>
  <c r="O32" i="22"/>
  <c r="Y38" i="1" l="1"/>
  <c r="X33" i="22"/>
  <c r="A34" i="22"/>
  <c r="L33" i="22"/>
  <c r="AB33" i="22"/>
  <c r="K33" i="22"/>
  <c r="AK33" i="22"/>
  <c r="AJ33" i="22"/>
  <c r="AC33" i="22"/>
  <c r="O33" i="22"/>
  <c r="AB31" i="24"/>
  <c r="L31" i="24"/>
  <c r="K31" i="24"/>
  <c r="A32" i="24"/>
  <c r="X31" i="24"/>
  <c r="AK31" i="24"/>
  <c r="AJ31" i="24"/>
  <c r="AC31" i="24"/>
  <c r="O31" i="24"/>
  <c r="D34" i="17"/>
  <c r="E34" i="17" s="1"/>
  <c r="K35" i="17"/>
  <c r="A36" i="17"/>
  <c r="AJ35" i="17"/>
  <c r="AB35" i="17"/>
  <c r="X35" i="17"/>
  <c r="L35" i="17"/>
  <c r="AK35" i="17"/>
  <c r="O35" i="17"/>
  <c r="AC35" i="17"/>
  <c r="X34" i="16"/>
  <c r="L34" i="16"/>
  <c r="D34" i="16" s="1"/>
  <c r="K34" i="16"/>
  <c r="A35" i="16"/>
  <c r="AB34" i="16"/>
  <c r="AK34" i="16"/>
  <c r="AJ34" i="16"/>
  <c r="AC34" i="16"/>
  <c r="O34" i="16"/>
  <c r="AB40" i="15"/>
  <c r="K40" i="15"/>
  <c r="AJ40" i="15"/>
  <c r="X40" i="15"/>
  <c r="L40" i="15"/>
  <c r="A41" i="15"/>
  <c r="AK40" i="15"/>
  <c r="AC40" i="15"/>
  <c r="O40" i="15"/>
  <c r="X41" i="1"/>
  <c r="K41" i="1"/>
  <c r="L41" i="1"/>
  <c r="AB41" i="1"/>
  <c r="A42" i="1"/>
  <c r="AJ41" i="1"/>
  <c r="AK41" i="1"/>
  <c r="U41" i="1"/>
  <c r="Q41" i="1"/>
  <c r="O41" i="1"/>
  <c r="AC41" i="1"/>
  <c r="AF68" i="7"/>
  <c r="S39" i="1"/>
  <c r="R39" i="1" s="1"/>
  <c r="P39" i="1" s="1"/>
  <c r="V39" i="1" s="1"/>
  <c r="AA39" i="1" s="1"/>
  <c r="Z39" i="1" s="1"/>
  <c r="Y39" i="1" s="1"/>
  <c r="D33" i="16"/>
  <c r="E33" i="16" s="1"/>
  <c r="AB38" i="18"/>
  <c r="A39" i="18"/>
  <c r="AJ38" i="18"/>
  <c r="K38" i="18"/>
  <c r="L38" i="18"/>
  <c r="X38" i="18"/>
  <c r="AK38" i="18"/>
  <c r="O38" i="18"/>
  <c r="AC38" i="18"/>
  <c r="A35" i="20"/>
  <c r="X34" i="20"/>
  <c r="AB34" i="20"/>
  <c r="L34" i="20"/>
  <c r="K34" i="20"/>
  <c r="AK34" i="20"/>
  <c r="AJ34" i="20"/>
  <c r="AC34" i="20"/>
  <c r="O34" i="20"/>
  <c r="D39" i="15"/>
  <c r="E39" i="15" s="1"/>
  <c r="T40" i="1"/>
  <c r="K32" i="23"/>
  <c r="X32" i="23"/>
  <c r="AK32" i="23"/>
  <c r="A33" i="23"/>
  <c r="AB32" i="23"/>
  <c r="L32" i="23"/>
  <c r="AJ32" i="23"/>
  <c r="AC32" i="23"/>
  <c r="O32" i="23"/>
  <c r="A31" i="25"/>
  <c r="X30" i="25"/>
  <c r="AB30" i="25"/>
  <c r="AK30" i="25"/>
  <c r="K30" i="25"/>
  <c r="L30" i="25"/>
  <c r="AJ30" i="25"/>
  <c r="AC30" i="25"/>
  <c r="O30" i="25"/>
  <c r="A32" i="25" l="1"/>
  <c r="L31" i="25"/>
  <c r="AJ31" i="25"/>
  <c r="X31" i="25"/>
  <c r="K31" i="25"/>
  <c r="AB31" i="25"/>
  <c r="AK31" i="25"/>
  <c r="AC31" i="25"/>
  <c r="O31" i="25"/>
  <c r="X33" i="23"/>
  <c r="K33" i="23"/>
  <c r="AK33" i="23"/>
  <c r="A34" i="23"/>
  <c r="AB33" i="23"/>
  <c r="L33" i="23"/>
  <c r="AJ33" i="23"/>
  <c r="AC33" i="23"/>
  <c r="O33" i="23"/>
  <c r="S40" i="1"/>
  <c r="R40" i="1" s="1"/>
  <c r="P40" i="1" s="1"/>
  <c r="V40" i="1" s="1"/>
  <c r="AA40" i="1" s="1"/>
  <c r="Z40" i="1" s="1"/>
  <c r="Y40" i="1" s="1"/>
  <c r="A36" i="20"/>
  <c r="K35" i="20"/>
  <c r="AK35" i="20"/>
  <c r="AB35" i="20"/>
  <c r="X35" i="20"/>
  <c r="L35" i="20"/>
  <c r="AJ35" i="20"/>
  <c r="AC35" i="20"/>
  <c r="O35" i="20"/>
  <c r="AB39" i="18"/>
  <c r="A40" i="18"/>
  <c r="K39" i="18"/>
  <c r="AK39" i="18"/>
  <c r="X39" i="18"/>
  <c r="L39" i="18"/>
  <c r="AJ39" i="18"/>
  <c r="O39" i="18"/>
  <c r="AC39" i="18"/>
  <c r="AJ42" i="1"/>
  <c r="L42" i="1"/>
  <c r="X42" i="1"/>
  <c r="AC42" i="1"/>
  <c r="U42" i="1"/>
  <c r="O42" i="1"/>
  <c r="A43" i="1"/>
  <c r="AK42" i="1"/>
  <c r="AB42" i="1"/>
  <c r="K42" i="1"/>
  <c r="Q42" i="1"/>
  <c r="X41" i="15"/>
  <c r="AB41" i="15"/>
  <c r="AK41" i="15"/>
  <c r="A42" i="15"/>
  <c r="L41" i="15"/>
  <c r="D41" i="15" s="1"/>
  <c r="K41" i="15"/>
  <c r="AJ41" i="15"/>
  <c r="AC41" i="15"/>
  <c r="O41" i="15"/>
  <c r="E34" i="16"/>
  <c r="D35" i="17"/>
  <c r="E35" i="17" s="1"/>
  <c r="K36" i="17"/>
  <c r="AB36" i="17"/>
  <c r="AJ36" i="17"/>
  <c r="X36" i="17"/>
  <c r="L36" i="17"/>
  <c r="A37" i="17"/>
  <c r="AK36" i="17"/>
  <c r="O36" i="17"/>
  <c r="AC36" i="17"/>
  <c r="AB34" i="22"/>
  <c r="K34" i="22"/>
  <c r="L34" i="22"/>
  <c r="A35" i="22"/>
  <c r="X34" i="22"/>
  <c r="AK34" i="22"/>
  <c r="AJ34" i="22"/>
  <c r="AC34" i="22"/>
  <c r="O34" i="22"/>
  <c r="T41" i="1"/>
  <c r="D40" i="15"/>
  <c r="E40" i="15" s="1"/>
  <c r="X35" i="16"/>
  <c r="K35" i="16"/>
  <c r="L35" i="16"/>
  <c r="D35" i="16" s="1"/>
  <c r="AK35" i="16"/>
  <c r="A36" i="16"/>
  <c r="AB35" i="16"/>
  <c r="AJ35" i="16"/>
  <c r="AC35" i="16"/>
  <c r="O35" i="16"/>
  <c r="L32" i="24"/>
  <c r="A33" i="24"/>
  <c r="AK32" i="24"/>
  <c r="K32" i="24"/>
  <c r="X32" i="24"/>
  <c r="AB32" i="24"/>
  <c r="AJ32" i="24"/>
  <c r="AC32" i="24"/>
  <c r="O32" i="24"/>
  <c r="E41" i="15" l="1"/>
  <c r="E35" i="16"/>
  <c r="S41" i="1"/>
  <c r="R41" i="1" s="1"/>
  <c r="P41" i="1" s="1"/>
  <c r="V41" i="1" s="1"/>
  <c r="AA41" i="1" s="1"/>
  <c r="Z41" i="1" s="1"/>
  <c r="Y41" i="1" s="1"/>
  <c r="D36" i="17"/>
  <c r="E36" i="17" s="1"/>
  <c r="X36" i="20"/>
  <c r="AB36" i="20"/>
  <c r="AK36" i="20"/>
  <c r="A37" i="20"/>
  <c r="L36" i="20"/>
  <c r="K36" i="20"/>
  <c r="AJ36" i="20"/>
  <c r="AC36" i="20"/>
  <c r="O36" i="20"/>
  <c r="L33" i="24"/>
  <c r="X33" i="24"/>
  <c r="AK33" i="24"/>
  <c r="K33" i="24"/>
  <c r="A34" i="24"/>
  <c r="AB33" i="24"/>
  <c r="AJ33" i="24"/>
  <c r="AC33" i="24"/>
  <c r="O33" i="24"/>
  <c r="X36" i="16"/>
  <c r="K36" i="16"/>
  <c r="AK36" i="16"/>
  <c r="L36" i="16"/>
  <c r="A37" i="16"/>
  <c r="AB36" i="16"/>
  <c r="AJ36" i="16"/>
  <c r="AC36" i="16"/>
  <c r="O36" i="16"/>
  <c r="X35" i="22"/>
  <c r="L35" i="22"/>
  <c r="K35" i="22"/>
  <c r="A36" i="22"/>
  <c r="AB35" i="22"/>
  <c r="AK35" i="22"/>
  <c r="AJ35" i="22"/>
  <c r="AC35" i="22"/>
  <c r="O35" i="22"/>
  <c r="K37" i="17"/>
  <c r="L37" i="17"/>
  <c r="A38" i="17"/>
  <c r="AK37" i="17"/>
  <c r="X37" i="17"/>
  <c r="AB37" i="17"/>
  <c r="AJ37" i="17"/>
  <c r="O37" i="17"/>
  <c r="AC37" i="17"/>
  <c r="X42" i="15"/>
  <c r="AB42" i="15"/>
  <c r="A43" i="15"/>
  <c r="AJ42" i="15"/>
  <c r="L42" i="15"/>
  <c r="D42" i="15" s="1"/>
  <c r="K42" i="15"/>
  <c r="AK42" i="15"/>
  <c r="AC42" i="15"/>
  <c r="O42" i="15"/>
  <c r="E42" i="15" s="1"/>
  <c r="L43" i="1"/>
  <c r="X43" i="1"/>
  <c r="K43" i="1"/>
  <c r="AJ43" i="1"/>
  <c r="U43" i="1"/>
  <c r="A44" i="1"/>
  <c r="AK43" i="1"/>
  <c r="AB43" i="1"/>
  <c r="AC43" i="1"/>
  <c r="Q43" i="1"/>
  <c r="O43" i="1"/>
  <c r="T42" i="1"/>
  <c r="A41" i="18"/>
  <c r="K40" i="18"/>
  <c r="L40" i="18"/>
  <c r="AK40" i="18"/>
  <c r="AB40" i="18"/>
  <c r="X40" i="18"/>
  <c r="AJ40" i="18"/>
  <c r="O40" i="18"/>
  <c r="AC40" i="18"/>
  <c r="L34" i="23"/>
  <c r="K34" i="23"/>
  <c r="AK34" i="23"/>
  <c r="A35" i="23"/>
  <c r="X34" i="23"/>
  <c r="AB34" i="23"/>
  <c r="AJ34" i="23"/>
  <c r="AC34" i="23"/>
  <c r="O34" i="23"/>
  <c r="K32" i="25"/>
  <c r="AB32" i="25"/>
  <c r="X32" i="25"/>
  <c r="AK32" i="25"/>
  <c r="L32" i="25"/>
  <c r="A33" i="25"/>
  <c r="AJ32" i="25"/>
  <c r="AC32" i="25"/>
  <c r="O32" i="25"/>
  <c r="AB33" i="25" l="1"/>
  <c r="K33" i="25"/>
  <c r="L33" i="25"/>
  <c r="AK33" i="25"/>
  <c r="X33" i="25"/>
  <c r="A34" i="25"/>
  <c r="AJ33" i="25"/>
  <c r="AC33" i="25"/>
  <c r="O33" i="25"/>
  <c r="A36" i="23"/>
  <c r="L35" i="23"/>
  <c r="AJ35" i="23"/>
  <c r="X35" i="23"/>
  <c r="AB35" i="23"/>
  <c r="K35" i="23"/>
  <c r="AK35" i="23"/>
  <c r="AC35" i="23"/>
  <c r="O35" i="23"/>
  <c r="AB41" i="18"/>
  <c r="K41" i="18"/>
  <c r="L41" i="18"/>
  <c r="AK41" i="18"/>
  <c r="A42" i="18"/>
  <c r="X41" i="18"/>
  <c r="AJ41" i="18"/>
  <c r="AC41" i="18"/>
  <c r="O41" i="18"/>
  <c r="S42" i="1"/>
  <c r="R42" i="1" s="1"/>
  <c r="P42" i="1" s="1"/>
  <c r="V42" i="1" s="1"/>
  <c r="AA42" i="1" s="1"/>
  <c r="Z42" i="1" s="1"/>
  <c r="Y42" i="1" s="1"/>
  <c r="T43" i="1"/>
  <c r="L38" i="17"/>
  <c r="X38" i="17"/>
  <c r="AJ38" i="17"/>
  <c r="AB38" i="17"/>
  <c r="K38" i="17"/>
  <c r="A39" i="17"/>
  <c r="AK38" i="17"/>
  <c r="O38" i="17"/>
  <c r="AC38" i="17"/>
  <c r="D36" i="16"/>
  <c r="A35" i="24"/>
  <c r="L34" i="24"/>
  <c r="AJ34" i="24"/>
  <c r="AB34" i="24"/>
  <c r="X34" i="24"/>
  <c r="K34" i="24"/>
  <c r="AK34" i="24"/>
  <c r="AC34" i="24"/>
  <c r="O34" i="24"/>
  <c r="A45" i="1"/>
  <c r="L44" i="1"/>
  <c r="AJ44" i="1"/>
  <c r="Q44" i="1"/>
  <c r="U44" i="1"/>
  <c r="AC44" i="1"/>
  <c r="K44" i="1"/>
  <c r="AK44" i="1"/>
  <c r="AB44" i="1"/>
  <c r="X44" i="1"/>
  <c r="O44" i="1"/>
  <c r="K43" i="15"/>
  <c r="A44" i="15"/>
  <c r="AK43" i="15"/>
  <c r="X43" i="15"/>
  <c r="L43" i="15"/>
  <c r="AB43" i="15"/>
  <c r="AJ43" i="15"/>
  <c r="AC43" i="15"/>
  <c r="O43" i="15"/>
  <c r="D37" i="17"/>
  <c r="E37" i="17" s="1"/>
  <c r="A37" i="22"/>
  <c r="L36" i="22"/>
  <c r="AJ36" i="22"/>
  <c r="X36" i="22"/>
  <c r="AB36" i="22"/>
  <c r="K36" i="22"/>
  <c r="AK36" i="22"/>
  <c r="AC36" i="22"/>
  <c r="O36" i="22"/>
  <c r="E36" i="16"/>
  <c r="X37" i="16"/>
  <c r="K37" i="16"/>
  <c r="A38" i="16"/>
  <c r="AB37" i="16"/>
  <c r="L37" i="16"/>
  <c r="AK37" i="16"/>
  <c r="AJ37" i="16"/>
  <c r="AC37" i="16"/>
  <c r="O37" i="16"/>
  <c r="A38" i="20"/>
  <c r="L37" i="20"/>
  <c r="K37" i="20"/>
  <c r="AK37" i="20"/>
  <c r="AB37" i="20"/>
  <c r="X37" i="20"/>
  <c r="AJ37" i="20"/>
  <c r="AC37" i="20"/>
  <c r="O37" i="20"/>
  <c r="AB38" i="20" l="1"/>
  <c r="A39" i="20"/>
  <c r="AJ38" i="20"/>
  <c r="K38" i="20"/>
  <c r="X38" i="20"/>
  <c r="L38" i="20"/>
  <c r="AK38" i="20"/>
  <c r="AC38" i="20"/>
  <c r="O38" i="20"/>
  <c r="D43" i="15"/>
  <c r="E43" i="15" s="1"/>
  <c r="T44" i="1"/>
  <c r="AB45" i="1"/>
  <c r="A46" i="1"/>
  <c r="AJ45" i="1"/>
  <c r="K45" i="1"/>
  <c r="U45" i="1"/>
  <c r="Q45" i="1"/>
  <c r="L45" i="1"/>
  <c r="AK45" i="1"/>
  <c r="AC45" i="1"/>
  <c r="X45" i="1"/>
  <c r="O45" i="1"/>
  <c r="D38" i="17"/>
  <c r="AB36" i="23"/>
  <c r="K36" i="23"/>
  <c r="AJ36" i="23"/>
  <c r="X36" i="23"/>
  <c r="L36" i="23"/>
  <c r="A37" i="23"/>
  <c r="AK36" i="23"/>
  <c r="AC36" i="23"/>
  <c r="O36" i="23"/>
  <c r="AB34" i="25"/>
  <c r="X34" i="25"/>
  <c r="L34" i="25"/>
  <c r="AK34" i="25"/>
  <c r="A35" i="25"/>
  <c r="K34" i="25"/>
  <c r="AJ34" i="25"/>
  <c r="AC34" i="25"/>
  <c r="O34" i="25"/>
  <c r="D37" i="16"/>
  <c r="E37" i="16" s="1"/>
  <c r="L38" i="16"/>
  <c r="AB38" i="16"/>
  <c r="K38" i="16"/>
  <c r="A39" i="16"/>
  <c r="X38" i="16"/>
  <c r="AK38" i="16"/>
  <c r="AJ38" i="16"/>
  <c r="AC38" i="16"/>
  <c r="O38" i="16"/>
  <c r="AB37" i="22"/>
  <c r="L37" i="22"/>
  <c r="A38" i="22"/>
  <c r="AK37" i="22"/>
  <c r="K37" i="22"/>
  <c r="X37" i="22"/>
  <c r="AJ37" i="22"/>
  <c r="AC37" i="22"/>
  <c r="O37" i="22"/>
  <c r="L44" i="15"/>
  <c r="K44" i="15"/>
  <c r="A45" i="15"/>
  <c r="AK44" i="15"/>
  <c r="AB44" i="15"/>
  <c r="X44" i="15"/>
  <c r="AJ44" i="15"/>
  <c r="AC44" i="15"/>
  <c r="O44" i="15"/>
  <c r="L35" i="24"/>
  <c r="A36" i="24"/>
  <c r="AJ35" i="24"/>
  <c r="K35" i="24"/>
  <c r="AB35" i="24"/>
  <c r="X35" i="24"/>
  <c r="AK35" i="24"/>
  <c r="AC35" i="24"/>
  <c r="O35" i="24"/>
  <c r="E38" i="17"/>
  <c r="X39" i="17"/>
  <c r="K39" i="17"/>
  <c r="A40" i="17"/>
  <c r="AK39" i="17"/>
  <c r="AB39" i="17"/>
  <c r="L39" i="17"/>
  <c r="AJ39" i="17"/>
  <c r="AC39" i="17"/>
  <c r="O39" i="17"/>
  <c r="S43" i="1"/>
  <c r="R43" i="1" s="1"/>
  <c r="P43" i="1" s="1"/>
  <c r="V43" i="1" s="1"/>
  <c r="AA43" i="1" s="1"/>
  <c r="Z43" i="1" s="1"/>
  <c r="Y43" i="1" s="1"/>
  <c r="L42" i="18"/>
  <c r="AB42" i="18"/>
  <c r="AJ42" i="18"/>
  <c r="X42" i="18"/>
  <c r="A43" i="18"/>
  <c r="K42" i="18"/>
  <c r="AK42" i="18"/>
  <c r="O42" i="18"/>
  <c r="AC42" i="18"/>
  <c r="D39" i="17" l="1"/>
  <c r="E39" i="17" s="1"/>
  <c r="K36" i="24"/>
  <c r="X36" i="24"/>
  <c r="L36" i="24"/>
  <c r="AK36" i="24"/>
  <c r="AB36" i="24"/>
  <c r="A37" i="24"/>
  <c r="AJ36" i="24"/>
  <c r="AC36" i="24"/>
  <c r="O36" i="24"/>
  <c r="K45" i="15"/>
  <c r="X45" i="15"/>
  <c r="AJ45" i="15"/>
  <c r="AB45" i="15"/>
  <c r="L45" i="15"/>
  <c r="D45" i="15" s="1"/>
  <c r="A46" i="15"/>
  <c r="AK45" i="15"/>
  <c r="AC45" i="15"/>
  <c r="O45" i="15"/>
  <c r="E45" i="15" s="1"/>
  <c r="D44" i="15"/>
  <c r="E44" i="15" s="1"/>
  <c r="AB39" i="16"/>
  <c r="K39" i="16"/>
  <c r="X39" i="16"/>
  <c r="L39" i="16"/>
  <c r="A40" i="16"/>
  <c r="AK39" i="16"/>
  <c r="AJ39" i="16"/>
  <c r="AC39" i="16"/>
  <c r="O39" i="16"/>
  <c r="T45" i="1"/>
  <c r="A44" i="18"/>
  <c r="L43" i="18"/>
  <c r="K43" i="18"/>
  <c r="AK43" i="18"/>
  <c r="X43" i="18"/>
  <c r="AB43" i="18"/>
  <c r="AJ43" i="18"/>
  <c r="O43" i="18"/>
  <c r="AC43" i="18"/>
  <c r="K40" i="17"/>
  <c r="L40" i="17"/>
  <c r="AJ40" i="17"/>
  <c r="AB40" i="17"/>
  <c r="A41" i="17"/>
  <c r="X40" i="17"/>
  <c r="AK40" i="17"/>
  <c r="O40" i="17"/>
  <c r="AC40" i="17"/>
  <c r="K38" i="22"/>
  <c r="A39" i="22"/>
  <c r="L38" i="22"/>
  <c r="AK38" i="22"/>
  <c r="X38" i="22"/>
  <c r="AB38" i="22"/>
  <c r="AJ38" i="22"/>
  <c r="AC38" i="22"/>
  <c r="O38" i="22"/>
  <c r="D38" i="16"/>
  <c r="E38" i="16" s="1"/>
  <c r="K35" i="25"/>
  <c r="A36" i="25"/>
  <c r="AJ35" i="25"/>
  <c r="X35" i="25"/>
  <c r="L35" i="25"/>
  <c r="AB35" i="25"/>
  <c r="AK35" i="25"/>
  <c r="AC35" i="25"/>
  <c r="O35" i="25"/>
  <c r="K37" i="23"/>
  <c r="A38" i="23"/>
  <c r="AB37" i="23"/>
  <c r="AK37" i="23"/>
  <c r="X37" i="23"/>
  <c r="L37" i="23"/>
  <c r="AJ37" i="23"/>
  <c r="AC37" i="23"/>
  <c r="O37" i="23"/>
  <c r="AK46" i="1"/>
  <c r="A47" i="1"/>
  <c r="K46" i="1"/>
  <c r="L46" i="1"/>
  <c r="Q46" i="1"/>
  <c r="AB46" i="1"/>
  <c r="X46" i="1"/>
  <c r="AJ46" i="1"/>
  <c r="O46" i="1"/>
  <c r="U46" i="1"/>
  <c r="AC46" i="1"/>
  <c r="S44" i="1"/>
  <c r="R44" i="1" s="1"/>
  <c r="P44" i="1" s="1"/>
  <c r="V44" i="1" s="1"/>
  <c r="AA44" i="1" s="1"/>
  <c r="Z44" i="1" s="1"/>
  <c r="Y44" i="1" s="1"/>
  <c r="L39" i="20"/>
  <c r="A40" i="20"/>
  <c r="AJ39" i="20"/>
  <c r="AB39" i="20"/>
  <c r="X39" i="20"/>
  <c r="K39" i="20"/>
  <c r="AK39" i="20"/>
  <c r="AC39" i="20"/>
  <c r="O39" i="20"/>
  <c r="K38" i="23" l="1"/>
  <c r="A39" i="23"/>
  <c r="X38" i="23"/>
  <c r="AK38" i="23"/>
  <c r="L38" i="23"/>
  <c r="AB38" i="23"/>
  <c r="AJ38" i="23"/>
  <c r="AC38" i="23"/>
  <c r="O38" i="23"/>
  <c r="AB39" i="22"/>
  <c r="X39" i="22"/>
  <c r="K39" i="22"/>
  <c r="AK39" i="22"/>
  <c r="L39" i="22"/>
  <c r="A40" i="22"/>
  <c r="AJ39" i="22"/>
  <c r="AC39" i="22"/>
  <c r="O39" i="22"/>
  <c r="AB41" i="17"/>
  <c r="K41" i="17"/>
  <c r="AJ41" i="17"/>
  <c r="X41" i="17"/>
  <c r="L41" i="17"/>
  <c r="A42" i="17"/>
  <c r="AK41" i="17"/>
  <c r="O41" i="17"/>
  <c r="AC41" i="17"/>
  <c r="AB44" i="18"/>
  <c r="K44" i="18"/>
  <c r="AJ44" i="18"/>
  <c r="A45" i="18"/>
  <c r="L44" i="18"/>
  <c r="X44" i="18"/>
  <c r="AK44" i="18"/>
  <c r="AC44" i="18"/>
  <c r="O44" i="18"/>
  <c r="D39" i="16"/>
  <c r="E39" i="16" s="1"/>
  <c r="AB40" i="20"/>
  <c r="K40" i="20"/>
  <c r="AJ40" i="20"/>
  <c r="X40" i="20"/>
  <c r="A41" i="20"/>
  <c r="L40" i="20"/>
  <c r="AK40" i="20"/>
  <c r="AC40" i="20"/>
  <c r="O40" i="20"/>
  <c r="T46" i="1"/>
  <c r="X47" i="1"/>
  <c r="AK47" i="1"/>
  <c r="Q47" i="1"/>
  <c r="AB47" i="1"/>
  <c r="AJ47" i="1"/>
  <c r="AC47" i="1"/>
  <c r="L47" i="1"/>
  <c r="A48" i="1"/>
  <c r="K47" i="1"/>
  <c r="U47" i="1"/>
  <c r="O47" i="1"/>
  <c r="A37" i="25"/>
  <c r="L36" i="25"/>
  <c r="AJ36" i="25"/>
  <c r="K36" i="25"/>
  <c r="X36" i="25"/>
  <c r="AB36" i="25"/>
  <c r="AK36" i="25"/>
  <c r="AC36" i="25"/>
  <c r="O36" i="25"/>
  <c r="D40" i="17"/>
  <c r="E40" i="17" s="1"/>
  <c r="S45" i="1"/>
  <c r="R45" i="1" s="1"/>
  <c r="P45" i="1" s="1"/>
  <c r="V45" i="1" s="1"/>
  <c r="AA45" i="1" s="1"/>
  <c r="Z45" i="1" s="1"/>
  <c r="Y45" i="1" s="1"/>
  <c r="X40" i="16"/>
  <c r="K40" i="16"/>
  <c r="AK40" i="16"/>
  <c r="A41" i="16"/>
  <c r="L40" i="16"/>
  <c r="AB40" i="16"/>
  <c r="AJ40" i="16"/>
  <c r="AC40" i="16"/>
  <c r="O40" i="16"/>
  <c r="X46" i="15"/>
  <c r="K46" i="15"/>
  <c r="AJ46" i="15"/>
  <c r="A47" i="15"/>
  <c r="L46" i="15"/>
  <c r="AB46" i="15"/>
  <c r="AK46" i="15"/>
  <c r="AC46" i="15"/>
  <c r="O46" i="15"/>
  <c r="L37" i="24"/>
  <c r="X37" i="24"/>
  <c r="AJ37" i="24"/>
  <c r="A38" i="24"/>
  <c r="K37" i="24"/>
  <c r="AB37" i="24"/>
  <c r="AK37" i="24"/>
  <c r="AC37" i="24"/>
  <c r="O37" i="24"/>
  <c r="AB38" i="24" l="1"/>
  <c r="A39" i="24"/>
  <c r="X38" i="24"/>
  <c r="AK38" i="24"/>
  <c r="L38" i="24"/>
  <c r="K38" i="24"/>
  <c r="AJ38" i="24"/>
  <c r="AC38" i="24"/>
  <c r="O38" i="24"/>
  <c r="D46" i="15"/>
  <c r="E46" i="15" s="1"/>
  <c r="A42" i="16"/>
  <c r="AB41" i="16"/>
  <c r="AK41" i="16"/>
  <c r="K41" i="16"/>
  <c r="L41" i="16"/>
  <c r="X41" i="16"/>
  <c r="AJ41" i="16"/>
  <c r="AC41" i="16"/>
  <c r="O41" i="16"/>
  <c r="T47" i="1"/>
  <c r="AB48" i="1"/>
  <c r="AJ48" i="1"/>
  <c r="L48" i="1"/>
  <c r="A49" i="1"/>
  <c r="U48" i="1"/>
  <c r="O48" i="1"/>
  <c r="AK48" i="1"/>
  <c r="X48" i="1"/>
  <c r="K48" i="1"/>
  <c r="Q48" i="1"/>
  <c r="AC48" i="1"/>
  <c r="AB42" i="17"/>
  <c r="K42" i="17"/>
  <c r="X42" i="17"/>
  <c r="AK42" i="17"/>
  <c r="A43" i="17"/>
  <c r="L42" i="17"/>
  <c r="AJ42" i="17"/>
  <c r="AC42" i="17"/>
  <c r="O42" i="17"/>
  <c r="AB47" i="15"/>
  <c r="K47" i="15"/>
  <c r="L47" i="15"/>
  <c r="AK47" i="15"/>
  <c r="X47" i="15"/>
  <c r="A48" i="15"/>
  <c r="AJ47" i="15"/>
  <c r="AC47" i="15"/>
  <c r="O47" i="15"/>
  <c r="D40" i="16"/>
  <c r="E40" i="16" s="1"/>
  <c r="X37" i="25"/>
  <c r="A38" i="25"/>
  <c r="AJ37" i="25"/>
  <c r="AB37" i="25"/>
  <c r="K37" i="25"/>
  <c r="L37" i="25"/>
  <c r="AK37" i="25"/>
  <c r="AC37" i="25"/>
  <c r="O37" i="25"/>
  <c r="S46" i="1"/>
  <c r="R46" i="1" s="1"/>
  <c r="P46" i="1" s="1"/>
  <c r="V46" i="1" s="1"/>
  <c r="AA46" i="1" s="1"/>
  <c r="Z46" i="1" s="1"/>
  <c r="Y46" i="1" s="1"/>
  <c r="A42" i="20"/>
  <c r="AB41" i="20"/>
  <c r="K41" i="20"/>
  <c r="AK41" i="20"/>
  <c r="L41" i="20"/>
  <c r="X41" i="20"/>
  <c r="AJ41" i="20"/>
  <c r="AC41" i="20"/>
  <c r="O41" i="20"/>
  <c r="X45" i="18"/>
  <c r="AB45" i="18"/>
  <c r="AJ45" i="18"/>
  <c r="K45" i="18"/>
  <c r="A46" i="18"/>
  <c r="L45" i="18"/>
  <c r="AK45" i="18"/>
  <c r="O45" i="18"/>
  <c r="AC45" i="18"/>
  <c r="D41" i="17"/>
  <c r="E41" i="17" s="1"/>
  <c r="AB40" i="22"/>
  <c r="K40" i="22"/>
  <c r="L40" i="22"/>
  <c r="AK40" i="22"/>
  <c r="A41" i="22"/>
  <c r="X40" i="22"/>
  <c r="AJ40" i="22"/>
  <c r="AC40" i="22"/>
  <c r="O40" i="22"/>
  <c r="L39" i="23"/>
  <c r="A40" i="23"/>
  <c r="AJ39" i="23"/>
  <c r="X39" i="23"/>
  <c r="K39" i="23"/>
  <c r="AB39" i="23"/>
  <c r="AK39" i="23"/>
  <c r="AC39" i="23"/>
  <c r="O39" i="23"/>
  <c r="L40" i="23" l="1"/>
  <c r="K40" i="23"/>
  <c r="AJ40" i="23"/>
  <c r="AB40" i="23"/>
  <c r="A41" i="23"/>
  <c r="X40" i="23"/>
  <c r="AK40" i="23"/>
  <c r="AC40" i="23"/>
  <c r="O40" i="23"/>
  <c r="X41" i="22"/>
  <c r="A42" i="22"/>
  <c r="AB41" i="22"/>
  <c r="AK41" i="22"/>
  <c r="K41" i="22"/>
  <c r="L41" i="22"/>
  <c r="AJ41" i="22"/>
  <c r="AC41" i="22"/>
  <c r="O41" i="22"/>
  <c r="AB42" i="20"/>
  <c r="X42" i="20"/>
  <c r="A43" i="20"/>
  <c r="AK42" i="20"/>
  <c r="K42" i="20"/>
  <c r="L42" i="20"/>
  <c r="AJ42" i="20"/>
  <c r="AC42" i="20"/>
  <c r="O42" i="20"/>
  <c r="K48" i="15"/>
  <c r="X48" i="15"/>
  <c r="A49" i="15"/>
  <c r="AK48" i="15"/>
  <c r="L48" i="15"/>
  <c r="AB48" i="15"/>
  <c r="AJ48" i="15"/>
  <c r="AC48" i="15"/>
  <c r="O48" i="15"/>
  <c r="D42" i="17"/>
  <c r="E42" i="17" s="1"/>
  <c r="T48" i="1"/>
  <c r="S47" i="1"/>
  <c r="R47" i="1" s="1"/>
  <c r="P47" i="1" s="1"/>
  <c r="V47" i="1" s="1"/>
  <c r="AA47" i="1" s="1"/>
  <c r="Z47" i="1" s="1"/>
  <c r="Y47" i="1" s="1"/>
  <c r="AB39" i="24"/>
  <c r="K39" i="24"/>
  <c r="A40" i="24"/>
  <c r="AK39" i="24"/>
  <c r="L39" i="24"/>
  <c r="X39" i="24"/>
  <c r="AJ39" i="24"/>
  <c r="AC39" i="24"/>
  <c r="O39" i="24"/>
  <c r="K46" i="18"/>
  <c r="L46" i="18"/>
  <c r="AB46" i="18"/>
  <c r="AK46" i="18"/>
  <c r="X46" i="18"/>
  <c r="A47" i="18"/>
  <c r="AJ46" i="18"/>
  <c r="O46" i="18"/>
  <c r="AC46" i="18"/>
  <c r="AB38" i="25"/>
  <c r="L38" i="25"/>
  <c r="K38" i="25"/>
  <c r="AK38" i="25"/>
  <c r="A39" i="25"/>
  <c r="X38" i="25"/>
  <c r="AJ38" i="25"/>
  <c r="AC38" i="25"/>
  <c r="O38" i="25"/>
  <c r="D47" i="15"/>
  <c r="E47" i="15" s="1"/>
  <c r="K43" i="17"/>
  <c r="AB43" i="17"/>
  <c r="AJ43" i="17"/>
  <c r="A44" i="17"/>
  <c r="L43" i="17"/>
  <c r="X43" i="17"/>
  <c r="AK43" i="17"/>
  <c r="O43" i="17"/>
  <c r="AC43" i="17"/>
  <c r="A50" i="1"/>
  <c r="AK49" i="1"/>
  <c r="K49" i="1"/>
  <c r="AJ49" i="1"/>
  <c r="U49" i="1"/>
  <c r="Q49" i="1"/>
  <c r="L49" i="1"/>
  <c r="AB49" i="1"/>
  <c r="X49" i="1"/>
  <c r="O49" i="1"/>
  <c r="AC49" i="1"/>
  <c r="D41" i="16"/>
  <c r="E41" i="16" s="1"/>
  <c r="K42" i="16"/>
  <c r="A43" i="16"/>
  <c r="AK42" i="16"/>
  <c r="AB42" i="16"/>
  <c r="L42" i="16"/>
  <c r="X42" i="16"/>
  <c r="AJ42" i="16"/>
  <c r="AC42" i="16"/>
  <c r="O42" i="16"/>
  <c r="D42" i="16" l="1"/>
  <c r="E42" i="16" s="1"/>
  <c r="T49" i="1"/>
  <c r="L50" i="1"/>
  <c r="AJ50" i="1"/>
  <c r="K50" i="1"/>
  <c r="Q50" i="1"/>
  <c r="U50" i="1"/>
  <c r="O50" i="1"/>
  <c r="AB50" i="1"/>
  <c r="AK50" i="1"/>
  <c r="A51" i="1"/>
  <c r="X50" i="1"/>
  <c r="AC50" i="1"/>
  <c r="K44" i="17"/>
  <c r="AB44" i="17"/>
  <c r="AJ44" i="17"/>
  <c r="A45" i="17"/>
  <c r="L44" i="17"/>
  <c r="X44" i="17"/>
  <c r="AK44" i="17"/>
  <c r="AC44" i="17"/>
  <c r="O44" i="17"/>
  <c r="A40" i="25"/>
  <c r="AB39" i="25"/>
  <c r="AJ39" i="25"/>
  <c r="X39" i="25"/>
  <c r="L39" i="25"/>
  <c r="K39" i="25"/>
  <c r="AK39" i="25"/>
  <c r="AC39" i="25"/>
  <c r="O39" i="25"/>
  <c r="K47" i="18"/>
  <c r="L47" i="18"/>
  <c r="AJ47" i="18"/>
  <c r="A48" i="18"/>
  <c r="AB47" i="18"/>
  <c r="X47" i="18"/>
  <c r="AK47" i="18"/>
  <c r="O47" i="18"/>
  <c r="AC47" i="18"/>
  <c r="D48" i="15"/>
  <c r="E48" i="15" s="1"/>
  <c r="X49" i="15"/>
  <c r="AB49" i="15"/>
  <c r="AJ49" i="15"/>
  <c r="K49" i="15"/>
  <c r="L49" i="15"/>
  <c r="A50" i="15"/>
  <c r="AK49" i="15"/>
  <c r="AC49" i="15"/>
  <c r="O49" i="15"/>
  <c r="X43" i="20"/>
  <c r="K43" i="20"/>
  <c r="AJ43" i="20"/>
  <c r="A44" i="20"/>
  <c r="AB43" i="20"/>
  <c r="L43" i="20"/>
  <c r="AK43" i="20"/>
  <c r="AC43" i="20"/>
  <c r="O43" i="20"/>
  <c r="A43" i="22"/>
  <c r="X42" i="22"/>
  <c r="AB42" i="22"/>
  <c r="AK42" i="22"/>
  <c r="L42" i="22"/>
  <c r="K42" i="22"/>
  <c r="AJ42" i="22"/>
  <c r="AC42" i="22"/>
  <c r="O42" i="22"/>
  <c r="K43" i="16"/>
  <c r="X43" i="16"/>
  <c r="L43" i="16"/>
  <c r="AK43" i="16"/>
  <c r="A44" i="16"/>
  <c r="AB43" i="16"/>
  <c r="AJ43" i="16"/>
  <c r="AC43" i="16"/>
  <c r="O43" i="16"/>
  <c r="D43" i="17"/>
  <c r="E43" i="17" s="1"/>
  <c r="X40" i="24"/>
  <c r="K40" i="24"/>
  <c r="AJ40" i="24"/>
  <c r="A41" i="24"/>
  <c r="AB40" i="24"/>
  <c r="L40" i="24"/>
  <c r="AK40" i="24"/>
  <c r="AC40" i="24"/>
  <c r="O40" i="24"/>
  <c r="S48" i="1"/>
  <c r="R48" i="1" s="1"/>
  <c r="P48" i="1" s="1"/>
  <c r="V48" i="1" s="1"/>
  <c r="AA48" i="1" s="1"/>
  <c r="Z48" i="1" s="1"/>
  <c r="Y48" i="1" s="1"/>
  <c r="AB41" i="23"/>
  <c r="K41" i="23"/>
  <c r="L41" i="23"/>
  <c r="AK41" i="23"/>
  <c r="X41" i="23"/>
  <c r="A42" i="23"/>
  <c r="AJ41" i="23"/>
  <c r="AC41" i="23"/>
  <c r="O41" i="23"/>
  <c r="L42" i="23" l="1"/>
  <c r="X42" i="23"/>
  <c r="AJ42" i="23"/>
  <c r="A43" i="23"/>
  <c r="K42" i="23"/>
  <c r="AB42" i="23"/>
  <c r="AK42" i="23"/>
  <c r="AC42" i="23"/>
  <c r="O42" i="23"/>
  <c r="AB44" i="16"/>
  <c r="K44" i="16"/>
  <c r="X44" i="16"/>
  <c r="AK44" i="16"/>
  <c r="L44" i="16"/>
  <c r="A45" i="16"/>
  <c r="AJ44" i="16"/>
  <c r="AC44" i="16"/>
  <c r="O44" i="16"/>
  <c r="D43" i="16"/>
  <c r="E43" i="16" s="1"/>
  <c r="D49" i="15"/>
  <c r="E49" i="15" s="1"/>
  <c r="A41" i="25"/>
  <c r="AB40" i="25"/>
  <c r="K40" i="25"/>
  <c r="AK40" i="25"/>
  <c r="X40" i="25"/>
  <c r="L40" i="25"/>
  <c r="AJ40" i="25"/>
  <c r="AC40" i="25"/>
  <c r="O40" i="25"/>
  <c r="A46" i="17"/>
  <c r="L45" i="17"/>
  <c r="AJ45" i="17"/>
  <c r="X45" i="17"/>
  <c r="AB45" i="17"/>
  <c r="K45" i="17"/>
  <c r="AK45" i="17"/>
  <c r="O45" i="17"/>
  <c r="AC45" i="17"/>
  <c r="A52" i="1"/>
  <c r="L51" i="1"/>
  <c r="AK51" i="1"/>
  <c r="AJ51" i="1"/>
  <c r="U51" i="1"/>
  <c r="K51" i="1"/>
  <c r="Q51" i="1"/>
  <c r="X51" i="1"/>
  <c r="AB51" i="1"/>
  <c r="AC51" i="1"/>
  <c r="O51" i="1"/>
  <c r="T50" i="1"/>
  <c r="S49" i="1"/>
  <c r="R49" i="1" s="1"/>
  <c r="P49" i="1" s="1"/>
  <c r="V49" i="1" s="1"/>
  <c r="AA49" i="1" s="1"/>
  <c r="Z49" i="1" s="1"/>
  <c r="Y49" i="1" s="1"/>
  <c r="AB41" i="24"/>
  <c r="L41" i="24"/>
  <c r="A42" i="24"/>
  <c r="AK41" i="24"/>
  <c r="K41" i="24"/>
  <c r="X41" i="24"/>
  <c r="AJ41" i="24"/>
  <c r="AC41" i="24"/>
  <c r="O41" i="24"/>
  <c r="K43" i="22"/>
  <c r="L43" i="22"/>
  <c r="AJ43" i="22"/>
  <c r="A44" i="22"/>
  <c r="AB43" i="22"/>
  <c r="X43" i="22"/>
  <c r="AK43" i="22"/>
  <c r="AC43" i="22"/>
  <c r="O43" i="22"/>
  <c r="AB44" i="20"/>
  <c r="K44" i="20"/>
  <c r="A45" i="20"/>
  <c r="AK44" i="20"/>
  <c r="L44" i="20"/>
  <c r="X44" i="20"/>
  <c r="AJ44" i="20"/>
  <c r="AC44" i="20"/>
  <c r="O44" i="20"/>
  <c r="L50" i="15"/>
  <c r="D50" i="15" s="1"/>
  <c r="AB50" i="15"/>
  <c r="K50" i="15"/>
  <c r="AK50" i="15"/>
  <c r="AC50" i="15"/>
  <c r="X50" i="15"/>
  <c r="A51" i="15"/>
  <c r="AJ50" i="15"/>
  <c r="O50" i="15"/>
  <c r="X48" i="18"/>
  <c r="AB48" i="18"/>
  <c r="K48" i="18"/>
  <c r="AK48" i="18"/>
  <c r="A49" i="18"/>
  <c r="L48" i="18"/>
  <c r="AJ48" i="18"/>
  <c r="AC48" i="18"/>
  <c r="O48" i="18"/>
  <c r="D44" i="17"/>
  <c r="E44" i="17" s="1"/>
  <c r="E50" i="15" l="1"/>
  <c r="X49" i="18"/>
  <c r="K49" i="18"/>
  <c r="L49" i="18"/>
  <c r="AK49" i="18"/>
  <c r="A50" i="18"/>
  <c r="AB49" i="18"/>
  <c r="AJ49" i="18"/>
  <c r="O49" i="18"/>
  <c r="AC49" i="18"/>
  <c r="L51" i="15"/>
  <c r="D51" i="15" s="1"/>
  <c r="K51" i="15"/>
  <c r="A52" i="15"/>
  <c r="AJ51" i="15"/>
  <c r="AB51" i="15"/>
  <c r="X51" i="15"/>
  <c r="AK51" i="15"/>
  <c r="AC51" i="15"/>
  <c r="O51" i="15"/>
  <c r="E51" i="15" s="1"/>
  <c r="T51" i="1"/>
  <c r="K52" i="1"/>
  <c r="Q52" i="1"/>
  <c r="AB52" i="1"/>
  <c r="A53" i="1"/>
  <c r="AC52" i="1"/>
  <c r="AJ52" i="1"/>
  <c r="X52" i="1"/>
  <c r="AK52" i="1"/>
  <c r="L52" i="1"/>
  <c r="O52" i="1"/>
  <c r="U52" i="1"/>
  <c r="D45" i="17"/>
  <c r="E45" i="17" s="1"/>
  <c r="K41" i="25"/>
  <c r="X41" i="25"/>
  <c r="AJ41" i="25"/>
  <c r="AB41" i="25"/>
  <c r="A42" i="25"/>
  <c r="L41" i="25"/>
  <c r="AK41" i="25"/>
  <c r="AC41" i="25"/>
  <c r="O41" i="25"/>
  <c r="D44" i="16"/>
  <c r="E44" i="16" s="1"/>
  <c r="X43" i="23"/>
  <c r="A44" i="23"/>
  <c r="AJ43" i="23"/>
  <c r="K43" i="23"/>
  <c r="L43" i="23"/>
  <c r="AB43" i="23"/>
  <c r="AK43" i="23"/>
  <c r="AC43" i="23"/>
  <c r="O43" i="23"/>
  <c r="X45" i="20"/>
  <c r="K45" i="20"/>
  <c r="AJ45" i="20"/>
  <c r="AB45" i="20"/>
  <c r="A46" i="20"/>
  <c r="L45" i="20"/>
  <c r="AK45" i="20"/>
  <c r="AC45" i="20"/>
  <c r="O45" i="20"/>
  <c r="X44" i="22"/>
  <c r="AB44" i="22"/>
  <c r="K44" i="22"/>
  <c r="AK44" i="22"/>
  <c r="A45" i="22"/>
  <c r="L44" i="22"/>
  <c r="AJ44" i="22"/>
  <c r="AC44" i="22"/>
  <c r="O44" i="22"/>
  <c r="AB42" i="24"/>
  <c r="K42" i="24"/>
  <c r="AJ42" i="24"/>
  <c r="A43" i="24"/>
  <c r="X42" i="24"/>
  <c r="L42" i="24"/>
  <c r="AK42" i="24"/>
  <c r="AC42" i="24"/>
  <c r="O42" i="24"/>
  <c r="S50" i="1"/>
  <c r="R50" i="1" s="1"/>
  <c r="P50" i="1" s="1"/>
  <c r="V50" i="1" s="1"/>
  <c r="AA50" i="1" s="1"/>
  <c r="Z50" i="1" s="1"/>
  <c r="Y50" i="1" s="1"/>
  <c r="X46" i="17"/>
  <c r="AB46" i="17"/>
  <c r="AJ46" i="17"/>
  <c r="A47" i="17"/>
  <c r="K46" i="17"/>
  <c r="L46" i="17"/>
  <c r="AK46" i="17"/>
  <c r="O46" i="17"/>
  <c r="AC46" i="17"/>
  <c r="AB45" i="16"/>
  <c r="A46" i="16"/>
  <c r="K45" i="16"/>
  <c r="AK45" i="16"/>
  <c r="X45" i="16"/>
  <c r="L45" i="16"/>
  <c r="AJ45" i="16"/>
  <c r="AC45" i="16"/>
  <c r="O45" i="16"/>
  <c r="K43" i="24" l="1"/>
  <c r="AB43" i="24"/>
  <c r="L43" i="24"/>
  <c r="AK43" i="24"/>
  <c r="A44" i="24"/>
  <c r="X43" i="24"/>
  <c r="AJ43" i="24"/>
  <c r="AC43" i="24"/>
  <c r="O43" i="24"/>
  <c r="X46" i="20"/>
  <c r="A47" i="20"/>
  <c r="AB46" i="20"/>
  <c r="AK46" i="20"/>
  <c r="L46" i="20"/>
  <c r="K46" i="20"/>
  <c r="AJ46" i="20"/>
  <c r="AC46" i="20"/>
  <c r="O46" i="20"/>
  <c r="T52" i="1"/>
  <c r="AB52" i="15"/>
  <c r="K52" i="15"/>
  <c r="X52" i="15"/>
  <c r="AJ52" i="15"/>
  <c r="L52" i="15"/>
  <c r="A53" i="15"/>
  <c r="AK52" i="15"/>
  <c r="AC52" i="15"/>
  <c r="O52" i="15"/>
  <c r="A51" i="18"/>
  <c r="K50" i="18"/>
  <c r="X50" i="18"/>
  <c r="AK50" i="18"/>
  <c r="L50" i="18"/>
  <c r="AB50" i="18"/>
  <c r="AJ50" i="18"/>
  <c r="O50" i="18"/>
  <c r="AC50" i="18"/>
  <c r="D45" i="16"/>
  <c r="AB46" i="16"/>
  <c r="X46" i="16"/>
  <c r="A47" i="16"/>
  <c r="AK46" i="16"/>
  <c r="L46" i="16"/>
  <c r="K46" i="16"/>
  <c r="AJ46" i="16"/>
  <c r="AC46" i="16"/>
  <c r="O46" i="16"/>
  <c r="E45" i="16"/>
  <c r="D46" i="17"/>
  <c r="E46" i="17" s="1"/>
  <c r="K47" i="17"/>
  <c r="A48" i="17"/>
  <c r="X47" i="17"/>
  <c r="AK47" i="17"/>
  <c r="L47" i="17"/>
  <c r="AB47" i="17"/>
  <c r="AJ47" i="17"/>
  <c r="O47" i="17"/>
  <c r="AC47" i="17"/>
  <c r="AB45" i="22"/>
  <c r="X45" i="22"/>
  <c r="K45" i="22"/>
  <c r="AK45" i="22"/>
  <c r="A46" i="22"/>
  <c r="L45" i="22"/>
  <c r="AJ45" i="22"/>
  <c r="AC45" i="22"/>
  <c r="O45" i="22"/>
  <c r="L44" i="23"/>
  <c r="K44" i="23"/>
  <c r="AJ44" i="23"/>
  <c r="A45" i="23"/>
  <c r="X44" i="23"/>
  <c r="AB44" i="23"/>
  <c r="AK44" i="23"/>
  <c r="AC44" i="23"/>
  <c r="O44" i="23"/>
  <c r="A43" i="25"/>
  <c r="AB42" i="25"/>
  <c r="K42" i="25"/>
  <c r="AK42" i="25"/>
  <c r="X42" i="25"/>
  <c r="L42" i="25"/>
  <c r="AJ42" i="25"/>
  <c r="AC42" i="25"/>
  <c r="O42" i="25"/>
  <c r="A54" i="1"/>
  <c r="AB53" i="1"/>
  <c r="K53" i="1"/>
  <c r="Q53" i="1"/>
  <c r="AK53" i="1"/>
  <c r="X53" i="1"/>
  <c r="AJ53" i="1"/>
  <c r="L53" i="1"/>
  <c r="U53" i="1"/>
  <c r="O53" i="1"/>
  <c r="AC53" i="1"/>
  <c r="S51" i="1"/>
  <c r="R51" i="1" s="1"/>
  <c r="P51" i="1" s="1"/>
  <c r="V51" i="1" s="1"/>
  <c r="AA51" i="1" s="1"/>
  <c r="Z51" i="1" s="1"/>
  <c r="Y51" i="1" s="1"/>
  <c r="T53" i="1" l="1"/>
  <c r="L54" i="1"/>
  <c r="AJ54" i="1"/>
  <c r="AK54" i="1"/>
  <c r="AB54" i="1"/>
  <c r="U54" i="1"/>
  <c r="AC54" i="1"/>
  <c r="K54" i="1"/>
  <c r="X54" i="1"/>
  <c r="O54" i="1"/>
  <c r="A55" i="1"/>
  <c r="Q54" i="1"/>
  <c r="AB45" i="23"/>
  <c r="L45" i="23"/>
  <c r="K45" i="23"/>
  <c r="AK45" i="23"/>
  <c r="A46" i="23"/>
  <c r="X45" i="23"/>
  <c r="AJ45" i="23"/>
  <c r="AC45" i="23"/>
  <c r="O45" i="23"/>
  <c r="K46" i="22"/>
  <c r="A47" i="22"/>
  <c r="AJ46" i="22"/>
  <c r="AB46" i="22"/>
  <c r="L46" i="22"/>
  <c r="X46" i="22"/>
  <c r="AK46" i="22"/>
  <c r="AC46" i="22"/>
  <c r="O46" i="22"/>
  <c r="L48" i="17"/>
  <c r="A49" i="17"/>
  <c r="AJ48" i="17"/>
  <c r="X48" i="17"/>
  <c r="K48" i="17"/>
  <c r="AB48" i="17"/>
  <c r="AK48" i="17"/>
  <c r="O48" i="17"/>
  <c r="AC48" i="17"/>
  <c r="D46" i="16"/>
  <c r="E46" i="16" s="1"/>
  <c r="L47" i="16"/>
  <c r="AB47" i="16"/>
  <c r="AJ47" i="16"/>
  <c r="A48" i="16"/>
  <c r="X47" i="16"/>
  <c r="K47" i="16"/>
  <c r="AK47" i="16"/>
  <c r="AC47" i="16"/>
  <c r="O47" i="16"/>
  <c r="D52" i="15"/>
  <c r="E52" i="15" s="1"/>
  <c r="X44" i="24"/>
  <c r="L44" i="24"/>
  <c r="AJ44" i="24"/>
  <c r="K44" i="24"/>
  <c r="A45" i="24"/>
  <c r="AB44" i="24"/>
  <c r="AK44" i="24"/>
  <c r="AC44" i="24"/>
  <c r="O44" i="24"/>
  <c r="X43" i="25"/>
  <c r="A44" i="25"/>
  <c r="K43" i="25"/>
  <c r="AK43" i="25"/>
  <c r="AB43" i="25"/>
  <c r="L43" i="25"/>
  <c r="AJ43" i="25"/>
  <c r="AC43" i="25"/>
  <c r="O43" i="25"/>
  <c r="D47" i="17"/>
  <c r="E47" i="17" s="1"/>
  <c r="K51" i="18"/>
  <c r="AB51" i="18"/>
  <c r="X51" i="18"/>
  <c r="AK51" i="18"/>
  <c r="L51" i="18"/>
  <c r="A52" i="18"/>
  <c r="AJ51" i="18"/>
  <c r="O51" i="18"/>
  <c r="AC51" i="18"/>
  <c r="AB53" i="15"/>
  <c r="A54" i="15"/>
  <c r="X53" i="15"/>
  <c r="AJ53" i="15"/>
  <c r="L53" i="15"/>
  <c r="K53" i="15"/>
  <c r="AK53" i="15"/>
  <c r="AC53" i="15"/>
  <c r="O53" i="15"/>
  <c r="S52" i="1"/>
  <c r="R52" i="1" s="1"/>
  <c r="P52" i="1" s="1"/>
  <c r="V52" i="1" s="1"/>
  <c r="AA52" i="1" s="1"/>
  <c r="Z52" i="1" s="1"/>
  <c r="Y52" i="1" s="1"/>
  <c r="L47" i="20"/>
  <c r="A48" i="20"/>
  <c r="AJ47" i="20"/>
  <c r="K47" i="20"/>
  <c r="AB47" i="20"/>
  <c r="X47" i="20"/>
  <c r="AK47" i="20"/>
  <c r="AC47" i="20"/>
  <c r="O47" i="20"/>
  <c r="D53" i="15" l="1"/>
  <c r="E53" i="15" s="1"/>
  <c r="A53" i="18"/>
  <c r="AB52" i="18"/>
  <c r="AJ52" i="18"/>
  <c r="K52" i="18"/>
  <c r="L52" i="18"/>
  <c r="X52" i="18"/>
  <c r="AK52" i="18"/>
  <c r="AC52" i="18"/>
  <c r="O52" i="18"/>
  <c r="X44" i="25"/>
  <c r="L44" i="25"/>
  <c r="AJ44" i="25"/>
  <c r="A45" i="25"/>
  <c r="AB44" i="25"/>
  <c r="K44" i="25"/>
  <c r="AK44" i="25"/>
  <c r="AC44" i="25"/>
  <c r="O44" i="25"/>
  <c r="D47" i="16"/>
  <c r="E47" i="16" s="1"/>
  <c r="D48" i="17"/>
  <c r="E48" i="17" s="1"/>
  <c r="K47" i="22"/>
  <c r="X47" i="22"/>
  <c r="AJ47" i="22"/>
  <c r="A48" i="22"/>
  <c r="L47" i="22"/>
  <c r="AB47" i="22"/>
  <c r="AK47" i="22"/>
  <c r="AC47" i="22"/>
  <c r="O47" i="22"/>
  <c r="T54" i="1"/>
  <c r="S53" i="1"/>
  <c r="R53" i="1" s="1"/>
  <c r="P53" i="1" s="1"/>
  <c r="V53" i="1" s="1"/>
  <c r="AA53" i="1" s="1"/>
  <c r="Z53" i="1" s="1"/>
  <c r="Y53" i="1" s="1"/>
  <c r="AB48" i="20"/>
  <c r="K48" i="20"/>
  <c r="A49" i="20"/>
  <c r="AK48" i="20"/>
  <c r="L48" i="20"/>
  <c r="X48" i="20"/>
  <c r="AJ48" i="20"/>
  <c r="AC48" i="20"/>
  <c r="O48" i="20"/>
  <c r="L54" i="15"/>
  <c r="A55" i="15"/>
  <c r="AB54" i="15"/>
  <c r="AK54" i="15"/>
  <c r="AC54" i="15"/>
  <c r="K54" i="15"/>
  <c r="X54" i="15"/>
  <c r="AJ54" i="15"/>
  <c r="O54" i="15"/>
  <c r="K45" i="24"/>
  <c r="AB45" i="24"/>
  <c r="AJ45" i="24"/>
  <c r="X45" i="24"/>
  <c r="L45" i="24"/>
  <c r="A46" i="24"/>
  <c r="AK45" i="24"/>
  <c r="AC45" i="24"/>
  <c r="O45" i="24"/>
  <c r="AB48" i="16"/>
  <c r="K48" i="16"/>
  <c r="AJ48" i="16"/>
  <c r="X48" i="16"/>
  <c r="A49" i="16"/>
  <c r="L48" i="16"/>
  <c r="AK48" i="16"/>
  <c r="AC48" i="16"/>
  <c r="O48" i="16"/>
  <c r="AB49" i="17"/>
  <c r="A50" i="17"/>
  <c r="L49" i="17"/>
  <c r="AK49" i="17"/>
  <c r="K49" i="17"/>
  <c r="X49" i="17"/>
  <c r="AJ49" i="17"/>
  <c r="O49" i="17"/>
  <c r="AC49" i="17"/>
  <c r="A47" i="23"/>
  <c r="L46" i="23"/>
  <c r="AJ46" i="23"/>
  <c r="K46" i="23"/>
  <c r="AB46" i="23"/>
  <c r="X46" i="23"/>
  <c r="AK46" i="23"/>
  <c r="AC46" i="23"/>
  <c r="O46" i="23"/>
  <c r="K55" i="1"/>
  <c r="AB55" i="1"/>
  <c r="AJ55" i="1"/>
  <c r="Q55" i="1"/>
  <c r="A56" i="1"/>
  <c r="X55" i="1"/>
  <c r="L55" i="1"/>
  <c r="AK55" i="1"/>
  <c r="U55" i="1"/>
  <c r="AC55" i="1"/>
  <c r="O55" i="1"/>
  <c r="T55" i="1" l="1"/>
  <c r="AJ56" i="1"/>
  <c r="X56" i="1"/>
  <c r="K56" i="1"/>
  <c r="O56" i="1"/>
  <c r="AC56" i="1"/>
  <c r="L56" i="1"/>
  <c r="AB56" i="1"/>
  <c r="A57" i="1"/>
  <c r="AK56" i="1"/>
  <c r="Q56" i="1"/>
  <c r="U56" i="1"/>
  <c r="D49" i="17"/>
  <c r="E49" i="17" s="1"/>
  <c r="D48" i="16"/>
  <c r="E48" i="16" s="1"/>
  <c r="D54" i="15"/>
  <c r="E54" i="15" s="1"/>
  <c r="S54" i="1"/>
  <c r="R54" i="1" s="1"/>
  <c r="P54" i="1" s="1"/>
  <c r="V54" i="1" s="1"/>
  <c r="AA54" i="1" s="1"/>
  <c r="Z54" i="1" s="1"/>
  <c r="Y54" i="1" s="1"/>
  <c r="AB47" i="23"/>
  <c r="L47" i="23"/>
  <c r="A48" i="23"/>
  <c r="AK47" i="23"/>
  <c r="K47" i="23"/>
  <c r="X47" i="23"/>
  <c r="AJ47" i="23"/>
  <c r="AC47" i="23"/>
  <c r="O47" i="23"/>
  <c r="X50" i="17"/>
  <c r="A51" i="17"/>
  <c r="AJ50" i="17"/>
  <c r="AB50" i="17"/>
  <c r="K50" i="17"/>
  <c r="L50" i="17"/>
  <c r="AK50" i="17"/>
  <c r="O50" i="17"/>
  <c r="AC50" i="17"/>
  <c r="X49" i="16"/>
  <c r="AB49" i="16"/>
  <c r="K49" i="16"/>
  <c r="AK49" i="16"/>
  <c r="A50" i="16"/>
  <c r="L49" i="16"/>
  <c r="AJ49" i="16"/>
  <c r="AC49" i="16"/>
  <c r="O49" i="16"/>
  <c r="A47" i="24"/>
  <c r="L46" i="24"/>
  <c r="AB46" i="24"/>
  <c r="AK46" i="24"/>
  <c r="X46" i="24"/>
  <c r="K46" i="24"/>
  <c r="AJ46" i="24"/>
  <c r="AC46" i="24"/>
  <c r="O46" i="24"/>
  <c r="AB55" i="15"/>
  <c r="L55" i="15"/>
  <c r="A56" i="15"/>
  <c r="AK55" i="15"/>
  <c r="X55" i="15"/>
  <c r="K55" i="15"/>
  <c r="AJ55" i="15"/>
  <c r="AC55" i="15"/>
  <c r="O55" i="15"/>
  <c r="A50" i="20"/>
  <c r="L49" i="20"/>
  <c r="AJ49" i="20"/>
  <c r="K49" i="20"/>
  <c r="X49" i="20"/>
  <c r="AB49" i="20"/>
  <c r="AK49" i="20"/>
  <c r="AC49" i="20"/>
  <c r="O49" i="20"/>
  <c r="AB48" i="22"/>
  <c r="K48" i="22"/>
  <c r="A49" i="22"/>
  <c r="AK48" i="22"/>
  <c r="X48" i="22"/>
  <c r="L48" i="22"/>
  <c r="AJ48" i="22"/>
  <c r="AC48" i="22"/>
  <c r="O48" i="22"/>
  <c r="AB45" i="25"/>
  <c r="K45" i="25"/>
  <c r="AJ45" i="25"/>
  <c r="A46" i="25"/>
  <c r="X45" i="25"/>
  <c r="L45" i="25"/>
  <c r="AK45" i="25"/>
  <c r="AC45" i="25"/>
  <c r="O45" i="25"/>
  <c r="AB53" i="18"/>
  <c r="X53" i="18"/>
  <c r="L53" i="18"/>
  <c r="AK53" i="18"/>
  <c r="K53" i="18"/>
  <c r="A54" i="18"/>
  <c r="AJ53" i="18"/>
  <c r="O53" i="18"/>
  <c r="AC53" i="18"/>
  <c r="AB54" i="18" l="1"/>
  <c r="A55" i="18"/>
  <c r="AJ54" i="18"/>
  <c r="K54" i="18"/>
  <c r="L54" i="18"/>
  <c r="X54" i="18"/>
  <c r="AK54" i="18"/>
  <c r="AC54" i="18"/>
  <c r="O54" i="18"/>
  <c r="L50" i="20"/>
  <c r="A51" i="20"/>
  <c r="AJ50" i="20"/>
  <c r="K50" i="20"/>
  <c r="AB50" i="20"/>
  <c r="X50" i="20"/>
  <c r="AK50" i="20"/>
  <c r="AC50" i="20"/>
  <c r="O50" i="20"/>
  <c r="A57" i="15"/>
  <c r="L56" i="15"/>
  <c r="X56" i="15"/>
  <c r="AK56" i="15"/>
  <c r="AB56" i="15"/>
  <c r="K56" i="15"/>
  <c r="AJ56" i="15"/>
  <c r="AC56" i="15"/>
  <c r="O56" i="15"/>
  <c r="X50" i="16"/>
  <c r="K50" i="16"/>
  <c r="AJ50" i="16"/>
  <c r="L50" i="16"/>
  <c r="AB50" i="16"/>
  <c r="A51" i="16"/>
  <c r="AK50" i="16"/>
  <c r="AC50" i="16"/>
  <c r="O50" i="16"/>
  <c r="A49" i="23"/>
  <c r="K48" i="23"/>
  <c r="AB48" i="23"/>
  <c r="AK48" i="23"/>
  <c r="L48" i="23"/>
  <c r="X48" i="23"/>
  <c r="AJ48" i="23"/>
  <c r="AC48" i="23"/>
  <c r="O48" i="23"/>
  <c r="A58" i="1"/>
  <c r="X57" i="1"/>
  <c r="AK57" i="1"/>
  <c r="K57" i="1"/>
  <c r="U57" i="1"/>
  <c r="AB57" i="1"/>
  <c r="AJ57" i="1"/>
  <c r="L57" i="1"/>
  <c r="Q57" i="1"/>
  <c r="O57" i="1"/>
  <c r="AC57" i="1"/>
  <c r="K46" i="25"/>
  <c r="A47" i="25"/>
  <c r="L46" i="25"/>
  <c r="AK46" i="25"/>
  <c r="AB46" i="25"/>
  <c r="X46" i="25"/>
  <c r="AJ46" i="25"/>
  <c r="AC46" i="25"/>
  <c r="O46" i="25"/>
  <c r="X49" i="22"/>
  <c r="K49" i="22"/>
  <c r="A50" i="22"/>
  <c r="AK49" i="22"/>
  <c r="AB49" i="22"/>
  <c r="L49" i="22"/>
  <c r="AJ49" i="22"/>
  <c r="AC49" i="22"/>
  <c r="O49" i="22"/>
  <c r="D55" i="15"/>
  <c r="E55" i="15" s="1"/>
  <c r="A48" i="24"/>
  <c r="AB47" i="24"/>
  <c r="AJ47" i="24"/>
  <c r="K47" i="24"/>
  <c r="X47" i="24"/>
  <c r="L47" i="24"/>
  <c r="AK47" i="24"/>
  <c r="AC47" i="24"/>
  <c r="O47" i="24"/>
  <c r="D49" i="16"/>
  <c r="E49" i="16" s="1"/>
  <c r="D50" i="17"/>
  <c r="E50" i="17" s="1"/>
  <c r="AB51" i="17"/>
  <c r="L51" i="17"/>
  <c r="A52" i="17"/>
  <c r="AK51" i="17"/>
  <c r="X51" i="17"/>
  <c r="K51" i="17"/>
  <c r="AJ51" i="17"/>
  <c r="O51" i="17"/>
  <c r="AC51" i="17"/>
  <c r="T56" i="1"/>
  <c r="S55" i="1"/>
  <c r="R55" i="1" s="1"/>
  <c r="P55" i="1" s="1"/>
  <c r="V55" i="1" s="1"/>
  <c r="AA55" i="1" s="1"/>
  <c r="Z55" i="1" s="1"/>
  <c r="Y55" i="1" s="1"/>
  <c r="D51" i="17" l="1"/>
  <c r="E51" i="17" s="1"/>
  <c r="AB47" i="25"/>
  <c r="L47" i="25"/>
  <c r="AJ47" i="25"/>
  <c r="X47" i="25"/>
  <c r="A48" i="25"/>
  <c r="K47" i="25"/>
  <c r="AK47" i="25"/>
  <c r="AC47" i="25"/>
  <c r="O47" i="25"/>
  <c r="A50" i="23"/>
  <c r="X49" i="23"/>
  <c r="AJ49" i="23"/>
  <c r="AB49" i="23"/>
  <c r="L49" i="23"/>
  <c r="K49" i="23"/>
  <c r="AK49" i="23"/>
  <c r="AC49" i="23"/>
  <c r="O49" i="23"/>
  <c r="X57" i="15"/>
  <c r="K57" i="15"/>
  <c r="AJ57" i="15"/>
  <c r="A58" i="15"/>
  <c r="AB57" i="15"/>
  <c r="L57" i="15"/>
  <c r="D57" i="15" s="1"/>
  <c r="AK57" i="15"/>
  <c r="AC57" i="15"/>
  <c r="O57" i="15"/>
  <c r="AB55" i="18"/>
  <c r="L55" i="18"/>
  <c r="AJ55" i="18"/>
  <c r="X55" i="18"/>
  <c r="A56" i="18"/>
  <c r="K55" i="18"/>
  <c r="AK55" i="18"/>
  <c r="O55" i="18"/>
  <c r="AC55" i="18"/>
  <c r="S56" i="1"/>
  <c r="R56" i="1" s="1"/>
  <c r="P56" i="1" s="1"/>
  <c r="V56" i="1" s="1"/>
  <c r="AA56" i="1" s="1"/>
  <c r="Z56" i="1" s="1"/>
  <c r="Y56" i="1" s="1"/>
  <c r="A53" i="17"/>
  <c r="L52" i="17"/>
  <c r="AJ52" i="17"/>
  <c r="X52" i="17"/>
  <c r="K52" i="17"/>
  <c r="AB52" i="17"/>
  <c r="AK52" i="17"/>
  <c r="O52" i="17"/>
  <c r="AC52" i="17"/>
  <c r="AB48" i="24"/>
  <c r="K48" i="24"/>
  <c r="X48" i="24"/>
  <c r="AK48" i="24"/>
  <c r="A49" i="24"/>
  <c r="L48" i="24"/>
  <c r="AJ48" i="24"/>
  <c r="AC48" i="24"/>
  <c r="O48" i="24"/>
  <c r="L50" i="22"/>
  <c r="A51" i="22"/>
  <c r="AJ50" i="22"/>
  <c r="K50" i="22"/>
  <c r="AB50" i="22"/>
  <c r="X50" i="22"/>
  <c r="AK50" i="22"/>
  <c r="AC50" i="22"/>
  <c r="O50" i="22"/>
  <c r="T57" i="1"/>
  <c r="AK58" i="1"/>
  <c r="X58" i="1"/>
  <c r="K58" i="1"/>
  <c r="Q58" i="1"/>
  <c r="U58" i="1"/>
  <c r="A59" i="1"/>
  <c r="L58" i="1"/>
  <c r="AJ58" i="1"/>
  <c r="AB58" i="1"/>
  <c r="AC58" i="1"/>
  <c r="O58" i="1"/>
  <c r="K51" i="16"/>
  <c r="AB51" i="16"/>
  <c r="AJ51" i="16"/>
  <c r="A52" i="16"/>
  <c r="X51" i="16"/>
  <c r="L51" i="16"/>
  <c r="AK51" i="16"/>
  <c r="AC51" i="16"/>
  <c r="O51" i="16"/>
  <c r="D50" i="16"/>
  <c r="E50" i="16" s="1"/>
  <c r="D56" i="15"/>
  <c r="E56" i="15" s="1"/>
  <c r="X51" i="20"/>
  <c r="AB51" i="20"/>
  <c r="L51" i="20"/>
  <c r="AK51" i="20"/>
  <c r="A52" i="20"/>
  <c r="K51" i="20"/>
  <c r="AJ51" i="20"/>
  <c r="AC51" i="20"/>
  <c r="O51" i="20"/>
  <c r="E57" i="15" l="1"/>
  <c r="AK59" i="1"/>
  <c r="A60" i="1"/>
  <c r="AB59" i="1"/>
  <c r="X59" i="1"/>
  <c r="U59" i="1"/>
  <c r="L59" i="1"/>
  <c r="AJ59" i="1"/>
  <c r="K59" i="1"/>
  <c r="Q59" i="1"/>
  <c r="AC59" i="1"/>
  <c r="O59" i="1"/>
  <c r="S57" i="1"/>
  <c r="R57" i="1" s="1"/>
  <c r="P57" i="1" s="1"/>
  <c r="V57" i="1" s="1"/>
  <c r="AA57" i="1" s="1"/>
  <c r="Z57" i="1" s="1"/>
  <c r="Y57" i="1" s="1"/>
  <c r="L51" i="22"/>
  <c r="X51" i="22"/>
  <c r="AJ51" i="22"/>
  <c r="A52" i="22"/>
  <c r="AB51" i="22"/>
  <c r="K51" i="22"/>
  <c r="AK51" i="22"/>
  <c r="AC51" i="22"/>
  <c r="O51" i="22"/>
  <c r="D52" i="17"/>
  <c r="E52" i="17" s="1"/>
  <c r="AB56" i="18"/>
  <c r="K56" i="18"/>
  <c r="A57" i="18"/>
  <c r="AK56" i="18"/>
  <c r="X56" i="18"/>
  <c r="L56" i="18"/>
  <c r="AJ56" i="18"/>
  <c r="O56" i="18"/>
  <c r="AC56" i="18"/>
  <c r="K50" i="23"/>
  <c r="A51" i="23"/>
  <c r="AB50" i="23"/>
  <c r="AK50" i="23"/>
  <c r="L50" i="23"/>
  <c r="X50" i="23"/>
  <c r="AJ50" i="23"/>
  <c r="AC50" i="23"/>
  <c r="O50" i="23"/>
  <c r="X48" i="25"/>
  <c r="K48" i="25"/>
  <c r="L48" i="25"/>
  <c r="AK48" i="25"/>
  <c r="AB48" i="25"/>
  <c r="A49" i="25"/>
  <c r="AJ48" i="25"/>
  <c r="AC48" i="25"/>
  <c r="O48" i="25"/>
  <c r="X52" i="20"/>
  <c r="AB52" i="20"/>
  <c r="AJ52" i="20"/>
  <c r="A53" i="20"/>
  <c r="L52" i="20"/>
  <c r="K52" i="20"/>
  <c r="AK52" i="20"/>
  <c r="AC52" i="20"/>
  <c r="O52" i="20"/>
  <c r="D51" i="16"/>
  <c r="E51" i="16" s="1"/>
  <c r="AB52" i="16"/>
  <c r="L52" i="16"/>
  <c r="AJ52" i="16"/>
  <c r="X52" i="16"/>
  <c r="A53" i="16"/>
  <c r="K52" i="16"/>
  <c r="AK52" i="16"/>
  <c r="AC52" i="16"/>
  <c r="O52" i="16"/>
  <c r="T58" i="1"/>
  <c r="A50" i="24"/>
  <c r="AB49" i="24"/>
  <c r="AJ49" i="24"/>
  <c r="K49" i="24"/>
  <c r="X49" i="24"/>
  <c r="L49" i="24"/>
  <c r="AK49" i="24"/>
  <c r="AC49" i="24"/>
  <c r="O49" i="24"/>
  <c r="AB53" i="17"/>
  <c r="K53" i="17"/>
  <c r="A54" i="17"/>
  <c r="AK53" i="17"/>
  <c r="X53" i="17"/>
  <c r="L53" i="17"/>
  <c r="AJ53" i="17"/>
  <c r="O53" i="17"/>
  <c r="AC53" i="17"/>
  <c r="L58" i="15"/>
  <c r="X58" i="15"/>
  <c r="AB58" i="15"/>
  <c r="AK58" i="15"/>
  <c r="K58" i="15"/>
  <c r="A59" i="15"/>
  <c r="AJ58" i="15"/>
  <c r="AC58" i="15"/>
  <c r="O58" i="15"/>
  <c r="A60" i="15" l="1"/>
  <c r="K59" i="15"/>
  <c r="AK59" i="15"/>
  <c r="AJ59" i="15"/>
  <c r="L59" i="15"/>
  <c r="AB59" i="15"/>
  <c r="X59" i="15"/>
  <c r="AC59" i="15"/>
  <c r="O59" i="15"/>
  <c r="D53" i="17"/>
  <c r="E53" i="17" s="1"/>
  <c r="X50" i="24"/>
  <c r="K50" i="24"/>
  <c r="AJ50" i="24"/>
  <c r="A51" i="24"/>
  <c r="L50" i="24"/>
  <c r="AB50" i="24"/>
  <c r="AK50" i="24"/>
  <c r="AC50" i="24"/>
  <c r="O50" i="24"/>
  <c r="S58" i="1"/>
  <c r="R58" i="1" s="1"/>
  <c r="P58" i="1" s="1"/>
  <c r="V58" i="1" s="1"/>
  <c r="AA58" i="1" s="1"/>
  <c r="Z58" i="1" s="1"/>
  <c r="Y58" i="1" s="1"/>
  <c r="D52" i="16"/>
  <c r="X53" i="20"/>
  <c r="A54" i="20"/>
  <c r="L53" i="20"/>
  <c r="AK53" i="20"/>
  <c r="AB53" i="20"/>
  <c r="K53" i="20"/>
  <c r="AJ53" i="20"/>
  <c r="AC53" i="20"/>
  <c r="O53" i="20"/>
  <c r="AB52" i="22"/>
  <c r="L52" i="22"/>
  <c r="A53" i="22"/>
  <c r="AK52" i="22"/>
  <c r="K52" i="22"/>
  <c r="X52" i="22"/>
  <c r="AJ52" i="22"/>
  <c r="AC52" i="22"/>
  <c r="O52" i="22"/>
  <c r="T59" i="1"/>
  <c r="D58" i="15"/>
  <c r="E58" i="15" s="1"/>
  <c r="L54" i="17"/>
  <c r="A55" i="17"/>
  <c r="AJ54" i="17"/>
  <c r="X54" i="17"/>
  <c r="AB54" i="17"/>
  <c r="K54" i="17"/>
  <c r="AK54" i="17"/>
  <c r="AC54" i="17"/>
  <c r="O54" i="17"/>
  <c r="E52" i="16"/>
  <c r="L53" i="16"/>
  <c r="AB53" i="16"/>
  <c r="K53" i="16"/>
  <c r="AK53" i="16"/>
  <c r="A54" i="16"/>
  <c r="X53" i="16"/>
  <c r="AJ53" i="16"/>
  <c r="AC53" i="16"/>
  <c r="O53" i="16"/>
  <c r="AB49" i="25"/>
  <c r="L49" i="25"/>
  <c r="AJ49" i="25"/>
  <c r="A50" i="25"/>
  <c r="X49" i="25"/>
  <c r="K49" i="25"/>
  <c r="AK49" i="25"/>
  <c r="AC49" i="25"/>
  <c r="O49" i="25"/>
  <c r="K51" i="23"/>
  <c r="L51" i="23"/>
  <c r="AJ51" i="23"/>
  <c r="AB51" i="23"/>
  <c r="A52" i="23"/>
  <c r="X51" i="23"/>
  <c r="AK51" i="23"/>
  <c r="AC51" i="23"/>
  <c r="O51" i="23"/>
  <c r="AB57" i="18"/>
  <c r="K57" i="18"/>
  <c r="AJ57" i="18"/>
  <c r="A58" i="18"/>
  <c r="L57" i="18"/>
  <c r="X57" i="18"/>
  <c r="AK57" i="18"/>
  <c r="AC57" i="18"/>
  <c r="O57" i="18"/>
  <c r="X60" i="1"/>
  <c r="A61" i="1"/>
  <c r="AJ60" i="1"/>
  <c r="AK60" i="1"/>
  <c r="O60" i="1"/>
  <c r="C21" i="7" s="1"/>
  <c r="AC60" i="1"/>
  <c r="A21" i="7"/>
  <c r="AB60" i="1"/>
  <c r="K60" i="1"/>
  <c r="L60" i="1"/>
  <c r="Q60" i="1"/>
  <c r="U60" i="1"/>
  <c r="T60" i="1" l="1"/>
  <c r="B21" i="7"/>
  <c r="AB61" i="1"/>
  <c r="K61" i="1"/>
  <c r="AK61" i="1"/>
  <c r="X61" i="1"/>
  <c r="U61" i="1"/>
  <c r="L61" i="1"/>
  <c r="Q61" i="1"/>
  <c r="A62" i="1"/>
  <c r="AJ61" i="1"/>
  <c r="AC61" i="1"/>
  <c r="O61" i="1"/>
  <c r="K58" i="18"/>
  <c r="AB58" i="18"/>
  <c r="AJ58" i="18"/>
  <c r="A59" i="18"/>
  <c r="X58" i="18"/>
  <c r="L58" i="18"/>
  <c r="AK58" i="18"/>
  <c r="O58" i="18"/>
  <c r="AC58" i="18"/>
  <c r="K52" i="23"/>
  <c r="A53" i="23"/>
  <c r="AJ52" i="23"/>
  <c r="AB52" i="23"/>
  <c r="X52" i="23"/>
  <c r="L52" i="23"/>
  <c r="AK52" i="23"/>
  <c r="AC52" i="23"/>
  <c r="O52" i="23"/>
  <c r="K50" i="25"/>
  <c r="A51" i="25"/>
  <c r="AJ50" i="25"/>
  <c r="AB50" i="25"/>
  <c r="X50" i="25"/>
  <c r="L50" i="25"/>
  <c r="AK50" i="25"/>
  <c r="AC50" i="25"/>
  <c r="O50" i="25"/>
  <c r="X55" i="17"/>
  <c r="AB55" i="17"/>
  <c r="K55" i="17"/>
  <c r="AK55" i="17"/>
  <c r="A56" i="17"/>
  <c r="L55" i="17"/>
  <c r="AJ55" i="17"/>
  <c r="O55" i="17"/>
  <c r="AC55" i="17"/>
  <c r="AB53" i="22"/>
  <c r="L53" i="22"/>
  <c r="X53" i="22"/>
  <c r="AK53" i="22"/>
  <c r="A54" i="22"/>
  <c r="K53" i="22"/>
  <c r="AJ53" i="22"/>
  <c r="AC53" i="22"/>
  <c r="O53" i="22"/>
  <c r="AB51" i="24"/>
  <c r="K51" i="24"/>
  <c r="X51" i="24"/>
  <c r="AK51" i="24"/>
  <c r="A52" i="24"/>
  <c r="L51" i="24"/>
  <c r="AJ51" i="24"/>
  <c r="AC51" i="24"/>
  <c r="O51" i="24"/>
  <c r="AB54" i="16"/>
  <c r="A55" i="16"/>
  <c r="L54" i="16"/>
  <c r="AK54" i="16"/>
  <c r="K54" i="16"/>
  <c r="X54" i="16"/>
  <c r="AJ54" i="16"/>
  <c r="AC54" i="16"/>
  <c r="O54" i="16"/>
  <c r="D53" i="16"/>
  <c r="E53" i="16" s="1"/>
  <c r="D54" i="17"/>
  <c r="E54" i="17" s="1"/>
  <c r="S59" i="1"/>
  <c r="R59" i="1" s="1"/>
  <c r="P59" i="1" s="1"/>
  <c r="V59" i="1" s="1"/>
  <c r="AA59" i="1" s="1"/>
  <c r="Z59" i="1" s="1"/>
  <c r="Y59" i="1" s="1"/>
  <c r="AB54" i="20"/>
  <c r="A55" i="20"/>
  <c r="X54" i="20"/>
  <c r="AK54" i="20"/>
  <c r="L54" i="20"/>
  <c r="K54" i="20"/>
  <c r="AJ54" i="20"/>
  <c r="AC54" i="20"/>
  <c r="O54" i="20"/>
  <c r="D59" i="15"/>
  <c r="E59" i="15" s="1"/>
  <c r="X60" i="15"/>
  <c r="L60" i="15"/>
  <c r="K60" i="15"/>
  <c r="AK60" i="15"/>
  <c r="AC60" i="15"/>
  <c r="A61" i="15"/>
  <c r="A33" i="7"/>
  <c r="AB60" i="15"/>
  <c r="AJ60" i="15"/>
  <c r="O60" i="15"/>
  <c r="C33" i="7" s="1"/>
  <c r="X61" i="15" l="1"/>
  <c r="L61" i="15"/>
  <c r="D61" i="15" s="1"/>
  <c r="K61" i="15"/>
  <c r="AJ61" i="15"/>
  <c r="A62" i="15"/>
  <c r="AB61" i="15"/>
  <c r="AK61" i="15"/>
  <c r="AC61" i="15"/>
  <c r="O61" i="15"/>
  <c r="K55" i="16"/>
  <c r="A56" i="16"/>
  <c r="AJ55" i="16"/>
  <c r="L55" i="16"/>
  <c r="AB55" i="16"/>
  <c r="X55" i="16"/>
  <c r="AK55" i="16"/>
  <c r="AC55" i="16"/>
  <c r="O55" i="16"/>
  <c r="D55" i="17"/>
  <c r="E55" i="17" s="1"/>
  <c r="A54" i="23"/>
  <c r="K53" i="23"/>
  <c r="L53" i="23"/>
  <c r="AK53" i="23"/>
  <c r="X53" i="23"/>
  <c r="AB53" i="23"/>
  <c r="AJ53" i="23"/>
  <c r="AC53" i="23"/>
  <c r="O53" i="23"/>
  <c r="AB59" i="18"/>
  <c r="X59" i="18"/>
  <c r="AJ59" i="18"/>
  <c r="A60" i="18"/>
  <c r="K59" i="18"/>
  <c r="L59" i="18"/>
  <c r="AK59" i="18"/>
  <c r="O59" i="18"/>
  <c r="AC59" i="18"/>
  <c r="T61" i="1"/>
  <c r="S60" i="1"/>
  <c r="R60" i="1" s="1"/>
  <c r="P60" i="1" s="1"/>
  <c r="B33" i="7"/>
  <c r="D60" i="15"/>
  <c r="E60" i="15" s="1"/>
  <c r="X55" i="20"/>
  <c r="K55" i="20"/>
  <c r="AJ55" i="20"/>
  <c r="AB55" i="20"/>
  <c r="A56" i="20"/>
  <c r="L55" i="20"/>
  <c r="AK55" i="20"/>
  <c r="AC55" i="20"/>
  <c r="O55" i="20"/>
  <c r="D54" i="16"/>
  <c r="E54" i="16" s="1"/>
  <c r="X52" i="24"/>
  <c r="L52" i="24"/>
  <c r="AJ52" i="24"/>
  <c r="K52" i="24"/>
  <c r="A53" i="24"/>
  <c r="AB52" i="24"/>
  <c r="AK52" i="24"/>
  <c r="AC52" i="24"/>
  <c r="O52" i="24"/>
  <c r="L54" i="22"/>
  <c r="K54" i="22"/>
  <c r="AJ54" i="22"/>
  <c r="X54" i="22"/>
  <c r="A55" i="22"/>
  <c r="AB54" i="22"/>
  <c r="AK54" i="22"/>
  <c r="AC54" i="22"/>
  <c r="O54" i="22"/>
  <c r="A57" i="17"/>
  <c r="AB56" i="17"/>
  <c r="X56" i="17"/>
  <c r="AK56" i="17"/>
  <c r="L56" i="17"/>
  <c r="K56" i="17"/>
  <c r="AJ56" i="17"/>
  <c r="O56" i="17"/>
  <c r="AC56" i="17"/>
  <c r="AB51" i="25"/>
  <c r="A52" i="25"/>
  <c r="X51" i="25"/>
  <c r="AK51" i="25"/>
  <c r="L51" i="25"/>
  <c r="K51" i="25"/>
  <c r="AJ51" i="25"/>
  <c r="AC51" i="25"/>
  <c r="O51" i="25"/>
  <c r="K62" i="1"/>
  <c r="AB62" i="1"/>
  <c r="AJ62" i="1"/>
  <c r="L62" i="1"/>
  <c r="Q62" i="1"/>
  <c r="A63" i="1"/>
  <c r="X62" i="1"/>
  <c r="AK62" i="1"/>
  <c r="O62" i="1"/>
  <c r="U62" i="1"/>
  <c r="AC62" i="1"/>
  <c r="E61" i="15" l="1"/>
  <c r="D21" i="7"/>
  <c r="V60" i="1"/>
  <c r="AA60" i="1" s="1"/>
  <c r="Z60" i="1" s="1"/>
  <c r="Y60" i="1" s="1"/>
  <c r="T62" i="1"/>
  <c r="A64" i="1"/>
  <c r="K63" i="1"/>
  <c r="AJ63" i="1"/>
  <c r="Q63" i="1"/>
  <c r="AK63" i="1"/>
  <c r="X63" i="1"/>
  <c r="AB63" i="1"/>
  <c r="L63" i="1"/>
  <c r="U63" i="1"/>
  <c r="AC63" i="1"/>
  <c r="O63" i="1"/>
  <c r="AB52" i="25"/>
  <c r="X52" i="25"/>
  <c r="AJ52" i="25"/>
  <c r="K52" i="25"/>
  <c r="L52" i="25"/>
  <c r="A53" i="25"/>
  <c r="AK52" i="25"/>
  <c r="AC52" i="25"/>
  <c r="O52" i="25"/>
  <c r="D56" i="17"/>
  <c r="E56" i="17" s="1"/>
  <c r="K57" i="17"/>
  <c r="AB57" i="17"/>
  <c r="X57" i="17"/>
  <c r="AK57" i="17"/>
  <c r="L57" i="17"/>
  <c r="A58" i="17"/>
  <c r="AJ57" i="17"/>
  <c r="O57" i="17"/>
  <c r="AC57" i="17"/>
  <c r="AB56" i="20"/>
  <c r="A57" i="20"/>
  <c r="AJ56" i="20"/>
  <c r="X56" i="20"/>
  <c r="K56" i="20"/>
  <c r="L56" i="20"/>
  <c r="AK56" i="20"/>
  <c r="AC56" i="20"/>
  <c r="O56" i="20"/>
  <c r="S61" i="1"/>
  <c r="R61" i="1" s="1"/>
  <c r="P61" i="1" s="1"/>
  <c r="V61" i="1" s="1"/>
  <c r="AA61" i="1" s="1"/>
  <c r="Z61" i="1" s="1"/>
  <c r="Y61" i="1" s="1"/>
  <c r="K60" i="18"/>
  <c r="L60" i="18"/>
  <c r="X60" i="18"/>
  <c r="AK60" i="18"/>
  <c r="AB60" i="18"/>
  <c r="A61" i="18"/>
  <c r="A69" i="7"/>
  <c r="AJ60" i="18"/>
  <c r="O60" i="18"/>
  <c r="C69" i="7" s="1"/>
  <c r="AC60" i="18"/>
  <c r="D55" i="16"/>
  <c r="E55" i="16" s="1"/>
  <c r="A57" i="16"/>
  <c r="AB56" i="16"/>
  <c r="AJ56" i="16"/>
  <c r="X56" i="16"/>
  <c r="K56" i="16"/>
  <c r="L56" i="16"/>
  <c r="AK56" i="16"/>
  <c r="AC56" i="16"/>
  <c r="O56" i="16"/>
  <c r="AB55" i="22"/>
  <c r="L55" i="22"/>
  <c r="AJ55" i="22"/>
  <c r="X55" i="22"/>
  <c r="K55" i="22"/>
  <c r="A56" i="22"/>
  <c r="AK55" i="22"/>
  <c r="AC55" i="22"/>
  <c r="O55" i="22"/>
  <c r="A54" i="24"/>
  <c r="L53" i="24"/>
  <c r="K53" i="24"/>
  <c r="AK53" i="24"/>
  <c r="AB53" i="24"/>
  <c r="X53" i="24"/>
  <c r="AJ53" i="24"/>
  <c r="AC53" i="24"/>
  <c r="O53" i="24"/>
  <c r="AB54" i="23"/>
  <c r="K54" i="23"/>
  <c r="X54" i="23"/>
  <c r="AK54" i="23"/>
  <c r="A55" i="23"/>
  <c r="L54" i="23"/>
  <c r="AJ54" i="23"/>
  <c r="AC54" i="23"/>
  <c r="O54" i="23"/>
  <c r="AB62" i="15"/>
  <c r="L62" i="15"/>
  <c r="A63" i="15"/>
  <c r="AK62" i="15"/>
  <c r="X62" i="15"/>
  <c r="K62" i="15"/>
  <c r="AJ62" i="15"/>
  <c r="AC62" i="15"/>
  <c r="O62" i="15"/>
  <c r="X63" i="15" l="1"/>
  <c r="AB63" i="15"/>
  <c r="AJ63" i="15"/>
  <c r="K63" i="15"/>
  <c r="L63" i="15"/>
  <c r="A64" i="15"/>
  <c r="AK63" i="15"/>
  <c r="AC63" i="15"/>
  <c r="O63" i="15"/>
  <c r="A55" i="24"/>
  <c r="K54" i="24"/>
  <c r="AJ54" i="24"/>
  <c r="X54" i="24"/>
  <c r="AB54" i="24"/>
  <c r="L54" i="24"/>
  <c r="AK54" i="24"/>
  <c r="AC54" i="24"/>
  <c r="O54" i="24"/>
  <c r="D56" i="16"/>
  <c r="D57" i="17"/>
  <c r="L53" i="25"/>
  <c r="AB53" i="25"/>
  <c r="AJ53" i="25"/>
  <c r="K53" i="25"/>
  <c r="A54" i="25"/>
  <c r="X53" i="25"/>
  <c r="AK53" i="25"/>
  <c r="AC53" i="25"/>
  <c r="O53" i="25"/>
  <c r="D62" i="15"/>
  <c r="E62" i="15" s="1"/>
  <c r="X55" i="23"/>
  <c r="L55" i="23"/>
  <c r="AB55" i="23"/>
  <c r="AK55" i="23"/>
  <c r="K55" i="23"/>
  <c r="A56" i="23"/>
  <c r="AJ55" i="23"/>
  <c r="AC55" i="23"/>
  <c r="O55" i="23"/>
  <c r="AB56" i="22"/>
  <c r="A57" i="22"/>
  <c r="AJ56" i="22"/>
  <c r="K56" i="22"/>
  <c r="X56" i="22"/>
  <c r="L56" i="22"/>
  <c r="AK56" i="22"/>
  <c r="AC56" i="22"/>
  <c r="O56" i="22"/>
  <c r="E56" i="16"/>
  <c r="X57" i="16"/>
  <c r="A58" i="16"/>
  <c r="L57" i="16"/>
  <c r="AK57" i="16"/>
  <c r="K57" i="16"/>
  <c r="AB57" i="16"/>
  <c r="AJ57" i="16"/>
  <c r="AC57" i="16"/>
  <c r="O57" i="16"/>
  <c r="X61" i="18"/>
  <c r="AB61" i="18"/>
  <c r="AJ61" i="18"/>
  <c r="K61" i="18"/>
  <c r="L61" i="18"/>
  <c r="A62" i="18"/>
  <c r="AK61" i="18"/>
  <c r="AC61" i="18"/>
  <c r="O61" i="18"/>
  <c r="B69" i="7"/>
  <c r="A58" i="20"/>
  <c r="K57" i="20"/>
  <c r="AB57" i="20"/>
  <c r="AK57" i="20"/>
  <c r="X57" i="20"/>
  <c r="L57" i="20"/>
  <c r="AJ57" i="20"/>
  <c r="AC57" i="20"/>
  <c r="O57" i="20"/>
  <c r="E57" i="17"/>
  <c r="X58" i="17"/>
  <c r="L58" i="17"/>
  <c r="A59" i="17"/>
  <c r="AK58" i="17"/>
  <c r="K58" i="17"/>
  <c r="AB58" i="17"/>
  <c r="AJ58" i="17"/>
  <c r="O58" i="17"/>
  <c r="AC58" i="17"/>
  <c r="T63" i="1"/>
  <c r="AB64" i="1"/>
  <c r="AJ64" i="1"/>
  <c r="A65" i="1"/>
  <c r="K64" i="1"/>
  <c r="O64" i="1"/>
  <c r="L64" i="1"/>
  <c r="X64" i="1"/>
  <c r="AK64" i="1"/>
  <c r="Q64" i="1"/>
  <c r="U64" i="1"/>
  <c r="AC64" i="1"/>
  <c r="S62" i="1"/>
  <c r="R62" i="1" s="1"/>
  <c r="P62" i="1" s="1"/>
  <c r="V62" i="1" s="1"/>
  <c r="AA62" i="1" s="1"/>
  <c r="Z62" i="1" s="1"/>
  <c r="Y62" i="1" s="1"/>
  <c r="X65" i="1" l="1"/>
  <c r="AK65" i="1"/>
  <c r="K65" i="1"/>
  <c r="L65" i="1"/>
  <c r="U65" i="1"/>
  <c r="AB65" i="1"/>
  <c r="AJ65" i="1"/>
  <c r="A66" i="1"/>
  <c r="Q65" i="1"/>
  <c r="O65" i="1"/>
  <c r="AC65" i="1"/>
  <c r="S63" i="1"/>
  <c r="R63" i="1" s="1"/>
  <c r="P63" i="1" s="1"/>
  <c r="V63" i="1" s="1"/>
  <c r="AA63" i="1" s="1"/>
  <c r="Z63" i="1" s="1"/>
  <c r="Y63" i="1" s="1"/>
  <c r="A60" i="17"/>
  <c r="X59" i="17"/>
  <c r="L59" i="17"/>
  <c r="AK59" i="17"/>
  <c r="AB59" i="17"/>
  <c r="K59" i="17"/>
  <c r="AJ59" i="17"/>
  <c r="O59" i="17"/>
  <c r="AC59" i="17"/>
  <c r="AB58" i="20"/>
  <c r="X58" i="20"/>
  <c r="AJ58" i="20"/>
  <c r="A59" i="20"/>
  <c r="K58" i="20"/>
  <c r="L58" i="20"/>
  <c r="AK58" i="20"/>
  <c r="AC58" i="20"/>
  <c r="O58" i="20"/>
  <c r="X62" i="18"/>
  <c r="L62" i="18"/>
  <c r="AJ62" i="18"/>
  <c r="A63" i="18"/>
  <c r="AB62" i="18"/>
  <c r="K62" i="18"/>
  <c r="AK62" i="18"/>
  <c r="O62" i="18"/>
  <c r="AC62" i="18"/>
  <c r="D57" i="16"/>
  <c r="E57" i="16" s="1"/>
  <c r="AB56" i="23"/>
  <c r="K56" i="23"/>
  <c r="A57" i="23"/>
  <c r="AK56" i="23"/>
  <c r="X56" i="23"/>
  <c r="L56" i="23"/>
  <c r="AJ56" i="23"/>
  <c r="AC56" i="23"/>
  <c r="O56" i="23"/>
  <c r="X54" i="25"/>
  <c r="A55" i="25"/>
  <c r="AJ54" i="25"/>
  <c r="K54" i="25"/>
  <c r="AB54" i="25"/>
  <c r="L54" i="25"/>
  <c r="AK54" i="25"/>
  <c r="AC54" i="25"/>
  <c r="O54" i="25"/>
  <c r="X55" i="24"/>
  <c r="L55" i="24"/>
  <c r="A56" i="24"/>
  <c r="AK55" i="24"/>
  <c r="K55" i="24"/>
  <c r="AB55" i="24"/>
  <c r="AJ55" i="24"/>
  <c r="AC55" i="24"/>
  <c r="O55" i="24"/>
  <c r="D63" i="15"/>
  <c r="E63" i="15" s="1"/>
  <c r="T64" i="1"/>
  <c r="D58" i="17"/>
  <c r="E58" i="17" s="1"/>
  <c r="AB58" i="16"/>
  <c r="K58" i="16"/>
  <c r="AJ58" i="16"/>
  <c r="A59" i="16"/>
  <c r="L58" i="16"/>
  <c r="X58" i="16"/>
  <c r="AK58" i="16"/>
  <c r="AC58" i="16"/>
  <c r="O58" i="16"/>
  <c r="X57" i="22"/>
  <c r="L57" i="22"/>
  <c r="AB57" i="22"/>
  <c r="AK57" i="22"/>
  <c r="K57" i="22"/>
  <c r="A58" i="22"/>
  <c r="AJ57" i="22"/>
  <c r="AC57" i="22"/>
  <c r="O57" i="22"/>
  <c r="K64" i="15"/>
  <c r="X64" i="15"/>
  <c r="A65" i="15"/>
  <c r="AK64" i="15"/>
  <c r="AB64" i="15"/>
  <c r="L64" i="15"/>
  <c r="D64" i="15" s="1"/>
  <c r="AJ64" i="15"/>
  <c r="AC64" i="15"/>
  <c r="O64" i="15"/>
  <c r="AB58" i="22" l="1"/>
  <c r="X58" i="22"/>
  <c r="AJ58" i="22"/>
  <c r="A59" i="22"/>
  <c r="K58" i="22"/>
  <c r="L58" i="22"/>
  <c r="AK58" i="22"/>
  <c r="AC58" i="22"/>
  <c r="O58" i="22"/>
  <c r="E64" i="15"/>
  <c r="K65" i="15"/>
  <c r="X65" i="15"/>
  <c r="AK65" i="15"/>
  <c r="L65" i="15"/>
  <c r="AB65" i="15"/>
  <c r="A66" i="15"/>
  <c r="AJ65" i="15"/>
  <c r="AC65" i="15"/>
  <c r="O65" i="15"/>
  <c r="AB59" i="16"/>
  <c r="X59" i="16"/>
  <c r="AJ59" i="16"/>
  <c r="A60" i="16"/>
  <c r="L59" i="16"/>
  <c r="K59" i="16"/>
  <c r="AK59" i="16"/>
  <c r="AC59" i="16"/>
  <c r="O59" i="16"/>
  <c r="S64" i="1"/>
  <c r="R64" i="1" s="1"/>
  <c r="P64" i="1" s="1"/>
  <c r="V64" i="1" s="1"/>
  <c r="AA64" i="1" s="1"/>
  <c r="Z64" i="1" s="1"/>
  <c r="Y64" i="1" s="1"/>
  <c r="A57" i="24"/>
  <c r="AB56" i="24"/>
  <c r="X56" i="24"/>
  <c r="AK56" i="24"/>
  <c r="L56" i="24"/>
  <c r="K56" i="24"/>
  <c r="AJ56" i="24"/>
  <c r="AC56" i="24"/>
  <c r="O56" i="24"/>
  <c r="A58" i="23"/>
  <c r="AB57" i="23"/>
  <c r="K57" i="23"/>
  <c r="AK57" i="23"/>
  <c r="L57" i="23"/>
  <c r="X57" i="23"/>
  <c r="AJ57" i="23"/>
  <c r="AC57" i="23"/>
  <c r="O57" i="23"/>
  <c r="A64" i="18"/>
  <c r="L63" i="18"/>
  <c r="AJ63" i="18"/>
  <c r="AB63" i="18"/>
  <c r="X63" i="18"/>
  <c r="K63" i="18"/>
  <c r="AK63" i="18"/>
  <c r="O63" i="18"/>
  <c r="AC63" i="18"/>
  <c r="D59" i="17"/>
  <c r="E59" i="17" s="1"/>
  <c r="X60" i="17"/>
  <c r="A61" i="17"/>
  <c r="AB60" i="17"/>
  <c r="AK60" i="17"/>
  <c r="K60" i="17"/>
  <c r="A57" i="7"/>
  <c r="L60" i="17"/>
  <c r="AJ60" i="17"/>
  <c r="AC60" i="17"/>
  <c r="O60" i="17"/>
  <c r="AB66" i="1"/>
  <c r="AJ66" i="1"/>
  <c r="X66" i="1"/>
  <c r="O66" i="1"/>
  <c r="U66" i="1"/>
  <c r="L66" i="1"/>
  <c r="AK66" i="1"/>
  <c r="K66" i="1"/>
  <c r="A67" i="1"/>
  <c r="Q66" i="1"/>
  <c r="AC66" i="1"/>
  <c r="D58" i="16"/>
  <c r="E58" i="16" s="1"/>
  <c r="K55" i="25"/>
  <c r="L55" i="25"/>
  <c r="AJ55" i="25"/>
  <c r="A56" i="25"/>
  <c r="X55" i="25"/>
  <c r="AB55" i="25"/>
  <c r="AK55" i="25"/>
  <c r="AC55" i="25"/>
  <c r="O55" i="25"/>
  <c r="A60" i="20"/>
  <c r="K59" i="20"/>
  <c r="AJ59" i="20"/>
  <c r="X59" i="20"/>
  <c r="L59" i="20"/>
  <c r="AB59" i="20"/>
  <c r="AK59" i="20"/>
  <c r="AC59" i="20"/>
  <c r="O59" i="20"/>
  <c r="T65" i="1"/>
  <c r="X60" i="20" l="1"/>
  <c r="L60" i="20"/>
  <c r="A61" i="20"/>
  <c r="AK60" i="20"/>
  <c r="AE21" i="7"/>
  <c r="K60" i="20"/>
  <c r="AB60" i="20"/>
  <c r="AJ60" i="20"/>
  <c r="AC60" i="20"/>
  <c r="O60" i="20"/>
  <c r="AG21" i="7" s="1"/>
  <c r="X56" i="25"/>
  <c r="A57" i="25"/>
  <c r="AJ56" i="25"/>
  <c r="AB56" i="25"/>
  <c r="L56" i="25"/>
  <c r="K56" i="25"/>
  <c r="AK56" i="25"/>
  <c r="AC56" i="25"/>
  <c r="O56" i="25"/>
  <c r="AB67" i="1"/>
  <c r="AK67" i="1"/>
  <c r="L67" i="1"/>
  <c r="U67" i="1"/>
  <c r="Q67" i="1"/>
  <c r="X67" i="1"/>
  <c r="AJ67" i="1"/>
  <c r="A68" i="1"/>
  <c r="K67" i="1"/>
  <c r="O67" i="1"/>
  <c r="AC67" i="1"/>
  <c r="T66" i="1"/>
  <c r="D60" i="17"/>
  <c r="E60" i="17" s="1"/>
  <c r="B57" i="7"/>
  <c r="K64" i="18"/>
  <c r="L64" i="18"/>
  <c r="AJ64" i="18"/>
  <c r="AB64" i="18"/>
  <c r="A65" i="18"/>
  <c r="X64" i="18"/>
  <c r="AK64" i="18"/>
  <c r="O64" i="18"/>
  <c r="AC64" i="18"/>
  <c r="L58" i="23"/>
  <c r="K58" i="23"/>
  <c r="AB58" i="23"/>
  <c r="AK58" i="23"/>
  <c r="X58" i="23"/>
  <c r="A59" i="23"/>
  <c r="AJ58" i="23"/>
  <c r="AC58" i="23"/>
  <c r="O58" i="23"/>
  <c r="A61" i="16"/>
  <c r="A45" i="7"/>
  <c r="X60" i="16"/>
  <c r="AK60" i="16"/>
  <c r="K60" i="16"/>
  <c r="AB60" i="16"/>
  <c r="L60" i="16"/>
  <c r="AJ60" i="16"/>
  <c r="AC60" i="16"/>
  <c r="O60" i="16"/>
  <c r="C45" i="7" s="1"/>
  <c r="A67" i="15"/>
  <c r="K66" i="15"/>
  <c r="L66" i="15"/>
  <c r="X66" i="15"/>
  <c r="AB66" i="15"/>
  <c r="AK66" i="15"/>
  <c r="AJ66" i="15"/>
  <c r="AC66" i="15"/>
  <c r="O66" i="15"/>
  <c r="D65" i="15"/>
  <c r="E65" i="15" s="1"/>
  <c r="S65" i="1"/>
  <c r="R65" i="1" s="1"/>
  <c r="P65" i="1" s="1"/>
  <c r="V65" i="1" s="1"/>
  <c r="AA65" i="1" s="1"/>
  <c r="Z65" i="1" s="1"/>
  <c r="Y65" i="1" s="1"/>
  <c r="C57" i="7"/>
  <c r="X61" i="17"/>
  <c r="A62" i="17"/>
  <c r="AB61" i="17"/>
  <c r="AK61" i="17"/>
  <c r="K61" i="17"/>
  <c r="L61" i="17"/>
  <c r="AJ61" i="17"/>
  <c r="O61" i="17"/>
  <c r="AC61" i="17"/>
  <c r="K57" i="24"/>
  <c r="X57" i="24"/>
  <c r="A58" i="24"/>
  <c r="AK57" i="24"/>
  <c r="L57" i="24"/>
  <c r="AB57" i="24"/>
  <c r="AJ57" i="24"/>
  <c r="AC57" i="24"/>
  <c r="O57" i="24"/>
  <c r="D59" i="16"/>
  <c r="E59" i="16" s="1"/>
  <c r="X59" i="22"/>
  <c r="AB59" i="22"/>
  <c r="L59" i="22"/>
  <c r="AK59" i="22"/>
  <c r="A60" i="22"/>
  <c r="K59" i="22"/>
  <c r="AJ59" i="22"/>
  <c r="AC59" i="22"/>
  <c r="O59" i="22"/>
  <c r="AB58" i="24" l="1"/>
  <c r="L58" i="24"/>
  <c r="AJ58" i="24"/>
  <c r="K58" i="24"/>
  <c r="A59" i="24"/>
  <c r="X58" i="24"/>
  <c r="AK58" i="24"/>
  <c r="AC58" i="24"/>
  <c r="O58" i="24"/>
  <c r="D61" i="17"/>
  <c r="E61" i="17" s="1"/>
  <c r="K62" i="17"/>
  <c r="L62" i="17"/>
  <c r="AJ62" i="17"/>
  <c r="X62" i="17"/>
  <c r="AB62" i="17"/>
  <c r="A63" i="17"/>
  <c r="AK62" i="17"/>
  <c r="AC62" i="17"/>
  <c r="O62" i="17"/>
  <c r="D66" i="15"/>
  <c r="E66" i="15" s="1"/>
  <c r="X67" i="15"/>
  <c r="K67" i="15"/>
  <c r="AJ67" i="15"/>
  <c r="L67" i="15"/>
  <c r="A68" i="15"/>
  <c r="AB67" i="15"/>
  <c r="AK67" i="15"/>
  <c r="AC67" i="15"/>
  <c r="O67" i="15"/>
  <c r="B45" i="7"/>
  <c r="D60" i="16"/>
  <c r="E60" i="16" s="1"/>
  <c r="K61" i="16"/>
  <c r="A62" i="16"/>
  <c r="AJ61" i="16"/>
  <c r="L61" i="16"/>
  <c r="X61" i="16"/>
  <c r="AB61" i="16"/>
  <c r="AK61" i="16"/>
  <c r="AC61" i="16"/>
  <c r="O61" i="16"/>
  <c r="A60" i="23"/>
  <c r="L59" i="23"/>
  <c r="K59" i="23"/>
  <c r="AK59" i="23"/>
  <c r="AB59" i="23"/>
  <c r="X59" i="23"/>
  <c r="AJ59" i="23"/>
  <c r="AC59" i="23"/>
  <c r="O59" i="23"/>
  <c r="S66" i="1"/>
  <c r="R66" i="1" s="1"/>
  <c r="P66" i="1" s="1"/>
  <c r="V66" i="1" s="1"/>
  <c r="AA66" i="1" s="1"/>
  <c r="Z66" i="1" s="1"/>
  <c r="Y66" i="1" s="1"/>
  <c r="A58" i="25"/>
  <c r="L57" i="25"/>
  <c r="K57" i="25"/>
  <c r="AK57" i="25"/>
  <c r="AB57" i="25"/>
  <c r="X57" i="25"/>
  <c r="AJ57" i="25"/>
  <c r="AC57" i="25"/>
  <c r="O57" i="25"/>
  <c r="AF21" i="7"/>
  <c r="K60" i="22"/>
  <c r="A61" i="22"/>
  <c r="X60" i="22"/>
  <c r="AJ60" i="22"/>
  <c r="AE33" i="7"/>
  <c r="AB60" i="22"/>
  <c r="L60" i="22"/>
  <c r="AK60" i="22"/>
  <c r="AC60" i="22"/>
  <c r="O60" i="22"/>
  <c r="AG33" i="7" s="1"/>
  <c r="A66" i="18"/>
  <c r="K65" i="18"/>
  <c r="X65" i="18"/>
  <c r="AK65" i="18"/>
  <c r="AB65" i="18"/>
  <c r="L65" i="18"/>
  <c r="AJ65" i="18"/>
  <c r="O65" i="18"/>
  <c r="AC65" i="18"/>
  <c r="L68" i="1"/>
  <c r="X68" i="1"/>
  <c r="K68" i="1"/>
  <c r="AJ68" i="1"/>
  <c r="Q68" i="1"/>
  <c r="A69" i="1"/>
  <c r="AK68" i="1"/>
  <c r="AB68" i="1"/>
  <c r="U68" i="1"/>
  <c r="AC68" i="1"/>
  <c r="O68" i="1"/>
  <c r="T67" i="1"/>
  <c r="A62" i="20"/>
  <c r="K61" i="20"/>
  <c r="AJ61" i="20"/>
  <c r="L61" i="20"/>
  <c r="X61" i="20"/>
  <c r="AB61" i="20"/>
  <c r="AK61" i="20"/>
  <c r="AC61" i="20"/>
  <c r="O61" i="20"/>
  <c r="L62" i="20" l="1"/>
  <c r="K62" i="20"/>
  <c r="AJ62" i="20"/>
  <c r="AB62" i="20"/>
  <c r="X62" i="20"/>
  <c r="A63" i="20"/>
  <c r="AK62" i="20"/>
  <c r="AC62" i="20"/>
  <c r="O62" i="20"/>
  <c r="T68" i="1"/>
  <c r="A67" i="18"/>
  <c r="X66" i="18"/>
  <c r="AJ66" i="18"/>
  <c r="AB66" i="18"/>
  <c r="K66" i="18"/>
  <c r="L66" i="18"/>
  <c r="AK66" i="18"/>
  <c r="O66" i="18"/>
  <c r="AC66" i="18"/>
  <c r="A62" i="22"/>
  <c r="K61" i="22"/>
  <c r="AB61" i="22"/>
  <c r="AK61" i="22"/>
  <c r="X61" i="22"/>
  <c r="L61" i="22"/>
  <c r="AJ61" i="22"/>
  <c r="AC61" i="22"/>
  <c r="O61" i="22"/>
  <c r="L58" i="25"/>
  <c r="X58" i="25"/>
  <c r="AJ58" i="25"/>
  <c r="A59" i="25"/>
  <c r="AB58" i="25"/>
  <c r="K58" i="25"/>
  <c r="AK58" i="25"/>
  <c r="AC58" i="25"/>
  <c r="O58" i="25"/>
  <c r="A61" i="23"/>
  <c r="X60" i="23"/>
  <c r="AB60" i="23"/>
  <c r="AJ60" i="23"/>
  <c r="L60" i="23"/>
  <c r="K60" i="23"/>
  <c r="AE45" i="7"/>
  <c r="AK60" i="23"/>
  <c r="AC60" i="23"/>
  <c r="O60" i="23"/>
  <c r="AG45" i="7" s="1"/>
  <c r="D61" i="16"/>
  <c r="AB62" i="16"/>
  <c r="K62" i="16"/>
  <c r="A63" i="16"/>
  <c r="AK62" i="16"/>
  <c r="L62" i="16"/>
  <c r="X62" i="16"/>
  <c r="AJ62" i="16"/>
  <c r="AC62" i="16"/>
  <c r="O62" i="16"/>
  <c r="D67" i="15"/>
  <c r="E67" i="15" s="1"/>
  <c r="L63" i="17"/>
  <c r="K63" i="17"/>
  <c r="AJ63" i="17"/>
  <c r="X63" i="17"/>
  <c r="A64" i="17"/>
  <c r="AB63" i="17"/>
  <c r="AK63" i="17"/>
  <c r="O63" i="17"/>
  <c r="AC63" i="17"/>
  <c r="D62" i="17"/>
  <c r="E62" i="17" s="1"/>
  <c r="S67" i="1"/>
  <c r="R67" i="1" s="1"/>
  <c r="P67" i="1" s="1"/>
  <c r="V67" i="1" s="1"/>
  <c r="AA67" i="1" s="1"/>
  <c r="Z67" i="1" s="1"/>
  <c r="Y67" i="1" s="1"/>
  <c r="AK69" i="1"/>
  <c r="AB69" i="1"/>
  <c r="AJ69" i="1"/>
  <c r="U69" i="1"/>
  <c r="Q69" i="1"/>
  <c r="L69" i="1"/>
  <c r="X69" i="1"/>
  <c r="A70" i="1"/>
  <c r="K69" i="1"/>
  <c r="AC69" i="1"/>
  <c r="O69" i="1"/>
  <c r="AF33" i="7"/>
  <c r="E61" i="16"/>
  <c r="X68" i="15"/>
  <c r="K68" i="15"/>
  <c r="AJ68" i="15"/>
  <c r="A69" i="15"/>
  <c r="L68" i="15"/>
  <c r="AB68" i="15"/>
  <c r="AK68" i="15"/>
  <c r="AC68" i="15"/>
  <c r="O68" i="15"/>
  <c r="A60" i="24"/>
  <c r="K59" i="24"/>
  <c r="AB59" i="24"/>
  <c r="AK59" i="24"/>
  <c r="X59" i="24"/>
  <c r="L59" i="24"/>
  <c r="AJ59" i="24"/>
  <c r="AC59" i="24"/>
  <c r="O59" i="24"/>
  <c r="X60" i="24" l="1"/>
  <c r="AB60" i="24"/>
  <c r="A61" i="24"/>
  <c r="AJ60" i="24"/>
  <c r="AE57" i="7"/>
  <c r="K60" i="24"/>
  <c r="L60" i="24"/>
  <c r="AK60" i="24"/>
  <c r="AC60" i="24"/>
  <c r="O60" i="24"/>
  <c r="AG57" i="7" s="1"/>
  <c r="K69" i="15"/>
  <c r="L69" i="15"/>
  <c r="A70" i="15"/>
  <c r="AJ69" i="15"/>
  <c r="AB69" i="15"/>
  <c r="X69" i="15"/>
  <c r="AK69" i="15"/>
  <c r="AC69" i="15"/>
  <c r="O69" i="15"/>
  <c r="AB64" i="17"/>
  <c r="X64" i="17"/>
  <c r="AJ64" i="17"/>
  <c r="A65" i="17"/>
  <c r="L64" i="17"/>
  <c r="K64" i="17"/>
  <c r="AK64" i="17"/>
  <c r="O64" i="17"/>
  <c r="AC64" i="17"/>
  <c r="D63" i="17"/>
  <c r="E63" i="17" s="1"/>
  <c r="D62" i="16"/>
  <c r="E62" i="16" s="1"/>
  <c r="K63" i="16"/>
  <c r="X63" i="16"/>
  <c r="AJ63" i="16"/>
  <c r="A64" i="16"/>
  <c r="L63" i="16"/>
  <c r="AB63" i="16"/>
  <c r="AK63" i="16"/>
  <c r="AC63" i="16"/>
  <c r="O63" i="16"/>
  <c r="AF45" i="7"/>
  <c r="AB61" i="23"/>
  <c r="L61" i="23"/>
  <c r="AJ61" i="23"/>
  <c r="A62" i="23"/>
  <c r="K61" i="23"/>
  <c r="X61" i="23"/>
  <c r="AK61" i="23"/>
  <c r="AC61" i="23"/>
  <c r="O61" i="23"/>
  <c r="AB62" i="22"/>
  <c r="L62" i="22"/>
  <c r="K62" i="22"/>
  <c r="AK62" i="22"/>
  <c r="X62" i="22"/>
  <c r="A63" i="22"/>
  <c r="AJ62" i="22"/>
  <c r="AC62" i="22"/>
  <c r="O62" i="22"/>
  <c r="D68" i="15"/>
  <c r="E68" i="15" s="1"/>
  <c r="AB70" i="1"/>
  <c r="L70" i="1"/>
  <c r="AJ70" i="1"/>
  <c r="AC70" i="1"/>
  <c r="Q70" i="1"/>
  <c r="AK70" i="1"/>
  <c r="K70" i="1"/>
  <c r="X70" i="1"/>
  <c r="O70" i="1"/>
  <c r="A71" i="1"/>
  <c r="U70" i="1"/>
  <c r="T69" i="1"/>
  <c r="A60" i="25"/>
  <c r="L59" i="25"/>
  <c r="AJ59" i="25"/>
  <c r="AB59" i="25"/>
  <c r="X59" i="25"/>
  <c r="K59" i="25"/>
  <c r="AK59" i="25"/>
  <c r="AC59" i="25"/>
  <c r="O59" i="25"/>
  <c r="A68" i="18"/>
  <c r="K67" i="18"/>
  <c r="L67" i="18"/>
  <c r="AK67" i="18"/>
  <c r="X67" i="18"/>
  <c r="AB67" i="18"/>
  <c r="AJ67" i="18"/>
  <c r="AC67" i="18"/>
  <c r="O67" i="18"/>
  <c r="S68" i="1"/>
  <c r="R68" i="1" s="1"/>
  <c r="P68" i="1" s="1"/>
  <c r="V68" i="1" s="1"/>
  <c r="AA68" i="1" s="1"/>
  <c r="Z68" i="1" s="1"/>
  <c r="Y68" i="1" s="1"/>
  <c r="AB63" i="20"/>
  <c r="L63" i="20"/>
  <c r="X63" i="20"/>
  <c r="AK63" i="20"/>
  <c r="K63" i="20"/>
  <c r="A64" i="20"/>
  <c r="AJ63" i="20"/>
  <c r="AC63" i="20"/>
  <c r="O63" i="20"/>
  <c r="AE69" i="7" l="1"/>
  <c r="L60" i="25"/>
  <c r="AB60" i="25"/>
  <c r="AK60" i="25"/>
  <c r="X60" i="25"/>
  <c r="A61" i="25"/>
  <c r="K60" i="25"/>
  <c r="AJ60" i="25"/>
  <c r="AC60" i="25"/>
  <c r="O60" i="25"/>
  <c r="AG69" i="7" s="1"/>
  <c r="S69" i="1"/>
  <c r="R69" i="1" s="1"/>
  <c r="P69" i="1" s="1"/>
  <c r="V69" i="1" s="1"/>
  <c r="AA69" i="1" s="1"/>
  <c r="Z69" i="1" s="1"/>
  <c r="Y69" i="1" s="1"/>
  <c r="T70" i="1"/>
  <c r="L62" i="23"/>
  <c r="K62" i="23"/>
  <c r="X62" i="23"/>
  <c r="AK62" i="23"/>
  <c r="AB62" i="23"/>
  <c r="A63" i="23"/>
  <c r="AJ62" i="23"/>
  <c r="AC62" i="23"/>
  <c r="O62" i="23"/>
  <c r="D63" i="16"/>
  <c r="E63" i="16" s="1"/>
  <c r="D64" i="17"/>
  <c r="E64" i="17" s="1"/>
  <c r="D69" i="15"/>
  <c r="E69" i="15" s="1"/>
  <c r="AF57" i="7"/>
  <c r="A62" i="24"/>
  <c r="AB61" i="24"/>
  <c r="AJ61" i="24"/>
  <c r="K61" i="24"/>
  <c r="X61" i="24"/>
  <c r="L61" i="24"/>
  <c r="AK61" i="24"/>
  <c r="AC61" i="24"/>
  <c r="O61" i="24"/>
  <c r="X64" i="20"/>
  <c r="L64" i="20"/>
  <c r="AJ64" i="20"/>
  <c r="K64" i="20"/>
  <c r="AB64" i="20"/>
  <c r="A65" i="20"/>
  <c r="AK64" i="20"/>
  <c r="AC64" i="20"/>
  <c r="O64" i="20"/>
  <c r="A69" i="18"/>
  <c r="X68" i="18"/>
  <c r="AJ68" i="18"/>
  <c r="K68" i="18"/>
  <c r="AB68" i="18"/>
  <c r="L68" i="18"/>
  <c r="AK68" i="18"/>
  <c r="O68" i="18"/>
  <c r="AC68" i="18"/>
  <c r="L71" i="1"/>
  <c r="K71" i="1"/>
  <c r="X71" i="1"/>
  <c r="O71" i="1"/>
  <c r="AC71" i="1"/>
  <c r="A72" i="1"/>
  <c r="AJ71" i="1"/>
  <c r="AB71" i="1"/>
  <c r="AK71" i="1"/>
  <c r="U71" i="1"/>
  <c r="Q71" i="1"/>
  <c r="AB63" i="22"/>
  <c r="K63" i="22"/>
  <c r="A64" i="22"/>
  <c r="AK63" i="22"/>
  <c r="L63" i="22"/>
  <c r="X63" i="22"/>
  <c r="AJ63" i="22"/>
  <c r="AC63" i="22"/>
  <c r="O63" i="22"/>
  <c r="X64" i="16"/>
  <c r="A65" i="16"/>
  <c r="L64" i="16"/>
  <c r="AK64" i="16"/>
  <c r="K64" i="16"/>
  <c r="AB64" i="16"/>
  <c r="AJ64" i="16"/>
  <c r="AC64" i="16"/>
  <c r="O64" i="16"/>
  <c r="K65" i="17"/>
  <c r="AB65" i="17"/>
  <c r="AJ65" i="17"/>
  <c r="X65" i="17"/>
  <c r="L65" i="17"/>
  <c r="A66" i="17"/>
  <c r="AK65" i="17"/>
  <c r="O65" i="17"/>
  <c r="AC65" i="17"/>
  <c r="AB70" i="15"/>
  <c r="X70" i="15"/>
  <c r="AK70" i="15"/>
  <c r="K70" i="15"/>
  <c r="A71" i="15"/>
  <c r="L70" i="15"/>
  <c r="D70" i="15" s="1"/>
  <c r="AJ70" i="15"/>
  <c r="AC70" i="15"/>
  <c r="O70" i="15"/>
  <c r="E70" i="15" l="1"/>
  <c r="A72" i="15"/>
  <c r="AB71" i="15"/>
  <c r="AK71" i="15"/>
  <c r="L71" i="15"/>
  <c r="D71" i="15" s="1"/>
  <c r="X71" i="15"/>
  <c r="K71" i="15"/>
  <c r="AJ71" i="15"/>
  <c r="AC71" i="15"/>
  <c r="O71" i="15"/>
  <c r="D64" i="16"/>
  <c r="E64" i="16" s="1"/>
  <c r="X64" i="22"/>
  <c r="K64" i="22"/>
  <c r="AJ64" i="22"/>
  <c r="A65" i="22"/>
  <c r="L64" i="22"/>
  <c r="AB64" i="22"/>
  <c r="AK64" i="22"/>
  <c r="AC64" i="22"/>
  <c r="O64" i="22"/>
  <c r="T71" i="1"/>
  <c r="L72" i="1"/>
  <c r="AK72" i="1"/>
  <c r="Q72" i="1"/>
  <c r="A73" i="1"/>
  <c r="O72" i="1"/>
  <c r="U72" i="1"/>
  <c r="X72" i="1"/>
  <c r="K72" i="1"/>
  <c r="AJ72" i="1"/>
  <c r="AB72" i="1"/>
  <c r="AC72" i="1"/>
  <c r="K65" i="20"/>
  <c r="A66" i="20"/>
  <c r="X65" i="20"/>
  <c r="AK65" i="20"/>
  <c r="AB65" i="20"/>
  <c r="L65" i="20"/>
  <c r="AJ65" i="20"/>
  <c r="AC65" i="20"/>
  <c r="O65" i="20"/>
  <c r="X63" i="23"/>
  <c r="A64" i="23"/>
  <c r="K63" i="23"/>
  <c r="AK63" i="23"/>
  <c r="L63" i="23"/>
  <c r="AB63" i="23"/>
  <c r="AJ63" i="23"/>
  <c r="AC63" i="23"/>
  <c r="O63" i="23"/>
  <c r="S70" i="1"/>
  <c r="R70" i="1" s="1"/>
  <c r="P70" i="1" s="1"/>
  <c r="V70" i="1" s="1"/>
  <c r="AA70" i="1" s="1"/>
  <c r="Z70" i="1" s="1"/>
  <c r="Y70" i="1" s="1"/>
  <c r="D65" i="17"/>
  <c r="E65" i="17" s="1"/>
  <c r="A67" i="17"/>
  <c r="L66" i="17"/>
  <c r="AJ66" i="17"/>
  <c r="AB66" i="17"/>
  <c r="K66" i="17"/>
  <c r="X66" i="17"/>
  <c r="AK66" i="17"/>
  <c r="O66" i="17"/>
  <c r="AC66" i="17"/>
  <c r="L65" i="16"/>
  <c r="AB65" i="16"/>
  <c r="AJ65" i="16"/>
  <c r="X65" i="16"/>
  <c r="K65" i="16"/>
  <c r="A66" i="16"/>
  <c r="AK65" i="16"/>
  <c r="AC65" i="16"/>
  <c r="O65" i="16"/>
  <c r="K69" i="18"/>
  <c r="X69" i="18"/>
  <c r="A70" i="18"/>
  <c r="AK69" i="18"/>
  <c r="L69" i="18"/>
  <c r="AB69" i="18"/>
  <c r="AJ69" i="18"/>
  <c r="O69" i="18"/>
  <c r="AC69" i="18"/>
  <c r="K62" i="24"/>
  <c r="AB62" i="24"/>
  <c r="AJ62" i="24"/>
  <c r="A63" i="24"/>
  <c r="X62" i="24"/>
  <c r="L62" i="24"/>
  <c r="AK62" i="24"/>
  <c r="AC62" i="24"/>
  <c r="O62" i="24"/>
  <c r="L61" i="25"/>
  <c r="AB61" i="25"/>
  <c r="AJ61" i="25"/>
  <c r="K61" i="25"/>
  <c r="X61" i="25"/>
  <c r="A62" i="25"/>
  <c r="AK61" i="25"/>
  <c r="AC61" i="25"/>
  <c r="O61" i="25"/>
  <c r="AF69" i="7"/>
  <c r="E71" i="15" l="1"/>
  <c r="L62" i="25"/>
  <c r="A63" i="25"/>
  <c r="AJ62" i="25"/>
  <c r="X62" i="25"/>
  <c r="AB62" i="25"/>
  <c r="K62" i="25"/>
  <c r="AK62" i="25"/>
  <c r="AC62" i="25"/>
  <c r="O62" i="25"/>
  <c r="AB63" i="24"/>
  <c r="K63" i="24"/>
  <c r="L63" i="24"/>
  <c r="AK63" i="24"/>
  <c r="X63" i="24"/>
  <c r="A64" i="24"/>
  <c r="AJ63" i="24"/>
  <c r="AC63" i="24"/>
  <c r="O63" i="24"/>
  <c r="K70" i="18"/>
  <c r="L70" i="18"/>
  <c r="AJ70" i="18"/>
  <c r="AB70" i="18"/>
  <c r="X70" i="18"/>
  <c r="A71" i="18"/>
  <c r="AK70" i="18"/>
  <c r="AC70" i="18"/>
  <c r="O70" i="18"/>
  <c r="AB66" i="16"/>
  <c r="X66" i="16"/>
  <c r="AJ66" i="16"/>
  <c r="A67" i="16"/>
  <c r="L66" i="16"/>
  <c r="K66" i="16"/>
  <c r="AK66" i="16"/>
  <c r="AC66" i="16"/>
  <c r="O66" i="16"/>
  <c r="X67" i="17"/>
  <c r="A68" i="17"/>
  <c r="L67" i="17"/>
  <c r="AK67" i="17"/>
  <c r="AB67" i="17"/>
  <c r="K67" i="17"/>
  <c r="AJ67" i="17"/>
  <c r="O67" i="17"/>
  <c r="AC67" i="17"/>
  <c r="L66" i="20"/>
  <c r="K66" i="20"/>
  <c r="AJ66" i="20"/>
  <c r="X66" i="20"/>
  <c r="A67" i="20"/>
  <c r="AB66" i="20"/>
  <c r="AK66" i="20"/>
  <c r="AC66" i="20"/>
  <c r="O66" i="20"/>
  <c r="T72" i="1"/>
  <c r="X73" i="1"/>
  <c r="AB73" i="1"/>
  <c r="L73" i="1"/>
  <c r="AK73" i="1"/>
  <c r="U73" i="1"/>
  <c r="K73" i="1"/>
  <c r="AJ73" i="1"/>
  <c r="A74" i="1"/>
  <c r="Q73" i="1"/>
  <c r="O73" i="1"/>
  <c r="AC73" i="1"/>
  <c r="X72" i="15"/>
  <c r="AB72" i="15"/>
  <c r="AK72" i="15"/>
  <c r="K72" i="15"/>
  <c r="L72" i="15"/>
  <c r="A73" i="15"/>
  <c r="AJ72" i="15"/>
  <c r="AC72" i="15"/>
  <c r="O72" i="15"/>
  <c r="D65" i="16"/>
  <c r="E65" i="16" s="1"/>
  <c r="D66" i="17"/>
  <c r="E66" i="17" s="1"/>
  <c r="AB64" i="23"/>
  <c r="K64" i="23"/>
  <c r="L64" i="23"/>
  <c r="AK64" i="23"/>
  <c r="A65" i="23"/>
  <c r="X64" i="23"/>
  <c r="AJ64" i="23"/>
  <c r="AC64" i="23"/>
  <c r="O64" i="23"/>
  <c r="S71" i="1"/>
  <c r="R71" i="1" s="1"/>
  <c r="P71" i="1" s="1"/>
  <c r="V71" i="1" s="1"/>
  <c r="AA71" i="1" s="1"/>
  <c r="Z71" i="1" s="1"/>
  <c r="Y71" i="1" s="1"/>
  <c r="AB65" i="22"/>
  <c r="K65" i="22"/>
  <c r="A66" i="22"/>
  <c r="AK65" i="22"/>
  <c r="L65" i="22"/>
  <c r="X65" i="22"/>
  <c r="AJ65" i="22"/>
  <c r="AC65" i="22"/>
  <c r="O65" i="22"/>
  <c r="L66" i="22" l="1"/>
  <c r="X66" i="22"/>
  <c r="AJ66" i="22"/>
  <c r="A67" i="22"/>
  <c r="AB66" i="22"/>
  <c r="K66" i="22"/>
  <c r="AK66" i="22"/>
  <c r="AC66" i="22"/>
  <c r="O66" i="22"/>
  <c r="AB65" i="23"/>
  <c r="A66" i="23"/>
  <c r="AJ65" i="23"/>
  <c r="K65" i="23"/>
  <c r="X65" i="23"/>
  <c r="L65" i="23"/>
  <c r="AK65" i="23"/>
  <c r="AC65" i="23"/>
  <c r="O65" i="23"/>
  <c r="AB73" i="15"/>
  <c r="A74" i="15"/>
  <c r="AJ73" i="15"/>
  <c r="L73" i="15"/>
  <c r="X73" i="15"/>
  <c r="K73" i="15"/>
  <c r="AK73" i="15"/>
  <c r="AC73" i="15"/>
  <c r="O73" i="15"/>
  <c r="T73" i="1"/>
  <c r="S72" i="1"/>
  <c r="R72" i="1" s="1"/>
  <c r="P72" i="1" s="1"/>
  <c r="V72" i="1" s="1"/>
  <c r="AA72" i="1" s="1"/>
  <c r="Z72" i="1" s="1"/>
  <c r="Y72" i="1" s="1"/>
  <c r="K68" i="17"/>
  <c r="AB68" i="17"/>
  <c r="X68" i="17"/>
  <c r="AK68" i="17"/>
  <c r="L68" i="17"/>
  <c r="A69" i="17"/>
  <c r="AJ68" i="17"/>
  <c r="O68" i="17"/>
  <c r="AC68" i="17"/>
  <c r="D66" i="16"/>
  <c r="E66" i="16" s="1"/>
  <c r="A72" i="18"/>
  <c r="L71" i="18"/>
  <c r="K71" i="18"/>
  <c r="AK71" i="18"/>
  <c r="AB71" i="18"/>
  <c r="X71" i="18"/>
  <c r="AJ71" i="18"/>
  <c r="O71" i="18"/>
  <c r="AC71" i="18"/>
  <c r="X63" i="25"/>
  <c r="K63" i="25"/>
  <c r="A64" i="25"/>
  <c r="AK63" i="25"/>
  <c r="L63" i="25"/>
  <c r="AB63" i="25"/>
  <c r="AJ63" i="25"/>
  <c r="AC63" i="25"/>
  <c r="O63" i="25"/>
  <c r="D72" i="15"/>
  <c r="E72" i="15" s="1"/>
  <c r="AB74" i="1"/>
  <c r="Q74" i="1"/>
  <c r="L74" i="1"/>
  <c r="AJ74" i="1"/>
  <c r="U74" i="1"/>
  <c r="AC74" i="1"/>
  <c r="A75" i="1"/>
  <c r="AK74" i="1"/>
  <c r="X74" i="1"/>
  <c r="K74" i="1"/>
  <c r="O74" i="1"/>
  <c r="A68" i="20"/>
  <c r="K67" i="20"/>
  <c r="X67" i="20"/>
  <c r="AK67" i="20"/>
  <c r="AB67" i="20"/>
  <c r="L67" i="20"/>
  <c r="AJ67" i="20"/>
  <c r="AC67" i="20"/>
  <c r="O67" i="20"/>
  <c r="D67" i="17"/>
  <c r="E67" i="17" s="1"/>
  <c r="AB67" i="16"/>
  <c r="A68" i="16"/>
  <c r="K67" i="16"/>
  <c r="AK67" i="16"/>
  <c r="X67" i="16"/>
  <c r="L67" i="16"/>
  <c r="AJ67" i="16"/>
  <c r="AC67" i="16"/>
  <c r="O67" i="16"/>
  <c r="A65" i="24"/>
  <c r="AB64" i="24"/>
  <c r="AJ64" i="24"/>
  <c r="K64" i="24"/>
  <c r="X64" i="24"/>
  <c r="L64" i="24"/>
  <c r="AK64" i="24"/>
  <c r="AC64" i="24"/>
  <c r="O64" i="24"/>
  <c r="D67" i="16" l="1"/>
  <c r="E67" i="16" s="1"/>
  <c r="X68" i="16"/>
  <c r="A69" i="16"/>
  <c r="K68" i="16"/>
  <c r="AK68" i="16"/>
  <c r="L68" i="16"/>
  <c r="AB68" i="16"/>
  <c r="AJ68" i="16"/>
  <c r="AC68" i="16"/>
  <c r="O68" i="16"/>
  <c r="K68" i="20"/>
  <c r="L68" i="20"/>
  <c r="A69" i="20"/>
  <c r="AK68" i="20"/>
  <c r="X68" i="20"/>
  <c r="AB68" i="20"/>
  <c r="AJ68" i="20"/>
  <c r="AC68" i="20"/>
  <c r="O68" i="20"/>
  <c r="AB75" i="1"/>
  <c r="K75" i="1"/>
  <c r="AJ75" i="1"/>
  <c r="AC75" i="1"/>
  <c r="U75" i="1"/>
  <c r="O75" i="1"/>
  <c r="X75" i="1"/>
  <c r="AK75" i="1"/>
  <c r="A76" i="1"/>
  <c r="L75" i="1"/>
  <c r="Q75" i="1"/>
  <c r="T74" i="1"/>
  <c r="AB69" i="17"/>
  <c r="X69" i="17"/>
  <c r="AJ69" i="17"/>
  <c r="K69" i="17"/>
  <c r="A70" i="17"/>
  <c r="L69" i="17"/>
  <c r="AK69" i="17"/>
  <c r="AC69" i="17"/>
  <c r="O69" i="17"/>
  <c r="D73" i="15"/>
  <c r="E73" i="15" s="1"/>
  <c r="A75" i="15"/>
  <c r="L74" i="15"/>
  <c r="AB74" i="15"/>
  <c r="AK74" i="15"/>
  <c r="X74" i="15"/>
  <c r="K74" i="15"/>
  <c r="AJ74" i="15"/>
  <c r="AC74" i="15"/>
  <c r="O74" i="15"/>
  <c r="A67" i="23"/>
  <c r="K66" i="23"/>
  <c r="AJ66" i="23"/>
  <c r="X66" i="23"/>
  <c r="AB66" i="23"/>
  <c r="L66" i="23"/>
  <c r="AK66" i="23"/>
  <c r="AC66" i="23"/>
  <c r="O66" i="23"/>
  <c r="X67" i="22"/>
  <c r="L67" i="22"/>
  <c r="AJ67" i="22"/>
  <c r="AB67" i="22"/>
  <c r="A68" i="22"/>
  <c r="K67" i="22"/>
  <c r="AK67" i="22"/>
  <c r="AC67" i="22"/>
  <c r="O67" i="22"/>
  <c r="AB65" i="24"/>
  <c r="K65" i="24"/>
  <c r="A66" i="24"/>
  <c r="AK65" i="24"/>
  <c r="L65" i="24"/>
  <c r="X65" i="24"/>
  <c r="AJ65" i="24"/>
  <c r="AC65" i="24"/>
  <c r="O65" i="24"/>
  <c r="A65" i="25"/>
  <c r="L64" i="25"/>
  <c r="AJ64" i="25"/>
  <c r="K64" i="25"/>
  <c r="AB64" i="25"/>
  <c r="X64" i="25"/>
  <c r="AK64" i="25"/>
  <c r="AC64" i="25"/>
  <c r="O64" i="25"/>
  <c r="AB72" i="18"/>
  <c r="L72" i="18"/>
  <c r="AJ72" i="18"/>
  <c r="X72" i="18"/>
  <c r="A73" i="18"/>
  <c r="K72" i="18"/>
  <c r="AK72" i="18"/>
  <c r="AC72" i="18"/>
  <c r="O72" i="18"/>
  <c r="D68" i="17"/>
  <c r="E68" i="17" s="1"/>
  <c r="S73" i="1"/>
  <c r="R73" i="1" s="1"/>
  <c r="P73" i="1" s="1"/>
  <c r="V73" i="1" s="1"/>
  <c r="AA73" i="1" s="1"/>
  <c r="Z73" i="1" s="1"/>
  <c r="Y73" i="1" s="1"/>
  <c r="K65" i="25" l="1"/>
  <c r="X65" i="25"/>
  <c r="A66" i="25"/>
  <c r="AK65" i="25"/>
  <c r="L65" i="25"/>
  <c r="AB65" i="25"/>
  <c r="AJ65" i="25"/>
  <c r="AC65" i="25"/>
  <c r="O65" i="25"/>
  <c r="A68" i="23"/>
  <c r="AB67" i="23"/>
  <c r="K67" i="23"/>
  <c r="AK67" i="23"/>
  <c r="X67" i="23"/>
  <c r="L67" i="23"/>
  <c r="AJ67" i="23"/>
  <c r="AC67" i="23"/>
  <c r="O67" i="23"/>
  <c r="D74" i="15"/>
  <c r="AB70" i="17"/>
  <c r="L70" i="17"/>
  <c r="X70" i="17"/>
  <c r="AK70" i="17"/>
  <c r="K70" i="17"/>
  <c r="A71" i="17"/>
  <c r="AJ70" i="17"/>
  <c r="O70" i="17"/>
  <c r="AC70" i="17"/>
  <c r="S74" i="1"/>
  <c r="R74" i="1" s="1"/>
  <c r="P74" i="1" s="1"/>
  <c r="V74" i="1" s="1"/>
  <c r="AA74" i="1" s="1"/>
  <c r="Z74" i="1" s="1"/>
  <c r="Y74" i="1" s="1"/>
  <c r="L69" i="20"/>
  <c r="A70" i="20"/>
  <c r="AJ69" i="20"/>
  <c r="K69" i="20"/>
  <c r="X69" i="20"/>
  <c r="AB69" i="20"/>
  <c r="AK69" i="20"/>
  <c r="AC69" i="20"/>
  <c r="O69" i="20"/>
  <c r="D68" i="16"/>
  <c r="E68" i="16" s="1"/>
  <c r="X73" i="18"/>
  <c r="A74" i="18"/>
  <c r="L73" i="18"/>
  <c r="AK73" i="18"/>
  <c r="K73" i="18"/>
  <c r="AB73" i="18"/>
  <c r="AJ73" i="18"/>
  <c r="O73" i="18"/>
  <c r="AC73" i="18"/>
  <c r="AB66" i="24"/>
  <c r="X66" i="24"/>
  <c r="L66" i="24"/>
  <c r="AK66" i="24"/>
  <c r="A67" i="24"/>
  <c r="K66" i="24"/>
  <c r="AJ66" i="24"/>
  <c r="AC66" i="24"/>
  <c r="O66" i="24"/>
  <c r="X68" i="22"/>
  <c r="AB68" i="22"/>
  <c r="L68" i="22"/>
  <c r="AK68" i="22"/>
  <c r="A69" i="22"/>
  <c r="K68" i="22"/>
  <c r="AJ68" i="22"/>
  <c r="AC68" i="22"/>
  <c r="O68" i="22"/>
  <c r="E74" i="15"/>
  <c r="AB75" i="15"/>
  <c r="L75" i="15"/>
  <c r="D75" i="15" s="1"/>
  <c r="X75" i="15"/>
  <c r="AJ75" i="15"/>
  <c r="A76" i="15"/>
  <c r="K75" i="15"/>
  <c r="AK75" i="15"/>
  <c r="AC75" i="15"/>
  <c r="O75" i="15"/>
  <c r="D69" i="17"/>
  <c r="E69" i="17" s="1"/>
  <c r="K76" i="1"/>
  <c r="A77" i="1"/>
  <c r="AB76" i="1"/>
  <c r="O76" i="1"/>
  <c r="U76" i="1"/>
  <c r="AC76" i="1"/>
  <c r="AK76" i="1"/>
  <c r="AJ76" i="1"/>
  <c r="X76" i="1"/>
  <c r="L76" i="1"/>
  <c r="Q76" i="1"/>
  <c r="T75" i="1"/>
  <c r="AB69" i="16"/>
  <c r="L69" i="16"/>
  <c r="A70" i="16"/>
  <c r="AK69" i="16"/>
  <c r="K69" i="16"/>
  <c r="X69" i="16"/>
  <c r="AJ69" i="16"/>
  <c r="AC69" i="16"/>
  <c r="O69" i="16"/>
  <c r="E75" i="15" l="1"/>
  <c r="D69" i="16"/>
  <c r="T76" i="1"/>
  <c r="X74" i="18"/>
  <c r="L74" i="18"/>
  <c r="A75" i="18"/>
  <c r="AK74" i="18"/>
  <c r="AB74" i="18"/>
  <c r="K74" i="18"/>
  <c r="AJ74" i="18"/>
  <c r="O74" i="18"/>
  <c r="AC74" i="18"/>
  <c r="K70" i="20"/>
  <c r="AB70" i="20"/>
  <c r="AJ70" i="20"/>
  <c r="A71" i="20"/>
  <c r="L70" i="20"/>
  <c r="X70" i="20"/>
  <c r="AK70" i="20"/>
  <c r="AC70" i="20"/>
  <c r="O70" i="20"/>
  <c r="X71" i="17"/>
  <c r="A72" i="17"/>
  <c r="AB71" i="17"/>
  <c r="AK71" i="17"/>
  <c r="L71" i="17"/>
  <c r="K71" i="17"/>
  <c r="AJ71" i="17"/>
  <c r="AC71" i="17"/>
  <c r="O71" i="17"/>
  <c r="D70" i="17"/>
  <c r="E70" i="17" s="1"/>
  <c r="AB68" i="23"/>
  <c r="A69" i="23"/>
  <c r="L68" i="23"/>
  <c r="AK68" i="23"/>
  <c r="K68" i="23"/>
  <c r="X68" i="23"/>
  <c r="AJ68" i="23"/>
  <c r="AC68" i="23"/>
  <c r="O68" i="23"/>
  <c r="A67" i="25"/>
  <c r="K66" i="25"/>
  <c r="AB66" i="25"/>
  <c r="AK66" i="25"/>
  <c r="X66" i="25"/>
  <c r="L66" i="25"/>
  <c r="AJ66" i="25"/>
  <c r="AC66" i="25"/>
  <c r="O66" i="25"/>
  <c r="E69" i="16"/>
  <c r="AB70" i="16"/>
  <c r="A71" i="16"/>
  <c r="AJ70" i="16"/>
  <c r="X70" i="16"/>
  <c r="L70" i="16"/>
  <c r="K70" i="16"/>
  <c r="AK70" i="16"/>
  <c r="AC70" i="16"/>
  <c r="O70" i="16"/>
  <c r="S75" i="1"/>
  <c r="R75" i="1" s="1"/>
  <c r="P75" i="1" s="1"/>
  <c r="V75" i="1" s="1"/>
  <c r="AA75" i="1" s="1"/>
  <c r="Z75" i="1" s="1"/>
  <c r="Y75" i="1" s="1"/>
  <c r="AB77" i="1"/>
  <c r="K77" i="1"/>
  <c r="AJ77" i="1"/>
  <c r="X77" i="1"/>
  <c r="U77" i="1"/>
  <c r="L77" i="1"/>
  <c r="A78" i="1"/>
  <c r="AK77" i="1"/>
  <c r="Q77" i="1"/>
  <c r="O77" i="1"/>
  <c r="AC77" i="1"/>
  <c r="K76" i="15"/>
  <c r="AB76" i="15"/>
  <c r="AJ76" i="15"/>
  <c r="X76" i="15"/>
  <c r="A77" i="15"/>
  <c r="L76" i="15"/>
  <c r="AK76" i="15"/>
  <c r="AC76" i="15"/>
  <c r="O76" i="15"/>
  <c r="L69" i="22"/>
  <c r="A70" i="22"/>
  <c r="AB69" i="22"/>
  <c r="AK69" i="22"/>
  <c r="X69" i="22"/>
  <c r="K69" i="22"/>
  <c r="AJ69" i="22"/>
  <c r="AC69" i="22"/>
  <c r="O69" i="22"/>
  <c r="L67" i="24"/>
  <c r="AB67" i="24"/>
  <c r="AJ67" i="24"/>
  <c r="X67" i="24"/>
  <c r="K67" i="24"/>
  <c r="A68" i="24"/>
  <c r="AK67" i="24"/>
  <c r="AC67" i="24"/>
  <c r="O67" i="24"/>
  <c r="AB68" i="24" l="1"/>
  <c r="K68" i="24"/>
  <c r="AJ68" i="24"/>
  <c r="X68" i="24"/>
  <c r="A69" i="24"/>
  <c r="L68" i="24"/>
  <c r="AK68" i="24"/>
  <c r="AC68" i="24"/>
  <c r="O68" i="24"/>
  <c r="X70" i="22"/>
  <c r="L70" i="22"/>
  <c r="AJ70" i="22"/>
  <c r="K70" i="22"/>
  <c r="AB70" i="22"/>
  <c r="A71" i="22"/>
  <c r="AK70" i="22"/>
  <c r="AC70" i="22"/>
  <c r="O70" i="22"/>
  <c r="D76" i="15"/>
  <c r="E76" i="15" s="1"/>
  <c r="D70" i="16"/>
  <c r="E70" i="16" s="1"/>
  <c r="A68" i="25"/>
  <c r="L67" i="25"/>
  <c r="X67" i="25"/>
  <c r="AK67" i="25"/>
  <c r="K67" i="25"/>
  <c r="AB67" i="25"/>
  <c r="AJ67" i="25"/>
  <c r="AC67" i="25"/>
  <c r="O67" i="25"/>
  <c r="D71" i="17"/>
  <c r="E71" i="17" s="1"/>
  <c r="AB75" i="18"/>
  <c r="L75" i="18"/>
  <c r="AJ75" i="18"/>
  <c r="K75" i="18"/>
  <c r="X75" i="18"/>
  <c r="A76" i="18"/>
  <c r="AK75" i="18"/>
  <c r="O75" i="18"/>
  <c r="AC75" i="18"/>
  <c r="AB77" i="15"/>
  <c r="A78" i="15"/>
  <c r="AK77" i="15"/>
  <c r="L77" i="15"/>
  <c r="D77" i="15" s="1"/>
  <c r="X77" i="15"/>
  <c r="K77" i="15"/>
  <c r="AJ77" i="15"/>
  <c r="AC77" i="15"/>
  <c r="O77" i="15"/>
  <c r="L78" i="1"/>
  <c r="K78" i="1"/>
  <c r="A79" i="1"/>
  <c r="AC78" i="1"/>
  <c r="U78" i="1"/>
  <c r="O78" i="1"/>
  <c r="X78" i="1"/>
  <c r="AB78" i="1"/>
  <c r="AJ78" i="1"/>
  <c r="AK78" i="1"/>
  <c r="Q78" i="1"/>
  <c r="T77" i="1"/>
  <c r="K71" i="16"/>
  <c r="A72" i="16"/>
  <c r="AJ71" i="16"/>
  <c r="L71" i="16"/>
  <c r="AB71" i="16"/>
  <c r="X71" i="16"/>
  <c r="AK71" i="16"/>
  <c r="AC71" i="16"/>
  <c r="O71" i="16"/>
  <c r="A70" i="23"/>
  <c r="AB69" i="23"/>
  <c r="K69" i="23"/>
  <c r="AK69" i="23"/>
  <c r="X69" i="23"/>
  <c r="L69" i="23"/>
  <c r="AJ69" i="23"/>
  <c r="AC69" i="23"/>
  <c r="O69" i="23"/>
  <c r="X72" i="17"/>
  <c r="A73" i="17"/>
  <c r="K72" i="17"/>
  <c r="AK72" i="17"/>
  <c r="AB72" i="17"/>
  <c r="L72" i="17"/>
  <c r="AJ72" i="17"/>
  <c r="O72" i="17"/>
  <c r="AC72" i="17"/>
  <c r="L71" i="20"/>
  <c r="K71" i="20"/>
  <c r="AJ71" i="20"/>
  <c r="AB71" i="20"/>
  <c r="X71" i="20"/>
  <c r="A72" i="20"/>
  <c r="AK71" i="20"/>
  <c r="AC71" i="20"/>
  <c r="O71" i="20"/>
  <c r="S76" i="1"/>
  <c r="R76" i="1" s="1"/>
  <c r="P76" i="1" s="1"/>
  <c r="V76" i="1" s="1"/>
  <c r="AA76" i="1" s="1"/>
  <c r="Z76" i="1" s="1"/>
  <c r="Y76" i="1" s="1"/>
  <c r="D72" i="17" l="1"/>
  <c r="E72" i="17" s="1"/>
  <c r="X73" i="17"/>
  <c r="K73" i="17"/>
  <c r="A74" i="17"/>
  <c r="AK73" i="17"/>
  <c r="AB73" i="17"/>
  <c r="L73" i="17"/>
  <c r="AJ73" i="17"/>
  <c r="O73" i="17"/>
  <c r="AC73" i="17"/>
  <c r="X70" i="23"/>
  <c r="L70" i="23"/>
  <c r="AJ70" i="23"/>
  <c r="AB70" i="23"/>
  <c r="A71" i="23"/>
  <c r="K70" i="23"/>
  <c r="AK70" i="23"/>
  <c r="AC70" i="23"/>
  <c r="O70" i="23"/>
  <c r="D71" i="16"/>
  <c r="X72" i="16"/>
  <c r="L72" i="16"/>
  <c r="A73" i="16"/>
  <c r="AK72" i="16"/>
  <c r="K72" i="16"/>
  <c r="AB72" i="16"/>
  <c r="AJ72" i="16"/>
  <c r="AC72" i="16"/>
  <c r="O72" i="16"/>
  <c r="S77" i="1"/>
  <c r="R77" i="1" s="1"/>
  <c r="P77" i="1" s="1"/>
  <c r="V77" i="1" s="1"/>
  <c r="AA77" i="1" s="1"/>
  <c r="Z77" i="1" s="1"/>
  <c r="Y77" i="1" s="1"/>
  <c r="T78" i="1"/>
  <c r="AB79" i="1"/>
  <c r="K79" i="1"/>
  <c r="AK79" i="1"/>
  <c r="X79" i="1"/>
  <c r="U79" i="1"/>
  <c r="AJ79" i="1"/>
  <c r="L79" i="1"/>
  <c r="A80" i="1"/>
  <c r="Q79" i="1"/>
  <c r="AC79" i="1"/>
  <c r="O79" i="1"/>
  <c r="L78" i="15"/>
  <c r="D78" i="15" s="1"/>
  <c r="AB78" i="15"/>
  <c r="X78" i="15"/>
  <c r="AJ78" i="15"/>
  <c r="A79" i="15"/>
  <c r="K78" i="15"/>
  <c r="AK78" i="15"/>
  <c r="AC78" i="15"/>
  <c r="O78" i="15"/>
  <c r="E78" i="15" s="1"/>
  <c r="K76" i="18"/>
  <c r="AB76" i="18"/>
  <c r="AJ76" i="18"/>
  <c r="A77" i="18"/>
  <c r="L76" i="18"/>
  <c r="X76" i="18"/>
  <c r="AK76" i="18"/>
  <c r="O76" i="18"/>
  <c r="AC76" i="18"/>
  <c r="K71" i="22"/>
  <c r="AB71" i="22"/>
  <c r="X71" i="22"/>
  <c r="AK71" i="22"/>
  <c r="A72" i="22"/>
  <c r="L71" i="22"/>
  <c r="AJ71" i="22"/>
  <c r="AC71" i="22"/>
  <c r="O71" i="22"/>
  <c r="L69" i="24"/>
  <c r="A70" i="24"/>
  <c r="AJ69" i="24"/>
  <c r="K69" i="24"/>
  <c r="X69" i="24"/>
  <c r="AB69" i="24"/>
  <c r="AK69" i="24"/>
  <c r="AC69" i="24"/>
  <c r="O69" i="24"/>
  <c r="L72" i="20"/>
  <c r="X72" i="20"/>
  <c r="AJ72" i="20"/>
  <c r="K72" i="20"/>
  <c r="AB72" i="20"/>
  <c r="A73" i="20"/>
  <c r="AK72" i="20"/>
  <c r="AC72" i="20"/>
  <c r="O72" i="20"/>
  <c r="E71" i="16"/>
  <c r="E77" i="15"/>
  <c r="A69" i="25"/>
  <c r="K68" i="25"/>
  <c r="AB68" i="25"/>
  <c r="AK68" i="25"/>
  <c r="L68" i="25"/>
  <c r="X68" i="25"/>
  <c r="AJ68" i="25"/>
  <c r="AC68" i="25"/>
  <c r="O68" i="25"/>
  <c r="AB69" i="25" l="1"/>
  <c r="A70" i="25"/>
  <c r="K69" i="25"/>
  <c r="AK69" i="25"/>
  <c r="L69" i="25"/>
  <c r="X69" i="25"/>
  <c r="AJ69" i="25"/>
  <c r="AC69" i="25"/>
  <c r="O69" i="25"/>
  <c r="AB70" i="24"/>
  <c r="A71" i="24"/>
  <c r="L70" i="24"/>
  <c r="AK70" i="24"/>
  <c r="X70" i="24"/>
  <c r="K70" i="24"/>
  <c r="AJ70" i="24"/>
  <c r="AC70" i="24"/>
  <c r="O70" i="24"/>
  <c r="K77" i="18"/>
  <c r="A78" i="18"/>
  <c r="AJ77" i="18"/>
  <c r="X77" i="18"/>
  <c r="AB77" i="18"/>
  <c r="L77" i="18"/>
  <c r="AK77" i="18"/>
  <c r="AC77" i="18"/>
  <c r="O77" i="18"/>
  <c r="AJ80" i="1"/>
  <c r="AB80" i="1"/>
  <c r="K80" i="1"/>
  <c r="X80" i="1"/>
  <c r="U80" i="1"/>
  <c r="AC80" i="1"/>
  <c r="AK80" i="1"/>
  <c r="A81" i="1"/>
  <c r="L80" i="1"/>
  <c r="Q80" i="1"/>
  <c r="O80" i="1"/>
  <c r="AB73" i="16"/>
  <c r="A74" i="16"/>
  <c r="K73" i="16"/>
  <c r="AK73" i="16"/>
  <c r="X73" i="16"/>
  <c r="L73" i="16"/>
  <c r="AJ73" i="16"/>
  <c r="AC73" i="16"/>
  <c r="O73" i="16"/>
  <c r="D73" i="17"/>
  <c r="E73" i="17" s="1"/>
  <c r="X73" i="20"/>
  <c r="AB73" i="20"/>
  <c r="K73" i="20"/>
  <c r="AK73" i="20"/>
  <c r="L73" i="20"/>
  <c r="A74" i="20"/>
  <c r="AJ73" i="20"/>
  <c r="AC73" i="20"/>
  <c r="O73" i="20"/>
  <c r="L72" i="22"/>
  <c r="X72" i="22"/>
  <c r="AJ72" i="22"/>
  <c r="A73" i="22"/>
  <c r="AB72" i="22"/>
  <c r="K72" i="22"/>
  <c r="AK72" i="22"/>
  <c r="AC72" i="22"/>
  <c r="O72" i="22"/>
  <c r="A80" i="15"/>
  <c r="K79" i="15"/>
  <c r="AK79" i="15"/>
  <c r="L79" i="15"/>
  <c r="D79" i="15" s="1"/>
  <c r="X79" i="15"/>
  <c r="AB79" i="15"/>
  <c r="AJ79" i="15"/>
  <c r="AC79" i="15"/>
  <c r="O79" i="15"/>
  <c r="T79" i="1"/>
  <c r="S78" i="1"/>
  <c r="R78" i="1" s="1"/>
  <c r="P78" i="1" s="1"/>
  <c r="V78" i="1" s="1"/>
  <c r="AA78" i="1" s="1"/>
  <c r="Z78" i="1" s="1"/>
  <c r="Y78" i="1" s="1"/>
  <c r="D72" i="16"/>
  <c r="E72" i="16" s="1"/>
  <c r="A72" i="23"/>
  <c r="K71" i="23"/>
  <c r="AB71" i="23"/>
  <c r="AK71" i="23"/>
  <c r="X71" i="23"/>
  <c r="L71" i="23"/>
  <c r="AJ71" i="23"/>
  <c r="AC71" i="23"/>
  <c r="O71" i="23"/>
  <c r="X74" i="17"/>
  <c r="AB74" i="17"/>
  <c r="L74" i="17"/>
  <c r="AK74" i="17"/>
  <c r="K74" i="17"/>
  <c r="A75" i="17"/>
  <c r="AJ74" i="17"/>
  <c r="O74" i="17"/>
  <c r="AC74" i="17"/>
  <c r="E79" i="15" l="1"/>
  <c r="D74" i="17"/>
  <c r="E74" i="17" s="1"/>
  <c r="K73" i="22"/>
  <c r="AB73" i="22"/>
  <c r="AJ73" i="22"/>
  <c r="X73" i="22"/>
  <c r="L73" i="22"/>
  <c r="A74" i="22"/>
  <c r="AK73" i="22"/>
  <c r="AC73" i="22"/>
  <c r="O73" i="22"/>
  <c r="T80" i="1"/>
  <c r="X78" i="18"/>
  <c r="K78" i="18"/>
  <c r="AB78" i="18"/>
  <c r="AK78" i="18"/>
  <c r="A79" i="18"/>
  <c r="L78" i="18"/>
  <c r="AJ78" i="18"/>
  <c r="O78" i="18"/>
  <c r="AC78" i="18"/>
  <c r="A72" i="24"/>
  <c r="X71" i="24"/>
  <c r="L71" i="24"/>
  <c r="AK71" i="24"/>
  <c r="K71" i="24"/>
  <c r="AB71" i="24"/>
  <c r="AJ71" i="24"/>
  <c r="AC71" i="24"/>
  <c r="O71" i="24"/>
  <c r="K75" i="17"/>
  <c r="X75" i="17"/>
  <c r="AJ75" i="17"/>
  <c r="A76" i="17"/>
  <c r="AB75" i="17"/>
  <c r="L75" i="17"/>
  <c r="AK75" i="17"/>
  <c r="AC75" i="17"/>
  <c r="O75" i="17"/>
  <c r="X72" i="23"/>
  <c r="L72" i="23"/>
  <c r="AJ72" i="23"/>
  <c r="AB72" i="23"/>
  <c r="A73" i="23"/>
  <c r="K72" i="23"/>
  <c r="AK72" i="23"/>
  <c r="AC72" i="23"/>
  <c r="O72" i="23"/>
  <c r="S79" i="1"/>
  <c r="R79" i="1" s="1"/>
  <c r="P79" i="1" s="1"/>
  <c r="V79" i="1" s="1"/>
  <c r="AA79" i="1" s="1"/>
  <c r="Z79" i="1" s="1"/>
  <c r="Y79" i="1" s="1"/>
  <c r="K80" i="15"/>
  <c r="AB80" i="15"/>
  <c r="AK80" i="15"/>
  <c r="A81" i="15"/>
  <c r="L80" i="15"/>
  <c r="D80" i="15" s="1"/>
  <c r="X80" i="15"/>
  <c r="AJ80" i="15"/>
  <c r="AC80" i="15"/>
  <c r="O80" i="15"/>
  <c r="E80" i="15" s="1"/>
  <c r="K74" i="20"/>
  <c r="X74" i="20"/>
  <c r="L74" i="20"/>
  <c r="AK74" i="20"/>
  <c r="AB74" i="20"/>
  <c r="A75" i="20"/>
  <c r="AJ74" i="20"/>
  <c r="AC74" i="20"/>
  <c r="O74" i="20"/>
  <c r="D73" i="16"/>
  <c r="E73" i="16" s="1"/>
  <c r="X74" i="16"/>
  <c r="L74" i="16"/>
  <c r="AJ74" i="16"/>
  <c r="AB74" i="16"/>
  <c r="K74" i="16"/>
  <c r="A75" i="16"/>
  <c r="AK74" i="16"/>
  <c r="AC74" i="16"/>
  <c r="O74" i="16"/>
  <c r="A82" i="1"/>
  <c r="AJ81" i="1"/>
  <c r="AK81" i="1"/>
  <c r="K81" i="1"/>
  <c r="U81" i="1"/>
  <c r="AB81" i="1"/>
  <c r="X81" i="1"/>
  <c r="L81" i="1"/>
  <c r="Q81" i="1"/>
  <c r="AC81" i="1"/>
  <c r="O81" i="1"/>
  <c r="K70" i="25"/>
  <c r="AB70" i="25"/>
  <c r="A71" i="25"/>
  <c r="AK70" i="25"/>
  <c r="L70" i="25"/>
  <c r="X70" i="25"/>
  <c r="AJ70" i="25"/>
  <c r="AC70" i="25"/>
  <c r="O70" i="25"/>
  <c r="X71" i="25" l="1"/>
  <c r="A72" i="25"/>
  <c r="AJ71" i="25"/>
  <c r="K71" i="25"/>
  <c r="L71" i="25"/>
  <c r="AB71" i="25"/>
  <c r="AK71" i="25"/>
  <c r="AC71" i="25"/>
  <c r="O71" i="25"/>
  <c r="L75" i="20"/>
  <c r="A76" i="20"/>
  <c r="AJ75" i="20"/>
  <c r="X75" i="20"/>
  <c r="K75" i="20"/>
  <c r="AB75" i="20"/>
  <c r="AK75" i="20"/>
  <c r="AC75" i="20"/>
  <c r="O75" i="20"/>
  <c r="L81" i="15"/>
  <c r="D81" i="15" s="1"/>
  <c r="AB81" i="15"/>
  <c r="K81" i="15"/>
  <c r="AK81" i="15"/>
  <c r="X81" i="15"/>
  <c r="A82" i="15"/>
  <c r="AJ81" i="15"/>
  <c r="AC81" i="15"/>
  <c r="O81" i="15"/>
  <c r="E81" i="15" s="1"/>
  <c r="D75" i="17"/>
  <c r="L76" i="17"/>
  <c r="AB76" i="17"/>
  <c r="AJ76" i="17"/>
  <c r="K76" i="17"/>
  <c r="A77" i="17"/>
  <c r="X76" i="17"/>
  <c r="AK76" i="17"/>
  <c r="O76" i="17"/>
  <c r="AC76" i="17"/>
  <c r="L72" i="24"/>
  <c r="AB72" i="24"/>
  <c r="A73" i="24"/>
  <c r="AK72" i="24"/>
  <c r="K72" i="24"/>
  <c r="X72" i="24"/>
  <c r="AJ72" i="24"/>
  <c r="AC72" i="24"/>
  <c r="O72" i="24"/>
  <c r="T81" i="1"/>
  <c r="L82" i="1"/>
  <c r="AK82" i="1"/>
  <c r="AB82" i="1"/>
  <c r="AC82" i="1"/>
  <c r="O82" i="1"/>
  <c r="A83" i="1"/>
  <c r="AJ82" i="1"/>
  <c r="K82" i="1"/>
  <c r="X82" i="1"/>
  <c r="Q82" i="1"/>
  <c r="U82" i="1"/>
  <c r="L75" i="16"/>
  <c r="K75" i="16"/>
  <c r="AJ75" i="16"/>
  <c r="AB75" i="16"/>
  <c r="X75" i="16"/>
  <c r="A76" i="16"/>
  <c r="AK75" i="16"/>
  <c r="AC75" i="16"/>
  <c r="O75" i="16"/>
  <c r="D74" i="16"/>
  <c r="E74" i="16" s="1"/>
  <c r="AB73" i="23"/>
  <c r="A74" i="23"/>
  <c r="K73" i="23"/>
  <c r="AK73" i="23"/>
  <c r="L73" i="23"/>
  <c r="X73" i="23"/>
  <c r="AJ73" i="23"/>
  <c r="AC73" i="23"/>
  <c r="O73" i="23"/>
  <c r="E75" i="17"/>
  <c r="K79" i="18"/>
  <c r="L79" i="18"/>
  <c r="A80" i="18"/>
  <c r="AK79" i="18"/>
  <c r="X79" i="18"/>
  <c r="AB79" i="18"/>
  <c r="AJ79" i="18"/>
  <c r="O79" i="18"/>
  <c r="AC79" i="18"/>
  <c r="S80" i="1"/>
  <c r="R80" i="1" s="1"/>
  <c r="P80" i="1" s="1"/>
  <c r="V80" i="1" s="1"/>
  <c r="AA80" i="1" s="1"/>
  <c r="Z80" i="1" s="1"/>
  <c r="Y80" i="1" s="1"/>
  <c r="X74" i="22"/>
  <c r="AB74" i="22"/>
  <c r="AJ74" i="22"/>
  <c r="A75" i="22"/>
  <c r="L74" i="22"/>
  <c r="K74" i="22"/>
  <c r="AK74" i="22"/>
  <c r="AC74" i="22"/>
  <c r="O74" i="22"/>
  <c r="L74" i="23" l="1"/>
  <c r="X74" i="23"/>
  <c r="AJ74" i="23"/>
  <c r="AB74" i="23"/>
  <c r="A75" i="23"/>
  <c r="K74" i="23"/>
  <c r="AK74" i="23"/>
  <c r="AC74" i="23"/>
  <c r="O74" i="23"/>
  <c r="X76" i="16"/>
  <c r="K76" i="16"/>
  <c r="AJ76" i="16"/>
  <c r="L76" i="16"/>
  <c r="A77" i="16"/>
  <c r="AB76" i="16"/>
  <c r="AK76" i="16"/>
  <c r="AC76" i="16"/>
  <c r="O76" i="16"/>
  <c r="T82" i="1"/>
  <c r="X76" i="20"/>
  <c r="A77" i="20"/>
  <c r="L76" i="20"/>
  <c r="AK76" i="20"/>
  <c r="AB76" i="20"/>
  <c r="K76" i="20"/>
  <c r="AJ76" i="20"/>
  <c r="AC76" i="20"/>
  <c r="O76" i="20"/>
  <c r="K75" i="22"/>
  <c r="X75" i="22"/>
  <c r="A76" i="22"/>
  <c r="AK75" i="22"/>
  <c r="L75" i="22"/>
  <c r="AB75" i="22"/>
  <c r="AJ75" i="22"/>
  <c r="AC75" i="22"/>
  <c r="O75" i="22"/>
  <c r="X80" i="18"/>
  <c r="L80" i="18"/>
  <c r="A81" i="18"/>
  <c r="AK80" i="18"/>
  <c r="AB80" i="18"/>
  <c r="K80" i="18"/>
  <c r="AJ80" i="18"/>
  <c r="O80" i="18"/>
  <c r="AC80" i="18"/>
  <c r="D75" i="16"/>
  <c r="E75" i="16" s="1"/>
  <c r="AJ83" i="1"/>
  <c r="AB83" i="1"/>
  <c r="A84" i="1"/>
  <c r="L83" i="1"/>
  <c r="U83" i="1"/>
  <c r="X83" i="1"/>
  <c r="Q83" i="1"/>
  <c r="AK83" i="1"/>
  <c r="K83" i="1"/>
  <c r="AC83" i="1"/>
  <c r="O83" i="1"/>
  <c r="S81" i="1"/>
  <c r="R81" i="1" s="1"/>
  <c r="P81" i="1" s="1"/>
  <c r="V81" i="1" s="1"/>
  <c r="AA81" i="1" s="1"/>
  <c r="Z81" i="1" s="1"/>
  <c r="Y81" i="1" s="1"/>
  <c r="AB73" i="24"/>
  <c r="X73" i="24"/>
  <c r="L73" i="24"/>
  <c r="AK73" i="24"/>
  <c r="K73" i="24"/>
  <c r="A74" i="24"/>
  <c r="AJ73" i="24"/>
  <c r="AC73" i="24"/>
  <c r="O73" i="24"/>
  <c r="X77" i="17"/>
  <c r="AB77" i="17"/>
  <c r="K77" i="17"/>
  <c r="AK77" i="17"/>
  <c r="L77" i="17"/>
  <c r="A78" i="17"/>
  <c r="AJ77" i="17"/>
  <c r="O77" i="17"/>
  <c r="AC77" i="17"/>
  <c r="D76" i="17"/>
  <c r="E76" i="17" s="1"/>
  <c r="X82" i="15"/>
  <c r="A83" i="15"/>
  <c r="AK82" i="15"/>
  <c r="AC82" i="15"/>
  <c r="L82" i="15"/>
  <c r="AB82" i="15"/>
  <c r="K82" i="15"/>
  <c r="AJ82" i="15"/>
  <c r="O82" i="15"/>
  <c r="X72" i="25"/>
  <c r="A73" i="25"/>
  <c r="L72" i="25"/>
  <c r="AK72" i="25"/>
  <c r="AB72" i="25"/>
  <c r="K72" i="25"/>
  <c r="AJ72" i="25"/>
  <c r="AC72" i="25"/>
  <c r="O72" i="25"/>
  <c r="AB73" i="25" l="1"/>
  <c r="A74" i="25"/>
  <c r="AJ73" i="25"/>
  <c r="K73" i="25"/>
  <c r="X73" i="25"/>
  <c r="L73" i="25"/>
  <c r="AK73" i="25"/>
  <c r="AC73" i="25"/>
  <c r="O73" i="25"/>
  <c r="AB83" i="15"/>
  <c r="K83" i="15"/>
  <c r="AJ83" i="15"/>
  <c r="A84" i="15"/>
  <c r="L83" i="15"/>
  <c r="X83" i="15"/>
  <c r="AK83" i="15"/>
  <c r="AC83" i="15"/>
  <c r="O83" i="15"/>
  <c r="D77" i="17"/>
  <c r="E77" i="17" s="1"/>
  <c r="X74" i="24"/>
  <c r="K74" i="24"/>
  <c r="L74" i="24"/>
  <c r="AK74" i="24"/>
  <c r="A75" i="24"/>
  <c r="AB74" i="24"/>
  <c r="AJ74" i="24"/>
  <c r="AC74" i="24"/>
  <c r="O74" i="24"/>
  <c r="X81" i="18"/>
  <c r="K81" i="18"/>
  <c r="AB81" i="18"/>
  <c r="AK81" i="18"/>
  <c r="A82" i="18"/>
  <c r="L81" i="18"/>
  <c r="AJ81" i="18"/>
  <c r="AC81" i="18"/>
  <c r="O81" i="18"/>
  <c r="S82" i="1"/>
  <c r="R82" i="1" s="1"/>
  <c r="P82" i="1" s="1"/>
  <c r="V82" i="1" s="1"/>
  <c r="AA82" i="1" s="1"/>
  <c r="Z82" i="1" s="1"/>
  <c r="Y82" i="1" s="1"/>
  <c r="D76" i="16"/>
  <c r="E76" i="16" s="1"/>
  <c r="D82" i="15"/>
  <c r="E82" i="15" s="1"/>
  <c r="X78" i="17"/>
  <c r="AB78" i="17"/>
  <c r="K78" i="17"/>
  <c r="AK78" i="17"/>
  <c r="L78" i="17"/>
  <c r="A79" i="17"/>
  <c r="AJ78" i="17"/>
  <c r="O78" i="17"/>
  <c r="AC78" i="17"/>
  <c r="T83" i="1"/>
  <c r="AK84" i="1"/>
  <c r="K84" i="1"/>
  <c r="AJ84" i="1"/>
  <c r="AC84" i="1"/>
  <c r="U84" i="1"/>
  <c r="X84" i="1"/>
  <c r="AB84" i="1"/>
  <c r="A85" i="1"/>
  <c r="L84" i="1"/>
  <c r="Q84" i="1"/>
  <c r="O84" i="1"/>
  <c r="AB76" i="22"/>
  <c r="X76" i="22"/>
  <c r="A77" i="22"/>
  <c r="AK76" i="22"/>
  <c r="L76" i="22"/>
  <c r="K76" i="22"/>
  <c r="AJ76" i="22"/>
  <c r="AC76" i="22"/>
  <c r="O76" i="22"/>
  <c r="L77" i="20"/>
  <c r="AB77" i="20"/>
  <c r="AJ77" i="20"/>
  <c r="K77" i="20"/>
  <c r="X77" i="20"/>
  <c r="A78" i="20"/>
  <c r="AK77" i="20"/>
  <c r="AC77" i="20"/>
  <c r="O77" i="20"/>
  <c r="X77" i="16"/>
  <c r="L77" i="16"/>
  <c r="A78" i="16"/>
  <c r="AK77" i="16"/>
  <c r="AB77" i="16"/>
  <c r="K77" i="16"/>
  <c r="AJ77" i="16"/>
  <c r="AC77" i="16"/>
  <c r="O77" i="16"/>
  <c r="L75" i="23"/>
  <c r="X75" i="23"/>
  <c r="AJ75" i="23"/>
  <c r="K75" i="23"/>
  <c r="AB75" i="23"/>
  <c r="A76" i="23"/>
  <c r="AK75" i="23"/>
  <c r="AC75" i="23"/>
  <c r="O75" i="23"/>
  <c r="D77" i="16" l="1"/>
  <c r="E77" i="16" s="1"/>
  <c r="AB78" i="20"/>
  <c r="L78" i="20"/>
  <c r="A79" i="20"/>
  <c r="AK78" i="20"/>
  <c r="X78" i="20"/>
  <c r="K78" i="20"/>
  <c r="AJ78" i="20"/>
  <c r="AC78" i="20"/>
  <c r="O78" i="20"/>
  <c r="K77" i="22"/>
  <c r="L77" i="22"/>
  <c r="X77" i="22"/>
  <c r="AK77" i="22"/>
  <c r="AB77" i="22"/>
  <c r="A78" i="22"/>
  <c r="AJ77" i="22"/>
  <c r="AC77" i="22"/>
  <c r="O77" i="22"/>
  <c r="K85" i="1"/>
  <c r="AK85" i="1"/>
  <c r="A86" i="1"/>
  <c r="AJ85" i="1"/>
  <c r="O85" i="1"/>
  <c r="L85" i="1"/>
  <c r="X85" i="1"/>
  <c r="AB85" i="1"/>
  <c r="U85" i="1"/>
  <c r="Q85" i="1"/>
  <c r="AC85" i="1"/>
  <c r="S83" i="1"/>
  <c r="R83" i="1" s="1"/>
  <c r="P83" i="1" s="1"/>
  <c r="V83" i="1" s="1"/>
  <c r="AA83" i="1" s="1"/>
  <c r="Z83" i="1" s="1"/>
  <c r="Y83" i="1" s="1"/>
  <c r="K79" i="17"/>
  <c r="X79" i="17"/>
  <c r="L79" i="17"/>
  <c r="AK79" i="17"/>
  <c r="A80" i="17"/>
  <c r="AB79" i="17"/>
  <c r="AJ79" i="17"/>
  <c r="AC79" i="17"/>
  <c r="O79" i="17"/>
  <c r="X75" i="24"/>
  <c r="L75" i="24"/>
  <c r="AB75" i="24"/>
  <c r="AK75" i="24"/>
  <c r="K75" i="24"/>
  <c r="A76" i="24"/>
  <c r="AJ75" i="24"/>
  <c r="AC75" i="24"/>
  <c r="O75" i="24"/>
  <c r="X84" i="15"/>
  <c r="K84" i="15"/>
  <c r="AK84" i="15"/>
  <c r="AC84" i="15"/>
  <c r="A85" i="15"/>
  <c r="AB84" i="15"/>
  <c r="L84" i="15"/>
  <c r="AJ84" i="15"/>
  <c r="O84" i="15"/>
  <c r="K76" i="23"/>
  <c r="L76" i="23"/>
  <c r="X76" i="23"/>
  <c r="AK76" i="23"/>
  <c r="A77" i="23"/>
  <c r="AB76" i="23"/>
  <c r="AJ76" i="23"/>
  <c r="AC76" i="23"/>
  <c r="O76" i="23"/>
  <c r="K78" i="16"/>
  <c r="L78" i="16"/>
  <c r="A79" i="16"/>
  <c r="AK78" i="16"/>
  <c r="AB78" i="16"/>
  <c r="X78" i="16"/>
  <c r="AJ78" i="16"/>
  <c r="AC78" i="16"/>
  <c r="O78" i="16"/>
  <c r="T84" i="1"/>
  <c r="D78" i="17"/>
  <c r="E78" i="17" s="1"/>
  <c r="K82" i="18"/>
  <c r="A83" i="18"/>
  <c r="AJ82" i="18"/>
  <c r="X82" i="18"/>
  <c r="L82" i="18"/>
  <c r="AB82" i="18"/>
  <c r="AK82" i="18"/>
  <c r="O82" i="18"/>
  <c r="AC82" i="18"/>
  <c r="D83" i="15"/>
  <c r="E83" i="15" s="1"/>
  <c r="AB74" i="25"/>
  <c r="A75" i="25"/>
  <c r="AJ74" i="25"/>
  <c r="X74" i="25"/>
  <c r="K74" i="25"/>
  <c r="L74" i="25"/>
  <c r="AK74" i="25"/>
  <c r="AC74" i="25"/>
  <c r="O74" i="25"/>
  <c r="S84" i="1" l="1"/>
  <c r="R84" i="1" s="1"/>
  <c r="P84" i="1" s="1"/>
  <c r="V84" i="1" s="1"/>
  <c r="AA84" i="1" s="1"/>
  <c r="Z84" i="1" s="1"/>
  <c r="Y84" i="1" s="1"/>
  <c r="D78" i="16"/>
  <c r="E78" i="16" s="1"/>
  <c r="A78" i="23"/>
  <c r="AB77" i="23"/>
  <c r="K77" i="23"/>
  <c r="AK77" i="23"/>
  <c r="L77" i="23"/>
  <c r="X77" i="23"/>
  <c r="AJ77" i="23"/>
  <c r="AC77" i="23"/>
  <c r="O77" i="23"/>
  <c r="D84" i="15"/>
  <c r="E84" i="15" s="1"/>
  <c r="AB85" i="15"/>
  <c r="X85" i="15"/>
  <c r="A86" i="15"/>
  <c r="AJ85" i="15"/>
  <c r="K85" i="15"/>
  <c r="L85" i="15"/>
  <c r="D85" i="15" s="1"/>
  <c r="AK85" i="15"/>
  <c r="AC85" i="15"/>
  <c r="O85" i="15"/>
  <c r="A81" i="17"/>
  <c r="AB80" i="17"/>
  <c r="AJ80" i="17"/>
  <c r="X80" i="17"/>
  <c r="K80" i="17"/>
  <c r="L80" i="17"/>
  <c r="AK80" i="17"/>
  <c r="AC80" i="17"/>
  <c r="O80" i="17"/>
  <c r="D79" i="17"/>
  <c r="E79" i="17" s="1"/>
  <c r="T85" i="1"/>
  <c r="AK86" i="1"/>
  <c r="K86" i="1"/>
  <c r="AJ86" i="1"/>
  <c r="A87" i="1"/>
  <c r="U86" i="1"/>
  <c r="AC86" i="1"/>
  <c r="AB86" i="1"/>
  <c r="X86" i="1"/>
  <c r="L86" i="1"/>
  <c r="O86" i="1"/>
  <c r="Q86" i="1"/>
  <c r="K78" i="22"/>
  <c r="AB78" i="22"/>
  <c r="AJ78" i="22"/>
  <c r="X78" i="22"/>
  <c r="L78" i="22"/>
  <c r="A79" i="22"/>
  <c r="AK78" i="22"/>
  <c r="AC78" i="22"/>
  <c r="O78" i="22"/>
  <c r="K75" i="25"/>
  <c r="X75" i="25"/>
  <c r="AJ75" i="25"/>
  <c r="L75" i="25"/>
  <c r="AB75" i="25"/>
  <c r="A76" i="25"/>
  <c r="AK75" i="25"/>
  <c r="AC75" i="25"/>
  <c r="O75" i="25"/>
  <c r="X83" i="18"/>
  <c r="K83" i="18"/>
  <c r="AJ83" i="18"/>
  <c r="A84" i="18"/>
  <c r="AB83" i="18"/>
  <c r="L83" i="18"/>
  <c r="AK83" i="18"/>
  <c r="O83" i="18"/>
  <c r="AC83" i="18"/>
  <c r="X79" i="16"/>
  <c r="L79" i="16"/>
  <c r="A80" i="16"/>
  <c r="AK79" i="16"/>
  <c r="K79" i="16"/>
  <c r="AB79" i="16"/>
  <c r="AJ79" i="16"/>
  <c r="AC79" i="16"/>
  <c r="O79" i="16"/>
  <c r="A77" i="24"/>
  <c r="X76" i="24"/>
  <c r="K76" i="24"/>
  <c r="AK76" i="24"/>
  <c r="L76" i="24"/>
  <c r="AB76" i="24"/>
  <c r="AJ76" i="24"/>
  <c r="AC76" i="24"/>
  <c r="O76" i="24"/>
  <c r="K79" i="20"/>
  <c r="X79" i="20"/>
  <c r="AJ79" i="20"/>
  <c r="AB79" i="20"/>
  <c r="A80" i="20"/>
  <c r="L79" i="20"/>
  <c r="AK79" i="20"/>
  <c r="AC79" i="20"/>
  <c r="O79" i="20"/>
  <c r="D79" i="16" l="1"/>
  <c r="E79" i="16" s="1"/>
  <c r="A88" i="1"/>
  <c r="AK87" i="1"/>
  <c r="X87" i="1"/>
  <c r="AB87" i="1"/>
  <c r="Q87" i="1"/>
  <c r="K87" i="1"/>
  <c r="AJ87" i="1"/>
  <c r="AC87" i="1"/>
  <c r="L87" i="1"/>
  <c r="U87" i="1"/>
  <c r="O87" i="1"/>
  <c r="X81" i="17"/>
  <c r="K81" i="17"/>
  <c r="A82" i="17"/>
  <c r="AK81" i="17"/>
  <c r="L81" i="17"/>
  <c r="AB81" i="17"/>
  <c r="AJ81" i="17"/>
  <c r="O81" i="17"/>
  <c r="AC81" i="17"/>
  <c r="K77" i="24"/>
  <c r="A78" i="24"/>
  <c r="AJ77" i="24"/>
  <c r="L77" i="24"/>
  <c r="AB77" i="24"/>
  <c r="X77" i="24"/>
  <c r="AK77" i="24"/>
  <c r="AC77" i="24"/>
  <c r="O77" i="24"/>
  <c r="A81" i="20"/>
  <c r="AB80" i="20"/>
  <c r="K80" i="20"/>
  <c r="AK80" i="20"/>
  <c r="L80" i="20"/>
  <c r="X80" i="20"/>
  <c r="AJ80" i="20"/>
  <c r="AC80" i="20"/>
  <c r="O80" i="20"/>
  <c r="L80" i="16"/>
  <c r="K80" i="16"/>
  <c r="AJ80" i="16"/>
  <c r="AB80" i="16"/>
  <c r="A81" i="16"/>
  <c r="X80" i="16"/>
  <c r="AK80" i="16"/>
  <c r="AC80" i="16"/>
  <c r="O80" i="16"/>
  <c r="K84" i="18"/>
  <c r="AB84" i="18"/>
  <c r="A85" i="18"/>
  <c r="AK84" i="18"/>
  <c r="L84" i="18"/>
  <c r="X84" i="18"/>
  <c r="AJ84" i="18"/>
  <c r="AC84" i="18"/>
  <c r="O84" i="18"/>
  <c r="L76" i="25"/>
  <c r="AB76" i="25"/>
  <c r="AJ76" i="25"/>
  <c r="X76" i="25"/>
  <c r="K76" i="25"/>
  <c r="A77" i="25"/>
  <c r="AK76" i="25"/>
  <c r="AC76" i="25"/>
  <c r="O76" i="25"/>
  <c r="A80" i="22"/>
  <c r="X79" i="22"/>
  <c r="L79" i="22"/>
  <c r="AK79" i="22"/>
  <c r="AB79" i="22"/>
  <c r="K79" i="22"/>
  <c r="AJ79" i="22"/>
  <c r="AC79" i="22"/>
  <c r="O79" i="22"/>
  <c r="T86" i="1"/>
  <c r="S85" i="1"/>
  <c r="R85" i="1" s="1"/>
  <c r="P85" i="1" s="1"/>
  <c r="V85" i="1" s="1"/>
  <c r="AA85" i="1" s="1"/>
  <c r="Z85" i="1" s="1"/>
  <c r="Y85" i="1" s="1"/>
  <c r="D80" i="17"/>
  <c r="E80" i="17" s="1"/>
  <c r="E85" i="15"/>
  <c r="A87" i="15"/>
  <c r="AB86" i="15"/>
  <c r="AK86" i="15"/>
  <c r="L86" i="15"/>
  <c r="X86" i="15"/>
  <c r="K86" i="15"/>
  <c r="AJ86" i="15"/>
  <c r="AC86" i="15"/>
  <c r="O86" i="15"/>
  <c r="X78" i="23"/>
  <c r="A79" i="23"/>
  <c r="L78" i="23"/>
  <c r="AK78" i="23"/>
  <c r="AB78" i="23"/>
  <c r="K78" i="23"/>
  <c r="AJ78" i="23"/>
  <c r="AC78" i="23"/>
  <c r="O78" i="23"/>
  <c r="X87" i="15" l="1"/>
  <c r="K87" i="15"/>
  <c r="AB87" i="15"/>
  <c r="AJ87" i="15"/>
  <c r="L87" i="15"/>
  <c r="D87" i="15" s="1"/>
  <c r="A88" i="15"/>
  <c r="AK87" i="15"/>
  <c r="AC87" i="15"/>
  <c r="O87" i="15"/>
  <c r="E87" i="15" s="1"/>
  <c r="A81" i="22"/>
  <c r="AB80" i="22"/>
  <c r="K80" i="22"/>
  <c r="AK80" i="22"/>
  <c r="L80" i="22"/>
  <c r="X80" i="22"/>
  <c r="AJ80" i="22"/>
  <c r="AC80" i="22"/>
  <c r="O80" i="22"/>
  <c r="AB77" i="25"/>
  <c r="A78" i="25"/>
  <c r="K77" i="25"/>
  <c r="AK77" i="25"/>
  <c r="X77" i="25"/>
  <c r="L77" i="25"/>
  <c r="AJ77" i="25"/>
  <c r="AC77" i="25"/>
  <c r="O77" i="25"/>
  <c r="AB85" i="18"/>
  <c r="A86" i="18"/>
  <c r="K85" i="18"/>
  <c r="AK85" i="18"/>
  <c r="L85" i="18"/>
  <c r="X85" i="18"/>
  <c r="AJ85" i="18"/>
  <c r="O85" i="18"/>
  <c r="AC85" i="18"/>
  <c r="A82" i="16"/>
  <c r="AB81" i="16"/>
  <c r="AJ81" i="16"/>
  <c r="X81" i="16"/>
  <c r="L81" i="16"/>
  <c r="K81" i="16"/>
  <c r="AK81" i="16"/>
  <c r="AC81" i="16"/>
  <c r="O81" i="16"/>
  <c r="D80" i="16"/>
  <c r="E80" i="16" s="1"/>
  <c r="A79" i="24"/>
  <c r="K78" i="24"/>
  <c r="AB78" i="24"/>
  <c r="AK78" i="24"/>
  <c r="L78" i="24"/>
  <c r="X78" i="24"/>
  <c r="AJ78" i="24"/>
  <c r="AC78" i="24"/>
  <c r="O78" i="24"/>
  <c r="AB88" i="1"/>
  <c r="X88" i="1"/>
  <c r="AC88" i="1"/>
  <c r="AK88" i="1"/>
  <c r="A22" i="7"/>
  <c r="U88" i="1"/>
  <c r="AJ88" i="1"/>
  <c r="K88" i="1"/>
  <c r="O88" i="1"/>
  <c r="C22" i="7" s="1"/>
  <c r="A89" i="1"/>
  <c r="L88" i="1"/>
  <c r="Q88" i="1"/>
  <c r="L79" i="23"/>
  <c r="A80" i="23"/>
  <c r="AJ79" i="23"/>
  <c r="X79" i="23"/>
  <c r="K79" i="23"/>
  <c r="AB79" i="23"/>
  <c r="AK79" i="23"/>
  <c r="AC79" i="23"/>
  <c r="O79" i="23"/>
  <c r="D86" i="15"/>
  <c r="E86" i="15" s="1"/>
  <c r="S86" i="1"/>
  <c r="R86" i="1" s="1"/>
  <c r="P86" i="1" s="1"/>
  <c r="V86" i="1" s="1"/>
  <c r="AA86" i="1" s="1"/>
  <c r="Z86" i="1" s="1"/>
  <c r="Y86" i="1" s="1"/>
  <c r="A82" i="20"/>
  <c r="L81" i="20"/>
  <c r="AJ81" i="20"/>
  <c r="X81" i="20"/>
  <c r="K81" i="20"/>
  <c r="AB81" i="20"/>
  <c r="AK81" i="20"/>
  <c r="AC81" i="20"/>
  <c r="O81" i="20"/>
  <c r="D81" i="17"/>
  <c r="E81" i="17" s="1"/>
  <c r="X82" i="17"/>
  <c r="AB82" i="17"/>
  <c r="AJ82" i="17"/>
  <c r="K82" i="17"/>
  <c r="L82" i="17"/>
  <c r="A83" i="17"/>
  <c r="AK82" i="17"/>
  <c r="AC82" i="17"/>
  <c r="O82" i="17"/>
  <c r="T87" i="1"/>
  <c r="S87" i="1" l="1"/>
  <c r="R87" i="1" s="1"/>
  <c r="P87" i="1" s="1"/>
  <c r="V87" i="1" s="1"/>
  <c r="AA87" i="1" s="1"/>
  <c r="Z87" i="1" s="1"/>
  <c r="Y87" i="1" s="1"/>
  <c r="D82" i="17"/>
  <c r="E82" i="17" s="1"/>
  <c r="X82" i="20"/>
  <c r="A83" i="20"/>
  <c r="AB82" i="20"/>
  <c r="AK82" i="20"/>
  <c r="L82" i="20"/>
  <c r="K82" i="20"/>
  <c r="AJ82" i="20"/>
  <c r="AC82" i="20"/>
  <c r="O82" i="20"/>
  <c r="AB80" i="23"/>
  <c r="A81" i="23"/>
  <c r="X80" i="23"/>
  <c r="AK80" i="23"/>
  <c r="L80" i="23"/>
  <c r="AJ80" i="23"/>
  <c r="K80" i="23"/>
  <c r="AC80" i="23"/>
  <c r="O80" i="23"/>
  <c r="B22" i="7"/>
  <c r="D81" i="16"/>
  <c r="E81" i="16" s="1"/>
  <c r="L82" i="16"/>
  <c r="X82" i="16"/>
  <c r="AJ82" i="16"/>
  <c r="K82" i="16"/>
  <c r="A83" i="16"/>
  <c r="AB82" i="16"/>
  <c r="AK82" i="16"/>
  <c r="AC82" i="16"/>
  <c r="O82" i="16"/>
  <c r="L88" i="15"/>
  <c r="K88" i="15"/>
  <c r="X88" i="15"/>
  <c r="AK88" i="15"/>
  <c r="A34" i="7"/>
  <c r="A89" i="15"/>
  <c r="AB88" i="15"/>
  <c r="AJ88" i="15"/>
  <c r="AC88" i="15"/>
  <c r="O88" i="15"/>
  <c r="C34" i="7" s="1"/>
  <c r="L83" i="17"/>
  <c r="K83" i="17"/>
  <c r="AJ83" i="17"/>
  <c r="X83" i="17"/>
  <c r="A84" i="17"/>
  <c r="AB83" i="17"/>
  <c r="AK83" i="17"/>
  <c r="O83" i="17"/>
  <c r="AC83" i="17"/>
  <c r="K89" i="1"/>
  <c r="AB89" i="1"/>
  <c r="X89" i="1"/>
  <c r="AJ89" i="1"/>
  <c r="L89" i="1"/>
  <c r="AK89" i="1"/>
  <c r="Q89" i="1"/>
  <c r="A90" i="1"/>
  <c r="U89" i="1"/>
  <c r="O89" i="1"/>
  <c r="AC89" i="1"/>
  <c r="T88" i="1"/>
  <c r="K79" i="24"/>
  <c r="X79" i="24"/>
  <c r="AJ79" i="24"/>
  <c r="A80" i="24"/>
  <c r="AB79" i="24"/>
  <c r="L79" i="24"/>
  <c r="AK79" i="24"/>
  <c r="AC79" i="24"/>
  <c r="O79" i="24"/>
  <c r="A87" i="18"/>
  <c r="K86" i="18"/>
  <c r="L86" i="18"/>
  <c r="AK86" i="18"/>
  <c r="X86" i="18"/>
  <c r="AJ86" i="18"/>
  <c r="AB86" i="18"/>
  <c r="O86" i="18"/>
  <c r="AC86" i="18"/>
  <c r="L78" i="25"/>
  <c r="A79" i="25"/>
  <c r="AJ78" i="25"/>
  <c r="X78" i="25"/>
  <c r="K78" i="25"/>
  <c r="AB78" i="25"/>
  <c r="AK78" i="25"/>
  <c r="AC78" i="25"/>
  <c r="O78" i="25"/>
  <c r="K81" i="22"/>
  <c r="AB81" i="22"/>
  <c r="A82" i="22"/>
  <c r="AJ81" i="22"/>
  <c r="L81" i="22"/>
  <c r="X81" i="22"/>
  <c r="AK81" i="22"/>
  <c r="AC81" i="22"/>
  <c r="O81" i="22"/>
  <c r="L82" i="22" l="1"/>
  <c r="A83" i="22"/>
  <c r="AJ82" i="22"/>
  <c r="K82" i="22"/>
  <c r="AK82" i="22"/>
  <c r="AB82" i="22"/>
  <c r="X82" i="22"/>
  <c r="AC82" i="22"/>
  <c r="O82" i="22"/>
  <c r="A81" i="24"/>
  <c r="L80" i="24"/>
  <c r="AJ80" i="24"/>
  <c r="AB80" i="24"/>
  <c r="X80" i="24"/>
  <c r="K80" i="24"/>
  <c r="AK80" i="24"/>
  <c r="AC80" i="24"/>
  <c r="O80" i="24"/>
  <c r="S88" i="1"/>
  <c r="R88" i="1" s="1"/>
  <c r="P88" i="1" s="1"/>
  <c r="AJ90" i="1"/>
  <c r="K90" i="1"/>
  <c r="AB90" i="1"/>
  <c r="Q90" i="1"/>
  <c r="U90" i="1"/>
  <c r="O90" i="1"/>
  <c r="A91" i="1"/>
  <c r="AK90" i="1"/>
  <c r="L90" i="1"/>
  <c r="X90" i="1"/>
  <c r="AC90" i="1"/>
  <c r="K89" i="15"/>
  <c r="L89" i="15"/>
  <c r="D89" i="15" s="1"/>
  <c r="A90" i="15"/>
  <c r="AJ89" i="15"/>
  <c r="X89" i="15"/>
  <c r="AB89" i="15"/>
  <c r="AK89" i="15"/>
  <c r="AC89" i="15"/>
  <c r="O89" i="15"/>
  <c r="X83" i="20"/>
  <c r="A84" i="20"/>
  <c r="AJ83" i="20"/>
  <c r="AB83" i="20"/>
  <c r="L83" i="20"/>
  <c r="K83" i="20"/>
  <c r="AK83" i="20"/>
  <c r="AC83" i="20"/>
  <c r="O83" i="20"/>
  <c r="AB79" i="25"/>
  <c r="A80" i="25"/>
  <c r="AJ79" i="25"/>
  <c r="K79" i="25"/>
  <c r="AK79" i="25"/>
  <c r="X79" i="25"/>
  <c r="L79" i="25"/>
  <c r="AC79" i="25"/>
  <c r="O79" i="25"/>
  <c r="A88" i="18"/>
  <c r="X87" i="18"/>
  <c r="L87" i="18"/>
  <c r="AK87" i="18"/>
  <c r="AB87" i="18"/>
  <c r="K87" i="18"/>
  <c r="AJ87" i="18"/>
  <c r="O87" i="18"/>
  <c r="AC87" i="18"/>
  <c r="T89" i="1"/>
  <c r="X84" i="17"/>
  <c r="L84" i="17"/>
  <c r="A85" i="17"/>
  <c r="AK84" i="17"/>
  <c r="K84" i="17"/>
  <c r="AB84" i="17"/>
  <c r="AJ84" i="17"/>
  <c r="AC84" i="17"/>
  <c r="O84" i="17"/>
  <c r="D83" i="17"/>
  <c r="E83" i="17" s="1"/>
  <c r="B34" i="7"/>
  <c r="D88" i="15"/>
  <c r="E88" i="15" s="1"/>
  <c r="AB83" i="16"/>
  <c r="L83" i="16"/>
  <c r="AJ83" i="16"/>
  <c r="A84" i="16"/>
  <c r="K83" i="16"/>
  <c r="X83" i="16"/>
  <c r="AK83" i="16"/>
  <c r="AC83" i="16"/>
  <c r="O83" i="16"/>
  <c r="D82" i="16"/>
  <c r="E82" i="16" s="1"/>
  <c r="A82" i="23"/>
  <c r="X81" i="23"/>
  <c r="AB81" i="23"/>
  <c r="AK81" i="23"/>
  <c r="L81" i="23"/>
  <c r="AJ81" i="23"/>
  <c r="K81" i="23"/>
  <c r="AC81" i="23"/>
  <c r="O81" i="23"/>
  <c r="E89" i="15" l="1"/>
  <c r="D22" i="7"/>
  <c r="V88" i="1"/>
  <c r="AA88" i="1" s="1"/>
  <c r="Z88" i="1" s="1"/>
  <c r="Y88" i="1" s="1"/>
  <c r="A83" i="23"/>
  <c r="K82" i="23"/>
  <c r="AJ82" i="23"/>
  <c r="AB82" i="23"/>
  <c r="L82" i="23"/>
  <c r="X82" i="23"/>
  <c r="AK82" i="23"/>
  <c r="AC82" i="23"/>
  <c r="O82" i="23"/>
  <c r="A86" i="17"/>
  <c r="AB85" i="17"/>
  <c r="X85" i="17"/>
  <c r="AK85" i="17"/>
  <c r="L85" i="17"/>
  <c r="K85" i="17"/>
  <c r="AJ85" i="17"/>
  <c r="O85" i="17"/>
  <c r="AC85" i="17"/>
  <c r="S89" i="1"/>
  <c r="R89" i="1" s="1"/>
  <c r="P89" i="1" s="1"/>
  <c r="V89" i="1" s="1"/>
  <c r="AA89" i="1" s="1"/>
  <c r="Z89" i="1" s="1"/>
  <c r="Y89" i="1" s="1"/>
  <c r="K88" i="18"/>
  <c r="L88" i="18"/>
  <c r="X88" i="18"/>
  <c r="AK88" i="18"/>
  <c r="AB88" i="18"/>
  <c r="A70" i="7"/>
  <c r="A89" i="18"/>
  <c r="AJ88" i="18"/>
  <c r="O88" i="18"/>
  <c r="C70" i="7" s="1"/>
  <c r="AC88" i="18"/>
  <c r="A81" i="25"/>
  <c r="AB80" i="25"/>
  <c r="L80" i="25"/>
  <c r="AK80" i="25"/>
  <c r="K80" i="25"/>
  <c r="X80" i="25"/>
  <c r="AJ80" i="25"/>
  <c r="AC80" i="25"/>
  <c r="O80" i="25"/>
  <c r="K90" i="15"/>
  <c r="X90" i="15"/>
  <c r="AK90" i="15"/>
  <c r="A91" i="15"/>
  <c r="AJ90" i="15"/>
  <c r="L90" i="15"/>
  <c r="AB90" i="15"/>
  <c r="AC90" i="15"/>
  <c r="O90" i="15"/>
  <c r="K91" i="1"/>
  <c r="AB91" i="1"/>
  <c r="A92" i="1"/>
  <c r="X91" i="1"/>
  <c r="L91" i="1"/>
  <c r="Q91" i="1"/>
  <c r="AC91" i="1"/>
  <c r="AJ91" i="1"/>
  <c r="U91" i="1"/>
  <c r="O91" i="1"/>
  <c r="AK91" i="1"/>
  <c r="T90" i="1"/>
  <c r="L84" i="16"/>
  <c r="X84" i="16"/>
  <c r="AJ84" i="16"/>
  <c r="A85" i="16"/>
  <c r="AB84" i="16"/>
  <c r="K84" i="16"/>
  <c r="AK84" i="16"/>
  <c r="AC84" i="16"/>
  <c r="O84" i="16"/>
  <c r="D83" i="16"/>
  <c r="E83" i="16" s="1"/>
  <c r="D84" i="17"/>
  <c r="E84" i="17" s="1"/>
  <c r="AB84" i="20"/>
  <c r="K84" i="20"/>
  <c r="AJ84" i="20"/>
  <c r="A85" i="20"/>
  <c r="AK84" i="20"/>
  <c r="X84" i="20"/>
  <c r="L84" i="20"/>
  <c r="AC84" i="20"/>
  <c r="O84" i="20"/>
  <c r="X81" i="24"/>
  <c r="K81" i="24"/>
  <c r="A82" i="24"/>
  <c r="AK81" i="24"/>
  <c r="L81" i="24"/>
  <c r="AJ81" i="24"/>
  <c r="AB81" i="24"/>
  <c r="AC81" i="24"/>
  <c r="O81" i="24"/>
  <c r="K83" i="22"/>
  <c r="L83" i="22"/>
  <c r="AB83" i="22"/>
  <c r="AK83" i="22"/>
  <c r="X83" i="22"/>
  <c r="A84" i="22"/>
  <c r="AJ83" i="22"/>
  <c r="AC83" i="22"/>
  <c r="O83" i="22"/>
  <c r="K85" i="20" l="1"/>
  <c r="A86" i="20"/>
  <c r="AB85" i="20"/>
  <c r="AK85" i="20"/>
  <c r="X85" i="20"/>
  <c r="L85" i="20"/>
  <c r="AJ85" i="20"/>
  <c r="AC85" i="20"/>
  <c r="O85" i="20"/>
  <c r="D84" i="16"/>
  <c r="E84" i="16" s="1"/>
  <c r="B70" i="7"/>
  <c r="D85" i="17"/>
  <c r="E85" i="17" s="1"/>
  <c r="X86" i="17"/>
  <c r="K86" i="17"/>
  <c r="A87" i="17"/>
  <c r="AK86" i="17"/>
  <c r="L86" i="17"/>
  <c r="AJ86" i="17"/>
  <c r="AB86" i="17"/>
  <c r="O86" i="17"/>
  <c r="AC86" i="17"/>
  <c r="X83" i="23"/>
  <c r="K83" i="23"/>
  <c r="A84" i="23"/>
  <c r="AK83" i="23"/>
  <c r="L83" i="23"/>
  <c r="AJ83" i="23"/>
  <c r="AB83" i="23"/>
  <c r="AC83" i="23"/>
  <c r="O83" i="23"/>
  <c r="AB84" i="22"/>
  <c r="L84" i="22"/>
  <c r="AJ84" i="22"/>
  <c r="K84" i="22"/>
  <c r="AK84" i="22"/>
  <c r="X84" i="22"/>
  <c r="A85" i="22"/>
  <c r="AC84" i="22"/>
  <c r="O84" i="22"/>
  <c r="L82" i="24"/>
  <c r="X82" i="24"/>
  <c r="AJ82" i="24"/>
  <c r="K82" i="24"/>
  <c r="A83" i="24"/>
  <c r="AB82" i="24"/>
  <c r="AK82" i="24"/>
  <c r="AC82" i="24"/>
  <c r="O82" i="24"/>
  <c r="A86" i="16"/>
  <c r="L85" i="16"/>
  <c r="AJ85" i="16"/>
  <c r="X85" i="16"/>
  <c r="AB85" i="16"/>
  <c r="K85" i="16"/>
  <c r="AK85" i="16"/>
  <c r="AC85" i="16"/>
  <c r="O85" i="16"/>
  <c r="S90" i="1"/>
  <c r="R90" i="1" s="1"/>
  <c r="P90" i="1" s="1"/>
  <c r="V90" i="1" s="1"/>
  <c r="AA90" i="1" s="1"/>
  <c r="Z90" i="1" s="1"/>
  <c r="Y90" i="1" s="1"/>
  <c r="T91" i="1"/>
  <c r="A93" i="1"/>
  <c r="AB92" i="1"/>
  <c r="AJ92" i="1"/>
  <c r="AK92" i="1"/>
  <c r="Q92" i="1"/>
  <c r="X92" i="1"/>
  <c r="K92" i="1"/>
  <c r="O92" i="1"/>
  <c r="AC92" i="1"/>
  <c r="L92" i="1"/>
  <c r="U92" i="1"/>
  <c r="D90" i="15"/>
  <c r="E90" i="15" s="1"/>
  <c r="X91" i="15"/>
  <c r="K91" i="15"/>
  <c r="AK91" i="15"/>
  <c r="A92" i="15"/>
  <c r="AB91" i="15"/>
  <c r="L91" i="15"/>
  <c r="D91" i="15" s="1"/>
  <c r="AJ91" i="15"/>
  <c r="AC91" i="15"/>
  <c r="O91" i="15"/>
  <c r="X81" i="25"/>
  <c r="L81" i="25"/>
  <c r="AJ81" i="25"/>
  <c r="A82" i="25"/>
  <c r="AK81" i="25"/>
  <c r="K81" i="25"/>
  <c r="AB81" i="25"/>
  <c r="AC81" i="25"/>
  <c r="O81" i="25"/>
  <c r="AB89" i="18"/>
  <c r="X89" i="18"/>
  <c r="AJ89" i="18"/>
  <c r="A90" i="18"/>
  <c r="K89" i="18"/>
  <c r="L89" i="18"/>
  <c r="AK89" i="18"/>
  <c r="AC89" i="18"/>
  <c r="O89" i="18"/>
  <c r="AB82" i="25" l="1"/>
  <c r="A83" i="25"/>
  <c r="X82" i="25"/>
  <c r="AK82" i="25"/>
  <c r="K82" i="25"/>
  <c r="AJ82" i="25"/>
  <c r="L82" i="25"/>
  <c r="AC82" i="25"/>
  <c r="O82" i="25"/>
  <c r="K92" i="15"/>
  <c r="X92" i="15"/>
  <c r="AK92" i="15"/>
  <c r="AB92" i="15"/>
  <c r="A93" i="15"/>
  <c r="L92" i="15"/>
  <c r="D92" i="15" s="1"/>
  <c r="AJ92" i="15"/>
  <c r="AC92" i="15"/>
  <c r="O92" i="15"/>
  <c r="T92" i="1"/>
  <c r="AK93" i="1"/>
  <c r="Q93" i="1"/>
  <c r="A94" i="1"/>
  <c r="AB93" i="1"/>
  <c r="AJ93" i="1"/>
  <c r="U93" i="1"/>
  <c r="L93" i="1"/>
  <c r="X93" i="1"/>
  <c r="AC93" i="1"/>
  <c r="O93" i="1"/>
  <c r="K93" i="1"/>
  <c r="D85" i="16"/>
  <c r="A85" i="23"/>
  <c r="AB84" i="23"/>
  <c r="AJ84" i="23"/>
  <c r="X84" i="23"/>
  <c r="L84" i="23"/>
  <c r="K84" i="23"/>
  <c r="AK84" i="23"/>
  <c r="AC84" i="23"/>
  <c r="O84" i="23"/>
  <c r="D86" i="17"/>
  <c r="A88" i="17"/>
  <c r="AB87" i="17"/>
  <c r="K87" i="17"/>
  <c r="AK87" i="17"/>
  <c r="L87" i="17"/>
  <c r="AJ87" i="17"/>
  <c r="X87" i="17"/>
  <c r="AC87" i="17"/>
  <c r="O87" i="17"/>
  <c r="K86" i="20"/>
  <c r="A87" i="20"/>
  <c r="AB86" i="20"/>
  <c r="AK86" i="20"/>
  <c r="X86" i="20"/>
  <c r="L86" i="20"/>
  <c r="AJ86" i="20"/>
  <c r="AC86" i="20"/>
  <c r="O86" i="20"/>
  <c r="K90" i="18"/>
  <c r="L90" i="18"/>
  <c r="A91" i="18"/>
  <c r="AK90" i="18"/>
  <c r="AB90" i="18"/>
  <c r="AJ90" i="18"/>
  <c r="X90" i="18"/>
  <c r="O90" i="18"/>
  <c r="AC90" i="18"/>
  <c r="E91" i="15"/>
  <c r="S91" i="1"/>
  <c r="R91" i="1" s="1"/>
  <c r="P91" i="1" s="1"/>
  <c r="V91" i="1" s="1"/>
  <c r="AA91" i="1" s="1"/>
  <c r="Z91" i="1" s="1"/>
  <c r="Y91" i="1" s="1"/>
  <c r="E85" i="16"/>
  <c r="X86" i="16"/>
  <c r="AB86" i="16"/>
  <c r="L86" i="16"/>
  <c r="AK86" i="16"/>
  <c r="A87" i="16"/>
  <c r="K86" i="16"/>
  <c r="AJ86" i="16"/>
  <c r="AC86" i="16"/>
  <c r="O86" i="16"/>
  <c r="K83" i="24"/>
  <c r="AB83" i="24"/>
  <c r="AJ83" i="24"/>
  <c r="L83" i="24"/>
  <c r="AK83" i="24"/>
  <c r="X83" i="24"/>
  <c r="A84" i="24"/>
  <c r="AC83" i="24"/>
  <c r="O83" i="24"/>
  <c r="AB85" i="22"/>
  <c r="L85" i="22"/>
  <c r="AJ85" i="22"/>
  <c r="X85" i="22"/>
  <c r="AK85" i="22"/>
  <c r="A86" i="22"/>
  <c r="K85" i="22"/>
  <c r="AC85" i="22"/>
  <c r="O85" i="22"/>
  <c r="E86" i="17"/>
  <c r="E92" i="15" l="1"/>
  <c r="L85" i="23"/>
  <c r="X85" i="23"/>
  <c r="AJ85" i="23"/>
  <c r="A86" i="23"/>
  <c r="AK85" i="23"/>
  <c r="AB85" i="23"/>
  <c r="K85" i="23"/>
  <c r="AC85" i="23"/>
  <c r="O85" i="23"/>
  <c r="AK94" i="1"/>
  <c r="AC94" i="1"/>
  <c r="A95" i="1"/>
  <c r="O94" i="1"/>
  <c r="X94" i="1"/>
  <c r="U94" i="1"/>
  <c r="K94" i="1"/>
  <c r="L94" i="1"/>
  <c r="AB94" i="1"/>
  <c r="AJ94" i="1"/>
  <c r="Q94" i="1"/>
  <c r="S92" i="1"/>
  <c r="R92" i="1" s="1"/>
  <c r="P92" i="1" s="1"/>
  <c r="V92" i="1" s="1"/>
  <c r="AA92" i="1" s="1"/>
  <c r="Z92" i="1" s="1"/>
  <c r="Y92" i="1" s="1"/>
  <c r="X86" i="22"/>
  <c r="AB86" i="22"/>
  <c r="L86" i="22"/>
  <c r="AK86" i="22"/>
  <c r="K86" i="22"/>
  <c r="A87" i="22"/>
  <c r="AJ86" i="22"/>
  <c r="AC86" i="22"/>
  <c r="O86" i="22"/>
  <c r="X84" i="24"/>
  <c r="L84" i="24"/>
  <c r="AJ84" i="24"/>
  <c r="AB84" i="24"/>
  <c r="K84" i="24"/>
  <c r="A85" i="24"/>
  <c r="AK84" i="24"/>
  <c r="AC84" i="24"/>
  <c r="O84" i="24"/>
  <c r="K87" i="16"/>
  <c r="L87" i="16"/>
  <c r="AJ87" i="16"/>
  <c r="AB87" i="16"/>
  <c r="A88" i="16"/>
  <c r="X87" i="16"/>
  <c r="AK87" i="16"/>
  <c r="AC87" i="16"/>
  <c r="O87" i="16"/>
  <c r="D86" i="16"/>
  <c r="E86" i="16" s="1"/>
  <c r="X91" i="18"/>
  <c r="AB91" i="18"/>
  <c r="AJ91" i="18"/>
  <c r="K91" i="18"/>
  <c r="L91" i="18"/>
  <c r="A92" i="18"/>
  <c r="AK91" i="18"/>
  <c r="O91" i="18"/>
  <c r="AC91" i="18"/>
  <c r="K87" i="20"/>
  <c r="X87" i="20"/>
  <c r="AJ87" i="20"/>
  <c r="AB87" i="20"/>
  <c r="A88" i="20"/>
  <c r="L87" i="20"/>
  <c r="AK87" i="20"/>
  <c r="AC87" i="20"/>
  <c r="O87" i="20"/>
  <c r="D87" i="17"/>
  <c r="E87" i="17" s="1"/>
  <c r="A89" i="17"/>
  <c r="X88" i="17"/>
  <c r="L88" i="17"/>
  <c r="AK88" i="17"/>
  <c r="A58" i="7"/>
  <c r="AJ88" i="17"/>
  <c r="AB88" i="17"/>
  <c r="K88" i="17"/>
  <c r="O88" i="17"/>
  <c r="C58" i="7" s="1"/>
  <c r="AC88" i="17"/>
  <c r="T93" i="1"/>
  <c r="L93" i="15"/>
  <c r="D93" i="15" s="1"/>
  <c r="AB93" i="15"/>
  <c r="X93" i="15"/>
  <c r="AJ93" i="15"/>
  <c r="K93" i="15"/>
  <c r="AC93" i="15"/>
  <c r="A94" i="15"/>
  <c r="AK93" i="15"/>
  <c r="O93" i="15"/>
  <c r="E93" i="15" s="1"/>
  <c r="L83" i="25"/>
  <c r="X83" i="25"/>
  <c r="AJ83" i="25"/>
  <c r="A84" i="25"/>
  <c r="K83" i="25"/>
  <c r="AB83" i="25"/>
  <c r="AK83" i="25"/>
  <c r="AC83" i="25"/>
  <c r="O83" i="25"/>
  <c r="X84" i="25" l="1"/>
  <c r="AB84" i="25"/>
  <c r="AJ84" i="25"/>
  <c r="A85" i="25"/>
  <c r="L84" i="25"/>
  <c r="K84" i="25"/>
  <c r="AK84" i="25"/>
  <c r="AC84" i="25"/>
  <c r="O84" i="25"/>
  <c r="K94" i="15"/>
  <c r="AB94" i="15"/>
  <c r="AK94" i="15"/>
  <c r="L94" i="15"/>
  <c r="AJ94" i="15"/>
  <c r="X94" i="15"/>
  <c r="A95" i="15"/>
  <c r="AC94" i="15"/>
  <c r="O94" i="15"/>
  <c r="K88" i="16"/>
  <c r="A46" i="7"/>
  <c r="AB88" i="16"/>
  <c r="AK88" i="16"/>
  <c r="L88" i="16"/>
  <c r="X88" i="16"/>
  <c r="A89" i="16"/>
  <c r="AJ88" i="16"/>
  <c r="AC88" i="16"/>
  <c r="O88" i="16"/>
  <c r="C46" i="7" s="1"/>
  <c r="A88" i="22"/>
  <c r="K87" i="22"/>
  <c r="X87" i="22"/>
  <c r="AK87" i="22"/>
  <c r="AB87" i="22"/>
  <c r="AJ87" i="22"/>
  <c r="L87" i="22"/>
  <c r="AC87" i="22"/>
  <c r="O87" i="22"/>
  <c r="T94" i="1"/>
  <c r="S93" i="1"/>
  <c r="R93" i="1" s="1"/>
  <c r="P93" i="1" s="1"/>
  <c r="V93" i="1" s="1"/>
  <c r="AA93" i="1" s="1"/>
  <c r="Z93" i="1" s="1"/>
  <c r="Y93" i="1" s="1"/>
  <c r="B58" i="7"/>
  <c r="D88" i="17"/>
  <c r="E88" i="17" s="1"/>
  <c r="AB89" i="17"/>
  <c r="X89" i="17"/>
  <c r="L89" i="17"/>
  <c r="AK89" i="17"/>
  <c r="K89" i="17"/>
  <c r="AJ89" i="17"/>
  <c r="A90" i="17"/>
  <c r="O89" i="17"/>
  <c r="AC89" i="17"/>
  <c r="X88" i="20"/>
  <c r="L88" i="20"/>
  <c r="K88" i="20"/>
  <c r="AJ88" i="20"/>
  <c r="A89" i="20"/>
  <c r="AK88" i="20"/>
  <c r="AE22" i="7"/>
  <c r="AB88" i="20"/>
  <c r="AC88" i="20"/>
  <c r="O88" i="20"/>
  <c r="AG22" i="7" s="1"/>
  <c r="A93" i="18"/>
  <c r="AB92" i="18"/>
  <c r="AJ92" i="18"/>
  <c r="X92" i="18"/>
  <c r="AK92" i="18"/>
  <c r="K92" i="18"/>
  <c r="L92" i="18"/>
  <c r="AC92" i="18"/>
  <c r="O92" i="18"/>
  <c r="D87" i="16"/>
  <c r="E87" i="16" s="1"/>
  <c r="K85" i="24"/>
  <c r="X85" i="24"/>
  <c r="L85" i="24"/>
  <c r="AK85" i="24"/>
  <c r="AB85" i="24"/>
  <c r="A86" i="24"/>
  <c r="AJ85" i="24"/>
  <c r="AC85" i="24"/>
  <c r="O85" i="24"/>
  <c r="L95" i="1"/>
  <c r="A96" i="1"/>
  <c r="X95" i="1"/>
  <c r="K95" i="1"/>
  <c r="U95" i="1"/>
  <c r="AK95" i="1"/>
  <c r="AJ95" i="1"/>
  <c r="Q95" i="1"/>
  <c r="AB95" i="1"/>
  <c r="O95" i="1"/>
  <c r="AC95" i="1"/>
  <c r="K86" i="23"/>
  <c r="AB86" i="23"/>
  <c r="X86" i="23"/>
  <c r="AK86" i="23"/>
  <c r="A87" i="23"/>
  <c r="L86" i="23"/>
  <c r="AJ86" i="23"/>
  <c r="AC86" i="23"/>
  <c r="O86" i="23"/>
  <c r="AB87" i="23" l="1"/>
  <c r="A88" i="23"/>
  <c r="AJ87" i="23"/>
  <c r="X87" i="23"/>
  <c r="AK87" i="23"/>
  <c r="K87" i="23"/>
  <c r="L87" i="23"/>
  <c r="AC87" i="23"/>
  <c r="O87" i="23"/>
  <c r="L96" i="1"/>
  <c r="AJ96" i="1"/>
  <c r="AK96" i="1"/>
  <c r="X96" i="1"/>
  <c r="U96" i="1"/>
  <c r="AC96" i="1"/>
  <c r="AB96" i="1"/>
  <c r="K96" i="1"/>
  <c r="A97" i="1"/>
  <c r="O96" i="1"/>
  <c r="Q96" i="1"/>
  <c r="A87" i="24"/>
  <c r="K86" i="24"/>
  <c r="AJ86" i="24"/>
  <c r="L86" i="24"/>
  <c r="AK86" i="24"/>
  <c r="X86" i="24"/>
  <c r="AB86" i="24"/>
  <c r="AC86" i="24"/>
  <c r="O86" i="24"/>
  <c r="K93" i="18"/>
  <c r="AB93" i="18"/>
  <c r="AJ93" i="18"/>
  <c r="X93" i="18"/>
  <c r="L93" i="18"/>
  <c r="A94" i="18"/>
  <c r="AK93" i="18"/>
  <c r="O93" i="18"/>
  <c r="AC93" i="18"/>
  <c r="AF22" i="7"/>
  <c r="S94" i="1"/>
  <c r="R94" i="1" s="1"/>
  <c r="P94" i="1" s="1"/>
  <c r="V94" i="1" s="1"/>
  <c r="AA94" i="1" s="1"/>
  <c r="Z94" i="1" s="1"/>
  <c r="Y94" i="1" s="1"/>
  <c r="K89" i="16"/>
  <c r="AB89" i="16"/>
  <c r="A90" i="16"/>
  <c r="AK89" i="16"/>
  <c r="L89" i="16"/>
  <c r="AJ89" i="16"/>
  <c r="X89" i="16"/>
  <c r="AC89" i="16"/>
  <c r="O89" i="16"/>
  <c r="B46" i="7"/>
  <c r="D88" i="16"/>
  <c r="E88" i="16" s="1"/>
  <c r="D94" i="15"/>
  <c r="A86" i="25"/>
  <c r="L85" i="25"/>
  <c r="X85" i="25"/>
  <c r="AK85" i="25"/>
  <c r="AB85" i="25"/>
  <c r="AJ85" i="25"/>
  <c r="K85" i="25"/>
  <c r="AC85" i="25"/>
  <c r="O85" i="25"/>
  <c r="T95" i="1"/>
  <c r="A90" i="20"/>
  <c r="K89" i="20"/>
  <c r="AB89" i="20"/>
  <c r="AK89" i="20"/>
  <c r="L89" i="20"/>
  <c r="X89" i="20"/>
  <c r="AJ89" i="20"/>
  <c r="AC89" i="20"/>
  <c r="O89" i="20"/>
  <c r="L90" i="17"/>
  <c r="K90" i="17"/>
  <c r="AJ90" i="17"/>
  <c r="X90" i="17"/>
  <c r="AK90" i="17"/>
  <c r="A91" i="17"/>
  <c r="AB90" i="17"/>
  <c r="AC90" i="17"/>
  <c r="O90" i="17"/>
  <c r="D89" i="17"/>
  <c r="E89" i="17" s="1"/>
  <c r="A89" i="22"/>
  <c r="X88" i="22"/>
  <c r="AE34" i="7"/>
  <c r="AJ88" i="22"/>
  <c r="L88" i="22"/>
  <c r="AK88" i="22"/>
  <c r="AB88" i="22"/>
  <c r="K88" i="22"/>
  <c r="AC88" i="22"/>
  <c r="O88" i="22"/>
  <c r="AG34" i="7" s="1"/>
  <c r="E94" i="15"/>
  <c r="A96" i="15"/>
  <c r="AB95" i="15"/>
  <c r="AK95" i="15"/>
  <c r="K95" i="15"/>
  <c r="AJ95" i="15"/>
  <c r="L95" i="15"/>
  <c r="D95" i="15" s="1"/>
  <c r="X95" i="15"/>
  <c r="AC95" i="15"/>
  <c r="O95" i="15"/>
  <c r="E95" i="15" l="1"/>
  <c r="L96" i="15"/>
  <c r="D96" i="15" s="1"/>
  <c r="K96" i="15"/>
  <c r="AK96" i="15"/>
  <c r="A97" i="15"/>
  <c r="AJ96" i="15"/>
  <c r="AB96" i="15"/>
  <c r="X96" i="15"/>
  <c r="AC96" i="15"/>
  <c r="O96" i="15"/>
  <c r="E96" i="15" s="1"/>
  <c r="D90" i="17"/>
  <c r="E90" i="17" s="1"/>
  <c r="S95" i="1"/>
  <c r="R95" i="1" s="1"/>
  <c r="P95" i="1" s="1"/>
  <c r="V95" i="1" s="1"/>
  <c r="AA95" i="1" s="1"/>
  <c r="Z95" i="1" s="1"/>
  <c r="Y95" i="1" s="1"/>
  <c r="A88" i="24"/>
  <c r="L87" i="24"/>
  <c r="K87" i="24"/>
  <c r="AK87" i="24"/>
  <c r="AB87" i="24"/>
  <c r="X87" i="24"/>
  <c r="AJ87" i="24"/>
  <c r="AC87" i="24"/>
  <c r="O87" i="24"/>
  <c r="AF34" i="7"/>
  <c r="K89" i="22"/>
  <c r="L89" i="22"/>
  <c r="AB89" i="22"/>
  <c r="AK89" i="22"/>
  <c r="A90" i="22"/>
  <c r="AJ89" i="22"/>
  <c r="X89" i="22"/>
  <c r="AC89" i="22"/>
  <c r="O89" i="22"/>
  <c r="A92" i="17"/>
  <c r="L91" i="17"/>
  <c r="AJ91" i="17"/>
  <c r="K91" i="17"/>
  <c r="X91" i="17"/>
  <c r="AB91" i="17"/>
  <c r="AK91" i="17"/>
  <c r="O91" i="17"/>
  <c r="AC91" i="17"/>
  <c r="A91" i="20"/>
  <c r="K90" i="20"/>
  <c r="AB90" i="20"/>
  <c r="AK90" i="20"/>
  <c r="X90" i="20"/>
  <c r="AJ90" i="20"/>
  <c r="L90" i="20"/>
  <c r="AC90" i="20"/>
  <c r="O90" i="20"/>
  <c r="X86" i="25"/>
  <c r="AB86" i="25"/>
  <c r="AJ86" i="25"/>
  <c r="L86" i="25"/>
  <c r="AK86" i="25"/>
  <c r="K86" i="25"/>
  <c r="A87" i="25"/>
  <c r="AC86" i="25"/>
  <c r="O86" i="25"/>
  <c r="D89" i="16"/>
  <c r="E89" i="16" s="1"/>
  <c r="A91" i="16"/>
  <c r="L90" i="16"/>
  <c r="K90" i="16"/>
  <c r="AK90" i="16"/>
  <c r="AB90" i="16"/>
  <c r="AJ90" i="16"/>
  <c r="X90" i="16"/>
  <c r="AC90" i="16"/>
  <c r="O90" i="16"/>
  <c r="L94" i="18"/>
  <c r="A95" i="18"/>
  <c r="AJ94" i="18"/>
  <c r="AB94" i="18"/>
  <c r="AK94" i="18"/>
  <c r="K94" i="18"/>
  <c r="X94" i="18"/>
  <c r="O94" i="18"/>
  <c r="AC94" i="18"/>
  <c r="AB97" i="1"/>
  <c r="X97" i="1"/>
  <c r="L97" i="1"/>
  <c r="A98" i="1"/>
  <c r="U97" i="1"/>
  <c r="AK97" i="1"/>
  <c r="AJ97" i="1"/>
  <c r="K97" i="1"/>
  <c r="Q97" i="1"/>
  <c r="O97" i="1"/>
  <c r="AC97" i="1"/>
  <c r="T96" i="1"/>
  <c r="X88" i="23"/>
  <c r="A89" i="23"/>
  <c r="AE46" i="7"/>
  <c r="AK88" i="23"/>
  <c r="L88" i="23"/>
  <c r="AJ88" i="23"/>
  <c r="AB88" i="23"/>
  <c r="K88" i="23"/>
  <c r="AC88" i="23"/>
  <c r="O88" i="23"/>
  <c r="AG46" i="7" s="1"/>
  <c r="S96" i="1" l="1"/>
  <c r="R96" i="1" s="1"/>
  <c r="P96" i="1" s="1"/>
  <c r="V96" i="1" s="1"/>
  <c r="AA96" i="1" s="1"/>
  <c r="Z96" i="1" s="1"/>
  <c r="Y96" i="1" s="1"/>
  <c r="AC98" i="1"/>
  <c r="A99" i="1"/>
  <c r="K98" i="1"/>
  <c r="AJ98" i="1"/>
  <c r="AB98" i="1"/>
  <c r="AK98" i="1"/>
  <c r="O98" i="1"/>
  <c r="L98" i="1"/>
  <c r="X98" i="1"/>
  <c r="U98" i="1"/>
  <c r="Q98" i="1"/>
  <c r="K91" i="16"/>
  <c r="L91" i="16"/>
  <c r="A92" i="16"/>
  <c r="AK91" i="16"/>
  <c r="AB91" i="16"/>
  <c r="X91" i="16"/>
  <c r="AJ91" i="16"/>
  <c r="AC91" i="16"/>
  <c r="O91" i="16"/>
  <c r="D91" i="17"/>
  <c r="E91" i="17" s="1"/>
  <c r="AF46" i="7"/>
  <c r="K89" i="23"/>
  <c r="AB89" i="23"/>
  <c r="AJ89" i="23"/>
  <c r="X89" i="23"/>
  <c r="L89" i="23"/>
  <c r="A90" i="23"/>
  <c r="AK89" i="23"/>
  <c r="AC89" i="23"/>
  <c r="O89" i="23"/>
  <c r="T97" i="1"/>
  <c r="A96" i="18"/>
  <c r="X95" i="18"/>
  <c r="L95" i="18"/>
  <c r="AK95" i="18"/>
  <c r="K95" i="18"/>
  <c r="AB95" i="18"/>
  <c r="AJ95" i="18"/>
  <c r="AC95" i="18"/>
  <c r="O95" i="18"/>
  <c r="D90" i="16"/>
  <c r="E90" i="16" s="1"/>
  <c r="X87" i="25"/>
  <c r="K87" i="25"/>
  <c r="A88" i="25"/>
  <c r="AK87" i="25"/>
  <c r="AB87" i="25"/>
  <c r="L87" i="25"/>
  <c r="AJ87" i="25"/>
  <c r="AC87" i="25"/>
  <c r="O87" i="25"/>
  <c r="A92" i="20"/>
  <c r="K91" i="20"/>
  <c r="AB91" i="20"/>
  <c r="AK91" i="20"/>
  <c r="L91" i="20"/>
  <c r="AJ91" i="20"/>
  <c r="X91" i="20"/>
  <c r="AC91" i="20"/>
  <c r="O91" i="20"/>
  <c r="X92" i="17"/>
  <c r="AB92" i="17"/>
  <c r="K92" i="17"/>
  <c r="AK92" i="17"/>
  <c r="A93" i="17"/>
  <c r="AJ92" i="17"/>
  <c r="L92" i="17"/>
  <c r="O92" i="17"/>
  <c r="AC92" i="17"/>
  <c r="A91" i="22"/>
  <c r="L90" i="22"/>
  <c r="AJ90" i="22"/>
  <c r="X90" i="22"/>
  <c r="K90" i="22"/>
  <c r="AB90" i="22"/>
  <c r="AK90" i="22"/>
  <c r="AC90" i="22"/>
  <c r="O90" i="22"/>
  <c r="X88" i="24"/>
  <c r="K88" i="24"/>
  <c r="A89" i="24"/>
  <c r="AJ88" i="24"/>
  <c r="L88" i="24"/>
  <c r="AK88" i="24"/>
  <c r="AB88" i="24"/>
  <c r="AE58" i="7"/>
  <c r="AC88" i="24"/>
  <c r="O88" i="24"/>
  <c r="AG58" i="7" s="1"/>
  <c r="L97" i="15"/>
  <c r="AB97" i="15"/>
  <c r="K97" i="15"/>
  <c r="AK97" i="15"/>
  <c r="X97" i="15"/>
  <c r="AJ97" i="15"/>
  <c r="A98" i="15"/>
  <c r="AC97" i="15"/>
  <c r="O97" i="15"/>
  <c r="K98" i="15" l="1"/>
  <c r="A99" i="15"/>
  <c r="AJ98" i="15"/>
  <c r="X98" i="15"/>
  <c r="AB98" i="15"/>
  <c r="L98" i="15"/>
  <c r="D98" i="15" s="1"/>
  <c r="AK98" i="15"/>
  <c r="AC98" i="15"/>
  <c r="O98" i="15"/>
  <c r="D97" i="15"/>
  <c r="E97" i="15" s="1"/>
  <c r="AF58" i="7"/>
  <c r="A90" i="24"/>
  <c r="L89" i="24"/>
  <c r="AJ89" i="24"/>
  <c r="K89" i="24"/>
  <c r="AK89" i="24"/>
  <c r="AB89" i="24"/>
  <c r="X89" i="24"/>
  <c r="AC89" i="24"/>
  <c r="O89" i="24"/>
  <c r="X91" i="22"/>
  <c r="A92" i="22"/>
  <c r="AJ91" i="22"/>
  <c r="K91" i="22"/>
  <c r="AK91" i="22"/>
  <c r="AB91" i="22"/>
  <c r="L91" i="22"/>
  <c r="AC91" i="22"/>
  <c r="O91" i="22"/>
  <c r="D92" i="17"/>
  <c r="E92" i="17" s="1"/>
  <c r="AB93" i="17"/>
  <c r="A94" i="17"/>
  <c r="AJ93" i="17"/>
  <c r="X93" i="17"/>
  <c r="K93" i="17"/>
  <c r="L93" i="17"/>
  <c r="AK93" i="17"/>
  <c r="AC93" i="17"/>
  <c r="O93" i="17"/>
  <c r="S97" i="1"/>
  <c r="R97" i="1" s="1"/>
  <c r="P97" i="1" s="1"/>
  <c r="V97" i="1" s="1"/>
  <c r="AA97" i="1" s="1"/>
  <c r="Z97" i="1" s="1"/>
  <c r="Y97" i="1" s="1"/>
  <c r="AB90" i="23"/>
  <c r="K90" i="23"/>
  <c r="L90" i="23"/>
  <c r="AK90" i="23"/>
  <c r="X90" i="23"/>
  <c r="AJ90" i="23"/>
  <c r="A91" i="23"/>
  <c r="AC90" i="23"/>
  <c r="O90" i="23"/>
  <c r="K92" i="16"/>
  <c r="X92" i="16"/>
  <c r="L92" i="16"/>
  <c r="AK92" i="16"/>
  <c r="A93" i="16"/>
  <c r="AJ92" i="16"/>
  <c r="AB92" i="16"/>
  <c r="AC92" i="16"/>
  <c r="O92" i="16"/>
  <c r="A93" i="20"/>
  <c r="K92" i="20"/>
  <c r="X92" i="20"/>
  <c r="AK92" i="20"/>
  <c r="L92" i="20"/>
  <c r="AJ92" i="20"/>
  <c r="AB92" i="20"/>
  <c r="AC92" i="20"/>
  <c r="O92" i="20"/>
  <c r="A89" i="25"/>
  <c r="X88" i="25"/>
  <c r="L88" i="25"/>
  <c r="AK88" i="25"/>
  <c r="AE70" i="7"/>
  <c r="AJ88" i="25"/>
  <c r="K88" i="25"/>
  <c r="AB88" i="25"/>
  <c r="AC88" i="25"/>
  <c r="O88" i="25"/>
  <c r="AG70" i="7" s="1"/>
  <c r="X96" i="18"/>
  <c r="A97" i="18"/>
  <c r="AJ96" i="18"/>
  <c r="AB96" i="18"/>
  <c r="L96" i="18"/>
  <c r="K96" i="18"/>
  <c r="AK96" i="18"/>
  <c r="O96" i="18"/>
  <c r="AC96" i="18"/>
  <c r="D91" i="16"/>
  <c r="E91" i="16" s="1"/>
  <c r="T98" i="1"/>
  <c r="L99" i="1"/>
  <c r="X99" i="1"/>
  <c r="Q99" i="1"/>
  <c r="AB99" i="1"/>
  <c r="A100" i="1"/>
  <c r="AK99" i="1"/>
  <c r="K99" i="1"/>
  <c r="AJ99" i="1"/>
  <c r="U99" i="1"/>
  <c r="AC99" i="1"/>
  <c r="O99" i="1"/>
  <c r="E98" i="15" l="1"/>
  <c r="T99" i="1"/>
  <c r="AJ100" i="1"/>
  <c r="X100" i="1"/>
  <c r="AK100" i="1"/>
  <c r="AB100" i="1"/>
  <c r="K100" i="1"/>
  <c r="O100" i="1"/>
  <c r="A101" i="1"/>
  <c r="L100" i="1"/>
  <c r="Q100" i="1"/>
  <c r="U100" i="1"/>
  <c r="AC100" i="1"/>
  <c r="A92" i="23"/>
  <c r="K91" i="23"/>
  <c r="AB91" i="23"/>
  <c r="AK91" i="23"/>
  <c r="X91" i="23"/>
  <c r="L91" i="23"/>
  <c r="AJ91" i="23"/>
  <c r="AC91" i="23"/>
  <c r="O91" i="23"/>
  <c r="D93" i="17"/>
  <c r="E93" i="17" s="1"/>
  <c r="K94" i="17"/>
  <c r="X94" i="17"/>
  <c r="AB94" i="17"/>
  <c r="AK94" i="17"/>
  <c r="A95" i="17"/>
  <c r="L94" i="17"/>
  <c r="AJ94" i="17"/>
  <c r="O94" i="17"/>
  <c r="AC94" i="17"/>
  <c r="A91" i="24"/>
  <c r="AB90" i="24"/>
  <c r="L90" i="24"/>
  <c r="AK90" i="24"/>
  <c r="K90" i="24"/>
  <c r="AJ90" i="24"/>
  <c r="X90" i="24"/>
  <c r="AC90" i="24"/>
  <c r="O90" i="24"/>
  <c r="X99" i="15"/>
  <c r="AB99" i="15"/>
  <c r="AK99" i="15"/>
  <c r="L99" i="15"/>
  <c r="AJ99" i="15"/>
  <c r="A100" i="15"/>
  <c r="K99" i="15"/>
  <c r="AC99" i="15"/>
  <c r="O99" i="15"/>
  <c r="S98" i="1"/>
  <c r="R98" i="1" s="1"/>
  <c r="P98" i="1" s="1"/>
  <c r="V98" i="1" s="1"/>
  <c r="AA98" i="1" s="1"/>
  <c r="Z98" i="1" s="1"/>
  <c r="Y98" i="1" s="1"/>
  <c r="K97" i="18"/>
  <c r="L97" i="18"/>
  <c r="AJ97" i="18"/>
  <c r="X97" i="18"/>
  <c r="AB97" i="18"/>
  <c r="A98" i="18"/>
  <c r="AK97" i="18"/>
  <c r="O97" i="18"/>
  <c r="AC97" i="18"/>
  <c r="AF70" i="7"/>
  <c r="X89" i="25"/>
  <c r="K89" i="25"/>
  <c r="L89" i="25"/>
  <c r="AK89" i="25"/>
  <c r="A90" i="25"/>
  <c r="AB89" i="25"/>
  <c r="AJ89" i="25"/>
  <c r="AC89" i="25"/>
  <c r="O89" i="25"/>
  <c r="A94" i="20"/>
  <c r="L93" i="20"/>
  <c r="AJ93" i="20"/>
  <c r="K93" i="20"/>
  <c r="AB93" i="20"/>
  <c r="X93" i="20"/>
  <c r="AK93" i="20"/>
  <c r="AC93" i="20"/>
  <c r="O93" i="20"/>
  <c r="A94" i="16"/>
  <c r="L93" i="16"/>
  <c r="X93" i="16"/>
  <c r="AK93" i="16"/>
  <c r="K93" i="16"/>
  <c r="AJ93" i="16"/>
  <c r="AB93" i="16"/>
  <c r="AC93" i="16"/>
  <c r="O93" i="16"/>
  <c r="D92" i="16"/>
  <c r="E92" i="16" s="1"/>
  <c r="AB92" i="22"/>
  <c r="X92" i="22"/>
  <c r="A93" i="22"/>
  <c r="AK92" i="22"/>
  <c r="K92" i="22"/>
  <c r="L92" i="22"/>
  <c r="AJ92" i="22"/>
  <c r="AC92" i="22"/>
  <c r="O92" i="22"/>
  <c r="A94" i="22" l="1"/>
  <c r="AB93" i="22"/>
  <c r="X93" i="22"/>
  <c r="AK93" i="22"/>
  <c r="L93" i="22"/>
  <c r="K93" i="22"/>
  <c r="AJ93" i="22"/>
  <c r="AC93" i="22"/>
  <c r="O93" i="22"/>
  <c r="L94" i="16"/>
  <c r="AB94" i="16"/>
  <c r="AJ94" i="16"/>
  <c r="A95" i="16"/>
  <c r="AK94" i="16"/>
  <c r="X94" i="16"/>
  <c r="K94" i="16"/>
  <c r="AC94" i="16"/>
  <c r="O94" i="16"/>
  <c r="K95" i="17"/>
  <c r="L95" i="17"/>
  <c r="A96" i="17"/>
  <c r="AK95" i="17"/>
  <c r="AB95" i="17"/>
  <c r="X95" i="17"/>
  <c r="AJ95" i="17"/>
  <c r="O95" i="17"/>
  <c r="AC95" i="17"/>
  <c r="T100" i="1"/>
  <c r="D93" i="16"/>
  <c r="E93" i="16" s="1"/>
  <c r="AB94" i="20"/>
  <c r="A95" i="20"/>
  <c r="X94" i="20"/>
  <c r="AK94" i="20"/>
  <c r="K94" i="20"/>
  <c r="L94" i="20"/>
  <c r="AJ94" i="20"/>
  <c r="AC94" i="20"/>
  <c r="O94" i="20"/>
  <c r="X90" i="25"/>
  <c r="L90" i="25"/>
  <c r="AJ90" i="25"/>
  <c r="K90" i="25"/>
  <c r="AB90" i="25"/>
  <c r="A91" i="25"/>
  <c r="AK90" i="25"/>
  <c r="AC90" i="25"/>
  <c r="O90" i="25"/>
  <c r="AB98" i="18"/>
  <c r="L98" i="18"/>
  <c r="X98" i="18"/>
  <c r="AK98" i="18"/>
  <c r="K98" i="18"/>
  <c r="A99" i="18"/>
  <c r="AJ98" i="18"/>
  <c r="AC98" i="18"/>
  <c r="O98" i="18"/>
  <c r="L100" i="15"/>
  <c r="D100" i="15" s="1"/>
  <c r="K100" i="15"/>
  <c r="AC100" i="15"/>
  <c r="AJ100" i="15"/>
  <c r="X100" i="15"/>
  <c r="AK100" i="15"/>
  <c r="AB100" i="15"/>
  <c r="A101" i="15"/>
  <c r="O100" i="15"/>
  <c r="E100" i="15" s="1"/>
  <c r="D99" i="15"/>
  <c r="E99" i="15" s="1"/>
  <c r="K91" i="24"/>
  <c r="A92" i="24"/>
  <c r="X91" i="24"/>
  <c r="AK91" i="24"/>
  <c r="AB91" i="24"/>
  <c r="L91" i="24"/>
  <c r="AJ91" i="24"/>
  <c r="AC91" i="24"/>
  <c r="O91" i="24"/>
  <c r="D94" i="17"/>
  <c r="E94" i="17" s="1"/>
  <c r="X92" i="23"/>
  <c r="L92" i="23"/>
  <c r="K92" i="23"/>
  <c r="AK92" i="23"/>
  <c r="AB92" i="23"/>
  <c r="A93" i="23"/>
  <c r="AJ92" i="23"/>
  <c r="AC92" i="23"/>
  <c r="O92" i="23"/>
  <c r="L101" i="1"/>
  <c r="K101" i="1"/>
  <c r="AJ101" i="1"/>
  <c r="AB101" i="1"/>
  <c r="AK101" i="1"/>
  <c r="A102" i="1"/>
  <c r="X101" i="1"/>
  <c r="Q101" i="1"/>
  <c r="U101" i="1"/>
  <c r="O101" i="1"/>
  <c r="AC101" i="1"/>
  <c r="S99" i="1"/>
  <c r="R99" i="1" s="1"/>
  <c r="P99" i="1" s="1"/>
  <c r="V99" i="1" s="1"/>
  <c r="AA99" i="1" s="1"/>
  <c r="Z99" i="1" s="1"/>
  <c r="Y99" i="1" s="1"/>
  <c r="A94" i="23" l="1"/>
  <c r="X93" i="23"/>
  <c r="L93" i="23"/>
  <c r="AK93" i="23"/>
  <c r="AB93" i="23"/>
  <c r="K93" i="23"/>
  <c r="AJ93" i="23"/>
  <c r="AC93" i="23"/>
  <c r="O93" i="23"/>
  <c r="X99" i="18"/>
  <c r="K99" i="18"/>
  <c r="L99" i="18"/>
  <c r="AK99" i="18"/>
  <c r="A100" i="18"/>
  <c r="AB99" i="18"/>
  <c r="AJ99" i="18"/>
  <c r="O99" i="18"/>
  <c r="AC99" i="18"/>
  <c r="A92" i="25"/>
  <c r="L91" i="25"/>
  <c r="K91" i="25"/>
  <c r="AK91" i="25"/>
  <c r="AB91" i="25"/>
  <c r="X91" i="25"/>
  <c r="AJ91" i="25"/>
  <c r="AC91" i="25"/>
  <c r="O91" i="25"/>
  <c r="AB95" i="20"/>
  <c r="K95" i="20"/>
  <c r="AJ95" i="20"/>
  <c r="A96" i="20"/>
  <c r="X95" i="20"/>
  <c r="L95" i="20"/>
  <c r="AK95" i="20"/>
  <c r="AC95" i="20"/>
  <c r="O95" i="20"/>
  <c r="X96" i="17"/>
  <c r="A97" i="17"/>
  <c r="L96" i="17"/>
  <c r="AK96" i="17"/>
  <c r="K96" i="17"/>
  <c r="AB96" i="17"/>
  <c r="AJ96" i="17"/>
  <c r="O96" i="17"/>
  <c r="AC96" i="17"/>
  <c r="D94" i="16"/>
  <c r="E94" i="16" s="1"/>
  <c r="T101" i="1"/>
  <c r="AJ102" i="1"/>
  <c r="L102" i="1"/>
  <c r="A103" i="1"/>
  <c r="Q102" i="1"/>
  <c r="O102" i="1"/>
  <c r="AB102" i="1"/>
  <c r="X102" i="1"/>
  <c r="AK102" i="1"/>
  <c r="K102" i="1"/>
  <c r="U102" i="1"/>
  <c r="AC102" i="1"/>
  <c r="X92" i="24"/>
  <c r="L92" i="24"/>
  <c r="AB92" i="24"/>
  <c r="AK92" i="24"/>
  <c r="K92" i="24"/>
  <c r="A93" i="24"/>
  <c r="AJ92" i="24"/>
  <c r="AC92" i="24"/>
  <c r="O92" i="24"/>
  <c r="AB101" i="15"/>
  <c r="X101" i="15"/>
  <c r="AK101" i="15"/>
  <c r="K101" i="15"/>
  <c r="L101" i="15"/>
  <c r="A102" i="15"/>
  <c r="AJ101" i="15"/>
  <c r="AC101" i="15"/>
  <c r="O101" i="15"/>
  <c r="S100" i="1"/>
  <c r="R100" i="1" s="1"/>
  <c r="P100" i="1" s="1"/>
  <c r="V100" i="1" s="1"/>
  <c r="AA100" i="1" s="1"/>
  <c r="Z100" i="1" s="1"/>
  <c r="Y100" i="1" s="1"/>
  <c r="D95" i="17"/>
  <c r="E95" i="17" s="1"/>
  <c r="A96" i="16"/>
  <c r="L95" i="16"/>
  <c r="K95" i="16"/>
  <c r="AK95" i="16"/>
  <c r="AB95" i="16"/>
  <c r="X95" i="16"/>
  <c r="AJ95" i="16"/>
  <c r="AC95" i="16"/>
  <c r="O95" i="16"/>
  <c r="A95" i="22"/>
  <c r="L94" i="22"/>
  <c r="AJ94" i="22"/>
  <c r="X94" i="22"/>
  <c r="AB94" i="22"/>
  <c r="K94" i="22"/>
  <c r="AK94" i="22"/>
  <c r="AC94" i="22"/>
  <c r="O94" i="22"/>
  <c r="K95" i="22" l="1"/>
  <c r="L95" i="22"/>
  <c r="A96" i="22"/>
  <c r="AK95" i="22"/>
  <c r="AB95" i="22"/>
  <c r="X95" i="22"/>
  <c r="AJ95" i="22"/>
  <c r="AC95" i="22"/>
  <c r="O95" i="22"/>
  <c r="K96" i="16"/>
  <c r="AB96" i="16"/>
  <c r="AJ96" i="16"/>
  <c r="X96" i="16"/>
  <c r="A97" i="16"/>
  <c r="L96" i="16"/>
  <c r="AK96" i="16"/>
  <c r="AC96" i="16"/>
  <c r="O96" i="16"/>
  <c r="AB102" i="15"/>
  <c r="K102" i="15"/>
  <c r="AK102" i="15"/>
  <c r="AC102" i="15"/>
  <c r="X102" i="15"/>
  <c r="L102" i="15"/>
  <c r="A103" i="15"/>
  <c r="AJ102" i="15"/>
  <c r="O102" i="15"/>
  <c r="K103" i="1"/>
  <c r="L103" i="1"/>
  <c r="AB103" i="1"/>
  <c r="Q103" i="1"/>
  <c r="A104" i="1"/>
  <c r="X103" i="1"/>
  <c r="AK103" i="1"/>
  <c r="AJ103" i="1"/>
  <c r="U103" i="1"/>
  <c r="AC103" i="1"/>
  <c r="O103" i="1"/>
  <c r="S101" i="1"/>
  <c r="R101" i="1" s="1"/>
  <c r="P101" i="1" s="1"/>
  <c r="V101" i="1" s="1"/>
  <c r="AA101" i="1" s="1"/>
  <c r="Z101" i="1" s="1"/>
  <c r="Y101" i="1" s="1"/>
  <c r="D96" i="17"/>
  <c r="K100" i="18"/>
  <c r="X100" i="18"/>
  <c r="AJ100" i="18"/>
  <c r="AB100" i="18"/>
  <c r="A101" i="18"/>
  <c r="L100" i="18"/>
  <c r="AK100" i="18"/>
  <c r="AC100" i="18"/>
  <c r="O100" i="18"/>
  <c r="D95" i="16"/>
  <c r="E95" i="16" s="1"/>
  <c r="D101" i="15"/>
  <c r="E101" i="15" s="1"/>
  <c r="L93" i="24"/>
  <c r="A94" i="24"/>
  <c r="AJ93" i="24"/>
  <c r="X93" i="24"/>
  <c r="K93" i="24"/>
  <c r="AB93" i="24"/>
  <c r="AK93" i="24"/>
  <c r="AC93" i="24"/>
  <c r="O93" i="24"/>
  <c r="T102" i="1"/>
  <c r="E96" i="17"/>
  <c r="X97" i="17"/>
  <c r="AB97" i="17"/>
  <c r="K97" i="17"/>
  <c r="AK97" i="17"/>
  <c r="A98" i="17"/>
  <c r="L97" i="17"/>
  <c r="AJ97" i="17"/>
  <c r="O97" i="17"/>
  <c r="AC97" i="17"/>
  <c r="X96" i="20"/>
  <c r="L96" i="20"/>
  <c r="K96" i="20"/>
  <c r="AK96" i="20"/>
  <c r="A97" i="20"/>
  <c r="AB96" i="20"/>
  <c r="AJ96" i="20"/>
  <c r="AC96" i="20"/>
  <c r="O96" i="20"/>
  <c r="X92" i="25"/>
  <c r="L92" i="25"/>
  <c r="AJ92" i="25"/>
  <c r="K92" i="25"/>
  <c r="AB92" i="25"/>
  <c r="A93" i="25"/>
  <c r="AK92" i="25"/>
  <c r="AC92" i="25"/>
  <c r="O92" i="25"/>
  <c r="AB94" i="23"/>
  <c r="X94" i="23"/>
  <c r="K94" i="23"/>
  <c r="AK94" i="23"/>
  <c r="L94" i="23"/>
  <c r="A95" i="23"/>
  <c r="AJ94" i="23"/>
  <c r="AC94" i="23"/>
  <c r="O94" i="23"/>
  <c r="X93" i="25" l="1"/>
  <c r="K93" i="25"/>
  <c r="A94" i="25"/>
  <c r="AK93" i="25"/>
  <c r="L93" i="25"/>
  <c r="AB93" i="25"/>
  <c r="AJ93" i="25"/>
  <c r="AC93" i="25"/>
  <c r="O93" i="25"/>
  <c r="AB98" i="17"/>
  <c r="X98" i="17"/>
  <c r="L98" i="17"/>
  <c r="AK98" i="17"/>
  <c r="K98" i="17"/>
  <c r="A99" i="17"/>
  <c r="AJ98" i="17"/>
  <c r="O98" i="17"/>
  <c r="AC98" i="17"/>
  <c r="K101" i="18"/>
  <c r="X101" i="18"/>
  <c r="A102" i="18"/>
  <c r="AK101" i="18"/>
  <c r="AB101" i="18"/>
  <c r="L101" i="18"/>
  <c r="AJ101" i="18"/>
  <c r="O101" i="18"/>
  <c r="AC101" i="18"/>
  <c r="T103" i="1"/>
  <c r="A105" i="1"/>
  <c r="K104" i="1"/>
  <c r="AJ104" i="1"/>
  <c r="L104" i="1"/>
  <c r="U104" i="1"/>
  <c r="O104" i="1"/>
  <c r="AB104" i="1"/>
  <c r="AK104" i="1"/>
  <c r="X104" i="1"/>
  <c r="Q104" i="1"/>
  <c r="AC104" i="1"/>
  <c r="AB103" i="15"/>
  <c r="L103" i="15"/>
  <c r="X103" i="15"/>
  <c r="AK103" i="15"/>
  <c r="A104" i="15"/>
  <c r="K103" i="15"/>
  <c r="AJ103" i="15"/>
  <c r="AC103" i="15"/>
  <c r="O103" i="15"/>
  <c r="D96" i="16"/>
  <c r="E96" i="16" s="1"/>
  <c r="X95" i="23"/>
  <c r="K95" i="23"/>
  <c r="AJ95" i="23"/>
  <c r="A96" i="23"/>
  <c r="AB95" i="23"/>
  <c r="L95" i="23"/>
  <c r="AK95" i="23"/>
  <c r="AC95" i="23"/>
  <c r="O95" i="23"/>
  <c r="AB97" i="20"/>
  <c r="X97" i="20"/>
  <c r="A98" i="20"/>
  <c r="AK97" i="20"/>
  <c r="L97" i="20"/>
  <c r="K97" i="20"/>
  <c r="AJ97" i="20"/>
  <c r="AC97" i="20"/>
  <c r="O97" i="20"/>
  <c r="D97" i="17"/>
  <c r="E97" i="17" s="1"/>
  <c r="S102" i="1"/>
  <c r="R102" i="1" s="1"/>
  <c r="P102" i="1" s="1"/>
  <c r="V102" i="1" s="1"/>
  <c r="AA102" i="1" s="1"/>
  <c r="Z102" i="1" s="1"/>
  <c r="Y102" i="1" s="1"/>
  <c r="L94" i="24"/>
  <c r="X94" i="24"/>
  <c r="AJ94" i="24"/>
  <c r="A95" i="24"/>
  <c r="AB94" i="24"/>
  <c r="K94" i="24"/>
  <c r="AK94" i="24"/>
  <c r="AC94" i="24"/>
  <c r="O94" i="24"/>
  <c r="D102" i="15"/>
  <c r="E102" i="15" s="1"/>
  <c r="A98" i="16"/>
  <c r="AB97" i="16"/>
  <c r="AJ97" i="16"/>
  <c r="L97" i="16"/>
  <c r="K97" i="16"/>
  <c r="X97" i="16"/>
  <c r="AK97" i="16"/>
  <c r="AC97" i="16"/>
  <c r="O97" i="16"/>
  <c r="A97" i="22"/>
  <c r="AB96" i="22"/>
  <c r="AJ96" i="22"/>
  <c r="K96" i="22"/>
  <c r="X96" i="22"/>
  <c r="L96" i="22"/>
  <c r="AK96" i="22"/>
  <c r="AC96" i="22"/>
  <c r="O96" i="22"/>
  <c r="D97" i="16" l="1"/>
  <c r="E97" i="16" s="1"/>
  <c r="AB95" i="24"/>
  <c r="K95" i="24"/>
  <c r="A96" i="24"/>
  <c r="AK95" i="24"/>
  <c r="L95" i="24"/>
  <c r="X95" i="24"/>
  <c r="AJ95" i="24"/>
  <c r="AC95" i="24"/>
  <c r="O95" i="24"/>
  <c r="L98" i="20"/>
  <c r="A99" i="20"/>
  <c r="AJ98" i="20"/>
  <c r="K98" i="20"/>
  <c r="AB98" i="20"/>
  <c r="X98" i="20"/>
  <c r="AK98" i="20"/>
  <c r="AC98" i="20"/>
  <c r="O98" i="20"/>
  <c r="AB96" i="23"/>
  <c r="K96" i="23"/>
  <c r="AJ96" i="23"/>
  <c r="X96" i="23"/>
  <c r="A97" i="23"/>
  <c r="L96" i="23"/>
  <c r="AK96" i="23"/>
  <c r="AC96" i="23"/>
  <c r="O96" i="23"/>
  <c r="D103" i="15"/>
  <c r="X102" i="18"/>
  <c r="K102" i="18"/>
  <c r="AJ102" i="18"/>
  <c r="A103" i="18"/>
  <c r="AB102" i="18"/>
  <c r="L102" i="18"/>
  <c r="AK102" i="18"/>
  <c r="AC102" i="18"/>
  <c r="O102" i="18"/>
  <c r="X99" i="17"/>
  <c r="AB99" i="17"/>
  <c r="AJ99" i="17"/>
  <c r="A100" i="17"/>
  <c r="L99" i="17"/>
  <c r="K99" i="17"/>
  <c r="AK99" i="17"/>
  <c r="O99" i="17"/>
  <c r="AC99" i="17"/>
  <c r="A95" i="25"/>
  <c r="L94" i="25"/>
  <c r="AB94" i="25"/>
  <c r="AK94" i="25"/>
  <c r="K94" i="25"/>
  <c r="X94" i="25"/>
  <c r="AJ94" i="25"/>
  <c r="AC94" i="25"/>
  <c r="O94" i="25"/>
  <c r="AB97" i="22"/>
  <c r="K97" i="22"/>
  <c r="X97" i="22"/>
  <c r="AK97" i="22"/>
  <c r="A98" i="22"/>
  <c r="L97" i="22"/>
  <c r="AJ97" i="22"/>
  <c r="AC97" i="22"/>
  <c r="O97" i="22"/>
  <c r="A99" i="16"/>
  <c r="L98" i="16"/>
  <c r="AJ98" i="16"/>
  <c r="K98" i="16"/>
  <c r="AK98" i="16"/>
  <c r="X98" i="16"/>
  <c r="AB98" i="16"/>
  <c r="AC98" i="16"/>
  <c r="O98" i="16"/>
  <c r="E103" i="15"/>
  <c r="A105" i="15"/>
  <c r="L104" i="15"/>
  <c r="D104" i="15" s="1"/>
  <c r="AK104" i="15"/>
  <c r="AC104" i="15"/>
  <c r="X104" i="15"/>
  <c r="AB104" i="15"/>
  <c r="K104" i="15"/>
  <c r="AJ104" i="15"/>
  <c r="O104" i="15"/>
  <c r="T104" i="1"/>
  <c r="A106" i="1"/>
  <c r="Q105" i="1"/>
  <c r="K105" i="1"/>
  <c r="AB105" i="1"/>
  <c r="X105" i="1"/>
  <c r="AK105" i="1"/>
  <c r="L105" i="1"/>
  <c r="AJ105" i="1"/>
  <c r="U105" i="1"/>
  <c r="AC105" i="1"/>
  <c r="O105" i="1"/>
  <c r="S103" i="1"/>
  <c r="R103" i="1" s="1"/>
  <c r="P103" i="1" s="1"/>
  <c r="V103" i="1" s="1"/>
  <c r="AA103" i="1" s="1"/>
  <c r="Z103" i="1" s="1"/>
  <c r="Y103" i="1" s="1"/>
  <c r="D98" i="17"/>
  <c r="E98" i="17" s="1"/>
  <c r="E104" i="15" l="1"/>
  <c r="K105" i="15"/>
  <c r="X105" i="15"/>
  <c r="AK105" i="15"/>
  <c r="AB105" i="15"/>
  <c r="L105" i="15"/>
  <c r="A106" i="15"/>
  <c r="AJ105" i="15"/>
  <c r="AC105" i="15"/>
  <c r="O105" i="15"/>
  <c r="K99" i="16"/>
  <c r="AB99" i="16"/>
  <c r="AJ99" i="16"/>
  <c r="L99" i="16"/>
  <c r="AK99" i="16"/>
  <c r="A100" i="16"/>
  <c r="X99" i="16"/>
  <c r="AC99" i="16"/>
  <c r="O99" i="16"/>
  <c r="K100" i="17"/>
  <c r="AB100" i="17"/>
  <c r="AJ100" i="17"/>
  <c r="X100" i="17"/>
  <c r="L100" i="17"/>
  <c r="A101" i="17"/>
  <c r="AK100" i="17"/>
  <c r="AC100" i="17"/>
  <c r="O100" i="17"/>
  <c r="AB103" i="18"/>
  <c r="L103" i="18"/>
  <c r="AJ103" i="18"/>
  <c r="A104" i="18"/>
  <c r="K103" i="18"/>
  <c r="X103" i="18"/>
  <c r="AK103" i="18"/>
  <c r="O103" i="18"/>
  <c r="AC103" i="18"/>
  <c r="K96" i="24"/>
  <c r="A97" i="24"/>
  <c r="AB96" i="24"/>
  <c r="AK96" i="24"/>
  <c r="L96" i="24"/>
  <c r="X96" i="24"/>
  <c r="AJ96" i="24"/>
  <c r="AC96" i="24"/>
  <c r="O96" i="24"/>
  <c r="T105" i="1"/>
  <c r="AJ106" i="1"/>
  <c r="AB106" i="1"/>
  <c r="X106" i="1"/>
  <c r="A107" i="1"/>
  <c r="O106" i="1"/>
  <c r="Q106" i="1"/>
  <c r="L106" i="1"/>
  <c r="K106" i="1"/>
  <c r="AK106" i="1"/>
  <c r="U106" i="1"/>
  <c r="AC106" i="1"/>
  <c r="S104" i="1"/>
  <c r="R104" i="1" s="1"/>
  <c r="P104" i="1" s="1"/>
  <c r="V104" i="1" s="1"/>
  <c r="AA104" i="1" s="1"/>
  <c r="Z104" i="1" s="1"/>
  <c r="Y104" i="1" s="1"/>
  <c r="D98" i="16"/>
  <c r="E98" i="16" s="1"/>
  <c r="A99" i="22"/>
  <c r="AB98" i="22"/>
  <c r="AJ98" i="22"/>
  <c r="X98" i="22"/>
  <c r="L98" i="22"/>
  <c r="K98" i="22"/>
  <c r="AK98" i="22"/>
  <c r="AC98" i="22"/>
  <c r="O98" i="22"/>
  <c r="A96" i="25"/>
  <c r="K95" i="25"/>
  <c r="X95" i="25"/>
  <c r="AK95" i="25"/>
  <c r="L95" i="25"/>
  <c r="AB95" i="25"/>
  <c r="AJ95" i="25"/>
  <c r="AC95" i="25"/>
  <c r="O95" i="25"/>
  <c r="D99" i="17"/>
  <c r="E99" i="17" s="1"/>
  <c r="K97" i="23"/>
  <c r="X97" i="23"/>
  <c r="A98" i="23"/>
  <c r="AK97" i="23"/>
  <c r="AB97" i="23"/>
  <c r="L97" i="23"/>
  <c r="AJ97" i="23"/>
  <c r="AC97" i="23"/>
  <c r="O97" i="23"/>
  <c r="X99" i="20"/>
  <c r="L99" i="20"/>
  <c r="AJ99" i="20"/>
  <c r="A100" i="20"/>
  <c r="AB99" i="20"/>
  <c r="K99" i="20"/>
  <c r="AK99" i="20"/>
  <c r="AC99" i="20"/>
  <c r="O99" i="20"/>
  <c r="K96" i="25" l="1"/>
  <c r="AB96" i="25"/>
  <c r="A97" i="25"/>
  <c r="AK96" i="25"/>
  <c r="L96" i="25"/>
  <c r="X96" i="25"/>
  <c r="AJ96" i="25"/>
  <c r="AC96" i="25"/>
  <c r="O96" i="25"/>
  <c r="A100" i="22"/>
  <c r="L99" i="22"/>
  <c r="X99" i="22"/>
  <c r="AK99" i="22"/>
  <c r="K99" i="22"/>
  <c r="AB99" i="22"/>
  <c r="AJ99" i="22"/>
  <c r="AC99" i="22"/>
  <c r="O99" i="22"/>
  <c r="T106" i="1"/>
  <c r="L107" i="1"/>
  <c r="A108" i="1"/>
  <c r="AK107" i="1"/>
  <c r="AB107" i="1"/>
  <c r="K107" i="1"/>
  <c r="Q107" i="1"/>
  <c r="X107" i="1"/>
  <c r="AJ107" i="1"/>
  <c r="U107" i="1"/>
  <c r="O107" i="1"/>
  <c r="AC107" i="1"/>
  <c r="L97" i="24"/>
  <c r="A98" i="24"/>
  <c r="AJ97" i="24"/>
  <c r="K97" i="24"/>
  <c r="X97" i="24"/>
  <c r="AB97" i="24"/>
  <c r="AK97" i="24"/>
  <c r="AC97" i="24"/>
  <c r="O97" i="24"/>
  <c r="X101" i="17"/>
  <c r="A102" i="17"/>
  <c r="L101" i="17"/>
  <c r="AK101" i="17"/>
  <c r="K101" i="17"/>
  <c r="AB101" i="17"/>
  <c r="AJ101" i="17"/>
  <c r="O101" i="17"/>
  <c r="AC101" i="17"/>
  <c r="AB100" i="16"/>
  <c r="A101" i="16"/>
  <c r="AJ100" i="16"/>
  <c r="L100" i="16"/>
  <c r="X100" i="16"/>
  <c r="K100" i="16"/>
  <c r="AK100" i="16"/>
  <c r="AC100" i="16"/>
  <c r="O100" i="16"/>
  <c r="D99" i="16"/>
  <c r="E99" i="16" s="1"/>
  <c r="K106" i="15"/>
  <c r="A107" i="15"/>
  <c r="AJ106" i="15"/>
  <c r="AB106" i="15"/>
  <c r="L106" i="15"/>
  <c r="X106" i="15"/>
  <c r="AK106" i="15"/>
  <c r="AC106" i="15"/>
  <c r="O106" i="15"/>
  <c r="K100" i="20"/>
  <c r="L100" i="20"/>
  <c r="AJ100" i="20"/>
  <c r="A101" i="20"/>
  <c r="X100" i="20"/>
  <c r="AB100" i="20"/>
  <c r="AK100" i="20"/>
  <c r="AC100" i="20"/>
  <c r="O100" i="20"/>
  <c r="AB98" i="23"/>
  <c r="L98" i="23"/>
  <c r="AJ98" i="23"/>
  <c r="K98" i="23"/>
  <c r="A99" i="23"/>
  <c r="X98" i="23"/>
  <c r="AK98" i="23"/>
  <c r="AC98" i="23"/>
  <c r="O98" i="23"/>
  <c r="S105" i="1"/>
  <c r="R105" i="1" s="1"/>
  <c r="P105" i="1" s="1"/>
  <c r="V105" i="1" s="1"/>
  <c r="AA105" i="1" s="1"/>
  <c r="Z105" i="1" s="1"/>
  <c r="Y105" i="1" s="1"/>
  <c r="A105" i="18"/>
  <c r="K104" i="18"/>
  <c r="AJ104" i="18"/>
  <c r="X104" i="18"/>
  <c r="AB104" i="18"/>
  <c r="L104" i="18"/>
  <c r="AK104" i="18"/>
  <c r="O104" i="18"/>
  <c r="AC104" i="18"/>
  <c r="D100" i="17"/>
  <c r="E100" i="17" s="1"/>
  <c r="D105" i="15"/>
  <c r="E105" i="15" s="1"/>
  <c r="X105" i="18" l="1"/>
  <c r="AB105" i="18"/>
  <c r="A106" i="18"/>
  <c r="AK105" i="18"/>
  <c r="L105" i="18"/>
  <c r="K105" i="18"/>
  <c r="AJ105" i="18"/>
  <c r="AC105" i="18"/>
  <c r="O105" i="18"/>
  <c r="K101" i="20"/>
  <c r="AB101" i="20"/>
  <c r="AJ101" i="20"/>
  <c r="A102" i="20"/>
  <c r="X101" i="20"/>
  <c r="L101" i="20"/>
  <c r="AK101" i="20"/>
  <c r="AC101" i="20"/>
  <c r="O101" i="20"/>
  <c r="D106" i="15"/>
  <c r="E106" i="15" s="1"/>
  <c r="D100" i="16"/>
  <c r="E100" i="16" s="1"/>
  <c r="A102" i="16"/>
  <c r="K101" i="16"/>
  <c r="X101" i="16"/>
  <c r="AK101" i="16"/>
  <c r="L101" i="16"/>
  <c r="AB101" i="16"/>
  <c r="AJ101" i="16"/>
  <c r="AC101" i="16"/>
  <c r="O101" i="16"/>
  <c r="D101" i="17"/>
  <c r="X98" i="24"/>
  <c r="AB98" i="24"/>
  <c r="A99" i="24"/>
  <c r="AK98" i="24"/>
  <c r="K98" i="24"/>
  <c r="L98" i="24"/>
  <c r="AJ98" i="24"/>
  <c r="AC98" i="24"/>
  <c r="O98" i="24"/>
  <c r="T107" i="1"/>
  <c r="S106" i="1"/>
  <c r="R106" i="1" s="1"/>
  <c r="P106" i="1" s="1"/>
  <c r="V106" i="1" s="1"/>
  <c r="AA106" i="1" s="1"/>
  <c r="Z106" i="1" s="1"/>
  <c r="Y106" i="1" s="1"/>
  <c r="A100" i="23"/>
  <c r="AB99" i="23"/>
  <c r="K99" i="23"/>
  <c r="AK99" i="23"/>
  <c r="L99" i="23"/>
  <c r="X99" i="23"/>
  <c r="AJ99" i="23"/>
  <c r="AC99" i="23"/>
  <c r="O99" i="23"/>
  <c r="X107" i="15"/>
  <c r="AB107" i="15"/>
  <c r="AJ107" i="15"/>
  <c r="K107" i="15"/>
  <c r="L107" i="15"/>
  <c r="A108" i="15"/>
  <c r="AK107" i="15"/>
  <c r="AC107" i="15"/>
  <c r="O107" i="15"/>
  <c r="E101" i="17"/>
  <c r="A103" i="17"/>
  <c r="L102" i="17"/>
  <c r="K102" i="17"/>
  <c r="AK102" i="17"/>
  <c r="X102" i="17"/>
  <c r="AB102" i="17"/>
  <c r="AJ102" i="17"/>
  <c r="O102" i="17"/>
  <c r="AC102" i="17"/>
  <c r="AJ108" i="1"/>
  <c r="AC108" i="1"/>
  <c r="AB108" i="1"/>
  <c r="L108" i="1"/>
  <c r="U108" i="1"/>
  <c r="A109" i="1"/>
  <c r="K108" i="1"/>
  <c r="AK108" i="1"/>
  <c r="X108" i="1"/>
  <c r="Q108" i="1"/>
  <c r="O108" i="1"/>
  <c r="A101" i="22"/>
  <c r="L100" i="22"/>
  <c r="X100" i="22"/>
  <c r="AK100" i="22"/>
  <c r="AB100" i="22"/>
  <c r="K100" i="22"/>
  <c r="AJ100" i="22"/>
  <c r="AC100" i="22"/>
  <c r="O100" i="22"/>
  <c r="AB97" i="25"/>
  <c r="K97" i="25"/>
  <c r="AJ97" i="25"/>
  <c r="X97" i="25"/>
  <c r="L97" i="25"/>
  <c r="A98" i="25"/>
  <c r="AK97" i="25"/>
  <c r="AC97" i="25"/>
  <c r="O97" i="25"/>
  <c r="A102" i="22" l="1"/>
  <c r="AB101" i="22"/>
  <c r="K101" i="22"/>
  <c r="AK101" i="22"/>
  <c r="X101" i="22"/>
  <c r="L101" i="22"/>
  <c r="AJ101" i="22"/>
  <c r="AC101" i="22"/>
  <c r="O101" i="22"/>
  <c r="T108" i="1"/>
  <c r="K103" i="17"/>
  <c r="AB103" i="17"/>
  <c r="L103" i="17"/>
  <c r="AK103" i="17"/>
  <c r="A104" i="17"/>
  <c r="X103" i="17"/>
  <c r="AJ103" i="17"/>
  <c r="AC103" i="17"/>
  <c r="O103" i="17"/>
  <c r="D107" i="15"/>
  <c r="E107" i="15" s="1"/>
  <c r="X100" i="23"/>
  <c r="L100" i="23"/>
  <c r="AJ100" i="23"/>
  <c r="A101" i="23"/>
  <c r="AB100" i="23"/>
  <c r="K100" i="23"/>
  <c r="AK100" i="23"/>
  <c r="AC100" i="23"/>
  <c r="O100" i="23"/>
  <c r="S107" i="1"/>
  <c r="R107" i="1" s="1"/>
  <c r="P107" i="1" s="1"/>
  <c r="V107" i="1" s="1"/>
  <c r="AA107" i="1" s="1"/>
  <c r="Z107" i="1" s="1"/>
  <c r="Y107" i="1" s="1"/>
  <c r="D101" i="16"/>
  <c r="E101" i="16" s="1"/>
  <c r="AB102" i="16"/>
  <c r="X102" i="16"/>
  <c r="AJ102" i="16"/>
  <c r="K102" i="16"/>
  <c r="L102" i="16"/>
  <c r="A103" i="16"/>
  <c r="AK102" i="16"/>
  <c r="AC102" i="16"/>
  <c r="O102" i="16"/>
  <c r="X98" i="25"/>
  <c r="A99" i="25"/>
  <c r="AJ98" i="25"/>
  <c r="K98" i="25"/>
  <c r="AB98" i="25"/>
  <c r="L98" i="25"/>
  <c r="AK98" i="25"/>
  <c r="AC98" i="25"/>
  <c r="O98" i="25"/>
  <c r="X109" i="1"/>
  <c r="A110" i="1"/>
  <c r="AK109" i="1"/>
  <c r="Q109" i="1"/>
  <c r="K109" i="1"/>
  <c r="AB109" i="1"/>
  <c r="L109" i="1"/>
  <c r="AJ109" i="1"/>
  <c r="U109" i="1"/>
  <c r="O109" i="1"/>
  <c r="AC109" i="1"/>
  <c r="D102" i="17"/>
  <c r="E102" i="17" s="1"/>
  <c r="L108" i="15"/>
  <c r="AB108" i="15"/>
  <c r="K108" i="15"/>
  <c r="AK108" i="15"/>
  <c r="X108" i="15"/>
  <c r="A109" i="15"/>
  <c r="AJ108" i="15"/>
  <c r="AC108" i="15"/>
  <c r="O108" i="15"/>
  <c r="X99" i="24"/>
  <c r="A100" i="24"/>
  <c r="K99" i="24"/>
  <c r="AK99" i="24"/>
  <c r="L99" i="24"/>
  <c r="AB99" i="24"/>
  <c r="AJ99" i="24"/>
  <c r="AC99" i="24"/>
  <c r="O99" i="24"/>
  <c r="AB102" i="20"/>
  <c r="L102" i="20"/>
  <c r="K102" i="20"/>
  <c r="AK102" i="20"/>
  <c r="A103" i="20"/>
  <c r="X102" i="20"/>
  <c r="AJ102" i="20"/>
  <c r="AC102" i="20"/>
  <c r="O102" i="20"/>
  <c r="L106" i="18"/>
  <c r="AB106" i="18"/>
  <c r="AJ106" i="18"/>
  <c r="K106" i="18"/>
  <c r="X106" i="18"/>
  <c r="A107" i="18"/>
  <c r="AK106" i="18"/>
  <c r="O106" i="18"/>
  <c r="AC106" i="18"/>
  <c r="AB107" i="18" l="1"/>
  <c r="X107" i="18"/>
  <c r="K107" i="18"/>
  <c r="AK107" i="18"/>
  <c r="A108" i="18"/>
  <c r="L107" i="18"/>
  <c r="AJ107" i="18"/>
  <c r="O107" i="18"/>
  <c r="AC107" i="18"/>
  <c r="D108" i="15"/>
  <c r="E108" i="15" s="1"/>
  <c r="K110" i="1"/>
  <c r="X110" i="1"/>
  <c r="Q110" i="1"/>
  <c r="AJ110" i="1"/>
  <c r="AK110" i="1"/>
  <c r="AC110" i="1"/>
  <c r="L110" i="1"/>
  <c r="AB110" i="1"/>
  <c r="O110" i="1"/>
  <c r="A111" i="1"/>
  <c r="U110" i="1"/>
  <c r="AB103" i="16"/>
  <c r="K103" i="16"/>
  <c r="AJ103" i="16"/>
  <c r="A104" i="16"/>
  <c r="X103" i="16"/>
  <c r="L103" i="16"/>
  <c r="AK103" i="16"/>
  <c r="AC103" i="16"/>
  <c r="O103" i="16"/>
  <c r="K101" i="23"/>
  <c r="L101" i="23"/>
  <c r="A102" i="23"/>
  <c r="AK101" i="23"/>
  <c r="X101" i="23"/>
  <c r="AB101" i="23"/>
  <c r="AJ101" i="23"/>
  <c r="AC101" i="23"/>
  <c r="O101" i="23"/>
  <c r="AB104" i="17"/>
  <c r="X104" i="17"/>
  <c r="AJ104" i="17"/>
  <c r="A105" i="17"/>
  <c r="K104" i="17"/>
  <c r="L104" i="17"/>
  <c r="AK104" i="17"/>
  <c r="O104" i="17"/>
  <c r="AC104" i="17"/>
  <c r="D103" i="17"/>
  <c r="E103" i="17" s="1"/>
  <c r="S108" i="1"/>
  <c r="R108" i="1" s="1"/>
  <c r="P108" i="1" s="1"/>
  <c r="V108" i="1" s="1"/>
  <c r="AA108" i="1" s="1"/>
  <c r="Z108" i="1" s="1"/>
  <c r="Y108" i="1" s="1"/>
  <c r="AB103" i="20"/>
  <c r="K103" i="20"/>
  <c r="A104" i="20"/>
  <c r="AK103" i="20"/>
  <c r="L103" i="20"/>
  <c r="X103" i="20"/>
  <c r="AJ103" i="20"/>
  <c r="AC103" i="20"/>
  <c r="O103" i="20"/>
  <c r="L100" i="24"/>
  <c r="A101" i="24"/>
  <c r="AJ100" i="24"/>
  <c r="AB100" i="24"/>
  <c r="K100" i="24"/>
  <c r="X100" i="24"/>
  <c r="AK100" i="24"/>
  <c r="AC100" i="24"/>
  <c r="O100" i="24"/>
  <c r="K109" i="15"/>
  <c r="X109" i="15"/>
  <c r="AK109" i="15"/>
  <c r="AB109" i="15"/>
  <c r="A110" i="15"/>
  <c r="L109" i="15"/>
  <c r="AJ109" i="15"/>
  <c r="AC109" i="15"/>
  <c r="O109" i="15"/>
  <c r="T109" i="1"/>
  <c r="A100" i="25"/>
  <c r="K99" i="25"/>
  <c r="AJ99" i="25"/>
  <c r="AB99" i="25"/>
  <c r="X99" i="25"/>
  <c r="L99" i="25"/>
  <c r="AK99" i="25"/>
  <c r="AC99" i="25"/>
  <c r="O99" i="25"/>
  <c r="D102" i="16"/>
  <c r="E102" i="16" s="1"/>
  <c r="AB102" i="22"/>
  <c r="K102" i="22"/>
  <c r="A103" i="22"/>
  <c r="AK102" i="22"/>
  <c r="X102" i="22"/>
  <c r="L102" i="22"/>
  <c r="AJ102" i="22"/>
  <c r="AC102" i="22"/>
  <c r="O102" i="22"/>
  <c r="L110" i="15" l="1"/>
  <c r="K110" i="15"/>
  <c r="AB110" i="15"/>
  <c r="AJ110" i="15"/>
  <c r="AK110" i="15"/>
  <c r="A111" i="15"/>
  <c r="X110" i="15"/>
  <c r="AC110" i="15"/>
  <c r="O110" i="15"/>
  <c r="X101" i="24"/>
  <c r="K101" i="24"/>
  <c r="AJ101" i="24"/>
  <c r="A102" i="24"/>
  <c r="AB101" i="24"/>
  <c r="L101" i="24"/>
  <c r="AK101" i="24"/>
  <c r="AC101" i="24"/>
  <c r="O101" i="24"/>
  <c r="X104" i="20"/>
  <c r="K104" i="20"/>
  <c r="AJ104" i="20"/>
  <c r="A105" i="20"/>
  <c r="AB104" i="20"/>
  <c r="L104" i="20"/>
  <c r="AK104" i="20"/>
  <c r="AC104" i="20"/>
  <c r="O104" i="20"/>
  <c r="D104" i="17"/>
  <c r="E104" i="17" s="1"/>
  <c r="K105" i="17"/>
  <c r="X105" i="17"/>
  <c r="AJ105" i="17"/>
  <c r="A106" i="17"/>
  <c r="L105" i="17"/>
  <c r="AB105" i="17"/>
  <c r="AK105" i="17"/>
  <c r="O105" i="17"/>
  <c r="AC105" i="17"/>
  <c r="T110" i="1"/>
  <c r="K103" i="22"/>
  <c r="L103" i="22"/>
  <c r="X103" i="22"/>
  <c r="AK103" i="22"/>
  <c r="AB103" i="22"/>
  <c r="A104" i="22"/>
  <c r="AJ103" i="22"/>
  <c r="AC103" i="22"/>
  <c r="O103" i="22"/>
  <c r="L100" i="25"/>
  <c r="K100" i="25"/>
  <c r="AJ100" i="25"/>
  <c r="A101" i="25"/>
  <c r="AB100" i="25"/>
  <c r="X100" i="25"/>
  <c r="AK100" i="25"/>
  <c r="AC100" i="25"/>
  <c r="O100" i="25"/>
  <c r="S109" i="1"/>
  <c r="R109" i="1" s="1"/>
  <c r="P109" i="1" s="1"/>
  <c r="V109" i="1" s="1"/>
  <c r="AA109" i="1" s="1"/>
  <c r="Z109" i="1" s="1"/>
  <c r="Y109" i="1" s="1"/>
  <c r="D109" i="15"/>
  <c r="E109" i="15" s="1"/>
  <c r="X102" i="23"/>
  <c r="K102" i="23"/>
  <c r="AB102" i="23"/>
  <c r="AK102" i="23"/>
  <c r="A103" i="23"/>
  <c r="L102" i="23"/>
  <c r="AJ102" i="23"/>
  <c r="AC102" i="23"/>
  <c r="O102" i="23"/>
  <c r="D103" i="16"/>
  <c r="E103" i="16" s="1"/>
  <c r="AB104" i="16"/>
  <c r="K104" i="16"/>
  <c r="X104" i="16"/>
  <c r="AK104" i="16"/>
  <c r="A105" i="16"/>
  <c r="L104" i="16"/>
  <c r="AJ104" i="16"/>
  <c r="AC104" i="16"/>
  <c r="O104" i="16"/>
  <c r="O111" i="1"/>
  <c r="Q111" i="1"/>
  <c r="X111" i="1"/>
  <c r="L111" i="1"/>
  <c r="AC111" i="1"/>
  <c r="K111" i="1"/>
  <c r="AK111" i="1"/>
  <c r="A112" i="1"/>
  <c r="AB111" i="1"/>
  <c r="AJ111" i="1"/>
  <c r="U111" i="1"/>
  <c r="K108" i="18"/>
  <c r="X108" i="18"/>
  <c r="AB108" i="18"/>
  <c r="AK108" i="18"/>
  <c r="L108" i="18"/>
  <c r="A109" i="18"/>
  <c r="AJ108" i="18"/>
  <c r="AC108" i="18"/>
  <c r="O108" i="18"/>
  <c r="X109" i="18" l="1"/>
  <c r="K109" i="18"/>
  <c r="AB109" i="18"/>
  <c r="AK109" i="18"/>
  <c r="A110" i="18"/>
  <c r="L109" i="18"/>
  <c r="AJ109" i="18"/>
  <c r="O109" i="18"/>
  <c r="AC109" i="18"/>
  <c r="T111" i="1"/>
  <c r="D104" i="16"/>
  <c r="L103" i="23"/>
  <c r="AB103" i="23"/>
  <c r="AJ103" i="23"/>
  <c r="A104" i="23"/>
  <c r="K103" i="23"/>
  <c r="X103" i="23"/>
  <c r="AK103" i="23"/>
  <c r="AC103" i="23"/>
  <c r="O103" i="23"/>
  <c r="AB101" i="25"/>
  <c r="X101" i="25"/>
  <c r="L101" i="25"/>
  <c r="AK101" i="25"/>
  <c r="A102" i="25"/>
  <c r="K101" i="25"/>
  <c r="AJ101" i="25"/>
  <c r="AC101" i="25"/>
  <c r="O101" i="25"/>
  <c r="A105" i="22"/>
  <c r="L104" i="22"/>
  <c r="AJ104" i="22"/>
  <c r="AB104" i="22"/>
  <c r="K104" i="22"/>
  <c r="X104" i="22"/>
  <c r="AK104" i="22"/>
  <c r="AC104" i="22"/>
  <c r="O104" i="22"/>
  <c r="S110" i="1"/>
  <c r="R110" i="1" s="1"/>
  <c r="P110" i="1" s="1"/>
  <c r="V110" i="1" s="1"/>
  <c r="AA110" i="1" s="1"/>
  <c r="Z110" i="1" s="1"/>
  <c r="Y110" i="1" s="1"/>
  <c r="A107" i="17"/>
  <c r="K106" i="17"/>
  <c r="AB106" i="17"/>
  <c r="AK106" i="17"/>
  <c r="L106" i="17"/>
  <c r="X106" i="17"/>
  <c r="AJ106" i="17"/>
  <c r="AC106" i="17"/>
  <c r="O106" i="17"/>
  <c r="K111" i="15"/>
  <c r="L111" i="15"/>
  <c r="X111" i="15"/>
  <c r="AK111" i="15"/>
  <c r="A112" i="15"/>
  <c r="AB111" i="15"/>
  <c r="AJ111" i="15"/>
  <c r="AC111" i="15"/>
  <c r="O111" i="15"/>
  <c r="A113" i="1"/>
  <c r="O112" i="1"/>
  <c r="AB112" i="1"/>
  <c r="X112" i="1"/>
  <c r="AK112" i="1"/>
  <c r="U112" i="1"/>
  <c r="L112" i="1"/>
  <c r="AJ112" i="1"/>
  <c r="Q112" i="1"/>
  <c r="AC112" i="1"/>
  <c r="K112" i="1"/>
  <c r="E104" i="16"/>
  <c r="K105" i="16"/>
  <c r="L105" i="16"/>
  <c r="X105" i="16"/>
  <c r="AK105" i="16"/>
  <c r="A106" i="16"/>
  <c r="AB105" i="16"/>
  <c r="AJ105" i="16"/>
  <c r="AC105" i="16"/>
  <c r="O105" i="16"/>
  <c r="D105" i="17"/>
  <c r="E105" i="17" s="1"/>
  <c r="X105" i="20"/>
  <c r="A106" i="20"/>
  <c r="AB105" i="20"/>
  <c r="AK105" i="20"/>
  <c r="L105" i="20"/>
  <c r="K105" i="20"/>
  <c r="AJ105" i="20"/>
  <c r="AC105" i="20"/>
  <c r="O105" i="20"/>
  <c r="K102" i="24"/>
  <c r="X102" i="24"/>
  <c r="A103" i="24"/>
  <c r="AK102" i="24"/>
  <c r="AB102" i="24"/>
  <c r="L102" i="24"/>
  <c r="AJ102" i="24"/>
  <c r="AC102" i="24"/>
  <c r="O102" i="24"/>
  <c r="D110" i="15"/>
  <c r="E110" i="15" s="1"/>
  <c r="AB103" i="24" l="1"/>
  <c r="A104" i="24"/>
  <c r="AJ103" i="24"/>
  <c r="K103" i="24"/>
  <c r="L103" i="24"/>
  <c r="X103" i="24"/>
  <c r="AK103" i="24"/>
  <c r="AC103" i="24"/>
  <c r="O103" i="24"/>
  <c r="K106" i="20"/>
  <c r="A107" i="20"/>
  <c r="AB106" i="20"/>
  <c r="AK106" i="20"/>
  <c r="L106" i="20"/>
  <c r="X106" i="20"/>
  <c r="AJ106" i="20"/>
  <c r="AC106" i="20"/>
  <c r="O106" i="20"/>
  <c r="X106" i="16"/>
  <c r="L106" i="16"/>
  <c r="A107" i="16"/>
  <c r="AK106" i="16"/>
  <c r="AB106" i="16"/>
  <c r="K106" i="16"/>
  <c r="AJ106" i="16"/>
  <c r="AC106" i="16"/>
  <c r="O106" i="16"/>
  <c r="T112" i="1"/>
  <c r="D111" i="15"/>
  <c r="E111" i="15" s="1"/>
  <c r="D106" i="17"/>
  <c r="E106" i="17" s="1"/>
  <c r="X107" i="17"/>
  <c r="A108" i="17"/>
  <c r="AJ107" i="17"/>
  <c r="AB107" i="17"/>
  <c r="L107" i="17"/>
  <c r="K107" i="17"/>
  <c r="AK107" i="17"/>
  <c r="O107" i="17"/>
  <c r="AC107" i="17"/>
  <c r="K105" i="22"/>
  <c r="X105" i="22"/>
  <c r="A106" i="22"/>
  <c r="AK105" i="22"/>
  <c r="L105" i="22"/>
  <c r="AB105" i="22"/>
  <c r="AJ105" i="22"/>
  <c r="AC105" i="22"/>
  <c r="O105" i="22"/>
  <c r="L110" i="18"/>
  <c r="AB110" i="18"/>
  <c r="AJ110" i="18"/>
  <c r="A111" i="18"/>
  <c r="K110" i="18"/>
  <c r="X110" i="18"/>
  <c r="AK110" i="18"/>
  <c r="O110" i="18"/>
  <c r="AC110" i="18"/>
  <c r="D105" i="16"/>
  <c r="E105" i="16" s="1"/>
  <c r="O113" i="1"/>
  <c r="Q113" i="1"/>
  <c r="K113" i="1"/>
  <c r="AB113" i="1"/>
  <c r="X113" i="1"/>
  <c r="AJ113" i="1"/>
  <c r="L113" i="1"/>
  <c r="AK113" i="1"/>
  <c r="A114" i="1"/>
  <c r="U113" i="1"/>
  <c r="AC113" i="1"/>
  <c r="X112" i="15"/>
  <c r="AB112" i="15"/>
  <c r="AJ112" i="15"/>
  <c r="K112" i="15"/>
  <c r="L112" i="15"/>
  <c r="D112" i="15" s="1"/>
  <c r="A113" i="15"/>
  <c r="AK112" i="15"/>
  <c r="AC112" i="15"/>
  <c r="O112" i="15"/>
  <c r="E112" i="15" s="1"/>
  <c r="A103" i="25"/>
  <c r="K102" i="25"/>
  <c r="L102" i="25"/>
  <c r="AK102" i="25"/>
  <c r="X102" i="25"/>
  <c r="AB102" i="25"/>
  <c r="AJ102" i="25"/>
  <c r="AC102" i="25"/>
  <c r="O102" i="25"/>
  <c r="L104" i="23"/>
  <c r="AB104" i="23"/>
  <c r="AJ104" i="23"/>
  <c r="A105" i="23"/>
  <c r="X104" i="23"/>
  <c r="K104" i="23"/>
  <c r="AK104" i="23"/>
  <c r="AC104" i="23"/>
  <c r="O104" i="23"/>
  <c r="S111" i="1"/>
  <c r="R111" i="1" s="1"/>
  <c r="P111" i="1" s="1"/>
  <c r="V111" i="1" s="1"/>
  <c r="AA111" i="1" s="1"/>
  <c r="Z111" i="1" s="1"/>
  <c r="Y111" i="1" s="1"/>
  <c r="L113" i="15" l="1"/>
  <c r="D113" i="15" s="1"/>
  <c r="AB113" i="15"/>
  <c r="A114" i="15"/>
  <c r="AK113" i="15"/>
  <c r="K113" i="15"/>
  <c r="X113" i="15"/>
  <c r="AJ113" i="15"/>
  <c r="AC113" i="15"/>
  <c r="O113" i="15"/>
  <c r="E113" i="15" s="1"/>
  <c r="T113" i="1"/>
  <c r="A112" i="18"/>
  <c r="K111" i="18"/>
  <c r="AB111" i="18"/>
  <c r="AK111" i="18"/>
  <c r="L111" i="18"/>
  <c r="X111" i="18"/>
  <c r="AJ111" i="18"/>
  <c r="O111" i="18"/>
  <c r="AC111" i="18"/>
  <c r="AB108" i="17"/>
  <c r="K108" i="17"/>
  <c r="AJ108" i="17"/>
  <c r="X108" i="17"/>
  <c r="A109" i="17"/>
  <c r="L108" i="17"/>
  <c r="AK108" i="17"/>
  <c r="AC108" i="17"/>
  <c r="O108" i="17"/>
  <c r="S112" i="1"/>
  <c r="R112" i="1" s="1"/>
  <c r="P112" i="1" s="1"/>
  <c r="V112" i="1" s="1"/>
  <c r="AA112" i="1" s="1"/>
  <c r="Z112" i="1" s="1"/>
  <c r="Y112" i="1" s="1"/>
  <c r="D106" i="16"/>
  <c r="E106" i="16" s="1"/>
  <c r="K107" i="20"/>
  <c r="X107" i="20"/>
  <c r="AJ107" i="20"/>
  <c r="AB107" i="20"/>
  <c r="A108" i="20"/>
  <c r="L107" i="20"/>
  <c r="AK107" i="20"/>
  <c r="AC107" i="20"/>
  <c r="O107" i="20"/>
  <c r="AB105" i="23"/>
  <c r="K105" i="23"/>
  <c r="AJ105" i="23"/>
  <c r="A106" i="23"/>
  <c r="X105" i="23"/>
  <c r="L105" i="23"/>
  <c r="AK105" i="23"/>
  <c r="AC105" i="23"/>
  <c r="O105" i="23"/>
  <c r="AB103" i="25"/>
  <c r="K103" i="25"/>
  <c r="X103" i="25"/>
  <c r="AK103" i="25"/>
  <c r="L103" i="25"/>
  <c r="A104" i="25"/>
  <c r="AJ103" i="25"/>
  <c r="AC103" i="25"/>
  <c r="O103" i="25"/>
  <c r="A115" i="1"/>
  <c r="X114" i="1"/>
  <c r="AJ114" i="1"/>
  <c r="K114" i="1"/>
  <c r="U114" i="1"/>
  <c r="AC114" i="1"/>
  <c r="AK114" i="1"/>
  <c r="Q114" i="1"/>
  <c r="L114" i="1"/>
  <c r="AB114" i="1"/>
  <c r="O114" i="1"/>
  <c r="AB106" i="22"/>
  <c r="K106" i="22"/>
  <c r="AJ106" i="22"/>
  <c r="X106" i="22"/>
  <c r="A107" i="22"/>
  <c r="L106" i="22"/>
  <c r="AK106" i="22"/>
  <c r="AC106" i="22"/>
  <c r="O106" i="22"/>
  <c r="D107" i="17"/>
  <c r="E107" i="17" s="1"/>
  <c r="L107" i="16"/>
  <c r="K107" i="16"/>
  <c r="X107" i="16"/>
  <c r="AK107" i="16"/>
  <c r="A108" i="16"/>
  <c r="AB107" i="16"/>
  <c r="AJ107" i="16"/>
  <c r="AC107" i="16"/>
  <c r="O107" i="16"/>
  <c r="K104" i="24"/>
  <c r="AB104" i="24"/>
  <c r="L104" i="24"/>
  <c r="AK104" i="24"/>
  <c r="X104" i="24"/>
  <c r="A105" i="24"/>
  <c r="AJ104" i="24"/>
  <c r="AC104" i="24"/>
  <c r="O104" i="24"/>
  <c r="K105" i="24" l="1"/>
  <c r="L105" i="24"/>
  <c r="AB105" i="24"/>
  <c r="AK105" i="24"/>
  <c r="X105" i="24"/>
  <c r="A106" i="24"/>
  <c r="AJ105" i="24"/>
  <c r="AC105" i="24"/>
  <c r="O105" i="24"/>
  <c r="AB104" i="25"/>
  <c r="X104" i="25"/>
  <c r="K104" i="25"/>
  <c r="AK104" i="25"/>
  <c r="L104" i="25"/>
  <c r="A105" i="25"/>
  <c r="AJ104" i="25"/>
  <c r="AC104" i="25"/>
  <c r="O104" i="25"/>
  <c r="AB106" i="23"/>
  <c r="A107" i="23"/>
  <c r="L106" i="23"/>
  <c r="AK106" i="23"/>
  <c r="X106" i="23"/>
  <c r="K106" i="23"/>
  <c r="AJ106" i="23"/>
  <c r="AC106" i="23"/>
  <c r="O106" i="23"/>
  <c r="D108" i="17"/>
  <c r="E108" i="17" s="1"/>
  <c r="AB112" i="18"/>
  <c r="L112" i="18"/>
  <c r="X112" i="18"/>
  <c r="AK112" i="18"/>
  <c r="A113" i="18"/>
  <c r="K112" i="18"/>
  <c r="AJ112" i="18"/>
  <c r="O112" i="18"/>
  <c r="AC112" i="18"/>
  <c r="L114" i="15"/>
  <c r="X114" i="15"/>
  <c r="AB114" i="15"/>
  <c r="AK114" i="15"/>
  <c r="AC114" i="15"/>
  <c r="K114" i="15"/>
  <c r="A115" i="15"/>
  <c r="AJ114" i="15"/>
  <c r="O114" i="15"/>
  <c r="A109" i="16"/>
  <c r="X108" i="16"/>
  <c r="AB108" i="16"/>
  <c r="AK108" i="16"/>
  <c r="K108" i="16"/>
  <c r="L108" i="16"/>
  <c r="AJ108" i="16"/>
  <c r="AC108" i="16"/>
  <c r="O108" i="16"/>
  <c r="D107" i="16"/>
  <c r="E107" i="16" s="1"/>
  <c r="AB107" i="22"/>
  <c r="K107" i="22"/>
  <c r="AJ107" i="22"/>
  <c r="A108" i="22"/>
  <c r="L107" i="22"/>
  <c r="X107" i="22"/>
  <c r="AK107" i="22"/>
  <c r="AC107" i="22"/>
  <c r="O107" i="22"/>
  <c r="T114" i="1"/>
  <c r="L115" i="1"/>
  <c r="AJ115" i="1"/>
  <c r="AK115" i="1"/>
  <c r="A116" i="1"/>
  <c r="U115" i="1"/>
  <c r="X115" i="1"/>
  <c r="AB115" i="1"/>
  <c r="Q115" i="1"/>
  <c r="K115" i="1"/>
  <c r="AC115" i="1"/>
  <c r="O115" i="1"/>
  <c r="AB108" i="20"/>
  <c r="L108" i="20"/>
  <c r="AJ108" i="20"/>
  <c r="X108" i="20"/>
  <c r="K108" i="20"/>
  <c r="A109" i="20"/>
  <c r="AK108" i="20"/>
  <c r="AC108" i="20"/>
  <c r="O108" i="20"/>
  <c r="K109" i="17"/>
  <c r="L109" i="17"/>
  <c r="AJ109" i="17"/>
  <c r="A110" i="17"/>
  <c r="AB109" i="17"/>
  <c r="X109" i="17"/>
  <c r="AK109" i="17"/>
  <c r="O109" i="17"/>
  <c r="AC109" i="17"/>
  <c r="S113" i="1"/>
  <c r="R113" i="1" s="1"/>
  <c r="P113" i="1" s="1"/>
  <c r="V113" i="1" s="1"/>
  <c r="AA113" i="1" s="1"/>
  <c r="Z113" i="1" s="1"/>
  <c r="Y113" i="1" s="1"/>
  <c r="L110" i="17" l="1"/>
  <c r="K110" i="17"/>
  <c r="AJ110" i="17"/>
  <c r="A111" i="17"/>
  <c r="X110" i="17"/>
  <c r="AB110" i="17"/>
  <c r="AK110" i="17"/>
  <c r="O110" i="17"/>
  <c r="AC110" i="17"/>
  <c r="D109" i="17"/>
  <c r="E109" i="17" s="1"/>
  <c r="T115" i="1"/>
  <c r="S114" i="1"/>
  <c r="R114" i="1" s="1"/>
  <c r="P114" i="1" s="1"/>
  <c r="V114" i="1" s="1"/>
  <c r="AA114" i="1" s="1"/>
  <c r="Z114" i="1" s="1"/>
  <c r="Y114" i="1" s="1"/>
  <c r="X108" i="22"/>
  <c r="K108" i="22"/>
  <c r="L108" i="22"/>
  <c r="AK108" i="22"/>
  <c r="A109" i="22"/>
  <c r="AB108" i="22"/>
  <c r="AJ108" i="22"/>
  <c r="AC108" i="22"/>
  <c r="O108" i="22"/>
  <c r="D108" i="16"/>
  <c r="E108" i="16" s="1"/>
  <c r="K105" i="25"/>
  <c r="X105" i="25"/>
  <c r="AJ105" i="25"/>
  <c r="AB105" i="25"/>
  <c r="L105" i="25"/>
  <c r="A106" i="25"/>
  <c r="AK105" i="25"/>
  <c r="AC105" i="25"/>
  <c r="O105" i="25"/>
  <c r="AB106" i="24"/>
  <c r="L106" i="24"/>
  <c r="AJ106" i="24"/>
  <c r="A107" i="24"/>
  <c r="X106" i="24"/>
  <c r="K106" i="24"/>
  <c r="AK106" i="24"/>
  <c r="AC106" i="24"/>
  <c r="O106" i="24"/>
  <c r="K109" i="20"/>
  <c r="A110" i="20"/>
  <c r="X109" i="20"/>
  <c r="AK109" i="20"/>
  <c r="L109" i="20"/>
  <c r="AB109" i="20"/>
  <c r="AJ109" i="20"/>
  <c r="AC109" i="20"/>
  <c r="O109" i="20"/>
  <c r="AC116" i="1"/>
  <c r="AB116" i="1"/>
  <c r="AJ116" i="1"/>
  <c r="X116" i="1"/>
  <c r="U116" i="1"/>
  <c r="O116" i="1"/>
  <c r="K116" i="1"/>
  <c r="AK116" i="1"/>
  <c r="A117" i="1"/>
  <c r="L116" i="1"/>
  <c r="Q116" i="1"/>
  <c r="A110" i="16"/>
  <c r="X109" i="16"/>
  <c r="K109" i="16"/>
  <c r="AK109" i="16"/>
  <c r="AB109" i="16"/>
  <c r="L109" i="16"/>
  <c r="AJ109" i="16"/>
  <c r="AC109" i="16"/>
  <c r="O109" i="16"/>
  <c r="X115" i="15"/>
  <c r="L115" i="15"/>
  <c r="K115" i="15"/>
  <c r="AK115" i="15"/>
  <c r="AC115" i="15"/>
  <c r="A116" i="15"/>
  <c r="AB115" i="15"/>
  <c r="AJ115" i="15"/>
  <c r="O115" i="15"/>
  <c r="D114" i="15"/>
  <c r="E114" i="15" s="1"/>
  <c r="A114" i="18"/>
  <c r="X113" i="18"/>
  <c r="L113" i="18"/>
  <c r="AK113" i="18"/>
  <c r="K113" i="18"/>
  <c r="AB113" i="18"/>
  <c r="AJ113" i="18"/>
  <c r="O113" i="18"/>
  <c r="AC113" i="18"/>
  <c r="A108" i="23"/>
  <c r="L107" i="23"/>
  <c r="AJ107" i="23"/>
  <c r="K107" i="23"/>
  <c r="X107" i="23"/>
  <c r="AB107" i="23"/>
  <c r="AK107" i="23"/>
  <c r="AC107" i="23"/>
  <c r="O107" i="23"/>
  <c r="L108" i="23" l="1"/>
  <c r="AB108" i="23"/>
  <c r="AJ108" i="23"/>
  <c r="K108" i="23"/>
  <c r="X108" i="23"/>
  <c r="A109" i="23"/>
  <c r="AK108" i="23"/>
  <c r="AC108" i="23"/>
  <c r="O108" i="23"/>
  <c r="A115" i="18"/>
  <c r="X114" i="18"/>
  <c r="K114" i="18"/>
  <c r="AK114" i="18"/>
  <c r="L114" i="18"/>
  <c r="AB114" i="18"/>
  <c r="AJ114" i="18"/>
  <c r="O114" i="18"/>
  <c r="AC114" i="18"/>
  <c r="A117" i="15"/>
  <c r="AB116" i="15"/>
  <c r="AJ116" i="15"/>
  <c r="AK116" i="15"/>
  <c r="K116" i="15"/>
  <c r="L116" i="15"/>
  <c r="X116" i="15"/>
  <c r="AC116" i="15"/>
  <c r="O116" i="15"/>
  <c r="D115" i="15"/>
  <c r="E115" i="15" s="1"/>
  <c r="D109" i="16"/>
  <c r="E109" i="16" s="1"/>
  <c r="L117" i="1"/>
  <c r="O117" i="1"/>
  <c r="AJ117" i="1"/>
  <c r="A118" i="1"/>
  <c r="K117" i="1"/>
  <c r="X117" i="1"/>
  <c r="AB117" i="1"/>
  <c r="Q117" i="1"/>
  <c r="AK117" i="1"/>
  <c r="U117" i="1"/>
  <c r="AC117" i="1"/>
  <c r="T116" i="1"/>
  <c r="L110" i="20"/>
  <c r="K110" i="20"/>
  <c r="AJ110" i="20"/>
  <c r="AB110" i="20"/>
  <c r="X110" i="20"/>
  <c r="A111" i="20"/>
  <c r="AK110" i="20"/>
  <c r="AC110" i="20"/>
  <c r="O110" i="20"/>
  <c r="A107" i="25"/>
  <c r="X106" i="25"/>
  <c r="AJ106" i="25"/>
  <c r="K106" i="25"/>
  <c r="L106" i="25"/>
  <c r="AB106" i="25"/>
  <c r="AK106" i="25"/>
  <c r="AC106" i="25"/>
  <c r="O106" i="25"/>
  <c r="S115" i="1"/>
  <c r="R115" i="1" s="1"/>
  <c r="P115" i="1" s="1"/>
  <c r="V115" i="1" s="1"/>
  <c r="AA115" i="1" s="1"/>
  <c r="Z115" i="1" s="1"/>
  <c r="Y115" i="1" s="1"/>
  <c r="A112" i="17"/>
  <c r="L111" i="17"/>
  <c r="AJ111" i="17"/>
  <c r="K111" i="17"/>
  <c r="AB111" i="17"/>
  <c r="X111" i="17"/>
  <c r="AK111" i="17"/>
  <c r="AC111" i="17"/>
  <c r="O111" i="17"/>
  <c r="A111" i="16"/>
  <c r="AB110" i="16"/>
  <c r="X110" i="16"/>
  <c r="AK110" i="16"/>
  <c r="L110" i="16"/>
  <c r="K110" i="16"/>
  <c r="AJ110" i="16"/>
  <c r="AC110" i="16"/>
  <c r="O110" i="16"/>
  <c r="A108" i="24"/>
  <c r="K107" i="24"/>
  <c r="AJ107" i="24"/>
  <c r="X107" i="24"/>
  <c r="AB107" i="24"/>
  <c r="L107" i="24"/>
  <c r="AK107" i="24"/>
  <c r="AC107" i="24"/>
  <c r="O107" i="24"/>
  <c r="K109" i="22"/>
  <c r="AB109" i="22"/>
  <c r="X109" i="22"/>
  <c r="AK109" i="22"/>
  <c r="L109" i="22"/>
  <c r="A110" i="22"/>
  <c r="AJ109" i="22"/>
  <c r="AC109" i="22"/>
  <c r="O109" i="22"/>
  <c r="D110" i="17"/>
  <c r="E110" i="17" s="1"/>
  <c r="D111" i="17" l="1"/>
  <c r="E111" i="17" s="1"/>
  <c r="L107" i="25"/>
  <c r="K107" i="25"/>
  <c r="AJ107" i="25"/>
  <c r="A108" i="25"/>
  <c r="AB107" i="25"/>
  <c r="X107" i="25"/>
  <c r="AK107" i="25"/>
  <c r="AC107" i="25"/>
  <c r="O107" i="25"/>
  <c r="T117" i="1"/>
  <c r="AJ118" i="1"/>
  <c r="K118" i="1"/>
  <c r="X118" i="1"/>
  <c r="AB118" i="1"/>
  <c r="Q118" i="1"/>
  <c r="O118" i="1"/>
  <c r="A119" i="1"/>
  <c r="L118" i="1"/>
  <c r="AK118" i="1"/>
  <c r="AC118" i="1"/>
  <c r="U118" i="1"/>
  <c r="K117" i="15"/>
  <c r="X117" i="15"/>
  <c r="AB117" i="15"/>
  <c r="AJ117" i="15"/>
  <c r="A118" i="15"/>
  <c r="L117" i="15"/>
  <c r="D117" i="15" s="1"/>
  <c r="AK117" i="15"/>
  <c r="AC117" i="15"/>
  <c r="O117" i="15"/>
  <c r="L110" i="22"/>
  <c r="AB110" i="22"/>
  <c r="AJ110" i="22"/>
  <c r="A111" i="22"/>
  <c r="X110" i="22"/>
  <c r="K110" i="22"/>
  <c r="AK110" i="22"/>
  <c r="AC110" i="22"/>
  <c r="O110" i="22"/>
  <c r="AB108" i="24"/>
  <c r="X108" i="24"/>
  <c r="K108" i="24"/>
  <c r="AK108" i="24"/>
  <c r="A109" i="24"/>
  <c r="L108" i="24"/>
  <c r="AJ108" i="24"/>
  <c r="AC108" i="24"/>
  <c r="O108" i="24"/>
  <c r="D110" i="16"/>
  <c r="E110" i="16" s="1"/>
  <c r="AB111" i="16"/>
  <c r="L111" i="16"/>
  <c r="A112" i="16"/>
  <c r="AK111" i="16"/>
  <c r="K111" i="16"/>
  <c r="X111" i="16"/>
  <c r="AJ111" i="16"/>
  <c r="AC111" i="16"/>
  <c r="O111" i="16"/>
  <c r="A113" i="17"/>
  <c r="K112" i="17"/>
  <c r="L112" i="17"/>
  <c r="AK112" i="17"/>
  <c r="AB112" i="17"/>
  <c r="X112" i="17"/>
  <c r="AJ112" i="17"/>
  <c r="O112" i="17"/>
  <c r="AC112" i="17"/>
  <c r="K111" i="20"/>
  <c r="X111" i="20"/>
  <c r="AJ111" i="20"/>
  <c r="A112" i="20"/>
  <c r="AB111" i="20"/>
  <c r="L111" i="20"/>
  <c r="AK111" i="20"/>
  <c r="AC111" i="20"/>
  <c r="O111" i="20"/>
  <c r="S116" i="1"/>
  <c r="R116" i="1" s="1"/>
  <c r="P116" i="1" s="1"/>
  <c r="V116" i="1" s="1"/>
  <c r="AA116" i="1" s="1"/>
  <c r="Z116" i="1" s="1"/>
  <c r="Y116" i="1" s="1"/>
  <c r="D116" i="15"/>
  <c r="E116" i="15" s="1"/>
  <c r="K115" i="18"/>
  <c r="AB115" i="18"/>
  <c r="L115" i="18"/>
  <c r="AK115" i="18"/>
  <c r="X115" i="18"/>
  <c r="A116" i="18"/>
  <c r="AJ115" i="18"/>
  <c r="O115" i="18"/>
  <c r="AC115" i="18"/>
  <c r="K109" i="23"/>
  <c r="X109" i="23"/>
  <c r="AB109" i="23"/>
  <c r="AK109" i="23"/>
  <c r="L109" i="23"/>
  <c r="A110" i="23"/>
  <c r="AJ109" i="23"/>
  <c r="AC109" i="23"/>
  <c r="O109" i="23"/>
  <c r="E117" i="15" l="1"/>
  <c r="A117" i="18"/>
  <c r="AB116" i="18"/>
  <c r="X116" i="18"/>
  <c r="AK116" i="18"/>
  <c r="K116" i="18"/>
  <c r="L116" i="18"/>
  <c r="AJ116" i="18"/>
  <c r="AC116" i="18"/>
  <c r="O116" i="18"/>
  <c r="D111" i="16"/>
  <c r="L111" i="22"/>
  <c r="A112" i="22"/>
  <c r="AJ111" i="22"/>
  <c r="K111" i="22"/>
  <c r="X111" i="22"/>
  <c r="AB111" i="22"/>
  <c r="AK111" i="22"/>
  <c r="AC111" i="22"/>
  <c r="O111" i="22"/>
  <c r="AB118" i="15"/>
  <c r="L118" i="15"/>
  <c r="D118" i="15" s="1"/>
  <c r="K118" i="15"/>
  <c r="AK118" i="15"/>
  <c r="A119" i="15"/>
  <c r="X118" i="15"/>
  <c r="AC118" i="15"/>
  <c r="AJ118" i="15"/>
  <c r="O118" i="15"/>
  <c r="T118" i="1"/>
  <c r="AB119" i="1"/>
  <c r="A120" i="1"/>
  <c r="O119" i="1"/>
  <c r="C23" i="7" s="1"/>
  <c r="Q119" i="1"/>
  <c r="AK119" i="1"/>
  <c r="U119" i="1"/>
  <c r="AJ119" i="1"/>
  <c r="X119" i="1"/>
  <c r="K119" i="1"/>
  <c r="L119" i="1"/>
  <c r="A23" i="7"/>
  <c r="AC119" i="1"/>
  <c r="A111" i="23"/>
  <c r="X110" i="23"/>
  <c r="K110" i="23"/>
  <c r="AK110" i="23"/>
  <c r="AB110" i="23"/>
  <c r="L110" i="23"/>
  <c r="AJ110" i="23"/>
  <c r="AC110" i="23"/>
  <c r="O110" i="23"/>
  <c r="K112" i="20"/>
  <c r="AB112" i="20"/>
  <c r="A113" i="20"/>
  <c r="AK112" i="20"/>
  <c r="X112" i="20"/>
  <c r="L112" i="20"/>
  <c r="AJ112" i="20"/>
  <c r="AC112" i="20"/>
  <c r="O112" i="20"/>
  <c r="D112" i="17"/>
  <c r="E112" i="17" s="1"/>
  <c r="L113" i="17"/>
  <c r="X113" i="17"/>
  <c r="AJ113" i="17"/>
  <c r="A114" i="17"/>
  <c r="AB113" i="17"/>
  <c r="K113" i="17"/>
  <c r="AK113" i="17"/>
  <c r="O113" i="17"/>
  <c r="AC113" i="17"/>
  <c r="E111" i="16"/>
  <c r="K112" i="16"/>
  <c r="A113" i="16"/>
  <c r="AJ112" i="16"/>
  <c r="AB112" i="16"/>
  <c r="L112" i="16"/>
  <c r="X112" i="16"/>
  <c r="AK112" i="16"/>
  <c r="AC112" i="16"/>
  <c r="O112" i="16"/>
  <c r="K109" i="24"/>
  <c r="A110" i="24"/>
  <c r="AB109" i="24"/>
  <c r="AK109" i="24"/>
  <c r="L109" i="24"/>
  <c r="X109" i="24"/>
  <c r="AJ109" i="24"/>
  <c r="AC109" i="24"/>
  <c r="O109" i="24"/>
  <c r="S117" i="1"/>
  <c r="R117" i="1" s="1"/>
  <c r="P117" i="1" s="1"/>
  <c r="V117" i="1" s="1"/>
  <c r="AA117" i="1" s="1"/>
  <c r="Z117" i="1" s="1"/>
  <c r="Y117" i="1" s="1"/>
  <c r="A109" i="25"/>
  <c r="AB108" i="25"/>
  <c r="AJ108" i="25"/>
  <c r="X108" i="25"/>
  <c r="L108" i="25"/>
  <c r="K108" i="25"/>
  <c r="AK108" i="25"/>
  <c r="AC108" i="25"/>
  <c r="O108" i="25"/>
  <c r="E118" i="15" l="1"/>
  <c r="X110" i="24"/>
  <c r="L110" i="24"/>
  <c r="AJ110" i="24"/>
  <c r="A111" i="24"/>
  <c r="AB110" i="24"/>
  <c r="K110" i="24"/>
  <c r="AK110" i="24"/>
  <c r="AC110" i="24"/>
  <c r="O110" i="24"/>
  <c r="K113" i="16"/>
  <c r="X113" i="16"/>
  <c r="AB113" i="16"/>
  <c r="AK113" i="16"/>
  <c r="L113" i="16"/>
  <c r="A114" i="16"/>
  <c r="AJ113" i="16"/>
  <c r="AC113" i="16"/>
  <c r="O113" i="16"/>
  <c r="K114" i="17"/>
  <c r="A115" i="17"/>
  <c r="AB114" i="17"/>
  <c r="AK114" i="17"/>
  <c r="L114" i="17"/>
  <c r="X114" i="17"/>
  <c r="AJ114" i="17"/>
  <c r="O114" i="17"/>
  <c r="AC114" i="17"/>
  <c r="AB113" i="20"/>
  <c r="L113" i="20"/>
  <c r="A114" i="20"/>
  <c r="AK113" i="20"/>
  <c r="K113" i="20"/>
  <c r="X113" i="20"/>
  <c r="AJ113" i="20"/>
  <c r="AC113" i="20"/>
  <c r="O113" i="20"/>
  <c r="B23" i="7"/>
  <c r="T119" i="1"/>
  <c r="AC120" i="1"/>
  <c r="L120" i="1"/>
  <c r="A121" i="1"/>
  <c r="K120" i="1"/>
  <c r="Q120" i="1"/>
  <c r="AJ120" i="1"/>
  <c r="X120" i="1"/>
  <c r="AB120" i="1"/>
  <c r="AK120" i="1"/>
  <c r="O120" i="1"/>
  <c r="U120" i="1"/>
  <c r="S118" i="1"/>
  <c r="R118" i="1" s="1"/>
  <c r="P118" i="1" s="1"/>
  <c r="V118" i="1" s="1"/>
  <c r="AA118" i="1" s="1"/>
  <c r="Z118" i="1" s="1"/>
  <c r="Y118" i="1" s="1"/>
  <c r="L119" i="15"/>
  <c r="A120" i="15"/>
  <c r="AB119" i="15"/>
  <c r="AK119" i="15"/>
  <c r="K119" i="15"/>
  <c r="X119" i="15"/>
  <c r="A35" i="7"/>
  <c r="AJ119" i="15"/>
  <c r="AC119" i="15"/>
  <c r="O119" i="15"/>
  <c r="C35" i="7" s="1"/>
  <c r="A118" i="18"/>
  <c r="K117" i="18"/>
  <c r="AJ117" i="18"/>
  <c r="AB117" i="18"/>
  <c r="L117" i="18"/>
  <c r="X117" i="18"/>
  <c r="AK117" i="18"/>
  <c r="O117" i="18"/>
  <c r="AC117" i="18"/>
  <c r="A110" i="25"/>
  <c r="AB109" i="25"/>
  <c r="L109" i="25"/>
  <c r="AK109" i="25"/>
  <c r="K109" i="25"/>
  <c r="X109" i="25"/>
  <c r="AJ109" i="25"/>
  <c r="AC109" i="25"/>
  <c r="O109" i="25"/>
  <c r="D112" i="16"/>
  <c r="E112" i="16" s="1"/>
  <c r="D113" i="17"/>
  <c r="E113" i="17" s="1"/>
  <c r="K111" i="23"/>
  <c r="L111" i="23"/>
  <c r="AJ111" i="23"/>
  <c r="A112" i="23"/>
  <c r="AB111" i="23"/>
  <c r="X111" i="23"/>
  <c r="AK111" i="23"/>
  <c r="AC111" i="23"/>
  <c r="O111" i="23"/>
  <c r="A113" i="22"/>
  <c r="AB112" i="22"/>
  <c r="AJ112" i="22"/>
  <c r="K112" i="22"/>
  <c r="L112" i="22"/>
  <c r="X112" i="22"/>
  <c r="AK112" i="22"/>
  <c r="AC112" i="22"/>
  <c r="O112" i="22"/>
  <c r="K113" i="22" l="1"/>
  <c r="A114" i="22"/>
  <c r="X113" i="22"/>
  <c r="AK113" i="22"/>
  <c r="AB113" i="22"/>
  <c r="L113" i="22"/>
  <c r="AJ113" i="22"/>
  <c r="AC113" i="22"/>
  <c r="O113" i="22"/>
  <c r="AB112" i="23"/>
  <c r="A113" i="23"/>
  <c r="AJ112" i="23"/>
  <c r="X112" i="23"/>
  <c r="L112" i="23"/>
  <c r="K112" i="23"/>
  <c r="AK112" i="23"/>
  <c r="AC112" i="23"/>
  <c r="O112" i="23"/>
  <c r="K120" i="15"/>
  <c r="AB120" i="15"/>
  <c r="AJ120" i="15"/>
  <c r="A121" i="15"/>
  <c r="L120" i="15"/>
  <c r="D120" i="15" s="1"/>
  <c r="X120" i="15"/>
  <c r="AK120" i="15"/>
  <c r="AC120" i="15"/>
  <c r="O120" i="15"/>
  <c r="E120" i="15" s="1"/>
  <c r="X114" i="20"/>
  <c r="A115" i="20"/>
  <c r="AJ114" i="20"/>
  <c r="K114" i="20"/>
  <c r="AB114" i="20"/>
  <c r="L114" i="20"/>
  <c r="AK114" i="20"/>
  <c r="AC114" i="20"/>
  <c r="O114" i="20"/>
  <c r="D114" i="17"/>
  <c r="E114" i="17" s="1"/>
  <c r="D113" i="16"/>
  <c r="E113" i="16" s="1"/>
  <c r="L111" i="24"/>
  <c r="AB111" i="24"/>
  <c r="AJ111" i="24"/>
  <c r="K111" i="24"/>
  <c r="X111" i="24"/>
  <c r="A112" i="24"/>
  <c r="AK111" i="24"/>
  <c r="AC111" i="24"/>
  <c r="O111" i="24"/>
  <c r="L110" i="25"/>
  <c r="K110" i="25"/>
  <c r="AJ110" i="25"/>
  <c r="X110" i="25"/>
  <c r="AB110" i="25"/>
  <c r="A111" i="25"/>
  <c r="AK110" i="25"/>
  <c r="AC110" i="25"/>
  <c r="O110" i="25"/>
  <c r="AB118" i="18"/>
  <c r="A119" i="18"/>
  <c r="AJ118" i="18"/>
  <c r="K118" i="18"/>
  <c r="X118" i="18"/>
  <c r="L118" i="18"/>
  <c r="AK118" i="18"/>
  <c r="O118" i="18"/>
  <c r="AC118" i="18"/>
  <c r="B35" i="7"/>
  <c r="D119" i="15"/>
  <c r="E119" i="15" s="1"/>
  <c r="T120" i="1"/>
  <c r="AC121" i="1"/>
  <c r="AJ121" i="1"/>
  <c r="A122" i="1"/>
  <c r="K121" i="1"/>
  <c r="O121" i="1"/>
  <c r="X121" i="1"/>
  <c r="L121" i="1"/>
  <c r="Q121" i="1"/>
  <c r="AB121" i="1"/>
  <c r="AK121" i="1"/>
  <c r="U121" i="1"/>
  <c r="S119" i="1"/>
  <c r="R119" i="1" s="1"/>
  <c r="P119" i="1" s="1"/>
  <c r="L115" i="17"/>
  <c r="AB115" i="17"/>
  <c r="AJ115" i="17"/>
  <c r="K115" i="17"/>
  <c r="X115" i="17"/>
  <c r="A116" i="17"/>
  <c r="AK115" i="17"/>
  <c r="AC115" i="17"/>
  <c r="O115" i="17"/>
  <c r="A115" i="16"/>
  <c r="AB114" i="16"/>
  <c r="L114" i="16"/>
  <c r="AK114" i="16"/>
  <c r="K114" i="16"/>
  <c r="X114" i="16"/>
  <c r="AJ114" i="16"/>
  <c r="AC114" i="16"/>
  <c r="O114" i="16"/>
  <c r="D115" i="17" l="1"/>
  <c r="E115" i="17" s="1"/>
  <c r="D23" i="7"/>
  <c r="V119" i="1"/>
  <c r="AA119" i="1" s="1"/>
  <c r="Z119" i="1" s="1"/>
  <c r="Y119" i="1" s="1"/>
  <c r="T121" i="1"/>
  <c r="AJ122" i="1"/>
  <c r="L122" i="1"/>
  <c r="AB122" i="1"/>
  <c r="AK122" i="1"/>
  <c r="U122" i="1"/>
  <c r="O122" i="1"/>
  <c r="AC122" i="1"/>
  <c r="A123" i="1"/>
  <c r="K122" i="1"/>
  <c r="X122" i="1"/>
  <c r="Q122" i="1"/>
  <c r="S120" i="1"/>
  <c r="R120" i="1" s="1"/>
  <c r="P120" i="1" s="1"/>
  <c r="V120" i="1" s="1"/>
  <c r="AA120" i="1" s="1"/>
  <c r="Z120" i="1" s="1"/>
  <c r="Y120" i="1" s="1"/>
  <c r="K111" i="25"/>
  <c r="AB111" i="25"/>
  <c r="AJ111" i="25"/>
  <c r="A112" i="25"/>
  <c r="L111" i="25"/>
  <c r="X111" i="25"/>
  <c r="AK111" i="25"/>
  <c r="AC111" i="25"/>
  <c r="O111" i="25"/>
  <c r="X114" i="22"/>
  <c r="K114" i="22"/>
  <c r="AJ114" i="22"/>
  <c r="A115" i="22"/>
  <c r="L114" i="22"/>
  <c r="AB114" i="22"/>
  <c r="AK114" i="22"/>
  <c r="AC114" i="22"/>
  <c r="O114" i="22"/>
  <c r="D114" i="16"/>
  <c r="E114" i="16" s="1"/>
  <c r="L115" i="16"/>
  <c r="A116" i="16"/>
  <c r="AJ115" i="16"/>
  <c r="X115" i="16"/>
  <c r="K115" i="16"/>
  <c r="AB115" i="16"/>
  <c r="AK115" i="16"/>
  <c r="AC115" i="16"/>
  <c r="O115" i="16"/>
  <c r="A117" i="17"/>
  <c r="AB116" i="17"/>
  <c r="K116" i="17"/>
  <c r="AK116" i="17"/>
  <c r="L116" i="17"/>
  <c r="X116" i="17"/>
  <c r="AJ116" i="17"/>
  <c r="O116" i="17"/>
  <c r="AC116" i="17"/>
  <c r="K119" i="18"/>
  <c r="L119" i="18"/>
  <c r="X119" i="18"/>
  <c r="AJ119" i="18"/>
  <c r="A71" i="7"/>
  <c r="AB119" i="18"/>
  <c r="A120" i="18"/>
  <c r="AK119" i="18"/>
  <c r="AC119" i="18"/>
  <c r="O119" i="18"/>
  <c r="C71" i="7" s="1"/>
  <c r="K112" i="24"/>
  <c r="L112" i="24"/>
  <c r="AJ112" i="24"/>
  <c r="AB112" i="24"/>
  <c r="X112" i="24"/>
  <c r="A113" i="24"/>
  <c r="AK112" i="24"/>
  <c r="AC112" i="24"/>
  <c r="O112" i="24"/>
  <c r="A116" i="20"/>
  <c r="K115" i="20"/>
  <c r="AB115" i="20"/>
  <c r="AK115" i="20"/>
  <c r="X115" i="20"/>
  <c r="L115" i="20"/>
  <c r="AJ115" i="20"/>
  <c r="AC115" i="20"/>
  <c r="O115" i="20"/>
  <c r="A122" i="15"/>
  <c r="K121" i="15"/>
  <c r="AK121" i="15"/>
  <c r="AB121" i="15"/>
  <c r="L121" i="15"/>
  <c r="D121" i="15" s="1"/>
  <c r="X121" i="15"/>
  <c r="AJ121" i="15"/>
  <c r="AC121" i="15"/>
  <c r="O121" i="15"/>
  <c r="AB113" i="23"/>
  <c r="L113" i="23"/>
  <c r="K113" i="23"/>
  <c r="AK113" i="23"/>
  <c r="X113" i="23"/>
  <c r="A114" i="23"/>
  <c r="AJ113" i="23"/>
  <c r="AC113" i="23"/>
  <c r="O113" i="23"/>
  <c r="E121" i="15" l="1"/>
  <c r="K114" i="23"/>
  <c r="X114" i="23"/>
  <c r="AJ114" i="23"/>
  <c r="AB114" i="23"/>
  <c r="A115" i="23"/>
  <c r="L114" i="23"/>
  <c r="AK114" i="23"/>
  <c r="AC114" i="23"/>
  <c r="O114" i="23"/>
  <c r="A123" i="15"/>
  <c r="X122" i="15"/>
  <c r="AK122" i="15"/>
  <c r="AC122" i="15"/>
  <c r="L122" i="15"/>
  <c r="K122" i="15"/>
  <c r="AB122" i="15"/>
  <c r="AJ122" i="15"/>
  <c r="O122" i="15"/>
  <c r="B71" i="7"/>
  <c r="D115" i="16"/>
  <c r="E115" i="16" s="1"/>
  <c r="AB115" i="22"/>
  <c r="L115" i="22"/>
  <c r="X115" i="22"/>
  <c r="AK115" i="22"/>
  <c r="A116" i="22"/>
  <c r="K115" i="22"/>
  <c r="AJ115" i="22"/>
  <c r="AC115" i="22"/>
  <c r="O115" i="22"/>
  <c r="Q123" i="1"/>
  <c r="AB123" i="1"/>
  <c r="L123" i="1"/>
  <c r="AK123" i="1"/>
  <c r="K123" i="1"/>
  <c r="AJ123" i="1"/>
  <c r="X123" i="1"/>
  <c r="A124" i="1"/>
  <c r="U123" i="1"/>
  <c r="AC123" i="1"/>
  <c r="O123" i="1"/>
  <c r="X116" i="20"/>
  <c r="L116" i="20"/>
  <c r="AJ116" i="20"/>
  <c r="K116" i="20"/>
  <c r="AB116" i="20"/>
  <c r="A117" i="20"/>
  <c r="AK116" i="20"/>
  <c r="AC116" i="20"/>
  <c r="O116" i="20"/>
  <c r="A114" i="24"/>
  <c r="K113" i="24"/>
  <c r="X113" i="24"/>
  <c r="AK113" i="24"/>
  <c r="L113" i="24"/>
  <c r="AB113" i="24"/>
  <c r="AJ113" i="24"/>
  <c r="AC113" i="24"/>
  <c r="O113" i="24"/>
  <c r="K120" i="18"/>
  <c r="AB120" i="18"/>
  <c r="AJ120" i="18"/>
  <c r="X120" i="18"/>
  <c r="A121" i="18"/>
  <c r="L120" i="18"/>
  <c r="AK120" i="18"/>
  <c r="O120" i="18"/>
  <c r="AC120" i="18"/>
  <c r="D116" i="17"/>
  <c r="E116" i="17" s="1"/>
  <c r="K117" i="17"/>
  <c r="L117" i="17"/>
  <c r="AJ117" i="17"/>
  <c r="AB117" i="17"/>
  <c r="A118" i="17"/>
  <c r="X117" i="17"/>
  <c r="AK117" i="17"/>
  <c r="O117" i="17"/>
  <c r="AC117" i="17"/>
  <c r="X116" i="16"/>
  <c r="AB116" i="16"/>
  <c r="K116" i="16"/>
  <c r="AK116" i="16"/>
  <c r="A117" i="16"/>
  <c r="L116" i="16"/>
  <c r="AJ116" i="16"/>
  <c r="AC116" i="16"/>
  <c r="O116" i="16"/>
  <c r="K112" i="25"/>
  <c r="AB112" i="25"/>
  <c r="A113" i="25"/>
  <c r="AK112" i="25"/>
  <c r="X112" i="25"/>
  <c r="L112" i="25"/>
  <c r="AJ112" i="25"/>
  <c r="AC112" i="25"/>
  <c r="O112" i="25"/>
  <c r="T122" i="1"/>
  <c r="S121" i="1"/>
  <c r="R121" i="1" s="1"/>
  <c r="P121" i="1" s="1"/>
  <c r="V121" i="1" s="1"/>
  <c r="AA121" i="1" s="1"/>
  <c r="Z121" i="1" s="1"/>
  <c r="Y121" i="1" s="1"/>
  <c r="D116" i="16" l="1"/>
  <c r="E116" i="16" s="1"/>
  <c r="AB118" i="17"/>
  <c r="A119" i="17"/>
  <c r="AJ118" i="17"/>
  <c r="X118" i="17"/>
  <c r="K118" i="17"/>
  <c r="L118" i="17"/>
  <c r="AK118" i="17"/>
  <c r="O118" i="17"/>
  <c r="AC118" i="17"/>
  <c r="A115" i="24"/>
  <c r="X114" i="24"/>
  <c r="AB114" i="24"/>
  <c r="AK114" i="24"/>
  <c r="L114" i="24"/>
  <c r="K114" i="24"/>
  <c r="AJ114" i="24"/>
  <c r="AC114" i="24"/>
  <c r="O114" i="24"/>
  <c r="K117" i="20"/>
  <c r="X117" i="20"/>
  <c r="L117" i="20"/>
  <c r="AK117" i="20"/>
  <c r="AB117" i="20"/>
  <c r="A118" i="20"/>
  <c r="AJ117" i="20"/>
  <c r="AC117" i="20"/>
  <c r="O117" i="20"/>
  <c r="T123" i="1"/>
  <c r="X116" i="22"/>
  <c r="AB116" i="22"/>
  <c r="A117" i="22"/>
  <c r="AK116" i="22"/>
  <c r="K116" i="22"/>
  <c r="L116" i="22"/>
  <c r="AJ116" i="22"/>
  <c r="AC116" i="22"/>
  <c r="O116" i="22"/>
  <c r="D122" i="15"/>
  <c r="E122" i="15" s="1"/>
  <c r="K123" i="15"/>
  <c r="X123" i="15"/>
  <c r="AJ123" i="15"/>
  <c r="A124" i="15"/>
  <c r="L123" i="15"/>
  <c r="AB123" i="15"/>
  <c r="AK123" i="15"/>
  <c r="AC123" i="15"/>
  <c r="O123" i="15"/>
  <c r="X113" i="25"/>
  <c r="K113" i="25"/>
  <c r="A114" i="25"/>
  <c r="AK113" i="25"/>
  <c r="L113" i="25"/>
  <c r="AB113" i="25"/>
  <c r="AJ113" i="25"/>
  <c r="AC113" i="25"/>
  <c r="O113" i="25"/>
  <c r="AB117" i="16"/>
  <c r="L117" i="16"/>
  <c r="A118" i="16"/>
  <c r="AK117" i="16"/>
  <c r="K117" i="16"/>
  <c r="X117" i="16"/>
  <c r="AJ117" i="16"/>
  <c r="AC117" i="16"/>
  <c r="O117" i="16"/>
  <c r="D117" i="17"/>
  <c r="E117" i="17" s="1"/>
  <c r="X121" i="18"/>
  <c r="L121" i="18"/>
  <c r="K121" i="18"/>
  <c r="AK121" i="18"/>
  <c r="AB121" i="18"/>
  <c r="A122" i="18"/>
  <c r="AJ121" i="18"/>
  <c r="AC121" i="18"/>
  <c r="O121" i="18"/>
  <c r="AB124" i="1"/>
  <c r="AC124" i="1"/>
  <c r="K124" i="1"/>
  <c r="A125" i="1"/>
  <c r="Q124" i="1"/>
  <c r="L124" i="1"/>
  <c r="AJ124" i="1"/>
  <c r="X124" i="1"/>
  <c r="AK124" i="1"/>
  <c r="U124" i="1"/>
  <c r="O124" i="1"/>
  <c r="S122" i="1"/>
  <c r="R122" i="1" s="1"/>
  <c r="P122" i="1" s="1"/>
  <c r="V122" i="1" s="1"/>
  <c r="AA122" i="1" s="1"/>
  <c r="Z122" i="1" s="1"/>
  <c r="Y122" i="1" s="1"/>
  <c r="AB115" i="23"/>
  <c r="A116" i="23"/>
  <c r="AJ115" i="23"/>
  <c r="X115" i="23"/>
  <c r="K115" i="23"/>
  <c r="L115" i="23"/>
  <c r="AK115" i="23"/>
  <c r="AC115" i="23"/>
  <c r="O115" i="23"/>
  <c r="L118" i="16" l="1"/>
  <c r="X118" i="16"/>
  <c r="K118" i="16"/>
  <c r="AK118" i="16"/>
  <c r="A119" i="16"/>
  <c r="AB118" i="16"/>
  <c r="AJ118" i="16"/>
  <c r="AC118" i="16"/>
  <c r="O118" i="16"/>
  <c r="L114" i="25"/>
  <c r="X114" i="25"/>
  <c r="AJ114" i="25"/>
  <c r="A115" i="25"/>
  <c r="AB114" i="25"/>
  <c r="K114" i="25"/>
  <c r="AK114" i="25"/>
  <c r="AC114" i="25"/>
  <c r="O114" i="25"/>
  <c r="D123" i="15"/>
  <c r="E123" i="15" s="1"/>
  <c r="A118" i="22"/>
  <c r="X117" i="22"/>
  <c r="L117" i="22"/>
  <c r="AK117" i="22"/>
  <c r="K117" i="22"/>
  <c r="AB117" i="22"/>
  <c r="AJ117" i="22"/>
  <c r="AC117" i="22"/>
  <c r="O117" i="22"/>
  <c r="D118" i="17"/>
  <c r="E118" i="17" s="1"/>
  <c r="A120" i="17"/>
  <c r="A59" i="7"/>
  <c r="L119" i="17"/>
  <c r="AK119" i="17"/>
  <c r="K119" i="17"/>
  <c r="AB119" i="17"/>
  <c r="X119" i="17"/>
  <c r="AJ119" i="17"/>
  <c r="O119" i="17"/>
  <c r="AC119" i="17"/>
  <c r="L116" i="23"/>
  <c r="X116" i="23"/>
  <c r="AJ116" i="23"/>
  <c r="AB116" i="23"/>
  <c r="K116" i="23"/>
  <c r="A117" i="23"/>
  <c r="AK116" i="23"/>
  <c r="AC116" i="23"/>
  <c r="O116" i="23"/>
  <c r="T124" i="1"/>
  <c r="AC125" i="1"/>
  <c r="K125" i="1"/>
  <c r="AB125" i="1"/>
  <c r="O125" i="1"/>
  <c r="Q125" i="1"/>
  <c r="AK125" i="1"/>
  <c r="AJ125" i="1"/>
  <c r="L125" i="1"/>
  <c r="A126" i="1"/>
  <c r="X125" i="1"/>
  <c r="U125" i="1"/>
  <c r="L122" i="18"/>
  <c r="K122" i="18"/>
  <c r="AJ122" i="18"/>
  <c r="A123" i="18"/>
  <c r="X122" i="18"/>
  <c r="AB122" i="18"/>
  <c r="AK122" i="18"/>
  <c r="AC122" i="18"/>
  <c r="O122" i="18"/>
  <c r="D117" i="16"/>
  <c r="E117" i="16" s="1"/>
  <c r="L124" i="15"/>
  <c r="X124" i="15"/>
  <c r="AK124" i="15"/>
  <c r="AC124" i="15"/>
  <c r="K124" i="15"/>
  <c r="A125" i="15"/>
  <c r="AB124" i="15"/>
  <c r="AJ124" i="15"/>
  <c r="O124" i="15"/>
  <c r="S123" i="1"/>
  <c r="R123" i="1" s="1"/>
  <c r="P123" i="1" s="1"/>
  <c r="V123" i="1" s="1"/>
  <c r="AA123" i="1" s="1"/>
  <c r="Z123" i="1" s="1"/>
  <c r="Y123" i="1" s="1"/>
  <c r="K118" i="20"/>
  <c r="X118" i="20"/>
  <c r="A119" i="20"/>
  <c r="AK118" i="20"/>
  <c r="L118" i="20"/>
  <c r="AB118" i="20"/>
  <c r="AJ118" i="20"/>
  <c r="AC118" i="20"/>
  <c r="O118" i="20"/>
  <c r="X115" i="24"/>
  <c r="A116" i="24"/>
  <c r="AJ115" i="24"/>
  <c r="K115" i="24"/>
  <c r="AB115" i="24"/>
  <c r="L115" i="24"/>
  <c r="AK115" i="24"/>
  <c r="AC115" i="24"/>
  <c r="O115" i="24"/>
  <c r="A120" i="20" l="1"/>
  <c r="X119" i="20"/>
  <c r="L119" i="20"/>
  <c r="AJ119" i="20"/>
  <c r="AB119" i="20"/>
  <c r="AE23" i="7"/>
  <c r="K119" i="20"/>
  <c r="AK119" i="20"/>
  <c r="AC119" i="20"/>
  <c r="O119" i="20"/>
  <c r="AG23" i="7" s="1"/>
  <c r="AB125" i="15"/>
  <c r="K125" i="15"/>
  <c r="AK125" i="15"/>
  <c r="X125" i="15"/>
  <c r="A126" i="15"/>
  <c r="L125" i="15"/>
  <c r="D125" i="15" s="1"/>
  <c r="AJ125" i="15"/>
  <c r="AC125" i="15"/>
  <c r="O125" i="15"/>
  <c r="C59" i="7"/>
  <c r="B59" i="7"/>
  <c r="D119" i="17"/>
  <c r="E119" i="17" s="1"/>
  <c r="L120" i="17"/>
  <c r="X120" i="17"/>
  <c r="AJ120" i="17"/>
  <c r="K120" i="17"/>
  <c r="AB120" i="17"/>
  <c r="A121" i="17"/>
  <c r="AK120" i="17"/>
  <c r="AC120" i="17"/>
  <c r="O120" i="17"/>
  <c r="L119" i="16"/>
  <c r="A47" i="7"/>
  <c r="A120" i="16"/>
  <c r="AJ119" i="16"/>
  <c r="AB119" i="16"/>
  <c r="K119" i="16"/>
  <c r="X119" i="16"/>
  <c r="AK119" i="16"/>
  <c r="AC119" i="16"/>
  <c r="O119" i="16"/>
  <c r="C47" i="7" s="1"/>
  <c r="D118" i="16"/>
  <c r="E118" i="16" s="1"/>
  <c r="A117" i="24"/>
  <c r="X116" i="24"/>
  <c r="AJ116" i="24"/>
  <c r="AB116" i="24"/>
  <c r="L116" i="24"/>
  <c r="K116" i="24"/>
  <c r="AK116" i="24"/>
  <c r="AC116" i="24"/>
  <c r="O116" i="24"/>
  <c r="D124" i="15"/>
  <c r="E124" i="15" s="1"/>
  <c r="X123" i="18"/>
  <c r="AB123" i="18"/>
  <c r="K123" i="18"/>
  <c r="AK123" i="18"/>
  <c r="L123" i="18"/>
  <c r="A124" i="18"/>
  <c r="AJ123" i="18"/>
  <c r="O123" i="18"/>
  <c r="AC123" i="18"/>
  <c r="T125" i="1"/>
  <c r="O126" i="1"/>
  <c r="K126" i="1"/>
  <c r="AK126" i="1"/>
  <c r="L126" i="1"/>
  <c r="U126" i="1"/>
  <c r="AC126" i="1"/>
  <c r="AJ126" i="1"/>
  <c r="A127" i="1"/>
  <c r="X126" i="1"/>
  <c r="AB126" i="1"/>
  <c r="Q126" i="1"/>
  <c r="S124" i="1"/>
  <c r="R124" i="1" s="1"/>
  <c r="P124" i="1" s="1"/>
  <c r="V124" i="1" s="1"/>
  <c r="AA124" i="1" s="1"/>
  <c r="Z124" i="1" s="1"/>
  <c r="Y124" i="1" s="1"/>
  <c r="A118" i="23"/>
  <c r="AB117" i="23"/>
  <c r="X117" i="23"/>
  <c r="AK117" i="23"/>
  <c r="K117" i="23"/>
  <c r="L117" i="23"/>
  <c r="AJ117" i="23"/>
  <c r="AC117" i="23"/>
  <c r="O117" i="23"/>
  <c r="K118" i="22"/>
  <c r="AB118" i="22"/>
  <c r="X118" i="22"/>
  <c r="AK118" i="22"/>
  <c r="L118" i="22"/>
  <c r="A119" i="22"/>
  <c r="AJ118" i="22"/>
  <c r="AC118" i="22"/>
  <c r="O118" i="22"/>
  <c r="L115" i="25"/>
  <c r="A116" i="25"/>
  <c r="AJ115" i="25"/>
  <c r="K115" i="25"/>
  <c r="AB115" i="25"/>
  <c r="X115" i="25"/>
  <c r="AK115" i="25"/>
  <c r="AC115" i="25"/>
  <c r="O115" i="25"/>
  <c r="E125" i="15" l="1"/>
  <c r="L116" i="25"/>
  <c r="K116" i="25"/>
  <c r="AJ116" i="25"/>
  <c r="A117" i="25"/>
  <c r="AB116" i="25"/>
  <c r="X116" i="25"/>
  <c r="AK116" i="25"/>
  <c r="AC116" i="25"/>
  <c r="O116" i="25"/>
  <c r="A119" i="23"/>
  <c r="AB118" i="23"/>
  <c r="X118" i="23"/>
  <c r="AK118" i="23"/>
  <c r="L118" i="23"/>
  <c r="K118" i="23"/>
  <c r="AJ118" i="23"/>
  <c r="AC118" i="23"/>
  <c r="O118" i="23"/>
  <c r="A128" i="1"/>
  <c r="X127" i="1"/>
  <c r="L127" i="1"/>
  <c r="AB127" i="1"/>
  <c r="U127" i="1"/>
  <c r="K127" i="1"/>
  <c r="AK127" i="1"/>
  <c r="AJ127" i="1"/>
  <c r="Q127" i="1"/>
  <c r="O127" i="1"/>
  <c r="AC127" i="1"/>
  <c r="A118" i="24"/>
  <c r="K117" i="24"/>
  <c r="AB117" i="24"/>
  <c r="AK117" i="24"/>
  <c r="L117" i="24"/>
  <c r="X117" i="24"/>
  <c r="AJ117" i="24"/>
  <c r="AC117" i="24"/>
  <c r="O117" i="24"/>
  <c r="AB120" i="16"/>
  <c r="K120" i="16"/>
  <c r="AJ120" i="16"/>
  <c r="L120" i="16"/>
  <c r="X120" i="16"/>
  <c r="A121" i="16"/>
  <c r="AK120" i="16"/>
  <c r="AC120" i="16"/>
  <c r="O120" i="16"/>
  <c r="B47" i="7"/>
  <c r="D119" i="16"/>
  <c r="E119" i="16" s="1"/>
  <c r="L121" i="17"/>
  <c r="X121" i="17"/>
  <c r="AJ121" i="17"/>
  <c r="K121" i="17"/>
  <c r="AB121" i="17"/>
  <c r="A122" i="17"/>
  <c r="AK121" i="17"/>
  <c r="O121" i="17"/>
  <c r="AC121" i="17"/>
  <c r="X126" i="15"/>
  <c r="L126" i="15"/>
  <c r="D126" i="15" s="1"/>
  <c r="K126" i="15"/>
  <c r="AK126" i="15"/>
  <c r="A127" i="15"/>
  <c r="AB126" i="15"/>
  <c r="AJ126" i="15"/>
  <c r="AC126" i="15"/>
  <c r="O126" i="15"/>
  <c r="AF23" i="7"/>
  <c r="L120" i="20"/>
  <c r="K120" i="20"/>
  <c r="AJ120" i="20"/>
  <c r="X120" i="20"/>
  <c r="A121" i="20"/>
  <c r="AB120" i="20"/>
  <c r="AK120" i="20"/>
  <c r="AC120" i="20"/>
  <c r="O120" i="20"/>
  <c r="AB119" i="22"/>
  <c r="K119" i="22"/>
  <c r="A120" i="22"/>
  <c r="AJ119" i="22"/>
  <c r="AE35" i="7"/>
  <c r="L119" i="22"/>
  <c r="X119" i="22"/>
  <c r="AK119" i="22"/>
  <c r="AC119" i="22"/>
  <c r="O119" i="22"/>
  <c r="AG35" i="7" s="1"/>
  <c r="T126" i="1"/>
  <c r="S125" i="1"/>
  <c r="R125" i="1" s="1"/>
  <c r="P125" i="1" s="1"/>
  <c r="V125" i="1" s="1"/>
  <c r="AA125" i="1" s="1"/>
  <c r="Z125" i="1" s="1"/>
  <c r="Y125" i="1" s="1"/>
  <c r="AB124" i="18"/>
  <c r="A125" i="18"/>
  <c r="K124" i="18"/>
  <c r="AK124" i="18"/>
  <c r="X124" i="18"/>
  <c r="L124" i="18"/>
  <c r="AJ124" i="18"/>
  <c r="O124" i="18"/>
  <c r="AC124" i="18"/>
  <c r="D120" i="17"/>
  <c r="E120" i="17" s="1"/>
  <c r="E126" i="15" l="1"/>
  <c r="X125" i="18"/>
  <c r="L125" i="18"/>
  <c r="AJ125" i="18"/>
  <c r="AB125" i="18"/>
  <c r="A126" i="18"/>
  <c r="K125" i="18"/>
  <c r="AK125" i="18"/>
  <c r="O125" i="18"/>
  <c r="AC125" i="18"/>
  <c r="S126" i="1"/>
  <c r="R126" i="1" s="1"/>
  <c r="P126" i="1" s="1"/>
  <c r="V126" i="1" s="1"/>
  <c r="AA126" i="1" s="1"/>
  <c r="Z126" i="1" s="1"/>
  <c r="Y126" i="1" s="1"/>
  <c r="AB120" i="22"/>
  <c r="K120" i="22"/>
  <c r="X120" i="22"/>
  <c r="AK120" i="22"/>
  <c r="L120" i="22"/>
  <c r="A121" i="22"/>
  <c r="AJ120" i="22"/>
  <c r="AC120" i="22"/>
  <c r="O120" i="22"/>
  <c r="X121" i="20"/>
  <c r="K121" i="20"/>
  <c r="AB121" i="20"/>
  <c r="AK121" i="20"/>
  <c r="L121" i="20"/>
  <c r="A122" i="20"/>
  <c r="AJ121" i="20"/>
  <c r="AC121" i="20"/>
  <c r="O121" i="20"/>
  <c r="D121" i="17"/>
  <c r="AB119" i="23"/>
  <c r="K119" i="23"/>
  <c r="L119" i="23"/>
  <c r="AK119" i="23"/>
  <c r="AE47" i="7"/>
  <c r="A120" i="23"/>
  <c r="X119" i="23"/>
  <c r="AJ119" i="23"/>
  <c r="AC119" i="23"/>
  <c r="O119" i="23"/>
  <c r="AG47" i="7" s="1"/>
  <c r="K117" i="25"/>
  <c r="A118" i="25"/>
  <c r="X117" i="25"/>
  <c r="AK117" i="25"/>
  <c r="L117" i="25"/>
  <c r="AB117" i="25"/>
  <c r="AJ117" i="25"/>
  <c r="AC117" i="25"/>
  <c r="O117" i="25"/>
  <c r="AF35" i="7"/>
  <c r="AB127" i="15"/>
  <c r="A128" i="15"/>
  <c r="AK127" i="15"/>
  <c r="K127" i="15"/>
  <c r="L127" i="15"/>
  <c r="X127" i="15"/>
  <c r="AJ127" i="15"/>
  <c r="AC127" i="15"/>
  <c r="O127" i="15"/>
  <c r="E121" i="17"/>
  <c r="AB122" i="17"/>
  <c r="X122" i="17"/>
  <c r="AJ122" i="17"/>
  <c r="L122" i="17"/>
  <c r="A123" i="17"/>
  <c r="K122" i="17"/>
  <c r="AK122" i="17"/>
  <c r="O122" i="17"/>
  <c r="AC122" i="17"/>
  <c r="A122" i="16"/>
  <c r="K121" i="16"/>
  <c r="AJ121" i="16"/>
  <c r="AB121" i="16"/>
  <c r="X121" i="16"/>
  <c r="L121" i="16"/>
  <c r="AK121" i="16"/>
  <c r="AC121" i="16"/>
  <c r="O121" i="16"/>
  <c r="D120" i="16"/>
  <c r="E120" i="16" s="1"/>
  <c r="A119" i="24"/>
  <c r="L118" i="24"/>
  <c r="AJ118" i="24"/>
  <c r="AB118" i="24"/>
  <c r="X118" i="24"/>
  <c r="K118" i="24"/>
  <c r="AK118" i="24"/>
  <c r="AC118" i="24"/>
  <c r="O118" i="24"/>
  <c r="T127" i="1"/>
  <c r="X128" i="1"/>
  <c r="AB128" i="1"/>
  <c r="L128" i="1"/>
  <c r="O128" i="1"/>
  <c r="U128" i="1"/>
  <c r="AC128" i="1"/>
  <c r="AJ128" i="1"/>
  <c r="A129" i="1"/>
  <c r="AK128" i="1"/>
  <c r="Q128" i="1"/>
  <c r="K128" i="1"/>
  <c r="T128" i="1" l="1"/>
  <c r="D121" i="16"/>
  <c r="AB123" i="17"/>
  <c r="L123" i="17"/>
  <c r="AJ123" i="17"/>
  <c r="A124" i="17"/>
  <c r="K123" i="17"/>
  <c r="X123" i="17"/>
  <c r="AK123" i="17"/>
  <c r="O123" i="17"/>
  <c r="AC123" i="17"/>
  <c r="D127" i="15"/>
  <c r="E127" i="15" s="1"/>
  <c r="AB118" i="25"/>
  <c r="X118" i="25"/>
  <c r="L118" i="25"/>
  <c r="AK118" i="25"/>
  <c r="A119" i="25"/>
  <c r="K118" i="25"/>
  <c r="AJ118" i="25"/>
  <c r="AC118" i="25"/>
  <c r="O118" i="25"/>
  <c r="AB120" i="23"/>
  <c r="A121" i="23"/>
  <c r="AJ120" i="23"/>
  <c r="X120" i="23"/>
  <c r="K120" i="23"/>
  <c r="L120" i="23"/>
  <c r="AK120" i="23"/>
  <c r="AC120" i="23"/>
  <c r="O120" i="23"/>
  <c r="A123" i="20"/>
  <c r="X122" i="20"/>
  <c r="AJ122" i="20"/>
  <c r="K122" i="20"/>
  <c r="L122" i="20"/>
  <c r="AB122" i="20"/>
  <c r="AK122" i="20"/>
  <c r="AC122" i="20"/>
  <c r="O122" i="20"/>
  <c r="K121" i="22"/>
  <c r="A122" i="22"/>
  <c r="AJ121" i="22"/>
  <c r="AB121" i="22"/>
  <c r="L121" i="22"/>
  <c r="X121" i="22"/>
  <c r="AK121" i="22"/>
  <c r="AC121" i="22"/>
  <c r="O121" i="22"/>
  <c r="X126" i="18"/>
  <c r="L126" i="18"/>
  <c r="AJ126" i="18"/>
  <c r="A127" i="18"/>
  <c r="AB126" i="18"/>
  <c r="K126" i="18"/>
  <c r="AK126" i="18"/>
  <c r="O126" i="18"/>
  <c r="AC126" i="18"/>
  <c r="A130" i="1"/>
  <c r="AK129" i="1"/>
  <c r="O129" i="1"/>
  <c r="L129" i="1"/>
  <c r="AB129" i="1"/>
  <c r="K129" i="1"/>
  <c r="AJ129" i="1"/>
  <c r="X129" i="1"/>
  <c r="Q129" i="1"/>
  <c r="U129" i="1"/>
  <c r="AC129" i="1"/>
  <c r="S127" i="1"/>
  <c r="R127" i="1" s="1"/>
  <c r="P127" i="1" s="1"/>
  <c r="V127" i="1" s="1"/>
  <c r="AA127" i="1" s="1"/>
  <c r="Z127" i="1" s="1"/>
  <c r="Y127" i="1" s="1"/>
  <c r="X119" i="24"/>
  <c r="AB119" i="24"/>
  <c r="K119" i="24"/>
  <c r="AK119" i="24"/>
  <c r="A120" i="24"/>
  <c r="L119" i="24"/>
  <c r="AE59" i="7"/>
  <c r="AJ119" i="24"/>
  <c r="AC119" i="24"/>
  <c r="O119" i="24"/>
  <c r="AG59" i="7" s="1"/>
  <c r="E121" i="16"/>
  <c r="K122" i="16"/>
  <c r="L122" i="16"/>
  <c r="AJ122" i="16"/>
  <c r="X122" i="16"/>
  <c r="AB122" i="16"/>
  <c r="A123" i="16"/>
  <c r="AK122" i="16"/>
  <c r="AC122" i="16"/>
  <c r="O122" i="16"/>
  <c r="D122" i="17"/>
  <c r="E122" i="17" s="1"/>
  <c r="X128" i="15"/>
  <c r="AB128" i="15"/>
  <c r="AC128" i="15"/>
  <c r="K128" i="15"/>
  <c r="L128" i="15"/>
  <c r="A129" i="15"/>
  <c r="AJ128" i="15"/>
  <c r="AK128" i="15"/>
  <c r="O128" i="15"/>
  <c r="AF47" i="7"/>
  <c r="D128" i="15" l="1"/>
  <c r="E128" i="15" s="1"/>
  <c r="AF59" i="7"/>
  <c r="T129" i="1"/>
  <c r="K122" i="22"/>
  <c r="L122" i="22"/>
  <c r="AJ122" i="22"/>
  <c r="A123" i="22"/>
  <c r="X122" i="22"/>
  <c r="AB122" i="22"/>
  <c r="AK122" i="22"/>
  <c r="AC122" i="22"/>
  <c r="O122" i="22"/>
  <c r="A124" i="20"/>
  <c r="L123" i="20"/>
  <c r="AJ123" i="20"/>
  <c r="K123" i="20"/>
  <c r="AB123" i="20"/>
  <c r="X123" i="20"/>
  <c r="AK123" i="20"/>
  <c r="AC123" i="20"/>
  <c r="O123" i="20"/>
  <c r="AB121" i="23"/>
  <c r="K121" i="23"/>
  <c r="AJ121" i="23"/>
  <c r="A122" i="23"/>
  <c r="L121" i="23"/>
  <c r="X121" i="23"/>
  <c r="AK121" i="23"/>
  <c r="AC121" i="23"/>
  <c r="O121" i="23"/>
  <c r="A120" i="25"/>
  <c r="AB119" i="25"/>
  <c r="AE71" i="7"/>
  <c r="AJ119" i="25"/>
  <c r="L119" i="25"/>
  <c r="X119" i="25"/>
  <c r="K119" i="25"/>
  <c r="AK119" i="25"/>
  <c r="AC119" i="25"/>
  <c r="O119" i="25"/>
  <c r="AG71" i="7" s="1"/>
  <c r="S128" i="1"/>
  <c r="R128" i="1" s="1"/>
  <c r="P128" i="1" s="1"/>
  <c r="V128" i="1" s="1"/>
  <c r="AA128" i="1" s="1"/>
  <c r="Z128" i="1" s="1"/>
  <c r="Y128" i="1" s="1"/>
  <c r="A130" i="15"/>
  <c r="L129" i="15"/>
  <c r="K129" i="15"/>
  <c r="AJ129" i="15"/>
  <c r="X129" i="15"/>
  <c r="AB129" i="15"/>
  <c r="AK129" i="15"/>
  <c r="AC129" i="15"/>
  <c r="O129" i="15"/>
  <c r="AB123" i="16"/>
  <c r="K123" i="16"/>
  <c r="AJ123" i="16"/>
  <c r="A124" i="16"/>
  <c r="L123" i="16"/>
  <c r="X123" i="16"/>
  <c r="AK123" i="16"/>
  <c r="AC123" i="16"/>
  <c r="O123" i="16"/>
  <c r="D122" i="16"/>
  <c r="E122" i="16" s="1"/>
  <c r="AB120" i="24"/>
  <c r="L120" i="24"/>
  <c r="AJ120" i="24"/>
  <c r="K120" i="24"/>
  <c r="X120" i="24"/>
  <c r="A121" i="24"/>
  <c r="AK120" i="24"/>
  <c r="AC120" i="24"/>
  <c r="O120" i="24"/>
  <c r="AJ130" i="1"/>
  <c r="X130" i="1"/>
  <c r="A131" i="1"/>
  <c r="K130" i="1"/>
  <c r="AC130" i="1"/>
  <c r="U130" i="1"/>
  <c r="AB130" i="1"/>
  <c r="O130" i="1"/>
  <c r="AK130" i="1"/>
  <c r="L130" i="1"/>
  <c r="Q130" i="1"/>
  <c r="A128" i="18"/>
  <c r="K127" i="18"/>
  <c r="AJ127" i="18"/>
  <c r="L127" i="18"/>
  <c r="X127" i="18"/>
  <c r="AB127" i="18"/>
  <c r="AK127" i="18"/>
  <c r="O127" i="18"/>
  <c r="AC127" i="18"/>
  <c r="L124" i="17"/>
  <c r="K124" i="17"/>
  <c r="AJ124" i="17"/>
  <c r="X124" i="17"/>
  <c r="AB124" i="17"/>
  <c r="A125" i="17"/>
  <c r="AK124" i="17"/>
  <c r="O124" i="17"/>
  <c r="AC124" i="17"/>
  <c r="D123" i="17"/>
  <c r="E123" i="17" s="1"/>
  <c r="X125" i="17" l="1"/>
  <c r="L125" i="17"/>
  <c r="K125" i="17"/>
  <c r="AK125" i="17"/>
  <c r="A126" i="17"/>
  <c r="AB125" i="17"/>
  <c r="AJ125" i="17"/>
  <c r="O125" i="17"/>
  <c r="AC125" i="17"/>
  <c r="AB128" i="18"/>
  <c r="K128" i="18"/>
  <c r="A129" i="18"/>
  <c r="AK128" i="18"/>
  <c r="L128" i="18"/>
  <c r="X128" i="18"/>
  <c r="AJ128" i="18"/>
  <c r="AC128" i="18"/>
  <c r="O128" i="18"/>
  <c r="X131" i="1"/>
  <c r="AK131" i="1"/>
  <c r="A132" i="1"/>
  <c r="AC131" i="1"/>
  <c r="AB131" i="1"/>
  <c r="AJ131" i="1"/>
  <c r="Q131" i="1"/>
  <c r="L131" i="1"/>
  <c r="K131" i="1"/>
  <c r="U131" i="1"/>
  <c r="O131" i="1"/>
  <c r="L121" i="24"/>
  <c r="A122" i="24"/>
  <c r="AJ121" i="24"/>
  <c r="X121" i="24"/>
  <c r="AB121" i="24"/>
  <c r="K121" i="24"/>
  <c r="AK121" i="24"/>
  <c r="AC121" i="24"/>
  <c r="O121" i="24"/>
  <c r="D123" i="16"/>
  <c r="E123" i="16" s="1"/>
  <c r="AB130" i="15"/>
  <c r="K130" i="15"/>
  <c r="AK130" i="15"/>
  <c r="AC130" i="15"/>
  <c r="L130" i="15"/>
  <c r="X130" i="15"/>
  <c r="A131" i="15"/>
  <c r="AJ130" i="15"/>
  <c r="O130" i="15"/>
  <c r="K122" i="23"/>
  <c r="L122" i="23"/>
  <c r="AJ122" i="23"/>
  <c r="AB122" i="23"/>
  <c r="X122" i="23"/>
  <c r="A123" i="23"/>
  <c r="AK122" i="23"/>
  <c r="AC122" i="23"/>
  <c r="O122" i="23"/>
  <c r="L124" i="20"/>
  <c r="K124" i="20"/>
  <c r="AJ124" i="20"/>
  <c r="X124" i="20"/>
  <c r="AB124" i="20"/>
  <c r="A125" i="20"/>
  <c r="AK124" i="20"/>
  <c r="AC124" i="20"/>
  <c r="O124" i="20"/>
  <c r="S129" i="1"/>
  <c r="R129" i="1" s="1"/>
  <c r="P129" i="1" s="1"/>
  <c r="V129" i="1" s="1"/>
  <c r="AA129" i="1" s="1"/>
  <c r="Z129" i="1" s="1"/>
  <c r="Y129" i="1" s="1"/>
  <c r="D124" i="17"/>
  <c r="E124" i="17" s="1"/>
  <c r="T130" i="1"/>
  <c r="K124" i="16"/>
  <c r="L124" i="16"/>
  <c r="A125" i="16"/>
  <c r="AK124" i="16"/>
  <c r="X124" i="16"/>
  <c r="AB124" i="16"/>
  <c r="AJ124" i="16"/>
  <c r="AC124" i="16"/>
  <c r="O124" i="16"/>
  <c r="D129" i="15"/>
  <c r="E129" i="15" s="1"/>
  <c r="AF71" i="7"/>
  <c r="X120" i="25"/>
  <c r="A121" i="25"/>
  <c r="L120" i="25"/>
  <c r="AK120" i="25"/>
  <c r="AB120" i="25"/>
  <c r="K120" i="25"/>
  <c r="AJ120" i="25"/>
  <c r="AC120" i="25"/>
  <c r="O120" i="25"/>
  <c r="K123" i="22"/>
  <c r="X123" i="22"/>
  <c r="L123" i="22"/>
  <c r="AK123" i="22"/>
  <c r="A124" i="22"/>
  <c r="AB123" i="22"/>
  <c r="AJ123" i="22"/>
  <c r="AC123" i="22"/>
  <c r="O123" i="22"/>
  <c r="A122" i="25" l="1"/>
  <c r="X121" i="25"/>
  <c r="AB121" i="25"/>
  <c r="AK121" i="25"/>
  <c r="L121" i="25"/>
  <c r="K121" i="25"/>
  <c r="AJ121" i="25"/>
  <c r="AC121" i="25"/>
  <c r="O121" i="25"/>
  <c r="AB125" i="16"/>
  <c r="K125" i="16"/>
  <c r="A126" i="16"/>
  <c r="AK125" i="16"/>
  <c r="L125" i="16"/>
  <c r="X125" i="16"/>
  <c r="AJ125" i="16"/>
  <c r="AC125" i="16"/>
  <c r="O125" i="16"/>
  <c r="T131" i="1"/>
  <c r="X129" i="18"/>
  <c r="K129" i="18"/>
  <c r="AB129" i="18"/>
  <c r="AK129" i="18"/>
  <c r="L129" i="18"/>
  <c r="A130" i="18"/>
  <c r="AJ129" i="18"/>
  <c r="O129" i="18"/>
  <c r="AC129" i="18"/>
  <c r="D125" i="17"/>
  <c r="E125" i="17" s="1"/>
  <c r="K124" i="22"/>
  <c r="A125" i="22"/>
  <c r="AB124" i="22"/>
  <c r="AK124" i="22"/>
  <c r="L124" i="22"/>
  <c r="X124" i="22"/>
  <c r="AJ124" i="22"/>
  <c r="AC124" i="22"/>
  <c r="O124" i="22"/>
  <c r="D124" i="16"/>
  <c r="E124" i="16" s="1"/>
  <c r="S130" i="1"/>
  <c r="R130" i="1" s="1"/>
  <c r="P130" i="1" s="1"/>
  <c r="V130" i="1" s="1"/>
  <c r="AA130" i="1" s="1"/>
  <c r="Z130" i="1" s="1"/>
  <c r="Y130" i="1" s="1"/>
  <c r="A126" i="20"/>
  <c r="AB125" i="20"/>
  <c r="AJ125" i="20"/>
  <c r="X125" i="20"/>
  <c r="L125" i="20"/>
  <c r="K125" i="20"/>
  <c r="AK125" i="20"/>
  <c r="AC125" i="20"/>
  <c r="O125" i="20"/>
  <c r="X123" i="23"/>
  <c r="AB123" i="23"/>
  <c r="AJ123" i="23"/>
  <c r="K123" i="23"/>
  <c r="L123" i="23"/>
  <c r="A124" i="23"/>
  <c r="AK123" i="23"/>
  <c r="AC123" i="23"/>
  <c r="O123" i="23"/>
  <c r="AB131" i="15"/>
  <c r="K131" i="15"/>
  <c r="AK131" i="15"/>
  <c r="X131" i="15"/>
  <c r="A132" i="15"/>
  <c r="L131" i="15"/>
  <c r="D131" i="15" s="1"/>
  <c r="AJ131" i="15"/>
  <c r="AC131" i="15"/>
  <c r="O131" i="15"/>
  <c r="D130" i="15"/>
  <c r="E130" i="15" s="1"/>
  <c r="AB122" i="24"/>
  <c r="A123" i="24"/>
  <c r="AJ122" i="24"/>
  <c r="K122" i="24"/>
  <c r="X122" i="24"/>
  <c r="L122" i="24"/>
  <c r="AK122" i="24"/>
  <c r="AC122" i="24"/>
  <c r="O122" i="24"/>
  <c r="AK132" i="1"/>
  <c r="AJ132" i="1"/>
  <c r="AB132" i="1"/>
  <c r="Q132" i="1"/>
  <c r="U132" i="1"/>
  <c r="AC132" i="1"/>
  <c r="L132" i="1"/>
  <c r="A133" i="1"/>
  <c r="K132" i="1"/>
  <c r="X132" i="1"/>
  <c r="O132" i="1"/>
  <c r="X126" i="17"/>
  <c r="L126" i="17"/>
  <c r="D126" i="17" s="1"/>
  <c r="AB126" i="17"/>
  <c r="AK126" i="17"/>
  <c r="A127" i="17"/>
  <c r="K126" i="17"/>
  <c r="AJ126" i="17"/>
  <c r="O126" i="17"/>
  <c r="AC126" i="17"/>
  <c r="E126" i="17" l="1"/>
  <c r="E131" i="15"/>
  <c r="T132" i="1"/>
  <c r="A124" i="24"/>
  <c r="X123" i="24"/>
  <c r="K123" i="24"/>
  <c r="AK123" i="24"/>
  <c r="AB123" i="24"/>
  <c r="L123" i="24"/>
  <c r="AJ123" i="24"/>
  <c r="AC123" i="24"/>
  <c r="O123" i="24"/>
  <c r="K132" i="15"/>
  <c r="A133" i="15"/>
  <c r="AC132" i="15"/>
  <c r="AB132" i="15"/>
  <c r="L132" i="15"/>
  <c r="D132" i="15" s="1"/>
  <c r="X132" i="15"/>
  <c r="AJ132" i="15"/>
  <c r="AK132" i="15"/>
  <c r="O132" i="15"/>
  <c r="E132" i="15" s="1"/>
  <c r="AB125" i="22"/>
  <c r="L125" i="22"/>
  <c r="A126" i="22"/>
  <c r="AK125" i="22"/>
  <c r="X125" i="22"/>
  <c r="K125" i="22"/>
  <c r="AJ125" i="22"/>
  <c r="AC125" i="22"/>
  <c r="O125" i="22"/>
  <c r="K127" i="17"/>
  <c r="A128" i="17"/>
  <c r="AB127" i="17"/>
  <c r="AK127" i="17"/>
  <c r="X127" i="17"/>
  <c r="L127" i="17"/>
  <c r="D127" i="17" s="1"/>
  <c r="AJ127" i="17"/>
  <c r="O127" i="17"/>
  <c r="E127" i="17" s="1"/>
  <c r="AC127" i="17"/>
  <c r="X133" i="1"/>
  <c r="L133" i="1"/>
  <c r="AJ133" i="1"/>
  <c r="Q133" i="1"/>
  <c r="U133" i="1"/>
  <c r="A134" i="1"/>
  <c r="AB133" i="1"/>
  <c r="AK133" i="1"/>
  <c r="K133" i="1"/>
  <c r="O133" i="1"/>
  <c r="AC133" i="1"/>
  <c r="L124" i="23"/>
  <c r="X124" i="23"/>
  <c r="AJ124" i="23"/>
  <c r="A125" i="23"/>
  <c r="K124" i="23"/>
  <c r="AB124" i="23"/>
  <c r="AK124" i="23"/>
  <c r="AC124" i="23"/>
  <c r="O124" i="23"/>
  <c r="A127" i="20"/>
  <c r="K126" i="20"/>
  <c r="AJ126" i="20"/>
  <c r="AB126" i="20"/>
  <c r="L126" i="20"/>
  <c r="X126" i="20"/>
  <c r="AK126" i="20"/>
  <c r="AC126" i="20"/>
  <c r="O126" i="20"/>
  <c r="AB130" i="18"/>
  <c r="A131" i="18"/>
  <c r="AJ130" i="18"/>
  <c r="L130" i="18"/>
  <c r="X130" i="18"/>
  <c r="K130" i="18"/>
  <c r="AK130" i="18"/>
  <c r="O130" i="18"/>
  <c r="AC130" i="18"/>
  <c r="S131" i="1"/>
  <c r="R131" i="1" s="1"/>
  <c r="P131" i="1" s="1"/>
  <c r="V131" i="1" s="1"/>
  <c r="AA131" i="1" s="1"/>
  <c r="Z131" i="1" s="1"/>
  <c r="Y131" i="1" s="1"/>
  <c r="D125" i="16"/>
  <c r="E125" i="16" s="1"/>
  <c r="K126" i="16"/>
  <c r="AB126" i="16"/>
  <c r="X126" i="16"/>
  <c r="AK126" i="16"/>
  <c r="L126" i="16"/>
  <c r="A127" i="16"/>
  <c r="AJ126" i="16"/>
  <c r="AC126" i="16"/>
  <c r="O126" i="16"/>
  <c r="K122" i="25"/>
  <c r="AB122" i="25"/>
  <c r="AJ122" i="25"/>
  <c r="L122" i="25"/>
  <c r="A123" i="25"/>
  <c r="X122" i="25"/>
  <c r="AK122" i="25"/>
  <c r="AC122" i="25"/>
  <c r="O122" i="25"/>
  <c r="L123" i="25" l="1"/>
  <c r="AB123" i="25"/>
  <c r="AJ123" i="25"/>
  <c r="A124" i="25"/>
  <c r="X123" i="25"/>
  <c r="K123" i="25"/>
  <c r="AK123" i="25"/>
  <c r="AC123" i="25"/>
  <c r="O123" i="25"/>
  <c r="D126" i="16"/>
  <c r="E126" i="16" s="1"/>
  <c r="X125" i="23"/>
  <c r="L125" i="23"/>
  <c r="K125" i="23"/>
  <c r="AK125" i="23"/>
  <c r="AB125" i="23"/>
  <c r="A126" i="23"/>
  <c r="AJ125" i="23"/>
  <c r="AC125" i="23"/>
  <c r="O125" i="23"/>
  <c r="AK134" i="1"/>
  <c r="O134" i="1"/>
  <c r="L134" i="1"/>
  <c r="AB134" i="1"/>
  <c r="K134" i="1"/>
  <c r="Q134" i="1"/>
  <c r="A135" i="1"/>
  <c r="AJ134" i="1"/>
  <c r="X134" i="1"/>
  <c r="U134" i="1"/>
  <c r="AC134" i="1"/>
  <c r="L133" i="15"/>
  <c r="A134" i="15"/>
  <c r="K133" i="15"/>
  <c r="AK133" i="15"/>
  <c r="AB133" i="15"/>
  <c r="X133" i="15"/>
  <c r="AJ133" i="15"/>
  <c r="AC133" i="15"/>
  <c r="O133" i="15"/>
  <c r="S132" i="1"/>
  <c r="R132" i="1" s="1"/>
  <c r="P132" i="1" s="1"/>
  <c r="V132" i="1" s="1"/>
  <c r="AA132" i="1" s="1"/>
  <c r="Z132" i="1" s="1"/>
  <c r="Y132" i="1" s="1"/>
  <c r="X127" i="16"/>
  <c r="L127" i="16"/>
  <c r="AJ127" i="16"/>
  <c r="A128" i="16"/>
  <c r="AB127" i="16"/>
  <c r="K127" i="16"/>
  <c r="AK127" i="16"/>
  <c r="AC127" i="16"/>
  <c r="O127" i="16"/>
  <c r="X131" i="18"/>
  <c r="A132" i="18"/>
  <c r="AB131" i="18"/>
  <c r="AK131" i="18"/>
  <c r="L131" i="18"/>
  <c r="K131" i="18"/>
  <c r="AJ131" i="18"/>
  <c r="O131" i="18"/>
  <c r="AC131" i="18"/>
  <c r="X127" i="20"/>
  <c r="A128" i="20"/>
  <c r="L127" i="20"/>
  <c r="AK127" i="20"/>
  <c r="K127" i="20"/>
  <c r="AB127" i="20"/>
  <c r="AJ127" i="20"/>
  <c r="AC127" i="20"/>
  <c r="O127" i="20"/>
  <c r="T133" i="1"/>
  <c r="A129" i="17"/>
  <c r="K128" i="17"/>
  <c r="AJ128" i="17"/>
  <c r="AB128" i="17"/>
  <c r="L128" i="17"/>
  <c r="X128" i="17"/>
  <c r="AK128" i="17"/>
  <c r="O128" i="17"/>
  <c r="AC128" i="17"/>
  <c r="K126" i="22"/>
  <c r="AB126" i="22"/>
  <c r="AJ126" i="22"/>
  <c r="X126" i="22"/>
  <c r="A127" i="22"/>
  <c r="L126" i="22"/>
  <c r="AK126" i="22"/>
  <c r="AC126" i="22"/>
  <c r="O126" i="22"/>
  <c r="K124" i="24"/>
  <c r="L124" i="24"/>
  <c r="AJ124" i="24"/>
  <c r="X124" i="24"/>
  <c r="AB124" i="24"/>
  <c r="A125" i="24"/>
  <c r="AK124" i="24"/>
  <c r="AC124" i="24"/>
  <c r="O124" i="24"/>
  <c r="L125" i="24" l="1"/>
  <c r="A126" i="24"/>
  <c r="AJ125" i="24"/>
  <c r="X125" i="24"/>
  <c r="AB125" i="24"/>
  <c r="K125" i="24"/>
  <c r="AK125" i="24"/>
  <c r="AC125" i="24"/>
  <c r="O125" i="24"/>
  <c r="K127" i="22"/>
  <c r="X127" i="22"/>
  <c r="AJ127" i="22"/>
  <c r="AB127" i="22"/>
  <c r="A128" i="22"/>
  <c r="L127" i="22"/>
  <c r="AK127" i="22"/>
  <c r="AC127" i="22"/>
  <c r="O127" i="22"/>
  <c r="D128" i="17"/>
  <c r="A130" i="17"/>
  <c r="AB129" i="17"/>
  <c r="AJ129" i="17"/>
  <c r="K129" i="17"/>
  <c r="L129" i="17"/>
  <c r="X129" i="17"/>
  <c r="AK129" i="17"/>
  <c r="O129" i="17"/>
  <c r="AC129" i="17"/>
  <c r="L128" i="20"/>
  <c r="K128" i="20"/>
  <c r="AJ128" i="20"/>
  <c r="A129" i="20"/>
  <c r="X128" i="20"/>
  <c r="AB128" i="20"/>
  <c r="AK128" i="20"/>
  <c r="AC128" i="20"/>
  <c r="O128" i="20"/>
  <c r="X132" i="18"/>
  <c r="K132" i="18"/>
  <c r="AB132" i="18"/>
  <c r="AK132" i="18"/>
  <c r="A133" i="18"/>
  <c r="L132" i="18"/>
  <c r="AJ132" i="18"/>
  <c r="O132" i="18"/>
  <c r="AC132" i="18"/>
  <c r="L128" i="16"/>
  <c r="K128" i="16"/>
  <c r="A129" i="16"/>
  <c r="AK128" i="16"/>
  <c r="AB128" i="16"/>
  <c r="X128" i="16"/>
  <c r="AJ128" i="16"/>
  <c r="AC128" i="16"/>
  <c r="O128" i="16"/>
  <c r="D127" i="16"/>
  <c r="E127" i="16" s="1"/>
  <c r="D133" i="15"/>
  <c r="E133" i="15" s="1"/>
  <c r="T134" i="1"/>
  <c r="E128" i="17"/>
  <c r="S133" i="1"/>
  <c r="R133" i="1" s="1"/>
  <c r="P133" i="1" s="1"/>
  <c r="V133" i="1" s="1"/>
  <c r="AA133" i="1" s="1"/>
  <c r="Z133" i="1" s="1"/>
  <c r="Y133" i="1" s="1"/>
  <c r="AB134" i="15"/>
  <c r="L134" i="15"/>
  <c r="D134" i="15" s="1"/>
  <c r="X134" i="15"/>
  <c r="AJ134" i="15"/>
  <c r="A135" i="15"/>
  <c r="K134" i="15"/>
  <c r="AK134" i="15"/>
  <c r="AC134" i="15"/>
  <c r="O134" i="15"/>
  <c r="X135" i="1"/>
  <c r="K135" i="1"/>
  <c r="AB135" i="1"/>
  <c r="Q135" i="1"/>
  <c r="U135" i="1"/>
  <c r="L135" i="1"/>
  <c r="AJ135" i="1"/>
  <c r="AK135" i="1"/>
  <c r="A136" i="1"/>
  <c r="O135" i="1"/>
  <c r="AC135" i="1"/>
  <c r="A127" i="23"/>
  <c r="L126" i="23"/>
  <c r="AJ126" i="23"/>
  <c r="K126" i="23"/>
  <c r="AB126" i="23"/>
  <c r="X126" i="23"/>
  <c r="AK126" i="23"/>
  <c r="AC126" i="23"/>
  <c r="O126" i="23"/>
  <c r="X124" i="25"/>
  <c r="K124" i="25"/>
  <c r="AB124" i="25"/>
  <c r="AK124" i="25"/>
  <c r="A125" i="25"/>
  <c r="L124" i="25"/>
  <c r="AJ124" i="25"/>
  <c r="AC124" i="25"/>
  <c r="O124" i="25"/>
  <c r="E134" i="15" l="1"/>
  <c r="A128" i="23"/>
  <c r="L127" i="23"/>
  <c r="K127" i="23"/>
  <c r="AK127" i="23"/>
  <c r="X127" i="23"/>
  <c r="AB127" i="23"/>
  <c r="AJ127" i="23"/>
  <c r="AC127" i="23"/>
  <c r="O127" i="23"/>
  <c r="AB135" i="15"/>
  <c r="A136" i="15"/>
  <c r="AK135" i="15"/>
  <c r="L135" i="15"/>
  <c r="D135" i="15" s="1"/>
  <c r="X135" i="15"/>
  <c r="K135" i="15"/>
  <c r="AJ135" i="15"/>
  <c r="AC135" i="15"/>
  <c r="O135" i="15"/>
  <c r="S134" i="1"/>
  <c r="R134" i="1" s="1"/>
  <c r="P134" i="1" s="1"/>
  <c r="V134" i="1" s="1"/>
  <c r="AA134" i="1" s="1"/>
  <c r="Z134" i="1" s="1"/>
  <c r="Y134" i="1" s="1"/>
  <c r="K129" i="16"/>
  <c r="L129" i="16"/>
  <c r="AB129" i="16"/>
  <c r="AK129" i="16"/>
  <c r="A130" i="16"/>
  <c r="X129" i="16"/>
  <c r="AJ129" i="16"/>
  <c r="AC129" i="16"/>
  <c r="O129" i="16"/>
  <c r="D128" i="16"/>
  <c r="E128" i="16" s="1"/>
  <c r="K129" i="20"/>
  <c r="A130" i="20"/>
  <c r="L129" i="20"/>
  <c r="AK129" i="20"/>
  <c r="AB129" i="20"/>
  <c r="X129" i="20"/>
  <c r="AJ129" i="20"/>
  <c r="AC129" i="20"/>
  <c r="O129" i="20"/>
  <c r="D129" i="17"/>
  <c r="E129" i="17" s="1"/>
  <c r="K130" i="17"/>
  <c r="X130" i="17"/>
  <c r="L130" i="17"/>
  <c r="AK130" i="17"/>
  <c r="AB130" i="17"/>
  <c r="A131" i="17"/>
  <c r="AJ130" i="17"/>
  <c r="O130" i="17"/>
  <c r="AC130" i="17"/>
  <c r="X126" i="24"/>
  <c r="AB126" i="24"/>
  <c r="AJ126" i="24"/>
  <c r="A127" i="24"/>
  <c r="K126" i="24"/>
  <c r="L126" i="24"/>
  <c r="AK126" i="24"/>
  <c r="AC126" i="24"/>
  <c r="O126" i="24"/>
  <c r="K125" i="25"/>
  <c r="A126" i="25"/>
  <c r="X125" i="25"/>
  <c r="AK125" i="25"/>
  <c r="L125" i="25"/>
  <c r="AB125" i="25"/>
  <c r="AJ125" i="25"/>
  <c r="AC125" i="25"/>
  <c r="O125" i="25"/>
  <c r="AK136" i="1"/>
  <c r="X136" i="1"/>
  <c r="K136" i="1"/>
  <c r="L136" i="1"/>
  <c r="O136" i="1"/>
  <c r="AB136" i="1"/>
  <c r="Q136" i="1"/>
  <c r="A137" i="1"/>
  <c r="AJ136" i="1"/>
  <c r="U136" i="1"/>
  <c r="AC136" i="1"/>
  <c r="T135" i="1"/>
  <c r="X133" i="18"/>
  <c r="K133" i="18"/>
  <c r="L133" i="18"/>
  <c r="AK133" i="18"/>
  <c r="A134" i="18"/>
  <c r="AB133" i="18"/>
  <c r="AJ133" i="18"/>
  <c r="AC133" i="18"/>
  <c r="O133" i="18"/>
  <c r="L128" i="22"/>
  <c r="K128" i="22"/>
  <c r="AJ128" i="22"/>
  <c r="A129" i="22"/>
  <c r="AB128" i="22"/>
  <c r="X128" i="22"/>
  <c r="AK128" i="22"/>
  <c r="AC128" i="22"/>
  <c r="O128" i="22"/>
  <c r="E135" i="15" l="1"/>
  <c r="X129" i="22"/>
  <c r="AB129" i="22"/>
  <c r="AJ129" i="22"/>
  <c r="K129" i="22"/>
  <c r="A130" i="22"/>
  <c r="L129" i="22"/>
  <c r="AK129" i="22"/>
  <c r="AC129" i="22"/>
  <c r="O129" i="22"/>
  <c r="S135" i="1"/>
  <c r="R135" i="1" s="1"/>
  <c r="P135" i="1" s="1"/>
  <c r="V135" i="1" s="1"/>
  <c r="AA135" i="1" s="1"/>
  <c r="Z135" i="1" s="1"/>
  <c r="Y135" i="1" s="1"/>
  <c r="T136" i="1"/>
  <c r="AK137" i="1"/>
  <c r="Q137" i="1"/>
  <c r="AC137" i="1"/>
  <c r="AB137" i="1"/>
  <c r="AJ137" i="1"/>
  <c r="K137" i="1"/>
  <c r="L137" i="1"/>
  <c r="X137" i="1"/>
  <c r="A138" i="1"/>
  <c r="U137" i="1"/>
  <c r="O137" i="1"/>
  <c r="AB131" i="17"/>
  <c r="K131" i="17"/>
  <c r="X131" i="17"/>
  <c r="AK131" i="17"/>
  <c r="L131" i="17"/>
  <c r="D131" i="17" s="1"/>
  <c r="A132" i="17"/>
  <c r="AJ131" i="17"/>
  <c r="O131" i="17"/>
  <c r="AC131" i="17"/>
  <c r="K130" i="16"/>
  <c r="A131" i="16"/>
  <c r="AB130" i="16"/>
  <c r="AK130" i="16"/>
  <c r="X130" i="16"/>
  <c r="L130" i="16"/>
  <c r="AJ130" i="16"/>
  <c r="AC130" i="16"/>
  <c r="O130" i="16"/>
  <c r="L134" i="18"/>
  <c r="AB134" i="18"/>
  <c r="AJ134" i="18"/>
  <c r="A135" i="18"/>
  <c r="K134" i="18"/>
  <c r="X134" i="18"/>
  <c r="AK134" i="18"/>
  <c r="O134" i="18"/>
  <c r="AC134" i="18"/>
  <c r="A127" i="25"/>
  <c r="AB126" i="25"/>
  <c r="X126" i="25"/>
  <c r="AK126" i="25"/>
  <c r="L126" i="25"/>
  <c r="K126" i="25"/>
  <c r="AJ126" i="25"/>
  <c r="AC126" i="25"/>
  <c r="O126" i="25"/>
  <c r="X127" i="24"/>
  <c r="A128" i="24"/>
  <c r="AJ127" i="24"/>
  <c r="AB127" i="24"/>
  <c r="K127" i="24"/>
  <c r="L127" i="24"/>
  <c r="AK127" i="24"/>
  <c r="AC127" i="24"/>
  <c r="O127" i="24"/>
  <c r="D130" i="17"/>
  <c r="E130" i="17" s="1"/>
  <c r="AB130" i="20"/>
  <c r="K130" i="20"/>
  <c r="AJ130" i="20"/>
  <c r="X130" i="20"/>
  <c r="L130" i="20"/>
  <c r="A131" i="20"/>
  <c r="AK130" i="20"/>
  <c r="AC130" i="20"/>
  <c r="O130" i="20"/>
  <c r="D129" i="16"/>
  <c r="E129" i="16" s="1"/>
  <c r="K136" i="15"/>
  <c r="A137" i="15"/>
  <c r="AJ136" i="15"/>
  <c r="AK136" i="15"/>
  <c r="L136" i="15"/>
  <c r="X136" i="15"/>
  <c r="AB136" i="15"/>
  <c r="AC136" i="15"/>
  <c r="O136" i="15"/>
  <c r="AB128" i="23"/>
  <c r="X128" i="23"/>
  <c r="AJ128" i="23"/>
  <c r="A129" i="23"/>
  <c r="L128" i="23"/>
  <c r="K128" i="23"/>
  <c r="AK128" i="23"/>
  <c r="AC128" i="23"/>
  <c r="O128" i="23"/>
  <c r="L129" i="23" l="1"/>
  <c r="AB129" i="23"/>
  <c r="AJ129" i="23"/>
  <c r="X129" i="23"/>
  <c r="K129" i="23"/>
  <c r="A130" i="23"/>
  <c r="AK129" i="23"/>
  <c r="AC129" i="23"/>
  <c r="O129" i="23"/>
  <c r="X137" i="15"/>
  <c r="AB137" i="15"/>
  <c r="AC137" i="15"/>
  <c r="AK137" i="15"/>
  <c r="K137" i="15"/>
  <c r="L137" i="15"/>
  <c r="A138" i="15"/>
  <c r="AJ137" i="15"/>
  <c r="O137" i="15"/>
  <c r="A129" i="24"/>
  <c r="K128" i="24"/>
  <c r="L128" i="24"/>
  <c r="AK128" i="24"/>
  <c r="AB128" i="24"/>
  <c r="X128" i="24"/>
  <c r="AJ128" i="24"/>
  <c r="AC128" i="24"/>
  <c r="O128" i="24"/>
  <c r="AB127" i="25"/>
  <c r="L127" i="25"/>
  <c r="AJ127" i="25"/>
  <c r="A128" i="25"/>
  <c r="X127" i="25"/>
  <c r="K127" i="25"/>
  <c r="AK127" i="25"/>
  <c r="AC127" i="25"/>
  <c r="O127" i="25"/>
  <c r="L135" i="18"/>
  <c r="AB135" i="18"/>
  <c r="AJ135" i="18"/>
  <c r="A136" i="18"/>
  <c r="K135" i="18"/>
  <c r="X135" i="18"/>
  <c r="AK135" i="18"/>
  <c r="O135" i="18"/>
  <c r="AC135" i="18"/>
  <c r="A139" i="1"/>
  <c r="K138" i="1"/>
  <c r="X138" i="1"/>
  <c r="AB138" i="1"/>
  <c r="AC138" i="1"/>
  <c r="O138" i="1"/>
  <c r="L138" i="1"/>
  <c r="AK138" i="1"/>
  <c r="AJ138" i="1"/>
  <c r="Q138" i="1"/>
  <c r="U138" i="1"/>
  <c r="S136" i="1"/>
  <c r="R136" i="1" s="1"/>
  <c r="P136" i="1" s="1"/>
  <c r="V136" i="1" s="1"/>
  <c r="AA136" i="1" s="1"/>
  <c r="Z136" i="1" s="1"/>
  <c r="Y136" i="1" s="1"/>
  <c r="D136" i="15"/>
  <c r="E136" i="15" s="1"/>
  <c r="X131" i="20"/>
  <c r="A132" i="20"/>
  <c r="K131" i="20"/>
  <c r="AK131" i="20"/>
  <c r="AB131" i="20"/>
  <c r="L131" i="20"/>
  <c r="AJ131" i="20"/>
  <c r="AC131" i="20"/>
  <c r="O131" i="20"/>
  <c r="D130" i="16"/>
  <c r="E130" i="16" s="1"/>
  <c r="A132" i="16"/>
  <c r="K131" i="16"/>
  <c r="AJ131" i="16"/>
  <c r="X131" i="16"/>
  <c r="L131" i="16"/>
  <c r="AB131" i="16"/>
  <c r="AK131" i="16"/>
  <c r="AC131" i="16"/>
  <c r="O131" i="16"/>
  <c r="E131" i="17"/>
  <c r="AB132" i="17"/>
  <c r="X132" i="17"/>
  <c r="AJ132" i="17"/>
  <c r="K132" i="17"/>
  <c r="A133" i="17"/>
  <c r="L132" i="17"/>
  <c r="D132" i="17" s="1"/>
  <c r="AK132" i="17"/>
  <c r="O132" i="17"/>
  <c r="AC132" i="17"/>
  <c r="T137" i="1"/>
  <c r="AB130" i="22"/>
  <c r="K130" i="22"/>
  <c r="AJ130" i="22"/>
  <c r="X130" i="22"/>
  <c r="L130" i="22"/>
  <c r="A131" i="22"/>
  <c r="AK130" i="22"/>
  <c r="AC130" i="22"/>
  <c r="O130" i="22"/>
  <c r="E132" i="17" l="1"/>
  <c r="A132" i="22"/>
  <c r="L131" i="22"/>
  <c r="AJ131" i="22"/>
  <c r="AB131" i="22"/>
  <c r="K131" i="22"/>
  <c r="X131" i="22"/>
  <c r="AK131" i="22"/>
  <c r="AC131" i="22"/>
  <c r="O131" i="22"/>
  <c r="S137" i="1"/>
  <c r="R137" i="1" s="1"/>
  <c r="P137" i="1" s="1"/>
  <c r="V137" i="1" s="1"/>
  <c r="AA137" i="1" s="1"/>
  <c r="Z137" i="1" s="1"/>
  <c r="Y137" i="1" s="1"/>
  <c r="A133" i="20"/>
  <c r="L132" i="20"/>
  <c r="X132" i="20"/>
  <c r="AK132" i="20"/>
  <c r="AB132" i="20"/>
  <c r="K132" i="20"/>
  <c r="AJ132" i="20"/>
  <c r="AC132" i="20"/>
  <c r="O132" i="20"/>
  <c r="AB136" i="18"/>
  <c r="K136" i="18"/>
  <c r="L136" i="18"/>
  <c r="AK136" i="18"/>
  <c r="A137" i="18"/>
  <c r="X136" i="18"/>
  <c r="AJ136" i="18"/>
  <c r="O136" i="18"/>
  <c r="AC136" i="18"/>
  <c r="K128" i="25"/>
  <c r="A129" i="25"/>
  <c r="X128" i="25"/>
  <c r="AK128" i="25"/>
  <c r="L128" i="25"/>
  <c r="AB128" i="25"/>
  <c r="AJ128" i="25"/>
  <c r="AC128" i="25"/>
  <c r="O128" i="25"/>
  <c r="D137" i="15"/>
  <c r="E137" i="15" s="1"/>
  <c r="L133" i="17"/>
  <c r="D133" i="17" s="1"/>
  <c r="X133" i="17"/>
  <c r="AJ133" i="17"/>
  <c r="AB133" i="17"/>
  <c r="A134" i="17"/>
  <c r="K133" i="17"/>
  <c r="AK133" i="17"/>
  <c r="O133" i="17"/>
  <c r="AC133" i="17"/>
  <c r="D131" i="16"/>
  <c r="E131" i="16" s="1"/>
  <c r="X132" i="16"/>
  <c r="AB132" i="16"/>
  <c r="AJ132" i="16"/>
  <c r="A133" i="16"/>
  <c r="L132" i="16"/>
  <c r="K132" i="16"/>
  <c r="AK132" i="16"/>
  <c r="AC132" i="16"/>
  <c r="O132" i="16"/>
  <c r="T138" i="1"/>
  <c r="AJ139" i="1"/>
  <c r="AK139" i="1"/>
  <c r="X139" i="1"/>
  <c r="L139" i="1"/>
  <c r="K139" i="1"/>
  <c r="AB139" i="1"/>
  <c r="A140" i="1"/>
  <c r="Q139" i="1"/>
  <c r="U139" i="1"/>
  <c r="AC139" i="1"/>
  <c r="O139" i="1"/>
  <c r="AB129" i="24"/>
  <c r="K129" i="24"/>
  <c r="A130" i="24"/>
  <c r="AK129" i="24"/>
  <c r="L129" i="24"/>
  <c r="X129" i="24"/>
  <c r="AJ129" i="24"/>
  <c r="AC129" i="24"/>
  <c r="O129" i="24"/>
  <c r="AB138" i="15"/>
  <c r="A139" i="15"/>
  <c r="AJ138" i="15"/>
  <c r="X138" i="15"/>
  <c r="L138" i="15"/>
  <c r="D138" i="15" s="1"/>
  <c r="K138" i="15"/>
  <c r="AK138" i="15"/>
  <c r="AC138" i="15"/>
  <c r="O138" i="15"/>
  <c r="AB130" i="23"/>
  <c r="L130" i="23"/>
  <c r="AJ130" i="23"/>
  <c r="X130" i="23"/>
  <c r="K130" i="23"/>
  <c r="A131" i="23"/>
  <c r="AK130" i="23"/>
  <c r="AC130" i="23"/>
  <c r="O130" i="23"/>
  <c r="E138" i="15" l="1"/>
  <c r="AB139" i="15"/>
  <c r="A140" i="15"/>
  <c r="AJ139" i="15"/>
  <c r="X139" i="15"/>
  <c r="K139" i="15"/>
  <c r="L139" i="15"/>
  <c r="AK139" i="15"/>
  <c r="AC139" i="15"/>
  <c r="O139" i="15"/>
  <c r="T139" i="1"/>
  <c r="K140" i="1"/>
  <c r="AB140" i="1"/>
  <c r="X140" i="1"/>
  <c r="O140" i="1"/>
  <c r="U140" i="1"/>
  <c r="AC140" i="1"/>
  <c r="AK140" i="1"/>
  <c r="L140" i="1"/>
  <c r="AJ140" i="1"/>
  <c r="A141" i="1"/>
  <c r="Q140" i="1"/>
  <c r="S138" i="1"/>
  <c r="R138" i="1" s="1"/>
  <c r="P138" i="1" s="1"/>
  <c r="V138" i="1" s="1"/>
  <c r="AA138" i="1" s="1"/>
  <c r="Z138" i="1" s="1"/>
  <c r="Y138" i="1" s="1"/>
  <c r="L133" i="16"/>
  <c r="AB133" i="16"/>
  <c r="AJ133" i="16"/>
  <c r="K133" i="16"/>
  <c r="X133" i="16"/>
  <c r="A134" i="16"/>
  <c r="AK133" i="16"/>
  <c r="AC133" i="16"/>
  <c r="O133" i="16"/>
  <c r="AB134" i="17"/>
  <c r="X134" i="17"/>
  <c r="L134" i="17"/>
  <c r="D134" i="17" s="1"/>
  <c r="AK134" i="17"/>
  <c r="A135" i="17"/>
  <c r="K134" i="17"/>
  <c r="AJ134" i="17"/>
  <c r="O134" i="17"/>
  <c r="AC134" i="17"/>
  <c r="L129" i="25"/>
  <c r="X129" i="25"/>
  <c r="AJ129" i="25"/>
  <c r="AB129" i="25"/>
  <c r="K129" i="25"/>
  <c r="A130" i="25"/>
  <c r="AK129" i="25"/>
  <c r="AC129" i="25"/>
  <c r="O129" i="25"/>
  <c r="A138" i="18"/>
  <c r="K137" i="18"/>
  <c r="AJ137" i="18"/>
  <c r="AB137" i="18"/>
  <c r="L137" i="18"/>
  <c r="X137" i="18"/>
  <c r="AK137" i="18"/>
  <c r="O137" i="18"/>
  <c r="AC137" i="18"/>
  <c r="K133" i="20"/>
  <c r="X133" i="20"/>
  <c r="AJ133" i="20"/>
  <c r="A134" i="20"/>
  <c r="AB133" i="20"/>
  <c r="L133" i="20"/>
  <c r="AK133" i="20"/>
  <c r="AC133" i="20"/>
  <c r="O133" i="20"/>
  <c r="K131" i="23"/>
  <c r="L131" i="23"/>
  <c r="A132" i="23"/>
  <c r="AK131" i="23"/>
  <c r="X131" i="23"/>
  <c r="AB131" i="23"/>
  <c r="AJ131" i="23"/>
  <c r="AC131" i="23"/>
  <c r="O131" i="23"/>
  <c r="X130" i="24"/>
  <c r="AB130" i="24"/>
  <c r="L130" i="24"/>
  <c r="AK130" i="24"/>
  <c r="K130" i="24"/>
  <c r="A131" i="24"/>
  <c r="AJ130" i="24"/>
  <c r="AC130" i="24"/>
  <c r="O130" i="24"/>
  <c r="D132" i="16"/>
  <c r="E132" i="16" s="1"/>
  <c r="E133" i="17"/>
  <c r="K132" i="22"/>
  <c r="A133" i="22"/>
  <c r="AJ132" i="22"/>
  <c r="X132" i="22"/>
  <c r="AB132" i="22"/>
  <c r="L132" i="22"/>
  <c r="AK132" i="22"/>
  <c r="AC132" i="22"/>
  <c r="O132" i="22"/>
  <c r="AB133" i="22" l="1"/>
  <c r="K133" i="22"/>
  <c r="L133" i="22"/>
  <c r="AK133" i="22"/>
  <c r="A134" i="22"/>
  <c r="X133" i="22"/>
  <c r="AJ133" i="22"/>
  <c r="AC133" i="22"/>
  <c r="O133" i="22"/>
  <c r="AB131" i="24"/>
  <c r="L131" i="24"/>
  <c r="AJ131" i="24"/>
  <c r="X131" i="24"/>
  <c r="A132" i="24"/>
  <c r="K131" i="24"/>
  <c r="AK131" i="24"/>
  <c r="AC131" i="24"/>
  <c r="O131" i="24"/>
  <c r="L132" i="23"/>
  <c r="K132" i="23"/>
  <c r="AJ132" i="23"/>
  <c r="AB132" i="23"/>
  <c r="A133" i="23"/>
  <c r="X132" i="23"/>
  <c r="AK132" i="23"/>
  <c r="AC132" i="23"/>
  <c r="O132" i="23"/>
  <c r="K134" i="20"/>
  <c r="A135" i="20"/>
  <c r="AJ134" i="20"/>
  <c r="AB134" i="20"/>
  <c r="L134" i="20"/>
  <c r="X134" i="20"/>
  <c r="AK134" i="20"/>
  <c r="AC134" i="20"/>
  <c r="O134" i="20"/>
  <c r="E134" i="17"/>
  <c r="D133" i="16"/>
  <c r="E133" i="16" s="1"/>
  <c r="X141" i="1"/>
  <c r="AK141" i="1"/>
  <c r="A142" i="1"/>
  <c r="K141" i="1"/>
  <c r="L141" i="1"/>
  <c r="AJ141" i="1"/>
  <c r="Q141" i="1"/>
  <c r="AB141" i="1"/>
  <c r="U141" i="1"/>
  <c r="AC141" i="1"/>
  <c r="O141" i="1"/>
  <c r="X138" i="18"/>
  <c r="K138" i="18"/>
  <c r="A139" i="18"/>
  <c r="AK138" i="18"/>
  <c r="L138" i="18"/>
  <c r="AB138" i="18"/>
  <c r="AJ138" i="18"/>
  <c r="O138" i="18"/>
  <c r="AC138" i="18"/>
  <c r="K130" i="25"/>
  <c r="X130" i="25"/>
  <c r="L130" i="25"/>
  <c r="AK130" i="25"/>
  <c r="A131" i="25"/>
  <c r="AB130" i="25"/>
  <c r="AJ130" i="25"/>
  <c r="AC130" i="25"/>
  <c r="O130" i="25"/>
  <c r="L135" i="17"/>
  <c r="D135" i="17" s="1"/>
  <c r="K135" i="17"/>
  <c r="AJ135" i="17"/>
  <c r="A136" i="17"/>
  <c r="X135" i="17"/>
  <c r="AB135" i="17"/>
  <c r="AK135" i="17"/>
  <c r="O135" i="17"/>
  <c r="AC135" i="17"/>
  <c r="K134" i="16"/>
  <c r="AB134" i="16"/>
  <c r="X134" i="16"/>
  <c r="AK134" i="16"/>
  <c r="L134" i="16"/>
  <c r="A135" i="16"/>
  <c r="AJ134" i="16"/>
  <c r="AC134" i="16"/>
  <c r="O134" i="16"/>
  <c r="T140" i="1"/>
  <c r="S139" i="1"/>
  <c r="R139" i="1" s="1"/>
  <c r="P139" i="1" s="1"/>
  <c r="V139" i="1" s="1"/>
  <c r="AA139" i="1" s="1"/>
  <c r="Z139" i="1" s="1"/>
  <c r="Y139" i="1" s="1"/>
  <c r="D139" i="15"/>
  <c r="E139" i="15" s="1"/>
  <c r="X140" i="15"/>
  <c r="L140" i="15"/>
  <c r="D140" i="15" s="1"/>
  <c r="AK140" i="15"/>
  <c r="AC140" i="15"/>
  <c r="K140" i="15"/>
  <c r="AB140" i="15"/>
  <c r="A141" i="15"/>
  <c r="AJ140" i="15"/>
  <c r="O140" i="15"/>
  <c r="E140" i="15" l="1"/>
  <c r="K141" i="15"/>
  <c r="A142" i="15"/>
  <c r="X141" i="15"/>
  <c r="AJ141" i="15"/>
  <c r="L141" i="15"/>
  <c r="D141" i="15" s="1"/>
  <c r="AB141" i="15"/>
  <c r="AK141" i="15"/>
  <c r="AC141" i="15"/>
  <c r="O141" i="15"/>
  <c r="E141" i="15" s="1"/>
  <c r="D134" i="16"/>
  <c r="E134" i="16" s="1"/>
  <c r="E135" i="17"/>
  <c r="X136" i="17"/>
  <c r="L136" i="17"/>
  <c r="D136" i="17" s="1"/>
  <c r="A137" i="17"/>
  <c r="AK136" i="17"/>
  <c r="AB136" i="17"/>
  <c r="K136" i="17"/>
  <c r="AJ136" i="17"/>
  <c r="O136" i="17"/>
  <c r="E136" i="17" s="1"/>
  <c r="AC136" i="17"/>
  <c r="L131" i="25"/>
  <c r="X131" i="25"/>
  <c r="AJ131" i="25"/>
  <c r="A132" i="25"/>
  <c r="AB131" i="25"/>
  <c r="K131" i="25"/>
  <c r="AK131" i="25"/>
  <c r="AC131" i="25"/>
  <c r="O131" i="25"/>
  <c r="L135" i="20"/>
  <c r="A136" i="20"/>
  <c r="AJ135" i="20"/>
  <c r="AB135" i="20"/>
  <c r="K135" i="20"/>
  <c r="X135" i="20"/>
  <c r="AK135" i="20"/>
  <c r="AC135" i="20"/>
  <c r="O135" i="20"/>
  <c r="A134" i="23"/>
  <c r="K133" i="23"/>
  <c r="AJ133" i="23"/>
  <c r="X133" i="23"/>
  <c r="L133" i="23"/>
  <c r="AB133" i="23"/>
  <c r="AK133" i="23"/>
  <c r="AC133" i="23"/>
  <c r="O133" i="23"/>
  <c r="AB132" i="24"/>
  <c r="X132" i="24"/>
  <c r="L132" i="24"/>
  <c r="AK132" i="24"/>
  <c r="A133" i="24"/>
  <c r="K132" i="24"/>
  <c r="AJ132" i="24"/>
  <c r="AC132" i="24"/>
  <c r="O132" i="24"/>
  <c r="S140" i="1"/>
  <c r="R140" i="1" s="1"/>
  <c r="P140" i="1" s="1"/>
  <c r="V140" i="1" s="1"/>
  <c r="AA140" i="1" s="1"/>
  <c r="Z140" i="1" s="1"/>
  <c r="Y140" i="1" s="1"/>
  <c r="X135" i="16"/>
  <c r="L135" i="16"/>
  <c r="AJ135" i="16"/>
  <c r="AB135" i="16"/>
  <c r="K135" i="16"/>
  <c r="A136" i="16"/>
  <c r="AK135" i="16"/>
  <c r="AC135" i="16"/>
  <c r="O135" i="16"/>
  <c r="A140" i="18"/>
  <c r="AB139" i="18"/>
  <c r="X139" i="18"/>
  <c r="AK139" i="18"/>
  <c r="K139" i="18"/>
  <c r="L139" i="18"/>
  <c r="AJ139" i="18"/>
  <c r="O139" i="18"/>
  <c r="AC139" i="18"/>
  <c r="T141" i="1"/>
  <c r="AK142" i="1"/>
  <c r="AJ142" i="1"/>
  <c r="AB142" i="1"/>
  <c r="L142" i="1"/>
  <c r="U142" i="1"/>
  <c r="O142" i="1"/>
  <c r="A143" i="1"/>
  <c r="X142" i="1"/>
  <c r="AC142" i="1"/>
  <c r="Q142" i="1"/>
  <c r="K142" i="1"/>
  <c r="K134" i="22"/>
  <c r="A135" i="22"/>
  <c r="X134" i="22"/>
  <c r="AK134" i="22"/>
  <c r="L134" i="22"/>
  <c r="AB134" i="22"/>
  <c r="AJ134" i="22"/>
  <c r="AC134" i="22"/>
  <c r="O134" i="22"/>
  <c r="X135" i="22" l="1"/>
  <c r="AB135" i="22"/>
  <c r="L135" i="22"/>
  <c r="AK135" i="22"/>
  <c r="K135" i="22"/>
  <c r="A136" i="22"/>
  <c r="AJ135" i="22"/>
  <c r="AC135" i="22"/>
  <c r="O135" i="22"/>
  <c r="K140" i="18"/>
  <c r="A141" i="18"/>
  <c r="AJ140" i="18"/>
  <c r="X140" i="18"/>
  <c r="AB140" i="18"/>
  <c r="L140" i="18"/>
  <c r="AK140" i="18"/>
  <c r="O140" i="18"/>
  <c r="AC140" i="18"/>
  <c r="X136" i="16"/>
  <c r="A137" i="16"/>
  <c r="L136" i="16"/>
  <c r="AK136" i="16"/>
  <c r="AB136" i="16"/>
  <c r="K136" i="16"/>
  <c r="AJ136" i="16"/>
  <c r="AC136" i="16"/>
  <c r="O136" i="16"/>
  <c r="D135" i="16"/>
  <c r="E135" i="16" s="1"/>
  <c r="AB136" i="20"/>
  <c r="K136" i="20"/>
  <c r="A137" i="20"/>
  <c r="AK136" i="20"/>
  <c r="X136" i="20"/>
  <c r="L136" i="20"/>
  <c r="AJ136" i="20"/>
  <c r="AC136" i="20"/>
  <c r="O136" i="20"/>
  <c r="K137" i="17"/>
  <c r="L137" i="17"/>
  <c r="D137" i="17" s="1"/>
  <c r="AB137" i="17"/>
  <c r="AK137" i="17"/>
  <c r="X137" i="17"/>
  <c r="A138" i="17"/>
  <c r="AJ137" i="17"/>
  <c r="O137" i="17"/>
  <c r="E137" i="17" s="1"/>
  <c r="AC137" i="17"/>
  <c r="L142" i="15"/>
  <c r="D142" i="15" s="1"/>
  <c r="X142" i="15"/>
  <c r="AJ142" i="15"/>
  <c r="AK142" i="15"/>
  <c r="K142" i="15"/>
  <c r="A143" i="15"/>
  <c r="AB142" i="15"/>
  <c r="AC142" i="15"/>
  <c r="O142" i="15"/>
  <c r="E142" i="15" s="1"/>
  <c r="A144" i="1"/>
  <c r="K143" i="1"/>
  <c r="L143" i="1"/>
  <c r="AC143" i="1"/>
  <c r="Q143" i="1"/>
  <c r="X143" i="1"/>
  <c r="AK143" i="1"/>
  <c r="AJ143" i="1"/>
  <c r="AB143" i="1"/>
  <c r="U143" i="1"/>
  <c r="O143" i="1"/>
  <c r="T142" i="1"/>
  <c r="S141" i="1"/>
  <c r="R141" i="1" s="1"/>
  <c r="P141" i="1" s="1"/>
  <c r="V141" i="1" s="1"/>
  <c r="AA141" i="1" s="1"/>
  <c r="Z141" i="1" s="1"/>
  <c r="Y141" i="1" s="1"/>
  <c r="L133" i="24"/>
  <c r="A134" i="24"/>
  <c r="AJ133" i="24"/>
  <c r="X133" i="24"/>
  <c r="AB133" i="24"/>
  <c r="K133" i="24"/>
  <c r="AK133" i="24"/>
  <c r="AC133" i="24"/>
  <c r="O133" i="24"/>
  <c r="A135" i="23"/>
  <c r="X134" i="23"/>
  <c r="AJ134" i="23"/>
  <c r="AB134" i="23"/>
  <c r="L134" i="23"/>
  <c r="K134" i="23"/>
  <c r="AK134" i="23"/>
  <c r="AC134" i="23"/>
  <c r="O134" i="23"/>
  <c r="K132" i="25"/>
  <c r="X132" i="25"/>
  <c r="A133" i="25"/>
  <c r="AK132" i="25"/>
  <c r="AB132" i="25"/>
  <c r="L132" i="25"/>
  <c r="AJ132" i="25"/>
  <c r="AC132" i="25"/>
  <c r="O132" i="25"/>
  <c r="K134" i="24" l="1"/>
  <c r="L134" i="24"/>
  <c r="AJ134" i="24"/>
  <c r="X134" i="24"/>
  <c r="AB134" i="24"/>
  <c r="A135" i="24"/>
  <c r="AK134" i="24"/>
  <c r="AC134" i="24"/>
  <c r="O134" i="24"/>
  <c r="S142" i="1"/>
  <c r="R142" i="1" s="1"/>
  <c r="P142" i="1" s="1"/>
  <c r="V142" i="1" s="1"/>
  <c r="AA142" i="1" s="1"/>
  <c r="Z142" i="1" s="1"/>
  <c r="Y142" i="1" s="1"/>
  <c r="T143" i="1"/>
  <c r="K143" i="15"/>
  <c r="X143" i="15"/>
  <c r="AJ143" i="15"/>
  <c r="A144" i="15"/>
  <c r="L143" i="15"/>
  <c r="AB143" i="15"/>
  <c r="AK143" i="15"/>
  <c r="AC143" i="15"/>
  <c r="O143" i="15"/>
  <c r="K137" i="20"/>
  <c r="L137" i="20"/>
  <c r="AJ137" i="20"/>
  <c r="A138" i="20"/>
  <c r="AB137" i="20"/>
  <c r="X137" i="20"/>
  <c r="AK137" i="20"/>
  <c r="AC137" i="20"/>
  <c r="O137" i="20"/>
  <c r="X137" i="16"/>
  <c r="L137" i="16"/>
  <c r="A138" i="16"/>
  <c r="AK137" i="16"/>
  <c r="AB137" i="16"/>
  <c r="K137" i="16"/>
  <c r="AJ137" i="16"/>
  <c r="AC137" i="16"/>
  <c r="O137" i="16"/>
  <c r="X136" i="22"/>
  <c r="A137" i="22"/>
  <c r="AB136" i="22"/>
  <c r="AK136" i="22"/>
  <c r="L136" i="22"/>
  <c r="K136" i="22"/>
  <c r="AJ136" i="22"/>
  <c r="AC136" i="22"/>
  <c r="O136" i="22"/>
  <c r="K133" i="25"/>
  <c r="L133" i="25"/>
  <c r="AJ133" i="25"/>
  <c r="A134" i="25"/>
  <c r="AB133" i="25"/>
  <c r="X133" i="25"/>
  <c r="AK133" i="25"/>
  <c r="AC133" i="25"/>
  <c r="O133" i="25"/>
  <c r="K135" i="23"/>
  <c r="X135" i="23"/>
  <c r="AB135" i="23"/>
  <c r="AK135" i="23"/>
  <c r="L135" i="23"/>
  <c r="A136" i="23"/>
  <c r="AJ135" i="23"/>
  <c r="AC135" i="23"/>
  <c r="O135" i="23"/>
  <c r="X144" i="1"/>
  <c r="AJ144" i="1"/>
  <c r="Q144" i="1"/>
  <c r="K144" i="1"/>
  <c r="AC144" i="1"/>
  <c r="L144" i="1"/>
  <c r="A145" i="1"/>
  <c r="AK144" i="1"/>
  <c r="AB144" i="1"/>
  <c r="O144" i="1"/>
  <c r="U144" i="1"/>
  <c r="A139" i="17"/>
  <c r="L138" i="17"/>
  <c r="D138" i="17" s="1"/>
  <c r="AJ138" i="17"/>
  <c r="K138" i="17"/>
  <c r="X138" i="17"/>
  <c r="AB138" i="17"/>
  <c r="AK138" i="17"/>
  <c r="O138" i="17"/>
  <c r="AC138" i="17"/>
  <c r="E136" i="16"/>
  <c r="D136" i="16"/>
  <c r="K141" i="18"/>
  <c r="L141" i="18"/>
  <c r="AJ141" i="18"/>
  <c r="X141" i="18"/>
  <c r="AB141" i="18"/>
  <c r="A142" i="18"/>
  <c r="AK141" i="18"/>
  <c r="AC141" i="18"/>
  <c r="O141" i="18"/>
  <c r="E138" i="17" l="1"/>
  <c r="AB142" i="18"/>
  <c r="A143" i="18"/>
  <c r="X142" i="18"/>
  <c r="AK142" i="18"/>
  <c r="K142" i="18"/>
  <c r="L142" i="18"/>
  <c r="AJ142" i="18"/>
  <c r="O142" i="18"/>
  <c r="AC142" i="18"/>
  <c r="K139" i="17"/>
  <c r="AB139" i="17"/>
  <c r="AJ139" i="17"/>
  <c r="A140" i="17"/>
  <c r="L139" i="17"/>
  <c r="D139" i="17" s="1"/>
  <c r="X139" i="17"/>
  <c r="AK139" i="17"/>
  <c r="O139" i="17"/>
  <c r="AC139" i="17"/>
  <c r="L134" i="25"/>
  <c r="AB134" i="25"/>
  <c r="AJ134" i="25"/>
  <c r="K134" i="25"/>
  <c r="X134" i="25"/>
  <c r="A135" i="25"/>
  <c r="AK134" i="25"/>
  <c r="AC134" i="25"/>
  <c r="O134" i="25"/>
  <c r="AB137" i="22"/>
  <c r="A138" i="22"/>
  <c r="AJ137" i="22"/>
  <c r="X137" i="22"/>
  <c r="K137" i="22"/>
  <c r="L137" i="22"/>
  <c r="AK137" i="22"/>
  <c r="AC137" i="22"/>
  <c r="O137" i="22"/>
  <c r="A139" i="16"/>
  <c r="L138" i="16"/>
  <c r="K138" i="16"/>
  <c r="AK138" i="16"/>
  <c r="X138" i="16"/>
  <c r="AB138" i="16"/>
  <c r="AJ138" i="16"/>
  <c r="AC138" i="16"/>
  <c r="O138" i="16"/>
  <c r="K138" i="20"/>
  <c r="A139" i="20"/>
  <c r="AJ138" i="20"/>
  <c r="X138" i="20"/>
  <c r="AB138" i="20"/>
  <c r="L138" i="20"/>
  <c r="AK138" i="20"/>
  <c r="AC138" i="20"/>
  <c r="O138" i="20"/>
  <c r="K144" i="15"/>
  <c r="A145" i="15"/>
  <c r="X144" i="15"/>
  <c r="AC144" i="15"/>
  <c r="L144" i="15"/>
  <c r="D144" i="15" s="1"/>
  <c r="AB144" i="15"/>
  <c r="AJ144" i="15"/>
  <c r="AK144" i="15"/>
  <c r="O144" i="15"/>
  <c r="E144" i="15" s="1"/>
  <c r="T144" i="1"/>
  <c r="O145" i="1"/>
  <c r="K145" i="1"/>
  <c r="L145" i="1"/>
  <c r="Q145" i="1"/>
  <c r="AC145" i="1"/>
  <c r="A146" i="1"/>
  <c r="X145" i="1"/>
  <c r="AK145" i="1"/>
  <c r="AB145" i="1"/>
  <c r="AJ145" i="1"/>
  <c r="U145" i="1"/>
  <c r="K136" i="23"/>
  <c r="AB136" i="23"/>
  <c r="AJ136" i="23"/>
  <c r="L136" i="23"/>
  <c r="X136" i="23"/>
  <c r="A137" i="23"/>
  <c r="AK136" i="23"/>
  <c r="AC136" i="23"/>
  <c r="O136" i="23"/>
  <c r="D137" i="16"/>
  <c r="E137" i="16" s="1"/>
  <c r="D143" i="15"/>
  <c r="E143" i="15" s="1"/>
  <c r="S143" i="1"/>
  <c r="R143" i="1" s="1"/>
  <c r="P143" i="1" s="1"/>
  <c r="V143" i="1" s="1"/>
  <c r="AA143" i="1" s="1"/>
  <c r="Z143" i="1" s="1"/>
  <c r="Y143" i="1" s="1"/>
  <c r="AB135" i="24"/>
  <c r="X135" i="24"/>
  <c r="L135" i="24"/>
  <c r="AK135" i="24"/>
  <c r="A136" i="24"/>
  <c r="K135" i="24"/>
  <c r="AJ135" i="24"/>
  <c r="AC135" i="24"/>
  <c r="O135" i="24"/>
  <c r="E139" i="17" l="1"/>
  <c r="K137" i="23"/>
  <c r="AB137" i="23"/>
  <c r="AJ137" i="23"/>
  <c r="A138" i="23"/>
  <c r="L137" i="23"/>
  <c r="X137" i="23"/>
  <c r="AK137" i="23"/>
  <c r="AC137" i="23"/>
  <c r="O137" i="23"/>
  <c r="T145" i="1"/>
  <c r="S144" i="1"/>
  <c r="R144" i="1" s="1"/>
  <c r="P144" i="1" s="1"/>
  <c r="V144" i="1" s="1"/>
  <c r="AA144" i="1" s="1"/>
  <c r="Z144" i="1" s="1"/>
  <c r="Y144" i="1" s="1"/>
  <c r="K139" i="20"/>
  <c r="L139" i="20"/>
  <c r="AB139" i="20"/>
  <c r="AK139" i="20"/>
  <c r="A140" i="20"/>
  <c r="X139" i="20"/>
  <c r="AJ139" i="20"/>
  <c r="AC139" i="20"/>
  <c r="O139" i="20"/>
  <c r="AB139" i="16"/>
  <c r="K139" i="16"/>
  <c r="L139" i="16"/>
  <c r="AK139" i="16"/>
  <c r="X139" i="16"/>
  <c r="A140" i="16"/>
  <c r="AJ139" i="16"/>
  <c r="AC139" i="16"/>
  <c r="O139" i="16"/>
  <c r="AB138" i="22"/>
  <c r="K138" i="22"/>
  <c r="AJ138" i="22"/>
  <c r="A139" i="22"/>
  <c r="L138" i="22"/>
  <c r="X138" i="22"/>
  <c r="AK138" i="22"/>
  <c r="AC138" i="22"/>
  <c r="O138" i="22"/>
  <c r="AB143" i="18"/>
  <c r="L143" i="18"/>
  <c r="A144" i="18"/>
  <c r="AK143" i="18"/>
  <c r="K143" i="18"/>
  <c r="X143" i="18"/>
  <c r="AJ143" i="18"/>
  <c r="O143" i="18"/>
  <c r="AC143" i="18"/>
  <c r="X136" i="24"/>
  <c r="AB136" i="24"/>
  <c r="A137" i="24"/>
  <c r="AK136" i="24"/>
  <c r="K136" i="24"/>
  <c r="L136" i="24"/>
  <c r="AJ136" i="24"/>
  <c r="AC136" i="24"/>
  <c r="O136" i="24"/>
  <c r="AK146" i="1"/>
  <c r="A147" i="1"/>
  <c r="L146" i="1"/>
  <c r="Q146" i="1"/>
  <c r="O146" i="1"/>
  <c r="AB146" i="1"/>
  <c r="K146" i="1"/>
  <c r="AJ146" i="1"/>
  <c r="X146" i="1"/>
  <c r="U146" i="1"/>
  <c r="AC146" i="1"/>
  <c r="K145" i="15"/>
  <c r="L145" i="15"/>
  <c r="D145" i="15" s="1"/>
  <c r="AB145" i="15"/>
  <c r="AJ145" i="15"/>
  <c r="A146" i="15"/>
  <c r="X145" i="15"/>
  <c r="AK145" i="15"/>
  <c r="AC145" i="15"/>
  <c r="O145" i="15"/>
  <c r="D138" i="16"/>
  <c r="E138" i="16" s="1"/>
  <c r="AB135" i="25"/>
  <c r="L135" i="25"/>
  <c r="AJ135" i="25"/>
  <c r="A136" i="25"/>
  <c r="K135" i="25"/>
  <c r="X135" i="25"/>
  <c r="AK135" i="25"/>
  <c r="AC135" i="25"/>
  <c r="O135" i="25"/>
  <c r="A141" i="17"/>
  <c r="AB140" i="17"/>
  <c r="AJ140" i="17"/>
  <c r="X140" i="17"/>
  <c r="L140" i="17"/>
  <c r="D140" i="17" s="1"/>
  <c r="K140" i="17"/>
  <c r="AK140" i="17"/>
  <c r="O140" i="17"/>
  <c r="AC140" i="17"/>
  <c r="E140" i="17" l="1"/>
  <c r="E145" i="15"/>
  <c r="A142" i="17"/>
  <c r="X141" i="17"/>
  <c r="AB141" i="17"/>
  <c r="AK141" i="17"/>
  <c r="L141" i="17"/>
  <c r="K141" i="17"/>
  <c r="AJ141" i="17"/>
  <c r="O141" i="17"/>
  <c r="AC141" i="17"/>
  <c r="AB137" i="24"/>
  <c r="K137" i="24"/>
  <c r="L137" i="24"/>
  <c r="AK137" i="24"/>
  <c r="A138" i="24"/>
  <c r="X137" i="24"/>
  <c r="AJ137" i="24"/>
  <c r="AC137" i="24"/>
  <c r="O137" i="24"/>
  <c r="AB144" i="18"/>
  <c r="K144" i="18"/>
  <c r="AJ144" i="18"/>
  <c r="X144" i="18"/>
  <c r="L144" i="18"/>
  <c r="A145" i="18"/>
  <c r="AK144" i="18"/>
  <c r="AC144" i="18"/>
  <c r="O144" i="18"/>
  <c r="K139" i="22"/>
  <c r="X139" i="22"/>
  <c r="L139" i="22"/>
  <c r="AK139" i="22"/>
  <c r="AB139" i="22"/>
  <c r="A140" i="22"/>
  <c r="AJ139" i="22"/>
  <c r="AC139" i="22"/>
  <c r="O139" i="22"/>
  <c r="D139" i="16"/>
  <c r="E139" i="16" s="1"/>
  <c r="A141" i="20"/>
  <c r="K140" i="20"/>
  <c r="AB140" i="20"/>
  <c r="AK140" i="20"/>
  <c r="L140" i="20"/>
  <c r="X140" i="20"/>
  <c r="AJ140" i="20"/>
  <c r="AC140" i="20"/>
  <c r="O140" i="20"/>
  <c r="A137" i="25"/>
  <c r="K136" i="25"/>
  <c r="X136" i="25"/>
  <c r="AK136" i="25"/>
  <c r="AB136" i="25"/>
  <c r="L136" i="25"/>
  <c r="AJ136" i="25"/>
  <c r="AC136" i="25"/>
  <c r="O136" i="25"/>
  <c r="A147" i="15"/>
  <c r="AB146" i="15"/>
  <c r="X146" i="15"/>
  <c r="AK146" i="15"/>
  <c r="L146" i="15"/>
  <c r="K146" i="15"/>
  <c r="AJ146" i="15"/>
  <c r="AC146" i="15"/>
  <c r="O146" i="15"/>
  <c r="T146" i="1"/>
  <c r="X147" i="1"/>
  <c r="L147" i="1"/>
  <c r="A148" i="1"/>
  <c r="AC147" i="1"/>
  <c r="U147" i="1"/>
  <c r="AJ147" i="1"/>
  <c r="AB147" i="1"/>
  <c r="AK147" i="1"/>
  <c r="Q147" i="1"/>
  <c r="K147" i="1"/>
  <c r="O147" i="1"/>
  <c r="AB140" i="16"/>
  <c r="A141" i="16"/>
  <c r="AJ140" i="16"/>
  <c r="K140" i="16"/>
  <c r="X140" i="16"/>
  <c r="L140" i="16"/>
  <c r="AK140" i="16"/>
  <c r="AC140" i="16"/>
  <c r="O140" i="16"/>
  <c r="S145" i="1"/>
  <c r="R145" i="1" s="1"/>
  <c r="P145" i="1" s="1"/>
  <c r="V145" i="1" s="1"/>
  <c r="AA145" i="1" s="1"/>
  <c r="Z145" i="1" s="1"/>
  <c r="Y145" i="1" s="1"/>
  <c r="L138" i="23"/>
  <c r="K138" i="23"/>
  <c r="AJ138" i="23"/>
  <c r="AB138" i="23"/>
  <c r="A139" i="23"/>
  <c r="X138" i="23"/>
  <c r="AK138" i="23"/>
  <c r="AC138" i="23"/>
  <c r="O138" i="23"/>
  <c r="D140" i="16" l="1"/>
  <c r="X141" i="16"/>
  <c r="AB141" i="16"/>
  <c r="K141" i="16"/>
  <c r="AK141" i="16"/>
  <c r="L141" i="16"/>
  <c r="A142" i="16"/>
  <c r="AJ141" i="16"/>
  <c r="AC141" i="16"/>
  <c r="O141" i="16"/>
  <c r="T147" i="1"/>
  <c r="O148" i="1"/>
  <c r="AB148" i="1"/>
  <c r="AC148" i="1"/>
  <c r="AK148" i="1"/>
  <c r="Q148" i="1"/>
  <c r="K148" i="1"/>
  <c r="A149" i="1"/>
  <c r="X148" i="1"/>
  <c r="L148" i="1"/>
  <c r="AJ148" i="1"/>
  <c r="U148" i="1"/>
  <c r="S146" i="1"/>
  <c r="R146" i="1" s="1"/>
  <c r="P146" i="1" s="1"/>
  <c r="V146" i="1" s="1"/>
  <c r="AA146" i="1" s="1"/>
  <c r="Z146" i="1" s="1"/>
  <c r="Y146" i="1" s="1"/>
  <c r="L140" i="22"/>
  <c r="K140" i="22"/>
  <c r="AJ140" i="22"/>
  <c r="AB140" i="22"/>
  <c r="X140" i="22"/>
  <c r="A141" i="22"/>
  <c r="AK140" i="22"/>
  <c r="AC140" i="22"/>
  <c r="O140" i="22"/>
  <c r="D141" i="17"/>
  <c r="E141" i="17" s="1"/>
  <c r="AB142" i="17"/>
  <c r="A143" i="17"/>
  <c r="AJ142" i="17"/>
  <c r="X142" i="17"/>
  <c r="K142" i="17"/>
  <c r="L142" i="17"/>
  <c r="AK142" i="17"/>
  <c r="O142" i="17"/>
  <c r="AC142" i="17"/>
  <c r="X139" i="23"/>
  <c r="A140" i="23"/>
  <c r="L139" i="23"/>
  <c r="AK139" i="23"/>
  <c r="K139" i="23"/>
  <c r="AB139" i="23"/>
  <c r="AJ139" i="23"/>
  <c r="AC139" i="23"/>
  <c r="O139" i="23"/>
  <c r="E140" i="16"/>
  <c r="D146" i="15"/>
  <c r="E146" i="15" s="1"/>
  <c r="AB147" i="15"/>
  <c r="L147" i="15"/>
  <c r="AK147" i="15"/>
  <c r="AC147" i="15"/>
  <c r="K147" i="15"/>
  <c r="A148" i="15"/>
  <c r="X147" i="15"/>
  <c r="AJ147" i="15"/>
  <c r="O147" i="15"/>
  <c r="X137" i="25"/>
  <c r="AB137" i="25"/>
  <c r="AJ137" i="25"/>
  <c r="K137" i="25"/>
  <c r="A138" i="25"/>
  <c r="L137" i="25"/>
  <c r="AK137" i="25"/>
  <c r="AC137" i="25"/>
  <c r="O137" i="25"/>
  <c r="K141" i="20"/>
  <c r="L141" i="20"/>
  <c r="AJ141" i="20"/>
  <c r="X141" i="20"/>
  <c r="A142" i="20"/>
  <c r="AB141" i="20"/>
  <c r="AK141" i="20"/>
  <c r="AC141" i="20"/>
  <c r="O141" i="20"/>
  <c r="X145" i="18"/>
  <c r="L145" i="18"/>
  <c r="AJ145" i="18"/>
  <c r="A146" i="18"/>
  <c r="AB145" i="18"/>
  <c r="K145" i="18"/>
  <c r="AK145" i="18"/>
  <c r="O145" i="18"/>
  <c r="AC145" i="18"/>
  <c r="L138" i="24"/>
  <c r="X138" i="24"/>
  <c r="AJ138" i="24"/>
  <c r="A139" i="24"/>
  <c r="AB138" i="24"/>
  <c r="K138" i="24"/>
  <c r="AK138" i="24"/>
  <c r="AC138" i="24"/>
  <c r="O138" i="24"/>
  <c r="AB146" i="18" l="1"/>
  <c r="K146" i="18"/>
  <c r="L146" i="18"/>
  <c r="AK146" i="18"/>
  <c r="A147" i="18"/>
  <c r="X146" i="18"/>
  <c r="AJ146" i="18"/>
  <c r="O146" i="18"/>
  <c r="AC146" i="18"/>
  <c r="X148" i="15"/>
  <c r="A149" i="15"/>
  <c r="AK148" i="15"/>
  <c r="AC148" i="15"/>
  <c r="AB148" i="15"/>
  <c r="L148" i="15"/>
  <c r="K148" i="15"/>
  <c r="AJ148" i="15"/>
  <c r="O148" i="15"/>
  <c r="D147" i="15"/>
  <c r="T148" i="1"/>
  <c r="K149" i="1"/>
  <c r="O149" i="1"/>
  <c r="C24" i="7" s="1"/>
  <c r="AB149" i="1"/>
  <c r="L149" i="1"/>
  <c r="AJ149" i="1"/>
  <c r="U149" i="1"/>
  <c r="A24" i="7"/>
  <c r="AK149" i="1"/>
  <c r="A150" i="1"/>
  <c r="Q149" i="1"/>
  <c r="X149" i="1"/>
  <c r="AC149" i="1"/>
  <c r="S147" i="1"/>
  <c r="R147" i="1" s="1"/>
  <c r="P147" i="1" s="1"/>
  <c r="V147" i="1" s="1"/>
  <c r="AA147" i="1" s="1"/>
  <c r="Z147" i="1" s="1"/>
  <c r="Y147" i="1" s="1"/>
  <c r="A143" i="16"/>
  <c r="X142" i="16"/>
  <c r="AB142" i="16"/>
  <c r="AK142" i="16"/>
  <c r="L142" i="16"/>
  <c r="K142" i="16"/>
  <c r="AJ142" i="16"/>
  <c r="AC142" i="16"/>
  <c r="O142" i="16"/>
  <c r="AB139" i="24"/>
  <c r="L139" i="24"/>
  <c r="AJ139" i="24"/>
  <c r="A140" i="24"/>
  <c r="K139" i="24"/>
  <c r="X139" i="24"/>
  <c r="AK139" i="24"/>
  <c r="AC139" i="24"/>
  <c r="O139" i="24"/>
  <c r="K142" i="20"/>
  <c r="A143" i="20"/>
  <c r="AB142" i="20"/>
  <c r="AK142" i="20"/>
  <c r="L142" i="20"/>
  <c r="X142" i="20"/>
  <c r="AJ142" i="20"/>
  <c r="AC142" i="20"/>
  <c r="O142" i="20"/>
  <c r="L138" i="25"/>
  <c r="X138" i="25"/>
  <c r="AJ138" i="25"/>
  <c r="AB138" i="25"/>
  <c r="K138" i="25"/>
  <c r="A139" i="25"/>
  <c r="AK138" i="25"/>
  <c r="AC138" i="25"/>
  <c r="O138" i="25"/>
  <c r="E147" i="15"/>
  <c r="K140" i="23"/>
  <c r="L140" i="23"/>
  <c r="AJ140" i="23"/>
  <c r="A141" i="23"/>
  <c r="AB140" i="23"/>
  <c r="X140" i="23"/>
  <c r="AK140" i="23"/>
  <c r="AC140" i="23"/>
  <c r="O140" i="23"/>
  <c r="D142" i="17"/>
  <c r="E142" i="17" s="1"/>
  <c r="AB143" i="17"/>
  <c r="K143" i="17"/>
  <c r="A144" i="17"/>
  <c r="AK143" i="17"/>
  <c r="L143" i="17"/>
  <c r="X143" i="17"/>
  <c r="AJ143" i="17"/>
  <c r="O143" i="17"/>
  <c r="AC143" i="17"/>
  <c r="A142" i="22"/>
  <c r="AB141" i="22"/>
  <c r="X141" i="22"/>
  <c r="AK141" i="22"/>
  <c r="L141" i="22"/>
  <c r="K141" i="22"/>
  <c r="AJ141" i="22"/>
  <c r="AC141" i="22"/>
  <c r="O141" i="22"/>
  <c r="D141" i="16"/>
  <c r="E141" i="16" s="1"/>
  <c r="AB142" i="22" l="1"/>
  <c r="A143" i="22"/>
  <c r="L142" i="22"/>
  <c r="AK142" i="22"/>
  <c r="X142" i="22"/>
  <c r="K142" i="22"/>
  <c r="AJ142" i="22"/>
  <c r="AC142" i="22"/>
  <c r="O142" i="22"/>
  <c r="A142" i="23"/>
  <c r="X141" i="23"/>
  <c r="AJ141" i="23"/>
  <c r="AB141" i="23"/>
  <c r="K141" i="23"/>
  <c r="L141" i="23"/>
  <c r="AK141" i="23"/>
  <c r="AC141" i="23"/>
  <c r="O141" i="23"/>
  <c r="K139" i="25"/>
  <c r="L139" i="25"/>
  <c r="X139" i="25"/>
  <c r="AK139" i="25"/>
  <c r="A140" i="25"/>
  <c r="AB139" i="25"/>
  <c r="AJ139" i="25"/>
  <c r="AC139" i="25"/>
  <c r="O139" i="25"/>
  <c r="X143" i="20"/>
  <c r="AB143" i="20"/>
  <c r="A144" i="20"/>
  <c r="AK143" i="20"/>
  <c r="K143" i="20"/>
  <c r="L143" i="20"/>
  <c r="AJ143" i="20"/>
  <c r="AC143" i="20"/>
  <c r="O143" i="20"/>
  <c r="T149" i="1"/>
  <c r="B24" i="7"/>
  <c r="S148" i="1"/>
  <c r="R148" i="1" s="1"/>
  <c r="P148" i="1" s="1"/>
  <c r="V148" i="1" s="1"/>
  <c r="AA148" i="1" s="1"/>
  <c r="Z148" i="1" s="1"/>
  <c r="Y148" i="1" s="1"/>
  <c r="D143" i="17"/>
  <c r="E143" i="17" s="1"/>
  <c r="A145" i="17"/>
  <c r="K144" i="17"/>
  <c r="AB144" i="17"/>
  <c r="AK144" i="17"/>
  <c r="X144" i="17"/>
  <c r="L144" i="17"/>
  <c r="D144" i="17" s="1"/>
  <c r="AJ144" i="17"/>
  <c r="O144" i="17"/>
  <c r="E144" i="17" s="1"/>
  <c r="AC144" i="17"/>
  <c r="X140" i="24"/>
  <c r="L140" i="24"/>
  <c r="AJ140" i="24"/>
  <c r="K140" i="24"/>
  <c r="AB140" i="24"/>
  <c r="A141" i="24"/>
  <c r="AK140" i="24"/>
  <c r="AC140" i="24"/>
  <c r="O140" i="24"/>
  <c r="D142" i="16"/>
  <c r="E142" i="16" s="1"/>
  <c r="L143" i="16"/>
  <c r="K143" i="16"/>
  <c r="AB143" i="16"/>
  <c r="AK143" i="16"/>
  <c r="A144" i="16"/>
  <c r="X143" i="16"/>
  <c r="AJ143" i="16"/>
  <c r="AC143" i="16"/>
  <c r="O143" i="16"/>
  <c r="A151" i="1"/>
  <c r="L150" i="1"/>
  <c r="X150" i="1"/>
  <c r="K150" i="1"/>
  <c r="Q150" i="1"/>
  <c r="O150" i="1"/>
  <c r="AJ150" i="1"/>
  <c r="AB150" i="1"/>
  <c r="AK150" i="1"/>
  <c r="U150" i="1"/>
  <c r="AC150" i="1"/>
  <c r="D148" i="15"/>
  <c r="E148" i="15" s="1"/>
  <c r="K149" i="15"/>
  <c r="L149" i="15"/>
  <c r="A150" i="15"/>
  <c r="AJ149" i="15"/>
  <c r="AB149" i="15"/>
  <c r="X149" i="15"/>
  <c r="A36" i="7"/>
  <c r="AK149" i="15"/>
  <c r="AC149" i="15"/>
  <c r="O149" i="15"/>
  <c r="C36" i="7" s="1"/>
  <c r="K147" i="18"/>
  <c r="X147" i="18"/>
  <c r="AB147" i="18"/>
  <c r="AK147" i="18"/>
  <c r="L147" i="18"/>
  <c r="A148" i="18"/>
  <c r="AJ147" i="18"/>
  <c r="AC147" i="18"/>
  <c r="O147" i="18"/>
  <c r="AB150" i="15" l="1"/>
  <c r="X150" i="15"/>
  <c r="AJ150" i="15"/>
  <c r="AK150" i="15"/>
  <c r="L150" i="15"/>
  <c r="A151" i="15"/>
  <c r="K150" i="15"/>
  <c r="AC150" i="15"/>
  <c r="O150" i="15"/>
  <c r="T150" i="1"/>
  <c r="X144" i="16"/>
  <c r="L144" i="16"/>
  <c r="AB144" i="16"/>
  <c r="AK144" i="16"/>
  <c r="K144" i="16"/>
  <c r="A145" i="16"/>
  <c r="AJ144" i="16"/>
  <c r="AC144" i="16"/>
  <c r="O144" i="16"/>
  <c r="D143" i="16"/>
  <c r="E143" i="16" s="1"/>
  <c r="AB141" i="24"/>
  <c r="X141" i="24"/>
  <c r="AJ141" i="24"/>
  <c r="K141" i="24"/>
  <c r="L141" i="24"/>
  <c r="A142" i="24"/>
  <c r="AK141" i="24"/>
  <c r="AC141" i="24"/>
  <c r="O141" i="24"/>
  <c r="A141" i="25"/>
  <c r="X140" i="25"/>
  <c r="AJ140" i="25"/>
  <c r="AB140" i="25"/>
  <c r="K140" i="25"/>
  <c r="L140" i="25"/>
  <c r="AK140" i="25"/>
  <c r="AC140" i="25"/>
  <c r="O140" i="25"/>
  <c r="A149" i="18"/>
  <c r="X148" i="18"/>
  <c r="AJ148" i="18"/>
  <c r="K148" i="18"/>
  <c r="AB148" i="18"/>
  <c r="L148" i="18"/>
  <c r="AK148" i="18"/>
  <c r="O148" i="18"/>
  <c r="AC148" i="18"/>
  <c r="B36" i="7"/>
  <c r="D149" i="15"/>
  <c r="E149" i="15" s="1"/>
  <c r="AJ151" i="1"/>
  <c r="L151" i="1"/>
  <c r="K151" i="1"/>
  <c r="A152" i="1"/>
  <c r="U151" i="1"/>
  <c r="Q151" i="1"/>
  <c r="X151" i="1"/>
  <c r="AK151" i="1"/>
  <c r="AB151" i="1"/>
  <c r="O151" i="1"/>
  <c r="AC151" i="1"/>
  <c r="K145" i="17"/>
  <c r="L145" i="17"/>
  <c r="D145" i="17" s="1"/>
  <c r="X145" i="17"/>
  <c r="AK145" i="17"/>
  <c r="AB145" i="17"/>
  <c r="A146" i="17"/>
  <c r="AJ145" i="17"/>
  <c r="O145" i="17"/>
  <c r="E145" i="17" s="1"/>
  <c r="AC145" i="17"/>
  <c r="S149" i="1"/>
  <c r="R149" i="1" s="1"/>
  <c r="P149" i="1" s="1"/>
  <c r="X144" i="20"/>
  <c r="A145" i="20"/>
  <c r="AJ144" i="20"/>
  <c r="K144" i="20"/>
  <c r="L144" i="20"/>
  <c r="AB144" i="20"/>
  <c r="AK144" i="20"/>
  <c r="AC144" i="20"/>
  <c r="O144" i="20"/>
  <c r="A143" i="23"/>
  <c r="L142" i="23"/>
  <c r="X142" i="23"/>
  <c r="AK142" i="23"/>
  <c r="AB142" i="23"/>
  <c r="K142" i="23"/>
  <c r="AJ142" i="23"/>
  <c r="AC142" i="23"/>
  <c r="O142" i="23"/>
  <c r="X143" i="22"/>
  <c r="AB143" i="22"/>
  <c r="K143" i="22"/>
  <c r="AK143" i="22"/>
  <c r="A144" i="22"/>
  <c r="L143" i="22"/>
  <c r="AJ143" i="22"/>
  <c r="AC143" i="22"/>
  <c r="O143" i="22"/>
  <c r="D24" i="7" l="1"/>
  <c r="V149" i="1"/>
  <c r="AA149" i="1" s="1"/>
  <c r="Z149" i="1" s="1"/>
  <c r="Y149" i="1" s="1"/>
  <c r="K143" i="23"/>
  <c r="X143" i="23"/>
  <c r="AJ143" i="23"/>
  <c r="L143" i="23"/>
  <c r="A144" i="23"/>
  <c r="AB143" i="23"/>
  <c r="AK143" i="23"/>
  <c r="AC143" i="23"/>
  <c r="O143" i="23"/>
  <c r="T151" i="1"/>
  <c r="D150" i="15"/>
  <c r="E150" i="15" s="1"/>
  <c r="X144" i="22"/>
  <c r="AB144" i="22"/>
  <c r="L144" i="22"/>
  <c r="AK144" i="22"/>
  <c r="K144" i="22"/>
  <c r="A145" i="22"/>
  <c r="AJ144" i="22"/>
  <c r="AC144" i="22"/>
  <c r="O144" i="22"/>
  <c r="AB145" i="20"/>
  <c r="X145" i="20"/>
  <c r="K145" i="20"/>
  <c r="AK145" i="20"/>
  <c r="L145" i="20"/>
  <c r="A146" i="20"/>
  <c r="AJ145" i="20"/>
  <c r="AC145" i="20"/>
  <c r="O145" i="20"/>
  <c r="K146" i="17"/>
  <c r="L146" i="17"/>
  <c r="D146" i="17" s="1"/>
  <c r="X146" i="17"/>
  <c r="AK146" i="17"/>
  <c r="AB146" i="17"/>
  <c r="A147" i="17"/>
  <c r="AJ146" i="17"/>
  <c r="O146" i="17"/>
  <c r="E146" i="17" s="1"/>
  <c r="AC146" i="17"/>
  <c r="AC152" i="1"/>
  <c r="L152" i="1"/>
  <c r="A153" i="1"/>
  <c r="AJ152" i="1"/>
  <c r="Q152" i="1"/>
  <c r="U152" i="1"/>
  <c r="AB152" i="1"/>
  <c r="AK152" i="1"/>
  <c r="K152" i="1"/>
  <c r="X152" i="1"/>
  <c r="O152" i="1"/>
  <c r="A150" i="18"/>
  <c r="K149" i="18"/>
  <c r="AB149" i="18"/>
  <c r="AJ149" i="18"/>
  <c r="L149" i="18"/>
  <c r="A72" i="7"/>
  <c r="X149" i="18"/>
  <c r="AK149" i="18"/>
  <c r="O149" i="18"/>
  <c r="C72" i="7" s="1"/>
  <c r="AC149" i="18"/>
  <c r="X141" i="25"/>
  <c r="AB141" i="25"/>
  <c r="A142" i="25"/>
  <c r="AK141" i="25"/>
  <c r="K141" i="25"/>
  <c r="L141" i="25"/>
  <c r="AJ141" i="25"/>
  <c r="AC141" i="25"/>
  <c r="O141" i="25"/>
  <c r="AB142" i="24"/>
  <c r="L142" i="24"/>
  <c r="X142" i="24"/>
  <c r="AK142" i="24"/>
  <c r="K142" i="24"/>
  <c r="A143" i="24"/>
  <c r="AJ142" i="24"/>
  <c r="AC142" i="24"/>
  <c r="O142" i="24"/>
  <c r="L145" i="16"/>
  <c r="X145" i="16"/>
  <c r="K145" i="16"/>
  <c r="AK145" i="16"/>
  <c r="AB145" i="16"/>
  <c r="A146" i="16"/>
  <c r="AJ145" i="16"/>
  <c r="AC145" i="16"/>
  <c r="O145" i="16"/>
  <c r="D144" i="16"/>
  <c r="E144" i="16" s="1"/>
  <c r="S150" i="1"/>
  <c r="R150" i="1" s="1"/>
  <c r="P150" i="1" s="1"/>
  <c r="V150" i="1" s="1"/>
  <c r="AA150" i="1" s="1"/>
  <c r="Z150" i="1" s="1"/>
  <c r="Y150" i="1" s="1"/>
  <c r="K151" i="15"/>
  <c r="X151" i="15"/>
  <c r="AB151" i="15"/>
  <c r="AK151" i="15"/>
  <c r="A152" i="15"/>
  <c r="L151" i="15"/>
  <c r="AJ151" i="15"/>
  <c r="AC151" i="15"/>
  <c r="O151" i="15"/>
  <c r="X152" i="15" l="1"/>
  <c r="L152" i="15"/>
  <c r="D152" i="15" s="1"/>
  <c r="AB152" i="15"/>
  <c r="AK152" i="15"/>
  <c r="K152" i="15"/>
  <c r="A153" i="15"/>
  <c r="AC152" i="15"/>
  <c r="AJ152" i="15"/>
  <c r="O152" i="15"/>
  <c r="K146" i="16"/>
  <c r="AB146" i="16"/>
  <c r="X146" i="16"/>
  <c r="AK146" i="16"/>
  <c r="L146" i="16"/>
  <c r="A147" i="16"/>
  <c r="AJ146" i="16"/>
  <c r="AC146" i="16"/>
  <c r="O146" i="16"/>
  <c r="B72" i="7"/>
  <c r="A151" i="18"/>
  <c r="AB150" i="18"/>
  <c r="AJ150" i="18"/>
  <c r="K150" i="18"/>
  <c r="X150" i="18"/>
  <c r="L150" i="18"/>
  <c r="AK150" i="18"/>
  <c r="AC150" i="18"/>
  <c r="O150" i="18"/>
  <c r="A154" i="1"/>
  <c r="X153" i="1"/>
  <c r="L153" i="1"/>
  <c r="AJ153" i="1"/>
  <c r="Q153" i="1"/>
  <c r="O153" i="1"/>
  <c r="AK153" i="1"/>
  <c r="AB153" i="1"/>
  <c r="K153" i="1"/>
  <c r="U153" i="1"/>
  <c r="AC153" i="1"/>
  <c r="K147" i="17"/>
  <c r="X147" i="17"/>
  <c r="AB147" i="17"/>
  <c r="AK147" i="17"/>
  <c r="L147" i="17"/>
  <c r="A148" i="17"/>
  <c r="AJ147" i="17"/>
  <c r="O147" i="17"/>
  <c r="AC147" i="17"/>
  <c r="X146" i="20"/>
  <c r="L146" i="20"/>
  <c r="AJ146" i="20"/>
  <c r="A147" i="20"/>
  <c r="K146" i="20"/>
  <c r="AB146" i="20"/>
  <c r="AK146" i="20"/>
  <c r="AC146" i="20"/>
  <c r="O146" i="20"/>
  <c r="S151" i="1"/>
  <c r="R151" i="1" s="1"/>
  <c r="P151" i="1" s="1"/>
  <c r="V151" i="1" s="1"/>
  <c r="AA151" i="1" s="1"/>
  <c r="Z151" i="1" s="1"/>
  <c r="Y151" i="1" s="1"/>
  <c r="K144" i="23"/>
  <c r="X144" i="23"/>
  <c r="AJ144" i="23"/>
  <c r="A145" i="23"/>
  <c r="AB144" i="23"/>
  <c r="L144" i="23"/>
  <c r="AK144" i="23"/>
  <c r="AC144" i="23"/>
  <c r="O144" i="23"/>
  <c r="D151" i="15"/>
  <c r="E151" i="15" s="1"/>
  <c r="D145" i="16"/>
  <c r="E145" i="16" s="1"/>
  <c r="A144" i="24"/>
  <c r="L143" i="24"/>
  <c r="AJ143" i="24"/>
  <c r="X143" i="24"/>
  <c r="AB143" i="24"/>
  <c r="K143" i="24"/>
  <c r="AK143" i="24"/>
  <c r="AC143" i="24"/>
  <c r="O143" i="24"/>
  <c r="AB142" i="25"/>
  <c r="K142" i="25"/>
  <c r="L142" i="25"/>
  <c r="AK142" i="25"/>
  <c r="X142" i="25"/>
  <c r="A143" i="25"/>
  <c r="AJ142" i="25"/>
  <c r="AC142" i="25"/>
  <c r="O142" i="25"/>
  <c r="T152" i="1"/>
  <c r="L145" i="22"/>
  <c r="K145" i="22"/>
  <c r="AJ145" i="22"/>
  <c r="X145" i="22"/>
  <c r="A146" i="22"/>
  <c r="AB145" i="22"/>
  <c r="AK145" i="22"/>
  <c r="AC145" i="22"/>
  <c r="O145" i="22"/>
  <c r="E152" i="15" l="1"/>
  <c r="AB143" i="25"/>
  <c r="K143" i="25"/>
  <c r="AJ143" i="25"/>
  <c r="X143" i="25"/>
  <c r="L143" i="25"/>
  <c r="A144" i="25"/>
  <c r="AK143" i="25"/>
  <c r="AC143" i="25"/>
  <c r="O143" i="25"/>
  <c r="L147" i="20"/>
  <c r="K147" i="20"/>
  <c r="AJ147" i="20"/>
  <c r="A148" i="20"/>
  <c r="AB147" i="20"/>
  <c r="X147" i="20"/>
  <c r="AK147" i="20"/>
  <c r="AC147" i="20"/>
  <c r="O147" i="20"/>
  <c r="D147" i="17"/>
  <c r="E147" i="17" s="1"/>
  <c r="X154" i="1"/>
  <c r="AJ154" i="1"/>
  <c r="AK154" i="1"/>
  <c r="Q154" i="1"/>
  <c r="AC154" i="1"/>
  <c r="A155" i="1"/>
  <c r="AB154" i="1"/>
  <c r="L154" i="1"/>
  <c r="K154" i="1"/>
  <c r="U154" i="1"/>
  <c r="O154" i="1"/>
  <c r="K147" i="16"/>
  <c r="X147" i="16"/>
  <c r="L147" i="16"/>
  <c r="AK147" i="16"/>
  <c r="A148" i="16"/>
  <c r="AB147" i="16"/>
  <c r="AJ147" i="16"/>
  <c r="AC147" i="16"/>
  <c r="O147" i="16"/>
  <c r="S152" i="1"/>
  <c r="R152" i="1" s="1"/>
  <c r="P152" i="1" s="1"/>
  <c r="V152" i="1" s="1"/>
  <c r="AA152" i="1" s="1"/>
  <c r="Z152" i="1" s="1"/>
  <c r="Y152" i="1" s="1"/>
  <c r="L146" i="22"/>
  <c r="X146" i="22"/>
  <c r="AJ146" i="22"/>
  <c r="AB146" i="22"/>
  <c r="A147" i="22"/>
  <c r="K146" i="22"/>
  <c r="AK146" i="22"/>
  <c r="AC146" i="22"/>
  <c r="O146" i="22"/>
  <c r="A145" i="24"/>
  <c r="K144" i="24"/>
  <c r="AB144" i="24"/>
  <c r="AK144" i="24"/>
  <c r="L144" i="24"/>
  <c r="X144" i="24"/>
  <c r="AJ144" i="24"/>
  <c r="AC144" i="24"/>
  <c r="O144" i="24"/>
  <c r="X145" i="23"/>
  <c r="A146" i="23"/>
  <c r="L145" i="23"/>
  <c r="AK145" i="23"/>
  <c r="AB145" i="23"/>
  <c r="K145" i="23"/>
  <c r="AJ145" i="23"/>
  <c r="AC145" i="23"/>
  <c r="O145" i="23"/>
  <c r="AB148" i="17"/>
  <c r="L148" i="17"/>
  <c r="AJ148" i="17"/>
  <c r="K148" i="17"/>
  <c r="X148" i="17"/>
  <c r="A149" i="17"/>
  <c r="AK148" i="17"/>
  <c r="O148" i="17"/>
  <c r="AC148" i="17"/>
  <c r="T153" i="1"/>
  <c r="AB151" i="18"/>
  <c r="X151" i="18"/>
  <c r="L151" i="18"/>
  <c r="AK151" i="18"/>
  <c r="K151" i="18"/>
  <c r="A152" i="18"/>
  <c r="AJ151" i="18"/>
  <c r="O151" i="18"/>
  <c r="AC151" i="18"/>
  <c r="D146" i="16"/>
  <c r="E146" i="16" s="1"/>
  <c r="AB153" i="15"/>
  <c r="K153" i="15"/>
  <c r="X153" i="15"/>
  <c r="AK153" i="15"/>
  <c r="L153" i="15"/>
  <c r="D153" i="15" s="1"/>
  <c r="A154" i="15"/>
  <c r="AC153" i="15"/>
  <c r="AJ153" i="15"/>
  <c r="O153" i="15"/>
  <c r="E153" i="15" l="1"/>
  <c r="X146" i="23"/>
  <c r="A147" i="23"/>
  <c r="AJ146" i="23"/>
  <c r="K146" i="23"/>
  <c r="L146" i="23"/>
  <c r="AB146" i="23"/>
  <c r="AK146" i="23"/>
  <c r="AC146" i="23"/>
  <c r="O146" i="23"/>
  <c r="AB147" i="22"/>
  <c r="K147" i="22"/>
  <c r="AJ147" i="22"/>
  <c r="A148" i="22"/>
  <c r="X147" i="22"/>
  <c r="L147" i="22"/>
  <c r="AK147" i="22"/>
  <c r="AC147" i="22"/>
  <c r="O147" i="22"/>
  <c r="X148" i="20"/>
  <c r="L148" i="20"/>
  <c r="AJ148" i="20"/>
  <c r="AB148" i="20"/>
  <c r="A149" i="20"/>
  <c r="K148" i="20"/>
  <c r="AK148" i="20"/>
  <c r="AC148" i="20"/>
  <c r="O148" i="20"/>
  <c r="X144" i="25"/>
  <c r="K144" i="25"/>
  <c r="L144" i="25"/>
  <c r="AK144" i="25"/>
  <c r="AB144" i="25"/>
  <c r="A145" i="25"/>
  <c r="AJ144" i="25"/>
  <c r="AC144" i="25"/>
  <c r="O144" i="25"/>
  <c r="X154" i="15"/>
  <c r="L154" i="15"/>
  <c r="D154" i="15" s="1"/>
  <c r="A155" i="15"/>
  <c r="AC154" i="15"/>
  <c r="K154" i="15"/>
  <c r="AB154" i="15"/>
  <c r="AK154" i="15"/>
  <c r="AJ154" i="15"/>
  <c r="O154" i="15"/>
  <c r="A153" i="18"/>
  <c r="X152" i="18"/>
  <c r="L152" i="18"/>
  <c r="AK152" i="18"/>
  <c r="K152" i="18"/>
  <c r="AB152" i="18"/>
  <c r="AJ152" i="18"/>
  <c r="O152" i="18"/>
  <c r="AC152" i="18"/>
  <c r="S153" i="1"/>
  <c r="R153" i="1" s="1"/>
  <c r="P153" i="1" s="1"/>
  <c r="V153" i="1" s="1"/>
  <c r="AA153" i="1" s="1"/>
  <c r="Z153" i="1" s="1"/>
  <c r="Y153" i="1" s="1"/>
  <c r="L149" i="17"/>
  <c r="A150" i="17"/>
  <c r="X149" i="17"/>
  <c r="AK149" i="17"/>
  <c r="K149" i="17"/>
  <c r="A60" i="7"/>
  <c r="AB149" i="17"/>
  <c r="AJ149" i="17"/>
  <c r="O149" i="17"/>
  <c r="C60" i="7" s="1"/>
  <c r="AC149" i="17"/>
  <c r="D148" i="17"/>
  <c r="E148" i="17" s="1"/>
  <c r="L145" i="24"/>
  <c r="X145" i="24"/>
  <c r="AJ145" i="24"/>
  <c r="A146" i="24"/>
  <c r="K145" i="24"/>
  <c r="AB145" i="24"/>
  <c r="AK145" i="24"/>
  <c r="AC145" i="24"/>
  <c r="O145" i="24"/>
  <c r="L148" i="16"/>
  <c r="AB148" i="16"/>
  <c r="AJ148" i="16"/>
  <c r="K148" i="16"/>
  <c r="X148" i="16"/>
  <c r="A149" i="16"/>
  <c r="AK148" i="16"/>
  <c r="AC148" i="16"/>
  <c r="O148" i="16"/>
  <c r="D147" i="16"/>
  <c r="E147" i="16" s="1"/>
  <c r="T154" i="1"/>
  <c r="L155" i="1"/>
  <c r="A156" i="1"/>
  <c r="K155" i="1"/>
  <c r="AB155" i="1"/>
  <c r="U155" i="1"/>
  <c r="AK155" i="1"/>
  <c r="X155" i="1"/>
  <c r="AJ155" i="1"/>
  <c r="Q155" i="1"/>
  <c r="AC155" i="1"/>
  <c r="O155" i="1"/>
  <c r="E154" i="15" l="1"/>
  <c r="S154" i="1"/>
  <c r="R154" i="1" s="1"/>
  <c r="P154" i="1" s="1"/>
  <c r="V154" i="1" s="1"/>
  <c r="AA154" i="1" s="1"/>
  <c r="Z154" i="1" s="1"/>
  <c r="Y154" i="1" s="1"/>
  <c r="L149" i="16"/>
  <c r="A150" i="16"/>
  <c r="A48" i="7"/>
  <c r="AJ149" i="16"/>
  <c r="X149" i="16"/>
  <c r="K149" i="16"/>
  <c r="AB149" i="16"/>
  <c r="AK149" i="16"/>
  <c r="AC149" i="16"/>
  <c r="O149" i="16"/>
  <c r="C48" i="7" s="1"/>
  <c r="AB150" i="17"/>
  <c r="L150" i="17"/>
  <c r="K150" i="17"/>
  <c r="AK150" i="17"/>
  <c r="X150" i="17"/>
  <c r="A151" i="17"/>
  <c r="AJ150" i="17"/>
  <c r="O150" i="17"/>
  <c r="AC150" i="17"/>
  <c r="T155" i="1"/>
  <c r="X156" i="1"/>
  <c r="AB156" i="1"/>
  <c r="A157" i="1"/>
  <c r="Q156" i="1"/>
  <c r="L156" i="1"/>
  <c r="K156" i="1"/>
  <c r="AJ156" i="1"/>
  <c r="AC156" i="1"/>
  <c r="O156" i="1"/>
  <c r="AK156" i="1"/>
  <c r="U156" i="1"/>
  <c r="D148" i="16"/>
  <c r="E148" i="16" s="1"/>
  <c r="X146" i="24"/>
  <c r="AB146" i="24"/>
  <c r="A147" i="24"/>
  <c r="AK146" i="24"/>
  <c r="K146" i="24"/>
  <c r="L146" i="24"/>
  <c r="AJ146" i="24"/>
  <c r="AC146" i="24"/>
  <c r="O146" i="24"/>
  <c r="D149" i="17"/>
  <c r="E149" i="17" s="1"/>
  <c r="B60" i="7"/>
  <c r="K153" i="18"/>
  <c r="L153" i="18"/>
  <c r="AJ153" i="18"/>
  <c r="AB153" i="18"/>
  <c r="X153" i="18"/>
  <c r="A154" i="18"/>
  <c r="AK153" i="18"/>
  <c r="O153" i="18"/>
  <c r="AC153" i="18"/>
  <c r="L155" i="15"/>
  <c r="K155" i="15"/>
  <c r="AJ155" i="15"/>
  <c r="AK155" i="15"/>
  <c r="X155" i="15"/>
  <c r="A156" i="15"/>
  <c r="AB155" i="15"/>
  <c r="AC155" i="15"/>
  <c r="O155" i="15"/>
  <c r="X145" i="25"/>
  <c r="A146" i="25"/>
  <c r="K145" i="25"/>
  <c r="AK145" i="25"/>
  <c r="L145" i="25"/>
  <c r="AB145" i="25"/>
  <c r="AJ145" i="25"/>
  <c r="AC145" i="25"/>
  <c r="O145" i="25"/>
  <c r="K149" i="20"/>
  <c r="A150" i="20"/>
  <c r="X149" i="20"/>
  <c r="AJ149" i="20"/>
  <c r="AE24" i="7"/>
  <c r="L149" i="20"/>
  <c r="AB149" i="20"/>
  <c r="AK149" i="20"/>
  <c r="AC149" i="20"/>
  <c r="O149" i="20"/>
  <c r="AG24" i="7" s="1"/>
  <c r="X148" i="22"/>
  <c r="AB148" i="22"/>
  <c r="AJ148" i="22"/>
  <c r="K148" i="22"/>
  <c r="L148" i="22"/>
  <c r="A149" i="22"/>
  <c r="AK148" i="22"/>
  <c r="AC148" i="22"/>
  <c r="O148" i="22"/>
  <c r="X147" i="23"/>
  <c r="AB147" i="23"/>
  <c r="A148" i="23"/>
  <c r="AK147" i="23"/>
  <c r="L147" i="23"/>
  <c r="K147" i="23"/>
  <c r="AJ147" i="23"/>
  <c r="AC147" i="23"/>
  <c r="O147" i="23"/>
  <c r="L148" i="23" l="1"/>
  <c r="X148" i="23"/>
  <c r="AJ148" i="23"/>
  <c r="A149" i="23"/>
  <c r="AB148" i="23"/>
  <c r="K148" i="23"/>
  <c r="AK148" i="23"/>
  <c r="AC148" i="23"/>
  <c r="O148" i="23"/>
  <c r="A150" i="22"/>
  <c r="AE36" i="7"/>
  <c r="K149" i="22"/>
  <c r="AK149" i="22"/>
  <c r="AB149" i="22"/>
  <c r="L149" i="22"/>
  <c r="X149" i="22"/>
  <c r="AJ149" i="22"/>
  <c r="AC149" i="22"/>
  <c r="O149" i="22"/>
  <c r="AG36" i="7" s="1"/>
  <c r="AF24" i="7"/>
  <c r="K150" i="20"/>
  <c r="X150" i="20"/>
  <c r="AB150" i="20"/>
  <c r="AK150" i="20"/>
  <c r="L150" i="20"/>
  <c r="A151" i="20"/>
  <c r="AJ150" i="20"/>
  <c r="AC150" i="20"/>
  <c r="O150" i="20"/>
  <c r="K146" i="25"/>
  <c r="X146" i="25"/>
  <c r="AJ146" i="25"/>
  <c r="AB146" i="25"/>
  <c r="A147" i="25"/>
  <c r="L146" i="25"/>
  <c r="AK146" i="25"/>
  <c r="AC146" i="25"/>
  <c r="O146" i="25"/>
  <c r="D155" i="15"/>
  <c r="E155" i="15" s="1"/>
  <c r="X150" i="16"/>
  <c r="K150" i="16"/>
  <c r="AJ150" i="16"/>
  <c r="L150" i="16"/>
  <c r="AB150" i="16"/>
  <c r="A151" i="16"/>
  <c r="AK150" i="16"/>
  <c r="AC150" i="16"/>
  <c r="O150" i="16"/>
  <c r="X156" i="15"/>
  <c r="K156" i="15"/>
  <c r="AJ156" i="15"/>
  <c r="AC156" i="15"/>
  <c r="L156" i="15"/>
  <c r="D156" i="15" s="1"/>
  <c r="A157" i="15"/>
  <c r="AB156" i="15"/>
  <c r="AK156" i="15"/>
  <c r="O156" i="15"/>
  <c r="E156" i="15" s="1"/>
  <c r="K154" i="18"/>
  <c r="L154" i="18"/>
  <c r="AB154" i="18"/>
  <c r="AK154" i="18"/>
  <c r="X154" i="18"/>
  <c r="A155" i="18"/>
  <c r="AJ154" i="18"/>
  <c r="AC154" i="18"/>
  <c r="O154" i="18"/>
  <c r="K147" i="24"/>
  <c r="L147" i="24"/>
  <c r="A148" i="24"/>
  <c r="AK147" i="24"/>
  <c r="X147" i="24"/>
  <c r="AB147" i="24"/>
  <c r="AJ147" i="24"/>
  <c r="AC147" i="24"/>
  <c r="O147" i="24"/>
  <c r="T156" i="1"/>
  <c r="AJ157" i="1"/>
  <c r="AK157" i="1"/>
  <c r="L157" i="1"/>
  <c r="K157" i="1"/>
  <c r="U157" i="1"/>
  <c r="AB157" i="1"/>
  <c r="A158" i="1"/>
  <c r="Q157" i="1"/>
  <c r="AC157" i="1"/>
  <c r="X157" i="1"/>
  <c r="O157" i="1"/>
  <c r="S155" i="1"/>
  <c r="R155" i="1" s="1"/>
  <c r="P155" i="1" s="1"/>
  <c r="V155" i="1" s="1"/>
  <c r="AA155" i="1" s="1"/>
  <c r="Z155" i="1" s="1"/>
  <c r="Y155" i="1" s="1"/>
  <c r="AB151" i="17"/>
  <c r="X151" i="17"/>
  <c r="AJ151" i="17"/>
  <c r="A152" i="17"/>
  <c r="K151" i="17"/>
  <c r="L151" i="17"/>
  <c r="D151" i="17" s="1"/>
  <c r="AK151" i="17"/>
  <c r="O151" i="17"/>
  <c r="AC151" i="17"/>
  <c r="D150" i="17"/>
  <c r="E150" i="17" s="1"/>
  <c r="B48" i="7"/>
  <c r="D149" i="16"/>
  <c r="E149" i="16" s="1"/>
  <c r="E151" i="17" l="1"/>
  <c r="K152" i="17"/>
  <c r="L152" i="17"/>
  <c r="D152" i="17" s="1"/>
  <c r="AB152" i="17"/>
  <c r="AK152" i="17"/>
  <c r="A153" i="17"/>
  <c r="X152" i="17"/>
  <c r="AJ152" i="17"/>
  <c r="O152" i="17"/>
  <c r="E152" i="17" s="1"/>
  <c r="AC152" i="17"/>
  <c r="K148" i="24"/>
  <c r="L148" i="24"/>
  <c r="AJ148" i="24"/>
  <c r="A149" i="24"/>
  <c r="X148" i="24"/>
  <c r="AB148" i="24"/>
  <c r="AK148" i="24"/>
  <c r="AC148" i="24"/>
  <c r="O148" i="24"/>
  <c r="L151" i="16"/>
  <c r="X151" i="16"/>
  <c r="K151" i="16"/>
  <c r="AK151" i="16"/>
  <c r="A152" i="16"/>
  <c r="AB151" i="16"/>
  <c r="AJ151" i="16"/>
  <c r="AC151" i="16"/>
  <c r="O151" i="16"/>
  <c r="D150" i="16"/>
  <c r="AB147" i="25"/>
  <c r="L147" i="25"/>
  <c r="AJ147" i="25"/>
  <c r="X147" i="25"/>
  <c r="K147" i="25"/>
  <c r="A148" i="25"/>
  <c r="AK147" i="25"/>
  <c r="AC147" i="25"/>
  <c r="O147" i="25"/>
  <c r="A152" i="20"/>
  <c r="L151" i="20"/>
  <c r="K151" i="20"/>
  <c r="AK151" i="20"/>
  <c r="X151" i="20"/>
  <c r="AB151" i="20"/>
  <c r="AJ151" i="20"/>
  <c r="AC151" i="20"/>
  <c r="O151" i="20"/>
  <c r="AF36" i="7"/>
  <c r="AK158" i="1"/>
  <c r="O158" i="1"/>
  <c r="AB158" i="1"/>
  <c r="L158" i="1"/>
  <c r="K158" i="1"/>
  <c r="U158" i="1"/>
  <c r="AJ158" i="1"/>
  <c r="A159" i="1"/>
  <c r="Q158" i="1"/>
  <c r="AC158" i="1"/>
  <c r="X158" i="1"/>
  <c r="T157" i="1"/>
  <c r="S156" i="1"/>
  <c r="R156" i="1" s="1"/>
  <c r="P156" i="1"/>
  <c r="V156" i="1" s="1"/>
  <c r="AA156" i="1" s="1"/>
  <c r="Z156" i="1" s="1"/>
  <c r="Y156" i="1" s="1"/>
  <c r="A156" i="18"/>
  <c r="L155" i="18"/>
  <c r="AJ155" i="18"/>
  <c r="K155" i="18"/>
  <c r="AB155" i="18"/>
  <c r="X155" i="18"/>
  <c r="AK155" i="18"/>
  <c r="O155" i="18"/>
  <c r="AC155" i="18"/>
  <c r="A158" i="15"/>
  <c r="K157" i="15"/>
  <c r="AC157" i="15"/>
  <c r="AK157" i="15"/>
  <c r="L157" i="15"/>
  <c r="D157" i="15" s="1"/>
  <c r="X157" i="15"/>
  <c r="AB157" i="15"/>
  <c r="AJ157" i="15"/>
  <c r="O157" i="15"/>
  <c r="E150" i="16"/>
  <c r="K150" i="22"/>
  <c r="X150" i="22"/>
  <c r="AB150" i="22"/>
  <c r="AK150" i="22"/>
  <c r="L150" i="22"/>
  <c r="A151" i="22"/>
  <c r="AJ150" i="22"/>
  <c r="AC150" i="22"/>
  <c r="O150" i="22"/>
  <c r="L149" i="23"/>
  <c r="X149" i="23"/>
  <c r="AB149" i="23"/>
  <c r="AK149" i="23"/>
  <c r="AE48" i="7"/>
  <c r="A150" i="23"/>
  <c r="K149" i="23"/>
  <c r="AJ149" i="23"/>
  <c r="AC149" i="23"/>
  <c r="O149" i="23"/>
  <c r="AG48" i="7" s="1"/>
  <c r="E157" i="15" l="1"/>
  <c r="AF48" i="7"/>
  <c r="AB158" i="15"/>
  <c r="K158" i="15"/>
  <c r="A159" i="15"/>
  <c r="AC158" i="15"/>
  <c r="L158" i="15"/>
  <c r="D158" i="15" s="1"/>
  <c r="X158" i="15"/>
  <c r="AJ158" i="15"/>
  <c r="AK158" i="15"/>
  <c r="O158" i="15"/>
  <c r="E158" i="15" s="1"/>
  <c r="AB152" i="16"/>
  <c r="X152" i="16"/>
  <c r="A153" i="16"/>
  <c r="AK152" i="16"/>
  <c r="K152" i="16"/>
  <c r="L152" i="16"/>
  <c r="AJ152" i="16"/>
  <c r="AC152" i="16"/>
  <c r="O152" i="16"/>
  <c r="D151" i="16"/>
  <c r="E151" i="16" s="1"/>
  <c r="AE60" i="7"/>
  <c r="A150" i="24"/>
  <c r="K149" i="24"/>
  <c r="AJ149" i="24"/>
  <c r="AB149" i="24"/>
  <c r="L149" i="24"/>
  <c r="X149" i="24"/>
  <c r="AK149" i="24"/>
  <c r="AC149" i="24"/>
  <c r="O149" i="24"/>
  <c r="AG60" i="7" s="1"/>
  <c r="A152" i="22"/>
  <c r="L151" i="22"/>
  <c r="K151" i="22"/>
  <c r="AK151" i="22"/>
  <c r="X151" i="22"/>
  <c r="AB151" i="22"/>
  <c r="AJ151" i="22"/>
  <c r="AC151" i="22"/>
  <c r="O151" i="22"/>
  <c r="AB150" i="23"/>
  <c r="L150" i="23"/>
  <c r="K150" i="23"/>
  <c r="AK150" i="23"/>
  <c r="X150" i="23"/>
  <c r="A151" i="23"/>
  <c r="AJ150" i="23"/>
  <c r="AC150" i="23"/>
  <c r="O150" i="23"/>
  <c r="L156" i="18"/>
  <c r="AB156" i="18"/>
  <c r="AJ156" i="18"/>
  <c r="X156" i="18"/>
  <c r="A157" i="18"/>
  <c r="K156" i="18"/>
  <c r="AK156" i="18"/>
  <c r="O156" i="18"/>
  <c r="AC156" i="18"/>
  <c r="S157" i="1"/>
  <c r="R157" i="1" s="1"/>
  <c r="P157" i="1" s="1"/>
  <c r="V157" i="1" s="1"/>
  <c r="AA157" i="1" s="1"/>
  <c r="Z157" i="1" s="1"/>
  <c r="Y157" i="1" s="1"/>
  <c r="AB159" i="1"/>
  <c r="A160" i="1"/>
  <c r="K159" i="1"/>
  <c r="O159" i="1"/>
  <c r="U159" i="1"/>
  <c r="AC159" i="1"/>
  <c r="AJ159" i="1"/>
  <c r="X159" i="1"/>
  <c r="Q159" i="1"/>
  <c r="L159" i="1"/>
  <c r="AK159" i="1"/>
  <c r="T158" i="1"/>
  <c r="AB152" i="20"/>
  <c r="L152" i="20"/>
  <c r="AJ152" i="20"/>
  <c r="A153" i="20"/>
  <c r="K152" i="20"/>
  <c r="X152" i="20"/>
  <c r="AK152" i="20"/>
  <c r="AC152" i="20"/>
  <c r="O152" i="20"/>
  <c r="L148" i="25"/>
  <c r="X148" i="25"/>
  <c r="AJ148" i="25"/>
  <c r="AB148" i="25"/>
  <c r="K148" i="25"/>
  <c r="A149" i="25"/>
  <c r="AK148" i="25"/>
  <c r="AC148" i="25"/>
  <c r="O148" i="25"/>
  <c r="X153" i="17"/>
  <c r="L153" i="17"/>
  <c r="D153" i="17" s="1"/>
  <c r="AJ153" i="17"/>
  <c r="AB153" i="17"/>
  <c r="A154" i="17"/>
  <c r="K153" i="17"/>
  <c r="AK153" i="17"/>
  <c r="O153" i="17"/>
  <c r="AC153" i="17"/>
  <c r="E153" i="17" l="1"/>
  <c r="A155" i="17"/>
  <c r="L154" i="17"/>
  <c r="D154" i="17" s="1"/>
  <c r="AJ154" i="17"/>
  <c r="AB154" i="17"/>
  <c r="K154" i="17"/>
  <c r="X154" i="17"/>
  <c r="AK154" i="17"/>
  <c r="O154" i="17"/>
  <c r="E154" i="17" s="1"/>
  <c r="AC154" i="17"/>
  <c r="X149" i="25"/>
  <c r="AE72" i="7"/>
  <c r="L149" i="25"/>
  <c r="AJ149" i="25"/>
  <c r="A150" i="25"/>
  <c r="AB149" i="25"/>
  <c r="K149" i="25"/>
  <c r="AK149" i="25"/>
  <c r="AC149" i="25"/>
  <c r="O149" i="25"/>
  <c r="AG72" i="7" s="1"/>
  <c r="T159" i="1"/>
  <c r="A152" i="23"/>
  <c r="K151" i="23"/>
  <c r="L151" i="23"/>
  <c r="AK151" i="23"/>
  <c r="AB151" i="23"/>
  <c r="X151" i="23"/>
  <c r="AJ151" i="23"/>
  <c r="AC151" i="23"/>
  <c r="O151" i="23"/>
  <c r="X152" i="22"/>
  <c r="AB152" i="22"/>
  <c r="A153" i="22"/>
  <c r="AK152" i="22"/>
  <c r="K152" i="22"/>
  <c r="L152" i="22"/>
  <c r="AJ152" i="22"/>
  <c r="AC152" i="22"/>
  <c r="O152" i="22"/>
  <c r="AF60" i="7"/>
  <c r="AB150" i="24"/>
  <c r="A151" i="24"/>
  <c r="L150" i="24"/>
  <c r="AK150" i="24"/>
  <c r="X150" i="24"/>
  <c r="K150" i="24"/>
  <c r="AJ150" i="24"/>
  <c r="AC150" i="24"/>
  <c r="O150" i="24"/>
  <c r="A154" i="16"/>
  <c r="X153" i="16"/>
  <c r="AJ153" i="16"/>
  <c r="AB153" i="16"/>
  <c r="L153" i="16"/>
  <c r="K153" i="16"/>
  <c r="AK153" i="16"/>
  <c r="AC153" i="16"/>
  <c r="O153" i="16"/>
  <c r="L159" i="15"/>
  <c r="X159" i="15"/>
  <c r="AB159" i="15"/>
  <c r="AK159" i="15"/>
  <c r="A160" i="15"/>
  <c r="K159" i="15"/>
  <c r="AJ159" i="15"/>
  <c r="AC159" i="15"/>
  <c r="O159" i="15"/>
  <c r="A154" i="20"/>
  <c r="AB153" i="20"/>
  <c r="AJ153" i="20"/>
  <c r="X153" i="20"/>
  <c r="L153" i="20"/>
  <c r="K153" i="20"/>
  <c r="AK153" i="20"/>
  <c r="AC153" i="20"/>
  <c r="O153" i="20"/>
  <c r="S158" i="1"/>
  <c r="R158" i="1" s="1"/>
  <c r="P158" i="1" s="1"/>
  <c r="V158" i="1" s="1"/>
  <c r="AA158" i="1" s="1"/>
  <c r="Z158" i="1" s="1"/>
  <c r="Y158" i="1" s="1"/>
  <c r="X160" i="1"/>
  <c r="AB160" i="1"/>
  <c r="A161" i="1"/>
  <c r="O160" i="1"/>
  <c r="L160" i="1"/>
  <c r="U160" i="1"/>
  <c r="K160" i="1"/>
  <c r="AJ160" i="1"/>
  <c r="AC160" i="1"/>
  <c r="Q160" i="1"/>
  <c r="AK160" i="1"/>
  <c r="L157" i="18"/>
  <c r="AB157" i="18"/>
  <c r="AJ157" i="18"/>
  <c r="X157" i="18"/>
  <c r="A158" i="18"/>
  <c r="K157" i="18"/>
  <c r="AK157" i="18"/>
  <c r="O157" i="18"/>
  <c r="AC157" i="18"/>
  <c r="D152" i="16"/>
  <c r="E152" i="16" s="1"/>
  <c r="AC161" i="1" l="1"/>
  <c r="L161" i="1"/>
  <c r="A162" i="1"/>
  <c r="AK161" i="1"/>
  <c r="U161" i="1"/>
  <c r="O161" i="1"/>
  <c r="AB161" i="1"/>
  <c r="AJ161" i="1"/>
  <c r="Q161" i="1"/>
  <c r="K161" i="1"/>
  <c r="X161" i="1"/>
  <c r="L151" i="24"/>
  <c r="X151" i="24"/>
  <c r="AJ151" i="24"/>
  <c r="A152" i="24"/>
  <c r="AB151" i="24"/>
  <c r="K151" i="24"/>
  <c r="AK151" i="24"/>
  <c r="AC151" i="24"/>
  <c r="O151" i="24"/>
  <c r="AB153" i="22"/>
  <c r="L153" i="22"/>
  <c r="AJ153" i="22"/>
  <c r="X153" i="22"/>
  <c r="K153" i="22"/>
  <c r="A154" i="22"/>
  <c r="AK153" i="22"/>
  <c r="AC153" i="22"/>
  <c r="O153" i="22"/>
  <c r="A153" i="23"/>
  <c r="X152" i="23"/>
  <c r="AJ152" i="23"/>
  <c r="K152" i="23"/>
  <c r="AB152" i="23"/>
  <c r="L152" i="23"/>
  <c r="AK152" i="23"/>
  <c r="AC152" i="23"/>
  <c r="O152" i="23"/>
  <c r="S159" i="1"/>
  <c r="R159" i="1" s="1"/>
  <c r="P159" i="1" s="1"/>
  <c r="V159" i="1" s="1"/>
  <c r="AA159" i="1" s="1"/>
  <c r="Z159" i="1" s="1"/>
  <c r="Y159" i="1" s="1"/>
  <c r="AB150" i="25"/>
  <c r="A151" i="25"/>
  <c r="X150" i="25"/>
  <c r="AK150" i="25"/>
  <c r="L150" i="25"/>
  <c r="K150" i="25"/>
  <c r="AJ150" i="25"/>
  <c r="AC150" i="25"/>
  <c r="O150" i="25"/>
  <c r="AF72" i="7"/>
  <c r="A156" i="17"/>
  <c r="L155" i="17"/>
  <c r="D155" i="17" s="1"/>
  <c r="AJ155" i="17"/>
  <c r="AB155" i="17"/>
  <c r="K155" i="17"/>
  <c r="X155" i="17"/>
  <c r="AK155" i="17"/>
  <c r="O155" i="17"/>
  <c r="E155" i="17" s="1"/>
  <c r="AC155" i="17"/>
  <c r="L158" i="18"/>
  <c r="A159" i="18"/>
  <c r="K158" i="18"/>
  <c r="AK158" i="18"/>
  <c r="AB158" i="18"/>
  <c r="X158" i="18"/>
  <c r="AJ158" i="18"/>
  <c r="AC158" i="18"/>
  <c r="O158" i="18"/>
  <c r="T160" i="1"/>
  <c r="X154" i="20"/>
  <c r="K154" i="20"/>
  <c r="AB154" i="20"/>
  <c r="AK154" i="20"/>
  <c r="L154" i="20"/>
  <c r="A155" i="20"/>
  <c r="AJ154" i="20"/>
  <c r="AC154" i="20"/>
  <c r="O154" i="20"/>
  <c r="K160" i="15"/>
  <c r="A161" i="15"/>
  <c r="L160" i="15"/>
  <c r="D160" i="15" s="1"/>
  <c r="AK160" i="15"/>
  <c r="AB160" i="15"/>
  <c r="X160" i="15"/>
  <c r="AJ160" i="15"/>
  <c r="AC160" i="15"/>
  <c r="O160" i="15"/>
  <c r="E160" i="15" s="1"/>
  <c r="D159" i="15"/>
  <c r="E159" i="15" s="1"/>
  <c r="D153" i="16"/>
  <c r="E153" i="16" s="1"/>
  <c r="A155" i="16"/>
  <c r="AB154" i="16"/>
  <c r="K154" i="16"/>
  <c r="AK154" i="16"/>
  <c r="X154" i="16"/>
  <c r="L154" i="16"/>
  <c r="AJ154" i="16"/>
  <c r="AC154" i="16"/>
  <c r="O154" i="16"/>
  <c r="D154" i="16" l="1"/>
  <c r="E154" i="16" s="1"/>
  <c r="AB154" i="22"/>
  <c r="K154" i="22"/>
  <c r="AJ154" i="22"/>
  <c r="A155" i="22"/>
  <c r="X154" i="22"/>
  <c r="L154" i="22"/>
  <c r="AK154" i="22"/>
  <c r="AC154" i="22"/>
  <c r="O154" i="22"/>
  <c r="K152" i="24"/>
  <c r="X152" i="24"/>
  <c r="A153" i="24"/>
  <c r="AK152" i="24"/>
  <c r="AB152" i="24"/>
  <c r="L152" i="24"/>
  <c r="AJ152" i="24"/>
  <c r="AC152" i="24"/>
  <c r="O152" i="24"/>
  <c r="T161" i="1"/>
  <c r="AB162" i="1"/>
  <c r="AK162" i="1"/>
  <c r="L162" i="1"/>
  <c r="K162" i="1"/>
  <c r="Q162" i="1"/>
  <c r="O162" i="1"/>
  <c r="AC162" i="1"/>
  <c r="A163" i="1"/>
  <c r="AJ162" i="1"/>
  <c r="X162" i="1"/>
  <c r="U162" i="1"/>
  <c r="K155" i="16"/>
  <c r="X155" i="16"/>
  <c r="AJ155" i="16"/>
  <c r="L155" i="16"/>
  <c r="AB155" i="16"/>
  <c r="A156" i="16"/>
  <c r="AK155" i="16"/>
  <c r="AC155" i="16"/>
  <c r="O155" i="16"/>
  <c r="X161" i="15"/>
  <c r="L161" i="15"/>
  <c r="D161" i="15" s="1"/>
  <c r="AC161" i="15"/>
  <c r="AK161" i="15"/>
  <c r="A162" i="15"/>
  <c r="K161" i="15"/>
  <c r="AB161" i="15"/>
  <c r="AJ161" i="15"/>
  <c r="O161" i="15"/>
  <c r="L155" i="20"/>
  <c r="AB155" i="20"/>
  <c r="AJ155" i="20"/>
  <c r="X155" i="20"/>
  <c r="A156" i="20"/>
  <c r="K155" i="20"/>
  <c r="AK155" i="20"/>
  <c r="AC155" i="20"/>
  <c r="O155" i="20"/>
  <c r="S160" i="1"/>
  <c r="R160" i="1" s="1"/>
  <c r="P160" i="1" s="1"/>
  <c r="V160" i="1" s="1"/>
  <c r="AA160" i="1" s="1"/>
  <c r="Z160" i="1" s="1"/>
  <c r="Y160" i="1" s="1"/>
  <c r="X159" i="18"/>
  <c r="AB159" i="18"/>
  <c r="A160" i="18"/>
  <c r="AK159" i="18"/>
  <c r="L159" i="18"/>
  <c r="K159" i="18"/>
  <c r="AJ159" i="18"/>
  <c r="O159" i="18"/>
  <c r="AC159" i="18"/>
  <c r="X156" i="17"/>
  <c r="A157" i="17"/>
  <c r="K156" i="17"/>
  <c r="AK156" i="17"/>
  <c r="AB156" i="17"/>
  <c r="L156" i="17"/>
  <c r="AJ156" i="17"/>
  <c r="O156" i="17"/>
  <c r="AC156" i="17"/>
  <c r="A152" i="25"/>
  <c r="X151" i="25"/>
  <c r="AB151" i="25"/>
  <c r="AK151" i="25"/>
  <c r="L151" i="25"/>
  <c r="K151" i="25"/>
  <c r="AJ151" i="25"/>
  <c r="AC151" i="25"/>
  <c r="O151" i="25"/>
  <c r="X153" i="23"/>
  <c r="A154" i="23"/>
  <c r="K153" i="23"/>
  <c r="AK153" i="23"/>
  <c r="AB153" i="23"/>
  <c r="L153" i="23"/>
  <c r="AJ153" i="23"/>
  <c r="AC153" i="23"/>
  <c r="O153" i="23"/>
  <c r="E161" i="15" l="1"/>
  <c r="L152" i="25"/>
  <c r="AB152" i="25"/>
  <c r="AJ152" i="25"/>
  <c r="K152" i="25"/>
  <c r="X152" i="25"/>
  <c r="A153" i="25"/>
  <c r="AK152" i="25"/>
  <c r="AC152" i="25"/>
  <c r="O152" i="25"/>
  <c r="D156" i="17"/>
  <c r="E156" i="17" s="1"/>
  <c r="X157" i="17"/>
  <c r="K157" i="17"/>
  <c r="AB157" i="17"/>
  <c r="AK157" i="17"/>
  <c r="L157" i="17"/>
  <c r="D157" i="17" s="1"/>
  <c r="A158" i="17"/>
  <c r="AJ157" i="17"/>
  <c r="O157" i="17"/>
  <c r="AC157" i="17"/>
  <c r="A161" i="18"/>
  <c r="L160" i="18"/>
  <c r="K160" i="18"/>
  <c r="AK160" i="18"/>
  <c r="AB160" i="18"/>
  <c r="X160" i="18"/>
  <c r="AJ160" i="18"/>
  <c r="AC160" i="18"/>
  <c r="O160" i="18"/>
  <c r="A163" i="15"/>
  <c r="L162" i="15"/>
  <c r="AJ162" i="15"/>
  <c r="AC162" i="15"/>
  <c r="AB162" i="15"/>
  <c r="X162" i="15"/>
  <c r="K162" i="15"/>
  <c r="AK162" i="15"/>
  <c r="O162" i="15"/>
  <c r="L156" i="16"/>
  <c r="AB156" i="16"/>
  <c r="AJ156" i="16"/>
  <c r="A157" i="16"/>
  <c r="X156" i="16"/>
  <c r="K156" i="16"/>
  <c r="AK156" i="16"/>
  <c r="AC156" i="16"/>
  <c r="O156" i="16"/>
  <c r="D155" i="16"/>
  <c r="E155" i="16" s="1"/>
  <c r="T162" i="1"/>
  <c r="K154" i="23"/>
  <c r="A155" i="23"/>
  <c r="AB154" i="23"/>
  <c r="AK154" i="23"/>
  <c r="X154" i="23"/>
  <c r="L154" i="23"/>
  <c r="AJ154" i="23"/>
  <c r="AC154" i="23"/>
  <c r="O154" i="23"/>
  <c r="K156" i="20"/>
  <c r="AB156" i="20"/>
  <c r="A157" i="20"/>
  <c r="AK156" i="20"/>
  <c r="L156" i="20"/>
  <c r="X156" i="20"/>
  <c r="AJ156" i="20"/>
  <c r="AC156" i="20"/>
  <c r="O156" i="20"/>
  <c r="K163" i="1"/>
  <c r="O163" i="1"/>
  <c r="X163" i="1"/>
  <c r="A164" i="1"/>
  <c r="U163" i="1"/>
  <c r="AC163" i="1"/>
  <c r="Q163" i="1"/>
  <c r="AJ163" i="1"/>
  <c r="AB163" i="1"/>
  <c r="AK163" i="1"/>
  <c r="L163" i="1"/>
  <c r="S161" i="1"/>
  <c r="R161" i="1" s="1"/>
  <c r="P161" i="1" s="1"/>
  <c r="V161" i="1" s="1"/>
  <c r="AA161" i="1" s="1"/>
  <c r="Z161" i="1" s="1"/>
  <c r="Y161" i="1" s="1"/>
  <c r="K153" i="24"/>
  <c r="X153" i="24"/>
  <c r="AJ153" i="24"/>
  <c r="A154" i="24"/>
  <c r="AB153" i="24"/>
  <c r="L153" i="24"/>
  <c r="AK153" i="24"/>
  <c r="AC153" i="24"/>
  <c r="O153" i="24"/>
  <c r="A156" i="22"/>
  <c r="K155" i="22"/>
  <c r="AJ155" i="22"/>
  <c r="AB155" i="22"/>
  <c r="X155" i="22"/>
  <c r="L155" i="22"/>
  <c r="AK155" i="22"/>
  <c r="AC155" i="22"/>
  <c r="O155" i="22"/>
  <c r="E157" i="17" l="1"/>
  <c r="T163" i="1"/>
  <c r="D156" i="16"/>
  <c r="E156" i="16" s="1"/>
  <c r="D162" i="15"/>
  <c r="AB156" i="22"/>
  <c r="K156" i="22"/>
  <c r="A157" i="22"/>
  <c r="AK156" i="22"/>
  <c r="L156" i="22"/>
  <c r="X156" i="22"/>
  <c r="AJ156" i="22"/>
  <c r="AC156" i="22"/>
  <c r="O156" i="22"/>
  <c r="A155" i="24"/>
  <c r="X154" i="24"/>
  <c r="AB154" i="24"/>
  <c r="AK154" i="24"/>
  <c r="K154" i="24"/>
  <c r="L154" i="24"/>
  <c r="AJ154" i="24"/>
  <c r="AC154" i="24"/>
  <c r="O154" i="24"/>
  <c r="L164" i="1"/>
  <c r="X164" i="1"/>
  <c r="AK164" i="1"/>
  <c r="AC164" i="1"/>
  <c r="U164" i="1"/>
  <c r="A165" i="1"/>
  <c r="AJ164" i="1"/>
  <c r="K164" i="1"/>
  <c r="AB164" i="1"/>
  <c r="Q164" i="1"/>
  <c r="O164" i="1"/>
  <c r="X157" i="20"/>
  <c r="K157" i="20"/>
  <c r="AJ157" i="20"/>
  <c r="AB157" i="20"/>
  <c r="L157" i="20"/>
  <c r="A158" i="20"/>
  <c r="AK157" i="20"/>
  <c r="AC157" i="20"/>
  <c r="O157" i="20"/>
  <c r="AB155" i="23"/>
  <c r="A156" i="23"/>
  <c r="AJ155" i="23"/>
  <c r="X155" i="23"/>
  <c r="L155" i="23"/>
  <c r="K155" i="23"/>
  <c r="AK155" i="23"/>
  <c r="AC155" i="23"/>
  <c r="O155" i="23"/>
  <c r="S162" i="1"/>
  <c r="R162" i="1" s="1"/>
  <c r="P162" i="1" s="1"/>
  <c r="V162" i="1" s="1"/>
  <c r="AA162" i="1" s="1"/>
  <c r="Z162" i="1" s="1"/>
  <c r="Y162" i="1" s="1"/>
  <c r="X157" i="16"/>
  <c r="A158" i="16"/>
  <c r="L157" i="16"/>
  <c r="AK157" i="16"/>
  <c r="AB157" i="16"/>
  <c r="K157" i="16"/>
  <c r="AJ157" i="16"/>
  <c r="AC157" i="16"/>
  <c r="O157" i="16"/>
  <c r="E162" i="15"/>
  <c r="X163" i="15"/>
  <c r="L163" i="15"/>
  <c r="K163" i="15"/>
  <c r="AK163" i="15"/>
  <c r="AB163" i="15"/>
  <c r="A164" i="15"/>
  <c r="AJ163" i="15"/>
  <c r="AC163" i="15"/>
  <c r="O163" i="15"/>
  <c r="L161" i="18"/>
  <c r="X161" i="18"/>
  <c r="AJ161" i="18"/>
  <c r="K161" i="18"/>
  <c r="AB161" i="18"/>
  <c r="A162" i="18"/>
  <c r="AK161" i="18"/>
  <c r="O161" i="18"/>
  <c r="AC161" i="18"/>
  <c r="K158" i="17"/>
  <c r="A159" i="17"/>
  <c r="L158" i="17"/>
  <c r="AK158" i="17"/>
  <c r="X158" i="17"/>
  <c r="AB158" i="17"/>
  <c r="AJ158" i="17"/>
  <c r="O158" i="17"/>
  <c r="AC158" i="17"/>
  <c r="AB153" i="25"/>
  <c r="K153" i="25"/>
  <c r="L153" i="25"/>
  <c r="AK153" i="25"/>
  <c r="X153" i="25"/>
  <c r="A154" i="25"/>
  <c r="AJ153" i="25"/>
  <c r="AC153" i="25"/>
  <c r="O153" i="25"/>
  <c r="X154" i="25" l="1"/>
  <c r="L154" i="25"/>
  <c r="AJ154" i="25"/>
  <c r="A155" i="25"/>
  <c r="K154" i="25"/>
  <c r="AB154" i="25"/>
  <c r="AK154" i="25"/>
  <c r="AC154" i="25"/>
  <c r="O154" i="25"/>
  <c r="D158" i="17"/>
  <c r="D157" i="16"/>
  <c r="E157" i="16" s="1"/>
  <c r="K158" i="20"/>
  <c r="L158" i="20"/>
  <c r="X158" i="20"/>
  <c r="AK158" i="20"/>
  <c r="A159" i="20"/>
  <c r="AB158" i="20"/>
  <c r="AJ158" i="20"/>
  <c r="AC158" i="20"/>
  <c r="O158" i="20"/>
  <c r="K165" i="1"/>
  <c r="L165" i="1"/>
  <c r="A166" i="1"/>
  <c r="AB165" i="1"/>
  <c r="U165" i="1"/>
  <c r="Q165" i="1"/>
  <c r="AJ165" i="1"/>
  <c r="AK165" i="1"/>
  <c r="X165" i="1"/>
  <c r="AC165" i="1"/>
  <c r="O165" i="1"/>
  <c r="X155" i="24"/>
  <c r="A156" i="24"/>
  <c r="L155" i="24"/>
  <c r="AK155" i="24"/>
  <c r="AB155" i="24"/>
  <c r="K155" i="24"/>
  <c r="AJ155" i="24"/>
  <c r="AC155" i="24"/>
  <c r="O155" i="24"/>
  <c r="S163" i="1"/>
  <c r="R163" i="1" s="1"/>
  <c r="P163" i="1" s="1"/>
  <c r="V163" i="1" s="1"/>
  <c r="AA163" i="1" s="1"/>
  <c r="Z163" i="1" s="1"/>
  <c r="Y163" i="1" s="1"/>
  <c r="E158" i="17"/>
  <c r="L159" i="17"/>
  <c r="D159" i="17" s="1"/>
  <c r="AB159" i="17"/>
  <c r="AJ159" i="17"/>
  <c r="A160" i="17"/>
  <c r="X159" i="17"/>
  <c r="K159" i="17"/>
  <c r="AK159" i="17"/>
  <c r="O159" i="17"/>
  <c r="AC159" i="17"/>
  <c r="X162" i="18"/>
  <c r="L162" i="18"/>
  <c r="AJ162" i="18"/>
  <c r="K162" i="18"/>
  <c r="A163" i="18"/>
  <c r="AB162" i="18"/>
  <c r="AK162" i="18"/>
  <c r="O162" i="18"/>
  <c r="AC162" i="18"/>
  <c r="A165" i="15"/>
  <c r="L164" i="15"/>
  <c r="D164" i="15" s="1"/>
  <c r="AK164" i="15"/>
  <c r="AC164" i="15"/>
  <c r="X164" i="15"/>
  <c r="AB164" i="15"/>
  <c r="K164" i="15"/>
  <c r="AJ164" i="15"/>
  <c r="O164" i="15"/>
  <c r="D163" i="15"/>
  <c r="E163" i="15" s="1"/>
  <c r="X158" i="16"/>
  <c r="A159" i="16"/>
  <c r="AJ158" i="16"/>
  <c r="K158" i="16"/>
  <c r="AB158" i="16"/>
  <c r="L158" i="16"/>
  <c r="AK158" i="16"/>
  <c r="AC158" i="16"/>
  <c r="O158" i="16"/>
  <c r="K156" i="23"/>
  <c r="A157" i="23"/>
  <c r="AJ156" i="23"/>
  <c r="L156" i="23"/>
  <c r="X156" i="23"/>
  <c r="AB156" i="23"/>
  <c r="AK156" i="23"/>
  <c r="AC156" i="23"/>
  <c r="O156" i="23"/>
  <c r="T164" i="1"/>
  <c r="K157" i="22"/>
  <c r="A158" i="22"/>
  <c r="L157" i="22"/>
  <c r="AK157" i="22"/>
  <c r="X157" i="22"/>
  <c r="AB157" i="22"/>
  <c r="AJ157" i="22"/>
  <c r="AC157" i="22"/>
  <c r="O157" i="22"/>
  <c r="E164" i="15" l="1"/>
  <c r="E159" i="17"/>
  <c r="AB158" i="22"/>
  <c r="A159" i="22"/>
  <c r="L158" i="22"/>
  <c r="AK158" i="22"/>
  <c r="K158" i="22"/>
  <c r="X158" i="22"/>
  <c r="AJ158" i="22"/>
  <c r="AC158" i="22"/>
  <c r="O158" i="22"/>
  <c r="D158" i="16"/>
  <c r="E158" i="16" s="1"/>
  <c r="X159" i="16"/>
  <c r="K159" i="16"/>
  <c r="AJ159" i="16"/>
  <c r="L159" i="16"/>
  <c r="AB159" i="16"/>
  <c r="A160" i="16"/>
  <c r="AK159" i="16"/>
  <c r="AC159" i="16"/>
  <c r="O159" i="16"/>
  <c r="AB163" i="18"/>
  <c r="X163" i="18"/>
  <c r="AJ163" i="18"/>
  <c r="K163" i="18"/>
  <c r="L163" i="18"/>
  <c r="A164" i="18"/>
  <c r="AK163" i="18"/>
  <c r="AC163" i="18"/>
  <c r="O163" i="18"/>
  <c r="T165" i="1"/>
  <c r="AK166" i="1"/>
  <c r="X166" i="1"/>
  <c r="L166" i="1"/>
  <c r="A167" i="1"/>
  <c r="Q166" i="1"/>
  <c r="AJ166" i="1"/>
  <c r="AB166" i="1"/>
  <c r="K166" i="1"/>
  <c r="AC166" i="1"/>
  <c r="U166" i="1"/>
  <c r="O166" i="1"/>
  <c r="S164" i="1"/>
  <c r="R164" i="1" s="1"/>
  <c r="P164" i="1" s="1"/>
  <c r="V164" i="1" s="1"/>
  <c r="AA164" i="1" s="1"/>
  <c r="Z164" i="1" s="1"/>
  <c r="Y164" i="1" s="1"/>
  <c r="A158" i="23"/>
  <c r="L157" i="23"/>
  <c r="AJ157" i="23"/>
  <c r="K157" i="23"/>
  <c r="AB157" i="23"/>
  <c r="X157" i="23"/>
  <c r="AK157" i="23"/>
  <c r="AC157" i="23"/>
  <c r="O157" i="23"/>
  <c r="A166" i="15"/>
  <c r="K165" i="15"/>
  <c r="AB165" i="15"/>
  <c r="AC165" i="15"/>
  <c r="L165" i="15"/>
  <c r="D165" i="15" s="1"/>
  <c r="X165" i="15"/>
  <c r="AJ165" i="15"/>
  <c r="AK165" i="15"/>
  <c r="O165" i="15"/>
  <c r="E165" i="15" s="1"/>
  <c r="AB160" i="17"/>
  <c r="K160" i="17"/>
  <c r="AJ160" i="17"/>
  <c r="X160" i="17"/>
  <c r="L160" i="17"/>
  <c r="D160" i="17" s="1"/>
  <c r="A161" i="17"/>
  <c r="AK160" i="17"/>
  <c r="O160" i="17"/>
  <c r="AC160" i="17"/>
  <c r="X156" i="24"/>
  <c r="L156" i="24"/>
  <c r="AJ156" i="24"/>
  <c r="AB156" i="24"/>
  <c r="K156" i="24"/>
  <c r="A157" i="24"/>
  <c r="AK156" i="24"/>
  <c r="AC156" i="24"/>
  <c r="O156" i="24"/>
  <c r="K159" i="20"/>
  <c r="AB159" i="20"/>
  <c r="X159" i="20"/>
  <c r="AK159" i="20"/>
  <c r="L159" i="20"/>
  <c r="A160" i="20"/>
  <c r="AJ159" i="20"/>
  <c r="AC159" i="20"/>
  <c r="O159" i="20"/>
  <c r="L155" i="25"/>
  <c r="AB155" i="25"/>
  <c r="AJ155" i="25"/>
  <c r="X155" i="25"/>
  <c r="A156" i="25"/>
  <c r="K155" i="25"/>
  <c r="AK155" i="25"/>
  <c r="AC155" i="25"/>
  <c r="O155" i="25"/>
  <c r="AB158" i="23" l="1"/>
  <c r="X158" i="23"/>
  <c r="L158" i="23"/>
  <c r="AK158" i="23"/>
  <c r="K158" i="23"/>
  <c r="A159" i="23"/>
  <c r="AJ158" i="23"/>
  <c r="AC158" i="23"/>
  <c r="O158" i="23"/>
  <c r="S165" i="1"/>
  <c r="R165" i="1" s="1"/>
  <c r="P165" i="1" s="1"/>
  <c r="V165" i="1" s="1"/>
  <c r="AA165" i="1" s="1"/>
  <c r="Z165" i="1" s="1"/>
  <c r="Y165" i="1" s="1"/>
  <c r="X160" i="16"/>
  <c r="K160" i="16"/>
  <c r="L160" i="16"/>
  <c r="AK160" i="16"/>
  <c r="A161" i="16"/>
  <c r="AB160" i="16"/>
  <c r="AJ160" i="16"/>
  <c r="AC160" i="16"/>
  <c r="O160" i="16"/>
  <c r="D159" i="16"/>
  <c r="E159" i="16" s="1"/>
  <c r="AB159" i="22"/>
  <c r="K159" i="22"/>
  <c r="AJ159" i="22"/>
  <c r="X159" i="22"/>
  <c r="A160" i="22"/>
  <c r="L159" i="22"/>
  <c r="AK159" i="22"/>
  <c r="AC159" i="22"/>
  <c r="O159" i="22"/>
  <c r="AB156" i="25"/>
  <c r="L156" i="25"/>
  <c r="K156" i="25"/>
  <c r="AK156" i="25"/>
  <c r="X156" i="25"/>
  <c r="A157" i="25"/>
  <c r="AJ156" i="25"/>
  <c r="AC156" i="25"/>
  <c r="O156" i="25"/>
  <c r="A161" i="20"/>
  <c r="K160" i="20"/>
  <c r="AJ160" i="20"/>
  <c r="X160" i="20"/>
  <c r="AB160" i="20"/>
  <c r="L160" i="20"/>
  <c r="AK160" i="20"/>
  <c r="AC160" i="20"/>
  <c r="O160" i="20"/>
  <c r="L157" i="24"/>
  <c r="AB157" i="24"/>
  <c r="AJ157" i="24"/>
  <c r="K157" i="24"/>
  <c r="X157" i="24"/>
  <c r="A158" i="24"/>
  <c r="AK157" i="24"/>
  <c r="AC157" i="24"/>
  <c r="O157" i="24"/>
  <c r="E160" i="17"/>
  <c r="K161" i="17"/>
  <c r="A162" i="17"/>
  <c r="X161" i="17"/>
  <c r="AK161" i="17"/>
  <c r="AB161" i="17"/>
  <c r="L161" i="17"/>
  <c r="D161" i="17" s="1"/>
  <c r="AJ161" i="17"/>
  <c r="O161" i="17"/>
  <c r="E161" i="17" s="1"/>
  <c r="AC161" i="17"/>
  <c r="L166" i="15"/>
  <c r="X166" i="15"/>
  <c r="K166" i="15"/>
  <c r="AJ166" i="15"/>
  <c r="AB166" i="15"/>
  <c r="A167" i="15"/>
  <c r="AK166" i="15"/>
  <c r="AC166" i="15"/>
  <c r="O166" i="15"/>
  <c r="T166" i="1"/>
  <c r="K167" i="1"/>
  <c r="AB167" i="1"/>
  <c r="A168" i="1"/>
  <c r="Q167" i="1"/>
  <c r="L167" i="1"/>
  <c r="AJ167" i="1"/>
  <c r="AK167" i="1"/>
  <c r="X167" i="1"/>
  <c r="U167" i="1"/>
  <c r="AC167" i="1"/>
  <c r="O167" i="1"/>
  <c r="K164" i="18"/>
  <c r="AB164" i="18"/>
  <c r="AJ164" i="18"/>
  <c r="X164" i="18"/>
  <c r="A165" i="18"/>
  <c r="L164" i="18"/>
  <c r="AK164" i="18"/>
  <c r="O164" i="18"/>
  <c r="AC164" i="18"/>
  <c r="X165" i="18" l="1"/>
  <c r="A166" i="18"/>
  <c r="L165" i="18"/>
  <c r="AK165" i="18"/>
  <c r="AB165" i="18"/>
  <c r="K165" i="18"/>
  <c r="AJ165" i="18"/>
  <c r="AC165" i="18"/>
  <c r="O165" i="18"/>
  <c r="L167" i="15"/>
  <c r="D167" i="15" s="1"/>
  <c r="AB167" i="15"/>
  <c r="AJ167" i="15"/>
  <c r="X167" i="15"/>
  <c r="K167" i="15"/>
  <c r="A168" i="15"/>
  <c r="AK167" i="15"/>
  <c r="AC167" i="15"/>
  <c r="O167" i="15"/>
  <c r="E167" i="15" s="1"/>
  <c r="A163" i="17"/>
  <c r="AB162" i="17"/>
  <c r="L162" i="17"/>
  <c r="AK162" i="17"/>
  <c r="K162" i="17"/>
  <c r="X162" i="17"/>
  <c r="AJ162" i="17"/>
  <c r="O162" i="17"/>
  <c r="AC162" i="17"/>
  <c r="X158" i="24"/>
  <c r="A159" i="24"/>
  <c r="AJ158" i="24"/>
  <c r="AB158" i="24"/>
  <c r="L158" i="24"/>
  <c r="K158" i="24"/>
  <c r="AK158" i="24"/>
  <c r="AC158" i="24"/>
  <c r="O158" i="24"/>
  <c r="X161" i="20"/>
  <c r="L161" i="20"/>
  <c r="AJ161" i="20"/>
  <c r="AB161" i="20"/>
  <c r="A162" i="20"/>
  <c r="K161" i="20"/>
  <c r="AK161" i="20"/>
  <c r="AC161" i="20"/>
  <c r="O161" i="20"/>
  <c r="AB157" i="25"/>
  <c r="A158" i="25"/>
  <c r="L157" i="25"/>
  <c r="AK157" i="25"/>
  <c r="K157" i="25"/>
  <c r="X157" i="25"/>
  <c r="AJ157" i="25"/>
  <c r="AC157" i="25"/>
  <c r="O157" i="25"/>
  <c r="AB161" i="16"/>
  <c r="L161" i="16"/>
  <c r="X161" i="16"/>
  <c r="AK161" i="16"/>
  <c r="A162" i="16"/>
  <c r="K161" i="16"/>
  <c r="AJ161" i="16"/>
  <c r="AC161" i="16"/>
  <c r="O161" i="16"/>
  <c r="D160" i="16"/>
  <c r="E160" i="16" s="1"/>
  <c r="T167" i="1"/>
  <c r="AJ168" i="1"/>
  <c r="A169" i="1"/>
  <c r="AC168" i="1"/>
  <c r="Q168" i="1"/>
  <c r="U168" i="1"/>
  <c r="L168" i="1"/>
  <c r="AB168" i="1"/>
  <c r="K168" i="1"/>
  <c r="AK168" i="1"/>
  <c r="X168" i="1"/>
  <c r="O168" i="1"/>
  <c r="S166" i="1"/>
  <c r="R166" i="1" s="1"/>
  <c r="P166" i="1"/>
  <c r="V166" i="1" s="1"/>
  <c r="AA166" i="1" s="1"/>
  <c r="Z166" i="1" s="1"/>
  <c r="Y166" i="1" s="1"/>
  <c r="D166" i="15"/>
  <c r="E166" i="15" s="1"/>
  <c r="K160" i="22"/>
  <c r="AB160" i="22"/>
  <c r="AJ160" i="22"/>
  <c r="X160" i="22"/>
  <c r="L160" i="22"/>
  <c r="A161" i="22"/>
  <c r="AK160" i="22"/>
  <c r="AC160" i="22"/>
  <c r="O160" i="22"/>
  <c r="X159" i="23"/>
  <c r="L159" i="23"/>
  <c r="K159" i="23"/>
  <c r="AK159" i="23"/>
  <c r="AB159" i="23"/>
  <c r="A160" i="23"/>
  <c r="AJ159" i="23"/>
  <c r="AC159" i="23"/>
  <c r="O159" i="23"/>
  <c r="T168" i="1" l="1"/>
  <c r="S167" i="1"/>
  <c r="R167" i="1" s="1"/>
  <c r="P167" i="1" s="1"/>
  <c r="V167" i="1" s="1"/>
  <c r="AA167" i="1" s="1"/>
  <c r="Z167" i="1" s="1"/>
  <c r="Y167" i="1" s="1"/>
  <c r="D161" i="16"/>
  <c r="E161" i="16" s="1"/>
  <c r="AB158" i="25"/>
  <c r="K158" i="25"/>
  <c r="X158" i="25"/>
  <c r="AK158" i="25"/>
  <c r="A159" i="25"/>
  <c r="L158" i="25"/>
  <c r="AJ158" i="25"/>
  <c r="AC158" i="25"/>
  <c r="O158" i="25"/>
  <c r="L162" i="20"/>
  <c r="AB162" i="20"/>
  <c r="AJ162" i="20"/>
  <c r="A163" i="20"/>
  <c r="K162" i="20"/>
  <c r="X162" i="20"/>
  <c r="AK162" i="20"/>
  <c r="AC162" i="20"/>
  <c r="O162" i="20"/>
  <c r="D162" i="17"/>
  <c r="K163" i="17"/>
  <c r="L163" i="17"/>
  <c r="AJ163" i="17"/>
  <c r="A164" i="17"/>
  <c r="X163" i="17"/>
  <c r="AB163" i="17"/>
  <c r="AK163" i="17"/>
  <c r="O163" i="17"/>
  <c r="AC163" i="17"/>
  <c r="K166" i="18"/>
  <c r="AB166" i="18"/>
  <c r="AJ166" i="18"/>
  <c r="X166" i="18"/>
  <c r="A167" i="18"/>
  <c r="L166" i="18"/>
  <c r="AK166" i="18"/>
  <c r="O166" i="18"/>
  <c r="AC166" i="18"/>
  <c r="K160" i="23"/>
  <c r="L160" i="23"/>
  <c r="A161" i="23"/>
  <c r="AK160" i="23"/>
  <c r="AB160" i="23"/>
  <c r="X160" i="23"/>
  <c r="AJ160" i="23"/>
  <c r="AC160" i="23"/>
  <c r="O160" i="23"/>
  <c r="A162" i="22"/>
  <c r="L161" i="22"/>
  <c r="AJ161" i="22"/>
  <c r="K161" i="22"/>
  <c r="AB161" i="22"/>
  <c r="X161" i="22"/>
  <c r="AK161" i="22"/>
  <c r="AC161" i="22"/>
  <c r="O161" i="22"/>
  <c r="AJ169" i="1"/>
  <c r="A170" i="1"/>
  <c r="AK169" i="1"/>
  <c r="AB169" i="1"/>
  <c r="U169" i="1"/>
  <c r="O169" i="1"/>
  <c r="X169" i="1"/>
  <c r="K169" i="1"/>
  <c r="Q169" i="1"/>
  <c r="L169" i="1"/>
  <c r="AC169" i="1"/>
  <c r="AB162" i="16"/>
  <c r="L162" i="16"/>
  <c r="K162" i="16"/>
  <c r="AK162" i="16"/>
  <c r="A163" i="16"/>
  <c r="X162" i="16"/>
  <c r="AJ162" i="16"/>
  <c r="AC162" i="16"/>
  <c r="O162" i="16"/>
  <c r="AB159" i="24"/>
  <c r="A160" i="24"/>
  <c r="X159" i="24"/>
  <c r="AK159" i="24"/>
  <c r="L159" i="24"/>
  <c r="K159" i="24"/>
  <c r="AJ159" i="24"/>
  <c r="AC159" i="24"/>
  <c r="O159" i="24"/>
  <c r="E162" i="17"/>
  <c r="K168" i="15"/>
  <c r="AB168" i="15"/>
  <c r="AJ168" i="15"/>
  <c r="AK168" i="15"/>
  <c r="A169" i="15"/>
  <c r="L168" i="15"/>
  <c r="X168" i="15"/>
  <c r="AC168" i="15"/>
  <c r="O168" i="15"/>
  <c r="A161" i="24" l="1"/>
  <c r="AB160" i="24"/>
  <c r="L160" i="24"/>
  <c r="AK160" i="24"/>
  <c r="X160" i="24"/>
  <c r="K160" i="24"/>
  <c r="AJ160" i="24"/>
  <c r="AC160" i="24"/>
  <c r="O160" i="24"/>
  <c r="D162" i="16"/>
  <c r="E162" i="16" s="1"/>
  <c r="T169" i="1"/>
  <c r="A162" i="23"/>
  <c r="K161" i="23"/>
  <c r="X161" i="23"/>
  <c r="AK161" i="23"/>
  <c r="L161" i="23"/>
  <c r="AB161" i="23"/>
  <c r="AJ161" i="23"/>
  <c r="AC161" i="23"/>
  <c r="O161" i="23"/>
  <c r="X164" i="17"/>
  <c r="K164" i="17"/>
  <c r="AJ164" i="17"/>
  <c r="A165" i="17"/>
  <c r="AB164" i="17"/>
  <c r="L164" i="17"/>
  <c r="D164" i="17" s="1"/>
  <c r="AK164" i="17"/>
  <c r="O164" i="17"/>
  <c r="AC164" i="17"/>
  <c r="D163" i="17"/>
  <c r="E163" i="17" s="1"/>
  <c r="K163" i="20"/>
  <c r="L163" i="20"/>
  <c r="AB163" i="20"/>
  <c r="AK163" i="20"/>
  <c r="A164" i="20"/>
  <c r="X163" i="20"/>
  <c r="AJ163" i="20"/>
  <c r="AC163" i="20"/>
  <c r="O163" i="20"/>
  <c r="S168" i="1"/>
  <c r="R168" i="1" s="1"/>
  <c r="P168" i="1" s="1"/>
  <c r="V168" i="1" s="1"/>
  <c r="AA168" i="1" s="1"/>
  <c r="Z168" i="1" s="1"/>
  <c r="Y168" i="1" s="1"/>
  <c r="D168" i="15"/>
  <c r="E168" i="15" s="1"/>
  <c r="X169" i="15"/>
  <c r="K169" i="15"/>
  <c r="AC169" i="15"/>
  <c r="AJ169" i="15"/>
  <c r="AB169" i="15"/>
  <c r="A170" i="15"/>
  <c r="L169" i="15"/>
  <c r="AK169" i="15"/>
  <c r="O169" i="15"/>
  <c r="X163" i="16"/>
  <c r="K163" i="16"/>
  <c r="AJ163" i="16"/>
  <c r="L163" i="16"/>
  <c r="A164" i="16"/>
  <c r="AB163" i="16"/>
  <c r="AK163" i="16"/>
  <c r="AC163" i="16"/>
  <c r="O163" i="16"/>
  <c r="AJ170" i="1"/>
  <c r="L170" i="1"/>
  <c r="AK170" i="1"/>
  <c r="X170" i="1"/>
  <c r="Q170" i="1"/>
  <c r="A171" i="1"/>
  <c r="AC170" i="1"/>
  <c r="AB170" i="1"/>
  <c r="K170" i="1"/>
  <c r="O170" i="1"/>
  <c r="U170" i="1"/>
  <c r="K162" i="22"/>
  <c r="AB162" i="22"/>
  <c r="AJ162" i="22"/>
  <c r="A163" i="22"/>
  <c r="L162" i="22"/>
  <c r="X162" i="22"/>
  <c r="AK162" i="22"/>
  <c r="AC162" i="22"/>
  <c r="O162" i="22"/>
  <c r="A168" i="18"/>
  <c r="AB167" i="18"/>
  <c r="X167" i="18"/>
  <c r="AK167" i="18"/>
  <c r="K167" i="18"/>
  <c r="L167" i="18"/>
  <c r="AJ167" i="18"/>
  <c r="O167" i="18"/>
  <c r="AC167" i="18"/>
  <c r="A160" i="25"/>
  <c r="L159" i="25"/>
  <c r="AJ159" i="25"/>
  <c r="AB159" i="25"/>
  <c r="X159" i="25"/>
  <c r="K159" i="25"/>
  <c r="AK159" i="25"/>
  <c r="AC159" i="25"/>
  <c r="O159" i="25"/>
  <c r="E164" i="17" l="1"/>
  <c r="K168" i="18"/>
  <c r="A169" i="18"/>
  <c r="AJ168" i="18"/>
  <c r="X168" i="18"/>
  <c r="AB168" i="18"/>
  <c r="L168" i="18"/>
  <c r="AK168" i="18"/>
  <c r="O168" i="18"/>
  <c r="AC168" i="18"/>
  <c r="X163" i="22"/>
  <c r="L163" i="22"/>
  <c r="K163" i="22"/>
  <c r="AK163" i="22"/>
  <c r="A164" i="22"/>
  <c r="AB163" i="22"/>
  <c r="AJ163" i="22"/>
  <c r="AC163" i="22"/>
  <c r="O163" i="22"/>
  <c r="A172" i="1"/>
  <c r="Q171" i="1"/>
  <c r="K171" i="1"/>
  <c r="AJ171" i="1"/>
  <c r="X171" i="1"/>
  <c r="AC171" i="1"/>
  <c r="L171" i="1"/>
  <c r="O171" i="1"/>
  <c r="AK171" i="1"/>
  <c r="AB171" i="1"/>
  <c r="U171" i="1"/>
  <c r="D163" i="16"/>
  <c r="E163" i="16" s="1"/>
  <c r="D169" i="15"/>
  <c r="E169" i="15" s="1"/>
  <c r="A161" i="25"/>
  <c r="L160" i="25"/>
  <c r="AJ160" i="25"/>
  <c r="X160" i="25"/>
  <c r="AB160" i="25"/>
  <c r="K160" i="25"/>
  <c r="AK160" i="25"/>
  <c r="AC160" i="25"/>
  <c r="O160" i="25"/>
  <c r="T170" i="1"/>
  <c r="L164" i="16"/>
  <c r="X164" i="16"/>
  <c r="AB164" i="16"/>
  <c r="AK164" i="16"/>
  <c r="K164" i="16"/>
  <c r="A165" i="16"/>
  <c r="AJ164" i="16"/>
  <c r="AC164" i="16"/>
  <c r="O164" i="16"/>
  <c r="K170" i="15"/>
  <c r="A171" i="15"/>
  <c r="AB170" i="15"/>
  <c r="AJ170" i="15"/>
  <c r="X170" i="15"/>
  <c r="L170" i="15"/>
  <c r="D170" i="15" s="1"/>
  <c r="AK170" i="15"/>
  <c r="AC170" i="15"/>
  <c r="O170" i="15"/>
  <c r="K164" i="20"/>
  <c r="L164" i="20"/>
  <c r="X164" i="20"/>
  <c r="AK164" i="20"/>
  <c r="AB164" i="20"/>
  <c r="A165" i="20"/>
  <c r="AJ164" i="20"/>
  <c r="AC164" i="20"/>
  <c r="O164" i="20"/>
  <c r="K165" i="17"/>
  <c r="L165" i="17"/>
  <c r="D165" i="17" s="1"/>
  <c r="X165" i="17"/>
  <c r="AK165" i="17"/>
  <c r="A166" i="17"/>
  <c r="AB165" i="17"/>
  <c r="AJ165" i="17"/>
  <c r="O165" i="17"/>
  <c r="E165" i="17" s="1"/>
  <c r="AC165" i="17"/>
  <c r="X162" i="23"/>
  <c r="L162" i="23"/>
  <c r="AJ162" i="23"/>
  <c r="A163" i="23"/>
  <c r="K162" i="23"/>
  <c r="AB162" i="23"/>
  <c r="AK162" i="23"/>
  <c r="AC162" i="23"/>
  <c r="O162" i="23"/>
  <c r="S169" i="1"/>
  <c r="R169" i="1" s="1"/>
  <c r="P169" i="1" s="1"/>
  <c r="V169" i="1" s="1"/>
  <c r="AA169" i="1" s="1"/>
  <c r="Z169" i="1" s="1"/>
  <c r="Y169" i="1" s="1"/>
  <c r="AB161" i="24"/>
  <c r="A162" i="24"/>
  <c r="L161" i="24"/>
  <c r="AK161" i="24"/>
  <c r="X161" i="24"/>
  <c r="K161" i="24"/>
  <c r="AJ161" i="24"/>
  <c r="AC161" i="24"/>
  <c r="O161" i="24"/>
  <c r="E170" i="15" l="1"/>
  <c r="K163" i="23"/>
  <c r="L163" i="23"/>
  <c r="A164" i="23"/>
  <c r="AK163" i="23"/>
  <c r="X163" i="23"/>
  <c r="AB163" i="23"/>
  <c r="AJ163" i="23"/>
  <c r="AC163" i="23"/>
  <c r="O163" i="23"/>
  <c r="X165" i="20"/>
  <c r="K165" i="20"/>
  <c r="A166" i="20"/>
  <c r="AK165" i="20"/>
  <c r="AB165" i="20"/>
  <c r="L165" i="20"/>
  <c r="AJ165" i="20"/>
  <c r="AC165" i="20"/>
  <c r="O165" i="20"/>
  <c r="X171" i="15"/>
  <c r="K171" i="15"/>
  <c r="AJ171" i="15"/>
  <c r="AK171" i="15"/>
  <c r="L171" i="15"/>
  <c r="AB171" i="15"/>
  <c r="A172" i="15"/>
  <c r="AC171" i="15"/>
  <c r="O171" i="15"/>
  <c r="D164" i="16"/>
  <c r="E164" i="16" s="1"/>
  <c r="S170" i="1"/>
  <c r="R170" i="1" s="1"/>
  <c r="P170" i="1" s="1"/>
  <c r="V170" i="1" s="1"/>
  <c r="AA170" i="1" s="1"/>
  <c r="Z170" i="1" s="1"/>
  <c r="Y170" i="1" s="1"/>
  <c r="T171" i="1"/>
  <c r="K172" i="1"/>
  <c r="AB172" i="1"/>
  <c r="AC172" i="1"/>
  <c r="A173" i="1"/>
  <c r="Q172" i="1"/>
  <c r="AJ172" i="1"/>
  <c r="X172" i="1"/>
  <c r="AK172" i="1"/>
  <c r="L172" i="1"/>
  <c r="U172" i="1"/>
  <c r="O172" i="1"/>
  <c r="K162" i="24"/>
  <c r="A163" i="24"/>
  <c r="AJ162" i="24"/>
  <c r="X162" i="24"/>
  <c r="AB162" i="24"/>
  <c r="L162" i="24"/>
  <c r="AK162" i="24"/>
  <c r="AC162" i="24"/>
  <c r="O162" i="24"/>
  <c r="A167" i="17"/>
  <c r="L166" i="17"/>
  <c r="AJ166" i="17"/>
  <c r="X166" i="17"/>
  <c r="AB166" i="17"/>
  <c r="K166" i="17"/>
  <c r="AK166" i="17"/>
  <c r="O166" i="17"/>
  <c r="AC166" i="17"/>
  <c r="A166" i="16"/>
  <c r="AB165" i="16"/>
  <c r="K165" i="16"/>
  <c r="AK165" i="16"/>
  <c r="L165" i="16"/>
  <c r="X165" i="16"/>
  <c r="AJ165" i="16"/>
  <c r="AC165" i="16"/>
  <c r="O165" i="16"/>
  <c r="A162" i="25"/>
  <c r="K161" i="25"/>
  <c r="X161" i="25"/>
  <c r="AK161" i="25"/>
  <c r="AB161" i="25"/>
  <c r="L161" i="25"/>
  <c r="AJ161" i="25"/>
  <c r="AC161" i="25"/>
  <c r="O161" i="25"/>
  <c r="X164" i="22"/>
  <c r="L164" i="22"/>
  <c r="AB164" i="22"/>
  <c r="AK164" i="22"/>
  <c r="A165" i="22"/>
  <c r="K164" i="22"/>
  <c r="AJ164" i="22"/>
  <c r="AC164" i="22"/>
  <c r="O164" i="22"/>
  <c r="L169" i="18"/>
  <c r="K169" i="18"/>
  <c r="AJ169" i="18"/>
  <c r="A170" i="18"/>
  <c r="X169" i="18"/>
  <c r="AB169" i="18"/>
  <c r="AK169" i="18"/>
  <c r="AC169" i="18"/>
  <c r="O169" i="18"/>
  <c r="L170" i="18" l="1"/>
  <c r="A171" i="18"/>
  <c r="AJ170" i="18"/>
  <c r="X170" i="18"/>
  <c r="K170" i="18"/>
  <c r="AB170" i="18"/>
  <c r="AK170" i="18"/>
  <c r="AC170" i="18"/>
  <c r="O170" i="18"/>
  <c r="X167" i="17"/>
  <c r="L167" i="17"/>
  <c r="A168" i="17"/>
  <c r="AK167" i="17"/>
  <c r="AB167" i="17"/>
  <c r="K167" i="17"/>
  <c r="AJ167" i="17"/>
  <c r="O167" i="17"/>
  <c r="AC167" i="17"/>
  <c r="L163" i="24"/>
  <c r="AB163" i="24"/>
  <c r="X163" i="24"/>
  <c r="AK163" i="24"/>
  <c r="K163" i="24"/>
  <c r="A164" i="24"/>
  <c r="AJ163" i="24"/>
  <c r="AC163" i="24"/>
  <c r="O163" i="24"/>
  <c r="S171" i="1"/>
  <c r="R171" i="1" s="1"/>
  <c r="P171" i="1" s="1"/>
  <c r="V171" i="1" s="1"/>
  <c r="AA171" i="1" s="1"/>
  <c r="Z171" i="1" s="1"/>
  <c r="Y171" i="1" s="1"/>
  <c r="K172" i="15"/>
  <c r="A173" i="15"/>
  <c r="AJ172" i="15"/>
  <c r="AK172" i="15"/>
  <c r="X172" i="15"/>
  <c r="AB172" i="15"/>
  <c r="L172" i="15"/>
  <c r="AC172" i="15"/>
  <c r="O172" i="15"/>
  <c r="D171" i="15"/>
  <c r="E171" i="15" s="1"/>
  <c r="A166" i="22"/>
  <c r="AB165" i="22"/>
  <c r="AJ165" i="22"/>
  <c r="K165" i="22"/>
  <c r="L165" i="22"/>
  <c r="X165" i="22"/>
  <c r="AK165" i="22"/>
  <c r="AC165" i="22"/>
  <c r="O165" i="22"/>
  <c r="A163" i="25"/>
  <c r="L162" i="25"/>
  <c r="AJ162" i="25"/>
  <c r="AB162" i="25"/>
  <c r="X162" i="25"/>
  <c r="K162" i="25"/>
  <c r="AK162" i="25"/>
  <c r="AC162" i="25"/>
  <c r="O162" i="25"/>
  <c r="D165" i="16"/>
  <c r="E165" i="16" s="1"/>
  <c r="AB166" i="16"/>
  <c r="K166" i="16"/>
  <c r="L166" i="16"/>
  <c r="AK166" i="16"/>
  <c r="X166" i="16"/>
  <c r="A167" i="16"/>
  <c r="AJ166" i="16"/>
  <c r="AC166" i="16"/>
  <c r="O166" i="16"/>
  <c r="D166" i="17"/>
  <c r="E166" i="17" s="1"/>
  <c r="T172" i="1"/>
  <c r="AB173" i="1"/>
  <c r="AJ173" i="1"/>
  <c r="L173" i="1"/>
  <c r="X173" i="1"/>
  <c r="U173" i="1"/>
  <c r="AK173" i="1"/>
  <c r="K173" i="1"/>
  <c r="A174" i="1"/>
  <c r="Q173" i="1"/>
  <c r="O173" i="1"/>
  <c r="AC173" i="1"/>
  <c r="AB166" i="20"/>
  <c r="X166" i="20"/>
  <c r="L166" i="20"/>
  <c r="AK166" i="20"/>
  <c r="K166" i="20"/>
  <c r="A167" i="20"/>
  <c r="AJ166" i="20"/>
  <c r="AC166" i="20"/>
  <c r="O166" i="20"/>
  <c r="A165" i="23"/>
  <c r="K164" i="23"/>
  <c r="AJ164" i="23"/>
  <c r="X164" i="23"/>
  <c r="L164" i="23"/>
  <c r="AB164" i="23"/>
  <c r="AK164" i="23"/>
  <c r="AC164" i="23"/>
  <c r="O164" i="23"/>
  <c r="AB167" i="20" l="1"/>
  <c r="A168" i="20"/>
  <c r="AJ167" i="20"/>
  <c r="K167" i="20"/>
  <c r="L167" i="20"/>
  <c r="X167" i="20"/>
  <c r="AK167" i="20"/>
  <c r="AC167" i="20"/>
  <c r="O167" i="20"/>
  <c r="A175" i="1"/>
  <c r="AC174" i="1"/>
  <c r="L174" i="1"/>
  <c r="AK174" i="1"/>
  <c r="Q174" i="1"/>
  <c r="AJ174" i="1"/>
  <c r="K174" i="1"/>
  <c r="AB174" i="1"/>
  <c r="X174" i="1"/>
  <c r="U174" i="1"/>
  <c r="O174" i="1"/>
  <c r="S172" i="1"/>
  <c r="R172" i="1" s="1"/>
  <c r="P172" i="1" s="1"/>
  <c r="V172" i="1" s="1"/>
  <c r="AA172" i="1" s="1"/>
  <c r="Z172" i="1" s="1"/>
  <c r="Y172" i="1" s="1"/>
  <c r="D166" i="16"/>
  <c r="E166" i="16" s="1"/>
  <c r="X163" i="25"/>
  <c r="L163" i="25"/>
  <c r="A164" i="25"/>
  <c r="AK163" i="25"/>
  <c r="K163" i="25"/>
  <c r="AB163" i="25"/>
  <c r="AJ163" i="25"/>
  <c r="AC163" i="25"/>
  <c r="O163" i="25"/>
  <c r="AB166" i="22"/>
  <c r="A167" i="22"/>
  <c r="K166" i="22"/>
  <c r="AK166" i="22"/>
  <c r="X166" i="22"/>
  <c r="L166" i="22"/>
  <c r="AJ166" i="22"/>
  <c r="AC166" i="22"/>
  <c r="O166" i="22"/>
  <c r="L173" i="15"/>
  <c r="A174" i="15"/>
  <c r="AJ173" i="15"/>
  <c r="X173" i="15"/>
  <c r="K173" i="15"/>
  <c r="AB173" i="15"/>
  <c r="AK173" i="15"/>
  <c r="AC173" i="15"/>
  <c r="O173" i="15"/>
  <c r="A165" i="24"/>
  <c r="L164" i="24"/>
  <c r="AJ164" i="24"/>
  <c r="K164" i="24"/>
  <c r="AB164" i="24"/>
  <c r="X164" i="24"/>
  <c r="AK164" i="24"/>
  <c r="AC164" i="24"/>
  <c r="O164" i="24"/>
  <c r="AB168" i="17"/>
  <c r="K168" i="17"/>
  <c r="L168" i="17"/>
  <c r="D168" i="17" s="1"/>
  <c r="AK168" i="17"/>
  <c r="X168" i="17"/>
  <c r="A169" i="17"/>
  <c r="AJ168" i="17"/>
  <c r="O168" i="17"/>
  <c r="AC168" i="17"/>
  <c r="AB171" i="18"/>
  <c r="L171" i="18"/>
  <c r="AJ171" i="18"/>
  <c r="X171" i="18"/>
  <c r="A172" i="18"/>
  <c r="K171" i="18"/>
  <c r="AK171" i="18"/>
  <c r="O171" i="18"/>
  <c r="AC171" i="18"/>
  <c r="L165" i="23"/>
  <c r="A166" i="23"/>
  <c r="AJ165" i="23"/>
  <c r="K165" i="23"/>
  <c r="X165" i="23"/>
  <c r="AB165" i="23"/>
  <c r="AK165" i="23"/>
  <c r="AC165" i="23"/>
  <c r="O165" i="23"/>
  <c r="T173" i="1"/>
  <c r="AB167" i="16"/>
  <c r="L167" i="16"/>
  <c r="A168" i="16"/>
  <c r="AK167" i="16"/>
  <c r="X167" i="16"/>
  <c r="K167" i="16"/>
  <c r="AJ167" i="16"/>
  <c r="AC167" i="16"/>
  <c r="O167" i="16"/>
  <c r="D172" i="15"/>
  <c r="E172" i="15" s="1"/>
  <c r="D167" i="17"/>
  <c r="E167" i="17" s="1"/>
  <c r="A167" i="23" l="1"/>
  <c r="K166" i="23"/>
  <c r="AB166" i="23"/>
  <c r="AK166" i="23"/>
  <c r="L166" i="23"/>
  <c r="X166" i="23"/>
  <c r="AJ166" i="23"/>
  <c r="AC166" i="23"/>
  <c r="O166" i="23"/>
  <c r="D173" i="15"/>
  <c r="E173" i="15" s="1"/>
  <c r="K167" i="22"/>
  <c r="AB167" i="22"/>
  <c r="A168" i="22"/>
  <c r="AK167" i="22"/>
  <c r="L167" i="22"/>
  <c r="X167" i="22"/>
  <c r="AJ167" i="22"/>
  <c r="AC167" i="22"/>
  <c r="O167" i="22"/>
  <c r="X175" i="1"/>
  <c r="L175" i="1"/>
  <c r="A176" i="1"/>
  <c r="AK175" i="1"/>
  <c r="U175" i="1"/>
  <c r="AJ175" i="1"/>
  <c r="AB175" i="1"/>
  <c r="K175" i="1"/>
  <c r="Q175" i="1"/>
  <c r="AC175" i="1"/>
  <c r="O175" i="1"/>
  <c r="L168" i="20"/>
  <c r="X168" i="20"/>
  <c r="AJ168" i="20"/>
  <c r="AB168" i="20"/>
  <c r="A169" i="20"/>
  <c r="K168" i="20"/>
  <c r="AK168" i="20"/>
  <c r="AC168" i="20"/>
  <c r="O168" i="20"/>
  <c r="D167" i="16"/>
  <c r="E167" i="16" s="1"/>
  <c r="A169" i="16"/>
  <c r="L168" i="16"/>
  <c r="X168" i="16"/>
  <c r="AK168" i="16"/>
  <c r="K168" i="16"/>
  <c r="AB168" i="16"/>
  <c r="AJ168" i="16"/>
  <c r="AC168" i="16"/>
  <c r="O168" i="16"/>
  <c r="S173" i="1"/>
  <c r="R173" i="1" s="1"/>
  <c r="P173" i="1" s="1"/>
  <c r="V173" i="1" s="1"/>
  <c r="AA173" i="1" s="1"/>
  <c r="Z173" i="1" s="1"/>
  <c r="Y173" i="1" s="1"/>
  <c r="L172" i="18"/>
  <c r="A173" i="18"/>
  <c r="AJ172" i="18"/>
  <c r="K172" i="18"/>
  <c r="X172" i="18"/>
  <c r="AB172" i="18"/>
  <c r="AK172" i="18"/>
  <c r="O172" i="18"/>
  <c r="AC172" i="18"/>
  <c r="E168" i="17"/>
  <c r="X169" i="17"/>
  <c r="A170" i="17"/>
  <c r="AB169" i="17"/>
  <c r="AK169" i="17"/>
  <c r="L169" i="17"/>
  <c r="K169" i="17"/>
  <c r="AJ169" i="17"/>
  <c r="O169" i="17"/>
  <c r="AC169" i="17"/>
  <c r="X165" i="24"/>
  <c r="L165" i="24"/>
  <c r="AJ165" i="24"/>
  <c r="K165" i="24"/>
  <c r="A166" i="24"/>
  <c r="AB165" i="24"/>
  <c r="AK165" i="24"/>
  <c r="AC165" i="24"/>
  <c r="O165" i="24"/>
  <c r="L174" i="15"/>
  <c r="AB174" i="15"/>
  <c r="AK174" i="15"/>
  <c r="AC174" i="15"/>
  <c r="X174" i="15"/>
  <c r="K174" i="15"/>
  <c r="A175" i="15"/>
  <c r="AJ174" i="15"/>
  <c r="O174" i="15"/>
  <c r="A165" i="25"/>
  <c r="L164" i="25"/>
  <c r="K164" i="25"/>
  <c r="AK164" i="25"/>
  <c r="AB164" i="25"/>
  <c r="X164" i="25"/>
  <c r="AJ164" i="25"/>
  <c r="AC164" i="25"/>
  <c r="O164" i="25"/>
  <c r="T174" i="1"/>
  <c r="S174" i="1" l="1"/>
  <c r="R174" i="1" s="1"/>
  <c r="P174" i="1" s="1"/>
  <c r="V174" i="1" s="1"/>
  <c r="AA174" i="1" s="1"/>
  <c r="Z174" i="1" s="1"/>
  <c r="Y174" i="1" s="1"/>
  <c r="X175" i="15"/>
  <c r="L175" i="15"/>
  <c r="AB175" i="15"/>
  <c r="AJ175" i="15"/>
  <c r="AK175" i="15"/>
  <c r="K175" i="15"/>
  <c r="A176" i="15"/>
  <c r="AC175" i="15"/>
  <c r="O175" i="15"/>
  <c r="D174" i="15"/>
  <c r="E174" i="15" s="1"/>
  <c r="X170" i="17"/>
  <c r="L170" i="17"/>
  <c r="D170" i="17" s="1"/>
  <c r="AB170" i="17"/>
  <c r="AK170" i="17"/>
  <c r="A171" i="17"/>
  <c r="K170" i="17"/>
  <c r="AJ170" i="17"/>
  <c r="O170" i="17"/>
  <c r="E170" i="17" s="1"/>
  <c r="AC170" i="17"/>
  <c r="AB173" i="18"/>
  <c r="A174" i="18"/>
  <c r="AJ173" i="18"/>
  <c r="X173" i="18"/>
  <c r="K173" i="18"/>
  <c r="L173" i="18"/>
  <c r="AK173" i="18"/>
  <c r="O173" i="18"/>
  <c r="AC173" i="18"/>
  <c r="D168" i="16"/>
  <c r="E168" i="16" s="1"/>
  <c r="T175" i="1"/>
  <c r="A177" i="1"/>
  <c r="AK176" i="1"/>
  <c r="AJ176" i="1"/>
  <c r="L176" i="1"/>
  <c r="Q176" i="1"/>
  <c r="AB176" i="1"/>
  <c r="K176" i="1"/>
  <c r="X176" i="1"/>
  <c r="AC176" i="1"/>
  <c r="U176" i="1"/>
  <c r="O176" i="1"/>
  <c r="AB167" i="23"/>
  <c r="L167" i="23"/>
  <c r="AJ167" i="23"/>
  <c r="K167" i="23"/>
  <c r="X167" i="23"/>
  <c r="A168" i="23"/>
  <c r="AK167" i="23"/>
  <c r="AC167" i="23"/>
  <c r="O167" i="23"/>
  <c r="K165" i="25"/>
  <c r="A166" i="25"/>
  <c r="L165" i="25"/>
  <c r="AK165" i="25"/>
  <c r="X165" i="25"/>
  <c r="AB165" i="25"/>
  <c r="AJ165" i="25"/>
  <c r="AC165" i="25"/>
  <c r="O165" i="25"/>
  <c r="K166" i="24"/>
  <c r="A167" i="24"/>
  <c r="AB166" i="24"/>
  <c r="AK166" i="24"/>
  <c r="L166" i="24"/>
  <c r="X166" i="24"/>
  <c r="AJ166" i="24"/>
  <c r="AC166" i="24"/>
  <c r="O166" i="24"/>
  <c r="D169" i="17"/>
  <c r="E169" i="17" s="1"/>
  <c r="AB169" i="16"/>
  <c r="A170" i="16"/>
  <c r="AJ169" i="16"/>
  <c r="K169" i="16"/>
  <c r="L169" i="16"/>
  <c r="X169" i="16"/>
  <c r="AK169" i="16"/>
  <c r="AC169" i="16"/>
  <c r="O169" i="16"/>
  <c r="L169" i="20"/>
  <c r="X169" i="20"/>
  <c r="AJ169" i="20"/>
  <c r="K169" i="20"/>
  <c r="A170" i="20"/>
  <c r="AB169" i="20"/>
  <c r="AK169" i="20"/>
  <c r="AC169" i="20"/>
  <c r="O169" i="20"/>
  <c r="AB168" i="22"/>
  <c r="A169" i="22"/>
  <c r="X168" i="22"/>
  <c r="AK168" i="22"/>
  <c r="K168" i="22"/>
  <c r="L168" i="22"/>
  <c r="AJ168" i="22"/>
  <c r="AC168" i="22"/>
  <c r="O168" i="22"/>
  <c r="K170" i="20" l="1"/>
  <c r="X170" i="20"/>
  <c r="A171" i="20"/>
  <c r="AK170" i="20"/>
  <c r="AB170" i="20"/>
  <c r="L170" i="20"/>
  <c r="AJ170" i="20"/>
  <c r="AC170" i="20"/>
  <c r="O170" i="20"/>
  <c r="D169" i="16"/>
  <c r="E169" i="16" s="1"/>
  <c r="AB169" i="22"/>
  <c r="A170" i="22"/>
  <c r="K169" i="22"/>
  <c r="AK169" i="22"/>
  <c r="X169" i="22"/>
  <c r="L169" i="22"/>
  <c r="AJ169" i="22"/>
  <c r="AC169" i="22"/>
  <c r="O169" i="22"/>
  <c r="X170" i="16"/>
  <c r="AB170" i="16"/>
  <c r="K170" i="16"/>
  <c r="AK170" i="16"/>
  <c r="L170" i="16"/>
  <c r="A171" i="16"/>
  <c r="AJ170" i="16"/>
  <c r="AC170" i="16"/>
  <c r="O170" i="16"/>
  <c r="X167" i="24"/>
  <c r="L167" i="24"/>
  <c r="AJ167" i="24"/>
  <c r="A168" i="24"/>
  <c r="K167" i="24"/>
  <c r="AB167" i="24"/>
  <c r="AK167" i="24"/>
  <c r="AC167" i="24"/>
  <c r="O167" i="24"/>
  <c r="X166" i="25"/>
  <c r="AB166" i="25"/>
  <c r="AJ166" i="25"/>
  <c r="K166" i="25"/>
  <c r="L166" i="25"/>
  <c r="A167" i="25"/>
  <c r="AK166" i="25"/>
  <c r="AC166" i="25"/>
  <c r="O166" i="25"/>
  <c r="X168" i="23"/>
  <c r="AB168" i="23"/>
  <c r="AJ168" i="23"/>
  <c r="A169" i="23"/>
  <c r="K168" i="23"/>
  <c r="L168" i="23"/>
  <c r="AK168" i="23"/>
  <c r="AC168" i="23"/>
  <c r="O168" i="23"/>
  <c r="T176" i="1"/>
  <c r="K174" i="18"/>
  <c r="AB174" i="18"/>
  <c r="A175" i="18"/>
  <c r="AK174" i="18"/>
  <c r="L174" i="18"/>
  <c r="X174" i="18"/>
  <c r="AJ174" i="18"/>
  <c r="O174" i="18"/>
  <c r="AC174" i="18"/>
  <c r="A172" i="17"/>
  <c r="K171" i="17"/>
  <c r="X171" i="17"/>
  <c r="AK171" i="17"/>
  <c r="L171" i="17"/>
  <c r="D171" i="17" s="1"/>
  <c r="AB171" i="17"/>
  <c r="AJ171" i="17"/>
  <c r="O171" i="17"/>
  <c r="AC171" i="17"/>
  <c r="A177" i="15"/>
  <c r="AB176" i="15"/>
  <c r="X176" i="15"/>
  <c r="AC176" i="15"/>
  <c r="L176" i="15"/>
  <c r="K176" i="15"/>
  <c r="AJ176" i="15"/>
  <c r="AK176" i="15"/>
  <c r="O176" i="15"/>
  <c r="K177" i="1"/>
  <c r="L177" i="1"/>
  <c r="A178" i="1"/>
  <c r="Q177" i="1"/>
  <c r="U177" i="1"/>
  <c r="X177" i="1"/>
  <c r="AJ177" i="1"/>
  <c r="AB177" i="1"/>
  <c r="AC177" i="1"/>
  <c r="AK177" i="1"/>
  <c r="O177" i="1"/>
  <c r="S175" i="1"/>
  <c r="R175" i="1" s="1"/>
  <c r="P175" i="1" s="1"/>
  <c r="V175" i="1" s="1"/>
  <c r="AA175" i="1" s="1"/>
  <c r="Z175" i="1" s="1"/>
  <c r="Y175" i="1" s="1"/>
  <c r="D175" i="15"/>
  <c r="E175" i="15" s="1"/>
  <c r="D176" i="15" l="1"/>
  <c r="E176" i="15" s="1"/>
  <c r="A178" i="15"/>
  <c r="K177" i="15"/>
  <c r="L177" i="15"/>
  <c r="D177" i="15" s="1"/>
  <c r="AC177" i="15"/>
  <c r="AB177" i="15"/>
  <c r="X177" i="15"/>
  <c r="AJ177" i="15"/>
  <c r="AK177" i="15"/>
  <c r="O177" i="15"/>
  <c r="E177" i="15" s="1"/>
  <c r="K172" i="17"/>
  <c r="L172" i="17"/>
  <c r="X172" i="17"/>
  <c r="AK172" i="17"/>
  <c r="A173" i="17"/>
  <c r="AB172" i="17"/>
  <c r="AJ172" i="17"/>
  <c r="O172" i="17"/>
  <c r="AC172" i="17"/>
  <c r="S176" i="1"/>
  <c r="R176" i="1" s="1"/>
  <c r="P176" i="1" s="1"/>
  <c r="V176" i="1" s="1"/>
  <c r="AA176" i="1" s="1"/>
  <c r="Z176" i="1" s="1"/>
  <c r="Y176" i="1" s="1"/>
  <c r="L169" i="23"/>
  <c r="X169" i="23"/>
  <c r="AJ169" i="23"/>
  <c r="A170" i="23"/>
  <c r="K169" i="23"/>
  <c r="AB169" i="23"/>
  <c r="AK169" i="23"/>
  <c r="AC169" i="23"/>
  <c r="O169" i="23"/>
  <c r="K168" i="24"/>
  <c r="X168" i="24"/>
  <c r="L168" i="24"/>
  <c r="AK168" i="24"/>
  <c r="A169" i="24"/>
  <c r="AB168" i="24"/>
  <c r="AJ168" i="24"/>
  <c r="AC168" i="24"/>
  <c r="O168" i="24"/>
  <c r="D170" i="16"/>
  <c r="E170" i="16" s="1"/>
  <c r="L170" i="22"/>
  <c r="K170" i="22"/>
  <c r="AJ170" i="22"/>
  <c r="X170" i="22"/>
  <c r="A171" i="22"/>
  <c r="AB170" i="22"/>
  <c r="AK170" i="22"/>
  <c r="AC170" i="22"/>
  <c r="O170" i="22"/>
  <c r="K171" i="20"/>
  <c r="X171" i="20"/>
  <c r="L171" i="20"/>
  <c r="AK171" i="20"/>
  <c r="AB171" i="20"/>
  <c r="A172" i="20"/>
  <c r="AJ171" i="20"/>
  <c r="AC171" i="20"/>
  <c r="O171" i="20"/>
  <c r="T177" i="1"/>
  <c r="X178" i="1"/>
  <c r="AC178" i="1"/>
  <c r="A179" i="1"/>
  <c r="K178" i="1"/>
  <c r="Q178" i="1"/>
  <c r="U178" i="1"/>
  <c r="O178" i="1"/>
  <c r="AK178" i="1"/>
  <c r="L178" i="1"/>
  <c r="AJ178" i="1"/>
  <c r="AB178" i="1"/>
  <c r="E171" i="17"/>
  <c r="X175" i="18"/>
  <c r="K175" i="18"/>
  <c r="AJ175" i="18"/>
  <c r="AB175" i="18"/>
  <c r="L175" i="18"/>
  <c r="A176" i="18"/>
  <c r="AK175" i="18"/>
  <c r="O175" i="18"/>
  <c r="AC175" i="18"/>
  <c r="X167" i="25"/>
  <c r="AB167" i="25"/>
  <c r="AJ167" i="25"/>
  <c r="K167" i="25"/>
  <c r="A168" i="25"/>
  <c r="L167" i="25"/>
  <c r="AK167" i="25"/>
  <c r="AC167" i="25"/>
  <c r="O167" i="25"/>
  <c r="A172" i="16"/>
  <c r="AB171" i="16"/>
  <c r="AJ171" i="16"/>
  <c r="K171" i="16"/>
  <c r="L171" i="16"/>
  <c r="X171" i="16"/>
  <c r="AK171" i="16"/>
  <c r="AC171" i="16"/>
  <c r="O171" i="16"/>
  <c r="D171" i="16" l="1"/>
  <c r="L172" i="16"/>
  <c r="AB172" i="16"/>
  <c r="A173" i="16"/>
  <c r="AK172" i="16"/>
  <c r="K172" i="16"/>
  <c r="X172" i="16"/>
  <c r="AJ172" i="16"/>
  <c r="AC172" i="16"/>
  <c r="O172" i="16"/>
  <c r="L168" i="25"/>
  <c r="X168" i="25"/>
  <c r="AJ168" i="25"/>
  <c r="K168" i="25"/>
  <c r="AB168" i="25"/>
  <c r="A169" i="25"/>
  <c r="AK168" i="25"/>
  <c r="AC168" i="25"/>
  <c r="O168" i="25"/>
  <c r="AJ179" i="1"/>
  <c r="Q179" i="1"/>
  <c r="X179" i="1"/>
  <c r="L179" i="1"/>
  <c r="U179" i="1"/>
  <c r="AK179" i="1"/>
  <c r="A180" i="1"/>
  <c r="K179" i="1"/>
  <c r="AB179" i="1"/>
  <c r="O179" i="1"/>
  <c r="AC179" i="1"/>
  <c r="L172" i="20"/>
  <c r="X172" i="20"/>
  <c r="AJ172" i="20"/>
  <c r="AB172" i="20"/>
  <c r="K172" i="20"/>
  <c r="A173" i="20"/>
  <c r="AK172" i="20"/>
  <c r="AC172" i="20"/>
  <c r="O172" i="20"/>
  <c r="K170" i="23"/>
  <c r="A171" i="23"/>
  <c r="AB170" i="23"/>
  <c r="AK170" i="23"/>
  <c r="L170" i="23"/>
  <c r="X170" i="23"/>
  <c r="AJ170" i="23"/>
  <c r="AC170" i="23"/>
  <c r="O170" i="23"/>
  <c r="D172" i="17"/>
  <c r="E172" i="17" s="1"/>
  <c r="X178" i="15"/>
  <c r="AB178" i="15"/>
  <c r="A179" i="15"/>
  <c r="AK178" i="15"/>
  <c r="L178" i="15"/>
  <c r="D178" i="15" s="1"/>
  <c r="K178" i="15"/>
  <c r="AC178" i="15"/>
  <c r="AJ178" i="15"/>
  <c r="O178" i="15"/>
  <c r="E178" i="15" s="1"/>
  <c r="E171" i="16"/>
  <c r="X176" i="18"/>
  <c r="AB176" i="18"/>
  <c r="AJ176" i="18"/>
  <c r="K176" i="18"/>
  <c r="A177" i="18"/>
  <c r="L176" i="18"/>
  <c r="AK176" i="18"/>
  <c r="O176" i="18"/>
  <c r="AC176" i="18"/>
  <c r="T178" i="1"/>
  <c r="S177" i="1"/>
  <c r="R177" i="1" s="1"/>
  <c r="P177" i="1" s="1"/>
  <c r="V177" i="1" s="1"/>
  <c r="AA177" i="1" s="1"/>
  <c r="Z177" i="1" s="1"/>
  <c r="Y177" i="1" s="1"/>
  <c r="X171" i="22"/>
  <c r="K171" i="22"/>
  <c r="L171" i="22"/>
  <c r="AK171" i="22"/>
  <c r="A172" i="22"/>
  <c r="AB171" i="22"/>
  <c r="AJ171" i="22"/>
  <c r="AC171" i="22"/>
  <c r="O171" i="22"/>
  <c r="X169" i="24"/>
  <c r="A170" i="24"/>
  <c r="AB169" i="24"/>
  <c r="AK169" i="24"/>
  <c r="K169" i="24"/>
  <c r="L169" i="24"/>
  <c r="AJ169" i="24"/>
  <c r="AC169" i="24"/>
  <c r="O169" i="24"/>
  <c r="A174" i="17"/>
  <c r="K173" i="17"/>
  <c r="AJ173" i="17"/>
  <c r="X173" i="17"/>
  <c r="AB173" i="17"/>
  <c r="L173" i="17"/>
  <c r="AK173" i="17"/>
  <c r="O173" i="17"/>
  <c r="AC173" i="17"/>
  <c r="D173" i="17" l="1"/>
  <c r="E173" i="17" s="1"/>
  <c r="AB170" i="24"/>
  <c r="L170" i="24"/>
  <c r="AJ170" i="24"/>
  <c r="K170" i="24"/>
  <c r="X170" i="24"/>
  <c r="A171" i="24"/>
  <c r="AK170" i="24"/>
  <c r="AC170" i="24"/>
  <c r="O170" i="24"/>
  <c r="X174" i="17"/>
  <c r="L174" i="17"/>
  <c r="D174" i="17" s="1"/>
  <c r="AJ174" i="17"/>
  <c r="A175" i="17"/>
  <c r="K174" i="17"/>
  <c r="AB174" i="17"/>
  <c r="AK174" i="17"/>
  <c r="O174" i="17"/>
  <c r="E174" i="17" s="1"/>
  <c r="AC174" i="17"/>
  <c r="K172" i="22"/>
  <c r="L172" i="22"/>
  <c r="AJ172" i="22"/>
  <c r="X172" i="22"/>
  <c r="AB172" i="22"/>
  <c r="A173" i="22"/>
  <c r="AK172" i="22"/>
  <c r="AC172" i="22"/>
  <c r="O172" i="22"/>
  <c r="S178" i="1"/>
  <c r="R178" i="1" s="1"/>
  <c r="P178" i="1" s="1"/>
  <c r="V178" i="1" s="1"/>
  <c r="AA178" i="1" s="1"/>
  <c r="Z178" i="1" s="1"/>
  <c r="Y178" i="1" s="1"/>
  <c r="AB177" i="18"/>
  <c r="K177" i="18"/>
  <c r="X177" i="18"/>
  <c r="AK177" i="18"/>
  <c r="A178" i="18"/>
  <c r="L177" i="18"/>
  <c r="AJ177" i="18"/>
  <c r="O177" i="18"/>
  <c r="AC177" i="18"/>
  <c r="AB173" i="20"/>
  <c r="L173" i="20"/>
  <c r="X173" i="20"/>
  <c r="AK173" i="20"/>
  <c r="K173" i="20"/>
  <c r="A174" i="20"/>
  <c r="AJ173" i="20"/>
  <c r="AC173" i="20"/>
  <c r="O173" i="20"/>
  <c r="L180" i="1"/>
  <c r="AJ180" i="1"/>
  <c r="AB180" i="1"/>
  <c r="K180" i="1"/>
  <c r="X180" i="1"/>
  <c r="A25" i="7"/>
  <c r="AK180" i="1"/>
  <c r="Q180" i="1"/>
  <c r="A181" i="1"/>
  <c r="AC180" i="1"/>
  <c r="U180" i="1"/>
  <c r="O180" i="1"/>
  <c r="C25" i="7" s="1"/>
  <c r="T179" i="1"/>
  <c r="K169" i="25"/>
  <c r="AB169" i="25"/>
  <c r="L169" i="25"/>
  <c r="AK169" i="25"/>
  <c r="X169" i="25"/>
  <c r="A170" i="25"/>
  <c r="AJ169" i="25"/>
  <c r="AC169" i="25"/>
  <c r="O169" i="25"/>
  <c r="AB179" i="15"/>
  <c r="K179" i="15"/>
  <c r="AJ179" i="15"/>
  <c r="L179" i="15"/>
  <c r="X179" i="15"/>
  <c r="A180" i="15"/>
  <c r="AK179" i="15"/>
  <c r="AC179" i="15"/>
  <c r="O179" i="15"/>
  <c r="A172" i="23"/>
  <c r="AB171" i="23"/>
  <c r="X171" i="23"/>
  <c r="AK171" i="23"/>
  <c r="L171" i="23"/>
  <c r="K171" i="23"/>
  <c r="AJ171" i="23"/>
  <c r="AC171" i="23"/>
  <c r="O171" i="23"/>
  <c r="L173" i="16"/>
  <c r="X173" i="16"/>
  <c r="A174" i="16"/>
  <c r="AK173" i="16"/>
  <c r="AB173" i="16"/>
  <c r="K173" i="16"/>
  <c r="AJ173" i="16"/>
  <c r="AC173" i="16"/>
  <c r="O173" i="16"/>
  <c r="D172" i="16"/>
  <c r="E172" i="16" s="1"/>
  <c r="A37" i="7" l="1"/>
  <c r="X180" i="15"/>
  <c r="K180" i="15"/>
  <c r="AC180" i="15"/>
  <c r="AB180" i="15"/>
  <c r="L180" i="15"/>
  <c r="A181" i="15"/>
  <c r="AJ180" i="15"/>
  <c r="AK180" i="15"/>
  <c r="O180" i="15"/>
  <c r="C37" i="7" s="1"/>
  <c r="D179" i="15"/>
  <c r="E179" i="15" s="1"/>
  <c r="AB170" i="25"/>
  <c r="K170" i="25"/>
  <c r="L170" i="25"/>
  <c r="AK170" i="25"/>
  <c r="A171" i="25"/>
  <c r="X170" i="25"/>
  <c r="AJ170" i="25"/>
  <c r="AC170" i="25"/>
  <c r="O170" i="25"/>
  <c r="S179" i="1"/>
  <c r="R179" i="1" s="1"/>
  <c r="P179" i="1" s="1"/>
  <c r="V179" i="1" s="1"/>
  <c r="AA179" i="1" s="1"/>
  <c r="Z179" i="1" s="1"/>
  <c r="Y179" i="1" s="1"/>
  <c r="X178" i="18"/>
  <c r="L178" i="18"/>
  <c r="AJ178" i="18"/>
  <c r="A179" i="18"/>
  <c r="AB178" i="18"/>
  <c r="K178" i="18"/>
  <c r="AK178" i="18"/>
  <c r="AC178" i="18"/>
  <c r="O178" i="18"/>
  <c r="L173" i="22"/>
  <c r="K173" i="22"/>
  <c r="AJ173" i="22"/>
  <c r="X173" i="22"/>
  <c r="AB173" i="22"/>
  <c r="A174" i="22"/>
  <c r="AK173" i="22"/>
  <c r="AC173" i="22"/>
  <c r="O173" i="22"/>
  <c r="AB171" i="24"/>
  <c r="L171" i="24"/>
  <c r="A172" i="24"/>
  <c r="AK171" i="24"/>
  <c r="X171" i="24"/>
  <c r="K171" i="24"/>
  <c r="AJ171" i="24"/>
  <c r="AC171" i="24"/>
  <c r="O171" i="24"/>
  <c r="A175" i="16"/>
  <c r="L174" i="16"/>
  <c r="K174" i="16"/>
  <c r="AK174" i="16"/>
  <c r="X174" i="16"/>
  <c r="AB174" i="16"/>
  <c r="AJ174" i="16"/>
  <c r="AC174" i="16"/>
  <c r="O174" i="16"/>
  <c r="D173" i="16"/>
  <c r="E173" i="16" s="1"/>
  <c r="X172" i="23"/>
  <c r="A173" i="23"/>
  <c r="AJ172" i="23"/>
  <c r="K172" i="23"/>
  <c r="AB172" i="23"/>
  <c r="L172" i="23"/>
  <c r="AK172" i="23"/>
  <c r="AC172" i="23"/>
  <c r="O172" i="23"/>
  <c r="T180" i="1"/>
  <c r="K181" i="1"/>
  <c r="X181" i="1"/>
  <c r="AK181" i="1"/>
  <c r="A182" i="1"/>
  <c r="U181" i="1"/>
  <c r="AJ181" i="1"/>
  <c r="Q181" i="1"/>
  <c r="AC181" i="1"/>
  <c r="AB181" i="1"/>
  <c r="L181" i="1"/>
  <c r="O181" i="1"/>
  <c r="B25" i="7"/>
  <c r="X174" i="20"/>
  <c r="K174" i="20"/>
  <c r="AB174" i="20"/>
  <c r="AK174" i="20"/>
  <c r="L174" i="20"/>
  <c r="A175" i="20"/>
  <c r="AJ174" i="20"/>
  <c r="AC174" i="20"/>
  <c r="O174" i="20"/>
  <c r="AB175" i="17"/>
  <c r="A176" i="17"/>
  <c r="AJ175" i="17"/>
  <c r="X175" i="17"/>
  <c r="K175" i="17"/>
  <c r="L175" i="17"/>
  <c r="D175" i="17" s="1"/>
  <c r="AK175" i="17"/>
  <c r="O175" i="17"/>
  <c r="AC175" i="17"/>
  <c r="E175" i="17" l="1"/>
  <c r="A183" i="1"/>
  <c r="K182" i="1"/>
  <c r="AC182" i="1"/>
  <c r="L182" i="1"/>
  <c r="Q182" i="1"/>
  <c r="AJ182" i="1"/>
  <c r="AK182" i="1"/>
  <c r="X182" i="1"/>
  <c r="AB182" i="1"/>
  <c r="U182" i="1"/>
  <c r="O182" i="1"/>
  <c r="L175" i="16"/>
  <c r="X175" i="16"/>
  <c r="AJ175" i="16"/>
  <c r="A176" i="16"/>
  <c r="K175" i="16"/>
  <c r="AB175" i="16"/>
  <c r="AK175" i="16"/>
  <c r="AC175" i="16"/>
  <c r="O175" i="16"/>
  <c r="K172" i="24"/>
  <c r="X172" i="24"/>
  <c r="L172" i="24"/>
  <c r="AK172" i="24"/>
  <c r="AB172" i="24"/>
  <c r="A173" i="24"/>
  <c r="AJ172" i="24"/>
  <c r="AC172" i="24"/>
  <c r="O172" i="24"/>
  <c r="K174" i="22"/>
  <c r="L174" i="22"/>
  <c r="X174" i="22"/>
  <c r="AK174" i="22"/>
  <c r="AB174" i="22"/>
  <c r="A175" i="22"/>
  <c r="AJ174" i="22"/>
  <c r="AC174" i="22"/>
  <c r="O174" i="22"/>
  <c r="K171" i="25"/>
  <c r="X171" i="25"/>
  <c r="AJ171" i="25"/>
  <c r="AB171" i="25"/>
  <c r="L171" i="25"/>
  <c r="A172" i="25"/>
  <c r="AK171" i="25"/>
  <c r="AC171" i="25"/>
  <c r="O171" i="25"/>
  <c r="D180" i="15"/>
  <c r="E180" i="15" s="1"/>
  <c r="B37" i="7"/>
  <c r="A177" i="17"/>
  <c r="K176" i="17"/>
  <c r="L176" i="17"/>
  <c r="D176" i="17" s="1"/>
  <c r="AK176" i="17"/>
  <c r="AB176" i="17"/>
  <c r="X176" i="17"/>
  <c r="AJ176" i="17"/>
  <c r="O176" i="17"/>
  <c r="AC176" i="17"/>
  <c r="A176" i="20"/>
  <c r="K175" i="20"/>
  <c r="AJ175" i="20"/>
  <c r="X175" i="20"/>
  <c r="AB175" i="20"/>
  <c r="L175" i="20"/>
  <c r="AK175" i="20"/>
  <c r="AC175" i="20"/>
  <c r="O175" i="20"/>
  <c r="T181" i="1"/>
  <c r="S180" i="1"/>
  <c r="R180" i="1" s="1"/>
  <c r="P180" i="1" s="1"/>
  <c r="K173" i="23"/>
  <c r="A174" i="23"/>
  <c r="L173" i="23"/>
  <c r="AK173" i="23"/>
  <c r="AB173" i="23"/>
  <c r="X173" i="23"/>
  <c r="AJ173" i="23"/>
  <c r="AC173" i="23"/>
  <c r="O173" i="23"/>
  <c r="D174" i="16"/>
  <c r="E174" i="16" s="1"/>
  <c r="AB179" i="18"/>
  <c r="K179" i="18"/>
  <c r="AJ179" i="18"/>
  <c r="A180" i="18"/>
  <c r="L179" i="18"/>
  <c r="X179" i="18"/>
  <c r="AK179" i="18"/>
  <c r="O179" i="18"/>
  <c r="AC179" i="18"/>
  <c r="K181" i="15"/>
  <c r="X181" i="15"/>
  <c r="A182" i="15"/>
  <c r="AC181" i="15"/>
  <c r="L181" i="15"/>
  <c r="AB181" i="15"/>
  <c r="AJ181" i="15"/>
  <c r="AK181" i="15"/>
  <c r="O181" i="15"/>
  <c r="E176" i="17" l="1"/>
  <c r="D25" i="7"/>
  <c r="V180" i="1"/>
  <c r="D181" i="15"/>
  <c r="E181" i="15" s="1"/>
  <c r="K182" i="15"/>
  <c r="L182" i="15"/>
  <c r="X182" i="15"/>
  <c r="AJ182" i="15"/>
  <c r="A183" i="15"/>
  <c r="AB182" i="15"/>
  <c r="AK182" i="15"/>
  <c r="AC182" i="15"/>
  <c r="O182" i="15"/>
  <c r="A181" i="18"/>
  <c r="L180" i="18"/>
  <c r="AB180" i="18"/>
  <c r="AJ180" i="18"/>
  <c r="X180" i="18"/>
  <c r="A73" i="7"/>
  <c r="K180" i="18"/>
  <c r="AK180" i="18"/>
  <c r="O180" i="18"/>
  <c r="C73" i="7" s="1"/>
  <c r="AC180" i="18"/>
  <c r="A175" i="23"/>
  <c r="AB174" i="23"/>
  <c r="L174" i="23"/>
  <c r="AK174" i="23"/>
  <c r="X174" i="23"/>
  <c r="K174" i="23"/>
  <c r="AJ174" i="23"/>
  <c r="AC174" i="23"/>
  <c r="O174" i="23"/>
  <c r="S181" i="1"/>
  <c r="R181" i="1" s="1"/>
  <c r="P181" i="1" s="1"/>
  <c r="V181" i="1" s="1"/>
  <c r="AA181" i="1" s="1"/>
  <c r="Z181" i="1" s="1"/>
  <c r="Y181" i="1" s="1"/>
  <c r="K176" i="20"/>
  <c r="A177" i="20"/>
  <c r="AJ176" i="20"/>
  <c r="X176" i="20"/>
  <c r="AB176" i="20"/>
  <c r="L176" i="20"/>
  <c r="AK176" i="20"/>
  <c r="AC176" i="20"/>
  <c r="O176" i="20"/>
  <c r="L175" i="22"/>
  <c r="X175" i="22"/>
  <c r="AJ175" i="22"/>
  <c r="K175" i="22"/>
  <c r="AB175" i="22"/>
  <c r="A176" i="22"/>
  <c r="AK175" i="22"/>
  <c r="AC175" i="22"/>
  <c r="O175" i="22"/>
  <c r="D175" i="16"/>
  <c r="E175" i="16" s="1"/>
  <c r="T182" i="1"/>
  <c r="K177" i="17"/>
  <c r="L177" i="17"/>
  <c r="AJ177" i="17"/>
  <c r="X177" i="17"/>
  <c r="A178" i="17"/>
  <c r="AB177" i="17"/>
  <c r="AK177" i="17"/>
  <c r="O177" i="17"/>
  <c r="AC177" i="17"/>
  <c r="A173" i="25"/>
  <c r="AB172" i="25"/>
  <c r="X172" i="25"/>
  <c r="AK172" i="25"/>
  <c r="L172" i="25"/>
  <c r="K172" i="25"/>
  <c r="AJ172" i="25"/>
  <c r="AC172" i="25"/>
  <c r="O172" i="25"/>
  <c r="X173" i="24"/>
  <c r="AB173" i="24"/>
  <c r="AJ173" i="24"/>
  <c r="K173" i="24"/>
  <c r="L173" i="24"/>
  <c r="A174" i="24"/>
  <c r="AK173" i="24"/>
  <c r="AC173" i="24"/>
  <c r="O173" i="24"/>
  <c r="X176" i="16"/>
  <c r="A177" i="16"/>
  <c r="AB176" i="16"/>
  <c r="AK176" i="16"/>
  <c r="L176" i="16"/>
  <c r="K176" i="16"/>
  <c r="AJ176" i="16"/>
  <c r="AC176" i="16"/>
  <c r="O176" i="16"/>
  <c r="A184" i="1"/>
  <c r="AB183" i="1"/>
  <c r="AJ183" i="1"/>
  <c r="K183" i="1"/>
  <c r="AK183" i="1"/>
  <c r="X183" i="1"/>
  <c r="Q183" i="1"/>
  <c r="AC183" i="1"/>
  <c r="L183" i="1"/>
  <c r="U183" i="1"/>
  <c r="O183" i="1"/>
  <c r="T183" i="1" l="1"/>
  <c r="D176" i="16"/>
  <c r="E176" i="16" s="1"/>
  <c r="X174" i="24"/>
  <c r="K174" i="24"/>
  <c r="A175" i="24"/>
  <c r="AK174" i="24"/>
  <c r="L174" i="24"/>
  <c r="AB174" i="24"/>
  <c r="AJ174" i="24"/>
  <c r="AC174" i="24"/>
  <c r="O174" i="24"/>
  <c r="D177" i="17"/>
  <c r="E177" i="17" s="1"/>
  <c r="S182" i="1"/>
  <c r="R182" i="1" s="1"/>
  <c r="P182" i="1" s="1"/>
  <c r="V182" i="1" s="1"/>
  <c r="AA182" i="1" s="1"/>
  <c r="Z182" i="1" s="1"/>
  <c r="Y182" i="1" s="1"/>
  <c r="AB176" i="22"/>
  <c r="A177" i="22"/>
  <c r="K176" i="22"/>
  <c r="AK176" i="22"/>
  <c r="L176" i="22"/>
  <c r="X176" i="22"/>
  <c r="AJ176" i="22"/>
  <c r="AC176" i="22"/>
  <c r="O176" i="22"/>
  <c r="L175" i="23"/>
  <c r="AB175" i="23"/>
  <c r="AJ175" i="23"/>
  <c r="A176" i="23"/>
  <c r="X175" i="23"/>
  <c r="K175" i="23"/>
  <c r="AK175" i="23"/>
  <c r="AC175" i="23"/>
  <c r="O175" i="23"/>
  <c r="AB181" i="18"/>
  <c r="X181" i="18"/>
  <c r="L181" i="18"/>
  <c r="AK181" i="18"/>
  <c r="A182" i="18"/>
  <c r="K181" i="18"/>
  <c r="AJ181" i="18"/>
  <c r="O181" i="18"/>
  <c r="AC181" i="18"/>
  <c r="AB183" i="15"/>
  <c r="A184" i="15"/>
  <c r="AJ183" i="15"/>
  <c r="AK183" i="15"/>
  <c r="L183" i="15"/>
  <c r="X183" i="15"/>
  <c r="K183" i="15"/>
  <c r="AC183" i="15"/>
  <c r="O183" i="15"/>
  <c r="AA180" i="1"/>
  <c r="Z180" i="1" s="1"/>
  <c r="Y180" i="1" s="1"/>
  <c r="Q184" i="1"/>
  <c r="AB184" i="1"/>
  <c r="AJ184" i="1"/>
  <c r="X184" i="1"/>
  <c r="U184" i="1"/>
  <c r="AC184" i="1"/>
  <c r="AK184" i="1"/>
  <c r="L184" i="1"/>
  <c r="A185" i="1"/>
  <c r="K184" i="1"/>
  <c r="O184" i="1"/>
  <c r="K177" i="16"/>
  <c r="AB177" i="16"/>
  <c r="L177" i="16"/>
  <c r="AK177" i="16"/>
  <c r="A178" i="16"/>
  <c r="X177" i="16"/>
  <c r="AJ177" i="16"/>
  <c r="AC177" i="16"/>
  <c r="O177" i="16"/>
  <c r="K173" i="25"/>
  <c r="AB173" i="25"/>
  <c r="A174" i="25"/>
  <c r="AK173" i="25"/>
  <c r="X173" i="25"/>
  <c r="L173" i="25"/>
  <c r="AJ173" i="25"/>
  <c r="AC173" i="25"/>
  <c r="O173" i="25"/>
  <c r="K178" i="17"/>
  <c r="AB178" i="17"/>
  <c r="L178" i="17"/>
  <c r="AK178" i="17"/>
  <c r="X178" i="17"/>
  <c r="A179" i="17"/>
  <c r="AJ178" i="17"/>
  <c r="O178" i="17"/>
  <c r="AC178" i="17"/>
  <c r="A178" i="20"/>
  <c r="AB177" i="20"/>
  <c r="L177" i="20"/>
  <c r="AK177" i="20"/>
  <c r="X177" i="20"/>
  <c r="K177" i="20"/>
  <c r="AJ177" i="20"/>
  <c r="AC177" i="20"/>
  <c r="O177" i="20"/>
  <c r="B73" i="7"/>
  <c r="D182" i="15"/>
  <c r="E182" i="15" s="1"/>
  <c r="A180" i="17" l="1"/>
  <c r="L179" i="17"/>
  <c r="AJ179" i="17"/>
  <c r="K179" i="17"/>
  <c r="X179" i="17"/>
  <c r="AB179" i="17"/>
  <c r="AK179" i="17"/>
  <c r="O179" i="17"/>
  <c r="AC179" i="17"/>
  <c r="AB174" i="25"/>
  <c r="A175" i="25"/>
  <c r="AJ174" i="25"/>
  <c r="K174" i="25"/>
  <c r="L174" i="25"/>
  <c r="X174" i="25"/>
  <c r="AK174" i="25"/>
  <c r="AC174" i="25"/>
  <c r="O174" i="25"/>
  <c r="X185" i="1"/>
  <c r="AJ185" i="1"/>
  <c r="L185" i="1"/>
  <c r="A186" i="1"/>
  <c r="U185" i="1"/>
  <c r="AK185" i="1"/>
  <c r="AB185" i="1"/>
  <c r="K185" i="1"/>
  <c r="Q185" i="1"/>
  <c r="O185" i="1"/>
  <c r="AC185" i="1"/>
  <c r="T184" i="1"/>
  <c r="X184" i="15"/>
  <c r="K184" i="15"/>
  <c r="AJ184" i="15"/>
  <c r="AK184" i="15"/>
  <c r="L184" i="15"/>
  <c r="D184" i="15" s="1"/>
  <c r="AB184" i="15"/>
  <c r="A185" i="15"/>
  <c r="AC184" i="15"/>
  <c r="O184" i="15"/>
  <c r="E184" i="15" s="1"/>
  <c r="A178" i="22"/>
  <c r="X177" i="22"/>
  <c r="AJ177" i="22"/>
  <c r="K177" i="22"/>
  <c r="AB177" i="22"/>
  <c r="L177" i="22"/>
  <c r="AK177" i="22"/>
  <c r="AC177" i="22"/>
  <c r="O177" i="22"/>
  <c r="S183" i="1"/>
  <c r="R183" i="1" s="1"/>
  <c r="P183" i="1" s="1"/>
  <c r="V183" i="1" s="1"/>
  <c r="AB178" i="20"/>
  <c r="A179" i="20"/>
  <c r="K178" i="20"/>
  <c r="AK178" i="20"/>
  <c r="X178" i="20"/>
  <c r="L178" i="20"/>
  <c r="AJ178" i="20"/>
  <c r="AC178" i="20"/>
  <c r="O178" i="20"/>
  <c r="D178" i="17"/>
  <c r="E178" i="17" s="1"/>
  <c r="A179" i="16"/>
  <c r="L178" i="16"/>
  <c r="AB178" i="16"/>
  <c r="AK178" i="16"/>
  <c r="X178" i="16"/>
  <c r="K178" i="16"/>
  <c r="AJ178" i="16"/>
  <c r="AC178" i="16"/>
  <c r="O178" i="16"/>
  <c r="D177" i="16"/>
  <c r="E177" i="16" s="1"/>
  <c r="D183" i="15"/>
  <c r="E183" i="15" s="1"/>
  <c r="A183" i="18"/>
  <c r="K182" i="18"/>
  <c r="X182" i="18"/>
  <c r="AK182" i="18"/>
  <c r="L182" i="18"/>
  <c r="AB182" i="18"/>
  <c r="AJ182" i="18"/>
  <c r="AC182" i="18"/>
  <c r="O182" i="18"/>
  <c r="K176" i="23"/>
  <c r="L176" i="23"/>
  <c r="AJ176" i="23"/>
  <c r="AB176" i="23"/>
  <c r="A177" i="23"/>
  <c r="X176" i="23"/>
  <c r="AK176" i="23"/>
  <c r="AC176" i="23"/>
  <c r="O176" i="23"/>
  <c r="X175" i="24"/>
  <c r="K175" i="24"/>
  <c r="L175" i="24"/>
  <c r="AK175" i="24"/>
  <c r="AB175" i="24"/>
  <c r="A176" i="24"/>
  <c r="AJ175" i="24"/>
  <c r="AC175" i="24"/>
  <c r="O175" i="24"/>
  <c r="AA183" i="1" l="1"/>
  <c r="Z183" i="1" s="1"/>
  <c r="Y183" i="1" s="1"/>
  <c r="K183" i="18"/>
  <c r="AB183" i="18"/>
  <c r="A184" i="18"/>
  <c r="AK183" i="18"/>
  <c r="X183" i="18"/>
  <c r="L183" i="18"/>
  <c r="AJ183" i="18"/>
  <c r="O183" i="18"/>
  <c r="AC183" i="18"/>
  <c r="AB179" i="16"/>
  <c r="X179" i="16"/>
  <c r="AJ179" i="16"/>
  <c r="K179" i="16"/>
  <c r="A180" i="16"/>
  <c r="L179" i="16"/>
  <c r="AK179" i="16"/>
  <c r="AC179" i="16"/>
  <c r="O179" i="16"/>
  <c r="K185" i="15"/>
  <c r="X185" i="15"/>
  <c r="AB185" i="15"/>
  <c r="AJ185" i="15"/>
  <c r="L185" i="15"/>
  <c r="D185" i="15" s="1"/>
  <c r="A186" i="15"/>
  <c r="AK185" i="15"/>
  <c r="AC185" i="15"/>
  <c r="O185" i="15"/>
  <c r="AJ186" i="1"/>
  <c r="AK186" i="1"/>
  <c r="A187" i="1"/>
  <c r="L186" i="1"/>
  <c r="X186" i="1"/>
  <c r="K186" i="1"/>
  <c r="AC186" i="1"/>
  <c r="Q186" i="1"/>
  <c r="AB186" i="1"/>
  <c r="U186" i="1"/>
  <c r="O186" i="1"/>
  <c r="K180" i="17"/>
  <c r="AB180" i="17"/>
  <c r="A181" i="17"/>
  <c r="AK180" i="17"/>
  <c r="X180" i="17"/>
  <c r="L180" i="17"/>
  <c r="A61" i="7"/>
  <c r="AJ180" i="17"/>
  <c r="O180" i="17"/>
  <c r="C61" i="7" s="1"/>
  <c r="AC180" i="17"/>
  <c r="L176" i="24"/>
  <c r="A177" i="24"/>
  <c r="AJ176" i="24"/>
  <c r="K176" i="24"/>
  <c r="AB176" i="24"/>
  <c r="X176" i="24"/>
  <c r="AK176" i="24"/>
  <c r="AC176" i="24"/>
  <c r="O176" i="24"/>
  <c r="AB177" i="23"/>
  <c r="L177" i="23"/>
  <c r="K177" i="23"/>
  <c r="AK177" i="23"/>
  <c r="A178" i="23"/>
  <c r="X177" i="23"/>
  <c r="AJ177" i="23"/>
  <c r="AC177" i="23"/>
  <c r="O177" i="23"/>
  <c r="D178" i="16"/>
  <c r="E178" i="16" s="1"/>
  <c r="L179" i="20"/>
  <c r="X179" i="20"/>
  <c r="AJ179" i="20"/>
  <c r="K179" i="20"/>
  <c r="AB179" i="20"/>
  <c r="A180" i="20"/>
  <c r="AK179" i="20"/>
  <c r="AC179" i="20"/>
  <c r="O179" i="20"/>
  <c r="X178" i="22"/>
  <c r="A179" i="22"/>
  <c r="AB178" i="22"/>
  <c r="AK178" i="22"/>
  <c r="L178" i="22"/>
  <c r="K178" i="22"/>
  <c r="AJ178" i="22"/>
  <c r="AC178" i="22"/>
  <c r="O178" i="22"/>
  <c r="S184" i="1"/>
  <c r="R184" i="1" s="1"/>
  <c r="P184" i="1" s="1"/>
  <c r="V184" i="1" s="1"/>
  <c r="T185" i="1"/>
  <c r="AB175" i="25"/>
  <c r="X175" i="25"/>
  <c r="K175" i="25"/>
  <c r="AK175" i="25"/>
  <c r="A176" i="25"/>
  <c r="L175" i="25"/>
  <c r="AJ175" i="25"/>
  <c r="AC175" i="25"/>
  <c r="O175" i="25"/>
  <c r="D179" i="17"/>
  <c r="E179" i="17" s="1"/>
  <c r="E185" i="15" l="1"/>
  <c r="AA184" i="1"/>
  <c r="Z184" i="1" s="1"/>
  <c r="Y184" i="1" s="1"/>
  <c r="AB178" i="23"/>
  <c r="K178" i="23"/>
  <c r="AJ178" i="23"/>
  <c r="X178" i="23"/>
  <c r="L178" i="23"/>
  <c r="A179" i="23"/>
  <c r="AK178" i="23"/>
  <c r="AC178" i="23"/>
  <c r="O178" i="23"/>
  <c r="AB181" i="17"/>
  <c r="A182" i="17"/>
  <c r="AJ181" i="17"/>
  <c r="K181" i="17"/>
  <c r="L181" i="17"/>
  <c r="X181" i="17"/>
  <c r="AK181" i="17"/>
  <c r="O181" i="17"/>
  <c r="AC181" i="17"/>
  <c r="AB187" i="1"/>
  <c r="Q187" i="1"/>
  <c r="AK187" i="1"/>
  <c r="A188" i="1"/>
  <c r="O187" i="1"/>
  <c r="K187" i="1"/>
  <c r="L187" i="1"/>
  <c r="X187" i="1"/>
  <c r="AJ187" i="1"/>
  <c r="U187" i="1"/>
  <c r="AC187" i="1"/>
  <c r="K186" i="15"/>
  <c r="X186" i="15"/>
  <c r="AJ186" i="15"/>
  <c r="AC186" i="15"/>
  <c r="A187" i="15"/>
  <c r="L186" i="15"/>
  <c r="AB186" i="15"/>
  <c r="AK186" i="15"/>
  <c r="O186" i="15"/>
  <c r="X180" i="16"/>
  <c r="A181" i="16"/>
  <c r="K180" i="16"/>
  <c r="AJ180" i="16"/>
  <c r="L180" i="16"/>
  <c r="A49" i="7"/>
  <c r="AB180" i="16"/>
  <c r="AK180" i="16"/>
  <c r="AC180" i="16"/>
  <c r="O180" i="16"/>
  <c r="C49" i="7" s="1"/>
  <c r="A185" i="18"/>
  <c r="X184" i="18"/>
  <c r="AB184" i="18"/>
  <c r="AK184" i="18"/>
  <c r="L184" i="18"/>
  <c r="K184" i="18"/>
  <c r="AJ184" i="18"/>
  <c r="O184" i="18"/>
  <c r="AC184" i="18"/>
  <c r="X176" i="25"/>
  <c r="K176" i="25"/>
  <c r="AB176" i="25"/>
  <c r="AK176" i="25"/>
  <c r="L176" i="25"/>
  <c r="A177" i="25"/>
  <c r="AJ176" i="25"/>
  <c r="AC176" i="25"/>
  <c r="O176" i="25"/>
  <c r="S185" i="1"/>
  <c r="R185" i="1" s="1"/>
  <c r="P185" i="1" s="1"/>
  <c r="V185" i="1" s="1"/>
  <c r="AB179" i="22"/>
  <c r="A180" i="22"/>
  <c r="K179" i="22"/>
  <c r="AK179" i="22"/>
  <c r="X179" i="22"/>
  <c r="L179" i="22"/>
  <c r="AJ179" i="22"/>
  <c r="AC179" i="22"/>
  <c r="O179" i="22"/>
  <c r="L180" i="20"/>
  <c r="AB180" i="20"/>
  <c r="K180" i="20"/>
  <c r="AK180" i="20"/>
  <c r="AE25" i="7"/>
  <c r="A181" i="20"/>
  <c r="X180" i="20"/>
  <c r="AJ180" i="20"/>
  <c r="AC180" i="20"/>
  <c r="O180" i="20"/>
  <c r="AG25" i="7" s="1"/>
  <c r="K177" i="24"/>
  <c r="X177" i="24"/>
  <c r="A178" i="24"/>
  <c r="AK177" i="24"/>
  <c r="AB177" i="24"/>
  <c r="L177" i="24"/>
  <c r="AJ177" i="24"/>
  <c r="AC177" i="24"/>
  <c r="O177" i="24"/>
  <c r="B61" i="7"/>
  <c r="D180" i="17"/>
  <c r="E180" i="17" s="1"/>
  <c r="T186" i="1"/>
  <c r="D179" i="16"/>
  <c r="E179" i="16" s="1"/>
  <c r="AA185" i="1" l="1"/>
  <c r="Z185" i="1" s="1"/>
  <c r="Y185" i="1" s="1"/>
  <c r="A182" i="20"/>
  <c r="AB181" i="20"/>
  <c r="AJ181" i="20"/>
  <c r="X181" i="20"/>
  <c r="K181" i="20"/>
  <c r="L181" i="20"/>
  <c r="AK181" i="20"/>
  <c r="AC181" i="20"/>
  <c r="O181" i="20"/>
  <c r="K177" i="25"/>
  <c r="A178" i="25"/>
  <c r="X177" i="25"/>
  <c r="AK177" i="25"/>
  <c r="L177" i="25"/>
  <c r="AB177" i="25"/>
  <c r="AJ177" i="25"/>
  <c r="AC177" i="25"/>
  <c r="O177" i="25"/>
  <c r="X181" i="16"/>
  <c r="L181" i="16"/>
  <c r="A182" i="16"/>
  <c r="AK181" i="16"/>
  <c r="AB181" i="16"/>
  <c r="K181" i="16"/>
  <c r="AJ181" i="16"/>
  <c r="AC181" i="16"/>
  <c r="O181" i="16"/>
  <c r="D186" i="15"/>
  <c r="E186" i="15" s="1"/>
  <c r="AB182" i="17"/>
  <c r="A183" i="17"/>
  <c r="AJ182" i="17"/>
  <c r="X182" i="17"/>
  <c r="L182" i="17"/>
  <c r="K182" i="17"/>
  <c r="AK182" i="17"/>
  <c r="O182" i="17"/>
  <c r="AC182" i="17"/>
  <c r="K179" i="23"/>
  <c r="L179" i="23"/>
  <c r="AB179" i="23"/>
  <c r="AK179" i="23"/>
  <c r="A180" i="23"/>
  <c r="X179" i="23"/>
  <c r="AJ179" i="23"/>
  <c r="AC179" i="23"/>
  <c r="O179" i="23"/>
  <c r="S186" i="1"/>
  <c r="R186" i="1" s="1"/>
  <c r="P186" i="1" s="1"/>
  <c r="V186" i="1" s="1"/>
  <c r="A179" i="24"/>
  <c r="K178" i="24"/>
  <c r="AJ178" i="24"/>
  <c r="AB178" i="24"/>
  <c r="L178" i="24"/>
  <c r="X178" i="24"/>
  <c r="AK178" i="24"/>
  <c r="AC178" i="24"/>
  <c r="O178" i="24"/>
  <c r="AF25" i="7"/>
  <c r="K180" i="22"/>
  <c r="AE37" i="7"/>
  <c r="A181" i="22"/>
  <c r="AK180" i="22"/>
  <c r="X180" i="22"/>
  <c r="L180" i="22"/>
  <c r="AB180" i="22"/>
  <c r="AJ180" i="22"/>
  <c r="AC180" i="22"/>
  <c r="O180" i="22"/>
  <c r="AG37" i="7" s="1"/>
  <c r="K185" i="18"/>
  <c r="L185" i="18"/>
  <c r="AB185" i="18"/>
  <c r="AK185" i="18"/>
  <c r="A186" i="18"/>
  <c r="X185" i="18"/>
  <c r="AJ185" i="18"/>
  <c r="AC185" i="18"/>
  <c r="O185" i="18"/>
  <c r="D180" i="16"/>
  <c r="E180" i="16" s="1"/>
  <c r="B49" i="7"/>
  <c r="L187" i="15"/>
  <c r="D187" i="15" s="1"/>
  <c r="AB187" i="15"/>
  <c r="AJ187" i="15"/>
  <c r="AK187" i="15"/>
  <c r="A188" i="15"/>
  <c r="X187" i="15"/>
  <c r="K187" i="15"/>
  <c r="AC187" i="15"/>
  <c r="O187" i="15"/>
  <c r="T187" i="1"/>
  <c r="AJ188" i="1"/>
  <c r="AK188" i="1"/>
  <c r="X188" i="1"/>
  <c r="AB188" i="1"/>
  <c r="K188" i="1"/>
  <c r="U188" i="1"/>
  <c r="Q188" i="1"/>
  <c r="A189" i="1"/>
  <c r="O188" i="1"/>
  <c r="AC188" i="1"/>
  <c r="L188" i="1"/>
  <c r="D181" i="17"/>
  <c r="E181" i="17" s="1"/>
  <c r="E187" i="15" l="1"/>
  <c r="AA186" i="1"/>
  <c r="Z186" i="1" s="1"/>
  <c r="Y186" i="1" s="1"/>
  <c r="K186" i="18"/>
  <c r="AB186" i="18"/>
  <c r="L186" i="18"/>
  <c r="AK186" i="18"/>
  <c r="A187" i="18"/>
  <c r="X186" i="18"/>
  <c r="AJ186" i="18"/>
  <c r="O186" i="18"/>
  <c r="AC186" i="18"/>
  <c r="AF37" i="7"/>
  <c r="AB179" i="24"/>
  <c r="L179" i="24"/>
  <c r="AJ179" i="24"/>
  <c r="X179" i="24"/>
  <c r="K179" i="24"/>
  <c r="A180" i="24"/>
  <c r="AK179" i="24"/>
  <c r="AC179" i="24"/>
  <c r="O179" i="24"/>
  <c r="D182" i="17"/>
  <c r="D181" i="16"/>
  <c r="E181" i="16" s="1"/>
  <c r="AB178" i="25"/>
  <c r="A179" i="25"/>
  <c r="AJ178" i="25"/>
  <c r="K178" i="25"/>
  <c r="L178" i="25"/>
  <c r="X178" i="25"/>
  <c r="AK178" i="25"/>
  <c r="AC178" i="25"/>
  <c r="O178" i="25"/>
  <c r="S187" i="1"/>
  <c r="R187" i="1" s="1"/>
  <c r="P187" i="1" s="1"/>
  <c r="V187" i="1" s="1"/>
  <c r="AA187" i="1" s="1"/>
  <c r="Z187" i="1" s="1"/>
  <c r="Y187" i="1" s="1"/>
  <c r="AJ189" i="1"/>
  <c r="AK189" i="1"/>
  <c r="K189" i="1"/>
  <c r="AC189" i="1"/>
  <c r="L189" i="1"/>
  <c r="A190" i="1"/>
  <c r="Q189" i="1"/>
  <c r="X189" i="1"/>
  <c r="AB189" i="1"/>
  <c r="U189" i="1"/>
  <c r="O189" i="1"/>
  <c r="T188" i="1"/>
  <c r="L188" i="15"/>
  <c r="D188" i="15" s="1"/>
  <c r="K188" i="15"/>
  <c r="X188" i="15"/>
  <c r="AJ188" i="15"/>
  <c r="AB188" i="15"/>
  <c r="A189" i="15"/>
  <c r="AC188" i="15"/>
  <c r="AK188" i="15"/>
  <c r="O188" i="15"/>
  <c r="X181" i="22"/>
  <c r="K181" i="22"/>
  <c r="AB181" i="22"/>
  <c r="AK181" i="22"/>
  <c r="A182" i="22"/>
  <c r="L181" i="22"/>
  <c r="AJ181" i="22"/>
  <c r="AC181" i="22"/>
  <c r="O181" i="22"/>
  <c r="L180" i="23"/>
  <c r="AB180" i="23"/>
  <c r="AE49" i="7"/>
  <c r="AK180" i="23"/>
  <c r="A181" i="23"/>
  <c r="X180" i="23"/>
  <c r="K180" i="23"/>
  <c r="AJ180" i="23"/>
  <c r="AC180" i="23"/>
  <c r="O180" i="23"/>
  <c r="AG49" i="7" s="1"/>
  <c r="E182" i="17"/>
  <c r="X183" i="17"/>
  <c r="A184" i="17"/>
  <c r="L183" i="17"/>
  <c r="D183" i="17" s="1"/>
  <c r="AK183" i="17"/>
  <c r="K183" i="17"/>
  <c r="AB183" i="17"/>
  <c r="AJ183" i="17"/>
  <c r="O183" i="17"/>
  <c r="AC183" i="17"/>
  <c r="L182" i="16"/>
  <c r="X182" i="16"/>
  <c r="A183" i="16"/>
  <c r="AK182" i="16"/>
  <c r="AB182" i="16"/>
  <c r="K182" i="16"/>
  <c r="AJ182" i="16"/>
  <c r="AC182" i="16"/>
  <c r="O182" i="16"/>
  <c r="A183" i="20"/>
  <c r="X182" i="20"/>
  <c r="AJ182" i="20"/>
  <c r="K182" i="20"/>
  <c r="L182" i="20"/>
  <c r="AB182" i="20"/>
  <c r="AK182" i="20"/>
  <c r="AC182" i="20"/>
  <c r="O182" i="20"/>
  <c r="E188" i="15" l="1"/>
  <c r="E183" i="17"/>
  <c r="AB183" i="20"/>
  <c r="K183" i="20"/>
  <c r="AJ183" i="20"/>
  <c r="X183" i="20"/>
  <c r="A184" i="20"/>
  <c r="L183" i="20"/>
  <c r="AK183" i="20"/>
  <c r="AC183" i="20"/>
  <c r="O183" i="20"/>
  <c r="AB184" i="17"/>
  <c r="X184" i="17"/>
  <c r="K184" i="17"/>
  <c r="AK184" i="17"/>
  <c r="L184" i="17"/>
  <c r="D184" i="17" s="1"/>
  <c r="A185" i="17"/>
  <c r="AJ184" i="17"/>
  <c r="O184" i="17"/>
  <c r="AC184" i="17"/>
  <c r="K181" i="23"/>
  <c r="L181" i="23"/>
  <c r="AJ181" i="23"/>
  <c r="A182" i="23"/>
  <c r="AB181" i="23"/>
  <c r="X181" i="23"/>
  <c r="AK181" i="23"/>
  <c r="AC181" i="23"/>
  <c r="O181" i="23"/>
  <c r="AF49" i="7"/>
  <c r="X182" i="22"/>
  <c r="L182" i="22"/>
  <c r="AJ182" i="22"/>
  <c r="K182" i="22"/>
  <c r="A183" i="22"/>
  <c r="AB182" i="22"/>
  <c r="AK182" i="22"/>
  <c r="AC182" i="22"/>
  <c r="O182" i="22"/>
  <c r="X179" i="25"/>
  <c r="AB179" i="25"/>
  <c r="AJ179" i="25"/>
  <c r="A180" i="25"/>
  <c r="K179" i="25"/>
  <c r="L179" i="25"/>
  <c r="AK179" i="25"/>
  <c r="AC179" i="25"/>
  <c r="O179" i="25"/>
  <c r="AB187" i="18"/>
  <c r="L187" i="18"/>
  <c r="AJ187" i="18"/>
  <c r="A188" i="18"/>
  <c r="X187" i="18"/>
  <c r="K187" i="18"/>
  <c r="AK187" i="18"/>
  <c r="AC187" i="18"/>
  <c r="O187" i="18"/>
  <c r="K183" i="16"/>
  <c r="L183" i="16"/>
  <c r="AB183" i="16"/>
  <c r="AK183" i="16"/>
  <c r="X183" i="16"/>
  <c r="A184" i="16"/>
  <c r="AJ183" i="16"/>
  <c r="AC183" i="16"/>
  <c r="O183" i="16"/>
  <c r="D182" i="16"/>
  <c r="E182" i="16" s="1"/>
  <c r="A190" i="15"/>
  <c r="X189" i="15"/>
  <c r="AB189" i="15"/>
  <c r="AJ189" i="15"/>
  <c r="K189" i="15"/>
  <c r="L189" i="15"/>
  <c r="AK189" i="15"/>
  <c r="AC189" i="15"/>
  <c r="O189" i="15"/>
  <c r="S188" i="1"/>
  <c r="R188" i="1" s="1"/>
  <c r="P188" i="1" s="1"/>
  <c r="V188" i="1" s="1"/>
  <c r="AA188" i="1" s="1"/>
  <c r="Z188" i="1" s="1"/>
  <c r="Y188" i="1" s="1"/>
  <c r="T189" i="1"/>
  <c r="AB190" i="1"/>
  <c r="K190" i="1"/>
  <c r="AK190" i="1"/>
  <c r="Q190" i="1"/>
  <c r="L190" i="1"/>
  <c r="X190" i="1"/>
  <c r="A191" i="1"/>
  <c r="AC190" i="1"/>
  <c r="AJ190" i="1"/>
  <c r="U190" i="1"/>
  <c r="O190" i="1"/>
  <c r="A181" i="24"/>
  <c r="AB180" i="24"/>
  <c r="X180" i="24"/>
  <c r="AK180" i="24"/>
  <c r="K180" i="24"/>
  <c r="AE61" i="7"/>
  <c r="L180" i="24"/>
  <c r="AJ180" i="24"/>
  <c r="AC180" i="24"/>
  <c r="O180" i="24"/>
  <c r="AG61" i="7" s="1"/>
  <c r="E184" i="17" l="1"/>
  <c r="L191" i="1"/>
  <c r="X191" i="1"/>
  <c r="AJ191" i="1"/>
  <c r="AK191" i="1"/>
  <c r="U191" i="1"/>
  <c r="A192" i="1"/>
  <c r="O191" i="1"/>
  <c r="K191" i="1"/>
  <c r="AB191" i="1"/>
  <c r="Q191" i="1"/>
  <c r="AC191" i="1"/>
  <c r="T190" i="1"/>
  <c r="A191" i="15"/>
  <c r="X190" i="15"/>
  <c r="AJ190" i="15"/>
  <c r="AK190" i="15"/>
  <c r="AB190" i="15"/>
  <c r="L190" i="15"/>
  <c r="K190" i="15"/>
  <c r="AC190" i="15"/>
  <c r="O190" i="15"/>
  <c r="L184" i="16"/>
  <c r="X184" i="16"/>
  <c r="AB184" i="16"/>
  <c r="AK184" i="16"/>
  <c r="K184" i="16"/>
  <c r="A185" i="16"/>
  <c r="AJ184" i="16"/>
  <c r="AC184" i="16"/>
  <c r="O184" i="16"/>
  <c r="D183" i="16"/>
  <c r="E183" i="16" s="1"/>
  <c r="AB183" i="22"/>
  <c r="L183" i="22"/>
  <c r="AJ183" i="22"/>
  <c r="A184" i="22"/>
  <c r="X183" i="22"/>
  <c r="K183" i="22"/>
  <c r="AK183" i="22"/>
  <c r="AC183" i="22"/>
  <c r="O183" i="22"/>
  <c r="K184" i="20"/>
  <c r="AB184" i="20"/>
  <c r="AJ184" i="20"/>
  <c r="X184" i="20"/>
  <c r="A185" i="20"/>
  <c r="L184" i="20"/>
  <c r="AK184" i="20"/>
  <c r="AC184" i="20"/>
  <c r="O184" i="20"/>
  <c r="AF61" i="7"/>
  <c r="X181" i="24"/>
  <c r="L181" i="24"/>
  <c r="AJ181" i="24"/>
  <c r="K181" i="24"/>
  <c r="A182" i="24"/>
  <c r="AB181" i="24"/>
  <c r="AK181" i="24"/>
  <c r="AC181" i="24"/>
  <c r="O181" i="24"/>
  <c r="S189" i="1"/>
  <c r="R189" i="1" s="1"/>
  <c r="P189" i="1" s="1"/>
  <c r="V189" i="1" s="1"/>
  <c r="AA189" i="1" s="1"/>
  <c r="Z189" i="1" s="1"/>
  <c r="Y189" i="1" s="1"/>
  <c r="D189" i="15"/>
  <c r="E189" i="15" s="1"/>
  <c r="L188" i="18"/>
  <c r="AB188" i="18"/>
  <c r="AJ188" i="18"/>
  <c r="X188" i="18"/>
  <c r="A189" i="18"/>
  <c r="K188" i="18"/>
  <c r="AK188" i="18"/>
  <c r="AC188" i="18"/>
  <c r="O188" i="18"/>
  <c r="AB180" i="25"/>
  <c r="AE73" i="7"/>
  <c r="K180" i="25"/>
  <c r="AJ180" i="25"/>
  <c r="L180" i="25"/>
  <c r="X180" i="25"/>
  <c r="A181" i="25"/>
  <c r="AK180" i="25"/>
  <c r="AC180" i="25"/>
  <c r="O180" i="25"/>
  <c r="AG73" i="7" s="1"/>
  <c r="K182" i="23"/>
  <c r="L182" i="23"/>
  <c r="AJ182" i="23"/>
  <c r="AB182" i="23"/>
  <c r="X182" i="23"/>
  <c r="A183" i="23"/>
  <c r="AK182" i="23"/>
  <c r="AC182" i="23"/>
  <c r="O182" i="23"/>
  <c r="X185" i="17"/>
  <c r="A186" i="17"/>
  <c r="AJ185" i="17"/>
  <c r="AB185" i="17"/>
  <c r="L185" i="17"/>
  <c r="D185" i="17" s="1"/>
  <c r="K185" i="17"/>
  <c r="AK185" i="17"/>
  <c r="O185" i="17"/>
  <c r="AC185" i="17"/>
  <c r="E185" i="17" l="1"/>
  <c r="AB186" i="17"/>
  <c r="L186" i="17"/>
  <c r="D186" i="17" s="1"/>
  <c r="K186" i="17"/>
  <c r="AK186" i="17"/>
  <c r="X186" i="17"/>
  <c r="A187" i="17"/>
  <c r="AJ186" i="17"/>
  <c r="O186" i="17"/>
  <c r="E186" i="17" s="1"/>
  <c r="AC186" i="17"/>
  <c r="A184" i="23"/>
  <c r="K183" i="23"/>
  <c r="AJ183" i="23"/>
  <c r="AB183" i="23"/>
  <c r="L183" i="23"/>
  <c r="X183" i="23"/>
  <c r="AK183" i="23"/>
  <c r="AC183" i="23"/>
  <c r="O183" i="23"/>
  <c r="A190" i="18"/>
  <c r="K189" i="18"/>
  <c r="L189" i="18"/>
  <c r="AK189" i="18"/>
  <c r="X189" i="18"/>
  <c r="AB189" i="18"/>
  <c r="AJ189" i="18"/>
  <c r="O189" i="18"/>
  <c r="AC189" i="18"/>
  <c r="A183" i="24"/>
  <c r="AB182" i="24"/>
  <c r="AJ182" i="24"/>
  <c r="X182" i="24"/>
  <c r="L182" i="24"/>
  <c r="K182" i="24"/>
  <c r="AK182" i="24"/>
  <c r="AC182" i="24"/>
  <c r="O182" i="24"/>
  <c r="D184" i="16"/>
  <c r="E184" i="16" s="1"/>
  <c r="D190" i="15"/>
  <c r="S190" i="1"/>
  <c r="R190" i="1" s="1"/>
  <c r="P190" i="1" s="1"/>
  <c r="V190" i="1" s="1"/>
  <c r="AA190" i="1" s="1"/>
  <c r="Z190" i="1" s="1"/>
  <c r="Y190" i="1" s="1"/>
  <c r="AJ192" i="1"/>
  <c r="A193" i="1"/>
  <c r="AK192" i="1"/>
  <c r="Q192" i="1"/>
  <c r="AC192" i="1"/>
  <c r="U192" i="1"/>
  <c r="AB192" i="1"/>
  <c r="O192" i="1"/>
  <c r="X192" i="1"/>
  <c r="L192" i="1"/>
  <c r="K192" i="1"/>
  <c r="L181" i="25"/>
  <c r="X181" i="25"/>
  <c r="AJ181" i="25"/>
  <c r="A182" i="25"/>
  <c r="K181" i="25"/>
  <c r="AB181" i="25"/>
  <c r="AK181" i="25"/>
  <c r="AC181" i="25"/>
  <c r="O181" i="25"/>
  <c r="AF73" i="7"/>
  <c r="X185" i="20"/>
  <c r="L185" i="20"/>
  <c r="AJ185" i="20"/>
  <c r="K185" i="20"/>
  <c r="A186" i="20"/>
  <c r="AB185" i="20"/>
  <c r="AK185" i="20"/>
  <c r="AC185" i="20"/>
  <c r="O185" i="20"/>
  <c r="AB184" i="22"/>
  <c r="A185" i="22"/>
  <c r="AJ184" i="22"/>
  <c r="K184" i="22"/>
  <c r="L184" i="22"/>
  <c r="X184" i="22"/>
  <c r="AK184" i="22"/>
  <c r="AC184" i="22"/>
  <c r="O184" i="22"/>
  <c r="A186" i="16"/>
  <c r="L185" i="16"/>
  <c r="X185" i="16"/>
  <c r="AK185" i="16"/>
  <c r="AB185" i="16"/>
  <c r="K185" i="16"/>
  <c r="AJ185" i="16"/>
  <c r="AC185" i="16"/>
  <c r="O185" i="16"/>
  <c r="E190" i="15"/>
  <c r="A192" i="15"/>
  <c r="L191" i="15"/>
  <c r="X191" i="15"/>
  <c r="AC191" i="15"/>
  <c r="AB191" i="15"/>
  <c r="K191" i="15"/>
  <c r="AJ191" i="15"/>
  <c r="AK191" i="15"/>
  <c r="O191" i="15"/>
  <c r="T191" i="1"/>
  <c r="S191" i="1" l="1"/>
  <c r="R191" i="1" s="1"/>
  <c r="P191" i="1" s="1"/>
  <c r="V191" i="1" s="1"/>
  <c r="AA191" i="1" s="1"/>
  <c r="Z191" i="1" s="1"/>
  <c r="Y191" i="1" s="1"/>
  <c r="D191" i="15"/>
  <c r="E191" i="15" s="1"/>
  <c r="D185" i="16"/>
  <c r="AB192" i="15"/>
  <c r="L192" i="15"/>
  <c r="D192" i="15" s="1"/>
  <c r="K192" i="15"/>
  <c r="AC192" i="15"/>
  <c r="A193" i="15"/>
  <c r="X192" i="15"/>
  <c r="AJ192" i="15"/>
  <c r="AK192" i="15"/>
  <c r="O192" i="15"/>
  <c r="E185" i="16"/>
  <c r="A187" i="16"/>
  <c r="AB186" i="16"/>
  <c r="AJ186" i="16"/>
  <c r="X186" i="16"/>
  <c r="L186" i="16"/>
  <c r="K186" i="16"/>
  <c r="AK186" i="16"/>
  <c r="AC186" i="16"/>
  <c r="O186" i="16"/>
  <c r="X185" i="22"/>
  <c r="AB185" i="22"/>
  <c r="L185" i="22"/>
  <c r="AK185" i="22"/>
  <c r="K185" i="22"/>
  <c r="A186" i="22"/>
  <c r="AJ185" i="22"/>
  <c r="AC185" i="22"/>
  <c r="O185" i="22"/>
  <c r="X186" i="20"/>
  <c r="A187" i="20"/>
  <c r="AJ186" i="20"/>
  <c r="AB186" i="20"/>
  <c r="L186" i="20"/>
  <c r="K186" i="20"/>
  <c r="AK186" i="20"/>
  <c r="AC186" i="20"/>
  <c r="O186" i="20"/>
  <c r="A183" i="25"/>
  <c r="X182" i="25"/>
  <c r="AJ182" i="25"/>
  <c r="K182" i="25"/>
  <c r="AB182" i="25"/>
  <c r="L182" i="25"/>
  <c r="AK182" i="25"/>
  <c r="AC182" i="25"/>
  <c r="O182" i="25"/>
  <c r="T192" i="1"/>
  <c r="L193" i="1"/>
  <c r="K193" i="1"/>
  <c r="AK193" i="1"/>
  <c r="AB193" i="1"/>
  <c r="U193" i="1"/>
  <c r="A194" i="1"/>
  <c r="Q193" i="1"/>
  <c r="X193" i="1"/>
  <c r="AJ193" i="1"/>
  <c r="AC193" i="1"/>
  <c r="O193" i="1"/>
  <c r="AB183" i="24"/>
  <c r="K183" i="24"/>
  <c r="A184" i="24"/>
  <c r="AK183" i="24"/>
  <c r="X183" i="24"/>
  <c r="L183" i="24"/>
  <c r="AJ183" i="24"/>
  <c r="AC183" i="24"/>
  <c r="O183" i="24"/>
  <c r="X190" i="18"/>
  <c r="AB190" i="18"/>
  <c r="AJ190" i="18"/>
  <c r="A191" i="18"/>
  <c r="K190" i="18"/>
  <c r="L190" i="18"/>
  <c r="AK190" i="18"/>
  <c r="O190" i="18"/>
  <c r="AC190" i="18"/>
  <c r="K184" i="23"/>
  <c r="A185" i="23"/>
  <c r="X184" i="23"/>
  <c r="AK184" i="23"/>
  <c r="AB184" i="23"/>
  <c r="L184" i="23"/>
  <c r="AJ184" i="23"/>
  <c r="AC184" i="23"/>
  <c r="O184" i="23"/>
  <c r="AB187" i="17"/>
  <c r="X187" i="17"/>
  <c r="L187" i="17"/>
  <c r="D187" i="17" s="1"/>
  <c r="AK187" i="17"/>
  <c r="A188" i="17"/>
  <c r="K187" i="17"/>
  <c r="AJ187" i="17"/>
  <c r="O187" i="17"/>
  <c r="AC187" i="17"/>
  <c r="E187" i="17" l="1"/>
  <c r="E192" i="15"/>
  <c r="L185" i="23"/>
  <c r="K185" i="23"/>
  <c r="AJ185" i="23"/>
  <c r="A186" i="23"/>
  <c r="AB185" i="23"/>
  <c r="X185" i="23"/>
  <c r="AK185" i="23"/>
  <c r="AC185" i="23"/>
  <c r="O185" i="23"/>
  <c r="AB191" i="18"/>
  <c r="A192" i="18"/>
  <c r="AJ191" i="18"/>
  <c r="K191" i="18"/>
  <c r="X191" i="18"/>
  <c r="L191" i="18"/>
  <c r="AK191" i="18"/>
  <c r="O191" i="18"/>
  <c r="AC191" i="18"/>
  <c r="AB184" i="24"/>
  <c r="X184" i="24"/>
  <c r="AJ184" i="24"/>
  <c r="A185" i="24"/>
  <c r="L184" i="24"/>
  <c r="K184" i="24"/>
  <c r="AK184" i="24"/>
  <c r="AC184" i="24"/>
  <c r="O184" i="24"/>
  <c r="T193" i="1"/>
  <c r="S192" i="1"/>
  <c r="R192" i="1" s="1"/>
  <c r="P192" i="1" s="1"/>
  <c r="V192" i="1" s="1"/>
  <c r="AA192" i="1" s="1"/>
  <c r="Z192" i="1" s="1"/>
  <c r="Y192" i="1" s="1"/>
  <c r="K188" i="17"/>
  <c r="X188" i="17"/>
  <c r="A189" i="17"/>
  <c r="AK188" i="17"/>
  <c r="AB188" i="17"/>
  <c r="L188" i="17"/>
  <c r="AJ188" i="17"/>
  <c r="O188" i="17"/>
  <c r="AC188" i="17"/>
  <c r="Q194" i="1"/>
  <c r="X194" i="1"/>
  <c r="K194" i="1"/>
  <c r="AB194" i="1"/>
  <c r="U194" i="1"/>
  <c r="A195" i="1"/>
  <c r="AC194" i="1"/>
  <c r="L194" i="1"/>
  <c r="AJ194" i="1"/>
  <c r="AK194" i="1"/>
  <c r="O194" i="1"/>
  <c r="A184" i="25"/>
  <c r="X183" i="25"/>
  <c r="AB183" i="25"/>
  <c r="AK183" i="25"/>
  <c r="K183" i="25"/>
  <c r="L183" i="25"/>
  <c r="AJ183" i="25"/>
  <c r="AC183" i="25"/>
  <c r="O183" i="25"/>
  <c r="A188" i="20"/>
  <c r="K187" i="20"/>
  <c r="X187" i="20"/>
  <c r="AK187" i="20"/>
  <c r="L187" i="20"/>
  <c r="AB187" i="20"/>
  <c r="AJ187" i="20"/>
  <c r="AC187" i="20"/>
  <c r="O187" i="20"/>
  <c r="K186" i="22"/>
  <c r="L186" i="22"/>
  <c r="AJ186" i="22"/>
  <c r="X186" i="22"/>
  <c r="A187" i="22"/>
  <c r="AB186" i="22"/>
  <c r="AK186" i="22"/>
  <c r="AC186" i="22"/>
  <c r="O186" i="22"/>
  <c r="D186" i="16"/>
  <c r="E186" i="16" s="1"/>
  <c r="K187" i="16"/>
  <c r="L187" i="16"/>
  <c r="AJ187" i="16"/>
  <c r="X187" i="16"/>
  <c r="A188" i="16"/>
  <c r="AB187" i="16"/>
  <c r="AK187" i="16"/>
  <c r="AC187" i="16"/>
  <c r="O187" i="16"/>
  <c r="A194" i="15"/>
  <c r="L193" i="15"/>
  <c r="D193" i="15" s="1"/>
  <c r="AJ193" i="15"/>
  <c r="X193" i="15"/>
  <c r="AB193" i="15"/>
  <c r="K193" i="15"/>
  <c r="AK193" i="15"/>
  <c r="AC193" i="15"/>
  <c r="O193" i="15"/>
  <c r="E193" i="15" l="1"/>
  <c r="X194" i="15"/>
  <c r="L194" i="15"/>
  <c r="AB194" i="15"/>
  <c r="AC194" i="15"/>
  <c r="K194" i="15"/>
  <c r="A195" i="15"/>
  <c r="AJ194" i="15"/>
  <c r="AK194" i="15"/>
  <c r="O194" i="15"/>
  <c r="L188" i="16"/>
  <c r="K188" i="16"/>
  <c r="A189" i="16"/>
  <c r="AK188" i="16"/>
  <c r="X188" i="16"/>
  <c r="AB188" i="16"/>
  <c r="AJ188" i="16"/>
  <c r="AC188" i="16"/>
  <c r="O188" i="16"/>
  <c r="X187" i="22"/>
  <c r="L187" i="22"/>
  <c r="AJ187" i="22"/>
  <c r="K187" i="22"/>
  <c r="AB187" i="22"/>
  <c r="A188" i="22"/>
  <c r="AK187" i="22"/>
  <c r="AC187" i="22"/>
  <c r="O187" i="22"/>
  <c r="K184" i="25"/>
  <c r="L184" i="25"/>
  <c r="A185" i="25"/>
  <c r="AK184" i="25"/>
  <c r="X184" i="25"/>
  <c r="AB184" i="25"/>
  <c r="AJ184" i="25"/>
  <c r="AC184" i="25"/>
  <c r="O184" i="25"/>
  <c r="T194" i="1"/>
  <c r="X189" i="17"/>
  <c r="L189" i="17"/>
  <c r="AJ189" i="17"/>
  <c r="AB189" i="17"/>
  <c r="A190" i="17"/>
  <c r="K189" i="17"/>
  <c r="AK189" i="17"/>
  <c r="O189" i="17"/>
  <c r="AC189" i="17"/>
  <c r="X185" i="24"/>
  <c r="A186" i="24"/>
  <c r="K185" i="24"/>
  <c r="AK185" i="24"/>
  <c r="AB185" i="24"/>
  <c r="L185" i="24"/>
  <c r="AJ185" i="24"/>
  <c r="AC185" i="24"/>
  <c r="O185" i="24"/>
  <c r="X192" i="18"/>
  <c r="A193" i="18"/>
  <c r="AJ192" i="18"/>
  <c r="K192" i="18"/>
  <c r="AB192" i="18"/>
  <c r="L192" i="18"/>
  <c r="AK192" i="18"/>
  <c r="O192" i="18"/>
  <c r="AC192" i="18"/>
  <c r="K186" i="23"/>
  <c r="X186" i="23"/>
  <c r="AJ186" i="23"/>
  <c r="A187" i="23"/>
  <c r="AB186" i="23"/>
  <c r="L186" i="23"/>
  <c r="AK186" i="23"/>
  <c r="AC186" i="23"/>
  <c r="O186" i="23"/>
  <c r="D187" i="16"/>
  <c r="E187" i="16" s="1"/>
  <c r="K188" i="20"/>
  <c r="L188" i="20"/>
  <c r="AJ188" i="20"/>
  <c r="AB188" i="20"/>
  <c r="X188" i="20"/>
  <c r="A189" i="20"/>
  <c r="AK188" i="20"/>
  <c r="AC188" i="20"/>
  <c r="O188" i="20"/>
  <c r="AB195" i="1"/>
  <c r="X195" i="1"/>
  <c r="AK195" i="1"/>
  <c r="O195" i="1"/>
  <c r="AJ195" i="1"/>
  <c r="Q195" i="1"/>
  <c r="K195" i="1"/>
  <c r="L195" i="1"/>
  <c r="A196" i="1"/>
  <c r="U195" i="1"/>
  <c r="AC195" i="1"/>
  <c r="D188" i="17"/>
  <c r="E188" i="17" s="1"/>
  <c r="S193" i="1"/>
  <c r="R193" i="1" s="1"/>
  <c r="P193" i="1" s="1"/>
  <c r="V193" i="1" s="1"/>
  <c r="AA193" i="1" s="1"/>
  <c r="Z193" i="1" s="1"/>
  <c r="Y193" i="1" s="1"/>
  <c r="T195" i="1" l="1"/>
  <c r="L193" i="18"/>
  <c r="AB193" i="18"/>
  <c r="AJ193" i="18"/>
  <c r="K193" i="18"/>
  <c r="X193" i="18"/>
  <c r="A194" i="18"/>
  <c r="AK193" i="18"/>
  <c r="O193" i="18"/>
  <c r="AC193" i="18"/>
  <c r="L186" i="24"/>
  <c r="K186" i="24"/>
  <c r="AJ186" i="24"/>
  <c r="X186" i="24"/>
  <c r="AB186" i="24"/>
  <c r="A187" i="24"/>
  <c r="AK186" i="24"/>
  <c r="AC186" i="24"/>
  <c r="O186" i="24"/>
  <c r="L190" i="17"/>
  <c r="D190" i="17" s="1"/>
  <c r="A191" i="17"/>
  <c r="AJ190" i="17"/>
  <c r="X190" i="17"/>
  <c r="AB190" i="17"/>
  <c r="K190" i="17"/>
  <c r="AK190" i="17"/>
  <c r="O190" i="17"/>
  <c r="AC190" i="17"/>
  <c r="S194" i="1"/>
  <c r="R194" i="1" s="1"/>
  <c r="P194" i="1" s="1"/>
  <c r="V194" i="1" s="1"/>
  <c r="AA194" i="1" s="1"/>
  <c r="Z194" i="1" s="1"/>
  <c r="Y194" i="1" s="1"/>
  <c r="AB188" i="22"/>
  <c r="K188" i="22"/>
  <c r="X188" i="22"/>
  <c r="AK188" i="22"/>
  <c r="A189" i="22"/>
  <c r="L188" i="22"/>
  <c r="AJ188" i="22"/>
  <c r="AC188" i="22"/>
  <c r="O188" i="22"/>
  <c r="A196" i="15"/>
  <c r="AB195" i="15"/>
  <c r="AK195" i="15"/>
  <c r="K195" i="15"/>
  <c r="L195" i="15"/>
  <c r="D195" i="15" s="1"/>
  <c r="X195" i="15"/>
  <c r="AJ195" i="15"/>
  <c r="AC195" i="15"/>
  <c r="O195" i="15"/>
  <c r="E195" i="15" s="1"/>
  <c r="D194" i="15"/>
  <c r="K196" i="1"/>
  <c r="AK196" i="1"/>
  <c r="A197" i="1"/>
  <c r="Q196" i="1"/>
  <c r="AC196" i="1"/>
  <c r="X196" i="1"/>
  <c r="O196" i="1"/>
  <c r="L196" i="1"/>
  <c r="AB196" i="1"/>
  <c r="AJ196" i="1"/>
  <c r="U196" i="1"/>
  <c r="A190" i="20"/>
  <c r="X189" i="20"/>
  <c r="AB189" i="20"/>
  <c r="AK189" i="20"/>
  <c r="L189" i="20"/>
  <c r="K189" i="20"/>
  <c r="AJ189" i="20"/>
  <c r="AC189" i="20"/>
  <c r="O189" i="20"/>
  <c r="A188" i="23"/>
  <c r="AB187" i="23"/>
  <c r="X187" i="23"/>
  <c r="AK187" i="23"/>
  <c r="L187" i="23"/>
  <c r="K187" i="23"/>
  <c r="AJ187" i="23"/>
  <c r="AC187" i="23"/>
  <c r="O187" i="23"/>
  <c r="D189" i="17"/>
  <c r="E189" i="17" s="1"/>
  <c r="L185" i="25"/>
  <c r="K185" i="25"/>
  <c r="AJ185" i="25"/>
  <c r="X185" i="25"/>
  <c r="A186" i="25"/>
  <c r="AB185" i="25"/>
  <c r="AK185" i="25"/>
  <c r="AC185" i="25"/>
  <c r="O185" i="25"/>
  <c r="X189" i="16"/>
  <c r="A190" i="16"/>
  <c r="AJ189" i="16"/>
  <c r="L189" i="16"/>
  <c r="K189" i="16"/>
  <c r="AB189" i="16"/>
  <c r="AK189" i="16"/>
  <c r="AC189" i="16"/>
  <c r="O189" i="16"/>
  <c r="D188" i="16"/>
  <c r="E188" i="16" s="1"/>
  <c r="E194" i="15"/>
  <c r="E190" i="17" l="1"/>
  <c r="D189" i="16"/>
  <c r="X190" i="16"/>
  <c r="AB190" i="16"/>
  <c r="A191" i="16"/>
  <c r="AK190" i="16"/>
  <c r="L190" i="16"/>
  <c r="K190" i="16"/>
  <c r="AJ190" i="16"/>
  <c r="AC190" i="16"/>
  <c r="O190" i="16"/>
  <c r="K188" i="23"/>
  <c r="L188" i="23"/>
  <c r="AJ188" i="23"/>
  <c r="A189" i="23"/>
  <c r="AB188" i="23"/>
  <c r="X188" i="23"/>
  <c r="AK188" i="23"/>
  <c r="AC188" i="23"/>
  <c r="O188" i="23"/>
  <c r="T196" i="1"/>
  <c r="X197" i="1"/>
  <c r="AB197" i="1"/>
  <c r="K197" i="1"/>
  <c r="Q197" i="1"/>
  <c r="A198" i="1"/>
  <c r="AJ197" i="1"/>
  <c r="O197" i="1"/>
  <c r="L197" i="1"/>
  <c r="AK197" i="1"/>
  <c r="AC197" i="1"/>
  <c r="U197" i="1"/>
  <c r="A197" i="15"/>
  <c r="L196" i="15"/>
  <c r="D196" i="15" s="1"/>
  <c r="X196" i="15"/>
  <c r="AK196" i="15"/>
  <c r="AB196" i="15"/>
  <c r="K196" i="15"/>
  <c r="AJ196" i="15"/>
  <c r="AC196" i="15"/>
  <c r="O196" i="15"/>
  <c r="AB187" i="24"/>
  <c r="X187" i="24"/>
  <c r="AJ187" i="24"/>
  <c r="A188" i="24"/>
  <c r="L187" i="24"/>
  <c r="K187" i="24"/>
  <c r="AK187" i="24"/>
  <c r="AC187" i="24"/>
  <c r="O187" i="24"/>
  <c r="A187" i="25"/>
  <c r="L186" i="25"/>
  <c r="K186" i="25"/>
  <c r="AK186" i="25"/>
  <c r="AB186" i="25"/>
  <c r="X186" i="25"/>
  <c r="AJ186" i="25"/>
  <c r="AC186" i="25"/>
  <c r="O186" i="25"/>
  <c r="E189" i="16"/>
  <c r="X190" i="20"/>
  <c r="A191" i="20"/>
  <c r="L190" i="20"/>
  <c r="AK190" i="20"/>
  <c r="AB190" i="20"/>
  <c r="K190" i="20"/>
  <c r="AJ190" i="20"/>
  <c r="AC190" i="20"/>
  <c r="O190" i="20"/>
  <c r="K189" i="22"/>
  <c r="X189" i="22"/>
  <c r="A190" i="22"/>
  <c r="AK189" i="22"/>
  <c r="L189" i="22"/>
  <c r="AB189" i="22"/>
  <c r="AJ189" i="22"/>
  <c r="AC189" i="22"/>
  <c r="O189" i="22"/>
  <c r="A192" i="17"/>
  <c r="L191" i="17"/>
  <c r="AJ191" i="17"/>
  <c r="AB191" i="17"/>
  <c r="X191" i="17"/>
  <c r="K191" i="17"/>
  <c r="AK191" i="17"/>
  <c r="O191" i="17"/>
  <c r="AC191" i="17"/>
  <c r="A195" i="18"/>
  <c r="L194" i="18"/>
  <c r="AB194" i="18"/>
  <c r="AK194" i="18"/>
  <c r="X194" i="18"/>
  <c r="K194" i="18"/>
  <c r="AJ194" i="18"/>
  <c r="O194" i="18"/>
  <c r="AC194" i="18"/>
  <c r="S195" i="1"/>
  <c r="R195" i="1" s="1"/>
  <c r="P195" i="1" s="1"/>
  <c r="V195" i="1" s="1"/>
  <c r="E196" i="15" l="1"/>
  <c r="AA195" i="1"/>
  <c r="Z195" i="1" s="1"/>
  <c r="Y195" i="1" s="1"/>
  <c r="G61" i="19"/>
  <c r="A193" i="17"/>
  <c r="K192" i="17"/>
  <c r="X192" i="17"/>
  <c r="AK192" i="17"/>
  <c r="L192" i="17"/>
  <c r="D192" i="17" s="1"/>
  <c r="AB192" i="17"/>
  <c r="AJ192" i="17"/>
  <c r="O192" i="17"/>
  <c r="AC192" i="17"/>
  <c r="L190" i="22"/>
  <c r="A191" i="22"/>
  <c r="AJ190" i="22"/>
  <c r="K190" i="22"/>
  <c r="X190" i="22"/>
  <c r="AB190" i="22"/>
  <c r="AK190" i="22"/>
  <c r="AC190" i="22"/>
  <c r="O190" i="22"/>
  <c r="K188" i="24"/>
  <c r="A189" i="24"/>
  <c r="X188" i="24"/>
  <c r="AK188" i="24"/>
  <c r="L188" i="24"/>
  <c r="AB188" i="24"/>
  <c r="AJ188" i="24"/>
  <c r="AC188" i="24"/>
  <c r="O188" i="24"/>
  <c r="A196" i="18"/>
  <c r="X195" i="18"/>
  <c r="L195" i="18"/>
  <c r="AK195" i="18"/>
  <c r="AB195" i="18"/>
  <c r="K195" i="18"/>
  <c r="AJ195" i="18"/>
  <c r="O195" i="18"/>
  <c r="AC195" i="18"/>
  <c r="D191" i="17"/>
  <c r="E191" i="17" s="1"/>
  <c r="AB191" i="20"/>
  <c r="A192" i="20"/>
  <c r="AJ191" i="20"/>
  <c r="X191" i="20"/>
  <c r="L191" i="20"/>
  <c r="K191" i="20"/>
  <c r="AK191" i="20"/>
  <c r="AC191" i="20"/>
  <c r="O191" i="20"/>
  <c r="X187" i="25"/>
  <c r="K187" i="25"/>
  <c r="L187" i="25"/>
  <c r="AK187" i="25"/>
  <c r="AB187" i="25"/>
  <c r="A188" i="25"/>
  <c r="AJ187" i="25"/>
  <c r="AC187" i="25"/>
  <c r="O187" i="25"/>
  <c r="AB197" i="15"/>
  <c r="L197" i="15"/>
  <c r="D197" i="15" s="1"/>
  <c r="A198" i="15"/>
  <c r="AK197" i="15"/>
  <c r="X197" i="15"/>
  <c r="K197" i="15"/>
  <c r="AJ197" i="15"/>
  <c r="AC197" i="15"/>
  <c r="O197" i="15"/>
  <c r="T197" i="1"/>
  <c r="AC198" i="1"/>
  <c r="K198" i="1"/>
  <c r="AB198" i="1"/>
  <c r="A199" i="1"/>
  <c r="Q198" i="1"/>
  <c r="U198" i="1"/>
  <c r="L198" i="1"/>
  <c r="X198" i="1"/>
  <c r="AK198" i="1"/>
  <c r="O198" i="1"/>
  <c r="AJ198" i="1"/>
  <c r="S196" i="1"/>
  <c r="R196" i="1" s="1"/>
  <c r="P196" i="1" s="1"/>
  <c r="V196" i="1" s="1"/>
  <c r="A190" i="23"/>
  <c r="X189" i="23"/>
  <c r="AB189" i="23"/>
  <c r="AK189" i="23"/>
  <c r="K189" i="23"/>
  <c r="L189" i="23"/>
  <c r="AJ189" i="23"/>
  <c r="AC189" i="23"/>
  <c r="O189" i="23"/>
  <c r="D190" i="16"/>
  <c r="E190" i="16" s="1"/>
  <c r="AB191" i="16"/>
  <c r="A192" i="16"/>
  <c r="L191" i="16"/>
  <c r="AK191" i="16"/>
  <c r="K191" i="16"/>
  <c r="X191" i="16"/>
  <c r="AJ191" i="16"/>
  <c r="AC191" i="16"/>
  <c r="O191" i="16"/>
  <c r="E192" i="17" l="1"/>
  <c r="E197" i="15"/>
  <c r="L192" i="16"/>
  <c r="X192" i="16"/>
  <c r="AJ192" i="16"/>
  <c r="AB192" i="16"/>
  <c r="A193" i="16"/>
  <c r="K192" i="16"/>
  <c r="AK192" i="16"/>
  <c r="AC192" i="16"/>
  <c r="O192" i="16"/>
  <c r="X190" i="23"/>
  <c r="A191" i="23"/>
  <c r="AJ190" i="23"/>
  <c r="AB190" i="23"/>
  <c r="L190" i="23"/>
  <c r="K190" i="23"/>
  <c r="AK190" i="23"/>
  <c r="AC190" i="23"/>
  <c r="O190" i="23"/>
  <c r="T198" i="1"/>
  <c r="AJ199" i="1"/>
  <c r="L199" i="1"/>
  <c r="X199" i="1"/>
  <c r="O199" i="1"/>
  <c r="U199" i="1"/>
  <c r="K199" i="1"/>
  <c r="Q199" i="1"/>
  <c r="AK199" i="1"/>
  <c r="A200" i="1"/>
  <c r="AB199" i="1"/>
  <c r="AC199" i="1"/>
  <c r="S197" i="1"/>
  <c r="R197" i="1" s="1"/>
  <c r="P197" i="1" s="1"/>
  <c r="V197" i="1" s="1"/>
  <c r="A199" i="15"/>
  <c r="L198" i="15"/>
  <c r="AJ198" i="15"/>
  <c r="AB198" i="15"/>
  <c r="X198" i="15"/>
  <c r="K198" i="15"/>
  <c r="AK198" i="15"/>
  <c r="O198" i="15"/>
  <c r="AC198" i="15"/>
  <c r="X188" i="25"/>
  <c r="AB188" i="25"/>
  <c r="AJ188" i="25"/>
  <c r="K188" i="25"/>
  <c r="L188" i="25"/>
  <c r="A189" i="25"/>
  <c r="AK188" i="25"/>
  <c r="AC188" i="25"/>
  <c r="O188" i="25"/>
  <c r="A193" i="20"/>
  <c r="L192" i="20"/>
  <c r="AJ192" i="20"/>
  <c r="K192" i="20"/>
  <c r="X192" i="20"/>
  <c r="AB192" i="20"/>
  <c r="AK192" i="20"/>
  <c r="AC192" i="20"/>
  <c r="O192" i="20"/>
  <c r="AB193" i="17"/>
  <c r="A194" i="17"/>
  <c r="K193" i="17"/>
  <c r="AK193" i="17"/>
  <c r="L193" i="17"/>
  <c r="X193" i="17"/>
  <c r="AJ193" i="17"/>
  <c r="O193" i="17"/>
  <c r="AC193" i="17"/>
  <c r="D191" i="16"/>
  <c r="E191" i="16" s="1"/>
  <c r="AA196" i="1"/>
  <c r="Z196" i="1" s="1"/>
  <c r="Y196" i="1" s="1"/>
  <c r="K196" i="18"/>
  <c r="AB196" i="18"/>
  <c r="A197" i="18"/>
  <c r="AK196" i="18"/>
  <c r="L196" i="18"/>
  <c r="X196" i="18"/>
  <c r="AJ196" i="18"/>
  <c r="O196" i="18"/>
  <c r="AC196" i="18"/>
  <c r="A190" i="24"/>
  <c r="AB189" i="24"/>
  <c r="X189" i="24"/>
  <c r="AK189" i="24"/>
  <c r="K189" i="24"/>
  <c r="L189" i="24"/>
  <c r="AJ189" i="24"/>
  <c r="AC189" i="24"/>
  <c r="O189" i="24"/>
  <c r="A192" i="22"/>
  <c r="K191" i="22"/>
  <c r="L191" i="22"/>
  <c r="AK191" i="22"/>
  <c r="X191" i="22"/>
  <c r="AB191" i="22"/>
  <c r="AJ191" i="22"/>
  <c r="AC191" i="22"/>
  <c r="O191" i="22"/>
  <c r="AA197" i="1" l="1"/>
  <c r="Z197" i="1" s="1"/>
  <c r="Y197" i="1" s="1"/>
  <c r="L197" i="18"/>
  <c r="AB197" i="18"/>
  <c r="AJ197" i="18"/>
  <c r="X197" i="18"/>
  <c r="A198" i="18"/>
  <c r="K197" i="18"/>
  <c r="AK197" i="18"/>
  <c r="O197" i="18"/>
  <c r="AC197" i="18"/>
  <c r="D193" i="17"/>
  <c r="E193" i="17" s="1"/>
  <c r="D198" i="15"/>
  <c r="E198" i="15" s="1"/>
  <c r="S198" i="1"/>
  <c r="R198" i="1" s="1"/>
  <c r="P198" i="1" s="1"/>
  <c r="V198" i="1" s="1"/>
  <c r="AA198" i="1" s="1"/>
  <c r="Z198" i="1" s="1"/>
  <c r="Y198" i="1" s="1"/>
  <c r="K193" i="16"/>
  <c r="X193" i="16"/>
  <c r="L193" i="16"/>
  <c r="AK193" i="16"/>
  <c r="A194" i="16"/>
  <c r="AB193" i="16"/>
  <c r="AJ193" i="16"/>
  <c r="AC193" i="16"/>
  <c r="O193" i="16"/>
  <c r="D192" i="16"/>
  <c r="E192" i="16" s="1"/>
  <c r="A193" i="22"/>
  <c r="L192" i="22"/>
  <c r="X192" i="22"/>
  <c r="AK192" i="22"/>
  <c r="AB192" i="22"/>
  <c r="K192" i="22"/>
  <c r="AJ192" i="22"/>
  <c r="AC192" i="22"/>
  <c r="O192" i="22"/>
  <c r="A191" i="24"/>
  <c r="L190" i="24"/>
  <c r="AJ190" i="24"/>
  <c r="K190" i="24"/>
  <c r="AB190" i="24"/>
  <c r="X190" i="24"/>
  <c r="AK190" i="24"/>
  <c r="AC190" i="24"/>
  <c r="O190" i="24"/>
  <c r="K194" i="17"/>
  <c r="X194" i="17"/>
  <c r="AB194" i="17"/>
  <c r="AK194" i="17"/>
  <c r="L194" i="17"/>
  <c r="A195" i="17"/>
  <c r="AJ194" i="17"/>
  <c r="O194" i="17"/>
  <c r="AC194" i="17"/>
  <c r="AB193" i="20"/>
  <c r="K193" i="20"/>
  <c r="X193" i="20"/>
  <c r="AK193" i="20"/>
  <c r="A194" i="20"/>
  <c r="L193" i="20"/>
  <c r="AJ193" i="20"/>
  <c r="AC193" i="20"/>
  <c r="O193" i="20"/>
  <c r="K189" i="25"/>
  <c r="L189" i="25"/>
  <c r="AB189" i="25"/>
  <c r="AK189" i="25"/>
  <c r="A190" i="25"/>
  <c r="X189" i="25"/>
  <c r="AJ189" i="25"/>
  <c r="AC189" i="25"/>
  <c r="O189" i="25"/>
  <c r="X199" i="15"/>
  <c r="AB199" i="15"/>
  <c r="AK199" i="15"/>
  <c r="A200" i="15"/>
  <c r="L199" i="15"/>
  <c r="D199" i="15" s="1"/>
  <c r="K199" i="15"/>
  <c r="AJ199" i="15"/>
  <c r="AC199" i="15"/>
  <c r="O199" i="15"/>
  <c r="E199" i="15" s="1"/>
  <c r="L200" i="1"/>
  <c r="O200" i="1"/>
  <c r="Q200" i="1"/>
  <c r="AJ200" i="1"/>
  <c r="K200" i="1"/>
  <c r="U200" i="1"/>
  <c r="AC200" i="1"/>
  <c r="X200" i="1"/>
  <c r="AK200" i="1"/>
  <c r="A201" i="1"/>
  <c r="AB200" i="1"/>
  <c r="T199" i="1"/>
  <c r="A192" i="23"/>
  <c r="K191" i="23"/>
  <c r="AJ191" i="23"/>
  <c r="X191" i="23"/>
  <c r="AB191" i="23"/>
  <c r="L191" i="23"/>
  <c r="AK191" i="23"/>
  <c r="AC191" i="23"/>
  <c r="O191" i="23"/>
  <c r="L192" i="23" l="1"/>
  <c r="X192" i="23"/>
  <c r="AJ192" i="23"/>
  <c r="A193" i="23"/>
  <c r="AB192" i="23"/>
  <c r="K192" i="23"/>
  <c r="AK192" i="23"/>
  <c r="AC192" i="23"/>
  <c r="O192" i="23"/>
  <c r="S199" i="1"/>
  <c r="R199" i="1" s="1"/>
  <c r="P199" i="1" s="1"/>
  <c r="V199" i="1" s="1"/>
  <c r="AK201" i="1"/>
  <c r="L201" i="1"/>
  <c r="AJ201" i="1"/>
  <c r="Q201" i="1"/>
  <c r="K201" i="1"/>
  <c r="AB201" i="1"/>
  <c r="X201" i="1"/>
  <c r="A202" i="1"/>
  <c r="U201" i="1"/>
  <c r="AC201" i="1"/>
  <c r="O201" i="1"/>
  <c r="T200" i="1"/>
  <c r="AB194" i="20"/>
  <c r="X194" i="20"/>
  <c r="A195" i="20"/>
  <c r="AK194" i="20"/>
  <c r="L194" i="20"/>
  <c r="K194" i="20"/>
  <c r="AJ194" i="20"/>
  <c r="AC194" i="20"/>
  <c r="O194" i="20"/>
  <c r="D194" i="17"/>
  <c r="E194" i="17" s="1"/>
  <c r="A201" i="15"/>
  <c r="L200" i="15"/>
  <c r="D200" i="15" s="1"/>
  <c r="K200" i="15"/>
  <c r="AJ200" i="15"/>
  <c r="X200" i="15"/>
  <c r="AB200" i="15"/>
  <c r="AK200" i="15"/>
  <c r="AC200" i="15"/>
  <c r="O200" i="15"/>
  <c r="K190" i="25"/>
  <c r="L190" i="25"/>
  <c r="X190" i="25"/>
  <c r="AK190" i="25"/>
  <c r="AB190" i="25"/>
  <c r="A191" i="25"/>
  <c r="AJ190" i="25"/>
  <c r="AC190" i="25"/>
  <c r="O190" i="25"/>
  <c r="K195" i="17"/>
  <c r="A196" i="17"/>
  <c r="L195" i="17"/>
  <c r="AK195" i="17"/>
  <c r="AB195" i="17"/>
  <c r="X195" i="17"/>
  <c r="AJ195" i="17"/>
  <c r="O195" i="17"/>
  <c r="AC195" i="17"/>
  <c r="K191" i="24"/>
  <c r="L191" i="24"/>
  <c r="AJ191" i="24"/>
  <c r="X191" i="24"/>
  <c r="A192" i="24"/>
  <c r="AB191" i="24"/>
  <c r="AK191" i="24"/>
  <c r="AC191" i="24"/>
  <c r="O191" i="24"/>
  <c r="X193" i="22"/>
  <c r="K193" i="22"/>
  <c r="A194" i="22"/>
  <c r="AK193" i="22"/>
  <c r="L193" i="22"/>
  <c r="AB193" i="22"/>
  <c r="AJ193" i="22"/>
  <c r="AC193" i="22"/>
  <c r="O193" i="22"/>
  <c r="L194" i="16"/>
  <c r="A195" i="16"/>
  <c r="X194" i="16"/>
  <c r="AK194" i="16"/>
  <c r="AB194" i="16"/>
  <c r="K194" i="16"/>
  <c r="AJ194" i="16"/>
  <c r="AC194" i="16"/>
  <c r="O194" i="16"/>
  <c r="D193" i="16"/>
  <c r="E193" i="16" s="1"/>
  <c r="X198" i="18"/>
  <c r="AB198" i="18"/>
  <c r="AJ198" i="18"/>
  <c r="A199" i="18"/>
  <c r="L198" i="18"/>
  <c r="K198" i="18"/>
  <c r="AK198" i="18"/>
  <c r="O198" i="18"/>
  <c r="AC198" i="18"/>
  <c r="AA199" i="1" l="1"/>
  <c r="Z199" i="1" s="1"/>
  <c r="Y199" i="1" s="1"/>
  <c r="K199" i="18"/>
  <c r="X199" i="18"/>
  <c r="AJ199" i="18"/>
  <c r="A200" i="18"/>
  <c r="AB199" i="18"/>
  <c r="L199" i="18"/>
  <c r="AK199" i="18"/>
  <c r="O199" i="18"/>
  <c r="AC199" i="18"/>
  <c r="D194" i="16"/>
  <c r="E194" i="16" s="1"/>
  <c r="K196" i="17"/>
  <c r="A197" i="17"/>
  <c r="AB196" i="17"/>
  <c r="AK196" i="17"/>
  <c r="X196" i="17"/>
  <c r="L196" i="17"/>
  <c r="AJ196" i="17"/>
  <c r="O196" i="17"/>
  <c r="AC196" i="17"/>
  <c r="L191" i="25"/>
  <c r="K191" i="25"/>
  <c r="AJ191" i="25"/>
  <c r="AB191" i="25"/>
  <c r="X191" i="25"/>
  <c r="A192" i="25"/>
  <c r="AK191" i="25"/>
  <c r="AC191" i="25"/>
  <c r="O191" i="25"/>
  <c r="AB195" i="20"/>
  <c r="K195" i="20"/>
  <c r="A196" i="20"/>
  <c r="AK195" i="20"/>
  <c r="L195" i="20"/>
  <c r="X195" i="20"/>
  <c r="AJ195" i="20"/>
  <c r="AC195" i="20"/>
  <c r="O195" i="20"/>
  <c r="S200" i="1"/>
  <c r="R200" i="1" s="1"/>
  <c r="P200" i="1" s="1"/>
  <c r="V200" i="1" s="1"/>
  <c r="T201" i="1"/>
  <c r="A194" i="23"/>
  <c r="AB193" i="23"/>
  <c r="AJ193" i="23"/>
  <c r="K193" i="23"/>
  <c r="L193" i="23"/>
  <c r="X193" i="23"/>
  <c r="AK193" i="23"/>
  <c r="AC193" i="23"/>
  <c r="O193" i="23"/>
  <c r="X195" i="16"/>
  <c r="K195" i="16"/>
  <c r="AB195" i="16"/>
  <c r="AK195" i="16"/>
  <c r="A196" i="16"/>
  <c r="L195" i="16"/>
  <c r="AJ195" i="16"/>
  <c r="AC195" i="16"/>
  <c r="O195" i="16"/>
  <c r="X194" i="22"/>
  <c r="L194" i="22"/>
  <c r="AJ194" i="22"/>
  <c r="A195" i="22"/>
  <c r="AB194" i="22"/>
  <c r="K194" i="22"/>
  <c r="AK194" i="22"/>
  <c r="AC194" i="22"/>
  <c r="O194" i="22"/>
  <c r="X192" i="24"/>
  <c r="AB192" i="24"/>
  <c r="A193" i="24"/>
  <c r="AK192" i="24"/>
  <c r="K192" i="24"/>
  <c r="L192" i="24"/>
  <c r="AJ192" i="24"/>
  <c r="AC192" i="24"/>
  <c r="O192" i="24"/>
  <c r="D195" i="17"/>
  <c r="E195" i="17" s="1"/>
  <c r="E200" i="15"/>
  <c r="K201" i="15"/>
  <c r="L201" i="15"/>
  <c r="D201" i="15" s="1"/>
  <c r="AJ201" i="15"/>
  <c r="A202" i="15"/>
  <c r="X201" i="15"/>
  <c r="AB201" i="15"/>
  <c r="AK201" i="15"/>
  <c r="AC201" i="15"/>
  <c r="O201" i="15"/>
  <c r="K202" i="1"/>
  <c r="O202" i="1"/>
  <c r="AJ202" i="1"/>
  <c r="L202" i="1"/>
  <c r="A203" i="1"/>
  <c r="U202" i="1"/>
  <c r="AC202" i="1"/>
  <c r="Q202" i="1"/>
  <c r="X202" i="1"/>
  <c r="AK202" i="1"/>
  <c r="AB202" i="1"/>
  <c r="E201" i="15" l="1"/>
  <c r="AA200" i="1"/>
  <c r="Z200" i="1" s="1"/>
  <c r="Y200" i="1" s="1"/>
  <c r="T202" i="1"/>
  <c r="K195" i="22"/>
  <c r="L195" i="22"/>
  <c r="AJ195" i="22"/>
  <c r="AB195" i="22"/>
  <c r="X195" i="22"/>
  <c r="A196" i="22"/>
  <c r="AK195" i="22"/>
  <c r="AC195" i="22"/>
  <c r="O195" i="22"/>
  <c r="D195" i="16"/>
  <c r="E195" i="16" s="1"/>
  <c r="A197" i="20"/>
  <c r="AB196" i="20"/>
  <c r="X196" i="20"/>
  <c r="AK196" i="20"/>
  <c r="L196" i="20"/>
  <c r="K196" i="20"/>
  <c r="AJ196" i="20"/>
  <c r="AC196" i="20"/>
  <c r="O196" i="20"/>
  <c r="AB203" i="1"/>
  <c r="X203" i="1"/>
  <c r="AJ203" i="1"/>
  <c r="Q203" i="1"/>
  <c r="U203" i="1"/>
  <c r="K203" i="1"/>
  <c r="A204" i="1"/>
  <c r="L203" i="1"/>
  <c r="AK203" i="1"/>
  <c r="AC203" i="1"/>
  <c r="O203" i="1"/>
  <c r="AB202" i="15"/>
  <c r="A203" i="15"/>
  <c r="K202" i="15"/>
  <c r="AJ202" i="15"/>
  <c r="L202" i="15"/>
  <c r="X202" i="15"/>
  <c r="AK202" i="15"/>
  <c r="O202" i="15"/>
  <c r="AC202" i="15"/>
  <c r="K193" i="24"/>
  <c r="AB193" i="24"/>
  <c r="AJ193" i="24"/>
  <c r="A194" i="24"/>
  <c r="L193" i="24"/>
  <c r="X193" i="24"/>
  <c r="AK193" i="24"/>
  <c r="AC193" i="24"/>
  <c r="O193" i="24"/>
  <c r="L196" i="16"/>
  <c r="AB196" i="16"/>
  <c r="A197" i="16"/>
  <c r="AK196" i="16"/>
  <c r="K196" i="16"/>
  <c r="X196" i="16"/>
  <c r="AJ196" i="16"/>
  <c r="AC196" i="16"/>
  <c r="O196" i="16"/>
  <c r="AB194" i="23"/>
  <c r="K194" i="23"/>
  <c r="X194" i="23"/>
  <c r="AK194" i="23"/>
  <c r="L194" i="23"/>
  <c r="A195" i="23"/>
  <c r="AJ194" i="23"/>
  <c r="AC194" i="23"/>
  <c r="O194" i="23"/>
  <c r="S201" i="1"/>
  <c r="R201" i="1" s="1"/>
  <c r="P201" i="1" s="1"/>
  <c r="V201" i="1" s="1"/>
  <c r="AA201" i="1" s="1"/>
  <c r="Z201" i="1" s="1"/>
  <c r="Y201" i="1" s="1"/>
  <c r="K192" i="25"/>
  <c r="AB192" i="25"/>
  <c r="AJ192" i="25"/>
  <c r="X192" i="25"/>
  <c r="A193" i="25"/>
  <c r="L192" i="25"/>
  <c r="AK192" i="25"/>
  <c r="AC192" i="25"/>
  <c r="O192" i="25"/>
  <c r="D196" i="17"/>
  <c r="E196" i="17" s="1"/>
  <c r="X197" i="17"/>
  <c r="L197" i="17"/>
  <c r="D197" i="17" s="1"/>
  <c r="AJ197" i="17"/>
  <c r="AB197" i="17"/>
  <c r="K197" i="17"/>
  <c r="A198" i="17"/>
  <c r="AK197" i="17"/>
  <c r="O197" i="17"/>
  <c r="AC197" i="17"/>
  <c r="A201" i="18"/>
  <c r="K200" i="18"/>
  <c r="L200" i="18"/>
  <c r="AK200" i="18"/>
  <c r="X200" i="18"/>
  <c r="AB200" i="18"/>
  <c r="AJ200" i="18"/>
  <c r="O200" i="18"/>
  <c r="AC200" i="18"/>
  <c r="E197" i="17" l="1"/>
  <c r="AB201" i="18"/>
  <c r="X201" i="18"/>
  <c r="L201" i="18"/>
  <c r="AK201" i="18"/>
  <c r="K201" i="18"/>
  <c r="A202" i="18"/>
  <c r="AJ201" i="18"/>
  <c r="O201" i="18"/>
  <c r="AC201" i="18"/>
  <c r="A198" i="16"/>
  <c r="K197" i="16"/>
  <c r="AB197" i="16"/>
  <c r="AK197" i="16"/>
  <c r="X197" i="16"/>
  <c r="L197" i="16"/>
  <c r="AJ197" i="16"/>
  <c r="AC197" i="16"/>
  <c r="O197" i="16"/>
  <c r="D196" i="16"/>
  <c r="E196" i="16" s="1"/>
  <c r="AB203" i="15"/>
  <c r="L203" i="15"/>
  <c r="D203" i="15" s="1"/>
  <c r="K203" i="15"/>
  <c r="AK203" i="15"/>
  <c r="A204" i="15"/>
  <c r="X203" i="15"/>
  <c r="AJ203" i="15"/>
  <c r="AC203" i="15"/>
  <c r="O203" i="15"/>
  <c r="L204" i="1"/>
  <c r="A205" i="1"/>
  <c r="X204" i="1"/>
  <c r="K204" i="1"/>
  <c r="U204" i="1"/>
  <c r="AC204" i="1"/>
  <c r="Q204" i="1"/>
  <c r="AB204" i="1"/>
  <c r="AJ204" i="1"/>
  <c r="AK204" i="1"/>
  <c r="O204" i="1"/>
  <c r="T203" i="1"/>
  <c r="A197" i="22"/>
  <c r="L196" i="22"/>
  <c r="X196" i="22"/>
  <c r="AK196" i="22"/>
  <c r="K196" i="22"/>
  <c r="AB196" i="22"/>
  <c r="AJ196" i="22"/>
  <c r="AC196" i="22"/>
  <c r="O196" i="22"/>
  <c r="S202" i="1"/>
  <c r="R202" i="1" s="1"/>
  <c r="P202" i="1" s="1"/>
  <c r="V202" i="1" s="1"/>
  <c r="AA202" i="1" s="1"/>
  <c r="Z202" i="1" s="1"/>
  <c r="Y202" i="1" s="1"/>
  <c r="X198" i="17"/>
  <c r="A199" i="17"/>
  <c r="L198" i="17"/>
  <c r="AK198" i="17"/>
  <c r="AB198" i="17"/>
  <c r="K198" i="17"/>
  <c r="AJ198" i="17"/>
  <c r="O198" i="17"/>
  <c r="AC198" i="17"/>
  <c r="X193" i="25"/>
  <c r="AB193" i="25"/>
  <c r="A194" i="25"/>
  <c r="AK193" i="25"/>
  <c r="K193" i="25"/>
  <c r="L193" i="25"/>
  <c r="AJ193" i="25"/>
  <c r="AC193" i="25"/>
  <c r="O193" i="25"/>
  <c r="X195" i="23"/>
  <c r="A196" i="23"/>
  <c r="L195" i="23"/>
  <c r="AK195" i="23"/>
  <c r="K195" i="23"/>
  <c r="AB195" i="23"/>
  <c r="AJ195" i="23"/>
  <c r="AC195" i="23"/>
  <c r="O195" i="23"/>
  <c r="X194" i="24"/>
  <c r="L194" i="24"/>
  <c r="AJ194" i="24"/>
  <c r="K194" i="24"/>
  <c r="AB194" i="24"/>
  <c r="A195" i="24"/>
  <c r="AK194" i="24"/>
  <c r="AC194" i="24"/>
  <c r="O194" i="24"/>
  <c r="D202" i="15"/>
  <c r="E202" i="15" s="1"/>
  <c r="AB197" i="20"/>
  <c r="K197" i="20"/>
  <c r="AJ197" i="20"/>
  <c r="A198" i="20"/>
  <c r="L197" i="20"/>
  <c r="X197" i="20"/>
  <c r="AK197" i="20"/>
  <c r="AC197" i="20"/>
  <c r="O197" i="20"/>
  <c r="E203" i="15" l="1"/>
  <c r="AB198" i="20"/>
  <c r="K198" i="20"/>
  <c r="X198" i="20"/>
  <c r="AK198" i="20"/>
  <c r="L198" i="20"/>
  <c r="A199" i="20"/>
  <c r="AJ198" i="20"/>
  <c r="AC198" i="20"/>
  <c r="O198" i="20"/>
  <c r="K195" i="24"/>
  <c r="AB195" i="24"/>
  <c r="L195" i="24"/>
  <c r="AK195" i="24"/>
  <c r="X195" i="24"/>
  <c r="A196" i="24"/>
  <c r="AJ195" i="24"/>
  <c r="AC195" i="24"/>
  <c r="O195" i="24"/>
  <c r="K199" i="17"/>
  <c r="AB199" i="17"/>
  <c r="A200" i="17"/>
  <c r="AK199" i="17"/>
  <c r="X199" i="17"/>
  <c r="L199" i="17"/>
  <c r="D199" i="17" s="1"/>
  <c r="AJ199" i="17"/>
  <c r="O199" i="17"/>
  <c r="E199" i="17" s="1"/>
  <c r="AC199" i="17"/>
  <c r="S203" i="1"/>
  <c r="R203" i="1" s="1"/>
  <c r="P203" i="1" s="1"/>
  <c r="V203" i="1" s="1"/>
  <c r="AA203" i="1" s="1"/>
  <c r="Z203" i="1" s="1"/>
  <c r="Y203" i="1" s="1"/>
  <c r="AJ205" i="1"/>
  <c r="A206" i="1"/>
  <c r="Q205" i="1"/>
  <c r="AB205" i="1"/>
  <c r="U205" i="1"/>
  <c r="X205" i="1"/>
  <c r="K205" i="1"/>
  <c r="L205" i="1"/>
  <c r="AK205" i="1"/>
  <c r="AC205" i="1"/>
  <c r="O205" i="1"/>
  <c r="L204" i="15"/>
  <c r="X204" i="15"/>
  <c r="K204" i="15"/>
  <c r="AK204" i="15"/>
  <c r="AB204" i="15"/>
  <c r="A205" i="15"/>
  <c r="AJ204" i="15"/>
  <c r="O204" i="15"/>
  <c r="AC204" i="15"/>
  <c r="D197" i="16"/>
  <c r="E197" i="16" s="1"/>
  <c r="A203" i="18"/>
  <c r="L202" i="18"/>
  <c r="AJ202" i="18"/>
  <c r="K202" i="18"/>
  <c r="X202" i="18"/>
  <c r="AB202" i="18"/>
  <c r="AK202" i="18"/>
  <c r="O202" i="18"/>
  <c r="AC202" i="18"/>
  <c r="K196" i="23"/>
  <c r="A197" i="23"/>
  <c r="X196" i="23"/>
  <c r="AK196" i="23"/>
  <c r="L196" i="23"/>
  <c r="AB196" i="23"/>
  <c r="AJ196" i="23"/>
  <c r="AC196" i="23"/>
  <c r="O196" i="23"/>
  <c r="AB194" i="25"/>
  <c r="L194" i="25"/>
  <c r="AJ194" i="25"/>
  <c r="A195" i="25"/>
  <c r="X194" i="25"/>
  <c r="K194" i="25"/>
  <c r="AK194" i="25"/>
  <c r="AC194" i="25"/>
  <c r="O194" i="25"/>
  <c r="D198" i="17"/>
  <c r="E198" i="17" s="1"/>
  <c r="X197" i="22"/>
  <c r="L197" i="22"/>
  <c r="AJ197" i="22"/>
  <c r="AB197" i="22"/>
  <c r="A198" i="22"/>
  <c r="K197" i="22"/>
  <c r="AK197" i="22"/>
  <c r="AC197" i="22"/>
  <c r="O197" i="22"/>
  <c r="T204" i="1"/>
  <c r="K198" i="16"/>
  <c r="AB198" i="16"/>
  <c r="A199" i="16"/>
  <c r="AK198" i="16"/>
  <c r="X198" i="16"/>
  <c r="L198" i="16"/>
  <c r="AJ198" i="16"/>
  <c r="AC198" i="16"/>
  <c r="O198" i="16"/>
  <c r="L199" i="16" l="1"/>
  <c r="K199" i="16"/>
  <c r="AJ199" i="16"/>
  <c r="X199" i="16"/>
  <c r="A200" i="16"/>
  <c r="AB199" i="16"/>
  <c r="AK199" i="16"/>
  <c r="AC199" i="16"/>
  <c r="O199" i="16"/>
  <c r="S204" i="1"/>
  <c r="R204" i="1" s="1"/>
  <c r="P204" i="1" s="1"/>
  <c r="V204" i="1" s="1"/>
  <c r="AA204" i="1" s="1"/>
  <c r="Z204" i="1" s="1"/>
  <c r="Y204" i="1" s="1"/>
  <c r="L195" i="25"/>
  <c r="X195" i="25"/>
  <c r="AJ195" i="25"/>
  <c r="AB195" i="25"/>
  <c r="A196" i="25"/>
  <c r="K195" i="25"/>
  <c r="AK195" i="25"/>
  <c r="AC195" i="25"/>
  <c r="O195" i="25"/>
  <c r="AB197" i="23"/>
  <c r="X197" i="23"/>
  <c r="A198" i="23"/>
  <c r="AK197" i="23"/>
  <c r="L197" i="23"/>
  <c r="K197" i="23"/>
  <c r="AJ197" i="23"/>
  <c r="AC197" i="23"/>
  <c r="O197" i="23"/>
  <c r="AB203" i="18"/>
  <c r="A204" i="18"/>
  <c r="X203" i="18"/>
  <c r="AK203" i="18"/>
  <c r="K203" i="18"/>
  <c r="L203" i="18"/>
  <c r="AJ203" i="18"/>
  <c r="AC203" i="18"/>
  <c r="O203" i="18"/>
  <c r="L205" i="15"/>
  <c r="D205" i="15" s="1"/>
  <c r="K205" i="15"/>
  <c r="X205" i="15"/>
  <c r="AK205" i="15"/>
  <c r="AB205" i="15"/>
  <c r="A206" i="15"/>
  <c r="AJ205" i="15"/>
  <c r="AC205" i="15"/>
  <c r="O205" i="15"/>
  <c r="E205" i="15" s="1"/>
  <c r="T205" i="1"/>
  <c r="A200" i="20"/>
  <c r="X199" i="20"/>
  <c r="K199" i="20"/>
  <c r="AK199" i="20"/>
  <c r="AB199" i="20"/>
  <c r="L199" i="20"/>
  <c r="AJ199" i="20"/>
  <c r="AC199" i="20"/>
  <c r="O199" i="20"/>
  <c r="D198" i="16"/>
  <c r="E198" i="16" s="1"/>
  <c r="AB198" i="22"/>
  <c r="L198" i="22"/>
  <c r="AJ198" i="22"/>
  <c r="A199" i="22"/>
  <c r="K198" i="22"/>
  <c r="X198" i="22"/>
  <c r="AK198" i="22"/>
  <c r="AC198" i="22"/>
  <c r="O198" i="22"/>
  <c r="D204" i="15"/>
  <c r="E204" i="15" s="1"/>
  <c r="AB206" i="1"/>
  <c r="Q206" i="1"/>
  <c r="L206" i="1"/>
  <c r="AC206" i="1"/>
  <c r="A207" i="1"/>
  <c r="U206" i="1"/>
  <c r="X206" i="1"/>
  <c r="K206" i="1"/>
  <c r="O206" i="1"/>
  <c r="AK206" i="1"/>
  <c r="AJ206" i="1"/>
  <c r="K200" i="17"/>
  <c r="X200" i="17"/>
  <c r="AJ200" i="17"/>
  <c r="AB200" i="17"/>
  <c r="A201" i="17"/>
  <c r="L200" i="17"/>
  <c r="AK200" i="17"/>
  <c r="O200" i="17"/>
  <c r="AC200" i="17"/>
  <c r="L196" i="24"/>
  <c r="A197" i="24"/>
  <c r="AJ196" i="24"/>
  <c r="X196" i="24"/>
  <c r="AB196" i="24"/>
  <c r="K196" i="24"/>
  <c r="AK196" i="24"/>
  <c r="AC196" i="24"/>
  <c r="O196" i="24"/>
  <c r="X197" i="24" l="1"/>
  <c r="L197" i="24"/>
  <c r="AJ197" i="24"/>
  <c r="K197" i="24"/>
  <c r="AB197" i="24"/>
  <c r="A198" i="24"/>
  <c r="AK197" i="24"/>
  <c r="AC197" i="24"/>
  <c r="O197" i="24"/>
  <c r="X201" i="17"/>
  <c r="K201" i="17"/>
  <c r="AJ201" i="17"/>
  <c r="AB201" i="17"/>
  <c r="A202" i="17"/>
  <c r="L201" i="17"/>
  <c r="D201" i="17" s="1"/>
  <c r="AK201" i="17"/>
  <c r="O201" i="17"/>
  <c r="E201" i="17" s="1"/>
  <c r="AC201" i="17"/>
  <c r="T206" i="1"/>
  <c r="L200" i="20"/>
  <c r="A201" i="20"/>
  <c r="AJ200" i="20"/>
  <c r="X200" i="20"/>
  <c r="K200" i="20"/>
  <c r="AB200" i="20"/>
  <c r="AK200" i="20"/>
  <c r="AC200" i="20"/>
  <c r="O200" i="20"/>
  <c r="S205" i="1"/>
  <c r="R205" i="1" s="1"/>
  <c r="P205" i="1" s="1"/>
  <c r="V205" i="1" s="1"/>
  <c r="AA205" i="1" s="1"/>
  <c r="Z205" i="1" s="1"/>
  <c r="Y205" i="1" s="1"/>
  <c r="K206" i="15"/>
  <c r="A207" i="15"/>
  <c r="AK206" i="15"/>
  <c r="X206" i="15"/>
  <c r="L206" i="15"/>
  <c r="D206" i="15" s="1"/>
  <c r="AB206" i="15"/>
  <c r="AJ206" i="15"/>
  <c r="O206" i="15"/>
  <c r="AC206" i="15"/>
  <c r="A205" i="18"/>
  <c r="K204" i="18"/>
  <c r="AJ204" i="18"/>
  <c r="AB204" i="18"/>
  <c r="X204" i="18"/>
  <c r="L204" i="18"/>
  <c r="AK204" i="18"/>
  <c r="O204" i="18"/>
  <c r="AC204" i="18"/>
  <c r="K198" i="23"/>
  <c r="L198" i="23"/>
  <c r="AJ198" i="23"/>
  <c r="AB198" i="23"/>
  <c r="X198" i="23"/>
  <c r="A199" i="23"/>
  <c r="AK198" i="23"/>
  <c r="AC198" i="23"/>
  <c r="O198" i="23"/>
  <c r="K200" i="16"/>
  <c r="L200" i="16"/>
  <c r="AJ200" i="16"/>
  <c r="AB200" i="16"/>
  <c r="X200" i="16"/>
  <c r="A201" i="16"/>
  <c r="AK200" i="16"/>
  <c r="AC200" i="16"/>
  <c r="O200" i="16"/>
  <c r="D199" i="16"/>
  <c r="E199" i="16" s="1"/>
  <c r="D200" i="17"/>
  <c r="E200" i="17" s="1"/>
  <c r="A208" i="1"/>
  <c r="K207" i="1"/>
  <c r="AB207" i="1"/>
  <c r="Q207" i="1"/>
  <c r="X207" i="1"/>
  <c r="AC207" i="1"/>
  <c r="L207" i="1"/>
  <c r="AJ207" i="1"/>
  <c r="AK207" i="1"/>
  <c r="U207" i="1"/>
  <c r="O207" i="1"/>
  <c r="A200" i="22"/>
  <c r="X199" i="22"/>
  <c r="K199" i="22"/>
  <c r="AK199" i="22"/>
  <c r="L199" i="22"/>
  <c r="AB199" i="22"/>
  <c r="AJ199" i="22"/>
  <c r="AC199" i="22"/>
  <c r="O199" i="22"/>
  <c r="L196" i="25"/>
  <c r="A197" i="25"/>
  <c r="AJ196" i="25"/>
  <c r="AB196" i="25"/>
  <c r="X196" i="25"/>
  <c r="K196" i="25"/>
  <c r="AK196" i="25"/>
  <c r="AC196" i="25"/>
  <c r="O196" i="25"/>
  <c r="E206" i="15" l="1"/>
  <c r="AK208" i="1"/>
  <c r="AJ208" i="1"/>
  <c r="L208" i="1"/>
  <c r="O208" i="1"/>
  <c r="K208" i="1"/>
  <c r="U208" i="1"/>
  <c r="A209" i="1"/>
  <c r="AB208" i="1"/>
  <c r="X208" i="1"/>
  <c r="AC208" i="1"/>
  <c r="Q208" i="1"/>
  <c r="A202" i="16"/>
  <c r="AB201" i="16"/>
  <c r="X201" i="16"/>
  <c r="AK201" i="16"/>
  <c r="K201" i="16"/>
  <c r="L201" i="16"/>
  <c r="AJ201" i="16"/>
  <c r="AC201" i="16"/>
  <c r="O201" i="16"/>
  <c r="D200" i="16"/>
  <c r="E200" i="16" s="1"/>
  <c r="K205" i="18"/>
  <c r="AB205" i="18"/>
  <c r="A206" i="18"/>
  <c r="AK205" i="18"/>
  <c r="X205" i="18"/>
  <c r="L205" i="18"/>
  <c r="AJ205" i="18"/>
  <c r="O205" i="18"/>
  <c r="AC205" i="18"/>
  <c r="AB207" i="15"/>
  <c r="A208" i="15"/>
  <c r="K207" i="15"/>
  <c r="AK207" i="15"/>
  <c r="L207" i="15"/>
  <c r="D207" i="15" s="1"/>
  <c r="X207" i="15"/>
  <c r="AJ207" i="15"/>
  <c r="AC207" i="15"/>
  <c r="O207" i="15"/>
  <c r="E207" i="15" s="1"/>
  <c r="S206" i="1"/>
  <c r="R206" i="1" s="1"/>
  <c r="P206" i="1" s="1"/>
  <c r="V206" i="1" s="1"/>
  <c r="AA206" i="1" s="1"/>
  <c r="Z206" i="1" s="1"/>
  <c r="Y206" i="1" s="1"/>
  <c r="K197" i="25"/>
  <c r="X197" i="25"/>
  <c r="A198" i="25"/>
  <c r="AK197" i="25"/>
  <c r="AB197" i="25"/>
  <c r="L197" i="25"/>
  <c r="AJ197" i="25"/>
  <c r="AC197" i="25"/>
  <c r="O197" i="25"/>
  <c r="X200" i="22"/>
  <c r="AB200" i="22"/>
  <c r="AJ200" i="22"/>
  <c r="A201" i="22"/>
  <c r="L200" i="22"/>
  <c r="K200" i="22"/>
  <c r="AK200" i="22"/>
  <c r="AC200" i="22"/>
  <c r="O200" i="22"/>
  <c r="T207" i="1"/>
  <c r="A200" i="23"/>
  <c r="X199" i="23"/>
  <c r="L199" i="23"/>
  <c r="AK199" i="23"/>
  <c r="K199" i="23"/>
  <c r="AB199" i="23"/>
  <c r="AJ199" i="23"/>
  <c r="AC199" i="23"/>
  <c r="O199" i="23"/>
  <c r="A202" i="20"/>
  <c r="AB201" i="20"/>
  <c r="AJ201" i="20"/>
  <c r="X201" i="20"/>
  <c r="L201" i="20"/>
  <c r="K201" i="20"/>
  <c r="AK201" i="20"/>
  <c r="AC201" i="20"/>
  <c r="O201" i="20"/>
  <c r="A203" i="17"/>
  <c r="L202" i="17"/>
  <c r="X202" i="17"/>
  <c r="AK202" i="17"/>
  <c r="K202" i="17"/>
  <c r="AB202" i="17"/>
  <c r="AJ202" i="17"/>
  <c r="O202" i="17"/>
  <c r="AC202" i="17"/>
  <c r="X198" i="24"/>
  <c r="K198" i="24"/>
  <c r="A199" i="24"/>
  <c r="AK198" i="24"/>
  <c r="L198" i="24"/>
  <c r="AB198" i="24"/>
  <c r="AJ198" i="24"/>
  <c r="AC198" i="24"/>
  <c r="O198" i="24"/>
  <c r="K199" i="24" l="1"/>
  <c r="AB199" i="24"/>
  <c r="AJ199" i="24"/>
  <c r="A200" i="24"/>
  <c r="X199" i="24"/>
  <c r="L199" i="24"/>
  <c r="AK199" i="24"/>
  <c r="AC199" i="24"/>
  <c r="O199" i="24"/>
  <c r="D202" i="17"/>
  <c r="A203" i="20"/>
  <c r="L202" i="20"/>
  <c r="K202" i="20"/>
  <c r="AK202" i="20"/>
  <c r="X202" i="20"/>
  <c r="AB202" i="20"/>
  <c r="AJ202" i="20"/>
  <c r="AC202" i="20"/>
  <c r="O202" i="20"/>
  <c r="X200" i="23"/>
  <c r="K200" i="23"/>
  <c r="AJ200" i="23"/>
  <c r="AB200" i="23"/>
  <c r="L200" i="23"/>
  <c r="A201" i="23"/>
  <c r="AK200" i="23"/>
  <c r="AC200" i="23"/>
  <c r="O200" i="23"/>
  <c r="S207" i="1"/>
  <c r="R207" i="1" s="1"/>
  <c r="P207" i="1" s="1"/>
  <c r="V207" i="1" s="1"/>
  <c r="AA207" i="1" s="1"/>
  <c r="Z207" i="1" s="1"/>
  <c r="Y207" i="1" s="1"/>
  <c r="K201" i="22"/>
  <c r="L201" i="22"/>
  <c r="A202" i="22"/>
  <c r="AK201" i="22"/>
  <c r="AB201" i="22"/>
  <c r="X201" i="22"/>
  <c r="AJ201" i="22"/>
  <c r="AC201" i="22"/>
  <c r="O201" i="22"/>
  <c r="X208" i="15"/>
  <c r="K208" i="15"/>
  <c r="AJ208" i="15"/>
  <c r="A209" i="15"/>
  <c r="L208" i="15"/>
  <c r="D208" i="15" s="1"/>
  <c r="AB208" i="15"/>
  <c r="AK208" i="15"/>
  <c r="AC208" i="15"/>
  <c r="O208" i="15"/>
  <c r="E208" i="15" s="1"/>
  <c r="D201" i="16"/>
  <c r="E201" i="16" s="1"/>
  <c r="T208" i="1"/>
  <c r="E202" i="17"/>
  <c r="K203" i="17"/>
  <c r="AB203" i="17"/>
  <c r="AJ203" i="17"/>
  <c r="A204" i="17"/>
  <c r="L203" i="17"/>
  <c r="D203" i="17" s="1"/>
  <c r="X203" i="17"/>
  <c r="AK203" i="17"/>
  <c r="O203" i="17"/>
  <c r="AC203" i="17"/>
  <c r="X198" i="25"/>
  <c r="AB198" i="25"/>
  <c r="K198" i="25"/>
  <c r="AK198" i="25"/>
  <c r="A199" i="25"/>
  <c r="L198" i="25"/>
  <c r="AJ198" i="25"/>
  <c r="AC198" i="25"/>
  <c r="O198" i="25"/>
  <c r="A207" i="18"/>
  <c r="K206" i="18"/>
  <c r="X206" i="18"/>
  <c r="AK206" i="18"/>
  <c r="AB206" i="18"/>
  <c r="L206" i="18"/>
  <c r="AJ206" i="18"/>
  <c r="AC206" i="18"/>
  <c r="O206" i="18"/>
  <c r="X202" i="16"/>
  <c r="A203" i="16"/>
  <c r="AJ202" i="16"/>
  <c r="K202" i="16"/>
  <c r="L202" i="16"/>
  <c r="AB202" i="16"/>
  <c r="AK202" i="16"/>
  <c r="AC202" i="16"/>
  <c r="O202" i="16"/>
  <c r="Q209" i="1"/>
  <c r="X209" i="1"/>
  <c r="L209" i="1"/>
  <c r="A210" i="1"/>
  <c r="U209" i="1"/>
  <c r="K209" i="1"/>
  <c r="AB209" i="1"/>
  <c r="AJ209" i="1"/>
  <c r="AK209" i="1"/>
  <c r="O209" i="1"/>
  <c r="AC209" i="1"/>
  <c r="A26" i="7" l="1"/>
  <c r="A211" i="1"/>
  <c r="AJ210" i="1"/>
  <c r="K210" i="1"/>
  <c r="AB210" i="1"/>
  <c r="L210" i="1"/>
  <c r="AK210" i="1"/>
  <c r="Q210" i="1"/>
  <c r="AC210" i="1"/>
  <c r="X210" i="1"/>
  <c r="U210" i="1"/>
  <c r="O210" i="1"/>
  <c r="C26" i="7" s="1"/>
  <c r="D202" i="16"/>
  <c r="E202" i="16" s="1"/>
  <c r="S208" i="1"/>
  <c r="R208" i="1" s="1"/>
  <c r="P208" i="1" s="1"/>
  <c r="V208" i="1" s="1"/>
  <c r="AA208" i="1" s="1"/>
  <c r="Z208" i="1" s="1"/>
  <c r="Y208" i="1" s="1"/>
  <c r="AB203" i="20"/>
  <c r="X203" i="20"/>
  <c r="L203" i="20"/>
  <c r="AK203" i="20"/>
  <c r="A204" i="20"/>
  <c r="K203" i="20"/>
  <c r="AJ203" i="20"/>
  <c r="AC203" i="20"/>
  <c r="O203" i="20"/>
  <c r="X200" i="24"/>
  <c r="K200" i="24"/>
  <c r="AJ200" i="24"/>
  <c r="A201" i="24"/>
  <c r="AB200" i="24"/>
  <c r="L200" i="24"/>
  <c r="AK200" i="24"/>
  <c r="AC200" i="24"/>
  <c r="O200" i="24"/>
  <c r="T209" i="1"/>
  <c r="K203" i="16"/>
  <c r="X203" i="16"/>
  <c r="AJ203" i="16"/>
  <c r="A204" i="16"/>
  <c r="L203" i="16"/>
  <c r="AB203" i="16"/>
  <c r="AK203" i="16"/>
  <c r="AC203" i="16"/>
  <c r="O203" i="16"/>
  <c r="L207" i="18"/>
  <c r="AB207" i="18"/>
  <c r="AJ207" i="18"/>
  <c r="A208" i="18"/>
  <c r="X207" i="18"/>
  <c r="K207" i="18"/>
  <c r="AK207" i="18"/>
  <c r="O207" i="18"/>
  <c r="AC207" i="18"/>
  <c r="X199" i="25"/>
  <c r="K199" i="25"/>
  <c r="AJ199" i="25"/>
  <c r="AB199" i="25"/>
  <c r="A200" i="25"/>
  <c r="L199" i="25"/>
  <c r="AK199" i="25"/>
  <c r="AC199" i="25"/>
  <c r="O199" i="25"/>
  <c r="E203" i="17"/>
  <c r="AB204" i="17"/>
  <c r="L204" i="17"/>
  <c r="D204" i="17" s="1"/>
  <c r="AJ204" i="17"/>
  <c r="A205" i="17"/>
  <c r="K204" i="17"/>
  <c r="X204" i="17"/>
  <c r="AK204" i="17"/>
  <c r="O204" i="17"/>
  <c r="AC204" i="17"/>
  <c r="X209" i="15"/>
  <c r="L209" i="15"/>
  <c r="D209" i="15" s="1"/>
  <c r="AB209" i="15"/>
  <c r="AK209" i="15"/>
  <c r="A210" i="15"/>
  <c r="K209" i="15"/>
  <c r="AJ209" i="15"/>
  <c r="AC209" i="15"/>
  <c r="O209" i="15"/>
  <c r="K202" i="22"/>
  <c r="A203" i="22"/>
  <c r="AJ202" i="22"/>
  <c r="AB202" i="22"/>
  <c r="X202" i="22"/>
  <c r="L202" i="22"/>
  <c r="AK202" i="22"/>
  <c r="AC202" i="22"/>
  <c r="O202" i="22"/>
  <c r="K201" i="23"/>
  <c r="X201" i="23"/>
  <c r="L201" i="23"/>
  <c r="AK201" i="23"/>
  <c r="AB201" i="23"/>
  <c r="A202" i="23"/>
  <c r="AJ201" i="23"/>
  <c r="AC201" i="23"/>
  <c r="O201" i="23"/>
  <c r="E209" i="15" l="1"/>
  <c r="E204" i="17"/>
  <c r="K202" i="23"/>
  <c r="AB202" i="23"/>
  <c r="A203" i="23"/>
  <c r="AK202" i="23"/>
  <c r="X202" i="23"/>
  <c r="L202" i="23"/>
  <c r="AJ202" i="23"/>
  <c r="AC202" i="23"/>
  <c r="O202" i="23"/>
  <c r="K210" i="15"/>
  <c r="A38" i="7"/>
  <c r="L210" i="15"/>
  <c r="AK210" i="15"/>
  <c r="AB210" i="15"/>
  <c r="A211" i="15"/>
  <c r="X210" i="15"/>
  <c r="AJ210" i="15"/>
  <c r="AC210" i="15"/>
  <c r="O210" i="15"/>
  <c r="C38" i="7" s="1"/>
  <c r="A201" i="25"/>
  <c r="AB200" i="25"/>
  <c r="K200" i="25"/>
  <c r="AK200" i="25"/>
  <c r="X200" i="25"/>
  <c r="L200" i="25"/>
  <c r="AJ200" i="25"/>
  <c r="AC200" i="25"/>
  <c r="O200" i="25"/>
  <c r="D203" i="16"/>
  <c r="E203" i="16" s="1"/>
  <c r="K201" i="24"/>
  <c r="A202" i="24"/>
  <c r="AJ201" i="24"/>
  <c r="X201" i="24"/>
  <c r="AB201" i="24"/>
  <c r="L201" i="24"/>
  <c r="AK201" i="24"/>
  <c r="AC201" i="24"/>
  <c r="O201" i="24"/>
  <c r="L204" i="20"/>
  <c r="K204" i="20"/>
  <c r="AJ204" i="20"/>
  <c r="AB204" i="20"/>
  <c r="A205" i="20"/>
  <c r="X204" i="20"/>
  <c r="AK204" i="20"/>
  <c r="AC204" i="20"/>
  <c r="O204" i="20"/>
  <c r="B26" i="7"/>
  <c r="AB211" i="1"/>
  <c r="L211" i="1"/>
  <c r="K211" i="1"/>
  <c r="X211" i="1"/>
  <c r="U211" i="1"/>
  <c r="AJ211" i="1"/>
  <c r="A212" i="1"/>
  <c r="AK211" i="1"/>
  <c r="Q211" i="1"/>
  <c r="O211" i="1"/>
  <c r="AC211" i="1"/>
  <c r="L203" i="22"/>
  <c r="A204" i="22"/>
  <c r="AJ203" i="22"/>
  <c r="AB203" i="22"/>
  <c r="X203" i="22"/>
  <c r="K203" i="22"/>
  <c r="AK203" i="22"/>
  <c r="AC203" i="22"/>
  <c r="O203" i="22"/>
  <c r="A206" i="17"/>
  <c r="AB205" i="17"/>
  <c r="L205" i="17"/>
  <c r="D205" i="17" s="1"/>
  <c r="AK205" i="17"/>
  <c r="K205" i="17"/>
  <c r="X205" i="17"/>
  <c r="AJ205" i="17"/>
  <c r="O205" i="17"/>
  <c r="AC205" i="17"/>
  <c r="L208" i="18"/>
  <c r="AB208" i="18"/>
  <c r="AJ208" i="18"/>
  <c r="K208" i="18"/>
  <c r="X208" i="18"/>
  <c r="A209" i="18"/>
  <c r="AK208" i="18"/>
  <c r="O208" i="18"/>
  <c r="AC208" i="18"/>
  <c r="AB204" i="16"/>
  <c r="K204" i="16"/>
  <c r="X204" i="16"/>
  <c r="AK204" i="16"/>
  <c r="A205" i="16"/>
  <c r="L204" i="16"/>
  <c r="AJ204" i="16"/>
  <c r="AC204" i="16"/>
  <c r="O204" i="16"/>
  <c r="S209" i="1"/>
  <c r="R209" i="1" s="1"/>
  <c r="P209" i="1" s="1"/>
  <c r="V209" i="1" s="1"/>
  <c r="AA209" i="1" s="1"/>
  <c r="Z209" i="1" s="1"/>
  <c r="Y209" i="1" s="1"/>
  <c r="T210" i="1"/>
  <c r="X205" i="16" l="1"/>
  <c r="A206" i="16"/>
  <c r="AJ205" i="16"/>
  <c r="K205" i="16"/>
  <c r="L205" i="16"/>
  <c r="AB205" i="16"/>
  <c r="AK205" i="16"/>
  <c r="AC205" i="16"/>
  <c r="O205" i="16"/>
  <c r="AB209" i="18"/>
  <c r="L209" i="18"/>
  <c r="AJ209" i="18"/>
  <c r="A210" i="18"/>
  <c r="X209" i="18"/>
  <c r="K209" i="18"/>
  <c r="AK209" i="18"/>
  <c r="O209" i="18"/>
  <c r="AC209" i="18"/>
  <c r="AB206" i="17"/>
  <c r="X206" i="17"/>
  <c r="AJ206" i="17"/>
  <c r="A207" i="17"/>
  <c r="K206" i="17"/>
  <c r="L206" i="17"/>
  <c r="D206" i="17" s="1"/>
  <c r="AK206" i="17"/>
  <c r="O206" i="17"/>
  <c r="E206" i="17" s="1"/>
  <c r="AC206" i="17"/>
  <c r="AC212" i="1"/>
  <c r="L212" i="1"/>
  <c r="Q212" i="1"/>
  <c r="AB212" i="1"/>
  <c r="AK212" i="1"/>
  <c r="O212" i="1"/>
  <c r="A213" i="1"/>
  <c r="K212" i="1"/>
  <c r="AJ212" i="1"/>
  <c r="X212" i="1"/>
  <c r="U212" i="1"/>
  <c r="T211" i="1"/>
  <c r="K202" i="24"/>
  <c r="A203" i="24"/>
  <c r="AJ202" i="24"/>
  <c r="AB202" i="24"/>
  <c r="L202" i="24"/>
  <c r="X202" i="24"/>
  <c r="AK202" i="24"/>
  <c r="AC202" i="24"/>
  <c r="O202" i="24"/>
  <c r="X201" i="25"/>
  <c r="AB201" i="25"/>
  <c r="AJ201" i="25"/>
  <c r="A202" i="25"/>
  <c r="K201" i="25"/>
  <c r="L201" i="25"/>
  <c r="AK201" i="25"/>
  <c r="AC201" i="25"/>
  <c r="O201" i="25"/>
  <c r="D210" i="15"/>
  <c r="E210" i="15" s="1"/>
  <c r="B38" i="7"/>
  <c r="S210" i="1"/>
  <c r="R210" i="1" s="1"/>
  <c r="P210" i="1" s="1"/>
  <c r="D204" i="16"/>
  <c r="E204" i="16" s="1"/>
  <c r="E205" i="17"/>
  <c r="L204" i="22"/>
  <c r="K204" i="22"/>
  <c r="AJ204" i="22"/>
  <c r="AB204" i="22"/>
  <c r="A205" i="22"/>
  <c r="X204" i="22"/>
  <c r="AK204" i="22"/>
  <c r="AC204" i="22"/>
  <c r="O204" i="22"/>
  <c r="A206" i="20"/>
  <c r="K205" i="20"/>
  <c r="X205" i="20"/>
  <c r="AK205" i="20"/>
  <c r="AB205" i="20"/>
  <c r="L205" i="20"/>
  <c r="AJ205" i="20"/>
  <c r="AC205" i="20"/>
  <c r="O205" i="20"/>
  <c r="L211" i="15"/>
  <c r="D211" i="15" s="1"/>
  <c r="A212" i="15"/>
  <c r="K211" i="15"/>
  <c r="AJ211" i="15"/>
  <c r="AB211" i="15"/>
  <c r="X211" i="15"/>
  <c r="AK211" i="15"/>
  <c r="AC211" i="15"/>
  <c r="O211" i="15"/>
  <c r="AB203" i="23"/>
  <c r="A204" i="23"/>
  <c r="K203" i="23"/>
  <c r="AK203" i="23"/>
  <c r="L203" i="23"/>
  <c r="X203" i="23"/>
  <c r="AJ203" i="23"/>
  <c r="AC203" i="23"/>
  <c r="O203" i="23"/>
  <c r="E211" i="15" l="1"/>
  <c r="AB212" i="15"/>
  <c r="L212" i="15"/>
  <c r="A213" i="15"/>
  <c r="AK212" i="15"/>
  <c r="K212" i="15"/>
  <c r="X212" i="15"/>
  <c r="AJ212" i="15"/>
  <c r="O212" i="15"/>
  <c r="AC212" i="15"/>
  <c r="AB207" i="17"/>
  <c r="A208" i="17"/>
  <c r="L207" i="17"/>
  <c r="AK207" i="17"/>
  <c r="X207" i="17"/>
  <c r="K207" i="17"/>
  <c r="AJ207" i="17"/>
  <c r="O207" i="17"/>
  <c r="AC207" i="17"/>
  <c r="A211" i="18"/>
  <c r="AB210" i="18"/>
  <c r="L210" i="18"/>
  <c r="AK210" i="18"/>
  <c r="X210" i="18"/>
  <c r="A74" i="7"/>
  <c r="K210" i="18"/>
  <c r="AJ210" i="18"/>
  <c r="O210" i="18"/>
  <c r="C74" i="7" s="1"/>
  <c r="AC210" i="18"/>
  <c r="K206" i="16"/>
  <c r="X206" i="16"/>
  <c r="AJ206" i="16"/>
  <c r="AB206" i="16"/>
  <c r="A207" i="16"/>
  <c r="L206" i="16"/>
  <c r="AK206" i="16"/>
  <c r="AC206" i="16"/>
  <c r="O206" i="16"/>
  <c r="X204" i="23"/>
  <c r="A205" i="23"/>
  <c r="AJ204" i="23"/>
  <c r="AB204" i="23"/>
  <c r="K204" i="23"/>
  <c r="L204" i="23"/>
  <c r="AK204" i="23"/>
  <c r="AC204" i="23"/>
  <c r="O204" i="23"/>
  <c r="X206" i="20"/>
  <c r="K206" i="20"/>
  <c r="A207" i="20"/>
  <c r="AK206" i="20"/>
  <c r="L206" i="20"/>
  <c r="AB206" i="20"/>
  <c r="AJ206" i="20"/>
  <c r="AC206" i="20"/>
  <c r="O206" i="20"/>
  <c r="X205" i="22"/>
  <c r="K205" i="22"/>
  <c r="L205" i="22"/>
  <c r="AK205" i="22"/>
  <c r="A206" i="22"/>
  <c r="AB205" i="22"/>
  <c r="AJ205" i="22"/>
  <c r="AC205" i="22"/>
  <c r="O205" i="22"/>
  <c r="D26" i="7"/>
  <c r="V210" i="1"/>
  <c r="AA210" i="1" s="1"/>
  <c r="Z210" i="1" s="1"/>
  <c r="Y210" i="1" s="1"/>
  <c r="AB202" i="25"/>
  <c r="X202" i="25"/>
  <c r="K202" i="25"/>
  <c r="AK202" i="25"/>
  <c r="L202" i="25"/>
  <c r="A203" i="25"/>
  <c r="AJ202" i="25"/>
  <c r="AC202" i="25"/>
  <c r="O202" i="25"/>
  <c r="AB203" i="24"/>
  <c r="L203" i="24"/>
  <c r="A204" i="24"/>
  <c r="AK203" i="24"/>
  <c r="K203" i="24"/>
  <c r="X203" i="24"/>
  <c r="AJ203" i="24"/>
  <c r="AC203" i="24"/>
  <c r="O203" i="24"/>
  <c r="S211" i="1"/>
  <c r="R211" i="1" s="1"/>
  <c r="P211" i="1" s="1"/>
  <c r="V211" i="1" s="1"/>
  <c r="AA211" i="1" s="1"/>
  <c r="Z211" i="1" s="1"/>
  <c r="Y211" i="1" s="1"/>
  <c r="T212" i="1"/>
  <c r="AC213" i="1"/>
  <c r="X213" i="1"/>
  <c r="K213" i="1"/>
  <c r="A214" i="1"/>
  <c r="U213" i="1"/>
  <c r="AK213" i="1"/>
  <c r="AJ213" i="1"/>
  <c r="Q213" i="1"/>
  <c r="L213" i="1"/>
  <c r="AB213" i="1"/>
  <c r="O213" i="1"/>
  <c r="D205" i="16"/>
  <c r="E205" i="16" s="1"/>
  <c r="T213" i="1" l="1"/>
  <c r="S212" i="1"/>
  <c r="R212" i="1" s="1"/>
  <c r="P212" i="1" s="1"/>
  <c r="V212" i="1" s="1"/>
  <c r="AA212" i="1" s="1"/>
  <c r="Z212" i="1" s="1"/>
  <c r="Y212" i="1" s="1"/>
  <c r="A207" i="22"/>
  <c r="X206" i="22"/>
  <c r="AJ206" i="22"/>
  <c r="AB206" i="22"/>
  <c r="K206" i="22"/>
  <c r="L206" i="22"/>
  <c r="AK206" i="22"/>
  <c r="AC206" i="22"/>
  <c r="O206" i="22"/>
  <c r="X207" i="20"/>
  <c r="K207" i="20"/>
  <c r="AB207" i="20"/>
  <c r="AK207" i="20"/>
  <c r="A208" i="20"/>
  <c r="L207" i="20"/>
  <c r="AJ207" i="20"/>
  <c r="AC207" i="20"/>
  <c r="O207" i="20"/>
  <c r="D206" i="16"/>
  <c r="E206" i="16" s="1"/>
  <c r="AB208" i="17"/>
  <c r="A209" i="17"/>
  <c r="AJ208" i="17"/>
  <c r="X208" i="17"/>
  <c r="L208" i="17"/>
  <c r="D208" i="17" s="1"/>
  <c r="K208" i="17"/>
  <c r="AK208" i="17"/>
  <c r="O208" i="17"/>
  <c r="AC208" i="17"/>
  <c r="D212" i="15"/>
  <c r="E212" i="15" s="1"/>
  <c r="X214" i="1"/>
  <c r="AB214" i="1"/>
  <c r="AJ214" i="1"/>
  <c r="L214" i="1"/>
  <c r="U214" i="1"/>
  <c r="A215" i="1"/>
  <c r="K214" i="1"/>
  <c r="Q214" i="1"/>
  <c r="AK214" i="1"/>
  <c r="AC214" i="1"/>
  <c r="O214" i="1"/>
  <c r="AB204" i="24"/>
  <c r="X204" i="24"/>
  <c r="A205" i="24"/>
  <c r="AK204" i="24"/>
  <c r="K204" i="24"/>
  <c r="L204" i="24"/>
  <c r="AJ204" i="24"/>
  <c r="AC204" i="24"/>
  <c r="O204" i="24"/>
  <c r="X203" i="25"/>
  <c r="K203" i="25"/>
  <c r="A204" i="25"/>
  <c r="AK203" i="25"/>
  <c r="AB203" i="25"/>
  <c r="L203" i="25"/>
  <c r="AJ203" i="25"/>
  <c r="AC203" i="25"/>
  <c r="O203" i="25"/>
  <c r="L205" i="23"/>
  <c r="AB205" i="23"/>
  <c r="AJ205" i="23"/>
  <c r="K205" i="23"/>
  <c r="X205" i="23"/>
  <c r="A206" i="23"/>
  <c r="AK205" i="23"/>
  <c r="AC205" i="23"/>
  <c r="O205" i="23"/>
  <c r="AB207" i="16"/>
  <c r="A208" i="16"/>
  <c r="AJ207" i="16"/>
  <c r="K207" i="16"/>
  <c r="L207" i="16"/>
  <c r="X207" i="16"/>
  <c r="AK207" i="16"/>
  <c r="AC207" i="16"/>
  <c r="O207" i="16"/>
  <c r="B74" i="7"/>
  <c r="A212" i="18"/>
  <c r="AB211" i="18"/>
  <c r="AJ211" i="18"/>
  <c r="K211" i="18"/>
  <c r="L211" i="18"/>
  <c r="X211" i="18"/>
  <c r="AK211" i="18"/>
  <c r="AC211" i="18"/>
  <c r="O211" i="18"/>
  <c r="D207" i="17"/>
  <c r="E207" i="17" s="1"/>
  <c r="AB213" i="15"/>
  <c r="A214" i="15"/>
  <c r="AK213" i="15"/>
  <c r="L213" i="15"/>
  <c r="D213" i="15" s="1"/>
  <c r="X213" i="15"/>
  <c r="K213" i="15"/>
  <c r="AJ213" i="15"/>
  <c r="O213" i="15"/>
  <c r="AC213" i="15"/>
  <c r="E213" i="15" l="1"/>
  <c r="E208" i="17"/>
  <c r="D207" i="16"/>
  <c r="E207" i="16" s="1"/>
  <c r="X206" i="23"/>
  <c r="K206" i="23"/>
  <c r="AB206" i="23"/>
  <c r="AK206" i="23"/>
  <c r="L206" i="23"/>
  <c r="A207" i="23"/>
  <c r="AJ206" i="23"/>
  <c r="AC206" i="23"/>
  <c r="O206" i="23"/>
  <c r="L204" i="25"/>
  <c r="AB204" i="25"/>
  <c r="AJ204" i="25"/>
  <c r="X204" i="25"/>
  <c r="K204" i="25"/>
  <c r="A205" i="25"/>
  <c r="AK204" i="25"/>
  <c r="AC204" i="25"/>
  <c r="O204" i="25"/>
  <c r="K215" i="1"/>
  <c r="A216" i="1"/>
  <c r="X215" i="1"/>
  <c r="AK215" i="1"/>
  <c r="U215" i="1"/>
  <c r="L215" i="1"/>
  <c r="AJ215" i="1"/>
  <c r="Q215" i="1"/>
  <c r="AB215" i="1"/>
  <c r="AC215" i="1"/>
  <c r="O215" i="1"/>
  <c r="K214" i="15"/>
  <c r="A215" i="15"/>
  <c r="AB214" i="15"/>
  <c r="AK214" i="15"/>
  <c r="L214" i="15"/>
  <c r="X214" i="15"/>
  <c r="AJ214" i="15"/>
  <c r="AC214" i="15"/>
  <c r="O214" i="15"/>
  <c r="X212" i="18"/>
  <c r="A213" i="18"/>
  <c r="AJ212" i="18"/>
  <c r="AB212" i="18"/>
  <c r="K212" i="18"/>
  <c r="L212" i="18"/>
  <c r="AK212" i="18"/>
  <c r="O212" i="18"/>
  <c r="AC212" i="18"/>
  <c r="X208" i="16"/>
  <c r="A209" i="16"/>
  <c r="AJ208" i="16"/>
  <c r="AB208" i="16"/>
  <c r="L208" i="16"/>
  <c r="K208" i="16"/>
  <c r="AK208" i="16"/>
  <c r="AC208" i="16"/>
  <c r="O208" i="16"/>
  <c r="AB205" i="24"/>
  <c r="L205" i="24"/>
  <c r="AJ205" i="24"/>
  <c r="X205" i="24"/>
  <c r="A206" i="24"/>
  <c r="K205" i="24"/>
  <c r="AK205" i="24"/>
  <c r="AC205" i="24"/>
  <c r="O205" i="24"/>
  <c r="T214" i="1"/>
  <c r="K209" i="17"/>
  <c r="A210" i="17"/>
  <c r="AJ209" i="17"/>
  <c r="AB209" i="17"/>
  <c r="X209" i="17"/>
  <c r="L209" i="17"/>
  <c r="AK209" i="17"/>
  <c r="O209" i="17"/>
  <c r="AC209" i="17"/>
  <c r="AB208" i="20"/>
  <c r="L208" i="20"/>
  <c r="AJ208" i="20"/>
  <c r="X208" i="20"/>
  <c r="A209" i="20"/>
  <c r="K208" i="20"/>
  <c r="AK208" i="20"/>
  <c r="AC208" i="20"/>
  <c r="O208" i="20"/>
  <c r="A208" i="22"/>
  <c r="X207" i="22"/>
  <c r="AB207" i="22"/>
  <c r="AK207" i="22"/>
  <c r="L207" i="22"/>
  <c r="K207" i="22"/>
  <c r="AJ207" i="22"/>
  <c r="AC207" i="22"/>
  <c r="O207" i="22"/>
  <c r="S213" i="1"/>
  <c r="R213" i="1" s="1"/>
  <c r="P213" i="1" s="1"/>
  <c r="V213" i="1" s="1"/>
  <c r="AA213" i="1" s="1"/>
  <c r="Z213" i="1" s="1"/>
  <c r="Y213" i="1" s="1"/>
  <c r="AB208" i="22" l="1"/>
  <c r="L208" i="22"/>
  <c r="A209" i="22"/>
  <c r="AK208" i="22"/>
  <c r="K208" i="22"/>
  <c r="X208" i="22"/>
  <c r="AJ208" i="22"/>
  <c r="AC208" i="22"/>
  <c r="O208" i="22"/>
  <c r="A210" i="20"/>
  <c r="K209" i="20"/>
  <c r="AJ209" i="20"/>
  <c r="X209" i="20"/>
  <c r="L209" i="20"/>
  <c r="AB209" i="20"/>
  <c r="AK209" i="20"/>
  <c r="AC209" i="20"/>
  <c r="O209" i="20"/>
  <c r="D209" i="17"/>
  <c r="E209" i="17" s="1"/>
  <c r="X210" i="17"/>
  <c r="AB210" i="17"/>
  <c r="K210" i="17"/>
  <c r="AK210" i="17"/>
  <c r="A211" i="17"/>
  <c r="L210" i="17"/>
  <c r="A62" i="7"/>
  <c r="AJ210" i="17"/>
  <c r="O210" i="17"/>
  <c r="C62" i="7" s="1"/>
  <c r="AC210" i="17"/>
  <c r="S214" i="1"/>
  <c r="R214" i="1" s="1"/>
  <c r="P214" i="1" s="1"/>
  <c r="V214" i="1" s="1"/>
  <c r="AA214" i="1" s="1"/>
  <c r="Z214" i="1" s="1"/>
  <c r="Y214" i="1" s="1"/>
  <c r="D208" i="16"/>
  <c r="E208" i="16" s="1"/>
  <c r="A214" i="18"/>
  <c r="AB213" i="18"/>
  <c r="AJ213" i="18"/>
  <c r="K213" i="18"/>
  <c r="L213" i="18"/>
  <c r="X213" i="18"/>
  <c r="AK213" i="18"/>
  <c r="O213" i="18"/>
  <c r="AC213" i="18"/>
  <c r="K215" i="15"/>
  <c r="AB215" i="15"/>
  <c r="AK215" i="15"/>
  <c r="A216" i="15"/>
  <c r="L215" i="15"/>
  <c r="X215" i="15"/>
  <c r="AJ215" i="15"/>
  <c r="O215" i="15"/>
  <c r="AC215" i="15"/>
  <c r="T215" i="1"/>
  <c r="K205" i="25"/>
  <c r="AB205" i="25"/>
  <c r="L205" i="25"/>
  <c r="AK205" i="25"/>
  <c r="A206" i="25"/>
  <c r="X205" i="25"/>
  <c r="AJ205" i="25"/>
  <c r="AC205" i="25"/>
  <c r="O205" i="25"/>
  <c r="X207" i="23"/>
  <c r="A208" i="23"/>
  <c r="AB207" i="23"/>
  <c r="AK207" i="23"/>
  <c r="K207" i="23"/>
  <c r="L207" i="23"/>
  <c r="AJ207" i="23"/>
  <c r="AC207" i="23"/>
  <c r="O207" i="23"/>
  <c r="L206" i="24"/>
  <c r="AB206" i="24"/>
  <c r="AJ206" i="24"/>
  <c r="K206" i="24"/>
  <c r="X206" i="24"/>
  <c r="A207" i="24"/>
  <c r="AK206" i="24"/>
  <c r="AC206" i="24"/>
  <c r="O206" i="24"/>
  <c r="AB209" i="16"/>
  <c r="X209" i="16"/>
  <c r="AJ209" i="16"/>
  <c r="A210" i="16"/>
  <c r="L209" i="16"/>
  <c r="K209" i="16"/>
  <c r="AK209" i="16"/>
  <c r="AC209" i="16"/>
  <c r="O209" i="16"/>
  <c r="D214" i="15"/>
  <c r="E214" i="15" s="1"/>
  <c r="AK216" i="1"/>
  <c r="A217" i="1"/>
  <c r="AC216" i="1"/>
  <c r="X216" i="1"/>
  <c r="AB216" i="1"/>
  <c r="O216" i="1"/>
  <c r="K216" i="1"/>
  <c r="AJ216" i="1"/>
  <c r="Q216" i="1"/>
  <c r="L216" i="1"/>
  <c r="U216" i="1"/>
  <c r="A218" i="1" l="1"/>
  <c r="AK217" i="1"/>
  <c r="AB217" i="1"/>
  <c r="Q217" i="1"/>
  <c r="L217" i="1"/>
  <c r="U217" i="1"/>
  <c r="AC217" i="1"/>
  <c r="K217" i="1"/>
  <c r="O217" i="1"/>
  <c r="AJ217" i="1"/>
  <c r="X217" i="1"/>
  <c r="T216" i="1"/>
  <c r="D209" i="16"/>
  <c r="E209" i="16" s="1"/>
  <c r="L207" i="24"/>
  <c r="A208" i="24"/>
  <c r="K207" i="24"/>
  <c r="AK207" i="24"/>
  <c r="X207" i="24"/>
  <c r="AB207" i="24"/>
  <c r="AJ207" i="24"/>
  <c r="AC207" i="24"/>
  <c r="O207" i="24"/>
  <c r="S215" i="1"/>
  <c r="R215" i="1" s="1"/>
  <c r="P215" i="1" s="1"/>
  <c r="V215" i="1" s="1"/>
  <c r="AA215" i="1" s="1"/>
  <c r="Z215" i="1" s="1"/>
  <c r="Y215" i="1" s="1"/>
  <c r="D215" i="15"/>
  <c r="E215" i="15" s="1"/>
  <c r="X211" i="17"/>
  <c r="K211" i="17"/>
  <c r="AB211" i="17"/>
  <c r="AK211" i="17"/>
  <c r="L211" i="17"/>
  <c r="D211" i="17" s="1"/>
  <c r="A212" i="17"/>
  <c r="AJ211" i="17"/>
  <c r="O211" i="17"/>
  <c r="AC211" i="17"/>
  <c r="L210" i="20"/>
  <c r="AE26" i="7"/>
  <c r="K210" i="20"/>
  <c r="AJ210" i="20"/>
  <c r="AB210" i="20"/>
  <c r="X210" i="20"/>
  <c r="A211" i="20"/>
  <c r="AK210" i="20"/>
  <c r="AC210" i="20"/>
  <c r="O210" i="20"/>
  <c r="AG26" i="7" s="1"/>
  <c r="X209" i="22"/>
  <c r="A210" i="22"/>
  <c r="K209" i="22"/>
  <c r="AK209" i="22"/>
  <c r="AB209" i="22"/>
  <c r="L209" i="22"/>
  <c r="AJ209" i="22"/>
  <c r="AC209" i="22"/>
  <c r="O209" i="22"/>
  <c r="A211" i="16"/>
  <c r="L210" i="16"/>
  <c r="X210" i="16"/>
  <c r="AJ210" i="16"/>
  <c r="K210" i="16"/>
  <c r="A50" i="7"/>
  <c r="AB210" i="16"/>
  <c r="AK210" i="16"/>
  <c r="AC210" i="16"/>
  <c r="O210" i="16"/>
  <c r="C50" i="7" s="1"/>
  <c r="K208" i="23"/>
  <c r="X208" i="23"/>
  <c r="L208" i="23"/>
  <c r="AK208" i="23"/>
  <c r="A209" i="23"/>
  <c r="AB208" i="23"/>
  <c r="AJ208" i="23"/>
  <c r="AC208" i="23"/>
  <c r="O208" i="23"/>
  <c r="AB206" i="25"/>
  <c r="X206" i="25"/>
  <c r="AJ206" i="25"/>
  <c r="A207" i="25"/>
  <c r="L206" i="25"/>
  <c r="K206" i="25"/>
  <c r="AK206" i="25"/>
  <c r="AC206" i="25"/>
  <c r="O206" i="25"/>
  <c r="K216" i="15"/>
  <c r="AB216" i="15"/>
  <c r="AJ216" i="15"/>
  <c r="A217" i="15"/>
  <c r="L216" i="15"/>
  <c r="X216" i="15"/>
  <c r="AK216" i="15"/>
  <c r="AC216" i="15"/>
  <c r="O216" i="15"/>
  <c r="K214" i="18"/>
  <c r="A215" i="18"/>
  <c r="X214" i="18"/>
  <c r="AK214" i="18"/>
  <c r="AB214" i="18"/>
  <c r="L214" i="18"/>
  <c r="AJ214" i="18"/>
  <c r="O214" i="18"/>
  <c r="AC214" i="18"/>
  <c r="B62" i="7"/>
  <c r="D210" i="17"/>
  <c r="E210" i="17" s="1"/>
  <c r="E211" i="17" l="1"/>
  <c r="AB215" i="18"/>
  <c r="A216" i="18"/>
  <c r="X215" i="18"/>
  <c r="AK215" i="18"/>
  <c r="K215" i="18"/>
  <c r="L215" i="18"/>
  <c r="AJ215" i="18"/>
  <c r="O215" i="18"/>
  <c r="AC215" i="18"/>
  <c r="D216" i="15"/>
  <c r="E216" i="15" s="1"/>
  <c r="A218" i="15"/>
  <c r="X217" i="15"/>
  <c r="AJ217" i="15"/>
  <c r="L217" i="15"/>
  <c r="D217" i="15" s="1"/>
  <c r="K217" i="15"/>
  <c r="AB217" i="15"/>
  <c r="AK217" i="15"/>
  <c r="AC217" i="15"/>
  <c r="O217" i="15"/>
  <c r="L207" i="25"/>
  <c r="K207" i="25"/>
  <c r="AJ207" i="25"/>
  <c r="AB207" i="25"/>
  <c r="X207" i="25"/>
  <c r="A208" i="25"/>
  <c r="AK207" i="25"/>
  <c r="AC207" i="25"/>
  <c r="O207" i="25"/>
  <c r="L211" i="16"/>
  <c r="A212" i="16"/>
  <c r="K211" i="16"/>
  <c r="AK211" i="16"/>
  <c r="X211" i="16"/>
  <c r="AB211" i="16"/>
  <c r="AJ211" i="16"/>
  <c r="AC211" i="16"/>
  <c r="O211" i="16"/>
  <c r="AB212" i="17"/>
  <c r="X212" i="17"/>
  <c r="K212" i="17"/>
  <c r="AK212" i="17"/>
  <c r="A213" i="17"/>
  <c r="L212" i="17"/>
  <c r="D212" i="17" s="1"/>
  <c r="AJ212" i="17"/>
  <c r="O212" i="17"/>
  <c r="AC212" i="17"/>
  <c r="A209" i="24"/>
  <c r="K208" i="24"/>
  <c r="AB208" i="24"/>
  <c r="AK208" i="24"/>
  <c r="X208" i="24"/>
  <c r="L208" i="24"/>
  <c r="AJ208" i="24"/>
  <c r="AC208" i="24"/>
  <c r="O208" i="24"/>
  <c r="A219" i="1"/>
  <c r="AK218" i="1"/>
  <c r="AB218" i="1"/>
  <c r="Q218" i="1"/>
  <c r="AJ218" i="1"/>
  <c r="AC218" i="1"/>
  <c r="L218" i="1"/>
  <c r="X218" i="1"/>
  <c r="K218" i="1"/>
  <c r="U218" i="1"/>
  <c r="O218" i="1"/>
  <c r="X209" i="23"/>
  <c r="K209" i="23"/>
  <c r="AB209" i="23"/>
  <c r="AK209" i="23"/>
  <c r="L209" i="23"/>
  <c r="A210" i="23"/>
  <c r="AJ209" i="23"/>
  <c r="AC209" i="23"/>
  <c r="O209" i="23"/>
  <c r="B50" i="7"/>
  <c r="D210" i="16"/>
  <c r="E210" i="16" s="1"/>
  <c r="A211" i="22"/>
  <c r="AE38" i="7"/>
  <c r="L210" i="22"/>
  <c r="AK210" i="22"/>
  <c r="AB210" i="22"/>
  <c r="X210" i="22"/>
  <c r="K210" i="22"/>
  <c r="AJ210" i="22"/>
  <c r="AC210" i="22"/>
  <c r="O210" i="22"/>
  <c r="AG38" i="7" s="1"/>
  <c r="AB211" i="20"/>
  <c r="K211" i="20"/>
  <c r="AJ211" i="20"/>
  <c r="A212" i="20"/>
  <c r="L211" i="20"/>
  <c r="X211" i="20"/>
  <c r="AK211" i="20"/>
  <c r="AC211" i="20"/>
  <c r="O211" i="20"/>
  <c r="AF26" i="7"/>
  <c r="S216" i="1"/>
  <c r="R216" i="1" s="1"/>
  <c r="P216" i="1" s="1"/>
  <c r="V216" i="1" s="1"/>
  <c r="AA216" i="1" s="1"/>
  <c r="Z216" i="1" s="1"/>
  <c r="Y216" i="1" s="1"/>
  <c r="T217" i="1"/>
  <c r="E212" i="17" l="1"/>
  <c r="E217" i="15"/>
  <c r="AF38" i="7"/>
  <c r="AB211" i="22"/>
  <c r="A212" i="22"/>
  <c r="K211" i="22"/>
  <c r="AK211" i="22"/>
  <c r="X211" i="22"/>
  <c r="L211" i="22"/>
  <c r="AJ211" i="22"/>
  <c r="AC211" i="22"/>
  <c r="O211" i="22"/>
  <c r="T218" i="1"/>
  <c r="K209" i="24"/>
  <c r="AB209" i="24"/>
  <c r="X209" i="24"/>
  <c r="AK209" i="24"/>
  <c r="L209" i="24"/>
  <c r="A210" i="24"/>
  <c r="AJ209" i="24"/>
  <c r="AC209" i="24"/>
  <c r="O209" i="24"/>
  <c r="D211" i="16"/>
  <c r="E211" i="16" s="1"/>
  <c r="K208" i="25"/>
  <c r="A209" i="25"/>
  <c r="L208" i="25"/>
  <c r="AK208" i="25"/>
  <c r="X208" i="25"/>
  <c r="AB208" i="25"/>
  <c r="AJ208" i="25"/>
  <c r="AC208" i="25"/>
  <c r="O208" i="25"/>
  <c r="S217" i="1"/>
  <c r="R217" i="1" s="1"/>
  <c r="P217" i="1" s="1"/>
  <c r="V217" i="1" s="1"/>
  <c r="AA217" i="1" s="1"/>
  <c r="Z217" i="1" s="1"/>
  <c r="Y217" i="1" s="1"/>
  <c r="X212" i="20"/>
  <c r="A213" i="20"/>
  <c r="AB212" i="20"/>
  <c r="AK212" i="20"/>
  <c r="K212" i="20"/>
  <c r="L212" i="20"/>
  <c r="AJ212" i="20"/>
  <c r="AC212" i="20"/>
  <c r="O212" i="20"/>
  <c r="K210" i="23"/>
  <c r="X210" i="23"/>
  <c r="L210" i="23"/>
  <c r="AK210" i="23"/>
  <c r="AB210" i="23"/>
  <c r="AE50" i="7"/>
  <c r="A211" i="23"/>
  <c r="AJ210" i="23"/>
  <c r="AC210" i="23"/>
  <c r="O210" i="23"/>
  <c r="AG50" i="7" s="1"/>
  <c r="AB219" i="1"/>
  <c r="L219" i="1"/>
  <c r="X219" i="1"/>
  <c r="K219" i="1"/>
  <c r="U219" i="1"/>
  <c r="AJ219" i="1"/>
  <c r="Q219" i="1"/>
  <c r="AK219" i="1"/>
  <c r="A220" i="1"/>
  <c r="AC219" i="1"/>
  <c r="O219" i="1"/>
  <c r="X213" i="17"/>
  <c r="L213" i="17"/>
  <c r="D213" i="17" s="1"/>
  <c r="A214" i="17"/>
  <c r="AK213" i="17"/>
  <c r="AB213" i="17"/>
  <c r="K213" i="17"/>
  <c r="AJ213" i="17"/>
  <c r="O213" i="17"/>
  <c r="AC213" i="17"/>
  <c r="X212" i="16"/>
  <c r="K212" i="16"/>
  <c r="AJ212" i="16"/>
  <c r="L212" i="16"/>
  <c r="A213" i="16"/>
  <c r="AB212" i="16"/>
  <c r="AK212" i="16"/>
  <c r="AC212" i="16"/>
  <c r="O212" i="16"/>
  <c r="A219" i="15"/>
  <c r="L218" i="15"/>
  <c r="D218" i="15" s="1"/>
  <c r="X218" i="15"/>
  <c r="AK218" i="15"/>
  <c r="AB218" i="15"/>
  <c r="K218" i="15"/>
  <c r="AJ218" i="15"/>
  <c r="AC218" i="15"/>
  <c r="O218" i="15"/>
  <c r="K216" i="18"/>
  <c r="AB216" i="18"/>
  <c r="X216" i="18"/>
  <c r="AK216" i="18"/>
  <c r="L216" i="18"/>
  <c r="A217" i="18"/>
  <c r="AJ216" i="18"/>
  <c r="AC216" i="18"/>
  <c r="O216" i="18"/>
  <c r="E213" i="17" l="1"/>
  <c r="E218" i="15"/>
  <c r="AB219" i="15"/>
  <c r="L219" i="15"/>
  <c r="AJ219" i="15"/>
  <c r="K219" i="15"/>
  <c r="A220" i="15"/>
  <c r="X219" i="15"/>
  <c r="AK219" i="15"/>
  <c r="AC219" i="15"/>
  <c r="O219" i="15"/>
  <c r="X213" i="16"/>
  <c r="K213" i="16"/>
  <c r="AB213" i="16"/>
  <c r="AK213" i="16"/>
  <c r="A214" i="16"/>
  <c r="L213" i="16"/>
  <c r="AJ213" i="16"/>
  <c r="AC213" i="16"/>
  <c r="O213" i="16"/>
  <c r="K211" i="23"/>
  <c r="L211" i="23"/>
  <c r="AB211" i="23"/>
  <c r="AK211" i="23"/>
  <c r="X211" i="23"/>
  <c r="A212" i="23"/>
  <c r="AJ211" i="23"/>
  <c r="AC211" i="23"/>
  <c r="O211" i="23"/>
  <c r="AF50" i="7"/>
  <c r="AB213" i="20"/>
  <c r="A214" i="20"/>
  <c r="K213" i="20"/>
  <c r="AK213" i="20"/>
  <c r="L213" i="20"/>
  <c r="X213" i="20"/>
  <c r="AJ213" i="20"/>
  <c r="AC213" i="20"/>
  <c r="O213" i="20"/>
  <c r="A218" i="18"/>
  <c r="X217" i="18"/>
  <c r="L217" i="18"/>
  <c r="AK217" i="18"/>
  <c r="AB217" i="18"/>
  <c r="K217" i="18"/>
  <c r="AJ217" i="18"/>
  <c r="O217" i="18"/>
  <c r="AC217" i="18"/>
  <c r="D212" i="16"/>
  <c r="E212" i="16" s="1"/>
  <c r="X214" i="17"/>
  <c r="K214" i="17"/>
  <c r="AJ214" i="17"/>
  <c r="A215" i="17"/>
  <c r="AB214" i="17"/>
  <c r="L214" i="17"/>
  <c r="D214" i="17" s="1"/>
  <c r="AK214" i="17"/>
  <c r="O214" i="17"/>
  <c r="E214" i="17" s="1"/>
  <c r="AC214" i="17"/>
  <c r="L220" i="1"/>
  <c r="O220" i="1"/>
  <c r="AJ220" i="1"/>
  <c r="AK220" i="1"/>
  <c r="AB220" i="1"/>
  <c r="AC220" i="1"/>
  <c r="Q220" i="1"/>
  <c r="K220" i="1"/>
  <c r="X220" i="1"/>
  <c r="A221" i="1"/>
  <c r="U220" i="1"/>
  <c r="T219" i="1"/>
  <c r="L209" i="25"/>
  <c r="K209" i="25"/>
  <c r="AJ209" i="25"/>
  <c r="X209" i="25"/>
  <c r="A210" i="25"/>
  <c r="AB209" i="25"/>
  <c r="AK209" i="25"/>
  <c r="AC209" i="25"/>
  <c r="O209" i="25"/>
  <c r="AB210" i="24"/>
  <c r="AE62" i="7"/>
  <c r="K210" i="24"/>
  <c r="AJ210" i="24"/>
  <c r="X210" i="24"/>
  <c r="L210" i="24"/>
  <c r="A211" i="24"/>
  <c r="AK210" i="24"/>
  <c r="AC210" i="24"/>
  <c r="O210" i="24"/>
  <c r="AG62" i="7" s="1"/>
  <c r="S218" i="1"/>
  <c r="R218" i="1" s="1"/>
  <c r="P218" i="1" s="1"/>
  <c r="V218" i="1" s="1"/>
  <c r="AA218" i="1" s="1"/>
  <c r="Z218" i="1" s="1"/>
  <c r="Y218" i="1" s="1"/>
  <c r="A213" i="22"/>
  <c r="K212" i="22"/>
  <c r="AJ212" i="22"/>
  <c r="X212" i="22"/>
  <c r="L212" i="22"/>
  <c r="AB212" i="22"/>
  <c r="AK212" i="22"/>
  <c r="AC212" i="22"/>
  <c r="O212" i="22"/>
  <c r="AB213" i="22" l="1"/>
  <c r="A214" i="22"/>
  <c r="AJ213" i="22"/>
  <c r="L213" i="22"/>
  <c r="X213" i="22"/>
  <c r="K213" i="22"/>
  <c r="AK213" i="22"/>
  <c r="AC213" i="22"/>
  <c r="O213" i="22"/>
  <c r="L211" i="24"/>
  <c r="A212" i="24"/>
  <c r="AJ211" i="24"/>
  <c r="X211" i="24"/>
  <c r="AB211" i="24"/>
  <c r="K211" i="24"/>
  <c r="AK211" i="24"/>
  <c r="AC211" i="24"/>
  <c r="O211" i="24"/>
  <c r="AB221" i="1"/>
  <c r="A222" i="1"/>
  <c r="K221" i="1"/>
  <c r="Q221" i="1"/>
  <c r="AK221" i="1"/>
  <c r="AJ221" i="1"/>
  <c r="X221" i="1"/>
  <c r="L221" i="1"/>
  <c r="U221" i="1"/>
  <c r="O221" i="1"/>
  <c r="AC221" i="1"/>
  <c r="L218" i="18"/>
  <c r="AB218" i="18"/>
  <c r="AJ218" i="18"/>
  <c r="K218" i="18"/>
  <c r="X218" i="18"/>
  <c r="A219" i="18"/>
  <c r="AK218" i="18"/>
  <c r="O218" i="18"/>
  <c r="AC218" i="18"/>
  <c r="K214" i="20"/>
  <c r="AB214" i="20"/>
  <c r="AJ214" i="20"/>
  <c r="X214" i="20"/>
  <c r="L214" i="20"/>
  <c r="A215" i="20"/>
  <c r="AK214" i="20"/>
  <c r="AC214" i="20"/>
  <c r="O214" i="20"/>
  <c r="X214" i="16"/>
  <c r="AB214" i="16"/>
  <c r="AJ214" i="16"/>
  <c r="A215" i="16"/>
  <c r="L214" i="16"/>
  <c r="K214" i="16"/>
  <c r="AK214" i="16"/>
  <c r="AC214" i="16"/>
  <c r="O214" i="16"/>
  <c r="D219" i="15"/>
  <c r="E219" i="15" s="1"/>
  <c r="AF62" i="7"/>
  <c r="AE74" i="7"/>
  <c r="X210" i="25"/>
  <c r="A211" i="25"/>
  <c r="AK210" i="25"/>
  <c r="K210" i="25"/>
  <c r="AB210" i="25"/>
  <c r="L210" i="25"/>
  <c r="AJ210" i="25"/>
  <c r="AC210" i="25"/>
  <c r="O210" i="25"/>
  <c r="AG74" i="7" s="1"/>
  <c r="S219" i="1"/>
  <c r="R219" i="1" s="1"/>
  <c r="P219" i="1" s="1"/>
  <c r="V219" i="1" s="1"/>
  <c r="AA219" i="1" s="1"/>
  <c r="Z219" i="1" s="1"/>
  <c r="Y219" i="1" s="1"/>
  <c r="T220" i="1"/>
  <c r="AB215" i="17"/>
  <c r="L215" i="17"/>
  <c r="D215" i="17" s="1"/>
  <c r="K215" i="17"/>
  <c r="AK215" i="17"/>
  <c r="X215" i="17"/>
  <c r="A216" i="17"/>
  <c r="AJ215" i="17"/>
  <c r="O215" i="17"/>
  <c r="E215" i="17" s="1"/>
  <c r="AC215" i="17"/>
  <c r="X212" i="23"/>
  <c r="K212" i="23"/>
  <c r="AJ212" i="23"/>
  <c r="A213" i="23"/>
  <c r="AB212" i="23"/>
  <c r="L212" i="23"/>
  <c r="AK212" i="23"/>
  <c r="AC212" i="23"/>
  <c r="O212" i="23"/>
  <c r="D213" i="16"/>
  <c r="E213" i="16" s="1"/>
  <c r="L220" i="15"/>
  <c r="K220" i="15"/>
  <c r="AB220" i="15"/>
  <c r="AK220" i="15"/>
  <c r="A221" i="15"/>
  <c r="X220" i="15"/>
  <c r="AJ220" i="15"/>
  <c r="AC220" i="15"/>
  <c r="O220" i="15"/>
  <c r="A222" i="15" l="1"/>
  <c r="L221" i="15"/>
  <c r="AB221" i="15"/>
  <c r="AK221" i="15"/>
  <c r="K221" i="15"/>
  <c r="X221" i="15"/>
  <c r="AJ221" i="15"/>
  <c r="AC221" i="15"/>
  <c r="O221" i="15"/>
  <c r="D220" i="15"/>
  <c r="E220" i="15" s="1"/>
  <c r="X215" i="16"/>
  <c r="K215" i="16"/>
  <c r="AJ215" i="16"/>
  <c r="AB215" i="16"/>
  <c r="L215" i="16"/>
  <c r="A216" i="16"/>
  <c r="AK215" i="16"/>
  <c r="AC215" i="16"/>
  <c r="O215" i="16"/>
  <c r="X215" i="20"/>
  <c r="A216" i="20"/>
  <c r="AJ215" i="20"/>
  <c r="K215" i="20"/>
  <c r="L215" i="20"/>
  <c r="AB215" i="20"/>
  <c r="AK215" i="20"/>
  <c r="AC215" i="20"/>
  <c r="O215" i="20"/>
  <c r="T221" i="1"/>
  <c r="K212" i="24"/>
  <c r="AB212" i="24"/>
  <c r="L212" i="24"/>
  <c r="AK212" i="24"/>
  <c r="X212" i="24"/>
  <c r="A213" i="24"/>
  <c r="AJ212" i="24"/>
  <c r="AC212" i="24"/>
  <c r="O212" i="24"/>
  <c r="A214" i="23"/>
  <c r="K213" i="23"/>
  <c r="AJ213" i="23"/>
  <c r="X213" i="23"/>
  <c r="AB213" i="23"/>
  <c r="L213" i="23"/>
  <c r="AK213" i="23"/>
  <c r="AC213" i="23"/>
  <c r="O213" i="23"/>
  <c r="AB216" i="17"/>
  <c r="A217" i="17"/>
  <c r="AJ216" i="17"/>
  <c r="X216" i="17"/>
  <c r="K216" i="17"/>
  <c r="L216" i="17"/>
  <c r="AK216" i="17"/>
  <c r="O216" i="17"/>
  <c r="AC216" i="17"/>
  <c r="S220" i="1"/>
  <c r="R220" i="1" s="1"/>
  <c r="P220" i="1" s="1"/>
  <c r="V220" i="1" s="1"/>
  <c r="AA220" i="1" s="1"/>
  <c r="Z220" i="1" s="1"/>
  <c r="Y220" i="1" s="1"/>
  <c r="AF74" i="7"/>
  <c r="AB211" i="25"/>
  <c r="X211" i="25"/>
  <c r="K211" i="25"/>
  <c r="AK211" i="25"/>
  <c r="A212" i="25"/>
  <c r="L211" i="25"/>
  <c r="AJ211" i="25"/>
  <c r="AC211" i="25"/>
  <c r="O211" i="25"/>
  <c r="D214" i="16"/>
  <c r="E214" i="16" s="1"/>
  <c r="K219" i="18"/>
  <c r="L219" i="18"/>
  <c r="AJ219" i="18"/>
  <c r="X219" i="18"/>
  <c r="A220" i="18"/>
  <c r="AB219" i="18"/>
  <c r="AK219" i="18"/>
  <c r="AC219" i="18"/>
  <c r="O219" i="18"/>
  <c r="O222" i="1"/>
  <c r="L222" i="1"/>
  <c r="AJ222" i="1"/>
  <c r="AB222" i="1"/>
  <c r="Q222" i="1"/>
  <c r="AC222" i="1"/>
  <c r="X222" i="1"/>
  <c r="K222" i="1"/>
  <c r="A223" i="1"/>
  <c r="AK222" i="1"/>
  <c r="U222" i="1"/>
  <c r="L214" i="22"/>
  <c r="AB214" i="22"/>
  <c r="AJ214" i="22"/>
  <c r="A215" i="22"/>
  <c r="K214" i="22"/>
  <c r="X214" i="22"/>
  <c r="AK214" i="22"/>
  <c r="AC214" i="22"/>
  <c r="O214" i="22"/>
  <c r="X215" i="22" l="1"/>
  <c r="K215" i="22"/>
  <c r="L215" i="22"/>
  <c r="AK215" i="22"/>
  <c r="A216" i="22"/>
  <c r="AB215" i="22"/>
  <c r="AJ215" i="22"/>
  <c r="AC215" i="22"/>
  <c r="O215" i="22"/>
  <c r="A221" i="18"/>
  <c r="X220" i="18"/>
  <c r="AJ220" i="18"/>
  <c r="AB220" i="18"/>
  <c r="L220" i="18"/>
  <c r="K220" i="18"/>
  <c r="AK220" i="18"/>
  <c r="O220" i="18"/>
  <c r="AC220" i="18"/>
  <c r="X214" i="23"/>
  <c r="K214" i="23"/>
  <c r="AJ214" i="23"/>
  <c r="A215" i="23"/>
  <c r="AB214" i="23"/>
  <c r="L214" i="23"/>
  <c r="AK214" i="23"/>
  <c r="AC214" i="23"/>
  <c r="O214" i="23"/>
  <c r="S221" i="1"/>
  <c r="R221" i="1" s="1"/>
  <c r="P221" i="1" s="1"/>
  <c r="V221" i="1" s="1"/>
  <c r="AA221" i="1" s="1"/>
  <c r="Z221" i="1" s="1"/>
  <c r="Y221" i="1" s="1"/>
  <c r="X216" i="20"/>
  <c r="A217" i="20"/>
  <c r="K216" i="20"/>
  <c r="AK216" i="20"/>
  <c r="AB216" i="20"/>
  <c r="L216" i="20"/>
  <c r="AJ216" i="20"/>
  <c r="AC216" i="20"/>
  <c r="O216" i="20"/>
  <c r="D215" i="16"/>
  <c r="E215" i="16" s="1"/>
  <c r="L222" i="15"/>
  <c r="D222" i="15" s="1"/>
  <c r="AB222" i="15"/>
  <c r="X222" i="15"/>
  <c r="AK222" i="15"/>
  <c r="A223" i="15"/>
  <c r="K222" i="15"/>
  <c r="AJ222" i="15"/>
  <c r="AC222" i="15"/>
  <c r="O222" i="15"/>
  <c r="E222" i="15" s="1"/>
  <c r="T222" i="1"/>
  <c r="A224" i="1"/>
  <c r="AB223" i="1"/>
  <c r="X223" i="1"/>
  <c r="L223" i="1"/>
  <c r="U223" i="1"/>
  <c r="K223" i="1"/>
  <c r="AK223" i="1"/>
  <c r="AJ223" i="1"/>
  <c r="Q223" i="1"/>
  <c r="AC223" i="1"/>
  <c r="O223" i="1"/>
  <c r="A213" i="25"/>
  <c r="X212" i="25"/>
  <c r="AB212" i="25"/>
  <c r="AK212" i="25"/>
  <c r="L212" i="25"/>
  <c r="K212" i="25"/>
  <c r="AJ212" i="25"/>
  <c r="AC212" i="25"/>
  <c r="O212" i="25"/>
  <c r="D216" i="17"/>
  <c r="E216" i="17" s="1"/>
  <c r="K217" i="17"/>
  <c r="A218" i="17"/>
  <c r="AJ217" i="17"/>
  <c r="AB217" i="17"/>
  <c r="X217" i="17"/>
  <c r="L217" i="17"/>
  <c r="D217" i="17" s="1"/>
  <c r="AK217" i="17"/>
  <c r="O217" i="17"/>
  <c r="E217" i="17" s="1"/>
  <c r="AC217" i="17"/>
  <c r="X213" i="24"/>
  <c r="K213" i="24"/>
  <c r="AJ213" i="24"/>
  <c r="AB213" i="24"/>
  <c r="L213" i="24"/>
  <c r="A214" i="24"/>
  <c r="AK213" i="24"/>
  <c r="AC213" i="24"/>
  <c r="O213" i="24"/>
  <c r="AB216" i="16"/>
  <c r="L216" i="16"/>
  <c r="K216" i="16"/>
  <c r="AK216" i="16"/>
  <c r="A217" i="16"/>
  <c r="X216" i="16"/>
  <c r="AJ216" i="16"/>
  <c r="AC216" i="16"/>
  <c r="O216" i="16"/>
  <c r="D221" i="15"/>
  <c r="E221" i="15" s="1"/>
  <c r="D216" i="16" l="1"/>
  <c r="E216" i="16" s="1"/>
  <c r="K214" i="24"/>
  <c r="X214" i="24"/>
  <c r="AJ214" i="24"/>
  <c r="AB214" i="24"/>
  <c r="A215" i="24"/>
  <c r="L214" i="24"/>
  <c r="AK214" i="24"/>
  <c r="AC214" i="24"/>
  <c r="O214" i="24"/>
  <c r="AB213" i="25"/>
  <c r="A214" i="25"/>
  <c r="X213" i="25"/>
  <c r="AK213" i="25"/>
  <c r="K213" i="25"/>
  <c r="L213" i="25"/>
  <c r="AJ213" i="25"/>
  <c r="AC213" i="25"/>
  <c r="O213" i="25"/>
  <c r="T223" i="1"/>
  <c r="AK224" i="1"/>
  <c r="AJ224" i="1"/>
  <c r="AB224" i="1"/>
  <c r="L224" i="1"/>
  <c r="Q224" i="1"/>
  <c r="U224" i="1"/>
  <c r="O224" i="1"/>
  <c r="X224" i="1"/>
  <c r="K224" i="1"/>
  <c r="AC224" i="1"/>
  <c r="A225" i="1"/>
  <c r="S222" i="1"/>
  <c r="R222" i="1" s="1"/>
  <c r="P222" i="1" s="1"/>
  <c r="V222" i="1" s="1"/>
  <c r="AA222" i="1" s="1"/>
  <c r="Z222" i="1" s="1"/>
  <c r="Y222" i="1" s="1"/>
  <c r="K217" i="20"/>
  <c r="X217" i="20"/>
  <c r="AJ217" i="20"/>
  <c r="L217" i="20"/>
  <c r="AB217" i="20"/>
  <c r="A218" i="20"/>
  <c r="AK217" i="20"/>
  <c r="AC217" i="20"/>
  <c r="O217" i="20"/>
  <c r="L215" i="23"/>
  <c r="K215" i="23"/>
  <c r="AJ215" i="23"/>
  <c r="X215" i="23"/>
  <c r="AB215" i="23"/>
  <c r="A216" i="23"/>
  <c r="AK215" i="23"/>
  <c r="AC215" i="23"/>
  <c r="O215" i="23"/>
  <c r="X221" i="18"/>
  <c r="K221" i="18"/>
  <c r="AJ221" i="18"/>
  <c r="AB221" i="18"/>
  <c r="A222" i="18"/>
  <c r="L221" i="18"/>
  <c r="AK221" i="18"/>
  <c r="O221" i="18"/>
  <c r="AC221" i="18"/>
  <c r="K216" i="22"/>
  <c r="L216" i="22"/>
  <c r="A217" i="22"/>
  <c r="AK216" i="22"/>
  <c r="X216" i="22"/>
  <c r="AB216" i="22"/>
  <c r="AJ216" i="22"/>
  <c r="AC216" i="22"/>
  <c r="O216" i="22"/>
  <c r="K217" i="16"/>
  <c r="AB217" i="16"/>
  <c r="AJ217" i="16"/>
  <c r="X217" i="16"/>
  <c r="A218" i="16"/>
  <c r="L217" i="16"/>
  <c r="AK217" i="16"/>
  <c r="AC217" i="16"/>
  <c r="O217" i="16"/>
  <c r="L218" i="17"/>
  <c r="K218" i="17"/>
  <c r="AJ218" i="17"/>
  <c r="A219" i="17"/>
  <c r="X218" i="17"/>
  <c r="AB218" i="17"/>
  <c r="AK218" i="17"/>
  <c r="O218" i="17"/>
  <c r="AC218" i="17"/>
  <c r="K223" i="15"/>
  <c r="X223" i="15"/>
  <c r="AJ223" i="15"/>
  <c r="AB223" i="15"/>
  <c r="A224" i="15"/>
  <c r="L223" i="15"/>
  <c r="D223" i="15" s="1"/>
  <c r="AK223" i="15"/>
  <c r="O223" i="15"/>
  <c r="AC223" i="15"/>
  <c r="E223" i="15" l="1"/>
  <c r="AB224" i="15"/>
  <c r="L224" i="15"/>
  <c r="AJ224" i="15"/>
  <c r="A225" i="15"/>
  <c r="K224" i="15"/>
  <c r="X224" i="15"/>
  <c r="AK224" i="15"/>
  <c r="AC224" i="15"/>
  <c r="O224" i="15"/>
  <c r="K219" i="17"/>
  <c r="X219" i="17"/>
  <c r="A220" i="17"/>
  <c r="AK219" i="17"/>
  <c r="L219" i="17"/>
  <c r="D219" i="17" s="1"/>
  <c r="AB219" i="17"/>
  <c r="AJ219" i="17"/>
  <c r="O219" i="17"/>
  <c r="AC219" i="17"/>
  <c r="L218" i="16"/>
  <c r="K218" i="16"/>
  <c r="AJ218" i="16"/>
  <c r="AB218" i="16"/>
  <c r="X218" i="16"/>
  <c r="A219" i="16"/>
  <c r="AK218" i="16"/>
  <c r="AC218" i="16"/>
  <c r="O218" i="16"/>
  <c r="A219" i="20"/>
  <c r="AB218" i="20"/>
  <c r="X218" i="20"/>
  <c r="AK218" i="20"/>
  <c r="K218" i="20"/>
  <c r="L218" i="20"/>
  <c r="AJ218" i="20"/>
  <c r="AC218" i="20"/>
  <c r="O218" i="20"/>
  <c r="T224" i="1"/>
  <c r="L215" i="24"/>
  <c r="X215" i="24"/>
  <c r="AJ215" i="24"/>
  <c r="A216" i="24"/>
  <c r="AB215" i="24"/>
  <c r="K215" i="24"/>
  <c r="AK215" i="24"/>
  <c r="AC215" i="24"/>
  <c r="O215" i="24"/>
  <c r="D218" i="17"/>
  <c r="E218" i="17" s="1"/>
  <c r="D217" i="16"/>
  <c r="E217" i="16" s="1"/>
  <c r="L217" i="22"/>
  <c r="A218" i="22"/>
  <c r="AJ217" i="22"/>
  <c r="K217" i="22"/>
  <c r="X217" i="22"/>
  <c r="AB217" i="22"/>
  <c r="AK217" i="22"/>
  <c r="AC217" i="22"/>
  <c r="O217" i="22"/>
  <c r="K222" i="18"/>
  <c r="AB222" i="18"/>
  <c r="L222" i="18"/>
  <c r="AK222" i="18"/>
  <c r="X222" i="18"/>
  <c r="A223" i="18"/>
  <c r="AJ222" i="18"/>
  <c r="O222" i="18"/>
  <c r="AC222" i="18"/>
  <c r="L216" i="23"/>
  <c r="AB216" i="23"/>
  <c r="AJ216" i="23"/>
  <c r="K216" i="23"/>
  <c r="A217" i="23"/>
  <c r="X216" i="23"/>
  <c r="AK216" i="23"/>
  <c r="AC216" i="23"/>
  <c r="O216" i="23"/>
  <c r="AC225" i="1"/>
  <c r="O225" i="1"/>
  <c r="Q225" i="1"/>
  <c r="AJ225" i="1"/>
  <c r="L225" i="1"/>
  <c r="AB225" i="1"/>
  <c r="AK225" i="1"/>
  <c r="X225" i="1"/>
  <c r="K225" i="1"/>
  <c r="A226" i="1"/>
  <c r="U225" i="1"/>
  <c r="S223" i="1"/>
  <c r="R223" i="1" s="1"/>
  <c r="P223" i="1" s="1"/>
  <c r="V223" i="1" s="1"/>
  <c r="AA223" i="1" s="1"/>
  <c r="Z223" i="1" s="1"/>
  <c r="Y223" i="1" s="1"/>
  <c r="A215" i="25"/>
  <c r="AB214" i="25"/>
  <c r="AJ214" i="25"/>
  <c r="X214" i="25"/>
  <c r="K214" i="25"/>
  <c r="L214" i="25"/>
  <c r="AK214" i="25"/>
  <c r="AC214" i="25"/>
  <c r="O214" i="25"/>
  <c r="E219" i="17" l="1"/>
  <c r="X215" i="25"/>
  <c r="K215" i="25"/>
  <c r="AJ215" i="25"/>
  <c r="A216" i="25"/>
  <c r="AB215" i="25"/>
  <c r="L215" i="25"/>
  <c r="AK215" i="25"/>
  <c r="AC215" i="25"/>
  <c r="O215" i="25"/>
  <c r="Q226" i="1"/>
  <c r="AK226" i="1"/>
  <c r="K226" i="1"/>
  <c r="AJ226" i="1"/>
  <c r="U226" i="1"/>
  <c r="AB226" i="1"/>
  <c r="L226" i="1"/>
  <c r="D226" i="1" s="1"/>
  <c r="X226" i="1"/>
  <c r="AC226" i="1"/>
  <c r="O226" i="1"/>
  <c r="A227" i="1"/>
  <c r="X218" i="22"/>
  <c r="A219" i="22"/>
  <c r="L218" i="22"/>
  <c r="AK218" i="22"/>
  <c r="K218" i="22"/>
  <c r="AB218" i="22"/>
  <c r="AJ218" i="22"/>
  <c r="AC218" i="22"/>
  <c r="O218" i="22"/>
  <c r="D218" i="16"/>
  <c r="E218" i="16" s="1"/>
  <c r="A226" i="15"/>
  <c r="X225" i="15"/>
  <c r="AK225" i="15"/>
  <c r="L225" i="15"/>
  <c r="K225" i="15"/>
  <c r="AB225" i="15"/>
  <c r="AJ225" i="15"/>
  <c r="AC225" i="15"/>
  <c r="O225" i="15"/>
  <c r="D224" i="15"/>
  <c r="T225" i="1"/>
  <c r="D225" i="1"/>
  <c r="E225" i="1" s="1"/>
  <c r="K217" i="23"/>
  <c r="A218" i="23"/>
  <c r="L217" i="23"/>
  <c r="AK217" i="23"/>
  <c r="X217" i="23"/>
  <c r="AB217" i="23"/>
  <c r="AJ217" i="23"/>
  <c r="AC217" i="23"/>
  <c r="O217" i="23"/>
  <c r="K223" i="18"/>
  <c r="A224" i="18"/>
  <c r="AJ223" i="18"/>
  <c r="X223" i="18"/>
  <c r="AB223" i="18"/>
  <c r="L223" i="18"/>
  <c r="AK223" i="18"/>
  <c r="AC223" i="18"/>
  <c r="O223" i="18"/>
  <c r="AB216" i="24"/>
  <c r="A217" i="24"/>
  <c r="AJ216" i="24"/>
  <c r="X216" i="24"/>
  <c r="L216" i="24"/>
  <c r="K216" i="24"/>
  <c r="AK216" i="24"/>
  <c r="AC216" i="24"/>
  <c r="O216" i="24"/>
  <c r="S224" i="1"/>
  <c r="R224" i="1" s="1"/>
  <c r="P224" i="1" s="1"/>
  <c r="V224" i="1" s="1"/>
  <c r="AA224" i="1" s="1"/>
  <c r="Z224" i="1" s="1"/>
  <c r="Y224" i="1" s="1"/>
  <c r="A220" i="20"/>
  <c r="AB219" i="20"/>
  <c r="AJ219" i="20"/>
  <c r="X219" i="20"/>
  <c r="L219" i="20"/>
  <c r="K219" i="20"/>
  <c r="AK219" i="20"/>
  <c r="AC219" i="20"/>
  <c r="O219" i="20"/>
  <c r="AB219" i="16"/>
  <c r="X219" i="16"/>
  <c r="AJ219" i="16"/>
  <c r="A220" i="16"/>
  <c r="L219" i="16"/>
  <c r="K219" i="16"/>
  <c r="AK219" i="16"/>
  <c r="AC219" i="16"/>
  <c r="O219" i="16"/>
  <c r="A221" i="17"/>
  <c r="X220" i="17"/>
  <c r="AB220" i="17"/>
  <c r="AK220" i="17"/>
  <c r="K220" i="17"/>
  <c r="L220" i="17"/>
  <c r="D220" i="17" s="1"/>
  <c r="AJ220" i="17"/>
  <c r="O220" i="17"/>
  <c r="AC220" i="17"/>
  <c r="E224" i="15"/>
  <c r="E226" i="1" l="1"/>
  <c r="E220" i="17"/>
  <c r="L221" i="17"/>
  <c r="D221" i="17" s="1"/>
  <c r="A222" i="17"/>
  <c r="AJ221" i="17"/>
  <c r="K221" i="17"/>
  <c r="X221" i="17"/>
  <c r="AB221" i="17"/>
  <c r="AK221" i="17"/>
  <c r="O221" i="17"/>
  <c r="AC221" i="17"/>
  <c r="X220" i="16"/>
  <c r="A221" i="16"/>
  <c r="L220" i="16"/>
  <c r="AK220" i="16"/>
  <c r="AB220" i="16"/>
  <c r="K220" i="16"/>
  <c r="AJ220" i="16"/>
  <c r="AC220" i="16"/>
  <c r="O220" i="16"/>
  <c r="A221" i="20"/>
  <c r="K220" i="20"/>
  <c r="AB220" i="20"/>
  <c r="AK220" i="20"/>
  <c r="L220" i="20"/>
  <c r="X220" i="20"/>
  <c r="AJ220" i="20"/>
  <c r="AC220" i="20"/>
  <c r="O220" i="20"/>
  <c r="D225" i="15"/>
  <c r="E225" i="15" s="1"/>
  <c r="L219" i="22"/>
  <c r="AB219" i="22"/>
  <c r="AJ219" i="22"/>
  <c r="A220" i="22"/>
  <c r="K219" i="22"/>
  <c r="X219" i="22"/>
  <c r="AK219" i="22"/>
  <c r="AC219" i="22"/>
  <c r="O219" i="22"/>
  <c r="D219" i="16"/>
  <c r="E219" i="16" s="1"/>
  <c r="K217" i="24"/>
  <c r="AB217" i="24"/>
  <c r="L217" i="24"/>
  <c r="AK217" i="24"/>
  <c r="A218" i="24"/>
  <c r="X217" i="24"/>
  <c r="AJ217" i="24"/>
  <c r="AC217" i="24"/>
  <c r="O217" i="24"/>
  <c r="L224" i="18"/>
  <c r="AB224" i="18"/>
  <c r="AJ224" i="18"/>
  <c r="K224" i="18"/>
  <c r="X224" i="18"/>
  <c r="A225" i="18"/>
  <c r="AK224" i="18"/>
  <c r="O224" i="18"/>
  <c r="AC224" i="18"/>
  <c r="K218" i="23"/>
  <c r="L218" i="23"/>
  <c r="AJ218" i="23"/>
  <c r="A219" i="23"/>
  <c r="AB218" i="23"/>
  <c r="X218" i="23"/>
  <c r="AK218" i="23"/>
  <c r="AC218" i="23"/>
  <c r="O218" i="23"/>
  <c r="S225" i="1"/>
  <c r="R225" i="1" s="1"/>
  <c r="P225" i="1" s="1"/>
  <c r="A227" i="15"/>
  <c r="K226" i="15"/>
  <c r="L226" i="15"/>
  <c r="AK226" i="15"/>
  <c r="AB226" i="15"/>
  <c r="X226" i="15"/>
  <c r="AJ226" i="15"/>
  <c r="O226" i="15"/>
  <c r="AC226" i="15"/>
  <c r="AC227" i="1"/>
  <c r="X227" i="1"/>
  <c r="A228" i="1"/>
  <c r="K227" i="1"/>
  <c r="AB227" i="1"/>
  <c r="AJ227" i="1"/>
  <c r="Q227" i="1"/>
  <c r="AK227" i="1"/>
  <c r="L227" i="1"/>
  <c r="U227" i="1"/>
  <c r="O227" i="1"/>
  <c r="T226" i="1"/>
  <c r="X216" i="25"/>
  <c r="K216" i="25"/>
  <c r="AJ216" i="25"/>
  <c r="AB216" i="25"/>
  <c r="A217" i="25"/>
  <c r="L216" i="25"/>
  <c r="AK216" i="25"/>
  <c r="AC216" i="25"/>
  <c r="O216" i="25"/>
  <c r="E221" i="17" l="1"/>
  <c r="V225" i="1"/>
  <c r="F225" i="1" s="1"/>
  <c r="X217" i="25"/>
  <c r="K217" i="25"/>
  <c r="AJ217" i="25"/>
  <c r="A218" i="25"/>
  <c r="AB217" i="25"/>
  <c r="L217" i="25"/>
  <c r="AK217" i="25"/>
  <c r="AC217" i="25"/>
  <c r="O217" i="25"/>
  <c r="S226" i="1"/>
  <c r="R226" i="1" s="1"/>
  <c r="P226" i="1" s="1"/>
  <c r="V226" i="1" s="1"/>
  <c r="T227" i="1"/>
  <c r="L219" i="23"/>
  <c r="A220" i="23"/>
  <c r="AJ219" i="23"/>
  <c r="AB219" i="23"/>
  <c r="K219" i="23"/>
  <c r="X219" i="23"/>
  <c r="AK219" i="23"/>
  <c r="AC219" i="23"/>
  <c r="O219" i="23"/>
  <c r="K220" i="22"/>
  <c r="A221" i="22"/>
  <c r="AB220" i="22"/>
  <c r="AK220" i="22"/>
  <c r="L220" i="22"/>
  <c r="X220" i="22"/>
  <c r="AJ220" i="22"/>
  <c r="AC220" i="22"/>
  <c r="O220" i="22"/>
  <c r="X221" i="20"/>
  <c r="K221" i="20"/>
  <c r="A222" i="20"/>
  <c r="AK221" i="20"/>
  <c r="AB221" i="20"/>
  <c r="L221" i="20"/>
  <c r="AJ221" i="20"/>
  <c r="AC221" i="20"/>
  <c r="O221" i="20"/>
  <c r="D220" i="16"/>
  <c r="E220" i="16" s="1"/>
  <c r="AB222" i="17"/>
  <c r="X222" i="17"/>
  <c r="A223" i="17"/>
  <c r="AK222" i="17"/>
  <c r="K222" i="17"/>
  <c r="L222" i="17"/>
  <c r="AJ222" i="17"/>
  <c r="O222" i="17"/>
  <c r="AC222" i="17"/>
  <c r="D227" i="1"/>
  <c r="E227" i="1" s="1"/>
  <c r="AB228" i="1"/>
  <c r="AK228" i="1"/>
  <c r="O228" i="1"/>
  <c r="AJ228" i="1"/>
  <c r="X228" i="1"/>
  <c r="AC228" i="1"/>
  <c r="L228" i="1"/>
  <c r="Q228" i="1"/>
  <c r="A229" i="1"/>
  <c r="K228" i="1"/>
  <c r="U228" i="1"/>
  <c r="D226" i="15"/>
  <c r="E226" i="15" s="1"/>
  <c r="A228" i="15"/>
  <c r="X227" i="15"/>
  <c r="AB227" i="15"/>
  <c r="AK227" i="15"/>
  <c r="L227" i="15"/>
  <c r="D227" i="15" s="1"/>
  <c r="K227" i="15"/>
  <c r="AJ227" i="15"/>
  <c r="AC227" i="15"/>
  <c r="O227" i="15"/>
  <c r="A226" i="18"/>
  <c r="X225" i="18"/>
  <c r="L225" i="18"/>
  <c r="AK225" i="18"/>
  <c r="K225" i="18"/>
  <c r="AB225" i="18"/>
  <c r="AJ225" i="18"/>
  <c r="O225" i="18"/>
  <c r="AC225" i="18"/>
  <c r="A219" i="24"/>
  <c r="AB218" i="24"/>
  <c r="X218" i="24"/>
  <c r="AK218" i="24"/>
  <c r="L218" i="24"/>
  <c r="K218" i="24"/>
  <c r="AJ218" i="24"/>
  <c r="AC218" i="24"/>
  <c r="O218" i="24"/>
  <c r="AB221" i="16"/>
  <c r="K221" i="16"/>
  <c r="A222" i="16"/>
  <c r="AK221" i="16"/>
  <c r="X221" i="16"/>
  <c r="L221" i="16"/>
  <c r="AJ221" i="16"/>
  <c r="AC221" i="16"/>
  <c r="O221" i="16"/>
  <c r="E227" i="15" l="1"/>
  <c r="K222" i="16"/>
  <c r="X222" i="16"/>
  <c r="AJ222" i="16"/>
  <c r="A223" i="16"/>
  <c r="AB222" i="16"/>
  <c r="L222" i="16"/>
  <c r="AK222" i="16"/>
  <c r="AC222" i="16"/>
  <c r="O222" i="16"/>
  <c r="AB228" i="15"/>
  <c r="K228" i="15"/>
  <c r="AJ228" i="15"/>
  <c r="X228" i="15"/>
  <c r="L228" i="15"/>
  <c r="A229" i="15"/>
  <c r="AK228" i="15"/>
  <c r="O228" i="15"/>
  <c r="AC228" i="15"/>
  <c r="D222" i="17"/>
  <c r="E222" i="17" s="1"/>
  <c r="L221" i="22"/>
  <c r="AB221" i="22"/>
  <c r="AJ221" i="22"/>
  <c r="A222" i="22"/>
  <c r="X221" i="22"/>
  <c r="K221" i="22"/>
  <c r="AK221" i="22"/>
  <c r="AC221" i="22"/>
  <c r="O221" i="22"/>
  <c r="F226" i="1"/>
  <c r="H61" i="19"/>
  <c r="G225" i="1"/>
  <c r="BW225" i="6" s="1"/>
  <c r="I225" i="1"/>
  <c r="AA225" i="1"/>
  <c r="Z225" i="1" s="1"/>
  <c r="Y225" i="1" s="1"/>
  <c r="D221" i="16"/>
  <c r="E221" i="16" s="1"/>
  <c r="K219" i="24"/>
  <c r="AB219" i="24"/>
  <c r="AJ219" i="24"/>
  <c r="A220" i="24"/>
  <c r="X219" i="24"/>
  <c r="L219" i="24"/>
  <c r="AK219" i="24"/>
  <c r="AC219" i="24"/>
  <c r="O219" i="24"/>
  <c r="L226" i="18"/>
  <c r="K226" i="18"/>
  <c r="AJ226" i="18"/>
  <c r="AB226" i="18"/>
  <c r="A227" i="18"/>
  <c r="X226" i="18"/>
  <c r="AK226" i="18"/>
  <c r="AC226" i="18"/>
  <c r="O226" i="18"/>
  <c r="T228" i="1"/>
  <c r="AB229" i="1"/>
  <c r="O229" i="1"/>
  <c r="L229" i="1"/>
  <c r="Q229" i="1"/>
  <c r="AJ229" i="1"/>
  <c r="X229" i="1"/>
  <c r="K229" i="1"/>
  <c r="A230" i="1"/>
  <c r="AK229" i="1"/>
  <c r="U229" i="1"/>
  <c r="AC229" i="1"/>
  <c r="D228" i="1"/>
  <c r="E228" i="1" s="1"/>
  <c r="L223" i="17"/>
  <c r="D223" i="17" s="1"/>
  <c r="AB223" i="17"/>
  <c r="AJ223" i="17"/>
  <c r="K223" i="17"/>
  <c r="A224" i="17"/>
  <c r="X223" i="17"/>
  <c r="AK223" i="17"/>
  <c r="O223" i="17"/>
  <c r="AC223" i="17"/>
  <c r="AB222" i="20"/>
  <c r="L222" i="20"/>
  <c r="AJ222" i="20"/>
  <c r="X222" i="20"/>
  <c r="A223" i="20"/>
  <c r="K222" i="20"/>
  <c r="AK222" i="20"/>
  <c r="AC222" i="20"/>
  <c r="O222" i="20"/>
  <c r="AB220" i="23"/>
  <c r="K220" i="23"/>
  <c r="A221" i="23"/>
  <c r="AK220" i="23"/>
  <c r="L220" i="23"/>
  <c r="X220" i="23"/>
  <c r="AJ220" i="23"/>
  <c r="AC220" i="23"/>
  <c r="O220" i="23"/>
  <c r="S227" i="1"/>
  <c r="R227" i="1" s="1"/>
  <c r="P227" i="1" s="1"/>
  <c r="V227" i="1" s="1"/>
  <c r="K218" i="25"/>
  <c r="L218" i="25"/>
  <c r="X218" i="25"/>
  <c r="AK218" i="25"/>
  <c r="A219" i="25"/>
  <c r="AB218" i="25"/>
  <c r="AJ218" i="25"/>
  <c r="AC218" i="25"/>
  <c r="O218" i="25"/>
  <c r="A222" i="23" l="1"/>
  <c r="L221" i="23"/>
  <c r="AJ221" i="23"/>
  <c r="AB221" i="23"/>
  <c r="K221" i="23"/>
  <c r="X221" i="23"/>
  <c r="AK221" i="23"/>
  <c r="AC221" i="23"/>
  <c r="O221" i="23"/>
  <c r="L223" i="20"/>
  <c r="X223" i="20"/>
  <c r="AJ223" i="20"/>
  <c r="A224" i="20"/>
  <c r="K223" i="20"/>
  <c r="AB223" i="20"/>
  <c r="AK223" i="20"/>
  <c r="AC223" i="20"/>
  <c r="O223" i="20"/>
  <c r="K224" i="17"/>
  <c r="AB224" i="17"/>
  <c r="X224" i="17"/>
  <c r="AK224" i="17"/>
  <c r="A225" i="17"/>
  <c r="L224" i="17"/>
  <c r="D224" i="17" s="1"/>
  <c r="AJ224" i="17"/>
  <c r="O224" i="17"/>
  <c r="E224" i="17" s="1"/>
  <c r="AC224" i="17"/>
  <c r="T229" i="1"/>
  <c r="L230" i="1"/>
  <c r="D230" i="1" s="1"/>
  <c r="A231" i="1"/>
  <c r="AJ230" i="1"/>
  <c r="AC230" i="1"/>
  <c r="O230" i="1"/>
  <c r="E230" i="1" s="1"/>
  <c r="U230" i="1"/>
  <c r="X230" i="1"/>
  <c r="K230" i="1"/>
  <c r="AK230" i="1"/>
  <c r="AB230" i="1"/>
  <c r="Q230" i="1"/>
  <c r="A228" i="18"/>
  <c r="L227" i="18"/>
  <c r="X227" i="18"/>
  <c r="AK227" i="18"/>
  <c r="AB227" i="18"/>
  <c r="K227" i="18"/>
  <c r="AJ227" i="18"/>
  <c r="O227" i="18"/>
  <c r="AC227" i="18"/>
  <c r="A221" i="24"/>
  <c r="L220" i="24"/>
  <c r="K220" i="24"/>
  <c r="AK220" i="24"/>
  <c r="X220" i="24"/>
  <c r="AB220" i="24"/>
  <c r="AJ220" i="24"/>
  <c r="AC220" i="24"/>
  <c r="O220" i="24"/>
  <c r="I226" i="1"/>
  <c r="G226" i="1"/>
  <c r="BW226" i="6" s="1"/>
  <c r="AA226" i="1"/>
  <c r="Z226" i="1" s="1"/>
  <c r="Y226" i="1" s="1"/>
  <c r="D228" i="15"/>
  <c r="E228" i="15" s="1"/>
  <c r="D222" i="16"/>
  <c r="E222" i="16" s="1"/>
  <c r="X223" i="16"/>
  <c r="A224" i="16"/>
  <c r="AJ223" i="16"/>
  <c r="AB223" i="16"/>
  <c r="L223" i="16"/>
  <c r="K223" i="16"/>
  <c r="AK223" i="16"/>
  <c r="AC223" i="16"/>
  <c r="O223" i="16"/>
  <c r="K219" i="25"/>
  <c r="A220" i="25"/>
  <c r="L219" i="25"/>
  <c r="AK219" i="25"/>
  <c r="X219" i="25"/>
  <c r="AB219" i="25"/>
  <c r="AJ219" i="25"/>
  <c r="AC219" i="25"/>
  <c r="O219" i="25"/>
  <c r="E223" i="17"/>
  <c r="D229" i="1"/>
  <c r="E229" i="1" s="1"/>
  <c r="S228" i="1"/>
  <c r="R228" i="1" s="1"/>
  <c r="P228" i="1" s="1"/>
  <c r="V228" i="1" s="1"/>
  <c r="K222" i="22"/>
  <c r="A223" i="22"/>
  <c r="AB222" i="22"/>
  <c r="AK222" i="22"/>
  <c r="X222" i="22"/>
  <c r="L222" i="22"/>
  <c r="AJ222" i="22"/>
  <c r="AC222" i="22"/>
  <c r="O222" i="22"/>
  <c r="F227" i="1"/>
  <c r="L229" i="15"/>
  <c r="D229" i="15" s="1"/>
  <c r="A230" i="15"/>
  <c r="X229" i="15"/>
  <c r="AJ229" i="15"/>
  <c r="AB229" i="15"/>
  <c r="K229" i="15"/>
  <c r="AK229" i="15"/>
  <c r="AC229" i="15"/>
  <c r="O229" i="15"/>
  <c r="E229" i="15" l="1"/>
  <c r="G227" i="1"/>
  <c r="BW227" i="6" s="1"/>
  <c r="AA227" i="1"/>
  <c r="Z227" i="1" s="1"/>
  <c r="Y227" i="1" s="1"/>
  <c r="I227" i="1"/>
  <c r="X223" i="22"/>
  <c r="L223" i="22"/>
  <c r="AJ223" i="22"/>
  <c r="AB223" i="22"/>
  <c r="K223" i="22"/>
  <c r="A224" i="22"/>
  <c r="AK223" i="22"/>
  <c r="AC223" i="22"/>
  <c r="O223" i="22"/>
  <c r="A221" i="25"/>
  <c r="X220" i="25"/>
  <c r="AJ220" i="25"/>
  <c r="K220" i="25"/>
  <c r="AB220" i="25"/>
  <c r="L220" i="25"/>
  <c r="AK220" i="25"/>
  <c r="AC220" i="25"/>
  <c r="O220" i="25"/>
  <c r="D223" i="16"/>
  <c r="E223" i="16" s="1"/>
  <c r="A229" i="18"/>
  <c r="AB228" i="18"/>
  <c r="L228" i="18"/>
  <c r="AK228" i="18"/>
  <c r="K228" i="18"/>
  <c r="X228" i="18"/>
  <c r="AJ228" i="18"/>
  <c r="O228" i="18"/>
  <c r="AC228" i="18"/>
  <c r="T230" i="1"/>
  <c r="A232" i="1"/>
  <c r="K231" i="1"/>
  <c r="AB231" i="1"/>
  <c r="X231" i="1"/>
  <c r="L231" i="1"/>
  <c r="D231" i="1" s="1"/>
  <c r="AJ231" i="1"/>
  <c r="AC231" i="1"/>
  <c r="Q231" i="1"/>
  <c r="AK231" i="1"/>
  <c r="O231" i="1"/>
  <c r="U231" i="1"/>
  <c r="F228" i="1"/>
  <c r="A223" i="23"/>
  <c r="AB222" i="23"/>
  <c r="AJ222" i="23"/>
  <c r="X222" i="23"/>
  <c r="L222" i="23"/>
  <c r="K222" i="23"/>
  <c r="AK222" i="23"/>
  <c r="AC222" i="23"/>
  <c r="O222" i="23"/>
  <c r="AB230" i="15"/>
  <c r="L230" i="15"/>
  <c r="AK230" i="15"/>
  <c r="K230" i="15"/>
  <c r="X230" i="15"/>
  <c r="A231" i="15"/>
  <c r="AJ230" i="15"/>
  <c r="AC230" i="15"/>
  <c r="O230" i="15"/>
  <c r="K224" i="16"/>
  <c r="AB224" i="16"/>
  <c r="X224" i="16"/>
  <c r="AK224" i="16"/>
  <c r="A225" i="16"/>
  <c r="L224" i="16"/>
  <c r="AJ224" i="16"/>
  <c r="AC224" i="16"/>
  <c r="O224" i="16"/>
  <c r="X221" i="24"/>
  <c r="AB221" i="24"/>
  <c r="AJ221" i="24"/>
  <c r="A222" i="24"/>
  <c r="L221" i="24"/>
  <c r="K221" i="24"/>
  <c r="AK221" i="24"/>
  <c r="AC221" i="24"/>
  <c r="O221" i="24"/>
  <c r="S229" i="1"/>
  <c r="R229" i="1" s="1"/>
  <c r="P229" i="1" s="1"/>
  <c r="V229" i="1" s="1"/>
  <c r="F229" i="1" s="1"/>
  <c r="L225" i="17"/>
  <c r="D225" i="17" s="1"/>
  <c r="AB225" i="17"/>
  <c r="AJ225" i="17"/>
  <c r="X225" i="17"/>
  <c r="A226" i="17"/>
  <c r="K225" i="17"/>
  <c r="AK225" i="17"/>
  <c r="O225" i="17"/>
  <c r="AC225" i="17"/>
  <c r="K224" i="20"/>
  <c r="L224" i="20"/>
  <c r="AJ224" i="20"/>
  <c r="A225" i="20"/>
  <c r="X224" i="20"/>
  <c r="AB224" i="20"/>
  <c r="AK224" i="20"/>
  <c r="AC224" i="20"/>
  <c r="O224" i="20"/>
  <c r="E225" i="17" l="1"/>
  <c r="K225" i="20"/>
  <c r="L225" i="20"/>
  <c r="AJ225" i="20"/>
  <c r="A226" i="20"/>
  <c r="AB225" i="20"/>
  <c r="X225" i="20"/>
  <c r="AK225" i="20"/>
  <c r="AC225" i="20"/>
  <c r="O225" i="20"/>
  <c r="A227" i="17"/>
  <c r="AB226" i="17"/>
  <c r="X226" i="17"/>
  <c r="AK226" i="17"/>
  <c r="K226" i="17"/>
  <c r="L226" i="17"/>
  <c r="D226" i="17" s="1"/>
  <c r="AJ226" i="17"/>
  <c r="O226" i="17"/>
  <c r="E226" i="17" s="1"/>
  <c r="AC226" i="17"/>
  <c r="K225" i="16"/>
  <c r="A226" i="16"/>
  <c r="AJ225" i="16"/>
  <c r="X225" i="16"/>
  <c r="L225" i="16"/>
  <c r="AB225" i="16"/>
  <c r="AK225" i="16"/>
  <c r="AC225" i="16"/>
  <c r="O225" i="16"/>
  <c r="AB231" i="15"/>
  <c r="X231" i="15"/>
  <c r="K231" i="15"/>
  <c r="A232" i="15"/>
  <c r="AJ231" i="15"/>
  <c r="L231" i="15"/>
  <c r="D231" i="15" s="1"/>
  <c r="AK231" i="15"/>
  <c r="AC231" i="15"/>
  <c r="O231" i="15"/>
  <c r="D230" i="15"/>
  <c r="E230" i="15" s="1"/>
  <c r="K223" i="23"/>
  <c r="A224" i="23"/>
  <c r="X223" i="23"/>
  <c r="AK223" i="23"/>
  <c r="L223" i="23"/>
  <c r="AB223" i="23"/>
  <c r="AJ223" i="23"/>
  <c r="AC223" i="23"/>
  <c r="O223" i="23"/>
  <c r="AA228" i="1"/>
  <c r="Z228" i="1" s="1"/>
  <c r="Y228" i="1" s="1"/>
  <c r="I228" i="1"/>
  <c r="G228" i="1"/>
  <c r="BW228" i="6" s="1"/>
  <c r="X229" i="18"/>
  <c r="L229" i="18"/>
  <c r="A230" i="18"/>
  <c r="AK229" i="18"/>
  <c r="AB229" i="18"/>
  <c r="K229" i="18"/>
  <c r="AJ229" i="18"/>
  <c r="O229" i="18"/>
  <c r="AC229" i="18"/>
  <c r="G229" i="1"/>
  <c r="BW229" i="6" s="1"/>
  <c r="AA229" i="1"/>
  <c r="Z229" i="1" s="1"/>
  <c r="Y229" i="1" s="1"/>
  <c r="I229" i="1"/>
  <c r="AB222" i="24"/>
  <c r="A223" i="24"/>
  <c r="X222" i="24"/>
  <c r="AK222" i="24"/>
  <c r="K222" i="24"/>
  <c r="L222" i="24"/>
  <c r="AJ222" i="24"/>
  <c r="AC222" i="24"/>
  <c r="O222" i="24"/>
  <c r="D224" i="16"/>
  <c r="E224" i="16" s="1"/>
  <c r="T231" i="1"/>
  <c r="E231" i="1"/>
  <c r="AB232" i="1"/>
  <c r="K232" i="1"/>
  <c r="AJ232" i="1"/>
  <c r="O232" i="1"/>
  <c r="Q232" i="1"/>
  <c r="AK232" i="1"/>
  <c r="A233" i="1"/>
  <c r="L232" i="1"/>
  <c r="D232" i="1" s="1"/>
  <c r="X232" i="1"/>
  <c r="AC232" i="1"/>
  <c r="U232" i="1"/>
  <c r="S230" i="1"/>
  <c r="R230" i="1" s="1"/>
  <c r="P230" i="1" s="1"/>
  <c r="V230" i="1" s="1"/>
  <c r="F230" i="1" s="1"/>
  <c r="L221" i="25"/>
  <c r="AB221" i="25"/>
  <c r="AJ221" i="25"/>
  <c r="A222" i="25"/>
  <c r="X221" i="25"/>
  <c r="K221" i="25"/>
  <c r="AK221" i="25"/>
  <c r="AC221" i="25"/>
  <c r="O221" i="25"/>
  <c r="K224" i="22"/>
  <c r="L224" i="22"/>
  <c r="A225" i="22"/>
  <c r="AK224" i="22"/>
  <c r="AB224" i="22"/>
  <c r="X224" i="22"/>
  <c r="AJ224" i="22"/>
  <c r="AC224" i="22"/>
  <c r="O224" i="22"/>
  <c r="E231" i="15" l="1"/>
  <c r="I230" i="1"/>
  <c r="G230" i="1"/>
  <c r="BW230" i="6" s="1"/>
  <c r="AA230" i="1"/>
  <c r="Z230" i="1" s="1"/>
  <c r="Y230" i="1" s="1"/>
  <c r="X225" i="22"/>
  <c r="A226" i="22"/>
  <c r="K225" i="22"/>
  <c r="AK225" i="22"/>
  <c r="AB225" i="22"/>
  <c r="L225" i="22"/>
  <c r="AJ225" i="22"/>
  <c r="AC225" i="22"/>
  <c r="O225" i="22"/>
  <c r="E232" i="1"/>
  <c r="AB224" i="23"/>
  <c r="A225" i="23"/>
  <c r="AJ224" i="23"/>
  <c r="X224" i="23"/>
  <c r="K224" i="23"/>
  <c r="L224" i="23"/>
  <c r="AK224" i="23"/>
  <c r="AC224" i="23"/>
  <c r="O224" i="23"/>
  <c r="A233" i="15"/>
  <c r="X232" i="15"/>
  <c r="AJ232" i="15"/>
  <c r="K232" i="15"/>
  <c r="AB232" i="15"/>
  <c r="L232" i="15"/>
  <c r="D232" i="15" s="1"/>
  <c r="AK232" i="15"/>
  <c r="AC232" i="15"/>
  <c r="O232" i="15"/>
  <c r="D225" i="16"/>
  <c r="E225" i="16" s="1"/>
  <c r="A228" i="17"/>
  <c r="L227" i="17"/>
  <c r="D227" i="17" s="1"/>
  <c r="AJ227" i="17"/>
  <c r="K227" i="17"/>
  <c r="AB227" i="17"/>
  <c r="X227" i="17"/>
  <c r="AK227" i="17"/>
  <c r="O227" i="17"/>
  <c r="E227" i="17" s="1"/>
  <c r="AC227" i="17"/>
  <c r="AB226" i="20"/>
  <c r="A227" i="20"/>
  <c r="K226" i="20"/>
  <c r="AK226" i="20"/>
  <c r="X226" i="20"/>
  <c r="L226" i="20"/>
  <c r="AJ226" i="20"/>
  <c r="AC226" i="20"/>
  <c r="O226" i="20"/>
  <c r="L222" i="25"/>
  <c r="A223" i="25"/>
  <c r="AJ222" i="25"/>
  <c r="X222" i="25"/>
  <c r="K222" i="25"/>
  <c r="AB222" i="25"/>
  <c r="AK222" i="25"/>
  <c r="AC222" i="25"/>
  <c r="O222" i="25"/>
  <c r="T232" i="1"/>
  <c r="Q233" i="1"/>
  <c r="A234" i="1"/>
  <c r="L233" i="1"/>
  <c r="AB233" i="1"/>
  <c r="U233" i="1"/>
  <c r="O233" i="1"/>
  <c r="X233" i="1"/>
  <c r="K233" i="1"/>
  <c r="AJ233" i="1"/>
  <c r="AK233" i="1"/>
  <c r="AC233" i="1"/>
  <c r="S231" i="1"/>
  <c r="R231" i="1" s="1"/>
  <c r="P231" i="1" s="1"/>
  <c r="V231" i="1" s="1"/>
  <c r="F231" i="1" s="1"/>
  <c r="K223" i="24"/>
  <c r="AB223" i="24"/>
  <c r="A224" i="24"/>
  <c r="AK223" i="24"/>
  <c r="L223" i="24"/>
  <c r="X223" i="24"/>
  <c r="AJ223" i="24"/>
  <c r="AC223" i="24"/>
  <c r="O223" i="24"/>
  <c r="X230" i="18"/>
  <c r="K230" i="18"/>
  <c r="AJ230" i="18"/>
  <c r="AB230" i="18"/>
  <c r="A231" i="18"/>
  <c r="L230" i="18"/>
  <c r="AK230" i="18"/>
  <c r="O230" i="18"/>
  <c r="AC230" i="18"/>
  <c r="L226" i="16"/>
  <c r="K226" i="16"/>
  <c r="AB226" i="16"/>
  <c r="AK226" i="16"/>
  <c r="A227" i="16"/>
  <c r="X226" i="16"/>
  <c r="AJ226" i="16"/>
  <c r="AC226" i="16"/>
  <c r="O226" i="16"/>
  <c r="G231" i="1" l="1"/>
  <c r="BW231" i="6" s="1"/>
  <c r="I231" i="1"/>
  <c r="AA231" i="1"/>
  <c r="Z231" i="1" s="1"/>
  <c r="Y231" i="1" s="1"/>
  <c r="D226" i="16"/>
  <c r="E226" i="16" s="1"/>
  <c r="K224" i="24"/>
  <c r="X224" i="24"/>
  <c r="AJ224" i="24"/>
  <c r="A225" i="24"/>
  <c r="L224" i="24"/>
  <c r="AB224" i="24"/>
  <c r="AK224" i="24"/>
  <c r="AC224" i="24"/>
  <c r="O224" i="24"/>
  <c r="T233" i="1"/>
  <c r="D233" i="1"/>
  <c r="S232" i="1"/>
  <c r="R232" i="1" s="1"/>
  <c r="P232" i="1" s="1"/>
  <c r="V232" i="1" s="1"/>
  <c r="F232" i="1" s="1"/>
  <c r="K223" i="25"/>
  <c r="L223" i="25"/>
  <c r="X223" i="25"/>
  <c r="AK223" i="25"/>
  <c r="AB223" i="25"/>
  <c r="A224" i="25"/>
  <c r="AJ223" i="25"/>
  <c r="AC223" i="25"/>
  <c r="O223" i="25"/>
  <c r="E232" i="15"/>
  <c r="L233" i="15"/>
  <c r="D233" i="15" s="1"/>
  <c r="A234" i="15"/>
  <c r="AJ233" i="15"/>
  <c r="K233" i="15"/>
  <c r="X233" i="15"/>
  <c r="AB233" i="15"/>
  <c r="AK233" i="15"/>
  <c r="AC233" i="15"/>
  <c r="O233" i="15"/>
  <c r="E233" i="15" s="1"/>
  <c r="K225" i="23"/>
  <c r="X225" i="23"/>
  <c r="AJ225" i="23"/>
  <c r="AB225" i="23"/>
  <c r="A226" i="23"/>
  <c r="L225" i="23"/>
  <c r="AK225" i="23"/>
  <c r="AC225" i="23"/>
  <c r="O225" i="23"/>
  <c r="L227" i="16"/>
  <c r="X227" i="16"/>
  <c r="AJ227" i="16"/>
  <c r="A228" i="16"/>
  <c r="AB227" i="16"/>
  <c r="K227" i="16"/>
  <c r="AK227" i="16"/>
  <c r="AC227" i="16"/>
  <c r="O227" i="16"/>
  <c r="A232" i="18"/>
  <c r="K231" i="18"/>
  <c r="L231" i="18"/>
  <c r="AK231" i="18"/>
  <c r="X231" i="18"/>
  <c r="AB231" i="18"/>
  <c r="AJ231" i="18"/>
  <c r="AC231" i="18"/>
  <c r="O231" i="18"/>
  <c r="A235" i="1"/>
  <c r="O234" i="1"/>
  <c r="AK234" i="1"/>
  <c r="L234" i="1"/>
  <c r="D234" i="1" s="1"/>
  <c r="AB234" i="1"/>
  <c r="U234" i="1"/>
  <c r="AJ234" i="1"/>
  <c r="AC234" i="1"/>
  <c r="Q234" i="1"/>
  <c r="X234" i="1"/>
  <c r="K234" i="1"/>
  <c r="K227" i="20"/>
  <c r="A228" i="20"/>
  <c r="AJ227" i="20"/>
  <c r="AB227" i="20"/>
  <c r="L227" i="20"/>
  <c r="X227" i="20"/>
  <c r="AK227" i="20"/>
  <c r="AC227" i="20"/>
  <c r="O227" i="20"/>
  <c r="K228" i="17"/>
  <c r="A229" i="17"/>
  <c r="X228" i="17"/>
  <c r="AK228" i="17"/>
  <c r="AB228" i="17"/>
  <c r="L228" i="17"/>
  <c r="D228" i="17" s="1"/>
  <c r="AJ228" i="17"/>
  <c r="O228" i="17"/>
  <c r="AC228" i="17"/>
  <c r="A227" i="22"/>
  <c r="X226" i="22"/>
  <c r="AB226" i="22"/>
  <c r="AK226" i="22"/>
  <c r="L226" i="22"/>
  <c r="K226" i="22"/>
  <c r="AJ226" i="22"/>
  <c r="AC226" i="22"/>
  <c r="O226" i="22"/>
  <c r="E228" i="17" l="1"/>
  <c r="A230" i="17"/>
  <c r="AB229" i="17"/>
  <c r="AJ229" i="17"/>
  <c r="K229" i="17"/>
  <c r="L229" i="17"/>
  <c r="X229" i="17"/>
  <c r="AK229" i="17"/>
  <c r="O229" i="17"/>
  <c r="AC229" i="17"/>
  <c r="AJ235" i="1"/>
  <c r="Q235" i="1"/>
  <c r="AK235" i="1"/>
  <c r="A236" i="1"/>
  <c r="L235" i="1"/>
  <c r="U235" i="1"/>
  <c r="K235" i="1"/>
  <c r="AC235" i="1"/>
  <c r="AB235" i="1"/>
  <c r="X235" i="1"/>
  <c r="O235" i="1"/>
  <c r="D227" i="16"/>
  <c r="E227" i="16" s="1"/>
  <c r="L226" i="23"/>
  <c r="A227" i="23"/>
  <c r="AJ226" i="23"/>
  <c r="K226" i="23"/>
  <c r="X226" i="23"/>
  <c r="AB226" i="23"/>
  <c r="AK226" i="23"/>
  <c r="AC226" i="23"/>
  <c r="O226" i="23"/>
  <c r="AB234" i="15"/>
  <c r="A235" i="15"/>
  <c r="AJ234" i="15"/>
  <c r="X234" i="15"/>
  <c r="L234" i="15"/>
  <c r="D234" i="15" s="1"/>
  <c r="K234" i="15"/>
  <c r="AK234" i="15"/>
  <c r="AC234" i="15"/>
  <c r="O234" i="15"/>
  <c r="E234" i="15" s="1"/>
  <c r="E233" i="1"/>
  <c r="L225" i="24"/>
  <c r="K225" i="24"/>
  <c r="AJ225" i="24"/>
  <c r="A226" i="24"/>
  <c r="AB225" i="24"/>
  <c r="X225" i="24"/>
  <c r="AK225" i="24"/>
  <c r="AC225" i="24"/>
  <c r="O225" i="24"/>
  <c r="AB227" i="22"/>
  <c r="L227" i="22"/>
  <c r="AJ227" i="22"/>
  <c r="K227" i="22"/>
  <c r="A228" i="22"/>
  <c r="X227" i="22"/>
  <c r="AK227" i="22"/>
  <c r="AC227" i="22"/>
  <c r="O227" i="22"/>
  <c r="AB228" i="20"/>
  <c r="K228" i="20"/>
  <c r="AJ228" i="20"/>
  <c r="X228" i="20"/>
  <c r="A229" i="20"/>
  <c r="L228" i="20"/>
  <c r="AK228" i="20"/>
  <c r="AC228" i="20"/>
  <c r="O228" i="20"/>
  <c r="T234" i="1"/>
  <c r="E234" i="1"/>
  <c r="X232" i="18"/>
  <c r="A233" i="18"/>
  <c r="AB232" i="18"/>
  <c r="AK232" i="18"/>
  <c r="L232" i="18"/>
  <c r="K232" i="18"/>
  <c r="AJ232" i="18"/>
  <c r="O232" i="18"/>
  <c r="AC232" i="18"/>
  <c r="L228" i="16"/>
  <c r="X228" i="16"/>
  <c r="A229" i="16"/>
  <c r="AK228" i="16"/>
  <c r="AB228" i="16"/>
  <c r="K228" i="16"/>
  <c r="AJ228" i="16"/>
  <c r="AC228" i="16"/>
  <c r="O228" i="16"/>
  <c r="K224" i="25"/>
  <c r="X224" i="25"/>
  <c r="A225" i="25"/>
  <c r="AK224" i="25"/>
  <c r="AB224" i="25"/>
  <c r="L224" i="25"/>
  <c r="AJ224" i="25"/>
  <c r="AC224" i="25"/>
  <c r="O224" i="25"/>
  <c r="I232" i="1"/>
  <c r="G232" i="1"/>
  <c r="BW232" i="6" s="1"/>
  <c r="AA232" i="1"/>
  <c r="Z232" i="1" s="1"/>
  <c r="Y232" i="1" s="1"/>
  <c r="S233" i="1"/>
  <c r="R233" i="1" s="1"/>
  <c r="P233" i="1" s="1"/>
  <c r="V233" i="1" s="1"/>
  <c r="F233" i="1" l="1"/>
  <c r="G233" i="1" s="1"/>
  <c r="BW233" i="6" s="1"/>
  <c r="X229" i="16"/>
  <c r="L229" i="16"/>
  <c r="AJ229" i="16"/>
  <c r="A230" i="16"/>
  <c r="AB229" i="16"/>
  <c r="K229" i="16"/>
  <c r="AK229" i="16"/>
  <c r="AC229" i="16"/>
  <c r="O229" i="16"/>
  <c r="D228" i="16"/>
  <c r="E228" i="16" s="1"/>
  <c r="X233" i="18"/>
  <c r="A234" i="18"/>
  <c r="K233" i="18"/>
  <c r="AK233" i="18"/>
  <c r="AB233" i="18"/>
  <c r="L233" i="18"/>
  <c r="AJ233" i="18"/>
  <c r="AC233" i="18"/>
  <c r="O233" i="18"/>
  <c r="S234" i="1"/>
  <c r="R234" i="1" s="1"/>
  <c r="P234" i="1" s="1"/>
  <c r="X229" i="20"/>
  <c r="L229" i="20"/>
  <c r="K229" i="20"/>
  <c r="AK229" i="20"/>
  <c r="AB229" i="20"/>
  <c r="A230" i="20"/>
  <c r="AJ229" i="20"/>
  <c r="AC229" i="20"/>
  <c r="O229" i="20"/>
  <c r="A236" i="15"/>
  <c r="K235" i="15"/>
  <c r="AB235" i="15"/>
  <c r="AK235" i="15"/>
  <c r="X235" i="15"/>
  <c r="L235" i="15"/>
  <c r="D235" i="15" s="1"/>
  <c r="AJ235" i="15"/>
  <c r="O235" i="15"/>
  <c r="E235" i="15" s="1"/>
  <c r="AC235" i="15"/>
  <c r="D235" i="1"/>
  <c r="E235" i="1" s="1"/>
  <c r="D229" i="17"/>
  <c r="E229" i="17" s="1"/>
  <c r="A231" i="17"/>
  <c r="AB230" i="17"/>
  <c r="K230" i="17"/>
  <c r="AK230" i="17"/>
  <c r="L230" i="17"/>
  <c r="X230" i="17"/>
  <c r="AJ230" i="17"/>
  <c r="O230" i="17"/>
  <c r="AC230" i="17"/>
  <c r="AA233" i="1"/>
  <c r="Z233" i="1" s="1"/>
  <c r="Y233" i="1" s="1"/>
  <c r="AB225" i="25"/>
  <c r="A226" i="25"/>
  <c r="K225" i="25"/>
  <c r="AK225" i="25"/>
  <c r="L225" i="25"/>
  <c r="X225" i="25"/>
  <c r="AJ225" i="25"/>
  <c r="AC225" i="25"/>
  <c r="O225" i="25"/>
  <c r="L228" i="22"/>
  <c r="AB228" i="22"/>
  <c r="AJ228" i="22"/>
  <c r="X228" i="22"/>
  <c r="A229" i="22"/>
  <c r="K228" i="22"/>
  <c r="AK228" i="22"/>
  <c r="AC228" i="22"/>
  <c r="O228" i="22"/>
  <c r="AB226" i="24"/>
  <c r="A227" i="24"/>
  <c r="AJ226" i="24"/>
  <c r="K226" i="24"/>
  <c r="L226" i="24"/>
  <c r="X226" i="24"/>
  <c r="AK226" i="24"/>
  <c r="AC226" i="24"/>
  <c r="O226" i="24"/>
  <c r="K227" i="23"/>
  <c r="L227" i="23"/>
  <c r="AJ227" i="23"/>
  <c r="X227" i="23"/>
  <c r="A228" i="23"/>
  <c r="AB227" i="23"/>
  <c r="AK227" i="23"/>
  <c r="AC227" i="23"/>
  <c r="O227" i="23"/>
  <c r="T235" i="1"/>
  <c r="AC236" i="1"/>
  <c r="AJ236" i="1"/>
  <c r="O236" i="1"/>
  <c r="A237" i="1"/>
  <c r="AB236" i="1"/>
  <c r="AK236" i="1"/>
  <c r="L236" i="1"/>
  <c r="K236" i="1"/>
  <c r="Q236" i="1"/>
  <c r="X236" i="1"/>
  <c r="U236" i="1"/>
  <c r="I233" i="1" l="1"/>
  <c r="V234" i="1"/>
  <c r="F234" i="1" s="1"/>
  <c r="S235" i="1"/>
  <c r="R235" i="1" s="1"/>
  <c r="P235" i="1" s="1"/>
  <c r="V235" i="1" s="1"/>
  <c r="F235" i="1" s="1"/>
  <c r="T236" i="1"/>
  <c r="D236" i="1"/>
  <c r="E236" i="1" s="1"/>
  <c r="X228" i="23"/>
  <c r="AB228" i="23"/>
  <c r="L228" i="23"/>
  <c r="AK228" i="23"/>
  <c r="K228" i="23"/>
  <c r="A229" i="23"/>
  <c r="AJ228" i="23"/>
  <c r="AC228" i="23"/>
  <c r="O228" i="23"/>
  <c r="A230" i="22"/>
  <c r="K229" i="22"/>
  <c r="AB229" i="22"/>
  <c r="AK229" i="22"/>
  <c r="X229" i="22"/>
  <c r="L229" i="22"/>
  <c r="AJ229" i="22"/>
  <c r="AC229" i="22"/>
  <c r="O229" i="22"/>
  <c r="X226" i="25"/>
  <c r="K226" i="25"/>
  <c r="AJ226" i="25"/>
  <c r="AB226" i="25"/>
  <c r="L226" i="25"/>
  <c r="A227" i="25"/>
  <c r="AK226" i="25"/>
  <c r="AC226" i="25"/>
  <c r="O226" i="25"/>
  <c r="D230" i="17"/>
  <c r="E230" i="17" s="1"/>
  <c r="X231" i="17"/>
  <c r="L231" i="17"/>
  <c r="D231" i="17" s="1"/>
  <c r="A232" i="17"/>
  <c r="AK231" i="17"/>
  <c r="AB231" i="17"/>
  <c r="K231" i="17"/>
  <c r="AJ231" i="17"/>
  <c r="O231" i="17"/>
  <c r="E231" i="17" s="1"/>
  <c r="AC231" i="17"/>
  <c r="K236" i="15"/>
  <c r="A237" i="15"/>
  <c r="AK236" i="15"/>
  <c r="L236" i="15"/>
  <c r="AB236" i="15"/>
  <c r="X236" i="15"/>
  <c r="AJ236" i="15"/>
  <c r="AC236" i="15"/>
  <c r="O236" i="15"/>
  <c r="X237" i="1"/>
  <c r="AK237" i="1"/>
  <c r="Q237" i="1"/>
  <c r="K237" i="1"/>
  <c r="U237" i="1"/>
  <c r="L237" i="1"/>
  <c r="D237" i="1" s="1"/>
  <c r="O237" i="1"/>
  <c r="AB237" i="1"/>
  <c r="AJ237" i="1"/>
  <c r="A238" i="1"/>
  <c r="AC237" i="1"/>
  <c r="X227" i="24"/>
  <c r="K227" i="24"/>
  <c r="AB227" i="24"/>
  <c r="AK227" i="24"/>
  <c r="A228" i="24"/>
  <c r="L227" i="24"/>
  <c r="AJ227" i="24"/>
  <c r="AC227" i="24"/>
  <c r="O227" i="24"/>
  <c r="A231" i="20"/>
  <c r="X230" i="20"/>
  <c r="K230" i="20"/>
  <c r="AK230" i="20"/>
  <c r="L230" i="20"/>
  <c r="AB230" i="20"/>
  <c r="AJ230" i="20"/>
  <c r="AC230" i="20"/>
  <c r="O230" i="20"/>
  <c r="K234" i="18"/>
  <c r="L234" i="18"/>
  <c r="A235" i="18"/>
  <c r="AK234" i="18"/>
  <c r="AB234" i="18"/>
  <c r="X234" i="18"/>
  <c r="AJ234" i="18"/>
  <c r="O234" i="18"/>
  <c r="AC234" i="18"/>
  <c r="A231" i="16"/>
  <c r="AB230" i="16"/>
  <c r="K230" i="16"/>
  <c r="AK230" i="16"/>
  <c r="L230" i="16"/>
  <c r="X230" i="16"/>
  <c r="AJ230" i="16"/>
  <c r="AC230" i="16"/>
  <c r="O230" i="16"/>
  <c r="D229" i="16"/>
  <c r="E229" i="16" s="1"/>
  <c r="E237" i="1" l="1"/>
  <c r="A232" i="20"/>
  <c r="X231" i="20"/>
  <c r="K231" i="20"/>
  <c r="AK231" i="20"/>
  <c r="AB231" i="20"/>
  <c r="L231" i="20"/>
  <c r="AJ231" i="20"/>
  <c r="AC231" i="20"/>
  <c r="O231" i="20"/>
  <c r="X228" i="24"/>
  <c r="AB228" i="24"/>
  <c r="AJ228" i="24"/>
  <c r="A229" i="24"/>
  <c r="L228" i="24"/>
  <c r="K228" i="24"/>
  <c r="AK228" i="24"/>
  <c r="AC228" i="24"/>
  <c r="O228" i="24"/>
  <c r="Q238" i="1"/>
  <c r="AC238" i="1"/>
  <c r="AK238" i="1"/>
  <c r="K238" i="1"/>
  <c r="AJ238" i="1"/>
  <c r="A239" i="1"/>
  <c r="O238" i="1"/>
  <c r="L238" i="1"/>
  <c r="D238" i="1" s="1"/>
  <c r="AB238" i="1"/>
  <c r="X238" i="1"/>
  <c r="U238" i="1"/>
  <c r="D236" i="15"/>
  <c r="A238" i="15"/>
  <c r="X237" i="15"/>
  <c r="K237" i="15"/>
  <c r="AK237" i="15"/>
  <c r="L237" i="15"/>
  <c r="D237" i="15" s="1"/>
  <c r="AB237" i="15"/>
  <c r="AJ237" i="15"/>
  <c r="O237" i="15"/>
  <c r="AC237" i="15"/>
  <c r="L232" i="17"/>
  <c r="D232" i="17" s="1"/>
  <c r="A233" i="17"/>
  <c r="AJ232" i="17"/>
  <c r="AB232" i="17"/>
  <c r="K232" i="17"/>
  <c r="X232" i="17"/>
  <c r="AK232" i="17"/>
  <c r="O232" i="17"/>
  <c r="AC232" i="17"/>
  <c r="L227" i="25"/>
  <c r="K227" i="25"/>
  <c r="AJ227" i="25"/>
  <c r="AB227" i="25"/>
  <c r="X227" i="25"/>
  <c r="A228" i="25"/>
  <c r="AK227" i="25"/>
  <c r="AC227" i="25"/>
  <c r="O227" i="25"/>
  <c r="AB230" i="22"/>
  <c r="L230" i="22"/>
  <c r="AJ230" i="22"/>
  <c r="A231" i="22"/>
  <c r="K230" i="22"/>
  <c r="X230" i="22"/>
  <c r="AK230" i="22"/>
  <c r="AC230" i="22"/>
  <c r="O230" i="22"/>
  <c r="L229" i="23"/>
  <c r="X229" i="23"/>
  <c r="AJ229" i="23"/>
  <c r="K229" i="23"/>
  <c r="A230" i="23"/>
  <c r="AB229" i="23"/>
  <c r="AK229" i="23"/>
  <c r="AC229" i="23"/>
  <c r="O229" i="23"/>
  <c r="G235" i="1"/>
  <c r="BW235" i="6" s="1"/>
  <c r="AA235" i="1"/>
  <c r="Z235" i="1" s="1"/>
  <c r="Y235" i="1" s="1"/>
  <c r="I235" i="1"/>
  <c r="G234" i="1"/>
  <c r="BW234" i="6" s="1"/>
  <c r="I234" i="1"/>
  <c r="AA234" i="1"/>
  <c r="Z234" i="1" s="1"/>
  <c r="Y234" i="1" s="1"/>
  <c r="D230" i="16"/>
  <c r="E230" i="16" s="1"/>
  <c r="K231" i="16"/>
  <c r="L231" i="16"/>
  <c r="A232" i="16"/>
  <c r="AK231" i="16"/>
  <c r="AB231" i="16"/>
  <c r="X231" i="16"/>
  <c r="AJ231" i="16"/>
  <c r="AC231" i="16"/>
  <c r="O231" i="16"/>
  <c r="AB235" i="18"/>
  <c r="A236" i="18"/>
  <c r="AJ235" i="18"/>
  <c r="X235" i="18"/>
  <c r="K235" i="18"/>
  <c r="L235" i="18"/>
  <c r="AK235" i="18"/>
  <c r="O235" i="18"/>
  <c r="AC235" i="18"/>
  <c r="T237" i="1"/>
  <c r="E236" i="15"/>
  <c r="S236" i="1"/>
  <c r="R236" i="1" s="1"/>
  <c r="P236" i="1" s="1"/>
  <c r="V236" i="1" s="1"/>
  <c r="F236" i="1" s="1"/>
  <c r="E237" i="15" l="1"/>
  <c r="E232" i="17"/>
  <c r="AA236" i="1"/>
  <c r="Z236" i="1" s="1"/>
  <c r="Y236" i="1" s="1"/>
  <c r="G236" i="1"/>
  <c r="BW236" i="6" s="1"/>
  <c r="I236" i="1"/>
  <c r="S237" i="1"/>
  <c r="R237" i="1" s="1"/>
  <c r="P237" i="1" s="1"/>
  <c r="V237" i="1" s="1"/>
  <c r="F237" i="1" s="1"/>
  <c r="AB236" i="18"/>
  <c r="L236" i="18"/>
  <c r="AJ236" i="18"/>
  <c r="K236" i="18"/>
  <c r="X236" i="18"/>
  <c r="A237" i="18"/>
  <c r="AK236" i="18"/>
  <c r="AC236" i="18"/>
  <c r="O236" i="18"/>
  <c r="L232" i="16"/>
  <c r="K232" i="16"/>
  <c r="AJ232" i="16"/>
  <c r="A233" i="16"/>
  <c r="AB232" i="16"/>
  <c r="X232" i="16"/>
  <c r="AK232" i="16"/>
  <c r="AC232" i="16"/>
  <c r="O232" i="16"/>
  <c r="X233" i="17"/>
  <c r="AB233" i="17"/>
  <c r="A234" i="17"/>
  <c r="AK233" i="17"/>
  <c r="K233" i="17"/>
  <c r="L233" i="17"/>
  <c r="D233" i="17" s="1"/>
  <c r="AJ233" i="17"/>
  <c r="O233" i="17"/>
  <c r="E233" i="17" s="1"/>
  <c r="AC233" i="17"/>
  <c r="AB238" i="15"/>
  <c r="K238" i="15"/>
  <c r="A239" i="15"/>
  <c r="AK238" i="15"/>
  <c r="X238" i="15"/>
  <c r="L238" i="15"/>
  <c r="AJ238" i="15"/>
  <c r="AC238" i="15"/>
  <c r="O238" i="15"/>
  <c r="X239" i="1"/>
  <c r="Q239" i="1"/>
  <c r="K239" i="1"/>
  <c r="AB239" i="1"/>
  <c r="AJ239" i="1"/>
  <c r="A240" i="1"/>
  <c r="AK239" i="1"/>
  <c r="L239" i="1"/>
  <c r="D239" i="1" s="1"/>
  <c r="U239" i="1"/>
  <c r="O239" i="1"/>
  <c r="E239" i="1" s="1"/>
  <c r="AC239" i="1"/>
  <c r="A233" i="20"/>
  <c r="K232" i="20"/>
  <c r="AJ232" i="20"/>
  <c r="X232" i="20"/>
  <c r="AB232" i="20"/>
  <c r="L232" i="20"/>
  <c r="AK232" i="20"/>
  <c r="AC232" i="20"/>
  <c r="O232" i="20"/>
  <c r="D231" i="16"/>
  <c r="E231" i="16" s="1"/>
  <c r="L230" i="23"/>
  <c r="X230" i="23"/>
  <c r="AJ230" i="23"/>
  <c r="AB230" i="23"/>
  <c r="A231" i="23"/>
  <c r="K230" i="23"/>
  <c r="AK230" i="23"/>
  <c r="AC230" i="23"/>
  <c r="O230" i="23"/>
  <c r="AB231" i="22"/>
  <c r="K231" i="22"/>
  <c r="AJ231" i="22"/>
  <c r="A232" i="22"/>
  <c r="X231" i="22"/>
  <c r="L231" i="22"/>
  <c r="AK231" i="22"/>
  <c r="AC231" i="22"/>
  <c r="O231" i="22"/>
  <c r="L228" i="25"/>
  <c r="A229" i="25"/>
  <c r="AJ228" i="25"/>
  <c r="X228" i="25"/>
  <c r="K228" i="25"/>
  <c r="AB228" i="25"/>
  <c r="AK228" i="25"/>
  <c r="AC228" i="25"/>
  <c r="O228" i="25"/>
  <c r="T238" i="1"/>
  <c r="E238" i="1"/>
  <c r="X229" i="24"/>
  <c r="AB229" i="24"/>
  <c r="A230" i="24"/>
  <c r="AK229" i="24"/>
  <c r="K229" i="24"/>
  <c r="L229" i="24"/>
  <c r="AJ229" i="24"/>
  <c r="AC229" i="24"/>
  <c r="O229" i="24"/>
  <c r="G237" i="1" l="1"/>
  <c r="BW237" i="6" s="1"/>
  <c r="AA237" i="1"/>
  <c r="Z237" i="1" s="1"/>
  <c r="Y237" i="1" s="1"/>
  <c r="I237" i="1"/>
  <c r="S238" i="1"/>
  <c r="R238" i="1" s="1"/>
  <c r="P238" i="1" s="1"/>
  <c r="A230" i="25"/>
  <c r="X229" i="25"/>
  <c r="AJ229" i="25"/>
  <c r="AB229" i="25"/>
  <c r="K229" i="25"/>
  <c r="L229" i="25"/>
  <c r="AK229" i="25"/>
  <c r="AC229" i="25"/>
  <c r="O229" i="25"/>
  <c r="T239" i="1"/>
  <c r="D238" i="15"/>
  <c r="K234" i="17"/>
  <c r="L234" i="17"/>
  <c r="AJ234" i="17"/>
  <c r="AB234" i="17"/>
  <c r="X234" i="17"/>
  <c r="A235" i="17"/>
  <c r="AK234" i="17"/>
  <c r="O234" i="17"/>
  <c r="AC234" i="17"/>
  <c r="K233" i="16"/>
  <c r="L233" i="16"/>
  <c r="A234" i="16"/>
  <c r="AK233" i="16"/>
  <c r="AB233" i="16"/>
  <c r="X233" i="16"/>
  <c r="AJ233" i="16"/>
  <c r="AC233" i="16"/>
  <c r="O233" i="16"/>
  <c r="L230" i="24"/>
  <c r="K230" i="24"/>
  <c r="AJ230" i="24"/>
  <c r="A231" i="24"/>
  <c r="AB230" i="24"/>
  <c r="X230" i="24"/>
  <c r="AK230" i="24"/>
  <c r="AC230" i="24"/>
  <c r="O230" i="24"/>
  <c r="A233" i="22"/>
  <c r="X232" i="22"/>
  <c r="L232" i="22"/>
  <c r="AK232" i="22"/>
  <c r="K232" i="22"/>
  <c r="AB232" i="22"/>
  <c r="AJ232" i="22"/>
  <c r="AC232" i="22"/>
  <c r="O232" i="22"/>
  <c r="L231" i="23"/>
  <c r="AB231" i="23"/>
  <c r="AJ231" i="23"/>
  <c r="K231" i="23"/>
  <c r="A232" i="23"/>
  <c r="X231" i="23"/>
  <c r="AK231" i="23"/>
  <c r="AC231" i="23"/>
  <c r="O231" i="23"/>
  <c r="A234" i="20"/>
  <c r="AB233" i="20"/>
  <c r="AJ233" i="20"/>
  <c r="K233" i="20"/>
  <c r="X233" i="20"/>
  <c r="L233" i="20"/>
  <c r="AK233" i="20"/>
  <c r="AC233" i="20"/>
  <c r="O233" i="20"/>
  <c r="AK240" i="1"/>
  <c r="Q240" i="1"/>
  <c r="AC240" i="1"/>
  <c r="L240" i="1"/>
  <c r="D240" i="1" s="1"/>
  <c r="AB240" i="1"/>
  <c r="U240" i="1"/>
  <c r="AJ240" i="1"/>
  <c r="A241" i="1"/>
  <c r="K240" i="1"/>
  <c r="O240" i="1"/>
  <c r="X240" i="1"/>
  <c r="E238" i="15"/>
  <c r="L239" i="15"/>
  <c r="D239" i="15" s="1"/>
  <c r="X239" i="15"/>
  <c r="AJ239" i="15"/>
  <c r="AB239" i="15"/>
  <c r="K239" i="15"/>
  <c r="A240" i="15"/>
  <c r="AK239" i="15"/>
  <c r="AC239" i="15"/>
  <c r="O239" i="15"/>
  <c r="E239" i="15" s="1"/>
  <c r="D232" i="16"/>
  <c r="E232" i="16" s="1"/>
  <c r="K237" i="18"/>
  <c r="AB237" i="18"/>
  <c r="A238" i="18"/>
  <c r="AK237" i="18"/>
  <c r="X237" i="18"/>
  <c r="L237" i="18"/>
  <c r="AJ237" i="18"/>
  <c r="O237" i="18"/>
  <c r="AC237" i="18"/>
  <c r="V238" i="1" l="1"/>
  <c r="F238" i="1" s="1"/>
  <c r="AB240" i="15"/>
  <c r="K240" i="15"/>
  <c r="X240" i="15"/>
  <c r="AK240" i="15"/>
  <c r="L240" i="15"/>
  <c r="D240" i="15" s="1"/>
  <c r="A241" i="15"/>
  <c r="AJ240" i="15"/>
  <c r="AC240" i="15"/>
  <c r="O240" i="15"/>
  <c r="E240" i="15" s="1"/>
  <c r="O241" i="1"/>
  <c r="C27" i="7" s="1"/>
  <c r="AJ241" i="1"/>
  <c r="A27" i="7"/>
  <c r="AK241" i="1"/>
  <c r="X241" i="1"/>
  <c r="U241" i="1"/>
  <c r="AC241" i="1"/>
  <c r="K241" i="1"/>
  <c r="Q241" i="1"/>
  <c r="A242" i="1"/>
  <c r="L241" i="1"/>
  <c r="AB241" i="1"/>
  <c r="T240" i="1"/>
  <c r="E240" i="1"/>
  <c r="K231" i="24"/>
  <c r="A232" i="24"/>
  <c r="X231" i="24"/>
  <c r="AK231" i="24"/>
  <c r="AB231" i="24"/>
  <c r="L231" i="24"/>
  <c r="AJ231" i="24"/>
  <c r="AC231" i="24"/>
  <c r="O231" i="24"/>
  <c r="D233" i="16"/>
  <c r="E233" i="16" s="1"/>
  <c r="L230" i="25"/>
  <c r="K230" i="25"/>
  <c r="AJ230" i="25"/>
  <c r="A231" i="25"/>
  <c r="AB230" i="25"/>
  <c r="X230" i="25"/>
  <c r="AK230" i="25"/>
  <c r="AC230" i="25"/>
  <c r="O230" i="25"/>
  <c r="L238" i="18"/>
  <c r="AB238" i="18"/>
  <c r="AJ238" i="18"/>
  <c r="K238" i="18"/>
  <c r="X238" i="18"/>
  <c r="A239" i="18"/>
  <c r="AK238" i="18"/>
  <c r="O238" i="18"/>
  <c r="AC238" i="18"/>
  <c r="K234" i="20"/>
  <c r="AB234" i="20"/>
  <c r="A235" i="20"/>
  <c r="AK234" i="20"/>
  <c r="L234" i="20"/>
  <c r="X234" i="20"/>
  <c r="AJ234" i="20"/>
  <c r="AC234" i="20"/>
  <c r="O234" i="20"/>
  <c r="K232" i="23"/>
  <c r="AB232" i="23"/>
  <c r="L232" i="23"/>
  <c r="AK232" i="23"/>
  <c r="A233" i="23"/>
  <c r="X232" i="23"/>
  <c r="AJ232" i="23"/>
  <c r="AC232" i="23"/>
  <c r="O232" i="23"/>
  <c r="X233" i="22"/>
  <c r="A234" i="22"/>
  <c r="K233" i="22"/>
  <c r="AK233" i="22"/>
  <c r="L233" i="22"/>
  <c r="AB233" i="22"/>
  <c r="AJ233" i="22"/>
  <c r="AC233" i="22"/>
  <c r="O233" i="22"/>
  <c r="L234" i="16"/>
  <c r="A235" i="16"/>
  <c r="X234" i="16"/>
  <c r="AK234" i="16"/>
  <c r="K234" i="16"/>
  <c r="AB234" i="16"/>
  <c r="AJ234" i="16"/>
  <c r="AC234" i="16"/>
  <c r="O234" i="16"/>
  <c r="X235" i="17"/>
  <c r="L235" i="17"/>
  <c r="AB235" i="17"/>
  <c r="AK235" i="17"/>
  <c r="A236" i="17"/>
  <c r="K235" i="17"/>
  <c r="AJ235" i="17"/>
  <c r="O235" i="17"/>
  <c r="AC235" i="17"/>
  <c r="D234" i="17"/>
  <c r="E234" i="17" s="1"/>
  <c r="S239" i="1"/>
  <c r="R239" i="1" s="1"/>
  <c r="P239" i="1" s="1"/>
  <c r="V239" i="1" l="1"/>
  <c r="F239" i="1" s="1"/>
  <c r="D235" i="17"/>
  <c r="E235" i="17" s="1"/>
  <c r="A237" i="17"/>
  <c r="K236" i="17"/>
  <c r="AJ236" i="17"/>
  <c r="AB236" i="17"/>
  <c r="L236" i="17"/>
  <c r="D236" i="17" s="1"/>
  <c r="X236" i="17"/>
  <c r="AK236" i="17"/>
  <c r="O236" i="17"/>
  <c r="AC236" i="17"/>
  <c r="D234" i="16"/>
  <c r="E234" i="16" s="1"/>
  <c r="K233" i="23"/>
  <c r="L233" i="23"/>
  <c r="X233" i="23"/>
  <c r="AK233" i="23"/>
  <c r="AB233" i="23"/>
  <c r="A234" i="23"/>
  <c r="AJ233" i="23"/>
  <c r="AC233" i="23"/>
  <c r="O233" i="23"/>
  <c r="X235" i="20"/>
  <c r="L235" i="20"/>
  <c r="K235" i="20"/>
  <c r="AK235" i="20"/>
  <c r="AB235" i="20"/>
  <c r="A236" i="20"/>
  <c r="AJ235" i="20"/>
  <c r="AC235" i="20"/>
  <c r="O235" i="20"/>
  <c r="K239" i="18"/>
  <c r="L239" i="18"/>
  <c r="AB239" i="18"/>
  <c r="AJ239" i="18"/>
  <c r="A240" i="18"/>
  <c r="X239" i="18"/>
  <c r="AK239" i="18"/>
  <c r="O239" i="18"/>
  <c r="AC239" i="18"/>
  <c r="AB242" i="1"/>
  <c r="AK242" i="1"/>
  <c r="AC242" i="1"/>
  <c r="Q242" i="1"/>
  <c r="X242" i="1"/>
  <c r="U242" i="1"/>
  <c r="K242" i="1"/>
  <c r="L242" i="1"/>
  <c r="AJ242" i="1"/>
  <c r="O242" i="1"/>
  <c r="A243" i="1"/>
  <c r="T241" i="1"/>
  <c r="I238" i="1"/>
  <c r="AA238" i="1"/>
  <c r="Z238" i="1" s="1"/>
  <c r="Y238" i="1" s="1"/>
  <c r="G238" i="1"/>
  <c r="BW238" i="6" s="1"/>
  <c r="A236" i="16"/>
  <c r="AB235" i="16"/>
  <c r="AJ235" i="16"/>
  <c r="K235" i="16"/>
  <c r="L235" i="16"/>
  <c r="X235" i="16"/>
  <c r="AK235" i="16"/>
  <c r="AC235" i="16"/>
  <c r="O235" i="16"/>
  <c r="X234" i="22"/>
  <c r="L234" i="22"/>
  <c r="AJ234" i="22"/>
  <c r="AB234" i="22"/>
  <c r="K234" i="22"/>
  <c r="A235" i="22"/>
  <c r="AK234" i="22"/>
  <c r="AC234" i="22"/>
  <c r="O234" i="22"/>
  <c r="X231" i="25"/>
  <c r="L231" i="25"/>
  <c r="A232" i="25"/>
  <c r="AK231" i="25"/>
  <c r="AB231" i="25"/>
  <c r="K231" i="25"/>
  <c r="AJ231" i="25"/>
  <c r="AC231" i="25"/>
  <c r="O231" i="25"/>
  <c r="X232" i="24"/>
  <c r="A233" i="24"/>
  <c r="AJ232" i="24"/>
  <c r="K232" i="24"/>
  <c r="L232" i="24"/>
  <c r="AB232" i="24"/>
  <c r="AK232" i="24"/>
  <c r="AC232" i="24"/>
  <c r="O232" i="24"/>
  <c r="S240" i="1"/>
  <c r="R240" i="1" s="1"/>
  <c r="P240" i="1" s="1"/>
  <c r="B27" i="7"/>
  <c r="D241" i="1"/>
  <c r="E241" i="1" s="1"/>
  <c r="AK241" i="15"/>
  <c r="AB241" i="15"/>
  <c r="K241" i="15"/>
  <c r="AJ241" i="15"/>
  <c r="A39" i="7"/>
  <c r="X241" i="15"/>
  <c r="A242" i="15"/>
  <c r="L241" i="15"/>
  <c r="AC241" i="15"/>
  <c r="O241" i="15"/>
  <c r="C39" i="7" s="1"/>
  <c r="E236" i="17" l="1"/>
  <c r="V240" i="1"/>
  <c r="F240" i="1" s="1"/>
  <c r="A243" i="15"/>
  <c r="AK242" i="15"/>
  <c r="X242" i="15"/>
  <c r="K242" i="15"/>
  <c r="L242" i="15"/>
  <c r="AB242" i="15"/>
  <c r="AJ242" i="15"/>
  <c r="AC242" i="15"/>
  <c r="O242" i="15"/>
  <c r="AB232" i="25"/>
  <c r="A233" i="25"/>
  <c r="X232" i="25"/>
  <c r="AK232" i="25"/>
  <c r="L232" i="25"/>
  <c r="K232" i="25"/>
  <c r="AJ232" i="25"/>
  <c r="AC232" i="25"/>
  <c r="O232" i="25"/>
  <c r="A236" i="22"/>
  <c r="AB235" i="22"/>
  <c r="K235" i="22"/>
  <c r="AK235" i="22"/>
  <c r="X235" i="22"/>
  <c r="L235" i="22"/>
  <c r="AJ235" i="22"/>
  <c r="AC235" i="22"/>
  <c r="O235" i="22"/>
  <c r="D235" i="16"/>
  <c r="E235" i="16" s="1"/>
  <c r="X236" i="16"/>
  <c r="AB236" i="16"/>
  <c r="AJ236" i="16"/>
  <c r="A237" i="16"/>
  <c r="K236" i="16"/>
  <c r="L236" i="16"/>
  <c r="AK236" i="16"/>
  <c r="AC236" i="16"/>
  <c r="O236" i="16"/>
  <c r="AJ243" i="1"/>
  <c r="Q243" i="1"/>
  <c r="AK243" i="1"/>
  <c r="AB243" i="1"/>
  <c r="O243" i="1"/>
  <c r="A244" i="1"/>
  <c r="L243" i="1"/>
  <c r="D243" i="1" s="1"/>
  <c r="AC243" i="1"/>
  <c r="K243" i="1"/>
  <c r="X243" i="1"/>
  <c r="U243" i="1"/>
  <c r="X236" i="20"/>
  <c r="L236" i="20"/>
  <c r="AJ236" i="20"/>
  <c r="AB236" i="20"/>
  <c r="K236" i="20"/>
  <c r="A237" i="20"/>
  <c r="AK236" i="20"/>
  <c r="AC236" i="20"/>
  <c r="O236" i="20"/>
  <c r="X234" i="23"/>
  <c r="K234" i="23"/>
  <c r="A235" i="23"/>
  <c r="AK234" i="23"/>
  <c r="L234" i="23"/>
  <c r="AB234" i="23"/>
  <c r="AJ234" i="23"/>
  <c r="AC234" i="23"/>
  <c r="O234" i="23"/>
  <c r="A238" i="17"/>
  <c r="X237" i="17"/>
  <c r="K237" i="17"/>
  <c r="AK237" i="17"/>
  <c r="L237" i="17"/>
  <c r="AB237" i="17"/>
  <c r="AJ237" i="17"/>
  <c r="O237" i="17"/>
  <c r="AC237" i="17"/>
  <c r="I239" i="1"/>
  <c r="G239" i="1"/>
  <c r="BW239" i="6" s="1"/>
  <c r="AA239" i="1"/>
  <c r="Z239" i="1" s="1"/>
  <c r="Y239" i="1" s="1"/>
  <c r="B39" i="7"/>
  <c r="D241" i="15"/>
  <c r="E241" i="15" s="1"/>
  <c r="K233" i="24"/>
  <c r="L233" i="24"/>
  <c r="X233" i="24"/>
  <c r="AK233" i="24"/>
  <c r="A234" i="24"/>
  <c r="AB233" i="24"/>
  <c r="AJ233" i="24"/>
  <c r="AC233" i="24"/>
  <c r="O233" i="24"/>
  <c r="S241" i="1"/>
  <c r="R241" i="1" s="1"/>
  <c r="P241" i="1" s="1"/>
  <c r="D242" i="1"/>
  <c r="E242" i="1" s="1"/>
  <c r="T242" i="1"/>
  <c r="X240" i="18"/>
  <c r="L240" i="18"/>
  <c r="AJ240" i="18"/>
  <c r="A241" i="18"/>
  <c r="AB240" i="18"/>
  <c r="K240" i="18"/>
  <c r="AK240" i="18"/>
  <c r="AC240" i="18"/>
  <c r="O240" i="18"/>
  <c r="S242" i="1" l="1"/>
  <c r="R242" i="1" s="1"/>
  <c r="P242" i="1" s="1"/>
  <c r="V242" i="1" s="1"/>
  <c r="F242" i="1" s="1"/>
  <c r="V241" i="1"/>
  <c r="D27" i="7"/>
  <c r="F241" i="1"/>
  <c r="D237" i="17"/>
  <c r="L238" i="17"/>
  <c r="A239" i="17"/>
  <c r="AJ238" i="17"/>
  <c r="X238" i="17"/>
  <c r="AB238" i="17"/>
  <c r="K238" i="17"/>
  <c r="AK238" i="17"/>
  <c r="O238" i="17"/>
  <c r="AC238" i="17"/>
  <c r="T243" i="1"/>
  <c r="E243" i="1"/>
  <c r="G240" i="1"/>
  <c r="BW240" i="6" s="1"/>
  <c r="AA240" i="1"/>
  <c r="Z240" i="1" s="1"/>
  <c r="Y240" i="1" s="1"/>
  <c r="I240" i="1"/>
  <c r="AB241" i="18"/>
  <c r="A242" i="18"/>
  <c r="K241" i="18"/>
  <c r="AJ241" i="18"/>
  <c r="L241" i="18"/>
  <c r="X241" i="18"/>
  <c r="A75" i="7"/>
  <c r="AK241" i="18"/>
  <c r="O241" i="18"/>
  <c r="C75" i="7" s="1"/>
  <c r="AC241" i="18"/>
  <c r="AB234" i="24"/>
  <c r="L234" i="24"/>
  <c r="K234" i="24"/>
  <c r="AK234" i="24"/>
  <c r="X234" i="24"/>
  <c r="A235" i="24"/>
  <c r="AJ234" i="24"/>
  <c r="AC234" i="24"/>
  <c r="O234" i="24"/>
  <c r="E237" i="17"/>
  <c r="A236" i="23"/>
  <c r="L235" i="23"/>
  <c r="AJ235" i="23"/>
  <c r="X235" i="23"/>
  <c r="AB235" i="23"/>
  <c r="K235" i="23"/>
  <c r="AK235" i="23"/>
  <c r="AC235" i="23"/>
  <c r="O235" i="23"/>
  <c r="X237" i="20"/>
  <c r="K237" i="20"/>
  <c r="L237" i="20"/>
  <c r="AK237" i="20"/>
  <c r="AB237" i="20"/>
  <c r="A238" i="20"/>
  <c r="AJ237" i="20"/>
  <c r="AC237" i="20"/>
  <c r="O237" i="20"/>
  <c r="AB244" i="1"/>
  <c r="A245" i="1"/>
  <c r="X244" i="1"/>
  <c r="AC244" i="1"/>
  <c r="U244" i="1"/>
  <c r="K244" i="1"/>
  <c r="L244" i="1"/>
  <c r="AJ244" i="1"/>
  <c r="AK244" i="1"/>
  <c r="O244" i="1"/>
  <c r="Q244" i="1"/>
  <c r="D236" i="16"/>
  <c r="E236" i="16" s="1"/>
  <c r="AB237" i="16"/>
  <c r="A238" i="16"/>
  <c r="AJ237" i="16"/>
  <c r="X237" i="16"/>
  <c r="K237" i="16"/>
  <c r="L237" i="16"/>
  <c r="AK237" i="16"/>
  <c r="AC237" i="16"/>
  <c r="O237" i="16"/>
  <c r="AB236" i="22"/>
  <c r="X236" i="22"/>
  <c r="A237" i="22"/>
  <c r="AK236" i="22"/>
  <c r="L236" i="22"/>
  <c r="K236" i="22"/>
  <c r="AJ236" i="22"/>
  <c r="AC236" i="22"/>
  <c r="O236" i="22"/>
  <c r="A234" i="25"/>
  <c r="X233" i="25"/>
  <c r="AJ233" i="25"/>
  <c r="AB233" i="25"/>
  <c r="K233" i="25"/>
  <c r="L233" i="25"/>
  <c r="AK233" i="25"/>
  <c r="AC233" i="25"/>
  <c r="O233" i="25"/>
  <c r="D242" i="15"/>
  <c r="E242" i="15" s="1"/>
  <c r="A244" i="15"/>
  <c r="L243" i="15"/>
  <c r="D243" i="15" s="1"/>
  <c r="X243" i="15"/>
  <c r="AB243" i="15"/>
  <c r="K243" i="15"/>
  <c r="AK243" i="15"/>
  <c r="AJ243" i="15"/>
  <c r="AC243" i="15"/>
  <c r="O243" i="15"/>
  <c r="G242" i="1" l="1"/>
  <c r="BW242" i="6" s="1"/>
  <c r="I242" i="1"/>
  <c r="AA242" i="1"/>
  <c r="Z242" i="1" s="1"/>
  <c r="Y242" i="1" s="1"/>
  <c r="E243" i="15"/>
  <c r="AB244" i="15"/>
  <c r="L244" i="15"/>
  <c r="X244" i="15"/>
  <c r="A245" i="15"/>
  <c r="AK244" i="15"/>
  <c r="K244" i="15"/>
  <c r="AJ244" i="15"/>
  <c r="O244" i="15"/>
  <c r="AC244" i="15"/>
  <c r="K234" i="25"/>
  <c r="AB234" i="25"/>
  <c r="X234" i="25"/>
  <c r="AK234" i="25"/>
  <c r="L234" i="25"/>
  <c r="A235" i="25"/>
  <c r="AJ234" i="25"/>
  <c r="AC234" i="25"/>
  <c r="O234" i="25"/>
  <c r="D237" i="16"/>
  <c r="E237" i="16" s="1"/>
  <c r="L238" i="16"/>
  <c r="AB238" i="16"/>
  <c r="AJ238" i="16"/>
  <c r="A239" i="16"/>
  <c r="X238" i="16"/>
  <c r="K238" i="16"/>
  <c r="AK238" i="16"/>
  <c r="AC238" i="16"/>
  <c r="O238" i="16"/>
  <c r="D244" i="1"/>
  <c r="E244" i="1" s="1"/>
  <c r="T244" i="1"/>
  <c r="L238" i="20"/>
  <c r="K238" i="20"/>
  <c r="AJ238" i="20"/>
  <c r="X238" i="20"/>
  <c r="A239" i="20"/>
  <c r="AB238" i="20"/>
  <c r="AK238" i="20"/>
  <c r="AC238" i="20"/>
  <c r="O238" i="20"/>
  <c r="AB236" i="23"/>
  <c r="L236" i="23"/>
  <c r="AJ236" i="23"/>
  <c r="A237" i="23"/>
  <c r="X236" i="23"/>
  <c r="K236" i="23"/>
  <c r="AK236" i="23"/>
  <c r="AC236" i="23"/>
  <c r="O236" i="23"/>
  <c r="A243" i="18"/>
  <c r="X242" i="18"/>
  <c r="AJ242" i="18"/>
  <c r="AB242" i="18"/>
  <c r="L242" i="18"/>
  <c r="K242" i="18"/>
  <c r="AK242" i="18"/>
  <c r="O242" i="18"/>
  <c r="AC242" i="18"/>
  <c r="S243" i="1"/>
  <c r="R243" i="1" s="1"/>
  <c r="P243" i="1" s="1"/>
  <c r="V243" i="1" s="1"/>
  <c r="F243" i="1" s="1"/>
  <c r="D238" i="17"/>
  <c r="E238" i="17" s="1"/>
  <c r="A238" i="22"/>
  <c r="AB237" i="22"/>
  <c r="X237" i="22"/>
  <c r="AK237" i="22"/>
  <c r="L237" i="22"/>
  <c r="K237" i="22"/>
  <c r="AJ237" i="22"/>
  <c r="AC237" i="22"/>
  <c r="O237" i="22"/>
  <c r="Q245" i="1"/>
  <c r="AJ245" i="1"/>
  <c r="A246" i="1"/>
  <c r="AK245" i="1"/>
  <c r="U245" i="1"/>
  <c r="L245" i="1"/>
  <c r="D245" i="1" s="1"/>
  <c r="O245" i="1"/>
  <c r="AC245" i="1"/>
  <c r="K245" i="1"/>
  <c r="AB245" i="1"/>
  <c r="X245" i="1"/>
  <c r="A236" i="24"/>
  <c r="X235" i="24"/>
  <c r="AJ235" i="24"/>
  <c r="L235" i="24"/>
  <c r="K235" i="24"/>
  <c r="AB235" i="24"/>
  <c r="AK235" i="24"/>
  <c r="AC235" i="24"/>
  <c r="O235" i="24"/>
  <c r="B75" i="7"/>
  <c r="K239" i="17"/>
  <c r="L239" i="17"/>
  <c r="D239" i="17" s="1"/>
  <c r="AJ239" i="17"/>
  <c r="A240" i="17"/>
  <c r="AB239" i="17"/>
  <c r="X239" i="17"/>
  <c r="AK239" i="17"/>
  <c r="O239" i="17"/>
  <c r="AC239" i="17"/>
  <c r="G241" i="1"/>
  <c r="BW241" i="6" s="1"/>
  <c r="I241" i="1"/>
  <c r="AA241" i="1"/>
  <c r="Z241" i="1" s="1"/>
  <c r="Y241" i="1" s="1"/>
  <c r="E239" i="17" l="1"/>
  <c r="E245" i="1"/>
  <c r="G243" i="1"/>
  <c r="BW243" i="6" s="1"/>
  <c r="I243" i="1"/>
  <c r="AA243" i="1"/>
  <c r="Z243" i="1" s="1"/>
  <c r="Y243" i="1" s="1"/>
  <c r="A241" i="17"/>
  <c r="K240" i="17"/>
  <c r="X240" i="17"/>
  <c r="AK240" i="17"/>
  <c r="AB240" i="17"/>
  <c r="L240" i="17"/>
  <c r="D240" i="17" s="1"/>
  <c r="AJ240" i="17"/>
  <c r="O240" i="17"/>
  <c r="E240" i="17" s="1"/>
  <c r="AC240" i="17"/>
  <c r="A237" i="24"/>
  <c r="AB236" i="24"/>
  <c r="X236" i="24"/>
  <c r="AK236" i="24"/>
  <c r="L236" i="24"/>
  <c r="K236" i="24"/>
  <c r="AJ236" i="24"/>
  <c r="AC236" i="24"/>
  <c r="O236" i="24"/>
  <c r="T245" i="1"/>
  <c r="AJ246" i="1"/>
  <c r="X246" i="1"/>
  <c r="K246" i="1"/>
  <c r="AC246" i="1"/>
  <c r="L246" i="1"/>
  <c r="U246" i="1"/>
  <c r="AK246" i="1"/>
  <c r="Q246" i="1"/>
  <c r="O246" i="1"/>
  <c r="A247" i="1"/>
  <c r="AB246" i="1"/>
  <c r="A239" i="22"/>
  <c r="K238" i="22"/>
  <c r="X238" i="22"/>
  <c r="AK238" i="22"/>
  <c r="L238" i="22"/>
  <c r="AB238" i="22"/>
  <c r="AJ238" i="22"/>
  <c r="AC238" i="22"/>
  <c r="O238" i="22"/>
  <c r="AB237" i="23"/>
  <c r="L237" i="23"/>
  <c r="AJ237" i="23"/>
  <c r="K237" i="23"/>
  <c r="A238" i="23"/>
  <c r="X237" i="23"/>
  <c r="AK237" i="23"/>
  <c r="AC237" i="23"/>
  <c r="O237" i="23"/>
  <c r="S244" i="1"/>
  <c r="R244" i="1" s="1"/>
  <c r="P244" i="1" s="1"/>
  <c r="V244" i="1" s="1"/>
  <c r="F244" i="1" s="1"/>
  <c r="D238" i="16"/>
  <c r="E238" i="16" s="1"/>
  <c r="X235" i="25"/>
  <c r="A236" i="25"/>
  <c r="AJ235" i="25"/>
  <c r="K235" i="25"/>
  <c r="L235" i="25"/>
  <c r="AB235" i="25"/>
  <c r="AK235" i="25"/>
  <c r="AC235" i="25"/>
  <c r="O235" i="25"/>
  <c r="AK245" i="15"/>
  <c r="A246" i="15"/>
  <c r="AJ245" i="15"/>
  <c r="K245" i="15"/>
  <c r="L245" i="15"/>
  <c r="D245" i="15" s="1"/>
  <c r="AB245" i="15"/>
  <c r="X245" i="15"/>
  <c r="AC245" i="15"/>
  <c r="O245" i="15"/>
  <c r="E245" i="15" s="1"/>
  <c r="D244" i="15"/>
  <c r="E244" i="15" s="1"/>
  <c r="AB243" i="18"/>
  <c r="L243" i="18"/>
  <c r="AJ243" i="18"/>
  <c r="X243" i="18"/>
  <c r="K243" i="18"/>
  <c r="A244" i="18"/>
  <c r="AK243" i="18"/>
  <c r="O243" i="18"/>
  <c r="AC243" i="18"/>
  <c r="X239" i="20"/>
  <c r="L239" i="20"/>
  <c r="K239" i="20"/>
  <c r="AK239" i="20"/>
  <c r="AB239" i="20"/>
  <c r="A240" i="20"/>
  <c r="AJ239" i="20"/>
  <c r="AC239" i="20"/>
  <c r="O239" i="20"/>
  <c r="K239" i="16"/>
  <c r="L239" i="16"/>
  <c r="AB239" i="16"/>
  <c r="AK239" i="16"/>
  <c r="X239" i="16"/>
  <c r="A240" i="16"/>
  <c r="AJ239" i="16"/>
  <c r="AC239" i="16"/>
  <c r="O239" i="16"/>
  <c r="I244" i="1" l="1"/>
  <c r="AA244" i="1"/>
  <c r="Z244" i="1" s="1"/>
  <c r="Y244" i="1" s="1"/>
  <c r="G244" i="1"/>
  <c r="BW244" i="6" s="1"/>
  <c r="A241" i="16"/>
  <c r="X240" i="16"/>
  <c r="AJ240" i="16"/>
  <c r="K240" i="16"/>
  <c r="L240" i="16"/>
  <c r="AB240" i="16"/>
  <c r="AK240" i="16"/>
  <c r="AC240" i="16"/>
  <c r="O240" i="16"/>
  <c r="D239" i="16"/>
  <c r="E239" i="16" s="1"/>
  <c r="A245" i="18"/>
  <c r="X244" i="18"/>
  <c r="L244" i="18"/>
  <c r="AK244" i="18"/>
  <c r="AB244" i="18"/>
  <c r="K244" i="18"/>
  <c r="AJ244" i="18"/>
  <c r="O244" i="18"/>
  <c r="AC244" i="18"/>
  <c r="L246" i="15"/>
  <c r="D246" i="15" s="1"/>
  <c r="K246" i="15"/>
  <c r="A247" i="15"/>
  <c r="AJ246" i="15"/>
  <c r="AB246" i="15"/>
  <c r="AK246" i="15"/>
  <c r="X246" i="15"/>
  <c r="AC246" i="15"/>
  <c r="O246" i="15"/>
  <c r="E246" i="15" s="1"/>
  <c r="K236" i="25"/>
  <c r="AB236" i="25"/>
  <c r="A237" i="25"/>
  <c r="AK236" i="25"/>
  <c r="X236" i="25"/>
  <c r="L236" i="25"/>
  <c r="AJ236" i="25"/>
  <c r="AC236" i="25"/>
  <c r="O236" i="25"/>
  <c r="L247" i="1"/>
  <c r="AJ247" i="1"/>
  <c r="AC247" i="1"/>
  <c r="Q247" i="1"/>
  <c r="X247" i="1"/>
  <c r="U247" i="1"/>
  <c r="AK247" i="1"/>
  <c r="AB247" i="1"/>
  <c r="A248" i="1"/>
  <c r="O247" i="1"/>
  <c r="K247" i="1"/>
  <c r="T246" i="1"/>
  <c r="S245" i="1"/>
  <c r="R245" i="1" s="1"/>
  <c r="P245" i="1" s="1"/>
  <c r="V245" i="1" s="1"/>
  <c r="F245" i="1" s="1"/>
  <c r="AB237" i="24"/>
  <c r="A238" i="24"/>
  <c r="K237" i="24"/>
  <c r="AK237" i="24"/>
  <c r="X237" i="24"/>
  <c r="L237" i="24"/>
  <c r="AJ237" i="24"/>
  <c r="AC237" i="24"/>
  <c r="O237" i="24"/>
  <c r="AB240" i="20"/>
  <c r="A241" i="20"/>
  <c r="K240" i="20"/>
  <c r="AK240" i="20"/>
  <c r="X240" i="20"/>
  <c r="L240" i="20"/>
  <c r="AJ240" i="20"/>
  <c r="AC240" i="20"/>
  <c r="O240" i="20"/>
  <c r="A239" i="23"/>
  <c r="AB238" i="23"/>
  <c r="X238" i="23"/>
  <c r="AK238" i="23"/>
  <c r="L238" i="23"/>
  <c r="K238" i="23"/>
  <c r="AJ238" i="23"/>
  <c r="AC238" i="23"/>
  <c r="O238" i="23"/>
  <c r="X239" i="22"/>
  <c r="K239" i="22"/>
  <c r="AJ239" i="22"/>
  <c r="A240" i="22"/>
  <c r="AB239" i="22"/>
  <c r="L239" i="22"/>
  <c r="AK239" i="22"/>
  <c r="AC239" i="22"/>
  <c r="O239" i="22"/>
  <c r="D246" i="1"/>
  <c r="E246" i="1" s="1"/>
  <c r="A63" i="7"/>
  <c r="L241" i="17"/>
  <c r="A242" i="17"/>
  <c r="AJ241" i="17"/>
  <c r="K241" i="17"/>
  <c r="X241" i="17"/>
  <c r="AB241" i="17"/>
  <c r="AK241" i="17"/>
  <c r="O241" i="17"/>
  <c r="C63" i="7" s="1"/>
  <c r="AC241" i="17"/>
  <c r="I245" i="1" l="1"/>
  <c r="G245" i="1"/>
  <c r="BW245" i="6" s="1"/>
  <c r="AA245" i="1"/>
  <c r="Z245" i="1" s="1"/>
  <c r="Y245" i="1" s="1"/>
  <c r="A243" i="17"/>
  <c r="AB242" i="17"/>
  <c r="AJ242" i="17"/>
  <c r="K242" i="17"/>
  <c r="X242" i="17"/>
  <c r="L242" i="17"/>
  <c r="D242" i="17" s="1"/>
  <c r="AK242" i="17"/>
  <c r="O242" i="17"/>
  <c r="E242" i="17" s="1"/>
  <c r="AC242" i="17"/>
  <c r="X240" i="22"/>
  <c r="A241" i="22"/>
  <c r="AB240" i="22"/>
  <c r="AK240" i="22"/>
  <c r="K240" i="22"/>
  <c r="L240" i="22"/>
  <c r="AJ240" i="22"/>
  <c r="AC240" i="22"/>
  <c r="O240" i="22"/>
  <c r="A239" i="24"/>
  <c r="X238" i="24"/>
  <c r="L238" i="24"/>
  <c r="AK238" i="24"/>
  <c r="K238" i="24"/>
  <c r="AB238" i="24"/>
  <c r="AJ238" i="24"/>
  <c r="AC238" i="24"/>
  <c r="O238" i="24"/>
  <c r="T247" i="1"/>
  <c r="X247" i="15"/>
  <c r="L247" i="15"/>
  <c r="AK247" i="15"/>
  <c r="AB247" i="15"/>
  <c r="K247" i="15"/>
  <c r="A248" i="15"/>
  <c r="AJ247" i="15"/>
  <c r="O247" i="15"/>
  <c r="AC247" i="15"/>
  <c r="D240" i="16"/>
  <c r="E240" i="16" s="1"/>
  <c r="AB241" i="16"/>
  <c r="L241" i="16"/>
  <c r="A51" i="7"/>
  <c r="AJ241" i="16"/>
  <c r="K241" i="16"/>
  <c r="X241" i="16"/>
  <c r="A242" i="16"/>
  <c r="AK241" i="16"/>
  <c r="AC241" i="16"/>
  <c r="O241" i="16"/>
  <c r="C51" i="7" s="1"/>
  <c r="B63" i="7"/>
  <c r="D241" i="17"/>
  <c r="E241" i="17" s="1"/>
  <c r="X239" i="23"/>
  <c r="K239" i="23"/>
  <c r="L239" i="23"/>
  <c r="AK239" i="23"/>
  <c r="A240" i="23"/>
  <c r="AB239" i="23"/>
  <c r="AJ239" i="23"/>
  <c r="AC239" i="23"/>
  <c r="O239" i="23"/>
  <c r="A242" i="20"/>
  <c r="X241" i="20"/>
  <c r="L241" i="20"/>
  <c r="AJ241" i="20"/>
  <c r="AE27" i="7"/>
  <c r="AB241" i="20"/>
  <c r="K241" i="20"/>
  <c r="AK241" i="20"/>
  <c r="AC241" i="20"/>
  <c r="O241" i="20"/>
  <c r="AG27" i="7" s="1"/>
  <c r="S246" i="1"/>
  <c r="R246" i="1" s="1"/>
  <c r="P246" i="1" s="1"/>
  <c r="V246" i="1" s="1"/>
  <c r="F246" i="1" s="1"/>
  <c r="Q248" i="1"/>
  <c r="O248" i="1"/>
  <c r="X248" i="1"/>
  <c r="L248" i="1"/>
  <c r="D248" i="1" s="1"/>
  <c r="K248" i="1"/>
  <c r="U248" i="1"/>
  <c r="AJ248" i="1"/>
  <c r="AB248" i="1"/>
  <c r="AK248" i="1"/>
  <c r="A249" i="1"/>
  <c r="AC248" i="1"/>
  <c r="D247" i="1"/>
  <c r="E247" i="1" s="1"/>
  <c r="X237" i="25"/>
  <c r="K237" i="25"/>
  <c r="AB237" i="25"/>
  <c r="AK237" i="25"/>
  <c r="A238" i="25"/>
  <c r="L237" i="25"/>
  <c r="AJ237" i="25"/>
  <c r="AC237" i="25"/>
  <c r="O237" i="25"/>
  <c r="L245" i="18"/>
  <c r="AB245" i="18"/>
  <c r="X245" i="18"/>
  <c r="AK245" i="18"/>
  <c r="K245" i="18"/>
  <c r="A246" i="18"/>
  <c r="AJ245" i="18"/>
  <c r="O245" i="18"/>
  <c r="AC245" i="18"/>
  <c r="X249" i="1" l="1"/>
  <c r="K249" i="1"/>
  <c r="L249" i="1"/>
  <c r="D249" i="1" s="1"/>
  <c r="A250" i="1"/>
  <c r="AJ249" i="1"/>
  <c r="U249" i="1"/>
  <c r="AC249" i="1"/>
  <c r="AB249" i="1"/>
  <c r="AK249" i="1"/>
  <c r="O249" i="1"/>
  <c r="Q249" i="1"/>
  <c r="T248" i="1"/>
  <c r="E248" i="1"/>
  <c r="I246" i="1"/>
  <c r="G246" i="1"/>
  <c r="BW246" i="6" s="1"/>
  <c r="AA246" i="1"/>
  <c r="Z246" i="1" s="1"/>
  <c r="Y246" i="1" s="1"/>
  <c r="AF27" i="7"/>
  <c r="X242" i="20"/>
  <c r="L242" i="20"/>
  <c r="AJ242" i="20"/>
  <c r="AB242" i="20"/>
  <c r="K242" i="20"/>
  <c r="A243" i="20"/>
  <c r="AK242" i="20"/>
  <c r="AC242" i="20"/>
  <c r="O242" i="20"/>
  <c r="X242" i="16"/>
  <c r="L242" i="16"/>
  <c r="AJ242" i="16"/>
  <c r="AB242" i="16"/>
  <c r="K242" i="16"/>
  <c r="A243" i="16"/>
  <c r="AK242" i="16"/>
  <c r="AC242" i="16"/>
  <c r="O242" i="16"/>
  <c r="S247" i="1"/>
  <c r="R247" i="1" s="1"/>
  <c r="P247" i="1" s="1"/>
  <c r="V247" i="1" s="1"/>
  <c r="F247" i="1" s="1"/>
  <c r="K241" i="22"/>
  <c r="X241" i="22"/>
  <c r="A242" i="22"/>
  <c r="AK241" i="22"/>
  <c r="AE39" i="7"/>
  <c r="L241" i="22"/>
  <c r="AB241" i="22"/>
  <c r="AJ241" i="22"/>
  <c r="AC241" i="22"/>
  <c r="O241" i="22"/>
  <c r="AG39" i="7" s="1"/>
  <c r="AB243" i="17"/>
  <c r="L243" i="17"/>
  <c r="D243" i="17" s="1"/>
  <c r="AJ243" i="17"/>
  <c r="X243" i="17"/>
  <c r="A244" i="17"/>
  <c r="K243" i="17"/>
  <c r="AK243" i="17"/>
  <c r="O243" i="17"/>
  <c r="E243" i="17" s="1"/>
  <c r="AC243" i="17"/>
  <c r="K246" i="18"/>
  <c r="A247" i="18"/>
  <c r="X246" i="18"/>
  <c r="AK246" i="18"/>
  <c r="AB246" i="18"/>
  <c r="L246" i="18"/>
  <c r="AJ246" i="18"/>
  <c r="AC246" i="18"/>
  <c r="O246" i="18"/>
  <c r="A239" i="25"/>
  <c r="L238" i="25"/>
  <c r="K238" i="25"/>
  <c r="AK238" i="25"/>
  <c r="AB238" i="25"/>
  <c r="X238" i="25"/>
  <c r="AJ238" i="25"/>
  <c r="AC238" i="25"/>
  <c r="O238" i="25"/>
  <c r="K240" i="23"/>
  <c r="L240" i="23"/>
  <c r="A241" i="23"/>
  <c r="AK240" i="23"/>
  <c r="X240" i="23"/>
  <c r="AB240" i="23"/>
  <c r="AJ240" i="23"/>
  <c r="AC240" i="23"/>
  <c r="O240" i="23"/>
  <c r="D241" i="16"/>
  <c r="E241" i="16" s="1"/>
  <c r="B51" i="7"/>
  <c r="AB248" i="15"/>
  <c r="A249" i="15"/>
  <c r="AK248" i="15"/>
  <c r="AJ248" i="15"/>
  <c r="L248" i="15"/>
  <c r="K248" i="15"/>
  <c r="X248" i="15"/>
  <c r="AC248" i="15"/>
  <c r="O248" i="15"/>
  <c r="D247" i="15"/>
  <c r="E247" i="15" s="1"/>
  <c r="AB239" i="24"/>
  <c r="X239" i="24"/>
  <c r="L239" i="24"/>
  <c r="AK239" i="24"/>
  <c r="K239" i="24"/>
  <c r="A240" i="24"/>
  <c r="AJ239" i="24"/>
  <c r="AC239" i="24"/>
  <c r="O239" i="24"/>
  <c r="E249" i="1" l="1"/>
  <c r="I247" i="1"/>
  <c r="AA247" i="1"/>
  <c r="Z247" i="1" s="1"/>
  <c r="Y247" i="1" s="1"/>
  <c r="G247" i="1"/>
  <c r="BW247" i="6" s="1"/>
  <c r="AB240" i="24"/>
  <c r="L240" i="24"/>
  <c r="A241" i="24"/>
  <c r="AK240" i="24"/>
  <c r="X240" i="24"/>
  <c r="K240" i="24"/>
  <c r="AJ240" i="24"/>
  <c r="AC240" i="24"/>
  <c r="O240" i="24"/>
  <c r="K249" i="15"/>
  <c r="A250" i="15"/>
  <c r="X249" i="15"/>
  <c r="L249" i="15"/>
  <c r="D249" i="15" s="1"/>
  <c r="AB249" i="15"/>
  <c r="AK249" i="15"/>
  <c r="AJ249" i="15"/>
  <c r="AC249" i="15"/>
  <c r="O249" i="15"/>
  <c r="A242" i="23"/>
  <c r="X241" i="23"/>
  <c r="K241" i="23"/>
  <c r="AJ241" i="23"/>
  <c r="AE51" i="7"/>
  <c r="L241" i="23"/>
  <c r="AB241" i="23"/>
  <c r="AK241" i="23"/>
  <c r="AC241" i="23"/>
  <c r="O241" i="23"/>
  <c r="AG51" i="7" s="1"/>
  <c r="AB239" i="25"/>
  <c r="X239" i="25"/>
  <c r="L239" i="25"/>
  <c r="AK239" i="25"/>
  <c r="A240" i="25"/>
  <c r="K239" i="25"/>
  <c r="AJ239" i="25"/>
  <c r="AC239" i="25"/>
  <c r="O239" i="25"/>
  <c r="K244" i="17"/>
  <c r="A245" i="17"/>
  <c r="AB244" i="17"/>
  <c r="AK244" i="17"/>
  <c r="X244" i="17"/>
  <c r="L244" i="17"/>
  <c r="AJ244" i="17"/>
  <c r="O244" i="17"/>
  <c r="AC244" i="17"/>
  <c r="X242" i="22"/>
  <c r="L242" i="22"/>
  <c r="AJ242" i="22"/>
  <c r="A243" i="22"/>
  <c r="AB242" i="22"/>
  <c r="K242" i="22"/>
  <c r="AK242" i="22"/>
  <c r="AC242" i="22"/>
  <c r="O242" i="22"/>
  <c r="S248" i="1"/>
  <c r="R248" i="1" s="1"/>
  <c r="P248" i="1" s="1"/>
  <c r="V248" i="1" s="1"/>
  <c r="F248" i="1" s="1"/>
  <c r="T249" i="1"/>
  <c r="X250" i="1"/>
  <c r="AK250" i="1"/>
  <c r="K250" i="1"/>
  <c r="L250" i="1"/>
  <c r="A251" i="1"/>
  <c r="Q250" i="1"/>
  <c r="AC250" i="1"/>
  <c r="O250" i="1"/>
  <c r="AB250" i="1"/>
  <c r="AJ250" i="1"/>
  <c r="U250" i="1"/>
  <c r="D248" i="15"/>
  <c r="E248" i="15" s="1"/>
  <c r="K247" i="18"/>
  <c r="AB247" i="18"/>
  <c r="AJ247" i="18"/>
  <c r="X247" i="18"/>
  <c r="L247" i="18"/>
  <c r="A248" i="18"/>
  <c r="AK247" i="18"/>
  <c r="O247" i="18"/>
  <c r="AC247" i="18"/>
  <c r="AF39" i="7"/>
  <c r="A244" i="16"/>
  <c r="K243" i="16"/>
  <c r="AJ243" i="16"/>
  <c r="AB243" i="16"/>
  <c r="L243" i="16"/>
  <c r="X243" i="16"/>
  <c r="AK243" i="16"/>
  <c r="AC243" i="16"/>
  <c r="O243" i="16"/>
  <c r="D242" i="16"/>
  <c r="E242" i="16" s="1"/>
  <c r="AB243" i="20"/>
  <c r="X243" i="20"/>
  <c r="AJ243" i="20"/>
  <c r="K243" i="20"/>
  <c r="L243" i="20"/>
  <c r="A244" i="20"/>
  <c r="AK243" i="20"/>
  <c r="AC243" i="20"/>
  <c r="O243" i="20"/>
  <c r="E249" i="15" l="1"/>
  <c r="X244" i="20"/>
  <c r="K244" i="20"/>
  <c r="AB244" i="20"/>
  <c r="AK244" i="20"/>
  <c r="L244" i="20"/>
  <c r="A245" i="20"/>
  <c r="AJ244" i="20"/>
  <c r="AC244" i="20"/>
  <c r="O244" i="20"/>
  <c r="D243" i="16"/>
  <c r="E243" i="16" s="1"/>
  <c r="AB244" i="16"/>
  <c r="L244" i="16"/>
  <c r="AJ244" i="16"/>
  <c r="A245" i="16"/>
  <c r="K244" i="16"/>
  <c r="X244" i="16"/>
  <c r="AK244" i="16"/>
  <c r="AC244" i="16"/>
  <c r="O244" i="16"/>
  <c r="L248" i="18"/>
  <c r="AB248" i="18"/>
  <c r="AJ248" i="18"/>
  <c r="A249" i="18"/>
  <c r="K248" i="18"/>
  <c r="X248" i="18"/>
  <c r="AK248" i="18"/>
  <c r="O248" i="18"/>
  <c r="AC248" i="18"/>
  <c r="D250" i="1"/>
  <c r="E250" i="1" s="1"/>
  <c r="G248" i="1"/>
  <c r="BW248" i="6" s="1"/>
  <c r="I248" i="1"/>
  <c r="AA248" i="1"/>
  <c r="Z248" i="1" s="1"/>
  <c r="Y248" i="1" s="1"/>
  <c r="L243" i="22"/>
  <c r="A244" i="22"/>
  <c r="AJ243" i="22"/>
  <c r="K243" i="22"/>
  <c r="X243" i="22"/>
  <c r="AB243" i="22"/>
  <c r="AK243" i="22"/>
  <c r="AC243" i="22"/>
  <c r="O243" i="22"/>
  <c r="AB240" i="25"/>
  <c r="K240" i="25"/>
  <c r="AJ240" i="25"/>
  <c r="A241" i="25"/>
  <c r="X240" i="25"/>
  <c r="L240" i="25"/>
  <c r="AK240" i="25"/>
  <c r="AC240" i="25"/>
  <c r="O240" i="25"/>
  <c r="AF51" i="7"/>
  <c r="X250" i="15"/>
  <c r="A251" i="15"/>
  <c r="AK250" i="15"/>
  <c r="L250" i="15"/>
  <c r="AB250" i="15"/>
  <c r="K250" i="15"/>
  <c r="AJ250" i="15"/>
  <c r="AC250" i="15"/>
  <c r="O250" i="15"/>
  <c r="AB241" i="24"/>
  <c r="AE63" i="7"/>
  <c r="A242" i="24"/>
  <c r="AJ241" i="24"/>
  <c r="L241" i="24"/>
  <c r="X241" i="24"/>
  <c r="K241" i="24"/>
  <c r="AK241" i="24"/>
  <c r="AC241" i="24"/>
  <c r="O241" i="24"/>
  <c r="AG63" i="7" s="1"/>
  <c r="T250" i="1"/>
  <c r="L251" i="1"/>
  <c r="AK251" i="1"/>
  <c r="AJ251" i="1"/>
  <c r="X251" i="1"/>
  <c r="K251" i="1"/>
  <c r="O251" i="1"/>
  <c r="AC251" i="1"/>
  <c r="AB251" i="1"/>
  <c r="Q251" i="1"/>
  <c r="A252" i="1"/>
  <c r="U251" i="1"/>
  <c r="S249" i="1"/>
  <c r="R249" i="1" s="1"/>
  <c r="P249" i="1" s="1"/>
  <c r="V249" i="1" s="1"/>
  <c r="F249" i="1" s="1"/>
  <c r="D244" i="17"/>
  <c r="E244" i="17" s="1"/>
  <c r="X245" i="17"/>
  <c r="K245" i="17"/>
  <c r="A246" i="17"/>
  <c r="AK245" i="17"/>
  <c r="L245" i="17"/>
  <c r="AB245" i="17"/>
  <c r="AJ245" i="17"/>
  <c r="O245" i="17"/>
  <c r="AC245" i="17"/>
  <c r="K242" i="23"/>
  <c r="AB242" i="23"/>
  <c r="L242" i="23"/>
  <c r="AK242" i="23"/>
  <c r="A243" i="23"/>
  <c r="X242" i="23"/>
  <c r="AJ242" i="23"/>
  <c r="AC242" i="23"/>
  <c r="O242" i="23"/>
  <c r="D245" i="17" l="1"/>
  <c r="E245" i="17" s="1"/>
  <c r="X246" i="17"/>
  <c r="L246" i="17"/>
  <c r="D246" i="17" s="1"/>
  <c r="AJ246" i="17"/>
  <c r="A247" i="17"/>
  <c r="K246" i="17"/>
  <c r="AB246" i="17"/>
  <c r="AK246" i="17"/>
  <c r="O246" i="17"/>
  <c r="E246" i="17" s="1"/>
  <c r="AC246" i="17"/>
  <c r="A253" i="1"/>
  <c r="X252" i="1"/>
  <c r="Q252" i="1"/>
  <c r="K252" i="1"/>
  <c r="O252" i="1"/>
  <c r="AJ252" i="1"/>
  <c r="AB252" i="1"/>
  <c r="AC252" i="1"/>
  <c r="AK252" i="1"/>
  <c r="L252" i="1"/>
  <c r="U252" i="1"/>
  <c r="D250" i="15"/>
  <c r="E250" i="15" s="1"/>
  <c r="AB251" i="15"/>
  <c r="L251" i="15"/>
  <c r="AK251" i="15"/>
  <c r="K251" i="15"/>
  <c r="X251" i="15"/>
  <c r="A252" i="15"/>
  <c r="AJ251" i="15"/>
  <c r="AC251" i="15"/>
  <c r="O251" i="15"/>
  <c r="AB245" i="20"/>
  <c r="A246" i="20"/>
  <c r="X245" i="20"/>
  <c r="AK245" i="20"/>
  <c r="L245" i="20"/>
  <c r="K245" i="20"/>
  <c r="AJ245" i="20"/>
  <c r="AC245" i="20"/>
  <c r="O245" i="20"/>
  <c r="AB243" i="23"/>
  <c r="X243" i="23"/>
  <c r="AJ243" i="23"/>
  <c r="A244" i="23"/>
  <c r="K243" i="23"/>
  <c r="L243" i="23"/>
  <c r="AK243" i="23"/>
  <c r="AC243" i="23"/>
  <c r="O243" i="23"/>
  <c r="G249" i="1"/>
  <c r="BW249" i="6" s="1"/>
  <c r="AA249" i="1"/>
  <c r="Z249" i="1" s="1"/>
  <c r="Y249" i="1" s="1"/>
  <c r="I249" i="1"/>
  <c r="T251" i="1"/>
  <c r="D251" i="1"/>
  <c r="E251" i="1" s="1"/>
  <c r="S250" i="1"/>
  <c r="R250" i="1" s="1"/>
  <c r="P250" i="1" s="1"/>
  <c r="V250" i="1" s="1"/>
  <c r="F250" i="1" s="1"/>
  <c r="AF63" i="7"/>
  <c r="A243" i="24"/>
  <c r="L242" i="24"/>
  <c r="X242" i="24"/>
  <c r="AK242" i="24"/>
  <c r="K242" i="24"/>
  <c r="AB242" i="24"/>
  <c r="AJ242" i="24"/>
  <c r="AC242" i="24"/>
  <c r="O242" i="24"/>
  <c r="A242" i="25"/>
  <c r="AE75" i="7"/>
  <c r="AB241" i="25"/>
  <c r="AJ241" i="25"/>
  <c r="X241" i="25"/>
  <c r="L241" i="25"/>
  <c r="K241" i="25"/>
  <c r="AK241" i="25"/>
  <c r="AC241" i="25"/>
  <c r="O241" i="25"/>
  <c r="AG75" i="7" s="1"/>
  <c r="A245" i="22"/>
  <c r="AB244" i="22"/>
  <c r="L244" i="22"/>
  <c r="AK244" i="22"/>
  <c r="K244" i="22"/>
  <c r="X244" i="22"/>
  <c r="AJ244" i="22"/>
  <c r="AC244" i="22"/>
  <c r="O244" i="22"/>
  <c r="X249" i="18"/>
  <c r="L249" i="18"/>
  <c r="A250" i="18"/>
  <c r="AK249" i="18"/>
  <c r="AB249" i="18"/>
  <c r="K249" i="18"/>
  <c r="AJ249" i="18"/>
  <c r="O249" i="18"/>
  <c r="AC249" i="18"/>
  <c r="L245" i="16"/>
  <c r="K245" i="16"/>
  <c r="AJ245" i="16"/>
  <c r="X245" i="16"/>
  <c r="AB245" i="16"/>
  <c r="A246" i="16"/>
  <c r="AK245" i="16"/>
  <c r="AC245" i="16"/>
  <c r="O245" i="16"/>
  <c r="D244" i="16"/>
  <c r="E244" i="16" s="1"/>
  <c r="AA250" i="1" l="1"/>
  <c r="Z250" i="1" s="1"/>
  <c r="Y250" i="1" s="1"/>
  <c r="I250" i="1"/>
  <c r="G250" i="1"/>
  <c r="BW250" i="6" s="1"/>
  <c r="A247" i="16"/>
  <c r="L246" i="16"/>
  <c r="AB246" i="16"/>
  <c r="AK246" i="16"/>
  <c r="X246" i="16"/>
  <c r="K246" i="16"/>
  <c r="AJ246" i="16"/>
  <c r="AC246" i="16"/>
  <c r="O246" i="16"/>
  <c r="L250" i="18"/>
  <c r="A251" i="18"/>
  <c r="AJ250" i="18"/>
  <c r="K250" i="18"/>
  <c r="X250" i="18"/>
  <c r="AB250" i="18"/>
  <c r="AK250" i="18"/>
  <c r="AC250" i="18"/>
  <c r="O250" i="18"/>
  <c r="AB245" i="22"/>
  <c r="L245" i="22"/>
  <c r="A246" i="22"/>
  <c r="AK245" i="22"/>
  <c r="X245" i="22"/>
  <c r="K245" i="22"/>
  <c r="AJ245" i="22"/>
  <c r="AC245" i="22"/>
  <c r="O245" i="22"/>
  <c r="X242" i="25"/>
  <c r="L242" i="25"/>
  <c r="AJ242" i="25"/>
  <c r="A243" i="25"/>
  <c r="K242" i="25"/>
  <c r="AB242" i="25"/>
  <c r="AK242" i="25"/>
  <c r="AC242" i="25"/>
  <c r="O242" i="25"/>
  <c r="X243" i="24"/>
  <c r="AB243" i="24"/>
  <c r="L243" i="24"/>
  <c r="AK243" i="24"/>
  <c r="K243" i="24"/>
  <c r="A244" i="24"/>
  <c r="AJ243" i="24"/>
  <c r="AC243" i="24"/>
  <c r="O243" i="24"/>
  <c r="S251" i="1"/>
  <c r="R251" i="1" s="1"/>
  <c r="P251" i="1" s="1"/>
  <c r="V251" i="1" s="1"/>
  <c r="F251" i="1" s="1"/>
  <c r="L244" i="23"/>
  <c r="AB244" i="23"/>
  <c r="AJ244" i="23"/>
  <c r="A245" i="23"/>
  <c r="X244" i="23"/>
  <c r="K244" i="23"/>
  <c r="AK244" i="23"/>
  <c r="AC244" i="23"/>
  <c r="O244" i="23"/>
  <c r="D252" i="1"/>
  <c r="E252" i="1" s="1"/>
  <c r="D245" i="16"/>
  <c r="E245" i="16" s="1"/>
  <c r="AF75" i="7"/>
  <c r="K246" i="20"/>
  <c r="AB246" i="20"/>
  <c r="X246" i="20"/>
  <c r="AK246" i="20"/>
  <c r="A247" i="20"/>
  <c r="L246" i="20"/>
  <c r="AJ246" i="20"/>
  <c r="AC246" i="20"/>
  <c r="O246" i="20"/>
  <c r="L252" i="15"/>
  <c r="D252" i="15" s="1"/>
  <c r="X252" i="15"/>
  <c r="AK252" i="15"/>
  <c r="AJ252" i="15"/>
  <c r="AB252" i="15"/>
  <c r="K252" i="15"/>
  <c r="A253" i="15"/>
  <c r="O252" i="15"/>
  <c r="AC252" i="15"/>
  <c r="D251" i="15"/>
  <c r="E251" i="15" s="1"/>
  <c r="T252" i="1"/>
  <c r="AJ253" i="1"/>
  <c r="X253" i="1"/>
  <c r="AC253" i="1"/>
  <c r="O253" i="1"/>
  <c r="U253" i="1"/>
  <c r="AK253" i="1"/>
  <c r="A254" i="1"/>
  <c r="L253" i="1"/>
  <c r="AB253" i="1"/>
  <c r="Q253" i="1"/>
  <c r="K253" i="1"/>
  <c r="L247" i="17"/>
  <c r="K247" i="17"/>
  <c r="AJ247" i="17"/>
  <c r="X247" i="17"/>
  <c r="AB247" i="17"/>
  <c r="A248" i="17"/>
  <c r="AK247" i="17"/>
  <c r="O247" i="17"/>
  <c r="AC247" i="17"/>
  <c r="G251" i="1" l="1"/>
  <c r="BW251" i="6" s="1"/>
  <c r="AA251" i="1"/>
  <c r="Z251" i="1" s="1"/>
  <c r="Y251" i="1" s="1"/>
  <c r="I251" i="1"/>
  <c r="X253" i="15"/>
  <c r="AB253" i="15"/>
  <c r="A254" i="15"/>
  <c r="AK253" i="15"/>
  <c r="L253" i="15"/>
  <c r="K253" i="15"/>
  <c r="AJ253" i="15"/>
  <c r="AC253" i="15"/>
  <c r="O253" i="15"/>
  <c r="L244" i="24"/>
  <c r="K244" i="24"/>
  <c r="AJ244" i="24"/>
  <c r="AB244" i="24"/>
  <c r="X244" i="24"/>
  <c r="A245" i="24"/>
  <c r="AK244" i="24"/>
  <c r="AC244" i="24"/>
  <c r="O244" i="24"/>
  <c r="L243" i="25"/>
  <c r="K243" i="25"/>
  <c r="AJ243" i="25"/>
  <c r="X243" i="25"/>
  <c r="AB243" i="25"/>
  <c r="A244" i="25"/>
  <c r="AK243" i="25"/>
  <c r="AC243" i="25"/>
  <c r="O243" i="25"/>
  <c r="X246" i="22"/>
  <c r="AB246" i="22"/>
  <c r="L246" i="22"/>
  <c r="AK246" i="22"/>
  <c r="K246" i="22"/>
  <c r="A247" i="22"/>
  <c r="AJ246" i="22"/>
  <c r="AC246" i="22"/>
  <c r="O246" i="22"/>
  <c r="D246" i="16"/>
  <c r="E246" i="16" s="1"/>
  <c r="D247" i="17"/>
  <c r="D253" i="1"/>
  <c r="E253" i="1" s="1"/>
  <c r="S252" i="1"/>
  <c r="R252" i="1" s="1"/>
  <c r="P252" i="1" s="1"/>
  <c r="V252" i="1" s="1"/>
  <c r="F252" i="1" s="1"/>
  <c r="E247" i="17"/>
  <c r="A249" i="17"/>
  <c r="K248" i="17"/>
  <c r="AJ248" i="17"/>
  <c r="AB248" i="17"/>
  <c r="X248" i="17"/>
  <c r="L248" i="17"/>
  <c r="D248" i="17" s="1"/>
  <c r="AK248" i="17"/>
  <c r="O248" i="17"/>
  <c r="E248" i="17" s="1"/>
  <c r="AC248" i="17"/>
  <c r="Q254" i="1"/>
  <c r="AK254" i="1"/>
  <c r="L254" i="1"/>
  <c r="D254" i="1" s="1"/>
  <c r="AB254" i="1"/>
  <c r="X254" i="1"/>
  <c r="U254" i="1"/>
  <c r="AJ254" i="1"/>
  <c r="A255" i="1"/>
  <c r="AC254" i="1"/>
  <c r="K254" i="1"/>
  <c r="O254" i="1"/>
  <c r="T253" i="1"/>
  <c r="E252" i="15"/>
  <c r="A248" i="20"/>
  <c r="AB247" i="20"/>
  <c r="L247" i="20"/>
  <c r="AK247" i="20"/>
  <c r="K247" i="20"/>
  <c r="X247" i="20"/>
  <c r="AJ247" i="20"/>
  <c r="AC247" i="20"/>
  <c r="O247" i="20"/>
  <c r="K245" i="23"/>
  <c r="X245" i="23"/>
  <c r="AJ245" i="23"/>
  <c r="AB245" i="23"/>
  <c r="A246" i="23"/>
  <c r="L245" i="23"/>
  <c r="AK245" i="23"/>
  <c r="AC245" i="23"/>
  <c r="O245" i="23"/>
  <c r="K251" i="18"/>
  <c r="AB251" i="18"/>
  <c r="AJ251" i="18"/>
  <c r="A252" i="18"/>
  <c r="L251" i="18"/>
  <c r="X251" i="18"/>
  <c r="AK251" i="18"/>
  <c r="O251" i="18"/>
  <c r="AC251" i="18"/>
  <c r="L247" i="16"/>
  <c r="A248" i="16"/>
  <c r="K247" i="16"/>
  <c r="AK247" i="16"/>
  <c r="AB247" i="16"/>
  <c r="X247" i="16"/>
  <c r="AJ247" i="16"/>
  <c r="AC247" i="16"/>
  <c r="O247" i="16"/>
  <c r="AB248" i="16" l="1"/>
  <c r="L248" i="16"/>
  <c r="X248" i="16"/>
  <c r="AK248" i="16"/>
  <c r="K248" i="16"/>
  <c r="A249" i="16"/>
  <c r="AJ248" i="16"/>
  <c r="AC248" i="16"/>
  <c r="O248" i="16"/>
  <c r="A249" i="20"/>
  <c r="AB248" i="20"/>
  <c r="AJ248" i="20"/>
  <c r="X248" i="20"/>
  <c r="K248" i="20"/>
  <c r="L248" i="20"/>
  <c r="AK248" i="20"/>
  <c r="AC248" i="20"/>
  <c r="O248" i="20"/>
  <c r="AK255" i="1"/>
  <c r="O255" i="1"/>
  <c r="X255" i="1"/>
  <c r="L255" i="1"/>
  <c r="A256" i="1"/>
  <c r="U255" i="1"/>
  <c r="AJ255" i="1"/>
  <c r="Q255" i="1"/>
  <c r="AB255" i="1"/>
  <c r="AC255" i="1"/>
  <c r="K255" i="1"/>
  <c r="T254" i="1"/>
  <c r="K249" i="17"/>
  <c r="L249" i="17"/>
  <c r="D249" i="17" s="1"/>
  <c r="X249" i="17"/>
  <c r="AK249" i="17"/>
  <c r="A250" i="17"/>
  <c r="AB249" i="17"/>
  <c r="AJ249" i="17"/>
  <c r="O249" i="17"/>
  <c r="AC249" i="17"/>
  <c r="AA252" i="1"/>
  <c r="Z252" i="1" s="1"/>
  <c r="Y252" i="1" s="1"/>
  <c r="G252" i="1"/>
  <c r="BW252" i="6" s="1"/>
  <c r="I252" i="1"/>
  <c r="L245" i="24"/>
  <c r="A246" i="24"/>
  <c r="AJ245" i="24"/>
  <c r="K245" i="24"/>
  <c r="X245" i="24"/>
  <c r="AB245" i="24"/>
  <c r="AK245" i="24"/>
  <c r="AC245" i="24"/>
  <c r="O245" i="24"/>
  <c r="D253" i="15"/>
  <c r="E253" i="15" s="1"/>
  <c r="X254" i="15"/>
  <c r="L254" i="15"/>
  <c r="D254" i="15" s="1"/>
  <c r="A255" i="15"/>
  <c r="AJ254" i="15"/>
  <c r="AB254" i="15"/>
  <c r="K254" i="15"/>
  <c r="AK254" i="15"/>
  <c r="AC254" i="15"/>
  <c r="O254" i="15"/>
  <c r="D247" i="16"/>
  <c r="E247" i="16" s="1"/>
  <c r="AB252" i="18"/>
  <c r="A253" i="18"/>
  <c r="X252" i="18"/>
  <c r="AK252" i="18"/>
  <c r="L252" i="18"/>
  <c r="K252" i="18"/>
  <c r="AJ252" i="18"/>
  <c r="O252" i="18"/>
  <c r="AC252" i="18"/>
  <c r="K246" i="23"/>
  <c r="A247" i="23"/>
  <c r="L246" i="23"/>
  <c r="AK246" i="23"/>
  <c r="AB246" i="23"/>
  <c r="X246" i="23"/>
  <c r="AJ246" i="23"/>
  <c r="AC246" i="23"/>
  <c r="O246" i="23"/>
  <c r="S253" i="1"/>
  <c r="R253" i="1" s="1"/>
  <c r="P253" i="1" s="1"/>
  <c r="V253" i="1" s="1"/>
  <c r="F253" i="1" s="1"/>
  <c r="E254" i="1"/>
  <c r="K247" i="22"/>
  <c r="L247" i="22"/>
  <c r="AJ247" i="22"/>
  <c r="X247" i="22"/>
  <c r="AB247" i="22"/>
  <c r="A248" i="22"/>
  <c r="AK247" i="22"/>
  <c r="AC247" i="22"/>
  <c r="O247" i="22"/>
  <c r="AB244" i="25"/>
  <c r="L244" i="25"/>
  <c r="K244" i="25"/>
  <c r="AK244" i="25"/>
  <c r="A245" i="25"/>
  <c r="X244" i="25"/>
  <c r="AJ244" i="25"/>
  <c r="AC244" i="25"/>
  <c r="O244" i="25"/>
  <c r="E254" i="15" l="1"/>
  <c r="AB245" i="25"/>
  <c r="A246" i="25"/>
  <c r="L245" i="25"/>
  <c r="AK245" i="25"/>
  <c r="K245" i="25"/>
  <c r="X245" i="25"/>
  <c r="AJ245" i="25"/>
  <c r="AC245" i="25"/>
  <c r="O245" i="25"/>
  <c r="K247" i="23"/>
  <c r="AB247" i="23"/>
  <c r="AJ247" i="23"/>
  <c r="A248" i="23"/>
  <c r="L247" i="23"/>
  <c r="X247" i="23"/>
  <c r="AK247" i="23"/>
  <c r="AC247" i="23"/>
  <c r="O247" i="23"/>
  <c r="A254" i="18"/>
  <c r="AB253" i="18"/>
  <c r="L253" i="18"/>
  <c r="AK253" i="18"/>
  <c r="K253" i="18"/>
  <c r="X253" i="18"/>
  <c r="AJ253" i="18"/>
  <c r="O253" i="18"/>
  <c r="AC253" i="18"/>
  <c r="K246" i="24"/>
  <c r="A247" i="24"/>
  <c r="L246" i="24"/>
  <c r="AK246" i="24"/>
  <c r="AB246" i="24"/>
  <c r="X246" i="24"/>
  <c r="AJ246" i="24"/>
  <c r="AC246" i="24"/>
  <c r="O246" i="24"/>
  <c r="X250" i="17"/>
  <c r="AB250" i="17"/>
  <c r="AJ250" i="17"/>
  <c r="A251" i="17"/>
  <c r="K250" i="17"/>
  <c r="L250" i="17"/>
  <c r="D250" i="17" s="1"/>
  <c r="AK250" i="17"/>
  <c r="O250" i="17"/>
  <c r="E250" i="17" s="1"/>
  <c r="AC250" i="17"/>
  <c r="S254" i="1"/>
  <c r="R254" i="1" s="1"/>
  <c r="P254" i="1" s="1"/>
  <c r="V254" i="1" s="1"/>
  <c r="F254" i="1" s="1"/>
  <c r="AB256" i="1"/>
  <c r="O256" i="1"/>
  <c r="AJ256" i="1"/>
  <c r="Q256" i="1"/>
  <c r="AK256" i="1"/>
  <c r="AC256" i="1"/>
  <c r="L256" i="1"/>
  <c r="K256" i="1"/>
  <c r="A257" i="1"/>
  <c r="X256" i="1"/>
  <c r="U256" i="1"/>
  <c r="K249" i="16"/>
  <c r="L249" i="16"/>
  <c r="AJ249" i="16"/>
  <c r="X249" i="16"/>
  <c r="AB249" i="16"/>
  <c r="A250" i="16"/>
  <c r="AK249" i="16"/>
  <c r="AC249" i="16"/>
  <c r="O249" i="16"/>
  <c r="D248" i="16"/>
  <c r="E248" i="16" s="1"/>
  <c r="A249" i="22"/>
  <c r="X248" i="22"/>
  <c r="AB248" i="22"/>
  <c r="AK248" i="22"/>
  <c r="L248" i="22"/>
  <c r="K248" i="22"/>
  <c r="AJ248" i="22"/>
  <c r="AC248" i="22"/>
  <c r="O248" i="22"/>
  <c r="I253" i="1"/>
  <c r="AA253" i="1"/>
  <c r="Z253" i="1" s="1"/>
  <c r="Y253" i="1" s="1"/>
  <c r="G253" i="1"/>
  <c r="BW253" i="6" s="1"/>
  <c r="A256" i="15"/>
  <c r="L255" i="15"/>
  <c r="AK255" i="15"/>
  <c r="X255" i="15"/>
  <c r="AB255" i="15"/>
  <c r="K255" i="15"/>
  <c r="AJ255" i="15"/>
  <c r="O255" i="15"/>
  <c r="AC255" i="15"/>
  <c r="E249" i="17"/>
  <c r="T255" i="1"/>
  <c r="D255" i="1"/>
  <c r="E255" i="1" s="1"/>
  <c r="X249" i="20"/>
  <c r="AB249" i="20"/>
  <c r="A250" i="20"/>
  <c r="AK249" i="20"/>
  <c r="L249" i="20"/>
  <c r="K249" i="20"/>
  <c r="AJ249" i="20"/>
  <c r="AC249" i="20"/>
  <c r="O249" i="20"/>
  <c r="I254" i="1" l="1"/>
  <c r="G254" i="1"/>
  <c r="BW254" i="6" s="1"/>
  <c r="AA254" i="1"/>
  <c r="Z254" i="1" s="1"/>
  <c r="Y254" i="1" s="1"/>
  <c r="D255" i="15"/>
  <c r="X249" i="22"/>
  <c r="A250" i="22"/>
  <c r="L249" i="22"/>
  <c r="AK249" i="22"/>
  <c r="K249" i="22"/>
  <c r="AB249" i="22"/>
  <c r="AJ249" i="22"/>
  <c r="AC249" i="22"/>
  <c r="O249" i="22"/>
  <c r="K250" i="16"/>
  <c r="L250" i="16"/>
  <c r="AJ250" i="16"/>
  <c r="X250" i="16"/>
  <c r="A251" i="16"/>
  <c r="AB250" i="16"/>
  <c r="AK250" i="16"/>
  <c r="AC250" i="16"/>
  <c r="O250" i="16"/>
  <c r="D249" i="16"/>
  <c r="E249" i="16" s="1"/>
  <c r="T256" i="1"/>
  <c r="L257" i="1"/>
  <c r="D257" i="1" s="1"/>
  <c r="X257" i="1"/>
  <c r="AK257" i="1"/>
  <c r="O257" i="1"/>
  <c r="Q257" i="1"/>
  <c r="K257" i="1"/>
  <c r="AC257" i="1"/>
  <c r="AB257" i="1"/>
  <c r="A258" i="1"/>
  <c r="AJ257" i="1"/>
  <c r="U257" i="1"/>
  <c r="D256" i="1"/>
  <c r="E256" i="1" s="1"/>
  <c r="AB251" i="17"/>
  <c r="L251" i="17"/>
  <c r="D251" i="17" s="1"/>
  <c r="AJ251" i="17"/>
  <c r="X251" i="17"/>
  <c r="A252" i="17"/>
  <c r="K251" i="17"/>
  <c r="AK251" i="17"/>
  <c r="O251" i="17"/>
  <c r="AC251" i="17"/>
  <c r="K254" i="18"/>
  <c r="AB254" i="18"/>
  <c r="A255" i="18"/>
  <c r="AK254" i="18"/>
  <c r="X254" i="18"/>
  <c r="L254" i="18"/>
  <c r="AJ254" i="18"/>
  <c r="AC254" i="18"/>
  <c r="O254" i="18"/>
  <c r="AB250" i="20"/>
  <c r="K250" i="20"/>
  <c r="AJ250" i="20"/>
  <c r="X250" i="20"/>
  <c r="L250" i="20"/>
  <c r="A251" i="20"/>
  <c r="AK250" i="20"/>
  <c r="AC250" i="20"/>
  <c r="O250" i="20"/>
  <c r="E255" i="15"/>
  <c r="S255" i="1"/>
  <c r="R255" i="1" s="1"/>
  <c r="P255" i="1" s="1"/>
  <c r="V255" i="1" s="1"/>
  <c r="F255" i="1" s="1"/>
  <c r="L256" i="15"/>
  <c r="A257" i="15"/>
  <c r="AK256" i="15"/>
  <c r="X256" i="15"/>
  <c r="AB256" i="15"/>
  <c r="K256" i="15"/>
  <c r="AJ256" i="15"/>
  <c r="AC256" i="15"/>
  <c r="O256" i="15"/>
  <c r="K247" i="24"/>
  <c r="A248" i="24"/>
  <c r="L247" i="24"/>
  <c r="AK247" i="24"/>
  <c r="AB247" i="24"/>
  <c r="X247" i="24"/>
  <c r="AJ247" i="24"/>
  <c r="AC247" i="24"/>
  <c r="O247" i="24"/>
  <c r="AB248" i="23"/>
  <c r="A249" i="23"/>
  <c r="X248" i="23"/>
  <c r="AK248" i="23"/>
  <c r="K248" i="23"/>
  <c r="L248" i="23"/>
  <c r="AJ248" i="23"/>
  <c r="AC248" i="23"/>
  <c r="O248" i="23"/>
  <c r="A247" i="25"/>
  <c r="L246" i="25"/>
  <c r="AJ246" i="25"/>
  <c r="K246" i="25"/>
  <c r="AB246" i="25"/>
  <c r="X246" i="25"/>
  <c r="AK246" i="25"/>
  <c r="AC246" i="25"/>
  <c r="O246" i="25"/>
  <c r="I255" i="1" l="1"/>
  <c r="G255" i="1"/>
  <c r="BW255" i="6" s="1"/>
  <c r="AA255" i="1"/>
  <c r="Z255" i="1" s="1"/>
  <c r="Y255" i="1" s="1"/>
  <c r="X249" i="23"/>
  <c r="A250" i="23"/>
  <c r="AJ249" i="23"/>
  <c r="K249" i="23"/>
  <c r="L249" i="23"/>
  <c r="AB249" i="23"/>
  <c r="AK249" i="23"/>
  <c r="AC249" i="23"/>
  <c r="O249" i="23"/>
  <c r="X248" i="24"/>
  <c r="L248" i="24"/>
  <c r="A249" i="24"/>
  <c r="AK248" i="24"/>
  <c r="AB248" i="24"/>
  <c r="K248" i="24"/>
  <c r="AJ248" i="24"/>
  <c r="AC248" i="24"/>
  <c r="O248" i="24"/>
  <c r="D256" i="15"/>
  <c r="E256" i="15" s="1"/>
  <c r="E251" i="17"/>
  <c r="T257" i="1"/>
  <c r="A259" i="1"/>
  <c r="X258" i="1"/>
  <c r="AB258" i="1"/>
  <c r="Q258" i="1"/>
  <c r="U258" i="1"/>
  <c r="AC258" i="1"/>
  <c r="K258" i="1"/>
  <c r="AK258" i="1"/>
  <c r="O258" i="1"/>
  <c r="L258" i="1"/>
  <c r="AJ258" i="1"/>
  <c r="D250" i="16"/>
  <c r="E250" i="16" s="1"/>
  <c r="X250" i="22"/>
  <c r="A251" i="22"/>
  <c r="L250" i="22"/>
  <c r="AK250" i="22"/>
  <c r="AB250" i="22"/>
  <c r="K250" i="22"/>
  <c r="AJ250" i="22"/>
  <c r="AC250" i="22"/>
  <c r="O250" i="22"/>
  <c r="A248" i="25"/>
  <c r="L247" i="25"/>
  <c r="AJ247" i="25"/>
  <c r="AB247" i="25"/>
  <c r="X247" i="25"/>
  <c r="K247" i="25"/>
  <c r="AK247" i="25"/>
  <c r="AC247" i="25"/>
  <c r="O247" i="25"/>
  <c r="K257" i="15"/>
  <c r="A258" i="15"/>
  <c r="AJ257" i="15"/>
  <c r="X257" i="15"/>
  <c r="L257" i="15"/>
  <c r="D257" i="15" s="1"/>
  <c r="AB257" i="15"/>
  <c r="AK257" i="15"/>
  <c r="AC257" i="15"/>
  <c r="O257" i="15"/>
  <c r="E257" i="15" s="1"/>
  <c r="A252" i="20"/>
  <c r="X251" i="20"/>
  <c r="L251" i="20"/>
  <c r="AK251" i="20"/>
  <c r="AB251" i="20"/>
  <c r="K251" i="20"/>
  <c r="AJ251" i="20"/>
  <c r="AC251" i="20"/>
  <c r="O251" i="20"/>
  <c r="X255" i="18"/>
  <c r="L255" i="18"/>
  <c r="K255" i="18"/>
  <c r="AK255" i="18"/>
  <c r="AB255" i="18"/>
  <c r="A256" i="18"/>
  <c r="AJ255" i="18"/>
  <c r="O255" i="18"/>
  <c r="AC255" i="18"/>
  <c r="X252" i="17"/>
  <c r="A253" i="17"/>
  <c r="AB252" i="17"/>
  <c r="AK252" i="17"/>
  <c r="L252" i="17"/>
  <c r="D252" i="17" s="1"/>
  <c r="K252" i="17"/>
  <c r="AJ252" i="17"/>
  <c r="O252" i="17"/>
  <c r="AC252" i="17"/>
  <c r="E257" i="1"/>
  <c r="S256" i="1"/>
  <c r="R256" i="1" s="1"/>
  <c r="P256" i="1" s="1"/>
  <c r="V256" i="1" s="1"/>
  <c r="F256" i="1" s="1"/>
  <c r="X251" i="16"/>
  <c r="L251" i="16"/>
  <c r="AJ251" i="16"/>
  <c r="A252" i="16"/>
  <c r="K251" i="16"/>
  <c r="AB251" i="16"/>
  <c r="AK251" i="16"/>
  <c r="AC251" i="16"/>
  <c r="O251" i="16"/>
  <c r="E252" i="17" l="1"/>
  <c r="I256" i="1"/>
  <c r="AA256" i="1"/>
  <c r="Z256" i="1" s="1"/>
  <c r="Y256" i="1" s="1"/>
  <c r="G256" i="1"/>
  <c r="BW256" i="6" s="1"/>
  <c r="K256" i="18"/>
  <c r="A257" i="18"/>
  <c r="AJ256" i="18"/>
  <c r="AB256" i="18"/>
  <c r="L256" i="18"/>
  <c r="X256" i="18"/>
  <c r="AK256" i="18"/>
  <c r="O256" i="18"/>
  <c r="AC256" i="18"/>
  <c r="T258" i="1"/>
  <c r="K259" i="1"/>
  <c r="AB259" i="1"/>
  <c r="A260" i="1"/>
  <c r="AK259" i="1"/>
  <c r="U259" i="1"/>
  <c r="L259" i="1"/>
  <c r="AC259" i="1"/>
  <c r="O259" i="1"/>
  <c r="AJ259" i="1"/>
  <c r="X259" i="1"/>
  <c r="Q259" i="1"/>
  <c r="S257" i="1"/>
  <c r="R257" i="1" s="1"/>
  <c r="P257" i="1" s="1"/>
  <c r="V257" i="1" s="1"/>
  <c r="AB249" i="24"/>
  <c r="X249" i="24"/>
  <c r="L249" i="24"/>
  <c r="AK249" i="24"/>
  <c r="A250" i="24"/>
  <c r="K249" i="24"/>
  <c r="AJ249" i="24"/>
  <c r="AC249" i="24"/>
  <c r="O249" i="24"/>
  <c r="L250" i="23"/>
  <c r="AB250" i="23"/>
  <c r="AJ250" i="23"/>
  <c r="K250" i="23"/>
  <c r="A251" i="23"/>
  <c r="X250" i="23"/>
  <c r="AK250" i="23"/>
  <c r="AC250" i="23"/>
  <c r="O250" i="23"/>
  <c r="A253" i="16"/>
  <c r="AB252" i="16"/>
  <c r="K252" i="16"/>
  <c r="AK252" i="16"/>
  <c r="X252" i="16"/>
  <c r="L252" i="16"/>
  <c r="AJ252" i="16"/>
  <c r="AC252" i="16"/>
  <c r="O252" i="16"/>
  <c r="D251" i="16"/>
  <c r="E251" i="16" s="1"/>
  <c r="L253" i="17"/>
  <c r="X253" i="17"/>
  <c r="AJ253" i="17"/>
  <c r="K253" i="17"/>
  <c r="AB253" i="17"/>
  <c r="A254" i="17"/>
  <c r="AK253" i="17"/>
  <c r="O253" i="17"/>
  <c r="AC253" i="17"/>
  <c r="X252" i="20"/>
  <c r="A253" i="20"/>
  <c r="AB252" i="20"/>
  <c r="AK252" i="20"/>
  <c r="L252" i="20"/>
  <c r="K252" i="20"/>
  <c r="AJ252" i="20"/>
  <c r="AC252" i="20"/>
  <c r="O252" i="20"/>
  <c r="L258" i="15"/>
  <c r="AB258" i="15"/>
  <c r="AK258" i="15"/>
  <c r="AJ258" i="15"/>
  <c r="A259" i="15"/>
  <c r="X258" i="15"/>
  <c r="K258" i="15"/>
  <c r="O258" i="15"/>
  <c r="AC258" i="15"/>
  <c r="L248" i="25"/>
  <c r="K248" i="25"/>
  <c r="AJ248" i="25"/>
  <c r="A249" i="25"/>
  <c r="X248" i="25"/>
  <c r="AB248" i="25"/>
  <c r="AK248" i="25"/>
  <c r="AC248" i="25"/>
  <c r="O248" i="25"/>
  <c r="A252" i="22"/>
  <c r="L251" i="22"/>
  <c r="X251" i="22"/>
  <c r="AK251" i="22"/>
  <c r="AB251" i="22"/>
  <c r="K251" i="22"/>
  <c r="AJ251" i="22"/>
  <c r="AC251" i="22"/>
  <c r="O251" i="22"/>
  <c r="D258" i="1"/>
  <c r="E258" i="1" s="1"/>
  <c r="A260" i="15" l="1"/>
  <c r="AB259" i="15"/>
  <c r="AJ259" i="15"/>
  <c r="K259" i="15"/>
  <c r="X259" i="15"/>
  <c r="L259" i="15"/>
  <c r="AK259" i="15"/>
  <c r="AC259" i="15"/>
  <c r="O259" i="15"/>
  <c r="D258" i="15"/>
  <c r="A254" i="20"/>
  <c r="K253" i="20"/>
  <c r="L253" i="20"/>
  <c r="AK253" i="20"/>
  <c r="AB253" i="20"/>
  <c r="X253" i="20"/>
  <c r="AJ253" i="20"/>
  <c r="AC253" i="20"/>
  <c r="O253" i="20"/>
  <c r="A255" i="17"/>
  <c r="K254" i="17"/>
  <c r="AJ254" i="17"/>
  <c r="X254" i="17"/>
  <c r="L254" i="17"/>
  <c r="D254" i="17" s="1"/>
  <c r="AB254" i="17"/>
  <c r="AK254" i="17"/>
  <c r="O254" i="17"/>
  <c r="AC254" i="17"/>
  <c r="K253" i="16"/>
  <c r="A254" i="16"/>
  <c r="AJ253" i="16"/>
  <c r="X253" i="16"/>
  <c r="L253" i="16"/>
  <c r="AB253" i="16"/>
  <c r="AK253" i="16"/>
  <c r="AC253" i="16"/>
  <c r="O253" i="16"/>
  <c r="AB250" i="24"/>
  <c r="K250" i="24"/>
  <c r="A251" i="24"/>
  <c r="AK250" i="24"/>
  <c r="L250" i="24"/>
  <c r="X250" i="24"/>
  <c r="AJ250" i="24"/>
  <c r="AC250" i="24"/>
  <c r="O250" i="24"/>
  <c r="F257" i="1"/>
  <c r="I61" i="19"/>
  <c r="T259" i="1"/>
  <c r="X260" i="1"/>
  <c r="AJ260" i="1"/>
  <c r="AC260" i="1"/>
  <c r="Q260" i="1"/>
  <c r="K260" i="1"/>
  <c r="O260" i="1"/>
  <c r="L260" i="1"/>
  <c r="AB260" i="1"/>
  <c r="A261" i="1"/>
  <c r="AK260" i="1"/>
  <c r="U260" i="1"/>
  <c r="S258" i="1"/>
  <c r="R258" i="1" s="1"/>
  <c r="P258" i="1" s="1"/>
  <c r="V258" i="1" s="1"/>
  <c r="A253" i="22"/>
  <c r="AB252" i="22"/>
  <c r="X252" i="22"/>
  <c r="AK252" i="22"/>
  <c r="K252" i="22"/>
  <c r="L252" i="22"/>
  <c r="AJ252" i="22"/>
  <c r="AC252" i="22"/>
  <c r="O252" i="22"/>
  <c r="X249" i="25"/>
  <c r="K249" i="25"/>
  <c r="AJ249" i="25"/>
  <c r="AB249" i="25"/>
  <c r="L249" i="25"/>
  <c r="A250" i="25"/>
  <c r="AK249" i="25"/>
  <c r="AC249" i="25"/>
  <c r="O249" i="25"/>
  <c r="E258" i="15"/>
  <c r="D253" i="17"/>
  <c r="E253" i="17" s="1"/>
  <c r="D252" i="16"/>
  <c r="E252" i="16" s="1"/>
  <c r="A252" i="23"/>
  <c r="X251" i="23"/>
  <c r="K251" i="23"/>
  <c r="AK251" i="23"/>
  <c r="AB251" i="23"/>
  <c r="L251" i="23"/>
  <c r="AJ251" i="23"/>
  <c r="AC251" i="23"/>
  <c r="O251" i="23"/>
  <c r="D259" i="1"/>
  <c r="E259" i="1" s="1"/>
  <c r="X257" i="18"/>
  <c r="AB257" i="18"/>
  <c r="K257" i="18"/>
  <c r="AK257" i="18"/>
  <c r="L257" i="18"/>
  <c r="A258" i="18"/>
  <c r="AJ257" i="18"/>
  <c r="O257" i="18"/>
  <c r="AC257" i="18"/>
  <c r="E254" i="17" l="1"/>
  <c r="A259" i="18"/>
  <c r="L258" i="18"/>
  <c r="AJ258" i="18"/>
  <c r="K258" i="18"/>
  <c r="X258" i="18"/>
  <c r="AB258" i="18"/>
  <c r="AK258" i="18"/>
  <c r="O258" i="18"/>
  <c r="AC258" i="18"/>
  <c r="AB251" i="24"/>
  <c r="L251" i="24"/>
  <c r="X251" i="24"/>
  <c r="AK251" i="24"/>
  <c r="K251" i="24"/>
  <c r="A252" i="24"/>
  <c r="AJ251" i="24"/>
  <c r="AC251" i="24"/>
  <c r="O251" i="24"/>
  <c r="D253" i="16"/>
  <c r="E253" i="16" s="1"/>
  <c r="L260" i="15"/>
  <c r="D260" i="15" s="1"/>
  <c r="A261" i="15"/>
  <c r="X260" i="15"/>
  <c r="AB260" i="15"/>
  <c r="AK260" i="15"/>
  <c r="K260" i="15"/>
  <c r="AJ260" i="15"/>
  <c r="O260" i="15"/>
  <c r="AC260" i="15"/>
  <c r="K252" i="23"/>
  <c r="AB252" i="23"/>
  <c r="AJ252" i="23"/>
  <c r="A253" i="23"/>
  <c r="X252" i="23"/>
  <c r="L252" i="23"/>
  <c r="AK252" i="23"/>
  <c r="AC252" i="23"/>
  <c r="O252" i="23"/>
  <c r="AB250" i="25"/>
  <c r="L250" i="25"/>
  <c r="AJ250" i="25"/>
  <c r="X250" i="25"/>
  <c r="K250" i="25"/>
  <c r="A251" i="25"/>
  <c r="AK250" i="25"/>
  <c r="AC250" i="25"/>
  <c r="O250" i="25"/>
  <c r="K253" i="22"/>
  <c r="X253" i="22"/>
  <c r="AJ253" i="22"/>
  <c r="AB253" i="22"/>
  <c r="L253" i="22"/>
  <c r="A254" i="22"/>
  <c r="AK253" i="22"/>
  <c r="AC253" i="22"/>
  <c r="O253" i="22"/>
  <c r="F258" i="1"/>
  <c r="T260" i="1"/>
  <c r="A262" i="1"/>
  <c r="L261" i="1"/>
  <c r="D261" i="1" s="1"/>
  <c r="AJ261" i="1"/>
  <c r="O261" i="1"/>
  <c r="E261" i="1" s="1"/>
  <c r="K261" i="1"/>
  <c r="U261" i="1"/>
  <c r="AB261" i="1"/>
  <c r="AC261" i="1"/>
  <c r="X261" i="1"/>
  <c r="AK261" i="1"/>
  <c r="Q261" i="1"/>
  <c r="D260" i="1"/>
  <c r="E260" i="1" s="1"/>
  <c r="S259" i="1"/>
  <c r="R259" i="1" s="1"/>
  <c r="P259" i="1" s="1"/>
  <c r="V259" i="1" s="1"/>
  <c r="F259" i="1" s="1"/>
  <c r="AA257" i="1"/>
  <c r="Z257" i="1" s="1"/>
  <c r="Y257" i="1" s="1"/>
  <c r="I257" i="1"/>
  <c r="G257" i="1"/>
  <c r="BW257" i="6" s="1"/>
  <c r="X254" i="16"/>
  <c r="L254" i="16"/>
  <c r="A255" i="16"/>
  <c r="AK254" i="16"/>
  <c r="AB254" i="16"/>
  <c r="K254" i="16"/>
  <c r="AJ254" i="16"/>
  <c r="AC254" i="16"/>
  <c r="O254" i="16"/>
  <c r="L255" i="17"/>
  <c r="A256" i="17"/>
  <c r="AJ255" i="17"/>
  <c r="X255" i="17"/>
  <c r="AB255" i="17"/>
  <c r="K255" i="17"/>
  <c r="AK255" i="17"/>
  <c r="O255" i="17"/>
  <c r="AC255" i="17"/>
  <c r="A255" i="20"/>
  <c r="AB254" i="20"/>
  <c r="K254" i="20"/>
  <c r="AK254" i="20"/>
  <c r="X254" i="20"/>
  <c r="L254" i="20"/>
  <c r="AJ254" i="20"/>
  <c r="AC254" i="20"/>
  <c r="O254" i="20"/>
  <c r="D259" i="15"/>
  <c r="E259" i="15" s="1"/>
  <c r="L255" i="20" l="1"/>
  <c r="AB255" i="20"/>
  <c r="AJ255" i="20"/>
  <c r="X255" i="20"/>
  <c r="A256" i="20"/>
  <c r="K255" i="20"/>
  <c r="AK255" i="20"/>
  <c r="AC255" i="20"/>
  <c r="O255" i="20"/>
  <c r="D255" i="17"/>
  <c r="L255" i="16"/>
  <c r="A256" i="16"/>
  <c r="AB255" i="16"/>
  <c r="AK255" i="16"/>
  <c r="X255" i="16"/>
  <c r="K255" i="16"/>
  <c r="AJ255" i="16"/>
  <c r="AC255" i="16"/>
  <c r="O255" i="16"/>
  <c r="AA259" i="1"/>
  <c r="Z259" i="1" s="1"/>
  <c r="Y259" i="1" s="1"/>
  <c r="G259" i="1"/>
  <c r="BW259" i="6" s="1"/>
  <c r="I259" i="1"/>
  <c r="A263" i="1"/>
  <c r="AC262" i="1"/>
  <c r="AK262" i="1"/>
  <c r="AB262" i="1"/>
  <c r="U262" i="1"/>
  <c r="AJ262" i="1"/>
  <c r="L262" i="1"/>
  <c r="O262" i="1"/>
  <c r="X262" i="1"/>
  <c r="K262" i="1"/>
  <c r="Q262" i="1"/>
  <c r="S260" i="1"/>
  <c r="R260" i="1" s="1"/>
  <c r="P260" i="1" s="1"/>
  <c r="I258" i="1"/>
  <c r="AA258" i="1"/>
  <c r="Z258" i="1" s="1"/>
  <c r="Y258" i="1" s="1"/>
  <c r="G258" i="1"/>
  <c r="BW258" i="6" s="1"/>
  <c r="X254" i="22"/>
  <c r="A255" i="22"/>
  <c r="AJ254" i="22"/>
  <c r="K254" i="22"/>
  <c r="L254" i="22"/>
  <c r="AB254" i="22"/>
  <c r="AK254" i="22"/>
  <c r="AC254" i="22"/>
  <c r="O254" i="22"/>
  <c r="A252" i="25"/>
  <c r="AB251" i="25"/>
  <c r="L251" i="25"/>
  <c r="AK251" i="25"/>
  <c r="K251" i="25"/>
  <c r="X251" i="25"/>
  <c r="AJ251" i="25"/>
  <c r="AC251" i="25"/>
  <c r="O251" i="25"/>
  <c r="AB252" i="24"/>
  <c r="L252" i="24"/>
  <c r="AJ252" i="24"/>
  <c r="A253" i="24"/>
  <c r="K252" i="24"/>
  <c r="X252" i="24"/>
  <c r="AK252" i="24"/>
  <c r="AC252" i="24"/>
  <c r="O252" i="24"/>
  <c r="L259" i="18"/>
  <c r="X259" i="18"/>
  <c r="AJ259" i="18"/>
  <c r="AB259" i="18"/>
  <c r="K259" i="18"/>
  <c r="A260" i="18"/>
  <c r="AK259" i="18"/>
  <c r="O259" i="18"/>
  <c r="AC259" i="18"/>
  <c r="E255" i="17"/>
  <c r="K256" i="17"/>
  <c r="A257" i="17"/>
  <c r="AB256" i="17"/>
  <c r="AK256" i="17"/>
  <c r="X256" i="17"/>
  <c r="L256" i="17"/>
  <c r="AJ256" i="17"/>
  <c r="O256" i="17"/>
  <c r="AC256" i="17"/>
  <c r="D254" i="16"/>
  <c r="E254" i="16" s="1"/>
  <c r="T261" i="1"/>
  <c r="AB253" i="23"/>
  <c r="L253" i="23"/>
  <c r="X253" i="23"/>
  <c r="AK253" i="23"/>
  <c r="K253" i="23"/>
  <c r="A254" i="23"/>
  <c r="AJ253" i="23"/>
  <c r="AC253" i="23"/>
  <c r="O253" i="23"/>
  <c r="E260" i="15"/>
  <c r="L261" i="15"/>
  <c r="D261" i="15" s="1"/>
  <c r="K261" i="15"/>
  <c r="X261" i="15"/>
  <c r="AJ261" i="15"/>
  <c r="A262" i="15"/>
  <c r="AK261" i="15"/>
  <c r="AB261" i="15"/>
  <c r="O261" i="15"/>
  <c r="AC261" i="15"/>
  <c r="V260" i="1" l="1"/>
  <c r="F260" i="1" s="1"/>
  <c r="L262" i="15"/>
  <c r="AB262" i="15"/>
  <c r="K262" i="15"/>
  <c r="A263" i="15"/>
  <c r="X262" i="15"/>
  <c r="AK262" i="15"/>
  <c r="AJ262" i="15"/>
  <c r="AC262" i="15"/>
  <c r="O262" i="15"/>
  <c r="E261" i="15"/>
  <c r="K253" i="24"/>
  <c r="L253" i="24"/>
  <c r="A254" i="24"/>
  <c r="AK253" i="24"/>
  <c r="AB253" i="24"/>
  <c r="X253" i="24"/>
  <c r="AJ253" i="24"/>
  <c r="AC253" i="24"/>
  <c r="O253" i="24"/>
  <c r="AB252" i="25"/>
  <c r="K252" i="25"/>
  <c r="A253" i="25"/>
  <c r="AK252" i="25"/>
  <c r="X252" i="25"/>
  <c r="L252" i="25"/>
  <c r="AJ252" i="25"/>
  <c r="AC252" i="25"/>
  <c r="O252" i="25"/>
  <c r="K255" i="22"/>
  <c r="AB255" i="22"/>
  <c r="L255" i="22"/>
  <c r="AK255" i="22"/>
  <c r="A256" i="22"/>
  <c r="X255" i="22"/>
  <c r="AJ255" i="22"/>
  <c r="AC255" i="22"/>
  <c r="O255" i="22"/>
  <c r="D255" i="16"/>
  <c r="E255" i="16" s="1"/>
  <c r="AB254" i="23"/>
  <c r="A255" i="23"/>
  <c r="AJ254" i="23"/>
  <c r="X254" i="23"/>
  <c r="L254" i="23"/>
  <c r="K254" i="23"/>
  <c r="AK254" i="23"/>
  <c r="AC254" i="23"/>
  <c r="O254" i="23"/>
  <c r="S261" i="1"/>
  <c r="R261" i="1" s="1"/>
  <c r="P261" i="1" s="1"/>
  <c r="V261" i="1" s="1"/>
  <c r="F261" i="1" s="1"/>
  <c r="D256" i="17"/>
  <c r="E256" i="17" s="1"/>
  <c r="AB257" i="17"/>
  <c r="K257" i="17"/>
  <c r="X257" i="17"/>
  <c r="AK257" i="17"/>
  <c r="A258" i="17"/>
  <c r="L257" i="17"/>
  <c r="D257" i="17" s="1"/>
  <c r="AJ257" i="17"/>
  <c r="O257" i="17"/>
  <c r="AC257" i="17"/>
  <c r="X260" i="18"/>
  <c r="L260" i="18"/>
  <c r="AJ260" i="18"/>
  <c r="A261" i="18"/>
  <c r="AB260" i="18"/>
  <c r="K260" i="18"/>
  <c r="AK260" i="18"/>
  <c r="AC260" i="18"/>
  <c r="O260" i="18"/>
  <c r="D262" i="1"/>
  <c r="E262" i="1" s="1"/>
  <c r="T262" i="1"/>
  <c r="A264" i="1"/>
  <c r="AJ263" i="1"/>
  <c r="X263" i="1"/>
  <c r="K263" i="1"/>
  <c r="AB263" i="1"/>
  <c r="O263" i="1"/>
  <c r="L263" i="1"/>
  <c r="AK263" i="1"/>
  <c r="Q263" i="1"/>
  <c r="AC263" i="1"/>
  <c r="U263" i="1"/>
  <c r="AB256" i="16"/>
  <c r="X256" i="16"/>
  <c r="K256" i="16"/>
  <c r="AK256" i="16"/>
  <c r="L256" i="16"/>
  <c r="A257" i="16"/>
  <c r="AJ256" i="16"/>
  <c r="AC256" i="16"/>
  <c r="O256" i="16"/>
  <c r="A257" i="20"/>
  <c r="L256" i="20"/>
  <c r="AJ256" i="20"/>
  <c r="K256" i="20"/>
  <c r="AB256" i="20"/>
  <c r="X256" i="20"/>
  <c r="AK256" i="20"/>
  <c r="AC256" i="20"/>
  <c r="O256" i="20"/>
  <c r="E257" i="17" l="1"/>
  <c r="AA261" i="1"/>
  <c r="Z261" i="1" s="1"/>
  <c r="Y261" i="1" s="1"/>
  <c r="I261" i="1"/>
  <c r="G261" i="1"/>
  <c r="BW261" i="6" s="1"/>
  <c r="L257" i="20"/>
  <c r="K257" i="20"/>
  <c r="AJ257" i="20"/>
  <c r="AB257" i="20"/>
  <c r="A258" i="20"/>
  <c r="X257" i="20"/>
  <c r="AK257" i="20"/>
  <c r="AC257" i="20"/>
  <c r="O257" i="20"/>
  <c r="D256" i="16"/>
  <c r="E256" i="16" s="1"/>
  <c r="S262" i="1"/>
  <c r="R262" i="1" s="1"/>
  <c r="P262" i="1" s="1"/>
  <c r="V262" i="1" s="1"/>
  <c r="F262" i="1" s="1"/>
  <c r="X253" i="25"/>
  <c r="K253" i="25"/>
  <c r="AB253" i="25"/>
  <c r="AK253" i="25"/>
  <c r="A254" i="25"/>
  <c r="L253" i="25"/>
  <c r="AJ253" i="25"/>
  <c r="AC253" i="25"/>
  <c r="O253" i="25"/>
  <c r="L254" i="24"/>
  <c r="X254" i="24"/>
  <c r="AJ254" i="24"/>
  <c r="A255" i="24"/>
  <c r="K254" i="24"/>
  <c r="AB254" i="24"/>
  <c r="AK254" i="24"/>
  <c r="AC254" i="24"/>
  <c r="O254" i="24"/>
  <c r="X263" i="15"/>
  <c r="A264" i="15"/>
  <c r="AJ263" i="15"/>
  <c r="L263" i="15"/>
  <c r="K263" i="15"/>
  <c r="AK263" i="15"/>
  <c r="AB263" i="15"/>
  <c r="AC263" i="15"/>
  <c r="O263" i="15"/>
  <c r="AA260" i="1"/>
  <c r="Z260" i="1" s="1"/>
  <c r="Y260" i="1" s="1"/>
  <c r="G260" i="1"/>
  <c r="BW260" i="6" s="1"/>
  <c r="I260" i="1"/>
  <c r="A258" i="16"/>
  <c r="L257" i="16"/>
  <c r="X257" i="16"/>
  <c r="AK257" i="16"/>
  <c r="AB257" i="16"/>
  <c r="K257" i="16"/>
  <c r="AJ257" i="16"/>
  <c r="AC257" i="16"/>
  <c r="O257" i="16"/>
  <c r="T263" i="1"/>
  <c r="D263" i="1"/>
  <c r="E263" i="1" s="1"/>
  <c r="AJ264" i="1"/>
  <c r="O264" i="1"/>
  <c r="AB264" i="1"/>
  <c r="Q264" i="1"/>
  <c r="U264" i="1"/>
  <c r="A265" i="1"/>
  <c r="AC264" i="1"/>
  <c r="AK264" i="1"/>
  <c r="K264" i="1"/>
  <c r="L264" i="1"/>
  <c r="X264" i="1"/>
  <c r="L261" i="18"/>
  <c r="X261" i="18"/>
  <c r="AJ261" i="18"/>
  <c r="A262" i="18"/>
  <c r="K261" i="18"/>
  <c r="AB261" i="18"/>
  <c r="AK261" i="18"/>
  <c r="O261" i="18"/>
  <c r="AC261" i="18"/>
  <c r="AB258" i="17"/>
  <c r="L258" i="17"/>
  <c r="D258" i="17" s="1"/>
  <c r="AJ258" i="17"/>
  <c r="X258" i="17"/>
  <c r="A259" i="17"/>
  <c r="K258" i="17"/>
  <c r="AK258" i="17"/>
  <c r="O258" i="17"/>
  <c r="E258" i="17" s="1"/>
  <c r="AC258" i="17"/>
  <c r="AB255" i="23"/>
  <c r="L255" i="23"/>
  <c r="A256" i="23"/>
  <c r="AK255" i="23"/>
  <c r="K255" i="23"/>
  <c r="X255" i="23"/>
  <c r="AJ255" i="23"/>
  <c r="AC255" i="23"/>
  <c r="O255" i="23"/>
  <c r="AB256" i="22"/>
  <c r="K256" i="22"/>
  <c r="AJ256" i="22"/>
  <c r="X256" i="22"/>
  <c r="A257" i="22"/>
  <c r="L256" i="22"/>
  <c r="AK256" i="22"/>
  <c r="AC256" i="22"/>
  <c r="O256" i="22"/>
  <c r="D262" i="15"/>
  <c r="E262" i="15" s="1"/>
  <c r="AB256" i="23" l="1"/>
  <c r="L256" i="23"/>
  <c r="X256" i="23"/>
  <c r="AK256" i="23"/>
  <c r="A257" i="23"/>
  <c r="K256" i="23"/>
  <c r="AJ256" i="23"/>
  <c r="AC256" i="23"/>
  <c r="O256" i="23"/>
  <c r="D264" i="1"/>
  <c r="E264" i="1" s="1"/>
  <c r="AB265" i="1"/>
  <c r="O265" i="1"/>
  <c r="Q265" i="1"/>
  <c r="AJ265" i="1"/>
  <c r="A266" i="1"/>
  <c r="U265" i="1"/>
  <c r="AC265" i="1"/>
  <c r="K265" i="1"/>
  <c r="L265" i="1"/>
  <c r="X265" i="1"/>
  <c r="AK265" i="1"/>
  <c r="X258" i="16"/>
  <c r="L258" i="16"/>
  <c r="AB258" i="16"/>
  <c r="AK258" i="16"/>
  <c r="A259" i="16"/>
  <c r="K258" i="16"/>
  <c r="AJ258" i="16"/>
  <c r="AC258" i="16"/>
  <c r="O258" i="16"/>
  <c r="K255" i="24"/>
  <c r="X255" i="24"/>
  <c r="AB255" i="24"/>
  <c r="AK255" i="24"/>
  <c r="A256" i="24"/>
  <c r="L255" i="24"/>
  <c r="AJ255" i="24"/>
  <c r="AC255" i="24"/>
  <c r="O255" i="24"/>
  <c r="AA262" i="1"/>
  <c r="Z262" i="1" s="1"/>
  <c r="Y262" i="1" s="1"/>
  <c r="G262" i="1"/>
  <c r="BW262" i="6" s="1"/>
  <c r="I262" i="1"/>
  <c r="K257" i="22"/>
  <c r="A258" i="22"/>
  <c r="X257" i="22"/>
  <c r="AK257" i="22"/>
  <c r="AB257" i="22"/>
  <c r="L257" i="22"/>
  <c r="AJ257" i="22"/>
  <c r="AC257" i="22"/>
  <c r="O257" i="22"/>
  <c r="K259" i="17"/>
  <c r="X259" i="17"/>
  <c r="AB259" i="17"/>
  <c r="AK259" i="17"/>
  <c r="L259" i="17"/>
  <c r="D259" i="17" s="1"/>
  <c r="A260" i="17"/>
  <c r="AJ259" i="17"/>
  <c r="O259" i="17"/>
  <c r="AC259" i="17"/>
  <c r="X262" i="18"/>
  <c r="A263" i="18"/>
  <c r="K262" i="18"/>
  <c r="AK262" i="18"/>
  <c r="AB262" i="18"/>
  <c r="L262" i="18"/>
  <c r="AJ262" i="18"/>
  <c r="O262" i="18"/>
  <c r="AC262" i="18"/>
  <c r="T264" i="1"/>
  <c r="S263" i="1"/>
  <c r="R263" i="1" s="1"/>
  <c r="P263" i="1" s="1"/>
  <c r="V263" i="1" s="1"/>
  <c r="F263" i="1" s="1"/>
  <c r="D257" i="16"/>
  <c r="E257" i="16" s="1"/>
  <c r="D263" i="15"/>
  <c r="E263" i="15" s="1"/>
  <c r="L264" i="15"/>
  <c r="D264" i="15" s="1"/>
  <c r="X264" i="15"/>
  <c r="K264" i="15"/>
  <c r="AK264" i="15"/>
  <c r="A265" i="15"/>
  <c r="AB264" i="15"/>
  <c r="AJ264" i="15"/>
  <c r="AC264" i="15"/>
  <c r="O264" i="15"/>
  <c r="AB254" i="25"/>
  <c r="K254" i="25"/>
  <c r="AJ254" i="25"/>
  <c r="X254" i="25"/>
  <c r="L254" i="25"/>
  <c r="A255" i="25"/>
  <c r="AK254" i="25"/>
  <c r="AC254" i="25"/>
  <c r="O254" i="25"/>
  <c r="AB258" i="20"/>
  <c r="A259" i="20"/>
  <c r="K258" i="20"/>
  <c r="AK258" i="20"/>
  <c r="L258" i="20"/>
  <c r="X258" i="20"/>
  <c r="AJ258" i="20"/>
  <c r="AC258" i="20"/>
  <c r="O258" i="20"/>
  <c r="I263" i="1" l="1"/>
  <c r="AA263" i="1"/>
  <c r="Z263" i="1" s="1"/>
  <c r="Y263" i="1" s="1"/>
  <c r="G263" i="1"/>
  <c r="BW263" i="6" s="1"/>
  <c r="K259" i="20"/>
  <c r="A260" i="20"/>
  <c r="AJ259" i="20"/>
  <c r="X259" i="20"/>
  <c r="AB259" i="20"/>
  <c r="L259" i="20"/>
  <c r="AK259" i="20"/>
  <c r="AC259" i="20"/>
  <c r="O259" i="20"/>
  <c r="X255" i="25"/>
  <c r="A256" i="25"/>
  <c r="AJ255" i="25"/>
  <c r="AB255" i="25"/>
  <c r="K255" i="25"/>
  <c r="L255" i="25"/>
  <c r="AK255" i="25"/>
  <c r="AC255" i="25"/>
  <c r="O255" i="25"/>
  <c r="X265" i="15"/>
  <c r="AB265" i="15"/>
  <c r="AJ265" i="15"/>
  <c r="A266" i="15"/>
  <c r="L265" i="15"/>
  <c r="D265" i="15" s="1"/>
  <c r="AK265" i="15"/>
  <c r="K265" i="15"/>
  <c r="AC265" i="15"/>
  <c r="O265" i="15"/>
  <c r="E264" i="15"/>
  <c r="E259" i="17"/>
  <c r="D258" i="16"/>
  <c r="E258" i="16" s="1"/>
  <c r="D265" i="1"/>
  <c r="E265" i="1" s="1"/>
  <c r="A267" i="1"/>
  <c r="AB266" i="1"/>
  <c r="Q266" i="1"/>
  <c r="X266" i="1"/>
  <c r="U266" i="1"/>
  <c r="AJ266" i="1"/>
  <c r="L266" i="1"/>
  <c r="K266" i="1"/>
  <c r="AK266" i="1"/>
  <c r="O266" i="1"/>
  <c r="AC266" i="1"/>
  <c r="S264" i="1"/>
  <c r="R264" i="1" s="1"/>
  <c r="P264" i="1" s="1"/>
  <c r="V264" i="1" s="1"/>
  <c r="F264" i="1" s="1"/>
  <c r="K263" i="18"/>
  <c r="X263" i="18"/>
  <c r="AJ263" i="18"/>
  <c r="A264" i="18"/>
  <c r="L263" i="18"/>
  <c r="AB263" i="18"/>
  <c r="AK263" i="18"/>
  <c r="O263" i="18"/>
  <c r="AC263" i="18"/>
  <c r="AB260" i="17"/>
  <c r="A261" i="17"/>
  <c r="AJ260" i="17"/>
  <c r="K260" i="17"/>
  <c r="L260" i="17"/>
  <c r="D260" i="17" s="1"/>
  <c r="X260" i="17"/>
  <c r="AK260" i="17"/>
  <c r="O260" i="17"/>
  <c r="AC260" i="17"/>
  <c r="K258" i="22"/>
  <c r="X258" i="22"/>
  <c r="AJ258" i="22"/>
  <c r="A259" i="22"/>
  <c r="L258" i="22"/>
  <c r="AB258" i="22"/>
  <c r="AK258" i="22"/>
  <c r="AC258" i="22"/>
  <c r="O258" i="22"/>
  <c r="AB256" i="24"/>
  <c r="X256" i="24"/>
  <c r="AJ256" i="24"/>
  <c r="K256" i="24"/>
  <c r="L256" i="24"/>
  <c r="A257" i="24"/>
  <c r="AK256" i="24"/>
  <c r="AC256" i="24"/>
  <c r="O256" i="24"/>
  <c r="X259" i="16"/>
  <c r="K259" i="16"/>
  <c r="AJ259" i="16"/>
  <c r="A260" i="16"/>
  <c r="L259" i="16"/>
  <c r="AB259" i="16"/>
  <c r="AK259" i="16"/>
  <c r="AC259" i="16"/>
  <c r="O259" i="16"/>
  <c r="T265" i="1"/>
  <c r="AB257" i="23"/>
  <c r="X257" i="23"/>
  <c r="L257" i="23"/>
  <c r="AK257" i="23"/>
  <c r="K257" i="23"/>
  <c r="A258" i="23"/>
  <c r="AJ257" i="23"/>
  <c r="AC257" i="23"/>
  <c r="O257" i="23"/>
  <c r="E265" i="15" l="1"/>
  <c r="E260" i="17"/>
  <c r="S265" i="1"/>
  <c r="R265" i="1" s="1"/>
  <c r="P265" i="1" s="1"/>
  <c r="V265" i="1" s="1"/>
  <c r="F265" i="1" s="1"/>
  <c r="D259" i="16"/>
  <c r="E259" i="16" s="1"/>
  <c r="X257" i="24"/>
  <c r="L257" i="24"/>
  <c r="K257" i="24"/>
  <c r="AK257" i="24"/>
  <c r="A258" i="24"/>
  <c r="AB257" i="24"/>
  <c r="AJ257" i="24"/>
  <c r="AC257" i="24"/>
  <c r="O257" i="24"/>
  <c r="L259" i="22"/>
  <c r="A260" i="22"/>
  <c r="AJ259" i="22"/>
  <c r="X259" i="22"/>
  <c r="K259" i="22"/>
  <c r="AB259" i="22"/>
  <c r="AK259" i="22"/>
  <c r="AC259" i="22"/>
  <c r="O259" i="22"/>
  <c r="A265" i="18"/>
  <c r="K264" i="18"/>
  <c r="AJ264" i="18"/>
  <c r="AB264" i="18"/>
  <c r="X264" i="18"/>
  <c r="L264" i="18"/>
  <c r="AK264" i="18"/>
  <c r="AC264" i="18"/>
  <c r="O264" i="18"/>
  <c r="X256" i="25"/>
  <c r="AB256" i="25"/>
  <c r="A257" i="25"/>
  <c r="AK256" i="25"/>
  <c r="K256" i="25"/>
  <c r="L256" i="25"/>
  <c r="AJ256" i="25"/>
  <c r="AC256" i="25"/>
  <c r="O256" i="25"/>
  <c r="X258" i="23"/>
  <c r="AB258" i="23"/>
  <c r="A259" i="23"/>
  <c r="AK258" i="23"/>
  <c r="K258" i="23"/>
  <c r="L258" i="23"/>
  <c r="AJ258" i="23"/>
  <c r="AC258" i="23"/>
  <c r="O258" i="23"/>
  <c r="K260" i="16"/>
  <c r="X260" i="16"/>
  <c r="AB260" i="16"/>
  <c r="AK260" i="16"/>
  <c r="L260" i="16"/>
  <c r="A261" i="16"/>
  <c r="AJ260" i="16"/>
  <c r="AC260" i="16"/>
  <c r="O260" i="16"/>
  <c r="X261" i="17"/>
  <c r="AB261" i="17"/>
  <c r="L261" i="17"/>
  <c r="D261" i="17" s="1"/>
  <c r="AK261" i="17"/>
  <c r="A262" i="17"/>
  <c r="K261" i="17"/>
  <c r="AJ261" i="17"/>
  <c r="O261" i="17"/>
  <c r="AC261" i="17"/>
  <c r="I264" i="1"/>
  <c r="AA264" i="1"/>
  <c r="Z264" i="1" s="1"/>
  <c r="Y264" i="1" s="1"/>
  <c r="G264" i="1"/>
  <c r="BW264" i="6" s="1"/>
  <c r="D266" i="1"/>
  <c r="E266" i="1" s="1"/>
  <c r="T266" i="1"/>
  <c r="X267" i="1"/>
  <c r="AC267" i="1"/>
  <c r="Q267" i="1"/>
  <c r="AJ267" i="1"/>
  <c r="O267" i="1"/>
  <c r="U267" i="1"/>
  <c r="L267" i="1"/>
  <c r="AK267" i="1"/>
  <c r="K267" i="1"/>
  <c r="AB267" i="1"/>
  <c r="A268" i="1"/>
  <c r="K266" i="15"/>
  <c r="L266" i="15"/>
  <c r="D266" i="15" s="1"/>
  <c r="AK266" i="15"/>
  <c r="AJ266" i="15"/>
  <c r="A267" i="15"/>
  <c r="AB266" i="15"/>
  <c r="X266" i="15"/>
  <c r="AC266" i="15"/>
  <c r="O266" i="15"/>
  <c r="AB260" i="20"/>
  <c r="A261" i="20"/>
  <c r="X260" i="20"/>
  <c r="AK260" i="20"/>
  <c r="L260" i="20"/>
  <c r="K260" i="20"/>
  <c r="AJ260" i="20"/>
  <c r="AC260" i="20"/>
  <c r="O260" i="20"/>
  <c r="E261" i="17" l="1"/>
  <c r="E266" i="15"/>
  <c r="I265" i="1"/>
  <c r="AA265" i="1"/>
  <c r="Z265" i="1" s="1"/>
  <c r="Y265" i="1" s="1"/>
  <c r="G265" i="1"/>
  <c r="BW265" i="6" s="1"/>
  <c r="K261" i="20"/>
  <c r="AB261" i="20"/>
  <c r="AJ261" i="20"/>
  <c r="X261" i="20"/>
  <c r="A262" i="20"/>
  <c r="L261" i="20"/>
  <c r="AK261" i="20"/>
  <c r="AC261" i="20"/>
  <c r="O261" i="20"/>
  <c r="T267" i="1"/>
  <c r="S266" i="1"/>
  <c r="R266" i="1" s="1"/>
  <c r="P266" i="1" s="1"/>
  <c r="V266" i="1" s="1"/>
  <c r="F266" i="1" s="1"/>
  <c r="K261" i="16"/>
  <c r="AB261" i="16"/>
  <c r="AJ261" i="16"/>
  <c r="L261" i="16"/>
  <c r="A262" i="16"/>
  <c r="X261" i="16"/>
  <c r="AK261" i="16"/>
  <c r="AC261" i="16"/>
  <c r="O261" i="16"/>
  <c r="X259" i="23"/>
  <c r="L259" i="23"/>
  <c r="AJ259" i="23"/>
  <c r="AB259" i="23"/>
  <c r="K259" i="23"/>
  <c r="A260" i="23"/>
  <c r="AK259" i="23"/>
  <c r="AC259" i="23"/>
  <c r="O259" i="23"/>
  <c r="X257" i="25"/>
  <c r="A258" i="25"/>
  <c r="L257" i="25"/>
  <c r="AK257" i="25"/>
  <c r="AB257" i="25"/>
  <c r="K257" i="25"/>
  <c r="AJ257" i="25"/>
  <c r="AC257" i="25"/>
  <c r="O257" i="25"/>
  <c r="K260" i="22"/>
  <c r="AB260" i="22"/>
  <c r="AJ260" i="22"/>
  <c r="L260" i="22"/>
  <c r="A261" i="22"/>
  <c r="X260" i="22"/>
  <c r="AK260" i="22"/>
  <c r="AC260" i="22"/>
  <c r="O260" i="22"/>
  <c r="A259" i="24"/>
  <c r="X258" i="24"/>
  <c r="AB258" i="24"/>
  <c r="AK258" i="24"/>
  <c r="K258" i="24"/>
  <c r="L258" i="24"/>
  <c r="AJ258" i="24"/>
  <c r="AC258" i="24"/>
  <c r="O258" i="24"/>
  <c r="AB267" i="15"/>
  <c r="AK267" i="15"/>
  <c r="AJ267" i="15"/>
  <c r="A268" i="15"/>
  <c r="K267" i="15"/>
  <c r="L267" i="15"/>
  <c r="X267" i="15"/>
  <c r="AC267" i="15"/>
  <c r="O267" i="15"/>
  <c r="AC268" i="1"/>
  <c r="AB268" i="1"/>
  <c r="AK268" i="1"/>
  <c r="K268" i="1"/>
  <c r="Q268" i="1"/>
  <c r="X268" i="1"/>
  <c r="O268" i="1"/>
  <c r="AJ268" i="1"/>
  <c r="A269" i="1"/>
  <c r="L268" i="1"/>
  <c r="D268" i="1" s="1"/>
  <c r="U268" i="1"/>
  <c r="D267" i="1"/>
  <c r="E267" i="1" s="1"/>
  <c r="AB262" i="17"/>
  <c r="A263" i="17"/>
  <c r="K262" i="17"/>
  <c r="AK262" i="17"/>
  <c r="L262" i="17"/>
  <c r="X262" i="17"/>
  <c r="AJ262" i="17"/>
  <c r="O262" i="17"/>
  <c r="AC262" i="17"/>
  <c r="D260" i="16"/>
  <c r="E260" i="16" s="1"/>
  <c r="X265" i="18"/>
  <c r="AB265" i="18"/>
  <c r="AJ265" i="18"/>
  <c r="K265" i="18"/>
  <c r="L265" i="18"/>
  <c r="A266" i="18"/>
  <c r="AK265" i="18"/>
  <c r="O265" i="18"/>
  <c r="AC265" i="18"/>
  <c r="E268" i="1" l="1"/>
  <c r="AA266" i="1"/>
  <c r="Z266" i="1" s="1"/>
  <c r="Y266" i="1" s="1"/>
  <c r="G266" i="1"/>
  <c r="BW266" i="6" s="1"/>
  <c r="I266" i="1"/>
  <c r="X266" i="18"/>
  <c r="K266" i="18"/>
  <c r="L266" i="18"/>
  <c r="AK266" i="18"/>
  <c r="A267" i="18"/>
  <c r="AB266" i="18"/>
  <c r="AJ266" i="18"/>
  <c r="O266" i="18"/>
  <c r="AC266" i="18"/>
  <c r="D262" i="17"/>
  <c r="T268" i="1"/>
  <c r="AJ269" i="1"/>
  <c r="AC269" i="1"/>
  <c r="Q269" i="1"/>
  <c r="A270" i="1"/>
  <c r="U269" i="1"/>
  <c r="L269" i="1"/>
  <c r="D269" i="1" s="1"/>
  <c r="O269" i="1"/>
  <c r="AB269" i="1"/>
  <c r="K269" i="1"/>
  <c r="X269" i="1"/>
  <c r="AK269" i="1"/>
  <c r="D267" i="15"/>
  <c r="E267" i="15" s="1"/>
  <c r="L268" i="15"/>
  <c r="D268" i="15" s="1"/>
  <c r="AK268" i="15"/>
  <c r="X268" i="15"/>
  <c r="K268" i="15"/>
  <c r="A269" i="15"/>
  <c r="AB268" i="15"/>
  <c r="AJ268" i="15"/>
  <c r="AC268" i="15"/>
  <c r="O268" i="15"/>
  <c r="E268" i="15" s="1"/>
  <c r="X259" i="24"/>
  <c r="K259" i="24"/>
  <c r="L259" i="24"/>
  <c r="AK259" i="24"/>
  <c r="AB259" i="24"/>
  <c r="A260" i="24"/>
  <c r="AJ259" i="24"/>
  <c r="AC259" i="24"/>
  <c r="O259" i="24"/>
  <c r="X261" i="22"/>
  <c r="AB261" i="22"/>
  <c r="A262" i="22"/>
  <c r="AK261" i="22"/>
  <c r="L261" i="22"/>
  <c r="K261" i="22"/>
  <c r="AJ261" i="22"/>
  <c r="AC261" i="22"/>
  <c r="O261" i="22"/>
  <c r="L258" i="25"/>
  <c r="AB258" i="25"/>
  <c r="AJ258" i="25"/>
  <c r="A259" i="25"/>
  <c r="X258" i="25"/>
  <c r="K258" i="25"/>
  <c r="AK258" i="25"/>
  <c r="AC258" i="25"/>
  <c r="O258" i="25"/>
  <c r="X260" i="23"/>
  <c r="K260" i="23"/>
  <c r="AJ260" i="23"/>
  <c r="A261" i="23"/>
  <c r="AB260" i="23"/>
  <c r="L260" i="23"/>
  <c r="AK260" i="23"/>
  <c r="AC260" i="23"/>
  <c r="O260" i="23"/>
  <c r="D261" i="16"/>
  <c r="E261" i="16" s="1"/>
  <c r="E262" i="17"/>
  <c r="AB263" i="17"/>
  <c r="X263" i="17"/>
  <c r="K263" i="17"/>
  <c r="AK263" i="17"/>
  <c r="L263" i="17"/>
  <c r="A264" i="17"/>
  <c r="AJ263" i="17"/>
  <c r="O263" i="17"/>
  <c r="AC263" i="17"/>
  <c r="L262" i="16"/>
  <c r="A263" i="16"/>
  <c r="AJ262" i="16"/>
  <c r="K262" i="16"/>
  <c r="AB262" i="16"/>
  <c r="X262" i="16"/>
  <c r="AK262" i="16"/>
  <c r="AC262" i="16"/>
  <c r="O262" i="16"/>
  <c r="S267" i="1"/>
  <c r="R267" i="1" s="1"/>
  <c r="P267" i="1" s="1"/>
  <c r="V267" i="1" s="1"/>
  <c r="F267" i="1" s="1"/>
  <c r="L262" i="20"/>
  <c r="AB262" i="20"/>
  <c r="AJ262" i="20"/>
  <c r="X262" i="20"/>
  <c r="K262" i="20"/>
  <c r="A263" i="20"/>
  <c r="AK262" i="20"/>
  <c r="AC262" i="20"/>
  <c r="O262" i="20"/>
  <c r="I267" i="1" l="1"/>
  <c r="AA267" i="1"/>
  <c r="Z267" i="1" s="1"/>
  <c r="Y267" i="1" s="1"/>
  <c r="G267" i="1"/>
  <c r="BW267" i="6" s="1"/>
  <c r="D262" i="16"/>
  <c r="E262" i="16" s="1"/>
  <c r="D263" i="17"/>
  <c r="E263" i="17" s="1"/>
  <c r="K261" i="23"/>
  <c r="A262" i="23"/>
  <c r="AB261" i="23"/>
  <c r="AK261" i="23"/>
  <c r="L261" i="23"/>
  <c r="X261" i="23"/>
  <c r="AJ261" i="23"/>
  <c r="AC261" i="23"/>
  <c r="O261" i="23"/>
  <c r="K260" i="24"/>
  <c r="X260" i="24"/>
  <c r="AJ260" i="24"/>
  <c r="AB260" i="24"/>
  <c r="L260" i="24"/>
  <c r="A261" i="24"/>
  <c r="AK260" i="24"/>
  <c r="AC260" i="24"/>
  <c r="O260" i="24"/>
  <c r="T269" i="1"/>
  <c r="S268" i="1"/>
  <c r="R268" i="1" s="1"/>
  <c r="P268" i="1" s="1"/>
  <c r="V268" i="1" s="1"/>
  <c r="F268" i="1" s="1"/>
  <c r="K267" i="18"/>
  <c r="L267" i="18"/>
  <c r="AJ267" i="18"/>
  <c r="AB267" i="18"/>
  <c r="A268" i="18"/>
  <c r="X267" i="18"/>
  <c r="AK267" i="18"/>
  <c r="AC267" i="18"/>
  <c r="O267" i="18"/>
  <c r="AB263" i="20"/>
  <c r="L263" i="20"/>
  <c r="K263" i="20"/>
  <c r="AK263" i="20"/>
  <c r="X263" i="20"/>
  <c r="A264" i="20"/>
  <c r="AJ263" i="20"/>
  <c r="AC263" i="20"/>
  <c r="O263" i="20"/>
  <c r="X263" i="16"/>
  <c r="AB263" i="16"/>
  <c r="AJ263" i="16"/>
  <c r="A264" i="16"/>
  <c r="L263" i="16"/>
  <c r="K263" i="16"/>
  <c r="AK263" i="16"/>
  <c r="AC263" i="16"/>
  <c r="O263" i="16"/>
  <c r="X264" i="17"/>
  <c r="L264" i="17"/>
  <c r="AJ264" i="17"/>
  <c r="A265" i="17"/>
  <c r="AB264" i="17"/>
  <c r="K264" i="17"/>
  <c r="AK264" i="17"/>
  <c r="O264" i="17"/>
  <c r="AC264" i="17"/>
  <c r="K259" i="25"/>
  <c r="AB259" i="25"/>
  <c r="X259" i="25"/>
  <c r="AK259" i="25"/>
  <c r="A260" i="25"/>
  <c r="L259" i="25"/>
  <c r="AJ259" i="25"/>
  <c r="AC259" i="25"/>
  <c r="O259" i="25"/>
  <c r="X262" i="22"/>
  <c r="A263" i="22"/>
  <c r="AJ262" i="22"/>
  <c r="K262" i="22"/>
  <c r="L262" i="22"/>
  <c r="AB262" i="22"/>
  <c r="AK262" i="22"/>
  <c r="AC262" i="22"/>
  <c r="O262" i="22"/>
  <c r="AB269" i="15"/>
  <c r="AK269" i="15"/>
  <c r="AJ269" i="15"/>
  <c r="K269" i="15"/>
  <c r="X269" i="15"/>
  <c r="L269" i="15"/>
  <c r="A270" i="15"/>
  <c r="AC269" i="15"/>
  <c r="O269" i="15"/>
  <c r="E269" i="1"/>
  <c r="A271" i="1"/>
  <c r="AC270" i="1"/>
  <c r="O270" i="1"/>
  <c r="Q270" i="1"/>
  <c r="K270" i="1"/>
  <c r="X270" i="1"/>
  <c r="AJ270" i="1"/>
  <c r="L270" i="1"/>
  <c r="D270" i="1" s="1"/>
  <c r="AB270" i="1"/>
  <c r="AK270" i="1"/>
  <c r="U270" i="1"/>
  <c r="G268" i="1" l="1"/>
  <c r="BW268" i="6" s="1"/>
  <c r="AA268" i="1"/>
  <c r="Z268" i="1" s="1"/>
  <c r="Y268" i="1" s="1"/>
  <c r="I268" i="1"/>
  <c r="T270" i="1"/>
  <c r="X270" i="15"/>
  <c r="L270" i="15"/>
  <c r="D270" i="15" s="1"/>
  <c r="A271" i="15"/>
  <c r="K270" i="15"/>
  <c r="AB270" i="15"/>
  <c r="AK270" i="15"/>
  <c r="AJ270" i="15"/>
  <c r="AC270" i="15"/>
  <c r="O270" i="15"/>
  <c r="L264" i="20"/>
  <c r="K264" i="20"/>
  <c r="AJ264" i="20"/>
  <c r="AB264" i="20"/>
  <c r="A265" i="20"/>
  <c r="X264" i="20"/>
  <c r="AK264" i="20"/>
  <c r="AC264" i="20"/>
  <c r="O264" i="20"/>
  <c r="E270" i="1"/>
  <c r="D269" i="15"/>
  <c r="E269" i="15" s="1"/>
  <c r="X263" i="22"/>
  <c r="K263" i="22"/>
  <c r="L263" i="22"/>
  <c r="AK263" i="22"/>
  <c r="AB263" i="22"/>
  <c r="A264" i="22"/>
  <c r="AJ263" i="22"/>
  <c r="AC263" i="22"/>
  <c r="O263" i="22"/>
  <c r="X265" i="17"/>
  <c r="L265" i="17"/>
  <c r="D265" i="17" s="1"/>
  <c r="AJ265" i="17"/>
  <c r="K265" i="17"/>
  <c r="AB265" i="17"/>
  <c r="A266" i="17"/>
  <c r="AK265" i="17"/>
  <c r="O265" i="17"/>
  <c r="E265" i="17" s="1"/>
  <c r="AC265" i="17"/>
  <c r="D264" i="17"/>
  <c r="E264" i="17" s="1"/>
  <c r="L264" i="16"/>
  <c r="X264" i="16"/>
  <c r="K264" i="16"/>
  <c r="AK264" i="16"/>
  <c r="A265" i="16"/>
  <c r="AB264" i="16"/>
  <c r="AJ264" i="16"/>
  <c r="AC264" i="16"/>
  <c r="O264" i="16"/>
  <c r="AK271" i="1"/>
  <c r="AJ271" i="1"/>
  <c r="Q271" i="1"/>
  <c r="K271" i="1"/>
  <c r="AC271" i="1"/>
  <c r="AB271" i="1"/>
  <c r="X271" i="1"/>
  <c r="L271" i="1"/>
  <c r="O271" i="1"/>
  <c r="A272" i="1"/>
  <c r="U271" i="1"/>
  <c r="X260" i="25"/>
  <c r="L260" i="25"/>
  <c r="AJ260" i="25"/>
  <c r="A261" i="25"/>
  <c r="K260" i="25"/>
  <c r="AB260" i="25"/>
  <c r="AK260" i="25"/>
  <c r="AC260" i="25"/>
  <c r="O260" i="25"/>
  <c r="D263" i="16"/>
  <c r="E263" i="16" s="1"/>
  <c r="X268" i="18"/>
  <c r="A269" i="18"/>
  <c r="K268" i="18"/>
  <c r="AK268" i="18"/>
  <c r="AB268" i="18"/>
  <c r="L268" i="18"/>
  <c r="AJ268" i="18"/>
  <c r="AC268" i="18"/>
  <c r="O268" i="18"/>
  <c r="S269" i="1"/>
  <c r="R269" i="1" s="1"/>
  <c r="P269" i="1" s="1"/>
  <c r="V269" i="1" s="1"/>
  <c r="F269" i="1" s="1"/>
  <c r="A262" i="24"/>
  <c r="K261" i="24"/>
  <c r="L261" i="24"/>
  <c r="AK261" i="24"/>
  <c r="AB261" i="24"/>
  <c r="X261" i="24"/>
  <c r="AJ261" i="24"/>
  <c r="AC261" i="24"/>
  <c r="O261" i="24"/>
  <c r="L262" i="23"/>
  <c r="X262" i="23"/>
  <c r="AJ262" i="23"/>
  <c r="AB262" i="23"/>
  <c r="A263" i="23"/>
  <c r="K262" i="23"/>
  <c r="AK262" i="23"/>
  <c r="AC262" i="23"/>
  <c r="O262" i="23"/>
  <c r="E270" i="15" l="1"/>
  <c r="AA269" i="1"/>
  <c r="Z269" i="1" s="1"/>
  <c r="Y269" i="1" s="1"/>
  <c r="I269" i="1"/>
  <c r="G269" i="1"/>
  <c r="BW269" i="6" s="1"/>
  <c r="L262" i="24"/>
  <c r="AB262" i="24"/>
  <c r="AJ262" i="24"/>
  <c r="A263" i="24"/>
  <c r="K262" i="24"/>
  <c r="X262" i="24"/>
  <c r="AK262" i="24"/>
  <c r="AC262" i="24"/>
  <c r="O262" i="24"/>
  <c r="L269" i="18"/>
  <c r="K269" i="18"/>
  <c r="AJ269" i="18"/>
  <c r="X269" i="18"/>
  <c r="AB269" i="18"/>
  <c r="A270" i="18"/>
  <c r="AK269" i="18"/>
  <c r="O269" i="18"/>
  <c r="AC269" i="18"/>
  <c r="K261" i="25"/>
  <c r="AB261" i="25"/>
  <c r="AJ261" i="25"/>
  <c r="A262" i="25"/>
  <c r="X261" i="25"/>
  <c r="L261" i="25"/>
  <c r="AK261" i="25"/>
  <c r="AC261" i="25"/>
  <c r="O261" i="25"/>
  <c r="X272" i="1"/>
  <c r="AB272" i="1"/>
  <c r="L272" i="1"/>
  <c r="O272" i="1"/>
  <c r="C28" i="7" s="1"/>
  <c r="K272" i="1"/>
  <c r="Q272" i="1"/>
  <c r="A28" i="7"/>
  <c r="A273" i="1"/>
  <c r="AJ272" i="1"/>
  <c r="AC272" i="1"/>
  <c r="AK272" i="1"/>
  <c r="U272" i="1"/>
  <c r="D271" i="1"/>
  <c r="E271" i="1" s="1"/>
  <c r="AB265" i="16"/>
  <c r="L265" i="16"/>
  <c r="K265" i="16"/>
  <c r="AK265" i="16"/>
  <c r="X265" i="16"/>
  <c r="A266" i="16"/>
  <c r="AJ265" i="16"/>
  <c r="AC265" i="16"/>
  <c r="O265" i="16"/>
  <c r="D264" i="16"/>
  <c r="E264" i="16" s="1"/>
  <c r="X266" i="17"/>
  <c r="K266" i="17"/>
  <c r="L266" i="17"/>
  <c r="D266" i="17" s="1"/>
  <c r="AK266" i="17"/>
  <c r="AB266" i="17"/>
  <c r="A267" i="17"/>
  <c r="AJ266" i="17"/>
  <c r="O266" i="17"/>
  <c r="AC266" i="17"/>
  <c r="X265" i="20"/>
  <c r="A266" i="20"/>
  <c r="AJ265" i="20"/>
  <c r="AB265" i="20"/>
  <c r="L265" i="20"/>
  <c r="K265" i="20"/>
  <c r="AK265" i="20"/>
  <c r="AC265" i="20"/>
  <c r="O265" i="20"/>
  <c r="K271" i="15"/>
  <c r="X271" i="15"/>
  <c r="A272" i="15"/>
  <c r="AJ271" i="15"/>
  <c r="L271" i="15"/>
  <c r="AB271" i="15"/>
  <c r="AK271" i="15"/>
  <c r="O271" i="15"/>
  <c r="AC271" i="15"/>
  <c r="S270" i="1"/>
  <c r="R270" i="1" s="1"/>
  <c r="P270" i="1" s="1"/>
  <c r="V270" i="1" s="1"/>
  <c r="F270" i="1" s="1"/>
  <c r="A264" i="23"/>
  <c r="L263" i="23"/>
  <c r="AJ263" i="23"/>
  <c r="X263" i="23"/>
  <c r="K263" i="23"/>
  <c r="AB263" i="23"/>
  <c r="AK263" i="23"/>
  <c r="AC263" i="23"/>
  <c r="O263" i="23"/>
  <c r="T271" i="1"/>
  <c r="A265" i="22"/>
  <c r="K264" i="22"/>
  <c r="X264" i="22"/>
  <c r="AK264" i="22"/>
  <c r="L264" i="22"/>
  <c r="AB264" i="22"/>
  <c r="AJ264" i="22"/>
  <c r="AC264" i="22"/>
  <c r="O264" i="22"/>
  <c r="E266" i="17" l="1"/>
  <c r="A265" i="23"/>
  <c r="AB264" i="23"/>
  <c r="AJ264" i="23"/>
  <c r="X264" i="23"/>
  <c r="L264" i="23"/>
  <c r="K264" i="23"/>
  <c r="AK264" i="23"/>
  <c r="AC264" i="23"/>
  <c r="O264" i="23"/>
  <c r="I270" i="1"/>
  <c r="AA270" i="1"/>
  <c r="Z270" i="1" s="1"/>
  <c r="Y270" i="1" s="1"/>
  <c r="G270" i="1"/>
  <c r="BW270" i="6" s="1"/>
  <c r="D271" i="15"/>
  <c r="E271" i="15" s="1"/>
  <c r="X272" i="15"/>
  <c r="A40" i="7"/>
  <c r="AB272" i="15"/>
  <c r="K272" i="15"/>
  <c r="AK272" i="15"/>
  <c r="L272" i="15"/>
  <c r="A273" i="15"/>
  <c r="AJ272" i="15"/>
  <c r="AC272" i="15"/>
  <c r="O272" i="15"/>
  <c r="C40" i="7" s="1"/>
  <c r="L266" i="20"/>
  <c r="K266" i="20"/>
  <c r="AJ266" i="20"/>
  <c r="A267" i="20"/>
  <c r="AB266" i="20"/>
  <c r="X266" i="20"/>
  <c r="AK266" i="20"/>
  <c r="AC266" i="20"/>
  <c r="O266" i="20"/>
  <c r="X266" i="16"/>
  <c r="A267" i="16"/>
  <c r="AJ266" i="16"/>
  <c r="AB266" i="16"/>
  <c r="L266" i="16"/>
  <c r="K266" i="16"/>
  <c r="AK266" i="16"/>
  <c r="AC266" i="16"/>
  <c r="O266" i="16"/>
  <c r="D265" i="16"/>
  <c r="E265" i="16" s="1"/>
  <c r="T272" i="1"/>
  <c r="AC273" i="1"/>
  <c r="A274" i="1"/>
  <c r="L273" i="1"/>
  <c r="D273" i="1" s="1"/>
  <c r="AB273" i="1"/>
  <c r="AK273" i="1"/>
  <c r="U273" i="1"/>
  <c r="X273" i="1"/>
  <c r="AJ273" i="1"/>
  <c r="Q273" i="1"/>
  <c r="K273" i="1"/>
  <c r="O273" i="1"/>
  <c r="K263" i="24"/>
  <c r="L263" i="24"/>
  <c r="AJ263" i="24"/>
  <c r="A264" i="24"/>
  <c r="AB263" i="24"/>
  <c r="X263" i="24"/>
  <c r="AK263" i="24"/>
  <c r="AC263" i="24"/>
  <c r="O263" i="24"/>
  <c r="X265" i="22"/>
  <c r="L265" i="22"/>
  <c r="AJ265" i="22"/>
  <c r="K265" i="22"/>
  <c r="A266" i="22"/>
  <c r="AB265" i="22"/>
  <c r="AK265" i="22"/>
  <c r="AC265" i="22"/>
  <c r="O265" i="22"/>
  <c r="S271" i="1"/>
  <c r="R271" i="1" s="1"/>
  <c r="P271" i="1" s="1"/>
  <c r="V271" i="1" s="1"/>
  <c r="F271" i="1" s="1"/>
  <c r="X267" i="17"/>
  <c r="A268" i="17"/>
  <c r="L267" i="17"/>
  <c r="AK267" i="17"/>
  <c r="AB267" i="17"/>
  <c r="K267" i="17"/>
  <c r="AJ267" i="17"/>
  <c r="O267" i="17"/>
  <c r="AC267" i="17"/>
  <c r="D272" i="1"/>
  <c r="E272" i="1" s="1"/>
  <c r="B28" i="7"/>
  <c r="AB262" i="25"/>
  <c r="L262" i="25"/>
  <c r="A263" i="25"/>
  <c r="AK262" i="25"/>
  <c r="K262" i="25"/>
  <c r="X262" i="25"/>
  <c r="AJ262" i="25"/>
  <c r="AC262" i="25"/>
  <c r="O262" i="25"/>
  <c r="A271" i="18"/>
  <c r="X270" i="18"/>
  <c r="K270" i="18"/>
  <c r="AK270" i="18"/>
  <c r="L270" i="18"/>
  <c r="AB270" i="18"/>
  <c r="AJ270" i="18"/>
  <c r="AC270" i="18"/>
  <c r="O270" i="18"/>
  <c r="X268" i="17" l="1"/>
  <c r="AB268" i="17"/>
  <c r="L268" i="17"/>
  <c r="D268" i="17" s="1"/>
  <c r="AK268" i="17"/>
  <c r="K268" i="17"/>
  <c r="A269" i="17"/>
  <c r="AJ268" i="17"/>
  <c r="O268" i="17"/>
  <c r="AC268" i="17"/>
  <c r="AA271" i="1"/>
  <c r="Z271" i="1" s="1"/>
  <c r="Y271" i="1" s="1"/>
  <c r="I271" i="1"/>
  <c r="G271" i="1"/>
  <c r="BW271" i="6" s="1"/>
  <c r="L266" i="22"/>
  <c r="AB266" i="22"/>
  <c r="AJ266" i="22"/>
  <c r="X266" i="22"/>
  <c r="A267" i="22"/>
  <c r="K266" i="22"/>
  <c r="AK266" i="22"/>
  <c r="AC266" i="22"/>
  <c r="O266" i="22"/>
  <c r="E273" i="1"/>
  <c r="S272" i="1"/>
  <c r="R272" i="1" s="1"/>
  <c r="P272" i="1" s="1"/>
  <c r="L267" i="16"/>
  <c r="A268" i="16"/>
  <c r="AJ267" i="16"/>
  <c r="X267" i="16"/>
  <c r="AB267" i="16"/>
  <c r="K267" i="16"/>
  <c r="AK267" i="16"/>
  <c r="AC267" i="16"/>
  <c r="O267" i="16"/>
  <c r="AB267" i="20"/>
  <c r="X267" i="20"/>
  <c r="L267" i="20"/>
  <c r="AK267" i="20"/>
  <c r="A268" i="20"/>
  <c r="K267" i="20"/>
  <c r="AJ267" i="20"/>
  <c r="AC267" i="20"/>
  <c r="O267" i="20"/>
  <c r="D272" i="15"/>
  <c r="E272" i="15" s="1"/>
  <c r="B40" i="7"/>
  <c r="K271" i="18"/>
  <c r="L271" i="18"/>
  <c r="AJ271" i="18"/>
  <c r="AB271" i="18"/>
  <c r="X271" i="18"/>
  <c r="A272" i="18"/>
  <c r="AK271" i="18"/>
  <c r="O271" i="18"/>
  <c r="AC271" i="18"/>
  <c r="A264" i="25"/>
  <c r="AB263" i="25"/>
  <c r="AJ263" i="25"/>
  <c r="X263" i="25"/>
  <c r="L263" i="25"/>
  <c r="K263" i="25"/>
  <c r="AK263" i="25"/>
  <c r="AC263" i="25"/>
  <c r="O263" i="25"/>
  <c r="D267" i="17"/>
  <c r="E267" i="17" s="1"/>
  <c r="X264" i="24"/>
  <c r="L264" i="24"/>
  <c r="AB264" i="24"/>
  <c r="AK264" i="24"/>
  <c r="A265" i="24"/>
  <c r="K264" i="24"/>
  <c r="AJ264" i="24"/>
  <c r="AC264" i="24"/>
  <c r="O264" i="24"/>
  <c r="T273" i="1"/>
  <c r="X274" i="1"/>
  <c r="Q274" i="1"/>
  <c r="AC274" i="1"/>
  <c r="AJ274" i="1"/>
  <c r="K274" i="1"/>
  <c r="U274" i="1"/>
  <c r="AB274" i="1"/>
  <c r="O274" i="1"/>
  <c r="A275" i="1"/>
  <c r="L274" i="1"/>
  <c r="AK274" i="1"/>
  <c r="D266" i="16"/>
  <c r="E266" i="16" s="1"/>
  <c r="A274" i="15"/>
  <c r="AB273" i="15"/>
  <c r="AJ273" i="15"/>
  <c r="X273" i="15"/>
  <c r="L273" i="15"/>
  <c r="D273" i="15" s="1"/>
  <c r="K273" i="15"/>
  <c r="AK273" i="15"/>
  <c r="AC273" i="15"/>
  <c r="O273" i="15"/>
  <c r="L265" i="23"/>
  <c r="AB265" i="23"/>
  <c r="AJ265" i="23"/>
  <c r="A266" i="23"/>
  <c r="X265" i="23"/>
  <c r="K265" i="23"/>
  <c r="AK265" i="23"/>
  <c r="AC265" i="23"/>
  <c r="O265" i="23"/>
  <c r="E268" i="17" l="1"/>
  <c r="D28" i="7"/>
  <c r="V272" i="1"/>
  <c r="F272" i="1" s="1"/>
  <c r="E273" i="15"/>
  <c r="AB274" i="15"/>
  <c r="X274" i="15"/>
  <c r="L274" i="15"/>
  <c r="D274" i="15" s="1"/>
  <c r="AJ274" i="15"/>
  <c r="AK274" i="15"/>
  <c r="K274" i="15"/>
  <c r="A275" i="15"/>
  <c r="AC274" i="15"/>
  <c r="O274" i="15"/>
  <c r="E274" i="15" s="1"/>
  <c r="A276" i="1"/>
  <c r="Q275" i="1"/>
  <c r="AJ275" i="1"/>
  <c r="AB275" i="1"/>
  <c r="U275" i="1"/>
  <c r="AK275" i="1"/>
  <c r="K275" i="1"/>
  <c r="X275" i="1"/>
  <c r="O275" i="1"/>
  <c r="L275" i="1"/>
  <c r="AC275" i="1"/>
  <c r="S273" i="1"/>
  <c r="R273" i="1" s="1"/>
  <c r="P273" i="1" s="1"/>
  <c r="V273" i="1" s="1"/>
  <c r="F273" i="1" s="1"/>
  <c r="X264" i="25"/>
  <c r="K264" i="25"/>
  <c r="A265" i="25"/>
  <c r="AK264" i="25"/>
  <c r="L264" i="25"/>
  <c r="AB264" i="25"/>
  <c r="AJ264" i="25"/>
  <c r="AC264" i="25"/>
  <c r="O264" i="25"/>
  <c r="X268" i="20"/>
  <c r="L268" i="20"/>
  <c r="AB268" i="20"/>
  <c r="AK268" i="20"/>
  <c r="K268" i="20"/>
  <c r="A269" i="20"/>
  <c r="AJ268" i="20"/>
  <c r="AC268" i="20"/>
  <c r="O268" i="20"/>
  <c r="X268" i="16"/>
  <c r="L268" i="16"/>
  <c r="AJ268" i="16"/>
  <c r="A269" i="16"/>
  <c r="AB268" i="16"/>
  <c r="K268" i="16"/>
  <c r="AK268" i="16"/>
  <c r="AC268" i="16"/>
  <c r="O268" i="16"/>
  <c r="A267" i="23"/>
  <c r="L266" i="23"/>
  <c r="AJ266" i="23"/>
  <c r="X266" i="23"/>
  <c r="K266" i="23"/>
  <c r="AB266" i="23"/>
  <c r="AK266" i="23"/>
  <c r="AC266" i="23"/>
  <c r="O266" i="23"/>
  <c r="D274" i="1"/>
  <c r="E274" i="1" s="1"/>
  <c r="T274" i="1"/>
  <c r="K265" i="24"/>
  <c r="L265" i="24"/>
  <c r="X265" i="24"/>
  <c r="AK265" i="24"/>
  <c r="A266" i="24"/>
  <c r="AB265" i="24"/>
  <c r="AJ265" i="24"/>
  <c r="AC265" i="24"/>
  <c r="O265" i="24"/>
  <c r="AB272" i="18"/>
  <c r="A273" i="18"/>
  <c r="K272" i="18"/>
  <c r="AJ272" i="18"/>
  <c r="X272" i="18"/>
  <c r="A76" i="7"/>
  <c r="L272" i="18"/>
  <c r="AK272" i="18"/>
  <c r="AC272" i="18"/>
  <c r="O272" i="18"/>
  <c r="C76" i="7" s="1"/>
  <c r="D267" i="16"/>
  <c r="E267" i="16" s="1"/>
  <c r="A268" i="22"/>
  <c r="X267" i="22"/>
  <c r="K267" i="22"/>
  <c r="AK267" i="22"/>
  <c r="AB267" i="22"/>
  <c r="L267" i="22"/>
  <c r="AJ267" i="22"/>
  <c r="AC267" i="22"/>
  <c r="O267" i="22"/>
  <c r="AB269" i="17"/>
  <c r="A270" i="17"/>
  <c r="AJ269" i="17"/>
  <c r="K269" i="17"/>
  <c r="X269" i="17"/>
  <c r="L269" i="17"/>
  <c r="D269" i="17" s="1"/>
  <c r="AK269" i="17"/>
  <c r="O269" i="17"/>
  <c r="AC269" i="17"/>
  <c r="E269" i="17" l="1"/>
  <c r="AB270" i="17"/>
  <c r="A271" i="17"/>
  <c r="AJ270" i="17"/>
  <c r="X270" i="17"/>
  <c r="K270" i="17"/>
  <c r="L270" i="17"/>
  <c r="AK270" i="17"/>
  <c r="O270" i="17"/>
  <c r="AC270" i="17"/>
  <c r="X268" i="22"/>
  <c r="L268" i="22"/>
  <c r="AJ268" i="22"/>
  <c r="AB268" i="22"/>
  <c r="K268" i="22"/>
  <c r="A269" i="22"/>
  <c r="AK268" i="22"/>
  <c r="AC268" i="22"/>
  <c r="O268" i="22"/>
  <c r="B76" i="7"/>
  <c r="AB266" i="24"/>
  <c r="X266" i="24"/>
  <c r="A267" i="24"/>
  <c r="AK266" i="24"/>
  <c r="L266" i="24"/>
  <c r="K266" i="24"/>
  <c r="AJ266" i="24"/>
  <c r="AC266" i="24"/>
  <c r="O266" i="24"/>
  <c r="X267" i="23"/>
  <c r="L267" i="23"/>
  <c r="AB267" i="23"/>
  <c r="AK267" i="23"/>
  <c r="A268" i="23"/>
  <c r="K267" i="23"/>
  <c r="AJ267" i="23"/>
  <c r="AC267" i="23"/>
  <c r="O267" i="23"/>
  <c r="AB269" i="16"/>
  <c r="L269" i="16"/>
  <c r="K269" i="16"/>
  <c r="AK269" i="16"/>
  <c r="X269" i="16"/>
  <c r="A270" i="16"/>
  <c r="AJ269" i="16"/>
  <c r="AC269" i="16"/>
  <c r="O269" i="16"/>
  <c r="D268" i="16"/>
  <c r="E268" i="16" s="1"/>
  <c r="A266" i="25"/>
  <c r="AB265" i="25"/>
  <c r="AJ265" i="25"/>
  <c r="K265" i="25"/>
  <c r="X265" i="25"/>
  <c r="L265" i="25"/>
  <c r="AK265" i="25"/>
  <c r="AC265" i="25"/>
  <c r="O265" i="25"/>
  <c r="I273" i="1"/>
  <c r="AA273" i="1"/>
  <c r="Z273" i="1" s="1"/>
  <c r="Y273" i="1" s="1"/>
  <c r="G273" i="1"/>
  <c r="BW273" i="6" s="1"/>
  <c r="T275" i="1"/>
  <c r="AB276" i="1"/>
  <c r="L276" i="1"/>
  <c r="D276" i="1" s="1"/>
  <c r="K276" i="1"/>
  <c r="AJ276" i="1"/>
  <c r="X276" i="1"/>
  <c r="A277" i="1"/>
  <c r="AK276" i="1"/>
  <c r="AC276" i="1"/>
  <c r="O276" i="1"/>
  <c r="Q276" i="1"/>
  <c r="U276" i="1"/>
  <c r="AA272" i="1"/>
  <c r="Z272" i="1" s="1"/>
  <c r="Y272" i="1" s="1"/>
  <c r="I272" i="1"/>
  <c r="G272" i="1"/>
  <c r="BW272" i="6" s="1"/>
  <c r="L273" i="18"/>
  <c r="AB273" i="18"/>
  <c r="AJ273" i="18"/>
  <c r="A274" i="18"/>
  <c r="X273" i="18"/>
  <c r="K273" i="18"/>
  <c r="AK273" i="18"/>
  <c r="O273" i="18"/>
  <c r="AC273" i="18"/>
  <c r="S274" i="1"/>
  <c r="R274" i="1" s="1"/>
  <c r="P274" i="1" s="1"/>
  <c r="V274" i="1" s="1"/>
  <c r="F274" i="1" s="1"/>
  <c r="AB269" i="20"/>
  <c r="X269" i="20"/>
  <c r="AJ269" i="20"/>
  <c r="K269" i="20"/>
  <c r="A270" i="20"/>
  <c r="L269" i="20"/>
  <c r="AK269" i="20"/>
  <c r="AC269" i="20"/>
  <c r="O269" i="20"/>
  <c r="D275" i="1"/>
  <c r="E275" i="1" s="1"/>
  <c r="K275" i="15"/>
  <c r="L275" i="15"/>
  <c r="AK275" i="15"/>
  <c r="A276" i="15"/>
  <c r="X275" i="15"/>
  <c r="AB275" i="15"/>
  <c r="AJ275" i="15"/>
  <c r="AC275" i="15"/>
  <c r="O275" i="15"/>
  <c r="E276" i="1" l="1"/>
  <c r="AA274" i="1"/>
  <c r="Z274" i="1" s="1"/>
  <c r="Y274" i="1" s="1"/>
  <c r="I274" i="1"/>
  <c r="G274" i="1"/>
  <c r="BW274" i="6" s="1"/>
  <c r="AJ277" i="1"/>
  <c r="AK277" i="1"/>
  <c r="L277" i="1"/>
  <c r="A278" i="1"/>
  <c r="K277" i="1"/>
  <c r="Q277" i="1"/>
  <c r="AB277" i="1"/>
  <c r="O277" i="1"/>
  <c r="AC277" i="1"/>
  <c r="X277" i="1"/>
  <c r="U277" i="1"/>
  <c r="S275" i="1"/>
  <c r="R275" i="1" s="1"/>
  <c r="P275" i="1" s="1"/>
  <c r="V275" i="1" s="1"/>
  <c r="F275" i="1" s="1"/>
  <c r="AB266" i="25"/>
  <c r="L266" i="25"/>
  <c r="K266" i="25"/>
  <c r="AK266" i="25"/>
  <c r="A267" i="25"/>
  <c r="X266" i="25"/>
  <c r="AJ266" i="25"/>
  <c r="AC266" i="25"/>
  <c r="O266" i="25"/>
  <c r="AB270" i="16"/>
  <c r="K270" i="16"/>
  <c r="AJ270" i="16"/>
  <c r="A271" i="16"/>
  <c r="L270" i="16"/>
  <c r="X270" i="16"/>
  <c r="AK270" i="16"/>
  <c r="AC270" i="16"/>
  <c r="O270" i="16"/>
  <c r="D269" i="16"/>
  <c r="E269" i="16" s="1"/>
  <c r="AB268" i="23"/>
  <c r="X268" i="23"/>
  <c r="AJ268" i="23"/>
  <c r="K268" i="23"/>
  <c r="L268" i="23"/>
  <c r="A269" i="23"/>
  <c r="AK268" i="23"/>
  <c r="AC268" i="23"/>
  <c r="O268" i="23"/>
  <c r="AB267" i="24"/>
  <c r="A268" i="24"/>
  <c r="X267" i="24"/>
  <c r="AK267" i="24"/>
  <c r="K267" i="24"/>
  <c r="L267" i="24"/>
  <c r="AJ267" i="24"/>
  <c r="AC267" i="24"/>
  <c r="O267" i="24"/>
  <c r="AB276" i="15"/>
  <c r="AK276" i="15"/>
  <c r="AJ276" i="15"/>
  <c r="A277" i="15"/>
  <c r="L276" i="15"/>
  <c r="D276" i="15" s="1"/>
  <c r="X276" i="15"/>
  <c r="K276" i="15"/>
  <c r="AC276" i="15"/>
  <c r="O276" i="15"/>
  <c r="D275" i="15"/>
  <c r="E275" i="15" s="1"/>
  <c r="K270" i="20"/>
  <c r="A271" i="20"/>
  <c r="AJ270" i="20"/>
  <c r="AB270" i="20"/>
  <c r="X270" i="20"/>
  <c r="L270" i="20"/>
  <c r="AK270" i="20"/>
  <c r="AC270" i="20"/>
  <c r="O270" i="20"/>
  <c r="X274" i="18"/>
  <c r="AB274" i="18"/>
  <c r="AJ274" i="18"/>
  <c r="A275" i="18"/>
  <c r="L274" i="18"/>
  <c r="K274" i="18"/>
  <c r="AK274" i="18"/>
  <c r="O274" i="18"/>
  <c r="AC274" i="18"/>
  <c r="T276" i="1"/>
  <c r="AB269" i="22"/>
  <c r="L269" i="22"/>
  <c r="K269" i="22"/>
  <c r="AK269" i="22"/>
  <c r="A270" i="22"/>
  <c r="X269" i="22"/>
  <c r="AJ269" i="22"/>
  <c r="AC269" i="22"/>
  <c r="O269" i="22"/>
  <c r="D270" i="17"/>
  <c r="E270" i="17" s="1"/>
  <c r="L271" i="17"/>
  <c r="D271" i="17" s="1"/>
  <c r="X271" i="17"/>
  <c r="AJ271" i="17"/>
  <c r="A272" i="17"/>
  <c r="K271" i="17"/>
  <c r="AB271" i="17"/>
  <c r="AK271" i="17"/>
  <c r="O271" i="17"/>
  <c r="AC271" i="17"/>
  <c r="E276" i="15" l="1"/>
  <c r="E271" i="17"/>
  <c r="G275" i="1"/>
  <c r="BW275" i="6" s="1"/>
  <c r="I275" i="1"/>
  <c r="AA275" i="1"/>
  <c r="Z275" i="1" s="1"/>
  <c r="Y275" i="1" s="1"/>
  <c r="L270" i="22"/>
  <c r="AB270" i="22"/>
  <c r="AJ270" i="22"/>
  <c r="A271" i="22"/>
  <c r="X270" i="22"/>
  <c r="K270" i="22"/>
  <c r="AK270" i="22"/>
  <c r="AC270" i="22"/>
  <c r="O270" i="22"/>
  <c r="L277" i="15"/>
  <c r="D277" i="15" s="1"/>
  <c r="K277" i="15"/>
  <c r="A278" i="15"/>
  <c r="X277" i="15"/>
  <c r="AK277" i="15"/>
  <c r="AB277" i="15"/>
  <c r="AJ277" i="15"/>
  <c r="AC277" i="15"/>
  <c r="O277" i="15"/>
  <c r="E277" i="15" s="1"/>
  <c r="X268" i="24"/>
  <c r="A269" i="24"/>
  <c r="L268" i="24"/>
  <c r="AK268" i="24"/>
  <c r="AB268" i="24"/>
  <c r="K268" i="24"/>
  <c r="AJ268" i="24"/>
  <c r="AC268" i="24"/>
  <c r="O268" i="24"/>
  <c r="AB269" i="23"/>
  <c r="L269" i="23"/>
  <c r="AJ269" i="23"/>
  <c r="X269" i="23"/>
  <c r="K269" i="23"/>
  <c r="A270" i="23"/>
  <c r="AK269" i="23"/>
  <c r="AC269" i="23"/>
  <c r="O269" i="23"/>
  <c r="A272" i="16"/>
  <c r="K271" i="16"/>
  <c r="AB271" i="16"/>
  <c r="AK271" i="16"/>
  <c r="X271" i="16"/>
  <c r="L271" i="16"/>
  <c r="AJ271" i="16"/>
  <c r="AC271" i="16"/>
  <c r="O271" i="16"/>
  <c r="T277" i="1"/>
  <c r="D277" i="1"/>
  <c r="A64" i="7"/>
  <c r="X272" i="17"/>
  <c r="A273" i="17"/>
  <c r="AJ272" i="17"/>
  <c r="AB272" i="17"/>
  <c r="K272" i="17"/>
  <c r="L272" i="17"/>
  <c r="AK272" i="17"/>
  <c r="O272" i="17"/>
  <c r="C64" i="7" s="1"/>
  <c r="AC272" i="17"/>
  <c r="S276" i="1"/>
  <c r="R276" i="1" s="1"/>
  <c r="P276" i="1" s="1"/>
  <c r="A276" i="18"/>
  <c r="AB275" i="18"/>
  <c r="L275" i="18"/>
  <c r="AK275" i="18"/>
  <c r="X275" i="18"/>
  <c r="K275" i="18"/>
  <c r="AJ275" i="18"/>
  <c r="AC275" i="18"/>
  <c r="O275" i="18"/>
  <c r="A272" i="20"/>
  <c r="AB271" i="20"/>
  <c r="AJ271" i="20"/>
  <c r="K271" i="20"/>
  <c r="L271" i="20"/>
  <c r="X271" i="20"/>
  <c r="AK271" i="20"/>
  <c r="AC271" i="20"/>
  <c r="O271" i="20"/>
  <c r="D270" i="16"/>
  <c r="E270" i="16" s="1"/>
  <c r="K267" i="25"/>
  <c r="AB267" i="25"/>
  <c r="L267" i="25"/>
  <c r="AK267" i="25"/>
  <c r="X267" i="25"/>
  <c r="A268" i="25"/>
  <c r="AJ267" i="25"/>
  <c r="AC267" i="25"/>
  <c r="O267" i="25"/>
  <c r="E277" i="1"/>
  <c r="O278" i="1"/>
  <c r="Q278" i="1"/>
  <c r="K278" i="1"/>
  <c r="L278" i="1"/>
  <c r="D278" i="1" s="1"/>
  <c r="AB278" i="1"/>
  <c r="U278" i="1"/>
  <c r="AC278" i="1"/>
  <c r="AK278" i="1"/>
  <c r="AJ278" i="1"/>
  <c r="X278" i="1"/>
  <c r="A279" i="1"/>
  <c r="A280" i="1" l="1"/>
  <c r="Q279" i="1"/>
  <c r="AB279" i="1"/>
  <c r="AJ279" i="1"/>
  <c r="AC279" i="1"/>
  <c r="AK279" i="1"/>
  <c r="K279" i="1"/>
  <c r="O279" i="1"/>
  <c r="L279" i="1"/>
  <c r="X279" i="1"/>
  <c r="U279" i="1"/>
  <c r="E278" i="1"/>
  <c r="K272" i="20"/>
  <c r="AB272" i="20"/>
  <c r="AE28" i="7"/>
  <c r="AK272" i="20"/>
  <c r="X272" i="20"/>
  <c r="L272" i="20"/>
  <c r="A273" i="20"/>
  <c r="AJ272" i="20"/>
  <c r="AC272" i="20"/>
  <c r="O272" i="20"/>
  <c r="AG28" i="7" s="1"/>
  <c r="D272" i="17"/>
  <c r="E272" i="17" s="1"/>
  <c r="B64" i="7"/>
  <c r="L273" i="17"/>
  <c r="D273" i="17" s="1"/>
  <c r="A274" i="17"/>
  <c r="AJ273" i="17"/>
  <c r="K273" i="17"/>
  <c r="AB273" i="17"/>
  <c r="X273" i="17"/>
  <c r="AK273" i="17"/>
  <c r="O273" i="17"/>
  <c r="AC273" i="17"/>
  <c r="A273" i="16"/>
  <c r="K272" i="16"/>
  <c r="A52" i="7"/>
  <c r="AJ272" i="16"/>
  <c r="AB272" i="16"/>
  <c r="L272" i="16"/>
  <c r="X272" i="16"/>
  <c r="AK272" i="16"/>
  <c r="AC272" i="16"/>
  <c r="O272" i="16"/>
  <c r="C52" i="7" s="1"/>
  <c r="K269" i="24"/>
  <c r="A270" i="24"/>
  <c r="AB269" i="24"/>
  <c r="AK269" i="24"/>
  <c r="L269" i="24"/>
  <c r="X269" i="24"/>
  <c r="AJ269" i="24"/>
  <c r="AC269" i="24"/>
  <c r="O269" i="24"/>
  <c r="A279" i="15"/>
  <c r="AK278" i="15"/>
  <c r="AB278" i="15"/>
  <c r="X278" i="15"/>
  <c r="K278" i="15"/>
  <c r="L278" i="15"/>
  <c r="D278" i="15" s="1"/>
  <c r="AJ278" i="15"/>
  <c r="AC278" i="15"/>
  <c r="O278" i="15"/>
  <c r="X271" i="22"/>
  <c r="AB271" i="22"/>
  <c r="K271" i="22"/>
  <c r="AK271" i="22"/>
  <c r="L271" i="22"/>
  <c r="A272" i="22"/>
  <c r="AJ271" i="22"/>
  <c r="AC271" i="22"/>
  <c r="O271" i="22"/>
  <c r="T278" i="1"/>
  <c r="AB268" i="25"/>
  <c r="K268" i="25"/>
  <c r="A269" i="25"/>
  <c r="AK268" i="25"/>
  <c r="X268" i="25"/>
  <c r="L268" i="25"/>
  <c r="AJ268" i="25"/>
  <c r="AC268" i="25"/>
  <c r="O268" i="25"/>
  <c r="L276" i="18"/>
  <c r="AB276" i="18"/>
  <c r="AJ276" i="18"/>
  <c r="A277" i="18"/>
  <c r="X276" i="18"/>
  <c r="K276" i="18"/>
  <c r="AK276" i="18"/>
  <c r="O276" i="18"/>
  <c r="AC276" i="18"/>
  <c r="V276" i="1"/>
  <c r="F276" i="1" s="1"/>
  <c r="S277" i="1"/>
  <c r="R277" i="1" s="1"/>
  <c r="P277" i="1" s="1"/>
  <c r="V277" i="1" s="1"/>
  <c r="F277" i="1" s="1"/>
  <c r="D271" i="16"/>
  <c r="E271" i="16" s="1"/>
  <c r="X270" i="23"/>
  <c r="K270" i="23"/>
  <c r="AB270" i="23"/>
  <c r="AK270" i="23"/>
  <c r="L270" i="23"/>
  <c r="A271" i="23"/>
  <c r="AJ270" i="23"/>
  <c r="AC270" i="23"/>
  <c r="O270" i="23"/>
  <c r="E278" i="15" l="1"/>
  <c r="K277" i="18"/>
  <c r="L277" i="18"/>
  <c r="AJ277" i="18"/>
  <c r="AB277" i="18"/>
  <c r="X277" i="18"/>
  <c r="A278" i="18"/>
  <c r="AK277" i="18"/>
  <c r="O277" i="18"/>
  <c r="AC277" i="18"/>
  <c r="A270" i="25"/>
  <c r="X269" i="25"/>
  <c r="K269" i="25"/>
  <c r="AK269" i="25"/>
  <c r="L269" i="25"/>
  <c r="AB269" i="25"/>
  <c r="AJ269" i="25"/>
  <c r="AC269" i="25"/>
  <c r="O269" i="25"/>
  <c r="S278" i="1"/>
  <c r="R278" i="1" s="1"/>
  <c r="P278" i="1" s="1"/>
  <c r="V278" i="1" s="1"/>
  <c r="F278" i="1" s="1"/>
  <c r="X272" i="22"/>
  <c r="K272" i="22"/>
  <c r="AE40" i="7"/>
  <c r="AJ272" i="22"/>
  <c r="AB272" i="22"/>
  <c r="L272" i="22"/>
  <c r="A273" i="22"/>
  <c r="AK272" i="22"/>
  <c r="AC272" i="22"/>
  <c r="O272" i="22"/>
  <c r="AG40" i="7" s="1"/>
  <c r="L279" i="15"/>
  <c r="D279" i="15" s="1"/>
  <c r="A280" i="15"/>
  <c r="K279" i="15"/>
  <c r="X279" i="15"/>
  <c r="AB279" i="15"/>
  <c r="AK279" i="15"/>
  <c r="AJ279" i="15"/>
  <c r="AC279" i="15"/>
  <c r="O279" i="15"/>
  <c r="E279" i="15" s="1"/>
  <c r="B52" i="7"/>
  <c r="D272" i="16"/>
  <c r="E272" i="16" s="1"/>
  <c r="E273" i="17"/>
  <c r="AF28" i="7"/>
  <c r="X271" i="23"/>
  <c r="A272" i="23"/>
  <c r="AJ271" i="23"/>
  <c r="K271" i="23"/>
  <c r="AB271" i="23"/>
  <c r="L271" i="23"/>
  <c r="AK271" i="23"/>
  <c r="AC271" i="23"/>
  <c r="O271" i="23"/>
  <c r="G277" i="1"/>
  <c r="BW277" i="6" s="1"/>
  <c r="AA277" i="1"/>
  <c r="Z277" i="1" s="1"/>
  <c r="Y277" i="1" s="1"/>
  <c r="I277" i="1"/>
  <c r="G276" i="1"/>
  <c r="BW276" i="6" s="1"/>
  <c r="AA276" i="1"/>
  <c r="Z276" i="1" s="1"/>
  <c r="Y276" i="1" s="1"/>
  <c r="I276" i="1"/>
  <c r="AB270" i="24"/>
  <c r="A271" i="24"/>
  <c r="AJ270" i="24"/>
  <c r="X270" i="24"/>
  <c r="K270" i="24"/>
  <c r="L270" i="24"/>
  <c r="AK270" i="24"/>
  <c r="AC270" i="24"/>
  <c r="O270" i="24"/>
  <c r="AB273" i="16"/>
  <c r="X273" i="16"/>
  <c r="AJ273" i="16"/>
  <c r="L273" i="16"/>
  <c r="K273" i="16"/>
  <c r="A274" i="16"/>
  <c r="AK273" i="16"/>
  <c r="AC273" i="16"/>
  <c r="O273" i="16"/>
  <c r="A275" i="17"/>
  <c r="K274" i="17"/>
  <c r="AJ274" i="17"/>
  <c r="X274" i="17"/>
  <c r="AB274" i="17"/>
  <c r="L274" i="17"/>
  <c r="D274" i="17" s="1"/>
  <c r="AK274" i="17"/>
  <c r="O274" i="17"/>
  <c r="E274" i="17" s="1"/>
  <c r="AC274" i="17"/>
  <c r="X273" i="20"/>
  <c r="A274" i="20"/>
  <c r="AJ273" i="20"/>
  <c r="K273" i="20"/>
  <c r="L273" i="20"/>
  <c r="AB273" i="20"/>
  <c r="AK273" i="20"/>
  <c r="AC273" i="20"/>
  <c r="O273" i="20"/>
  <c r="T279" i="1"/>
  <c r="D279" i="1"/>
  <c r="E279" i="1" s="1"/>
  <c r="L280" i="1"/>
  <c r="AK280" i="1"/>
  <c r="O280" i="1"/>
  <c r="AJ280" i="1"/>
  <c r="AB280" i="1"/>
  <c r="U280" i="1"/>
  <c r="A281" i="1"/>
  <c r="X280" i="1"/>
  <c r="AC280" i="1"/>
  <c r="K280" i="1"/>
  <c r="Q280" i="1"/>
  <c r="AA278" i="1" l="1"/>
  <c r="Z278" i="1" s="1"/>
  <c r="Y278" i="1" s="1"/>
  <c r="I278" i="1"/>
  <c r="G278" i="1"/>
  <c r="BW278" i="6" s="1"/>
  <c r="K281" i="1"/>
  <c r="AC281" i="1"/>
  <c r="AB281" i="1"/>
  <c r="L281" i="1"/>
  <c r="O281" i="1"/>
  <c r="U281" i="1"/>
  <c r="X281" i="1"/>
  <c r="A282" i="1"/>
  <c r="AJ281" i="1"/>
  <c r="Q281" i="1"/>
  <c r="AK281" i="1"/>
  <c r="D280" i="1"/>
  <c r="E280" i="1" s="1"/>
  <c r="S279" i="1"/>
  <c r="R279" i="1" s="1"/>
  <c r="P279" i="1" s="1"/>
  <c r="V279" i="1" s="1"/>
  <c r="F279" i="1" s="1"/>
  <c r="AB274" i="20"/>
  <c r="X274" i="20"/>
  <c r="K274" i="20"/>
  <c r="AK274" i="20"/>
  <c r="A275" i="20"/>
  <c r="L274" i="20"/>
  <c r="AJ274" i="20"/>
  <c r="AC274" i="20"/>
  <c r="O274" i="20"/>
  <c r="X275" i="17"/>
  <c r="L275" i="17"/>
  <c r="AB275" i="17"/>
  <c r="AK275" i="17"/>
  <c r="A276" i="17"/>
  <c r="K275" i="17"/>
  <c r="AJ275" i="17"/>
  <c r="O275" i="17"/>
  <c r="AC275" i="17"/>
  <c r="K274" i="16"/>
  <c r="X274" i="16"/>
  <c r="AJ274" i="16"/>
  <c r="L274" i="16"/>
  <c r="A275" i="16"/>
  <c r="AB274" i="16"/>
  <c r="AK274" i="16"/>
  <c r="AC274" i="16"/>
  <c r="O274" i="16"/>
  <c r="D273" i="16"/>
  <c r="E273" i="16" s="1"/>
  <c r="AF40" i="7"/>
  <c r="A271" i="25"/>
  <c r="L270" i="25"/>
  <c r="AB270" i="25"/>
  <c r="AK270" i="25"/>
  <c r="K270" i="25"/>
  <c r="X270" i="25"/>
  <c r="AJ270" i="25"/>
  <c r="AC270" i="25"/>
  <c r="O270" i="25"/>
  <c r="T280" i="1"/>
  <c r="AB271" i="24"/>
  <c r="A272" i="24"/>
  <c r="AJ271" i="24"/>
  <c r="X271" i="24"/>
  <c r="L271" i="24"/>
  <c r="K271" i="24"/>
  <c r="AK271" i="24"/>
  <c r="AC271" i="24"/>
  <c r="O271" i="24"/>
  <c r="A273" i="23"/>
  <c r="L272" i="23"/>
  <c r="X272" i="23"/>
  <c r="AJ272" i="23"/>
  <c r="AE52" i="7"/>
  <c r="K272" i="23"/>
  <c r="AB272" i="23"/>
  <c r="AK272" i="23"/>
  <c r="AC272" i="23"/>
  <c r="O272" i="23"/>
  <c r="AG52" i="7" s="1"/>
  <c r="L280" i="15"/>
  <c r="D280" i="15" s="1"/>
  <c r="AK280" i="15"/>
  <c r="X280" i="15"/>
  <c r="A281" i="15"/>
  <c r="AB280" i="15"/>
  <c r="K280" i="15"/>
  <c r="AJ280" i="15"/>
  <c r="AC280" i="15"/>
  <c r="O280" i="15"/>
  <c r="E280" i="15" s="1"/>
  <c r="K273" i="22"/>
  <c r="L273" i="22"/>
  <c r="AJ273" i="22"/>
  <c r="X273" i="22"/>
  <c r="AB273" i="22"/>
  <c r="A274" i="22"/>
  <c r="AK273" i="22"/>
  <c r="AC273" i="22"/>
  <c r="O273" i="22"/>
  <c r="AB278" i="18"/>
  <c r="A279" i="18"/>
  <c r="L278" i="18"/>
  <c r="AK278" i="18"/>
  <c r="X278" i="18"/>
  <c r="K278" i="18"/>
  <c r="AJ278" i="18"/>
  <c r="O278" i="18"/>
  <c r="AC278" i="18"/>
  <c r="K279" i="18" l="1"/>
  <c r="A280" i="18"/>
  <c r="X279" i="18"/>
  <c r="AK279" i="18"/>
  <c r="AB279" i="18"/>
  <c r="L279" i="18"/>
  <c r="AJ279" i="18"/>
  <c r="AC279" i="18"/>
  <c r="O279" i="18"/>
  <c r="X274" i="22"/>
  <c r="L274" i="22"/>
  <c r="A275" i="22"/>
  <c r="AK274" i="22"/>
  <c r="AB274" i="22"/>
  <c r="K274" i="22"/>
  <c r="AJ274" i="22"/>
  <c r="AC274" i="22"/>
  <c r="O274" i="22"/>
  <c r="A274" i="23"/>
  <c r="AB273" i="23"/>
  <c r="L273" i="23"/>
  <c r="AK273" i="23"/>
  <c r="K273" i="23"/>
  <c r="X273" i="23"/>
  <c r="AJ273" i="23"/>
  <c r="AC273" i="23"/>
  <c r="O273" i="23"/>
  <c r="AE64" i="7"/>
  <c r="K272" i="24"/>
  <c r="L272" i="24"/>
  <c r="AK272" i="24"/>
  <c r="X272" i="24"/>
  <c r="AB272" i="24"/>
  <c r="A273" i="24"/>
  <c r="AJ272" i="24"/>
  <c r="AC272" i="24"/>
  <c r="O272" i="24"/>
  <c r="AG64" i="7" s="1"/>
  <c r="S280" i="1"/>
  <c r="R280" i="1" s="1"/>
  <c r="P280" i="1" s="1"/>
  <c r="V280" i="1" s="1"/>
  <c r="F280" i="1" s="1"/>
  <c r="X271" i="25"/>
  <c r="AB271" i="25"/>
  <c r="L271" i="25"/>
  <c r="AK271" i="25"/>
  <c r="A272" i="25"/>
  <c r="K271" i="25"/>
  <c r="AJ271" i="25"/>
  <c r="AC271" i="25"/>
  <c r="O271" i="25"/>
  <c r="D274" i="16"/>
  <c r="E274" i="16" s="1"/>
  <c r="L276" i="17"/>
  <c r="K276" i="17"/>
  <c r="AJ276" i="17"/>
  <c r="A277" i="17"/>
  <c r="X276" i="17"/>
  <c r="AB276" i="17"/>
  <c r="AK276" i="17"/>
  <c r="O276" i="17"/>
  <c r="AC276" i="17"/>
  <c r="X275" i="20"/>
  <c r="K275" i="20"/>
  <c r="AJ275" i="20"/>
  <c r="AB275" i="20"/>
  <c r="L275" i="20"/>
  <c r="A276" i="20"/>
  <c r="AK275" i="20"/>
  <c r="AC275" i="20"/>
  <c r="O275" i="20"/>
  <c r="K281" i="15"/>
  <c r="X281" i="15"/>
  <c r="A282" i="15"/>
  <c r="AJ281" i="15"/>
  <c r="L281" i="15"/>
  <c r="AB281" i="15"/>
  <c r="AK281" i="15"/>
  <c r="AC281" i="15"/>
  <c r="O281" i="15"/>
  <c r="AF52" i="7"/>
  <c r="A276" i="16"/>
  <c r="AB275" i="16"/>
  <c r="AJ275" i="16"/>
  <c r="X275" i="16"/>
  <c r="K275" i="16"/>
  <c r="L275" i="16"/>
  <c r="AK275" i="16"/>
  <c r="AC275" i="16"/>
  <c r="O275" i="16"/>
  <c r="D275" i="17"/>
  <c r="E275" i="17" s="1"/>
  <c r="I279" i="1"/>
  <c r="G279" i="1"/>
  <c r="BW279" i="6" s="1"/>
  <c r="AA279" i="1"/>
  <c r="Z279" i="1" s="1"/>
  <c r="Y279" i="1" s="1"/>
  <c r="X282" i="1"/>
  <c r="AJ282" i="1"/>
  <c r="L282" i="1"/>
  <c r="AK282" i="1"/>
  <c r="O282" i="1"/>
  <c r="U282" i="1"/>
  <c r="K282" i="1"/>
  <c r="Q282" i="1"/>
  <c r="A283" i="1"/>
  <c r="AC282" i="1"/>
  <c r="AB282" i="1"/>
  <c r="T281" i="1"/>
  <c r="D281" i="1"/>
  <c r="E281" i="1" s="1"/>
  <c r="I280" i="1" l="1"/>
  <c r="AA280" i="1"/>
  <c r="Z280" i="1" s="1"/>
  <c r="Y280" i="1" s="1"/>
  <c r="G280" i="1"/>
  <c r="BW280" i="6" s="1"/>
  <c r="T282" i="1"/>
  <c r="A277" i="16"/>
  <c r="X276" i="16"/>
  <c r="AJ276" i="16"/>
  <c r="L276" i="16"/>
  <c r="K276" i="16"/>
  <c r="AB276" i="16"/>
  <c r="AK276" i="16"/>
  <c r="AC276" i="16"/>
  <c r="O276" i="16"/>
  <c r="D281" i="15"/>
  <c r="E281" i="15" s="1"/>
  <c r="L282" i="15"/>
  <c r="A283" i="15"/>
  <c r="X282" i="15"/>
  <c r="AJ282" i="15"/>
  <c r="AB282" i="15"/>
  <c r="K282" i="15"/>
  <c r="AK282" i="15"/>
  <c r="AC282" i="15"/>
  <c r="O282" i="15"/>
  <c r="A277" i="20"/>
  <c r="L276" i="20"/>
  <c r="X276" i="20"/>
  <c r="AK276" i="20"/>
  <c r="K276" i="20"/>
  <c r="AB276" i="20"/>
  <c r="AJ276" i="20"/>
  <c r="AC276" i="20"/>
  <c r="O276" i="20"/>
  <c r="K277" i="17"/>
  <c r="L277" i="17"/>
  <c r="A278" i="17"/>
  <c r="AK277" i="17"/>
  <c r="X277" i="17"/>
  <c r="AB277" i="17"/>
  <c r="AJ277" i="17"/>
  <c r="O277" i="17"/>
  <c r="AC277" i="17"/>
  <c r="L273" i="24"/>
  <c r="AB273" i="24"/>
  <c r="AJ273" i="24"/>
  <c r="K273" i="24"/>
  <c r="A274" i="24"/>
  <c r="X273" i="24"/>
  <c r="AK273" i="24"/>
  <c r="AC273" i="24"/>
  <c r="O273" i="24"/>
  <c r="AF64" i="7"/>
  <c r="S281" i="1"/>
  <c r="R281" i="1" s="1"/>
  <c r="P281" i="1" s="1"/>
  <c r="V281" i="1" s="1"/>
  <c r="F281" i="1" s="1"/>
  <c r="AC283" i="1"/>
  <c r="X283" i="1"/>
  <c r="K283" i="1"/>
  <c r="Q283" i="1"/>
  <c r="U283" i="1"/>
  <c r="AB283" i="1"/>
  <c r="A284" i="1"/>
  <c r="L283" i="1"/>
  <c r="D283" i="1" s="1"/>
  <c r="AJ283" i="1"/>
  <c r="AK283" i="1"/>
  <c r="O283" i="1"/>
  <c r="D282" i="1"/>
  <c r="E282" i="1" s="1"/>
  <c r="D275" i="16"/>
  <c r="E275" i="16" s="1"/>
  <c r="D276" i="17"/>
  <c r="E276" i="17" s="1"/>
  <c r="AB272" i="25"/>
  <c r="AE76" i="7"/>
  <c r="X272" i="25"/>
  <c r="AJ272" i="25"/>
  <c r="L272" i="25"/>
  <c r="A273" i="25"/>
  <c r="K272" i="25"/>
  <c r="AK272" i="25"/>
  <c r="AC272" i="25"/>
  <c r="O272" i="25"/>
  <c r="AG76" i="7" s="1"/>
  <c r="K274" i="23"/>
  <c r="L274" i="23"/>
  <c r="AJ274" i="23"/>
  <c r="AB274" i="23"/>
  <c r="A275" i="23"/>
  <c r="X274" i="23"/>
  <c r="AK274" i="23"/>
  <c r="AC274" i="23"/>
  <c r="O274" i="23"/>
  <c r="A276" i="22"/>
  <c r="K275" i="22"/>
  <c r="L275" i="22"/>
  <c r="AK275" i="22"/>
  <c r="AB275" i="22"/>
  <c r="X275" i="22"/>
  <c r="AJ275" i="22"/>
  <c r="AC275" i="22"/>
  <c r="O275" i="22"/>
  <c r="L280" i="18"/>
  <c r="A281" i="18"/>
  <c r="X280" i="18"/>
  <c r="AK280" i="18"/>
  <c r="AB280" i="18"/>
  <c r="K280" i="18"/>
  <c r="AJ280" i="18"/>
  <c r="O280" i="18"/>
  <c r="AC280" i="18"/>
  <c r="E283" i="1" l="1"/>
  <c r="I281" i="1"/>
  <c r="AA281" i="1"/>
  <c r="Z281" i="1" s="1"/>
  <c r="Y281" i="1" s="1"/>
  <c r="G281" i="1"/>
  <c r="BW281" i="6" s="1"/>
  <c r="A282" i="18"/>
  <c r="AB281" i="18"/>
  <c r="L281" i="18"/>
  <c r="AK281" i="18"/>
  <c r="X281" i="18"/>
  <c r="K281" i="18"/>
  <c r="AJ281" i="18"/>
  <c r="O281" i="18"/>
  <c r="AC281" i="18"/>
  <c r="K276" i="22"/>
  <c r="A277" i="22"/>
  <c r="AJ276" i="22"/>
  <c r="AB276" i="22"/>
  <c r="X276" i="22"/>
  <c r="L276" i="22"/>
  <c r="AK276" i="22"/>
  <c r="AC276" i="22"/>
  <c r="O276" i="22"/>
  <c r="X275" i="23"/>
  <c r="K275" i="23"/>
  <c r="L275" i="23"/>
  <c r="AK275" i="23"/>
  <c r="A276" i="23"/>
  <c r="AB275" i="23"/>
  <c r="AJ275" i="23"/>
  <c r="AC275" i="23"/>
  <c r="O275" i="23"/>
  <c r="A274" i="25"/>
  <c r="K273" i="25"/>
  <c r="X273" i="25"/>
  <c r="AK273" i="25"/>
  <c r="L273" i="25"/>
  <c r="AB273" i="25"/>
  <c r="AJ273" i="25"/>
  <c r="AC273" i="25"/>
  <c r="O273" i="25"/>
  <c r="L284" i="1"/>
  <c r="AC284" i="1"/>
  <c r="O284" i="1"/>
  <c r="AJ284" i="1"/>
  <c r="Q284" i="1"/>
  <c r="U284" i="1"/>
  <c r="AB284" i="1"/>
  <c r="X284" i="1"/>
  <c r="K284" i="1"/>
  <c r="A285" i="1"/>
  <c r="AK284" i="1"/>
  <c r="T283" i="1"/>
  <c r="X274" i="24"/>
  <c r="K274" i="24"/>
  <c r="L274" i="24"/>
  <c r="AK274" i="24"/>
  <c r="AB274" i="24"/>
  <c r="A275" i="24"/>
  <c r="AJ274" i="24"/>
  <c r="AC274" i="24"/>
  <c r="O274" i="24"/>
  <c r="D277" i="17"/>
  <c r="E277" i="17" s="1"/>
  <c r="D282" i="15"/>
  <c r="E282" i="15" s="1"/>
  <c r="X277" i="16"/>
  <c r="L277" i="16"/>
  <c r="AB277" i="16"/>
  <c r="AK277" i="16"/>
  <c r="K277" i="16"/>
  <c r="A278" i="16"/>
  <c r="AJ277" i="16"/>
  <c r="AC277" i="16"/>
  <c r="O277" i="16"/>
  <c r="AF76" i="7"/>
  <c r="A279" i="17"/>
  <c r="L278" i="17"/>
  <c r="D278" i="17" s="1"/>
  <c r="AJ278" i="17"/>
  <c r="K278" i="17"/>
  <c r="X278" i="17"/>
  <c r="AB278" i="17"/>
  <c r="AK278" i="17"/>
  <c r="O278" i="17"/>
  <c r="AC278" i="17"/>
  <c r="K277" i="20"/>
  <c r="A278" i="20"/>
  <c r="X277" i="20"/>
  <c r="AK277" i="20"/>
  <c r="L277" i="20"/>
  <c r="AB277" i="20"/>
  <c r="AJ277" i="20"/>
  <c r="AC277" i="20"/>
  <c r="O277" i="20"/>
  <c r="K283" i="15"/>
  <c r="A284" i="15"/>
  <c r="AB283" i="15"/>
  <c r="X283" i="15"/>
  <c r="AK283" i="15"/>
  <c r="L283" i="15"/>
  <c r="AJ283" i="15"/>
  <c r="AC283" i="15"/>
  <c r="O283" i="15"/>
  <c r="D276" i="16"/>
  <c r="E276" i="16" s="1"/>
  <c r="S282" i="1"/>
  <c r="R282" i="1" s="1"/>
  <c r="P282" i="1" s="1"/>
  <c r="V282" i="1" s="1"/>
  <c r="F282" i="1" s="1"/>
  <c r="E278" i="17" l="1"/>
  <c r="L278" i="20"/>
  <c r="K278" i="20"/>
  <c r="AJ278" i="20"/>
  <c r="AB278" i="20"/>
  <c r="A279" i="20"/>
  <c r="X278" i="20"/>
  <c r="AK278" i="20"/>
  <c r="AC278" i="20"/>
  <c r="O278" i="20"/>
  <c r="X278" i="16"/>
  <c r="AB278" i="16"/>
  <c r="A279" i="16"/>
  <c r="AK278" i="16"/>
  <c r="K278" i="16"/>
  <c r="L278" i="16"/>
  <c r="AJ278" i="16"/>
  <c r="AC278" i="16"/>
  <c r="O278" i="16"/>
  <c r="D277" i="16"/>
  <c r="E277" i="16" s="1"/>
  <c r="D284" i="1"/>
  <c r="E284" i="1" s="1"/>
  <c r="AB274" i="25"/>
  <c r="L274" i="25"/>
  <c r="X274" i="25"/>
  <c r="AK274" i="25"/>
  <c r="K274" i="25"/>
  <c r="A275" i="25"/>
  <c r="AJ274" i="25"/>
  <c r="AC274" i="25"/>
  <c r="O274" i="25"/>
  <c r="K277" i="22"/>
  <c r="L277" i="22"/>
  <c r="AB277" i="22"/>
  <c r="AK277" i="22"/>
  <c r="A278" i="22"/>
  <c r="X277" i="22"/>
  <c r="AJ277" i="22"/>
  <c r="AC277" i="22"/>
  <c r="O277" i="22"/>
  <c r="I282" i="1"/>
  <c r="AA282" i="1"/>
  <c r="Z282" i="1" s="1"/>
  <c r="Y282" i="1" s="1"/>
  <c r="G282" i="1"/>
  <c r="BW282" i="6" s="1"/>
  <c r="D283" i="15"/>
  <c r="E283" i="15" s="1"/>
  <c r="AB284" i="15"/>
  <c r="K284" i="15"/>
  <c r="AK284" i="15"/>
  <c r="L284" i="15"/>
  <c r="D284" i="15" s="1"/>
  <c r="X284" i="15"/>
  <c r="A285" i="15"/>
  <c r="AJ284" i="15"/>
  <c r="AC284" i="15"/>
  <c r="O284" i="15"/>
  <c r="X279" i="17"/>
  <c r="AB279" i="17"/>
  <c r="AJ279" i="17"/>
  <c r="K279" i="17"/>
  <c r="A280" i="17"/>
  <c r="L279" i="17"/>
  <c r="D279" i="17" s="1"/>
  <c r="AK279" i="17"/>
  <c r="O279" i="17"/>
  <c r="E279" i="17" s="1"/>
  <c r="AC279" i="17"/>
  <c r="K275" i="24"/>
  <c r="L275" i="24"/>
  <c r="AJ275" i="24"/>
  <c r="AB275" i="24"/>
  <c r="X275" i="24"/>
  <c r="A276" i="24"/>
  <c r="AK275" i="24"/>
  <c r="AC275" i="24"/>
  <c r="O275" i="24"/>
  <c r="S283" i="1"/>
  <c r="R283" i="1" s="1"/>
  <c r="P283" i="1" s="1"/>
  <c r="K285" i="1"/>
  <c r="AK285" i="1"/>
  <c r="AJ285" i="1"/>
  <c r="X285" i="1"/>
  <c r="AB285" i="1"/>
  <c r="U285" i="1"/>
  <c r="A286" i="1"/>
  <c r="Q285" i="1"/>
  <c r="L285" i="1"/>
  <c r="D285" i="1" s="1"/>
  <c r="O285" i="1"/>
  <c r="AC285" i="1"/>
  <c r="T284" i="1"/>
  <c r="A277" i="23"/>
  <c r="K276" i="23"/>
  <c r="AJ276" i="23"/>
  <c r="AB276" i="23"/>
  <c r="L276" i="23"/>
  <c r="X276" i="23"/>
  <c r="AK276" i="23"/>
  <c r="AC276" i="23"/>
  <c r="O276" i="23"/>
  <c r="AB282" i="18"/>
  <c r="L282" i="18"/>
  <c r="K282" i="18"/>
  <c r="AK282" i="18"/>
  <c r="A283" i="18"/>
  <c r="X282" i="18"/>
  <c r="AJ282" i="18"/>
  <c r="O282" i="18"/>
  <c r="AC282" i="18"/>
  <c r="E285" i="1" l="1"/>
  <c r="S284" i="1"/>
  <c r="R284" i="1" s="1"/>
  <c r="P284" i="1" s="1"/>
  <c r="T285" i="1"/>
  <c r="V283" i="1"/>
  <c r="F283" i="1" s="1"/>
  <c r="A286" i="15"/>
  <c r="L285" i="15"/>
  <c r="D285" i="15" s="1"/>
  <c r="AB285" i="15"/>
  <c r="AK285" i="15"/>
  <c r="X285" i="15"/>
  <c r="K285" i="15"/>
  <c r="AJ285" i="15"/>
  <c r="AC285" i="15"/>
  <c r="O285" i="15"/>
  <c r="D278" i="16"/>
  <c r="E278" i="16" s="1"/>
  <c r="L283" i="18"/>
  <c r="X283" i="18"/>
  <c r="AJ283" i="18"/>
  <c r="AB283" i="18"/>
  <c r="K283" i="18"/>
  <c r="A284" i="18"/>
  <c r="AK283" i="18"/>
  <c r="O283" i="18"/>
  <c r="AC283" i="18"/>
  <c r="X277" i="23"/>
  <c r="L277" i="23"/>
  <c r="K277" i="23"/>
  <c r="AK277" i="23"/>
  <c r="AB277" i="23"/>
  <c r="A278" i="23"/>
  <c r="AJ277" i="23"/>
  <c r="AC277" i="23"/>
  <c r="O277" i="23"/>
  <c r="X286" i="1"/>
  <c r="AK286" i="1"/>
  <c r="O286" i="1"/>
  <c r="AJ286" i="1"/>
  <c r="K286" i="1"/>
  <c r="A287" i="1"/>
  <c r="Q286" i="1"/>
  <c r="AC286" i="1"/>
  <c r="L286" i="1"/>
  <c r="D286" i="1" s="1"/>
  <c r="E286" i="1" s="1"/>
  <c r="AB286" i="1"/>
  <c r="U286" i="1"/>
  <c r="X276" i="24"/>
  <c r="A277" i="24"/>
  <c r="AJ276" i="24"/>
  <c r="AB276" i="24"/>
  <c r="L276" i="24"/>
  <c r="K276" i="24"/>
  <c r="AK276" i="24"/>
  <c r="AC276" i="24"/>
  <c r="O276" i="24"/>
  <c r="L280" i="17"/>
  <c r="K280" i="17"/>
  <c r="AJ280" i="17"/>
  <c r="X280" i="17"/>
  <c r="AB280" i="17"/>
  <c r="A281" i="17"/>
  <c r="AK280" i="17"/>
  <c r="O280" i="17"/>
  <c r="AC280" i="17"/>
  <c r="E284" i="15"/>
  <c r="A279" i="22"/>
  <c r="L278" i="22"/>
  <c r="AJ278" i="22"/>
  <c r="AB278" i="22"/>
  <c r="K278" i="22"/>
  <c r="X278" i="22"/>
  <c r="AK278" i="22"/>
  <c r="AC278" i="22"/>
  <c r="O278" i="22"/>
  <c r="K275" i="25"/>
  <c r="L275" i="25"/>
  <c r="X275" i="25"/>
  <c r="AK275" i="25"/>
  <c r="A276" i="25"/>
  <c r="AB275" i="25"/>
  <c r="AJ275" i="25"/>
  <c r="AC275" i="25"/>
  <c r="O275" i="25"/>
  <c r="K279" i="16"/>
  <c r="AB279" i="16"/>
  <c r="AJ279" i="16"/>
  <c r="X279" i="16"/>
  <c r="L279" i="16"/>
  <c r="A280" i="16"/>
  <c r="AK279" i="16"/>
  <c r="AC279" i="16"/>
  <c r="O279" i="16"/>
  <c r="A280" i="20"/>
  <c r="AB279" i="20"/>
  <c r="L279" i="20"/>
  <c r="AK279" i="20"/>
  <c r="K279" i="20"/>
  <c r="X279" i="20"/>
  <c r="AJ279" i="20"/>
  <c r="AC279" i="20"/>
  <c r="O279" i="20"/>
  <c r="V284" i="1" l="1"/>
  <c r="F284" i="1" s="1"/>
  <c r="A281" i="20"/>
  <c r="L280" i="20"/>
  <c r="K280" i="20"/>
  <c r="AK280" i="20"/>
  <c r="X280" i="20"/>
  <c r="AB280" i="20"/>
  <c r="AJ280" i="20"/>
  <c r="AC280" i="20"/>
  <c r="O280" i="20"/>
  <c r="D279" i="16"/>
  <c r="E279" i="16" s="1"/>
  <c r="X279" i="22"/>
  <c r="K279" i="22"/>
  <c r="AJ279" i="22"/>
  <c r="A280" i="22"/>
  <c r="L279" i="22"/>
  <c r="AB279" i="22"/>
  <c r="AK279" i="22"/>
  <c r="AC279" i="22"/>
  <c r="O279" i="22"/>
  <c r="D280" i="17"/>
  <c r="AB287" i="1"/>
  <c r="AJ287" i="1"/>
  <c r="A288" i="1"/>
  <c r="O287" i="1"/>
  <c r="L287" i="1"/>
  <c r="D287" i="1" s="1"/>
  <c r="U287" i="1"/>
  <c r="K287" i="1"/>
  <c r="AC287" i="1"/>
  <c r="X287" i="1"/>
  <c r="AK287" i="1"/>
  <c r="Q287" i="1"/>
  <c r="G283" i="1"/>
  <c r="BW283" i="6" s="1"/>
  <c r="AA283" i="1"/>
  <c r="Z283" i="1" s="1"/>
  <c r="Y283" i="1" s="1"/>
  <c r="I283" i="1"/>
  <c r="S285" i="1"/>
  <c r="R285" i="1" s="1"/>
  <c r="P285" i="1" s="1"/>
  <c r="V285" i="1" s="1"/>
  <c r="F285" i="1" s="1"/>
  <c r="AB280" i="16"/>
  <c r="A281" i="16"/>
  <c r="AJ280" i="16"/>
  <c r="K280" i="16"/>
  <c r="L280" i="16"/>
  <c r="X280" i="16"/>
  <c r="AK280" i="16"/>
  <c r="AC280" i="16"/>
  <c r="O280" i="16"/>
  <c r="A277" i="25"/>
  <c r="K276" i="25"/>
  <c r="X276" i="25"/>
  <c r="AK276" i="25"/>
  <c r="AB276" i="25"/>
  <c r="L276" i="25"/>
  <c r="AJ276" i="25"/>
  <c r="AC276" i="25"/>
  <c r="O276" i="25"/>
  <c r="E280" i="17"/>
  <c r="K281" i="17"/>
  <c r="L281" i="17"/>
  <c r="D281" i="17" s="1"/>
  <c r="A282" i="17"/>
  <c r="AK281" i="17"/>
  <c r="AB281" i="17"/>
  <c r="X281" i="17"/>
  <c r="AJ281" i="17"/>
  <c r="O281" i="17"/>
  <c r="E281" i="17" s="1"/>
  <c r="AC281" i="17"/>
  <c r="X277" i="24"/>
  <c r="A278" i="24"/>
  <c r="L277" i="24"/>
  <c r="AK277" i="24"/>
  <c r="K277" i="24"/>
  <c r="AB277" i="24"/>
  <c r="AJ277" i="24"/>
  <c r="AC277" i="24"/>
  <c r="O277" i="24"/>
  <c r="T286" i="1"/>
  <c r="L278" i="23"/>
  <c r="X278" i="23"/>
  <c r="AJ278" i="23"/>
  <c r="K278" i="23"/>
  <c r="A279" i="23"/>
  <c r="AB278" i="23"/>
  <c r="AK278" i="23"/>
  <c r="AC278" i="23"/>
  <c r="O278" i="23"/>
  <c r="AB284" i="18"/>
  <c r="L284" i="18"/>
  <c r="AJ284" i="18"/>
  <c r="A285" i="18"/>
  <c r="X284" i="18"/>
  <c r="K284" i="18"/>
  <c r="AK284" i="18"/>
  <c r="O284" i="18"/>
  <c r="AC284" i="18"/>
  <c r="E285" i="15"/>
  <c r="X286" i="15"/>
  <c r="L286" i="15"/>
  <c r="D286" i="15" s="1"/>
  <c r="A287" i="15"/>
  <c r="AJ286" i="15"/>
  <c r="K286" i="15"/>
  <c r="AB286" i="15"/>
  <c r="AK286" i="15"/>
  <c r="AC286" i="15"/>
  <c r="O286" i="15"/>
  <c r="E286" i="15" l="1"/>
  <c r="I284" i="1"/>
  <c r="G284" i="1"/>
  <c r="BW284" i="6" s="1"/>
  <c r="AA284" i="1"/>
  <c r="Z284" i="1" s="1"/>
  <c r="Y284" i="1" s="1"/>
  <c r="E287" i="1"/>
  <c r="AA285" i="1"/>
  <c r="Z285" i="1" s="1"/>
  <c r="Y285" i="1" s="1"/>
  <c r="G285" i="1"/>
  <c r="BW285" i="6" s="1"/>
  <c r="I285" i="1"/>
  <c r="X287" i="15"/>
  <c r="AK287" i="15"/>
  <c r="K287" i="15"/>
  <c r="AJ287" i="15"/>
  <c r="A288" i="15"/>
  <c r="AB287" i="15"/>
  <c r="L287" i="15"/>
  <c r="O287" i="15"/>
  <c r="AC287" i="15"/>
  <c r="L279" i="23"/>
  <c r="A280" i="23"/>
  <c r="AJ279" i="23"/>
  <c r="K279" i="23"/>
  <c r="X279" i="23"/>
  <c r="AB279" i="23"/>
  <c r="AK279" i="23"/>
  <c r="AC279" i="23"/>
  <c r="O279" i="23"/>
  <c r="K281" i="16"/>
  <c r="AB281" i="16"/>
  <c r="AJ281" i="16"/>
  <c r="X281" i="16"/>
  <c r="L281" i="16"/>
  <c r="A282" i="16"/>
  <c r="AK281" i="16"/>
  <c r="AC281" i="16"/>
  <c r="O281" i="16"/>
  <c r="T287" i="1"/>
  <c r="AB280" i="22"/>
  <c r="A281" i="22"/>
  <c r="AJ280" i="22"/>
  <c r="X280" i="22"/>
  <c r="L280" i="22"/>
  <c r="K280" i="22"/>
  <c r="AK280" i="22"/>
  <c r="AC280" i="22"/>
  <c r="O280" i="22"/>
  <c r="X285" i="18"/>
  <c r="AB285" i="18"/>
  <c r="AJ285" i="18"/>
  <c r="L285" i="18"/>
  <c r="A286" i="18"/>
  <c r="K285" i="18"/>
  <c r="AK285" i="18"/>
  <c r="O285" i="18"/>
  <c r="AC285" i="18"/>
  <c r="S286" i="1"/>
  <c r="R286" i="1" s="1"/>
  <c r="P286" i="1" s="1"/>
  <c r="K278" i="24"/>
  <c r="L278" i="24"/>
  <c r="X278" i="24"/>
  <c r="AK278" i="24"/>
  <c r="A279" i="24"/>
  <c r="AB278" i="24"/>
  <c r="AJ278" i="24"/>
  <c r="AC278" i="24"/>
  <c r="O278" i="24"/>
  <c r="AB282" i="17"/>
  <c r="L282" i="17"/>
  <c r="D282" i="17" s="1"/>
  <c r="A283" i="17"/>
  <c r="AK282" i="17"/>
  <c r="X282" i="17"/>
  <c r="K282" i="17"/>
  <c r="AJ282" i="17"/>
  <c r="O282" i="17"/>
  <c r="E282" i="17" s="1"/>
  <c r="AC282" i="17"/>
  <c r="K277" i="25"/>
  <c r="A278" i="25"/>
  <c r="AJ277" i="25"/>
  <c r="AB277" i="25"/>
  <c r="L277" i="25"/>
  <c r="X277" i="25"/>
  <c r="AK277" i="25"/>
  <c r="AC277" i="25"/>
  <c r="O277" i="25"/>
  <c r="D280" i="16"/>
  <c r="E280" i="16" s="1"/>
  <c r="AJ288" i="1"/>
  <c r="O288" i="1"/>
  <c r="K288" i="1"/>
  <c r="AB288" i="1"/>
  <c r="L288" i="1"/>
  <c r="D288" i="1" s="1"/>
  <c r="X288" i="1"/>
  <c r="Q288" i="1"/>
  <c r="A289" i="1"/>
  <c r="AK288" i="1"/>
  <c r="AC288" i="1"/>
  <c r="U288" i="1"/>
  <c r="X281" i="20"/>
  <c r="A282" i="20"/>
  <c r="L281" i="20"/>
  <c r="AK281" i="20"/>
  <c r="K281" i="20"/>
  <c r="AB281" i="20"/>
  <c r="AJ281" i="20"/>
  <c r="AC281" i="20"/>
  <c r="O281" i="20"/>
  <c r="E288" i="1" l="1"/>
  <c r="V286" i="1"/>
  <c r="F286" i="1" s="1"/>
  <c r="K289" i="1"/>
  <c r="AK289" i="1"/>
  <c r="L289" i="1"/>
  <c r="D289" i="1" s="1"/>
  <c r="AC289" i="1"/>
  <c r="A290" i="1"/>
  <c r="X289" i="1"/>
  <c r="AB289" i="1"/>
  <c r="O289" i="1"/>
  <c r="Q289" i="1"/>
  <c r="AJ289" i="1"/>
  <c r="U289" i="1"/>
  <c r="L278" i="25"/>
  <c r="A279" i="25"/>
  <c r="AJ278" i="25"/>
  <c r="K278" i="25"/>
  <c r="AB278" i="25"/>
  <c r="X278" i="25"/>
  <c r="AK278" i="25"/>
  <c r="AC278" i="25"/>
  <c r="O278" i="25"/>
  <c r="AB286" i="18"/>
  <c r="K286" i="18"/>
  <c r="A287" i="18"/>
  <c r="AK286" i="18"/>
  <c r="X286" i="18"/>
  <c r="L286" i="18"/>
  <c r="AJ286" i="18"/>
  <c r="AC286" i="18"/>
  <c r="O286" i="18"/>
  <c r="S287" i="1"/>
  <c r="R287" i="1" s="1"/>
  <c r="P287" i="1" s="1"/>
  <c r="D281" i="16"/>
  <c r="E281" i="16" s="1"/>
  <c r="X282" i="20"/>
  <c r="K282" i="20"/>
  <c r="A283" i="20"/>
  <c r="AK282" i="20"/>
  <c r="L282" i="20"/>
  <c r="AB282" i="20"/>
  <c r="AJ282" i="20"/>
  <c r="AC282" i="20"/>
  <c r="O282" i="20"/>
  <c r="T288" i="1"/>
  <c r="X283" i="17"/>
  <c r="L283" i="17"/>
  <c r="D283" i="17" s="1"/>
  <c r="AJ283" i="17"/>
  <c r="K283" i="17"/>
  <c r="AB283" i="17"/>
  <c r="A284" i="17"/>
  <c r="AK283" i="17"/>
  <c r="O283" i="17"/>
  <c r="E283" i="17" s="1"/>
  <c r="AC283" i="17"/>
  <c r="A280" i="24"/>
  <c r="X279" i="24"/>
  <c r="L279" i="24"/>
  <c r="AK279" i="24"/>
  <c r="AB279" i="24"/>
  <c r="K279" i="24"/>
  <c r="AJ279" i="24"/>
  <c r="AC279" i="24"/>
  <c r="O279" i="24"/>
  <c r="A282" i="22"/>
  <c r="AB281" i="22"/>
  <c r="L281" i="22"/>
  <c r="AK281" i="22"/>
  <c r="X281" i="22"/>
  <c r="K281" i="22"/>
  <c r="AJ281" i="22"/>
  <c r="AC281" i="22"/>
  <c r="O281" i="22"/>
  <c r="K282" i="16"/>
  <c r="L282" i="16"/>
  <c r="A283" i="16"/>
  <c r="AK282" i="16"/>
  <c r="AB282" i="16"/>
  <c r="X282" i="16"/>
  <c r="AJ282" i="16"/>
  <c r="AC282" i="16"/>
  <c r="O282" i="16"/>
  <c r="X280" i="23"/>
  <c r="K280" i="23"/>
  <c r="AJ280" i="23"/>
  <c r="A281" i="23"/>
  <c r="L280" i="23"/>
  <c r="AB280" i="23"/>
  <c r="AK280" i="23"/>
  <c r="AC280" i="23"/>
  <c r="O280" i="23"/>
  <c r="D287" i="15"/>
  <c r="E287" i="15" s="1"/>
  <c r="AB288" i="15"/>
  <c r="L288" i="15"/>
  <c r="D288" i="15" s="1"/>
  <c r="A289" i="15"/>
  <c r="AJ288" i="15"/>
  <c r="X288" i="15"/>
  <c r="AK288" i="15"/>
  <c r="K288" i="15"/>
  <c r="AC288" i="15"/>
  <c r="O288" i="15"/>
  <c r="E288" i="15" l="1"/>
  <c r="E289" i="1"/>
  <c r="V287" i="1"/>
  <c r="J61" i="19" s="1"/>
  <c r="AB289" i="15"/>
  <c r="X289" i="15"/>
  <c r="AK289" i="15"/>
  <c r="AJ289" i="15"/>
  <c r="A290" i="15"/>
  <c r="K289" i="15"/>
  <c r="L289" i="15"/>
  <c r="O289" i="15"/>
  <c r="AC289" i="15"/>
  <c r="K281" i="23"/>
  <c r="AB281" i="23"/>
  <c r="AJ281" i="23"/>
  <c r="A282" i="23"/>
  <c r="X281" i="23"/>
  <c r="L281" i="23"/>
  <c r="AK281" i="23"/>
  <c r="AC281" i="23"/>
  <c r="O281" i="23"/>
  <c r="L283" i="16"/>
  <c r="A284" i="16"/>
  <c r="K283" i="16"/>
  <c r="AK283" i="16"/>
  <c r="AB283" i="16"/>
  <c r="X283" i="16"/>
  <c r="AJ283" i="16"/>
  <c r="AC283" i="16"/>
  <c r="O283" i="16"/>
  <c r="A285" i="17"/>
  <c r="AB284" i="17"/>
  <c r="AJ284" i="17"/>
  <c r="K284" i="17"/>
  <c r="L284" i="17"/>
  <c r="D284" i="17" s="1"/>
  <c r="X284" i="17"/>
  <c r="AK284" i="17"/>
  <c r="O284" i="17"/>
  <c r="AC284" i="17"/>
  <c r="S288" i="1"/>
  <c r="R288" i="1" s="1"/>
  <c r="P288" i="1" s="1"/>
  <c r="K287" i="18"/>
  <c r="L287" i="18"/>
  <c r="AB287" i="18"/>
  <c r="AK287" i="18"/>
  <c r="X287" i="18"/>
  <c r="A288" i="18"/>
  <c r="AJ287" i="18"/>
  <c r="O287" i="18"/>
  <c r="AC287" i="18"/>
  <c r="G286" i="1"/>
  <c r="BW286" i="6" s="1"/>
  <c r="I286" i="1"/>
  <c r="AA286" i="1"/>
  <c r="Z286" i="1" s="1"/>
  <c r="Y286" i="1" s="1"/>
  <c r="D282" i="16"/>
  <c r="E282" i="16" s="1"/>
  <c r="K282" i="22"/>
  <c r="A283" i="22"/>
  <c r="AJ282" i="22"/>
  <c r="L282" i="22"/>
  <c r="X282" i="22"/>
  <c r="AB282" i="22"/>
  <c r="AK282" i="22"/>
  <c r="AC282" i="22"/>
  <c r="O282" i="22"/>
  <c r="K280" i="24"/>
  <c r="X280" i="24"/>
  <c r="AJ280" i="24"/>
  <c r="A281" i="24"/>
  <c r="AB280" i="24"/>
  <c r="L280" i="24"/>
  <c r="AK280" i="24"/>
  <c r="AC280" i="24"/>
  <c r="O280" i="24"/>
  <c r="K283" i="20"/>
  <c r="L283" i="20"/>
  <c r="A284" i="20"/>
  <c r="AK283" i="20"/>
  <c r="X283" i="20"/>
  <c r="AB283" i="20"/>
  <c r="AJ283" i="20"/>
  <c r="AC283" i="20"/>
  <c r="O283" i="20"/>
  <c r="A280" i="25"/>
  <c r="K279" i="25"/>
  <c r="X279" i="25"/>
  <c r="AK279" i="25"/>
  <c r="L279" i="25"/>
  <c r="AB279" i="25"/>
  <c r="AJ279" i="25"/>
  <c r="AC279" i="25"/>
  <c r="O279" i="25"/>
  <c r="T289" i="1"/>
  <c r="AK290" i="1"/>
  <c r="K290" i="1"/>
  <c r="Q290" i="1"/>
  <c r="AJ290" i="1"/>
  <c r="X290" i="1"/>
  <c r="U290" i="1"/>
  <c r="O290" i="1"/>
  <c r="AB290" i="1"/>
  <c r="A291" i="1"/>
  <c r="AC290" i="1"/>
  <c r="L290" i="1"/>
  <c r="D290" i="1" s="1"/>
  <c r="E284" i="17" l="1"/>
  <c r="F287" i="1"/>
  <c r="I287" i="1" s="1"/>
  <c r="V288" i="1"/>
  <c r="F288" i="1" s="1"/>
  <c r="E290" i="1"/>
  <c r="T290" i="1"/>
  <c r="X280" i="25"/>
  <c r="K280" i="25"/>
  <c r="AJ280" i="25"/>
  <c r="A281" i="25"/>
  <c r="AB280" i="25"/>
  <c r="L280" i="25"/>
  <c r="AK280" i="25"/>
  <c r="AC280" i="25"/>
  <c r="O280" i="25"/>
  <c r="X284" i="16"/>
  <c r="L284" i="16"/>
  <c r="AJ284" i="16"/>
  <c r="K284" i="16"/>
  <c r="A285" i="16"/>
  <c r="AB284" i="16"/>
  <c r="AK284" i="16"/>
  <c r="AC284" i="16"/>
  <c r="O284" i="16"/>
  <c r="AB282" i="23"/>
  <c r="A283" i="23"/>
  <c r="AJ282" i="23"/>
  <c r="X282" i="23"/>
  <c r="L282" i="23"/>
  <c r="K282" i="23"/>
  <c r="AK282" i="23"/>
  <c r="AC282" i="23"/>
  <c r="O282" i="23"/>
  <c r="D289" i="15"/>
  <c r="E289" i="15" s="1"/>
  <c r="L290" i="15"/>
  <c r="D290" i="15" s="1"/>
  <c r="A291" i="15"/>
  <c r="AB290" i="15"/>
  <c r="AJ290" i="15"/>
  <c r="X290" i="15"/>
  <c r="K290" i="15"/>
  <c r="AK290" i="15"/>
  <c r="AC290" i="15"/>
  <c r="O290" i="15"/>
  <c r="E290" i="15" s="1"/>
  <c r="A292" i="1"/>
  <c r="AK291" i="1"/>
  <c r="L291" i="1"/>
  <c r="D291" i="1" s="1"/>
  <c r="AB291" i="1"/>
  <c r="O291" i="1"/>
  <c r="E291" i="1" s="1"/>
  <c r="X291" i="1"/>
  <c r="K291" i="1"/>
  <c r="AC291" i="1"/>
  <c r="Q291" i="1"/>
  <c r="AJ291" i="1"/>
  <c r="U291" i="1"/>
  <c r="S289" i="1"/>
  <c r="R289" i="1" s="1"/>
  <c r="P289" i="1" s="1"/>
  <c r="AB284" i="20"/>
  <c r="A285" i="20"/>
  <c r="AJ284" i="20"/>
  <c r="X284" i="20"/>
  <c r="K284" i="20"/>
  <c r="L284" i="20"/>
  <c r="AK284" i="20"/>
  <c r="AC284" i="20"/>
  <c r="O284" i="20"/>
  <c r="K281" i="24"/>
  <c r="AB281" i="24"/>
  <c r="X281" i="24"/>
  <c r="AK281" i="24"/>
  <c r="L281" i="24"/>
  <c r="A282" i="24"/>
  <c r="AJ281" i="24"/>
  <c r="AC281" i="24"/>
  <c r="O281" i="24"/>
  <c r="AB283" i="22"/>
  <c r="K283" i="22"/>
  <c r="X283" i="22"/>
  <c r="AK283" i="22"/>
  <c r="L283" i="22"/>
  <c r="A284" i="22"/>
  <c r="AJ283" i="22"/>
  <c r="AC283" i="22"/>
  <c r="O283" i="22"/>
  <c r="AB288" i="18"/>
  <c r="L288" i="18"/>
  <c r="AJ288" i="18"/>
  <c r="A289" i="18"/>
  <c r="X288" i="18"/>
  <c r="K288" i="18"/>
  <c r="AK288" i="18"/>
  <c r="O288" i="18"/>
  <c r="AC288" i="18"/>
  <c r="AB285" i="17"/>
  <c r="K285" i="17"/>
  <c r="AJ285" i="17"/>
  <c r="L285" i="17"/>
  <c r="D285" i="17" s="1"/>
  <c r="X285" i="17"/>
  <c r="A286" i="17"/>
  <c r="AK285" i="17"/>
  <c r="O285" i="17"/>
  <c r="AC285" i="17"/>
  <c r="D283" i="16"/>
  <c r="E283" i="16" s="1"/>
  <c r="E285" i="17" l="1"/>
  <c r="G287" i="1"/>
  <c r="BW287" i="6" s="1"/>
  <c r="AA287" i="1"/>
  <c r="Z287" i="1" s="1"/>
  <c r="Y287" i="1" s="1"/>
  <c r="L286" i="17"/>
  <c r="X286" i="17"/>
  <c r="AJ286" i="17"/>
  <c r="AB286" i="17"/>
  <c r="A287" i="17"/>
  <c r="K286" i="17"/>
  <c r="AK286" i="17"/>
  <c r="O286" i="17"/>
  <c r="AC286" i="17"/>
  <c r="AB282" i="24"/>
  <c r="X282" i="24"/>
  <c r="AJ282" i="24"/>
  <c r="A283" i="24"/>
  <c r="K282" i="24"/>
  <c r="L282" i="24"/>
  <c r="AK282" i="24"/>
  <c r="AC282" i="24"/>
  <c r="O282" i="24"/>
  <c r="V289" i="1"/>
  <c r="F289" i="1" s="1"/>
  <c r="T291" i="1"/>
  <c r="Q292" i="1"/>
  <c r="X292" i="1"/>
  <c r="K292" i="1"/>
  <c r="L292" i="1"/>
  <c r="D292" i="1" s="1"/>
  <c r="AB292" i="1"/>
  <c r="U292" i="1"/>
  <c r="AJ292" i="1"/>
  <c r="A293" i="1"/>
  <c r="AK292" i="1"/>
  <c r="O292" i="1"/>
  <c r="E292" i="1" s="1"/>
  <c r="AC292" i="1"/>
  <c r="A284" i="23"/>
  <c r="K283" i="23"/>
  <c r="L283" i="23"/>
  <c r="AK283" i="23"/>
  <c r="AB283" i="23"/>
  <c r="X283" i="23"/>
  <c r="AJ283" i="23"/>
  <c r="AC283" i="23"/>
  <c r="O283" i="23"/>
  <c r="A286" i="16"/>
  <c r="AB285" i="16"/>
  <c r="AJ285" i="16"/>
  <c r="X285" i="16"/>
  <c r="L285" i="16"/>
  <c r="K285" i="16"/>
  <c r="AK285" i="16"/>
  <c r="AC285" i="16"/>
  <c r="O285" i="16"/>
  <c r="K281" i="25"/>
  <c r="L281" i="25"/>
  <c r="AJ281" i="25"/>
  <c r="AB281" i="25"/>
  <c r="A282" i="25"/>
  <c r="X281" i="25"/>
  <c r="AK281" i="25"/>
  <c r="AC281" i="25"/>
  <c r="O281" i="25"/>
  <c r="I288" i="1"/>
  <c r="AA288" i="1"/>
  <c r="Z288" i="1" s="1"/>
  <c r="Y288" i="1" s="1"/>
  <c r="G288" i="1"/>
  <c r="BW288" i="6" s="1"/>
  <c r="K289" i="18"/>
  <c r="X289" i="18"/>
  <c r="AJ289" i="18"/>
  <c r="AB289" i="18"/>
  <c r="L289" i="18"/>
  <c r="A290" i="18"/>
  <c r="AK289" i="18"/>
  <c r="AC289" i="18"/>
  <c r="O289" i="18"/>
  <c r="X284" i="22"/>
  <c r="A285" i="22"/>
  <c r="L284" i="22"/>
  <c r="AK284" i="22"/>
  <c r="AB284" i="22"/>
  <c r="K284" i="22"/>
  <c r="AJ284" i="22"/>
  <c r="AC284" i="22"/>
  <c r="O284" i="22"/>
  <c r="X285" i="20"/>
  <c r="AB285" i="20"/>
  <c r="AJ285" i="20"/>
  <c r="K285" i="20"/>
  <c r="L285" i="20"/>
  <c r="A286" i="20"/>
  <c r="AK285" i="20"/>
  <c r="AC285" i="20"/>
  <c r="O285" i="20"/>
  <c r="A292" i="15"/>
  <c r="L291" i="15"/>
  <c r="K291" i="15"/>
  <c r="AJ291" i="15"/>
  <c r="X291" i="15"/>
  <c r="AB291" i="15"/>
  <c r="AK291" i="15"/>
  <c r="AC291" i="15"/>
  <c r="O291" i="15"/>
  <c r="D284" i="16"/>
  <c r="E284" i="16" s="1"/>
  <c r="S290" i="1"/>
  <c r="R290" i="1" s="1"/>
  <c r="P290" i="1" s="1"/>
  <c r="V290" i="1" l="1"/>
  <c r="F290" i="1" s="1"/>
  <c r="K292" i="15"/>
  <c r="AB292" i="15"/>
  <c r="AJ292" i="15"/>
  <c r="X292" i="15"/>
  <c r="A293" i="15"/>
  <c r="L292" i="15"/>
  <c r="AK292" i="15"/>
  <c r="AC292" i="15"/>
  <c r="O292" i="15"/>
  <c r="A291" i="18"/>
  <c r="X290" i="18"/>
  <c r="AJ290" i="18"/>
  <c r="L290" i="18"/>
  <c r="K290" i="18"/>
  <c r="AB290" i="18"/>
  <c r="AK290" i="18"/>
  <c r="O290" i="18"/>
  <c r="AC290" i="18"/>
  <c r="D285" i="16"/>
  <c r="E285" i="16" s="1"/>
  <c r="AB286" i="16"/>
  <c r="K286" i="16"/>
  <c r="AJ286" i="16"/>
  <c r="X286" i="16"/>
  <c r="A287" i="16"/>
  <c r="L286" i="16"/>
  <c r="AK286" i="16"/>
  <c r="AC286" i="16"/>
  <c r="O286" i="16"/>
  <c r="I289" i="1"/>
  <c r="AA289" i="1"/>
  <c r="Z289" i="1" s="1"/>
  <c r="Y289" i="1" s="1"/>
  <c r="G289" i="1"/>
  <c r="BW289" i="6" s="1"/>
  <c r="A284" i="24"/>
  <c r="L283" i="24"/>
  <c r="K283" i="24"/>
  <c r="AK283" i="24"/>
  <c r="X283" i="24"/>
  <c r="AB283" i="24"/>
  <c r="AJ283" i="24"/>
  <c r="AC283" i="24"/>
  <c r="O283" i="24"/>
  <c r="D291" i="15"/>
  <c r="E291" i="15" s="1"/>
  <c r="K286" i="20"/>
  <c r="X286" i="20"/>
  <c r="L286" i="20"/>
  <c r="AK286" i="20"/>
  <c r="A287" i="20"/>
  <c r="AB286" i="20"/>
  <c r="AJ286" i="20"/>
  <c r="AC286" i="20"/>
  <c r="O286" i="20"/>
  <c r="X285" i="22"/>
  <c r="A286" i="22"/>
  <c r="AJ285" i="22"/>
  <c r="K285" i="22"/>
  <c r="AB285" i="22"/>
  <c r="L285" i="22"/>
  <c r="AK285" i="22"/>
  <c r="AC285" i="22"/>
  <c r="O285" i="22"/>
  <c r="X282" i="25"/>
  <c r="AB282" i="25"/>
  <c r="AJ282" i="25"/>
  <c r="A283" i="25"/>
  <c r="K282" i="25"/>
  <c r="L282" i="25"/>
  <c r="AK282" i="25"/>
  <c r="AC282" i="25"/>
  <c r="O282" i="25"/>
  <c r="X284" i="23"/>
  <c r="A285" i="23"/>
  <c r="AJ284" i="23"/>
  <c r="K284" i="23"/>
  <c r="AB284" i="23"/>
  <c r="L284" i="23"/>
  <c r="AK284" i="23"/>
  <c r="AC284" i="23"/>
  <c r="O284" i="23"/>
  <c r="A294" i="1"/>
  <c r="Q293" i="1"/>
  <c r="AC293" i="1"/>
  <c r="X293" i="1"/>
  <c r="U293" i="1"/>
  <c r="L293" i="1"/>
  <c r="D293" i="1" s="1"/>
  <c r="AJ293" i="1"/>
  <c r="AB293" i="1"/>
  <c r="AK293" i="1"/>
  <c r="O293" i="1"/>
  <c r="E293" i="1" s="1"/>
  <c r="K293" i="1"/>
  <c r="T292" i="1"/>
  <c r="S291" i="1"/>
  <c r="R291" i="1" s="1"/>
  <c r="P291" i="1" s="1"/>
  <c r="AB287" i="17"/>
  <c r="X287" i="17"/>
  <c r="AJ287" i="17"/>
  <c r="K287" i="17"/>
  <c r="L287" i="17"/>
  <c r="A288" i="17"/>
  <c r="AK287" i="17"/>
  <c r="O287" i="17"/>
  <c r="AC287" i="17"/>
  <c r="D286" i="17"/>
  <c r="E286" i="17" s="1"/>
  <c r="V291" i="1" l="1"/>
  <c r="F291" i="1" s="1"/>
  <c r="K288" i="17"/>
  <c r="X288" i="17"/>
  <c r="AJ288" i="17"/>
  <c r="A289" i="17"/>
  <c r="AB288" i="17"/>
  <c r="L288" i="17"/>
  <c r="D288" i="17" s="1"/>
  <c r="AK288" i="17"/>
  <c r="O288" i="17"/>
  <c r="E288" i="17" s="1"/>
  <c r="AC288" i="17"/>
  <c r="S292" i="1"/>
  <c r="R292" i="1" s="1"/>
  <c r="P292" i="1" s="1"/>
  <c r="V292" i="1" s="1"/>
  <c r="X286" i="22"/>
  <c r="K286" i="22"/>
  <c r="AJ286" i="22"/>
  <c r="AB286" i="22"/>
  <c r="L286" i="22"/>
  <c r="A287" i="22"/>
  <c r="AK286" i="22"/>
  <c r="AC286" i="22"/>
  <c r="O286" i="22"/>
  <c r="L287" i="20"/>
  <c r="A288" i="20"/>
  <c r="AJ287" i="20"/>
  <c r="X287" i="20"/>
  <c r="AB287" i="20"/>
  <c r="K287" i="20"/>
  <c r="AK287" i="20"/>
  <c r="AC287" i="20"/>
  <c r="O287" i="20"/>
  <c r="K284" i="24"/>
  <c r="AB284" i="24"/>
  <c r="A285" i="24"/>
  <c r="AK284" i="24"/>
  <c r="X284" i="24"/>
  <c r="L284" i="24"/>
  <c r="AJ284" i="24"/>
  <c r="AC284" i="24"/>
  <c r="O284" i="24"/>
  <c r="L287" i="16"/>
  <c r="K287" i="16"/>
  <c r="A288" i="16"/>
  <c r="AK287" i="16"/>
  <c r="AB287" i="16"/>
  <c r="X287" i="16"/>
  <c r="AJ287" i="16"/>
  <c r="AC287" i="16"/>
  <c r="O287" i="16"/>
  <c r="K291" i="18"/>
  <c r="A292" i="18"/>
  <c r="X291" i="18"/>
  <c r="AK291" i="18"/>
  <c r="AB291" i="18"/>
  <c r="L291" i="18"/>
  <c r="AJ291" i="18"/>
  <c r="AC291" i="18"/>
  <c r="O291" i="18"/>
  <c r="D292" i="15"/>
  <c r="I290" i="1"/>
  <c r="AA290" i="1"/>
  <c r="Z290" i="1" s="1"/>
  <c r="Y290" i="1" s="1"/>
  <c r="G290" i="1"/>
  <c r="BW290" i="6" s="1"/>
  <c r="D287" i="17"/>
  <c r="E287" i="17" s="1"/>
  <c r="T293" i="1"/>
  <c r="L294" i="1"/>
  <c r="AB294" i="1"/>
  <c r="X294" i="1"/>
  <c r="AK294" i="1"/>
  <c r="AJ294" i="1"/>
  <c r="U294" i="1"/>
  <c r="K294" i="1"/>
  <c r="A295" i="1"/>
  <c r="AC294" i="1"/>
  <c r="O294" i="1"/>
  <c r="Q294" i="1"/>
  <c r="L285" i="23"/>
  <c r="A286" i="23"/>
  <c r="AJ285" i="23"/>
  <c r="X285" i="23"/>
  <c r="K285" i="23"/>
  <c r="AB285" i="23"/>
  <c r="AK285" i="23"/>
  <c r="AC285" i="23"/>
  <c r="O285" i="23"/>
  <c r="A284" i="25"/>
  <c r="AB283" i="25"/>
  <c r="K283" i="25"/>
  <c r="AK283" i="25"/>
  <c r="L283" i="25"/>
  <c r="X283" i="25"/>
  <c r="AJ283" i="25"/>
  <c r="AC283" i="25"/>
  <c r="O283" i="25"/>
  <c r="D286" i="16"/>
  <c r="E286" i="16" s="1"/>
  <c r="E292" i="15"/>
  <c r="A294" i="15"/>
  <c r="AB293" i="15"/>
  <c r="X293" i="15"/>
  <c r="AJ293" i="15"/>
  <c r="L293" i="15"/>
  <c r="D293" i="15" s="1"/>
  <c r="K293" i="15"/>
  <c r="AK293" i="15"/>
  <c r="AC293" i="15"/>
  <c r="O293" i="15"/>
  <c r="E293" i="15" s="1"/>
  <c r="F292" i="1" l="1"/>
  <c r="A285" i="25"/>
  <c r="AB284" i="25"/>
  <c r="L284" i="25"/>
  <c r="AK284" i="25"/>
  <c r="K284" i="25"/>
  <c r="X284" i="25"/>
  <c r="AJ284" i="25"/>
  <c r="AC284" i="25"/>
  <c r="O284" i="25"/>
  <c r="L286" i="23"/>
  <c r="A287" i="23"/>
  <c r="K286" i="23"/>
  <c r="AK286" i="23"/>
  <c r="X286" i="23"/>
  <c r="AB286" i="23"/>
  <c r="AJ286" i="23"/>
  <c r="AC286" i="23"/>
  <c r="O286" i="23"/>
  <c r="D294" i="1"/>
  <c r="E294" i="1" s="1"/>
  <c r="A289" i="16"/>
  <c r="X288" i="16"/>
  <c r="AJ288" i="16"/>
  <c r="AB288" i="16"/>
  <c r="L288" i="16"/>
  <c r="K288" i="16"/>
  <c r="AK288" i="16"/>
  <c r="AC288" i="16"/>
  <c r="O288" i="16"/>
  <c r="D287" i="16"/>
  <c r="E287" i="16" s="1"/>
  <c r="K288" i="20"/>
  <c r="L288" i="20"/>
  <c r="A289" i="20"/>
  <c r="AK288" i="20"/>
  <c r="X288" i="20"/>
  <c r="AB288" i="20"/>
  <c r="AJ288" i="20"/>
  <c r="AC288" i="20"/>
  <c r="O288" i="20"/>
  <c r="K287" i="22"/>
  <c r="A288" i="22"/>
  <c r="AJ287" i="22"/>
  <c r="AB287" i="22"/>
  <c r="L287" i="22"/>
  <c r="X287" i="22"/>
  <c r="AK287" i="22"/>
  <c r="AC287" i="22"/>
  <c r="O287" i="22"/>
  <c r="I291" i="1"/>
  <c r="G291" i="1"/>
  <c r="BW291" i="6" s="1"/>
  <c r="AA291" i="1"/>
  <c r="Z291" i="1" s="1"/>
  <c r="Y291" i="1" s="1"/>
  <c r="AB294" i="15"/>
  <c r="K294" i="15"/>
  <c r="AK294" i="15"/>
  <c r="AJ294" i="15"/>
  <c r="X294" i="15"/>
  <c r="A295" i="15"/>
  <c r="L294" i="15"/>
  <c r="D294" i="15" s="1"/>
  <c r="AC294" i="15"/>
  <c r="O294" i="15"/>
  <c r="E294" i="15" s="1"/>
  <c r="AC295" i="1"/>
  <c r="AJ295" i="1"/>
  <c r="AK295" i="1"/>
  <c r="AB295" i="1"/>
  <c r="U295" i="1"/>
  <c r="X295" i="1"/>
  <c r="Q295" i="1"/>
  <c r="A296" i="1"/>
  <c r="L295" i="1"/>
  <c r="K295" i="1"/>
  <c r="O295" i="1"/>
  <c r="T294" i="1"/>
  <c r="S293" i="1"/>
  <c r="R293" i="1" s="1"/>
  <c r="P293" i="1" s="1"/>
  <c r="V293" i="1" s="1"/>
  <c r="F293" i="1" s="1"/>
  <c r="X292" i="18"/>
  <c r="K292" i="18"/>
  <c r="AB292" i="18"/>
  <c r="AK292" i="18"/>
  <c r="L292" i="18"/>
  <c r="A293" i="18"/>
  <c r="AJ292" i="18"/>
  <c r="O292" i="18"/>
  <c r="AC292" i="18"/>
  <c r="A286" i="24"/>
  <c r="X285" i="24"/>
  <c r="AJ285" i="24"/>
  <c r="AB285" i="24"/>
  <c r="L285" i="24"/>
  <c r="K285" i="24"/>
  <c r="AK285" i="24"/>
  <c r="AC285" i="24"/>
  <c r="O285" i="24"/>
  <c r="A290" i="17"/>
  <c r="L289" i="17"/>
  <c r="AJ289" i="17"/>
  <c r="X289" i="17"/>
  <c r="K289" i="17"/>
  <c r="AB289" i="17"/>
  <c r="AK289" i="17"/>
  <c r="O289" i="17"/>
  <c r="AC289" i="17"/>
  <c r="D289" i="17" l="1"/>
  <c r="E289" i="17" s="1"/>
  <c r="A294" i="18"/>
  <c r="X293" i="18"/>
  <c r="AJ293" i="18"/>
  <c r="L293" i="18"/>
  <c r="K293" i="18"/>
  <c r="AB293" i="18"/>
  <c r="AK293" i="18"/>
  <c r="O293" i="18"/>
  <c r="AC293" i="18"/>
  <c r="S294" i="1"/>
  <c r="R294" i="1" s="1"/>
  <c r="P294" i="1" s="1"/>
  <c r="V294" i="1" s="1"/>
  <c r="F294" i="1" s="1"/>
  <c r="AB296" i="1"/>
  <c r="K296" i="1"/>
  <c r="A297" i="1"/>
  <c r="AJ296" i="1"/>
  <c r="AC296" i="1"/>
  <c r="L296" i="1"/>
  <c r="D296" i="1" s="1"/>
  <c r="AK296" i="1"/>
  <c r="O296" i="1"/>
  <c r="E296" i="1" s="1"/>
  <c r="X296" i="1"/>
  <c r="Q296" i="1"/>
  <c r="U296" i="1"/>
  <c r="AB295" i="15"/>
  <c r="A296" i="15"/>
  <c r="L295" i="15"/>
  <c r="AJ295" i="15"/>
  <c r="K295" i="15"/>
  <c r="X295" i="15"/>
  <c r="AK295" i="15"/>
  <c r="O295" i="15"/>
  <c r="AC295" i="15"/>
  <c r="AB288" i="22"/>
  <c r="X288" i="22"/>
  <c r="AJ288" i="22"/>
  <c r="K288" i="22"/>
  <c r="L288" i="22"/>
  <c r="A289" i="22"/>
  <c r="AK288" i="22"/>
  <c r="AC288" i="22"/>
  <c r="O288" i="22"/>
  <c r="A290" i="20"/>
  <c r="X289" i="20"/>
  <c r="K289" i="20"/>
  <c r="AK289" i="20"/>
  <c r="AB289" i="20"/>
  <c r="L289" i="20"/>
  <c r="AJ289" i="20"/>
  <c r="AC289" i="20"/>
  <c r="O289" i="20"/>
  <c r="L287" i="23"/>
  <c r="K287" i="23"/>
  <c r="AJ287" i="23"/>
  <c r="X287" i="23"/>
  <c r="AB287" i="23"/>
  <c r="A288" i="23"/>
  <c r="AK287" i="23"/>
  <c r="AC287" i="23"/>
  <c r="O287" i="23"/>
  <c r="A286" i="25"/>
  <c r="L285" i="25"/>
  <c r="X285" i="25"/>
  <c r="AK285" i="25"/>
  <c r="AB285" i="25"/>
  <c r="K285" i="25"/>
  <c r="AJ285" i="25"/>
  <c r="AC285" i="25"/>
  <c r="O285" i="25"/>
  <c r="L290" i="17"/>
  <c r="A291" i="17"/>
  <c r="AJ290" i="17"/>
  <c r="K290" i="17"/>
  <c r="AB290" i="17"/>
  <c r="X290" i="17"/>
  <c r="AK290" i="17"/>
  <c r="O290" i="17"/>
  <c r="AC290" i="17"/>
  <c r="L286" i="24"/>
  <c r="K286" i="24"/>
  <c r="AJ286" i="24"/>
  <c r="AB286" i="24"/>
  <c r="A287" i="24"/>
  <c r="X286" i="24"/>
  <c r="AK286" i="24"/>
  <c r="AC286" i="24"/>
  <c r="O286" i="24"/>
  <c r="I293" i="1"/>
  <c r="AA293" i="1"/>
  <c r="Z293" i="1" s="1"/>
  <c r="Y293" i="1" s="1"/>
  <c r="G293" i="1"/>
  <c r="BW293" i="6" s="1"/>
  <c r="D295" i="1"/>
  <c r="E295" i="1" s="1"/>
  <c r="T295" i="1"/>
  <c r="D288" i="16"/>
  <c r="E288" i="16" s="1"/>
  <c r="L289" i="16"/>
  <c r="A290" i="16"/>
  <c r="K289" i="16"/>
  <c r="AK289" i="16"/>
  <c r="X289" i="16"/>
  <c r="AB289" i="16"/>
  <c r="AJ289" i="16"/>
  <c r="AC289" i="16"/>
  <c r="O289" i="16"/>
  <c r="G292" i="1"/>
  <c r="BW292" i="6" s="1"/>
  <c r="I292" i="1"/>
  <c r="AA292" i="1"/>
  <c r="Z292" i="1" s="1"/>
  <c r="Y292" i="1" s="1"/>
  <c r="G294" i="1" l="1"/>
  <c r="BW294" i="6" s="1"/>
  <c r="I294" i="1"/>
  <c r="AA294" i="1"/>
  <c r="Z294" i="1" s="1"/>
  <c r="Y294" i="1" s="1"/>
  <c r="D289" i="16"/>
  <c r="E289" i="16" s="1"/>
  <c r="K287" i="24"/>
  <c r="AB287" i="24"/>
  <c r="L287" i="24"/>
  <c r="AK287" i="24"/>
  <c r="X287" i="24"/>
  <c r="A288" i="24"/>
  <c r="AJ287" i="24"/>
  <c r="AC287" i="24"/>
  <c r="O287" i="24"/>
  <c r="A292" i="17"/>
  <c r="X291" i="17"/>
  <c r="AB291" i="17"/>
  <c r="AK291" i="17"/>
  <c r="L291" i="17"/>
  <c r="D291" i="17" s="1"/>
  <c r="K291" i="17"/>
  <c r="AJ291" i="17"/>
  <c r="O291" i="17"/>
  <c r="AC291" i="17"/>
  <c r="K286" i="25"/>
  <c r="L286" i="25"/>
  <c r="AJ286" i="25"/>
  <c r="X286" i="25"/>
  <c r="A287" i="25"/>
  <c r="AB286" i="25"/>
  <c r="AK286" i="25"/>
  <c r="AC286" i="25"/>
  <c r="O286" i="25"/>
  <c r="AB290" i="20"/>
  <c r="A291" i="20"/>
  <c r="AJ290" i="20"/>
  <c r="X290" i="20"/>
  <c r="L290" i="20"/>
  <c r="K290" i="20"/>
  <c r="AK290" i="20"/>
  <c r="AC290" i="20"/>
  <c r="O290" i="20"/>
  <c r="D295" i="15"/>
  <c r="E295" i="15" s="1"/>
  <c r="AB294" i="18"/>
  <c r="X294" i="18"/>
  <c r="L294" i="18"/>
  <c r="AK294" i="18"/>
  <c r="A295" i="18"/>
  <c r="K294" i="18"/>
  <c r="AJ294" i="18"/>
  <c r="O294" i="18"/>
  <c r="AC294" i="18"/>
  <c r="L290" i="16"/>
  <c r="X290" i="16"/>
  <c r="AJ290" i="16"/>
  <c r="A291" i="16"/>
  <c r="AB290" i="16"/>
  <c r="K290" i="16"/>
  <c r="AK290" i="16"/>
  <c r="AC290" i="16"/>
  <c r="O290" i="16"/>
  <c r="S295" i="1"/>
  <c r="R295" i="1" s="1"/>
  <c r="P295" i="1" s="1"/>
  <c r="D290" i="17"/>
  <c r="E290" i="17" s="1"/>
  <c r="K288" i="23"/>
  <c r="X288" i="23"/>
  <c r="AJ288" i="23"/>
  <c r="AB288" i="23"/>
  <c r="A289" i="23"/>
  <c r="L288" i="23"/>
  <c r="AK288" i="23"/>
  <c r="AC288" i="23"/>
  <c r="O288" i="23"/>
  <c r="X289" i="22"/>
  <c r="A290" i="22"/>
  <c r="AB289" i="22"/>
  <c r="AK289" i="22"/>
  <c r="K289" i="22"/>
  <c r="L289" i="22"/>
  <c r="AJ289" i="22"/>
  <c r="AC289" i="22"/>
  <c r="O289" i="22"/>
  <c r="X296" i="15"/>
  <c r="A297" i="15"/>
  <c r="AJ296" i="15"/>
  <c r="K296" i="15"/>
  <c r="AK296" i="15"/>
  <c r="L296" i="15"/>
  <c r="D296" i="15" s="1"/>
  <c r="AB296" i="15"/>
  <c r="AC296" i="15"/>
  <c r="O296" i="15"/>
  <c r="T296" i="1"/>
  <c r="AJ297" i="1"/>
  <c r="L297" i="1"/>
  <c r="O297" i="1"/>
  <c r="Q297" i="1"/>
  <c r="A298" i="1"/>
  <c r="X297" i="1"/>
  <c r="AK297" i="1"/>
  <c r="AB297" i="1"/>
  <c r="K297" i="1"/>
  <c r="AC297" i="1"/>
  <c r="U297" i="1"/>
  <c r="E296" i="15" l="1"/>
  <c r="E291" i="17"/>
  <c r="V295" i="1"/>
  <c r="F295" i="1" s="1"/>
  <c r="S296" i="1"/>
  <c r="R296" i="1" s="1"/>
  <c r="P296" i="1" s="1"/>
  <c r="X297" i="15"/>
  <c r="AB297" i="15"/>
  <c r="L297" i="15"/>
  <c r="A298" i="15"/>
  <c r="K297" i="15"/>
  <c r="AK297" i="15"/>
  <c r="AJ297" i="15"/>
  <c r="AC297" i="15"/>
  <c r="O297" i="15"/>
  <c r="AB290" i="22"/>
  <c r="L290" i="22"/>
  <c r="K290" i="22"/>
  <c r="AK290" i="22"/>
  <c r="X290" i="22"/>
  <c r="A291" i="22"/>
  <c r="AJ290" i="22"/>
  <c r="AC290" i="22"/>
  <c r="O290" i="22"/>
  <c r="AB289" i="23"/>
  <c r="A290" i="23"/>
  <c r="L289" i="23"/>
  <c r="AK289" i="23"/>
  <c r="K289" i="23"/>
  <c r="X289" i="23"/>
  <c r="AJ289" i="23"/>
  <c r="AC289" i="23"/>
  <c r="O289" i="23"/>
  <c r="AB291" i="16"/>
  <c r="K291" i="16"/>
  <c r="AJ291" i="16"/>
  <c r="X291" i="16"/>
  <c r="L291" i="16"/>
  <c r="A292" i="16"/>
  <c r="AK291" i="16"/>
  <c r="AC291" i="16"/>
  <c r="O291" i="16"/>
  <c r="X288" i="24"/>
  <c r="A289" i="24"/>
  <c r="AJ288" i="24"/>
  <c r="AB288" i="24"/>
  <c r="L288" i="24"/>
  <c r="K288" i="24"/>
  <c r="AK288" i="24"/>
  <c r="AC288" i="24"/>
  <c r="O288" i="24"/>
  <c r="T297" i="1"/>
  <c r="AJ298" i="1"/>
  <c r="X298" i="1"/>
  <c r="L298" i="1"/>
  <c r="AB298" i="1"/>
  <c r="Q298" i="1"/>
  <c r="U298" i="1"/>
  <c r="A299" i="1"/>
  <c r="O298" i="1"/>
  <c r="K298" i="1"/>
  <c r="AC298" i="1"/>
  <c r="AK298" i="1"/>
  <c r="D297" i="1"/>
  <c r="E297" i="1" s="1"/>
  <c r="D290" i="16"/>
  <c r="E290" i="16" s="1"/>
  <c r="K295" i="18"/>
  <c r="AB295" i="18"/>
  <c r="AJ295" i="18"/>
  <c r="L295" i="18"/>
  <c r="A296" i="18"/>
  <c r="X295" i="18"/>
  <c r="AK295" i="18"/>
  <c r="O295" i="18"/>
  <c r="AC295" i="18"/>
  <c r="L291" i="20"/>
  <c r="AB291" i="20"/>
  <c r="AJ291" i="20"/>
  <c r="X291" i="20"/>
  <c r="K291" i="20"/>
  <c r="A292" i="20"/>
  <c r="AK291" i="20"/>
  <c r="AC291" i="20"/>
  <c r="O291" i="20"/>
  <c r="A288" i="25"/>
  <c r="X287" i="25"/>
  <c r="AJ287" i="25"/>
  <c r="K287" i="25"/>
  <c r="AB287" i="25"/>
  <c r="L287" i="25"/>
  <c r="AK287" i="25"/>
  <c r="AC287" i="25"/>
  <c r="O287" i="25"/>
  <c r="AB292" i="17"/>
  <c r="L292" i="17"/>
  <c r="D292" i="17" s="1"/>
  <c r="AJ292" i="17"/>
  <c r="K292" i="17"/>
  <c r="A293" i="17"/>
  <c r="X292" i="17"/>
  <c r="AK292" i="17"/>
  <c r="O292" i="17"/>
  <c r="E292" i="17" s="1"/>
  <c r="AC292" i="17"/>
  <c r="V296" i="1" l="1"/>
  <c r="F296" i="1" s="1"/>
  <c r="X293" i="17"/>
  <c r="L293" i="17"/>
  <c r="AB293" i="17"/>
  <c r="AK293" i="17"/>
  <c r="K293" i="17"/>
  <c r="A294" i="17"/>
  <c r="AJ293" i="17"/>
  <c r="O293" i="17"/>
  <c r="AC293" i="17"/>
  <c r="AB292" i="20"/>
  <c r="K292" i="20"/>
  <c r="X292" i="20"/>
  <c r="AK292" i="20"/>
  <c r="L292" i="20"/>
  <c r="A293" i="20"/>
  <c r="AJ292" i="20"/>
  <c r="AC292" i="20"/>
  <c r="O292" i="20"/>
  <c r="AB296" i="18"/>
  <c r="K296" i="18"/>
  <c r="AJ296" i="18"/>
  <c r="X296" i="18"/>
  <c r="L296" i="18"/>
  <c r="A297" i="18"/>
  <c r="AK296" i="18"/>
  <c r="O296" i="18"/>
  <c r="AC296" i="18"/>
  <c r="T298" i="1"/>
  <c r="K289" i="24"/>
  <c r="A290" i="24"/>
  <c r="AJ289" i="24"/>
  <c r="AB289" i="24"/>
  <c r="X289" i="24"/>
  <c r="L289" i="24"/>
  <c r="AK289" i="24"/>
  <c r="AC289" i="24"/>
  <c r="O289" i="24"/>
  <c r="A293" i="16"/>
  <c r="X292" i="16"/>
  <c r="L292" i="16"/>
  <c r="AK292" i="16"/>
  <c r="AB292" i="16"/>
  <c r="K292" i="16"/>
  <c r="AJ292" i="16"/>
  <c r="AC292" i="16"/>
  <c r="O292" i="16"/>
  <c r="D297" i="15"/>
  <c r="E297" i="15" s="1"/>
  <c r="AA295" i="1"/>
  <c r="Z295" i="1" s="1"/>
  <c r="Y295" i="1" s="1"/>
  <c r="G295" i="1"/>
  <c r="BW295" i="6" s="1"/>
  <c r="I295" i="1"/>
  <c r="A289" i="25"/>
  <c r="AB288" i="25"/>
  <c r="AJ288" i="25"/>
  <c r="X288" i="25"/>
  <c r="L288" i="25"/>
  <c r="K288" i="25"/>
  <c r="AK288" i="25"/>
  <c r="AC288" i="25"/>
  <c r="O288" i="25"/>
  <c r="AK299" i="1"/>
  <c r="X299" i="1"/>
  <c r="O299" i="1"/>
  <c r="K299" i="1"/>
  <c r="AC299" i="1"/>
  <c r="A300" i="1"/>
  <c r="AJ299" i="1"/>
  <c r="Q299" i="1"/>
  <c r="L299" i="1"/>
  <c r="D299" i="1" s="1"/>
  <c r="E299" i="1" s="1"/>
  <c r="AB299" i="1"/>
  <c r="U299" i="1"/>
  <c r="D298" i="1"/>
  <c r="E298" i="1" s="1"/>
  <c r="S297" i="1"/>
  <c r="R297" i="1" s="1"/>
  <c r="P297" i="1" s="1"/>
  <c r="V297" i="1" s="1"/>
  <c r="F297" i="1" s="1"/>
  <c r="D291" i="16"/>
  <c r="E291" i="16" s="1"/>
  <c r="L290" i="23"/>
  <c r="AB290" i="23"/>
  <c r="AJ290" i="23"/>
  <c r="X290" i="23"/>
  <c r="A291" i="23"/>
  <c r="K290" i="23"/>
  <c r="AK290" i="23"/>
  <c r="AC290" i="23"/>
  <c r="O290" i="23"/>
  <c r="X291" i="22"/>
  <c r="K291" i="22"/>
  <c r="L291" i="22"/>
  <c r="AK291" i="22"/>
  <c r="AB291" i="22"/>
  <c r="A292" i="22"/>
  <c r="AJ291" i="22"/>
  <c r="AC291" i="22"/>
  <c r="O291" i="22"/>
  <c r="AK298" i="15"/>
  <c r="L298" i="15"/>
  <c r="K298" i="15"/>
  <c r="AJ298" i="15"/>
  <c r="AB298" i="15"/>
  <c r="A299" i="15"/>
  <c r="X298" i="15"/>
  <c r="AC298" i="15"/>
  <c r="O298" i="15"/>
  <c r="AB299" i="15" l="1"/>
  <c r="X299" i="15"/>
  <c r="K299" i="15"/>
  <c r="AJ299" i="15"/>
  <c r="L299" i="15"/>
  <c r="D299" i="15" s="1"/>
  <c r="A300" i="15"/>
  <c r="AK299" i="15"/>
  <c r="O299" i="15"/>
  <c r="AC299" i="15"/>
  <c r="K292" i="22"/>
  <c r="A293" i="22"/>
  <c r="L292" i="22"/>
  <c r="AK292" i="22"/>
  <c r="X292" i="22"/>
  <c r="AB292" i="22"/>
  <c r="AJ292" i="22"/>
  <c r="AC292" i="22"/>
  <c r="O292" i="22"/>
  <c r="X291" i="23"/>
  <c r="AB291" i="23"/>
  <c r="AJ291" i="23"/>
  <c r="K291" i="23"/>
  <c r="A292" i="23"/>
  <c r="L291" i="23"/>
  <c r="AK291" i="23"/>
  <c r="AC291" i="23"/>
  <c r="O291" i="23"/>
  <c r="L300" i="1"/>
  <c r="D300" i="1" s="1"/>
  <c r="Q300" i="1"/>
  <c r="K300" i="1"/>
  <c r="A301" i="1"/>
  <c r="AC300" i="1"/>
  <c r="U300" i="1"/>
  <c r="AJ300" i="1"/>
  <c r="AK300" i="1"/>
  <c r="X300" i="1"/>
  <c r="O300" i="1"/>
  <c r="AB300" i="1"/>
  <c r="X289" i="25"/>
  <c r="AB289" i="25"/>
  <c r="AJ289" i="25"/>
  <c r="A290" i="25"/>
  <c r="L289" i="25"/>
  <c r="K289" i="25"/>
  <c r="AK289" i="25"/>
  <c r="AC289" i="25"/>
  <c r="O289" i="25"/>
  <c r="S298" i="1"/>
  <c r="R298" i="1" s="1"/>
  <c r="P298" i="1" s="1"/>
  <c r="V298" i="1" s="1"/>
  <c r="F298" i="1" s="1"/>
  <c r="L297" i="18"/>
  <c r="A298" i="18"/>
  <c r="AJ297" i="18"/>
  <c r="X297" i="18"/>
  <c r="K297" i="18"/>
  <c r="AB297" i="18"/>
  <c r="AK297" i="18"/>
  <c r="AC297" i="18"/>
  <c r="O297" i="18"/>
  <c r="X294" i="17"/>
  <c r="AB294" i="17"/>
  <c r="K294" i="17"/>
  <c r="AK294" i="17"/>
  <c r="A295" i="17"/>
  <c r="L294" i="17"/>
  <c r="D294" i="17" s="1"/>
  <c r="AJ294" i="17"/>
  <c r="O294" i="17"/>
  <c r="AC294" i="17"/>
  <c r="D293" i="17"/>
  <c r="E293" i="17" s="1"/>
  <c r="G296" i="1"/>
  <c r="BW296" i="6" s="1"/>
  <c r="I296" i="1"/>
  <c r="AA296" i="1"/>
  <c r="Z296" i="1" s="1"/>
  <c r="Y296" i="1" s="1"/>
  <c r="D298" i="15"/>
  <c r="E298" i="15" s="1"/>
  <c r="AA297" i="1"/>
  <c r="Z297" i="1" s="1"/>
  <c r="Y297" i="1" s="1"/>
  <c r="G297" i="1"/>
  <c r="BW297" i="6" s="1"/>
  <c r="I297" i="1"/>
  <c r="T299" i="1"/>
  <c r="D292" i="16"/>
  <c r="E292" i="16" s="1"/>
  <c r="K293" i="16"/>
  <c r="AB293" i="16"/>
  <c r="A294" i="16"/>
  <c r="AK293" i="16"/>
  <c r="X293" i="16"/>
  <c r="L293" i="16"/>
  <c r="AJ293" i="16"/>
  <c r="AC293" i="16"/>
  <c r="O293" i="16"/>
  <c r="A291" i="24"/>
  <c r="X290" i="24"/>
  <c r="AB290" i="24"/>
  <c r="AK290" i="24"/>
  <c r="K290" i="24"/>
  <c r="L290" i="24"/>
  <c r="AJ290" i="24"/>
  <c r="AC290" i="24"/>
  <c r="O290" i="24"/>
  <c r="L293" i="20"/>
  <c r="K293" i="20"/>
  <c r="AJ293" i="20"/>
  <c r="AB293" i="20"/>
  <c r="X293" i="20"/>
  <c r="A294" i="20"/>
  <c r="AK293" i="20"/>
  <c r="AC293" i="20"/>
  <c r="O293" i="20"/>
  <c r="E294" i="17" l="1"/>
  <c r="E299" i="15"/>
  <c r="E300" i="1"/>
  <c r="AA298" i="1"/>
  <c r="Z298" i="1" s="1"/>
  <c r="Y298" i="1" s="1"/>
  <c r="G298" i="1"/>
  <c r="BW298" i="6" s="1"/>
  <c r="I298" i="1"/>
  <c r="L294" i="16"/>
  <c r="A295" i="16"/>
  <c r="AJ294" i="16"/>
  <c r="K294" i="16"/>
  <c r="X294" i="16"/>
  <c r="AB294" i="16"/>
  <c r="AK294" i="16"/>
  <c r="AC294" i="16"/>
  <c r="O294" i="16"/>
  <c r="S299" i="1"/>
  <c r="R299" i="1" s="1"/>
  <c r="P299" i="1" s="1"/>
  <c r="V299" i="1" s="1"/>
  <c r="F299" i="1" s="1"/>
  <c r="K290" i="25"/>
  <c r="A291" i="25"/>
  <c r="AB290" i="25"/>
  <c r="AK290" i="25"/>
  <c r="L290" i="25"/>
  <c r="X290" i="25"/>
  <c r="AJ290" i="25"/>
  <c r="AC290" i="25"/>
  <c r="O290" i="25"/>
  <c r="T300" i="1"/>
  <c r="L301" i="1"/>
  <c r="O301" i="1"/>
  <c r="AK301" i="1"/>
  <c r="AJ301" i="1"/>
  <c r="Q301" i="1"/>
  <c r="A302" i="1"/>
  <c r="AB301" i="1"/>
  <c r="AC301" i="1"/>
  <c r="K301" i="1"/>
  <c r="X301" i="1"/>
  <c r="U301" i="1"/>
  <c r="X292" i="23"/>
  <c r="AB292" i="23"/>
  <c r="A293" i="23"/>
  <c r="AK292" i="23"/>
  <c r="K292" i="23"/>
  <c r="L292" i="23"/>
  <c r="AJ292" i="23"/>
  <c r="AC292" i="23"/>
  <c r="O292" i="23"/>
  <c r="L300" i="15"/>
  <c r="D300" i="15" s="1"/>
  <c r="AB300" i="15"/>
  <c r="AK300" i="15"/>
  <c r="A301" i="15"/>
  <c r="K300" i="15"/>
  <c r="X300" i="15"/>
  <c r="AJ300" i="15"/>
  <c r="AC300" i="15"/>
  <c r="O300" i="15"/>
  <c r="E300" i="15" s="1"/>
  <c r="X294" i="20"/>
  <c r="K294" i="20"/>
  <c r="A295" i="20"/>
  <c r="AK294" i="20"/>
  <c r="L294" i="20"/>
  <c r="AB294" i="20"/>
  <c r="AJ294" i="20"/>
  <c r="AC294" i="20"/>
  <c r="O294" i="20"/>
  <c r="AB291" i="24"/>
  <c r="X291" i="24"/>
  <c r="AJ291" i="24"/>
  <c r="A292" i="24"/>
  <c r="L291" i="24"/>
  <c r="K291" i="24"/>
  <c r="AK291" i="24"/>
  <c r="AC291" i="24"/>
  <c r="O291" i="24"/>
  <c r="D293" i="16"/>
  <c r="E293" i="16" s="1"/>
  <c r="K295" i="17"/>
  <c r="A296" i="17"/>
  <c r="AJ295" i="17"/>
  <c r="AB295" i="17"/>
  <c r="L295" i="17"/>
  <c r="X295" i="17"/>
  <c r="AK295" i="17"/>
  <c r="O295" i="17"/>
  <c r="AC295" i="17"/>
  <c r="L298" i="18"/>
  <c r="AB298" i="18"/>
  <c r="X298" i="18"/>
  <c r="AK298" i="18"/>
  <c r="K298" i="18"/>
  <c r="A299" i="18"/>
  <c r="AJ298" i="18"/>
  <c r="AC298" i="18"/>
  <c r="O298" i="18"/>
  <c r="K293" i="22"/>
  <c r="AB293" i="22"/>
  <c r="X293" i="22"/>
  <c r="AK293" i="22"/>
  <c r="A294" i="22"/>
  <c r="L293" i="22"/>
  <c r="AJ293" i="22"/>
  <c r="AC293" i="22"/>
  <c r="O293" i="22"/>
  <c r="K294" i="22" l="1"/>
  <c r="X294" i="22"/>
  <c r="AJ294" i="22"/>
  <c r="A295" i="22"/>
  <c r="L294" i="22"/>
  <c r="AB294" i="22"/>
  <c r="AK294" i="22"/>
  <c r="AC294" i="22"/>
  <c r="O294" i="22"/>
  <c r="A297" i="17"/>
  <c r="K296" i="17"/>
  <c r="AJ296" i="17"/>
  <c r="X296" i="17"/>
  <c r="L296" i="17"/>
  <c r="D296" i="17" s="1"/>
  <c r="AB296" i="17"/>
  <c r="AK296" i="17"/>
  <c r="O296" i="17"/>
  <c r="AC296" i="17"/>
  <c r="X292" i="24"/>
  <c r="AB292" i="24"/>
  <c r="L292" i="24"/>
  <c r="AK292" i="24"/>
  <c r="K292" i="24"/>
  <c r="A293" i="24"/>
  <c r="AJ292" i="24"/>
  <c r="AC292" i="24"/>
  <c r="O292" i="24"/>
  <c r="AK302" i="1"/>
  <c r="AC302" i="1"/>
  <c r="K302" i="1"/>
  <c r="A303" i="1"/>
  <c r="O302" i="1"/>
  <c r="C29" i="7" s="1"/>
  <c r="L302" i="1"/>
  <c r="AB302" i="1"/>
  <c r="Q302" i="1"/>
  <c r="X302" i="1"/>
  <c r="AJ302" i="1"/>
  <c r="A29" i="7"/>
  <c r="U302" i="1"/>
  <c r="D294" i="16"/>
  <c r="E294" i="16" s="1"/>
  <c r="AB299" i="18"/>
  <c r="X299" i="18"/>
  <c r="L299" i="18"/>
  <c r="AK299" i="18"/>
  <c r="K299" i="18"/>
  <c r="A300" i="18"/>
  <c r="AJ299" i="18"/>
  <c r="O299" i="18"/>
  <c r="AC299" i="18"/>
  <c r="D295" i="17"/>
  <c r="E295" i="17" s="1"/>
  <c r="X295" i="20"/>
  <c r="K295" i="20"/>
  <c r="AJ295" i="20"/>
  <c r="A296" i="20"/>
  <c r="AB295" i="20"/>
  <c r="L295" i="20"/>
  <c r="AK295" i="20"/>
  <c r="AC295" i="20"/>
  <c r="O295" i="20"/>
  <c r="AB301" i="15"/>
  <c r="AK301" i="15"/>
  <c r="K301" i="15"/>
  <c r="X301" i="15"/>
  <c r="L301" i="15"/>
  <c r="D301" i="15" s="1"/>
  <c r="A302" i="15"/>
  <c r="AJ301" i="15"/>
  <c r="AC301" i="15"/>
  <c r="O301" i="15"/>
  <c r="E301" i="15" s="1"/>
  <c r="L293" i="23"/>
  <c r="K293" i="23"/>
  <c r="AB293" i="23"/>
  <c r="AK293" i="23"/>
  <c r="A294" i="23"/>
  <c r="X293" i="23"/>
  <c r="AJ293" i="23"/>
  <c r="AC293" i="23"/>
  <c r="O293" i="23"/>
  <c r="T301" i="1"/>
  <c r="D301" i="1"/>
  <c r="E301" i="1" s="1"/>
  <c r="S300" i="1"/>
  <c r="R300" i="1" s="1"/>
  <c r="P300" i="1" s="1"/>
  <c r="V300" i="1" s="1"/>
  <c r="F300" i="1" s="1"/>
  <c r="L291" i="25"/>
  <c r="K291" i="25"/>
  <c r="AJ291" i="25"/>
  <c r="A292" i="25"/>
  <c r="AB291" i="25"/>
  <c r="X291" i="25"/>
  <c r="AK291" i="25"/>
  <c r="AC291" i="25"/>
  <c r="O291" i="25"/>
  <c r="I299" i="1"/>
  <c r="G299" i="1"/>
  <c r="BW299" i="6" s="1"/>
  <c r="AA299" i="1"/>
  <c r="Z299" i="1" s="1"/>
  <c r="Y299" i="1" s="1"/>
  <c r="A296" i="16"/>
  <c r="X295" i="16"/>
  <c r="AJ295" i="16"/>
  <c r="AB295" i="16"/>
  <c r="L295" i="16"/>
  <c r="K295" i="16"/>
  <c r="AK295" i="16"/>
  <c r="AC295" i="16"/>
  <c r="O295" i="16"/>
  <c r="E296" i="17" l="1"/>
  <c r="AB292" i="25"/>
  <c r="K292" i="25"/>
  <c r="A293" i="25"/>
  <c r="AK292" i="25"/>
  <c r="L292" i="25"/>
  <c r="X292" i="25"/>
  <c r="AJ292" i="25"/>
  <c r="AC292" i="25"/>
  <c r="O292" i="25"/>
  <c r="I300" i="1"/>
  <c r="G300" i="1"/>
  <c r="BW300" i="6" s="1"/>
  <c r="AA300" i="1"/>
  <c r="Z300" i="1" s="1"/>
  <c r="Y300" i="1" s="1"/>
  <c r="K294" i="23"/>
  <c r="AB294" i="23"/>
  <c r="AJ294" i="23"/>
  <c r="X294" i="23"/>
  <c r="L294" i="23"/>
  <c r="A295" i="23"/>
  <c r="AK294" i="23"/>
  <c r="AC294" i="23"/>
  <c r="O294" i="23"/>
  <c r="AB296" i="20"/>
  <c r="A297" i="20"/>
  <c r="K296" i="20"/>
  <c r="AK296" i="20"/>
  <c r="L296" i="20"/>
  <c r="X296" i="20"/>
  <c r="AJ296" i="20"/>
  <c r="AC296" i="20"/>
  <c r="O296" i="20"/>
  <c r="T302" i="1"/>
  <c r="B29" i="7"/>
  <c r="D302" i="1"/>
  <c r="E302" i="1" s="1"/>
  <c r="Q303" i="1"/>
  <c r="O303" i="1"/>
  <c r="L303" i="1"/>
  <c r="AB303" i="1"/>
  <c r="AK303" i="1"/>
  <c r="X303" i="1"/>
  <c r="A304" i="1"/>
  <c r="AC303" i="1"/>
  <c r="K303" i="1"/>
  <c r="AJ303" i="1"/>
  <c r="U303" i="1"/>
  <c r="AB293" i="24"/>
  <c r="L293" i="24"/>
  <c r="AJ293" i="24"/>
  <c r="A294" i="24"/>
  <c r="X293" i="24"/>
  <c r="K293" i="24"/>
  <c r="AK293" i="24"/>
  <c r="AC293" i="24"/>
  <c r="O293" i="24"/>
  <c r="D295" i="16"/>
  <c r="E295" i="16" s="1"/>
  <c r="L296" i="16"/>
  <c r="X296" i="16"/>
  <c r="A297" i="16"/>
  <c r="AK296" i="16"/>
  <c r="K296" i="16"/>
  <c r="AB296" i="16"/>
  <c r="AJ296" i="16"/>
  <c r="AC296" i="16"/>
  <c r="O296" i="16"/>
  <c r="S301" i="1"/>
  <c r="R301" i="1" s="1"/>
  <c r="P301" i="1" s="1"/>
  <c r="V301" i="1" s="1"/>
  <c r="F301" i="1" s="1"/>
  <c r="AB302" i="15"/>
  <c r="AK302" i="15"/>
  <c r="A41" i="7"/>
  <c r="AJ302" i="15"/>
  <c r="L302" i="15"/>
  <c r="X302" i="15"/>
  <c r="A303" i="15"/>
  <c r="K302" i="15"/>
  <c r="O302" i="15"/>
  <c r="C41" i="7" s="1"/>
  <c r="AC302" i="15"/>
  <c r="AB300" i="18"/>
  <c r="K300" i="18"/>
  <c r="A301" i="18"/>
  <c r="AK300" i="18"/>
  <c r="X300" i="18"/>
  <c r="L300" i="18"/>
  <c r="AJ300" i="18"/>
  <c r="O300" i="18"/>
  <c r="AC300" i="18"/>
  <c r="A298" i="17"/>
  <c r="AB297" i="17"/>
  <c r="K297" i="17"/>
  <c r="AK297" i="17"/>
  <c r="X297" i="17"/>
  <c r="L297" i="17"/>
  <c r="AJ297" i="17"/>
  <c r="O297" i="17"/>
  <c r="AC297" i="17"/>
  <c r="K295" i="22"/>
  <c r="A296" i="22"/>
  <c r="L295" i="22"/>
  <c r="AK295" i="22"/>
  <c r="X295" i="22"/>
  <c r="AB295" i="22"/>
  <c r="AJ295" i="22"/>
  <c r="AC295" i="22"/>
  <c r="O295" i="22"/>
  <c r="AA301" i="1" l="1"/>
  <c r="Z301" i="1" s="1"/>
  <c r="Y301" i="1" s="1"/>
  <c r="I301" i="1"/>
  <c r="G301" i="1"/>
  <c r="BW301" i="6" s="1"/>
  <c r="D297" i="17"/>
  <c r="E297" i="17" s="1"/>
  <c r="A295" i="24"/>
  <c r="AB294" i="24"/>
  <c r="K294" i="24"/>
  <c r="AK294" i="24"/>
  <c r="X294" i="24"/>
  <c r="L294" i="24"/>
  <c r="AJ294" i="24"/>
  <c r="AC294" i="24"/>
  <c r="O294" i="24"/>
  <c r="T303" i="1"/>
  <c r="K304" i="1"/>
  <c r="AJ304" i="1"/>
  <c r="A305" i="1"/>
  <c r="L304" i="1"/>
  <c r="O304" i="1"/>
  <c r="AK304" i="1"/>
  <c r="Q304" i="1"/>
  <c r="AC304" i="1"/>
  <c r="AB304" i="1"/>
  <c r="X304" i="1"/>
  <c r="U304" i="1"/>
  <c r="D303" i="1"/>
  <c r="E303" i="1" s="1"/>
  <c r="A298" i="20"/>
  <c r="K297" i="20"/>
  <c r="AJ297" i="20"/>
  <c r="X297" i="20"/>
  <c r="L297" i="20"/>
  <c r="AB297" i="20"/>
  <c r="AK297" i="20"/>
  <c r="AC297" i="20"/>
  <c r="O297" i="20"/>
  <c r="X295" i="23"/>
  <c r="A296" i="23"/>
  <c r="AJ295" i="23"/>
  <c r="AB295" i="23"/>
  <c r="L295" i="23"/>
  <c r="K295" i="23"/>
  <c r="AK295" i="23"/>
  <c r="AC295" i="23"/>
  <c r="O295" i="23"/>
  <c r="AB293" i="25"/>
  <c r="L293" i="25"/>
  <c r="AJ293" i="25"/>
  <c r="A294" i="25"/>
  <c r="X293" i="25"/>
  <c r="K293" i="25"/>
  <c r="AK293" i="25"/>
  <c r="AC293" i="25"/>
  <c r="O293" i="25"/>
  <c r="A297" i="22"/>
  <c r="AB296" i="22"/>
  <c r="K296" i="22"/>
  <c r="AK296" i="22"/>
  <c r="L296" i="22"/>
  <c r="X296" i="22"/>
  <c r="AJ296" i="22"/>
  <c r="AC296" i="22"/>
  <c r="O296" i="22"/>
  <c r="AB298" i="17"/>
  <c r="L298" i="17"/>
  <c r="D298" i="17" s="1"/>
  <c r="K298" i="17"/>
  <c r="AK298" i="17"/>
  <c r="X298" i="17"/>
  <c r="A299" i="17"/>
  <c r="AJ298" i="17"/>
  <c r="O298" i="17"/>
  <c r="AC298" i="17"/>
  <c r="K301" i="18"/>
  <c r="X301" i="18"/>
  <c r="AB301" i="18"/>
  <c r="AK301" i="18"/>
  <c r="L301" i="18"/>
  <c r="A302" i="18"/>
  <c r="AJ301" i="18"/>
  <c r="O301" i="18"/>
  <c r="AC301" i="18"/>
  <c r="AB303" i="15"/>
  <c r="L303" i="15"/>
  <c r="D303" i="15" s="1"/>
  <c r="X303" i="15"/>
  <c r="AJ303" i="15"/>
  <c r="A304" i="15"/>
  <c r="AK303" i="15"/>
  <c r="K303" i="15"/>
  <c r="AC303" i="15"/>
  <c r="O303" i="15"/>
  <c r="B41" i="7"/>
  <c r="D302" i="15"/>
  <c r="E302" i="15" s="1"/>
  <c r="AB297" i="16"/>
  <c r="A298" i="16"/>
  <c r="AJ297" i="16"/>
  <c r="K297" i="16"/>
  <c r="X297" i="16"/>
  <c r="L297" i="16"/>
  <c r="AK297" i="16"/>
  <c r="AC297" i="16"/>
  <c r="O297" i="16"/>
  <c r="D296" i="16"/>
  <c r="E296" i="16" s="1"/>
  <c r="S302" i="1"/>
  <c r="R302" i="1" s="1"/>
  <c r="P302" i="1" s="1"/>
  <c r="E298" i="17" l="1"/>
  <c r="D29" i="7"/>
  <c r="V302" i="1"/>
  <c r="F302" i="1" s="1"/>
  <c r="E303" i="15"/>
  <c r="A305" i="15"/>
  <c r="K304" i="15"/>
  <c r="AJ304" i="15"/>
  <c r="L304" i="15"/>
  <c r="AB304" i="15"/>
  <c r="X304" i="15"/>
  <c r="AK304" i="15"/>
  <c r="AC304" i="15"/>
  <c r="O304" i="15"/>
  <c r="A77" i="7"/>
  <c r="A303" i="18"/>
  <c r="X302" i="18"/>
  <c r="AJ302" i="18"/>
  <c r="AB302" i="18"/>
  <c r="L302" i="18"/>
  <c r="K302" i="18"/>
  <c r="AK302" i="18"/>
  <c r="AC302" i="18"/>
  <c r="O302" i="18"/>
  <c r="C77" i="7" s="1"/>
  <c r="T304" i="1"/>
  <c r="A306" i="1"/>
  <c r="AC305" i="1"/>
  <c r="K305" i="1"/>
  <c r="L305" i="1"/>
  <c r="D305" i="1" s="1"/>
  <c r="AK305" i="1"/>
  <c r="U305" i="1"/>
  <c r="X305" i="1"/>
  <c r="Q305" i="1"/>
  <c r="O305" i="1"/>
  <c r="AB305" i="1"/>
  <c r="AJ305" i="1"/>
  <c r="S303" i="1"/>
  <c r="R303" i="1" s="1"/>
  <c r="P303" i="1" s="1"/>
  <c r="V303" i="1" s="1"/>
  <c r="F303" i="1" s="1"/>
  <c r="D297" i="16"/>
  <c r="E297" i="16" s="1"/>
  <c r="A299" i="16"/>
  <c r="L298" i="16"/>
  <c r="AJ298" i="16"/>
  <c r="X298" i="16"/>
  <c r="AB298" i="16"/>
  <c r="K298" i="16"/>
  <c r="AK298" i="16"/>
  <c r="AC298" i="16"/>
  <c r="O298" i="16"/>
  <c r="AB299" i="17"/>
  <c r="K299" i="17"/>
  <c r="L299" i="17"/>
  <c r="D299" i="17" s="1"/>
  <c r="AK299" i="17"/>
  <c r="A300" i="17"/>
  <c r="X299" i="17"/>
  <c r="AJ299" i="17"/>
  <c r="O299" i="17"/>
  <c r="AC299" i="17"/>
  <c r="AB297" i="22"/>
  <c r="L297" i="22"/>
  <c r="K297" i="22"/>
  <c r="AK297" i="22"/>
  <c r="X297" i="22"/>
  <c r="A298" i="22"/>
  <c r="AJ297" i="22"/>
  <c r="AC297" i="22"/>
  <c r="O297" i="22"/>
  <c r="A295" i="25"/>
  <c r="K294" i="25"/>
  <c r="AB294" i="25"/>
  <c r="AK294" i="25"/>
  <c r="X294" i="25"/>
  <c r="L294" i="25"/>
  <c r="AJ294" i="25"/>
  <c r="AC294" i="25"/>
  <c r="O294" i="25"/>
  <c r="X296" i="23"/>
  <c r="K296" i="23"/>
  <c r="AJ296" i="23"/>
  <c r="AB296" i="23"/>
  <c r="A297" i="23"/>
  <c r="L296" i="23"/>
  <c r="AK296" i="23"/>
  <c r="AC296" i="23"/>
  <c r="O296" i="23"/>
  <c r="X298" i="20"/>
  <c r="L298" i="20"/>
  <c r="AJ298" i="20"/>
  <c r="AB298" i="20"/>
  <c r="K298" i="20"/>
  <c r="A299" i="20"/>
  <c r="AK298" i="20"/>
  <c r="AC298" i="20"/>
  <c r="O298" i="20"/>
  <c r="D304" i="1"/>
  <c r="E304" i="1" s="1"/>
  <c r="K295" i="24"/>
  <c r="A296" i="24"/>
  <c r="AB295" i="24"/>
  <c r="AK295" i="24"/>
  <c r="X295" i="24"/>
  <c r="L295" i="24"/>
  <c r="AJ295" i="24"/>
  <c r="AC295" i="24"/>
  <c r="O295" i="24"/>
  <c r="E305" i="1" l="1"/>
  <c r="I303" i="1"/>
  <c r="AA303" i="1"/>
  <c r="Z303" i="1" s="1"/>
  <c r="Y303" i="1" s="1"/>
  <c r="G303" i="1"/>
  <c r="BW303" i="6" s="1"/>
  <c r="AB296" i="24"/>
  <c r="L296" i="24"/>
  <c r="A297" i="24"/>
  <c r="AK296" i="24"/>
  <c r="X296" i="24"/>
  <c r="K296" i="24"/>
  <c r="AJ296" i="24"/>
  <c r="AC296" i="24"/>
  <c r="O296" i="24"/>
  <c r="X299" i="20"/>
  <c r="A300" i="20"/>
  <c r="K299" i="20"/>
  <c r="AK299" i="20"/>
  <c r="AB299" i="20"/>
  <c r="L299" i="20"/>
  <c r="AJ299" i="20"/>
  <c r="AC299" i="20"/>
  <c r="O299" i="20"/>
  <c r="AB295" i="25"/>
  <c r="K295" i="25"/>
  <c r="X295" i="25"/>
  <c r="AK295" i="25"/>
  <c r="L295" i="25"/>
  <c r="A296" i="25"/>
  <c r="AJ295" i="25"/>
  <c r="AC295" i="25"/>
  <c r="O295" i="25"/>
  <c r="L298" i="22"/>
  <c r="X298" i="22"/>
  <c r="AJ298" i="22"/>
  <c r="A299" i="22"/>
  <c r="AB298" i="22"/>
  <c r="K298" i="22"/>
  <c r="AK298" i="22"/>
  <c r="AC298" i="22"/>
  <c r="O298" i="22"/>
  <c r="E299" i="17"/>
  <c r="D298" i="16"/>
  <c r="E298" i="16" s="1"/>
  <c r="Q306" i="1"/>
  <c r="AK306" i="1"/>
  <c r="A307" i="1"/>
  <c r="O306" i="1"/>
  <c r="AJ306" i="1"/>
  <c r="X306" i="1"/>
  <c r="K306" i="1"/>
  <c r="AB306" i="1"/>
  <c r="L306" i="1"/>
  <c r="AC306" i="1"/>
  <c r="U306" i="1"/>
  <c r="B77" i="7"/>
  <c r="K303" i="18"/>
  <c r="L303" i="18"/>
  <c r="AJ303" i="18"/>
  <c r="AB303" i="18"/>
  <c r="A304" i="18"/>
  <c r="X303" i="18"/>
  <c r="AK303" i="18"/>
  <c r="O303" i="18"/>
  <c r="AC303" i="18"/>
  <c r="D304" i="15"/>
  <c r="L297" i="23"/>
  <c r="AB297" i="23"/>
  <c r="AJ297" i="23"/>
  <c r="A298" i="23"/>
  <c r="K297" i="23"/>
  <c r="X297" i="23"/>
  <c r="AK297" i="23"/>
  <c r="AC297" i="23"/>
  <c r="O297" i="23"/>
  <c r="K300" i="17"/>
  <c r="X300" i="17"/>
  <c r="AJ300" i="17"/>
  <c r="AB300" i="17"/>
  <c r="L300" i="17"/>
  <c r="D300" i="17" s="1"/>
  <c r="A301" i="17"/>
  <c r="AK300" i="17"/>
  <c r="O300" i="17"/>
  <c r="AC300" i="17"/>
  <c r="AB299" i="16"/>
  <c r="X299" i="16"/>
  <c r="AJ299" i="16"/>
  <c r="L299" i="16"/>
  <c r="K299" i="16"/>
  <c r="A300" i="16"/>
  <c r="AK299" i="16"/>
  <c r="AC299" i="16"/>
  <c r="O299" i="16"/>
  <c r="T305" i="1"/>
  <c r="S304" i="1"/>
  <c r="R304" i="1" s="1"/>
  <c r="P304" i="1" s="1"/>
  <c r="V304" i="1" s="1"/>
  <c r="F304" i="1" s="1"/>
  <c r="E304" i="15"/>
  <c r="AB305" i="15"/>
  <c r="A306" i="15"/>
  <c r="AJ305" i="15"/>
  <c r="L305" i="15"/>
  <c r="D305" i="15" s="1"/>
  <c r="K305" i="15"/>
  <c r="X305" i="15"/>
  <c r="AK305" i="15"/>
  <c r="AC305" i="15"/>
  <c r="O305" i="15"/>
  <c r="I302" i="1"/>
  <c r="AA302" i="1"/>
  <c r="Z302" i="1" s="1"/>
  <c r="Y302" i="1" s="1"/>
  <c r="G302" i="1"/>
  <c r="BW302" i="6" s="1"/>
  <c r="G304" i="1" l="1"/>
  <c r="BW304" i="6" s="1"/>
  <c r="AA304" i="1"/>
  <c r="Z304" i="1" s="1"/>
  <c r="Y304" i="1" s="1"/>
  <c r="I304" i="1"/>
  <c r="E305" i="15"/>
  <c r="S305" i="1"/>
  <c r="R305" i="1" s="1"/>
  <c r="P305" i="1" s="1"/>
  <c r="V305" i="1" s="1"/>
  <c r="F305" i="1" s="1"/>
  <c r="E300" i="17"/>
  <c r="X301" i="17"/>
  <c r="AB301" i="17"/>
  <c r="AJ301" i="17"/>
  <c r="K301" i="17"/>
  <c r="L301" i="17"/>
  <c r="A302" i="17"/>
  <c r="AK301" i="17"/>
  <c r="O301" i="17"/>
  <c r="AC301" i="17"/>
  <c r="X298" i="23"/>
  <c r="AB298" i="23"/>
  <c r="AJ298" i="23"/>
  <c r="K298" i="23"/>
  <c r="A299" i="23"/>
  <c r="L298" i="23"/>
  <c r="AK298" i="23"/>
  <c r="AC298" i="23"/>
  <c r="O298" i="23"/>
  <c r="L304" i="18"/>
  <c r="A305" i="18"/>
  <c r="AJ304" i="18"/>
  <c r="X304" i="18"/>
  <c r="K304" i="18"/>
  <c r="AB304" i="18"/>
  <c r="AK304" i="18"/>
  <c r="O304" i="18"/>
  <c r="AC304" i="18"/>
  <c r="AB299" i="22"/>
  <c r="K299" i="22"/>
  <c r="A300" i="22"/>
  <c r="AK299" i="22"/>
  <c r="L299" i="22"/>
  <c r="X299" i="22"/>
  <c r="AJ299" i="22"/>
  <c r="AC299" i="22"/>
  <c r="O299" i="22"/>
  <c r="X306" i="15"/>
  <c r="K306" i="15"/>
  <c r="AJ306" i="15"/>
  <c r="L306" i="15"/>
  <c r="AK306" i="15"/>
  <c r="AB306" i="15"/>
  <c r="A307" i="15"/>
  <c r="O306" i="15"/>
  <c r="AC306" i="15"/>
  <c r="A301" i="16"/>
  <c r="AB300" i="16"/>
  <c r="K300" i="16"/>
  <c r="AK300" i="16"/>
  <c r="L300" i="16"/>
  <c r="X300" i="16"/>
  <c r="AJ300" i="16"/>
  <c r="AC300" i="16"/>
  <c r="O300" i="16"/>
  <c r="D299" i="16"/>
  <c r="E299" i="16" s="1"/>
  <c r="T306" i="1"/>
  <c r="D306" i="1"/>
  <c r="E306" i="1" s="1"/>
  <c r="AK307" i="1"/>
  <c r="L307" i="1"/>
  <c r="A308" i="1"/>
  <c r="O307" i="1"/>
  <c r="X307" i="1"/>
  <c r="AJ307" i="1"/>
  <c r="AC307" i="1"/>
  <c r="Q307" i="1"/>
  <c r="AB307" i="1"/>
  <c r="K307" i="1"/>
  <c r="U307" i="1"/>
  <c r="X296" i="25"/>
  <c r="K296" i="25"/>
  <c r="AJ296" i="25"/>
  <c r="AB296" i="25"/>
  <c r="L296" i="25"/>
  <c r="A297" i="25"/>
  <c r="AK296" i="25"/>
  <c r="AC296" i="25"/>
  <c r="O296" i="25"/>
  <c r="L300" i="20"/>
  <c r="A301" i="20"/>
  <c r="AJ300" i="20"/>
  <c r="AB300" i="20"/>
  <c r="K300" i="20"/>
  <c r="X300" i="20"/>
  <c r="AK300" i="20"/>
  <c r="AC300" i="20"/>
  <c r="O300" i="20"/>
  <c r="K297" i="24"/>
  <c r="L297" i="24"/>
  <c r="AJ297" i="24"/>
  <c r="A298" i="24"/>
  <c r="AB297" i="24"/>
  <c r="X297" i="24"/>
  <c r="AK297" i="24"/>
  <c r="AC297" i="24"/>
  <c r="O297" i="24"/>
  <c r="G305" i="1" l="1"/>
  <c r="BW305" i="6" s="1"/>
  <c r="AA305" i="1"/>
  <c r="Z305" i="1" s="1"/>
  <c r="Y305" i="1" s="1"/>
  <c r="I305" i="1"/>
  <c r="AB298" i="24"/>
  <c r="A299" i="24"/>
  <c r="K298" i="24"/>
  <c r="AK298" i="24"/>
  <c r="L298" i="24"/>
  <c r="X298" i="24"/>
  <c r="AJ298" i="24"/>
  <c r="AC298" i="24"/>
  <c r="O298" i="24"/>
  <c r="K301" i="20"/>
  <c r="X301" i="20"/>
  <c r="L301" i="20"/>
  <c r="AK301" i="20"/>
  <c r="AB301" i="20"/>
  <c r="A302" i="20"/>
  <c r="AJ301" i="20"/>
  <c r="AC301" i="20"/>
  <c r="O301" i="20"/>
  <c r="D307" i="1"/>
  <c r="E307" i="1" s="1"/>
  <c r="D300" i="16"/>
  <c r="E300" i="16" s="1"/>
  <c r="L301" i="16"/>
  <c r="A302" i="16"/>
  <c r="AB301" i="16"/>
  <c r="AK301" i="16"/>
  <c r="K301" i="16"/>
  <c r="X301" i="16"/>
  <c r="AJ301" i="16"/>
  <c r="AC301" i="16"/>
  <c r="O301" i="16"/>
  <c r="D306" i="15"/>
  <c r="E306" i="15" s="1"/>
  <c r="K305" i="18"/>
  <c r="A306" i="18"/>
  <c r="AB305" i="18"/>
  <c r="AK305" i="18"/>
  <c r="L305" i="18"/>
  <c r="X305" i="18"/>
  <c r="AJ305" i="18"/>
  <c r="O305" i="18"/>
  <c r="AC305" i="18"/>
  <c r="K299" i="23"/>
  <c r="A300" i="23"/>
  <c r="L299" i="23"/>
  <c r="AK299" i="23"/>
  <c r="X299" i="23"/>
  <c r="AB299" i="23"/>
  <c r="AJ299" i="23"/>
  <c r="AC299" i="23"/>
  <c r="O299" i="23"/>
  <c r="AB302" i="17"/>
  <c r="A65" i="7"/>
  <c r="A303" i="17"/>
  <c r="AK302" i="17"/>
  <c r="L302" i="17"/>
  <c r="K302" i="17"/>
  <c r="X302" i="17"/>
  <c r="AJ302" i="17"/>
  <c r="O302" i="17"/>
  <c r="C65" i="7" s="1"/>
  <c r="AC302" i="17"/>
  <c r="K297" i="25"/>
  <c r="L297" i="25"/>
  <c r="AJ297" i="25"/>
  <c r="X297" i="25"/>
  <c r="A298" i="25"/>
  <c r="AB297" i="25"/>
  <c r="AK297" i="25"/>
  <c r="AC297" i="25"/>
  <c r="O297" i="25"/>
  <c r="T307" i="1"/>
  <c r="A309" i="1"/>
  <c r="X308" i="1"/>
  <c r="O308" i="1"/>
  <c r="AC308" i="1"/>
  <c r="L308" i="1"/>
  <c r="U308" i="1"/>
  <c r="AB308" i="1"/>
  <c r="K308" i="1"/>
  <c r="AK308" i="1"/>
  <c r="AJ308" i="1"/>
  <c r="Q308" i="1"/>
  <c r="S306" i="1"/>
  <c r="R306" i="1" s="1"/>
  <c r="P306" i="1" s="1"/>
  <c r="V306" i="1" s="1"/>
  <c r="F306" i="1" s="1"/>
  <c r="AB307" i="15"/>
  <c r="X307" i="15"/>
  <c r="AK307" i="15"/>
  <c r="L307" i="15"/>
  <c r="K307" i="15"/>
  <c r="A308" i="15"/>
  <c r="AJ307" i="15"/>
  <c r="AC307" i="15"/>
  <c r="O307" i="15"/>
  <c r="A301" i="22"/>
  <c r="AB300" i="22"/>
  <c r="AJ300" i="22"/>
  <c r="X300" i="22"/>
  <c r="K300" i="22"/>
  <c r="L300" i="22"/>
  <c r="AK300" i="22"/>
  <c r="AC300" i="22"/>
  <c r="O300" i="22"/>
  <c r="D301" i="17"/>
  <c r="E301" i="17" s="1"/>
  <c r="AA306" i="1" l="1"/>
  <c r="Z306" i="1" s="1"/>
  <c r="Y306" i="1" s="1"/>
  <c r="I306" i="1"/>
  <c r="G306" i="1"/>
  <c r="BW306" i="6" s="1"/>
  <c r="D308" i="1"/>
  <c r="E308" i="1" s="1"/>
  <c r="L309" i="1"/>
  <c r="D309" i="1" s="1"/>
  <c r="Q309" i="1"/>
  <c r="AJ309" i="1"/>
  <c r="K309" i="1"/>
  <c r="AB309" i="1"/>
  <c r="U309" i="1"/>
  <c r="AC309" i="1"/>
  <c r="AK309" i="1"/>
  <c r="X309" i="1"/>
  <c r="O309" i="1"/>
  <c r="A310" i="1"/>
  <c r="S307" i="1"/>
  <c r="R307" i="1" s="1"/>
  <c r="P307" i="1" s="1"/>
  <c r="V307" i="1" s="1"/>
  <c r="F307" i="1" s="1"/>
  <c r="D302" i="17"/>
  <c r="E302" i="17" s="1"/>
  <c r="B65" i="7"/>
  <c r="L303" i="17"/>
  <c r="A304" i="17"/>
  <c r="AJ303" i="17"/>
  <c r="X303" i="17"/>
  <c r="K303" i="17"/>
  <c r="AB303" i="17"/>
  <c r="AK303" i="17"/>
  <c r="O303" i="17"/>
  <c r="AC303" i="17"/>
  <c r="A53" i="7"/>
  <c r="AB302" i="16"/>
  <c r="A303" i="16"/>
  <c r="AK302" i="16"/>
  <c r="K302" i="16"/>
  <c r="X302" i="16"/>
  <c r="L302" i="16"/>
  <c r="AJ302" i="16"/>
  <c r="AC302" i="16"/>
  <c r="O302" i="16"/>
  <c r="A303" i="20"/>
  <c r="AE29" i="7"/>
  <c r="AB302" i="20"/>
  <c r="AJ302" i="20"/>
  <c r="L302" i="20"/>
  <c r="X302" i="20"/>
  <c r="K302" i="20"/>
  <c r="AK302" i="20"/>
  <c r="AC302" i="20"/>
  <c r="O302" i="20"/>
  <c r="AG29" i="7" s="1"/>
  <c r="K301" i="22"/>
  <c r="AB301" i="22"/>
  <c r="X301" i="22"/>
  <c r="AK301" i="22"/>
  <c r="L301" i="22"/>
  <c r="A302" i="22"/>
  <c r="AJ301" i="22"/>
  <c r="AC301" i="22"/>
  <c r="O301" i="22"/>
  <c r="X308" i="15"/>
  <c r="A309" i="15"/>
  <c r="K308" i="15"/>
  <c r="AJ308" i="15"/>
  <c r="AK308" i="15"/>
  <c r="L308" i="15"/>
  <c r="D308" i="15" s="1"/>
  <c r="AB308" i="15"/>
  <c r="AC308" i="15"/>
  <c r="O308" i="15"/>
  <c r="D307" i="15"/>
  <c r="E307" i="15" s="1"/>
  <c r="T308" i="1"/>
  <c r="A299" i="25"/>
  <c r="X298" i="25"/>
  <c r="AB298" i="25"/>
  <c r="AK298" i="25"/>
  <c r="L298" i="25"/>
  <c r="K298" i="25"/>
  <c r="AJ298" i="25"/>
  <c r="AC298" i="25"/>
  <c r="O298" i="25"/>
  <c r="A301" i="23"/>
  <c r="X300" i="23"/>
  <c r="AJ300" i="23"/>
  <c r="AB300" i="23"/>
  <c r="K300" i="23"/>
  <c r="L300" i="23"/>
  <c r="AK300" i="23"/>
  <c r="AC300" i="23"/>
  <c r="O300" i="23"/>
  <c r="K306" i="18"/>
  <c r="X306" i="18"/>
  <c r="L306" i="18"/>
  <c r="AK306" i="18"/>
  <c r="A307" i="18"/>
  <c r="AB306" i="18"/>
  <c r="AJ306" i="18"/>
  <c r="AC306" i="18"/>
  <c r="O306" i="18"/>
  <c r="D301" i="16"/>
  <c r="E301" i="16" s="1"/>
  <c r="K299" i="24"/>
  <c r="X299" i="24"/>
  <c r="AB299" i="24"/>
  <c r="AK299" i="24"/>
  <c r="A300" i="24"/>
  <c r="L299" i="24"/>
  <c r="AJ299" i="24"/>
  <c r="AC299" i="24"/>
  <c r="O299" i="24"/>
  <c r="AA307" i="1" l="1"/>
  <c r="Z307" i="1" s="1"/>
  <c r="Y307" i="1" s="1"/>
  <c r="I307" i="1"/>
  <c r="G307" i="1"/>
  <c r="BW307" i="6" s="1"/>
  <c r="AB307" i="18"/>
  <c r="A308" i="18"/>
  <c r="AJ307" i="18"/>
  <c r="X307" i="18"/>
  <c r="K307" i="18"/>
  <c r="L307" i="18"/>
  <c r="AK307" i="18"/>
  <c r="O307" i="18"/>
  <c r="AC307" i="18"/>
  <c r="X301" i="23"/>
  <c r="A302" i="23"/>
  <c r="L301" i="23"/>
  <c r="AK301" i="23"/>
  <c r="AB301" i="23"/>
  <c r="K301" i="23"/>
  <c r="AJ301" i="23"/>
  <c r="AC301" i="23"/>
  <c r="O301" i="23"/>
  <c r="S308" i="1"/>
  <c r="R308" i="1" s="1"/>
  <c r="P308" i="1" s="1"/>
  <c r="V308" i="1" s="1"/>
  <c r="F308" i="1" s="1"/>
  <c r="X309" i="15"/>
  <c r="AK309" i="15"/>
  <c r="AJ309" i="15"/>
  <c r="A310" i="15"/>
  <c r="AB309" i="15"/>
  <c r="L309" i="15"/>
  <c r="D309" i="15" s="1"/>
  <c r="K309" i="15"/>
  <c r="AC309" i="15"/>
  <c r="O309" i="15"/>
  <c r="AF29" i="7"/>
  <c r="K303" i="20"/>
  <c r="A304" i="20"/>
  <c r="AB303" i="20"/>
  <c r="AK303" i="20"/>
  <c r="L303" i="20"/>
  <c r="X303" i="20"/>
  <c r="AJ303" i="20"/>
  <c r="AC303" i="20"/>
  <c r="O303" i="20"/>
  <c r="B53" i="7"/>
  <c r="D302" i="16"/>
  <c r="E302" i="16" s="1"/>
  <c r="K303" i="16"/>
  <c r="AB303" i="16"/>
  <c r="A304" i="16"/>
  <c r="AK303" i="16"/>
  <c r="L303" i="16"/>
  <c r="X303" i="16"/>
  <c r="AJ303" i="16"/>
  <c r="AC303" i="16"/>
  <c r="O303" i="16"/>
  <c r="D303" i="17"/>
  <c r="E303" i="17" s="1"/>
  <c r="AJ310" i="1"/>
  <c r="AB310" i="1"/>
  <c r="O310" i="1"/>
  <c r="Q310" i="1"/>
  <c r="K310" i="1"/>
  <c r="A311" i="1"/>
  <c r="L310" i="1"/>
  <c r="D310" i="1" s="1"/>
  <c r="AC310" i="1"/>
  <c r="X310" i="1"/>
  <c r="AK310" i="1"/>
  <c r="U310" i="1"/>
  <c r="E309" i="1"/>
  <c r="A301" i="24"/>
  <c r="L300" i="24"/>
  <c r="AB300" i="24"/>
  <c r="AK300" i="24"/>
  <c r="K300" i="24"/>
  <c r="X300" i="24"/>
  <c r="AJ300" i="24"/>
  <c r="AC300" i="24"/>
  <c r="O300" i="24"/>
  <c r="L299" i="25"/>
  <c r="X299" i="25"/>
  <c r="AJ299" i="25"/>
  <c r="A300" i="25"/>
  <c r="K299" i="25"/>
  <c r="AB299" i="25"/>
  <c r="AK299" i="25"/>
  <c r="AC299" i="25"/>
  <c r="O299" i="25"/>
  <c r="E308" i="15"/>
  <c r="AB302" i="22"/>
  <c r="L302" i="22"/>
  <c r="X302" i="22"/>
  <c r="AJ302" i="22"/>
  <c r="A303" i="22"/>
  <c r="K302" i="22"/>
  <c r="AE41" i="7"/>
  <c r="AK302" i="22"/>
  <c r="AC302" i="22"/>
  <c r="O302" i="22"/>
  <c r="AG41" i="7" s="1"/>
  <c r="C53" i="7"/>
  <c r="L304" i="17"/>
  <c r="A305" i="17"/>
  <c r="AJ304" i="17"/>
  <c r="AB304" i="17"/>
  <c r="K304" i="17"/>
  <c r="X304" i="17"/>
  <c r="AK304" i="17"/>
  <c r="O304" i="17"/>
  <c r="AC304" i="17"/>
  <c r="T309" i="1"/>
  <c r="E310" i="1" l="1"/>
  <c r="S309" i="1"/>
  <c r="R309" i="1" s="1"/>
  <c r="P309" i="1" s="1"/>
  <c r="L305" i="17"/>
  <c r="D305" i="17" s="1"/>
  <c r="K305" i="17"/>
  <c r="AJ305" i="17"/>
  <c r="AB305" i="17"/>
  <c r="A306" i="17"/>
  <c r="X305" i="17"/>
  <c r="AK305" i="17"/>
  <c r="O305" i="17"/>
  <c r="AC305" i="17"/>
  <c r="AB303" i="22"/>
  <c r="K303" i="22"/>
  <c r="AJ303" i="22"/>
  <c r="A304" i="22"/>
  <c r="L303" i="22"/>
  <c r="X303" i="22"/>
  <c r="AK303" i="22"/>
  <c r="AC303" i="22"/>
  <c r="O303" i="22"/>
  <c r="X311" i="1"/>
  <c r="AJ311" i="1"/>
  <c r="Q311" i="1"/>
  <c r="AK311" i="1"/>
  <c r="AB311" i="1"/>
  <c r="AC311" i="1"/>
  <c r="K311" i="1"/>
  <c r="O311" i="1"/>
  <c r="A312" i="1"/>
  <c r="L311" i="1"/>
  <c r="D311" i="1" s="1"/>
  <c r="E311" i="1" s="1"/>
  <c r="U311" i="1"/>
  <c r="E309" i="15"/>
  <c r="A303" i="23"/>
  <c r="X302" i="23"/>
  <c r="AB302" i="23"/>
  <c r="AJ302" i="23"/>
  <c r="L302" i="23"/>
  <c r="K302" i="23"/>
  <c r="AE53" i="7"/>
  <c r="AK302" i="23"/>
  <c r="AC302" i="23"/>
  <c r="O302" i="23"/>
  <c r="AG53" i="7" s="1"/>
  <c r="A309" i="18"/>
  <c r="K308" i="18"/>
  <c r="AB308" i="18"/>
  <c r="AK308" i="18"/>
  <c r="X308" i="18"/>
  <c r="L308" i="18"/>
  <c r="AJ308" i="18"/>
  <c r="O308" i="18"/>
  <c r="AC308" i="18"/>
  <c r="D304" i="17"/>
  <c r="E304" i="17" s="1"/>
  <c r="AF41" i="7"/>
  <c r="K300" i="25"/>
  <c r="AB300" i="25"/>
  <c r="AJ300" i="25"/>
  <c r="A301" i="25"/>
  <c r="X300" i="25"/>
  <c r="L300" i="25"/>
  <c r="AK300" i="25"/>
  <c r="AC300" i="25"/>
  <c r="O300" i="25"/>
  <c r="AB301" i="24"/>
  <c r="A302" i="24"/>
  <c r="AJ301" i="24"/>
  <c r="K301" i="24"/>
  <c r="L301" i="24"/>
  <c r="X301" i="24"/>
  <c r="AK301" i="24"/>
  <c r="AC301" i="24"/>
  <c r="O301" i="24"/>
  <c r="T310" i="1"/>
  <c r="D303" i="16"/>
  <c r="E303" i="16" s="1"/>
  <c r="K304" i="16"/>
  <c r="L304" i="16"/>
  <c r="AJ304" i="16"/>
  <c r="AB304" i="16"/>
  <c r="X304" i="16"/>
  <c r="A305" i="16"/>
  <c r="AK304" i="16"/>
  <c r="AC304" i="16"/>
  <c r="O304" i="16"/>
  <c r="X304" i="20"/>
  <c r="A305" i="20"/>
  <c r="L304" i="20"/>
  <c r="AK304" i="20"/>
  <c r="K304" i="20"/>
  <c r="AB304" i="20"/>
  <c r="AJ304" i="20"/>
  <c r="AC304" i="20"/>
  <c r="O304" i="20"/>
  <c r="A311" i="15"/>
  <c r="L310" i="15"/>
  <c r="D310" i="15" s="1"/>
  <c r="X310" i="15"/>
  <c r="AJ310" i="15"/>
  <c r="AB310" i="15"/>
  <c r="AK310" i="15"/>
  <c r="K310" i="15"/>
  <c r="AC310" i="15"/>
  <c r="O310" i="15"/>
  <c r="AA308" i="1"/>
  <c r="Z308" i="1" s="1"/>
  <c r="Y308" i="1" s="1"/>
  <c r="G308" i="1"/>
  <c r="BW308" i="6" s="1"/>
  <c r="I308" i="1"/>
  <c r="E310" i="15" l="1"/>
  <c r="V309" i="1"/>
  <c r="F309" i="1" s="1"/>
  <c r="L311" i="15"/>
  <c r="K311" i="15"/>
  <c r="X311" i="15"/>
  <c r="AJ311" i="15"/>
  <c r="AK311" i="15"/>
  <c r="A312" i="15"/>
  <c r="AB311" i="15"/>
  <c r="AC311" i="15"/>
  <c r="O311" i="15"/>
  <c r="K305" i="20"/>
  <c r="L305" i="20"/>
  <c r="X305" i="20"/>
  <c r="AK305" i="20"/>
  <c r="AB305" i="20"/>
  <c r="A306" i="20"/>
  <c r="AJ305" i="20"/>
  <c r="AC305" i="20"/>
  <c r="O305" i="20"/>
  <c r="S310" i="1"/>
  <c r="R310" i="1" s="1"/>
  <c r="P310" i="1" s="1"/>
  <c r="V310" i="1" s="1"/>
  <c r="F310" i="1" s="1"/>
  <c r="AE65" i="7"/>
  <c r="A303" i="24"/>
  <c r="AB302" i="24"/>
  <c r="AJ302" i="24"/>
  <c r="X302" i="24"/>
  <c r="K302" i="24"/>
  <c r="L302" i="24"/>
  <c r="AK302" i="24"/>
  <c r="AC302" i="24"/>
  <c r="O302" i="24"/>
  <c r="AG65" i="7" s="1"/>
  <c r="K301" i="25"/>
  <c r="X301" i="25"/>
  <c r="A302" i="25"/>
  <c r="AK301" i="25"/>
  <c r="L301" i="25"/>
  <c r="AB301" i="25"/>
  <c r="AJ301" i="25"/>
  <c r="AC301" i="25"/>
  <c r="O301" i="25"/>
  <c r="A310" i="18"/>
  <c r="K309" i="18"/>
  <c r="X309" i="18"/>
  <c r="AK309" i="18"/>
  <c r="AB309" i="18"/>
  <c r="L309" i="18"/>
  <c r="AJ309" i="18"/>
  <c r="AC309" i="18"/>
  <c r="O309" i="18"/>
  <c r="A307" i="17"/>
  <c r="K306" i="17"/>
  <c r="AB306" i="17"/>
  <c r="AK306" i="17"/>
  <c r="L306" i="17"/>
  <c r="X306" i="17"/>
  <c r="AJ306" i="17"/>
  <c r="O306" i="17"/>
  <c r="AC306" i="17"/>
  <c r="K305" i="16"/>
  <c r="A306" i="16"/>
  <c r="AJ305" i="16"/>
  <c r="X305" i="16"/>
  <c r="L305" i="16"/>
  <c r="AB305" i="16"/>
  <c r="AK305" i="16"/>
  <c r="AC305" i="16"/>
  <c r="O305" i="16"/>
  <c r="D304" i="16"/>
  <c r="E304" i="16" s="1"/>
  <c r="AF53" i="7"/>
  <c r="A304" i="23"/>
  <c r="L303" i="23"/>
  <c r="AJ303" i="23"/>
  <c r="X303" i="23"/>
  <c r="AB303" i="23"/>
  <c r="K303" i="23"/>
  <c r="AK303" i="23"/>
  <c r="AC303" i="23"/>
  <c r="O303" i="23"/>
  <c r="T311" i="1"/>
  <c r="AK312" i="1"/>
  <c r="A313" i="1"/>
  <c r="AB312" i="1"/>
  <c r="O312" i="1"/>
  <c r="X312" i="1"/>
  <c r="AJ312" i="1"/>
  <c r="K312" i="1"/>
  <c r="Q312" i="1"/>
  <c r="L312" i="1"/>
  <c r="D312" i="1" s="1"/>
  <c r="AC312" i="1"/>
  <c r="U312" i="1"/>
  <c r="L304" i="22"/>
  <c r="A305" i="22"/>
  <c r="AJ304" i="22"/>
  <c r="K304" i="22"/>
  <c r="AB304" i="22"/>
  <c r="X304" i="22"/>
  <c r="AK304" i="22"/>
  <c r="AC304" i="22"/>
  <c r="O304" i="22"/>
  <c r="E305" i="17"/>
  <c r="I309" i="1" l="1"/>
  <c r="G309" i="1"/>
  <c r="BW309" i="6" s="1"/>
  <c r="AA309" i="1"/>
  <c r="Z309" i="1" s="1"/>
  <c r="Y309" i="1" s="1"/>
  <c r="E312" i="1"/>
  <c r="L305" i="22"/>
  <c r="AB305" i="22"/>
  <c r="AJ305" i="22"/>
  <c r="X305" i="22"/>
  <c r="K305" i="22"/>
  <c r="A306" i="22"/>
  <c r="AK305" i="22"/>
  <c r="AC305" i="22"/>
  <c r="O305" i="22"/>
  <c r="T312" i="1"/>
  <c r="S311" i="1"/>
  <c r="R311" i="1" s="1"/>
  <c r="P311" i="1" s="1"/>
  <c r="AB306" i="16"/>
  <c r="A307" i="16"/>
  <c r="L306" i="16"/>
  <c r="AK306" i="16"/>
  <c r="X306" i="16"/>
  <c r="K306" i="16"/>
  <c r="AJ306" i="16"/>
  <c r="AC306" i="16"/>
  <c r="O306" i="16"/>
  <c r="AB302" i="25"/>
  <c r="A303" i="25"/>
  <c r="L302" i="25"/>
  <c r="AK302" i="25"/>
  <c r="X302" i="25"/>
  <c r="K302" i="25"/>
  <c r="AE77" i="7"/>
  <c r="AJ302" i="25"/>
  <c r="AC302" i="25"/>
  <c r="O302" i="25"/>
  <c r="AG77" i="7" s="1"/>
  <c r="AF65" i="7"/>
  <c r="K312" i="15"/>
  <c r="L312" i="15"/>
  <c r="D312" i="15" s="1"/>
  <c r="A313" i="15"/>
  <c r="AJ312" i="15"/>
  <c r="AK312" i="15"/>
  <c r="AB312" i="15"/>
  <c r="X312" i="15"/>
  <c r="AC312" i="15"/>
  <c r="O312" i="15"/>
  <c r="AK313" i="1"/>
  <c r="X313" i="1"/>
  <c r="O313" i="1"/>
  <c r="K313" i="1"/>
  <c r="AB313" i="1"/>
  <c r="A314" i="1"/>
  <c r="AJ313" i="1"/>
  <c r="L313" i="1"/>
  <c r="D313" i="1" s="1"/>
  <c r="AC313" i="1"/>
  <c r="Q313" i="1"/>
  <c r="U313" i="1"/>
  <c r="AB304" i="23"/>
  <c r="K304" i="23"/>
  <c r="A305" i="23"/>
  <c r="AK304" i="23"/>
  <c r="X304" i="23"/>
  <c r="L304" i="23"/>
  <c r="AJ304" i="23"/>
  <c r="AC304" i="23"/>
  <c r="O304" i="23"/>
  <c r="D305" i="16"/>
  <c r="E305" i="16" s="1"/>
  <c r="D306" i="17"/>
  <c r="E306" i="17" s="1"/>
  <c r="K307" i="17"/>
  <c r="X307" i="17"/>
  <c r="L307" i="17"/>
  <c r="AK307" i="17"/>
  <c r="A308" i="17"/>
  <c r="AB307" i="17"/>
  <c r="AJ307" i="17"/>
  <c r="O307" i="17"/>
  <c r="AC307" i="17"/>
  <c r="A311" i="18"/>
  <c r="X310" i="18"/>
  <c r="AB310" i="18"/>
  <c r="AK310" i="18"/>
  <c r="K310" i="18"/>
  <c r="L310" i="18"/>
  <c r="AJ310" i="18"/>
  <c r="O310" i="18"/>
  <c r="AC310" i="18"/>
  <c r="A304" i="24"/>
  <c r="AB303" i="24"/>
  <c r="AJ303" i="24"/>
  <c r="K303" i="24"/>
  <c r="X303" i="24"/>
  <c r="L303" i="24"/>
  <c r="AK303" i="24"/>
  <c r="AC303" i="24"/>
  <c r="O303" i="24"/>
  <c r="G310" i="1"/>
  <c r="BW310" i="6" s="1"/>
  <c r="AA310" i="1"/>
  <c r="Z310" i="1" s="1"/>
  <c r="Y310" i="1" s="1"/>
  <c r="I310" i="1"/>
  <c r="AB306" i="20"/>
  <c r="A307" i="20"/>
  <c r="L306" i="20"/>
  <c r="AK306" i="20"/>
  <c r="K306" i="20"/>
  <c r="X306" i="20"/>
  <c r="AJ306" i="20"/>
  <c r="AC306" i="20"/>
  <c r="O306" i="20"/>
  <c r="D311" i="15"/>
  <c r="E311" i="15" s="1"/>
  <c r="E312" i="15" l="1"/>
  <c r="E313" i="1"/>
  <c r="L304" i="24"/>
  <c r="X304" i="24"/>
  <c r="AJ304" i="24"/>
  <c r="K304" i="24"/>
  <c r="A305" i="24"/>
  <c r="AB304" i="24"/>
  <c r="AK304" i="24"/>
  <c r="AC304" i="24"/>
  <c r="O304" i="24"/>
  <c r="AJ314" i="1"/>
  <c r="X314" i="1"/>
  <c r="L314" i="1"/>
  <c r="AK314" i="1"/>
  <c r="O314" i="1"/>
  <c r="AC314" i="1"/>
  <c r="A315" i="1"/>
  <c r="K314" i="1"/>
  <c r="AB314" i="1"/>
  <c r="Q314" i="1"/>
  <c r="U314" i="1"/>
  <c r="K313" i="15"/>
  <c r="AK313" i="15"/>
  <c r="AB313" i="15"/>
  <c r="A314" i="15"/>
  <c r="L313" i="15"/>
  <c r="D313" i="15" s="1"/>
  <c r="X313" i="15"/>
  <c r="AJ313" i="15"/>
  <c r="O313" i="15"/>
  <c r="AC313" i="15"/>
  <c r="AB303" i="25"/>
  <c r="A304" i="25"/>
  <c r="AJ303" i="25"/>
  <c r="K303" i="25"/>
  <c r="X303" i="25"/>
  <c r="L303" i="25"/>
  <c r="AK303" i="25"/>
  <c r="AC303" i="25"/>
  <c r="O303" i="25"/>
  <c r="D306" i="16"/>
  <c r="E306" i="16" s="1"/>
  <c r="V311" i="1"/>
  <c r="F311" i="1" s="1"/>
  <c r="S312" i="1"/>
  <c r="R312" i="1" s="1"/>
  <c r="P312" i="1" s="1"/>
  <c r="K306" i="22"/>
  <c r="A307" i="22"/>
  <c r="AJ306" i="22"/>
  <c r="X306" i="22"/>
  <c r="AB306" i="22"/>
  <c r="L306" i="22"/>
  <c r="AK306" i="22"/>
  <c r="AC306" i="22"/>
  <c r="O306" i="22"/>
  <c r="L307" i="20"/>
  <c r="X307" i="20"/>
  <c r="AJ307" i="20"/>
  <c r="A308" i="20"/>
  <c r="AB307" i="20"/>
  <c r="K307" i="20"/>
  <c r="AK307" i="20"/>
  <c r="AC307" i="20"/>
  <c r="O307" i="20"/>
  <c r="AB311" i="18"/>
  <c r="L311" i="18"/>
  <c r="A312" i="18"/>
  <c r="AK311" i="18"/>
  <c r="X311" i="18"/>
  <c r="K311" i="18"/>
  <c r="AJ311" i="18"/>
  <c r="AC311" i="18"/>
  <c r="O311" i="18"/>
  <c r="K308" i="17"/>
  <c r="X308" i="17"/>
  <c r="AJ308" i="17"/>
  <c r="A309" i="17"/>
  <c r="L308" i="17"/>
  <c r="D308" i="17" s="1"/>
  <c r="AB308" i="17"/>
  <c r="AK308" i="17"/>
  <c r="O308" i="17"/>
  <c r="AC308" i="17"/>
  <c r="D307" i="17"/>
  <c r="E307" i="17" s="1"/>
  <c r="A306" i="23"/>
  <c r="X305" i="23"/>
  <c r="AJ305" i="23"/>
  <c r="K305" i="23"/>
  <c r="L305" i="23"/>
  <c r="AB305" i="23"/>
  <c r="AK305" i="23"/>
  <c r="AC305" i="23"/>
  <c r="O305" i="23"/>
  <c r="T313" i="1"/>
  <c r="AF77" i="7"/>
  <c r="K307" i="16"/>
  <c r="AB307" i="16"/>
  <c r="AJ307" i="16"/>
  <c r="A308" i="16"/>
  <c r="X307" i="16"/>
  <c r="L307" i="16"/>
  <c r="AK307" i="16"/>
  <c r="AC307" i="16"/>
  <c r="O307" i="16"/>
  <c r="E308" i="17" l="1"/>
  <c r="E313" i="15"/>
  <c r="G311" i="1"/>
  <c r="BW311" i="6" s="1"/>
  <c r="AA311" i="1"/>
  <c r="Z311" i="1" s="1"/>
  <c r="Y311" i="1" s="1"/>
  <c r="I311" i="1"/>
  <c r="V312" i="1"/>
  <c r="F312" i="1" s="1"/>
  <c r="D307" i="16"/>
  <c r="E307" i="16" s="1"/>
  <c r="A309" i="16"/>
  <c r="K308" i="16"/>
  <c r="AB308" i="16"/>
  <c r="AK308" i="16"/>
  <c r="X308" i="16"/>
  <c r="L308" i="16"/>
  <c r="AJ308" i="16"/>
  <c r="AC308" i="16"/>
  <c r="O308" i="16"/>
  <c r="L306" i="23"/>
  <c r="X306" i="23"/>
  <c r="AJ306" i="23"/>
  <c r="A307" i="23"/>
  <c r="AB306" i="23"/>
  <c r="K306" i="23"/>
  <c r="AK306" i="23"/>
  <c r="AC306" i="23"/>
  <c r="O306" i="23"/>
  <c r="AB308" i="20"/>
  <c r="X308" i="20"/>
  <c r="L308" i="20"/>
  <c r="AK308" i="20"/>
  <c r="A309" i="20"/>
  <c r="K308" i="20"/>
  <c r="AJ308" i="20"/>
  <c r="AC308" i="20"/>
  <c r="O308" i="20"/>
  <c r="X307" i="22"/>
  <c r="K307" i="22"/>
  <c r="A308" i="22"/>
  <c r="AK307" i="22"/>
  <c r="L307" i="22"/>
  <c r="AB307" i="22"/>
  <c r="AJ307" i="22"/>
  <c r="AC307" i="22"/>
  <c r="O307" i="22"/>
  <c r="K314" i="15"/>
  <c r="X314" i="15"/>
  <c r="AK314" i="15"/>
  <c r="L314" i="15"/>
  <c r="AB314" i="15"/>
  <c r="A315" i="15"/>
  <c r="AJ314" i="15"/>
  <c r="AC314" i="15"/>
  <c r="O314" i="15"/>
  <c r="K305" i="24"/>
  <c r="X305" i="24"/>
  <c r="L305" i="24"/>
  <c r="AK305" i="24"/>
  <c r="A306" i="24"/>
  <c r="AB305" i="24"/>
  <c r="AJ305" i="24"/>
  <c r="AC305" i="24"/>
  <c r="O305" i="24"/>
  <c r="S313" i="1"/>
  <c r="R313" i="1" s="1"/>
  <c r="P313" i="1" s="1"/>
  <c r="AB309" i="17"/>
  <c r="K309" i="17"/>
  <c r="A310" i="17"/>
  <c r="AK309" i="17"/>
  <c r="X309" i="17"/>
  <c r="L309" i="17"/>
  <c r="AJ309" i="17"/>
  <c r="O309" i="17"/>
  <c r="AC309" i="17"/>
  <c r="A313" i="18"/>
  <c r="AB312" i="18"/>
  <c r="AJ312" i="18"/>
  <c r="X312" i="18"/>
  <c r="K312" i="18"/>
  <c r="L312" i="18"/>
  <c r="AK312" i="18"/>
  <c r="AC312" i="18"/>
  <c r="O312" i="18"/>
  <c r="X304" i="25"/>
  <c r="L304" i="25"/>
  <c r="AJ304" i="25"/>
  <c r="A305" i="25"/>
  <c r="AB304" i="25"/>
  <c r="K304" i="25"/>
  <c r="AK304" i="25"/>
  <c r="AC304" i="25"/>
  <c r="O304" i="25"/>
  <c r="T314" i="1"/>
  <c r="L315" i="1"/>
  <c r="A316" i="1"/>
  <c r="Q315" i="1"/>
  <c r="O315" i="1"/>
  <c r="K315" i="1"/>
  <c r="U315" i="1"/>
  <c r="AB315" i="1"/>
  <c r="AC315" i="1"/>
  <c r="X315" i="1"/>
  <c r="AK315" i="1"/>
  <c r="AJ315" i="1"/>
  <c r="D314" i="1"/>
  <c r="E314" i="1" s="1"/>
  <c r="V313" i="1" l="1"/>
  <c r="F313" i="1" s="1"/>
  <c r="AB305" i="25"/>
  <c r="A306" i="25"/>
  <c r="L305" i="25"/>
  <c r="AK305" i="25"/>
  <c r="K305" i="25"/>
  <c r="X305" i="25"/>
  <c r="AJ305" i="25"/>
  <c r="AC305" i="25"/>
  <c r="O305" i="25"/>
  <c r="D309" i="17"/>
  <c r="E309" i="17" s="1"/>
  <c r="L306" i="24"/>
  <c r="K306" i="24"/>
  <c r="AJ306" i="24"/>
  <c r="AB306" i="24"/>
  <c r="A307" i="24"/>
  <c r="X306" i="24"/>
  <c r="AK306" i="24"/>
  <c r="AC306" i="24"/>
  <c r="O306" i="24"/>
  <c r="A310" i="20"/>
  <c r="L309" i="20"/>
  <c r="AJ309" i="20"/>
  <c r="K309" i="20"/>
  <c r="AB309" i="20"/>
  <c r="X309" i="20"/>
  <c r="AK309" i="20"/>
  <c r="AC309" i="20"/>
  <c r="O309" i="20"/>
  <c r="A308" i="23"/>
  <c r="AB307" i="23"/>
  <c r="K307" i="23"/>
  <c r="AK307" i="23"/>
  <c r="X307" i="23"/>
  <c r="L307" i="23"/>
  <c r="AJ307" i="23"/>
  <c r="AC307" i="23"/>
  <c r="O307" i="23"/>
  <c r="D308" i="16"/>
  <c r="E308" i="16" s="1"/>
  <c r="G312" i="1"/>
  <c r="BW312" i="6" s="1"/>
  <c r="AA312" i="1"/>
  <c r="Z312" i="1" s="1"/>
  <c r="Y312" i="1" s="1"/>
  <c r="I312" i="1"/>
  <c r="D315" i="1"/>
  <c r="E315" i="1" s="1"/>
  <c r="S314" i="1"/>
  <c r="R314" i="1" s="1"/>
  <c r="P314" i="1" s="1"/>
  <c r="V314" i="1" s="1"/>
  <c r="F314" i="1" s="1"/>
  <c r="T315" i="1"/>
  <c r="X316" i="1"/>
  <c r="Q316" i="1"/>
  <c r="AC316" i="1"/>
  <c r="AK316" i="1"/>
  <c r="U316" i="1"/>
  <c r="AB316" i="1"/>
  <c r="AJ316" i="1"/>
  <c r="O316" i="1"/>
  <c r="K316" i="1"/>
  <c r="L316" i="1"/>
  <c r="D316" i="1" s="1"/>
  <c r="A317" i="1"/>
  <c r="AB313" i="18"/>
  <c r="X313" i="18"/>
  <c r="L313" i="18"/>
  <c r="AK313" i="18"/>
  <c r="A314" i="18"/>
  <c r="K313" i="18"/>
  <c r="AJ313" i="18"/>
  <c r="O313" i="18"/>
  <c r="AC313" i="18"/>
  <c r="AB310" i="17"/>
  <c r="L310" i="17"/>
  <c r="D310" i="17" s="1"/>
  <c r="K310" i="17"/>
  <c r="AK310" i="17"/>
  <c r="X310" i="17"/>
  <c r="A311" i="17"/>
  <c r="AJ310" i="17"/>
  <c r="O310" i="17"/>
  <c r="AC310" i="17"/>
  <c r="A316" i="15"/>
  <c r="AK315" i="15"/>
  <c r="X315" i="15"/>
  <c r="AB315" i="15"/>
  <c r="L315" i="15"/>
  <c r="K315" i="15"/>
  <c r="AJ315" i="15"/>
  <c r="AC315" i="15"/>
  <c r="O315" i="15"/>
  <c r="D314" i="15"/>
  <c r="E314" i="15" s="1"/>
  <c r="L308" i="22"/>
  <c r="X308" i="22"/>
  <c r="AJ308" i="22"/>
  <c r="A309" i="22"/>
  <c r="K308" i="22"/>
  <c r="AB308" i="22"/>
  <c r="AK308" i="22"/>
  <c r="AC308" i="22"/>
  <c r="O308" i="22"/>
  <c r="AB309" i="16"/>
  <c r="L309" i="16"/>
  <c r="K309" i="16"/>
  <c r="AK309" i="16"/>
  <c r="X309" i="16"/>
  <c r="A310" i="16"/>
  <c r="AJ309" i="16"/>
  <c r="AC309" i="16"/>
  <c r="O309" i="16"/>
  <c r="E310" i="17" l="1"/>
  <c r="G314" i="1"/>
  <c r="BW314" i="6" s="1"/>
  <c r="AA314" i="1"/>
  <c r="Z314" i="1" s="1"/>
  <c r="Y314" i="1" s="1"/>
  <c r="I314" i="1"/>
  <c r="X309" i="22"/>
  <c r="L309" i="22"/>
  <c r="AB309" i="22"/>
  <c r="AK309" i="22"/>
  <c r="K309" i="22"/>
  <c r="A310" i="22"/>
  <c r="AJ309" i="22"/>
  <c r="AC309" i="22"/>
  <c r="O309" i="22"/>
  <c r="K317" i="1"/>
  <c r="X317" i="1"/>
  <c r="AB317" i="1"/>
  <c r="Q317" i="1"/>
  <c r="L317" i="1"/>
  <c r="D317" i="1" s="1"/>
  <c r="U317" i="1"/>
  <c r="AK317" i="1"/>
  <c r="O317" i="1"/>
  <c r="AJ317" i="1"/>
  <c r="AC317" i="1"/>
  <c r="A318" i="1"/>
  <c r="T316" i="1"/>
  <c r="S315" i="1"/>
  <c r="R315" i="1" s="1"/>
  <c r="P315" i="1" s="1"/>
  <c r="V315" i="1" s="1"/>
  <c r="F315" i="1" s="1"/>
  <c r="AB308" i="23"/>
  <c r="L308" i="23"/>
  <c r="AJ308" i="23"/>
  <c r="X308" i="23"/>
  <c r="K308" i="23"/>
  <c r="A309" i="23"/>
  <c r="AK308" i="23"/>
  <c r="AC308" i="23"/>
  <c r="O308" i="23"/>
  <c r="X307" i="24"/>
  <c r="K307" i="24"/>
  <c r="A308" i="24"/>
  <c r="AK307" i="24"/>
  <c r="L307" i="24"/>
  <c r="AB307" i="24"/>
  <c r="AJ307" i="24"/>
  <c r="AC307" i="24"/>
  <c r="O307" i="24"/>
  <c r="AB306" i="25"/>
  <c r="K306" i="25"/>
  <c r="L306" i="25"/>
  <c r="AK306" i="25"/>
  <c r="X306" i="25"/>
  <c r="A307" i="25"/>
  <c r="AJ306" i="25"/>
  <c r="AC306" i="25"/>
  <c r="O306" i="25"/>
  <c r="G313" i="1"/>
  <c r="BW313" i="6" s="1"/>
  <c r="I313" i="1"/>
  <c r="AA313" i="1"/>
  <c r="Z313" i="1" s="1"/>
  <c r="Y313" i="1" s="1"/>
  <c r="L310" i="16"/>
  <c r="K310" i="16"/>
  <c r="A311" i="16"/>
  <c r="AK310" i="16"/>
  <c r="AB310" i="16"/>
  <c r="X310" i="16"/>
  <c r="AJ310" i="16"/>
  <c r="AC310" i="16"/>
  <c r="O310" i="16"/>
  <c r="D309" i="16"/>
  <c r="E309" i="16" s="1"/>
  <c r="D315" i="15"/>
  <c r="E315" i="15" s="1"/>
  <c r="L316" i="15"/>
  <c r="K316" i="15"/>
  <c r="AB316" i="15"/>
  <c r="AK316" i="15"/>
  <c r="A317" i="15"/>
  <c r="X316" i="15"/>
  <c r="AJ316" i="15"/>
  <c r="O316" i="15"/>
  <c r="AC316" i="15"/>
  <c r="L311" i="17"/>
  <c r="AB311" i="17"/>
  <c r="X311" i="17"/>
  <c r="AK311" i="17"/>
  <c r="K311" i="17"/>
  <c r="A312" i="17"/>
  <c r="AJ311" i="17"/>
  <c r="O311" i="17"/>
  <c r="AC311" i="17"/>
  <c r="K314" i="18"/>
  <c r="X314" i="18"/>
  <c r="AJ314" i="18"/>
  <c r="AB314" i="18"/>
  <c r="A315" i="18"/>
  <c r="L314" i="18"/>
  <c r="AK314" i="18"/>
  <c r="O314" i="18"/>
  <c r="AC314" i="18"/>
  <c r="E316" i="1"/>
  <c r="AB310" i="20"/>
  <c r="L310" i="20"/>
  <c r="AJ310" i="20"/>
  <c r="K310" i="20"/>
  <c r="X310" i="20"/>
  <c r="A311" i="20"/>
  <c r="AK310" i="20"/>
  <c r="AC310" i="20"/>
  <c r="O310" i="20"/>
  <c r="E317" i="1" l="1"/>
  <c r="G315" i="1"/>
  <c r="BW315" i="6" s="1"/>
  <c r="AA315" i="1"/>
  <c r="Z315" i="1" s="1"/>
  <c r="Y315" i="1" s="1"/>
  <c r="I315" i="1"/>
  <c r="X311" i="20"/>
  <c r="A312" i="20"/>
  <c r="L311" i="20"/>
  <c r="AK311" i="20"/>
  <c r="K311" i="20"/>
  <c r="AB311" i="20"/>
  <c r="AJ311" i="20"/>
  <c r="AC311" i="20"/>
  <c r="O311" i="20"/>
  <c r="K315" i="18"/>
  <c r="A316" i="18"/>
  <c r="X315" i="18"/>
  <c r="AK315" i="18"/>
  <c r="AB315" i="18"/>
  <c r="L315" i="18"/>
  <c r="AJ315" i="18"/>
  <c r="O315" i="18"/>
  <c r="AC315" i="18"/>
  <c r="AB312" i="17"/>
  <c r="L312" i="17"/>
  <c r="AJ312" i="17"/>
  <c r="X312" i="17"/>
  <c r="K312" i="17"/>
  <c r="A313" i="17"/>
  <c r="AK312" i="17"/>
  <c r="O312" i="17"/>
  <c r="AC312" i="17"/>
  <c r="A312" i="16"/>
  <c r="X311" i="16"/>
  <c r="K311" i="16"/>
  <c r="AK311" i="16"/>
  <c r="AB311" i="16"/>
  <c r="L311" i="16"/>
  <c r="AJ311" i="16"/>
  <c r="AC311" i="16"/>
  <c r="O311" i="16"/>
  <c r="D310" i="16"/>
  <c r="E310" i="16" s="1"/>
  <c r="X308" i="24"/>
  <c r="A309" i="24"/>
  <c r="AB308" i="24"/>
  <c r="AK308" i="24"/>
  <c r="L308" i="24"/>
  <c r="K308" i="24"/>
  <c r="AJ308" i="24"/>
  <c r="AC308" i="24"/>
  <c r="O308" i="24"/>
  <c r="X318" i="1"/>
  <c r="AK318" i="1"/>
  <c r="AC318" i="1"/>
  <c r="AB318" i="1"/>
  <c r="A319" i="1"/>
  <c r="K318" i="1"/>
  <c r="Q318" i="1"/>
  <c r="O318" i="1"/>
  <c r="L318" i="1"/>
  <c r="D318" i="1" s="1"/>
  <c r="AJ318" i="1"/>
  <c r="U318" i="1"/>
  <c r="D311" i="17"/>
  <c r="E311" i="17" s="1"/>
  <c r="L317" i="15"/>
  <c r="X317" i="15"/>
  <c r="AK317" i="15"/>
  <c r="AJ317" i="15"/>
  <c r="K317" i="15"/>
  <c r="A318" i="15"/>
  <c r="AB317" i="15"/>
  <c r="AC317" i="15"/>
  <c r="O317" i="15"/>
  <c r="D316" i="15"/>
  <c r="E316" i="15" s="1"/>
  <c r="X307" i="25"/>
  <c r="AB307" i="25"/>
  <c r="L307" i="25"/>
  <c r="AK307" i="25"/>
  <c r="A308" i="25"/>
  <c r="K307" i="25"/>
  <c r="AJ307" i="25"/>
  <c r="AC307" i="25"/>
  <c r="O307" i="25"/>
  <c r="AB309" i="23"/>
  <c r="L309" i="23"/>
  <c r="AJ309" i="23"/>
  <c r="X309" i="23"/>
  <c r="K309" i="23"/>
  <c r="A310" i="23"/>
  <c r="AK309" i="23"/>
  <c r="AC309" i="23"/>
  <c r="O309" i="23"/>
  <c r="S316" i="1"/>
  <c r="R316" i="1" s="1"/>
  <c r="P316" i="1" s="1"/>
  <c r="V316" i="1" s="1"/>
  <c r="F316" i="1" s="1"/>
  <c r="T317" i="1"/>
  <c r="K310" i="22"/>
  <c r="AB310" i="22"/>
  <c r="AJ310" i="22"/>
  <c r="A311" i="22"/>
  <c r="L310" i="22"/>
  <c r="X310" i="22"/>
  <c r="AK310" i="22"/>
  <c r="AC310" i="22"/>
  <c r="O310" i="22"/>
  <c r="E318" i="1" l="1"/>
  <c r="G316" i="1"/>
  <c r="BW316" i="6" s="1"/>
  <c r="AA316" i="1"/>
  <c r="Z316" i="1" s="1"/>
  <c r="Y316" i="1" s="1"/>
  <c r="I316" i="1"/>
  <c r="S317" i="1"/>
  <c r="R317" i="1" s="1"/>
  <c r="P317" i="1" s="1"/>
  <c r="AB318" i="15"/>
  <c r="K318" i="15"/>
  <c r="L318" i="15"/>
  <c r="D318" i="15" s="1"/>
  <c r="AK318" i="15"/>
  <c r="A319" i="15"/>
  <c r="X318" i="15"/>
  <c r="AJ318" i="15"/>
  <c r="AC318" i="15"/>
  <c r="O318" i="15"/>
  <c r="E318" i="15" s="1"/>
  <c r="T318" i="1"/>
  <c r="K319" i="1"/>
  <c r="AK319" i="1"/>
  <c r="X319" i="1"/>
  <c r="O319" i="1"/>
  <c r="AC319" i="1"/>
  <c r="AJ319" i="1"/>
  <c r="A320" i="1"/>
  <c r="L319" i="1"/>
  <c r="D319" i="1" s="1"/>
  <c r="E319" i="1" s="1"/>
  <c r="Q319" i="1"/>
  <c r="AB319" i="1"/>
  <c r="U319" i="1"/>
  <c r="X312" i="16"/>
  <c r="A313" i="16"/>
  <c r="AJ312" i="16"/>
  <c r="AB312" i="16"/>
  <c r="K312" i="16"/>
  <c r="L312" i="16"/>
  <c r="AK312" i="16"/>
  <c r="AC312" i="16"/>
  <c r="O312" i="16"/>
  <c r="X312" i="20"/>
  <c r="A313" i="20"/>
  <c r="K312" i="20"/>
  <c r="AK312" i="20"/>
  <c r="AB312" i="20"/>
  <c r="L312" i="20"/>
  <c r="AJ312" i="20"/>
  <c r="AC312" i="20"/>
  <c r="O312" i="20"/>
  <c r="X311" i="22"/>
  <c r="AB311" i="22"/>
  <c r="L311" i="22"/>
  <c r="AK311" i="22"/>
  <c r="A312" i="22"/>
  <c r="K311" i="22"/>
  <c r="AJ311" i="22"/>
  <c r="AC311" i="22"/>
  <c r="O311" i="22"/>
  <c r="X310" i="23"/>
  <c r="K310" i="23"/>
  <c r="AB310" i="23"/>
  <c r="AK310" i="23"/>
  <c r="L310" i="23"/>
  <c r="A311" i="23"/>
  <c r="AJ310" i="23"/>
  <c r="AC310" i="23"/>
  <c r="O310" i="23"/>
  <c r="X308" i="25"/>
  <c r="K308" i="25"/>
  <c r="AJ308" i="25"/>
  <c r="A309" i="25"/>
  <c r="L308" i="25"/>
  <c r="AB308" i="25"/>
  <c r="AK308" i="25"/>
  <c r="AC308" i="25"/>
  <c r="O308" i="25"/>
  <c r="D317" i="15"/>
  <c r="E317" i="15" s="1"/>
  <c r="A310" i="24"/>
  <c r="AB309" i="24"/>
  <c r="K309" i="24"/>
  <c r="AK309" i="24"/>
  <c r="L309" i="24"/>
  <c r="X309" i="24"/>
  <c r="AJ309" i="24"/>
  <c r="AC309" i="24"/>
  <c r="O309" i="24"/>
  <c r="D311" i="16"/>
  <c r="E311" i="16" s="1"/>
  <c r="A314" i="17"/>
  <c r="AB313" i="17"/>
  <c r="X313" i="17"/>
  <c r="AK313" i="17"/>
  <c r="L313" i="17"/>
  <c r="K313" i="17"/>
  <c r="AJ313" i="17"/>
  <c r="O313" i="17"/>
  <c r="AC313" i="17"/>
  <c r="D312" i="17"/>
  <c r="E312" i="17" s="1"/>
  <c r="L316" i="18"/>
  <c r="X316" i="18"/>
  <c r="AJ316" i="18"/>
  <c r="K316" i="18"/>
  <c r="A317" i="18"/>
  <c r="AB316" i="18"/>
  <c r="AK316" i="18"/>
  <c r="O316" i="18"/>
  <c r="AC316" i="18"/>
  <c r="K310" i="24" l="1"/>
  <c r="L310" i="24"/>
  <c r="AJ310" i="24"/>
  <c r="A311" i="24"/>
  <c r="AB310" i="24"/>
  <c r="X310" i="24"/>
  <c r="AK310" i="24"/>
  <c r="AC310" i="24"/>
  <c r="O310" i="24"/>
  <c r="D312" i="16"/>
  <c r="E312" i="16" s="1"/>
  <c r="AB313" i="16"/>
  <c r="K313" i="16"/>
  <c r="X313" i="16"/>
  <c r="AK313" i="16"/>
  <c r="L313" i="16"/>
  <c r="A314" i="16"/>
  <c r="AJ313" i="16"/>
  <c r="AC313" i="16"/>
  <c r="O313" i="16"/>
  <c r="A320" i="15"/>
  <c r="L319" i="15"/>
  <c r="D319" i="15" s="1"/>
  <c r="AB319" i="15"/>
  <c r="K319" i="15"/>
  <c r="X319" i="15"/>
  <c r="AK319" i="15"/>
  <c r="AJ319" i="15"/>
  <c r="AC319" i="15"/>
  <c r="O319" i="15"/>
  <c r="V317" i="1"/>
  <c r="F317" i="1" s="1"/>
  <c r="A318" i="18"/>
  <c r="X317" i="18"/>
  <c r="AJ317" i="18"/>
  <c r="AB317" i="18"/>
  <c r="K317" i="18"/>
  <c r="L317" i="18"/>
  <c r="AK317" i="18"/>
  <c r="O317" i="18"/>
  <c r="AC317" i="18"/>
  <c r="D313" i="17"/>
  <c r="E313" i="17" s="1"/>
  <c r="L314" i="17"/>
  <c r="AB314" i="17"/>
  <c r="AJ314" i="17"/>
  <c r="K314" i="17"/>
  <c r="X314" i="17"/>
  <c r="A315" i="17"/>
  <c r="AK314" i="17"/>
  <c r="O314" i="17"/>
  <c r="AC314" i="17"/>
  <c r="A310" i="25"/>
  <c r="L309" i="25"/>
  <c r="K309" i="25"/>
  <c r="AK309" i="25"/>
  <c r="X309" i="25"/>
  <c r="AB309" i="25"/>
  <c r="AJ309" i="25"/>
  <c r="AC309" i="25"/>
  <c r="O309" i="25"/>
  <c r="L311" i="23"/>
  <c r="X311" i="23"/>
  <c r="AJ311" i="23"/>
  <c r="A312" i="23"/>
  <c r="K311" i="23"/>
  <c r="AB311" i="23"/>
  <c r="AK311" i="23"/>
  <c r="AC311" i="23"/>
  <c r="O311" i="23"/>
  <c r="A313" i="22"/>
  <c r="L312" i="22"/>
  <c r="X312" i="22"/>
  <c r="AK312" i="22"/>
  <c r="K312" i="22"/>
  <c r="AB312" i="22"/>
  <c r="AJ312" i="22"/>
  <c r="AC312" i="22"/>
  <c r="O312" i="22"/>
  <c r="K313" i="20"/>
  <c r="L313" i="20"/>
  <c r="AJ313" i="20"/>
  <c r="AB313" i="20"/>
  <c r="X313" i="20"/>
  <c r="A314" i="20"/>
  <c r="AK313" i="20"/>
  <c r="AC313" i="20"/>
  <c r="O313" i="20"/>
  <c r="T319" i="1"/>
  <c r="O320" i="1"/>
  <c r="AC320" i="1"/>
  <c r="AB320" i="1"/>
  <c r="AJ320" i="1"/>
  <c r="Q320" i="1"/>
  <c r="X320" i="1"/>
  <c r="L320" i="1"/>
  <c r="D320" i="1" s="1"/>
  <c r="AK320" i="1"/>
  <c r="A321" i="1"/>
  <c r="K320" i="1"/>
  <c r="U320" i="1"/>
  <c r="S318" i="1"/>
  <c r="R318" i="1" s="1"/>
  <c r="P318" i="1" s="1"/>
  <c r="V318" i="1" s="1"/>
  <c r="E319" i="15" l="1"/>
  <c r="AA317" i="1"/>
  <c r="Z317" i="1" s="1"/>
  <c r="Y317" i="1" s="1"/>
  <c r="I317" i="1"/>
  <c r="G317" i="1"/>
  <c r="BW317" i="6" s="1"/>
  <c r="T320" i="1"/>
  <c r="AK321" i="1"/>
  <c r="O321" i="1"/>
  <c r="K321" i="1"/>
  <c r="A322" i="1"/>
  <c r="Q321" i="1"/>
  <c r="AC321" i="1"/>
  <c r="L321" i="1"/>
  <c r="AJ321" i="1"/>
  <c r="AB321" i="1"/>
  <c r="X321" i="1"/>
  <c r="U321" i="1"/>
  <c r="E320" i="1"/>
  <c r="S319" i="1"/>
  <c r="R319" i="1" s="1"/>
  <c r="P319" i="1" s="1"/>
  <c r="A315" i="20"/>
  <c r="L314" i="20"/>
  <c r="AJ314" i="20"/>
  <c r="AB314" i="20"/>
  <c r="X314" i="20"/>
  <c r="K314" i="20"/>
  <c r="AK314" i="20"/>
  <c r="AC314" i="20"/>
  <c r="O314" i="20"/>
  <c r="AB313" i="22"/>
  <c r="K313" i="22"/>
  <c r="L313" i="22"/>
  <c r="AK313" i="22"/>
  <c r="A314" i="22"/>
  <c r="X313" i="22"/>
  <c r="AJ313" i="22"/>
  <c r="AC313" i="22"/>
  <c r="O313" i="22"/>
  <c r="D314" i="17"/>
  <c r="E314" i="17" s="1"/>
  <c r="L320" i="15"/>
  <c r="AK320" i="15"/>
  <c r="K320" i="15"/>
  <c r="AJ320" i="15"/>
  <c r="A321" i="15"/>
  <c r="AB320" i="15"/>
  <c r="X320" i="15"/>
  <c r="AC320" i="15"/>
  <c r="O320" i="15"/>
  <c r="D313" i="16"/>
  <c r="E313" i="16" s="1"/>
  <c r="F318" i="1"/>
  <c r="K61" i="19"/>
  <c r="L312" i="23"/>
  <c r="AB312" i="23"/>
  <c r="AJ312" i="23"/>
  <c r="A313" i="23"/>
  <c r="K312" i="23"/>
  <c r="X312" i="23"/>
  <c r="AK312" i="23"/>
  <c r="AC312" i="23"/>
  <c r="O312" i="23"/>
  <c r="A311" i="25"/>
  <c r="AB310" i="25"/>
  <c r="AJ310" i="25"/>
  <c r="K310" i="25"/>
  <c r="X310" i="25"/>
  <c r="L310" i="25"/>
  <c r="AK310" i="25"/>
  <c r="AC310" i="25"/>
  <c r="O310" i="25"/>
  <c r="AB315" i="17"/>
  <c r="L315" i="17"/>
  <c r="K315" i="17"/>
  <c r="AK315" i="17"/>
  <c r="A316" i="17"/>
  <c r="X315" i="17"/>
  <c r="AJ315" i="17"/>
  <c r="O315" i="17"/>
  <c r="AC315" i="17"/>
  <c r="L318" i="18"/>
  <c r="AB318" i="18"/>
  <c r="AJ318" i="18"/>
  <c r="K318" i="18"/>
  <c r="A319" i="18"/>
  <c r="X318" i="18"/>
  <c r="AK318" i="18"/>
  <c r="O318" i="18"/>
  <c r="AC318" i="18"/>
  <c r="X314" i="16"/>
  <c r="L314" i="16"/>
  <c r="AB314" i="16"/>
  <c r="AK314" i="16"/>
  <c r="K314" i="16"/>
  <c r="A315" i="16"/>
  <c r="AJ314" i="16"/>
  <c r="AC314" i="16"/>
  <c r="O314" i="16"/>
  <c r="L311" i="24"/>
  <c r="A312" i="24"/>
  <c r="AJ311" i="24"/>
  <c r="X311" i="24"/>
  <c r="K311" i="24"/>
  <c r="AB311" i="24"/>
  <c r="AK311" i="24"/>
  <c r="AC311" i="24"/>
  <c r="O311" i="24"/>
  <c r="D314" i="16" l="1"/>
  <c r="E314" i="16" s="1"/>
  <c r="X319" i="18"/>
  <c r="A320" i="18"/>
  <c r="AJ319" i="18"/>
  <c r="AB319" i="18"/>
  <c r="K319" i="18"/>
  <c r="L319" i="18"/>
  <c r="AK319" i="18"/>
  <c r="O319" i="18"/>
  <c r="AC319" i="18"/>
  <c r="D315" i="17"/>
  <c r="E315" i="17" s="1"/>
  <c r="AB313" i="23"/>
  <c r="K313" i="23"/>
  <c r="X313" i="23"/>
  <c r="AK313" i="23"/>
  <c r="A314" i="23"/>
  <c r="L313" i="23"/>
  <c r="AJ313" i="23"/>
  <c r="AC313" i="23"/>
  <c r="O313" i="23"/>
  <c r="G318" i="1"/>
  <c r="BW318" i="6" s="1"/>
  <c r="I318" i="1"/>
  <c r="AA318" i="1"/>
  <c r="Z318" i="1" s="1"/>
  <c r="Y318" i="1" s="1"/>
  <c r="V319" i="1"/>
  <c r="F319" i="1" s="1"/>
  <c r="AK322" i="1"/>
  <c r="AC322" i="1"/>
  <c r="L322" i="1"/>
  <c r="D322" i="1" s="1"/>
  <c r="X322" i="1"/>
  <c r="A323" i="1"/>
  <c r="U322" i="1"/>
  <c r="K322" i="1"/>
  <c r="O322" i="1"/>
  <c r="AB322" i="1"/>
  <c r="Q322" i="1"/>
  <c r="AJ322" i="1"/>
  <c r="K315" i="16"/>
  <c r="A316" i="16"/>
  <c r="L315" i="16"/>
  <c r="AK315" i="16"/>
  <c r="AB315" i="16"/>
  <c r="X315" i="16"/>
  <c r="AJ315" i="16"/>
  <c r="AC315" i="16"/>
  <c r="O315" i="16"/>
  <c r="K312" i="24"/>
  <c r="A313" i="24"/>
  <c r="AJ312" i="24"/>
  <c r="X312" i="24"/>
  <c r="AB312" i="24"/>
  <c r="L312" i="24"/>
  <c r="AK312" i="24"/>
  <c r="AC312" i="24"/>
  <c r="O312" i="24"/>
  <c r="L316" i="17"/>
  <c r="K316" i="17"/>
  <c r="X316" i="17"/>
  <c r="AK316" i="17"/>
  <c r="AB316" i="17"/>
  <c r="A317" i="17"/>
  <c r="AJ316" i="17"/>
  <c r="O316" i="17"/>
  <c r="AC316" i="17"/>
  <c r="AB311" i="25"/>
  <c r="A312" i="25"/>
  <c r="K311" i="25"/>
  <c r="AK311" i="25"/>
  <c r="X311" i="25"/>
  <c r="L311" i="25"/>
  <c r="AJ311" i="25"/>
  <c r="AC311" i="25"/>
  <c r="O311" i="25"/>
  <c r="K321" i="15"/>
  <c r="AB321" i="15"/>
  <c r="A322" i="15"/>
  <c r="AJ321" i="15"/>
  <c r="L321" i="15"/>
  <c r="D321" i="15" s="1"/>
  <c r="X321" i="15"/>
  <c r="AK321" i="15"/>
  <c r="AC321" i="15"/>
  <c r="O321" i="15"/>
  <c r="E321" i="15" s="1"/>
  <c r="D320" i="15"/>
  <c r="E320" i="15" s="1"/>
  <c r="A315" i="22"/>
  <c r="L314" i="22"/>
  <c r="K314" i="22"/>
  <c r="AK314" i="22"/>
  <c r="X314" i="22"/>
  <c r="AB314" i="22"/>
  <c r="AJ314" i="22"/>
  <c r="AC314" i="22"/>
  <c r="O314" i="22"/>
  <c r="AB315" i="20"/>
  <c r="A316" i="20"/>
  <c r="X315" i="20"/>
  <c r="AK315" i="20"/>
  <c r="L315" i="20"/>
  <c r="K315" i="20"/>
  <c r="AJ315" i="20"/>
  <c r="AC315" i="20"/>
  <c r="O315" i="20"/>
  <c r="T321" i="1"/>
  <c r="D321" i="1"/>
  <c r="E321" i="1" s="1"/>
  <c r="S320" i="1"/>
  <c r="R320" i="1" s="1"/>
  <c r="P320" i="1" s="1"/>
  <c r="E322" i="1" l="1"/>
  <c r="V320" i="1"/>
  <c r="F320" i="1" s="1"/>
  <c r="G319" i="1"/>
  <c r="BW319" i="6" s="1"/>
  <c r="AA319" i="1"/>
  <c r="Z319" i="1" s="1"/>
  <c r="Y319" i="1" s="1"/>
  <c r="I319" i="1"/>
  <c r="S321" i="1"/>
  <c r="R321" i="1" s="1"/>
  <c r="P321" i="1" s="1"/>
  <c r="V321" i="1" s="1"/>
  <c r="A316" i="22"/>
  <c r="K315" i="22"/>
  <c r="AJ315" i="22"/>
  <c r="X315" i="22"/>
  <c r="AB315" i="22"/>
  <c r="L315" i="22"/>
  <c r="AK315" i="22"/>
  <c r="AC315" i="22"/>
  <c r="O315" i="22"/>
  <c r="L322" i="15"/>
  <c r="D322" i="15" s="1"/>
  <c r="X322" i="15"/>
  <c r="AK322" i="15"/>
  <c r="AJ322" i="15"/>
  <c r="K322" i="15"/>
  <c r="A323" i="15"/>
  <c r="AB322" i="15"/>
  <c r="AC322" i="15"/>
  <c r="O322" i="15"/>
  <c r="D316" i="17"/>
  <c r="L313" i="24"/>
  <c r="A314" i="24"/>
  <c r="AJ313" i="24"/>
  <c r="K313" i="24"/>
  <c r="X313" i="24"/>
  <c r="AB313" i="24"/>
  <c r="AK313" i="24"/>
  <c r="AC313" i="24"/>
  <c r="O313" i="24"/>
  <c r="D315" i="16"/>
  <c r="E315" i="16" s="1"/>
  <c r="O323" i="1"/>
  <c r="Q323" i="1"/>
  <c r="AB323" i="1"/>
  <c r="AC323" i="1"/>
  <c r="U323" i="1"/>
  <c r="AJ323" i="1"/>
  <c r="K323" i="1"/>
  <c r="L323" i="1"/>
  <c r="X323" i="1"/>
  <c r="AK323" i="1"/>
  <c r="A324" i="1"/>
  <c r="A315" i="23"/>
  <c r="L314" i="23"/>
  <c r="AB314" i="23"/>
  <c r="AK314" i="23"/>
  <c r="X314" i="23"/>
  <c r="K314" i="23"/>
  <c r="AJ314" i="23"/>
  <c r="AC314" i="23"/>
  <c r="O314" i="23"/>
  <c r="A321" i="18"/>
  <c r="L320" i="18"/>
  <c r="AJ320" i="18"/>
  <c r="AB320" i="18"/>
  <c r="X320" i="18"/>
  <c r="K320" i="18"/>
  <c r="AK320" i="18"/>
  <c r="AC320" i="18"/>
  <c r="O320" i="18"/>
  <c r="AB316" i="20"/>
  <c r="K316" i="20"/>
  <c r="A317" i="20"/>
  <c r="AK316" i="20"/>
  <c r="X316" i="20"/>
  <c r="L316" i="20"/>
  <c r="AJ316" i="20"/>
  <c r="AC316" i="20"/>
  <c r="O316" i="20"/>
  <c r="K312" i="25"/>
  <c r="A313" i="25"/>
  <c r="X312" i="25"/>
  <c r="AK312" i="25"/>
  <c r="L312" i="25"/>
  <c r="AB312" i="25"/>
  <c r="AJ312" i="25"/>
  <c r="AC312" i="25"/>
  <c r="O312" i="25"/>
  <c r="E316" i="17"/>
  <c r="L317" i="17"/>
  <c r="D317" i="17" s="1"/>
  <c r="X317" i="17"/>
  <c r="AJ317" i="17"/>
  <c r="A318" i="17"/>
  <c r="K317" i="17"/>
  <c r="AB317" i="17"/>
  <c r="AK317" i="17"/>
  <c r="O317" i="17"/>
  <c r="AC317" i="17"/>
  <c r="K316" i="16"/>
  <c r="AB316" i="16"/>
  <c r="AJ316" i="16"/>
  <c r="X316" i="16"/>
  <c r="L316" i="16"/>
  <c r="A317" i="16"/>
  <c r="AK316" i="16"/>
  <c r="AC316" i="16"/>
  <c r="O316" i="16"/>
  <c r="T322" i="1"/>
  <c r="E322" i="15" l="1"/>
  <c r="E317" i="17"/>
  <c r="X317" i="16"/>
  <c r="AB317" i="16"/>
  <c r="A318" i="16"/>
  <c r="AK317" i="16"/>
  <c r="K317" i="16"/>
  <c r="L317" i="16"/>
  <c r="AJ317" i="16"/>
  <c r="AC317" i="16"/>
  <c r="O317" i="16"/>
  <c r="A319" i="17"/>
  <c r="AB318" i="17"/>
  <c r="AJ318" i="17"/>
  <c r="K318" i="17"/>
  <c r="L318" i="17"/>
  <c r="D318" i="17" s="1"/>
  <c r="X318" i="17"/>
  <c r="AK318" i="17"/>
  <c r="O318" i="17"/>
  <c r="AC318" i="17"/>
  <c r="X313" i="25"/>
  <c r="L313" i="25"/>
  <c r="AJ313" i="25"/>
  <c r="AB313" i="25"/>
  <c r="A314" i="25"/>
  <c r="K313" i="25"/>
  <c r="AK313" i="25"/>
  <c r="AC313" i="25"/>
  <c r="O313" i="25"/>
  <c r="X317" i="20"/>
  <c r="K317" i="20"/>
  <c r="L317" i="20"/>
  <c r="AK317" i="20"/>
  <c r="AB317" i="20"/>
  <c r="A318" i="20"/>
  <c r="AJ317" i="20"/>
  <c r="AC317" i="20"/>
  <c r="O317" i="20"/>
  <c r="L315" i="23"/>
  <c r="AB315" i="23"/>
  <c r="AJ315" i="23"/>
  <c r="X315" i="23"/>
  <c r="K315" i="23"/>
  <c r="A316" i="23"/>
  <c r="AK315" i="23"/>
  <c r="AC315" i="23"/>
  <c r="O315" i="23"/>
  <c r="D323" i="1"/>
  <c r="AB314" i="24"/>
  <c r="L314" i="24"/>
  <c r="X314" i="24"/>
  <c r="AK314" i="24"/>
  <c r="K314" i="24"/>
  <c r="A315" i="24"/>
  <c r="AJ314" i="24"/>
  <c r="AC314" i="24"/>
  <c r="O314" i="24"/>
  <c r="A324" i="15"/>
  <c r="AB323" i="15"/>
  <c r="AJ323" i="15"/>
  <c r="AK323" i="15"/>
  <c r="L323" i="15"/>
  <c r="K323" i="15"/>
  <c r="X323" i="15"/>
  <c r="O323" i="15"/>
  <c r="AC323" i="15"/>
  <c r="F321" i="1"/>
  <c r="G320" i="1"/>
  <c r="BW320" i="6" s="1"/>
  <c r="AA320" i="1"/>
  <c r="Z320" i="1" s="1"/>
  <c r="Y320" i="1" s="1"/>
  <c r="I320" i="1"/>
  <c r="S322" i="1"/>
  <c r="R322" i="1" s="1"/>
  <c r="P322" i="1" s="1"/>
  <c r="V322" i="1" s="1"/>
  <c r="D316" i="16"/>
  <c r="E316" i="16" s="1"/>
  <c r="K321" i="18"/>
  <c r="A322" i="18"/>
  <c r="AJ321" i="18"/>
  <c r="AB321" i="18"/>
  <c r="L321" i="18"/>
  <c r="X321" i="18"/>
  <c r="AK321" i="18"/>
  <c r="O321" i="18"/>
  <c r="AC321" i="18"/>
  <c r="O324" i="1"/>
  <c r="Q324" i="1"/>
  <c r="A325" i="1"/>
  <c r="AK324" i="1"/>
  <c r="X324" i="1"/>
  <c r="AJ324" i="1"/>
  <c r="AC324" i="1"/>
  <c r="K324" i="1"/>
  <c r="L324" i="1"/>
  <c r="D324" i="1" s="1"/>
  <c r="E324" i="1" s="1"/>
  <c r="AB324" i="1"/>
  <c r="U324" i="1"/>
  <c r="T323" i="1"/>
  <c r="E323" i="1"/>
  <c r="X316" i="22"/>
  <c r="A317" i="22"/>
  <c r="AJ316" i="22"/>
  <c r="AB316" i="22"/>
  <c r="L316" i="22"/>
  <c r="K316" i="22"/>
  <c r="AK316" i="22"/>
  <c r="AC316" i="22"/>
  <c r="O316" i="22"/>
  <c r="E318" i="17" l="1"/>
  <c r="F322" i="1"/>
  <c r="K317" i="22"/>
  <c r="AB317" i="22"/>
  <c r="AJ317" i="22"/>
  <c r="X317" i="22"/>
  <c r="A318" i="22"/>
  <c r="L317" i="22"/>
  <c r="AK317" i="22"/>
  <c r="AC317" i="22"/>
  <c r="O317" i="22"/>
  <c r="S323" i="1"/>
  <c r="R323" i="1" s="1"/>
  <c r="P323" i="1" s="1"/>
  <c r="V323" i="1" s="1"/>
  <c r="AA321" i="1"/>
  <c r="Z321" i="1" s="1"/>
  <c r="Y321" i="1" s="1"/>
  <c r="I321" i="1"/>
  <c r="G321" i="1"/>
  <c r="BW321" i="6" s="1"/>
  <c r="A317" i="23"/>
  <c r="K316" i="23"/>
  <c r="AB316" i="23"/>
  <c r="AK316" i="23"/>
  <c r="L316" i="23"/>
  <c r="X316" i="23"/>
  <c r="AJ316" i="23"/>
  <c r="AC316" i="23"/>
  <c r="O316" i="23"/>
  <c r="L318" i="20"/>
  <c r="A319" i="20"/>
  <c r="AJ318" i="20"/>
  <c r="K318" i="20"/>
  <c r="X318" i="20"/>
  <c r="AB318" i="20"/>
  <c r="AK318" i="20"/>
  <c r="AC318" i="20"/>
  <c r="O318" i="20"/>
  <c r="D317" i="16"/>
  <c r="E317" i="16" s="1"/>
  <c r="T324" i="1"/>
  <c r="O325" i="1"/>
  <c r="AC325" i="1"/>
  <c r="Q325" i="1"/>
  <c r="K325" i="1"/>
  <c r="U325" i="1"/>
  <c r="AB325" i="1"/>
  <c r="L325" i="1"/>
  <c r="A326" i="1"/>
  <c r="AJ325" i="1"/>
  <c r="AK325" i="1"/>
  <c r="X325" i="1"/>
  <c r="AB322" i="18"/>
  <c r="A323" i="18"/>
  <c r="AJ322" i="18"/>
  <c r="X322" i="18"/>
  <c r="K322" i="18"/>
  <c r="L322" i="18"/>
  <c r="AK322" i="18"/>
  <c r="O322" i="18"/>
  <c r="AC322" i="18"/>
  <c r="D323" i="15"/>
  <c r="E323" i="15" s="1"/>
  <c r="X324" i="15"/>
  <c r="K324" i="15"/>
  <c r="AJ324" i="15"/>
  <c r="A325" i="15"/>
  <c r="AB324" i="15"/>
  <c r="L324" i="15"/>
  <c r="D324" i="15" s="1"/>
  <c r="AK324" i="15"/>
  <c r="AC324" i="15"/>
  <c r="O324" i="15"/>
  <c r="A316" i="24"/>
  <c r="AB315" i="24"/>
  <c r="AJ315" i="24"/>
  <c r="K315" i="24"/>
  <c r="X315" i="24"/>
  <c r="L315" i="24"/>
  <c r="AK315" i="24"/>
  <c r="AC315" i="24"/>
  <c r="O315" i="24"/>
  <c r="X314" i="25"/>
  <c r="A315" i="25"/>
  <c r="AB314" i="25"/>
  <c r="AK314" i="25"/>
  <c r="L314" i="25"/>
  <c r="K314" i="25"/>
  <c r="AJ314" i="25"/>
  <c r="AC314" i="25"/>
  <c r="O314" i="25"/>
  <c r="AB319" i="17"/>
  <c r="X319" i="17"/>
  <c r="A320" i="17"/>
  <c r="AK319" i="17"/>
  <c r="L319" i="17"/>
  <c r="K319" i="17"/>
  <c r="AJ319" i="17"/>
  <c r="O319" i="17"/>
  <c r="AC319" i="17"/>
  <c r="AB318" i="16"/>
  <c r="X318" i="16"/>
  <c r="AJ318" i="16"/>
  <c r="A319" i="16"/>
  <c r="L318" i="16"/>
  <c r="K318" i="16"/>
  <c r="AK318" i="16"/>
  <c r="AC318" i="16"/>
  <c r="O318" i="16"/>
  <c r="E324" i="15" l="1"/>
  <c r="F323" i="1"/>
  <c r="X319" i="16"/>
  <c r="K319" i="16"/>
  <c r="AB319" i="16"/>
  <c r="AK319" i="16"/>
  <c r="L319" i="16"/>
  <c r="A320" i="16"/>
  <c r="AJ319" i="16"/>
  <c r="AC319" i="16"/>
  <c r="O319" i="16"/>
  <c r="D319" i="17"/>
  <c r="AB320" i="17"/>
  <c r="L320" i="17"/>
  <c r="A321" i="17"/>
  <c r="AK320" i="17"/>
  <c r="K320" i="17"/>
  <c r="X320" i="17"/>
  <c r="AJ320" i="17"/>
  <c r="O320" i="17"/>
  <c r="AC320" i="17"/>
  <c r="A316" i="25"/>
  <c r="X315" i="25"/>
  <c r="L315" i="25"/>
  <c r="AK315" i="25"/>
  <c r="K315" i="25"/>
  <c r="AB315" i="25"/>
  <c r="AJ315" i="25"/>
  <c r="AC315" i="25"/>
  <c r="O315" i="25"/>
  <c r="D325" i="1"/>
  <c r="T325" i="1"/>
  <c r="E325" i="1"/>
  <c r="S324" i="1"/>
  <c r="R324" i="1" s="1"/>
  <c r="P324" i="1" s="1"/>
  <c r="V324" i="1" s="1"/>
  <c r="K319" i="20"/>
  <c r="L319" i="20"/>
  <c r="X319" i="20"/>
  <c r="AK319" i="20"/>
  <c r="AB319" i="20"/>
  <c r="A320" i="20"/>
  <c r="AJ319" i="20"/>
  <c r="AC319" i="20"/>
  <c r="O319" i="20"/>
  <c r="A318" i="23"/>
  <c r="K317" i="23"/>
  <c r="L317" i="23"/>
  <c r="AK317" i="23"/>
  <c r="AB317" i="23"/>
  <c r="X317" i="23"/>
  <c r="AJ317" i="23"/>
  <c r="AC317" i="23"/>
  <c r="O317" i="23"/>
  <c r="D318" i="16"/>
  <c r="E318" i="16" s="1"/>
  <c r="E319" i="17"/>
  <c r="K316" i="24"/>
  <c r="X316" i="24"/>
  <c r="AJ316" i="24"/>
  <c r="A317" i="24"/>
  <c r="L316" i="24"/>
  <c r="AB316" i="24"/>
  <c r="AK316" i="24"/>
  <c r="AC316" i="24"/>
  <c r="O316" i="24"/>
  <c r="AB325" i="15"/>
  <c r="AK325" i="15"/>
  <c r="AJ325" i="15"/>
  <c r="L325" i="15"/>
  <c r="K325" i="15"/>
  <c r="A326" i="15"/>
  <c r="X325" i="15"/>
  <c r="AC325" i="15"/>
  <c r="O325" i="15"/>
  <c r="X323" i="18"/>
  <c r="L323" i="18"/>
  <c r="K323" i="18"/>
  <c r="AK323" i="18"/>
  <c r="AB323" i="18"/>
  <c r="A324" i="18"/>
  <c r="AJ323" i="18"/>
  <c r="AC323" i="18"/>
  <c r="O323" i="18"/>
  <c r="Q326" i="1"/>
  <c r="AB326" i="1"/>
  <c r="A327" i="1"/>
  <c r="AC326" i="1"/>
  <c r="U326" i="1"/>
  <c r="AJ326" i="1"/>
  <c r="AK326" i="1"/>
  <c r="X326" i="1"/>
  <c r="O326" i="1"/>
  <c r="L326" i="1"/>
  <c r="D326" i="1" s="1"/>
  <c r="K326" i="1"/>
  <c r="L318" i="22"/>
  <c r="AB318" i="22"/>
  <c r="AJ318" i="22"/>
  <c r="K318" i="22"/>
  <c r="X318" i="22"/>
  <c r="A319" i="22"/>
  <c r="AK318" i="22"/>
  <c r="AC318" i="22"/>
  <c r="O318" i="22"/>
  <c r="AA322" i="1"/>
  <c r="Z322" i="1" s="1"/>
  <c r="Y322" i="1" s="1"/>
  <c r="I322" i="1"/>
  <c r="G322" i="1"/>
  <c r="BW322" i="6" s="1"/>
  <c r="F324" i="1" l="1"/>
  <c r="T326" i="1"/>
  <c r="AK327" i="1"/>
  <c r="A328" i="1"/>
  <c r="O327" i="1"/>
  <c r="AJ327" i="1"/>
  <c r="Q327" i="1"/>
  <c r="U327" i="1"/>
  <c r="AC327" i="1"/>
  <c r="AB327" i="1"/>
  <c r="X327" i="1"/>
  <c r="L327" i="1"/>
  <c r="K327" i="1"/>
  <c r="AB324" i="18"/>
  <c r="K324" i="18"/>
  <c r="AJ324" i="18"/>
  <c r="X324" i="18"/>
  <c r="A325" i="18"/>
  <c r="L324" i="18"/>
  <c r="AK324" i="18"/>
  <c r="O324" i="18"/>
  <c r="AC324" i="18"/>
  <c r="AB326" i="15"/>
  <c r="K326" i="15"/>
  <c r="A327" i="15"/>
  <c r="L326" i="15"/>
  <c r="D326" i="15" s="1"/>
  <c r="AK326" i="15"/>
  <c r="X326" i="15"/>
  <c r="AJ326" i="15"/>
  <c r="AC326" i="15"/>
  <c r="O326" i="15"/>
  <c r="D325" i="15"/>
  <c r="X320" i="20"/>
  <c r="AB320" i="20"/>
  <c r="AJ320" i="20"/>
  <c r="A321" i="20"/>
  <c r="K320" i="20"/>
  <c r="L320" i="20"/>
  <c r="AK320" i="20"/>
  <c r="AC320" i="20"/>
  <c r="O320" i="20"/>
  <c r="K321" i="17"/>
  <c r="A322" i="17"/>
  <c r="AJ321" i="17"/>
  <c r="AB321" i="17"/>
  <c r="X321" i="17"/>
  <c r="L321" i="17"/>
  <c r="D321" i="17" s="1"/>
  <c r="AK321" i="17"/>
  <c r="O321" i="17"/>
  <c r="E321" i="17" s="1"/>
  <c r="AC321" i="17"/>
  <c r="AB320" i="16"/>
  <c r="K320" i="16"/>
  <c r="L320" i="16"/>
  <c r="AK320" i="16"/>
  <c r="A321" i="16"/>
  <c r="X320" i="16"/>
  <c r="AJ320" i="16"/>
  <c r="AC320" i="16"/>
  <c r="O320" i="16"/>
  <c r="AB319" i="22"/>
  <c r="X319" i="22"/>
  <c r="A320" i="22"/>
  <c r="AK319" i="22"/>
  <c r="L319" i="22"/>
  <c r="K319" i="22"/>
  <c r="AJ319" i="22"/>
  <c r="AC319" i="22"/>
  <c r="O319" i="22"/>
  <c r="E326" i="1"/>
  <c r="E325" i="15"/>
  <c r="K317" i="24"/>
  <c r="A318" i="24"/>
  <c r="X317" i="24"/>
  <c r="AK317" i="24"/>
  <c r="L317" i="24"/>
  <c r="AB317" i="24"/>
  <c r="AJ317" i="24"/>
  <c r="AC317" i="24"/>
  <c r="O317" i="24"/>
  <c r="X318" i="23"/>
  <c r="A319" i="23"/>
  <c r="K318" i="23"/>
  <c r="AK318" i="23"/>
  <c r="L318" i="23"/>
  <c r="AB318" i="23"/>
  <c r="AJ318" i="23"/>
  <c r="AC318" i="23"/>
  <c r="O318" i="23"/>
  <c r="S325" i="1"/>
  <c r="R325" i="1" s="1"/>
  <c r="P325" i="1" s="1"/>
  <c r="V325" i="1" s="1"/>
  <c r="F325" i="1" s="1"/>
  <c r="A317" i="25"/>
  <c r="AB316" i="25"/>
  <c r="AJ316" i="25"/>
  <c r="K316" i="25"/>
  <c r="X316" i="25"/>
  <c r="L316" i="25"/>
  <c r="AK316" i="25"/>
  <c r="AC316" i="25"/>
  <c r="O316" i="25"/>
  <c r="D320" i="17"/>
  <c r="E320" i="17" s="1"/>
  <c r="D319" i="16"/>
  <c r="E319" i="16" s="1"/>
  <c r="I323" i="1"/>
  <c r="G323" i="1"/>
  <c r="BW323" i="6" s="1"/>
  <c r="AA323" i="1"/>
  <c r="Z323" i="1" s="1"/>
  <c r="Y323" i="1" s="1"/>
  <c r="E326" i="15" l="1"/>
  <c r="G325" i="1"/>
  <c r="BW325" i="6" s="1"/>
  <c r="AA325" i="1"/>
  <c r="Z325" i="1" s="1"/>
  <c r="Y325" i="1" s="1"/>
  <c r="I325" i="1"/>
  <c r="K318" i="24"/>
  <c r="L318" i="24"/>
  <c r="AB318" i="24"/>
  <c r="AK318" i="24"/>
  <c r="A319" i="24"/>
  <c r="X318" i="24"/>
  <c r="AJ318" i="24"/>
  <c r="AC318" i="24"/>
  <c r="O318" i="24"/>
  <c r="K321" i="16"/>
  <c r="X321" i="16"/>
  <c r="AJ321" i="16"/>
  <c r="AB321" i="16"/>
  <c r="L321" i="16"/>
  <c r="A322" i="16"/>
  <c r="AK321" i="16"/>
  <c r="AC321" i="16"/>
  <c r="O321" i="16"/>
  <c r="D320" i="16"/>
  <c r="E320" i="16" s="1"/>
  <c r="L322" i="17"/>
  <c r="AB322" i="17"/>
  <c r="AJ322" i="17"/>
  <c r="K322" i="17"/>
  <c r="A323" i="17"/>
  <c r="X322" i="17"/>
  <c r="AK322" i="17"/>
  <c r="O322" i="17"/>
  <c r="AC322" i="17"/>
  <c r="X327" i="15"/>
  <c r="AB327" i="15"/>
  <c r="A328" i="15"/>
  <c r="AK327" i="15"/>
  <c r="L327" i="15"/>
  <c r="K327" i="15"/>
  <c r="AJ327" i="15"/>
  <c r="AC327" i="15"/>
  <c r="O327" i="15"/>
  <c r="AB317" i="25"/>
  <c r="L317" i="25"/>
  <c r="AJ317" i="25"/>
  <c r="A318" i="25"/>
  <c r="X317" i="25"/>
  <c r="K317" i="25"/>
  <c r="AK317" i="25"/>
  <c r="AC317" i="25"/>
  <c r="O317" i="25"/>
  <c r="AB319" i="23"/>
  <c r="K319" i="23"/>
  <c r="A320" i="23"/>
  <c r="AK319" i="23"/>
  <c r="X319" i="23"/>
  <c r="L319" i="23"/>
  <c r="AJ319" i="23"/>
  <c r="AC319" i="23"/>
  <c r="O319" i="23"/>
  <c r="K320" i="22"/>
  <c r="L320" i="22"/>
  <c r="X320" i="22"/>
  <c r="AK320" i="22"/>
  <c r="AB320" i="22"/>
  <c r="A321" i="22"/>
  <c r="AJ320" i="22"/>
  <c r="AC320" i="22"/>
  <c r="O320" i="22"/>
  <c r="A322" i="20"/>
  <c r="AB321" i="20"/>
  <c r="L321" i="20"/>
  <c r="AK321" i="20"/>
  <c r="K321" i="20"/>
  <c r="X321" i="20"/>
  <c r="AJ321" i="20"/>
  <c r="AC321" i="20"/>
  <c r="O321" i="20"/>
  <c r="X325" i="18"/>
  <c r="K325" i="18"/>
  <c r="AJ325" i="18"/>
  <c r="AB325" i="18"/>
  <c r="A326" i="18"/>
  <c r="L325" i="18"/>
  <c r="AK325" i="18"/>
  <c r="O325" i="18"/>
  <c r="AC325" i="18"/>
  <c r="D327" i="1"/>
  <c r="E327" i="1" s="1"/>
  <c r="T327" i="1"/>
  <c r="AK328" i="1"/>
  <c r="O328" i="1"/>
  <c r="X328" i="1"/>
  <c r="AJ328" i="1"/>
  <c r="U328" i="1"/>
  <c r="A329" i="1"/>
  <c r="K328" i="1"/>
  <c r="AC328" i="1"/>
  <c r="L328" i="1"/>
  <c r="D328" i="1" s="1"/>
  <c r="Q328" i="1"/>
  <c r="AB328" i="1"/>
  <c r="S326" i="1"/>
  <c r="R326" i="1" s="1"/>
  <c r="P326" i="1" s="1"/>
  <c r="I324" i="1"/>
  <c r="AA324" i="1"/>
  <c r="Z324" i="1" s="1"/>
  <c r="Y324" i="1" s="1"/>
  <c r="G324" i="1"/>
  <c r="BW324" i="6" s="1"/>
  <c r="V326" i="1" l="1"/>
  <c r="F326" i="1" s="1"/>
  <c r="Q329" i="1"/>
  <c r="A330" i="1"/>
  <c r="AK329" i="1"/>
  <c r="K329" i="1"/>
  <c r="AC329" i="1"/>
  <c r="L329" i="1"/>
  <c r="D329" i="1" s="1"/>
  <c r="X329" i="1"/>
  <c r="AB329" i="1"/>
  <c r="AJ329" i="1"/>
  <c r="O329" i="1"/>
  <c r="U329" i="1"/>
  <c r="S327" i="1"/>
  <c r="R327" i="1" s="1"/>
  <c r="P327" i="1" s="1"/>
  <c r="V327" i="1" s="1"/>
  <c r="F327" i="1" s="1"/>
  <c r="L326" i="18"/>
  <c r="A327" i="18"/>
  <c r="X326" i="18"/>
  <c r="AK326" i="18"/>
  <c r="AB326" i="18"/>
  <c r="K326" i="18"/>
  <c r="AJ326" i="18"/>
  <c r="O326" i="18"/>
  <c r="AC326" i="18"/>
  <c r="D327" i="15"/>
  <c r="E327" i="15" s="1"/>
  <c r="L328" i="15"/>
  <c r="D328" i="15" s="1"/>
  <c r="X328" i="15"/>
  <c r="AB328" i="15"/>
  <c r="AJ328" i="15"/>
  <c r="A329" i="15"/>
  <c r="K328" i="15"/>
  <c r="AK328" i="15"/>
  <c r="O328" i="15"/>
  <c r="AC328" i="15"/>
  <c r="X323" i="17"/>
  <c r="K323" i="17"/>
  <c r="AJ323" i="17"/>
  <c r="L323" i="17"/>
  <c r="D323" i="17" s="1"/>
  <c r="A324" i="17"/>
  <c r="AB323" i="17"/>
  <c r="AK323" i="17"/>
  <c r="O323" i="17"/>
  <c r="E323" i="17" s="1"/>
  <c r="AC323" i="17"/>
  <c r="D322" i="17"/>
  <c r="D321" i="16"/>
  <c r="E321" i="16" s="1"/>
  <c r="E328" i="1"/>
  <c r="T328" i="1"/>
  <c r="AB322" i="20"/>
  <c r="L322" i="20"/>
  <c r="K322" i="20"/>
  <c r="AK322" i="20"/>
  <c r="A323" i="20"/>
  <c r="X322" i="20"/>
  <c r="AJ322" i="20"/>
  <c r="AC322" i="20"/>
  <c r="O322" i="20"/>
  <c r="A322" i="22"/>
  <c r="AB321" i="22"/>
  <c r="AJ321" i="22"/>
  <c r="K321" i="22"/>
  <c r="L321" i="22"/>
  <c r="X321" i="22"/>
  <c r="AK321" i="22"/>
  <c r="AC321" i="22"/>
  <c r="O321" i="22"/>
  <c r="X320" i="23"/>
  <c r="L320" i="23"/>
  <c r="AJ320" i="23"/>
  <c r="AB320" i="23"/>
  <c r="K320" i="23"/>
  <c r="A321" i="23"/>
  <c r="AK320" i="23"/>
  <c r="AC320" i="23"/>
  <c r="O320" i="23"/>
  <c r="AB318" i="25"/>
  <c r="A319" i="25"/>
  <c r="K318" i="25"/>
  <c r="AK318" i="25"/>
  <c r="L318" i="25"/>
  <c r="X318" i="25"/>
  <c r="AJ318" i="25"/>
  <c r="AC318" i="25"/>
  <c r="O318" i="25"/>
  <c r="E322" i="17"/>
  <c r="AB322" i="16"/>
  <c r="K322" i="16"/>
  <c r="AJ322" i="16"/>
  <c r="X322" i="16"/>
  <c r="A323" i="16"/>
  <c r="L322" i="16"/>
  <c r="AK322" i="16"/>
  <c r="AC322" i="16"/>
  <c r="O322" i="16"/>
  <c r="L319" i="24"/>
  <c r="K319" i="24"/>
  <c r="AJ319" i="24"/>
  <c r="AB319" i="24"/>
  <c r="X319" i="24"/>
  <c r="A320" i="24"/>
  <c r="AK319" i="24"/>
  <c r="AC319" i="24"/>
  <c r="O319" i="24"/>
  <c r="I327" i="1" l="1"/>
  <c r="AA327" i="1"/>
  <c r="Z327" i="1" s="1"/>
  <c r="Y327" i="1" s="1"/>
  <c r="G327" i="1"/>
  <c r="BW327" i="6" s="1"/>
  <c r="D322" i="16"/>
  <c r="E322" i="16" s="1"/>
  <c r="K321" i="23"/>
  <c r="A322" i="23"/>
  <c r="X321" i="23"/>
  <c r="AK321" i="23"/>
  <c r="L321" i="23"/>
  <c r="AB321" i="23"/>
  <c r="AJ321" i="23"/>
  <c r="AC321" i="23"/>
  <c r="O321" i="23"/>
  <c r="X323" i="20"/>
  <c r="K323" i="20"/>
  <c r="AJ323" i="20"/>
  <c r="A324" i="20"/>
  <c r="L323" i="20"/>
  <c r="AB323" i="20"/>
  <c r="AK323" i="20"/>
  <c r="AC323" i="20"/>
  <c r="O323" i="20"/>
  <c r="S328" i="1"/>
  <c r="R328" i="1" s="1"/>
  <c r="P328" i="1" s="1"/>
  <c r="AB329" i="15"/>
  <c r="K329" i="15"/>
  <c r="AK329" i="15"/>
  <c r="L329" i="15"/>
  <c r="D329" i="15" s="1"/>
  <c r="A330" i="15"/>
  <c r="X329" i="15"/>
  <c r="AJ329" i="15"/>
  <c r="AC329" i="15"/>
  <c r="O329" i="15"/>
  <c r="E329" i="1"/>
  <c r="AC330" i="1"/>
  <c r="O330" i="1"/>
  <c r="X330" i="1"/>
  <c r="Q330" i="1"/>
  <c r="U330" i="1"/>
  <c r="AK330" i="1"/>
  <c r="K330" i="1"/>
  <c r="L330" i="1"/>
  <c r="AJ330" i="1"/>
  <c r="A331" i="1"/>
  <c r="AB330" i="1"/>
  <c r="G326" i="1"/>
  <c r="BW326" i="6" s="1"/>
  <c r="AA326" i="1"/>
  <c r="Z326" i="1" s="1"/>
  <c r="Y326" i="1" s="1"/>
  <c r="I326" i="1"/>
  <c r="X320" i="24"/>
  <c r="A321" i="24"/>
  <c r="L320" i="24"/>
  <c r="AK320" i="24"/>
  <c r="AB320" i="24"/>
  <c r="K320" i="24"/>
  <c r="AJ320" i="24"/>
  <c r="AC320" i="24"/>
  <c r="O320" i="24"/>
  <c r="L323" i="16"/>
  <c r="X323" i="16"/>
  <c r="K323" i="16"/>
  <c r="AK323" i="16"/>
  <c r="A324" i="16"/>
  <c r="AB323" i="16"/>
  <c r="AJ323" i="16"/>
  <c r="AC323" i="16"/>
  <c r="O323" i="16"/>
  <c r="X319" i="25"/>
  <c r="L319" i="25"/>
  <c r="A320" i="25"/>
  <c r="AK319" i="25"/>
  <c r="AB319" i="25"/>
  <c r="K319" i="25"/>
  <c r="AJ319" i="25"/>
  <c r="AC319" i="25"/>
  <c r="O319" i="25"/>
  <c r="K322" i="22"/>
  <c r="AB322" i="22"/>
  <c r="L322" i="22"/>
  <c r="AK322" i="22"/>
  <c r="X322" i="22"/>
  <c r="A323" i="22"/>
  <c r="AJ322" i="22"/>
  <c r="AC322" i="22"/>
  <c r="O322" i="22"/>
  <c r="A325" i="17"/>
  <c r="AB324" i="17"/>
  <c r="AJ324" i="17"/>
  <c r="K324" i="17"/>
  <c r="L324" i="17"/>
  <c r="D324" i="17" s="1"/>
  <c r="X324" i="17"/>
  <c r="AK324" i="17"/>
  <c r="O324" i="17"/>
  <c r="AC324" i="17"/>
  <c r="E328" i="15"/>
  <c r="AB327" i="18"/>
  <c r="X327" i="18"/>
  <c r="AJ327" i="18"/>
  <c r="K327" i="18"/>
  <c r="A328" i="18"/>
  <c r="L327" i="18"/>
  <c r="AK327" i="18"/>
  <c r="O327" i="18"/>
  <c r="AC327" i="18"/>
  <c r="T329" i="1"/>
  <c r="E329" i="15" l="1"/>
  <c r="V328" i="1"/>
  <c r="F328" i="1" s="1"/>
  <c r="S329" i="1"/>
  <c r="R329" i="1" s="1"/>
  <c r="P329" i="1" s="1"/>
  <c r="V329" i="1" s="1"/>
  <c r="F329" i="1" s="1"/>
  <c r="L325" i="17"/>
  <c r="AB325" i="17"/>
  <c r="AJ325" i="17"/>
  <c r="A326" i="17"/>
  <c r="K325" i="17"/>
  <c r="X325" i="17"/>
  <c r="AK325" i="17"/>
  <c r="O325" i="17"/>
  <c r="AC325" i="17"/>
  <c r="AB324" i="16"/>
  <c r="K324" i="16"/>
  <c r="X324" i="16"/>
  <c r="AK324" i="16"/>
  <c r="A325" i="16"/>
  <c r="L324" i="16"/>
  <c r="AJ324" i="16"/>
  <c r="AC324" i="16"/>
  <c r="O324" i="16"/>
  <c r="D323" i="16"/>
  <c r="E323" i="16" s="1"/>
  <c r="T330" i="1"/>
  <c r="X330" i="15"/>
  <c r="AB330" i="15"/>
  <c r="A331" i="15"/>
  <c r="AJ330" i="15"/>
  <c r="L330" i="15"/>
  <c r="AK330" i="15"/>
  <c r="K330" i="15"/>
  <c r="O330" i="15"/>
  <c r="AC330" i="15"/>
  <c r="K324" i="20"/>
  <c r="L324" i="20"/>
  <c r="X324" i="20"/>
  <c r="AK324" i="20"/>
  <c r="A325" i="20"/>
  <c r="AB324" i="20"/>
  <c r="AJ324" i="20"/>
  <c r="AC324" i="20"/>
  <c r="O324" i="20"/>
  <c r="X322" i="23"/>
  <c r="L322" i="23"/>
  <c r="AB322" i="23"/>
  <c r="AK322" i="23"/>
  <c r="K322" i="23"/>
  <c r="A323" i="23"/>
  <c r="AJ322" i="23"/>
  <c r="AC322" i="23"/>
  <c r="O322" i="23"/>
  <c r="AB328" i="18"/>
  <c r="X328" i="18"/>
  <c r="A329" i="18"/>
  <c r="AK328" i="18"/>
  <c r="K328" i="18"/>
  <c r="L328" i="18"/>
  <c r="AJ328" i="18"/>
  <c r="O328" i="18"/>
  <c r="AC328" i="18"/>
  <c r="E324" i="17"/>
  <c r="A324" i="22"/>
  <c r="L323" i="22"/>
  <c r="AJ323" i="22"/>
  <c r="K323" i="22"/>
  <c r="AB323" i="22"/>
  <c r="X323" i="22"/>
  <c r="AK323" i="22"/>
  <c r="AC323" i="22"/>
  <c r="O323" i="22"/>
  <c r="A321" i="25"/>
  <c r="AB320" i="25"/>
  <c r="AJ320" i="25"/>
  <c r="X320" i="25"/>
  <c r="K320" i="25"/>
  <c r="L320" i="25"/>
  <c r="AK320" i="25"/>
  <c r="AC320" i="25"/>
  <c r="O320" i="25"/>
  <c r="A322" i="24"/>
  <c r="L321" i="24"/>
  <c r="AJ321" i="24"/>
  <c r="K321" i="24"/>
  <c r="AB321" i="24"/>
  <c r="X321" i="24"/>
  <c r="AK321" i="24"/>
  <c r="AC321" i="24"/>
  <c r="O321" i="24"/>
  <c r="Q331" i="1"/>
  <c r="X331" i="1"/>
  <c r="A332" i="1"/>
  <c r="O331" i="1"/>
  <c r="U331" i="1"/>
  <c r="AC331" i="1"/>
  <c r="AB331" i="1"/>
  <c r="AK331" i="1"/>
  <c r="L331" i="1"/>
  <c r="K331" i="1"/>
  <c r="AJ331" i="1"/>
  <c r="D330" i="1"/>
  <c r="E330" i="1" s="1"/>
  <c r="L321" i="25" l="1"/>
  <c r="AB321" i="25"/>
  <c r="AJ321" i="25"/>
  <c r="A322" i="25"/>
  <c r="K321" i="25"/>
  <c r="X321" i="25"/>
  <c r="AK321" i="25"/>
  <c r="AC321" i="25"/>
  <c r="O321" i="25"/>
  <c r="K324" i="22"/>
  <c r="X324" i="22"/>
  <c r="AJ324" i="22"/>
  <c r="A325" i="22"/>
  <c r="AB324" i="22"/>
  <c r="L324" i="22"/>
  <c r="AK324" i="22"/>
  <c r="AC324" i="22"/>
  <c r="O324" i="22"/>
  <c r="D330" i="15"/>
  <c r="K331" i="15"/>
  <c r="AB331" i="15"/>
  <c r="AK331" i="15"/>
  <c r="A332" i="15"/>
  <c r="X331" i="15"/>
  <c r="L331" i="15"/>
  <c r="D331" i="15" s="1"/>
  <c r="AJ331" i="15"/>
  <c r="AC331" i="15"/>
  <c r="O331" i="15"/>
  <c r="S330" i="1"/>
  <c r="R330" i="1" s="1"/>
  <c r="P330" i="1" s="1"/>
  <c r="D324" i="16"/>
  <c r="E324" i="16" s="1"/>
  <c r="X326" i="17"/>
  <c r="L326" i="17"/>
  <c r="D326" i="17" s="1"/>
  <c r="AB326" i="17"/>
  <c r="AK326" i="17"/>
  <c r="A327" i="17"/>
  <c r="K326" i="17"/>
  <c r="AJ326" i="17"/>
  <c r="O326" i="17"/>
  <c r="E326" i="17" s="1"/>
  <c r="AC326" i="17"/>
  <c r="G329" i="1"/>
  <c r="BW329" i="6" s="1"/>
  <c r="I329" i="1"/>
  <c r="AA329" i="1"/>
  <c r="Z329" i="1" s="1"/>
  <c r="Y329" i="1" s="1"/>
  <c r="G328" i="1"/>
  <c r="BW328" i="6" s="1"/>
  <c r="I328" i="1"/>
  <c r="AA328" i="1"/>
  <c r="Z328" i="1" s="1"/>
  <c r="Y328" i="1" s="1"/>
  <c r="D331" i="1"/>
  <c r="E331" i="1" s="1"/>
  <c r="T331" i="1"/>
  <c r="AC332" i="1"/>
  <c r="AJ332" i="1"/>
  <c r="AK332" i="1"/>
  <c r="Q332" i="1"/>
  <c r="A333" i="1"/>
  <c r="U332" i="1"/>
  <c r="AB332" i="1"/>
  <c r="X332" i="1"/>
  <c r="O332" i="1"/>
  <c r="L332" i="1"/>
  <c r="K332" i="1"/>
  <c r="AB322" i="24"/>
  <c r="K322" i="24"/>
  <c r="X322" i="24"/>
  <c r="AK322" i="24"/>
  <c r="L322" i="24"/>
  <c r="A323" i="24"/>
  <c r="AJ322" i="24"/>
  <c r="AC322" i="24"/>
  <c r="O322" i="24"/>
  <c r="L329" i="18"/>
  <c r="A330" i="18"/>
  <c r="AJ329" i="18"/>
  <c r="X329" i="18"/>
  <c r="AB329" i="18"/>
  <c r="K329" i="18"/>
  <c r="AK329" i="18"/>
  <c r="AC329" i="18"/>
  <c r="O329" i="18"/>
  <c r="X323" i="23"/>
  <c r="A324" i="23"/>
  <c r="AB323" i="23"/>
  <c r="AK323" i="23"/>
  <c r="L323" i="23"/>
  <c r="K323" i="23"/>
  <c r="AJ323" i="23"/>
  <c r="AC323" i="23"/>
  <c r="O323" i="23"/>
  <c r="X325" i="20"/>
  <c r="A326" i="20"/>
  <c r="AJ325" i="20"/>
  <c r="AB325" i="20"/>
  <c r="K325" i="20"/>
  <c r="L325" i="20"/>
  <c r="AK325" i="20"/>
  <c r="AC325" i="20"/>
  <c r="O325" i="20"/>
  <c r="E330" i="15"/>
  <c r="L325" i="16"/>
  <c r="K325" i="16"/>
  <c r="X325" i="16"/>
  <c r="AK325" i="16"/>
  <c r="A326" i="16"/>
  <c r="AB325" i="16"/>
  <c r="AJ325" i="16"/>
  <c r="AC325" i="16"/>
  <c r="O325" i="16"/>
  <c r="D325" i="17"/>
  <c r="E325" i="17" s="1"/>
  <c r="E331" i="15" l="1"/>
  <c r="V330" i="1"/>
  <c r="F330" i="1" s="1"/>
  <c r="X326" i="16"/>
  <c r="AB326" i="16"/>
  <c r="AJ326" i="16"/>
  <c r="K326" i="16"/>
  <c r="L326" i="16"/>
  <c r="A327" i="16"/>
  <c r="AK326" i="16"/>
  <c r="AC326" i="16"/>
  <c r="O326" i="16"/>
  <c r="D325" i="16"/>
  <c r="E325" i="16" s="1"/>
  <c r="X330" i="18"/>
  <c r="AB330" i="18"/>
  <c r="A331" i="18"/>
  <c r="AK330" i="18"/>
  <c r="L330" i="18"/>
  <c r="K330" i="18"/>
  <c r="AJ330" i="18"/>
  <c r="AC330" i="18"/>
  <c r="O330" i="18"/>
  <c r="K323" i="24"/>
  <c r="X323" i="24"/>
  <c r="AJ323" i="24"/>
  <c r="AB323" i="24"/>
  <c r="A324" i="24"/>
  <c r="L323" i="24"/>
  <c r="AK323" i="24"/>
  <c r="AC323" i="24"/>
  <c r="O323" i="24"/>
  <c r="D332" i="1"/>
  <c r="E332" i="1" s="1"/>
  <c r="T332" i="1"/>
  <c r="S331" i="1"/>
  <c r="R331" i="1" s="1"/>
  <c r="P331" i="1" s="1"/>
  <c r="V331" i="1" s="1"/>
  <c r="F331" i="1" s="1"/>
  <c r="K327" i="17"/>
  <c r="L327" i="17"/>
  <c r="D327" i="17" s="1"/>
  <c r="AJ327" i="17"/>
  <c r="A328" i="17"/>
  <c r="AB327" i="17"/>
  <c r="X327" i="17"/>
  <c r="AK327" i="17"/>
  <c r="O327" i="17"/>
  <c r="E327" i="17" s="1"/>
  <c r="AC327" i="17"/>
  <c r="X332" i="15"/>
  <c r="AK332" i="15"/>
  <c r="A333" i="15"/>
  <c r="L332" i="15"/>
  <c r="D332" i="15" s="1"/>
  <c r="K332" i="15"/>
  <c r="AB332" i="15"/>
  <c r="AJ332" i="15"/>
  <c r="AC332" i="15"/>
  <c r="O332" i="15"/>
  <c r="AB326" i="20"/>
  <c r="X326" i="20"/>
  <c r="A327" i="20"/>
  <c r="AK326" i="20"/>
  <c r="K326" i="20"/>
  <c r="L326" i="20"/>
  <c r="AJ326" i="20"/>
  <c r="AC326" i="20"/>
  <c r="O326" i="20"/>
  <c r="L324" i="23"/>
  <c r="A325" i="23"/>
  <c r="AJ324" i="23"/>
  <c r="K324" i="23"/>
  <c r="AB324" i="23"/>
  <c r="X324" i="23"/>
  <c r="AK324" i="23"/>
  <c r="AC324" i="23"/>
  <c r="O324" i="23"/>
  <c r="A334" i="1"/>
  <c r="AK333" i="1"/>
  <c r="Q333" i="1"/>
  <c r="O333" i="1"/>
  <c r="C30" i="7" s="1"/>
  <c r="AC333" i="1"/>
  <c r="AB333" i="1"/>
  <c r="K333" i="1"/>
  <c r="X333" i="1"/>
  <c r="A30" i="7"/>
  <c r="AJ333" i="1"/>
  <c r="L333" i="1"/>
  <c r="U333" i="1"/>
  <c r="AB325" i="22"/>
  <c r="K325" i="22"/>
  <c r="X325" i="22"/>
  <c r="AK325" i="22"/>
  <c r="A326" i="22"/>
  <c r="L325" i="22"/>
  <c r="AJ325" i="22"/>
  <c r="AC325" i="22"/>
  <c r="O325" i="22"/>
  <c r="A323" i="25"/>
  <c r="L322" i="25"/>
  <c r="K322" i="25"/>
  <c r="AK322" i="25"/>
  <c r="X322" i="25"/>
  <c r="AB322" i="25"/>
  <c r="AJ322" i="25"/>
  <c r="AC322" i="25"/>
  <c r="O322" i="25"/>
  <c r="E332" i="15" l="1"/>
  <c r="I331" i="1"/>
  <c r="AA331" i="1"/>
  <c r="Z331" i="1" s="1"/>
  <c r="Y331" i="1" s="1"/>
  <c r="G331" i="1"/>
  <c r="BW331" i="6" s="1"/>
  <c r="B30" i="7"/>
  <c r="D333" i="1"/>
  <c r="E333" i="1" s="1"/>
  <c r="X334" i="1"/>
  <c r="AJ334" i="1"/>
  <c r="AC334" i="1"/>
  <c r="AK334" i="1"/>
  <c r="Q334" i="1"/>
  <c r="A335" i="1"/>
  <c r="AB334" i="1"/>
  <c r="O334" i="1"/>
  <c r="K334" i="1"/>
  <c r="L334" i="1"/>
  <c r="D334" i="1" s="1"/>
  <c r="E334" i="1" s="1"/>
  <c r="U334" i="1"/>
  <c r="X333" i="15"/>
  <c r="A42" i="7"/>
  <c r="AB333" i="15"/>
  <c r="K333" i="15"/>
  <c r="A334" i="15"/>
  <c r="AK333" i="15"/>
  <c r="L333" i="15"/>
  <c r="AJ333" i="15"/>
  <c r="AC333" i="15"/>
  <c r="O333" i="15"/>
  <c r="C42" i="7" s="1"/>
  <c r="A329" i="17"/>
  <c r="L328" i="17"/>
  <c r="AJ328" i="17"/>
  <c r="K328" i="17"/>
  <c r="AB328" i="17"/>
  <c r="X328" i="17"/>
  <c r="AK328" i="17"/>
  <c r="O328" i="17"/>
  <c r="AC328" i="17"/>
  <c r="S332" i="1"/>
  <c r="R332" i="1" s="1"/>
  <c r="P332" i="1" s="1"/>
  <c r="V332" i="1" s="1"/>
  <c r="F332" i="1" s="1"/>
  <c r="X331" i="18"/>
  <c r="L331" i="18"/>
  <c r="AB331" i="18"/>
  <c r="AK331" i="18"/>
  <c r="K331" i="18"/>
  <c r="A332" i="18"/>
  <c r="AJ331" i="18"/>
  <c r="O331" i="18"/>
  <c r="AC331" i="18"/>
  <c r="X327" i="16"/>
  <c r="AB327" i="16"/>
  <c r="AJ327" i="16"/>
  <c r="L327" i="16"/>
  <c r="K327" i="16"/>
  <c r="A328" i="16"/>
  <c r="AK327" i="16"/>
  <c r="AC327" i="16"/>
  <c r="O327" i="16"/>
  <c r="G330" i="1"/>
  <c r="BW330" i="6" s="1"/>
  <c r="AA330" i="1"/>
  <c r="Z330" i="1" s="1"/>
  <c r="Y330" i="1" s="1"/>
  <c r="I330" i="1"/>
  <c r="A324" i="25"/>
  <c r="L323" i="25"/>
  <c r="X323" i="25"/>
  <c r="AK323" i="25"/>
  <c r="AB323" i="25"/>
  <c r="K323" i="25"/>
  <c r="AJ323" i="25"/>
  <c r="AC323" i="25"/>
  <c r="O323" i="25"/>
  <c r="X326" i="22"/>
  <c r="L326" i="22"/>
  <c r="A327" i="22"/>
  <c r="AK326" i="22"/>
  <c r="K326" i="22"/>
  <c r="AB326" i="22"/>
  <c r="AJ326" i="22"/>
  <c r="AC326" i="22"/>
  <c r="O326" i="22"/>
  <c r="T333" i="1"/>
  <c r="X325" i="23"/>
  <c r="AB325" i="23"/>
  <c r="K325" i="23"/>
  <c r="AK325" i="23"/>
  <c r="A326" i="23"/>
  <c r="L325" i="23"/>
  <c r="AJ325" i="23"/>
  <c r="AC325" i="23"/>
  <c r="O325" i="23"/>
  <c r="K327" i="20"/>
  <c r="A328" i="20"/>
  <c r="AJ327" i="20"/>
  <c r="X327" i="20"/>
  <c r="L327" i="20"/>
  <c r="AB327" i="20"/>
  <c r="AK327" i="20"/>
  <c r="AC327" i="20"/>
  <c r="O327" i="20"/>
  <c r="A325" i="24"/>
  <c r="K324" i="24"/>
  <c r="AJ324" i="24"/>
  <c r="X324" i="24"/>
  <c r="AB324" i="24"/>
  <c r="L324" i="24"/>
  <c r="AK324" i="24"/>
  <c r="AC324" i="24"/>
  <c r="O324" i="24"/>
  <c r="D326" i="16"/>
  <c r="E326" i="16" s="1"/>
  <c r="I332" i="1" l="1"/>
  <c r="G332" i="1"/>
  <c r="BW332" i="6" s="1"/>
  <c r="AA332" i="1"/>
  <c r="Z332" i="1" s="1"/>
  <c r="Y332" i="1" s="1"/>
  <c r="X328" i="20"/>
  <c r="L328" i="20"/>
  <c r="AJ328" i="20"/>
  <c r="K328" i="20"/>
  <c r="AB328" i="20"/>
  <c r="A329" i="20"/>
  <c r="AK328" i="20"/>
  <c r="AC328" i="20"/>
  <c r="O328" i="20"/>
  <c r="S333" i="1"/>
  <c r="R333" i="1" s="1"/>
  <c r="P333" i="1" s="1"/>
  <c r="A328" i="22"/>
  <c r="AB327" i="22"/>
  <c r="AJ327" i="22"/>
  <c r="K327" i="22"/>
  <c r="L327" i="22"/>
  <c r="X327" i="22"/>
  <c r="AK327" i="22"/>
  <c r="AC327" i="22"/>
  <c r="O327" i="22"/>
  <c r="AB324" i="25"/>
  <c r="X324" i="25"/>
  <c r="A325" i="25"/>
  <c r="AK324" i="25"/>
  <c r="K324" i="25"/>
  <c r="L324" i="25"/>
  <c r="AJ324" i="25"/>
  <c r="AC324" i="25"/>
  <c r="O324" i="25"/>
  <c r="X329" i="17"/>
  <c r="A330" i="17"/>
  <c r="AB329" i="17"/>
  <c r="AK329" i="17"/>
  <c r="K329" i="17"/>
  <c r="L329" i="17"/>
  <c r="AJ329" i="17"/>
  <c r="O329" i="17"/>
  <c r="AC329" i="17"/>
  <c r="T334" i="1"/>
  <c r="AB325" i="24"/>
  <c r="L325" i="24"/>
  <c r="A326" i="24"/>
  <c r="AK325" i="24"/>
  <c r="K325" i="24"/>
  <c r="X325" i="24"/>
  <c r="AJ325" i="24"/>
  <c r="AC325" i="24"/>
  <c r="O325" i="24"/>
  <c r="L326" i="23"/>
  <c r="A327" i="23"/>
  <c r="AJ326" i="23"/>
  <c r="K326" i="23"/>
  <c r="AB326" i="23"/>
  <c r="X326" i="23"/>
  <c r="AK326" i="23"/>
  <c r="AC326" i="23"/>
  <c r="O326" i="23"/>
  <c r="L328" i="16"/>
  <c r="A329" i="16"/>
  <c r="AJ328" i="16"/>
  <c r="AB328" i="16"/>
  <c r="K328" i="16"/>
  <c r="X328" i="16"/>
  <c r="AK328" i="16"/>
  <c r="AC328" i="16"/>
  <c r="O328" i="16"/>
  <c r="D327" i="16"/>
  <c r="E327" i="16" s="1"/>
  <c r="X332" i="18"/>
  <c r="AB332" i="18"/>
  <c r="AJ332" i="18"/>
  <c r="L332" i="18"/>
  <c r="K332" i="18"/>
  <c r="A333" i="18"/>
  <c r="AK332" i="18"/>
  <c r="O332" i="18"/>
  <c r="AC332" i="18"/>
  <c r="D328" i="17"/>
  <c r="E328" i="17" s="1"/>
  <c r="D333" i="15"/>
  <c r="E333" i="15" s="1"/>
  <c r="B42" i="7"/>
  <c r="X334" i="15"/>
  <c r="AB334" i="15"/>
  <c r="K334" i="15"/>
  <c r="AJ334" i="15"/>
  <c r="L334" i="15"/>
  <c r="D334" i="15" s="1"/>
  <c r="AK334" i="15"/>
  <c r="A335" i="15"/>
  <c r="O334" i="15"/>
  <c r="AC334" i="15"/>
  <c r="K335" i="1"/>
  <c r="AC335" i="1"/>
  <c r="O335" i="1"/>
  <c r="AK335" i="1"/>
  <c r="U335" i="1"/>
  <c r="AB335" i="1"/>
  <c r="A336" i="1"/>
  <c r="AJ335" i="1"/>
  <c r="L335" i="1"/>
  <c r="D335" i="1" s="1"/>
  <c r="X335" i="1"/>
  <c r="Q335" i="1"/>
  <c r="D30" i="7" l="1"/>
  <c r="V333" i="1"/>
  <c r="F333" i="1" s="1"/>
  <c r="AB335" i="15"/>
  <c r="L335" i="15"/>
  <c r="D335" i="15" s="1"/>
  <c r="A336" i="15"/>
  <c r="AJ335" i="15"/>
  <c r="K335" i="15"/>
  <c r="X335" i="15"/>
  <c r="AK335" i="15"/>
  <c r="O335" i="15"/>
  <c r="E335" i="15" s="1"/>
  <c r="AC335" i="15"/>
  <c r="D328" i="16"/>
  <c r="E328" i="16" s="1"/>
  <c r="S334" i="1"/>
  <c r="R334" i="1" s="1"/>
  <c r="P334" i="1" s="1"/>
  <c r="V334" i="1" s="1"/>
  <c r="F334" i="1" s="1"/>
  <c r="D329" i="17"/>
  <c r="E329" i="17" s="1"/>
  <c r="L330" i="17"/>
  <c r="K330" i="17"/>
  <c r="AJ330" i="17"/>
  <c r="A331" i="17"/>
  <c r="X330" i="17"/>
  <c r="AB330" i="17"/>
  <c r="AK330" i="17"/>
  <c r="O330" i="17"/>
  <c r="AC330" i="17"/>
  <c r="AB329" i="20"/>
  <c r="K329" i="20"/>
  <c r="A330" i="20"/>
  <c r="AK329" i="20"/>
  <c r="L329" i="20"/>
  <c r="X329" i="20"/>
  <c r="AJ329" i="20"/>
  <c r="AC329" i="20"/>
  <c r="O329" i="20"/>
  <c r="O336" i="1"/>
  <c r="AK336" i="1"/>
  <c r="Q336" i="1"/>
  <c r="AJ336" i="1"/>
  <c r="AB336" i="1"/>
  <c r="AC336" i="1"/>
  <c r="K336" i="1"/>
  <c r="L336" i="1"/>
  <c r="A337" i="1"/>
  <c r="X336" i="1"/>
  <c r="U336" i="1"/>
  <c r="T335" i="1"/>
  <c r="E335" i="1"/>
  <c r="E334" i="15"/>
  <c r="A78" i="7"/>
  <c r="K333" i="18"/>
  <c r="AB333" i="18"/>
  <c r="AK333" i="18"/>
  <c r="A334" i="18"/>
  <c r="L333" i="18"/>
  <c r="X333" i="18"/>
  <c r="AJ333" i="18"/>
  <c r="O333" i="18"/>
  <c r="C78" i="7" s="1"/>
  <c r="AC333" i="18"/>
  <c r="AB329" i="16"/>
  <c r="K329" i="16"/>
  <c r="L329" i="16"/>
  <c r="AK329" i="16"/>
  <c r="X329" i="16"/>
  <c r="A330" i="16"/>
  <c r="AJ329" i="16"/>
  <c r="AC329" i="16"/>
  <c r="O329" i="16"/>
  <c r="AB327" i="23"/>
  <c r="A328" i="23"/>
  <c r="K327" i="23"/>
  <c r="AK327" i="23"/>
  <c r="L327" i="23"/>
  <c r="X327" i="23"/>
  <c r="AJ327" i="23"/>
  <c r="AC327" i="23"/>
  <c r="O327" i="23"/>
  <c r="AB326" i="24"/>
  <c r="K326" i="24"/>
  <c r="AJ326" i="24"/>
  <c r="A327" i="24"/>
  <c r="L326" i="24"/>
  <c r="X326" i="24"/>
  <c r="AK326" i="24"/>
  <c r="AC326" i="24"/>
  <c r="O326" i="24"/>
  <c r="K325" i="25"/>
  <c r="L325" i="25"/>
  <c r="AJ325" i="25"/>
  <c r="A326" i="25"/>
  <c r="X325" i="25"/>
  <c r="AB325" i="25"/>
  <c r="AK325" i="25"/>
  <c r="AC325" i="25"/>
  <c r="O325" i="25"/>
  <c r="AB328" i="22"/>
  <c r="X328" i="22"/>
  <c r="L328" i="22"/>
  <c r="AK328" i="22"/>
  <c r="K328" i="22"/>
  <c r="A329" i="22"/>
  <c r="AJ328" i="22"/>
  <c r="AC328" i="22"/>
  <c r="O328" i="22"/>
  <c r="X329" i="22" l="1"/>
  <c r="K329" i="22"/>
  <c r="AJ329" i="22"/>
  <c r="AB329" i="22"/>
  <c r="A330" i="22"/>
  <c r="L329" i="22"/>
  <c r="AK329" i="22"/>
  <c r="AC329" i="22"/>
  <c r="O329" i="22"/>
  <c r="X326" i="25"/>
  <c r="K326" i="25"/>
  <c r="AB326" i="25"/>
  <c r="AK326" i="25"/>
  <c r="L326" i="25"/>
  <c r="A327" i="25"/>
  <c r="AJ326" i="25"/>
  <c r="AC326" i="25"/>
  <c r="O326" i="25"/>
  <c r="AB327" i="24"/>
  <c r="X327" i="24"/>
  <c r="L327" i="24"/>
  <c r="AK327" i="24"/>
  <c r="A328" i="24"/>
  <c r="K327" i="24"/>
  <c r="AJ327" i="24"/>
  <c r="AC327" i="24"/>
  <c r="O327" i="24"/>
  <c r="AB328" i="23"/>
  <c r="A329" i="23"/>
  <c r="AJ328" i="23"/>
  <c r="X328" i="23"/>
  <c r="K328" i="23"/>
  <c r="L328" i="23"/>
  <c r="AK328" i="23"/>
  <c r="AC328" i="23"/>
  <c r="O328" i="23"/>
  <c r="D329" i="16"/>
  <c r="E329" i="16" s="1"/>
  <c r="B78" i="7"/>
  <c r="S335" i="1"/>
  <c r="R335" i="1" s="1"/>
  <c r="P335" i="1" s="1"/>
  <c r="V335" i="1" s="1"/>
  <c r="F335" i="1" s="1"/>
  <c r="D336" i="1"/>
  <c r="L330" i="20"/>
  <c r="AB330" i="20"/>
  <c r="AJ330" i="20"/>
  <c r="K330" i="20"/>
  <c r="X330" i="20"/>
  <c r="A331" i="20"/>
  <c r="AK330" i="20"/>
  <c r="AC330" i="20"/>
  <c r="O330" i="20"/>
  <c r="K331" i="17"/>
  <c r="L331" i="17"/>
  <c r="D331" i="17" s="1"/>
  <c r="X331" i="17"/>
  <c r="AK331" i="17"/>
  <c r="AB331" i="17"/>
  <c r="A332" i="17"/>
  <c r="AJ331" i="17"/>
  <c r="O331" i="17"/>
  <c r="E331" i="17" s="1"/>
  <c r="AC331" i="17"/>
  <c r="L336" i="15"/>
  <c r="K336" i="15"/>
  <c r="AK336" i="15"/>
  <c r="AJ336" i="15"/>
  <c r="A337" i="15"/>
  <c r="AB336" i="15"/>
  <c r="X336" i="15"/>
  <c r="AC336" i="15"/>
  <c r="O336" i="15"/>
  <c r="K330" i="16"/>
  <c r="L330" i="16"/>
  <c r="X330" i="16"/>
  <c r="AK330" i="16"/>
  <c r="A331" i="16"/>
  <c r="AB330" i="16"/>
  <c r="AJ330" i="16"/>
  <c r="AC330" i="16"/>
  <c r="O330" i="16"/>
  <c r="X334" i="18"/>
  <c r="A335" i="18"/>
  <c r="K334" i="18"/>
  <c r="AK334" i="18"/>
  <c r="L334" i="18"/>
  <c r="AB334" i="18"/>
  <c r="AJ334" i="18"/>
  <c r="O334" i="18"/>
  <c r="AC334" i="18"/>
  <c r="T336" i="1"/>
  <c r="AK337" i="1"/>
  <c r="Q337" i="1"/>
  <c r="A338" i="1"/>
  <c r="AB337" i="1"/>
  <c r="AC337" i="1"/>
  <c r="AJ337" i="1"/>
  <c r="K337" i="1"/>
  <c r="L337" i="1"/>
  <c r="D337" i="1" s="1"/>
  <c r="O337" i="1"/>
  <c r="X337" i="1"/>
  <c r="U337" i="1"/>
  <c r="E336" i="1"/>
  <c r="D330" i="17"/>
  <c r="E330" i="17" s="1"/>
  <c r="G334" i="1"/>
  <c r="BW334" i="6" s="1"/>
  <c r="I334" i="1"/>
  <c r="AA334" i="1"/>
  <c r="Z334" i="1" s="1"/>
  <c r="Y334" i="1" s="1"/>
  <c r="G333" i="1"/>
  <c r="BW333" i="6" s="1"/>
  <c r="I333" i="1"/>
  <c r="AA333" i="1"/>
  <c r="Z333" i="1" s="1"/>
  <c r="Y333" i="1" s="1"/>
  <c r="E337" i="1" l="1"/>
  <c r="G335" i="1"/>
  <c r="BW335" i="6" s="1"/>
  <c r="I335" i="1"/>
  <c r="AA335" i="1"/>
  <c r="Z335" i="1" s="1"/>
  <c r="Y335" i="1" s="1"/>
  <c r="T337" i="1"/>
  <c r="L338" i="1"/>
  <c r="A339" i="1"/>
  <c r="K338" i="1"/>
  <c r="AC338" i="1"/>
  <c r="AB338" i="1"/>
  <c r="O338" i="1"/>
  <c r="AK338" i="1"/>
  <c r="X338" i="1"/>
  <c r="AJ338" i="1"/>
  <c r="Q338" i="1"/>
  <c r="U338" i="1"/>
  <c r="S336" i="1"/>
  <c r="R336" i="1" s="1"/>
  <c r="P336" i="1" s="1"/>
  <c r="V336" i="1" s="1"/>
  <c r="F336" i="1" s="1"/>
  <c r="L335" i="18"/>
  <c r="A336" i="18"/>
  <c r="AJ335" i="18"/>
  <c r="AB335" i="18"/>
  <c r="X335" i="18"/>
  <c r="K335" i="18"/>
  <c r="AK335" i="18"/>
  <c r="O335" i="18"/>
  <c r="AC335" i="18"/>
  <c r="L331" i="16"/>
  <c r="A332" i="16"/>
  <c r="K331" i="16"/>
  <c r="AK331" i="16"/>
  <c r="AB331" i="16"/>
  <c r="X331" i="16"/>
  <c r="AJ331" i="16"/>
  <c r="AC331" i="16"/>
  <c r="O331" i="16"/>
  <c r="L337" i="15"/>
  <c r="D337" i="15" s="1"/>
  <c r="X337" i="15"/>
  <c r="AB337" i="15"/>
  <c r="AJ337" i="15"/>
  <c r="AK337" i="15"/>
  <c r="K337" i="15"/>
  <c r="A338" i="15"/>
  <c r="AC337" i="15"/>
  <c r="O337" i="15"/>
  <c r="D336" i="15"/>
  <c r="E336" i="15" s="1"/>
  <c r="L332" i="17"/>
  <c r="K332" i="17"/>
  <c r="AJ332" i="17"/>
  <c r="A333" i="17"/>
  <c r="AB332" i="17"/>
  <c r="X332" i="17"/>
  <c r="AK332" i="17"/>
  <c r="O332" i="17"/>
  <c r="AC332" i="17"/>
  <c r="X331" i="20"/>
  <c r="K331" i="20"/>
  <c r="A332" i="20"/>
  <c r="AK331" i="20"/>
  <c r="AB331" i="20"/>
  <c r="L331" i="20"/>
  <c r="AJ331" i="20"/>
  <c r="AC331" i="20"/>
  <c r="O331" i="20"/>
  <c r="A330" i="23"/>
  <c r="K329" i="23"/>
  <c r="X329" i="23"/>
  <c r="AK329" i="23"/>
  <c r="AB329" i="23"/>
  <c r="L329" i="23"/>
  <c r="AJ329" i="23"/>
  <c r="AC329" i="23"/>
  <c r="O329" i="23"/>
  <c r="A329" i="24"/>
  <c r="L328" i="24"/>
  <c r="K328" i="24"/>
  <c r="AK328" i="24"/>
  <c r="AB328" i="24"/>
  <c r="X328" i="24"/>
  <c r="AJ328" i="24"/>
  <c r="AC328" i="24"/>
  <c r="O328" i="24"/>
  <c r="L327" i="25"/>
  <c r="A328" i="25"/>
  <c r="AJ327" i="25"/>
  <c r="AB327" i="25"/>
  <c r="K327" i="25"/>
  <c r="X327" i="25"/>
  <c r="AK327" i="25"/>
  <c r="AC327" i="25"/>
  <c r="O327" i="25"/>
  <c r="A331" i="22"/>
  <c r="L330" i="22"/>
  <c r="AJ330" i="22"/>
  <c r="K330" i="22"/>
  <c r="AB330" i="22"/>
  <c r="X330" i="22"/>
  <c r="AK330" i="22"/>
  <c r="AC330" i="22"/>
  <c r="O330" i="22"/>
  <c r="D330" i="16"/>
  <c r="E330" i="16" s="1"/>
  <c r="E337" i="15" l="1"/>
  <c r="G336" i="1"/>
  <c r="BW336" i="6" s="1"/>
  <c r="AA336" i="1"/>
  <c r="Z336" i="1" s="1"/>
  <c r="Y336" i="1" s="1"/>
  <c r="I336" i="1"/>
  <c r="X331" i="22"/>
  <c r="K331" i="22"/>
  <c r="AJ331" i="22"/>
  <c r="AB331" i="22"/>
  <c r="L331" i="22"/>
  <c r="A332" i="22"/>
  <c r="AK331" i="22"/>
  <c r="AC331" i="22"/>
  <c r="O331" i="22"/>
  <c r="K328" i="25"/>
  <c r="L328" i="25"/>
  <c r="AJ328" i="25"/>
  <c r="AB328" i="25"/>
  <c r="X328" i="25"/>
  <c r="A329" i="25"/>
  <c r="AK328" i="25"/>
  <c r="AC328" i="25"/>
  <c r="O328" i="25"/>
  <c r="AB329" i="24"/>
  <c r="X329" i="24"/>
  <c r="A330" i="24"/>
  <c r="AK329" i="24"/>
  <c r="K329" i="24"/>
  <c r="L329" i="24"/>
  <c r="AJ329" i="24"/>
  <c r="AC329" i="24"/>
  <c r="O329" i="24"/>
  <c r="AB330" i="23"/>
  <c r="X330" i="23"/>
  <c r="K330" i="23"/>
  <c r="AK330" i="23"/>
  <c r="L330" i="23"/>
  <c r="A331" i="23"/>
  <c r="AJ330" i="23"/>
  <c r="AC330" i="23"/>
  <c r="O330" i="23"/>
  <c r="AB332" i="20"/>
  <c r="K332" i="20"/>
  <c r="X332" i="20"/>
  <c r="AK332" i="20"/>
  <c r="A333" i="20"/>
  <c r="L332" i="20"/>
  <c r="AJ332" i="20"/>
  <c r="AC332" i="20"/>
  <c r="O332" i="20"/>
  <c r="X333" i="17"/>
  <c r="L333" i="17"/>
  <c r="K333" i="17"/>
  <c r="AJ333" i="17"/>
  <c r="A66" i="7"/>
  <c r="A334" i="17"/>
  <c r="AB333" i="17"/>
  <c r="AK333" i="17"/>
  <c r="O333" i="17"/>
  <c r="C66" i="7" s="1"/>
  <c r="AC333" i="17"/>
  <c r="K332" i="16"/>
  <c r="X332" i="16"/>
  <c r="AJ332" i="16"/>
  <c r="AB332" i="16"/>
  <c r="L332" i="16"/>
  <c r="A333" i="16"/>
  <c r="AK332" i="16"/>
  <c r="AC332" i="16"/>
  <c r="O332" i="16"/>
  <c r="T338" i="1"/>
  <c r="D338" i="1"/>
  <c r="S337" i="1"/>
  <c r="R337" i="1" s="1"/>
  <c r="P337" i="1" s="1"/>
  <c r="V337" i="1" s="1"/>
  <c r="F337" i="1" s="1"/>
  <c r="D332" i="17"/>
  <c r="E332" i="17" s="1"/>
  <c r="X338" i="15"/>
  <c r="AK338" i="15"/>
  <c r="K338" i="15"/>
  <c r="A339" i="15"/>
  <c r="AB338" i="15"/>
  <c r="L338" i="15"/>
  <c r="AJ338" i="15"/>
  <c r="AC338" i="15"/>
  <c r="O338" i="15"/>
  <c r="D331" i="16"/>
  <c r="E331" i="16" s="1"/>
  <c r="X336" i="18"/>
  <c r="A337" i="18"/>
  <c r="AB336" i="18"/>
  <c r="AK336" i="18"/>
  <c r="L336" i="18"/>
  <c r="K336" i="18"/>
  <c r="AJ336" i="18"/>
  <c r="O336" i="18"/>
  <c r="AC336" i="18"/>
  <c r="E338" i="1"/>
  <c r="X339" i="1"/>
  <c r="Q339" i="1"/>
  <c r="K339" i="1"/>
  <c r="A340" i="1"/>
  <c r="U339" i="1"/>
  <c r="L339" i="1"/>
  <c r="AJ339" i="1"/>
  <c r="O339" i="1"/>
  <c r="AK339" i="1"/>
  <c r="AB339" i="1"/>
  <c r="AC339" i="1"/>
  <c r="G337" i="1" l="1"/>
  <c r="BW337" i="6" s="1"/>
  <c r="I337" i="1"/>
  <c r="AA337" i="1"/>
  <c r="Z337" i="1" s="1"/>
  <c r="Y337" i="1" s="1"/>
  <c r="S338" i="1"/>
  <c r="R338" i="1" s="1"/>
  <c r="P338" i="1" s="1"/>
  <c r="V338" i="1" s="1"/>
  <c r="F338" i="1" s="1"/>
  <c r="A54" i="7"/>
  <c r="AB333" i="16"/>
  <c r="X333" i="16"/>
  <c r="AK333" i="16"/>
  <c r="L333" i="16"/>
  <c r="A334" i="16"/>
  <c r="K333" i="16"/>
  <c r="AJ333" i="16"/>
  <c r="AC333" i="16"/>
  <c r="O333" i="16"/>
  <c r="C54" i="7" s="1"/>
  <c r="L334" i="17"/>
  <c r="D334" i="17" s="1"/>
  <c r="K334" i="17"/>
  <c r="A335" i="17"/>
  <c r="AK334" i="17"/>
  <c r="AB334" i="17"/>
  <c r="X334" i="17"/>
  <c r="AJ334" i="17"/>
  <c r="O334" i="17"/>
  <c r="AC334" i="17"/>
  <c r="D333" i="17"/>
  <c r="E333" i="17" s="1"/>
  <c r="B66" i="7"/>
  <c r="X331" i="23"/>
  <c r="L331" i="23"/>
  <c r="AJ331" i="23"/>
  <c r="AB331" i="23"/>
  <c r="K331" i="23"/>
  <c r="A332" i="23"/>
  <c r="AK331" i="23"/>
  <c r="AC331" i="23"/>
  <c r="O331" i="23"/>
  <c r="X329" i="25"/>
  <c r="L329" i="25"/>
  <c r="AJ329" i="25"/>
  <c r="AB329" i="25"/>
  <c r="K329" i="25"/>
  <c r="A330" i="25"/>
  <c r="AK329" i="25"/>
  <c r="AC329" i="25"/>
  <c r="O329" i="25"/>
  <c r="AB332" i="22"/>
  <c r="A333" i="22"/>
  <c r="L332" i="22"/>
  <c r="AK332" i="22"/>
  <c r="X332" i="22"/>
  <c r="K332" i="22"/>
  <c r="AJ332" i="22"/>
  <c r="AC332" i="22"/>
  <c r="O332" i="22"/>
  <c r="T339" i="1"/>
  <c r="D339" i="1"/>
  <c r="E339" i="1" s="1"/>
  <c r="AC340" i="1"/>
  <c r="AB340" i="1"/>
  <c r="AJ340" i="1"/>
  <c r="X340" i="1"/>
  <c r="Q340" i="1"/>
  <c r="U340" i="1"/>
  <c r="L340" i="1"/>
  <c r="D340" i="1" s="1"/>
  <c r="O340" i="1"/>
  <c r="K340" i="1"/>
  <c r="A341" i="1"/>
  <c r="AK340" i="1"/>
  <c r="L337" i="18"/>
  <c r="A338" i="18"/>
  <c r="AB337" i="18"/>
  <c r="AK337" i="18"/>
  <c r="X337" i="18"/>
  <c r="K337" i="18"/>
  <c r="AJ337" i="18"/>
  <c r="O337" i="18"/>
  <c r="AC337" i="18"/>
  <c r="D338" i="15"/>
  <c r="E338" i="15" s="1"/>
  <c r="AK339" i="15"/>
  <c r="A340" i="15"/>
  <c r="L339" i="15"/>
  <c r="D339" i="15" s="1"/>
  <c r="AB339" i="15"/>
  <c r="X339" i="15"/>
  <c r="K339" i="15"/>
  <c r="AJ339" i="15"/>
  <c r="AC339" i="15"/>
  <c r="O339" i="15"/>
  <c r="E339" i="15" s="1"/>
  <c r="D332" i="16"/>
  <c r="E332" i="16" s="1"/>
  <c r="A334" i="20"/>
  <c r="AB333" i="20"/>
  <c r="X333" i="20"/>
  <c r="AK333" i="20"/>
  <c r="K333" i="20"/>
  <c r="AE30" i="7"/>
  <c r="L333" i="20"/>
  <c r="AJ333" i="20"/>
  <c r="AC333" i="20"/>
  <c r="O333" i="20"/>
  <c r="AG30" i="7" s="1"/>
  <c r="A331" i="24"/>
  <c r="X330" i="24"/>
  <c r="AJ330" i="24"/>
  <c r="K330" i="24"/>
  <c r="L330" i="24"/>
  <c r="AB330" i="24"/>
  <c r="AK330" i="24"/>
  <c r="AC330" i="24"/>
  <c r="O330" i="24"/>
  <c r="E334" i="17" l="1"/>
  <c r="E340" i="1"/>
  <c r="K331" i="24"/>
  <c r="L331" i="24"/>
  <c r="AB331" i="24"/>
  <c r="AK331" i="24"/>
  <c r="X331" i="24"/>
  <c r="A332" i="24"/>
  <c r="AJ331" i="24"/>
  <c r="AC331" i="24"/>
  <c r="O331" i="24"/>
  <c r="L340" i="15"/>
  <c r="AK340" i="15"/>
  <c r="AB340" i="15"/>
  <c r="AJ340" i="15"/>
  <c r="A341" i="15"/>
  <c r="X340" i="15"/>
  <c r="K340" i="15"/>
  <c r="AC340" i="15"/>
  <c r="O340" i="15"/>
  <c r="X338" i="18"/>
  <c r="K338" i="18"/>
  <c r="L338" i="18"/>
  <c r="AK338" i="18"/>
  <c r="AB338" i="18"/>
  <c r="A339" i="18"/>
  <c r="AJ338" i="18"/>
  <c r="AC338" i="18"/>
  <c r="O338" i="18"/>
  <c r="AK341" i="1"/>
  <c r="K341" i="1"/>
  <c r="Q341" i="1"/>
  <c r="AB341" i="1"/>
  <c r="L341" i="1"/>
  <c r="D341" i="1" s="1"/>
  <c r="U341" i="1"/>
  <c r="AC341" i="1"/>
  <c r="A342" i="1"/>
  <c r="X341" i="1"/>
  <c r="O341" i="1"/>
  <c r="AJ341" i="1"/>
  <c r="T340" i="1"/>
  <c r="AE42" i="7"/>
  <c r="A334" i="22"/>
  <c r="K333" i="22"/>
  <c r="AK333" i="22"/>
  <c r="AB333" i="22"/>
  <c r="L333" i="22"/>
  <c r="X333" i="22"/>
  <c r="AJ333" i="22"/>
  <c r="AC333" i="22"/>
  <c r="O333" i="22"/>
  <c r="AG42" i="7" s="1"/>
  <c r="K332" i="23"/>
  <c r="L332" i="23"/>
  <c r="AJ332" i="23"/>
  <c r="A333" i="23"/>
  <c r="AB332" i="23"/>
  <c r="X332" i="23"/>
  <c r="AK332" i="23"/>
  <c r="AC332" i="23"/>
  <c r="O332" i="23"/>
  <c r="K335" i="17"/>
  <c r="L335" i="17"/>
  <c r="D335" i="17" s="1"/>
  <c r="AJ335" i="17"/>
  <c r="AB335" i="17"/>
  <c r="A336" i="17"/>
  <c r="X335" i="17"/>
  <c r="AK335" i="17"/>
  <c r="O335" i="17"/>
  <c r="E335" i="17" s="1"/>
  <c r="AC335" i="17"/>
  <c r="B54" i="7"/>
  <c r="D333" i="16"/>
  <c r="E333" i="16" s="1"/>
  <c r="AF30" i="7"/>
  <c r="K334" i="20"/>
  <c r="A335" i="20"/>
  <c r="X334" i="20"/>
  <c r="AK334" i="20"/>
  <c r="L334" i="20"/>
  <c r="AB334" i="20"/>
  <c r="AJ334" i="20"/>
  <c r="AC334" i="20"/>
  <c r="O334" i="20"/>
  <c r="S339" i="1"/>
  <c r="R339" i="1" s="1"/>
  <c r="P339" i="1" s="1"/>
  <c r="V339" i="1" s="1"/>
  <c r="F339" i="1" s="1"/>
  <c r="AB330" i="25"/>
  <c r="K330" i="25"/>
  <c r="AJ330" i="25"/>
  <c r="A331" i="25"/>
  <c r="X330" i="25"/>
  <c r="L330" i="25"/>
  <c r="AK330" i="25"/>
  <c r="AC330" i="25"/>
  <c r="O330" i="25"/>
  <c r="A335" i="16"/>
  <c r="X334" i="16"/>
  <c r="K334" i="16"/>
  <c r="AK334" i="16"/>
  <c r="AB334" i="16"/>
  <c r="L334" i="16"/>
  <c r="AJ334" i="16"/>
  <c r="AC334" i="16"/>
  <c r="O334" i="16"/>
  <c r="AA338" i="1"/>
  <c r="Z338" i="1" s="1"/>
  <c r="Y338" i="1" s="1"/>
  <c r="G338" i="1"/>
  <c r="BW338" i="6" s="1"/>
  <c r="I338" i="1"/>
  <c r="AA339" i="1" l="1"/>
  <c r="Z339" i="1" s="1"/>
  <c r="Y339" i="1" s="1"/>
  <c r="G339" i="1"/>
  <c r="BW339" i="6" s="1"/>
  <c r="I339" i="1"/>
  <c r="D334" i="16"/>
  <c r="E334" i="16" s="1"/>
  <c r="K335" i="16"/>
  <c r="L335" i="16"/>
  <c r="AJ335" i="16"/>
  <c r="A336" i="16"/>
  <c r="AB335" i="16"/>
  <c r="X335" i="16"/>
  <c r="AK335" i="16"/>
  <c r="AC335" i="16"/>
  <c r="O335" i="16"/>
  <c r="AB335" i="20"/>
  <c r="L335" i="20"/>
  <c r="K335" i="20"/>
  <c r="AK335" i="20"/>
  <c r="A336" i="20"/>
  <c r="X335" i="20"/>
  <c r="AJ335" i="20"/>
  <c r="AC335" i="20"/>
  <c r="O335" i="20"/>
  <c r="A337" i="17"/>
  <c r="AB336" i="17"/>
  <c r="AJ336" i="17"/>
  <c r="K336" i="17"/>
  <c r="L336" i="17"/>
  <c r="D336" i="17" s="1"/>
  <c r="X336" i="17"/>
  <c r="AK336" i="17"/>
  <c r="O336" i="17"/>
  <c r="AC336" i="17"/>
  <c r="AE54" i="7"/>
  <c r="L333" i="23"/>
  <c r="AB333" i="23"/>
  <c r="AJ333" i="23"/>
  <c r="A334" i="23"/>
  <c r="X333" i="23"/>
  <c r="K333" i="23"/>
  <c r="AK333" i="23"/>
  <c r="AC333" i="23"/>
  <c r="O333" i="23"/>
  <c r="AG54" i="7" s="1"/>
  <c r="S340" i="1"/>
  <c r="R340" i="1" s="1"/>
  <c r="P340" i="1" s="1"/>
  <c r="E341" i="1"/>
  <c r="X342" i="1"/>
  <c r="AK342" i="1"/>
  <c r="O342" i="1"/>
  <c r="AJ342" i="1"/>
  <c r="AB342" i="1"/>
  <c r="L342" i="1"/>
  <c r="D342" i="1" s="1"/>
  <c r="A343" i="1"/>
  <c r="Q342" i="1"/>
  <c r="AC342" i="1"/>
  <c r="K342" i="1"/>
  <c r="U342" i="1"/>
  <c r="T341" i="1"/>
  <c r="A342" i="15"/>
  <c r="AK341" i="15"/>
  <c r="K341" i="15"/>
  <c r="AJ341" i="15"/>
  <c r="L341" i="15"/>
  <c r="AB341" i="15"/>
  <c r="X341" i="15"/>
  <c r="O341" i="15"/>
  <c r="AC341" i="15"/>
  <c r="D340" i="15"/>
  <c r="E340" i="15" s="1"/>
  <c r="X331" i="25"/>
  <c r="A332" i="25"/>
  <c r="L331" i="25"/>
  <c r="AK331" i="25"/>
  <c r="AB331" i="25"/>
  <c r="K331" i="25"/>
  <c r="AJ331" i="25"/>
  <c r="AC331" i="25"/>
  <c r="O331" i="25"/>
  <c r="AF42" i="7"/>
  <c r="L334" i="22"/>
  <c r="AB334" i="22"/>
  <c r="AJ334" i="22"/>
  <c r="K334" i="22"/>
  <c r="X334" i="22"/>
  <c r="A335" i="22"/>
  <c r="AK334" i="22"/>
  <c r="AC334" i="22"/>
  <c r="O334" i="22"/>
  <c r="AB339" i="18"/>
  <c r="X339" i="18"/>
  <c r="A340" i="18"/>
  <c r="AK339" i="18"/>
  <c r="K339" i="18"/>
  <c r="L339" i="18"/>
  <c r="AJ339" i="18"/>
  <c r="O339" i="18"/>
  <c r="AC339" i="18"/>
  <c r="X332" i="24"/>
  <c r="A333" i="24"/>
  <c r="AJ332" i="24"/>
  <c r="AB332" i="24"/>
  <c r="K332" i="24"/>
  <c r="L332" i="24"/>
  <c r="AK332" i="24"/>
  <c r="AC332" i="24"/>
  <c r="O332" i="24"/>
  <c r="E336" i="17" l="1"/>
  <c r="V340" i="1"/>
  <c r="F340" i="1" s="1"/>
  <c r="D341" i="15"/>
  <c r="AB342" i="15"/>
  <c r="A343" i="15"/>
  <c r="AJ342" i="15"/>
  <c r="L342" i="15"/>
  <c r="D342" i="15" s="1"/>
  <c r="K342" i="15"/>
  <c r="X342" i="15"/>
  <c r="AK342" i="15"/>
  <c r="AC342" i="15"/>
  <c r="O342" i="15"/>
  <c r="X334" i="23"/>
  <c r="L334" i="23"/>
  <c r="K334" i="23"/>
  <c r="AK334" i="23"/>
  <c r="AB334" i="23"/>
  <c r="A335" i="23"/>
  <c r="AJ334" i="23"/>
  <c r="AC334" i="23"/>
  <c r="O334" i="23"/>
  <c r="AB336" i="16"/>
  <c r="X336" i="16"/>
  <c r="AJ336" i="16"/>
  <c r="L336" i="16"/>
  <c r="A337" i="16"/>
  <c r="K336" i="16"/>
  <c r="AK336" i="16"/>
  <c r="AC336" i="16"/>
  <c r="O336" i="16"/>
  <c r="D335" i="16"/>
  <c r="E335" i="16" s="1"/>
  <c r="AB333" i="24"/>
  <c r="A334" i="24"/>
  <c r="AE66" i="7"/>
  <c r="AJ333" i="24"/>
  <c r="X333" i="24"/>
  <c r="K333" i="24"/>
  <c r="L333" i="24"/>
  <c r="AK333" i="24"/>
  <c r="AC333" i="24"/>
  <c r="O333" i="24"/>
  <c r="AG66" i="7" s="1"/>
  <c r="X340" i="18"/>
  <c r="L340" i="18"/>
  <c r="AJ340" i="18"/>
  <c r="K340" i="18"/>
  <c r="A341" i="18"/>
  <c r="AB340" i="18"/>
  <c r="AK340" i="18"/>
  <c r="O340" i="18"/>
  <c r="AC340" i="18"/>
  <c r="AB335" i="22"/>
  <c r="L335" i="22"/>
  <c r="AJ335" i="22"/>
  <c r="A336" i="22"/>
  <c r="K335" i="22"/>
  <c r="X335" i="22"/>
  <c r="AK335" i="22"/>
  <c r="AC335" i="22"/>
  <c r="O335" i="22"/>
  <c r="X332" i="25"/>
  <c r="AB332" i="25"/>
  <c r="AJ332" i="25"/>
  <c r="A333" i="25"/>
  <c r="L332" i="25"/>
  <c r="K332" i="25"/>
  <c r="AK332" i="25"/>
  <c r="AC332" i="25"/>
  <c r="O332" i="25"/>
  <c r="E341" i="15"/>
  <c r="S341" i="1"/>
  <c r="R341" i="1" s="1"/>
  <c r="P341" i="1" s="1"/>
  <c r="V341" i="1" s="1"/>
  <c r="T342" i="1"/>
  <c r="L343" i="1"/>
  <c r="D343" i="1" s="1"/>
  <c r="X343" i="1"/>
  <c r="AC343" i="1"/>
  <c r="AB343" i="1"/>
  <c r="AK343" i="1"/>
  <c r="Q343" i="1"/>
  <c r="O343" i="1"/>
  <c r="K343" i="1"/>
  <c r="AJ343" i="1"/>
  <c r="A344" i="1"/>
  <c r="U343" i="1"/>
  <c r="E342" i="1"/>
  <c r="AF54" i="7"/>
  <c r="AB337" i="17"/>
  <c r="K337" i="17"/>
  <c r="AJ337" i="17"/>
  <c r="A338" i="17"/>
  <c r="L337" i="17"/>
  <c r="X337" i="17"/>
  <c r="AK337" i="17"/>
  <c r="O337" i="17"/>
  <c r="AC337" i="17"/>
  <c r="A337" i="20"/>
  <c r="AB336" i="20"/>
  <c r="L336" i="20"/>
  <c r="AK336" i="20"/>
  <c r="K336" i="20"/>
  <c r="X336" i="20"/>
  <c r="AJ336" i="20"/>
  <c r="AC336" i="20"/>
  <c r="O336" i="20"/>
  <c r="E342" i="15" l="1"/>
  <c r="E343" i="1"/>
  <c r="AB338" i="17"/>
  <c r="L338" i="17"/>
  <c r="D338" i="17" s="1"/>
  <c r="K338" i="17"/>
  <c r="AK338" i="17"/>
  <c r="A339" i="17"/>
  <c r="X338" i="17"/>
  <c r="AJ338" i="17"/>
  <c r="O338" i="17"/>
  <c r="E338" i="17" s="1"/>
  <c r="AC338" i="17"/>
  <c r="AB344" i="1"/>
  <c r="AK344" i="1"/>
  <c r="O344" i="1"/>
  <c r="K344" i="1"/>
  <c r="Q344" i="1"/>
  <c r="AJ344" i="1"/>
  <c r="X344" i="1"/>
  <c r="A345" i="1"/>
  <c r="AC344" i="1"/>
  <c r="L344" i="1"/>
  <c r="D344" i="1" s="1"/>
  <c r="U344" i="1"/>
  <c r="AB333" i="25"/>
  <c r="X333" i="25"/>
  <c r="K333" i="25"/>
  <c r="AJ333" i="25"/>
  <c r="AE78" i="7"/>
  <c r="L333" i="25"/>
  <c r="A334" i="25"/>
  <c r="AK333" i="25"/>
  <c r="AC333" i="25"/>
  <c r="O333" i="25"/>
  <c r="AG78" i="7" s="1"/>
  <c r="A335" i="24"/>
  <c r="L334" i="24"/>
  <c r="AJ334" i="24"/>
  <c r="X334" i="24"/>
  <c r="AB334" i="24"/>
  <c r="K334" i="24"/>
  <c r="AK334" i="24"/>
  <c r="AC334" i="24"/>
  <c r="O334" i="24"/>
  <c r="L337" i="16"/>
  <c r="K337" i="16"/>
  <c r="AB337" i="16"/>
  <c r="AK337" i="16"/>
  <c r="X337" i="16"/>
  <c r="A338" i="16"/>
  <c r="AJ337" i="16"/>
  <c r="AC337" i="16"/>
  <c r="O337" i="16"/>
  <c r="AB335" i="23"/>
  <c r="L335" i="23"/>
  <c r="AJ335" i="23"/>
  <c r="K335" i="23"/>
  <c r="A336" i="23"/>
  <c r="X335" i="23"/>
  <c r="AK335" i="23"/>
  <c r="AC335" i="23"/>
  <c r="O335" i="23"/>
  <c r="F341" i="1"/>
  <c r="X343" i="15"/>
  <c r="A344" i="15"/>
  <c r="AB343" i="15"/>
  <c r="K343" i="15"/>
  <c r="L343" i="15"/>
  <c r="D343" i="15" s="1"/>
  <c r="AK343" i="15"/>
  <c r="AJ343" i="15"/>
  <c r="AC343" i="15"/>
  <c r="O343" i="15"/>
  <c r="E343" i="15" s="1"/>
  <c r="G340" i="1"/>
  <c r="BW340" i="6" s="1"/>
  <c r="AA340" i="1"/>
  <c r="Z340" i="1" s="1"/>
  <c r="Y340" i="1" s="1"/>
  <c r="I340" i="1"/>
  <c r="X337" i="20"/>
  <c r="AB337" i="20"/>
  <c r="K337" i="20"/>
  <c r="AK337" i="20"/>
  <c r="A338" i="20"/>
  <c r="L337" i="20"/>
  <c r="AJ337" i="20"/>
  <c r="AC337" i="20"/>
  <c r="O337" i="20"/>
  <c r="D337" i="17"/>
  <c r="E337" i="17" s="1"/>
  <c r="T343" i="1"/>
  <c r="S342" i="1"/>
  <c r="R342" i="1" s="1"/>
  <c r="P342" i="1" s="1"/>
  <c r="V342" i="1" s="1"/>
  <c r="F342" i="1" s="1"/>
  <c r="X336" i="22"/>
  <c r="L336" i="22"/>
  <c r="A337" i="22"/>
  <c r="AK336" i="22"/>
  <c r="K336" i="22"/>
  <c r="AB336" i="22"/>
  <c r="AJ336" i="22"/>
  <c r="AC336" i="22"/>
  <c r="O336" i="22"/>
  <c r="L341" i="18"/>
  <c r="X341" i="18"/>
  <c r="AJ341" i="18"/>
  <c r="AB341" i="18"/>
  <c r="A342" i="18"/>
  <c r="K341" i="18"/>
  <c r="AK341" i="18"/>
  <c r="AC341" i="18"/>
  <c r="O341" i="18"/>
  <c r="AF66" i="7"/>
  <c r="D336" i="16"/>
  <c r="E336" i="16" s="1"/>
  <c r="E344" i="1" l="1"/>
  <c r="G342" i="1"/>
  <c r="BW342" i="6" s="1"/>
  <c r="AA342" i="1"/>
  <c r="Z342" i="1" s="1"/>
  <c r="Y342" i="1" s="1"/>
  <c r="I342" i="1"/>
  <c r="L342" i="18"/>
  <c r="AB342" i="18"/>
  <c r="A343" i="18"/>
  <c r="AK342" i="18"/>
  <c r="X342" i="18"/>
  <c r="K342" i="18"/>
  <c r="AJ342" i="18"/>
  <c r="O342" i="18"/>
  <c r="AC342" i="18"/>
  <c r="X337" i="22"/>
  <c r="L337" i="22"/>
  <c r="A338" i="22"/>
  <c r="AK337" i="22"/>
  <c r="AB337" i="22"/>
  <c r="K337" i="22"/>
  <c r="AJ337" i="22"/>
  <c r="AC337" i="22"/>
  <c r="O337" i="22"/>
  <c r="X338" i="20"/>
  <c r="A339" i="20"/>
  <c r="AB338" i="20"/>
  <c r="AK338" i="20"/>
  <c r="K338" i="20"/>
  <c r="L338" i="20"/>
  <c r="AJ338" i="20"/>
  <c r="AC338" i="20"/>
  <c r="O338" i="20"/>
  <c r="A345" i="15"/>
  <c r="L344" i="15"/>
  <c r="D344" i="15" s="1"/>
  <c r="AB344" i="15"/>
  <c r="K344" i="15"/>
  <c r="X344" i="15"/>
  <c r="AK344" i="15"/>
  <c r="AJ344" i="15"/>
  <c r="AC344" i="15"/>
  <c r="O344" i="15"/>
  <c r="AA341" i="1"/>
  <c r="Z341" i="1" s="1"/>
  <c r="Y341" i="1" s="1"/>
  <c r="I341" i="1"/>
  <c r="G341" i="1"/>
  <c r="BW341" i="6" s="1"/>
  <c r="D337" i="16"/>
  <c r="E337" i="16" s="1"/>
  <c r="AB335" i="24"/>
  <c r="L335" i="24"/>
  <c r="AJ335" i="24"/>
  <c r="K335" i="24"/>
  <c r="X335" i="24"/>
  <c r="A336" i="24"/>
  <c r="AK335" i="24"/>
  <c r="AC335" i="24"/>
  <c r="O335" i="24"/>
  <c r="L334" i="25"/>
  <c r="A335" i="25"/>
  <c r="AJ334" i="25"/>
  <c r="X334" i="25"/>
  <c r="AB334" i="25"/>
  <c r="K334" i="25"/>
  <c r="AK334" i="25"/>
  <c r="AC334" i="25"/>
  <c r="O334" i="25"/>
  <c r="Q345" i="1"/>
  <c r="AC345" i="1"/>
  <c r="L345" i="1"/>
  <c r="D345" i="1" s="1"/>
  <c r="AK345" i="1"/>
  <c r="X345" i="1"/>
  <c r="K345" i="1"/>
  <c r="AB345" i="1"/>
  <c r="AJ345" i="1"/>
  <c r="O345" i="1"/>
  <c r="A346" i="1"/>
  <c r="U345" i="1"/>
  <c r="AB339" i="17"/>
  <c r="A340" i="17"/>
  <c r="AJ339" i="17"/>
  <c r="K339" i="17"/>
  <c r="L339" i="17"/>
  <c r="X339" i="17"/>
  <c r="AK339" i="17"/>
  <c r="O339" i="17"/>
  <c r="AC339" i="17"/>
  <c r="S343" i="1"/>
  <c r="R343" i="1" s="1"/>
  <c r="P343" i="1" s="1"/>
  <c r="V343" i="1" s="1"/>
  <c r="F343" i="1" s="1"/>
  <c r="AB336" i="23"/>
  <c r="X336" i="23"/>
  <c r="AJ336" i="23"/>
  <c r="A337" i="23"/>
  <c r="K336" i="23"/>
  <c r="L336" i="23"/>
  <c r="AK336" i="23"/>
  <c r="AC336" i="23"/>
  <c r="O336" i="23"/>
  <c r="K338" i="16"/>
  <c r="AB338" i="16"/>
  <c r="AJ338" i="16"/>
  <c r="X338" i="16"/>
  <c r="L338" i="16"/>
  <c r="A339" i="16"/>
  <c r="AK338" i="16"/>
  <c r="AC338" i="16"/>
  <c r="O338" i="16"/>
  <c r="AF78" i="7"/>
  <c r="T344" i="1"/>
  <c r="G343" i="1" l="1"/>
  <c r="BW343" i="6" s="1"/>
  <c r="I343" i="1"/>
  <c r="AA343" i="1"/>
  <c r="Z343" i="1" s="1"/>
  <c r="Y343" i="1" s="1"/>
  <c r="D339" i="17"/>
  <c r="E339" i="17" s="1"/>
  <c r="T345" i="1"/>
  <c r="E345" i="1"/>
  <c r="L335" i="25"/>
  <c r="X335" i="25"/>
  <c r="AJ335" i="25"/>
  <c r="K335" i="25"/>
  <c r="A336" i="25"/>
  <c r="AB335" i="25"/>
  <c r="AK335" i="25"/>
  <c r="AC335" i="25"/>
  <c r="O335" i="25"/>
  <c r="A340" i="20"/>
  <c r="L339" i="20"/>
  <c r="AJ339" i="20"/>
  <c r="X339" i="20"/>
  <c r="K339" i="20"/>
  <c r="AB339" i="20"/>
  <c r="AK339" i="20"/>
  <c r="AC339" i="20"/>
  <c r="O339" i="20"/>
  <c r="D338" i="16"/>
  <c r="E338" i="16" s="1"/>
  <c r="K337" i="23"/>
  <c r="X337" i="23"/>
  <c r="A338" i="23"/>
  <c r="AK337" i="23"/>
  <c r="AB337" i="23"/>
  <c r="L337" i="23"/>
  <c r="AJ337" i="23"/>
  <c r="AC337" i="23"/>
  <c r="O337" i="23"/>
  <c r="S344" i="1"/>
  <c r="R344" i="1" s="1"/>
  <c r="P344" i="1" s="1"/>
  <c r="V344" i="1" s="1"/>
  <c r="F344" i="1" s="1"/>
  <c r="K339" i="16"/>
  <c r="X339" i="16"/>
  <c r="AJ339" i="16"/>
  <c r="A340" i="16"/>
  <c r="L339" i="16"/>
  <c r="AB339" i="16"/>
  <c r="AK339" i="16"/>
  <c r="AC339" i="16"/>
  <c r="O339" i="16"/>
  <c r="X340" i="17"/>
  <c r="A341" i="17"/>
  <c r="AJ340" i="17"/>
  <c r="AB340" i="17"/>
  <c r="L340" i="17"/>
  <c r="D340" i="17" s="1"/>
  <c r="K340" i="17"/>
  <c r="AK340" i="17"/>
  <c r="O340" i="17"/>
  <c r="AC340" i="17"/>
  <c r="Q346" i="1"/>
  <c r="K346" i="1"/>
  <c r="AB346" i="1"/>
  <c r="O346" i="1"/>
  <c r="U346" i="1"/>
  <c r="AJ346" i="1"/>
  <c r="AK346" i="1"/>
  <c r="X346" i="1"/>
  <c r="AC346" i="1"/>
  <c r="L346" i="1"/>
  <c r="D346" i="1" s="1"/>
  <c r="A347" i="1"/>
  <c r="K336" i="24"/>
  <c r="AB336" i="24"/>
  <c r="AJ336" i="24"/>
  <c r="X336" i="24"/>
  <c r="A337" i="24"/>
  <c r="L336" i="24"/>
  <c r="AK336" i="24"/>
  <c r="AC336" i="24"/>
  <c r="O336" i="24"/>
  <c r="E344" i="15"/>
  <c r="AB345" i="15"/>
  <c r="K345" i="15"/>
  <c r="AK345" i="15"/>
  <c r="A346" i="15"/>
  <c r="L345" i="15"/>
  <c r="X345" i="15"/>
  <c r="AJ345" i="15"/>
  <c r="AC345" i="15"/>
  <c r="O345" i="15"/>
  <c r="AB338" i="22"/>
  <c r="K338" i="22"/>
  <c r="A339" i="22"/>
  <c r="AK338" i="22"/>
  <c r="L338" i="22"/>
  <c r="X338" i="22"/>
  <c r="AJ338" i="22"/>
  <c r="AC338" i="22"/>
  <c r="O338" i="22"/>
  <c r="K343" i="18"/>
  <c r="L343" i="18"/>
  <c r="AJ343" i="18"/>
  <c r="A344" i="18"/>
  <c r="AB343" i="18"/>
  <c r="X343" i="18"/>
  <c r="AK343" i="18"/>
  <c r="AC343" i="18"/>
  <c r="O343" i="18"/>
  <c r="E340" i="17" l="1"/>
  <c r="G344" i="1"/>
  <c r="BW344" i="6" s="1"/>
  <c r="I344" i="1"/>
  <c r="AA344" i="1"/>
  <c r="Z344" i="1" s="1"/>
  <c r="Y344" i="1" s="1"/>
  <c r="AB344" i="18"/>
  <c r="K344" i="18"/>
  <c r="A345" i="18"/>
  <c r="AK344" i="18"/>
  <c r="X344" i="18"/>
  <c r="L344" i="18"/>
  <c r="AJ344" i="18"/>
  <c r="O344" i="18"/>
  <c r="AC344" i="18"/>
  <c r="X339" i="22"/>
  <c r="A340" i="22"/>
  <c r="K339" i="22"/>
  <c r="AK339" i="22"/>
  <c r="AB339" i="22"/>
  <c r="L339" i="22"/>
  <c r="AJ339" i="22"/>
  <c r="AC339" i="22"/>
  <c r="O339" i="22"/>
  <c r="A347" i="15"/>
  <c r="AB346" i="15"/>
  <c r="K346" i="15"/>
  <c r="AK346" i="15"/>
  <c r="L346" i="15"/>
  <c r="D346" i="15" s="1"/>
  <c r="X346" i="15"/>
  <c r="AJ346" i="15"/>
  <c r="O346" i="15"/>
  <c r="AC346" i="15"/>
  <c r="AB337" i="24"/>
  <c r="A338" i="24"/>
  <c r="AJ337" i="24"/>
  <c r="X337" i="24"/>
  <c r="K337" i="24"/>
  <c r="L337" i="24"/>
  <c r="AK337" i="24"/>
  <c r="AC337" i="24"/>
  <c r="O337" i="24"/>
  <c r="X347" i="1"/>
  <c r="K347" i="1"/>
  <c r="AB347" i="1"/>
  <c r="Q347" i="1"/>
  <c r="AK347" i="1"/>
  <c r="U347" i="1"/>
  <c r="A348" i="1"/>
  <c r="O347" i="1"/>
  <c r="L347" i="1"/>
  <c r="D347" i="1" s="1"/>
  <c r="AC347" i="1"/>
  <c r="AJ347" i="1"/>
  <c r="T346" i="1"/>
  <c r="A342" i="17"/>
  <c r="X341" i="17"/>
  <c r="K341" i="17"/>
  <c r="AK341" i="17"/>
  <c r="L341" i="17"/>
  <c r="D341" i="17" s="1"/>
  <c r="AB341" i="17"/>
  <c r="AJ341" i="17"/>
  <c r="O341" i="17"/>
  <c r="AC341" i="17"/>
  <c r="D339" i="16"/>
  <c r="E339" i="16" s="1"/>
  <c r="S345" i="1"/>
  <c r="R345" i="1" s="1"/>
  <c r="P345" i="1" s="1"/>
  <c r="V345" i="1" s="1"/>
  <c r="F345" i="1" s="1"/>
  <c r="D345" i="15"/>
  <c r="E345" i="15" s="1"/>
  <c r="E346" i="1"/>
  <c r="L340" i="16"/>
  <c r="AB340" i="16"/>
  <c r="AJ340" i="16"/>
  <c r="A341" i="16"/>
  <c r="K340" i="16"/>
  <c r="X340" i="16"/>
  <c r="AK340" i="16"/>
  <c r="AC340" i="16"/>
  <c r="O340" i="16"/>
  <c r="AB338" i="23"/>
  <c r="L338" i="23"/>
  <c r="AJ338" i="23"/>
  <c r="A339" i="23"/>
  <c r="K338" i="23"/>
  <c r="X338" i="23"/>
  <c r="AK338" i="23"/>
  <c r="AC338" i="23"/>
  <c r="O338" i="23"/>
  <c r="L340" i="20"/>
  <c r="X340" i="20"/>
  <c r="AJ340" i="20"/>
  <c r="K340" i="20"/>
  <c r="A341" i="20"/>
  <c r="AB340" i="20"/>
  <c r="AK340" i="20"/>
  <c r="AC340" i="20"/>
  <c r="O340" i="20"/>
  <c r="A337" i="25"/>
  <c r="L336" i="25"/>
  <c r="K336" i="25"/>
  <c r="AK336" i="25"/>
  <c r="AB336" i="25"/>
  <c r="X336" i="25"/>
  <c r="AJ336" i="25"/>
  <c r="AC336" i="25"/>
  <c r="O336" i="25"/>
  <c r="E341" i="17" l="1"/>
  <c r="E347" i="1"/>
  <c r="K337" i="25"/>
  <c r="AB337" i="25"/>
  <c r="X337" i="25"/>
  <c r="AK337" i="25"/>
  <c r="L337" i="25"/>
  <c r="A338" i="25"/>
  <c r="AJ337" i="25"/>
  <c r="AC337" i="25"/>
  <c r="O337" i="25"/>
  <c r="K341" i="20"/>
  <c r="L341" i="20"/>
  <c r="A342" i="20"/>
  <c r="AK341" i="20"/>
  <c r="AB341" i="20"/>
  <c r="X341" i="20"/>
  <c r="AJ341" i="20"/>
  <c r="AC341" i="20"/>
  <c r="O341" i="20"/>
  <c r="K339" i="23"/>
  <c r="AB339" i="23"/>
  <c r="A340" i="23"/>
  <c r="AK339" i="23"/>
  <c r="L339" i="23"/>
  <c r="X339" i="23"/>
  <c r="AJ339" i="23"/>
  <c r="AC339" i="23"/>
  <c r="O339" i="23"/>
  <c r="AB341" i="16"/>
  <c r="X341" i="16"/>
  <c r="AJ341" i="16"/>
  <c r="K341" i="16"/>
  <c r="L341" i="16"/>
  <c r="A342" i="16"/>
  <c r="AK341" i="16"/>
  <c r="AC341" i="16"/>
  <c r="O341" i="16"/>
  <c r="K342" i="17"/>
  <c r="L342" i="17"/>
  <c r="D342" i="17" s="1"/>
  <c r="AB342" i="17"/>
  <c r="AK342" i="17"/>
  <c r="A343" i="17"/>
  <c r="X342" i="17"/>
  <c r="AJ342" i="17"/>
  <c r="O342" i="17"/>
  <c r="E342" i="17" s="1"/>
  <c r="AC342" i="17"/>
  <c r="AB348" i="1"/>
  <c r="AJ348" i="1"/>
  <c r="O348" i="1"/>
  <c r="X348" i="1"/>
  <c r="L348" i="1"/>
  <c r="D348" i="1" s="1"/>
  <c r="E348" i="1" s="1"/>
  <c r="A349" i="1"/>
  <c r="Q348" i="1"/>
  <c r="K348" i="1"/>
  <c r="AK348" i="1"/>
  <c r="AC348" i="1"/>
  <c r="U348" i="1"/>
  <c r="AB338" i="24"/>
  <c r="X338" i="24"/>
  <c r="AJ338" i="24"/>
  <c r="K338" i="24"/>
  <c r="A339" i="24"/>
  <c r="L338" i="24"/>
  <c r="AK338" i="24"/>
  <c r="AC338" i="24"/>
  <c r="O338" i="24"/>
  <c r="E346" i="15"/>
  <c r="L345" i="18"/>
  <c r="K345" i="18"/>
  <c r="AJ345" i="18"/>
  <c r="A346" i="18"/>
  <c r="X345" i="18"/>
  <c r="AB345" i="18"/>
  <c r="AK345" i="18"/>
  <c r="O345" i="18"/>
  <c r="AC345" i="18"/>
  <c r="D340" i="16"/>
  <c r="E340" i="16" s="1"/>
  <c r="I345" i="1"/>
  <c r="AA345" i="1"/>
  <c r="Z345" i="1" s="1"/>
  <c r="Y345" i="1" s="1"/>
  <c r="G345" i="1"/>
  <c r="BW345" i="6" s="1"/>
  <c r="S346" i="1"/>
  <c r="R346" i="1" s="1"/>
  <c r="P346" i="1" s="1"/>
  <c r="V346" i="1" s="1"/>
  <c r="F346" i="1" s="1"/>
  <c r="T347" i="1"/>
  <c r="L347" i="15"/>
  <c r="D347" i="15" s="1"/>
  <c r="AK347" i="15"/>
  <c r="X347" i="15"/>
  <c r="K347" i="15"/>
  <c r="AB347" i="15"/>
  <c r="A348" i="15"/>
  <c r="AJ347" i="15"/>
  <c r="AC347" i="15"/>
  <c r="O347" i="15"/>
  <c r="AB340" i="22"/>
  <c r="A341" i="22"/>
  <c r="L340" i="22"/>
  <c r="AK340" i="22"/>
  <c r="X340" i="22"/>
  <c r="K340" i="22"/>
  <c r="AJ340" i="22"/>
  <c r="AC340" i="22"/>
  <c r="O340" i="22"/>
  <c r="E347" i="15" l="1"/>
  <c r="A342" i="22"/>
  <c r="AB341" i="22"/>
  <c r="X341" i="22"/>
  <c r="AK341" i="22"/>
  <c r="L341" i="22"/>
  <c r="K341" i="22"/>
  <c r="AJ341" i="22"/>
  <c r="AC341" i="22"/>
  <c r="O341" i="22"/>
  <c r="I346" i="1"/>
  <c r="G346" i="1"/>
  <c r="BW346" i="6" s="1"/>
  <c r="AA346" i="1"/>
  <c r="Z346" i="1" s="1"/>
  <c r="Y346" i="1" s="1"/>
  <c r="T348" i="1"/>
  <c r="D341" i="16"/>
  <c r="E341" i="16" s="1"/>
  <c r="X342" i="20"/>
  <c r="L342" i="20"/>
  <c r="AJ342" i="20"/>
  <c r="A343" i="20"/>
  <c r="AB342" i="20"/>
  <c r="K342" i="20"/>
  <c r="AK342" i="20"/>
  <c r="AC342" i="20"/>
  <c r="O342" i="20"/>
  <c r="A349" i="15"/>
  <c r="K348" i="15"/>
  <c r="L348" i="15"/>
  <c r="AB348" i="15"/>
  <c r="AK348" i="15"/>
  <c r="X348" i="15"/>
  <c r="AJ348" i="15"/>
  <c r="AC348" i="15"/>
  <c r="O348" i="15"/>
  <c r="S347" i="1"/>
  <c r="R347" i="1" s="1"/>
  <c r="P347" i="1" s="1"/>
  <c r="V347" i="1" s="1"/>
  <c r="F347" i="1" s="1"/>
  <c r="X346" i="18"/>
  <c r="L346" i="18"/>
  <c r="K346" i="18"/>
  <c r="AK346" i="18"/>
  <c r="A347" i="18"/>
  <c r="AB346" i="18"/>
  <c r="AJ346" i="18"/>
  <c r="AC346" i="18"/>
  <c r="O346" i="18"/>
  <c r="K339" i="24"/>
  <c r="X339" i="24"/>
  <c r="A340" i="24"/>
  <c r="AK339" i="24"/>
  <c r="L339" i="24"/>
  <c r="AB339" i="24"/>
  <c r="AJ339" i="24"/>
  <c r="AC339" i="24"/>
  <c r="O339" i="24"/>
  <c r="AC349" i="1"/>
  <c r="Q349" i="1"/>
  <c r="A350" i="1"/>
  <c r="AK349" i="1"/>
  <c r="X349" i="1"/>
  <c r="O349" i="1"/>
  <c r="AB349" i="1"/>
  <c r="AJ349" i="1"/>
  <c r="K349" i="1"/>
  <c r="L349" i="1"/>
  <c r="D349" i="1" s="1"/>
  <c r="U349" i="1"/>
  <c r="AB343" i="17"/>
  <c r="A344" i="17"/>
  <c r="AJ343" i="17"/>
  <c r="L343" i="17"/>
  <c r="K343" i="17"/>
  <c r="X343" i="17"/>
  <c r="AK343" i="17"/>
  <c r="O343" i="17"/>
  <c r="AC343" i="17"/>
  <c r="L342" i="16"/>
  <c r="AB342" i="16"/>
  <c r="AJ342" i="16"/>
  <c r="K342" i="16"/>
  <c r="A343" i="16"/>
  <c r="X342" i="16"/>
  <c r="AK342" i="16"/>
  <c r="AC342" i="16"/>
  <c r="O342" i="16"/>
  <c r="X340" i="23"/>
  <c r="A341" i="23"/>
  <c r="AB340" i="23"/>
  <c r="AK340" i="23"/>
  <c r="L340" i="23"/>
  <c r="K340" i="23"/>
  <c r="AJ340" i="23"/>
  <c r="AC340" i="23"/>
  <c r="O340" i="23"/>
  <c r="X338" i="25"/>
  <c r="A339" i="25"/>
  <c r="AJ338" i="25"/>
  <c r="K338" i="25"/>
  <c r="L338" i="25"/>
  <c r="AB338" i="25"/>
  <c r="AK338" i="25"/>
  <c r="AC338" i="25"/>
  <c r="O338" i="25"/>
  <c r="E349" i="1" l="1"/>
  <c r="X339" i="25"/>
  <c r="AB339" i="25"/>
  <c r="L339" i="25"/>
  <c r="AK339" i="25"/>
  <c r="A340" i="25"/>
  <c r="K339" i="25"/>
  <c r="AJ339" i="25"/>
  <c r="AC339" i="25"/>
  <c r="O339" i="25"/>
  <c r="A344" i="16"/>
  <c r="L343" i="16"/>
  <c r="AJ343" i="16"/>
  <c r="K343" i="16"/>
  <c r="AB343" i="16"/>
  <c r="X343" i="16"/>
  <c r="AK343" i="16"/>
  <c r="AC343" i="16"/>
  <c r="O343" i="16"/>
  <c r="D342" i="16"/>
  <c r="E342" i="16" s="1"/>
  <c r="D343" i="17"/>
  <c r="E343" i="17" s="1"/>
  <c r="AB344" i="17"/>
  <c r="A345" i="17"/>
  <c r="X344" i="17"/>
  <c r="AK344" i="17"/>
  <c r="L344" i="17"/>
  <c r="D344" i="17" s="1"/>
  <c r="K344" i="17"/>
  <c r="AJ344" i="17"/>
  <c r="O344" i="17"/>
  <c r="AC344" i="17"/>
  <c r="T349" i="1"/>
  <c r="X350" i="1"/>
  <c r="AJ350" i="1"/>
  <c r="AK350" i="1"/>
  <c r="K350" i="1"/>
  <c r="Q350" i="1"/>
  <c r="L350" i="1"/>
  <c r="D350" i="1" s="1"/>
  <c r="A351" i="1"/>
  <c r="O350" i="1"/>
  <c r="AC350" i="1"/>
  <c r="AB350" i="1"/>
  <c r="U350" i="1"/>
  <c r="S348" i="1"/>
  <c r="R348" i="1" s="1"/>
  <c r="P348" i="1" s="1"/>
  <c r="V348" i="1" s="1"/>
  <c r="L341" i="23"/>
  <c r="K341" i="23"/>
  <c r="AJ341" i="23"/>
  <c r="X341" i="23"/>
  <c r="AB341" i="23"/>
  <c r="A342" i="23"/>
  <c r="AK341" i="23"/>
  <c r="AC341" i="23"/>
  <c r="O341" i="23"/>
  <c r="X340" i="24"/>
  <c r="A341" i="24"/>
  <c r="AJ340" i="24"/>
  <c r="K340" i="24"/>
  <c r="AB340" i="24"/>
  <c r="L340" i="24"/>
  <c r="AK340" i="24"/>
  <c r="AC340" i="24"/>
  <c r="O340" i="24"/>
  <c r="K347" i="18"/>
  <c r="X347" i="18"/>
  <c r="A348" i="18"/>
  <c r="AK347" i="18"/>
  <c r="L347" i="18"/>
  <c r="AB347" i="18"/>
  <c r="AJ347" i="18"/>
  <c r="O347" i="18"/>
  <c r="AC347" i="18"/>
  <c r="G347" i="1"/>
  <c r="BW347" i="6" s="1"/>
  <c r="I347" i="1"/>
  <c r="AA347" i="1"/>
  <c r="Z347" i="1" s="1"/>
  <c r="Y347" i="1" s="1"/>
  <c r="D348" i="15"/>
  <c r="E348" i="15" s="1"/>
  <c r="L349" i="15"/>
  <c r="D349" i="15" s="1"/>
  <c r="A350" i="15"/>
  <c r="AB349" i="15"/>
  <c r="AJ349" i="15"/>
  <c r="X349" i="15"/>
  <c r="AK349" i="15"/>
  <c r="K349" i="15"/>
  <c r="AC349" i="15"/>
  <c r="O349" i="15"/>
  <c r="AB343" i="20"/>
  <c r="L343" i="20"/>
  <c r="AJ343" i="20"/>
  <c r="X343" i="20"/>
  <c r="A344" i="20"/>
  <c r="K343" i="20"/>
  <c r="AK343" i="20"/>
  <c r="AC343" i="20"/>
  <c r="O343" i="20"/>
  <c r="L342" i="22"/>
  <c r="A343" i="22"/>
  <c r="AJ342" i="22"/>
  <c r="K342" i="22"/>
  <c r="X342" i="22"/>
  <c r="AB342" i="22"/>
  <c r="AK342" i="22"/>
  <c r="AC342" i="22"/>
  <c r="O342" i="22"/>
  <c r="E349" i="15" l="1"/>
  <c r="E344" i="17"/>
  <c r="F348" i="1"/>
  <c r="L61" i="19"/>
  <c r="A344" i="22"/>
  <c r="K343" i="22"/>
  <c r="AJ343" i="22"/>
  <c r="X343" i="22"/>
  <c r="L343" i="22"/>
  <c r="AB343" i="22"/>
  <c r="AK343" i="22"/>
  <c r="AC343" i="22"/>
  <c r="O343" i="22"/>
  <c r="A345" i="20"/>
  <c r="AB344" i="20"/>
  <c r="X344" i="20"/>
  <c r="AK344" i="20"/>
  <c r="K344" i="20"/>
  <c r="L344" i="20"/>
  <c r="AJ344" i="20"/>
  <c r="AC344" i="20"/>
  <c r="O344" i="20"/>
  <c r="AK350" i="15"/>
  <c r="L350" i="15"/>
  <c r="D350" i="15" s="1"/>
  <c r="K350" i="15"/>
  <c r="AJ350" i="15"/>
  <c r="X350" i="15"/>
  <c r="A351" i="15"/>
  <c r="AB350" i="15"/>
  <c r="AC350" i="15"/>
  <c r="O350" i="15"/>
  <c r="K348" i="18"/>
  <c r="A349" i="18"/>
  <c r="X348" i="18"/>
  <c r="AK348" i="18"/>
  <c r="L348" i="18"/>
  <c r="AB348" i="18"/>
  <c r="AJ348" i="18"/>
  <c r="O348" i="18"/>
  <c r="AC348" i="18"/>
  <c r="A343" i="23"/>
  <c r="X342" i="23"/>
  <c r="AB342" i="23"/>
  <c r="AK342" i="23"/>
  <c r="K342" i="23"/>
  <c r="L342" i="23"/>
  <c r="AJ342" i="23"/>
  <c r="AC342" i="23"/>
  <c r="O342" i="23"/>
  <c r="T350" i="1"/>
  <c r="O351" i="1"/>
  <c r="A352" i="1"/>
  <c r="Q351" i="1"/>
  <c r="AC351" i="1"/>
  <c r="U351" i="1"/>
  <c r="AK351" i="1"/>
  <c r="L351" i="1"/>
  <c r="D351" i="1" s="1"/>
  <c r="E351" i="1" s="1"/>
  <c r="AJ351" i="1"/>
  <c r="K351" i="1"/>
  <c r="X351" i="1"/>
  <c r="AB351" i="1"/>
  <c r="S349" i="1"/>
  <c r="R349" i="1" s="1"/>
  <c r="P349" i="1" s="1"/>
  <c r="K345" i="17"/>
  <c r="A346" i="17"/>
  <c r="AJ345" i="17"/>
  <c r="L345" i="17"/>
  <c r="D345" i="17" s="1"/>
  <c r="AB345" i="17"/>
  <c r="X345" i="17"/>
  <c r="AK345" i="17"/>
  <c r="O345" i="17"/>
  <c r="E345" i="17" s="1"/>
  <c r="AC345" i="17"/>
  <c r="D343" i="16"/>
  <c r="E343" i="16" s="1"/>
  <c r="X341" i="24"/>
  <c r="A342" i="24"/>
  <c r="K341" i="24"/>
  <c r="AK341" i="24"/>
  <c r="L341" i="24"/>
  <c r="AB341" i="24"/>
  <c r="AJ341" i="24"/>
  <c r="AC341" i="24"/>
  <c r="O341" i="24"/>
  <c r="E350" i="1"/>
  <c r="L344" i="16"/>
  <c r="A345" i="16"/>
  <c r="X344" i="16"/>
  <c r="AK344" i="16"/>
  <c r="K344" i="16"/>
  <c r="AB344" i="16"/>
  <c r="AJ344" i="16"/>
  <c r="AC344" i="16"/>
  <c r="O344" i="16"/>
  <c r="AB340" i="25"/>
  <c r="X340" i="25"/>
  <c r="AJ340" i="25"/>
  <c r="K340" i="25"/>
  <c r="L340" i="25"/>
  <c r="A341" i="25"/>
  <c r="AK340" i="25"/>
  <c r="AC340" i="25"/>
  <c r="O340" i="25"/>
  <c r="AB341" i="25" l="1"/>
  <c r="A342" i="25"/>
  <c r="AJ341" i="25"/>
  <c r="X341" i="25"/>
  <c r="K341" i="25"/>
  <c r="L341" i="25"/>
  <c r="AK341" i="25"/>
  <c r="AC341" i="25"/>
  <c r="O341" i="25"/>
  <c r="A346" i="16"/>
  <c r="L345" i="16"/>
  <c r="AB345" i="16"/>
  <c r="AK345" i="16"/>
  <c r="K345" i="16"/>
  <c r="X345" i="16"/>
  <c r="AJ345" i="16"/>
  <c r="AC345" i="16"/>
  <c r="O345" i="16"/>
  <c r="V349" i="1"/>
  <c r="T351" i="1"/>
  <c r="S350" i="1"/>
  <c r="R350" i="1" s="1"/>
  <c r="P350" i="1" s="1"/>
  <c r="V350" i="1" s="1"/>
  <c r="F350" i="1" s="1"/>
  <c r="K349" i="18"/>
  <c r="L349" i="18"/>
  <c r="AJ349" i="18"/>
  <c r="A350" i="18"/>
  <c r="AB349" i="18"/>
  <c r="X349" i="18"/>
  <c r="AK349" i="18"/>
  <c r="O349" i="18"/>
  <c r="AC349" i="18"/>
  <c r="A352" i="15"/>
  <c r="X351" i="15"/>
  <c r="AK351" i="15"/>
  <c r="AB351" i="15"/>
  <c r="K351" i="15"/>
  <c r="L351" i="15"/>
  <c r="D351" i="15" s="1"/>
  <c r="AJ351" i="15"/>
  <c r="AC351" i="15"/>
  <c r="O351" i="15"/>
  <c r="AB345" i="20"/>
  <c r="L345" i="20"/>
  <c r="AJ345" i="20"/>
  <c r="X345" i="20"/>
  <c r="A346" i="20"/>
  <c r="K345" i="20"/>
  <c r="AK345" i="20"/>
  <c r="AC345" i="20"/>
  <c r="O345" i="20"/>
  <c r="D344" i="16"/>
  <c r="E344" i="16" s="1"/>
  <c r="X342" i="24"/>
  <c r="L342" i="24"/>
  <c r="AJ342" i="24"/>
  <c r="AB342" i="24"/>
  <c r="K342" i="24"/>
  <c r="A343" i="24"/>
  <c r="AK342" i="24"/>
  <c r="AC342" i="24"/>
  <c r="O342" i="24"/>
  <c r="L346" i="17"/>
  <c r="X346" i="17"/>
  <c r="K346" i="17"/>
  <c r="AK346" i="17"/>
  <c r="AB346" i="17"/>
  <c r="A347" i="17"/>
  <c r="AJ346" i="17"/>
  <c r="O346" i="17"/>
  <c r="AC346" i="17"/>
  <c r="O352" i="1"/>
  <c r="L352" i="1"/>
  <c r="AB352" i="1"/>
  <c r="A353" i="1"/>
  <c r="X352" i="1"/>
  <c r="K352" i="1"/>
  <c r="AC352" i="1"/>
  <c r="AK352" i="1"/>
  <c r="AJ352" i="1"/>
  <c r="Q352" i="1"/>
  <c r="U352" i="1"/>
  <c r="X343" i="23"/>
  <c r="A344" i="23"/>
  <c r="K343" i="23"/>
  <c r="AK343" i="23"/>
  <c r="L343" i="23"/>
  <c r="AB343" i="23"/>
  <c r="AJ343" i="23"/>
  <c r="AC343" i="23"/>
  <c r="O343" i="23"/>
  <c r="E350" i="15"/>
  <c r="X344" i="22"/>
  <c r="K344" i="22"/>
  <c r="L344" i="22"/>
  <c r="AK344" i="22"/>
  <c r="A345" i="22"/>
  <c r="AB344" i="22"/>
  <c r="AJ344" i="22"/>
  <c r="AC344" i="22"/>
  <c r="O344" i="22"/>
  <c r="G348" i="1"/>
  <c r="BW348" i="6" s="1"/>
  <c r="AA348" i="1"/>
  <c r="Z348" i="1" s="1"/>
  <c r="Y348" i="1" s="1"/>
  <c r="I348" i="1"/>
  <c r="E351" i="15" l="1"/>
  <c r="I350" i="1"/>
  <c r="AA350" i="1"/>
  <c r="Z350" i="1" s="1"/>
  <c r="Y350" i="1" s="1"/>
  <c r="G350" i="1"/>
  <c r="BW350" i="6" s="1"/>
  <c r="AB345" i="22"/>
  <c r="X345" i="22"/>
  <c r="K345" i="22"/>
  <c r="AK345" i="22"/>
  <c r="A346" i="22"/>
  <c r="L345" i="22"/>
  <c r="AJ345" i="22"/>
  <c r="AC345" i="22"/>
  <c r="O345" i="22"/>
  <c r="X347" i="17"/>
  <c r="K347" i="17"/>
  <c r="AJ347" i="17"/>
  <c r="L347" i="17"/>
  <c r="D347" i="17" s="1"/>
  <c r="A348" i="17"/>
  <c r="AB347" i="17"/>
  <c r="AK347" i="17"/>
  <c r="O347" i="17"/>
  <c r="E347" i="17" s="1"/>
  <c r="AC347" i="17"/>
  <c r="X352" i="15"/>
  <c r="L352" i="15"/>
  <c r="D352" i="15" s="1"/>
  <c r="K352" i="15"/>
  <c r="AJ352" i="15"/>
  <c r="AK352" i="15"/>
  <c r="AB352" i="15"/>
  <c r="A353" i="15"/>
  <c r="AC352" i="15"/>
  <c r="O352" i="15"/>
  <c r="D345" i="16"/>
  <c r="E345" i="16" s="1"/>
  <c r="K344" i="23"/>
  <c r="X344" i="23"/>
  <c r="L344" i="23"/>
  <c r="AK344" i="23"/>
  <c r="A345" i="23"/>
  <c r="AB344" i="23"/>
  <c r="AJ344" i="23"/>
  <c r="AC344" i="23"/>
  <c r="O344" i="23"/>
  <c r="AJ353" i="1"/>
  <c r="K353" i="1"/>
  <c r="AK353" i="1"/>
  <c r="L353" i="1"/>
  <c r="D353" i="1" s="1"/>
  <c r="O353" i="1"/>
  <c r="U353" i="1"/>
  <c r="A354" i="1"/>
  <c r="AC353" i="1"/>
  <c r="Q353" i="1"/>
  <c r="AB353" i="1"/>
  <c r="X353" i="1"/>
  <c r="D352" i="1"/>
  <c r="E352" i="1" s="1"/>
  <c r="D346" i="17"/>
  <c r="E346" i="17" s="1"/>
  <c r="F349" i="1"/>
  <c r="L346" i="16"/>
  <c r="AB346" i="16"/>
  <c r="AJ346" i="16"/>
  <c r="K346" i="16"/>
  <c r="A347" i="16"/>
  <c r="X346" i="16"/>
  <c r="AK346" i="16"/>
  <c r="AC346" i="16"/>
  <c r="O346" i="16"/>
  <c r="AB342" i="25"/>
  <c r="X342" i="25"/>
  <c r="AJ342" i="25"/>
  <c r="A343" i="25"/>
  <c r="K342" i="25"/>
  <c r="L342" i="25"/>
  <c r="AK342" i="25"/>
  <c r="AC342" i="25"/>
  <c r="O342" i="25"/>
  <c r="T352" i="1"/>
  <c r="L343" i="24"/>
  <c r="X343" i="24"/>
  <c r="AJ343" i="24"/>
  <c r="K343" i="24"/>
  <c r="A344" i="24"/>
  <c r="AB343" i="24"/>
  <c r="AK343" i="24"/>
  <c r="AC343" i="24"/>
  <c r="O343" i="24"/>
  <c r="A347" i="20"/>
  <c r="L346" i="20"/>
  <c r="AJ346" i="20"/>
  <c r="X346" i="20"/>
  <c r="AB346" i="20"/>
  <c r="K346" i="20"/>
  <c r="AK346" i="20"/>
  <c r="AC346" i="20"/>
  <c r="O346" i="20"/>
  <c r="K350" i="18"/>
  <c r="L350" i="18"/>
  <c r="AB350" i="18"/>
  <c r="AK350" i="18"/>
  <c r="A351" i="18"/>
  <c r="X350" i="18"/>
  <c r="AJ350" i="18"/>
  <c r="AC350" i="18"/>
  <c r="O350" i="18"/>
  <c r="S351" i="1"/>
  <c r="R351" i="1" s="1"/>
  <c r="P351" i="1" s="1"/>
  <c r="V351" i="1" s="1"/>
  <c r="F351" i="1" s="1"/>
  <c r="E353" i="1" l="1"/>
  <c r="G351" i="1"/>
  <c r="BW351" i="6" s="1"/>
  <c r="I351" i="1"/>
  <c r="AA351" i="1"/>
  <c r="Z351" i="1" s="1"/>
  <c r="Y351" i="1" s="1"/>
  <c r="L347" i="20"/>
  <c r="K347" i="20"/>
  <c r="AJ347" i="20"/>
  <c r="AB347" i="20"/>
  <c r="A348" i="20"/>
  <c r="X347" i="20"/>
  <c r="AK347" i="20"/>
  <c r="AC347" i="20"/>
  <c r="O347" i="20"/>
  <c r="K344" i="24"/>
  <c r="AB344" i="24"/>
  <c r="A345" i="24"/>
  <c r="AK344" i="24"/>
  <c r="X344" i="24"/>
  <c r="L344" i="24"/>
  <c r="AJ344" i="24"/>
  <c r="AC344" i="24"/>
  <c r="O344" i="24"/>
  <c r="S352" i="1"/>
  <c r="R352" i="1" s="1"/>
  <c r="P352" i="1" s="1"/>
  <c r="V352" i="1" s="1"/>
  <c r="A344" i="25"/>
  <c r="L343" i="25"/>
  <c r="AJ343" i="25"/>
  <c r="AB343" i="25"/>
  <c r="K343" i="25"/>
  <c r="X343" i="25"/>
  <c r="AK343" i="25"/>
  <c r="AC343" i="25"/>
  <c r="O343" i="25"/>
  <c r="AB347" i="16"/>
  <c r="A348" i="16"/>
  <c r="AJ347" i="16"/>
  <c r="X347" i="16"/>
  <c r="K347" i="16"/>
  <c r="L347" i="16"/>
  <c r="AK347" i="16"/>
  <c r="AC347" i="16"/>
  <c r="O347" i="16"/>
  <c r="D346" i="16"/>
  <c r="E346" i="16" s="1"/>
  <c r="T353" i="1"/>
  <c r="AB345" i="23"/>
  <c r="K345" i="23"/>
  <c r="A346" i="23"/>
  <c r="AK345" i="23"/>
  <c r="L345" i="23"/>
  <c r="X345" i="23"/>
  <c r="AJ345" i="23"/>
  <c r="AC345" i="23"/>
  <c r="O345" i="23"/>
  <c r="AB348" i="17"/>
  <c r="X348" i="17"/>
  <c r="L348" i="17"/>
  <c r="D348" i="17" s="1"/>
  <c r="AK348" i="17"/>
  <c r="K348" i="17"/>
  <c r="A349" i="17"/>
  <c r="AJ348" i="17"/>
  <c r="O348" i="17"/>
  <c r="AC348" i="17"/>
  <c r="AB351" i="18"/>
  <c r="A352" i="18"/>
  <c r="AJ351" i="18"/>
  <c r="K351" i="18"/>
  <c r="X351" i="18"/>
  <c r="L351" i="18"/>
  <c r="AK351" i="18"/>
  <c r="O351" i="18"/>
  <c r="AC351" i="18"/>
  <c r="I349" i="1"/>
  <c r="G349" i="1"/>
  <c r="BW349" i="6" s="1"/>
  <c r="AA349" i="1"/>
  <c r="Z349" i="1" s="1"/>
  <c r="Y349" i="1" s="1"/>
  <c r="AB354" i="1"/>
  <c r="AK354" i="1"/>
  <c r="L354" i="1"/>
  <c r="AC354" i="1"/>
  <c r="K354" i="1"/>
  <c r="U354" i="1"/>
  <c r="A355" i="1"/>
  <c r="Q354" i="1"/>
  <c r="O354" i="1"/>
  <c r="X354" i="1"/>
  <c r="AJ354" i="1"/>
  <c r="E352" i="15"/>
  <c r="L353" i="15"/>
  <c r="D353" i="15" s="1"/>
  <c r="A354" i="15"/>
  <c r="X353" i="15"/>
  <c r="AJ353" i="15"/>
  <c r="AB353" i="15"/>
  <c r="K353" i="15"/>
  <c r="AK353" i="15"/>
  <c r="AC353" i="15"/>
  <c r="O353" i="15"/>
  <c r="X346" i="22"/>
  <c r="A347" i="22"/>
  <c r="AJ346" i="22"/>
  <c r="AB346" i="22"/>
  <c r="K346" i="22"/>
  <c r="L346" i="22"/>
  <c r="AK346" i="22"/>
  <c r="AC346" i="22"/>
  <c r="O346" i="22"/>
  <c r="E353" i="15" l="1"/>
  <c r="E348" i="17"/>
  <c r="F352" i="1"/>
  <c r="L354" i="15"/>
  <c r="D354" i="15" s="1"/>
  <c r="X354" i="15"/>
  <c r="K354" i="15"/>
  <c r="AB354" i="15"/>
  <c r="AK354" i="15"/>
  <c r="A355" i="15"/>
  <c r="AJ354" i="15"/>
  <c r="AC354" i="15"/>
  <c r="O354" i="15"/>
  <c r="E354" i="15" s="1"/>
  <c r="AB355" i="1"/>
  <c r="K355" i="1"/>
  <c r="O355" i="1"/>
  <c r="X355" i="1"/>
  <c r="A356" i="1"/>
  <c r="U355" i="1"/>
  <c r="L355" i="1"/>
  <c r="AK355" i="1"/>
  <c r="AC355" i="1"/>
  <c r="Q355" i="1"/>
  <c r="AJ355" i="1"/>
  <c r="D354" i="1"/>
  <c r="E354" i="1" s="1"/>
  <c r="K352" i="18"/>
  <c r="A353" i="18"/>
  <c r="X352" i="18"/>
  <c r="L352" i="18"/>
  <c r="AJ352" i="18"/>
  <c r="AB352" i="18"/>
  <c r="AK352" i="18"/>
  <c r="O352" i="18"/>
  <c r="AC352" i="18"/>
  <c r="X349" i="17"/>
  <c r="K349" i="17"/>
  <c r="L349" i="17"/>
  <c r="D349" i="17" s="1"/>
  <c r="AK349" i="17"/>
  <c r="A350" i="17"/>
  <c r="AB349" i="17"/>
  <c r="AJ349" i="17"/>
  <c r="O349" i="17"/>
  <c r="AC349" i="17"/>
  <c r="S353" i="1"/>
  <c r="R353" i="1" s="1"/>
  <c r="P353" i="1" s="1"/>
  <c r="V353" i="1" s="1"/>
  <c r="F353" i="1" s="1"/>
  <c r="D347" i="16"/>
  <c r="L348" i="16"/>
  <c r="A349" i="16"/>
  <c r="K348" i="16"/>
  <c r="AK348" i="16"/>
  <c r="AB348" i="16"/>
  <c r="X348" i="16"/>
  <c r="AJ348" i="16"/>
  <c r="AC348" i="16"/>
  <c r="O348" i="16"/>
  <c r="A345" i="25"/>
  <c r="AB344" i="25"/>
  <c r="L344" i="25"/>
  <c r="AK344" i="25"/>
  <c r="K344" i="25"/>
  <c r="X344" i="25"/>
  <c r="AJ344" i="25"/>
  <c r="AC344" i="25"/>
  <c r="O344" i="25"/>
  <c r="X347" i="22"/>
  <c r="K347" i="22"/>
  <c r="AB347" i="22"/>
  <c r="AK347" i="22"/>
  <c r="L347" i="22"/>
  <c r="A348" i="22"/>
  <c r="AJ347" i="22"/>
  <c r="AC347" i="22"/>
  <c r="O347" i="22"/>
  <c r="T354" i="1"/>
  <c r="K346" i="23"/>
  <c r="AB346" i="23"/>
  <c r="AJ346" i="23"/>
  <c r="X346" i="23"/>
  <c r="L346" i="23"/>
  <c r="A347" i="23"/>
  <c r="AK346" i="23"/>
  <c r="AC346" i="23"/>
  <c r="O346" i="23"/>
  <c r="E347" i="16"/>
  <c r="K345" i="24"/>
  <c r="L345" i="24"/>
  <c r="AJ345" i="24"/>
  <c r="A346" i="24"/>
  <c r="AB345" i="24"/>
  <c r="X345" i="24"/>
  <c r="AK345" i="24"/>
  <c r="AC345" i="24"/>
  <c r="O345" i="24"/>
  <c r="AB348" i="20"/>
  <c r="K348" i="20"/>
  <c r="X348" i="20"/>
  <c r="AK348" i="20"/>
  <c r="A349" i="20"/>
  <c r="L348" i="20"/>
  <c r="AJ348" i="20"/>
  <c r="AC348" i="20"/>
  <c r="O348" i="20"/>
  <c r="L346" i="24" l="1"/>
  <c r="X346" i="24"/>
  <c r="AJ346" i="24"/>
  <c r="K346" i="24"/>
  <c r="AB346" i="24"/>
  <c r="A347" i="24"/>
  <c r="AK346" i="24"/>
  <c r="AC346" i="24"/>
  <c r="O346" i="24"/>
  <c r="S354" i="1"/>
  <c r="R354" i="1" s="1"/>
  <c r="P354" i="1" s="1"/>
  <c r="V354" i="1" s="1"/>
  <c r="F354" i="1" s="1"/>
  <c r="A346" i="25"/>
  <c r="AB345" i="25"/>
  <c r="X345" i="25"/>
  <c r="AK345" i="25"/>
  <c r="K345" i="25"/>
  <c r="L345" i="25"/>
  <c r="AJ345" i="25"/>
  <c r="AC345" i="25"/>
  <c r="O345" i="25"/>
  <c r="D348" i="16"/>
  <c r="E348" i="16" s="1"/>
  <c r="I353" i="1"/>
  <c r="AA353" i="1"/>
  <c r="Z353" i="1" s="1"/>
  <c r="Y353" i="1" s="1"/>
  <c r="G353" i="1"/>
  <c r="BW353" i="6" s="1"/>
  <c r="A351" i="17"/>
  <c r="K350" i="17"/>
  <c r="AJ350" i="17"/>
  <c r="AB350" i="17"/>
  <c r="L350" i="17"/>
  <c r="D350" i="17" s="1"/>
  <c r="X350" i="17"/>
  <c r="AK350" i="17"/>
  <c r="O350" i="17"/>
  <c r="AC350" i="17"/>
  <c r="D355" i="1"/>
  <c r="E355" i="1" s="1"/>
  <c r="AK356" i="1"/>
  <c r="L356" i="1"/>
  <c r="D356" i="1" s="1"/>
  <c r="K356" i="1"/>
  <c r="AB356" i="1"/>
  <c r="AJ356" i="1"/>
  <c r="U356" i="1"/>
  <c r="A357" i="1"/>
  <c r="Q356" i="1"/>
  <c r="O356" i="1"/>
  <c r="AC356" i="1"/>
  <c r="X356" i="1"/>
  <c r="AB349" i="20"/>
  <c r="K349" i="20"/>
  <c r="A350" i="20"/>
  <c r="AK349" i="20"/>
  <c r="L349" i="20"/>
  <c r="X349" i="20"/>
  <c r="AJ349" i="20"/>
  <c r="AC349" i="20"/>
  <c r="O349" i="20"/>
  <c r="X347" i="23"/>
  <c r="AB347" i="23"/>
  <c r="AJ347" i="23"/>
  <c r="K347" i="23"/>
  <c r="A348" i="23"/>
  <c r="L347" i="23"/>
  <c r="AK347" i="23"/>
  <c r="AC347" i="23"/>
  <c r="O347" i="23"/>
  <c r="A349" i="22"/>
  <c r="X348" i="22"/>
  <c r="K348" i="22"/>
  <c r="AK348" i="22"/>
  <c r="AB348" i="22"/>
  <c r="L348" i="22"/>
  <c r="AJ348" i="22"/>
  <c r="AC348" i="22"/>
  <c r="O348" i="22"/>
  <c r="A350" i="16"/>
  <c r="AB349" i="16"/>
  <c r="L349" i="16"/>
  <c r="AK349" i="16"/>
  <c r="X349" i="16"/>
  <c r="K349" i="16"/>
  <c r="AJ349" i="16"/>
  <c r="AC349" i="16"/>
  <c r="O349" i="16"/>
  <c r="E349" i="17"/>
  <c r="AB353" i="18"/>
  <c r="K353" i="18"/>
  <c r="AJ353" i="18"/>
  <c r="A354" i="18"/>
  <c r="L353" i="18"/>
  <c r="X353" i="18"/>
  <c r="AK353" i="18"/>
  <c r="O353" i="18"/>
  <c r="AC353" i="18"/>
  <c r="T355" i="1"/>
  <c r="AB355" i="15"/>
  <c r="K355" i="15"/>
  <c r="A356" i="15"/>
  <c r="AJ355" i="15"/>
  <c r="X355" i="15"/>
  <c r="AK355" i="15"/>
  <c r="L355" i="15"/>
  <c r="D355" i="15" s="1"/>
  <c r="AC355" i="15"/>
  <c r="O355" i="15"/>
  <c r="G352" i="1"/>
  <c r="BW352" i="6" s="1"/>
  <c r="AA352" i="1"/>
  <c r="Z352" i="1" s="1"/>
  <c r="Y352" i="1" s="1"/>
  <c r="I352" i="1"/>
  <c r="E355" i="15" l="1"/>
  <c r="E356" i="1"/>
  <c r="X356" i="15"/>
  <c r="A357" i="15"/>
  <c r="L356" i="15"/>
  <c r="D356" i="15" s="1"/>
  <c r="AJ356" i="15"/>
  <c r="AB356" i="15"/>
  <c r="AK356" i="15"/>
  <c r="K356" i="15"/>
  <c r="O356" i="15"/>
  <c r="AC356" i="15"/>
  <c r="S355" i="1"/>
  <c r="R355" i="1" s="1"/>
  <c r="P355" i="1" s="1"/>
  <c r="V355" i="1" s="1"/>
  <c r="F355" i="1" s="1"/>
  <c r="D349" i="16"/>
  <c r="E349" i="16" s="1"/>
  <c r="A351" i="16"/>
  <c r="AB350" i="16"/>
  <c r="AJ350" i="16"/>
  <c r="L350" i="16"/>
  <c r="K350" i="16"/>
  <c r="X350" i="16"/>
  <c r="AK350" i="16"/>
  <c r="AC350" i="16"/>
  <c r="O350" i="16"/>
  <c r="L348" i="23"/>
  <c r="A349" i="23"/>
  <c r="AJ348" i="23"/>
  <c r="K348" i="23"/>
  <c r="X348" i="23"/>
  <c r="AB348" i="23"/>
  <c r="AK348" i="23"/>
  <c r="AC348" i="23"/>
  <c r="O348" i="23"/>
  <c r="L350" i="20"/>
  <c r="X350" i="20"/>
  <c r="AJ350" i="20"/>
  <c r="A351" i="20"/>
  <c r="AB350" i="20"/>
  <c r="K350" i="20"/>
  <c r="AK350" i="20"/>
  <c r="AC350" i="20"/>
  <c r="O350" i="20"/>
  <c r="T356" i="1"/>
  <c r="X351" i="17"/>
  <c r="K351" i="17"/>
  <c r="AJ351" i="17"/>
  <c r="AB351" i="17"/>
  <c r="L351" i="17"/>
  <c r="D351" i="17" s="1"/>
  <c r="A352" i="17"/>
  <c r="AK351" i="17"/>
  <c r="O351" i="17"/>
  <c r="AC351" i="17"/>
  <c r="G354" i="1"/>
  <c r="BW354" i="6" s="1"/>
  <c r="AA354" i="1"/>
  <c r="Z354" i="1" s="1"/>
  <c r="Y354" i="1" s="1"/>
  <c r="I354" i="1"/>
  <c r="AB347" i="24"/>
  <c r="K347" i="24"/>
  <c r="L347" i="24"/>
  <c r="AK347" i="24"/>
  <c r="A348" i="24"/>
  <c r="X347" i="24"/>
  <c r="AJ347" i="24"/>
  <c r="AC347" i="24"/>
  <c r="O347" i="24"/>
  <c r="A355" i="18"/>
  <c r="AJ354" i="18"/>
  <c r="L354" i="18"/>
  <c r="X354" i="18"/>
  <c r="K354" i="18"/>
  <c r="AB354" i="18"/>
  <c r="AK354" i="18"/>
  <c r="AC354" i="18"/>
  <c r="O354" i="18"/>
  <c r="K349" i="22"/>
  <c r="A350" i="22"/>
  <c r="X349" i="22"/>
  <c r="AK349" i="22"/>
  <c r="AB349" i="22"/>
  <c r="L349" i="22"/>
  <c r="AJ349" i="22"/>
  <c r="AC349" i="22"/>
  <c r="O349" i="22"/>
  <c r="AB357" i="1"/>
  <c r="O357" i="1"/>
  <c r="AK357" i="1"/>
  <c r="Q357" i="1"/>
  <c r="K357" i="1"/>
  <c r="AC357" i="1"/>
  <c r="X357" i="1"/>
  <c r="A358" i="1"/>
  <c r="AJ357" i="1"/>
  <c r="L357" i="1"/>
  <c r="D357" i="1" s="1"/>
  <c r="E357" i="1" s="1"/>
  <c r="U357" i="1"/>
  <c r="E350" i="17"/>
  <c r="X346" i="25"/>
  <c r="L346" i="25"/>
  <c r="AJ346" i="25"/>
  <c r="K346" i="25"/>
  <c r="A347" i="25"/>
  <c r="AB346" i="25"/>
  <c r="AK346" i="25"/>
  <c r="AC346" i="25"/>
  <c r="O346" i="25"/>
  <c r="E356" i="15" l="1"/>
  <c r="E351" i="17"/>
  <c r="T357" i="1"/>
  <c r="A351" i="22"/>
  <c r="X350" i="22"/>
  <c r="L350" i="22"/>
  <c r="AK350" i="22"/>
  <c r="AB350" i="22"/>
  <c r="K350" i="22"/>
  <c r="AJ350" i="22"/>
  <c r="AC350" i="22"/>
  <c r="O350" i="22"/>
  <c r="L355" i="18"/>
  <c r="K355" i="18"/>
  <c r="X355" i="18"/>
  <c r="AK355" i="18"/>
  <c r="AB355" i="18"/>
  <c r="A356" i="18"/>
  <c r="AJ355" i="18"/>
  <c r="O355" i="18"/>
  <c r="AC355" i="18"/>
  <c r="S356" i="1"/>
  <c r="R356" i="1" s="1"/>
  <c r="P356" i="1" s="1"/>
  <c r="V356" i="1" s="1"/>
  <c r="F356" i="1" s="1"/>
  <c r="AB351" i="20"/>
  <c r="L351" i="20"/>
  <c r="K351" i="20"/>
  <c r="AK351" i="20"/>
  <c r="X351" i="20"/>
  <c r="A352" i="20"/>
  <c r="AJ351" i="20"/>
  <c r="AC351" i="20"/>
  <c r="O351" i="20"/>
  <c r="A350" i="23"/>
  <c r="K349" i="23"/>
  <c r="AJ349" i="23"/>
  <c r="X349" i="23"/>
  <c r="L349" i="23"/>
  <c r="AB349" i="23"/>
  <c r="AK349" i="23"/>
  <c r="AC349" i="23"/>
  <c r="O349" i="23"/>
  <c r="D350" i="16"/>
  <c r="AB357" i="15"/>
  <c r="AJ357" i="15"/>
  <c r="A358" i="15"/>
  <c r="K357" i="15"/>
  <c r="X357" i="15"/>
  <c r="AK357" i="15"/>
  <c r="L357" i="15"/>
  <c r="O357" i="15"/>
  <c r="AC357" i="15"/>
  <c r="AB347" i="25"/>
  <c r="L347" i="25"/>
  <c r="K347" i="25"/>
  <c r="AK347" i="25"/>
  <c r="A348" i="25"/>
  <c r="X347" i="25"/>
  <c r="AJ347" i="25"/>
  <c r="AC347" i="25"/>
  <c r="O347" i="25"/>
  <c r="K358" i="1"/>
  <c r="X358" i="1"/>
  <c r="AJ358" i="1"/>
  <c r="AB358" i="1"/>
  <c r="AK358" i="1"/>
  <c r="Q358" i="1"/>
  <c r="AC358" i="1"/>
  <c r="U358" i="1"/>
  <c r="A359" i="1"/>
  <c r="L358" i="1"/>
  <c r="D358" i="1" s="1"/>
  <c r="O358" i="1"/>
  <c r="L348" i="24"/>
  <c r="X348" i="24"/>
  <c r="AJ348" i="24"/>
  <c r="AB348" i="24"/>
  <c r="A349" i="24"/>
  <c r="K348" i="24"/>
  <c r="AK348" i="24"/>
  <c r="AC348" i="24"/>
  <c r="O348" i="24"/>
  <c r="X352" i="17"/>
  <c r="A353" i="17"/>
  <c r="L352" i="17"/>
  <c r="AK352" i="17"/>
  <c r="AB352" i="17"/>
  <c r="K352" i="17"/>
  <c r="AJ352" i="17"/>
  <c r="O352" i="17"/>
  <c r="AC352" i="17"/>
  <c r="E350" i="16"/>
  <c r="K351" i="16"/>
  <c r="A352" i="16"/>
  <c r="X351" i="16"/>
  <c r="AK351" i="16"/>
  <c r="AB351" i="16"/>
  <c r="L351" i="16"/>
  <c r="AJ351" i="16"/>
  <c r="AC351" i="16"/>
  <c r="O351" i="16"/>
  <c r="I355" i="1"/>
  <c r="G355" i="1"/>
  <c r="BW355" i="6" s="1"/>
  <c r="AA355" i="1"/>
  <c r="Z355" i="1" s="1"/>
  <c r="Y355" i="1" s="1"/>
  <c r="E358" i="1" l="1"/>
  <c r="D351" i="16"/>
  <c r="E351" i="16" s="1"/>
  <c r="K352" i="16"/>
  <c r="L352" i="16"/>
  <c r="AJ352" i="16"/>
  <c r="A353" i="16"/>
  <c r="X352" i="16"/>
  <c r="AB352" i="16"/>
  <c r="AK352" i="16"/>
  <c r="AC352" i="16"/>
  <c r="O352" i="16"/>
  <c r="K353" i="17"/>
  <c r="L353" i="17"/>
  <c r="D353" i="17" s="1"/>
  <c r="A354" i="17"/>
  <c r="AK353" i="17"/>
  <c r="X353" i="17"/>
  <c r="AB353" i="17"/>
  <c r="AJ353" i="17"/>
  <c r="O353" i="17"/>
  <c r="E353" i="17" s="1"/>
  <c r="AC353" i="17"/>
  <c r="L359" i="1"/>
  <c r="K359" i="1"/>
  <c r="A360" i="1"/>
  <c r="AB359" i="1"/>
  <c r="X359" i="1"/>
  <c r="AC359" i="1"/>
  <c r="AJ359" i="1"/>
  <c r="AK359" i="1"/>
  <c r="Q359" i="1"/>
  <c r="O359" i="1"/>
  <c r="U359" i="1"/>
  <c r="K348" i="25"/>
  <c r="A349" i="25"/>
  <c r="AJ348" i="25"/>
  <c r="X348" i="25"/>
  <c r="AB348" i="25"/>
  <c r="L348" i="25"/>
  <c r="AK348" i="25"/>
  <c r="AC348" i="25"/>
  <c r="O348" i="25"/>
  <c r="D357" i="15"/>
  <c r="X358" i="15"/>
  <c r="AB358" i="15"/>
  <c r="AK358" i="15"/>
  <c r="K358" i="15"/>
  <c r="L358" i="15"/>
  <c r="D358" i="15" s="1"/>
  <c r="AJ358" i="15"/>
  <c r="A359" i="15"/>
  <c r="AC358" i="15"/>
  <c r="O358" i="15"/>
  <c r="E358" i="15" s="1"/>
  <c r="L356" i="18"/>
  <c r="AJ356" i="18"/>
  <c r="AB356" i="18"/>
  <c r="AK356" i="18"/>
  <c r="K356" i="18"/>
  <c r="A357" i="18"/>
  <c r="X356" i="18"/>
  <c r="O356" i="18"/>
  <c r="AC356" i="18"/>
  <c r="D352" i="17"/>
  <c r="E352" i="17" s="1"/>
  <c r="X349" i="24"/>
  <c r="AB349" i="24"/>
  <c r="A350" i="24"/>
  <c r="AK349" i="24"/>
  <c r="L349" i="24"/>
  <c r="K349" i="24"/>
  <c r="AJ349" i="24"/>
  <c r="AC349" i="24"/>
  <c r="O349" i="24"/>
  <c r="T358" i="1"/>
  <c r="E357" i="15"/>
  <c r="A351" i="23"/>
  <c r="K350" i="23"/>
  <c r="AJ350" i="23"/>
  <c r="AB350" i="23"/>
  <c r="L350" i="23"/>
  <c r="X350" i="23"/>
  <c r="AK350" i="23"/>
  <c r="AC350" i="23"/>
  <c r="O350" i="23"/>
  <c r="K352" i="20"/>
  <c r="X352" i="20"/>
  <c r="L352" i="20"/>
  <c r="AK352" i="20"/>
  <c r="AB352" i="20"/>
  <c r="A353" i="20"/>
  <c r="AJ352" i="20"/>
  <c r="AC352" i="20"/>
  <c r="O352" i="20"/>
  <c r="I356" i="1"/>
  <c r="G356" i="1"/>
  <c r="BW356" i="6" s="1"/>
  <c r="AA356" i="1"/>
  <c r="Z356" i="1" s="1"/>
  <c r="Y356" i="1" s="1"/>
  <c r="K351" i="22"/>
  <c r="A352" i="22"/>
  <c r="X351" i="22"/>
  <c r="AK351" i="22"/>
  <c r="AB351" i="22"/>
  <c r="L351" i="22"/>
  <c r="AJ351" i="22"/>
  <c r="AC351" i="22"/>
  <c r="O351" i="22"/>
  <c r="S357" i="1"/>
  <c r="R357" i="1" s="1"/>
  <c r="P357" i="1" s="1"/>
  <c r="V357" i="1" s="1"/>
  <c r="F357" i="1" s="1"/>
  <c r="I357" i="1" l="1"/>
  <c r="AA357" i="1"/>
  <c r="Z357" i="1" s="1"/>
  <c r="Y357" i="1" s="1"/>
  <c r="G357" i="1"/>
  <c r="BW357" i="6" s="1"/>
  <c r="L352" i="22"/>
  <c r="A353" i="22"/>
  <c r="AJ352" i="22"/>
  <c r="K352" i="22"/>
  <c r="AB352" i="22"/>
  <c r="X352" i="22"/>
  <c r="AK352" i="22"/>
  <c r="AC352" i="22"/>
  <c r="O352" i="22"/>
  <c r="X357" i="18"/>
  <c r="A358" i="18"/>
  <c r="AB357" i="18"/>
  <c r="AK357" i="18"/>
  <c r="K357" i="18"/>
  <c r="L357" i="18"/>
  <c r="AJ357" i="18"/>
  <c r="O357" i="18"/>
  <c r="AC357" i="18"/>
  <c r="A360" i="15"/>
  <c r="X359" i="15"/>
  <c r="AB359" i="15"/>
  <c r="L359" i="15"/>
  <c r="AK359" i="15"/>
  <c r="K359" i="15"/>
  <c r="AJ359" i="15"/>
  <c r="AC359" i="15"/>
  <c r="O359" i="15"/>
  <c r="A350" i="25"/>
  <c r="AB349" i="25"/>
  <c r="L349" i="25"/>
  <c r="AK349" i="25"/>
  <c r="K349" i="25"/>
  <c r="X349" i="25"/>
  <c r="AJ349" i="25"/>
  <c r="AC349" i="25"/>
  <c r="O349" i="25"/>
  <c r="L354" i="17"/>
  <c r="D354" i="17" s="1"/>
  <c r="K354" i="17"/>
  <c r="A355" i="17"/>
  <c r="AK354" i="17"/>
  <c r="X354" i="17"/>
  <c r="AJ354" i="17"/>
  <c r="AB354" i="17"/>
  <c r="O354" i="17"/>
  <c r="AC354" i="17"/>
  <c r="X353" i="20"/>
  <c r="A354" i="20"/>
  <c r="K353" i="20"/>
  <c r="AK353" i="20"/>
  <c r="L353" i="20"/>
  <c r="AB353" i="20"/>
  <c r="AJ353" i="20"/>
  <c r="AC353" i="20"/>
  <c r="O353" i="20"/>
  <c r="X351" i="23"/>
  <c r="K351" i="23"/>
  <c r="AB351" i="23"/>
  <c r="AK351" i="23"/>
  <c r="A352" i="23"/>
  <c r="L351" i="23"/>
  <c r="AJ351" i="23"/>
  <c r="AC351" i="23"/>
  <c r="O351" i="23"/>
  <c r="S358" i="1"/>
  <c r="R358" i="1" s="1"/>
  <c r="P358" i="1" s="1"/>
  <c r="AB350" i="24"/>
  <c r="L350" i="24"/>
  <c r="AJ350" i="24"/>
  <c r="X350" i="24"/>
  <c r="K350" i="24"/>
  <c r="A351" i="24"/>
  <c r="AK350" i="24"/>
  <c r="AC350" i="24"/>
  <c r="O350" i="24"/>
  <c r="T359" i="1"/>
  <c r="Q360" i="1"/>
  <c r="A361" i="1"/>
  <c r="U360" i="1"/>
  <c r="L360" i="1"/>
  <c r="O360" i="1"/>
  <c r="X360" i="1"/>
  <c r="AJ360" i="1"/>
  <c r="AC360" i="1"/>
  <c r="AB360" i="1"/>
  <c r="K360" i="1"/>
  <c r="AK360" i="1"/>
  <c r="D359" i="1"/>
  <c r="E359" i="1" s="1"/>
  <c r="A354" i="16"/>
  <c r="AB353" i="16"/>
  <c r="AJ353" i="16"/>
  <c r="K353" i="16"/>
  <c r="X353" i="16"/>
  <c r="L353" i="16"/>
  <c r="AK353" i="16"/>
  <c r="AC353" i="16"/>
  <c r="O353" i="16"/>
  <c r="D352" i="16"/>
  <c r="E352" i="16" s="1"/>
  <c r="T360" i="1" l="1"/>
  <c r="S359" i="1"/>
  <c r="R359" i="1" s="1"/>
  <c r="P359" i="1" s="1"/>
  <c r="V358" i="1"/>
  <c r="F358" i="1" s="1"/>
  <c r="AB352" i="23"/>
  <c r="A353" i="23"/>
  <c r="AJ352" i="23"/>
  <c r="K352" i="23"/>
  <c r="L352" i="23"/>
  <c r="X352" i="23"/>
  <c r="AK352" i="23"/>
  <c r="AC352" i="23"/>
  <c r="O352" i="23"/>
  <c r="AB355" i="17"/>
  <c r="X355" i="17"/>
  <c r="AJ355" i="17"/>
  <c r="L355" i="17"/>
  <c r="D355" i="17" s="1"/>
  <c r="A356" i="17"/>
  <c r="K355" i="17"/>
  <c r="AK355" i="17"/>
  <c r="O355" i="17"/>
  <c r="E355" i="17" s="1"/>
  <c r="AC355" i="17"/>
  <c r="K350" i="25"/>
  <c r="A351" i="25"/>
  <c r="AB350" i="25"/>
  <c r="AK350" i="25"/>
  <c r="L350" i="25"/>
  <c r="X350" i="25"/>
  <c r="AJ350" i="25"/>
  <c r="AC350" i="25"/>
  <c r="O350" i="25"/>
  <c r="D359" i="15"/>
  <c r="E359" i="15" s="1"/>
  <c r="A359" i="18"/>
  <c r="X358" i="18"/>
  <c r="AJ358" i="18"/>
  <c r="AB358" i="18"/>
  <c r="K358" i="18"/>
  <c r="L358" i="18"/>
  <c r="AK358" i="18"/>
  <c r="AC358" i="18"/>
  <c r="O358" i="18"/>
  <c r="X354" i="16"/>
  <c r="A355" i="16"/>
  <c r="L354" i="16"/>
  <c r="AK354" i="16"/>
  <c r="K354" i="16"/>
  <c r="AB354" i="16"/>
  <c r="AJ354" i="16"/>
  <c r="AC354" i="16"/>
  <c r="O354" i="16"/>
  <c r="D353" i="16"/>
  <c r="E353" i="16" s="1"/>
  <c r="D360" i="1"/>
  <c r="E360" i="1" s="1"/>
  <c r="AK361" i="1"/>
  <c r="O361" i="1"/>
  <c r="U361" i="1"/>
  <c r="X361" i="1"/>
  <c r="L361" i="1"/>
  <c r="Q361" i="1"/>
  <c r="K361" i="1"/>
  <c r="AJ361" i="1"/>
  <c r="AB361" i="1"/>
  <c r="AC361" i="1"/>
  <c r="A362" i="1"/>
  <c r="L351" i="24"/>
  <c r="K351" i="24"/>
  <c r="AJ351" i="24"/>
  <c r="AB351" i="24"/>
  <c r="X351" i="24"/>
  <c r="A352" i="24"/>
  <c r="AK351" i="24"/>
  <c r="AC351" i="24"/>
  <c r="O351" i="24"/>
  <c r="K354" i="20"/>
  <c r="AB354" i="20"/>
  <c r="AJ354" i="20"/>
  <c r="A355" i="20"/>
  <c r="X354" i="20"/>
  <c r="L354" i="20"/>
  <c r="AK354" i="20"/>
  <c r="AC354" i="20"/>
  <c r="O354" i="20"/>
  <c r="E354" i="17"/>
  <c r="X360" i="15"/>
  <c r="AJ360" i="15"/>
  <c r="AK360" i="15"/>
  <c r="K360" i="15"/>
  <c r="AB360" i="15"/>
  <c r="A361" i="15"/>
  <c r="L360" i="15"/>
  <c r="D360" i="15" s="1"/>
  <c r="AC360" i="15"/>
  <c r="O360" i="15"/>
  <c r="A354" i="22"/>
  <c r="X353" i="22"/>
  <c r="AB353" i="22"/>
  <c r="AK353" i="22"/>
  <c r="K353" i="22"/>
  <c r="L353" i="22"/>
  <c r="AJ353" i="22"/>
  <c r="AC353" i="22"/>
  <c r="O353" i="22"/>
  <c r="E360" i="15" l="1"/>
  <c r="V359" i="1"/>
  <c r="F359" i="1" s="1"/>
  <c r="L354" i="22"/>
  <c r="A355" i="22"/>
  <c r="AJ354" i="22"/>
  <c r="X354" i="22"/>
  <c r="K354" i="22"/>
  <c r="AB354" i="22"/>
  <c r="AK354" i="22"/>
  <c r="AC354" i="22"/>
  <c r="O354" i="22"/>
  <c r="L361" i="15"/>
  <c r="D361" i="15" s="1"/>
  <c r="X361" i="15"/>
  <c r="A362" i="15"/>
  <c r="AB361" i="15"/>
  <c r="K361" i="15"/>
  <c r="AK361" i="15"/>
  <c r="AJ361" i="15"/>
  <c r="O361" i="15"/>
  <c r="AC361" i="15"/>
  <c r="AB352" i="24"/>
  <c r="L352" i="24"/>
  <c r="AJ352" i="24"/>
  <c r="K352" i="24"/>
  <c r="X352" i="24"/>
  <c r="A353" i="24"/>
  <c r="AK352" i="24"/>
  <c r="AC352" i="24"/>
  <c r="O352" i="24"/>
  <c r="AB362" i="1"/>
  <c r="Q362" i="1"/>
  <c r="AC362" i="1"/>
  <c r="AK362" i="1"/>
  <c r="O362" i="1"/>
  <c r="X362" i="1"/>
  <c r="AJ362" i="1"/>
  <c r="L362" i="1"/>
  <c r="K362" i="1"/>
  <c r="A363" i="1"/>
  <c r="U362" i="1"/>
  <c r="D361" i="1"/>
  <c r="E361" i="1" s="1"/>
  <c r="T361" i="1"/>
  <c r="K355" i="16"/>
  <c r="L355" i="16"/>
  <c r="AJ355" i="16"/>
  <c r="AB355" i="16"/>
  <c r="A356" i="16"/>
  <c r="X355" i="16"/>
  <c r="AK355" i="16"/>
  <c r="AC355" i="16"/>
  <c r="O355" i="16"/>
  <c r="X351" i="25"/>
  <c r="A352" i="25"/>
  <c r="L351" i="25"/>
  <c r="AK351" i="25"/>
  <c r="K351" i="25"/>
  <c r="AB351" i="25"/>
  <c r="AJ351" i="25"/>
  <c r="AC351" i="25"/>
  <c r="O351" i="25"/>
  <c r="I358" i="1"/>
  <c r="AA358" i="1"/>
  <c r="Z358" i="1" s="1"/>
  <c r="Y358" i="1" s="1"/>
  <c r="G358" i="1"/>
  <c r="BW358" i="6" s="1"/>
  <c r="S360" i="1"/>
  <c r="R360" i="1" s="1"/>
  <c r="P360" i="1" s="1"/>
  <c r="V360" i="1" s="1"/>
  <c r="F360" i="1" s="1"/>
  <c r="L355" i="20"/>
  <c r="AB355" i="20"/>
  <c r="AJ355" i="20"/>
  <c r="A356" i="20"/>
  <c r="X355" i="20"/>
  <c r="K355" i="20"/>
  <c r="AK355" i="20"/>
  <c r="AC355" i="20"/>
  <c r="O355" i="20"/>
  <c r="D354" i="16"/>
  <c r="E354" i="16" s="1"/>
  <c r="A360" i="18"/>
  <c r="X359" i="18"/>
  <c r="L359" i="18"/>
  <c r="AK359" i="18"/>
  <c r="AB359" i="18"/>
  <c r="K359" i="18"/>
  <c r="AJ359" i="18"/>
  <c r="O359" i="18"/>
  <c r="AC359" i="18"/>
  <c r="A357" i="17"/>
  <c r="X356" i="17"/>
  <c r="AB356" i="17"/>
  <c r="AK356" i="17"/>
  <c r="K356" i="17"/>
  <c r="L356" i="17"/>
  <c r="D356" i="17" s="1"/>
  <c r="AJ356" i="17"/>
  <c r="O356" i="17"/>
  <c r="AC356" i="17"/>
  <c r="X353" i="23"/>
  <c r="A354" i="23"/>
  <c r="AJ353" i="23"/>
  <c r="K353" i="23"/>
  <c r="L353" i="23"/>
  <c r="AB353" i="23"/>
  <c r="AK353" i="23"/>
  <c r="AC353" i="23"/>
  <c r="O353" i="23"/>
  <c r="E356" i="17" l="1"/>
  <c r="E361" i="15"/>
  <c r="G360" i="1"/>
  <c r="BW360" i="6" s="1"/>
  <c r="AA360" i="1"/>
  <c r="Z360" i="1" s="1"/>
  <c r="Y360" i="1" s="1"/>
  <c r="I360" i="1"/>
  <c r="A358" i="17"/>
  <c r="AJ357" i="17"/>
  <c r="L357" i="17"/>
  <c r="AK357" i="17"/>
  <c r="AB357" i="17"/>
  <c r="X357" i="17"/>
  <c r="K357" i="17"/>
  <c r="O357" i="17"/>
  <c r="AC357" i="17"/>
  <c r="L360" i="18"/>
  <c r="AJ360" i="18"/>
  <c r="K360" i="18"/>
  <c r="X360" i="18"/>
  <c r="A361" i="18"/>
  <c r="AB360" i="18"/>
  <c r="AK360" i="18"/>
  <c r="O360" i="18"/>
  <c r="AC360" i="18"/>
  <c r="L356" i="20"/>
  <c r="K356" i="20"/>
  <c r="AJ356" i="20"/>
  <c r="AB356" i="20"/>
  <c r="A357" i="20"/>
  <c r="X356" i="20"/>
  <c r="AK356" i="20"/>
  <c r="AC356" i="20"/>
  <c r="O356" i="20"/>
  <c r="X352" i="25"/>
  <c r="K352" i="25"/>
  <c r="AJ352" i="25"/>
  <c r="A353" i="25"/>
  <c r="L352" i="25"/>
  <c r="AB352" i="25"/>
  <c r="AK352" i="25"/>
  <c r="AC352" i="25"/>
  <c r="O352" i="25"/>
  <c r="L356" i="16"/>
  <c r="AB356" i="16"/>
  <c r="K356" i="16"/>
  <c r="AK356" i="16"/>
  <c r="A357" i="16"/>
  <c r="X356" i="16"/>
  <c r="AJ356" i="16"/>
  <c r="AC356" i="16"/>
  <c r="O356" i="16"/>
  <c r="S361" i="1"/>
  <c r="R361" i="1" s="1"/>
  <c r="P361" i="1" s="1"/>
  <c r="V361" i="1" s="1"/>
  <c r="F361" i="1" s="1"/>
  <c r="T362" i="1"/>
  <c r="L353" i="24"/>
  <c r="A354" i="24"/>
  <c r="AJ353" i="24"/>
  <c r="X353" i="24"/>
  <c r="K353" i="24"/>
  <c r="AB353" i="24"/>
  <c r="AK353" i="24"/>
  <c r="AC353" i="24"/>
  <c r="O353" i="24"/>
  <c r="G359" i="1"/>
  <c r="BW359" i="6" s="1"/>
  <c r="I359" i="1"/>
  <c r="AA359" i="1"/>
  <c r="Z359" i="1" s="1"/>
  <c r="Y359" i="1" s="1"/>
  <c r="K354" i="23"/>
  <c r="L354" i="23"/>
  <c r="AB354" i="23"/>
  <c r="AK354" i="23"/>
  <c r="X354" i="23"/>
  <c r="A355" i="23"/>
  <c r="AJ354" i="23"/>
  <c r="AC354" i="23"/>
  <c r="O354" i="23"/>
  <c r="D355" i="16"/>
  <c r="E355" i="16" s="1"/>
  <c r="K363" i="1"/>
  <c r="AC363" i="1"/>
  <c r="U363" i="1"/>
  <c r="A364" i="1"/>
  <c r="AK363" i="1"/>
  <c r="AB363" i="1"/>
  <c r="X363" i="1"/>
  <c r="AJ363" i="1"/>
  <c r="O363" i="1"/>
  <c r="C31" i="7" s="1"/>
  <c r="Q363" i="1"/>
  <c r="L363" i="1"/>
  <c r="A31" i="7"/>
  <c r="D362" i="1"/>
  <c r="E362" i="1" s="1"/>
  <c r="AK362" i="15"/>
  <c r="L362" i="15"/>
  <c r="D362" i="15" s="1"/>
  <c r="X362" i="15"/>
  <c r="AB362" i="15"/>
  <c r="K362" i="15"/>
  <c r="AJ362" i="15"/>
  <c r="A363" i="15"/>
  <c r="AC362" i="15"/>
  <c r="O362" i="15"/>
  <c r="K355" i="22"/>
  <c r="X355" i="22"/>
  <c r="L355" i="22"/>
  <c r="AK355" i="22"/>
  <c r="AB355" i="22"/>
  <c r="A356" i="22"/>
  <c r="AJ355" i="22"/>
  <c r="AC355" i="22"/>
  <c r="O355" i="22"/>
  <c r="AA361" i="1" l="1"/>
  <c r="Z361" i="1" s="1"/>
  <c r="Y361" i="1" s="1"/>
  <c r="I361" i="1"/>
  <c r="G361" i="1"/>
  <c r="BW361" i="6" s="1"/>
  <c r="D363" i="1"/>
  <c r="E363" i="1" s="1"/>
  <c r="B31" i="7"/>
  <c r="T363" i="1"/>
  <c r="X355" i="23"/>
  <c r="K355" i="23"/>
  <c r="A356" i="23"/>
  <c r="AK355" i="23"/>
  <c r="L355" i="23"/>
  <c r="AB355" i="23"/>
  <c r="AJ355" i="23"/>
  <c r="AC355" i="23"/>
  <c r="O355" i="23"/>
  <c r="K354" i="24"/>
  <c r="A355" i="24"/>
  <c r="L354" i="24"/>
  <c r="X354" i="24"/>
  <c r="AK354" i="24"/>
  <c r="AB354" i="24"/>
  <c r="AJ354" i="24"/>
  <c r="AC354" i="24"/>
  <c r="O354" i="24"/>
  <c r="S362" i="1"/>
  <c r="R362" i="1" s="1"/>
  <c r="P362" i="1" s="1"/>
  <c r="V362" i="1" s="1"/>
  <c r="AB361" i="18"/>
  <c r="AJ361" i="18"/>
  <c r="X361" i="18"/>
  <c r="AK361" i="18"/>
  <c r="L361" i="18"/>
  <c r="A362" i="18"/>
  <c r="K361" i="18"/>
  <c r="O361" i="18"/>
  <c r="AC361" i="18"/>
  <c r="X356" i="22"/>
  <c r="K356" i="22"/>
  <c r="AB356" i="22"/>
  <c r="AK356" i="22"/>
  <c r="A357" i="22"/>
  <c r="L356" i="22"/>
  <c r="AJ356" i="22"/>
  <c r="AC356" i="22"/>
  <c r="O356" i="22"/>
  <c r="E362" i="15"/>
  <c r="AK363" i="15"/>
  <c r="AJ363" i="15"/>
  <c r="K363" i="15"/>
  <c r="AB363" i="15"/>
  <c r="X363" i="15"/>
  <c r="A364" i="15"/>
  <c r="A43" i="7"/>
  <c r="L363" i="15"/>
  <c r="AC363" i="15"/>
  <c r="O363" i="15"/>
  <c r="C43" i="7" s="1"/>
  <c r="K364" i="1"/>
  <c r="AJ364" i="1"/>
  <c r="AB364" i="1"/>
  <c r="AK364" i="1"/>
  <c r="X364" i="1"/>
  <c r="A365" i="1"/>
  <c r="Q364" i="1"/>
  <c r="O364" i="1"/>
  <c r="AC364" i="1"/>
  <c r="L364" i="1"/>
  <c r="U364" i="1"/>
  <c r="X357" i="16"/>
  <c r="AB357" i="16"/>
  <c r="K357" i="16"/>
  <c r="AK357" i="16"/>
  <c r="L357" i="16"/>
  <c r="AJ357" i="16"/>
  <c r="A358" i="16"/>
  <c r="AC357" i="16"/>
  <c r="O357" i="16"/>
  <c r="D356" i="16"/>
  <c r="E356" i="16" s="1"/>
  <c r="L353" i="25"/>
  <c r="AB353" i="25"/>
  <c r="AJ353" i="25"/>
  <c r="X353" i="25"/>
  <c r="K353" i="25"/>
  <c r="A354" i="25"/>
  <c r="AK353" i="25"/>
  <c r="AC353" i="25"/>
  <c r="O353" i="25"/>
  <c r="X357" i="20"/>
  <c r="AB357" i="20"/>
  <c r="L357" i="20"/>
  <c r="AK357" i="20"/>
  <c r="A358" i="20"/>
  <c r="K357" i="20"/>
  <c r="AJ357" i="20"/>
  <c r="AC357" i="20"/>
  <c r="O357" i="20"/>
  <c r="D357" i="17"/>
  <c r="E357" i="17" s="1"/>
  <c r="L358" i="17"/>
  <c r="D358" i="17" s="1"/>
  <c r="AB358" i="17"/>
  <c r="X358" i="17"/>
  <c r="AK358" i="17"/>
  <c r="K358" i="17"/>
  <c r="A359" i="17"/>
  <c r="AJ358" i="17"/>
  <c r="O358" i="17"/>
  <c r="AC358" i="17"/>
  <c r="E358" i="17" l="1"/>
  <c r="A360" i="17"/>
  <c r="AJ359" i="17"/>
  <c r="AB359" i="17"/>
  <c r="L359" i="17"/>
  <c r="K359" i="17"/>
  <c r="X359" i="17"/>
  <c r="AK359" i="17"/>
  <c r="O359" i="17"/>
  <c r="AC359" i="17"/>
  <c r="K354" i="25"/>
  <c r="AB354" i="25"/>
  <c r="X354" i="25"/>
  <c r="AK354" i="25"/>
  <c r="A355" i="25"/>
  <c r="L354" i="25"/>
  <c r="AJ354" i="25"/>
  <c r="AC354" i="25"/>
  <c r="O354" i="25"/>
  <c r="AB358" i="16"/>
  <c r="L358" i="16"/>
  <c r="A359" i="16"/>
  <c r="AK358" i="16"/>
  <c r="X358" i="16"/>
  <c r="K358" i="16"/>
  <c r="AJ358" i="16"/>
  <c r="AC358" i="16"/>
  <c r="O358" i="16"/>
  <c r="D357" i="16"/>
  <c r="E357" i="16" s="1"/>
  <c r="D364" i="1"/>
  <c r="E364" i="1" s="1"/>
  <c r="AB365" i="1"/>
  <c r="A366" i="1"/>
  <c r="K365" i="1"/>
  <c r="AK365" i="1"/>
  <c r="Q365" i="1"/>
  <c r="L365" i="1"/>
  <c r="D365" i="1" s="1"/>
  <c r="AJ365" i="1"/>
  <c r="AC365" i="1"/>
  <c r="O365" i="1"/>
  <c r="X365" i="1"/>
  <c r="U365" i="1"/>
  <c r="B43" i="7"/>
  <c r="D363" i="15"/>
  <c r="E363" i="15" s="1"/>
  <c r="A365" i="15"/>
  <c r="L364" i="15"/>
  <c r="K364" i="15"/>
  <c r="AJ364" i="15"/>
  <c r="X364" i="15"/>
  <c r="AK364" i="15"/>
  <c r="AB364" i="15"/>
  <c r="AC364" i="15"/>
  <c r="O364" i="15"/>
  <c r="K357" i="22"/>
  <c r="X357" i="22"/>
  <c r="AJ357" i="22"/>
  <c r="AB357" i="22"/>
  <c r="A358" i="22"/>
  <c r="L357" i="22"/>
  <c r="AK357" i="22"/>
  <c r="AC357" i="22"/>
  <c r="O357" i="22"/>
  <c r="S363" i="1"/>
  <c r="R363" i="1" s="1"/>
  <c r="P363" i="1" s="1"/>
  <c r="L358" i="20"/>
  <c r="X358" i="20"/>
  <c r="AJ358" i="20"/>
  <c r="A359" i="20"/>
  <c r="K358" i="20"/>
  <c r="AB358" i="20"/>
  <c r="AK358" i="20"/>
  <c r="AC358" i="20"/>
  <c r="O358" i="20"/>
  <c r="T364" i="1"/>
  <c r="A363" i="18"/>
  <c r="AB362" i="18"/>
  <c r="L362" i="18"/>
  <c r="X362" i="18"/>
  <c r="AJ362" i="18"/>
  <c r="K362" i="18"/>
  <c r="AK362" i="18"/>
  <c r="AC362" i="18"/>
  <c r="O362" i="18"/>
  <c r="AB355" i="24"/>
  <c r="K355" i="24"/>
  <c r="AJ355" i="24"/>
  <c r="X355" i="24"/>
  <c r="L355" i="24"/>
  <c r="A356" i="24"/>
  <c r="AK355" i="24"/>
  <c r="AC355" i="24"/>
  <c r="O355" i="24"/>
  <c r="K356" i="23"/>
  <c r="L356" i="23"/>
  <c r="AJ356" i="23"/>
  <c r="X356" i="23"/>
  <c r="A357" i="23"/>
  <c r="AB356" i="23"/>
  <c r="AK356" i="23"/>
  <c r="AC356" i="23"/>
  <c r="O356" i="23"/>
  <c r="F362" i="1"/>
  <c r="E365" i="1" l="1"/>
  <c r="D31" i="7"/>
  <c r="V363" i="1"/>
  <c r="F363" i="1" s="1"/>
  <c r="AA362" i="1"/>
  <c r="Z362" i="1" s="1"/>
  <c r="Y362" i="1" s="1"/>
  <c r="G362" i="1"/>
  <c r="BW362" i="6" s="1"/>
  <c r="I362" i="1"/>
  <c r="X357" i="23"/>
  <c r="A358" i="23"/>
  <c r="AJ357" i="23"/>
  <c r="K357" i="23"/>
  <c r="L357" i="23"/>
  <c r="AB357" i="23"/>
  <c r="AK357" i="23"/>
  <c r="AC357" i="23"/>
  <c r="O357" i="23"/>
  <c r="A360" i="20"/>
  <c r="X359" i="20"/>
  <c r="AB359" i="20"/>
  <c r="AK359" i="20"/>
  <c r="K359" i="20"/>
  <c r="L359" i="20"/>
  <c r="AJ359" i="20"/>
  <c r="AC359" i="20"/>
  <c r="O359" i="20"/>
  <c r="A359" i="22"/>
  <c r="X358" i="22"/>
  <c r="AJ358" i="22"/>
  <c r="AB358" i="22"/>
  <c r="L358" i="22"/>
  <c r="K358" i="22"/>
  <c r="AK358" i="22"/>
  <c r="AC358" i="22"/>
  <c r="O358" i="22"/>
  <c r="D364" i="15"/>
  <c r="T365" i="1"/>
  <c r="L359" i="16"/>
  <c r="X359" i="16"/>
  <c r="AB359" i="16"/>
  <c r="AK359" i="16"/>
  <c r="A360" i="16"/>
  <c r="K359" i="16"/>
  <c r="AJ359" i="16"/>
  <c r="AC359" i="16"/>
  <c r="O359" i="16"/>
  <c r="K360" i="17"/>
  <c r="X360" i="17"/>
  <c r="L360" i="17"/>
  <c r="A361" i="17"/>
  <c r="AJ360" i="17"/>
  <c r="AB360" i="17"/>
  <c r="AK360" i="17"/>
  <c r="O360" i="17"/>
  <c r="AC360" i="17"/>
  <c r="X356" i="24"/>
  <c r="K356" i="24"/>
  <c r="L356" i="24"/>
  <c r="AK356" i="24"/>
  <c r="AB356" i="24"/>
  <c r="A357" i="24"/>
  <c r="AJ356" i="24"/>
  <c r="AC356" i="24"/>
  <c r="O356" i="24"/>
  <c r="K363" i="18"/>
  <c r="X363" i="18"/>
  <c r="L363" i="18"/>
  <c r="AJ363" i="18"/>
  <c r="AB363" i="18"/>
  <c r="A79" i="7"/>
  <c r="A364" i="18"/>
  <c r="AK363" i="18"/>
  <c r="O363" i="18"/>
  <c r="C79" i="7" s="1"/>
  <c r="AC363" i="18"/>
  <c r="S364" i="1"/>
  <c r="R364" i="1" s="1"/>
  <c r="P364" i="1" s="1"/>
  <c r="V364" i="1" s="1"/>
  <c r="F364" i="1" s="1"/>
  <c r="E364" i="15"/>
  <c r="AB365" i="15"/>
  <c r="K365" i="15"/>
  <c r="L365" i="15"/>
  <c r="AJ365" i="15"/>
  <c r="X365" i="15"/>
  <c r="AK365" i="15"/>
  <c r="A366" i="15"/>
  <c r="AC365" i="15"/>
  <c r="O365" i="15"/>
  <c r="K366" i="1"/>
  <c r="AB366" i="1"/>
  <c r="A367" i="1"/>
  <c r="O366" i="1"/>
  <c r="L366" i="1"/>
  <c r="U366" i="1"/>
  <c r="AJ366" i="1"/>
  <c r="Q366" i="1"/>
  <c r="AC366" i="1"/>
  <c r="AK366" i="1"/>
  <c r="X366" i="1"/>
  <c r="D358" i="16"/>
  <c r="E358" i="16" s="1"/>
  <c r="L355" i="25"/>
  <c r="A356" i="25"/>
  <c r="AJ355" i="25"/>
  <c r="K355" i="25"/>
  <c r="X355" i="25"/>
  <c r="AB355" i="25"/>
  <c r="AK355" i="25"/>
  <c r="AC355" i="25"/>
  <c r="O355" i="25"/>
  <c r="D359" i="17"/>
  <c r="E359" i="17" s="1"/>
  <c r="AA364" i="1" l="1"/>
  <c r="Z364" i="1" s="1"/>
  <c r="Y364" i="1" s="1"/>
  <c r="G364" i="1"/>
  <c r="BW364" i="6" s="1"/>
  <c r="I364" i="1"/>
  <c r="T366" i="1"/>
  <c r="X366" i="15"/>
  <c r="AJ366" i="15"/>
  <c r="A367" i="15"/>
  <c r="L366" i="15"/>
  <c r="AK366" i="15"/>
  <c r="K366" i="15"/>
  <c r="AB366" i="15"/>
  <c r="AC366" i="15"/>
  <c r="O366" i="15"/>
  <c r="AB364" i="18"/>
  <c r="A365" i="18"/>
  <c r="K364" i="18"/>
  <c r="AK364" i="18"/>
  <c r="L364" i="18"/>
  <c r="X364" i="18"/>
  <c r="AJ364" i="18"/>
  <c r="AC364" i="18"/>
  <c r="O364" i="18"/>
  <c r="X357" i="24"/>
  <c r="K357" i="24"/>
  <c r="AJ357" i="24"/>
  <c r="A358" i="24"/>
  <c r="AB357" i="24"/>
  <c r="L357" i="24"/>
  <c r="AK357" i="24"/>
  <c r="AC357" i="24"/>
  <c r="O357" i="24"/>
  <c r="L361" i="17"/>
  <c r="D361" i="17" s="1"/>
  <c r="AB361" i="17"/>
  <c r="A362" i="17"/>
  <c r="AK361" i="17"/>
  <c r="K361" i="17"/>
  <c r="X361" i="17"/>
  <c r="AJ361" i="17"/>
  <c r="O361" i="17"/>
  <c r="AC361" i="17"/>
  <c r="D360" i="17"/>
  <c r="E360" i="17" s="1"/>
  <c r="X360" i="20"/>
  <c r="K360" i="20"/>
  <c r="AJ360" i="20"/>
  <c r="A361" i="20"/>
  <c r="AB360" i="20"/>
  <c r="L360" i="20"/>
  <c r="AK360" i="20"/>
  <c r="AC360" i="20"/>
  <c r="O360" i="20"/>
  <c r="K358" i="23"/>
  <c r="A359" i="23"/>
  <c r="L358" i="23"/>
  <c r="AK358" i="23"/>
  <c r="X358" i="23"/>
  <c r="AB358" i="23"/>
  <c r="AJ358" i="23"/>
  <c r="AC358" i="23"/>
  <c r="O358" i="23"/>
  <c r="I363" i="1"/>
  <c r="AA363" i="1"/>
  <c r="Z363" i="1" s="1"/>
  <c r="Y363" i="1" s="1"/>
  <c r="G363" i="1"/>
  <c r="BW363" i="6" s="1"/>
  <c r="K356" i="25"/>
  <c r="L356" i="25"/>
  <c r="X356" i="25"/>
  <c r="AK356" i="25"/>
  <c r="A357" i="25"/>
  <c r="AB356" i="25"/>
  <c r="AJ356" i="25"/>
  <c r="AC356" i="25"/>
  <c r="O356" i="25"/>
  <c r="D366" i="1"/>
  <c r="E366" i="1" s="1"/>
  <c r="AJ367" i="1"/>
  <c r="AB367" i="1"/>
  <c r="U367" i="1"/>
  <c r="AC367" i="1"/>
  <c r="AK367" i="1"/>
  <c r="A368" i="1"/>
  <c r="K367" i="1"/>
  <c r="X367" i="1"/>
  <c r="Q367" i="1"/>
  <c r="L367" i="1"/>
  <c r="O367" i="1"/>
  <c r="D365" i="15"/>
  <c r="E365" i="15" s="1"/>
  <c r="B79" i="7"/>
  <c r="L360" i="16"/>
  <c r="K360" i="16"/>
  <c r="X360" i="16"/>
  <c r="AK360" i="16"/>
  <c r="A361" i="16"/>
  <c r="AB360" i="16"/>
  <c r="AJ360" i="16"/>
  <c r="AC360" i="16"/>
  <c r="O360" i="16"/>
  <c r="D359" i="16"/>
  <c r="E359" i="16" s="1"/>
  <c r="S365" i="1"/>
  <c r="R365" i="1" s="1"/>
  <c r="P365" i="1" s="1"/>
  <c r="K359" i="22"/>
  <c r="AB359" i="22"/>
  <c r="A360" i="22"/>
  <c r="AK359" i="22"/>
  <c r="L359" i="22"/>
  <c r="X359" i="22"/>
  <c r="AJ359" i="22"/>
  <c r="AC359" i="22"/>
  <c r="O359" i="22"/>
  <c r="E361" i="17" l="1"/>
  <c r="A361" i="22"/>
  <c r="L360" i="22"/>
  <c r="AJ360" i="22"/>
  <c r="K360" i="22"/>
  <c r="AB360" i="22"/>
  <c r="X360" i="22"/>
  <c r="AK360" i="22"/>
  <c r="AC360" i="22"/>
  <c r="O360" i="22"/>
  <c r="V365" i="1"/>
  <c r="F365" i="1" s="1"/>
  <c r="A362" i="16"/>
  <c r="L361" i="16"/>
  <c r="AB361" i="16"/>
  <c r="AK361" i="16"/>
  <c r="K361" i="16"/>
  <c r="X361" i="16"/>
  <c r="AJ361" i="16"/>
  <c r="AC361" i="16"/>
  <c r="O361" i="16"/>
  <c r="D360" i="16"/>
  <c r="E360" i="16" s="1"/>
  <c r="D367" i="1"/>
  <c r="E367" i="1" s="1"/>
  <c r="O368" i="1"/>
  <c r="AK368" i="1"/>
  <c r="AC368" i="1"/>
  <c r="Q368" i="1"/>
  <c r="A369" i="1"/>
  <c r="AB368" i="1"/>
  <c r="AJ368" i="1"/>
  <c r="U368" i="1"/>
  <c r="K368" i="1"/>
  <c r="X368" i="1"/>
  <c r="L368" i="1"/>
  <c r="AB361" i="20"/>
  <c r="L361" i="20"/>
  <c r="A362" i="20"/>
  <c r="AK361" i="20"/>
  <c r="K361" i="20"/>
  <c r="X361" i="20"/>
  <c r="AJ361" i="20"/>
  <c r="AC361" i="20"/>
  <c r="O361" i="20"/>
  <c r="X365" i="18"/>
  <c r="AJ365" i="18"/>
  <c r="A366" i="18"/>
  <c r="AB365" i="18"/>
  <c r="L365" i="18"/>
  <c r="K365" i="18"/>
  <c r="AK365" i="18"/>
  <c r="AC365" i="18"/>
  <c r="O365" i="18"/>
  <c r="D366" i="15"/>
  <c r="T367" i="1"/>
  <c r="A358" i="25"/>
  <c r="K357" i="25"/>
  <c r="AJ357" i="25"/>
  <c r="AB357" i="25"/>
  <c r="X357" i="25"/>
  <c r="L357" i="25"/>
  <c r="AK357" i="25"/>
  <c r="AC357" i="25"/>
  <c r="O357" i="25"/>
  <c r="X359" i="23"/>
  <c r="K359" i="23"/>
  <c r="AB359" i="23"/>
  <c r="AK359" i="23"/>
  <c r="A360" i="23"/>
  <c r="L359" i="23"/>
  <c r="AJ359" i="23"/>
  <c r="AC359" i="23"/>
  <c r="O359" i="23"/>
  <c r="K362" i="17"/>
  <c r="AB362" i="17"/>
  <c r="AJ362" i="17"/>
  <c r="L362" i="17"/>
  <c r="D362" i="17" s="1"/>
  <c r="A363" i="17"/>
  <c r="X362" i="17"/>
  <c r="AK362" i="17"/>
  <c r="O362" i="17"/>
  <c r="AC362" i="17"/>
  <c r="K358" i="24"/>
  <c r="AB358" i="24"/>
  <c r="AJ358" i="24"/>
  <c r="A359" i="24"/>
  <c r="L358" i="24"/>
  <c r="X358" i="24"/>
  <c r="AK358" i="24"/>
  <c r="AC358" i="24"/>
  <c r="O358" i="24"/>
  <c r="E366" i="15"/>
  <c r="AB367" i="15"/>
  <c r="A368" i="15"/>
  <c r="K367" i="15"/>
  <c r="L367" i="15"/>
  <c r="X367" i="15"/>
  <c r="AK367" i="15"/>
  <c r="AJ367" i="15"/>
  <c r="AC367" i="15"/>
  <c r="O367" i="15"/>
  <c r="S366" i="1"/>
  <c r="R366" i="1" s="1"/>
  <c r="P366" i="1" s="1"/>
  <c r="V366" i="1" s="1"/>
  <c r="F366" i="1" s="1"/>
  <c r="E362" i="17" l="1"/>
  <c r="G365" i="1"/>
  <c r="BW365" i="6" s="1"/>
  <c r="AA365" i="1"/>
  <c r="Z365" i="1" s="1"/>
  <c r="Y365" i="1" s="1"/>
  <c r="I365" i="1"/>
  <c r="AA366" i="1"/>
  <c r="Z366" i="1" s="1"/>
  <c r="Y366" i="1" s="1"/>
  <c r="G366" i="1"/>
  <c r="BW366" i="6" s="1"/>
  <c r="I366" i="1"/>
  <c r="X359" i="24"/>
  <c r="AB359" i="24"/>
  <c r="L359" i="24"/>
  <c r="AK359" i="24"/>
  <c r="K359" i="24"/>
  <c r="A360" i="24"/>
  <c r="AJ359" i="24"/>
  <c r="AC359" i="24"/>
  <c r="O359" i="24"/>
  <c r="AB363" i="17"/>
  <c r="AJ363" i="17"/>
  <c r="K363" i="17"/>
  <c r="AK363" i="17"/>
  <c r="A67" i="7"/>
  <c r="X363" i="17"/>
  <c r="A364" i="17"/>
  <c r="L363" i="17"/>
  <c r="O363" i="17"/>
  <c r="C67" i="7" s="1"/>
  <c r="AC363" i="17"/>
  <c r="L360" i="23"/>
  <c r="AB360" i="23"/>
  <c r="AJ360" i="23"/>
  <c r="K360" i="23"/>
  <c r="X360" i="23"/>
  <c r="A361" i="23"/>
  <c r="AK360" i="23"/>
  <c r="AC360" i="23"/>
  <c r="O360" i="23"/>
  <c r="S367" i="1"/>
  <c r="R367" i="1" s="1"/>
  <c r="P367" i="1" s="1"/>
  <c r="V367" i="1" s="1"/>
  <c r="X366" i="18"/>
  <c r="AB366" i="18"/>
  <c r="A367" i="18"/>
  <c r="K366" i="18"/>
  <c r="AJ366" i="18"/>
  <c r="L366" i="18"/>
  <c r="AK366" i="18"/>
  <c r="O366" i="18"/>
  <c r="AC366" i="18"/>
  <c r="T368" i="1"/>
  <c r="D361" i="16"/>
  <c r="AB361" i="22"/>
  <c r="L361" i="22"/>
  <c r="X361" i="22"/>
  <c r="AK361" i="22"/>
  <c r="A362" i="22"/>
  <c r="K361" i="22"/>
  <c r="AJ361" i="22"/>
  <c r="AC361" i="22"/>
  <c r="O361" i="22"/>
  <c r="D367" i="15"/>
  <c r="E367" i="15" s="1"/>
  <c r="AB368" i="15"/>
  <c r="L368" i="15"/>
  <c r="A369" i="15"/>
  <c r="AJ368" i="15"/>
  <c r="K368" i="15"/>
  <c r="X368" i="15"/>
  <c r="AK368" i="15"/>
  <c r="AC368" i="15"/>
  <c r="O368" i="15"/>
  <c r="K358" i="25"/>
  <c r="AB358" i="25"/>
  <c r="A359" i="25"/>
  <c r="AK358" i="25"/>
  <c r="L358" i="25"/>
  <c r="X358" i="25"/>
  <c r="AJ358" i="25"/>
  <c r="AC358" i="25"/>
  <c r="O358" i="25"/>
  <c r="L362" i="20"/>
  <c r="A363" i="20"/>
  <c r="AJ362" i="20"/>
  <c r="AB362" i="20"/>
  <c r="X362" i="20"/>
  <c r="K362" i="20"/>
  <c r="AK362" i="20"/>
  <c r="AC362" i="20"/>
  <c r="O362" i="20"/>
  <c r="D368" i="1"/>
  <c r="E368" i="1" s="1"/>
  <c r="AK369" i="1"/>
  <c r="K369" i="1"/>
  <c r="AC369" i="1"/>
  <c r="L369" i="1"/>
  <c r="D369" i="1" s="1"/>
  <c r="AB369" i="1"/>
  <c r="X369" i="1"/>
  <c r="O369" i="1"/>
  <c r="AJ369" i="1"/>
  <c r="A370" i="1"/>
  <c r="Q369" i="1"/>
  <c r="U369" i="1"/>
  <c r="E361" i="16"/>
  <c r="X362" i="16"/>
  <c r="K362" i="16"/>
  <c r="L362" i="16"/>
  <c r="AK362" i="16"/>
  <c r="AB362" i="16"/>
  <c r="A363" i="16"/>
  <c r="AJ362" i="16"/>
  <c r="AC362" i="16"/>
  <c r="O362" i="16"/>
  <c r="F367" i="1" l="1"/>
  <c r="G367" i="1" s="1"/>
  <c r="BW367" i="6" s="1"/>
  <c r="E369" i="1"/>
  <c r="T369" i="1"/>
  <c r="X370" i="1"/>
  <c r="AK370" i="1"/>
  <c r="U370" i="1"/>
  <c r="AJ370" i="1"/>
  <c r="K370" i="1"/>
  <c r="L370" i="1"/>
  <c r="D370" i="1" s="1"/>
  <c r="A371" i="1"/>
  <c r="O370" i="1"/>
  <c r="AB370" i="1"/>
  <c r="Q370" i="1"/>
  <c r="AC370" i="1"/>
  <c r="AE31" i="7"/>
  <c r="A364" i="20"/>
  <c r="L363" i="20"/>
  <c r="AK363" i="20"/>
  <c r="X363" i="20"/>
  <c r="AB363" i="20"/>
  <c r="K363" i="20"/>
  <c r="AJ363" i="20"/>
  <c r="AC363" i="20"/>
  <c r="O363" i="20"/>
  <c r="AG31" i="7" s="1"/>
  <c r="A360" i="25"/>
  <c r="L359" i="25"/>
  <c r="AJ359" i="25"/>
  <c r="AB359" i="25"/>
  <c r="K359" i="25"/>
  <c r="X359" i="25"/>
  <c r="AK359" i="25"/>
  <c r="AC359" i="25"/>
  <c r="O359" i="25"/>
  <c r="AB369" i="15"/>
  <c r="AJ369" i="15"/>
  <c r="X369" i="15"/>
  <c r="L369" i="15"/>
  <c r="K369" i="15"/>
  <c r="AK369" i="15"/>
  <c r="A370" i="15"/>
  <c r="AC369" i="15"/>
  <c r="O369" i="15"/>
  <c r="AB362" i="22"/>
  <c r="L362" i="22"/>
  <c r="AJ362" i="22"/>
  <c r="X362" i="22"/>
  <c r="K362" i="22"/>
  <c r="A363" i="22"/>
  <c r="AK362" i="22"/>
  <c r="AC362" i="22"/>
  <c r="O362" i="22"/>
  <c r="AB367" i="18"/>
  <c r="AJ367" i="18"/>
  <c r="A368" i="18"/>
  <c r="X367" i="18"/>
  <c r="K367" i="18"/>
  <c r="L367" i="18"/>
  <c r="AK367" i="18"/>
  <c r="O367" i="18"/>
  <c r="AC367" i="18"/>
  <c r="L364" i="17"/>
  <c r="D364" i="17" s="1"/>
  <c r="AB364" i="17"/>
  <c r="A365" i="17"/>
  <c r="AK364" i="17"/>
  <c r="K364" i="17"/>
  <c r="AJ364" i="17"/>
  <c r="X364" i="17"/>
  <c r="O364" i="17"/>
  <c r="AC364" i="17"/>
  <c r="D362" i="16"/>
  <c r="E362" i="16" s="1"/>
  <c r="A364" i="16"/>
  <c r="K363" i="16"/>
  <c r="AB363" i="16"/>
  <c r="AK363" i="16"/>
  <c r="A55" i="7"/>
  <c r="L363" i="16"/>
  <c r="X363" i="16"/>
  <c r="AJ363" i="16"/>
  <c r="AC363" i="16"/>
  <c r="O363" i="16"/>
  <c r="AA367" i="1"/>
  <c r="Z367" i="1" s="1"/>
  <c r="Y367" i="1" s="1"/>
  <c r="D368" i="15"/>
  <c r="E368" i="15" s="1"/>
  <c r="S368" i="1"/>
  <c r="R368" i="1" s="1"/>
  <c r="P368" i="1" s="1"/>
  <c r="V368" i="1" s="1"/>
  <c r="F368" i="1" s="1"/>
  <c r="L361" i="23"/>
  <c r="K361" i="23"/>
  <c r="AJ361" i="23"/>
  <c r="X361" i="23"/>
  <c r="AB361" i="23"/>
  <c r="A362" i="23"/>
  <c r="AK361" i="23"/>
  <c r="AC361" i="23"/>
  <c r="O361" i="23"/>
  <c r="B67" i="7"/>
  <c r="D363" i="17"/>
  <c r="E363" i="17" s="1"/>
  <c r="AB360" i="24"/>
  <c r="L360" i="24"/>
  <c r="A361" i="24"/>
  <c r="AK360" i="24"/>
  <c r="X360" i="24"/>
  <c r="K360" i="24"/>
  <c r="AJ360" i="24"/>
  <c r="AC360" i="24"/>
  <c r="O360" i="24"/>
  <c r="I367" i="1" l="1"/>
  <c r="E364" i="17"/>
  <c r="I368" i="1"/>
  <c r="AA368" i="1"/>
  <c r="Z368" i="1" s="1"/>
  <c r="Y368" i="1" s="1"/>
  <c r="G368" i="1"/>
  <c r="BW368" i="6" s="1"/>
  <c r="A362" i="24"/>
  <c r="L361" i="24"/>
  <c r="K361" i="24"/>
  <c r="AK361" i="24"/>
  <c r="AB361" i="24"/>
  <c r="X361" i="24"/>
  <c r="AJ361" i="24"/>
  <c r="AC361" i="24"/>
  <c r="O361" i="24"/>
  <c r="K362" i="23"/>
  <c r="A363" i="23"/>
  <c r="AB362" i="23"/>
  <c r="AK362" i="23"/>
  <c r="L362" i="23"/>
  <c r="X362" i="23"/>
  <c r="AJ362" i="23"/>
  <c r="AC362" i="23"/>
  <c r="O362" i="23"/>
  <c r="C55" i="7"/>
  <c r="D363" i="16"/>
  <c r="E363" i="16" s="1"/>
  <c r="B55" i="7"/>
  <c r="K363" i="22"/>
  <c r="A364" i="22"/>
  <c r="AB363" i="22"/>
  <c r="AJ363" i="22"/>
  <c r="AE43" i="7"/>
  <c r="L363" i="22"/>
  <c r="X363" i="22"/>
  <c r="AK363" i="22"/>
  <c r="AC363" i="22"/>
  <c r="O363" i="22"/>
  <c r="AG43" i="7" s="1"/>
  <c r="L370" i="15"/>
  <c r="D370" i="15" s="1"/>
  <c r="AK370" i="15"/>
  <c r="AB370" i="15"/>
  <c r="X370" i="15"/>
  <c r="K370" i="15"/>
  <c r="AJ370" i="15"/>
  <c r="A371" i="15"/>
  <c r="O370" i="15"/>
  <c r="AC370" i="15"/>
  <c r="AF31" i="7"/>
  <c r="X371" i="1"/>
  <c r="O371" i="1"/>
  <c r="U371" i="1"/>
  <c r="AJ371" i="1"/>
  <c r="AB371" i="1"/>
  <c r="K371" i="1"/>
  <c r="AK371" i="1"/>
  <c r="AC371" i="1"/>
  <c r="A372" i="1"/>
  <c r="L371" i="1"/>
  <c r="Q371" i="1"/>
  <c r="T370" i="1"/>
  <c r="S369" i="1"/>
  <c r="R369" i="1" s="1"/>
  <c r="P369" i="1" s="1"/>
  <c r="L364" i="16"/>
  <c r="A365" i="16"/>
  <c r="AJ364" i="16"/>
  <c r="AB364" i="16"/>
  <c r="K364" i="16"/>
  <c r="X364" i="16"/>
  <c r="AK364" i="16"/>
  <c r="AC364" i="16"/>
  <c r="O364" i="16"/>
  <c r="K365" i="17"/>
  <c r="X365" i="17"/>
  <c r="L365" i="17"/>
  <c r="D365" i="17" s="1"/>
  <c r="AK365" i="17"/>
  <c r="A366" i="17"/>
  <c r="AB365" i="17"/>
  <c r="AJ365" i="17"/>
  <c r="O365" i="17"/>
  <c r="AC365" i="17"/>
  <c r="A369" i="18"/>
  <c r="X368" i="18"/>
  <c r="AB368" i="18"/>
  <c r="AK368" i="18"/>
  <c r="K368" i="18"/>
  <c r="L368" i="18"/>
  <c r="AJ368" i="18"/>
  <c r="AC368" i="18"/>
  <c r="O368" i="18"/>
  <c r="D369" i="15"/>
  <c r="E369" i="15" s="1"/>
  <c r="L360" i="25"/>
  <c r="A361" i="25"/>
  <c r="AJ360" i="25"/>
  <c r="AB360" i="25"/>
  <c r="X360" i="25"/>
  <c r="K360" i="25"/>
  <c r="AK360" i="25"/>
  <c r="AC360" i="25"/>
  <c r="O360" i="25"/>
  <c r="A365" i="20"/>
  <c r="AB364" i="20"/>
  <c r="AJ364" i="20"/>
  <c r="K364" i="20"/>
  <c r="X364" i="20"/>
  <c r="L364" i="20"/>
  <c r="AK364" i="20"/>
  <c r="AC364" i="20"/>
  <c r="O364" i="20"/>
  <c r="E370" i="1"/>
  <c r="E365" i="17" l="1"/>
  <c r="E370" i="15"/>
  <c r="V369" i="1"/>
  <c r="F369" i="1" s="1"/>
  <c r="L365" i="20"/>
  <c r="X365" i="20"/>
  <c r="AJ365" i="20"/>
  <c r="AB365" i="20"/>
  <c r="A366" i="20"/>
  <c r="K365" i="20"/>
  <c r="AK365" i="20"/>
  <c r="AC365" i="20"/>
  <c r="O365" i="20"/>
  <c r="K361" i="25"/>
  <c r="X361" i="25"/>
  <c r="AJ361" i="25"/>
  <c r="A362" i="25"/>
  <c r="L361" i="25"/>
  <c r="AB361" i="25"/>
  <c r="AK361" i="25"/>
  <c r="AC361" i="25"/>
  <c r="O361" i="25"/>
  <c r="L369" i="18"/>
  <c r="A370" i="18"/>
  <c r="AJ369" i="18"/>
  <c r="AB369" i="18"/>
  <c r="X369" i="18"/>
  <c r="K369" i="18"/>
  <c r="AK369" i="18"/>
  <c r="O369" i="18"/>
  <c r="AC369" i="18"/>
  <c r="D364" i="16"/>
  <c r="E364" i="16" s="1"/>
  <c r="D371" i="1"/>
  <c r="E371" i="1" s="1"/>
  <c r="AK371" i="15"/>
  <c r="A372" i="15"/>
  <c r="L371" i="15"/>
  <c r="AB371" i="15"/>
  <c r="K371" i="15"/>
  <c r="AJ371" i="15"/>
  <c r="X371" i="15"/>
  <c r="AC371" i="15"/>
  <c r="O371" i="15"/>
  <c r="AF43" i="7"/>
  <c r="A364" i="23"/>
  <c r="L363" i="23"/>
  <c r="AE55" i="7"/>
  <c r="AJ363" i="23"/>
  <c r="X363" i="23"/>
  <c r="AB363" i="23"/>
  <c r="K363" i="23"/>
  <c r="AK363" i="23"/>
  <c r="AC363" i="23"/>
  <c r="O363" i="23"/>
  <c r="AG55" i="7" s="1"/>
  <c r="X362" i="24"/>
  <c r="A363" i="24"/>
  <c r="K362" i="24"/>
  <c r="AK362" i="24"/>
  <c r="AB362" i="24"/>
  <c r="L362" i="24"/>
  <c r="AJ362" i="24"/>
  <c r="AC362" i="24"/>
  <c r="O362" i="24"/>
  <c r="K366" i="17"/>
  <c r="AJ366" i="17"/>
  <c r="AB366" i="17"/>
  <c r="AK366" i="17"/>
  <c r="X366" i="17"/>
  <c r="A367" i="17"/>
  <c r="L366" i="17"/>
  <c r="O366" i="17"/>
  <c r="AC366" i="17"/>
  <c r="K365" i="16"/>
  <c r="A366" i="16"/>
  <c r="X365" i="16"/>
  <c r="AK365" i="16"/>
  <c r="L365" i="16"/>
  <c r="AJ365" i="16"/>
  <c r="AB365" i="16"/>
  <c r="AC365" i="16"/>
  <c r="O365" i="16"/>
  <c r="S370" i="1"/>
  <c r="R370" i="1" s="1"/>
  <c r="P370" i="1" s="1"/>
  <c r="V370" i="1" s="1"/>
  <c r="X372" i="1"/>
  <c r="K372" i="1"/>
  <c r="AJ372" i="1"/>
  <c r="AC372" i="1"/>
  <c r="L372" i="1"/>
  <c r="U372" i="1"/>
  <c r="AB372" i="1"/>
  <c r="Q372" i="1"/>
  <c r="A373" i="1"/>
  <c r="AK372" i="1"/>
  <c r="O372" i="1"/>
  <c r="T371" i="1"/>
  <c r="K364" i="22"/>
  <c r="A365" i="22"/>
  <c r="X364" i="22"/>
  <c r="AK364" i="22"/>
  <c r="AB364" i="22"/>
  <c r="L364" i="22"/>
  <c r="AJ364" i="22"/>
  <c r="AC364" i="22"/>
  <c r="O364" i="22"/>
  <c r="AB365" i="22" l="1"/>
  <c r="X365" i="22"/>
  <c r="L365" i="22"/>
  <c r="AK365" i="22"/>
  <c r="A366" i="22"/>
  <c r="K365" i="22"/>
  <c r="AJ365" i="22"/>
  <c r="AC365" i="22"/>
  <c r="O365" i="22"/>
  <c r="S371" i="1"/>
  <c r="R371" i="1" s="1"/>
  <c r="P371" i="1" s="1"/>
  <c r="V371" i="1" s="1"/>
  <c r="F371" i="1" s="1"/>
  <c r="T372" i="1"/>
  <c r="D365" i="16"/>
  <c r="E365" i="16" s="1"/>
  <c r="A368" i="17"/>
  <c r="L367" i="17"/>
  <c r="AJ367" i="17"/>
  <c r="X367" i="17"/>
  <c r="AB367" i="17"/>
  <c r="K367" i="17"/>
  <c r="AK367" i="17"/>
  <c r="O367" i="17"/>
  <c r="AC367" i="17"/>
  <c r="AB363" i="24"/>
  <c r="A364" i="24"/>
  <c r="L363" i="24"/>
  <c r="AK363" i="24"/>
  <c r="K363" i="24"/>
  <c r="AE67" i="7"/>
  <c r="X363" i="24"/>
  <c r="AJ363" i="24"/>
  <c r="AC363" i="24"/>
  <c r="O363" i="24"/>
  <c r="AG67" i="7" s="1"/>
  <c r="X364" i="23"/>
  <c r="L364" i="23"/>
  <c r="AJ364" i="23"/>
  <c r="AB364" i="23"/>
  <c r="A365" i="23"/>
  <c r="K364" i="23"/>
  <c r="AK364" i="23"/>
  <c r="AC364" i="23"/>
  <c r="O364" i="23"/>
  <c r="AB372" i="15"/>
  <c r="X372" i="15"/>
  <c r="A373" i="15"/>
  <c r="K372" i="15"/>
  <c r="AJ372" i="15"/>
  <c r="L372" i="15"/>
  <c r="AK372" i="15"/>
  <c r="AC372" i="15"/>
  <c r="O372" i="15"/>
  <c r="I369" i="1"/>
  <c r="AA369" i="1"/>
  <c r="Z369" i="1" s="1"/>
  <c r="Y369" i="1" s="1"/>
  <c r="G369" i="1"/>
  <c r="BW369" i="6" s="1"/>
  <c r="X373" i="1"/>
  <c r="AB373" i="1"/>
  <c r="AJ373" i="1"/>
  <c r="L373" i="1"/>
  <c r="AC373" i="1"/>
  <c r="A374" i="1"/>
  <c r="K373" i="1"/>
  <c r="O373" i="1"/>
  <c r="Q373" i="1"/>
  <c r="AK373" i="1"/>
  <c r="U373" i="1"/>
  <c r="D372" i="1"/>
  <c r="E372" i="1" s="1"/>
  <c r="K366" i="16"/>
  <c r="A367" i="16"/>
  <c r="AJ366" i="16"/>
  <c r="AB366" i="16"/>
  <c r="L366" i="16"/>
  <c r="X366" i="16"/>
  <c r="AK366" i="16"/>
  <c r="AC366" i="16"/>
  <c r="O366" i="16"/>
  <c r="D366" i="17"/>
  <c r="E366" i="17" s="1"/>
  <c r="AF55" i="7"/>
  <c r="D371" i="15"/>
  <c r="E371" i="15" s="1"/>
  <c r="AB370" i="18"/>
  <c r="A371" i="18"/>
  <c r="K370" i="18"/>
  <c r="AK370" i="18"/>
  <c r="X370" i="18"/>
  <c r="L370" i="18"/>
  <c r="AJ370" i="18"/>
  <c r="O370" i="18"/>
  <c r="AC370" i="18"/>
  <c r="X362" i="25"/>
  <c r="L362" i="25"/>
  <c r="AJ362" i="25"/>
  <c r="K362" i="25"/>
  <c r="AB362" i="25"/>
  <c r="A363" i="25"/>
  <c r="AK362" i="25"/>
  <c r="AC362" i="25"/>
  <c r="O362" i="25"/>
  <c r="AB366" i="20"/>
  <c r="K366" i="20"/>
  <c r="X366" i="20"/>
  <c r="AK366" i="20"/>
  <c r="L366" i="20"/>
  <c r="A367" i="20"/>
  <c r="AJ366" i="20"/>
  <c r="AC366" i="20"/>
  <c r="O366" i="20"/>
  <c r="F370" i="1"/>
  <c r="AA371" i="1" l="1"/>
  <c r="Z371" i="1" s="1"/>
  <c r="Y371" i="1" s="1"/>
  <c r="G371" i="1"/>
  <c r="BW371" i="6" s="1"/>
  <c r="I371" i="1"/>
  <c r="G370" i="1"/>
  <c r="BW370" i="6" s="1"/>
  <c r="I370" i="1"/>
  <c r="AA370" i="1"/>
  <c r="Z370" i="1" s="1"/>
  <c r="Y370" i="1" s="1"/>
  <c r="A368" i="20"/>
  <c r="AB367" i="20"/>
  <c r="AJ367" i="20"/>
  <c r="X367" i="20"/>
  <c r="L367" i="20"/>
  <c r="K367" i="20"/>
  <c r="AK367" i="20"/>
  <c r="AC367" i="20"/>
  <c r="O367" i="20"/>
  <c r="K371" i="18"/>
  <c r="L371" i="18"/>
  <c r="X371" i="18"/>
  <c r="AK371" i="18"/>
  <c r="A372" i="18"/>
  <c r="AJ371" i="18"/>
  <c r="AB371" i="18"/>
  <c r="O371" i="18"/>
  <c r="AC371" i="18"/>
  <c r="D366" i="16"/>
  <c r="E366" i="16" s="1"/>
  <c r="K367" i="16"/>
  <c r="L367" i="16"/>
  <c r="X367" i="16"/>
  <c r="AK367" i="16"/>
  <c r="AB367" i="16"/>
  <c r="A368" i="16"/>
  <c r="AJ367" i="16"/>
  <c r="AC367" i="16"/>
  <c r="O367" i="16"/>
  <c r="T373" i="1"/>
  <c r="D372" i="15"/>
  <c r="E372" i="15" s="1"/>
  <c r="A374" i="15"/>
  <c r="AK373" i="15"/>
  <c r="L373" i="15"/>
  <c r="AJ373" i="15"/>
  <c r="K373" i="15"/>
  <c r="AB373" i="15"/>
  <c r="X373" i="15"/>
  <c r="AC373" i="15"/>
  <c r="O373" i="15"/>
  <c r="X364" i="24"/>
  <c r="L364" i="24"/>
  <c r="A365" i="24"/>
  <c r="AK364" i="24"/>
  <c r="AB364" i="24"/>
  <c r="K364" i="24"/>
  <c r="AJ364" i="24"/>
  <c r="AC364" i="24"/>
  <c r="O364" i="24"/>
  <c r="K368" i="17"/>
  <c r="AJ368" i="17"/>
  <c r="A369" i="17"/>
  <c r="AB368" i="17"/>
  <c r="L368" i="17"/>
  <c r="X368" i="17"/>
  <c r="AK368" i="17"/>
  <c r="O368" i="17"/>
  <c r="AC368" i="17"/>
  <c r="S372" i="1"/>
  <c r="R372" i="1" s="1"/>
  <c r="P372" i="1" s="1"/>
  <c r="V372" i="1" s="1"/>
  <c r="F372" i="1" s="1"/>
  <c r="K366" i="22"/>
  <c r="A367" i="22"/>
  <c r="AJ366" i="22"/>
  <c r="AB366" i="22"/>
  <c r="X366" i="22"/>
  <c r="L366" i="22"/>
  <c r="AK366" i="22"/>
  <c r="AC366" i="22"/>
  <c r="O366" i="22"/>
  <c r="AB363" i="25"/>
  <c r="AE79" i="7"/>
  <c r="X363" i="25"/>
  <c r="AK363" i="25"/>
  <c r="A364" i="25"/>
  <c r="L363" i="25"/>
  <c r="K363" i="25"/>
  <c r="AJ363" i="25"/>
  <c r="AC363" i="25"/>
  <c r="O363" i="25"/>
  <c r="AG79" i="7" s="1"/>
  <c r="K374" i="1"/>
  <c r="X374" i="1"/>
  <c r="AC374" i="1"/>
  <c r="AJ374" i="1"/>
  <c r="O374" i="1"/>
  <c r="Q374" i="1"/>
  <c r="AB374" i="1"/>
  <c r="U374" i="1"/>
  <c r="A375" i="1"/>
  <c r="L374" i="1"/>
  <c r="D374" i="1" s="1"/>
  <c r="AK374" i="1"/>
  <c r="D373" i="1"/>
  <c r="E373" i="1" s="1"/>
  <c r="A366" i="23"/>
  <c r="L365" i="23"/>
  <c r="X365" i="23"/>
  <c r="AK365" i="23"/>
  <c r="AB365" i="23"/>
  <c r="K365" i="23"/>
  <c r="AJ365" i="23"/>
  <c r="AC365" i="23"/>
  <c r="O365" i="23"/>
  <c r="AF67" i="7"/>
  <c r="D367" i="17"/>
  <c r="E367" i="17" s="1"/>
  <c r="T374" i="1" l="1"/>
  <c r="AB366" i="23"/>
  <c r="X366" i="23"/>
  <c r="AJ366" i="23"/>
  <c r="A367" i="23"/>
  <c r="L366" i="23"/>
  <c r="K366" i="23"/>
  <c r="AK366" i="23"/>
  <c r="AC366" i="23"/>
  <c r="O366" i="23"/>
  <c r="X375" i="1"/>
  <c r="L375" i="1"/>
  <c r="O375" i="1"/>
  <c r="AJ375" i="1"/>
  <c r="AB375" i="1"/>
  <c r="AC375" i="1"/>
  <c r="K375" i="1"/>
  <c r="A376" i="1"/>
  <c r="Q375" i="1"/>
  <c r="AK375" i="1"/>
  <c r="U375" i="1"/>
  <c r="E374" i="1"/>
  <c r="AF79" i="7"/>
  <c r="D368" i="17"/>
  <c r="E368" i="17" s="1"/>
  <c r="A366" i="24"/>
  <c r="L365" i="24"/>
  <c r="K365" i="24"/>
  <c r="AK365" i="24"/>
  <c r="AB365" i="24"/>
  <c r="X365" i="24"/>
  <c r="AJ365" i="24"/>
  <c r="AC365" i="24"/>
  <c r="O365" i="24"/>
  <c r="S373" i="1"/>
  <c r="R373" i="1" s="1"/>
  <c r="P373" i="1" s="1"/>
  <c r="V373" i="1" s="1"/>
  <c r="A373" i="18"/>
  <c r="L372" i="18"/>
  <c r="AJ372" i="18"/>
  <c r="K372" i="18"/>
  <c r="AB372" i="18"/>
  <c r="X372" i="18"/>
  <c r="AK372" i="18"/>
  <c r="AC372" i="18"/>
  <c r="O372" i="18"/>
  <c r="A369" i="20"/>
  <c r="X368" i="20"/>
  <c r="L368" i="20"/>
  <c r="AK368" i="20"/>
  <c r="K368" i="20"/>
  <c r="AB368" i="20"/>
  <c r="AJ368" i="20"/>
  <c r="AC368" i="20"/>
  <c r="O368" i="20"/>
  <c r="AB364" i="25"/>
  <c r="K364" i="25"/>
  <c r="X364" i="25"/>
  <c r="AK364" i="25"/>
  <c r="A365" i="25"/>
  <c r="L364" i="25"/>
  <c r="AJ364" i="25"/>
  <c r="AC364" i="25"/>
  <c r="O364" i="25"/>
  <c r="A368" i="22"/>
  <c r="X367" i="22"/>
  <c r="K367" i="22"/>
  <c r="AK367" i="22"/>
  <c r="AB367" i="22"/>
  <c r="L367" i="22"/>
  <c r="AJ367" i="22"/>
  <c r="AC367" i="22"/>
  <c r="O367" i="22"/>
  <c r="I372" i="1"/>
  <c r="G372" i="1"/>
  <c r="BW372" i="6" s="1"/>
  <c r="AA372" i="1"/>
  <c r="Z372" i="1" s="1"/>
  <c r="Y372" i="1" s="1"/>
  <c r="AB369" i="17"/>
  <c r="K369" i="17"/>
  <c r="AJ369" i="17"/>
  <c r="X369" i="17"/>
  <c r="L369" i="17"/>
  <c r="A370" i="17"/>
  <c r="AK369" i="17"/>
  <c r="O369" i="17"/>
  <c r="AC369" i="17"/>
  <c r="D373" i="15"/>
  <c r="E373" i="15" s="1"/>
  <c r="AK374" i="15"/>
  <c r="A375" i="15"/>
  <c r="L374" i="15"/>
  <c r="AJ374" i="15"/>
  <c r="X374" i="15"/>
  <c r="AB374" i="15"/>
  <c r="K374" i="15"/>
  <c r="AC374" i="15"/>
  <c r="O374" i="15"/>
  <c r="AB368" i="16"/>
  <c r="A369" i="16"/>
  <c r="L368" i="16"/>
  <c r="AK368" i="16"/>
  <c r="K368" i="16"/>
  <c r="X368" i="16"/>
  <c r="AJ368" i="16"/>
  <c r="AC368" i="16"/>
  <c r="O368" i="16"/>
  <c r="D367" i="16"/>
  <c r="E367" i="16" s="1"/>
  <c r="L375" i="15" l="1"/>
  <c r="X375" i="15"/>
  <c r="K375" i="15"/>
  <c r="A376" i="15"/>
  <c r="AK375" i="15"/>
  <c r="AB375" i="15"/>
  <c r="AJ375" i="15"/>
  <c r="AC375" i="15"/>
  <c r="O375" i="15"/>
  <c r="X365" i="25"/>
  <c r="L365" i="25"/>
  <c r="AJ365" i="25"/>
  <c r="AB365" i="25"/>
  <c r="K365" i="25"/>
  <c r="A366" i="25"/>
  <c r="AK365" i="25"/>
  <c r="AC365" i="25"/>
  <c r="O365" i="25"/>
  <c r="AB366" i="24"/>
  <c r="K366" i="24"/>
  <c r="A367" i="24"/>
  <c r="AK366" i="24"/>
  <c r="X366" i="24"/>
  <c r="L366" i="24"/>
  <c r="AJ366" i="24"/>
  <c r="AC366" i="24"/>
  <c r="O366" i="24"/>
  <c r="AC376" i="1"/>
  <c r="X376" i="1"/>
  <c r="AB376" i="1"/>
  <c r="O376" i="1"/>
  <c r="U376" i="1"/>
  <c r="AJ376" i="1"/>
  <c r="K376" i="1"/>
  <c r="L376" i="1"/>
  <c r="D376" i="1" s="1"/>
  <c r="E376" i="1" s="1"/>
  <c r="A377" i="1"/>
  <c r="AK376" i="1"/>
  <c r="Q376" i="1"/>
  <c r="D375" i="1"/>
  <c r="E375" i="1" s="1"/>
  <c r="F373" i="1"/>
  <c r="L369" i="16"/>
  <c r="K369" i="16"/>
  <c r="X369" i="16"/>
  <c r="AK369" i="16"/>
  <c r="AB369" i="16"/>
  <c r="A370" i="16"/>
  <c r="AJ369" i="16"/>
  <c r="AC369" i="16"/>
  <c r="O369" i="16"/>
  <c r="D374" i="15"/>
  <c r="E374" i="15" s="1"/>
  <c r="K370" i="17"/>
  <c r="AB370" i="17"/>
  <c r="A371" i="17"/>
  <c r="X370" i="17"/>
  <c r="AJ370" i="17"/>
  <c r="L370" i="17"/>
  <c r="D370" i="17" s="1"/>
  <c r="AK370" i="17"/>
  <c r="O370" i="17"/>
  <c r="E370" i="17" s="1"/>
  <c r="AC370" i="17"/>
  <c r="K368" i="22"/>
  <c r="AB368" i="22"/>
  <c r="X368" i="22"/>
  <c r="AK368" i="22"/>
  <c r="L368" i="22"/>
  <c r="A369" i="22"/>
  <c r="AJ368" i="22"/>
  <c r="AC368" i="22"/>
  <c r="O368" i="22"/>
  <c r="L369" i="20"/>
  <c r="A370" i="20"/>
  <c r="AJ369" i="20"/>
  <c r="K369" i="20"/>
  <c r="AB369" i="20"/>
  <c r="X369" i="20"/>
  <c r="AK369" i="20"/>
  <c r="AC369" i="20"/>
  <c r="O369" i="20"/>
  <c r="A374" i="18"/>
  <c r="K373" i="18"/>
  <c r="X373" i="18"/>
  <c r="AK373" i="18"/>
  <c r="AB373" i="18"/>
  <c r="AJ373" i="18"/>
  <c r="L373" i="18"/>
  <c r="O373" i="18"/>
  <c r="AC373" i="18"/>
  <c r="T375" i="1"/>
  <c r="K367" i="23"/>
  <c r="A368" i="23"/>
  <c r="X367" i="23"/>
  <c r="AK367" i="23"/>
  <c r="L367" i="23"/>
  <c r="AB367" i="23"/>
  <c r="AJ367" i="23"/>
  <c r="AC367" i="23"/>
  <c r="O367" i="23"/>
  <c r="S374" i="1"/>
  <c r="R374" i="1" s="1"/>
  <c r="P374" i="1" s="1"/>
  <c r="D368" i="16"/>
  <c r="E368" i="16" s="1"/>
  <c r="D369" i="17"/>
  <c r="E369" i="17" s="1"/>
  <c r="V374" i="1" l="1"/>
  <c r="F374" i="1" s="1"/>
  <c r="S375" i="1"/>
  <c r="R375" i="1" s="1"/>
  <c r="P375" i="1" s="1"/>
  <c r="X370" i="20"/>
  <c r="AB370" i="20"/>
  <c r="A371" i="20"/>
  <c r="AK370" i="20"/>
  <c r="K370" i="20"/>
  <c r="L370" i="20"/>
  <c r="AJ370" i="20"/>
  <c r="AC370" i="20"/>
  <c r="O370" i="20"/>
  <c r="AB370" i="16"/>
  <c r="K370" i="16"/>
  <c r="AJ370" i="16"/>
  <c r="A371" i="16"/>
  <c r="L370" i="16"/>
  <c r="X370" i="16"/>
  <c r="AK370" i="16"/>
  <c r="AC370" i="16"/>
  <c r="O370" i="16"/>
  <c r="I373" i="1"/>
  <c r="AA373" i="1"/>
  <c r="Z373" i="1" s="1"/>
  <c r="Y373" i="1" s="1"/>
  <c r="G373" i="1"/>
  <c r="BW373" i="6" s="1"/>
  <c r="K377" i="1"/>
  <c r="O377" i="1"/>
  <c r="AB377" i="1"/>
  <c r="Q377" i="1"/>
  <c r="X377" i="1"/>
  <c r="L377" i="1"/>
  <c r="D377" i="1" s="1"/>
  <c r="AC377" i="1"/>
  <c r="A378" i="1"/>
  <c r="AJ377" i="1"/>
  <c r="AK377" i="1"/>
  <c r="U377" i="1"/>
  <c r="T376" i="1"/>
  <c r="X366" i="25"/>
  <c r="A367" i="25"/>
  <c r="AB366" i="25"/>
  <c r="AK366" i="25"/>
  <c r="L366" i="25"/>
  <c r="K366" i="25"/>
  <c r="AJ366" i="25"/>
  <c r="AC366" i="25"/>
  <c r="O366" i="25"/>
  <c r="D375" i="15"/>
  <c r="E375" i="15" s="1"/>
  <c r="K368" i="23"/>
  <c r="AB368" i="23"/>
  <c r="AJ368" i="23"/>
  <c r="A369" i="23"/>
  <c r="X368" i="23"/>
  <c r="L368" i="23"/>
  <c r="AK368" i="23"/>
  <c r="AC368" i="23"/>
  <c r="O368" i="23"/>
  <c r="L374" i="18"/>
  <c r="AJ374" i="18"/>
  <c r="AB374" i="18"/>
  <c r="AK374" i="18"/>
  <c r="X374" i="18"/>
  <c r="A375" i="18"/>
  <c r="K374" i="18"/>
  <c r="O374" i="18"/>
  <c r="AC374" i="18"/>
  <c r="AB369" i="22"/>
  <c r="A370" i="22"/>
  <c r="AJ369" i="22"/>
  <c r="K369" i="22"/>
  <c r="L369" i="22"/>
  <c r="X369" i="22"/>
  <c r="AK369" i="22"/>
  <c r="AC369" i="22"/>
  <c r="O369" i="22"/>
  <c r="X371" i="17"/>
  <c r="A372" i="17"/>
  <c r="AJ371" i="17"/>
  <c r="AB371" i="17"/>
  <c r="L371" i="17"/>
  <c r="D371" i="17" s="1"/>
  <c r="K371" i="17"/>
  <c r="AK371" i="17"/>
  <c r="O371" i="17"/>
  <c r="AC371" i="17"/>
  <c r="D369" i="16"/>
  <c r="E369" i="16" s="1"/>
  <c r="A368" i="24"/>
  <c r="L367" i="24"/>
  <c r="AJ367" i="24"/>
  <c r="AB367" i="24"/>
  <c r="X367" i="24"/>
  <c r="K367" i="24"/>
  <c r="AK367" i="24"/>
  <c r="AC367" i="24"/>
  <c r="O367" i="24"/>
  <c r="A377" i="15"/>
  <c r="AB376" i="15"/>
  <c r="AJ376" i="15"/>
  <c r="L376" i="15"/>
  <c r="D376" i="15" s="1"/>
  <c r="X376" i="15"/>
  <c r="K376" i="15"/>
  <c r="AK376" i="15"/>
  <c r="AC376" i="15"/>
  <c r="O376" i="15"/>
  <c r="E376" i="15" l="1"/>
  <c r="E371" i="17"/>
  <c r="V375" i="1"/>
  <c r="F375" i="1" s="1"/>
  <c r="AA374" i="1"/>
  <c r="Z374" i="1" s="1"/>
  <c r="Y374" i="1" s="1"/>
  <c r="G374" i="1"/>
  <c r="BW374" i="6" s="1"/>
  <c r="I374" i="1"/>
  <c r="K372" i="17"/>
  <c r="AJ372" i="17"/>
  <c r="A373" i="17"/>
  <c r="AK372" i="17"/>
  <c r="AB372" i="17"/>
  <c r="L372" i="17"/>
  <c r="D372" i="17" s="1"/>
  <c r="X372" i="17"/>
  <c r="O372" i="17"/>
  <c r="AC372" i="17"/>
  <c r="AB369" i="23"/>
  <c r="K369" i="23"/>
  <c r="L369" i="23"/>
  <c r="AK369" i="23"/>
  <c r="A370" i="23"/>
  <c r="X369" i="23"/>
  <c r="AJ369" i="23"/>
  <c r="AC369" i="23"/>
  <c r="O369" i="23"/>
  <c r="L367" i="25"/>
  <c r="A368" i="25"/>
  <c r="AJ367" i="25"/>
  <c r="AB367" i="25"/>
  <c r="X367" i="25"/>
  <c r="K367" i="25"/>
  <c r="AK367" i="25"/>
  <c r="AC367" i="25"/>
  <c r="O367" i="25"/>
  <c r="S376" i="1"/>
  <c r="R376" i="1" s="1"/>
  <c r="P376" i="1" s="1"/>
  <c r="T377" i="1"/>
  <c r="K371" i="16"/>
  <c r="AB371" i="16"/>
  <c r="X371" i="16"/>
  <c r="A372" i="16"/>
  <c r="AJ371" i="16"/>
  <c r="L371" i="16"/>
  <c r="AK371" i="16"/>
  <c r="AC371" i="16"/>
  <c r="O371" i="16"/>
  <c r="A372" i="20"/>
  <c r="AB371" i="20"/>
  <c r="AJ371" i="20"/>
  <c r="X371" i="20"/>
  <c r="L371" i="20"/>
  <c r="K371" i="20"/>
  <c r="AK371" i="20"/>
  <c r="AC371" i="20"/>
  <c r="O371" i="20"/>
  <c r="A378" i="15"/>
  <c r="AJ377" i="15"/>
  <c r="L377" i="15"/>
  <c r="K377" i="15"/>
  <c r="X377" i="15"/>
  <c r="AK377" i="15"/>
  <c r="AB377" i="15"/>
  <c r="AC377" i="15"/>
  <c r="O377" i="15"/>
  <c r="AB368" i="24"/>
  <c r="L368" i="24"/>
  <c r="A369" i="24"/>
  <c r="AK368" i="24"/>
  <c r="X368" i="24"/>
  <c r="K368" i="24"/>
  <c r="AJ368" i="24"/>
  <c r="AC368" i="24"/>
  <c r="O368" i="24"/>
  <c r="X370" i="22"/>
  <c r="A371" i="22"/>
  <c r="K370" i="22"/>
  <c r="AK370" i="22"/>
  <c r="AB370" i="22"/>
  <c r="L370" i="22"/>
  <c r="AJ370" i="22"/>
  <c r="AC370" i="22"/>
  <c r="O370" i="22"/>
  <c r="L375" i="18"/>
  <c r="X375" i="18"/>
  <c r="AJ375" i="18"/>
  <c r="K375" i="18"/>
  <c r="A376" i="18"/>
  <c r="AB375" i="18"/>
  <c r="AK375" i="18"/>
  <c r="AC375" i="18"/>
  <c r="O375" i="18"/>
  <c r="AJ378" i="1"/>
  <c r="Q378" i="1"/>
  <c r="A379" i="1"/>
  <c r="K378" i="1"/>
  <c r="L378" i="1"/>
  <c r="AC378" i="1"/>
  <c r="O378" i="1"/>
  <c r="AK378" i="1"/>
  <c r="U378" i="1"/>
  <c r="X378" i="1"/>
  <c r="AB378" i="1"/>
  <c r="E377" i="1"/>
  <c r="D370" i="16"/>
  <c r="E370" i="16" s="1"/>
  <c r="AB371" i="22" l="1"/>
  <c r="L371" i="22"/>
  <c r="AJ371" i="22"/>
  <c r="X371" i="22"/>
  <c r="A372" i="22"/>
  <c r="K371" i="22"/>
  <c r="AK371" i="22"/>
  <c r="AC371" i="22"/>
  <c r="O371" i="22"/>
  <c r="X369" i="24"/>
  <c r="A370" i="24"/>
  <c r="AJ369" i="24"/>
  <c r="AB369" i="24"/>
  <c r="K369" i="24"/>
  <c r="L369" i="24"/>
  <c r="AK369" i="24"/>
  <c r="AC369" i="24"/>
  <c r="O369" i="24"/>
  <c r="D377" i="15"/>
  <c r="E377" i="15" s="1"/>
  <c r="X378" i="15"/>
  <c r="AJ378" i="15"/>
  <c r="K378" i="15"/>
  <c r="AB378" i="15"/>
  <c r="L378" i="15"/>
  <c r="D378" i="15" s="1"/>
  <c r="A379" i="15"/>
  <c r="AK378" i="15"/>
  <c r="AC378" i="15"/>
  <c r="O378" i="15"/>
  <c r="K372" i="20"/>
  <c r="AB372" i="20"/>
  <c r="X372" i="20"/>
  <c r="AK372" i="20"/>
  <c r="A373" i="20"/>
  <c r="L372" i="20"/>
  <c r="AJ372" i="20"/>
  <c r="AC372" i="20"/>
  <c r="O372" i="20"/>
  <c r="V376" i="1"/>
  <c r="F376" i="1" s="1"/>
  <c r="A374" i="17"/>
  <c r="L373" i="17"/>
  <c r="D373" i="17" s="1"/>
  <c r="AB373" i="17"/>
  <c r="AK373" i="17"/>
  <c r="K373" i="17"/>
  <c r="X373" i="17"/>
  <c r="AJ373" i="17"/>
  <c r="O373" i="17"/>
  <c r="E373" i="17" s="1"/>
  <c r="AC373" i="17"/>
  <c r="I375" i="1"/>
  <c r="G375" i="1"/>
  <c r="BW375" i="6" s="1"/>
  <c r="AA375" i="1"/>
  <c r="Z375" i="1" s="1"/>
  <c r="Y375" i="1" s="1"/>
  <c r="T378" i="1"/>
  <c r="D378" i="1"/>
  <c r="E378" i="1" s="1"/>
  <c r="AJ379" i="1"/>
  <c r="AC379" i="1"/>
  <c r="L379" i="1"/>
  <c r="B35" i="19" s="1"/>
  <c r="O379" i="1"/>
  <c r="C35" i="19" s="1"/>
  <c r="U379" i="1"/>
  <c r="K379" i="1"/>
  <c r="Q379" i="1"/>
  <c r="AK379" i="1"/>
  <c r="AB379" i="1"/>
  <c r="X379" i="1"/>
  <c r="A377" i="18"/>
  <c r="K376" i="18"/>
  <c r="X376" i="18"/>
  <c r="L376" i="18"/>
  <c r="AJ376" i="18"/>
  <c r="AB376" i="18"/>
  <c r="AK376" i="18"/>
  <c r="O376" i="18"/>
  <c r="AC376" i="18"/>
  <c r="D371" i="16"/>
  <c r="E371" i="16" s="1"/>
  <c r="A373" i="16"/>
  <c r="L372" i="16"/>
  <c r="K372" i="16"/>
  <c r="AK372" i="16"/>
  <c r="X372" i="16"/>
  <c r="AB372" i="16"/>
  <c r="AJ372" i="16"/>
  <c r="AC372" i="16"/>
  <c r="O372" i="16"/>
  <c r="S377" i="1"/>
  <c r="R377" i="1" s="1"/>
  <c r="P377" i="1" s="1"/>
  <c r="V377" i="1" s="1"/>
  <c r="A369" i="25"/>
  <c r="K368" i="25"/>
  <c r="L368" i="25"/>
  <c r="AK368" i="25"/>
  <c r="X368" i="25"/>
  <c r="AB368" i="25"/>
  <c r="AJ368" i="25"/>
  <c r="AC368" i="25"/>
  <c r="O368" i="25"/>
  <c r="L370" i="23"/>
  <c r="AB370" i="23"/>
  <c r="AJ370" i="23"/>
  <c r="K370" i="23"/>
  <c r="A371" i="23"/>
  <c r="X370" i="23"/>
  <c r="AK370" i="23"/>
  <c r="AC370" i="23"/>
  <c r="O370" i="23"/>
  <c r="E372" i="17"/>
  <c r="E378" i="15" l="1"/>
  <c r="A372" i="23"/>
  <c r="K371" i="23"/>
  <c r="AJ371" i="23"/>
  <c r="AB371" i="23"/>
  <c r="L371" i="23"/>
  <c r="X371" i="23"/>
  <c r="AK371" i="23"/>
  <c r="AC371" i="23"/>
  <c r="O371" i="23"/>
  <c r="X369" i="25"/>
  <c r="L369" i="25"/>
  <c r="AJ369" i="25"/>
  <c r="A370" i="25"/>
  <c r="K369" i="25"/>
  <c r="AB369" i="25"/>
  <c r="AK369" i="25"/>
  <c r="AC369" i="25"/>
  <c r="O369" i="25"/>
  <c r="D372" i="16"/>
  <c r="AM7" i="1"/>
  <c r="AM11" i="1" s="1"/>
  <c r="AM5" i="1"/>
  <c r="AK5" i="1"/>
  <c r="AK6" i="1"/>
  <c r="AM9" i="1"/>
  <c r="AK7" i="1"/>
  <c r="AK11" i="1" s="1"/>
  <c r="AK9" i="1"/>
  <c r="O383" i="1"/>
  <c r="O381" i="1"/>
  <c r="O382" i="1"/>
  <c r="AC382" i="1"/>
  <c r="AC383" i="1"/>
  <c r="AC381" i="1"/>
  <c r="F377" i="1"/>
  <c r="X373" i="20"/>
  <c r="A374" i="20"/>
  <c r="K373" i="20"/>
  <c r="AK373" i="20"/>
  <c r="AB373" i="20"/>
  <c r="L373" i="20"/>
  <c r="AJ373" i="20"/>
  <c r="AC373" i="20"/>
  <c r="O373" i="20"/>
  <c r="E372" i="16"/>
  <c r="L373" i="16"/>
  <c r="A374" i="16"/>
  <c r="K373" i="16"/>
  <c r="AK373" i="16"/>
  <c r="X373" i="16"/>
  <c r="AB373" i="16"/>
  <c r="AJ373" i="16"/>
  <c r="AC373" i="16"/>
  <c r="O373" i="16"/>
  <c r="A378" i="18"/>
  <c r="K377" i="18"/>
  <c r="AB377" i="18"/>
  <c r="AK377" i="18"/>
  <c r="L377" i="18"/>
  <c r="X377" i="18"/>
  <c r="AJ377" i="18"/>
  <c r="O377" i="18"/>
  <c r="AC377" i="18"/>
  <c r="BX15" i="7"/>
  <c r="BL15" i="7"/>
  <c r="Q12" i="15"/>
  <c r="BR15" i="7"/>
  <c r="D15" i="7"/>
  <c r="Q383" i="1"/>
  <c r="Q382" i="1"/>
  <c r="Q381" i="1"/>
  <c r="BR16" i="7"/>
  <c r="U12" i="15"/>
  <c r="T379" i="1"/>
  <c r="BL16" i="7"/>
  <c r="D16" i="7"/>
  <c r="J11" i="7" s="1"/>
  <c r="U11" i="15" s="1"/>
  <c r="BX16" i="7"/>
  <c r="U381" i="1"/>
  <c r="U382" i="1"/>
  <c r="U383" i="1"/>
  <c r="D379" i="1"/>
  <c r="L382" i="1"/>
  <c r="L383" i="1"/>
  <c r="L381" i="1"/>
  <c r="AJ9" i="1"/>
  <c r="AJ5" i="1"/>
  <c r="AJ8" i="1"/>
  <c r="AJ6" i="1"/>
  <c r="AJ7" i="1"/>
  <c r="AJ11" i="1" s="1"/>
  <c r="S378" i="1"/>
  <c r="R378" i="1" s="1"/>
  <c r="P378" i="1" s="1"/>
  <c r="V378" i="1" s="1"/>
  <c r="F378" i="1" s="1"/>
  <c r="L374" i="17"/>
  <c r="X374" i="17"/>
  <c r="AJ374" i="17"/>
  <c r="AB374" i="17"/>
  <c r="K374" i="17"/>
  <c r="A375" i="17"/>
  <c r="AK374" i="17"/>
  <c r="O374" i="17"/>
  <c r="AC374" i="17"/>
  <c r="I376" i="1"/>
  <c r="AA376" i="1"/>
  <c r="Z376" i="1" s="1"/>
  <c r="Y376" i="1" s="1"/>
  <c r="G376" i="1"/>
  <c r="BW376" i="6" s="1"/>
  <c r="L379" i="15"/>
  <c r="B36" i="19" s="1"/>
  <c r="AK379" i="15"/>
  <c r="K379" i="15"/>
  <c r="X379" i="15"/>
  <c r="AJ379" i="15"/>
  <c r="AB379" i="15"/>
  <c r="O379" i="15"/>
  <c r="C36" i="19" s="1"/>
  <c r="AC379" i="15"/>
  <c r="AB370" i="24"/>
  <c r="L370" i="24"/>
  <c r="X370" i="24"/>
  <c r="AK370" i="24"/>
  <c r="K370" i="24"/>
  <c r="A371" i="24"/>
  <c r="AJ370" i="24"/>
  <c r="AC370" i="24"/>
  <c r="O370" i="24"/>
  <c r="X372" i="22"/>
  <c r="AB372" i="22"/>
  <c r="AJ372" i="22"/>
  <c r="K372" i="22"/>
  <c r="A373" i="22"/>
  <c r="L372" i="22"/>
  <c r="AK372" i="22"/>
  <c r="AC372" i="22"/>
  <c r="O372" i="22"/>
  <c r="L35" i="19" l="1"/>
  <c r="U10" i="15"/>
  <c r="AI355" i="15" s="1"/>
  <c r="X373" i="22"/>
  <c r="K373" i="22"/>
  <c r="A374" i="22"/>
  <c r="AK373" i="22"/>
  <c r="AB373" i="22"/>
  <c r="L373" i="22"/>
  <c r="AJ373" i="22"/>
  <c r="AC373" i="22"/>
  <c r="O373" i="22"/>
  <c r="O383" i="15"/>
  <c r="O381" i="15"/>
  <c r="O382" i="15"/>
  <c r="AJ7" i="15"/>
  <c r="AJ5" i="15"/>
  <c r="AJ6" i="15"/>
  <c r="AJ9" i="15"/>
  <c r="AL5" i="15"/>
  <c r="AL9" i="15"/>
  <c r="AL7" i="15"/>
  <c r="D379" i="15"/>
  <c r="L383" i="15"/>
  <c r="L381" i="15"/>
  <c r="L382" i="15"/>
  <c r="D374" i="17"/>
  <c r="E374" i="17" s="1"/>
  <c r="I378" i="1"/>
  <c r="AA378" i="1"/>
  <c r="Z378" i="1" s="1"/>
  <c r="Y378" i="1" s="1"/>
  <c r="G378" i="1"/>
  <c r="BW378" i="6" s="1"/>
  <c r="D381" i="1"/>
  <c r="D382" i="1"/>
  <c r="D9" i="1"/>
  <c r="D11" i="1" s="1"/>
  <c r="E35" i="19" s="1"/>
  <c r="D383" i="1"/>
  <c r="K16" i="7"/>
  <c r="S379" i="1"/>
  <c r="T383" i="1"/>
  <c r="T381" i="1"/>
  <c r="T382" i="1"/>
  <c r="Q10" i="15"/>
  <c r="Q79" i="15" s="1"/>
  <c r="I15" i="7"/>
  <c r="Q21" i="15"/>
  <c r="D373" i="16"/>
  <c r="E373" i="16" s="1"/>
  <c r="L374" i="20"/>
  <c r="AB374" i="20"/>
  <c r="AJ374" i="20"/>
  <c r="A375" i="20"/>
  <c r="X374" i="20"/>
  <c r="K374" i="20"/>
  <c r="AK374" i="20"/>
  <c r="AC374" i="20"/>
  <c r="O374" i="20"/>
  <c r="G377" i="1"/>
  <c r="BW377" i="6" s="1"/>
  <c r="I377" i="1"/>
  <c r="AA377" i="1"/>
  <c r="Z377" i="1" s="1"/>
  <c r="Y377" i="1" s="1"/>
  <c r="A371" i="25"/>
  <c r="L370" i="25"/>
  <c r="AB370" i="25"/>
  <c r="AK370" i="25"/>
  <c r="X370" i="25"/>
  <c r="K370" i="25"/>
  <c r="AJ370" i="25"/>
  <c r="AC370" i="25"/>
  <c r="O370" i="25"/>
  <c r="X371" i="24"/>
  <c r="A372" i="24"/>
  <c r="AJ371" i="24"/>
  <c r="K371" i="24"/>
  <c r="AB371" i="24"/>
  <c r="L371" i="24"/>
  <c r="AK371" i="24"/>
  <c r="AC371" i="24"/>
  <c r="O371" i="24"/>
  <c r="AC383" i="15"/>
  <c r="AC382" i="15"/>
  <c r="AC381" i="15"/>
  <c r="AK9" i="15"/>
  <c r="AK6" i="15"/>
  <c r="AK7" i="15"/>
  <c r="AK11" i="15" s="1"/>
  <c r="AM5" i="15"/>
  <c r="AM7" i="15"/>
  <c r="AM11" i="15" s="1"/>
  <c r="AK5" i="15"/>
  <c r="AM9" i="15"/>
  <c r="AB375" i="17"/>
  <c r="A376" i="17"/>
  <c r="L375" i="17"/>
  <c r="D375" i="17" s="1"/>
  <c r="X375" i="17"/>
  <c r="AJ375" i="17"/>
  <c r="K375" i="17"/>
  <c r="AK375" i="17"/>
  <c r="O375" i="17"/>
  <c r="AC375" i="17"/>
  <c r="I16" i="7"/>
  <c r="A379" i="18"/>
  <c r="AB378" i="18"/>
  <c r="X378" i="18"/>
  <c r="AK378" i="18"/>
  <c r="K378" i="18"/>
  <c r="L378" i="18"/>
  <c r="AJ378" i="18"/>
  <c r="O378" i="18"/>
  <c r="AC378" i="18"/>
  <c r="X374" i="16"/>
  <c r="AB374" i="16"/>
  <c r="L374" i="16"/>
  <c r="AK374" i="16"/>
  <c r="K374" i="16"/>
  <c r="A375" i="16"/>
  <c r="AJ374" i="16"/>
  <c r="AC374" i="16"/>
  <c r="O374" i="16"/>
  <c r="E379" i="1"/>
  <c r="AK3" i="1"/>
  <c r="Q11" i="19" s="1"/>
  <c r="A373" i="23"/>
  <c r="AB372" i="23"/>
  <c r="K372" i="23"/>
  <c r="AK372" i="23"/>
  <c r="X372" i="23"/>
  <c r="L372" i="23"/>
  <c r="AJ372" i="23"/>
  <c r="AC372" i="23"/>
  <c r="O372" i="23"/>
  <c r="U284" i="15" l="1"/>
  <c r="U138" i="15"/>
  <c r="T138" i="15" s="1"/>
  <c r="U348" i="15"/>
  <c r="T348" i="15" s="1"/>
  <c r="U220" i="15"/>
  <c r="T220" i="15" s="1"/>
  <c r="AI227" i="15"/>
  <c r="AH227" i="15" s="1"/>
  <c r="U316" i="15"/>
  <c r="T316" i="15" s="1"/>
  <c r="U252" i="15"/>
  <c r="T252" i="15" s="1"/>
  <c r="U188" i="15"/>
  <c r="T188" i="15" s="1"/>
  <c r="U74" i="15"/>
  <c r="T74" i="15" s="1"/>
  <c r="AI46" i="15"/>
  <c r="AH46" i="15" s="1"/>
  <c r="U364" i="15"/>
  <c r="U332" i="15"/>
  <c r="U300" i="15"/>
  <c r="T300" i="15" s="1"/>
  <c r="U268" i="15"/>
  <c r="T268" i="15" s="1"/>
  <c r="U236" i="15"/>
  <c r="T236" i="15" s="1"/>
  <c r="U204" i="15"/>
  <c r="T204" i="15" s="1"/>
  <c r="U170" i="15"/>
  <c r="T170" i="15" s="1"/>
  <c r="U106" i="15"/>
  <c r="T106" i="15" s="1"/>
  <c r="U42" i="15"/>
  <c r="T42" i="15" s="1"/>
  <c r="AI291" i="15"/>
  <c r="AH291" i="15" s="1"/>
  <c r="AI142" i="15"/>
  <c r="AH142" i="15" s="1"/>
  <c r="U372" i="15"/>
  <c r="T372" i="15" s="1"/>
  <c r="U356" i="15"/>
  <c r="T356" i="15" s="1"/>
  <c r="U340" i="15"/>
  <c r="T340" i="15" s="1"/>
  <c r="U324" i="15"/>
  <c r="T324" i="15" s="1"/>
  <c r="U308" i="15"/>
  <c r="T308" i="15" s="1"/>
  <c r="U292" i="15"/>
  <c r="T292" i="15" s="1"/>
  <c r="U276" i="15"/>
  <c r="T276" i="15" s="1"/>
  <c r="U260" i="15"/>
  <c r="T260" i="15" s="1"/>
  <c r="U244" i="15"/>
  <c r="T244" i="15" s="1"/>
  <c r="U228" i="15"/>
  <c r="T228" i="15" s="1"/>
  <c r="U212" i="15"/>
  <c r="T212" i="15" s="1"/>
  <c r="U196" i="15"/>
  <c r="T196" i="15" s="1"/>
  <c r="U180" i="15"/>
  <c r="T180" i="15" s="1"/>
  <c r="U154" i="15"/>
  <c r="T154" i="15" s="1"/>
  <c r="U122" i="15"/>
  <c r="T122" i="15" s="1"/>
  <c r="U90" i="15"/>
  <c r="T90" i="15" s="1"/>
  <c r="U58" i="15"/>
  <c r="T58" i="15" s="1"/>
  <c r="U26" i="15"/>
  <c r="AI323" i="15"/>
  <c r="AH323" i="15" s="1"/>
  <c r="AI259" i="15"/>
  <c r="AH259" i="15" s="1"/>
  <c r="AI195" i="15"/>
  <c r="AH195" i="15" s="1"/>
  <c r="AI78" i="15"/>
  <c r="AH78" i="15" s="1"/>
  <c r="L36" i="19"/>
  <c r="Q347" i="15"/>
  <c r="Q227" i="15"/>
  <c r="Q291" i="15"/>
  <c r="Q143" i="15"/>
  <c r="U376" i="15"/>
  <c r="T376" i="15" s="1"/>
  <c r="U368" i="15"/>
  <c r="T368" i="15" s="1"/>
  <c r="U360" i="15"/>
  <c r="T360" i="15" s="1"/>
  <c r="U352" i="15"/>
  <c r="T352" i="15" s="1"/>
  <c r="U344" i="15"/>
  <c r="T344" i="15" s="1"/>
  <c r="U336" i="15"/>
  <c r="T336" i="15" s="1"/>
  <c r="U328" i="15"/>
  <c r="T328" i="15" s="1"/>
  <c r="U320" i="15"/>
  <c r="T320" i="15" s="1"/>
  <c r="U312" i="15"/>
  <c r="T312" i="15" s="1"/>
  <c r="U304" i="15"/>
  <c r="T304" i="15" s="1"/>
  <c r="U296" i="15"/>
  <c r="T296" i="15" s="1"/>
  <c r="U288" i="15"/>
  <c r="T288" i="15" s="1"/>
  <c r="U280" i="15"/>
  <c r="T280" i="15" s="1"/>
  <c r="U272" i="15"/>
  <c r="T272" i="15" s="1"/>
  <c r="U264" i="15"/>
  <c r="T264" i="15" s="1"/>
  <c r="U256" i="15"/>
  <c r="U248" i="15"/>
  <c r="T248" i="15" s="1"/>
  <c r="U240" i="15"/>
  <c r="T240" i="15" s="1"/>
  <c r="U232" i="15"/>
  <c r="T232" i="15" s="1"/>
  <c r="U224" i="15"/>
  <c r="T224" i="15" s="1"/>
  <c r="U216" i="15"/>
  <c r="T216" i="15" s="1"/>
  <c r="U208" i="15"/>
  <c r="T208" i="15" s="1"/>
  <c r="U200" i="15"/>
  <c r="T200" i="15" s="1"/>
  <c r="U192" i="15"/>
  <c r="T192" i="15" s="1"/>
  <c r="U184" i="15"/>
  <c r="T184" i="15" s="1"/>
  <c r="U176" i="15"/>
  <c r="T176" i="15" s="1"/>
  <c r="U162" i="15"/>
  <c r="T162" i="15" s="1"/>
  <c r="U146" i="15"/>
  <c r="T146" i="15" s="1"/>
  <c r="U130" i="15"/>
  <c r="T130" i="15" s="1"/>
  <c r="U114" i="15"/>
  <c r="T114" i="15" s="1"/>
  <c r="U98" i="15"/>
  <c r="T98" i="15" s="1"/>
  <c r="U82" i="15"/>
  <c r="T82" i="15" s="1"/>
  <c r="U66" i="15"/>
  <c r="T66" i="15" s="1"/>
  <c r="U50" i="15"/>
  <c r="T50" i="15" s="1"/>
  <c r="U34" i="15"/>
  <c r="T34" i="15" s="1"/>
  <c r="U17" i="15"/>
  <c r="T17" i="15" s="1"/>
  <c r="Q363" i="15"/>
  <c r="Q323" i="15"/>
  <c r="Q259" i="15"/>
  <c r="Q195" i="15"/>
  <c r="AI371" i="15"/>
  <c r="AH371" i="15" s="1"/>
  <c r="AI339" i="15"/>
  <c r="AH339" i="15" s="1"/>
  <c r="AI307" i="15"/>
  <c r="AH307" i="15" s="1"/>
  <c r="AI275" i="15"/>
  <c r="AH275" i="15" s="1"/>
  <c r="AI243" i="15"/>
  <c r="AH243" i="15" s="1"/>
  <c r="AI211" i="15"/>
  <c r="AH211" i="15" s="1"/>
  <c r="AI174" i="15"/>
  <c r="AI110" i="15"/>
  <c r="AH110" i="15" s="1"/>
  <c r="AI22" i="15"/>
  <c r="AH22" i="15" s="1"/>
  <c r="AI38" i="15"/>
  <c r="AI54" i="15"/>
  <c r="AH54" i="15" s="1"/>
  <c r="AI70" i="15"/>
  <c r="AH70" i="15" s="1"/>
  <c r="AI86" i="15"/>
  <c r="AH86" i="15" s="1"/>
  <c r="AI102" i="15"/>
  <c r="AH102" i="15" s="1"/>
  <c r="AI118" i="15"/>
  <c r="AH118" i="15" s="1"/>
  <c r="AI134" i="15"/>
  <c r="AH134" i="15" s="1"/>
  <c r="AI150" i="15"/>
  <c r="AH150" i="15" s="1"/>
  <c r="AI166" i="15"/>
  <c r="AH166" i="15" s="1"/>
  <c r="AI182" i="15"/>
  <c r="AH182" i="15" s="1"/>
  <c r="AI191" i="15"/>
  <c r="AH191" i="15" s="1"/>
  <c r="AI199" i="15"/>
  <c r="AH199" i="15" s="1"/>
  <c r="AI207" i="15"/>
  <c r="AH207" i="15" s="1"/>
  <c r="AI215" i="15"/>
  <c r="AH215" i="15" s="1"/>
  <c r="AI223" i="15"/>
  <c r="AH223" i="15" s="1"/>
  <c r="AI231" i="15"/>
  <c r="AH231" i="15" s="1"/>
  <c r="AI239" i="15"/>
  <c r="AH239" i="15" s="1"/>
  <c r="AI247" i="15"/>
  <c r="AH247" i="15" s="1"/>
  <c r="AI255" i="15"/>
  <c r="AH255" i="15" s="1"/>
  <c r="AI263" i="15"/>
  <c r="AH263" i="15" s="1"/>
  <c r="AI271" i="15"/>
  <c r="AH271" i="15" s="1"/>
  <c r="AI279" i="15"/>
  <c r="AH279" i="15" s="1"/>
  <c r="AI287" i="15"/>
  <c r="AH287" i="15" s="1"/>
  <c r="AI295" i="15"/>
  <c r="AH295" i="15" s="1"/>
  <c r="AI303" i="15"/>
  <c r="AH303" i="15" s="1"/>
  <c r="AI311" i="15"/>
  <c r="AH311" i="15" s="1"/>
  <c r="AI319" i="15"/>
  <c r="AH319" i="15" s="1"/>
  <c r="AI327" i="15"/>
  <c r="AH327" i="15" s="1"/>
  <c r="AI335" i="15"/>
  <c r="AH335" i="15" s="1"/>
  <c r="AI343" i="15"/>
  <c r="AH343" i="15" s="1"/>
  <c r="AI351" i="15"/>
  <c r="AH351" i="15" s="1"/>
  <c r="AI359" i="15"/>
  <c r="AH359" i="15" s="1"/>
  <c r="AI367" i="15"/>
  <c r="AI375" i="15"/>
  <c r="AH375" i="15" s="1"/>
  <c r="U19" i="15"/>
  <c r="T19" i="15" s="1"/>
  <c r="U16" i="15"/>
  <c r="T16" i="15" s="1"/>
  <c r="U24" i="15"/>
  <c r="T24" i="15" s="1"/>
  <c r="U28" i="15"/>
  <c r="T28" i="15" s="1"/>
  <c r="U32" i="15"/>
  <c r="T32" i="15" s="1"/>
  <c r="U36" i="15"/>
  <c r="T36" i="15" s="1"/>
  <c r="U40" i="15"/>
  <c r="T40" i="15" s="1"/>
  <c r="U44" i="15"/>
  <c r="T44" i="15" s="1"/>
  <c r="U48" i="15"/>
  <c r="T48" i="15" s="1"/>
  <c r="U52" i="15"/>
  <c r="T52" i="15" s="1"/>
  <c r="U56" i="15"/>
  <c r="T56" i="15" s="1"/>
  <c r="U60" i="15"/>
  <c r="T60" i="15" s="1"/>
  <c r="U64" i="15"/>
  <c r="T64" i="15" s="1"/>
  <c r="U68" i="15"/>
  <c r="T68" i="15" s="1"/>
  <c r="U72" i="15"/>
  <c r="T72" i="15" s="1"/>
  <c r="U76" i="15"/>
  <c r="T76" i="15" s="1"/>
  <c r="U80" i="15"/>
  <c r="T80" i="15" s="1"/>
  <c r="U84" i="15"/>
  <c r="T84" i="15" s="1"/>
  <c r="U88" i="15"/>
  <c r="T88" i="15" s="1"/>
  <c r="U92" i="15"/>
  <c r="T92" i="15" s="1"/>
  <c r="U96" i="15"/>
  <c r="T96" i="15" s="1"/>
  <c r="U100" i="15"/>
  <c r="T100" i="15" s="1"/>
  <c r="U104" i="15"/>
  <c r="T104" i="15" s="1"/>
  <c r="U108" i="15"/>
  <c r="T108" i="15" s="1"/>
  <c r="U112" i="15"/>
  <c r="T112" i="15" s="1"/>
  <c r="U116" i="15"/>
  <c r="T116" i="15" s="1"/>
  <c r="U120" i="15"/>
  <c r="T120" i="15" s="1"/>
  <c r="U124" i="15"/>
  <c r="T124" i="15" s="1"/>
  <c r="U128" i="15"/>
  <c r="T128" i="15" s="1"/>
  <c r="U132" i="15"/>
  <c r="T132" i="15" s="1"/>
  <c r="U136" i="15"/>
  <c r="T136" i="15" s="1"/>
  <c r="U140" i="15"/>
  <c r="T140" i="15" s="1"/>
  <c r="U144" i="15"/>
  <c r="T144" i="15" s="1"/>
  <c r="U148" i="15"/>
  <c r="T148" i="15" s="1"/>
  <c r="U152" i="15"/>
  <c r="T152" i="15" s="1"/>
  <c r="U156" i="15"/>
  <c r="T156" i="15" s="1"/>
  <c r="U160" i="15"/>
  <c r="T160" i="15" s="1"/>
  <c r="U164" i="15"/>
  <c r="T164" i="15" s="1"/>
  <c r="U168" i="15"/>
  <c r="T168" i="15" s="1"/>
  <c r="U172" i="15"/>
  <c r="T172" i="15" s="1"/>
  <c r="U378" i="15"/>
  <c r="T378" i="15" s="1"/>
  <c r="U374" i="15"/>
  <c r="T374" i="15" s="1"/>
  <c r="U370" i="15"/>
  <c r="U366" i="15"/>
  <c r="T366" i="15" s="1"/>
  <c r="U362" i="15"/>
  <c r="T362" i="15" s="1"/>
  <c r="U358" i="15"/>
  <c r="T358" i="15" s="1"/>
  <c r="U354" i="15"/>
  <c r="T354" i="15" s="1"/>
  <c r="U350" i="15"/>
  <c r="T350" i="15" s="1"/>
  <c r="U346" i="15"/>
  <c r="T346" i="15" s="1"/>
  <c r="U342" i="15"/>
  <c r="T342" i="15" s="1"/>
  <c r="U338" i="15"/>
  <c r="T338" i="15" s="1"/>
  <c r="U334" i="15"/>
  <c r="T334" i="15" s="1"/>
  <c r="U330" i="15"/>
  <c r="T330" i="15" s="1"/>
  <c r="U326" i="15"/>
  <c r="T326" i="15" s="1"/>
  <c r="U322" i="15"/>
  <c r="T322" i="15" s="1"/>
  <c r="U318" i="15"/>
  <c r="T318" i="15" s="1"/>
  <c r="U314" i="15"/>
  <c r="T314" i="15" s="1"/>
  <c r="U310" i="15"/>
  <c r="T310" i="15" s="1"/>
  <c r="U306" i="15"/>
  <c r="T306" i="15" s="1"/>
  <c r="U302" i="15"/>
  <c r="T302" i="15" s="1"/>
  <c r="U298" i="15"/>
  <c r="T298" i="15" s="1"/>
  <c r="U294" i="15"/>
  <c r="T294" i="15" s="1"/>
  <c r="U290" i="15"/>
  <c r="T290" i="15" s="1"/>
  <c r="U286" i="15"/>
  <c r="T286" i="15" s="1"/>
  <c r="U282" i="15"/>
  <c r="T282" i="15" s="1"/>
  <c r="U278" i="15"/>
  <c r="T278" i="15" s="1"/>
  <c r="U274" i="15"/>
  <c r="T274" i="15" s="1"/>
  <c r="U270" i="15"/>
  <c r="T270" i="15" s="1"/>
  <c r="U266" i="15"/>
  <c r="T266" i="15" s="1"/>
  <c r="U262" i="15"/>
  <c r="T262" i="15" s="1"/>
  <c r="U258" i="15"/>
  <c r="T258" i="15" s="1"/>
  <c r="U254" i="15"/>
  <c r="T254" i="15" s="1"/>
  <c r="U250" i="15"/>
  <c r="T250" i="15" s="1"/>
  <c r="U246" i="15"/>
  <c r="T246" i="15" s="1"/>
  <c r="U242" i="15"/>
  <c r="T242" i="15" s="1"/>
  <c r="U238" i="15"/>
  <c r="T238" i="15" s="1"/>
  <c r="U234" i="15"/>
  <c r="T234" i="15" s="1"/>
  <c r="U230" i="15"/>
  <c r="T230" i="15" s="1"/>
  <c r="U226" i="15"/>
  <c r="T226" i="15" s="1"/>
  <c r="U222" i="15"/>
  <c r="T222" i="15" s="1"/>
  <c r="U218" i="15"/>
  <c r="T218" i="15" s="1"/>
  <c r="U214" i="15"/>
  <c r="T214" i="15" s="1"/>
  <c r="U210" i="15"/>
  <c r="T210" i="15" s="1"/>
  <c r="U206" i="15"/>
  <c r="T206" i="15" s="1"/>
  <c r="U202" i="15"/>
  <c r="T202" i="15" s="1"/>
  <c r="U198" i="15"/>
  <c r="T198" i="15" s="1"/>
  <c r="U194" i="15"/>
  <c r="T194" i="15" s="1"/>
  <c r="U190" i="15"/>
  <c r="T190" i="15" s="1"/>
  <c r="U186" i="15"/>
  <c r="T186" i="15" s="1"/>
  <c r="U182" i="15"/>
  <c r="T182" i="15" s="1"/>
  <c r="U178" i="15"/>
  <c r="T178" i="15" s="1"/>
  <c r="U174" i="15"/>
  <c r="T174" i="15" s="1"/>
  <c r="U166" i="15"/>
  <c r="T166" i="15" s="1"/>
  <c r="U158" i="15"/>
  <c r="T158" i="15" s="1"/>
  <c r="U150" i="15"/>
  <c r="T150" i="15" s="1"/>
  <c r="U142" i="15"/>
  <c r="T142" i="15" s="1"/>
  <c r="U134" i="15"/>
  <c r="T134" i="15" s="1"/>
  <c r="U126" i="15"/>
  <c r="T126" i="15" s="1"/>
  <c r="U118" i="15"/>
  <c r="T118" i="15" s="1"/>
  <c r="U110" i="15"/>
  <c r="T110" i="15" s="1"/>
  <c r="U102" i="15"/>
  <c r="T102" i="15" s="1"/>
  <c r="U94" i="15"/>
  <c r="T94" i="15" s="1"/>
  <c r="U86" i="15"/>
  <c r="T86" i="15" s="1"/>
  <c r="U78" i="15"/>
  <c r="T78" i="15" s="1"/>
  <c r="U70" i="15"/>
  <c r="T70" i="15" s="1"/>
  <c r="U62" i="15"/>
  <c r="T62" i="15" s="1"/>
  <c r="U54" i="15"/>
  <c r="T54" i="15" s="1"/>
  <c r="U46" i="15"/>
  <c r="T46" i="15" s="1"/>
  <c r="U38" i="15"/>
  <c r="T38" i="15" s="1"/>
  <c r="U30" i="15"/>
  <c r="T30" i="15" s="1"/>
  <c r="U22" i="15"/>
  <c r="T22" i="15" s="1"/>
  <c r="Q47" i="15"/>
  <c r="Q111" i="15"/>
  <c r="Q175" i="15"/>
  <c r="Q211" i="15"/>
  <c r="Q243" i="15"/>
  <c r="Q275" i="15"/>
  <c r="Q307" i="15"/>
  <c r="Q339" i="15"/>
  <c r="Q355" i="15"/>
  <c r="Q371" i="15"/>
  <c r="AI363" i="15"/>
  <c r="AH363" i="15" s="1"/>
  <c r="AI347" i="15"/>
  <c r="AI331" i="15"/>
  <c r="AH331" i="15" s="1"/>
  <c r="AI315" i="15"/>
  <c r="AH315" i="15" s="1"/>
  <c r="AI299" i="15"/>
  <c r="AH299" i="15" s="1"/>
  <c r="AI283" i="15"/>
  <c r="AH283" i="15" s="1"/>
  <c r="AI267" i="15"/>
  <c r="AH267" i="15" s="1"/>
  <c r="AI251" i="15"/>
  <c r="AH251" i="15" s="1"/>
  <c r="AI235" i="15"/>
  <c r="AH235" i="15" s="1"/>
  <c r="AI219" i="15"/>
  <c r="AH219" i="15" s="1"/>
  <c r="AI203" i="15"/>
  <c r="AH203" i="15" s="1"/>
  <c r="AI187" i="15"/>
  <c r="AH187" i="15" s="1"/>
  <c r="AI158" i="15"/>
  <c r="AH158" i="15" s="1"/>
  <c r="AI126" i="15"/>
  <c r="AH126" i="15" s="1"/>
  <c r="AI94" i="15"/>
  <c r="AH94" i="15" s="1"/>
  <c r="AI62" i="15"/>
  <c r="AH62" i="15" s="1"/>
  <c r="AI30" i="15"/>
  <c r="AH30" i="15" s="1"/>
  <c r="Q20" i="15"/>
  <c r="Q23" i="15"/>
  <c r="Q39" i="15"/>
  <c r="Q55" i="15"/>
  <c r="Q71" i="15"/>
  <c r="Q87" i="15"/>
  <c r="Q103" i="15"/>
  <c r="Q119" i="15"/>
  <c r="Q135" i="15"/>
  <c r="Q151" i="15"/>
  <c r="Q167" i="15"/>
  <c r="Q183" i="15"/>
  <c r="Q191" i="15"/>
  <c r="Q199" i="15"/>
  <c r="Q207" i="15"/>
  <c r="Q215" i="15"/>
  <c r="Q223" i="15"/>
  <c r="Q231" i="15"/>
  <c r="Q239" i="15"/>
  <c r="Q247" i="15"/>
  <c r="Q255" i="15"/>
  <c r="Q263" i="15"/>
  <c r="Q271" i="15"/>
  <c r="Q279" i="15"/>
  <c r="Q287" i="15"/>
  <c r="Q295" i="15"/>
  <c r="Q303" i="15"/>
  <c r="Q311" i="15"/>
  <c r="Q319" i="15"/>
  <c r="Q327" i="15"/>
  <c r="Q335" i="15"/>
  <c r="AI21" i="15"/>
  <c r="AH21" i="15" s="1"/>
  <c r="AI19" i="15"/>
  <c r="AH19" i="15" s="1"/>
  <c r="AI20" i="15"/>
  <c r="AH20" i="15" s="1"/>
  <c r="AI15" i="15"/>
  <c r="AH15" i="15" s="1"/>
  <c r="AI23" i="15"/>
  <c r="AH23" i="15" s="1"/>
  <c r="AI25" i="15"/>
  <c r="AH25" i="15" s="1"/>
  <c r="AI27" i="15"/>
  <c r="AH27" i="15" s="1"/>
  <c r="AI29" i="15"/>
  <c r="AH29" i="15" s="1"/>
  <c r="AI31" i="15"/>
  <c r="AH31" i="15" s="1"/>
  <c r="AI33" i="15"/>
  <c r="AH33" i="15" s="1"/>
  <c r="AI35" i="15"/>
  <c r="AH35" i="15" s="1"/>
  <c r="AI37" i="15"/>
  <c r="AH37" i="15" s="1"/>
  <c r="AI39" i="15"/>
  <c r="AH39" i="15" s="1"/>
  <c r="AI41" i="15"/>
  <c r="AH41" i="15" s="1"/>
  <c r="AI43" i="15"/>
  <c r="AH43" i="15" s="1"/>
  <c r="AI45" i="15"/>
  <c r="AH45" i="15" s="1"/>
  <c r="AI47" i="15"/>
  <c r="AH47" i="15" s="1"/>
  <c r="AI49" i="15"/>
  <c r="AH49" i="15" s="1"/>
  <c r="AI51" i="15"/>
  <c r="AH51" i="15" s="1"/>
  <c r="AI53" i="15"/>
  <c r="AH53" i="15" s="1"/>
  <c r="AI55" i="15"/>
  <c r="AH55" i="15" s="1"/>
  <c r="AI57" i="15"/>
  <c r="AH57" i="15" s="1"/>
  <c r="AI59" i="15"/>
  <c r="AH59" i="15" s="1"/>
  <c r="AI61" i="15"/>
  <c r="AH61" i="15" s="1"/>
  <c r="AI63" i="15"/>
  <c r="AH63" i="15" s="1"/>
  <c r="AI65" i="15"/>
  <c r="AH65" i="15" s="1"/>
  <c r="AI67" i="15"/>
  <c r="AH67" i="15" s="1"/>
  <c r="AI69" i="15"/>
  <c r="AH69" i="15" s="1"/>
  <c r="AI71" i="15"/>
  <c r="AH71" i="15" s="1"/>
  <c r="AI73" i="15"/>
  <c r="AH73" i="15" s="1"/>
  <c r="AI75" i="15"/>
  <c r="AH75" i="15" s="1"/>
  <c r="AI77" i="15"/>
  <c r="AH77" i="15" s="1"/>
  <c r="AI79" i="15"/>
  <c r="AH79" i="15" s="1"/>
  <c r="AI81" i="15"/>
  <c r="AH81" i="15" s="1"/>
  <c r="AI83" i="15"/>
  <c r="AH83" i="15" s="1"/>
  <c r="AI85" i="15"/>
  <c r="AH85" i="15" s="1"/>
  <c r="AI87" i="15"/>
  <c r="AH87" i="15" s="1"/>
  <c r="AI89" i="15"/>
  <c r="AH89" i="15" s="1"/>
  <c r="AI91" i="15"/>
  <c r="AH91" i="15" s="1"/>
  <c r="AI93" i="15"/>
  <c r="AH93" i="15" s="1"/>
  <c r="AI95" i="15"/>
  <c r="AH95" i="15" s="1"/>
  <c r="AI97" i="15"/>
  <c r="AH97" i="15" s="1"/>
  <c r="AI99" i="15"/>
  <c r="AH99" i="15" s="1"/>
  <c r="AI101" i="15"/>
  <c r="AH101" i="15" s="1"/>
  <c r="AI103" i="15"/>
  <c r="AH103" i="15" s="1"/>
  <c r="AI105" i="15"/>
  <c r="AH105" i="15" s="1"/>
  <c r="AI107" i="15"/>
  <c r="AH107" i="15" s="1"/>
  <c r="AI109" i="15"/>
  <c r="AH109" i="15" s="1"/>
  <c r="AI111" i="15"/>
  <c r="AH111" i="15" s="1"/>
  <c r="AI113" i="15"/>
  <c r="AH113" i="15" s="1"/>
  <c r="AI115" i="15"/>
  <c r="AH115" i="15" s="1"/>
  <c r="AI117" i="15"/>
  <c r="AH117" i="15" s="1"/>
  <c r="AI119" i="15"/>
  <c r="AH119" i="15" s="1"/>
  <c r="AI121" i="15"/>
  <c r="AH121" i="15" s="1"/>
  <c r="AI123" i="15"/>
  <c r="AH123" i="15" s="1"/>
  <c r="AI125" i="15"/>
  <c r="AH125" i="15" s="1"/>
  <c r="AI127" i="15"/>
  <c r="AH127" i="15" s="1"/>
  <c r="AI129" i="15"/>
  <c r="AH129" i="15" s="1"/>
  <c r="AI131" i="15"/>
  <c r="AH131" i="15" s="1"/>
  <c r="AI133" i="15"/>
  <c r="AH133" i="15" s="1"/>
  <c r="AI135" i="15"/>
  <c r="AH135" i="15" s="1"/>
  <c r="AI137" i="15"/>
  <c r="AH137" i="15" s="1"/>
  <c r="AI139" i="15"/>
  <c r="AH139" i="15" s="1"/>
  <c r="AI141" i="15"/>
  <c r="AH141" i="15" s="1"/>
  <c r="AI143" i="15"/>
  <c r="AH143" i="15" s="1"/>
  <c r="AI145" i="15"/>
  <c r="AH145" i="15" s="1"/>
  <c r="AI147" i="15"/>
  <c r="AH147" i="15" s="1"/>
  <c r="AI149" i="15"/>
  <c r="AH149" i="15" s="1"/>
  <c r="AI151" i="15"/>
  <c r="AH151" i="15" s="1"/>
  <c r="AI153" i="15"/>
  <c r="AH153" i="15" s="1"/>
  <c r="AI155" i="15"/>
  <c r="AH155" i="15" s="1"/>
  <c r="AI157" i="15"/>
  <c r="AH157" i="15" s="1"/>
  <c r="AI159" i="15"/>
  <c r="AH159" i="15" s="1"/>
  <c r="AI161" i="15"/>
  <c r="AH161" i="15" s="1"/>
  <c r="AI163" i="15"/>
  <c r="AH163" i="15" s="1"/>
  <c r="AI165" i="15"/>
  <c r="AH165" i="15" s="1"/>
  <c r="AI167" i="15"/>
  <c r="AH167" i="15" s="1"/>
  <c r="AI169" i="15"/>
  <c r="AH169" i="15" s="1"/>
  <c r="AI171" i="15"/>
  <c r="AH171" i="15" s="1"/>
  <c r="AI173" i="15"/>
  <c r="AH173" i="15" s="1"/>
  <c r="AI175" i="15"/>
  <c r="AH175" i="15" s="1"/>
  <c r="AI177" i="15"/>
  <c r="AH177" i="15" s="1"/>
  <c r="AI179" i="15"/>
  <c r="AH179" i="15" s="1"/>
  <c r="AI181" i="15"/>
  <c r="AH181" i="15" s="1"/>
  <c r="AI183" i="15"/>
  <c r="AH183" i="15" s="1"/>
  <c r="AI18" i="15"/>
  <c r="AH18" i="15" s="1"/>
  <c r="AI16" i="15"/>
  <c r="AH16" i="15" s="1"/>
  <c r="AI24" i="15"/>
  <c r="AH24" i="15" s="1"/>
  <c r="AI28" i="15"/>
  <c r="AH28" i="15" s="1"/>
  <c r="AI32" i="15"/>
  <c r="AH32" i="15" s="1"/>
  <c r="AI36" i="15"/>
  <c r="AH36" i="15" s="1"/>
  <c r="AI40" i="15"/>
  <c r="AH40" i="15" s="1"/>
  <c r="AI44" i="15"/>
  <c r="AH44" i="15" s="1"/>
  <c r="AI48" i="15"/>
  <c r="AH48" i="15" s="1"/>
  <c r="AI52" i="15"/>
  <c r="AH52" i="15" s="1"/>
  <c r="AI56" i="15"/>
  <c r="AH56" i="15" s="1"/>
  <c r="AI60" i="15"/>
  <c r="AH60" i="15" s="1"/>
  <c r="AI64" i="15"/>
  <c r="AH64" i="15" s="1"/>
  <c r="AI68" i="15"/>
  <c r="AH68" i="15" s="1"/>
  <c r="AI72" i="15"/>
  <c r="AH72" i="15" s="1"/>
  <c r="AI76" i="15"/>
  <c r="AH76" i="15" s="1"/>
  <c r="AI80" i="15"/>
  <c r="AH80" i="15" s="1"/>
  <c r="AI84" i="15"/>
  <c r="AH84" i="15" s="1"/>
  <c r="AI88" i="15"/>
  <c r="AH88" i="15" s="1"/>
  <c r="AI92" i="15"/>
  <c r="AH92" i="15" s="1"/>
  <c r="AI96" i="15"/>
  <c r="AH96" i="15" s="1"/>
  <c r="AI100" i="15"/>
  <c r="AH100" i="15" s="1"/>
  <c r="AI104" i="15"/>
  <c r="AH104" i="15" s="1"/>
  <c r="AI108" i="15"/>
  <c r="AH108" i="15" s="1"/>
  <c r="AI112" i="15"/>
  <c r="AH112" i="15" s="1"/>
  <c r="AI116" i="15"/>
  <c r="AH116" i="15" s="1"/>
  <c r="AI120" i="15"/>
  <c r="AH120" i="15" s="1"/>
  <c r="AI124" i="15"/>
  <c r="AH124" i="15" s="1"/>
  <c r="AI128" i="15"/>
  <c r="AH128" i="15" s="1"/>
  <c r="AI132" i="15"/>
  <c r="AH132" i="15" s="1"/>
  <c r="AI136" i="15"/>
  <c r="AH136" i="15" s="1"/>
  <c r="AI140" i="15"/>
  <c r="AH140" i="15" s="1"/>
  <c r="AI144" i="15"/>
  <c r="AH144" i="15" s="1"/>
  <c r="AI148" i="15"/>
  <c r="AH148" i="15" s="1"/>
  <c r="AI152" i="15"/>
  <c r="AH152" i="15" s="1"/>
  <c r="AI156" i="15"/>
  <c r="AH156" i="15" s="1"/>
  <c r="AI160" i="15"/>
  <c r="AH160" i="15" s="1"/>
  <c r="AI164" i="15"/>
  <c r="AH164" i="15" s="1"/>
  <c r="AI168" i="15"/>
  <c r="AH168" i="15" s="1"/>
  <c r="AI172" i="15"/>
  <c r="AH172" i="15" s="1"/>
  <c r="AI176" i="15"/>
  <c r="AH176" i="15" s="1"/>
  <c r="AI180" i="15"/>
  <c r="AH180" i="15" s="1"/>
  <c r="AI184" i="15"/>
  <c r="AH184" i="15" s="1"/>
  <c r="AI186" i="15"/>
  <c r="AH186" i="15" s="1"/>
  <c r="AI188" i="15"/>
  <c r="AH188" i="15" s="1"/>
  <c r="AI190" i="15"/>
  <c r="AH190" i="15" s="1"/>
  <c r="AI192" i="15"/>
  <c r="AH192" i="15" s="1"/>
  <c r="AI194" i="15"/>
  <c r="AH194" i="15" s="1"/>
  <c r="AI196" i="15"/>
  <c r="AH196" i="15" s="1"/>
  <c r="AI198" i="15"/>
  <c r="AH198" i="15" s="1"/>
  <c r="AI200" i="15"/>
  <c r="AH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H214" i="15" s="1"/>
  <c r="AI216" i="15"/>
  <c r="AH216" i="15" s="1"/>
  <c r="AI218" i="15"/>
  <c r="AH218" i="15" s="1"/>
  <c r="AI220" i="15"/>
  <c r="AH220" i="15" s="1"/>
  <c r="AI222" i="15"/>
  <c r="AH222" i="15" s="1"/>
  <c r="AI224" i="15"/>
  <c r="AH224" i="15" s="1"/>
  <c r="AI226" i="15"/>
  <c r="AH226" i="15" s="1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I238" i="15"/>
  <c r="AH238" i="15" s="1"/>
  <c r="AI240" i="15"/>
  <c r="AH240" i="15" s="1"/>
  <c r="AI242" i="15"/>
  <c r="AH242" i="15" s="1"/>
  <c r="AI244" i="15"/>
  <c r="AH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I256" i="15"/>
  <c r="AH256" i="15" s="1"/>
  <c r="AI258" i="15"/>
  <c r="AH258" i="15" s="1"/>
  <c r="AI260" i="15"/>
  <c r="AH260" i="15" s="1"/>
  <c r="AI262" i="15"/>
  <c r="AH262" i="15" s="1"/>
  <c r="AI264" i="15"/>
  <c r="AH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I280" i="15"/>
  <c r="AH280" i="15" s="1"/>
  <c r="AI282" i="15"/>
  <c r="AH282" i="15" s="1"/>
  <c r="AI284" i="15"/>
  <c r="AH284" i="15" s="1"/>
  <c r="AI286" i="15"/>
  <c r="AH286" i="15" s="1"/>
  <c r="AI288" i="15"/>
  <c r="AH288" i="15" s="1"/>
  <c r="AI290" i="15"/>
  <c r="AH290" i="15" s="1"/>
  <c r="AI292" i="15"/>
  <c r="AH292" i="15" s="1"/>
  <c r="AI294" i="15"/>
  <c r="AH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I312" i="15"/>
  <c r="AH312" i="15" s="1"/>
  <c r="AI314" i="15"/>
  <c r="AH314" i="15" s="1"/>
  <c r="AI316" i="15"/>
  <c r="AH316" i="15" s="1"/>
  <c r="AI318" i="15"/>
  <c r="AH318" i="15" s="1"/>
  <c r="AI320" i="15"/>
  <c r="AH320" i="15" s="1"/>
  <c r="AI322" i="15"/>
  <c r="AH322" i="15" s="1"/>
  <c r="AI324" i="15"/>
  <c r="AH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I338" i="15"/>
  <c r="AH338" i="15" s="1"/>
  <c r="AI340" i="15"/>
  <c r="AI342" i="15"/>
  <c r="AH342" i="15" s="1"/>
  <c r="AI344" i="15"/>
  <c r="AH344" i="15" s="1"/>
  <c r="AI346" i="15"/>
  <c r="AH346" i="15" s="1"/>
  <c r="AI348" i="15"/>
  <c r="AH348" i="15" s="1"/>
  <c r="AI350" i="15"/>
  <c r="AH350" i="15" s="1"/>
  <c r="AI352" i="15"/>
  <c r="AH352" i="15" s="1"/>
  <c r="AI354" i="15"/>
  <c r="AH354" i="15" s="1"/>
  <c r="AI356" i="15"/>
  <c r="AH356" i="15" s="1"/>
  <c r="AI358" i="15"/>
  <c r="AH358" i="15" s="1"/>
  <c r="AI360" i="15"/>
  <c r="AH360" i="15" s="1"/>
  <c r="AI362" i="15"/>
  <c r="AH362" i="15" s="1"/>
  <c r="AI364" i="15"/>
  <c r="AH364" i="15" s="1"/>
  <c r="AI366" i="15"/>
  <c r="AH366" i="15" s="1"/>
  <c r="AI368" i="15"/>
  <c r="AH368" i="15" s="1"/>
  <c r="AI370" i="15"/>
  <c r="AH370" i="15" s="1"/>
  <c r="AI372" i="15"/>
  <c r="AH372" i="15" s="1"/>
  <c r="AI374" i="15"/>
  <c r="AH374" i="15" s="1"/>
  <c r="AI376" i="15"/>
  <c r="AH376" i="15" s="1"/>
  <c r="AI378" i="15"/>
  <c r="AH378" i="15" s="1"/>
  <c r="U377" i="15"/>
  <c r="T377" i="15" s="1"/>
  <c r="U375" i="15"/>
  <c r="T375" i="15" s="1"/>
  <c r="U373" i="15"/>
  <c r="T373" i="15" s="1"/>
  <c r="U371" i="15"/>
  <c r="T371" i="15" s="1"/>
  <c r="U369" i="15"/>
  <c r="T369" i="15" s="1"/>
  <c r="U367" i="15"/>
  <c r="T367" i="15" s="1"/>
  <c r="U365" i="15"/>
  <c r="T365" i="15" s="1"/>
  <c r="U363" i="15"/>
  <c r="T363" i="15" s="1"/>
  <c r="U361" i="15"/>
  <c r="T361" i="15" s="1"/>
  <c r="U359" i="15"/>
  <c r="T359" i="15" s="1"/>
  <c r="U357" i="15"/>
  <c r="T357" i="15" s="1"/>
  <c r="U355" i="15"/>
  <c r="T355" i="15" s="1"/>
  <c r="U353" i="15"/>
  <c r="T353" i="15" s="1"/>
  <c r="U351" i="15"/>
  <c r="T351" i="15" s="1"/>
  <c r="U349" i="15"/>
  <c r="T349" i="15" s="1"/>
  <c r="U347" i="15"/>
  <c r="T347" i="15" s="1"/>
  <c r="U345" i="15"/>
  <c r="T345" i="15" s="1"/>
  <c r="U343" i="15"/>
  <c r="T343" i="15" s="1"/>
  <c r="U341" i="15"/>
  <c r="T341" i="15" s="1"/>
  <c r="U339" i="15"/>
  <c r="T339" i="15" s="1"/>
  <c r="U337" i="15"/>
  <c r="T337" i="15" s="1"/>
  <c r="U335" i="15"/>
  <c r="T335" i="15" s="1"/>
  <c r="U333" i="15"/>
  <c r="T333" i="15" s="1"/>
  <c r="U331" i="15"/>
  <c r="T331" i="15" s="1"/>
  <c r="U329" i="15"/>
  <c r="T329" i="15" s="1"/>
  <c r="U327" i="15"/>
  <c r="T327" i="15" s="1"/>
  <c r="U325" i="15"/>
  <c r="T325" i="15" s="1"/>
  <c r="U323" i="15"/>
  <c r="T323" i="15" s="1"/>
  <c r="U321" i="15"/>
  <c r="T321" i="15" s="1"/>
  <c r="U319" i="15"/>
  <c r="T319" i="15" s="1"/>
  <c r="U317" i="15"/>
  <c r="T317" i="15" s="1"/>
  <c r="U315" i="15"/>
  <c r="T315" i="15" s="1"/>
  <c r="U313" i="15"/>
  <c r="T313" i="15" s="1"/>
  <c r="U311" i="15"/>
  <c r="T311" i="15" s="1"/>
  <c r="U309" i="15"/>
  <c r="T309" i="15" s="1"/>
  <c r="U307" i="15"/>
  <c r="T307" i="15" s="1"/>
  <c r="U305" i="15"/>
  <c r="T305" i="15" s="1"/>
  <c r="U303" i="15"/>
  <c r="T303" i="15" s="1"/>
  <c r="U301" i="15"/>
  <c r="T301" i="15" s="1"/>
  <c r="U299" i="15"/>
  <c r="T299" i="15" s="1"/>
  <c r="U297" i="15"/>
  <c r="T297" i="15" s="1"/>
  <c r="U295" i="15"/>
  <c r="T295" i="15" s="1"/>
  <c r="U293" i="15"/>
  <c r="T293" i="15" s="1"/>
  <c r="U291" i="15"/>
  <c r="T291" i="15" s="1"/>
  <c r="U289" i="15"/>
  <c r="T289" i="15" s="1"/>
  <c r="U287" i="15"/>
  <c r="T287" i="15" s="1"/>
  <c r="U285" i="15"/>
  <c r="T285" i="15" s="1"/>
  <c r="U283" i="15"/>
  <c r="T283" i="15" s="1"/>
  <c r="U281" i="15"/>
  <c r="T281" i="15" s="1"/>
  <c r="U279" i="15"/>
  <c r="T279" i="15" s="1"/>
  <c r="U277" i="15"/>
  <c r="T277" i="15" s="1"/>
  <c r="U275" i="15"/>
  <c r="T275" i="15" s="1"/>
  <c r="U273" i="15"/>
  <c r="T273" i="15" s="1"/>
  <c r="U271" i="15"/>
  <c r="T271" i="15" s="1"/>
  <c r="U269" i="15"/>
  <c r="T269" i="15" s="1"/>
  <c r="U267" i="15"/>
  <c r="T267" i="15" s="1"/>
  <c r="U265" i="15"/>
  <c r="T265" i="15" s="1"/>
  <c r="U263" i="15"/>
  <c r="T263" i="15" s="1"/>
  <c r="U261" i="15"/>
  <c r="T261" i="15" s="1"/>
  <c r="U259" i="15"/>
  <c r="T259" i="15" s="1"/>
  <c r="U257" i="15"/>
  <c r="T257" i="15" s="1"/>
  <c r="U255" i="15"/>
  <c r="T255" i="15" s="1"/>
  <c r="U253" i="15"/>
  <c r="T253" i="15" s="1"/>
  <c r="U251" i="15"/>
  <c r="T251" i="15" s="1"/>
  <c r="U249" i="15"/>
  <c r="T249" i="15" s="1"/>
  <c r="U247" i="15"/>
  <c r="T247" i="15" s="1"/>
  <c r="U245" i="15"/>
  <c r="T245" i="15" s="1"/>
  <c r="U243" i="15"/>
  <c r="T243" i="15" s="1"/>
  <c r="U241" i="15"/>
  <c r="T241" i="15" s="1"/>
  <c r="U239" i="15"/>
  <c r="T239" i="15" s="1"/>
  <c r="U237" i="15"/>
  <c r="T237" i="15" s="1"/>
  <c r="U235" i="15"/>
  <c r="T235" i="15" s="1"/>
  <c r="U233" i="15"/>
  <c r="T233" i="15" s="1"/>
  <c r="U231" i="15"/>
  <c r="T231" i="15" s="1"/>
  <c r="U229" i="15"/>
  <c r="T229" i="15" s="1"/>
  <c r="U227" i="15"/>
  <c r="T227" i="15" s="1"/>
  <c r="U225" i="15"/>
  <c r="T225" i="15" s="1"/>
  <c r="U223" i="15"/>
  <c r="T223" i="15" s="1"/>
  <c r="U221" i="15"/>
  <c r="T221" i="15" s="1"/>
  <c r="U219" i="15"/>
  <c r="T219" i="15" s="1"/>
  <c r="U217" i="15"/>
  <c r="T217" i="15" s="1"/>
  <c r="U215" i="15"/>
  <c r="T215" i="15" s="1"/>
  <c r="U213" i="15"/>
  <c r="T213" i="15" s="1"/>
  <c r="U211" i="15"/>
  <c r="T211" i="15" s="1"/>
  <c r="U209" i="15"/>
  <c r="T209" i="15" s="1"/>
  <c r="U207" i="15"/>
  <c r="T207" i="15" s="1"/>
  <c r="U205" i="15"/>
  <c r="T205" i="15" s="1"/>
  <c r="U203" i="15"/>
  <c r="T203" i="15" s="1"/>
  <c r="U201" i="15"/>
  <c r="T201" i="15" s="1"/>
  <c r="U199" i="15"/>
  <c r="T199" i="15" s="1"/>
  <c r="U197" i="15"/>
  <c r="T197" i="15" s="1"/>
  <c r="U195" i="15"/>
  <c r="T195" i="15" s="1"/>
  <c r="U193" i="15"/>
  <c r="T193" i="15" s="1"/>
  <c r="U191" i="15"/>
  <c r="T191" i="15" s="1"/>
  <c r="U189" i="15"/>
  <c r="T189" i="15" s="1"/>
  <c r="U187" i="15"/>
  <c r="T187" i="15" s="1"/>
  <c r="U185" i="15"/>
  <c r="T185" i="15" s="1"/>
  <c r="U183" i="15"/>
  <c r="T183" i="15" s="1"/>
  <c r="U181" i="15"/>
  <c r="T181" i="15" s="1"/>
  <c r="U179" i="15"/>
  <c r="T179" i="15" s="1"/>
  <c r="U177" i="15"/>
  <c r="T177" i="15" s="1"/>
  <c r="U175" i="15"/>
  <c r="T175" i="15" s="1"/>
  <c r="U173" i="15"/>
  <c r="T173" i="15" s="1"/>
  <c r="U171" i="15"/>
  <c r="T171" i="15" s="1"/>
  <c r="U169" i="15"/>
  <c r="T169" i="15" s="1"/>
  <c r="U167" i="15"/>
  <c r="T167" i="15" s="1"/>
  <c r="U165" i="15"/>
  <c r="T165" i="15" s="1"/>
  <c r="U163" i="15"/>
  <c r="T163" i="15" s="1"/>
  <c r="U161" i="15"/>
  <c r="T161" i="15" s="1"/>
  <c r="U159" i="15"/>
  <c r="T159" i="15" s="1"/>
  <c r="U157" i="15"/>
  <c r="T157" i="15" s="1"/>
  <c r="U155" i="15"/>
  <c r="T155" i="15" s="1"/>
  <c r="U153" i="15"/>
  <c r="T153" i="15" s="1"/>
  <c r="U151" i="15"/>
  <c r="T151" i="15" s="1"/>
  <c r="U149" i="15"/>
  <c r="T149" i="15" s="1"/>
  <c r="U147" i="15"/>
  <c r="T147" i="15" s="1"/>
  <c r="U145" i="15"/>
  <c r="T145" i="15" s="1"/>
  <c r="U143" i="15"/>
  <c r="T143" i="15" s="1"/>
  <c r="U141" i="15"/>
  <c r="T141" i="15" s="1"/>
  <c r="U139" i="15"/>
  <c r="T139" i="15" s="1"/>
  <c r="U137" i="15"/>
  <c r="T137" i="15" s="1"/>
  <c r="U135" i="15"/>
  <c r="T135" i="15" s="1"/>
  <c r="U133" i="15"/>
  <c r="T133" i="15" s="1"/>
  <c r="U131" i="15"/>
  <c r="T131" i="15" s="1"/>
  <c r="U129" i="15"/>
  <c r="T129" i="15" s="1"/>
  <c r="U127" i="15"/>
  <c r="T127" i="15" s="1"/>
  <c r="U125" i="15"/>
  <c r="T125" i="15" s="1"/>
  <c r="U123" i="15"/>
  <c r="T123" i="15" s="1"/>
  <c r="U121" i="15"/>
  <c r="T121" i="15" s="1"/>
  <c r="U119" i="15"/>
  <c r="T119" i="15" s="1"/>
  <c r="U117" i="15"/>
  <c r="T117" i="15" s="1"/>
  <c r="U115" i="15"/>
  <c r="T115" i="15" s="1"/>
  <c r="U113" i="15"/>
  <c r="T113" i="15" s="1"/>
  <c r="U111" i="15"/>
  <c r="T111" i="15" s="1"/>
  <c r="U109" i="15"/>
  <c r="T109" i="15" s="1"/>
  <c r="U107" i="15"/>
  <c r="T107" i="15" s="1"/>
  <c r="U105" i="15"/>
  <c r="T105" i="15" s="1"/>
  <c r="U103" i="15"/>
  <c r="T103" i="15" s="1"/>
  <c r="U101" i="15"/>
  <c r="T101" i="15" s="1"/>
  <c r="U99" i="15"/>
  <c r="T99" i="15" s="1"/>
  <c r="U97" i="15"/>
  <c r="T97" i="15" s="1"/>
  <c r="U95" i="15"/>
  <c r="T95" i="15" s="1"/>
  <c r="U93" i="15"/>
  <c r="T93" i="15" s="1"/>
  <c r="U91" i="15"/>
  <c r="T91" i="15" s="1"/>
  <c r="U89" i="15"/>
  <c r="T89" i="15" s="1"/>
  <c r="U87" i="15"/>
  <c r="T87" i="15" s="1"/>
  <c r="U85" i="15"/>
  <c r="T85" i="15" s="1"/>
  <c r="U83" i="15"/>
  <c r="T83" i="15" s="1"/>
  <c r="U81" i="15"/>
  <c r="T81" i="15" s="1"/>
  <c r="U79" i="15"/>
  <c r="T79" i="15" s="1"/>
  <c r="U77" i="15"/>
  <c r="T77" i="15" s="1"/>
  <c r="U75" i="15"/>
  <c r="T75" i="15" s="1"/>
  <c r="U73" i="15"/>
  <c r="T73" i="15" s="1"/>
  <c r="U71" i="15"/>
  <c r="T71" i="15" s="1"/>
  <c r="U69" i="15"/>
  <c r="T69" i="15" s="1"/>
  <c r="U67" i="15"/>
  <c r="T67" i="15" s="1"/>
  <c r="U65" i="15"/>
  <c r="T65" i="15" s="1"/>
  <c r="U63" i="15"/>
  <c r="T63" i="15" s="1"/>
  <c r="U61" i="15"/>
  <c r="T61" i="15" s="1"/>
  <c r="U59" i="15"/>
  <c r="T59" i="15" s="1"/>
  <c r="U57" i="15"/>
  <c r="T57" i="15" s="1"/>
  <c r="U55" i="15"/>
  <c r="T55" i="15" s="1"/>
  <c r="U53" i="15"/>
  <c r="T53" i="15" s="1"/>
  <c r="U51" i="15"/>
  <c r="T51" i="15" s="1"/>
  <c r="U49" i="15"/>
  <c r="T49" i="15" s="1"/>
  <c r="U47" i="15"/>
  <c r="T47" i="15" s="1"/>
  <c r="U45" i="15"/>
  <c r="T45" i="15" s="1"/>
  <c r="U43" i="15"/>
  <c r="T43" i="15" s="1"/>
  <c r="U41" i="15"/>
  <c r="T41" i="15" s="1"/>
  <c r="U39" i="15"/>
  <c r="T39" i="15" s="1"/>
  <c r="U37" i="15"/>
  <c r="T37" i="15" s="1"/>
  <c r="U35" i="15"/>
  <c r="T35" i="15" s="1"/>
  <c r="U33" i="15"/>
  <c r="T33" i="15" s="1"/>
  <c r="U31" i="15"/>
  <c r="T31" i="15" s="1"/>
  <c r="U29" i="15"/>
  <c r="T29" i="15" s="1"/>
  <c r="U27" i="15"/>
  <c r="T27" i="15" s="1"/>
  <c r="U25" i="15"/>
  <c r="T25" i="15" s="1"/>
  <c r="U23" i="15"/>
  <c r="T23" i="15" s="1"/>
  <c r="U18" i="15"/>
  <c r="T18" i="15" s="1"/>
  <c r="U21" i="15"/>
  <c r="T21" i="15" s="1"/>
  <c r="U15" i="15"/>
  <c r="T15" i="15" s="1"/>
  <c r="U20" i="15"/>
  <c r="T20" i="15" s="1"/>
  <c r="Q375" i="15"/>
  <c r="Q367" i="15"/>
  <c r="Q359" i="15"/>
  <c r="Q351" i="15"/>
  <c r="Q343" i="15"/>
  <c r="Q331" i="15"/>
  <c r="Q315" i="15"/>
  <c r="Q299" i="15"/>
  <c r="Q283" i="15"/>
  <c r="Q267" i="15"/>
  <c r="Q251" i="15"/>
  <c r="Q235" i="15"/>
  <c r="Q219" i="15"/>
  <c r="Q203" i="15"/>
  <c r="Q187" i="15"/>
  <c r="Q159" i="15"/>
  <c r="Q127" i="15"/>
  <c r="Q95" i="15"/>
  <c r="Q63" i="15"/>
  <c r="Q31" i="15"/>
  <c r="AI377" i="15"/>
  <c r="AH377" i="15" s="1"/>
  <c r="AI373" i="15"/>
  <c r="AH373" i="15" s="1"/>
  <c r="AI369" i="15"/>
  <c r="AH369" i="15" s="1"/>
  <c r="AI365" i="15"/>
  <c r="AH365" i="15" s="1"/>
  <c r="AI361" i="15"/>
  <c r="AH361" i="15" s="1"/>
  <c r="AI357" i="15"/>
  <c r="AH357" i="15" s="1"/>
  <c r="AI353" i="15"/>
  <c r="AH353" i="15" s="1"/>
  <c r="AI349" i="15"/>
  <c r="AH349" i="15" s="1"/>
  <c r="AI345" i="15"/>
  <c r="AH345" i="15" s="1"/>
  <c r="AI341" i="15"/>
  <c r="AH341" i="15" s="1"/>
  <c r="AI337" i="15"/>
  <c r="AH337" i="15" s="1"/>
  <c r="AI333" i="15"/>
  <c r="AH333" i="15" s="1"/>
  <c r="AI329" i="15"/>
  <c r="AH329" i="15" s="1"/>
  <c r="AI325" i="15"/>
  <c r="AH325" i="15" s="1"/>
  <c r="AI321" i="15"/>
  <c r="AH321" i="15" s="1"/>
  <c r="AI317" i="15"/>
  <c r="AH317" i="15" s="1"/>
  <c r="AI313" i="15"/>
  <c r="AH313" i="15" s="1"/>
  <c r="AI309" i="15"/>
  <c r="AH309" i="15" s="1"/>
  <c r="AI305" i="15"/>
  <c r="AH305" i="15" s="1"/>
  <c r="AI301" i="15"/>
  <c r="AH301" i="15" s="1"/>
  <c r="AI297" i="15"/>
  <c r="AH297" i="15" s="1"/>
  <c r="AI293" i="15"/>
  <c r="AH293" i="15" s="1"/>
  <c r="AI289" i="15"/>
  <c r="AH289" i="15" s="1"/>
  <c r="AI285" i="15"/>
  <c r="AH285" i="15" s="1"/>
  <c r="AI281" i="15"/>
  <c r="AH281" i="15" s="1"/>
  <c r="AI277" i="15"/>
  <c r="AH277" i="15" s="1"/>
  <c r="AI273" i="15"/>
  <c r="AH273" i="15" s="1"/>
  <c r="AI269" i="15"/>
  <c r="AH269" i="15" s="1"/>
  <c r="AI265" i="15"/>
  <c r="AH265" i="15" s="1"/>
  <c r="AI261" i="15"/>
  <c r="AH261" i="15" s="1"/>
  <c r="AI257" i="15"/>
  <c r="AH257" i="15" s="1"/>
  <c r="AI253" i="15"/>
  <c r="AH253" i="15" s="1"/>
  <c r="AI249" i="15"/>
  <c r="AH249" i="15" s="1"/>
  <c r="AI245" i="15"/>
  <c r="AH245" i="15" s="1"/>
  <c r="AI241" i="15"/>
  <c r="AH241" i="15" s="1"/>
  <c r="AI237" i="15"/>
  <c r="AH237" i="15" s="1"/>
  <c r="AI233" i="15"/>
  <c r="AH233" i="15" s="1"/>
  <c r="AI229" i="15"/>
  <c r="AH229" i="15" s="1"/>
  <c r="AI225" i="15"/>
  <c r="AH225" i="15" s="1"/>
  <c r="AI221" i="15"/>
  <c r="AH221" i="15" s="1"/>
  <c r="AI217" i="15"/>
  <c r="AH217" i="15" s="1"/>
  <c r="AI213" i="15"/>
  <c r="AH213" i="15" s="1"/>
  <c r="AI209" i="15"/>
  <c r="AH209" i="15" s="1"/>
  <c r="AI205" i="15"/>
  <c r="AH205" i="15" s="1"/>
  <c r="AI201" i="15"/>
  <c r="AH201" i="15" s="1"/>
  <c r="AI197" i="15"/>
  <c r="AH197" i="15" s="1"/>
  <c r="AI193" i="15"/>
  <c r="AH193" i="15" s="1"/>
  <c r="AI189" i="15"/>
  <c r="AH189" i="15" s="1"/>
  <c r="AI185" i="15"/>
  <c r="AH185" i="15" s="1"/>
  <c r="AI178" i="15"/>
  <c r="AH178" i="15" s="1"/>
  <c r="AI170" i="15"/>
  <c r="AH170" i="15" s="1"/>
  <c r="AI162" i="15"/>
  <c r="AH162" i="15" s="1"/>
  <c r="AI154" i="15"/>
  <c r="AH154" i="15" s="1"/>
  <c r="AI146" i="15"/>
  <c r="AH146" i="15" s="1"/>
  <c r="AI138" i="15"/>
  <c r="AH138" i="15" s="1"/>
  <c r="AI130" i="15"/>
  <c r="AH130" i="15" s="1"/>
  <c r="AI122" i="15"/>
  <c r="AH122" i="15" s="1"/>
  <c r="AI114" i="15"/>
  <c r="AH114" i="15" s="1"/>
  <c r="AI106" i="15"/>
  <c r="AH106" i="15" s="1"/>
  <c r="AI98" i="15"/>
  <c r="AH98" i="15" s="1"/>
  <c r="AI90" i="15"/>
  <c r="AH90" i="15" s="1"/>
  <c r="AI82" i="15"/>
  <c r="AH82" i="15" s="1"/>
  <c r="AI74" i="15"/>
  <c r="AH74" i="15" s="1"/>
  <c r="AI66" i="15"/>
  <c r="AH66" i="15" s="1"/>
  <c r="AI58" i="15"/>
  <c r="AH58" i="15" s="1"/>
  <c r="AI50" i="15"/>
  <c r="AH50" i="15" s="1"/>
  <c r="AI42" i="15"/>
  <c r="AH42" i="15" s="1"/>
  <c r="AI34" i="15"/>
  <c r="AH34" i="15" s="1"/>
  <c r="AI26" i="15"/>
  <c r="AH26" i="15" s="1"/>
  <c r="AI17" i="15"/>
  <c r="AH17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79" i="15"/>
  <c r="Q171" i="15"/>
  <c r="Q163" i="15"/>
  <c r="Q155" i="15"/>
  <c r="Q147" i="15"/>
  <c r="Q139" i="15"/>
  <c r="Q131" i="15"/>
  <c r="Q123" i="15"/>
  <c r="Q115" i="15"/>
  <c r="Q107" i="15"/>
  <c r="Q99" i="15"/>
  <c r="Q91" i="15"/>
  <c r="Q83" i="15"/>
  <c r="Q75" i="15"/>
  <c r="Q67" i="15"/>
  <c r="Q59" i="15"/>
  <c r="Q51" i="15"/>
  <c r="Q43" i="15"/>
  <c r="Q35" i="15"/>
  <c r="Q27" i="15"/>
  <c r="Q17" i="15"/>
  <c r="Q378" i="15"/>
  <c r="Q376" i="15"/>
  <c r="Q374" i="15"/>
  <c r="Q372" i="15"/>
  <c r="Q370" i="15"/>
  <c r="Q368" i="15"/>
  <c r="Q366" i="15"/>
  <c r="Q364" i="15"/>
  <c r="Q362" i="15"/>
  <c r="Q360" i="15"/>
  <c r="Q358" i="15"/>
  <c r="Q356" i="15"/>
  <c r="Q354" i="15"/>
  <c r="Q352" i="15"/>
  <c r="Q350" i="15"/>
  <c r="Q348" i="15"/>
  <c r="Q346" i="15"/>
  <c r="Q344" i="15"/>
  <c r="Q342" i="15"/>
  <c r="Q340" i="15"/>
  <c r="Q338" i="15"/>
  <c r="Q336" i="15"/>
  <c r="Q334" i="15"/>
  <c r="Q332" i="15"/>
  <c r="Q330" i="15"/>
  <c r="Q328" i="15"/>
  <c r="Q326" i="15"/>
  <c r="Q324" i="15"/>
  <c r="Q322" i="15"/>
  <c r="Q320" i="15"/>
  <c r="Q318" i="15"/>
  <c r="Q316" i="15"/>
  <c r="Q314" i="15"/>
  <c r="Q312" i="15"/>
  <c r="Q310" i="15"/>
  <c r="Q308" i="15"/>
  <c r="Q306" i="15"/>
  <c r="Q304" i="15"/>
  <c r="Q302" i="15"/>
  <c r="Q300" i="15"/>
  <c r="Q298" i="15"/>
  <c r="Q296" i="15"/>
  <c r="Q294" i="15"/>
  <c r="Q292" i="15"/>
  <c r="Q290" i="15"/>
  <c r="Q288" i="15"/>
  <c r="Q286" i="15"/>
  <c r="Q284" i="15"/>
  <c r="Q282" i="15"/>
  <c r="Q280" i="15"/>
  <c r="Q278" i="15"/>
  <c r="Q276" i="15"/>
  <c r="Q274" i="15"/>
  <c r="Q272" i="15"/>
  <c r="Q270" i="15"/>
  <c r="Q268" i="15"/>
  <c r="Q266" i="15"/>
  <c r="Q264" i="15"/>
  <c r="Q262" i="15"/>
  <c r="Q260" i="15"/>
  <c r="Q258" i="15"/>
  <c r="Q256" i="15"/>
  <c r="Q254" i="15"/>
  <c r="Q252" i="15"/>
  <c r="Q250" i="15"/>
  <c r="Q248" i="15"/>
  <c r="Q246" i="15"/>
  <c r="Q244" i="15"/>
  <c r="Q242" i="15"/>
  <c r="Q240" i="15"/>
  <c r="Q238" i="15"/>
  <c r="Q236" i="15"/>
  <c r="Q234" i="15"/>
  <c r="Q232" i="15"/>
  <c r="Q230" i="15"/>
  <c r="Q228" i="15"/>
  <c r="Q226" i="15"/>
  <c r="Q224" i="15"/>
  <c r="Q222" i="15"/>
  <c r="Q220" i="15"/>
  <c r="Q218" i="15"/>
  <c r="Q216" i="15"/>
  <c r="Q214" i="15"/>
  <c r="Q212" i="15"/>
  <c r="Q210" i="15"/>
  <c r="Q208" i="15"/>
  <c r="Q206" i="15"/>
  <c r="Q204" i="15"/>
  <c r="Q202" i="15"/>
  <c r="Q200" i="15"/>
  <c r="Q198" i="15"/>
  <c r="Q196" i="15"/>
  <c r="Q194" i="15"/>
  <c r="Q192" i="15"/>
  <c r="Q190" i="15"/>
  <c r="Q188" i="15"/>
  <c r="Q186" i="15"/>
  <c r="Q184" i="15"/>
  <c r="Q181" i="15"/>
  <c r="Q177" i="15"/>
  <c r="Q173" i="15"/>
  <c r="Q169" i="15"/>
  <c r="Q165" i="15"/>
  <c r="Q161" i="15"/>
  <c r="Q157" i="15"/>
  <c r="Q153" i="15"/>
  <c r="Q149" i="15"/>
  <c r="Q145" i="15"/>
  <c r="Q141" i="15"/>
  <c r="Q137" i="15"/>
  <c r="Q133" i="15"/>
  <c r="Q129" i="15"/>
  <c r="Q125" i="15"/>
  <c r="Q121" i="15"/>
  <c r="Q117" i="15"/>
  <c r="Q113" i="15"/>
  <c r="Q109" i="15"/>
  <c r="Q105" i="15"/>
  <c r="Q101" i="15"/>
  <c r="Q97" i="15"/>
  <c r="Q93" i="15"/>
  <c r="Q89" i="15"/>
  <c r="Q85" i="15"/>
  <c r="Q81" i="15"/>
  <c r="Q77" i="15"/>
  <c r="Q73" i="15"/>
  <c r="Q69" i="15"/>
  <c r="Q65" i="15"/>
  <c r="Q61" i="15"/>
  <c r="Q57" i="15"/>
  <c r="Q53" i="15"/>
  <c r="Q49" i="15"/>
  <c r="Q45" i="15"/>
  <c r="Q41" i="15"/>
  <c r="Q37" i="15"/>
  <c r="Q33" i="15"/>
  <c r="Q29" i="15"/>
  <c r="Q25" i="15"/>
  <c r="Q15" i="15"/>
  <c r="U379" i="15"/>
  <c r="AI379" i="15"/>
  <c r="E375" i="17"/>
  <c r="Q18" i="15"/>
  <c r="Q16" i="15"/>
  <c r="Q19" i="15"/>
  <c r="Q22" i="15"/>
  <c r="Q24" i="15"/>
  <c r="Q26" i="15"/>
  <c r="Q28" i="15"/>
  <c r="Q30" i="15"/>
  <c r="Q32" i="15"/>
  <c r="Q34" i="15"/>
  <c r="Q36" i="15"/>
  <c r="Q38" i="15"/>
  <c r="Q40" i="15"/>
  <c r="Q42" i="15"/>
  <c r="Q44" i="15"/>
  <c r="Q46" i="15"/>
  <c r="Q48" i="15"/>
  <c r="Q50" i="15"/>
  <c r="Q52" i="15"/>
  <c r="Q54" i="15"/>
  <c r="Q56" i="15"/>
  <c r="Q58" i="15"/>
  <c r="Q60" i="15"/>
  <c r="Q62" i="15"/>
  <c r="Q64" i="15"/>
  <c r="Q66" i="15"/>
  <c r="Q68" i="15"/>
  <c r="Q70" i="15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AJ11" i="15"/>
  <c r="X373" i="23"/>
  <c r="K373" i="23"/>
  <c r="A374" i="23"/>
  <c r="AK373" i="23"/>
  <c r="L373" i="23"/>
  <c r="AB373" i="23"/>
  <c r="AJ373" i="23"/>
  <c r="AC373" i="23"/>
  <c r="O373" i="23"/>
  <c r="E383" i="1"/>
  <c r="E9" i="1"/>
  <c r="E11" i="1" s="1"/>
  <c r="E381" i="1"/>
  <c r="E382" i="1"/>
  <c r="AJ10" i="1"/>
  <c r="AJ12" i="1" s="1"/>
  <c r="AJ13" i="1" s="1"/>
  <c r="AK8" i="1"/>
  <c r="L375" i="16"/>
  <c r="AJ375" i="16"/>
  <c r="X375" i="16"/>
  <c r="K375" i="16"/>
  <c r="AB375" i="16"/>
  <c r="A376" i="16"/>
  <c r="AK375" i="16"/>
  <c r="AC375" i="16"/>
  <c r="O375" i="16"/>
  <c r="D374" i="16"/>
  <c r="E374" i="16" s="1"/>
  <c r="T370" i="15"/>
  <c r="T364" i="15"/>
  <c r="T332" i="15"/>
  <c r="T284" i="15"/>
  <c r="T256" i="15"/>
  <c r="T26" i="15"/>
  <c r="AK3" i="15"/>
  <c r="Q12" i="19" s="1"/>
  <c r="A376" i="20"/>
  <c r="X375" i="20"/>
  <c r="L375" i="20"/>
  <c r="AK375" i="20"/>
  <c r="AB375" i="20"/>
  <c r="K375" i="20"/>
  <c r="AJ375" i="20"/>
  <c r="AC375" i="20"/>
  <c r="O375" i="20"/>
  <c r="K15" i="7"/>
  <c r="AE19" i="15"/>
  <c r="AE20" i="15"/>
  <c r="AE17" i="15"/>
  <c r="AE21" i="15"/>
  <c r="AE15" i="15"/>
  <c r="AE18" i="15"/>
  <c r="AE16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Q379" i="15"/>
  <c r="AE379" i="15"/>
  <c r="AE12" i="16" s="1"/>
  <c r="AH340" i="15"/>
  <c r="AH174" i="15"/>
  <c r="AH38" i="15"/>
  <c r="D381" i="15"/>
  <c r="D383" i="15"/>
  <c r="D382" i="15"/>
  <c r="D9" i="15"/>
  <c r="D11" i="15" s="1"/>
  <c r="E36" i="19" s="1"/>
  <c r="AJ8" i="15"/>
  <c r="AB374" i="22"/>
  <c r="L374" i="22"/>
  <c r="X374" i="22"/>
  <c r="AK374" i="22"/>
  <c r="A375" i="22"/>
  <c r="K374" i="22"/>
  <c r="AJ374" i="22"/>
  <c r="AC374" i="22"/>
  <c r="O374" i="22"/>
  <c r="X379" i="18"/>
  <c r="L379" i="18"/>
  <c r="B39" i="19" s="1"/>
  <c r="AK379" i="18"/>
  <c r="AB379" i="18"/>
  <c r="K379" i="18"/>
  <c r="AJ379" i="18"/>
  <c r="O379" i="18"/>
  <c r="C39" i="19" s="1"/>
  <c r="AC379" i="18"/>
  <c r="X376" i="17"/>
  <c r="K376" i="17"/>
  <c r="L376" i="17"/>
  <c r="D376" i="17" s="1"/>
  <c r="AB376" i="17"/>
  <c r="AJ376" i="17"/>
  <c r="A377" i="17"/>
  <c r="AK376" i="17"/>
  <c r="O376" i="17"/>
  <c r="AC376" i="17"/>
  <c r="K372" i="24"/>
  <c r="A373" i="24"/>
  <c r="AJ372" i="24"/>
  <c r="X372" i="24"/>
  <c r="L372" i="24"/>
  <c r="AB372" i="24"/>
  <c r="AK372" i="24"/>
  <c r="AC372" i="24"/>
  <c r="O372" i="24"/>
  <c r="AB371" i="25"/>
  <c r="X371" i="25"/>
  <c r="K371" i="25"/>
  <c r="AK371" i="25"/>
  <c r="A372" i="25"/>
  <c r="L371" i="25"/>
  <c r="AJ371" i="25"/>
  <c r="AC371" i="25"/>
  <c r="O371" i="25"/>
  <c r="S383" i="1"/>
  <c r="S382" i="1"/>
  <c r="S381" i="1"/>
  <c r="R379" i="1"/>
  <c r="AH367" i="15"/>
  <c r="AH355" i="15"/>
  <c r="AH347" i="15"/>
  <c r="AL11" i="15"/>
  <c r="E379" i="15"/>
  <c r="AI383" i="15" l="1"/>
  <c r="C11" i="19"/>
  <c r="F35" i="19"/>
  <c r="AI382" i="15"/>
  <c r="U382" i="15"/>
  <c r="AI381" i="15"/>
  <c r="U12" i="16"/>
  <c r="T379" i="15"/>
  <c r="S379" i="15" s="1"/>
  <c r="R379" i="15" s="1"/>
  <c r="J16" i="7"/>
  <c r="P11" i="7" s="1"/>
  <c r="U11" i="16" s="1"/>
  <c r="U10" i="16" s="1"/>
  <c r="U383" i="15"/>
  <c r="U381" i="15"/>
  <c r="AI12" i="16"/>
  <c r="AH379" i="15"/>
  <c r="AG379" i="15" s="1"/>
  <c r="AF379" i="15" s="1"/>
  <c r="AD379" i="15" s="1"/>
  <c r="P379" i="15"/>
  <c r="AG21" i="15"/>
  <c r="AF21" i="15" s="1"/>
  <c r="AD21" i="15" s="1"/>
  <c r="AG19" i="15"/>
  <c r="AF19" i="15" s="1"/>
  <c r="AD19" i="15" s="1"/>
  <c r="AG20" i="15"/>
  <c r="AF20" i="15" s="1"/>
  <c r="AD20" i="15" s="1"/>
  <c r="R382" i="1"/>
  <c r="R383" i="1"/>
  <c r="R381" i="1"/>
  <c r="P379" i="1"/>
  <c r="D35" i="19" s="1"/>
  <c r="X372" i="25"/>
  <c r="AB372" i="25"/>
  <c r="L372" i="25"/>
  <c r="AK372" i="25"/>
  <c r="K372" i="25"/>
  <c r="A373" i="25"/>
  <c r="AJ372" i="25"/>
  <c r="AC372" i="25"/>
  <c r="O372" i="25"/>
  <c r="L377" i="17"/>
  <c r="A378" i="17"/>
  <c r="AJ377" i="17"/>
  <c r="AB377" i="17"/>
  <c r="K377" i="17"/>
  <c r="X377" i="17"/>
  <c r="AK377" i="17"/>
  <c r="O377" i="17"/>
  <c r="AC377" i="17"/>
  <c r="S18" i="15"/>
  <c r="R18" i="15" s="1"/>
  <c r="P18" i="15" s="1"/>
  <c r="S23" i="15"/>
  <c r="R23" i="15" s="1"/>
  <c r="P23" i="15" s="1"/>
  <c r="V23" i="15" s="1"/>
  <c r="F23" i="15" s="1"/>
  <c r="S25" i="15"/>
  <c r="R25" i="15" s="1"/>
  <c r="P25" i="15" s="1"/>
  <c r="V25" i="15" s="1"/>
  <c r="F25" i="15" s="1"/>
  <c r="S27" i="15"/>
  <c r="R27" i="15" s="1"/>
  <c r="P27" i="15" s="1"/>
  <c r="V27" i="15" s="1"/>
  <c r="F27" i="15" s="1"/>
  <c r="S29" i="15"/>
  <c r="R29" i="15" s="1"/>
  <c r="P29" i="15" s="1"/>
  <c r="S31" i="15"/>
  <c r="R31" i="15" s="1"/>
  <c r="P31" i="15" s="1"/>
  <c r="V31" i="15" s="1"/>
  <c r="F31" i="15" s="1"/>
  <c r="S33" i="15"/>
  <c r="R33" i="15" s="1"/>
  <c r="P33" i="15" s="1"/>
  <c r="V33" i="15" s="1"/>
  <c r="F33" i="15" s="1"/>
  <c r="S35" i="15"/>
  <c r="R35" i="15" s="1"/>
  <c r="P35" i="15" s="1"/>
  <c r="S37" i="15"/>
  <c r="R37" i="15" s="1"/>
  <c r="P37" i="15" s="1"/>
  <c r="S39" i="15"/>
  <c r="R39" i="15" s="1"/>
  <c r="P39" i="15" s="1"/>
  <c r="V39" i="15" s="1"/>
  <c r="F39" i="15" s="1"/>
  <c r="S41" i="15"/>
  <c r="R41" i="15" s="1"/>
  <c r="P41" i="15" s="1"/>
  <c r="S43" i="15"/>
  <c r="R43" i="15" s="1"/>
  <c r="P43" i="15" s="1"/>
  <c r="V43" i="15" s="1"/>
  <c r="F43" i="15" s="1"/>
  <c r="S45" i="15"/>
  <c r="R45" i="15" s="1"/>
  <c r="P45" i="15" s="1"/>
  <c r="S47" i="15"/>
  <c r="R47" i="15" s="1"/>
  <c r="P47" i="15" s="1"/>
  <c r="V47" i="15" s="1"/>
  <c r="F47" i="15" s="1"/>
  <c r="S49" i="15"/>
  <c r="R49" i="15" s="1"/>
  <c r="P49" i="15" s="1"/>
  <c r="S51" i="15"/>
  <c r="R51" i="15" s="1"/>
  <c r="P51" i="15" s="1"/>
  <c r="S53" i="15"/>
  <c r="R53" i="15" s="1"/>
  <c r="P53" i="15" s="1"/>
  <c r="V53" i="15" s="1"/>
  <c r="F53" i="15" s="1"/>
  <c r="S55" i="15"/>
  <c r="R55" i="15" s="1"/>
  <c r="P55" i="15" s="1"/>
  <c r="V55" i="15" s="1"/>
  <c r="F55" i="15" s="1"/>
  <c r="S57" i="15"/>
  <c r="R57" i="15" s="1"/>
  <c r="P57" i="15" s="1"/>
  <c r="S59" i="15"/>
  <c r="R59" i="15" s="1"/>
  <c r="P59" i="15" s="1"/>
  <c r="V59" i="15" s="1"/>
  <c r="F59" i="15" s="1"/>
  <c r="S61" i="15"/>
  <c r="R61" i="15" s="1"/>
  <c r="P61" i="15" s="1"/>
  <c r="S63" i="15"/>
  <c r="R63" i="15" s="1"/>
  <c r="P63" i="15" s="1"/>
  <c r="V63" i="15" s="1"/>
  <c r="F63" i="15" s="1"/>
  <c r="S65" i="15"/>
  <c r="R65" i="15" s="1"/>
  <c r="P65" i="15" s="1"/>
  <c r="V65" i="15" s="1"/>
  <c r="F65" i="15" s="1"/>
  <c r="S67" i="15"/>
  <c r="R67" i="15" s="1"/>
  <c r="P67" i="15" s="1"/>
  <c r="V67" i="15" s="1"/>
  <c r="F67" i="15" s="1"/>
  <c r="S69" i="15"/>
  <c r="R69" i="15" s="1"/>
  <c r="P69" i="15" s="1"/>
  <c r="S71" i="15"/>
  <c r="R71" i="15" s="1"/>
  <c r="P71" i="15" s="1"/>
  <c r="S73" i="15"/>
  <c r="R73" i="15" s="1"/>
  <c r="P73" i="15" s="1"/>
  <c r="S75" i="15"/>
  <c r="R75" i="15" s="1"/>
  <c r="P75" i="15" s="1"/>
  <c r="S77" i="15"/>
  <c r="R77" i="15" s="1"/>
  <c r="P77" i="15" s="1"/>
  <c r="S79" i="15"/>
  <c r="R79" i="15" s="1"/>
  <c r="P79" i="15" s="1"/>
  <c r="S81" i="15"/>
  <c r="R81" i="15" s="1"/>
  <c r="P81" i="15" s="1"/>
  <c r="S83" i="15"/>
  <c r="R83" i="15" s="1"/>
  <c r="P83" i="15" s="1"/>
  <c r="V83" i="15" s="1"/>
  <c r="F83" i="15" s="1"/>
  <c r="S85" i="15"/>
  <c r="R85" i="15" s="1"/>
  <c r="P85" i="15" s="1"/>
  <c r="S87" i="15"/>
  <c r="R87" i="15" s="1"/>
  <c r="P87" i="15" s="1"/>
  <c r="S89" i="15"/>
  <c r="R89" i="15" s="1"/>
  <c r="P89" i="15" s="1"/>
  <c r="S91" i="15"/>
  <c r="R91" i="15" s="1"/>
  <c r="P91" i="15" s="1"/>
  <c r="S93" i="15"/>
  <c r="R93" i="15" s="1"/>
  <c r="P93" i="15" s="1"/>
  <c r="S95" i="15"/>
  <c r="R95" i="15" s="1"/>
  <c r="P95" i="15" s="1"/>
  <c r="S97" i="15"/>
  <c r="R97" i="15" s="1"/>
  <c r="P97" i="15" s="1"/>
  <c r="V97" i="15" s="1"/>
  <c r="F97" i="15" s="1"/>
  <c r="S99" i="15"/>
  <c r="R99" i="15" s="1"/>
  <c r="P99" i="15" s="1"/>
  <c r="S101" i="15"/>
  <c r="R101" i="15" s="1"/>
  <c r="P101" i="15" s="1"/>
  <c r="V101" i="15" s="1"/>
  <c r="F101" i="15" s="1"/>
  <c r="S103" i="15"/>
  <c r="R103" i="15" s="1"/>
  <c r="P103" i="15" s="1"/>
  <c r="S105" i="15"/>
  <c r="R105" i="15" s="1"/>
  <c r="P105" i="15" s="1"/>
  <c r="S107" i="15"/>
  <c r="R107" i="15" s="1"/>
  <c r="P107" i="15" s="1"/>
  <c r="V107" i="15" s="1"/>
  <c r="F107" i="15" s="1"/>
  <c r="S109" i="15"/>
  <c r="R109" i="15" s="1"/>
  <c r="P109" i="15" s="1"/>
  <c r="S111" i="15"/>
  <c r="R111" i="15" s="1"/>
  <c r="P111" i="15" s="1"/>
  <c r="V111" i="15" s="1"/>
  <c r="F111" i="15" s="1"/>
  <c r="S113" i="15"/>
  <c r="R113" i="15" s="1"/>
  <c r="P113" i="15" s="1"/>
  <c r="S115" i="15"/>
  <c r="R115" i="15" s="1"/>
  <c r="P115" i="15" s="1"/>
  <c r="V115" i="15" s="1"/>
  <c r="F115" i="15" s="1"/>
  <c r="S117" i="15"/>
  <c r="R117" i="15" s="1"/>
  <c r="P117" i="15" s="1"/>
  <c r="S119" i="15"/>
  <c r="R119" i="15" s="1"/>
  <c r="P119" i="15" s="1"/>
  <c r="S121" i="15"/>
  <c r="R121" i="15" s="1"/>
  <c r="P121" i="15" s="1"/>
  <c r="S123" i="15"/>
  <c r="R123" i="15" s="1"/>
  <c r="P123" i="15" s="1"/>
  <c r="V123" i="15" s="1"/>
  <c r="F123" i="15" s="1"/>
  <c r="S125" i="15"/>
  <c r="R125" i="15" s="1"/>
  <c r="P125" i="15" s="1"/>
  <c r="S127" i="15"/>
  <c r="R127" i="15" s="1"/>
  <c r="P127" i="15" s="1"/>
  <c r="V127" i="15" s="1"/>
  <c r="F127" i="15" s="1"/>
  <c r="S129" i="15"/>
  <c r="R129" i="15" s="1"/>
  <c r="P129" i="15" s="1"/>
  <c r="S131" i="15"/>
  <c r="R131" i="15" s="1"/>
  <c r="P131" i="15" s="1"/>
  <c r="S133" i="15"/>
  <c r="R133" i="15" s="1"/>
  <c r="P133" i="15" s="1"/>
  <c r="S135" i="15"/>
  <c r="R135" i="15" s="1"/>
  <c r="P135" i="15" s="1"/>
  <c r="S137" i="15"/>
  <c r="R137" i="15" s="1"/>
  <c r="P137" i="15" s="1"/>
  <c r="V137" i="15" s="1"/>
  <c r="F137" i="15" s="1"/>
  <c r="S139" i="15"/>
  <c r="R139" i="15" s="1"/>
  <c r="P139" i="15" s="1"/>
  <c r="V139" i="15" s="1"/>
  <c r="F139" i="15" s="1"/>
  <c r="S141" i="15"/>
  <c r="R141" i="15" s="1"/>
  <c r="P141" i="15" s="1"/>
  <c r="S143" i="15"/>
  <c r="R143" i="15" s="1"/>
  <c r="P143" i="15" s="1"/>
  <c r="V143" i="15" s="1"/>
  <c r="F143" i="15" s="1"/>
  <c r="S145" i="15"/>
  <c r="R145" i="15" s="1"/>
  <c r="P145" i="15" s="1"/>
  <c r="S147" i="15"/>
  <c r="R147" i="15" s="1"/>
  <c r="P147" i="15" s="1"/>
  <c r="V147" i="15" s="1"/>
  <c r="F147" i="15" s="1"/>
  <c r="S149" i="15"/>
  <c r="R149" i="15" s="1"/>
  <c r="P149" i="15" s="1"/>
  <c r="S151" i="15"/>
  <c r="R151" i="15" s="1"/>
  <c r="P151" i="15" s="1"/>
  <c r="V151" i="15" s="1"/>
  <c r="F151" i="15" s="1"/>
  <c r="S153" i="15"/>
  <c r="R153" i="15" s="1"/>
  <c r="P153" i="15" s="1"/>
  <c r="S155" i="15"/>
  <c r="R155" i="15" s="1"/>
  <c r="P155" i="15" s="1"/>
  <c r="V155" i="15" s="1"/>
  <c r="F155" i="15" s="1"/>
  <c r="S157" i="15"/>
  <c r="R157" i="15" s="1"/>
  <c r="P157" i="15" s="1"/>
  <c r="S159" i="15"/>
  <c r="R159" i="15" s="1"/>
  <c r="P159" i="15" s="1"/>
  <c r="V159" i="15" s="1"/>
  <c r="F159" i="15" s="1"/>
  <c r="S161" i="15"/>
  <c r="R161" i="15" s="1"/>
  <c r="P161" i="15" s="1"/>
  <c r="S163" i="15"/>
  <c r="R163" i="15" s="1"/>
  <c r="P163" i="15" s="1"/>
  <c r="V163" i="15" s="1"/>
  <c r="F163" i="15" s="1"/>
  <c r="S165" i="15"/>
  <c r="R165" i="15" s="1"/>
  <c r="P165" i="15" s="1"/>
  <c r="S167" i="15"/>
  <c r="R167" i="15" s="1"/>
  <c r="P167" i="15" s="1"/>
  <c r="S169" i="15"/>
  <c r="R169" i="15" s="1"/>
  <c r="P169" i="15" s="1"/>
  <c r="S171" i="15"/>
  <c r="R171" i="15" s="1"/>
  <c r="P171" i="15" s="1"/>
  <c r="S173" i="15"/>
  <c r="R173" i="15" s="1"/>
  <c r="P173" i="15" s="1"/>
  <c r="V173" i="15" s="1"/>
  <c r="F173" i="15" s="1"/>
  <c r="S175" i="15"/>
  <c r="R175" i="15" s="1"/>
  <c r="P175" i="15" s="1"/>
  <c r="V175" i="15" s="1"/>
  <c r="F175" i="15" s="1"/>
  <c r="S177" i="15"/>
  <c r="R177" i="15" s="1"/>
  <c r="P177" i="15" s="1"/>
  <c r="S179" i="15"/>
  <c r="R179" i="15" s="1"/>
  <c r="P179" i="15" s="1"/>
  <c r="V179" i="15" s="1"/>
  <c r="F179" i="15" s="1"/>
  <c r="S181" i="15"/>
  <c r="R181" i="15" s="1"/>
  <c r="P181" i="15" s="1"/>
  <c r="S183" i="15"/>
  <c r="R183" i="15" s="1"/>
  <c r="P183" i="15" s="1"/>
  <c r="S185" i="15"/>
  <c r="R185" i="15" s="1"/>
  <c r="P185" i="15" s="1"/>
  <c r="S187" i="15"/>
  <c r="R187" i="15" s="1"/>
  <c r="P187" i="15" s="1"/>
  <c r="S189" i="15"/>
  <c r="R189" i="15" s="1"/>
  <c r="P189" i="15" s="1"/>
  <c r="V189" i="15" s="1"/>
  <c r="F189" i="15" s="1"/>
  <c r="S191" i="15"/>
  <c r="R191" i="15" s="1"/>
  <c r="P191" i="15" s="1"/>
  <c r="S193" i="15"/>
  <c r="R193" i="15" s="1"/>
  <c r="P193" i="15" s="1"/>
  <c r="V193" i="15" s="1"/>
  <c r="F193" i="15" s="1"/>
  <c r="S195" i="15"/>
  <c r="R195" i="15" s="1"/>
  <c r="P195" i="15" s="1"/>
  <c r="S197" i="15"/>
  <c r="R197" i="15" s="1"/>
  <c r="P197" i="15" s="1"/>
  <c r="S199" i="15"/>
  <c r="R199" i="15" s="1"/>
  <c r="P199" i="15" s="1"/>
  <c r="V199" i="15" s="1"/>
  <c r="F199" i="15" s="1"/>
  <c r="S201" i="15"/>
  <c r="R201" i="15" s="1"/>
  <c r="P201" i="15" s="1"/>
  <c r="S203" i="15"/>
  <c r="R203" i="15" s="1"/>
  <c r="P203" i="15" s="1"/>
  <c r="V203" i="15" s="1"/>
  <c r="F203" i="15" s="1"/>
  <c r="S205" i="15"/>
  <c r="R205" i="15" s="1"/>
  <c r="P205" i="15" s="1"/>
  <c r="S207" i="15"/>
  <c r="R207" i="15" s="1"/>
  <c r="P207" i="15" s="1"/>
  <c r="S209" i="15"/>
  <c r="R209" i="15" s="1"/>
  <c r="P209" i="15" s="1"/>
  <c r="S211" i="15"/>
  <c r="R211" i="15" s="1"/>
  <c r="P211" i="15" s="1"/>
  <c r="V211" i="15" s="1"/>
  <c r="F211" i="15" s="1"/>
  <c r="S213" i="15"/>
  <c r="R213" i="15" s="1"/>
  <c r="P213" i="15" s="1"/>
  <c r="S215" i="15"/>
  <c r="R215" i="15" s="1"/>
  <c r="P215" i="15" s="1"/>
  <c r="S217" i="15"/>
  <c r="R217" i="15" s="1"/>
  <c r="P217" i="15" s="1"/>
  <c r="V217" i="15" s="1"/>
  <c r="F217" i="15" s="1"/>
  <c r="S219" i="15"/>
  <c r="R219" i="15" s="1"/>
  <c r="P219" i="15" s="1"/>
  <c r="S221" i="15"/>
  <c r="R221" i="15" s="1"/>
  <c r="P221" i="15" s="1"/>
  <c r="V221" i="15" s="1"/>
  <c r="F221" i="15" s="1"/>
  <c r="S223" i="15"/>
  <c r="R223" i="15" s="1"/>
  <c r="P223" i="15" s="1"/>
  <c r="V223" i="15" s="1"/>
  <c r="F223" i="15" s="1"/>
  <c r="S225" i="15"/>
  <c r="R225" i="15" s="1"/>
  <c r="P225" i="15" s="1"/>
  <c r="V225" i="15" s="1"/>
  <c r="F225" i="15" s="1"/>
  <c r="S227" i="15"/>
  <c r="R227" i="15" s="1"/>
  <c r="P227" i="15" s="1"/>
  <c r="S229" i="15"/>
  <c r="R229" i="15" s="1"/>
  <c r="P229" i="15" s="1"/>
  <c r="S231" i="15"/>
  <c r="R231" i="15" s="1"/>
  <c r="P231" i="15" s="1"/>
  <c r="V231" i="15" s="1"/>
  <c r="F231" i="15" s="1"/>
  <c r="S233" i="15"/>
  <c r="R233" i="15" s="1"/>
  <c r="P233" i="15" s="1"/>
  <c r="V233" i="15" s="1"/>
  <c r="F233" i="15" s="1"/>
  <c r="S235" i="15"/>
  <c r="R235" i="15" s="1"/>
  <c r="P235" i="15" s="1"/>
  <c r="V235" i="15" s="1"/>
  <c r="F235" i="15" s="1"/>
  <c r="S237" i="15"/>
  <c r="R237" i="15" s="1"/>
  <c r="P237" i="15" s="1"/>
  <c r="S239" i="15"/>
  <c r="R239" i="15" s="1"/>
  <c r="P239" i="15" s="1"/>
  <c r="V239" i="15" s="1"/>
  <c r="F239" i="15" s="1"/>
  <c r="S241" i="15"/>
  <c r="R241" i="15" s="1"/>
  <c r="P241" i="15" s="1"/>
  <c r="S243" i="15"/>
  <c r="R243" i="15" s="1"/>
  <c r="P243" i="15" s="1"/>
  <c r="V243" i="15" s="1"/>
  <c r="F243" i="15" s="1"/>
  <c r="S245" i="15"/>
  <c r="R245" i="15" s="1"/>
  <c r="P245" i="15" s="1"/>
  <c r="V245" i="15" s="1"/>
  <c r="F245" i="15" s="1"/>
  <c r="S247" i="15"/>
  <c r="R247" i="15" s="1"/>
  <c r="P247" i="15" s="1"/>
  <c r="V247" i="15" s="1"/>
  <c r="F247" i="15" s="1"/>
  <c r="S249" i="15"/>
  <c r="R249" i="15" s="1"/>
  <c r="P249" i="15" s="1"/>
  <c r="V249" i="15" s="1"/>
  <c r="F249" i="15" s="1"/>
  <c r="S251" i="15"/>
  <c r="R251" i="15" s="1"/>
  <c r="P251" i="15" s="1"/>
  <c r="V251" i="15" s="1"/>
  <c r="F251" i="15" s="1"/>
  <c r="S253" i="15"/>
  <c r="R253" i="15" s="1"/>
  <c r="P253" i="15" s="1"/>
  <c r="V253" i="15" s="1"/>
  <c r="F253" i="15" s="1"/>
  <c r="S255" i="15"/>
  <c r="R255" i="15" s="1"/>
  <c r="P255" i="15" s="1"/>
  <c r="V255" i="15" s="1"/>
  <c r="F255" i="15" s="1"/>
  <c r="S257" i="15"/>
  <c r="R257" i="15" s="1"/>
  <c r="P257" i="15" s="1"/>
  <c r="V257" i="15" s="1"/>
  <c r="F257" i="15" s="1"/>
  <c r="S259" i="15"/>
  <c r="R259" i="15" s="1"/>
  <c r="P259" i="15" s="1"/>
  <c r="V259" i="15" s="1"/>
  <c r="F259" i="15" s="1"/>
  <c r="S261" i="15"/>
  <c r="R261" i="15" s="1"/>
  <c r="P261" i="15" s="1"/>
  <c r="V261" i="15" s="1"/>
  <c r="F261" i="15" s="1"/>
  <c r="S263" i="15"/>
  <c r="R263" i="15" s="1"/>
  <c r="P263" i="15" s="1"/>
  <c r="S265" i="15"/>
  <c r="R265" i="15" s="1"/>
  <c r="P265" i="15" s="1"/>
  <c r="V265" i="15" s="1"/>
  <c r="F265" i="15" s="1"/>
  <c r="S267" i="15"/>
  <c r="R267" i="15" s="1"/>
  <c r="P267" i="15" s="1"/>
  <c r="V267" i="15" s="1"/>
  <c r="F267" i="15" s="1"/>
  <c r="S269" i="15"/>
  <c r="R269" i="15" s="1"/>
  <c r="P269" i="15" s="1"/>
  <c r="V269" i="15" s="1"/>
  <c r="F269" i="15" s="1"/>
  <c r="S271" i="15"/>
  <c r="R271" i="15" s="1"/>
  <c r="P271" i="15" s="1"/>
  <c r="V271" i="15" s="1"/>
  <c r="F271" i="15" s="1"/>
  <c r="S273" i="15"/>
  <c r="R273" i="15" s="1"/>
  <c r="P273" i="15" s="1"/>
  <c r="V273" i="15" s="1"/>
  <c r="F273" i="15" s="1"/>
  <c r="S275" i="15"/>
  <c r="R275" i="15" s="1"/>
  <c r="P275" i="15" s="1"/>
  <c r="S277" i="15"/>
  <c r="R277" i="15" s="1"/>
  <c r="P277" i="15" s="1"/>
  <c r="S279" i="15"/>
  <c r="R279" i="15" s="1"/>
  <c r="P279" i="15" s="1"/>
  <c r="V279" i="15" s="1"/>
  <c r="F279" i="15" s="1"/>
  <c r="S281" i="15"/>
  <c r="R281" i="15" s="1"/>
  <c r="P281" i="15" s="1"/>
  <c r="V281" i="15" s="1"/>
  <c r="F281" i="15" s="1"/>
  <c r="S283" i="15"/>
  <c r="R283" i="15" s="1"/>
  <c r="P283" i="15" s="1"/>
  <c r="V283" i="15" s="1"/>
  <c r="F283" i="15" s="1"/>
  <c r="S285" i="15"/>
  <c r="R285" i="15" s="1"/>
  <c r="P285" i="15" s="1"/>
  <c r="S287" i="15"/>
  <c r="R287" i="15" s="1"/>
  <c r="P287" i="15" s="1"/>
  <c r="V287" i="15" s="1"/>
  <c r="F287" i="15" s="1"/>
  <c r="S289" i="15"/>
  <c r="R289" i="15" s="1"/>
  <c r="P289" i="15" s="1"/>
  <c r="V289" i="15" s="1"/>
  <c r="F289" i="15" s="1"/>
  <c r="S291" i="15"/>
  <c r="R291" i="15" s="1"/>
  <c r="P291" i="15" s="1"/>
  <c r="S293" i="15"/>
  <c r="R293" i="15" s="1"/>
  <c r="P293" i="15" s="1"/>
  <c r="V293" i="15" s="1"/>
  <c r="F293" i="15" s="1"/>
  <c r="S295" i="15"/>
  <c r="R295" i="15" s="1"/>
  <c r="P295" i="15" s="1"/>
  <c r="S297" i="15"/>
  <c r="R297" i="15" s="1"/>
  <c r="P297" i="15" s="1"/>
  <c r="V297" i="15" s="1"/>
  <c r="F297" i="15" s="1"/>
  <c r="S299" i="15"/>
  <c r="R299" i="15" s="1"/>
  <c r="P299" i="15" s="1"/>
  <c r="S301" i="15"/>
  <c r="R301" i="15" s="1"/>
  <c r="P301" i="15" s="1"/>
  <c r="S303" i="15"/>
  <c r="R303" i="15" s="1"/>
  <c r="P303" i="15" s="1"/>
  <c r="S305" i="15"/>
  <c r="R305" i="15" s="1"/>
  <c r="P305" i="15" s="1"/>
  <c r="S307" i="15"/>
  <c r="R307" i="15" s="1"/>
  <c r="P307" i="15" s="1"/>
  <c r="V307" i="15" s="1"/>
  <c r="F307" i="15" s="1"/>
  <c r="S309" i="15"/>
  <c r="R309" i="15" s="1"/>
  <c r="P309" i="15" s="1"/>
  <c r="S311" i="15"/>
  <c r="R311" i="15" s="1"/>
  <c r="P311" i="15" s="1"/>
  <c r="V311" i="15" s="1"/>
  <c r="F311" i="15" s="1"/>
  <c r="S313" i="15"/>
  <c r="R313" i="15" s="1"/>
  <c r="P313" i="15" s="1"/>
  <c r="S315" i="15"/>
  <c r="R315" i="15" s="1"/>
  <c r="P315" i="15" s="1"/>
  <c r="V315" i="15" s="1"/>
  <c r="F315" i="15" s="1"/>
  <c r="S317" i="15"/>
  <c r="R317" i="15" s="1"/>
  <c r="P317" i="15" s="1"/>
  <c r="V317" i="15" s="1"/>
  <c r="F317" i="15" s="1"/>
  <c r="S319" i="15"/>
  <c r="R319" i="15" s="1"/>
  <c r="P319" i="15" s="1"/>
  <c r="S321" i="15"/>
  <c r="R321" i="15" s="1"/>
  <c r="P321" i="15" s="1"/>
  <c r="S323" i="15"/>
  <c r="R323" i="15" s="1"/>
  <c r="P323" i="15" s="1"/>
  <c r="V323" i="15" s="1"/>
  <c r="F323" i="15" s="1"/>
  <c r="S325" i="15"/>
  <c r="R325" i="15" s="1"/>
  <c r="P325" i="15" s="1"/>
  <c r="S327" i="15"/>
  <c r="R327" i="15" s="1"/>
  <c r="P327" i="15" s="1"/>
  <c r="V327" i="15" s="1"/>
  <c r="F327" i="15" s="1"/>
  <c r="S329" i="15"/>
  <c r="R329" i="15" s="1"/>
  <c r="P329" i="15" s="1"/>
  <c r="S331" i="15"/>
  <c r="R331" i="15" s="1"/>
  <c r="P331" i="15" s="1"/>
  <c r="V331" i="15" s="1"/>
  <c r="F331" i="15" s="1"/>
  <c r="S333" i="15"/>
  <c r="R333" i="15" s="1"/>
  <c r="P333" i="15" s="1"/>
  <c r="S335" i="15"/>
  <c r="R335" i="15" s="1"/>
  <c r="P335" i="15" s="1"/>
  <c r="V335" i="15" s="1"/>
  <c r="F335" i="15" s="1"/>
  <c r="S337" i="15"/>
  <c r="R337" i="15" s="1"/>
  <c r="P337" i="15" s="1"/>
  <c r="V337" i="15" s="1"/>
  <c r="F337" i="15" s="1"/>
  <c r="S339" i="15"/>
  <c r="R339" i="15" s="1"/>
  <c r="P339" i="15" s="1"/>
  <c r="V339" i="15" s="1"/>
  <c r="F339" i="15" s="1"/>
  <c r="S341" i="15"/>
  <c r="R341" i="15" s="1"/>
  <c r="P341" i="15" s="1"/>
  <c r="V341" i="15" s="1"/>
  <c r="F341" i="15" s="1"/>
  <c r="S343" i="15"/>
  <c r="R343" i="15" s="1"/>
  <c r="P343" i="15" s="1"/>
  <c r="S345" i="15"/>
  <c r="R345" i="15" s="1"/>
  <c r="P345" i="15" s="1"/>
  <c r="V345" i="15" s="1"/>
  <c r="F345" i="15" s="1"/>
  <c r="S347" i="15"/>
  <c r="R347" i="15" s="1"/>
  <c r="P347" i="15" s="1"/>
  <c r="V347" i="15" s="1"/>
  <c r="F347" i="15" s="1"/>
  <c r="S349" i="15"/>
  <c r="R349" i="15" s="1"/>
  <c r="P349" i="15" s="1"/>
  <c r="V349" i="15" s="1"/>
  <c r="S351" i="15"/>
  <c r="R351" i="15" s="1"/>
  <c r="P351" i="15" s="1"/>
  <c r="V351" i="15" s="1"/>
  <c r="F351" i="15" s="1"/>
  <c r="S353" i="15"/>
  <c r="R353" i="15" s="1"/>
  <c r="P353" i="15" s="1"/>
  <c r="S355" i="15"/>
  <c r="R355" i="15" s="1"/>
  <c r="P355" i="15" s="1"/>
  <c r="S359" i="15"/>
  <c r="R359" i="15" s="1"/>
  <c r="P359" i="15" s="1"/>
  <c r="V359" i="15" s="1"/>
  <c r="F359" i="15" s="1"/>
  <c r="S363" i="15"/>
  <c r="R363" i="15" s="1"/>
  <c r="P363" i="15" s="1"/>
  <c r="S367" i="15"/>
  <c r="R367" i="15" s="1"/>
  <c r="P367" i="15" s="1"/>
  <c r="S371" i="15"/>
  <c r="R371" i="15" s="1"/>
  <c r="P371" i="15" s="1"/>
  <c r="S375" i="15"/>
  <c r="R375" i="15" s="1"/>
  <c r="P375" i="15" s="1"/>
  <c r="O381" i="18"/>
  <c r="O383" i="18"/>
  <c r="O382" i="18"/>
  <c r="AM5" i="18"/>
  <c r="AK7" i="18"/>
  <c r="AK11" i="18" s="1"/>
  <c r="AK9" i="18"/>
  <c r="AM7" i="18"/>
  <c r="AM11" i="18" s="1"/>
  <c r="AK5" i="18"/>
  <c r="AM9" i="18"/>
  <c r="K375" i="22"/>
  <c r="L375" i="22"/>
  <c r="AB375" i="22"/>
  <c r="AK375" i="22"/>
  <c r="A376" i="22"/>
  <c r="X375" i="22"/>
  <c r="AJ375" i="22"/>
  <c r="AC375" i="22"/>
  <c r="O375" i="22"/>
  <c r="AG18" i="15"/>
  <c r="AF18" i="15" s="1"/>
  <c r="AD18" i="15" s="1"/>
  <c r="AG17" i="15"/>
  <c r="AF17" i="15" s="1"/>
  <c r="AD17" i="15" s="1"/>
  <c r="AG16" i="15"/>
  <c r="AF16" i="15" s="1"/>
  <c r="AD16" i="15" s="1"/>
  <c r="AG22" i="15"/>
  <c r="AF22" i="15" s="1"/>
  <c r="AD22" i="15" s="1"/>
  <c r="AG24" i="15"/>
  <c r="AF24" i="15" s="1"/>
  <c r="AD24" i="15" s="1"/>
  <c r="AG26" i="15"/>
  <c r="AF26" i="15" s="1"/>
  <c r="AD26" i="15" s="1"/>
  <c r="AG28" i="15"/>
  <c r="AF28" i="15" s="1"/>
  <c r="AD28" i="15" s="1"/>
  <c r="AG30" i="15"/>
  <c r="AF30" i="15" s="1"/>
  <c r="AD30" i="15" s="1"/>
  <c r="AG32" i="15"/>
  <c r="AF32" i="15" s="1"/>
  <c r="AD32" i="15" s="1"/>
  <c r="AG34" i="15"/>
  <c r="AF34" i="15" s="1"/>
  <c r="AD34" i="15" s="1"/>
  <c r="AG36" i="15"/>
  <c r="AF36" i="15" s="1"/>
  <c r="AD36" i="15" s="1"/>
  <c r="AG38" i="15"/>
  <c r="AF38" i="15" s="1"/>
  <c r="AD38" i="15" s="1"/>
  <c r="AG40" i="15"/>
  <c r="AF40" i="15" s="1"/>
  <c r="AD40" i="15" s="1"/>
  <c r="AG42" i="15"/>
  <c r="AF42" i="15" s="1"/>
  <c r="AD42" i="15" s="1"/>
  <c r="AG44" i="15"/>
  <c r="AF44" i="15" s="1"/>
  <c r="AD44" i="15" s="1"/>
  <c r="AG46" i="15"/>
  <c r="AF46" i="15" s="1"/>
  <c r="AD46" i="15" s="1"/>
  <c r="AG48" i="15"/>
  <c r="AF48" i="15" s="1"/>
  <c r="AD48" i="15" s="1"/>
  <c r="AG50" i="15"/>
  <c r="AF50" i="15" s="1"/>
  <c r="AD50" i="15" s="1"/>
  <c r="AG52" i="15"/>
  <c r="AF52" i="15" s="1"/>
  <c r="AD52" i="15" s="1"/>
  <c r="AG54" i="15"/>
  <c r="AF54" i="15" s="1"/>
  <c r="AD54" i="15" s="1"/>
  <c r="AG56" i="15"/>
  <c r="AF56" i="15" s="1"/>
  <c r="AD56" i="15" s="1"/>
  <c r="AG58" i="15"/>
  <c r="AF58" i="15" s="1"/>
  <c r="AD58" i="15" s="1"/>
  <c r="AG60" i="15"/>
  <c r="AF60" i="15" s="1"/>
  <c r="AD60" i="15" s="1"/>
  <c r="AG62" i="15"/>
  <c r="AF62" i="15" s="1"/>
  <c r="AD62" i="15" s="1"/>
  <c r="AG64" i="15"/>
  <c r="AF64" i="15" s="1"/>
  <c r="AD64" i="15" s="1"/>
  <c r="AG66" i="15"/>
  <c r="AF66" i="15" s="1"/>
  <c r="AD66" i="15" s="1"/>
  <c r="AG68" i="15"/>
  <c r="AF68" i="15" s="1"/>
  <c r="AD68" i="15" s="1"/>
  <c r="AG70" i="15"/>
  <c r="AF70" i="15" s="1"/>
  <c r="AD70" i="15" s="1"/>
  <c r="AG72" i="15"/>
  <c r="AF72" i="15" s="1"/>
  <c r="AD72" i="15" s="1"/>
  <c r="AG74" i="15"/>
  <c r="AF74" i="15" s="1"/>
  <c r="AD74" i="15" s="1"/>
  <c r="AG76" i="15"/>
  <c r="AF76" i="15" s="1"/>
  <c r="AD76" i="15" s="1"/>
  <c r="AG78" i="15"/>
  <c r="AF78" i="15" s="1"/>
  <c r="AD78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2" i="15"/>
  <c r="AF92" i="15" s="1"/>
  <c r="AD92" i="15" s="1"/>
  <c r="AG94" i="15"/>
  <c r="AF94" i="15" s="1"/>
  <c r="AD94" i="15" s="1"/>
  <c r="AG96" i="15"/>
  <c r="AF96" i="15" s="1"/>
  <c r="AD96" i="15" s="1"/>
  <c r="AG98" i="15"/>
  <c r="AF98" i="15" s="1"/>
  <c r="AD98" i="15" s="1"/>
  <c r="AG100" i="15"/>
  <c r="AF100" i="15" s="1"/>
  <c r="AD100" i="15" s="1"/>
  <c r="AG102" i="15"/>
  <c r="AF102" i="15" s="1"/>
  <c r="AD102" i="15" s="1"/>
  <c r="AG104" i="15"/>
  <c r="AF104" i="15" s="1"/>
  <c r="AD104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2" i="15"/>
  <c r="AF112" i="15" s="1"/>
  <c r="AD112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4" i="15"/>
  <c r="AF124" i="15" s="1"/>
  <c r="AD124" i="15" s="1"/>
  <c r="AG126" i="15"/>
  <c r="AF126" i="15" s="1"/>
  <c r="AD126" i="15" s="1"/>
  <c r="AG128" i="15"/>
  <c r="AF128" i="15" s="1"/>
  <c r="AD128" i="15" s="1"/>
  <c r="AG130" i="15"/>
  <c r="AF130" i="15" s="1"/>
  <c r="AD130" i="15" s="1"/>
  <c r="AG132" i="15"/>
  <c r="AF132" i="15" s="1"/>
  <c r="AD132" i="15" s="1"/>
  <c r="AG134" i="15"/>
  <c r="AF134" i="15" s="1"/>
  <c r="AD134" i="15" s="1"/>
  <c r="AG136" i="15"/>
  <c r="AF136" i="15" s="1"/>
  <c r="AD136" i="15" s="1"/>
  <c r="AG138" i="15"/>
  <c r="AF138" i="15" s="1"/>
  <c r="AD138" i="15" s="1"/>
  <c r="AG140" i="15"/>
  <c r="AF140" i="15" s="1"/>
  <c r="AD140" i="15" s="1"/>
  <c r="AG142" i="15"/>
  <c r="AF142" i="15" s="1"/>
  <c r="AD14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0" i="15"/>
  <c r="AF150" i="15" s="1"/>
  <c r="AD150" i="15" s="1"/>
  <c r="AG152" i="15"/>
  <c r="AF152" i="15" s="1"/>
  <c r="AD152" i="15" s="1"/>
  <c r="AG154" i="15"/>
  <c r="AF154" i="15" s="1"/>
  <c r="AD154" i="15" s="1"/>
  <c r="AG156" i="15"/>
  <c r="AF156" i="15" s="1"/>
  <c r="AD156" i="15" s="1"/>
  <c r="AG158" i="15"/>
  <c r="AF158" i="15" s="1"/>
  <c r="AD158" i="15" s="1"/>
  <c r="AG160" i="15"/>
  <c r="AF160" i="15" s="1"/>
  <c r="AD160" i="15" s="1"/>
  <c r="AG162" i="15"/>
  <c r="AF162" i="15" s="1"/>
  <c r="AD162" i="15" s="1"/>
  <c r="AG164" i="15"/>
  <c r="AF164" i="15" s="1"/>
  <c r="AD164" i="15" s="1"/>
  <c r="AG166" i="15"/>
  <c r="AF166" i="15" s="1"/>
  <c r="AD166" i="15" s="1"/>
  <c r="AG168" i="15"/>
  <c r="AF168" i="15" s="1"/>
  <c r="AD168" i="15" s="1"/>
  <c r="AG170" i="15"/>
  <c r="AF170" i="15" s="1"/>
  <c r="AD170" i="15" s="1"/>
  <c r="AG172" i="15"/>
  <c r="AF172" i="15" s="1"/>
  <c r="AD172" i="15" s="1"/>
  <c r="AG174" i="15"/>
  <c r="AF174" i="15" s="1"/>
  <c r="AD174" i="15" s="1"/>
  <c r="AG176" i="15"/>
  <c r="AF176" i="15" s="1"/>
  <c r="AD176" i="15" s="1"/>
  <c r="AG178" i="15"/>
  <c r="AF178" i="15" s="1"/>
  <c r="AD178" i="15" s="1"/>
  <c r="AG180" i="15"/>
  <c r="AF180" i="15" s="1"/>
  <c r="AD180" i="15" s="1"/>
  <c r="AG182" i="15"/>
  <c r="AF182" i="15" s="1"/>
  <c r="AD182" i="15" s="1"/>
  <c r="AG184" i="15"/>
  <c r="AF184" i="15" s="1"/>
  <c r="AD184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2" i="15"/>
  <c r="AF192" i="15" s="1"/>
  <c r="AD192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0" i="15"/>
  <c r="AF200" i="15" s="1"/>
  <c r="AD200" i="15" s="1"/>
  <c r="AG202" i="15"/>
  <c r="AF202" i="15" s="1"/>
  <c r="AD202" i="15" s="1"/>
  <c r="AG204" i="15"/>
  <c r="AF204" i="15" s="1"/>
  <c r="AD204" i="15" s="1"/>
  <c r="AG206" i="15"/>
  <c r="AF206" i="15" s="1"/>
  <c r="AD206" i="15" s="1"/>
  <c r="AG208" i="15"/>
  <c r="AF208" i="15" s="1"/>
  <c r="AD208" i="15" s="1"/>
  <c r="AG210" i="15"/>
  <c r="AF210" i="15" s="1"/>
  <c r="AD210" i="15" s="1"/>
  <c r="AG212" i="15"/>
  <c r="AF212" i="15" s="1"/>
  <c r="AD212" i="15" s="1"/>
  <c r="AG214" i="15"/>
  <c r="AF214" i="15" s="1"/>
  <c r="AD214" i="15" s="1"/>
  <c r="AG216" i="15"/>
  <c r="AF216" i="15" s="1"/>
  <c r="AD216" i="15" s="1"/>
  <c r="AG218" i="15"/>
  <c r="AF218" i="15" s="1"/>
  <c r="AD218" i="15" s="1"/>
  <c r="AG220" i="15"/>
  <c r="AF220" i="15" s="1"/>
  <c r="AD220" i="15" s="1"/>
  <c r="AG222" i="15"/>
  <c r="AF222" i="15" s="1"/>
  <c r="AD222" i="15" s="1"/>
  <c r="AG224" i="15"/>
  <c r="AF224" i="15" s="1"/>
  <c r="AD224" i="15" s="1"/>
  <c r="AG226" i="15"/>
  <c r="AF226" i="15" s="1"/>
  <c r="AD226" i="15" s="1"/>
  <c r="AG228" i="15"/>
  <c r="AF228" i="15" s="1"/>
  <c r="AD228" i="15" s="1"/>
  <c r="AG230" i="15"/>
  <c r="AF230" i="15" s="1"/>
  <c r="AD230" i="15" s="1"/>
  <c r="AG232" i="15"/>
  <c r="AF232" i="15" s="1"/>
  <c r="AD232" i="15" s="1"/>
  <c r="AG234" i="15"/>
  <c r="AF234" i="15" s="1"/>
  <c r="AD234" i="15" s="1"/>
  <c r="AG236" i="15"/>
  <c r="AF236" i="15" s="1"/>
  <c r="AD236" i="15" s="1"/>
  <c r="AG238" i="15"/>
  <c r="AF238" i="15" s="1"/>
  <c r="AD238" i="15" s="1"/>
  <c r="AG240" i="15"/>
  <c r="AF240" i="15" s="1"/>
  <c r="AD240" i="15" s="1"/>
  <c r="AG242" i="15"/>
  <c r="AF242" i="15" s="1"/>
  <c r="AD242" i="15" s="1"/>
  <c r="AG244" i="15"/>
  <c r="AF244" i="15" s="1"/>
  <c r="AD244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4" i="15"/>
  <c r="AF254" i="15" s="1"/>
  <c r="AD254" i="15" s="1"/>
  <c r="AG256" i="15"/>
  <c r="AF256" i="15" s="1"/>
  <c r="AD256" i="15" s="1"/>
  <c r="AG258" i="15"/>
  <c r="AF258" i="15" s="1"/>
  <c r="AD258" i="15" s="1"/>
  <c r="AG260" i="15"/>
  <c r="AF260" i="15" s="1"/>
  <c r="AD260" i="15" s="1"/>
  <c r="AG262" i="15"/>
  <c r="AF262" i="15" s="1"/>
  <c r="AD262" i="15" s="1"/>
  <c r="AG264" i="15"/>
  <c r="AF264" i="15" s="1"/>
  <c r="AD264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78" i="15"/>
  <c r="AF278" i="15" s="1"/>
  <c r="AD278" i="15" s="1"/>
  <c r="AG280" i="15"/>
  <c r="AF280" i="15" s="1"/>
  <c r="AD280" i="15" s="1"/>
  <c r="AG282" i="15"/>
  <c r="AF282" i="15" s="1"/>
  <c r="AD282" i="15" s="1"/>
  <c r="AG284" i="15"/>
  <c r="AF284" i="15" s="1"/>
  <c r="AD284" i="15" s="1"/>
  <c r="AG286" i="15"/>
  <c r="AF286" i="15" s="1"/>
  <c r="AD286" i="15" s="1"/>
  <c r="AG288" i="15"/>
  <c r="AF288" i="15" s="1"/>
  <c r="AD288" i="15" s="1"/>
  <c r="AG290" i="15"/>
  <c r="AF290" i="15" s="1"/>
  <c r="AD290" i="15" s="1"/>
  <c r="AG292" i="15"/>
  <c r="AF292" i="15" s="1"/>
  <c r="AD292" i="15" s="1"/>
  <c r="AG294" i="15"/>
  <c r="AF294" i="15" s="1"/>
  <c r="AD294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0" i="15"/>
  <c r="AF310" i="15" s="1"/>
  <c r="AD310" i="15" s="1"/>
  <c r="AG312" i="15"/>
  <c r="AF312" i="15" s="1"/>
  <c r="AD312" i="15" s="1"/>
  <c r="AG314" i="15"/>
  <c r="AF314" i="15" s="1"/>
  <c r="AD314" i="15" s="1"/>
  <c r="AG316" i="15"/>
  <c r="AF316" i="15" s="1"/>
  <c r="AD316" i="15" s="1"/>
  <c r="AG318" i="15"/>
  <c r="AF318" i="15" s="1"/>
  <c r="AD318" i="15" s="1"/>
  <c r="AG320" i="15"/>
  <c r="AF320" i="15" s="1"/>
  <c r="AD320" i="15" s="1"/>
  <c r="AG322" i="15"/>
  <c r="AF322" i="15" s="1"/>
  <c r="AD322" i="15" s="1"/>
  <c r="AG324" i="15"/>
  <c r="AF324" i="15" s="1"/>
  <c r="AD324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6" i="15"/>
  <c r="AF336" i="15" s="1"/>
  <c r="AD336" i="15" s="1"/>
  <c r="AG338" i="15"/>
  <c r="AF338" i="15" s="1"/>
  <c r="AD338" i="15" s="1"/>
  <c r="AG340" i="15"/>
  <c r="AF340" i="15" s="1"/>
  <c r="AD340" i="15" s="1"/>
  <c r="AG342" i="15"/>
  <c r="AF342" i="15" s="1"/>
  <c r="AD342" i="15" s="1"/>
  <c r="AG344" i="15"/>
  <c r="AF344" i="15" s="1"/>
  <c r="AD344" i="15" s="1"/>
  <c r="AG346" i="15"/>
  <c r="AF346" i="15" s="1"/>
  <c r="AD346" i="15" s="1"/>
  <c r="AG348" i="15"/>
  <c r="AF348" i="15" s="1"/>
  <c r="AD348" i="15" s="1"/>
  <c r="AG350" i="15"/>
  <c r="AF350" i="15" s="1"/>
  <c r="AD350" i="15" s="1"/>
  <c r="AG352" i="15"/>
  <c r="AF352" i="15" s="1"/>
  <c r="AD352" i="15" s="1"/>
  <c r="AG354" i="15"/>
  <c r="AF354" i="15" s="1"/>
  <c r="AD354" i="15" s="1"/>
  <c r="AG356" i="15"/>
  <c r="AF356" i="15" s="1"/>
  <c r="AD356" i="15" s="1"/>
  <c r="AG358" i="15"/>
  <c r="AF358" i="15" s="1"/>
  <c r="AD358" i="15" s="1"/>
  <c r="AG360" i="15"/>
  <c r="AF360" i="15" s="1"/>
  <c r="AD360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68" i="15"/>
  <c r="AF368" i="15" s="1"/>
  <c r="AD368" i="15" s="1"/>
  <c r="AG370" i="15"/>
  <c r="AF370" i="15" s="1"/>
  <c r="AD370" i="15" s="1"/>
  <c r="AG372" i="15"/>
  <c r="AF372" i="15" s="1"/>
  <c r="AD372" i="15" s="1"/>
  <c r="AG374" i="15"/>
  <c r="AF374" i="15" s="1"/>
  <c r="AD374" i="15" s="1"/>
  <c r="AG376" i="15"/>
  <c r="AF376" i="15" s="1"/>
  <c r="AD376" i="15" s="1"/>
  <c r="AG378" i="15"/>
  <c r="AF378" i="15" s="1"/>
  <c r="AD378" i="15" s="1"/>
  <c r="Q12" i="16"/>
  <c r="J15" i="7"/>
  <c r="AE382" i="15"/>
  <c r="AE383" i="15"/>
  <c r="AE381" i="15"/>
  <c r="Q382" i="15"/>
  <c r="Q381" i="15"/>
  <c r="S17" i="15"/>
  <c r="R17" i="15" s="1"/>
  <c r="P17" i="15" s="1"/>
  <c r="S16" i="15"/>
  <c r="R16" i="15" s="1"/>
  <c r="P16" i="15" s="1"/>
  <c r="S24" i="15"/>
  <c r="R24" i="15" s="1"/>
  <c r="P24" i="15" s="1"/>
  <c r="V24" i="15" s="1"/>
  <c r="F24" i="15" s="1"/>
  <c r="S26" i="15"/>
  <c r="R26" i="15" s="1"/>
  <c r="P26" i="15" s="1"/>
  <c r="V26" i="15" s="1"/>
  <c r="F26" i="15" s="1"/>
  <c r="S28" i="15"/>
  <c r="R28" i="15" s="1"/>
  <c r="P28" i="15" s="1"/>
  <c r="V28" i="15" s="1"/>
  <c r="F28" i="15" s="1"/>
  <c r="S30" i="15"/>
  <c r="R30" i="15" s="1"/>
  <c r="P30" i="15" s="1"/>
  <c r="V30" i="15" s="1"/>
  <c r="F30" i="15" s="1"/>
  <c r="S32" i="15"/>
  <c r="R32" i="15" s="1"/>
  <c r="P32" i="15" s="1"/>
  <c r="V32" i="15" s="1"/>
  <c r="F32" i="15" s="1"/>
  <c r="S34" i="15"/>
  <c r="R34" i="15" s="1"/>
  <c r="P34" i="15" s="1"/>
  <c r="V34" i="15" s="1"/>
  <c r="F34" i="15" s="1"/>
  <c r="S36" i="15"/>
  <c r="R36" i="15" s="1"/>
  <c r="P36" i="15" s="1"/>
  <c r="S38" i="15"/>
  <c r="R38" i="15" s="1"/>
  <c r="P38" i="15" s="1"/>
  <c r="V38" i="15" s="1"/>
  <c r="F38" i="15" s="1"/>
  <c r="S40" i="15"/>
  <c r="R40" i="15" s="1"/>
  <c r="P40" i="15" s="1"/>
  <c r="V40" i="15" s="1"/>
  <c r="F40" i="15" s="1"/>
  <c r="S42" i="15"/>
  <c r="R42" i="15" s="1"/>
  <c r="P42" i="15" s="1"/>
  <c r="S44" i="15"/>
  <c r="R44" i="15" s="1"/>
  <c r="P44" i="15" s="1"/>
  <c r="S46" i="15"/>
  <c r="R46" i="15" s="1"/>
  <c r="P46" i="15" s="1"/>
  <c r="S48" i="15"/>
  <c r="R48" i="15" s="1"/>
  <c r="P48" i="15" s="1"/>
  <c r="V48" i="15" s="1"/>
  <c r="F48" i="15" s="1"/>
  <c r="S50" i="15"/>
  <c r="R50" i="15" s="1"/>
  <c r="P50" i="15" s="1"/>
  <c r="S52" i="15"/>
  <c r="R52" i="15" s="1"/>
  <c r="P52" i="15" s="1"/>
  <c r="V52" i="15" s="1"/>
  <c r="F52" i="15" s="1"/>
  <c r="S54" i="15"/>
  <c r="R54" i="15" s="1"/>
  <c r="P54" i="15" s="1"/>
  <c r="V54" i="15" s="1"/>
  <c r="F54" i="15" s="1"/>
  <c r="S56" i="15"/>
  <c r="R56" i="15" s="1"/>
  <c r="P56" i="15" s="1"/>
  <c r="V56" i="15" s="1"/>
  <c r="F56" i="15" s="1"/>
  <c r="S58" i="15"/>
  <c r="R58" i="15" s="1"/>
  <c r="P58" i="15" s="1"/>
  <c r="S60" i="15"/>
  <c r="R60" i="15" s="1"/>
  <c r="P60" i="15" s="1"/>
  <c r="S62" i="15"/>
  <c r="R62" i="15" s="1"/>
  <c r="P62" i="15" s="1"/>
  <c r="V62" i="15" s="1"/>
  <c r="F62" i="15" s="1"/>
  <c r="S64" i="15"/>
  <c r="R64" i="15" s="1"/>
  <c r="P64" i="15" s="1"/>
  <c r="S66" i="15"/>
  <c r="R66" i="15" s="1"/>
  <c r="P66" i="15" s="1"/>
  <c r="S68" i="15"/>
  <c r="R68" i="15" s="1"/>
  <c r="P68" i="15" s="1"/>
  <c r="V68" i="15" s="1"/>
  <c r="F68" i="15" s="1"/>
  <c r="S70" i="15"/>
  <c r="R70" i="15" s="1"/>
  <c r="P70" i="15" s="1"/>
  <c r="S72" i="15"/>
  <c r="R72" i="15" s="1"/>
  <c r="P72" i="15" s="1"/>
  <c r="V72" i="15" s="1"/>
  <c r="F72" i="15" s="1"/>
  <c r="S74" i="15"/>
  <c r="R74" i="15" s="1"/>
  <c r="P74" i="15" s="1"/>
  <c r="S76" i="15"/>
  <c r="R76" i="15" s="1"/>
  <c r="P76" i="15" s="1"/>
  <c r="V76" i="15" s="1"/>
  <c r="F76" i="15" s="1"/>
  <c r="S78" i="15"/>
  <c r="R78" i="15" s="1"/>
  <c r="P78" i="15" s="1"/>
  <c r="S80" i="15"/>
  <c r="R80" i="15" s="1"/>
  <c r="P80" i="15" s="1"/>
  <c r="S82" i="15"/>
  <c r="R82" i="15" s="1"/>
  <c r="P82" i="15" s="1"/>
  <c r="V82" i="15" s="1"/>
  <c r="F82" i="15" s="1"/>
  <c r="S84" i="15"/>
  <c r="R84" i="15" s="1"/>
  <c r="P84" i="15" s="1"/>
  <c r="S86" i="15"/>
  <c r="R86" i="15" s="1"/>
  <c r="P86" i="15" s="1"/>
  <c r="V86" i="15" s="1"/>
  <c r="F86" i="15" s="1"/>
  <c r="S88" i="15"/>
  <c r="R88" i="15" s="1"/>
  <c r="P88" i="15" s="1"/>
  <c r="S90" i="15"/>
  <c r="R90" i="15" s="1"/>
  <c r="P90" i="15" s="1"/>
  <c r="V90" i="15" s="1"/>
  <c r="F90" i="15" s="1"/>
  <c r="S92" i="15"/>
  <c r="R92" i="15" s="1"/>
  <c r="P92" i="15" s="1"/>
  <c r="S94" i="15"/>
  <c r="R94" i="15" s="1"/>
  <c r="P94" i="15" s="1"/>
  <c r="V94" i="15" s="1"/>
  <c r="F94" i="15" s="1"/>
  <c r="S96" i="15"/>
  <c r="R96" i="15" s="1"/>
  <c r="P96" i="15" s="1"/>
  <c r="S98" i="15"/>
  <c r="R98" i="15" s="1"/>
  <c r="P98" i="15" s="1"/>
  <c r="S100" i="15"/>
  <c r="R100" i="15" s="1"/>
  <c r="P100" i="15" s="1"/>
  <c r="S102" i="15"/>
  <c r="R102" i="15" s="1"/>
  <c r="P102" i="15" s="1"/>
  <c r="V102" i="15" s="1"/>
  <c r="F102" i="15" s="1"/>
  <c r="S104" i="15"/>
  <c r="R104" i="15" s="1"/>
  <c r="P104" i="15" s="1"/>
  <c r="S106" i="15"/>
  <c r="R106" i="15" s="1"/>
  <c r="P106" i="15" s="1"/>
  <c r="V106" i="15" s="1"/>
  <c r="F106" i="15" s="1"/>
  <c r="S108" i="15"/>
  <c r="R108" i="15" s="1"/>
  <c r="P108" i="15" s="1"/>
  <c r="S110" i="15"/>
  <c r="R110" i="15" s="1"/>
  <c r="P110" i="15" s="1"/>
  <c r="V110" i="15" s="1"/>
  <c r="F110" i="15" s="1"/>
  <c r="S112" i="15"/>
  <c r="R112" i="15" s="1"/>
  <c r="P112" i="15" s="1"/>
  <c r="S114" i="15"/>
  <c r="R114" i="15" s="1"/>
  <c r="P114" i="15" s="1"/>
  <c r="V114" i="15" s="1"/>
  <c r="F114" i="15" s="1"/>
  <c r="S116" i="15"/>
  <c r="R116" i="15" s="1"/>
  <c r="P116" i="15" s="1"/>
  <c r="V116" i="15" s="1"/>
  <c r="F116" i="15" s="1"/>
  <c r="S118" i="15"/>
  <c r="R118" i="15" s="1"/>
  <c r="P118" i="15" s="1"/>
  <c r="S120" i="15"/>
  <c r="R120" i="15" s="1"/>
  <c r="P120" i="15" s="1"/>
  <c r="S122" i="15"/>
  <c r="R122" i="15" s="1"/>
  <c r="P122" i="15" s="1"/>
  <c r="V122" i="15" s="1"/>
  <c r="F122" i="15" s="1"/>
  <c r="S124" i="15"/>
  <c r="R124" i="15" s="1"/>
  <c r="P124" i="15" s="1"/>
  <c r="V124" i="15" s="1"/>
  <c r="F124" i="15" s="1"/>
  <c r="S126" i="15"/>
  <c r="R126" i="15" s="1"/>
  <c r="P126" i="15" s="1"/>
  <c r="S128" i="15"/>
  <c r="R128" i="15" s="1"/>
  <c r="P128" i="15" s="1"/>
  <c r="V128" i="15" s="1"/>
  <c r="F128" i="15" s="1"/>
  <c r="S130" i="15"/>
  <c r="R130" i="15" s="1"/>
  <c r="P130" i="15" s="1"/>
  <c r="V130" i="15" s="1"/>
  <c r="F130" i="15" s="1"/>
  <c r="S132" i="15"/>
  <c r="R132" i="15" s="1"/>
  <c r="P132" i="15" s="1"/>
  <c r="S134" i="15"/>
  <c r="R134" i="15" s="1"/>
  <c r="P134" i="15" s="1"/>
  <c r="S136" i="15"/>
  <c r="R136" i="15" s="1"/>
  <c r="P136" i="15" s="1"/>
  <c r="S138" i="15"/>
  <c r="R138" i="15" s="1"/>
  <c r="P138" i="15" s="1"/>
  <c r="S140" i="15"/>
  <c r="R140" i="15" s="1"/>
  <c r="P140" i="15" s="1"/>
  <c r="S142" i="15"/>
  <c r="R142" i="15" s="1"/>
  <c r="P142" i="15" s="1"/>
  <c r="S144" i="15"/>
  <c r="R144" i="15" s="1"/>
  <c r="P144" i="15" s="1"/>
  <c r="S146" i="15"/>
  <c r="R146" i="15" s="1"/>
  <c r="P146" i="15" s="1"/>
  <c r="V146" i="15" s="1"/>
  <c r="F146" i="15" s="1"/>
  <c r="S148" i="15"/>
  <c r="R148" i="15" s="1"/>
  <c r="P148" i="15" s="1"/>
  <c r="S150" i="15"/>
  <c r="R150" i="15" s="1"/>
  <c r="P150" i="15" s="1"/>
  <c r="V150" i="15" s="1"/>
  <c r="F150" i="15" s="1"/>
  <c r="S152" i="15"/>
  <c r="R152" i="15" s="1"/>
  <c r="P152" i="15" s="1"/>
  <c r="S154" i="15"/>
  <c r="R154" i="15" s="1"/>
  <c r="P154" i="15" s="1"/>
  <c r="S156" i="15"/>
  <c r="R156" i="15" s="1"/>
  <c r="P156" i="15" s="1"/>
  <c r="S158" i="15"/>
  <c r="R158" i="15" s="1"/>
  <c r="P158" i="15" s="1"/>
  <c r="S160" i="15"/>
  <c r="R160" i="15" s="1"/>
  <c r="P160" i="15" s="1"/>
  <c r="S162" i="15"/>
  <c r="R162" i="15" s="1"/>
  <c r="P162" i="15" s="1"/>
  <c r="S164" i="15"/>
  <c r="R164" i="15" s="1"/>
  <c r="P164" i="15" s="1"/>
  <c r="S166" i="15"/>
  <c r="R166" i="15" s="1"/>
  <c r="P166" i="15" s="1"/>
  <c r="V166" i="15" s="1"/>
  <c r="S168" i="15"/>
  <c r="R168" i="15" s="1"/>
  <c r="P168" i="15" s="1"/>
  <c r="V168" i="15" s="1"/>
  <c r="F168" i="15" s="1"/>
  <c r="S170" i="15"/>
  <c r="R170" i="15" s="1"/>
  <c r="P170" i="15" s="1"/>
  <c r="S172" i="15"/>
  <c r="R172" i="15" s="1"/>
  <c r="P172" i="15" s="1"/>
  <c r="V172" i="15" s="1"/>
  <c r="F172" i="15" s="1"/>
  <c r="S174" i="15"/>
  <c r="R174" i="15" s="1"/>
  <c r="P174" i="15" s="1"/>
  <c r="S176" i="15"/>
  <c r="R176" i="15" s="1"/>
  <c r="P176" i="15" s="1"/>
  <c r="V176" i="15" s="1"/>
  <c r="F176" i="15" s="1"/>
  <c r="S178" i="15"/>
  <c r="R178" i="15" s="1"/>
  <c r="P178" i="15" s="1"/>
  <c r="S180" i="15"/>
  <c r="R180" i="15" s="1"/>
  <c r="P180" i="15" s="1"/>
  <c r="S182" i="15"/>
  <c r="R182" i="15" s="1"/>
  <c r="P182" i="15" s="1"/>
  <c r="V182" i="15" s="1"/>
  <c r="F182" i="15" s="1"/>
  <c r="S184" i="15"/>
  <c r="R184" i="15" s="1"/>
  <c r="P184" i="15" s="1"/>
  <c r="S186" i="15"/>
  <c r="R186" i="15" s="1"/>
  <c r="P186" i="15" s="1"/>
  <c r="S188" i="15"/>
  <c r="R188" i="15" s="1"/>
  <c r="P188" i="15" s="1"/>
  <c r="S190" i="15"/>
  <c r="R190" i="15" s="1"/>
  <c r="P190" i="15" s="1"/>
  <c r="V190" i="15" s="1"/>
  <c r="F190" i="15" s="1"/>
  <c r="S192" i="15"/>
  <c r="R192" i="15" s="1"/>
  <c r="P192" i="15" s="1"/>
  <c r="V192" i="15" s="1"/>
  <c r="F192" i="15" s="1"/>
  <c r="S194" i="15"/>
  <c r="R194" i="15" s="1"/>
  <c r="P194" i="15" s="1"/>
  <c r="V194" i="15" s="1"/>
  <c r="F194" i="15" s="1"/>
  <c r="S196" i="15"/>
  <c r="R196" i="15" s="1"/>
  <c r="P196" i="15" s="1"/>
  <c r="S198" i="15"/>
  <c r="R198" i="15" s="1"/>
  <c r="P198" i="15" s="1"/>
  <c r="V198" i="15" s="1"/>
  <c r="F198" i="15" s="1"/>
  <c r="S200" i="15"/>
  <c r="R200" i="15" s="1"/>
  <c r="P200" i="15" s="1"/>
  <c r="S202" i="15"/>
  <c r="R202" i="15" s="1"/>
  <c r="P202" i="15" s="1"/>
  <c r="V202" i="15" s="1"/>
  <c r="F202" i="15" s="1"/>
  <c r="S204" i="15"/>
  <c r="R204" i="15" s="1"/>
  <c r="P204" i="15" s="1"/>
  <c r="S206" i="15"/>
  <c r="R206" i="15" s="1"/>
  <c r="P206" i="15" s="1"/>
  <c r="S208" i="15"/>
  <c r="R208" i="15" s="1"/>
  <c r="P208" i="15" s="1"/>
  <c r="V208" i="15" s="1"/>
  <c r="F208" i="15" s="1"/>
  <c r="S210" i="15"/>
  <c r="R210" i="15" s="1"/>
  <c r="P210" i="15" s="1"/>
  <c r="S212" i="15"/>
  <c r="R212" i="15" s="1"/>
  <c r="P212" i="15" s="1"/>
  <c r="V212" i="15" s="1"/>
  <c r="F212" i="15" s="1"/>
  <c r="S214" i="15"/>
  <c r="R214" i="15" s="1"/>
  <c r="P214" i="15" s="1"/>
  <c r="V214" i="15" s="1"/>
  <c r="F214" i="15" s="1"/>
  <c r="S216" i="15"/>
  <c r="R216" i="15" s="1"/>
  <c r="P216" i="15" s="1"/>
  <c r="S218" i="15"/>
  <c r="R218" i="15" s="1"/>
  <c r="P218" i="15" s="1"/>
  <c r="S220" i="15"/>
  <c r="R220" i="15" s="1"/>
  <c r="P220" i="15" s="1"/>
  <c r="V220" i="15" s="1"/>
  <c r="F220" i="15" s="1"/>
  <c r="S222" i="15"/>
  <c r="R222" i="15" s="1"/>
  <c r="P222" i="15" s="1"/>
  <c r="V222" i="15" s="1"/>
  <c r="F222" i="15" s="1"/>
  <c r="S224" i="15"/>
  <c r="R224" i="15" s="1"/>
  <c r="P224" i="15" s="1"/>
  <c r="V224" i="15" s="1"/>
  <c r="F224" i="15" s="1"/>
  <c r="S226" i="15"/>
  <c r="R226" i="15" s="1"/>
  <c r="P226" i="15" s="1"/>
  <c r="V226" i="15" s="1"/>
  <c r="F226" i="15" s="1"/>
  <c r="S228" i="15"/>
  <c r="R228" i="15" s="1"/>
  <c r="P228" i="15" s="1"/>
  <c r="S230" i="15"/>
  <c r="R230" i="15" s="1"/>
  <c r="P230" i="15" s="1"/>
  <c r="V230" i="15" s="1"/>
  <c r="F230" i="15" s="1"/>
  <c r="S232" i="15"/>
  <c r="R232" i="15" s="1"/>
  <c r="P232" i="15" s="1"/>
  <c r="V232" i="15" s="1"/>
  <c r="F232" i="15" s="1"/>
  <c r="S234" i="15"/>
  <c r="R234" i="15" s="1"/>
  <c r="P234" i="15" s="1"/>
  <c r="S236" i="15"/>
  <c r="R236" i="15" s="1"/>
  <c r="P236" i="15" s="1"/>
  <c r="S238" i="15"/>
  <c r="R238" i="15" s="1"/>
  <c r="P238" i="15" s="1"/>
  <c r="V238" i="15" s="1"/>
  <c r="F238" i="15" s="1"/>
  <c r="S240" i="15"/>
  <c r="R240" i="15" s="1"/>
  <c r="P240" i="15" s="1"/>
  <c r="S242" i="15"/>
  <c r="R242" i="15" s="1"/>
  <c r="P242" i="15" s="1"/>
  <c r="V242" i="15" s="1"/>
  <c r="F242" i="15" s="1"/>
  <c r="S244" i="15"/>
  <c r="R244" i="15" s="1"/>
  <c r="P244" i="15" s="1"/>
  <c r="V244" i="15" s="1"/>
  <c r="F244" i="15" s="1"/>
  <c r="S246" i="15"/>
  <c r="R246" i="15" s="1"/>
  <c r="P246" i="15" s="1"/>
  <c r="S248" i="15"/>
  <c r="R248" i="15" s="1"/>
  <c r="P248" i="15" s="1"/>
  <c r="V248" i="15" s="1"/>
  <c r="F248" i="15" s="1"/>
  <c r="S250" i="15"/>
  <c r="R250" i="15" s="1"/>
  <c r="P250" i="15" s="1"/>
  <c r="V250" i="15" s="1"/>
  <c r="F250" i="15" s="1"/>
  <c r="S252" i="15"/>
  <c r="R252" i="15" s="1"/>
  <c r="P252" i="15" s="1"/>
  <c r="V252" i="15" s="1"/>
  <c r="F252" i="15" s="1"/>
  <c r="S254" i="15"/>
  <c r="R254" i="15" s="1"/>
  <c r="P254" i="15" s="1"/>
  <c r="V254" i="15" s="1"/>
  <c r="F254" i="15" s="1"/>
  <c r="S256" i="15"/>
  <c r="R256" i="15" s="1"/>
  <c r="P256" i="15" s="1"/>
  <c r="V256" i="15" s="1"/>
  <c r="F256" i="15" s="1"/>
  <c r="S258" i="15"/>
  <c r="R258" i="15" s="1"/>
  <c r="P258" i="15" s="1"/>
  <c r="V258" i="15" s="1"/>
  <c r="S260" i="15"/>
  <c r="R260" i="15" s="1"/>
  <c r="P260" i="15" s="1"/>
  <c r="S262" i="15"/>
  <c r="R262" i="15" s="1"/>
  <c r="P262" i="15" s="1"/>
  <c r="S264" i="15"/>
  <c r="R264" i="15" s="1"/>
  <c r="P264" i="15" s="1"/>
  <c r="V264" i="15" s="1"/>
  <c r="F264" i="15" s="1"/>
  <c r="S266" i="15"/>
  <c r="R266" i="15" s="1"/>
  <c r="P266" i="15" s="1"/>
  <c r="S268" i="15"/>
  <c r="R268" i="15" s="1"/>
  <c r="P268" i="15" s="1"/>
  <c r="V268" i="15" s="1"/>
  <c r="F268" i="15" s="1"/>
  <c r="S270" i="15"/>
  <c r="R270" i="15" s="1"/>
  <c r="P270" i="15" s="1"/>
  <c r="V270" i="15" s="1"/>
  <c r="F270" i="15" s="1"/>
  <c r="S272" i="15"/>
  <c r="R272" i="15" s="1"/>
  <c r="P272" i="15" s="1"/>
  <c r="S274" i="15"/>
  <c r="R274" i="15" s="1"/>
  <c r="P274" i="15" s="1"/>
  <c r="S276" i="15"/>
  <c r="R276" i="15" s="1"/>
  <c r="P276" i="15" s="1"/>
  <c r="V276" i="15" s="1"/>
  <c r="F276" i="15" s="1"/>
  <c r="S278" i="15"/>
  <c r="R278" i="15" s="1"/>
  <c r="P278" i="15" s="1"/>
  <c r="S280" i="15"/>
  <c r="R280" i="15" s="1"/>
  <c r="P280" i="15" s="1"/>
  <c r="S282" i="15"/>
  <c r="R282" i="15" s="1"/>
  <c r="P282" i="15" s="1"/>
  <c r="S284" i="15"/>
  <c r="R284" i="15" s="1"/>
  <c r="P284" i="15" s="1"/>
  <c r="V284" i="15" s="1"/>
  <c r="F284" i="15" s="1"/>
  <c r="S286" i="15"/>
  <c r="R286" i="15" s="1"/>
  <c r="P286" i="15" s="1"/>
  <c r="S288" i="15"/>
  <c r="R288" i="15" s="1"/>
  <c r="P288" i="15" s="1"/>
  <c r="S290" i="15"/>
  <c r="R290" i="15" s="1"/>
  <c r="P290" i="15" s="1"/>
  <c r="V290" i="15" s="1"/>
  <c r="F290" i="15" s="1"/>
  <c r="S292" i="15"/>
  <c r="R292" i="15" s="1"/>
  <c r="P292" i="15" s="1"/>
  <c r="S294" i="15"/>
  <c r="R294" i="15" s="1"/>
  <c r="P294" i="15" s="1"/>
  <c r="V294" i="15" s="1"/>
  <c r="F294" i="15" s="1"/>
  <c r="S296" i="15"/>
  <c r="R296" i="15" s="1"/>
  <c r="P296" i="15" s="1"/>
  <c r="S298" i="15"/>
  <c r="R298" i="15" s="1"/>
  <c r="P298" i="15" s="1"/>
  <c r="V298" i="15" s="1"/>
  <c r="F298" i="15" s="1"/>
  <c r="S300" i="15"/>
  <c r="R300" i="15" s="1"/>
  <c r="P300" i="15" s="1"/>
  <c r="S302" i="15"/>
  <c r="R302" i="15" s="1"/>
  <c r="P302" i="15" s="1"/>
  <c r="S304" i="15"/>
  <c r="R304" i="15" s="1"/>
  <c r="P304" i="15" s="1"/>
  <c r="V304" i="15" s="1"/>
  <c r="F304" i="15" s="1"/>
  <c r="S306" i="15"/>
  <c r="R306" i="15" s="1"/>
  <c r="P306" i="15" s="1"/>
  <c r="V306" i="15" s="1"/>
  <c r="F306" i="15" s="1"/>
  <c r="S308" i="15"/>
  <c r="R308" i="15" s="1"/>
  <c r="P308" i="15" s="1"/>
  <c r="S310" i="15"/>
  <c r="R310" i="15" s="1"/>
  <c r="P310" i="15" s="1"/>
  <c r="S312" i="15"/>
  <c r="R312" i="15" s="1"/>
  <c r="P312" i="15" s="1"/>
  <c r="S314" i="15"/>
  <c r="R314" i="15" s="1"/>
  <c r="P314" i="15" s="1"/>
  <c r="V314" i="15" s="1"/>
  <c r="F314" i="15" s="1"/>
  <c r="S316" i="15"/>
  <c r="R316" i="15" s="1"/>
  <c r="P316" i="15" s="1"/>
  <c r="S318" i="15"/>
  <c r="R318" i="15" s="1"/>
  <c r="P318" i="15" s="1"/>
  <c r="V318" i="15" s="1"/>
  <c r="F318" i="15" s="1"/>
  <c r="S320" i="15"/>
  <c r="R320" i="15" s="1"/>
  <c r="P320" i="15" s="1"/>
  <c r="V320" i="15" s="1"/>
  <c r="F320" i="15" s="1"/>
  <c r="S322" i="15"/>
  <c r="R322" i="15" s="1"/>
  <c r="P322" i="15" s="1"/>
  <c r="V322" i="15" s="1"/>
  <c r="F322" i="15" s="1"/>
  <c r="S324" i="15"/>
  <c r="R324" i="15" s="1"/>
  <c r="P324" i="15" s="1"/>
  <c r="V324" i="15" s="1"/>
  <c r="F324" i="15" s="1"/>
  <c r="S326" i="15"/>
  <c r="R326" i="15" s="1"/>
  <c r="P326" i="15" s="1"/>
  <c r="V326" i="15" s="1"/>
  <c r="F326" i="15" s="1"/>
  <c r="S328" i="15"/>
  <c r="R328" i="15" s="1"/>
  <c r="P328" i="15" s="1"/>
  <c r="S330" i="15"/>
  <c r="R330" i="15" s="1"/>
  <c r="P330" i="15" s="1"/>
  <c r="V330" i="15" s="1"/>
  <c r="F330" i="15" s="1"/>
  <c r="S332" i="15"/>
  <c r="R332" i="15" s="1"/>
  <c r="P332" i="15" s="1"/>
  <c r="S334" i="15"/>
  <c r="R334" i="15" s="1"/>
  <c r="P334" i="15" s="1"/>
  <c r="V334" i="15" s="1"/>
  <c r="F334" i="15" s="1"/>
  <c r="S336" i="15"/>
  <c r="R336" i="15" s="1"/>
  <c r="P336" i="15" s="1"/>
  <c r="V336" i="15" s="1"/>
  <c r="F336" i="15" s="1"/>
  <c r="S338" i="15"/>
  <c r="R338" i="15" s="1"/>
  <c r="P338" i="15" s="1"/>
  <c r="V338" i="15" s="1"/>
  <c r="F338" i="15" s="1"/>
  <c r="S340" i="15"/>
  <c r="R340" i="15" s="1"/>
  <c r="P340" i="15" s="1"/>
  <c r="V340" i="15" s="1"/>
  <c r="F340" i="15" s="1"/>
  <c r="S342" i="15"/>
  <c r="R342" i="15" s="1"/>
  <c r="P342" i="15" s="1"/>
  <c r="V342" i="15" s="1"/>
  <c r="F342" i="15" s="1"/>
  <c r="S344" i="15"/>
  <c r="R344" i="15" s="1"/>
  <c r="P344" i="15" s="1"/>
  <c r="V344" i="15" s="1"/>
  <c r="F344" i="15" s="1"/>
  <c r="S346" i="15"/>
  <c r="R346" i="15" s="1"/>
  <c r="P346" i="15" s="1"/>
  <c r="V346" i="15" s="1"/>
  <c r="F346" i="15" s="1"/>
  <c r="S348" i="15"/>
  <c r="R348" i="15" s="1"/>
  <c r="P348" i="15" s="1"/>
  <c r="V348" i="15" s="1"/>
  <c r="F348" i="15" s="1"/>
  <c r="S350" i="15"/>
  <c r="R350" i="15" s="1"/>
  <c r="P350" i="15" s="1"/>
  <c r="V350" i="15" s="1"/>
  <c r="F350" i="15" s="1"/>
  <c r="S352" i="15"/>
  <c r="R352" i="15" s="1"/>
  <c r="P352" i="15" s="1"/>
  <c r="S354" i="15"/>
  <c r="R354" i="15" s="1"/>
  <c r="P354" i="15" s="1"/>
  <c r="V354" i="15" s="1"/>
  <c r="F354" i="15" s="1"/>
  <c r="S356" i="15"/>
  <c r="R356" i="15" s="1"/>
  <c r="P356" i="15" s="1"/>
  <c r="V356" i="15" s="1"/>
  <c r="F356" i="15" s="1"/>
  <c r="S358" i="15"/>
  <c r="R358" i="15" s="1"/>
  <c r="P358" i="15" s="1"/>
  <c r="S360" i="15"/>
  <c r="R360" i="15" s="1"/>
  <c r="P360" i="15" s="1"/>
  <c r="S362" i="15"/>
  <c r="R362" i="15" s="1"/>
  <c r="P362" i="15" s="1"/>
  <c r="S364" i="15"/>
  <c r="R364" i="15" s="1"/>
  <c r="P364" i="15" s="1"/>
  <c r="S366" i="15"/>
  <c r="R366" i="15" s="1"/>
  <c r="P366" i="15" s="1"/>
  <c r="V366" i="15" s="1"/>
  <c r="F366" i="15" s="1"/>
  <c r="S368" i="15"/>
  <c r="R368" i="15" s="1"/>
  <c r="P368" i="15" s="1"/>
  <c r="S370" i="15"/>
  <c r="R370" i="15" s="1"/>
  <c r="P370" i="15" s="1"/>
  <c r="S372" i="15"/>
  <c r="R372" i="15" s="1"/>
  <c r="P372" i="15" s="1"/>
  <c r="S374" i="15"/>
  <c r="R374" i="15" s="1"/>
  <c r="P374" i="15" s="1"/>
  <c r="V374" i="15" s="1"/>
  <c r="F374" i="15" s="1"/>
  <c r="S376" i="15"/>
  <c r="R376" i="15" s="1"/>
  <c r="P376" i="15" s="1"/>
  <c r="S378" i="15"/>
  <c r="R378" i="15" s="1"/>
  <c r="P378" i="15" s="1"/>
  <c r="D375" i="16"/>
  <c r="E375" i="16" s="1"/>
  <c r="S357" i="15"/>
  <c r="R357" i="15" s="1"/>
  <c r="P357" i="15" s="1"/>
  <c r="V357" i="15" s="1"/>
  <c r="F357" i="15" s="1"/>
  <c r="S361" i="15"/>
  <c r="R361" i="15" s="1"/>
  <c r="P361" i="15" s="1"/>
  <c r="S365" i="15"/>
  <c r="R365" i="15" s="1"/>
  <c r="P365" i="15" s="1"/>
  <c r="V365" i="15" s="1"/>
  <c r="F365" i="15" s="1"/>
  <c r="S369" i="15"/>
  <c r="R369" i="15" s="1"/>
  <c r="P369" i="15" s="1"/>
  <c r="V369" i="15" s="1"/>
  <c r="F369" i="15" s="1"/>
  <c r="S373" i="15"/>
  <c r="R373" i="15" s="1"/>
  <c r="P373" i="15" s="1"/>
  <c r="V373" i="15" s="1"/>
  <c r="F373" i="15" s="1"/>
  <c r="S377" i="15"/>
  <c r="R377" i="15" s="1"/>
  <c r="P377" i="15" s="1"/>
  <c r="V377" i="15" s="1"/>
  <c r="F377" i="15" s="1"/>
  <c r="E383" i="15"/>
  <c r="AJ10" i="15"/>
  <c r="AJ12" i="15" s="1"/>
  <c r="AJ13" i="15" s="1"/>
  <c r="E9" i="15"/>
  <c r="E11" i="15" s="1"/>
  <c r="E382" i="15"/>
  <c r="E381" i="15"/>
  <c r="AK8" i="15"/>
  <c r="AJ3" i="15"/>
  <c r="O12" i="19" s="1"/>
  <c r="AG15" i="15"/>
  <c r="AG23" i="15"/>
  <c r="AF23" i="15" s="1"/>
  <c r="AD23" i="15" s="1"/>
  <c r="AG25" i="15"/>
  <c r="AF25" i="15" s="1"/>
  <c r="AD25" i="15" s="1"/>
  <c r="AG27" i="15"/>
  <c r="AF27" i="15" s="1"/>
  <c r="AD27" i="15" s="1"/>
  <c r="AG29" i="15"/>
  <c r="AF29" i="15" s="1"/>
  <c r="AD29" i="15" s="1"/>
  <c r="AG31" i="15"/>
  <c r="AF31" i="15" s="1"/>
  <c r="AD31" i="15" s="1"/>
  <c r="AG33" i="15"/>
  <c r="AF33" i="15" s="1"/>
  <c r="AD33" i="15" s="1"/>
  <c r="AG35" i="15"/>
  <c r="AF35" i="15" s="1"/>
  <c r="AD35" i="15" s="1"/>
  <c r="AG37" i="15"/>
  <c r="AF37" i="15" s="1"/>
  <c r="AD37" i="15" s="1"/>
  <c r="AG39" i="15"/>
  <c r="AF39" i="15" s="1"/>
  <c r="AD39" i="15" s="1"/>
  <c r="AG41" i="15"/>
  <c r="AF41" i="15" s="1"/>
  <c r="AD41" i="15" s="1"/>
  <c r="AG43" i="15"/>
  <c r="AF43" i="15" s="1"/>
  <c r="AD43" i="15" s="1"/>
  <c r="AG45" i="15"/>
  <c r="AF45" i="15" s="1"/>
  <c r="AD45" i="15" s="1"/>
  <c r="AG47" i="15"/>
  <c r="AF47" i="15" s="1"/>
  <c r="AD47" i="15" s="1"/>
  <c r="AG49" i="15"/>
  <c r="AF49" i="15" s="1"/>
  <c r="AD49" i="15" s="1"/>
  <c r="AG51" i="15"/>
  <c r="AF51" i="15" s="1"/>
  <c r="AD51" i="15" s="1"/>
  <c r="AG53" i="15"/>
  <c r="AF53" i="15" s="1"/>
  <c r="AD53" i="15" s="1"/>
  <c r="AG55" i="15"/>
  <c r="AF55" i="15" s="1"/>
  <c r="AD55" i="15" s="1"/>
  <c r="AG57" i="15"/>
  <c r="AF57" i="15" s="1"/>
  <c r="AD57" i="15" s="1"/>
  <c r="AG59" i="15"/>
  <c r="AF59" i="15" s="1"/>
  <c r="AD59" i="15" s="1"/>
  <c r="AG61" i="15"/>
  <c r="AF61" i="15" s="1"/>
  <c r="AD61" i="15" s="1"/>
  <c r="AG63" i="15"/>
  <c r="AF63" i="15" s="1"/>
  <c r="AD63" i="15" s="1"/>
  <c r="AG65" i="15"/>
  <c r="AF65" i="15" s="1"/>
  <c r="AD65" i="15" s="1"/>
  <c r="AG67" i="15"/>
  <c r="AF67" i="15" s="1"/>
  <c r="AD67" i="15" s="1"/>
  <c r="AG69" i="15"/>
  <c r="AF69" i="15" s="1"/>
  <c r="AD69" i="15" s="1"/>
  <c r="AG71" i="15"/>
  <c r="AF71" i="15" s="1"/>
  <c r="AD71" i="15" s="1"/>
  <c r="AG73" i="15"/>
  <c r="AF73" i="15" s="1"/>
  <c r="AD73" i="15" s="1"/>
  <c r="AG75" i="15"/>
  <c r="AF75" i="15" s="1"/>
  <c r="AD75" i="15" s="1"/>
  <c r="AG77" i="15"/>
  <c r="AF77" i="15" s="1"/>
  <c r="AD77" i="15" s="1"/>
  <c r="AG79" i="15"/>
  <c r="AF79" i="15" s="1"/>
  <c r="AD79" i="15" s="1"/>
  <c r="AG81" i="15"/>
  <c r="AF81" i="15" s="1"/>
  <c r="AD81" i="15" s="1"/>
  <c r="AG83" i="15"/>
  <c r="AF83" i="15" s="1"/>
  <c r="AD83" i="15" s="1"/>
  <c r="AG85" i="15"/>
  <c r="AF85" i="15" s="1"/>
  <c r="AD85" i="15" s="1"/>
  <c r="AG87" i="15"/>
  <c r="AF87" i="15" s="1"/>
  <c r="AD87" i="15" s="1"/>
  <c r="AG89" i="15"/>
  <c r="AF89" i="15" s="1"/>
  <c r="AD89" i="15" s="1"/>
  <c r="AG91" i="15"/>
  <c r="AF91" i="15" s="1"/>
  <c r="AD91" i="15" s="1"/>
  <c r="AG93" i="15"/>
  <c r="AF93" i="15" s="1"/>
  <c r="AD93" i="15" s="1"/>
  <c r="AG95" i="15"/>
  <c r="AF95" i="15" s="1"/>
  <c r="AD95" i="15" s="1"/>
  <c r="AG97" i="15"/>
  <c r="AF97" i="15" s="1"/>
  <c r="AD97" i="15" s="1"/>
  <c r="AG99" i="15"/>
  <c r="AF99" i="15" s="1"/>
  <c r="AD99" i="15" s="1"/>
  <c r="AG101" i="15"/>
  <c r="AF101" i="15" s="1"/>
  <c r="AD101" i="15" s="1"/>
  <c r="AG103" i="15"/>
  <c r="AF103" i="15" s="1"/>
  <c r="AD103" i="15" s="1"/>
  <c r="AG105" i="15"/>
  <c r="AF105" i="15" s="1"/>
  <c r="AD105" i="15" s="1"/>
  <c r="AG107" i="15"/>
  <c r="AF107" i="15" s="1"/>
  <c r="AD107" i="15" s="1"/>
  <c r="AG109" i="15"/>
  <c r="AF109" i="15" s="1"/>
  <c r="AD109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19" i="15"/>
  <c r="AF119" i="15" s="1"/>
  <c r="AD119" i="15" s="1"/>
  <c r="AG121" i="15"/>
  <c r="AF121" i="15" s="1"/>
  <c r="AD121" i="15" s="1"/>
  <c r="AG123" i="15"/>
  <c r="AF123" i="15" s="1"/>
  <c r="AD123" i="15" s="1"/>
  <c r="AG125" i="15"/>
  <c r="AF125" i="15" s="1"/>
  <c r="AD125" i="15" s="1"/>
  <c r="AG127" i="15"/>
  <c r="AF127" i="15" s="1"/>
  <c r="AD127" i="15" s="1"/>
  <c r="AG129" i="15"/>
  <c r="AF129" i="15" s="1"/>
  <c r="AD129" i="15" s="1"/>
  <c r="AG131" i="15"/>
  <c r="AF131" i="15" s="1"/>
  <c r="AD131" i="15" s="1"/>
  <c r="AG133" i="15"/>
  <c r="AF133" i="15" s="1"/>
  <c r="AD133" i="15" s="1"/>
  <c r="AG135" i="15"/>
  <c r="AF135" i="15" s="1"/>
  <c r="AD135" i="15" s="1"/>
  <c r="AG137" i="15"/>
  <c r="AF137" i="15" s="1"/>
  <c r="AD137" i="15" s="1"/>
  <c r="AG139" i="15"/>
  <c r="AF139" i="15" s="1"/>
  <c r="AD139" i="15" s="1"/>
  <c r="AG141" i="15"/>
  <c r="AF141" i="15" s="1"/>
  <c r="AD141" i="15" s="1"/>
  <c r="AG143" i="15"/>
  <c r="AF143" i="15" s="1"/>
  <c r="AD143" i="15" s="1"/>
  <c r="AG145" i="15"/>
  <c r="AF145" i="15" s="1"/>
  <c r="AD145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3" i="15"/>
  <c r="AF153" i="15" s="1"/>
  <c r="AD153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1" i="15"/>
  <c r="AF161" i="15" s="1"/>
  <c r="AD161" i="15" s="1"/>
  <c r="AG163" i="15"/>
  <c r="AF163" i="15" s="1"/>
  <c r="AD163" i="15" s="1"/>
  <c r="AG165" i="15"/>
  <c r="AF165" i="15" s="1"/>
  <c r="AD165" i="15" s="1"/>
  <c r="AG167" i="15"/>
  <c r="AF167" i="15" s="1"/>
  <c r="AD167" i="15" s="1"/>
  <c r="AG169" i="15"/>
  <c r="AF169" i="15" s="1"/>
  <c r="AD169" i="15" s="1"/>
  <c r="AG171" i="15"/>
  <c r="AF171" i="15" s="1"/>
  <c r="AD171" i="15" s="1"/>
  <c r="AG173" i="15"/>
  <c r="AF173" i="15" s="1"/>
  <c r="AD173" i="15" s="1"/>
  <c r="AG175" i="15"/>
  <c r="AF175" i="15" s="1"/>
  <c r="AD175" i="15" s="1"/>
  <c r="AG177" i="15"/>
  <c r="AF177" i="15" s="1"/>
  <c r="AD177" i="15" s="1"/>
  <c r="AG179" i="15"/>
  <c r="AF179" i="15" s="1"/>
  <c r="AD179" i="15" s="1"/>
  <c r="AG181" i="15"/>
  <c r="AF181" i="15" s="1"/>
  <c r="AD181" i="15" s="1"/>
  <c r="AG183" i="15"/>
  <c r="AF183" i="15" s="1"/>
  <c r="AD183" i="15" s="1"/>
  <c r="AG185" i="15"/>
  <c r="AF185" i="15" s="1"/>
  <c r="AD185" i="15" s="1"/>
  <c r="AG187" i="15"/>
  <c r="AF187" i="15" s="1"/>
  <c r="AD187" i="15" s="1"/>
  <c r="AG189" i="15"/>
  <c r="AF189" i="15" s="1"/>
  <c r="AD189" i="15" s="1"/>
  <c r="AG191" i="15"/>
  <c r="AF191" i="15" s="1"/>
  <c r="AD191" i="15" s="1"/>
  <c r="AG193" i="15"/>
  <c r="AF193" i="15" s="1"/>
  <c r="AD193" i="15" s="1"/>
  <c r="AG195" i="15"/>
  <c r="AF195" i="15" s="1"/>
  <c r="AD195" i="15" s="1"/>
  <c r="AG197" i="15"/>
  <c r="AF197" i="15" s="1"/>
  <c r="AD197" i="15" s="1"/>
  <c r="AG199" i="15"/>
  <c r="AF199" i="15" s="1"/>
  <c r="AD199" i="15" s="1"/>
  <c r="AG201" i="15"/>
  <c r="AF201" i="15" s="1"/>
  <c r="AD201" i="15" s="1"/>
  <c r="AG203" i="15"/>
  <c r="AF203" i="15" s="1"/>
  <c r="AD203" i="15" s="1"/>
  <c r="AG205" i="15"/>
  <c r="AF205" i="15" s="1"/>
  <c r="AD205" i="15" s="1"/>
  <c r="AG207" i="15"/>
  <c r="AF207" i="15" s="1"/>
  <c r="AD207" i="15" s="1"/>
  <c r="AG209" i="15"/>
  <c r="AF209" i="15" s="1"/>
  <c r="AD209" i="15" s="1"/>
  <c r="AG211" i="15"/>
  <c r="AF211" i="15" s="1"/>
  <c r="AD211" i="15" s="1"/>
  <c r="AG213" i="15"/>
  <c r="AF213" i="15" s="1"/>
  <c r="AD213" i="15" s="1"/>
  <c r="AG215" i="15"/>
  <c r="AF215" i="15" s="1"/>
  <c r="AD215" i="15" s="1"/>
  <c r="AG217" i="15"/>
  <c r="AF217" i="15" s="1"/>
  <c r="AD217" i="15" s="1"/>
  <c r="AG219" i="15"/>
  <c r="AF219" i="15" s="1"/>
  <c r="AD219" i="15" s="1"/>
  <c r="AG221" i="15"/>
  <c r="AF221" i="15" s="1"/>
  <c r="AD221" i="15" s="1"/>
  <c r="AG223" i="15"/>
  <c r="AF223" i="15" s="1"/>
  <c r="AD223" i="15" s="1"/>
  <c r="AG225" i="15"/>
  <c r="AF225" i="15" s="1"/>
  <c r="AD225" i="15" s="1"/>
  <c r="AG227" i="15"/>
  <c r="AF227" i="15" s="1"/>
  <c r="AD227" i="15" s="1"/>
  <c r="AG229" i="15"/>
  <c r="AF229" i="15" s="1"/>
  <c r="AD229" i="15" s="1"/>
  <c r="AG231" i="15"/>
  <c r="AF231" i="15" s="1"/>
  <c r="AD231" i="15" s="1"/>
  <c r="AG233" i="15"/>
  <c r="AF233" i="15" s="1"/>
  <c r="AD233" i="15" s="1"/>
  <c r="AG235" i="15"/>
  <c r="AF235" i="15" s="1"/>
  <c r="AD235" i="15" s="1"/>
  <c r="AG237" i="15"/>
  <c r="AF237" i="15" s="1"/>
  <c r="AD237" i="15" s="1"/>
  <c r="AG239" i="15"/>
  <c r="AF239" i="15" s="1"/>
  <c r="AD239" i="15" s="1"/>
  <c r="AG241" i="15"/>
  <c r="AF241" i="15" s="1"/>
  <c r="AD241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49" i="15"/>
  <c r="AF249" i="15" s="1"/>
  <c r="AD249" i="15" s="1"/>
  <c r="AG251" i="15"/>
  <c r="AF251" i="15" s="1"/>
  <c r="AD251" i="15" s="1"/>
  <c r="AG253" i="15"/>
  <c r="AF253" i="15" s="1"/>
  <c r="AD253" i="15" s="1"/>
  <c r="AG255" i="15"/>
  <c r="AF255" i="15" s="1"/>
  <c r="AD255" i="15" s="1"/>
  <c r="AG257" i="15"/>
  <c r="AF257" i="15" s="1"/>
  <c r="AD257" i="15" s="1"/>
  <c r="AG259" i="15"/>
  <c r="AF259" i="15" s="1"/>
  <c r="AD259" i="15" s="1"/>
  <c r="AG261" i="15"/>
  <c r="AF261" i="15" s="1"/>
  <c r="AD261" i="15" s="1"/>
  <c r="AG263" i="15"/>
  <c r="AF263" i="15" s="1"/>
  <c r="AD263" i="15" s="1"/>
  <c r="AG265" i="15"/>
  <c r="AF265" i="15" s="1"/>
  <c r="AD265" i="15" s="1"/>
  <c r="AG267" i="15"/>
  <c r="AF267" i="15" s="1"/>
  <c r="AD267" i="15" s="1"/>
  <c r="AG269" i="15"/>
  <c r="AF269" i="15" s="1"/>
  <c r="AD269" i="15" s="1"/>
  <c r="AG271" i="15"/>
  <c r="AF271" i="15" s="1"/>
  <c r="AD271" i="15" s="1"/>
  <c r="AG273" i="15"/>
  <c r="AF273" i="15" s="1"/>
  <c r="AD273" i="15" s="1"/>
  <c r="AG275" i="15"/>
  <c r="AF275" i="15" s="1"/>
  <c r="AD275" i="15" s="1"/>
  <c r="AG277" i="15"/>
  <c r="AF277" i="15" s="1"/>
  <c r="AD277" i="15" s="1"/>
  <c r="AG279" i="15"/>
  <c r="AF279" i="15" s="1"/>
  <c r="AD279" i="15" s="1"/>
  <c r="AG281" i="15"/>
  <c r="AF281" i="15" s="1"/>
  <c r="AD281" i="15" s="1"/>
  <c r="AG283" i="15"/>
  <c r="AF283" i="15" s="1"/>
  <c r="AD283" i="15" s="1"/>
  <c r="AG285" i="15"/>
  <c r="AF285" i="15" s="1"/>
  <c r="AD285" i="15" s="1"/>
  <c r="AG287" i="15"/>
  <c r="AF287" i="15" s="1"/>
  <c r="AD287" i="15" s="1"/>
  <c r="AG289" i="15"/>
  <c r="AF289" i="15" s="1"/>
  <c r="AD289" i="15" s="1"/>
  <c r="AG291" i="15"/>
  <c r="AF291" i="15" s="1"/>
  <c r="AD291" i="15" s="1"/>
  <c r="AG293" i="15"/>
  <c r="AF293" i="15" s="1"/>
  <c r="AD293" i="15" s="1"/>
  <c r="AG295" i="15"/>
  <c r="AF295" i="15" s="1"/>
  <c r="AD295" i="15" s="1"/>
  <c r="AG297" i="15"/>
  <c r="AF297" i="15" s="1"/>
  <c r="AD297" i="15" s="1"/>
  <c r="AG299" i="15"/>
  <c r="AF299" i="15" s="1"/>
  <c r="AD299" i="15" s="1"/>
  <c r="AG301" i="15"/>
  <c r="AF301" i="15" s="1"/>
  <c r="AD301" i="15" s="1"/>
  <c r="AG303" i="15"/>
  <c r="AF303" i="15" s="1"/>
  <c r="AD303" i="15" s="1"/>
  <c r="AG305" i="15"/>
  <c r="AF305" i="15" s="1"/>
  <c r="AD305" i="15" s="1"/>
  <c r="AG307" i="15"/>
  <c r="AF307" i="15" s="1"/>
  <c r="AD307" i="15" s="1"/>
  <c r="AG309" i="15"/>
  <c r="AF309" i="15" s="1"/>
  <c r="AD309" i="15" s="1"/>
  <c r="AG311" i="15"/>
  <c r="AF311" i="15" s="1"/>
  <c r="AD311" i="15" s="1"/>
  <c r="AG313" i="15"/>
  <c r="AF313" i="15" s="1"/>
  <c r="AD313" i="15" s="1"/>
  <c r="AG315" i="15"/>
  <c r="AF315" i="15" s="1"/>
  <c r="AD315" i="15" s="1"/>
  <c r="AG317" i="15"/>
  <c r="AF317" i="15" s="1"/>
  <c r="AD317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3" i="15"/>
  <c r="AF333" i="15" s="1"/>
  <c r="AD333" i="15" s="1"/>
  <c r="AG335" i="15"/>
  <c r="AF335" i="15" s="1"/>
  <c r="AD335" i="15" s="1"/>
  <c r="AG337" i="15"/>
  <c r="AF337" i="15" s="1"/>
  <c r="AD337" i="15" s="1"/>
  <c r="AG339" i="15"/>
  <c r="AF339" i="15" s="1"/>
  <c r="AD339" i="15" s="1"/>
  <c r="AG341" i="15"/>
  <c r="AF341" i="15" s="1"/>
  <c r="AD341" i="15" s="1"/>
  <c r="AG343" i="15"/>
  <c r="AF343" i="15" s="1"/>
  <c r="AD343" i="15" s="1"/>
  <c r="AG345" i="15"/>
  <c r="AF345" i="15" s="1"/>
  <c r="AD345" i="15" s="1"/>
  <c r="AG347" i="15"/>
  <c r="AF347" i="15" s="1"/>
  <c r="AD347" i="15" s="1"/>
  <c r="AG349" i="15"/>
  <c r="AF349" i="15" s="1"/>
  <c r="AD349" i="15" s="1"/>
  <c r="AG351" i="15"/>
  <c r="AF351" i="15" s="1"/>
  <c r="AD351" i="15" s="1"/>
  <c r="AG353" i="15"/>
  <c r="AF353" i="15" s="1"/>
  <c r="AD353" i="15" s="1"/>
  <c r="AG355" i="15"/>
  <c r="AF355" i="15" s="1"/>
  <c r="AD355" i="15" s="1"/>
  <c r="AG357" i="15"/>
  <c r="AF357" i="15" s="1"/>
  <c r="AD357" i="15" s="1"/>
  <c r="AG359" i="15"/>
  <c r="AF359" i="15" s="1"/>
  <c r="AD359" i="15" s="1"/>
  <c r="AG361" i="15"/>
  <c r="AF361" i="15" s="1"/>
  <c r="AD361" i="15" s="1"/>
  <c r="AG363" i="15"/>
  <c r="AF363" i="15" s="1"/>
  <c r="AD363" i="15" s="1"/>
  <c r="AG365" i="15"/>
  <c r="AF365" i="15" s="1"/>
  <c r="AD365" i="15" s="1"/>
  <c r="AG367" i="15"/>
  <c r="AF367" i="15" s="1"/>
  <c r="AD367" i="15" s="1"/>
  <c r="AG369" i="15"/>
  <c r="AF369" i="15" s="1"/>
  <c r="AD369" i="15" s="1"/>
  <c r="AG371" i="15"/>
  <c r="AF371" i="15" s="1"/>
  <c r="AD371" i="15" s="1"/>
  <c r="AG373" i="15"/>
  <c r="AF373" i="15" s="1"/>
  <c r="AD373" i="15" s="1"/>
  <c r="AG375" i="15"/>
  <c r="AF375" i="15" s="1"/>
  <c r="AD375" i="15" s="1"/>
  <c r="AG377" i="15"/>
  <c r="AF377" i="15" s="1"/>
  <c r="AD377" i="15" s="1"/>
  <c r="A374" i="24"/>
  <c r="AB373" i="24"/>
  <c r="AJ373" i="24"/>
  <c r="X373" i="24"/>
  <c r="L373" i="24"/>
  <c r="K373" i="24"/>
  <c r="AK373" i="24"/>
  <c r="AC373" i="24"/>
  <c r="O373" i="24"/>
  <c r="E376" i="17"/>
  <c r="S20" i="15"/>
  <c r="R20" i="15" s="1"/>
  <c r="P20" i="15" s="1"/>
  <c r="S15" i="15"/>
  <c r="S21" i="15"/>
  <c r="R21" i="15" s="1"/>
  <c r="P21" i="15" s="1"/>
  <c r="AC381" i="18"/>
  <c r="AC383" i="18"/>
  <c r="AC382" i="18"/>
  <c r="L383" i="18"/>
  <c r="L382" i="18"/>
  <c r="L381" i="18"/>
  <c r="Q383" i="15"/>
  <c r="K376" i="20"/>
  <c r="L376" i="20"/>
  <c r="AJ376" i="20"/>
  <c r="A377" i="20"/>
  <c r="X376" i="20"/>
  <c r="AB376" i="20"/>
  <c r="AK376" i="20"/>
  <c r="AC376" i="20"/>
  <c r="O376" i="20"/>
  <c r="S19" i="15"/>
  <c r="R19" i="15" s="1"/>
  <c r="P19" i="15" s="1"/>
  <c r="S22" i="15"/>
  <c r="R22" i="15" s="1"/>
  <c r="P22" i="15" s="1"/>
  <c r="V22" i="15" s="1"/>
  <c r="F22" i="15" s="1"/>
  <c r="L376" i="16"/>
  <c r="AB376" i="16"/>
  <c r="AJ376" i="16"/>
  <c r="X376" i="16"/>
  <c r="A377" i="16"/>
  <c r="K376" i="16"/>
  <c r="AK376" i="16"/>
  <c r="AC376" i="16"/>
  <c r="O376" i="16"/>
  <c r="X374" i="23"/>
  <c r="L374" i="23"/>
  <c r="AJ374" i="23"/>
  <c r="AB374" i="23"/>
  <c r="K374" i="23"/>
  <c r="A375" i="23"/>
  <c r="AK374" i="23"/>
  <c r="AC374" i="23"/>
  <c r="O374" i="23"/>
  <c r="T381" i="15" l="1"/>
  <c r="Q16" i="7"/>
  <c r="T383" i="15"/>
  <c r="T382" i="15"/>
  <c r="AI376" i="16"/>
  <c r="AH383" i="15"/>
  <c r="AH381" i="15"/>
  <c r="C12" i="19"/>
  <c r="F36" i="19"/>
  <c r="V379" i="15"/>
  <c r="D36" i="19"/>
  <c r="L39" i="19"/>
  <c r="U376" i="16"/>
  <c r="T376" i="16" s="1"/>
  <c r="AH382" i="15"/>
  <c r="AA337" i="15"/>
  <c r="Z337" i="15" s="1"/>
  <c r="Y337" i="15" s="1"/>
  <c r="F379" i="15"/>
  <c r="G379" i="15" s="1"/>
  <c r="BX379" i="6" s="1"/>
  <c r="U374" i="16"/>
  <c r="T374" i="16" s="1"/>
  <c r="S374" i="16" s="1"/>
  <c r="R374" i="16" s="1"/>
  <c r="O16" i="7"/>
  <c r="U16" i="16"/>
  <c r="T16" i="16" s="1"/>
  <c r="S16" i="16" s="1"/>
  <c r="R16" i="16" s="1"/>
  <c r="U18" i="16"/>
  <c r="T18" i="16" s="1"/>
  <c r="S18" i="16" s="1"/>
  <c r="R18" i="16" s="1"/>
  <c r="U20" i="16"/>
  <c r="T20" i="16" s="1"/>
  <c r="U22" i="16"/>
  <c r="T22" i="16" s="1"/>
  <c r="S22" i="16" s="1"/>
  <c r="R22" i="16" s="1"/>
  <c r="U24" i="16"/>
  <c r="T24" i="16" s="1"/>
  <c r="S24" i="16" s="1"/>
  <c r="R24" i="16" s="1"/>
  <c r="U26" i="16"/>
  <c r="T26" i="16" s="1"/>
  <c r="S26" i="16" s="1"/>
  <c r="R26" i="16" s="1"/>
  <c r="U28" i="16"/>
  <c r="T28" i="16" s="1"/>
  <c r="S28" i="16" s="1"/>
  <c r="R28" i="16" s="1"/>
  <c r="U30" i="16"/>
  <c r="T30" i="16" s="1"/>
  <c r="S30" i="16" s="1"/>
  <c r="R30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S36" i="16" s="1"/>
  <c r="R36" i="16" s="1"/>
  <c r="U38" i="16"/>
  <c r="T38" i="16" s="1"/>
  <c r="S38" i="16" s="1"/>
  <c r="R38" i="16" s="1"/>
  <c r="U40" i="16"/>
  <c r="T40" i="16" s="1"/>
  <c r="S40" i="16" s="1"/>
  <c r="R40" i="16" s="1"/>
  <c r="U42" i="16"/>
  <c r="T42" i="16" s="1"/>
  <c r="S42" i="16" s="1"/>
  <c r="R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S50" i="16" s="1"/>
  <c r="R50" i="16" s="1"/>
  <c r="U52" i="16"/>
  <c r="T52" i="16" s="1"/>
  <c r="U54" i="16"/>
  <c r="T54" i="16" s="1"/>
  <c r="S54" i="16" s="1"/>
  <c r="R54" i="16" s="1"/>
  <c r="U56" i="16"/>
  <c r="T56" i="16" s="1"/>
  <c r="S56" i="16" s="1"/>
  <c r="R56" i="16" s="1"/>
  <c r="U58" i="16"/>
  <c r="T58" i="16" s="1"/>
  <c r="S58" i="16" s="1"/>
  <c r="R58" i="16" s="1"/>
  <c r="U60" i="16"/>
  <c r="T60" i="16" s="1"/>
  <c r="S60" i="16" s="1"/>
  <c r="R60" i="16" s="1"/>
  <c r="U62" i="16"/>
  <c r="T62" i="16" s="1"/>
  <c r="S62" i="16" s="1"/>
  <c r="R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S70" i="16" s="1"/>
  <c r="R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S88" i="16" s="1"/>
  <c r="R88" i="16" s="1"/>
  <c r="U90" i="16"/>
  <c r="T90" i="16" s="1"/>
  <c r="S90" i="16" s="1"/>
  <c r="R90" i="16" s="1"/>
  <c r="U92" i="16"/>
  <c r="T92" i="16" s="1"/>
  <c r="S92" i="16" s="1"/>
  <c r="R92" i="16" s="1"/>
  <c r="U94" i="16"/>
  <c r="T94" i="16" s="1"/>
  <c r="S94" i="16" s="1"/>
  <c r="R94" i="16" s="1"/>
  <c r="U96" i="16"/>
  <c r="T96" i="16" s="1"/>
  <c r="S96" i="16" s="1"/>
  <c r="R96" i="16" s="1"/>
  <c r="U98" i="16"/>
  <c r="T98" i="16" s="1"/>
  <c r="S98" i="16" s="1"/>
  <c r="R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S108" i="16" s="1"/>
  <c r="R108" i="16" s="1"/>
  <c r="U110" i="16"/>
  <c r="T110" i="16" s="1"/>
  <c r="S110" i="16" s="1"/>
  <c r="R110" i="16" s="1"/>
  <c r="U112" i="16"/>
  <c r="T112" i="16" s="1"/>
  <c r="S112" i="16" s="1"/>
  <c r="R112" i="16" s="1"/>
  <c r="U114" i="16"/>
  <c r="T114" i="16" s="1"/>
  <c r="S114" i="16" s="1"/>
  <c r="R114" i="16" s="1"/>
  <c r="U116" i="16"/>
  <c r="T116" i="16" s="1"/>
  <c r="U118" i="16"/>
  <c r="T118" i="16" s="1"/>
  <c r="S118" i="16" s="1"/>
  <c r="R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30" i="16"/>
  <c r="T130" i="16" s="1"/>
  <c r="S130" i="16" s="1"/>
  <c r="R130" i="16" s="1"/>
  <c r="U132" i="16"/>
  <c r="T132" i="16" s="1"/>
  <c r="S132" i="16" s="1"/>
  <c r="R132" i="16" s="1"/>
  <c r="U134" i="16"/>
  <c r="T134" i="16" s="1"/>
  <c r="S134" i="16" s="1"/>
  <c r="R134" i="16" s="1"/>
  <c r="U136" i="16"/>
  <c r="T136" i="16" s="1"/>
  <c r="S136" i="16" s="1"/>
  <c r="R136" i="16" s="1"/>
  <c r="U138" i="16"/>
  <c r="T138" i="16" s="1"/>
  <c r="S138" i="16" s="1"/>
  <c r="R138" i="16" s="1"/>
  <c r="U140" i="16"/>
  <c r="T140" i="16" s="1"/>
  <c r="S140" i="16" s="1"/>
  <c r="R140" i="16" s="1"/>
  <c r="U142" i="16"/>
  <c r="T142" i="16" s="1"/>
  <c r="S142" i="16" s="1"/>
  <c r="R142" i="16" s="1"/>
  <c r="U144" i="16"/>
  <c r="T144" i="16" s="1"/>
  <c r="S144" i="16" s="1"/>
  <c r="R144" i="16" s="1"/>
  <c r="U146" i="16"/>
  <c r="T146" i="16" s="1"/>
  <c r="S146" i="16" s="1"/>
  <c r="R146" i="16" s="1"/>
  <c r="U148" i="16"/>
  <c r="T148" i="16" s="1"/>
  <c r="U150" i="16"/>
  <c r="T150" i="16" s="1"/>
  <c r="S150" i="16" s="1"/>
  <c r="R150" i="16" s="1"/>
  <c r="U152" i="16"/>
  <c r="T152" i="16" s="1"/>
  <c r="S152" i="16" s="1"/>
  <c r="R152" i="16" s="1"/>
  <c r="U154" i="16"/>
  <c r="T154" i="16" s="1"/>
  <c r="S154" i="16" s="1"/>
  <c r="R154" i="16" s="1"/>
  <c r="U156" i="16"/>
  <c r="T156" i="16" s="1"/>
  <c r="S156" i="16" s="1"/>
  <c r="R156" i="16" s="1"/>
  <c r="U158" i="16"/>
  <c r="T158" i="16" s="1"/>
  <c r="S158" i="16" s="1"/>
  <c r="R158" i="16" s="1"/>
  <c r="U160" i="16"/>
  <c r="T160" i="16" s="1"/>
  <c r="S160" i="16" s="1"/>
  <c r="R160" i="16" s="1"/>
  <c r="U162" i="16"/>
  <c r="T162" i="16" s="1"/>
  <c r="S162" i="16" s="1"/>
  <c r="R162" i="16" s="1"/>
  <c r="U164" i="16"/>
  <c r="T164" i="16" s="1"/>
  <c r="S164" i="16" s="1"/>
  <c r="R164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S176" i="16" s="1"/>
  <c r="R176" i="16" s="1"/>
  <c r="U178" i="16"/>
  <c r="T178" i="16" s="1"/>
  <c r="S178" i="16" s="1"/>
  <c r="R178" i="16" s="1"/>
  <c r="U180" i="16"/>
  <c r="T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S208" i="16" s="1"/>
  <c r="R208" i="16" s="1"/>
  <c r="U210" i="16"/>
  <c r="T210" i="16" s="1"/>
  <c r="S210" i="16" s="1"/>
  <c r="R210" i="16" s="1"/>
  <c r="U212" i="16"/>
  <c r="T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S238" i="16" s="1"/>
  <c r="R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S256" i="16" s="1"/>
  <c r="R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S296" i="16" s="1"/>
  <c r="R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S314" i="16" s="1"/>
  <c r="R314" i="16" s="1"/>
  <c r="U316" i="16"/>
  <c r="T316" i="16" s="1"/>
  <c r="S316" i="16" s="1"/>
  <c r="R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U342" i="16"/>
  <c r="T342" i="16" s="1"/>
  <c r="S342" i="16" s="1"/>
  <c r="R342" i="16" s="1"/>
  <c r="U375" i="16"/>
  <c r="T375" i="16" s="1"/>
  <c r="S375" i="16" s="1"/>
  <c r="R375" i="16" s="1"/>
  <c r="U15" i="16"/>
  <c r="T15" i="16" s="1"/>
  <c r="S15" i="16" s="1"/>
  <c r="U19" i="16"/>
  <c r="T19" i="16" s="1"/>
  <c r="U23" i="16"/>
  <c r="T23" i="16" s="1"/>
  <c r="S23" i="16" s="1"/>
  <c r="R23" i="16" s="1"/>
  <c r="U27" i="16"/>
  <c r="T27" i="16" s="1"/>
  <c r="S27" i="16" s="1"/>
  <c r="R27" i="16" s="1"/>
  <c r="U31" i="16"/>
  <c r="T31" i="16" s="1"/>
  <c r="S31" i="16" s="1"/>
  <c r="R31" i="16" s="1"/>
  <c r="U35" i="16"/>
  <c r="T35" i="16" s="1"/>
  <c r="S35" i="16" s="1"/>
  <c r="R35" i="16" s="1"/>
  <c r="U39" i="16"/>
  <c r="T39" i="16" s="1"/>
  <c r="S39" i="16" s="1"/>
  <c r="R39" i="16" s="1"/>
  <c r="U43" i="16"/>
  <c r="T43" i="16" s="1"/>
  <c r="S43" i="16" s="1"/>
  <c r="R43" i="16" s="1"/>
  <c r="U47" i="16"/>
  <c r="T47" i="16" s="1"/>
  <c r="S47" i="16" s="1"/>
  <c r="R47" i="16" s="1"/>
  <c r="U51" i="16"/>
  <c r="T51" i="16" s="1"/>
  <c r="S51" i="16" s="1"/>
  <c r="R51" i="16" s="1"/>
  <c r="U55" i="16"/>
  <c r="T55" i="16" s="1"/>
  <c r="S55" i="16" s="1"/>
  <c r="R55" i="16" s="1"/>
  <c r="U59" i="16"/>
  <c r="T59" i="16" s="1"/>
  <c r="S59" i="16" s="1"/>
  <c r="R59" i="16" s="1"/>
  <c r="U63" i="16"/>
  <c r="T63" i="16" s="1"/>
  <c r="S63" i="16" s="1"/>
  <c r="R63" i="16" s="1"/>
  <c r="U67" i="16"/>
  <c r="T67" i="16" s="1"/>
  <c r="S67" i="16" s="1"/>
  <c r="R67" i="16" s="1"/>
  <c r="U71" i="16"/>
  <c r="T71" i="16" s="1"/>
  <c r="S71" i="16" s="1"/>
  <c r="R71" i="16" s="1"/>
  <c r="U75" i="16"/>
  <c r="T75" i="16" s="1"/>
  <c r="S75" i="16" s="1"/>
  <c r="R75" i="16" s="1"/>
  <c r="U79" i="16"/>
  <c r="T79" i="16" s="1"/>
  <c r="S79" i="16" s="1"/>
  <c r="R79" i="16" s="1"/>
  <c r="U83" i="16"/>
  <c r="T83" i="16" s="1"/>
  <c r="U87" i="16"/>
  <c r="T87" i="16" s="1"/>
  <c r="S87" i="16" s="1"/>
  <c r="R87" i="16" s="1"/>
  <c r="U91" i="16"/>
  <c r="T91" i="16" s="1"/>
  <c r="S91" i="16" s="1"/>
  <c r="R91" i="16" s="1"/>
  <c r="U95" i="16"/>
  <c r="T95" i="16" s="1"/>
  <c r="S95" i="16" s="1"/>
  <c r="R95" i="16" s="1"/>
  <c r="U99" i="16"/>
  <c r="T99" i="16" s="1"/>
  <c r="S99" i="16" s="1"/>
  <c r="R99" i="16" s="1"/>
  <c r="U103" i="16"/>
  <c r="T103" i="16" s="1"/>
  <c r="S103" i="16" s="1"/>
  <c r="R103" i="16" s="1"/>
  <c r="U107" i="16"/>
  <c r="T107" i="16" s="1"/>
  <c r="S107" i="16" s="1"/>
  <c r="R107" i="16" s="1"/>
  <c r="U111" i="16"/>
  <c r="T111" i="16" s="1"/>
  <c r="S111" i="16" s="1"/>
  <c r="R111" i="16" s="1"/>
  <c r="U115" i="16"/>
  <c r="T115" i="16" s="1"/>
  <c r="S115" i="16" s="1"/>
  <c r="R115" i="16" s="1"/>
  <c r="U119" i="16"/>
  <c r="T119" i="16" s="1"/>
  <c r="S119" i="16" s="1"/>
  <c r="R119" i="16" s="1"/>
  <c r="U123" i="16"/>
  <c r="T123" i="16" s="1"/>
  <c r="S123" i="16" s="1"/>
  <c r="R123" i="16" s="1"/>
  <c r="U127" i="16"/>
  <c r="T127" i="16" s="1"/>
  <c r="S127" i="16" s="1"/>
  <c r="R127" i="16" s="1"/>
  <c r="U131" i="16"/>
  <c r="T131" i="16" s="1"/>
  <c r="S131" i="16" s="1"/>
  <c r="R131" i="16" s="1"/>
  <c r="U135" i="16"/>
  <c r="T135" i="16" s="1"/>
  <c r="S135" i="16" s="1"/>
  <c r="R135" i="16" s="1"/>
  <c r="U139" i="16"/>
  <c r="T139" i="16" s="1"/>
  <c r="S139" i="16" s="1"/>
  <c r="R139" i="16" s="1"/>
  <c r="U143" i="16"/>
  <c r="T143" i="16" s="1"/>
  <c r="S143" i="16" s="1"/>
  <c r="R143" i="16" s="1"/>
  <c r="U147" i="16"/>
  <c r="T147" i="16" s="1"/>
  <c r="U151" i="16"/>
  <c r="T151" i="16" s="1"/>
  <c r="S151" i="16" s="1"/>
  <c r="R151" i="16" s="1"/>
  <c r="U155" i="16"/>
  <c r="T155" i="16" s="1"/>
  <c r="S155" i="16" s="1"/>
  <c r="R155" i="16" s="1"/>
  <c r="U159" i="16"/>
  <c r="T159" i="16" s="1"/>
  <c r="S159" i="16" s="1"/>
  <c r="R159" i="16" s="1"/>
  <c r="U163" i="16"/>
  <c r="T163" i="16" s="1"/>
  <c r="S163" i="16" s="1"/>
  <c r="R163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U215" i="16"/>
  <c r="T215" i="16" s="1"/>
  <c r="S215" i="16" s="1"/>
  <c r="R215" i="16" s="1"/>
  <c r="U219" i="16"/>
  <c r="T219" i="16" s="1"/>
  <c r="S219" i="16" s="1"/>
  <c r="R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S243" i="16" s="1"/>
  <c r="R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U343" i="16"/>
  <c r="T343" i="16" s="1"/>
  <c r="S343" i="16" s="1"/>
  <c r="R343" i="16" s="1"/>
  <c r="U345" i="16"/>
  <c r="T345" i="16" s="1"/>
  <c r="S345" i="16" s="1"/>
  <c r="R345" i="16" s="1"/>
  <c r="U347" i="16"/>
  <c r="T347" i="16" s="1"/>
  <c r="S347" i="16" s="1"/>
  <c r="R347" i="16" s="1"/>
  <c r="U349" i="16"/>
  <c r="T349" i="16" s="1"/>
  <c r="S349" i="16" s="1"/>
  <c r="R349" i="16" s="1"/>
  <c r="U351" i="16"/>
  <c r="T351" i="16" s="1"/>
  <c r="S351" i="16" s="1"/>
  <c r="R351" i="16" s="1"/>
  <c r="U353" i="16"/>
  <c r="T353" i="16" s="1"/>
  <c r="S353" i="16" s="1"/>
  <c r="R353" i="16" s="1"/>
  <c r="U355" i="16"/>
  <c r="T355" i="16" s="1"/>
  <c r="S355" i="16" s="1"/>
  <c r="R355" i="16" s="1"/>
  <c r="U357" i="16"/>
  <c r="T357" i="16" s="1"/>
  <c r="S357" i="16" s="1"/>
  <c r="R357" i="16" s="1"/>
  <c r="U359" i="16"/>
  <c r="T359" i="16" s="1"/>
  <c r="S359" i="16" s="1"/>
  <c r="R359" i="16" s="1"/>
  <c r="U361" i="16"/>
  <c r="T361" i="16" s="1"/>
  <c r="S361" i="16" s="1"/>
  <c r="R361" i="16" s="1"/>
  <c r="U363" i="16"/>
  <c r="T363" i="16" s="1"/>
  <c r="S363" i="16" s="1"/>
  <c r="R363" i="16" s="1"/>
  <c r="U365" i="16"/>
  <c r="T365" i="16" s="1"/>
  <c r="S365" i="16" s="1"/>
  <c r="R365" i="16" s="1"/>
  <c r="U367" i="16"/>
  <c r="T367" i="16" s="1"/>
  <c r="S367" i="16" s="1"/>
  <c r="R367" i="16" s="1"/>
  <c r="U369" i="16"/>
  <c r="T369" i="16" s="1"/>
  <c r="S369" i="16" s="1"/>
  <c r="R369" i="16" s="1"/>
  <c r="U371" i="16"/>
  <c r="T371" i="16" s="1"/>
  <c r="S371" i="16" s="1"/>
  <c r="R371" i="16" s="1"/>
  <c r="U373" i="16"/>
  <c r="T373" i="16" s="1"/>
  <c r="S373" i="16" s="1"/>
  <c r="R373" i="16" s="1"/>
  <c r="U17" i="16"/>
  <c r="T17" i="16" s="1"/>
  <c r="S17" i="16" s="1"/>
  <c r="R17" i="16" s="1"/>
  <c r="U25" i="16"/>
  <c r="T25" i="16" s="1"/>
  <c r="S25" i="16" s="1"/>
  <c r="R25" i="16" s="1"/>
  <c r="U33" i="16"/>
  <c r="T33" i="16" s="1"/>
  <c r="S33" i="16" s="1"/>
  <c r="R33" i="16" s="1"/>
  <c r="U41" i="16"/>
  <c r="T41" i="16" s="1"/>
  <c r="S41" i="16" s="1"/>
  <c r="R41" i="16" s="1"/>
  <c r="U49" i="16"/>
  <c r="T49" i="16" s="1"/>
  <c r="S49" i="16" s="1"/>
  <c r="R49" i="16" s="1"/>
  <c r="U57" i="16"/>
  <c r="T57" i="16" s="1"/>
  <c r="S57" i="16" s="1"/>
  <c r="R57" i="16" s="1"/>
  <c r="U65" i="16"/>
  <c r="T65" i="16" s="1"/>
  <c r="S65" i="16" s="1"/>
  <c r="R65" i="16" s="1"/>
  <c r="U73" i="16"/>
  <c r="T73" i="16" s="1"/>
  <c r="S73" i="16" s="1"/>
  <c r="R73" i="16" s="1"/>
  <c r="U81" i="16"/>
  <c r="T81" i="16" s="1"/>
  <c r="S81" i="16" s="1"/>
  <c r="R81" i="16" s="1"/>
  <c r="U89" i="16"/>
  <c r="T89" i="16" s="1"/>
  <c r="S89" i="16" s="1"/>
  <c r="R89" i="16" s="1"/>
  <c r="U97" i="16"/>
  <c r="T97" i="16" s="1"/>
  <c r="S97" i="16" s="1"/>
  <c r="R97" i="16" s="1"/>
  <c r="U105" i="16"/>
  <c r="T105" i="16" s="1"/>
  <c r="S105" i="16" s="1"/>
  <c r="R105" i="16" s="1"/>
  <c r="U113" i="16"/>
  <c r="T113" i="16" s="1"/>
  <c r="S113" i="16" s="1"/>
  <c r="R113" i="16" s="1"/>
  <c r="U121" i="16"/>
  <c r="T121" i="16" s="1"/>
  <c r="S121" i="16" s="1"/>
  <c r="R121" i="16" s="1"/>
  <c r="U129" i="16"/>
  <c r="T129" i="16" s="1"/>
  <c r="S129" i="16" s="1"/>
  <c r="R129" i="16" s="1"/>
  <c r="U137" i="16"/>
  <c r="T137" i="16" s="1"/>
  <c r="S137" i="16" s="1"/>
  <c r="R137" i="16" s="1"/>
  <c r="U145" i="16"/>
  <c r="T145" i="16" s="1"/>
  <c r="S145" i="16" s="1"/>
  <c r="R145" i="16" s="1"/>
  <c r="U153" i="16"/>
  <c r="T153" i="16" s="1"/>
  <c r="S153" i="16" s="1"/>
  <c r="R153" i="16" s="1"/>
  <c r="U161" i="16"/>
  <c r="T161" i="16" s="1"/>
  <c r="S161" i="16" s="1"/>
  <c r="R161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4" i="16"/>
  <c r="T344" i="16" s="1"/>
  <c r="S344" i="16" s="1"/>
  <c r="R344" i="16" s="1"/>
  <c r="U348" i="16"/>
  <c r="T348" i="16" s="1"/>
  <c r="S348" i="16" s="1"/>
  <c r="R348" i="16" s="1"/>
  <c r="U352" i="16"/>
  <c r="T352" i="16" s="1"/>
  <c r="S352" i="16" s="1"/>
  <c r="R352" i="16" s="1"/>
  <c r="U356" i="16"/>
  <c r="T356" i="16" s="1"/>
  <c r="S356" i="16" s="1"/>
  <c r="R356" i="16" s="1"/>
  <c r="U360" i="16"/>
  <c r="T360" i="16" s="1"/>
  <c r="S360" i="16" s="1"/>
  <c r="R360" i="16" s="1"/>
  <c r="U364" i="16"/>
  <c r="T364" i="16" s="1"/>
  <c r="S364" i="16" s="1"/>
  <c r="R364" i="16" s="1"/>
  <c r="U368" i="16"/>
  <c r="T368" i="16" s="1"/>
  <c r="S368" i="16" s="1"/>
  <c r="R368" i="16" s="1"/>
  <c r="U372" i="16"/>
  <c r="T372" i="16" s="1"/>
  <c r="S372" i="16" s="1"/>
  <c r="R372" i="16" s="1"/>
  <c r="U21" i="16"/>
  <c r="T21" i="16" s="1"/>
  <c r="S21" i="16" s="1"/>
  <c r="R21" i="16" s="1"/>
  <c r="U29" i="16"/>
  <c r="T29" i="16" s="1"/>
  <c r="S29" i="16" s="1"/>
  <c r="R29" i="16" s="1"/>
  <c r="U37" i="16"/>
  <c r="T37" i="16" s="1"/>
  <c r="S37" i="16" s="1"/>
  <c r="R37" i="16" s="1"/>
  <c r="U45" i="16"/>
  <c r="T45" i="16" s="1"/>
  <c r="S45" i="16" s="1"/>
  <c r="R45" i="16" s="1"/>
  <c r="U53" i="16"/>
  <c r="T53" i="16" s="1"/>
  <c r="S53" i="16" s="1"/>
  <c r="R53" i="16" s="1"/>
  <c r="U61" i="16"/>
  <c r="T61" i="16" s="1"/>
  <c r="S61" i="16" s="1"/>
  <c r="R61" i="16" s="1"/>
  <c r="U69" i="16"/>
  <c r="T69" i="16" s="1"/>
  <c r="S69" i="16" s="1"/>
  <c r="R69" i="16" s="1"/>
  <c r="U77" i="16"/>
  <c r="T77" i="16" s="1"/>
  <c r="S77" i="16" s="1"/>
  <c r="R77" i="16" s="1"/>
  <c r="U85" i="16"/>
  <c r="T85" i="16" s="1"/>
  <c r="S85" i="16" s="1"/>
  <c r="R85" i="16" s="1"/>
  <c r="U93" i="16"/>
  <c r="T93" i="16" s="1"/>
  <c r="S93" i="16" s="1"/>
  <c r="R93" i="16" s="1"/>
  <c r="U101" i="16"/>
  <c r="T101" i="16" s="1"/>
  <c r="S101" i="16" s="1"/>
  <c r="R101" i="16" s="1"/>
  <c r="U109" i="16"/>
  <c r="T109" i="16" s="1"/>
  <c r="S109" i="16" s="1"/>
  <c r="R109" i="16" s="1"/>
  <c r="U117" i="16"/>
  <c r="T117" i="16" s="1"/>
  <c r="S117" i="16" s="1"/>
  <c r="R117" i="16" s="1"/>
  <c r="U125" i="16"/>
  <c r="T125" i="16" s="1"/>
  <c r="S125" i="16" s="1"/>
  <c r="R125" i="16" s="1"/>
  <c r="U133" i="16"/>
  <c r="T133" i="16" s="1"/>
  <c r="S133" i="16" s="1"/>
  <c r="R133" i="16" s="1"/>
  <c r="U141" i="16"/>
  <c r="T141" i="16" s="1"/>
  <c r="S141" i="16" s="1"/>
  <c r="R141" i="16" s="1"/>
  <c r="U149" i="16"/>
  <c r="T149" i="16" s="1"/>
  <c r="S149" i="16" s="1"/>
  <c r="R149" i="16" s="1"/>
  <c r="U157" i="16"/>
  <c r="T157" i="16" s="1"/>
  <c r="S157" i="16" s="1"/>
  <c r="R157" i="16" s="1"/>
  <c r="U165" i="16"/>
  <c r="T165" i="16" s="1"/>
  <c r="S165" i="16" s="1"/>
  <c r="R165" i="16" s="1"/>
  <c r="U173" i="16"/>
  <c r="T173" i="16" s="1"/>
  <c r="S173" i="16" s="1"/>
  <c r="R173" i="16" s="1"/>
  <c r="U181" i="16"/>
  <c r="T181" i="16" s="1"/>
  <c r="S181" i="16" s="1"/>
  <c r="R181" i="16" s="1"/>
  <c r="U189" i="16"/>
  <c r="T189" i="16" s="1"/>
  <c r="S189" i="16" s="1"/>
  <c r="R189" i="16" s="1"/>
  <c r="U197" i="16"/>
  <c r="T197" i="16" s="1"/>
  <c r="S197" i="16" s="1"/>
  <c r="R197" i="16" s="1"/>
  <c r="U205" i="16"/>
  <c r="T205" i="16" s="1"/>
  <c r="S205" i="16" s="1"/>
  <c r="R205" i="16" s="1"/>
  <c r="U213" i="16"/>
  <c r="T213" i="16" s="1"/>
  <c r="S213" i="16" s="1"/>
  <c r="R213" i="16" s="1"/>
  <c r="U221" i="16"/>
  <c r="T221" i="16" s="1"/>
  <c r="S221" i="16" s="1"/>
  <c r="R221" i="16" s="1"/>
  <c r="U229" i="16"/>
  <c r="T229" i="16" s="1"/>
  <c r="S229" i="16" s="1"/>
  <c r="R229" i="16" s="1"/>
  <c r="U237" i="16"/>
  <c r="T237" i="16" s="1"/>
  <c r="S237" i="16" s="1"/>
  <c r="R237" i="16" s="1"/>
  <c r="U245" i="16"/>
  <c r="T245" i="16" s="1"/>
  <c r="S245" i="16" s="1"/>
  <c r="R245" i="16" s="1"/>
  <c r="U253" i="16"/>
  <c r="T253" i="16" s="1"/>
  <c r="S253" i="16" s="1"/>
  <c r="R253" i="16" s="1"/>
  <c r="U261" i="16"/>
  <c r="T261" i="16" s="1"/>
  <c r="S261" i="16" s="1"/>
  <c r="R261" i="16" s="1"/>
  <c r="U269" i="16"/>
  <c r="T269" i="16" s="1"/>
  <c r="S269" i="16" s="1"/>
  <c r="R269" i="16" s="1"/>
  <c r="U277" i="16"/>
  <c r="T277" i="16" s="1"/>
  <c r="S277" i="16" s="1"/>
  <c r="R277" i="16" s="1"/>
  <c r="U285" i="16"/>
  <c r="T285" i="16" s="1"/>
  <c r="S285" i="16" s="1"/>
  <c r="R285" i="16" s="1"/>
  <c r="U293" i="16"/>
  <c r="T293" i="16" s="1"/>
  <c r="S293" i="16" s="1"/>
  <c r="R293" i="16" s="1"/>
  <c r="U301" i="16"/>
  <c r="T301" i="16" s="1"/>
  <c r="S301" i="16" s="1"/>
  <c r="R301" i="16" s="1"/>
  <c r="U309" i="16"/>
  <c r="T309" i="16" s="1"/>
  <c r="S309" i="16" s="1"/>
  <c r="R309" i="16" s="1"/>
  <c r="U317" i="16"/>
  <c r="T317" i="16" s="1"/>
  <c r="S317" i="16" s="1"/>
  <c r="R317" i="16" s="1"/>
  <c r="U325" i="16"/>
  <c r="T325" i="16" s="1"/>
  <c r="S325" i="16" s="1"/>
  <c r="R325" i="16" s="1"/>
  <c r="U333" i="16"/>
  <c r="T333" i="16" s="1"/>
  <c r="S333" i="16" s="1"/>
  <c r="R333" i="16" s="1"/>
  <c r="U341" i="16"/>
  <c r="T341" i="16" s="1"/>
  <c r="S341" i="16" s="1"/>
  <c r="R341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U362" i="16"/>
  <c r="T362" i="16" s="1"/>
  <c r="S362" i="16" s="1"/>
  <c r="R362" i="16" s="1"/>
  <c r="U366" i="16"/>
  <c r="T366" i="16" s="1"/>
  <c r="S366" i="16" s="1"/>
  <c r="R366" i="16" s="1"/>
  <c r="U370" i="16"/>
  <c r="T370" i="16" s="1"/>
  <c r="S370" i="16" s="1"/>
  <c r="R370" i="16" s="1"/>
  <c r="AI374" i="16"/>
  <c r="AH374" i="16" s="1"/>
  <c r="AG374" i="16" s="1"/>
  <c r="AF374" i="16" s="1"/>
  <c r="AI375" i="16"/>
  <c r="AH375" i="16" s="1"/>
  <c r="AI16" i="16"/>
  <c r="AH16" i="16" s="1"/>
  <c r="AG16" i="16" s="1"/>
  <c r="AF16" i="16" s="1"/>
  <c r="AI18" i="16"/>
  <c r="AH18" i="16" s="1"/>
  <c r="AG18" i="16" s="1"/>
  <c r="AF18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7" i="16"/>
  <c r="AH17" i="16" s="1"/>
  <c r="AG17" i="16" s="1"/>
  <c r="AF17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I261" i="16"/>
  <c r="AH261" i="16" s="1"/>
  <c r="AG261" i="16" s="1"/>
  <c r="AF261" i="16" s="1"/>
  <c r="AI263" i="16"/>
  <c r="AH263" i="16" s="1"/>
  <c r="AI265" i="16"/>
  <c r="AH265" i="16" s="1"/>
  <c r="AG265" i="16" s="1"/>
  <c r="AF265" i="16" s="1"/>
  <c r="AI267" i="16"/>
  <c r="AH267" i="16" s="1"/>
  <c r="AG267" i="16" s="1"/>
  <c r="AF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G291" i="16" s="1"/>
  <c r="AF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15" i="16"/>
  <c r="AH15" i="16" s="1"/>
  <c r="AG15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AI35" i="16"/>
  <c r="AH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8" i="16"/>
  <c r="AH288" i="16" s="1"/>
  <c r="AG288" i="16" s="1"/>
  <c r="AF288" i="16" s="1"/>
  <c r="AI292" i="16"/>
  <c r="AH292" i="16" s="1"/>
  <c r="AG292" i="16" s="1"/>
  <c r="AF292" i="16" s="1"/>
  <c r="AI296" i="16"/>
  <c r="AH296" i="16" s="1"/>
  <c r="AG296" i="16" s="1"/>
  <c r="AF296" i="16" s="1"/>
  <c r="AI300" i="16"/>
  <c r="AH300" i="16" s="1"/>
  <c r="AG300" i="16" s="1"/>
  <c r="AF300" i="16" s="1"/>
  <c r="AI304" i="16"/>
  <c r="AH304" i="16" s="1"/>
  <c r="AG304" i="16" s="1"/>
  <c r="AF304" i="16" s="1"/>
  <c r="AI308" i="16"/>
  <c r="AH308" i="16" s="1"/>
  <c r="AG308" i="16" s="1"/>
  <c r="AF308" i="16" s="1"/>
  <c r="AI312" i="16"/>
  <c r="AH312" i="16" s="1"/>
  <c r="AG312" i="16" s="1"/>
  <c r="AF312" i="16" s="1"/>
  <c r="AI316" i="16"/>
  <c r="AH316" i="16" s="1"/>
  <c r="AG316" i="16" s="1"/>
  <c r="AF316" i="16" s="1"/>
  <c r="AI320" i="16"/>
  <c r="AH320" i="16" s="1"/>
  <c r="AG320" i="16" s="1"/>
  <c r="AF320" i="16" s="1"/>
  <c r="AI324" i="16"/>
  <c r="AH324" i="16" s="1"/>
  <c r="AG324" i="16" s="1"/>
  <c r="AF324" i="16" s="1"/>
  <c r="AI328" i="16"/>
  <c r="AH328" i="16" s="1"/>
  <c r="AG328" i="16" s="1"/>
  <c r="AF328" i="16" s="1"/>
  <c r="AI332" i="16"/>
  <c r="AH332" i="16" s="1"/>
  <c r="AG332" i="16" s="1"/>
  <c r="AF332" i="16" s="1"/>
  <c r="AI336" i="16"/>
  <c r="AH336" i="16" s="1"/>
  <c r="AG336" i="16" s="1"/>
  <c r="AF336" i="16" s="1"/>
  <c r="AI340" i="16"/>
  <c r="AH340" i="16" s="1"/>
  <c r="AG340" i="16" s="1"/>
  <c r="AF340" i="16" s="1"/>
  <c r="AI344" i="16"/>
  <c r="AH344" i="16" s="1"/>
  <c r="AG344" i="16" s="1"/>
  <c r="AF344" i="16" s="1"/>
  <c r="AI348" i="16"/>
  <c r="AH348" i="16" s="1"/>
  <c r="AG348" i="16" s="1"/>
  <c r="AF348" i="16" s="1"/>
  <c r="AI352" i="16"/>
  <c r="AH352" i="16" s="1"/>
  <c r="AG352" i="16" s="1"/>
  <c r="AF352" i="16" s="1"/>
  <c r="AI356" i="16"/>
  <c r="AH356" i="16" s="1"/>
  <c r="AG356" i="16" s="1"/>
  <c r="AF356" i="16" s="1"/>
  <c r="AI360" i="16"/>
  <c r="AH360" i="16" s="1"/>
  <c r="AG360" i="16" s="1"/>
  <c r="AF360" i="16" s="1"/>
  <c r="AI364" i="16"/>
  <c r="AH364" i="16" s="1"/>
  <c r="AG364" i="16" s="1"/>
  <c r="AF364" i="16" s="1"/>
  <c r="AI368" i="16"/>
  <c r="AH368" i="16" s="1"/>
  <c r="AG368" i="16" s="1"/>
  <c r="AF368" i="16" s="1"/>
  <c r="AI372" i="16"/>
  <c r="AH372" i="16" s="1"/>
  <c r="AG372" i="16" s="1"/>
  <c r="AF372" i="16" s="1"/>
  <c r="AI286" i="16"/>
  <c r="AH286" i="16" s="1"/>
  <c r="AG286" i="16" s="1"/>
  <c r="AF286" i="16" s="1"/>
  <c r="AI290" i="16"/>
  <c r="AH290" i="16" s="1"/>
  <c r="AG290" i="16" s="1"/>
  <c r="AF290" i="16" s="1"/>
  <c r="AI294" i="16"/>
  <c r="AH294" i="16" s="1"/>
  <c r="AG294" i="16" s="1"/>
  <c r="AF294" i="16" s="1"/>
  <c r="AI298" i="16"/>
  <c r="AH298" i="16" s="1"/>
  <c r="AG298" i="16" s="1"/>
  <c r="AF298" i="16" s="1"/>
  <c r="AI302" i="16"/>
  <c r="AH302" i="16" s="1"/>
  <c r="AG302" i="16" s="1"/>
  <c r="AF302" i="16" s="1"/>
  <c r="AI306" i="16"/>
  <c r="AH306" i="16" s="1"/>
  <c r="AG306" i="16" s="1"/>
  <c r="AF306" i="16" s="1"/>
  <c r="AI310" i="16"/>
  <c r="AH310" i="16" s="1"/>
  <c r="AG310" i="16" s="1"/>
  <c r="AF310" i="16" s="1"/>
  <c r="AI314" i="16"/>
  <c r="AH314" i="16" s="1"/>
  <c r="AG314" i="16" s="1"/>
  <c r="AF314" i="16" s="1"/>
  <c r="AI318" i="16"/>
  <c r="AH318" i="16" s="1"/>
  <c r="AG318" i="16" s="1"/>
  <c r="AF318" i="16" s="1"/>
  <c r="AI322" i="16"/>
  <c r="AH322" i="16" s="1"/>
  <c r="AG322" i="16" s="1"/>
  <c r="AF322" i="16" s="1"/>
  <c r="AI326" i="16"/>
  <c r="AH326" i="16" s="1"/>
  <c r="AG326" i="16" s="1"/>
  <c r="AF326" i="16" s="1"/>
  <c r="AI330" i="16"/>
  <c r="AH330" i="16" s="1"/>
  <c r="AG330" i="16" s="1"/>
  <c r="AF330" i="16" s="1"/>
  <c r="AI334" i="16"/>
  <c r="AH334" i="16" s="1"/>
  <c r="AG334" i="16" s="1"/>
  <c r="AF334" i="16" s="1"/>
  <c r="AI338" i="16"/>
  <c r="AH338" i="16" s="1"/>
  <c r="AG338" i="16" s="1"/>
  <c r="AF338" i="16" s="1"/>
  <c r="AI342" i="16"/>
  <c r="AH342" i="16" s="1"/>
  <c r="AG342" i="16" s="1"/>
  <c r="AF342" i="16" s="1"/>
  <c r="AI346" i="16"/>
  <c r="AH346" i="16" s="1"/>
  <c r="AG346" i="16" s="1"/>
  <c r="AF346" i="16" s="1"/>
  <c r="AI350" i="16"/>
  <c r="AH350" i="16" s="1"/>
  <c r="AG350" i="16" s="1"/>
  <c r="AF350" i="16" s="1"/>
  <c r="AI354" i="16"/>
  <c r="AH354" i="16" s="1"/>
  <c r="AG354" i="16" s="1"/>
  <c r="AF354" i="16" s="1"/>
  <c r="AI358" i="16"/>
  <c r="AH358" i="16" s="1"/>
  <c r="AG358" i="16" s="1"/>
  <c r="AF358" i="16" s="1"/>
  <c r="AI362" i="16"/>
  <c r="AH362" i="16" s="1"/>
  <c r="AG362" i="16" s="1"/>
  <c r="AF362" i="16" s="1"/>
  <c r="AI366" i="16"/>
  <c r="AH366" i="16" s="1"/>
  <c r="AG366" i="16" s="1"/>
  <c r="AF366" i="16" s="1"/>
  <c r="AI370" i="16"/>
  <c r="AH370" i="16" s="1"/>
  <c r="AG370" i="16" s="1"/>
  <c r="AF370" i="16" s="1"/>
  <c r="AA326" i="15"/>
  <c r="Z326" i="15" s="1"/>
  <c r="Y326" i="15" s="1"/>
  <c r="V19" i="15"/>
  <c r="F19" i="15" s="1"/>
  <c r="G377" i="15"/>
  <c r="BX377" i="6" s="1"/>
  <c r="AA377" i="15"/>
  <c r="Z377" i="15" s="1"/>
  <c r="Y377" i="15" s="1"/>
  <c r="H377" i="15"/>
  <c r="G369" i="15"/>
  <c r="BX369" i="6" s="1"/>
  <c r="AA369" i="15"/>
  <c r="Z369" i="15" s="1"/>
  <c r="Y369" i="15" s="1"/>
  <c r="H369" i="15"/>
  <c r="V361" i="15"/>
  <c r="F361" i="15" s="1"/>
  <c r="G22" i="15"/>
  <c r="BX22" i="6" s="1"/>
  <c r="AA22" i="15"/>
  <c r="Z22" i="15" s="1"/>
  <c r="Y22" i="15" s="1"/>
  <c r="H22" i="15"/>
  <c r="V21" i="15"/>
  <c r="F21" i="15" s="1"/>
  <c r="AA373" i="15"/>
  <c r="Z373" i="15" s="1"/>
  <c r="Y373" i="15" s="1"/>
  <c r="G373" i="15"/>
  <c r="BX373" i="6" s="1"/>
  <c r="H373" i="15"/>
  <c r="AA365" i="15"/>
  <c r="Z365" i="15" s="1"/>
  <c r="Y365" i="15" s="1"/>
  <c r="G365" i="15"/>
  <c r="BX365" i="6" s="1"/>
  <c r="H365" i="15"/>
  <c r="AA357" i="15"/>
  <c r="Z357" i="15" s="1"/>
  <c r="Y357" i="15" s="1"/>
  <c r="H357" i="15"/>
  <c r="G357" i="15"/>
  <c r="BX357" i="6" s="1"/>
  <c r="AG375" i="16"/>
  <c r="AF375" i="16" s="1"/>
  <c r="AH376" i="16"/>
  <c r="V20" i="15"/>
  <c r="F20" i="15" s="1"/>
  <c r="AA374" i="15"/>
  <c r="Z374" i="15" s="1"/>
  <c r="Y374" i="15" s="1"/>
  <c r="G374" i="15"/>
  <c r="BX374" i="6" s="1"/>
  <c r="H374" i="15"/>
  <c r="V370" i="15"/>
  <c r="F370" i="15" s="1"/>
  <c r="V368" i="15"/>
  <c r="F368" i="15" s="1"/>
  <c r="V364" i="15"/>
  <c r="F364" i="15" s="1"/>
  <c r="V360" i="15"/>
  <c r="F360" i="15" s="1"/>
  <c r="G356" i="15"/>
  <c r="BX356" i="6" s="1"/>
  <c r="AA356" i="15"/>
  <c r="Z356" i="15" s="1"/>
  <c r="Y356" i="15" s="1"/>
  <c r="H356" i="15"/>
  <c r="G350" i="15"/>
  <c r="BX350" i="6" s="1"/>
  <c r="AA350" i="15"/>
  <c r="Z350" i="15" s="1"/>
  <c r="Y350" i="15" s="1"/>
  <c r="H350" i="15"/>
  <c r="G346" i="15"/>
  <c r="BX346" i="6" s="1"/>
  <c r="AA346" i="15"/>
  <c r="Z346" i="15" s="1"/>
  <c r="Y346" i="15" s="1"/>
  <c r="H346" i="15"/>
  <c r="G342" i="15"/>
  <c r="BX342" i="6" s="1"/>
  <c r="AA342" i="15"/>
  <c r="Z342" i="15" s="1"/>
  <c r="Y342" i="15" s="1"/>
  <c r="H342" i="15"/>
  <c r="G338" i="15"/>
  <c r="BX338" i="6" s="1"/>
  <c r="AA338" i="15"/>
  <c r="Z338" i="15" s="1"/>
  <c r="Y338" i="15" s="1"/>
  <c r="H338" i="15"/>
  <c r="G334" i="15"/>
  <c r="BX334" i="6" s="1"/>
  <c r="AA334" i="15"/>
  <c r="Z334" i="15" s="1"/>
  <c r="Y334" i="15" s="1"/>
  <c r="H334" i="15"/>
  <c r="V332" i="15"/>
  <c r="F332" i="15" s="1"/>
  <c r="V328" i="15"/>
  <c r="F328" i="15" s="1"/>
  <c r="G324" i="15"/>
  <c r="BX324" i="6" s="1"/>
  <c r="AA324" i="15"/>
  <c r="Z324" i="15" s="1"/>
  <c r="Y324" i="15" s="1"/>
  <c r="H324" i="15"/>
  <c r="G320" i="15"/>
  <c r="BX320" i="6" s="1"/>
  <c r="AA320" i="15"/>
  <c r="Z320" i="15" s="1"/>
  <c r="Y320" i="15" s="1"/>
  <c r="H320" i="15"/>
  <c r="AA314" i="15"/>
  <c r="Z314" i="15" s="1"/>
  <c r="Y314" i="15" s="1"/>
  <c r="G314" i="15"/>
  <c r="BX314" i="6" s="1"/>
  <c r="H314" i="15"/>
  <c r="V310" i="15"/>
  <c r="F310" i="15" s="1"/>
  <c r="AA306" i="15"/>
  <c r="Z306" i="15" s="1"/>
  <c r="Y306" i="15" s="1"/>
  <c r="G306" i="15"/>
  <c r="BX306" i="6" s="1"/>
  <c r="H306" i="15"/>
  <c r="D41" i="7"/>
  <c r="V302" i="15"/>
  <c r="F302" i="15" s="1"/>
  <c r="V286" i="15"/>
  <c r="F286" i="15" s="1"/>
  <c r="D376" i="16"/>
  <c r="E376" i="16" s="1"/>
  <c r="S383" i="15"/>
  <c r="S382" i="15"/>
  <c r="S381" i="15"/>
  <c r="R15" i="15"/>
  <c r="S19" i="16"/>
  <c r="R19" i="16" s="1"/>
  <c r="S83" i="16"/>
  <c r="R83" i="16" s="1"/>
  <c r="S147" i="16"/>
  <c r="R147" i="16" s="1"/>
  <c r="S211" i="16"/>
  <c r="R211" i="16" s="1"/>
  <c r="S275" i="16"/>
  <c r="R275" i="16" s="1"/>
  <c r="S339" i="16"/>
  <c r="R339" i="16" s="1"/>
  <c r="AG381" i="15"/>
  <c r="AG383" i="15"/>
  <c r="AG382" i="15"/>
  <c r="AF15" i="15"/>
  <c r="AG48" i="16"/>
  <c r="AF48" i="16" s="1"/>
  <c r="AB378" i="17"/>
  <c r="AJ378" i="17"/>
  <c r="L378" i="17"/>
  <c r="AK378" i="17"/>
  <c r="K378" i="17"/>
  <c r="A379" i="17"/>
  <c r="X378" i="17"/>
  <c r="O378" i="17"/>
  <c r="AC378" i="17"/>
  <c r="L373" i="25"/>
  <c r="X373" i="25"/>
  <c r="AJ373" i="25"/>
  <c r="A374" i="25"/>
  <c r="K373" i="25"/>
  <c r="AB373" i="25"/>
  <c r="AK373" i="25"/>
  <c r="AC373" i="25"/>
  <c r="O373" i="25"/>
  <c r="X375" i="23"/>
  <c r="K375" i="23"/>
  <c r="AJ375" i="23"/>
  <c r="A376" i="23"/>
  <c r="L375" i="23"/>
  <c r="AB375" i="23"/>
  <c r="AK375" i="23"/>
  <c r="AC375" i="23"/>
  <c r="O375" i="23"/>
  <c r="L377" i="16"/>
  <c r="A378" i="16"/>
  <c r="K377" i="16"/>
  <c r="AK377" i="16"/>
  <c r="AI377" i="16"/>
  <c r="X377" i="16"/>
  <c r="AB377" i="16"/>
  <c r="AJ377" i="16"/>
  <c r="U377" i="16"/>
  <c r="AC377" i="16"/>
  <c r="O377" i="16"/>
  <c r="X377" i="20"/>
  <c r="L377" i="20"/>
  <c r="AB377" i="20"/>
  <c r="AK377" i="20"/>
  <c r="K377" i="20"/>
  <c r="A378" i="20"/>
  <c r="AJ377" i="20"/>
  <c r="AC377" i="20"/>
  <c r="O377" i="20"/>
  <c r="X374" i="24"/>
  <c r="A375" i="24"/>
  <c r="K374" i="24"/>
  <c r="AK374" i="24"/>
  <c r="L374" i="24"/>
  <c r="AB374" i="24"/>
  <c r="AJ374" i="24"/>
  <c r="AC374" i="24"/>
  <c r="O374" i="24"/>
  <c r="V378" i="15"/>
  <c r="F378" i="15" s="1"/>
  <c r="V376" i="15"/>
  <c r="F376" i="15" s="1"/>
  <c r="V372" i="15"/>
  <c r="F372" i="15" s="1"/>
  <c r="AA366" i="15"/>
  <c r="Z366" i="15" s="1"/>
  <c r="Y366" i="15" s="1"/>
  <c r="G366" i="15"/>
  <c r="BX366" i="6" s="1"/>
  <c r="H366" i="15"/>
  <c r="V362" i="15"/>
  <c r="F362" i="15" s="1"/>
  <c r="V358" i="15"/>
  <c r="F358" i="15" s="1"/>
  <c r="AA354" i="15"/>
  <c r="Z354" i="15" s="1"/>
  <c r="Y354" i="15" s="1"/>
  <c r="G354" i="15"/>
  <c r="BX354" i="6" s="1"/>
  <c r="H354" i="15"/>
  <c r="V352" i="15"/>
  <c r="F352" i="15" s="1"/>
  <c r="AA348" i="15"/>
  <c r="Z348" i="15" s="1"/>
  <c r="Y348" i="15" s="1"/>
  <c r="G348" i="15"/>
  <c r="BX348" i="6" s="1"/>
  <c r="H348" i="15"/>
  <c r="AA344" i="15"/>
  <c r="Z344" i="15" s="1"/>
  <c r="Y344" i="15" s="1"/>
  <c r="H344" i="15"/>
  <c r="G344" i="15"/>
  <c r="BX344" i="6" s="1"/>
  <c r="AA340" i="15"/>
  <c r="Z340" i="15" s="1"/>
  <c r="Y340" i="15" s="1"/>
  <c r="G340" i="15"/>
  <c r="BX340" i="6" s="1"/>
  <c r="H340" i="15"/>
  <c r="AA336" i="15"/>
  <c r="Z336" i="15" s="1"/>
  <c r="Y336" i="15" s="1"/>
  <c r="G336" i="15"/>
  <c r="BX336" i="6" s="1"/>
  <c r="H336" i="15"/>
  <c r="AA330" i="15"/>
  <c r="Z330" i="15" s="1"/>
  <c r="Y330" i="15" s="1"/>
  <c r="G330" i="15"/>
  <c r="BX330" i="6" s="1"/>
  <c r="H330" i="15"/>
  <c r="G326" i="15"/>
  <c r="BX326" i="6" s="1"/>
  <c r="H326" i="15"/>
  <c r="G322" i="15"/>
  <c r="BX322" i="6" s="1"/>
  <c r="H322" i="15"/>
  <c r="AA322" i="15"/>
  <c r="Z322" i="15" s="1"/>
  <c r="Y322" i="15" s="1"/>
  <c r="G318" i="15"/>
  <c r="BX318" i="6" s="1"/>
  <c r="AA318" i="15"/>
  <c r="Z318" i="15" s="1"/>
  <c r="Y318" i="15" s="1"/>
  <c r="H318" i="15"/>
  <c r="V316" i="15"/>
  <c r="F316" i="15" s="1"/>
  <c r="V312" i="15"/>
  <c r="F312" i="15" s="1"/>
  <c r="V308" i="15"/>
  <c r="F308" i="15" s="1"/>
  <c r="AA304" i="15"/>
  <c r="Z304" i="15" s="1"/>
  <c r="Y304" i="15" s="1"/>
  <c r="G304" i="15"/>
  <c r="BX304" i="6" s="1"/>
  <c r="H304" i="15"/>
  <c r="V300" i="15"/>
  <c r="F300" i="15" s="1"/>
  <c r="G298" i="15"/>
  <c r="BX298" i="6" s="1"/>
  <c r="AA298" i="15"/>
  <c r="Z298" i="15" s="1"/>
  <c r="Y298" i="15" s="1"/>
  <c r="H298" i="15"/>
  <c r="V296" i="15"/>
  <c r="F296" i="15" s="1"/>
  <c r="G294" i="15"/>
  <c r="BX294" i="6" s="1"/>
  <c r="AA294" i="15"/>
  <c r="Z294" i="15" s="1"/>
  <c r="Y294" i="15" s="1"/>
  <c r="H294" i="15"/>
  <c r="V292" i="15"/>
  <c r="F292" i="15" s="1"/>
  <c r="AA290" i="15"/>
  <c r="Z290" i="15" s="1"/>
  <c r="Y290" i="15" s="1"/>
  <c r="G290" i="15"/>
  <c r="BX290" i="6" s="1"/>
  <c r="H290" i="15"/>
  <c r="V288" i="15"/>
  <c r="G284" i="15"/>
  <c r="BX284" i="6" s="1"/>
  <c r="AA284" i="15"/>
  <c r="Z284" i="15" s="1"/>
  <c r="Y284" i="15" s="1"/>
  <c r="H284" i="15"/>
  <c r="V282" i="15"/>
  <c r="F282" i="15" s="1"/>
  <c r="V280" i="15"/>
  <c r="F280" i="15" s="1"/>
  <c r="V278" i="15"/>
  <c r="F278" i="15" s="1"/>
  <c r="AA276" i="15"/>
  <c r="Z276" i="15" s="1"/>
  <c r="Y276" i="15" s="1"/>
  <c r="G276" i="15"/>
  <c r="BX276" i="6" s="1"/>
  <c r="H276" i="15"/>
  <c r="V274" i="15"/>
  <c r="F274" i="15" s="1"/>
  <c r="D40" i="7"/>
  <c r="V272" i="15"/>
  <c r="F272" i="15" s="1"/>
  <c r="G270" i="15"/>
  <c r="BX270" i="6" s="1"/>
  <c r="AA270" i="15"/>
  <c r="Z270" i="15" s="1"/>
  <c r="Y270" i="15" s="1"/>
  <c r="H270" i="15"/>
  <c r="G268" i="15"/>
  <c r="BX268" i="6" s="1"/>
  <c r="AA268" i="15"/>
  <c r="Z268" i="15" s="1"/>
  <c r="Y268" i="15" s="1"/>
  <c r="H268" i="15"/>
  <c r="V266" i="15"/>
  <c r="F266" i="15" s="1"/>
  <c r="G264" i="15"/>
  <c r="BX264" i="6" s="1"/>
  <c r="AA264" i="15"/>
  <c r="Z264" i="15" s="1"/>
  <c r="Y264" i="15" s="1"/>
  <c r="H264" i="15"/>
  <c r="V262" i="15"/>
  <c r="F262" i="15" s="1"/>
  <c r="V260" i="15"/>
  <c r="F260" i="15" s="1"/>
  <c r="F258" i="15"/>
  <c r="G256" i="15"/>
  <c r="BX256" i="6" s="1"/>
  <c r="AA256" i="15"/>
  <c r="Z256" i="15" s="1"/>
  <c r="Y256" i="15" s="1"/>
  <c r="H256" i="15"/>
  <c r="G254" i="15"/>
  <c r="BX254" i="6" s="1"/>
  <c r="AA254" i="15"/>
  <c r="Z254" i="15" s="1"/>
  <c r="Y254" i="15" s="1"/>
  <c r="H254" i="15"/>
  <c r="G252" i="15"/>
  <c r="BX252" i="6" s="1"/>
  <c r="AA252" i="15"/>
  <c r="Z252" i="15" s="1"/>
  <c r="Y252" i="15" s="1"/>
  <c r="H252" i="15"/>
  <c r="G250" i="15"/>
  <c r="BX250" i="6" s="1"/>
  <c r="AA250" i="15"/>
  <c r="Z250" i="15" s="1"/>
  <c r="Y250" i="15" s="1"/>
  <c r="H250" i="15"/>
  <c r="G248" i="15"/>
  <c r="BX248" i="6" s="1"/>
  <c r="AA248" i="15"/>
  <c r="Z248" i="15" s="1"/>
  <c r="Y248" i="15" s="1"/>
  <c r="H248" i="15"/>
  <c r="V246" i="15"/>
  <c r="F246" i="15" s="1"/>
  <c r="G244" i="15"/>
  <c r="BX244" i="6" s="1"/>
  <c r="AA244" i="15"/>
  <c r="Z244" i="15" s="1"/>
  <c r="Y244" i="15" s="1"/>
  <c r="H244" i="15"/>
  <c r="AA242" i="15"/>
  <c r="Z242" i="15" s="1"/>
  <c r="Y242" i="15" s="1"/>
  <c r="G242" i="15"/>
  <c r="BX242" i="6" s="1"/>
  <c r="H242" i="15"/>
  <c r="V240" i="15"/>
  <c r="F240" i="15" s="1"/>
  <c r="AA238" i="15"/>
  <c r="Z238" i="15" s="1"/>
  <c r="Y238" i="15" s="1"/>
  <c r="G238" i="15"/>
  <c r="BX238" i="6" s="1"/>
  <c r="H238" i="15"/>
  <c r="V236" i="15"/>
  <c r="F236" i="15" s="1"/>
  <c r="V234" i="15"/>
  <c r="F234" i="15" s="1"/>
  <c r="AA232" i="15"/>
  <c r="Z232" i="15" s="1"/>
  <c r="Y232" i="15" s="1"/>
  <c r="G232" i="15"/>
  <c r="BX232" i="6" s="1"/>
  <c r="H232" i="15"/>
  <c r="G230" i="15"/>
  <c r="BX230" i="6" s="1"/>
  <c r="H230" i="15"/>
  <c r="AA230" i="15"/>
  <c r="Z230" i="15" s="1"/>
  <c r="Y230" i="15" s="1"/>
  <c r="V228" i="15"/>
  <c r="F228" i="15" s="1"/>
  <c r="H226" i="15"/>
  <c r="AA226" i="15"/>
  <c r="Z226" i="15" s="1"/>
  <c r="Y226" i="15" s="1"/>
  <c r="G226" i="15"/>
  <c r="BX226" i="6" s="1"/>
  <c r="AA224" i="15"/>
  <c r="Z224" i="15" s="1"/>
  <c r="Y224" i="15" s="1"/>
  <c r="H224" i="15"/>
  <c r="G224" i="15"/>
  <c r="BX224" i="6" s="1"/>
  <c r="G222" i="15"/>
  <c r="BX222" i="6" s="1"/>
  <c r="H222" i="15"/>
  <c r="AA222" i="15"/>
  <c r="Z222" i="15" s="1"/>
  <c r="Y222" i="15" s="1"/>
  <c r="H220" i="15"/>
  <c r="G220" i="15"/>
  <c r="BX220" i="6" s="1"/>
  <c r="AA220" i="15"/>
  <c r="Z220" i="15" s="1"/>
  <c r="Y220" i="15" s="1"/>
  <c r="V218" i="15"/>
  <c r="F218" i="15" s="1"/>
  <c r="V216" i="15"/>
  <c r="F216" i="15" s="1"/>
  <c r="H214" i="15"/>
  <c r="AA214" i="15"/>
  <c r="Z214" i="15" s="1"/>
  <c r="Y214" i="15" s="1"/>
  <c r="G214" i="15"/>
  <c r="BX214" i="6" s="1"/>
  <c r="AA212" i="15"/>
  <c r="Z212" i="15" s="1"/>
  <c r="Y212" i="15" s="1"/>
  <c r="H212" i="15"/>
  <c r="G212" i="15"/>
  <c r="BX212" i="6" s="1"/>
  <c r="D38" i="7"/>
  <c r="V210" i="15"/>
  <c r="F210" i="15" s="1"/>
  <c r="AA208" i="15"/>
  <c r="Z208" i="15" s="1"/>
  <c r="Y208" i="15" s="1"/>
  <c r="G208" i="15"/>
  <c r="BX208" i="6" s="1"/>
  <c r="H208" i="15"/>
  <c r="V206" i="15"/>
  <c r="F206" i="15" s="1"/>
  <c r="V204" i="15"/>
  <c r="F204" i="15" s="1"/>
  <c r="AA202" i="15"/>
  <c r="Z202" i="15" s="1"/>
  <c r="Y202" i="15" s="1"/>
  <c r="H202" i="15"/>
  <c r="G202" i="15"/>
  <c r="BX202" i="6" s="1"/>
  <c r="V200" i="15"/>
  <c r="F200" i="15" s="1"/>
  <c r="AA198" i="15"/>
  <c r="Z198" i="15" s="1"/>
  <c r="Y198" i="15" s="1"/>
  <c r="G198" i="15"/>
  <c r="BX198" i="6" s="1"/>
  <c r="H198" i="15"/>
  <c r="V196" i="15"/>
  <c r="F196" i="15" s="1"/>
  <c r="H194" i="15"/>
  <c r="AA194" i="15"/>
  <c r="Z194" i="15" s="1"/>
  <c r="Y194" i="15" s="1"/>
  <c r="G194" i="15"/>
  <c r="BX194" i="6" s="1"/>
  <c r="H192" i="15"/>
  <c r="AA192" i="15"/>
  <c r="Z192" i="15" s="1"/>
  <c r="Y192" i="15" s="1"/>
  <c r="G192" i="15"/>
  <c r="BX192" i="6" s="1"/>
  <c r="H190" i="15"/>
  <c r="G190" i="15"/>
  <c r="BX190" i="6" s="1"/>
  <c r="AA190" i="15"/>
  <c r="Z190" i="15" s="1"/>
  <c r="Y190" i="15" s="1"/>
  <c r="V188" i="15"/>
  <c r="F188" i="15" s="1"/>
  <c r="V186" i="15"/>
  <c r="F186" i="15" s="1"/>
  <c r="V184" i="15"/>
  <c r="F184" i="15" s="1"/>
  <c r="H182" i="15"/>
  <c r="AA182" i="15"/>
  <c r="Z182" i="15" s="1"/>
  <c r="Y182" i="15" s="1"/>
  <c r="G182" i="15"/>
  <c r="BX182" i="6" s="1"/>
  <c r="D37" i="7"/>
  <c r="V180" i="15"/>
  <c r="F180" i="15" s="1"/>
  <c r="V178" i="15"/>
  <c r="F178" i="15" s="1"/>
  <c r="G176" i="15"/>
  <c r="BX176" i="6" s="1"/>
  <c r="H176" i="15"/>
  <c r="AA176" i="15"/>
  <c r="Z176" i="15" s="1"/>
  <c r="Y176" i="15" s="1"/>
  <c r="V174" i="15"/>
  <c r="F174" i="15" s="1"/>
  <c r="G172" i="15"/>
  <c r="BX172" i="6" s="1"/>
  <c r="H172" i="15"/>
  <c r="AA172" i="15"/>
  <c r="Z172" i="15" s="1"/>
  <c r="Y172" i="15" s="1"/>
  <c r="V170" i="15"/>
  <c r="F170" i="15" s="1"/>
  <c r="AA168" i="15"/>
  <c r="Z168" i="15" s="1"/>
  <c r="Y168" i="15" s="1"/>
  <c r="H168" i="15"/>
  <c r="G168" i="15"/>
  <c r="BX168" i="6" s="1"/>
  <c r="F166" i="15"/>
  <c r="V164" i="15"/>
  <c r="F164" i="15" s="1"/>
  <c r="V162" i="15"/>
  <c r="F162" i="15" s="1"/>
  <c r="V160" i="15"/>
  <c r="F160" i="15" s="1"/>
  <c r="V158" i="15"/>
  <c r="F158" i="15" s="1"/>
  <c r="V156" i="15"/>
  <c r="F156" i="15" s="1"/>
  <c r="V154" i="15"/>
  <c r="F154" i="15" s="1"/>
  <c r="V152" i="15"/>
  <c r="F152" i="15" s="1"/>
  <c r="H150" i="15"/>
  <c r="G150" i="15"/>
  <c r="BX150" i="6" s="1"/>
  <c r="AA150" i="15"/>
  <c r="Z150" i="15" s="1"/>
  <c r="Y150" i="15" s="1"/>
  <c r="V148" i="15"/>
  <c r="F148" i="15" s="1"/>
  <c r="AA146" i="15"/>
  <c r="Z146" i="15" s="1"/>
  <c r="Y146" i="15" s="1"/>
  <c r="G146" i="15"/>
  <c r="BX146" i="6" s="1"/>
  <c r="H146" i="15"/>
  <c r="V144" i="15"/>
  <c r="F144" i="15" s="1"/>
  <c r="V142" i="15"/>
  <c r="F142" i="15" s="1"/>
  <c r="V140" i="15"/>
  <c r="F140" i="15" s="1"/>
  <c r="V138" i="15"/>
  <c r="F138" i="15" s="1"/>
  <c r="V136" i="15"/>
  <c r="F136" i="15" s="1"/>
  <c r="V134" i="15"/>
  <c r="F134" i="15" s="1"/>
  <c r="V132" i="15"/>
  <c r="F132" i="15" s="1"/>
  <c r="AA130" i="15"/>
  <c r="Z130" i="15" s="1"/>
  <c r="Y130" i="15" s="1"/>
  <c r="H130" i="15"/>
  <c r="G130" i="15"/>
  <c r="BX130" i="6" s="1"/>
  <c r="H128" i="15"/>
  <c r="G128" i="15"/>
  <c r="BX128" i="6" s="1"/>
  <c r="AA128" i="15"/>
  <c r="Z128" i="15" s="1"/>
  <c r="Y128" i="15" s="1"/>
  <c r="V126" i="15"/>
  <c r="F126" i="15" s="1"/>
  <c r="H124" i="15"/>
  <c r="AA124" i="15"/>
  <c r="Z124" i="15" s="1"/>
  <c r="Y124" i="15" s="1"/>
  <c r="G124" i="15"/>
  <c r="BX124" i="6" s="1"/>
  <c r="AA122" i="15"/>
  <c r="Z122" i="15" s="1"/>
  <c r="Y122" i="15" s="1"/>
  <c r="H122" i="15"/>
  <c r="G122" i="15"/>
  <c r="BX122" i="6" s="1"/>
  <c r="V120" i="15"/>
  <c r="F120" i="15" s="1"/>
  <c r="V118" i="15"/>
  <c r="F118" i="15" s="1"/>
  <c r="H116" i="15"/>
  <c r="AA116" i="15"/>
  <c r="Z116" i="15" s="1"/>
  <c r="Y116" i="15" s="1"/>
  <c r="G116" i="15"/>
  <c r="BX116" i="6" s="1"/>
  <c r="G114" i="15"/>
  <c r="BX114" i="6" s="1"/>
  <c r="AA114" i="15"/>
  <c r="Z114" i="15" s="1"/>
  <c r="Y114" i="15" s="1"/>
  <c r="H114" i="15"/>
  <c r="V112" i="15"/>
  <c r="F112" i="15" s="1"/>
  <c r="H110" i="15"/>
  <c r="G110" i="15"/>
  <c r="BX110" i="6" s="1"/>
  <c r="AA110" i="15"/>
  <c r="Z110" i="15" s="1"/>
  <c r="Y110" i="15" s="1"/>
  <c r="V108" i="15"/>
  <c r="F108" i="15" s="1"/>
  <c r="AA106" i="15"/>
  <c r="Z106" i="15" s="1"/>
  <c r="Y106" i="15" s="1"/>
  <c r="G106" i="15"/>
  <c r="BX106" i="6" s="1"/>
  <c r="H106" i="15"/>
  <c r="V104" i="15"/>
  <c r="F104" i="15" s="1"/>
  <c r="G102" i="15"/>
  <c r="BX102" i="6" s="1"/>
  <c r="AA102" i="15"/>
  <c r="Z102" i="15" s="1"/>
  <c r="Y102" i="15" s="1"/>
  <c r="H102" i="15"/>
  <c r="V100" i="15"/>
  <c r="F100" i="15" s="1"/>
  <c r="V98" i="15"/>
  <c r="F98" i="15" s="1"/>
  <c r="V96" i="15"/>
  <c r="F96" i="15" s="1"/>
  <c r="AA94" i="15"/>
  <c r="Z94" i="15" s="1"/>
  <c r="Y94" i="15" s="1"/>
  <c r="G94" i="15"/>
  <c r="BX94" i="6" s="1"/>
  <c r="H94" i="15"/>
  <c r="V92" i="15"/>
  <c r="F92" i="15" s="1"/>
  <c r="H90" i="15"/>
  <c r="AA90" i="15"/>
  <c r="Z90" i="15" s="1"/>
  <c r="Y90" i="15" s="1"/>
  <c r="G90" i="15"/>
  <c r="BX90" i="6" s="1"/>
  <c r="V88" i="15"/>
  <c r="F88" i="15" s="1"/>
  <c r="D34" i="7"/>
  <c r="G86" i="15"/>
  <c r="BX86" i="6" s="1"/>
  <c r="AA86" i="15"/>
  <c r="Z86" i="15" s="1"/>
  <c r="Y86" i="15" s="1"/>
  <c r="H86" i="15"/>
  <c r="V84" i="15"/>
  <c r="F84" i="15" s="1"/>
  <c r="G82" i="15"/>
  <c r="BX82" i="6" s="1"/>
  <c r="AA82" i="15"/>
  <c r="Z82" i="15" s="1"/>
  <c r="Y82" i="15" s="1"/>
  <c r="H82" i="15"/>
  <c r="V80" i="15"/>
  <c r="F80" i="15" s="1"/>
  <c r="V78" i="15"/>
  <c r="F78" i="15" s="1"/>
  <c r="G76" i="15"/>
  <c r="BX76" i="6" s="1"/>
  <c r="H76" i="15"/>
  <c r="AA76" i="15"/>
  <c r="Z76" i="15" s="1"/>
  <c r="Y76" i="15" s="1"/>
  <c r="V74" i="15"/>
  <c r="AA72" i="15"/>
  <c r="Z72" i="15" s="1"/>
  <c r="Y72" i="15" s="1"/>
  <c r="G72" i="15"/>
  <c r="BX72" i="6" s="1"/>
  <c r="H72" i="15"/>
  <c r="V70" i="15"/>
  <c r="F70" i="15" s="1"/>
  <c r="G68" i="15"/>
  <c r="BX68" i="6" s="1"/>
  <c r="AA68" i="15"/>
  <c r="Z68" i="15" s="1"/>
  <c r="Y68" i="15" s="1"/>
  <c r="H68" i="15"/>
  <c r="V66" i="15"/>
  <c r="F66" i="15" s="1"/>
  <c r="V64" i="15"/>
  <c r="F64" i="15" s="1"/>
  <c r="H62" i="15"/>
  <c r="G62" i="15"/>
  <c r="BX62" i="6" s="1"/>
  <c r="AA62" i="15"/>
  <c r="Z62" i="15" s="1"/>
  <c r="Y62" i="15" s="1"/>
  <c r="V60" i="15"/>
  <c r="D33" i="7"/>
  <c r="F60" i="15"/>
  <c r="V58" i="15"/>
  <c r="F58" i="15" s="1"/>
  <c r="AA56" i="15"/>
  <c r="Z56" i="15" s="1"/>
  <c r="Y56" i="15" s="1"/>
  <c r="H56" i="15"/>
  <c r="G56" i="15"/>
  <c r="BX56" i="6" s="1"/>
  <c r="H54" i="15"/>
  <c r="AA54" i="15"/>
  <c r="Z54" i="15" s="1"/>
  <c r="Y54" i="15" s="1"/>
  <c r="G54" i="15"/>
  <c r="BX54" i="6" s="1"/>
  <c r="H52" i="15"/>
  <c r="G52" i="15"/>
  <c r="BX52" i="6" s="1"/>
  <c r="AA52" i="15"/>
  <c r="Z52" i="15" s="1"/>
  <c r="Y52" i="15" s="1"/>
  <c r="V50" i="15"/>
  <c r="F50" i="15" s="1"/>
  <c r="H48" i="15"/>
  <c r="G48" i="15"/>
  <c r="BX48" i="6" s="1"/>
  <c r="AA48" i="15"/>
  <c r="Z48" i="15" s="1"/>
  <c r="Y48" i="15" s="1"/>
  <c r="V46" i="15"/>
  <c r="V44" i="15"/>
  <c r="F44" i="15" s="1"/>
  <c r="V42" i="15"/>
  <c r="F42" i="15" s="1"/>
  <c r="H40" i="15"/>
  <c r="G40" i="15"/>
  <c r="BX40" i="6" s="1"/>
  <c r="AA40" i="15"/>
  <c r="Z40" i="15" s="1"/>
  <c r="Y40" i="15" s="1"/>
  <c r="G38" i="15"/>
  <c r="BX38" i="6" s="1"/>
  <c r="AA38" i="15"/>
  <c r="Z38" i="15" s="1"/>
  <c r="Y38" i="15" s="1"/>
  <c r="H38" i="15"/>
  <c r="V36" i="15"/>
  <c r="F36" i="15" s="1"/>
  <c r="G34" i="15"/>
  <c r="BX34" i="6" s="1"/>
  <c r="AA34" i="15"/>
  <c r="Z34" i="15" s="1"/>
  <c r="Y34" i="15" s="1"/>
  <c r="H34" i="15"/>
  <c r="G32" i="15"/>
  <c r="BX32" i="6" s="1"/>
  <c r="H32" i="15"/>
  <c r="AA32" i="15"/>
  <c r="Z32" i="15" s="1"/>
  <c r="Y32" i="15" s="1"/>
  <c r="G30" i="15"/>
  <c r="BX30" i="6" s="1"/>
  <c r="H30" i="15"/>
  <c r="AA30" i="15"/>
  <c r="Z30" i="15" s="1"/>
  <c r="Y30" i="15" s="1"/>
  <c r="G28" i="15"/>
  <c r="BX28" i="6" s="1"/>
  <c r="AA28" i="15"/>
  <c r="Z28" i="15" s="1"/>
  <c r="Y28" i="15" s="1"/>
  <c r="H28" i="15"/>
  <c r="H26" i="15"/>
  <c r="G26" i="15"/>
  <c r="BX26" i="6" s="1"/>
  <c r="AA26" i="15"/>
  <c r="Z26" i="15" s="1"/>
  <c r="Y26" i="15" s="1"/>
  <c r="H24" i="15"/>
  <c r="G24" i="15"/>
  <c r="BX24" i="6" s="1"/>
  <c r="AA24" i="15"/>
  <c r="Z24" i="15" s="1"/>
  <c r="Y24" i="15" s="1"/>
  <c r="V16" i="15"/>
  <c r="F16" i="15" s="1"/>
  <c r="V17" i="15"/>
  <c r="F17" i="15" s="1"/>
  <c r="O15" i="7"/>
  <c r="Q10" i="16"/>
  <c r="Q22" i="16" s="1"/>
  <c r="K376" i="22"/>
  <c r="A377" i="22"/>
  <c r="AB376" i="22"/>
  <c r="AK376" i="22"/>
  <c r="X376" i="22"/>
  <c r="L376" i="22"/>
  <c r="AJ376" i="22"/>
  <c r="AC376" i="22"/>
  <c r="O376" i="22"/>
  <c r="AK3" i="18"/>
  <c r="Q15" i="19" s="1"/>
  <c r="V375" i="15"/>
  <c r="F375" i="15" s="1"/>
  <c r="V371" i="15"/>
  <c r="F371" i="15" s="1"/>
  <c r="V367" i="15"/>
  <c r="F367" i="15" s="1"/>
  <c r="V363" i="15"/>
  <c r="F363" i="15" s="1"/>
  <c r="D43" i="7"/>
  <c r="AA359" i="15"/>
  <c r="Z359" i="15" s="1"/>
  <c r="Y359" i="15" s="1"/>
  <c r="G359" i="15"/>
  <c r="BX359" i="6" s="1"/>
  <c r="H359" i="15"/>
  <c r="V355" i="15"/>
  <c r="F355" i="15" s="1"/>
  <c r="V353" i="15"/>
  <c r="F353" i="15" s="1"/>
  <c r="G351" i="15"/>
  <c r="BX351" i="6" s="1"/>
  <c r="AA351" i="15"/>
  <c r="Z351" i="15" s="1"/>
  <c r="Y351" i="15" s="1"/>
  <c r="H351" i="15"/>
  <c r="F349" i="15"/>
  <c r="AA349" i="15" s="1"/>
  <c r="Z349" i="15" s="1"/>
  <c r="Y349" i="15" s="1"/>
  <c r="G347" i="15"/>
  <c r="BX347" i="6" s="1"/>
  <c r="AA347" i="15"/>
  <c r="Z347" i="15" s="1"/>
  <c r="Y347" i="15" s="1"/>
  <c r="H347" i="15"/>
  <c r="G345" i="15"/>
  <c r="BX345" i="6" s="1"/>
  <c r="H345" i="15"/>
  <c r="AA345" i="15"/>
  <c r="Z345" i="15" s="1"/>
  <c r="Y345" i="15" s="1"/>
  <c r="V343" i="15"/>
  <c r="F343" i="15" s="1"/>
  <c r="AA341" i="15"/>
  <c r="Z341" i="15" s="1"/>
  <c r="Y341" i="15" s="1"/>
  <c r="G341" i="15"/>
  <c r="BX341" i="6" s="1"/>
  <c r="H341" i="15"/>
  <c r="G339" i="15"/>
  <c r="BX339" i="6" s="1"/>
  <c r="AA339" i="15"/>
  <c r="Z339" i="15" s="1"/>
  <c r="Y339" i="15" s="1"/>
  <c r="H339" i="15"/>
  <c r="G337" i="15"/>
  <c r="BX337" i="6" s="1"/>
  <c r="H337" i="15"/>
  <c r="G335" i="15"/>
  <c r="BX335" i="6" s="1"/>
  <c r="AA335" i="15"/>
  <c r="Z335" i="15" s="1"/>
  <c r="Y335" i="15" s="1"/>
  <c r="H335" i="15"/>
  <c r="V333" i="15"/>
  <c r="F333" i="15" s="1"/>
  <c r="D42" i="7"/>
  <c r="G331" i="15"/>
  <c r="BX331" i="6" s="1"/>
  <c r="AA331" i="15"/>
  <c r="Z331" i="15" s="1"/>
  <c r="Y331" i="15" s="1"/>
  <c r="H331" i="15"/>
  <c r="V329" i="15"/>
  <c r="F329" i="15" s="1"/>
  <c r="G327" i="15"/>
  <c r="BX327" i="6" s="1"/>
  <c r="AA327" i="15"/>
  <c r="Z327" i="15" s="1"/>
  <c r="Y327" i="15" s="1"/>
  <c r="H327" i="15"/>
  <c r="V325" i="15"/>
  <c r="F325" i="15" s="1"/>
  <c r="G323" i="15"/>
  <c r="BX323" i="6" s="1"/>
  <c r="AA323" i="15"/>
  <c r="Z323" i="15" s="1"/>
  <c r="Y323" i="15" s="1"/>
  <c r="H323" i="15"/>
  <c r="V321" i="15"/>
  <c r="F321" i="15" s="1"/>
  <c r="V319" i="15"/>
  <c r="F319" i="15" s="1"/>
  <c r="G317" i="15"/>
  <c r="BX317" i="6" s="1"/>
  <c r="AA317" i="15"/>
  <c r="Z317" i="15" s="1"/>
  <c r="Y317" i="15" s="1"/>
  <c r="H317" i="15"/>
  <c r="G315" i="15"/>
  <c r="BX315" i="6" s="1"/>
  <c r="AA315" i="15"/>
  <c r="Z315" i="15" s="1"/>
  <c r="Y315" i="15" s="1"/>
  <c r="H315" i="15"/>
  <c r="V313" i="15"/>
  <c r="F313" i="15" s="1"/>
  <c r="G311" i="15"/>
  <c r="BX311" i="6" s="1"/>
  <c r="AA311" i="15"/>
  <c r="Z311" i="15" s="1"/>
  <c r="Y311" i="15" s="1"/>
  <c r="H311" i="15"/>
  <c r="V309" i="15"/>
  <c r="F309" i="15" s="1"/>
  <c r="G307" i="15"/>
  <c r="BX307" i="6" s="1"/>
  <c r="AA307" i="15"/>
  <c r="Z307" i="15" s="1"/>
  <c r="Y307" i="15" s="1"/>
  <c r="H307" i="15"/>
  <c r="V305" i="15"/>
  <c r="F305" i="15" s="1"/>
  <c r="V303" i="15"/>
  <c r="F303" i="15" s="1"/>
  <c r="V301" i="15"/>
  <c r="F301" i="15" s="1"/>
  <c r="V299" i="15"/>
  <c r="F299" i="15" s="1"/>
  <c r="G297" i="15"/>
  <c r="BX297" i="6" s="1"/>
  <c r="AA297" i="15"/>
  <c r="Z297" i="15" s="1"/>
  <c r="Y297" i="15" s="1"/>
  <c r="H297" i="15"/>
  <c r="V295" i="15"/>
  <c r="F295" i="15" s="1"/>
  <c r="AA293" i="15"/>
  <c r="Z293" i="15" s="1"/>
  <c r="Y293" i="15" s="1"/>
  <c r="G293" i="15"/>
  <c r="BX293" i="6" s="1"/>
  <c r="H293" i="15"/>
  <c r="V291" i="15"/>
  <c r="F291" i="15" s="1"/>
  <c r="G289" i="15"/>
  <c r="BX289" i="6" s="1"/>
  <c r="AA289" i="15"/>
  <c r="Z289" i="15" s="1"/>
  <c r="Y289" i="15" s="1"/>
  <c r="H289" i="15"/>
  <c r="AA287" i="15"/>
  <c r="Z287" i="15" s="1"/>
  <c r="Y287" i="15" s="1"/>
  <c r="G287" i="15"/>
  <c r="BX287" i="6" s="1"/>
  <c r="H287" i="15"/>
  <c r="V285" i="15"/>
  <c r="F285" i="15" s="1"/>
  <c r="G283" i="15"/>
  <c r="BX283" i="6" s="1"/>
  <c r="AA283" i="15"/>
  <c r="Z283" i="15" s="1"/>
  <c r="Y283" i="15" s="1"/>
  <c r="H283" i="15"/>
  <c r="G281" i="15"/>
  <c r="BX281" i="6" s="1"/>
  <c r="AA281" i="15"/>
  <c r="Z281" i="15" s="1"/>
  <c r="Y281" i="15" s="1"/>
  <c r="H281" i="15"/>
  <c r="G279" i="15"/>
  <c r="BX279" i="6" s="1"/>
  <c r="AA279" i="15"/>
  <c r="Z279" i="15" s="1"/>
  <c r="Y279" i="15" s="1"/>
  <c r="H279" i="15"/>
  <c r="V277" i="15"/>
  <c r="F277" i="15" s="1"/>
  <c r="V275" i="15"/>
  <c r="F275" i="15" s="1"/>
  <c r="AA273" i="15"/>
  <c r="Z273" i="15" s="1"/>
  <c r="Y273" i="15" s="1"/>
  <c r="G273" i="15"/>
  <c r="BX273" i="6" s="1"/>
  <c r="H273" i="15"/>
  <c r="AA271" i="15"/>
  <c r="Z271" i="15" s="1"/>
  <c r="Y271" i="15" s="1"/>
  <c r="G271" i="15"/>
  <c r="BX271" i="6" s="1"/>
  <c r="H271" i="15"/>
  <c r="G269" i="15"/>
  <c r="BX269" i="6" s="1"/>
  <c r="AA269" i="15"/>
  <c r="Z269" i="15" s="1"/>
  <c r="Y269" i="15" s="1"/>
  <c r="H269" i="15"/>
  <c r="G267" i="15"/>
  <c r="BX267" i="6" s="1"/>
  <c r="AA267" i="15"/>
  <c r="Z267" i="15" s="1"/>
  <c r="Y267" i="15" s="1"/>
  <c r="H267" i="15"/>
  <c r="G265" i="15"/>
  <c r="BX265" i="6" s="1"/>
  <c r="AA265" i="15"/>
  <c r="Z265" i="15" s="1"/>
  <c r="Y265" i="15" s="1"/>
  <c r="H265" i="15"/>
  <c r="V263" i="15"/>
  <c r="F263" i="15" s="1"/>
  <c r="G261" i="15"/>
  <c r="BX261" i="6" s="1"/>
  <c r="AA261" i="15"/>
  <c r="Z261" i="15" s="1"/>
  <c r="Y261" i="15" s="1"/>
  <c r="H261" i="15"/>
  <c r="G259" i="15"/>
  <c r="BX259" i="6" s="1"/>
  <c r="AA259" i="15"/>
  <c r="Z259" i="15" s="1"/>
  <c r="Y259" i="15" s="1"/>
  <c r="H259" i="15"/>
  <c r="AA257" i="15"/>
  <c r="Z257" i="15" s="1"/>
  <c r="Y257" i="15" s="1"/>
  <c r="G257" i="15"/>
  <c r="BX257" i="6" s="1"/>
  <c r="H257" i="15"/>
  <c r="G255" i="15"/>
  <c r="BX255" i="6" s="1"/>
  <c r="AA255" i="15"/>
  <c r="Z255" i="15" s="1"/>
  <c r="Y255" i="15" s="1"/>
  <c r="H255" i="15"/>
  <c r="AA253" i="15"/>
  <c r="Z253" i="15" s="1"/>
  <c r="Y253" i="15" s="1"/>
  <c r="G253" i="15"/>
  <c r="BX253" i="6" s="1"/>
  <c r="H253" i="15"/>
  <c r="G251" i="15"/>
  <c r="BX251" i="6" s="1"/>
  <c r="AA251" i="15"/>
  <c r="Z251" i="15" s="1"/>
  <c r="Y251" i="15" s="1"/>
  <c r="H251" i="15"/>
  <c r="G249" i="15"/>
  <c r="BX249" i="6" s="1"/>
  <c r="AA249" i="15"/>
  <c r="Z249" i="15" s="1"/>
  <c r="Y249" i="15" s="1"/>
  <c r="H249" i="15"/>
  <c r="H247" i="15"/>
  <c r="AA247" i="15"/>
  <c r="Z247" i="15" s="1"/>
  <c r="Y247" i="15" s="1"/>
  <c r="G247" i="15"/>
  <c r="BX247" i="6" s="1"/>
  <c r="G245" i="15"/>
  <c r="BX245" i="6" s="1"/>
  <c r="AA245" i="15"/>
  <c r="Z245" i="15" s="1"/>
  <c r="Y245" i="15" s="1"/>
  <c r="H245" i="15"/>
  <c r="G243" i="15"/>
  <c r="BX243" i="6" s="1"/>
  <c r="AA243" i="15"/>
  <c r="Z243" i="15" s="1"/>
  <c r="Y243" i="15" s="1"/>
  <c r="H243" i="15"/>
  <c r="V241" i="15"/>
  <c r="F241" i="15" s="1"/>
  <c r="D39" i="7"/>
  <c r="G239" i="15"/>
  <c r="BX239" i="6" s="1"/>
  <c r="AA239" i="15"/>
  <c r="Z239" i="15" s="1"/>
  <c r="Y239" i="15" s="1"/>
  <c r="H239" i="15"/>
  <c r="V237" i="15"/>
  <c r="F237" i="15" s="1"/>
  <c r="AA235" i="15"/>
  <c r="Z235" i="15" s="1"/>
  <c r="Y235" i="15" s="1"/>
  <c r="G235" i="15"/>
  <c r="BX235" i="6" s="1"/>
  <c r="H235" i="15"/>
  <c r="G233" i="15"/>
  <c r="BX233" i="6" s="1"/>
  <c r="AA233" i="15"/>
  <c r="Z233" i="15" s="1"/>
  <c r="Y233" i="15" s="1"/>
  <c r="H233" i="15"/>
  <c r="G231" i="15"/>
  <c r="BX231" i="6" s="1"/>
  <c r="AA231" i="15"/>
  <c r="Z231" i="15" s="1"/>
  <c r="Y231" i="15" s="1"/>
  <c r="H231" i="15"/>
  <c r="V229" i="15"/>
  <c r="F229" i="15" s="1"/>
  <c r="V227" i="15"/>
  <c r="F227" i="15" s="1"/>
  <c r="G225" i="15"/>
  <c r="BX225" i="6" s="1"/>
  <c r="AA225" i="15"/>
  <c r="Z225" i="15" s="1"/>
  <c r="Y225" i="15" s="1"/>
  <c r="H225" i="15"/>
  <c r="H223" i="15"/>
  <c r="G223" i="15"/>
  <c r="BX223" i="6" s="1"/>
  <c r="AA223" i="15"/>
  <c r="Z223" i="15" s="1"/>
  <c r="Y223" i="15" s="1"/>
  <c r="H221" i="15"/>
  <c r="G221" i="15"/>
  <c r="BX221" i="6" s="1"/>
  <c r="AA221" i="15"/>
  <c r="Z221" i="15" s="1"/>
  <c r="Y221" i="15" s="1"/>
  <c r="V219" i="15"/>
  <c r="F219" i="15" s="1"/>
  <c r="G217" i="15"/>
  <c r="BX217" i="6" s="1"/>
  <c r="AA217" i="15"/>
  <c r="Z217" i="15" s="1"/>
  <c r="Y217" i="15" s="1"/>
  <c r="H217" i="15"/>
  <c r="V215" i="15"/>
  <c r="F215" i="15" s="1"/>
  <c r="V213" i="15"/>
  <c r="F213" i="15" s="1"/>
  <c r="H211" i="15"/>
  <c r="AA211" i="15"/>
  <c r="Z211" i="15" s="1"/>
  <c r="Y211" i="15" s="1"/>
  <c r="G211" i="15"/>
  <c r="BX211" i="6" s="1"/>
  <c r="V209" i="15"/>
  <c r="F209" i="15" s="1"/>
  <c r="V207" i="15"/>
  <c r="F207" i="15" s="1"/>
  <c r="V205" i="15"/>
  <c r="F205" i="15" s="1"/>
  <c r="AA203" i="15"/>
  <c r="Z203" i="15" s="1"/>
  <c r="Y203" i="15" s="1"/>
  <c r="H203" i="15"/>
  <c r="G203" i="15"/>
  <c r="BX203" i="6" s="1"/>
  <c r="V201" i="15"/>
  <c r="F201" i="15" s="1"/>
  <c r="AA199" i="15"/>
  <c r="Z199" i="15" s="1"/>
  <c r="Y199" i="15" s="1"/>
  <c r="H199" i="15"/>
  <c r="G199" i="15"/>
  <c r="BX199" i="6" s="1"/>
  <c r="V197" i="15"/>
  <c r="F197" i="15" s="1"/>
  <c r="V195" i="15"/>
  <c r="F195" i="15" s="1"/>
  <c r="H193" i="15"/>
  <c r="G193" i="15"/>
  <c r="BX193" i="6" s="1"/>
  <c r="AA193" i="15"/>
  <c r="Z193" i="15" s="1"/>
  <c r="Y193" i="15" s="1"/>
  <c r="V191" i="15"/>
  <c r="F191" i="15" s="1"/>
  <c r="G189" i="15"/>
  <c r="BX189" i="6" s="1"/>
  <c r="AA189" i="15"/>
  <c r="Z189" i="15" s="1"/>
  <c r="Y189" i="15" s="1"/>
  <c r="H189" i="15"/>
  <c r="V187" i="15"/>
  <c r="F187" i="15" s="1"/>
  <c r="V185" i="15"/>
  <c r="F185" i="15" s="1"/>
  <c r="V183" i="15"/>
  <c r="F183" i="15" s="1"/>
  <c r="V181" i="15"/>
  <c r="F181" i="15" s="1"/>
  <c r="G179" i="15"/>
  <c r="BX179" i="6" s="1"/>
  <c r="H179" i="15"/>
  <c r="AA179" i="15"/>
  <c r="Z179" i="15" s="1"/>
  <c r="Y179" i="15" s="1"/>
  <c r="V177" i="15"/>
  <c r="F177" i="15" s="1"/>
  <c r="AA175" i="15"/>
  <c r="Z175" i="15" s="1"/>
  <c r="Y175" i="15" s="1"/>
  <c r="G175" i="15"/>
  <c r="BX175" i="6" s="1"/>
  <c r="H175" i="15"/>
  <c r="G173" i="15"/>
  <c r="BX173" i="6" s="1"/>
  <c r="H173" i="15"/>
  <c r="AA173" i="15"/>
  <c r="Z173" i="15" s="1"/>
  <c r="Y173" i="15" s="1"/>
  <c r="V171" i="15"/>
  <c r="F171" i="15" s="1"/>
  <c r="V169" i="15"/>
  <c r="F169" i="15" s="1"/>
  <c r="V167" i="15"/>
  <c r="F167" i="15" s="1"/>
  <c r="V165" i="15"/>
  <c r="F165" i="15" s="1"/>
  <c r="H163" i="15"/>
  <c r="G163" i="15"/>
  <c r="BX163" i="6" s="1"/>
  <c r="AA163" i="15"/>
  <c r="Z163" i="15" s="1"/>
  <c r="Y163" i="15" s="1"/>
  <c r="V161" i="15"/>
  <c r="F161" i="15" s="1"/>
  <c r="AA159" i="15"/>
  <c r="Z159" i="15" s="1"/>
  <c r="Y159" i="15" s="1"/>
  <c r="H159" i="15"/>
  <c r="G159" i="15"/>
  <c r="BX159" i="6" s="1"/>
  <c r="V157" i="15"/>
  <c r="F157" i="15" s="1"/>
  <c r="AA155" i="15"/>
  <c r="Z155" i="15" s="1"/>
  <c r="Y155" i="15" s="1"/>
  <c r="G155" i="15"/>
  <c r="BX155" i="6" s="1"/>
  <c r="H155" i="15"/>
  <c r="V153" i="15"/>
  <c r="F153" i="15" s="1"/>
  <c r="H151" i="15"/>
  <c r="AA151" i="15"/>
  <c r="Z151" i="15" s="1"/>
  <c r="Y151" i="15" s="1"/>
  <c r="G151" i="15"/>
  <c r="BX151" i="6" s="1"/>
  <c r="V149" i="15"/>
  <c r="F149" i="15" s="1"/>
  <c r="D36" i="7"/>
  <c r="AA147" i="15"/>
  <c r="Z147" i="15" s="1"/>
  <c r="Y147" i="15" s="1"/>
  <c r="H147" i="15"/>
  <c r="G147" i="15"/>
  <c r="BX147" i="6" s="1"/>
  <c r="V145" i="15"/>
  <c r="F145" i="15" s="1"/>
  <c r="H143" i="15"/>
  <c r="G143" i="15"/>
  <c r="BX143" i="6" s="1"/>
  <c r="AA143" i="15"/>
  <c r="Z143" i="15" s="1"/>
  <c r="Y143" i="15" s="1"/>
  <c r="V141" i="15"/>
  <c r="F141" i="15" s="1"/>
  <c r="H139" i="15"/>
  <c r="G139" i="15"/>
  <c r="BX139" i="6" s="1"/>
  <c r="AA139" i="15"/>
  <c r="Z139" i="15" s="1"/>
  <c r="Y139" i="15" s="1"/>
  <c r="H137" i="15"/>
  <c r="AA137" i="15"/>
  <c r="Z137" i="15" s="1"/>
  <c r="Y137" i="15" s="1"/>
  <c r="G137" i="15"/>
  <c r="BX137" i="6" s="1"/>
  <c r="V135" i="15"/>
  <c r="V133" i="15"/>
  <c r="F133" i="15" s="1"/>
  <c r="V131" i="15"/>
  <c r="F131" i="15" s="1"/>
  <c r="V129" i="15"/>
  <c r="F129" i="15" s="1"/>
  <c r="G127" i="15"/>
  <c r="BX127" i="6" s="1"/>
  <c r="AA127" i="15"/>
  <c r="Z127" i="15" s="1"/>
  <c r="Y127" i="15" s="1"/>
  <c r="H127" i="15"/>
  <c r="V125" i="15"/>
  <c r="F125" i="15" s="1"/>
  <c r="G123" i="15"/>
  <c r="BX123" i="6" s="1"/>
  <c r="AA123" i="15"/>
  <c r="Z123" i="15" s="1"/>
  <c r="Y123" i="15" s="1"/>
  <c r="H123" i="15"/>
  <c r="V121" i="15"/>
  <c r="F121" i="15" s="1"/>
  <c r="D35" i="7"/>
  <c r="V119" i="15"/>
  <c r="F119" i="15" s="1"/>
  <c r="V117" i="15"/>
  <c r="F117" i="15" s="1"/>
  <c r="H115" i="15"/>
  <c r="AA115" i="15"/>
  <c r="Z115" i="15" s="1"/>
  <c r="Y115" i="15" s="1"/>
  <c r="G115" i="15"/>
  <c r="BX115" i="6" s="1"/>
  <c r="V113" i="15"/>
  <c r="F113" i="15" s="1"/>
  <c r="AA111" i="15"/>
  <c r="Z111" i="15" s="1"/>
  <c r="Y111" i="15" s="1"/>
  <c r="G111" i="15"/>
  <c r="BX111" i="6" s="1"/>
  <c r="H111" i="15"/>
  <c r="V109" i="15"/>
  <c r="F109" i="15" s="1"/>
  <c r="G107" i="15"/>
  <c r="BX107" i="6" s="1"/>
  <c r="H107" i="15"/>
  <c r="AA107" i="15"/>
  <c r="Z107" i="15" s="1"/>
  <c r="Y107" i="15" s="1"/>
  <c r="V105" i="15"/>
  <c r="F105" i="15" s="1"/>
  <c r="V103" i="15"/>
  <c r="F103" i="15" s="1"/>
  <c r="AA101" i="15"/>
  <c r="Z101" i="15" s="1"/>
  <c r="Y101" i="15" s="1"/>
  <c r="G101" i="15"/>
  <c r="BX101" i="6" s="1"/>
  <c r="H101" i="15"/>
  <c r="V99" i="15"/>
  <c r="F99" i="15" s="1"/>
  <c r="H97" i="15"/>
  <c r="AA97" i="15"/>
  <c r="Z97" i="15" s="1"/>
  <c r="Y97" i="15" s="1"/>
  <c r="G97" i="15"/>
  <c r="BX97" i="6" s="1"/>
  <c r="V95" i="15"/>
  <c r="F95" i="15" s="1"/>
  <c r="V93" i="15"/>
  <c r="F93" i="15" s="1"/>
  <c r="V91" i="15"/>
  <c r="F91" i="15" s="1"/>
  <c r="V89" i="15"/>
  <c r="F89" i="15" s="1"/>
  <c r="V87" i="15"/>
  <c r="F87" i="15" s="1"/>
  <c r="V85" i="15"/>
  <c r="F85" i="15" s="1"/>
  <c r="H83" i="15"/>
  <c r="AA83" i="15"/>
  <c r="Z83" i="15" s="1"/>
  <c r="Y83" i="15" s="1"/>
  <c r="G83" i="15"/>
  <c r="BX83" i="6" s="1"/>
  <c r="V81" i="15"/>
  <c r="F81" i="15" s="1"/>
  <c r="V79" i="15"/>
  <c r="F79" i="15" s="1"/>
  <c r="V77" i="15"/>
  <c r="F77" i="15" s="1"/>
  <c r="V75" i="15"/>
  <c r="F75" i="15" s="1"/>
  <c r="V73" i="15"/>
  <c r="F73" i="15" s="1"/>
  <c r="V71" i="15"/>
  <c r="F71" i="15" s="1"/>
  <c r="V69" i="15"/>
  <c r="F69" i="15" s="1"/>
  <c r="G67" i="15"/>
  <c r="BX67" i="6" s="1"/>
  <c r="H67" i="15"/>
  <c r="AA67" i="15"/>
  <c r="Z67" i="15" s="1"/>
  <c r="Y67" i="15" s="1"/>
  <c r="AA65" i="15"/>
  <c r="Z65" i="15" s="1"/>
  <c r="Y65" i="15" s="1"/>
  <c r="G65" i="15"/>
  <c r="BX65" i="6" s="1"/>
  <c r="H65" i="15"/>
  <c r="G63" i="15"/>
  <c r="BX63" i="6" s="1"/>
  <c r="H63" i="15"/>
  <c r="AA63" i="15"/>
  <c r="Z63" i="15" s="1"/>
  <c r="Y63" i="15" s="1"/>
  <c r="V61" i="15"/>
  <c r="F61" i="15" s="1"/>
  <c r="AA59" i="15"/>
  <c r="Z59" i="15" s="1"/>
  <c r="Y59" i="15" s="1"/>
  <c r="G59" i="15"/>
  <c r="BX59" i="6" s="1"/>
  <c r="H59" i="15"/>
  <c r="V57" i="15"/>
  <c r="F57" i="15" s="1"/>
  <c r="H55" i="15"/>
  <c r="G55" i="15"/>
  <c r="BX55" i="6" s="1"/>
  <c r="AA55" i="15"/>
  <c r="Z55" i="15" s="1"/>
  <c r="Y55" i="15" s="1"/>
  <c r="G53" i="15"/>
  <c r="BX53" i="6" s="1"/>
  <c r="AA53" i="15"/>
  <c r="Z53" i="15" s="1"/>
  <c r="Y53" i="15" s="1"/>
  <c r="H53" i="15"/>
  <c r="V51" i="15"/>
  <c r="F51" i="15" s="1"/>
  <c r="V49" i="15"/>
  <c r="F49" i="15" s="1"/>
  <c r="H47" i="15"/>
  <c r="AA47" i="15"/>
  <c r="Z47" i="15" s="1"/>
  <c r="Y47" i="15" s="1"/>
  <c r="G47" i="15"/>
  <c r="BX47" i="6" s="1"/>
  <c r="V45" i="15"/>
  <c r="F45" i="15" s="1"/>
  <c r="H43" i="15"/>
  <c r="AA43" i="15"/>
  <c r="Z43" i="15" s="1"/>
  <c r="Y43" i="15" s="1"/>
  <c r="G43" i="15"/>
  <c r="BX43" i="6" s="1"/>
  <c r="V41" i="15"/>
  <c r="F41" i="15" s="1"/>
  <c r="AA39" i="15"/>
  <c r="Z39" i="15" s="1"/>
  <c r="Y39" i="15" s="1"/>
  <c r="G39" i="15"/>
  <c r="BX39" i="6" s="1"/>
  <c r="H39" i="15"/>
  <c r="V37" i="15"/>
  <c r="F37" i="15" s="1"/>
  <c r="V35" i="15"/>
  <c r="F35" i="15" s="1"/>
  <c r="AA33" i="15"/>
  <c r="Z33" i="15" s="1"/>
  <c r="Y33" i="15" s="1"/>
  <c r="G33" i="15"/>
  <c r="BX33" i="6" s="1"/>
  <c r="H33" i="15"/>
  <c r="AA31" i="15"/>
  <c r="Z31" i="15" s="1"/>
  <c r="Y31" i="15" s="1"/>
  <c r="G31" i="15"/>
  <c r="BX31" i="6" s="1"/>
  <c r="H31" i="15"/>
  <c r="D32" i="7"/>
  <c r="V29" i="15"/>
  <c r="F29" i="15" s="1"/>
  <c r="H27" i="15"/>
  <c r="G27" i="15"/>
  <c r="BX27" i="6" s="1"/>
  <c r="AA27" i="15"/>
  <c r="Z27" i="15" s="1"/>
  <c r="Y27" i="15" s="1"/>
  <c r="AA25" i="15"/>
  <c r="Z25" i="15" s="1"/>
  <c r="Y25" i="15" s="1"/>
  <c r="H25" i="15"/>
  <c r="G25" i="15"/>
  <c r="BX25" i="6" s="1"/>
  <c r="AA23" i="15"/>
  <c r="Z23" i="15" s="1"/>
  <c r="Y23" i="15" s="1"/>
  <c r="G23" i="15"/>
  <c r="BX23" i="6" s="1"/>
  <c r="H23" i="15"/>
  <c r="V18" i="15"/>
  <c r="F18" i="15" s="1"/>
  <c r="D377" i="17"/>
  <c r="E377" i="17" s="1"/>
  <c r="S20" i="16"/>
  <c r="R20" i="16" s="1"/>
  <c r="S52" i="16"/>
  <c r="R52" i="16" s="1"/>
  <c r="S84" i="16"/>
  <c r="R84" i="16" s="1"/>
  <c r="S116" i="16"/>
  <c r="R116" i="16" s="1"/>
  <c r="S148" i="16"/>
  <c r="R148" i="16" s="1"/>
  <c r="S180" i="16"/>
  <c r="R180" i="16" s="1"/>
  <c r="S212" i="16"/>
  <c r="R212" i="16" s="1"/>
  <c r="S244" i="16"/>
  <c r="R244" i="16" s="1"/>
  <c r="S276" i="16"/>
  <c r="R276" i="16" s="1"/>
  <c r="S308" i="16"/>
  <c r="R308" i="16" s="1"/>
  <c r="S340" i="16"/>
  <c r="R340" i="16" s="1"/>
  <c r="V379" i="1"/>
  <c r="F379" i="1" s="1"/>
  <c r="P382" i="1"/>
  <c r="P381" i="1"/>
  <c r="P383" i="1"/>
  <c r="AG35" i="16"/>
  <c r="AF35" i="16" s="1"/>
  <c r="AG75" i="16"/>
  <c r="AF75" i="16" s="1"/>
  <c r="AG165" i="16"/>
  <c r="AF165" i="16" s="1"/>
  <c r="AG197" i="16"/>
  <c r="AF197" i="16" s="1"/>
  <c r="AG229" i="16"/>
  <c r="AF229" i="16" s="1"/>
  <c r="AG263" i="16"/>
  <c r="AF263" i="16" s="1"/>
  <c r="Q301" i="16" l="1"/>
  <c r="Q365" i="16"/>
  <c r="P365" i="16" s="1"/>
  <c r="V365" i="16" s="1"/>
  <c r="F365" i="16" s="1"/>
  <c r="G365" i="16" s="1"/>
  <c r="BY365" i="6" s="1"/>
  <c r="Q237" i="16"/>
  <c r="P237" i="16" s="1"/>
  <c r="V237" i="16" s="1"/>
  <c r="F237" i="16" s="1"/>
  <c r="Q333" i="16"/>
  <c r="P333" i="16" s="1"/>
  <c r="D54" i="7" s="1"/>
  <c r="Q269" i="16"/>
  <c r="P269" i="16" s="1"/>
  <c r="V269" i="16" s="1"/>
  <c r="F269" i="16" s="1"/>
  <c r="Q203" i="16"/>
  <c r="P203" i="16" s="1"/>
  <c r="V203" i="16" s="1"/>
  <c r="F203" i="16" s="1"/>
  <c r="Q349" i="16"/>
  <c r="P349" i="16" s="1"/>
  <c r="V349" i="16" s="1"/>
  <c r="F349" i="16" s="1"/>
  <c r="G349" i="16" s="1"/>
  <c r="BY349" i="6" s="1"/>
  <c r="Q317" i="16"/>
  <c r="P317" i="16" s="1"/>
  <c r="V317" i="16" s="1"/>
  <c r="F317" i="16" s="1"/>
  <c r="Q285" i="16"/>
  <c r="P285" i="16" s="1"/>
  <c r="V285" i="16" s="1"/>
  <c r="F285" i="16" s="1"/>
  <c r="Q253" i="16"/>
  <c r="P253" i="16" s="1"/>
  <c r="V253" i="16" s="1"/>
  <c r="F253" i="16" s="1"/>
  <c r="Q221" i="16"/>
  <c r="Q171" i="16"/>
  <c r="P171" i="16" s="1"/>
  <c r="V171" i="16" s="1"/>
  <c r="F171" i="16" s="1"/>
  <c r="G171" i="16" s="1"/>
  <c r="BY171" i="6" s="1"/>
  <c r="Q373" i="16"/>
  <c r="P373" i="16" s="1"/>
  <c r="V373" i="16" s="1"/>
  <c r="F373" i="16" s="1"/>
  <c r="G373" i="16" s="1"/>
  <c r="BY373" i="6" s="1"/>
  <c r="Q357" i="16"/>
  <c r="P357" i="16" s="1"/>
  <c r="V357" i="16" s="1"/>
  <c r="F357" i="16" s="1"/>
  <c r="Q341" i="16"/>
  <c r="P341" i="16" s="1"/>
  <c r="V341" i="16" s="1"/>
  <c r="F341" i="16" s="1"/>
  <c r="Q325" i="16"/>
  <c r="P325" i="16" s="1"/>
  <c r="V325" i="16" s="1"/>
  <c r="F325" i="16" s="1"/>
  <c r="Q309" i="16"/>
  <c r="P309" i="16" s="1"/>
  <c r="V309" i="16" s="1"/>
  <c r="F309" i="16" s="1"/>
  <c r="Q293" i="16"/>
  <c r="P293" i="16" s="1"/>
  <c r="V293" i="16" s="1"/>
  <c r="F293" i="16" s="1"/>
  <c r="Q277" i="16"/>
  <c r="P277" i="16" s="1"/>
  <c r="V277" i="16" s="1"/>
  <c r="F277" i="16" s="1"/>
  <c r="Q261" i="16"/>
  <c r="P261" i="16" s="1"/>
  <c r="V261" i="16" s="1"/>
  <c r="F261" i="16" s="1"/>
  <c r="Q245" i="16"/>
  <c r="P245" i="16" s="1"/>
  <c r="V245" i="16" s="1"/>
  <c r="F245" i="16" s="1"/>
  <c r="Q229" i="16"/>
  <c r="P229" i="16" s="1"/>
  <c r="V229" i="16" s="1"/>
  <c r="F229" i="16" s="1"/>
  <c r="Q213" i="16"/>
  <c r="P213" i="16" s="1"/>
  <c r="V213" i="16" s="1"/>
  <c r="F213" i="16" s="1"/>
  <c r="Q187" i="16"/>
  <c r="P187" i="16" s="1"/>
  <c r="V187" i="16" s="1"/>
  <c r="F187" i="16" s="1"/>
  <c r="G187" i="16" s="1"/>
  <c r="BY187" i="6" s="1"/>
  <c r="Q155" i="16"/>
  <c r="P155" i="16" s="1"/>
  <c r="V155" i="16" s="1"/>
  <c r="F155" i="16" s="1"/>
  <c r="Q369" i="16"/>
  <c r="P369" i="16" s="1"/>
  <c r="V369" i="16" s="1"/>
  <c r="F369" i="16" s="1"/>
  <c r="G369" i="16" s="1"/>
  <c r="BY369" i="6" s="1"/>
  <c r="Q361" i="16"/>
  <c r="P361" i="16" s="1"/>
  <c r="V361" i="16" s="1"/>
  <c r="F361" i="16" s="1"/>
  <c r="G361" i="16" s="1"/>
  <c r="BY361" i="6" s="1"/>
  <c r="Q353" i="16"/>
  <c r="P353" i="16" s="1"/>
  <c r="V353" i="16" s="1"/>
  <c r="F353" i="16" s="1"/>
  <c r="Q345" i="16"/>
  <c r="P345" i="16" s="1"/>
  <c r="V345" i="16" s="1"/>
  <c r="F345" i="16" s="1"/>
  <c r="Q337" i="16"/>
  <c r="P337" i="16" s="1"/>
  <c r="V337" i="16" s="1"/>
  <c r="F337" i="16" s="1"/>
  <c r="Q329" i="16"/>
  <c r="P329" i="16" s="1"/>
  <c r="V329" i="16" s="1"/>
  <c r="F329" i="16" s="1"/>
  <c r="Q321" i="16"/>
  <c r="P321" i="16" s="1"/>
  <c r="V321" i="16" s="1"/>
  <c r="F321" i="16" s="1"/>
  <c r="Q313" i="16"/>
  <c r="P313" i="16" s="1"/>
  <c r="V313" i="16" s="1"/>
  <c r="F313" i="16" s="1"/>
  <c r="Q305" i="16"/>
  <c r="P305" i="16" s="1"/>
  <c r="V305" i="16" s="1"/>
  <c r="F305" i="16" s="1"/>
  <c r="Q297" i="16"/>
  <c r="P297" i="16" s="1"/>
  <c r="V297" i="16" s="1"/>
  <c r="F297" i="16" s="1"/>
  <c r="Q289" i="16"/>
  <c r="P289" i="16" s="1"/>
  <c r="V289" i="16" s="1"/>
  <c r="F289" i="16" s="1"/>
  <c r="Q281" i="16"/>
  <c r="P281" i="16" s="1"/>
  <c r="V281" i="16" s="1"/>
  <c r="F281" i="16" s="1"/>
  <c r="Q273" i="16"/>
  <c r="P273" i="16" s="1"/>
  <c r="V273" i="16" s="1"/>
  <c r="F273" i="16" s="1"/>
  <c r="Q265" i="16"/>
  <c r="P265" i="16" s="1"/>
  <c r="V265" i="16" s="1"/>
  <c r="F265" i="16" s="1"/>
  <c r="Q257" i="16"/>
  <c r="P257" i="16" s="1"/>
  <c r="V257" i="16" s="1"/>
  <c r="F257" i="16" s="1"/>
  <c r="Q249" i="16"/>
  <c r="P249" i="16" s="1"/>
  <c r="V249" i="16" s="1"/>
  <c r="F249" i="16" s="1"/>
  <c r="Q241" i="16"/>
  <c r="P241" i="16" s="1"/>
  <c r="D51" i="7" s="1"/>
  <c r="Q233" i="16"/>
  <c r="P233" i="16" s="1"/>
  <c r="V233" i="16" s="1"/>
  <c r="F233" i="16" s="1"/>
  <c r="Q225" i="16"/>
  <c r="P225" i="16" s="1"/>
  <c r="V225" i="16" s="1"/>
  <c r="F225" i="16" s="1"/>
  <c r="Q217" i="16"/>
  <c r="P217" i="16" s="1"/>
  <c r="V217" i="16" s="1"/>
  <c r="F217" i="16" s="1"/>
  <c r="Q209" i="16"/>
  <c r="P209" i="16" s="1"/>
  <c r="V209" i="16" s="1"/>
  <c r="F209" i="16" s="1"/>
  <c r="Q195" i="16"/>
  <c r="P195" i="16" s="1"/>
  <c r="V195" i="16" s="1"/>
  <c r="F195" i="16" s="1"/>
  <c r="Q179" i="16"/>
  <c r="P179" i="16" s="1"/>
  <c r="V179" i="16" s="1"/>
  <c r="F179" i="16" s="1"/>
  <c r="G179" i="16" s="1"/>
  <c r="BY179" i="6" s="1"/>
  <c r="Q163" i="16"/>
  <c r="P163" i="16" s="1"/>
  <c r="V163" i="16" s="1"/>
  <c r="F163" i="16" s="1"/>
  <c r="Q143" i="16"/>
  <c r="P143" i="16" s="1"/>
  <c r="V143" i="16" s="1"/>
  <c r="F143" i="16" s="1"/>
  <c r="P301" i="16"/>
  <c r="V301" i="16" s="1"/>
  <c r="F301" i="16" s="1"/>
  <c r="Q375" i="16"/>
  <c r="P375" i="16" s="1"/>
  <c r="V375" i="16" s="1"/>
  <c r="F375" i="16" s="1"/>
  <c r="G375" i="16" s="1"/>
  <c r="BY375" i="6" s="1"/>
  <c r="Q371" i="16"/>
  <c r="P371" i="16" s="1"/>
  <c r="V371" i="16" s="1"/>
  <c r="F371" i="16" s="1"/>
  <c r="G371" i="16" s="1"/>
  <c r="BY371" i="6" s="1"/>
  <c r="Q367" i="16"/>
  <c r="P367" i="16" s="1"/>
  <c r="V367" i="16" s="1"/>
  <c r="F367" i="16" s="1"/>
  <c r="G367" i="16" s="1"/>
  <c r="BY367" i="6" s="1"/>
  <c r="Q363" i="16"/>
  <c r="P363" i="16" s="1"/>
  <c r="D55" i="7" s="1"/>
  <c r="Q359" i="16"/>
  <c r="P359" i="16" s="1"/>
  <c r="V359" i="16" s="1"/>
  <c r="F359" i="16" s="1"/>
  <c r="G359" i="16" s="1"/>
  <c r="BY359" i="6" s="1"/>
  <c r="Q355" i="16"/>
  <c r="P355" i="16" s="1"/>
  <c r="V355" i="16" s="1"/>
  <c r="F355" i="16" s="1"/>
  <c r="Q351" i="16"/>
  <c r="P351" i="16" s="1"/>
  <c r="V351" i="16" s="1"/>
  <c r="F351" i="16" s="1"/>
  <c r="Q347" i="16"/>
  <c r="P347" i="16" s="1"/>
  <c r="V347" i="16" s="1"/>
  <c r="F347" i="16" s="1"/>
  <c r="G347" i="16" s="1"/>
  <c r="BY347" i="6" s="1"/>
  <c r="Q343" i="16"/>
  <c r="P343" i="16" s="1"/>
  <c r="V343" i="16" s="1"/>
  <c r="F343" i="16" s="1"/>
  <c r="Q339" i="16"/>
  <c r="P339" i="16" s="1"/>
  <c r="V339" i="16" s="1"/>
  <c r="F339" i="16" s="1"/>
  <c r="G339" i="16" s="1"/>
  <c r="BY339" i="6" s="1"/>
  <c r="Q335" i="16"/>
  <c r="P335" i="16" s="1"/>
  <c r="V335" i="16" s="1"/>
  <c r="F335" i="16" s="1"/>
  <c r="Q331" i="16"/>
  <c r="P331" i="16" s="1"/>
  <c r="V331" i="16" s="1"/>
  <c r="F331" i="16" s="1"/>
  <c r="Q327" i="16"/>
  <c r="P327" i="16" s="1"/>
  <c r="V327" i="16" s="1"/>
  <c r="F327" i="16" s="1"/>
  <c r="Q323" i="16"/>
  <c r="P323" i="16" s="1"/>
  <c r="V323" i="16" s="1"/>
  <c r="F323" i="16" s="1"/>
  <c r="Q319" i="16"/>
  <c r="P319" i="16" s="1"/>
  <c r="V319" i="16" s="1"/>
  <c r="F319" i="16" s="1"/>
  <c r="Q315" i="16"/>
  <c r="P315" i="16" s="1"/>
  <c r="V315" i="16" s="1"/>
  <c r="F315" i="16" s="1"/>
  <c r="G315" i="16" s="1"/>
  <c r="BY315" i="6" s="1"/>
  <c r="Q311" i="16"/>
  <c r="P311" i="16" s="1"/>
  <c r="V311" i="16" s="1"/>
  <c r="F311" i="16" s="1"/>
  <c r="Q307" i="16"/>
  <c r="P307" i="16" s="1"/>
  <c r="V307" i="16" s="1"/>
  <c r="F307" i="16" s="1"/>
  <c r="G307" i="16" s="1"/>
  <c r="BY307" i="6" s="1"/>
  <c r="Q303" i="16"/>
  <c r="P303" i="16" s="1"/>
  <c r="V303" i="16" s="1"/>
  <c r="F303" i="16" s="1"/>
  <c r="Q299" i="16"/>
  <c r="P299" i="16" s="1"/>
  <c r="V299" i="16" s="1"/>
  <c r="F299" i="16" s="1"/>
  <c r="Q295" i="16"/>
  <c r="P295" i="16" s="1"/>
  <c r="V295" i="16" s="1"/>
  <c r="F295" i="16" s="1"/>
  <c r="Q291" i="16"/>
  <c r="P291" i="16" s="1"/>
  <c r="V291" i="16" s="1"/>
  <c r="F291" i="16" s="1"/>
  <c r="G291" i="16" s="1"/>
  <c r="BY291" i="6" s="1"/>
  <c r="Q287" i="16"/>
  <c r="P287" i="16" s="1"/>
  <c r="V287" i="16" s="1"/>
  <c r="F287" i="16" s="1"/>
  <c r="Q283" i="16"/>
  <c r="P283" i="16" s="1"/>
  <c r="V283" i="16" s="1"/>
  <c r="F283" i="16" s="1"/>
  <c r="Q279" i="16"/>
  <c r="P279" i="16" s="1"/>
  <c r="V279" i="16" s="1"/>
  <c r="F279" i="16" s="1"/>
  <c r="Q275" i="16"/>
  <c r="P275" i="16" s="1"/>
  <c r="V275" i="16" s="1"/>
  <c r="F275" i="16" s="1"/>
  <c r="Q271" i="16"/>
  <c r="P271" i="16" s="1"/>
  <c r="V271" i="16" s="1"/>
  <c r="F271" i="16" s="1"/>
  <c r="Q267" i="16"/>
  <c r="P267" i="16" s="1"/>
  <c r="V267" i="16" s="1"/>
  <c r="F267" i="16" s="1"/>
  <c r="Q263" i="16"/>
  <c r="P263" i="16" s="1"/>
  <c r="V263" i="16" s="1"/>
  <c r="F263" i="16" s="1"/>
  <c r="Q259" i="16"/>
  <c r="P259" i="16" s="1"/>
  <c r="V259" i="16" s="1"/>
  <c r="F259" i="16" s="1"/>
  <c r="Q255" i="16"/>
  <c r="P255" i="16" s="1"/>
  <c r="V255" i="16" s="1"/>
  <c r="F255" i="16" s="1"/>
  <c r="Q251" i="16"/>
  <c r="P251" i="16" s="1"/>
  <c r="V251" i="16" s="1"/>
  <c r="F251" i="16" s="1"/>
  <c r="Q247" i="16"/>
  <c r="P247" i="16" s="1"/>
  <c r="V247" i="16" s="1"/>
  <c r="F247" i="16" s="1"/>
  <c r="Q243" i="16"/>
  <c r="P243" i="16" s="1"/>
  <c r="V243" i="16" s="1"/>
  <c r="F243" i="16" s="1"/>
  <c r="Q239" i="16"/>
  <c r="P239" i="16" s="1"/>
  <c r="V239" i="16" s="1"/>
  <c r="F239" i="16" s="1"/>
  <c r="Q235" i="16"/>
  <c r="P235" i="16" s="1"/>
  <c r="V235" i="16" s="1"/>
  <c r="F235" i="16" s="1"/>
  <c r="Q231" i="16"/>
  <c r="P231" i="16" s="1"/>
  <c r="V231" i="16" s="1"/>
  <c r="F231" i="16" s="1"/>
  <c r="Q227" i="16"/>
  <c r="P227" i="16" s="1"/>
  <c r="V227" i="16" s="1"/>
  <c r="F227" i="16" s="1"/>
  <c r="Q223" i="16"/>
  <c r="P223" i="16" s="1"/>
  <c r="V223" i="16" s="1"/>
  <c r="F223" i="16" s="1"/>
  <c r="Q219" i="16"/>
  <c r="P219" i="16" s="1"/>
  <c r="V219" i="16" s="1"/>
  <c r="F219" i="16" s="1"/>
  <c r="Q215" i="16"/>
  <c r="P215" i="16" s="1"/>
  <c r="V215" i="16" s="1"/>
  <c r="F215" i="16" s="1"/>
  <c r="Q211" i="16"/>
  <c r="P211" i="16" s="1"/>
  <c r="V211" i="16" s="1"/>
  <c r="F211" i="16" s="1"/>
  <c r="Q207" i="16"/>
  <c r="P207" i="16" s="1"/>
  <c r="V207" i="16" s="1"/>
  <c r="F207" i="16" s="1"/>
  <c r="Q199" i="16"/>
  <c r="P199" i="16" s="1"/>
  <c r="V199" i="16" s="1"/>
  <c r="F199" i="16" s="1"/>
  <c r="Q191" i="16"/>
  <c r="P191" i="16" s="1"/>
  <c r="V191" i="16" s="1"/>
  <c r="F191" i="16" s="1"/>
  <c r="Q183" i="16"/>
  <c r="P183" i="16" s="1"/>
  <c r="V183" i="16" s="1"/>
  <c r="F183" i="16" s="1"/>
  <c r="Q175" i="16"/>
  <c r="P175" i="16" s="1"/>
  <c r="V175" i="16" s="1"/>
  <c r="F175" i="16" s="1"/>
  <c r="G175" i="16" s="1"/>
  <c r="BY175" i="6" s="1"/>
  <c r="Q167" i="16"/>
  <c r="P167" i="16" s="1"/>
  <c r="V167" i="16" s="1"/>
  <c r="Q159" i="16"/>
  <c r="P159" i="16" s="1"/>
  <c r="V159" i="16" s="1"/>
  <c r="F159" i="16" s="1"/>
  <c r="Q151" i="16"/>
  <c r="P151" i="16" s="1"/>
  <c r="V151" i="16" s="1"/>
  <c r="F151" i="16" s="1"/>
  <c r="Q134" i="16"/>
  <c r="P134" i="16" s="1"/>
  <c r="V134" i="16" s="1"/>
  <c r="F134" i="16" s="1"/>
  <c r="G134" i="16" s="1"/>
  <c r="BY134" i="6" s="1"/>
  <c r="Q78" i="16"/>
  <c r="P78" i="16" s="1"/>
  <c r="V78" i="16" s="1"/>
  <c r="AA379" i="15"/>
  <c r="Z379" i="15" s="1"/>
  <c r="Y379" i="15" s="1"/>
  <c r="P221" i="16"/>
  <c r="V221" i="16" s="1"/>
  <c r="F221" i="16" s="1"/>
  <c r="Q110" i="16"/>
  <c r="P110" i="16" s="1"/>
  <c r="V110" i="16" s="1"/>
  <c r="F110" i="16" s="1"/>
  <c r="G110" i="16" s="1"/>
  <c r="BY110" i="6" s="1"/>
  <c r="Q147" i="16"/>
  <c r="P147" i="16" s="1"/>
  <c r="V147" i="16" s="1"/>
  <c r="F147" i="16" s="1"/>
  <c r="Q139" i="16"/>
  <c r="P139" i="16" s="1"/>
  <c r="V139" i="16" s="1"/>
  <c r="F139" i="16" s="1"/>
  <c r="Q126" i="16"/>
  <c r="P126" i="16" s="1"/>
  <c r="V126" i="16" s="1"/>
  <c r="F126" i="16" s="1"/>
  <c r="G126" i="16" s="1"/>
  <c r="BY126" i="6" s="1"/>
  <c r="Q94" i="16"/>
  <c r="P94" i="16" s="1"/>
  <c r="V94" i="16" s="1"/>
  <c r="F94" i="16" s="1"/>
  <c r="G94" i="16" s="1"/>
  <c r="BY94" i="6" s="1"/>
  <c r="Q46" i="16"/>
  <c r="P46" i="16" s="1"/>
  <c r="V46" i="16" s="1"/>
  <c r="F46" i="16" s="1"/>
  <c r="Q62" i="16"/>
  <c r="P62" i="16" s="1"/>
  <c r="V62" i="16" s="1"/>
  <c r="F62" i="16" s="1"/>
  <c r="G62" i="16" s="1"/>
  <c r="BY62" i="6" s="1"/>
  <c r="Q30" i="16"/>
  <c r="P30" i="16" s="1"/>
  <c r="V30" i="16" s="1"/>
  <c r="F30" i="16" s="1"/>
  <c r="G30" i="16" s="1"/>
  <c r="BY30" i="6" s="1"/>
  <c r="Q205" i="16"/>
  <c r="P205" i="16" s="1"/>
  <c r="V205" i="16" s="1"/>
  <c r="F205" i="16" s="1"/>
  <c r="Q201" i="16"/>
  <c r="P201" i="16" s="1"/>
  <c r="V201" i="16" s="1"/>
  <c r="F201" i="16" s="1"/>
  <c r="Q197" i="16"/>
  <c r="P197" i="16" s="1"/>
  <c r="V197" i="16" s="1"/>
  <c r="Q193" i="16"/>
  <c r="P193" i="16" s="1"/>
  <c r="V193" i="16" s="1"/>
  <c r="F193" i="16" s="1"/>
  <c r="Q189" i="16"/>
  <c r="P189" i="16" s="1"/>
  <c r="V189" i="16" s="1"/>
  <c r="F189" i="16" s="1"/>
  <c r="G189" i="16" s="1"/>
  <c r="BY189" i="6" s="1"/>
  <c r="Q185" i="16"/>
  <c r="P185" i="16" s="1"/>
  <c r="V185" i="16" s="1"/>
  <c r="F185" i="16" s="1"/>
  <c r="G185" i="16" s="1"/>
  <c r="BY185" i="6" s="1"/>
  <c r="Q181" i="16"/>
  <c r="P181" i="16" s="1"/>
  <c r="V181" i="16" s="1"/>
  <c r="F181" i="16" s="1"/>
  <c r="G181" i="16" s="1"/>
  <c r="BY181" i="6" s="1"/>
  <c r="Q177" i="16"/>
  <c r="P177" i="16" s="1"/>
  <c r="V177" i="16" s="1"/>
  <c r="F177" i="16" s="1"/>
  <c r="G177" i="16" s="1"/>
  <c r="BY177" i="6" s="1"/>
  <c r="Q173" i="16"/>
  <c r="P173" i="16" s="1"/>
  <c r="V173" i="16" s="1"/>
  <c r="F173" i="16" s="1"/>
  <c r="G173" i="16" s="1"/>
  <c r="BY173" i="6" s="1"/>
  <c r="Q169" i="16"/>
  <c r="P169" i="16" s="1"/>
  <c r="V169" i="16" s="1"/>
  <c r="F169" i="16" s="1"/>
  <c r="G169" i="16" s="1"/>
  <c r="BY169" i="6" s="1"/>
  <c r="Q165" i="16"/>
  <c r="P165" i="16" s="1"/>
  <c r="V165" i="16" s="1"/>
  <c r="F165" i="16" s="1"/>
  <c r="G165" i="16" s="1"/>
  <c r="BY165" i="6" s="1"/>
  <c r="Q161" i="16"/>
  <c r="P161" i="16" s="1"/>
  <c r="V161" i="16" s="1"/>
  <c r="F161" i="16" s="1"/>
  <c r="Q157" i="16"/>
  <c r="P157" i="16" s="1"/>
  <c r="V157" i="16" s="1"/>
  <c r="F157" i="16" s="1"/>
  <c r="Q153" i="16"/>
  <c r="P153" i="16" s="1"/>
  <c r="V153" i="16" s="1"/>
  <c r="F153" i="16" s="1"/>
  <c r="Q149" i="16"/>
  <c r="P149" i="16" s="1"/>
  <c r="V149" i="16" s="1"/>
  <c r="F149" i="16" s="1"/>
  <c r="Q145" i="16"/>
  <c r="P145" i="16" s="1"/>
  <c r="V145" i="16" s="1"/>
  <c r="F145" i="16" s="1"/>
  <c r="Q141" i="16"/>
  <c r="P141" i="16" s="1"/>
  <c r="V141" i="16" s="1"/>
  <c r="F141" i="16" s="1"/>
  <c r="G141" i="16" s="1"/>
  <c r="BY141" i="6" s="1"/>
  <c r="Q137" i="16"/>
  <c r="P137" i="16" s="1"/>
  <c r="V137" i="16" s="1"/>
  <c r="F137" i="16" s="1"/>
  <c r="Q130" i="16"/>
  <c r="P130" i="16" s="1"/>
  <c r="V130" i="16" s="1"/>
  <c r="F130" i="16" s="1"/>
  <c r="G130" i="16" s="1"/>
  <c r="BY130" i="6" s="1"/>
  <c r="Q118" i="16"/>
  <c r="P118" i="16" s="1"/>
  <c r="V118" i="16" s="1"/>
  <c r="F118" i="16" s="1"/>
  <c r="G118" i="16" s="1"/>
  <c r="BY118" i="6" s="1"/>
  <c r="Q102" i="16"/>
  <c r="P102" i="16" s="1"/>
  <c r="V102" i="16" s="1"/>
  <c r="F102" i="16" s="1"/>
  <c r="G102" i="16" s="1"/>
  <c r="BY102" i="6" s="1"/>
  <c r="Q86" i="16"/>
  <c r="P86" i="16" s="1"/>
  <c r="V86" i="16" s="1"/>
  <c r="F86" i="16" s="1"/>
  <c r="G86" i="16" s="1"/>
  <c r="BY86" i="6" s="1"/>
  <c r="Q70" i="16"/>
  <c r="P70" i="16" s="1"/>
  <c r="V70" i="16" s="1"/>
  <c r="F70" i="16" s="1"/>
  <c r="Q54" i="16"/>
  <c r="P54" i="16" s="1"/>
  <c r="V54" i="16" s="1"/>
  <c r="F54" i="16" s="1"/>
  <c r="G54" i="16" s="1"/>
  <c r="BY54" i="6" s="1"/>
  <c r="Q38" i="16"/>
  <c r="P38" i="16" s="1"/>
  <c r="V38" i="16" s="1"/>
  <c r="F38" i="16" s="1"/>
  <c r="G38" i="16" s="1"/>
  <c r="BY38" i="6" s="1"/>
  <c r="M62" i="19"/>
  <c r="AE377" i="16"/>
  <c r="Q18" i="16"/>
  <c r="P18" i="16" s="1"/>
  <c r="V18" i="16" s="1"/>
  <c r="F18" i="16" s="1"/>
  <c r="G18" i="16" s="1"/>
  <c r="BY18" i="6" s="1"/>
  <c r="Q26" i="16"/>
  <c r="P26" i="16" s="1"/>
  <c r="V26" i="16" s="1"/>
  <c r="Q34" i="16"/>
  <c r="P34" i="16" s="1"/>
  <c r="V34" i="16" s="1"/>
  <c r="F34" i="16" s="1"/>
  <c r="G34" i="16" s="1"/>
  <c r="BY34" i="6" s="1"/>
  <c r="Q42" i="16"/>
  <c r="P42" i="16" s="1"/>
  <c r="V42" i="16" s="1"/>
  <c r="F42" i="16" s="1"/>
  <c r="G42" i="16" s="1"/>
  <c r="BY42" i="6" s="1"/>
  <c r="Q50" i="16"/>
  <c r="P50" i="16" s="1"/>
  <c r="V50" i="16" s="1"/>
  <c r="Q58" i="16"/>
  <c r="P58" i="16" s="1"/>
  <c r="V58" i="16" s="1"/>
  <c r="F58" i="16" s="1"/>
  <c r="Q66" i="16"/>
  <c r="P66" i="16" s="1"/>
  <c r="V66" i="16" s="1"/>
  <c r="F66" i="16" s="1"/>
  <c r="G66" i="16" s="1"/>
  <c r="BY66" i="6" s="1"/>
  <c r="Q74" i="16"/>
  <c r="P74" i="16" s="1"/>
  <c r="V74" i="16" s="1"/>
  <c r="F74" i="16" s="1"/>
  <c r="Q82" i="16"/>
  <c r="P82" i="16" s="1"/>
  <c r="V82" i="16" s="1"/>
  <c r="F82" i="16" s="1"/>
  <c r="G82" i="16" s="1"/>
  <c r="BY82" i="6" s="1"/>
  <c r="Q90" i="16"/>
  <c r="P90" i="16" s="1"/>
  <c r="V90" i="16" s="1"/>
  <c r="F90" i="16" s="1"/>
  <c r="G90" i="16" s="1"/>
  <c r="BY90" i="6" s="1"/>
  <c r="Q98" i="16"/>
  <c r="P98" i="16" s="1"/>
  <c r="V98" i="16" s="1"/>
  <c r="F98" i="16" s="1"/>
  <c r="G98" i="16" s="1"/>
  <c r="BY98" i="6" s="1"/>
  <c r="Q106" i="16"/>
  <c r="P106" i="16" s="1"/>
  <c r="V106" i="16" s="1"/>
  <c r="Q114" i="16"/>
  <c r="P114" i="16" s="1"/>
  <c r="V114" i="16" s="1"/>
  <c r="Q122" i="16"/>
  <c r="P122" i="16" s="1"/>
  <c r="V122" i="16" s="1"/>
  <c r="F122" i="16" s="1"/>
  <c r="G122" i="16" s="1"/>
  <c r="BY122" i="6" s="1"/>
  <c r="Q128" i="16"/>
  <c r="P128" i="16" s="1"/>
  <c r="V128" i="16" s="1"/>
  <c r="F128" i="16" s="1"/>
  <c r="G128" i="16" s="1"/>
  <c r="BY128" i="6" s="1"/>
  <c r="Q132" i="16"/>
  <c r="P132" i="16" s="1"/>
  <c r="V132" i="16" s="1"/>
  <c r="F132" i="16" s="1"/>
  <c r="G132" i="16" s="1"/>
  <c r="BY132" i="6" s="1"/>
  <c r="Q136" i="16"/>
  <c r="P136" i="16" s="1"/>
  <c r="Q138" i="16"/>
  <c r="P138" i="16" s="1"/>
  <c r="V138" i="16" s="1"/>
  <c r="F138" i="16" s="1"/>
  <c r="G138" i="16" s="1"/>
  <c r="BY138" i="6" s="1"/>
  <c r="Q140" i="16"/>
  <c r="P140" i="16" s="1"/>
  <c r="V140" i="16" s="1"/>
  <c r="F140" i="16" s="1"/>
  <c r="G140" i="16" s="1"/>
  <c r="BY140" i="6" s="1"/>
  <c r="Q142" i="16"/>
  <c r="P142" i="16" s="1"/>
  <c r="V142" i="16" s="1"/>
  <c r="F142" i="16" s="1"/>
  <c r="Q144" i="16"/>
  <c r="P144" i="16" s="1"/>
  <c r="V144" i="16" s="1"/>
  <c r="F144" i="16" s="1"/>
  <c r="G144" i="16" s="1"/>
  <c r="BY144" i="6" s="1"/>
  <c r="Q146" i="16"/>
  <c r="P146" i="16" s="1"/>
  <c r="V146" i="16" s="1"/>
  <c r="F146" i="16" s="1"/>
  <c r="G146" i="16" s="1"/>
  <c r="BY146" i="6" s="1"/>
  <c r="Q148" i="16"/>
  <c r="P148" i="16" s="1"/>
  <c r="V148" i="16" s="1"/>
  <c r="F148" i="16" s="1"/>
  <c r="G148" i="16" s="1"/>
  <c r="BY148" i="6" s="1"/>
  <c r="Q150" i="16"/>
  <c r="P150" i="16" s="1"/>
  <c r="V150" i="16" s="1"/>
  <c r="F150" i="16" s="1"/>
  <c r="G150" i="16" s="1"/>
  <c r="BY150" i="6" s="1"/>
  <c r="Q152" i="16"/>
  <c r="P152" i="16" s="1"/>
  <c r="V152" i="16" s="1"/>
  <c r="F152" i="16" s="1"/>
  <c r="G152" i="16" s="1"/>
  <c r="BY152" i="6" s="1"/>
  <c r="Q154" i="16"/>
  <c r="P154" i="16" s="1"/>
  <c r="V154" i="16" s="1"/>
  <c r="F154" i="16" s="1"/>
  <c r="G154" i="16" s="1"/>
  <c r="BY154" i="6" s="1"/>
  <c r="Q156" i="16"/>
  <c r="P156" i="16" s="1"/>
  <c r="V156" i="16" s="1"/>
  <c r="F156" i="16" s="1"/>
  <c r="G156" i="16" s="1"/>
  <c r="BY156" i="6" s="1"/>
  <c r="Q158" i="16"/>
  <c r="P158" i="16" s="1"/>
  <c r="V158" i="16" s="1"/>
  <c r="F158" i="16" s="1"/>
  <c r="Q160" i="16"/>
  <c r="P160" i="16" s="1"/>
  <c r="V160" i="16" s="1"/>
  <c r="F160" i="16" s="1"/>
  <c r="G160" i="16" s="1"/>
  <c r="BY160" i="6" s="1"/>
  <c r="Q162" i="16"/>
  <c r="P162" i="16" s="1"/>
  <c r="V162" i="16" s="1"/>
  <c r="F162" i="16" s="1"/>
  <c r="G162" i="16" s="1"/>
  <c r="BY162" i="6" s="1"/>
  <c r="Q164" i="16"/>
  <c r="P164" i="16" s="1"/>
  <c r="V164" i="16" s="1"/>
  <c r="F164" i="16" s="1"/>
  <c r="G164" i="16" s="1"/>
  <c r="BY164" i="6" s="1"/>
  <c r="Q166" i="16"/>
  <c r="P166" i="16" s="1"/>
  <c r="V166" i="16" s="1"/>
  <c r="F166" i="16" s="1"/>
  <c r="G166" i="16" s="1"/>
  <c r="BY166" i="6" s="1"/>
  <c r="Q168" i="16"/>
  <c r="P168" i="16" s="1"/>
  <c r="V168" i="16" s="1"/>
  <c r="F168" i="16" s="1"/>
  <c r="G168" i="16" s="1"/>
  <c r="BY168" i="6" s="1"/>
  <c r="Q170" i="16"/>
  <c r="P170" i="16" s="1"/>
  <c r="V170" i="16" s="1"/>
  <c r="F170" i="16" s="1"/>
  <c r="G170" i="16" s="1"/>
  <c r="BY170" i="6" s="1"/>
  <c r="Q172" i="16"/>
  <c r="P172" i="16" s="1"/>
  <c r="V172" i="16" s="1"/>
  <c r="F172" i="16" s="1"/>
  <c r="G172" i="16" s="1"/>
  <c r="BY172" i="6" s="1"/>
  <c r="Q174" i="16"/>
  <c r="P174" i="16" s="1"/>
  <c r="V174" i="16" s="1"/>
  <c r="F174" i="16" s="1"/>
  <c r="G174" i="16" s="1"/>
  <c r="BY174" i="6" s="1"/>
  <c r="Q176" i="16"/>
  <c r="P176" i="16" s="1"/>
  <c r="V176" i="16" s="1"/>
  <c r="F176" i="16" s="1"/>
  <c r="G176" i="16" s="1"/>
  <c r="BY176" i="6" s="1"/>
  <c r="Q178" i="16"/>
  <c r="P178" i="16" s="1"/>
  <c r="V178" i="16" s="1"/>
  <c r="F178" i="16" s="1"/>
  <c r="G178" i="16" s="1"/>
  <c r="BY178" i="6" s="1"/>
  <c r="Q180" i="16"/>
  <c r="P180" i="16" s="1"/>
  <c r="Q182" i="16"/>
  <c r="P182" i="16" s="1"/>
  <c r="V182" i="16" s="1"/>
  <c r="F182" i="16" s="1"/>
  <c r="G182" i="16" s="1"/>
  <c r="BY182" i="6" s="1"/>
  <c r="Q184" i="16"/>
  <c r="P184" i="16" s="1"/>
  <c r="V184" i="16" s="1"/>
  <c r="F184" i="16" s="1"/>
  <c r="G184" i="16" s="1"/>
  <c r="BY184" i="6" s="1"/>
  <c r="Q186" i="16"/>
  <c r="P186" i="16" s="1"/>
  <c r="V186" i="16" s="1"/>
  <c r="F186" i="16" s="1"/>
  <c r="G186" i="16" s="1"/>
  <c r="BY186" i="6" s="1"/>
  <c r="Q188" i="16"/>
  <c r="P188" i="16" s="1"/>
  <c r="V188" i="16" s="1"/>
  <c r="F188" i="16" s="1"/>
  <c r="G188" i="16" s="1"/>
  <c r="BY188" i="6" s="1"/>
  <c r="Q190" i="16"/>
  <c r="P190" i="16" s="1"/>
  <c r="V190" i="16" s="1"/>
  <c r="F190" i="16" s="1"/>
  <c r="Q192" i="16"/>
  <c r="P192" i="16" s="1"/>
  <c r="V192" i="16" s="1"/>
  <c r="F192" i="16" s="1"/>
  <c r="Q194" i="16"/>
  <c r="P194" i="16" s="1"/>
  <c r="V194" i="16" s="1"/>
  <c r="F194" i="16" s="1"/>
  <c r="Q196" i="16"/>
  <c r="P196" i="16" s="1"/>
  <c r="V196" i="16" s="1"/>
  <c r="F196" i="16" s="1"/>
  <c r="Q198" i="16"/>
  <c r="P198" i="16" s="1"/>
  <c r="V198" i="16" s="1"/>
  <c r="F198" i="16" s="1"/>
  <c r="Q200" i="16"/>
  <c r="P200" i="16" s="1"/>
  <c r="V200" i="16" s="1"/>
  <c r="F200" i="16" s="1"/>
  <c r="Q202" i="16"/>
  <c r="P202" i="16" s="1"/>
  <c r="V202" i="16" s="1"/>
  <c r="F202" i="16" s="1"/>
  <c r="Q204" i="16"/>
  <c r="P204" i="16" s="1"/>
  <c r="V204" i="16" s="1"/>
  <c r="F204" i="16" s="1"/>
  <c r="Q206" i="16"/>
  <c r="P206" i="16" s="1"/>
  <c r="V206" i="16" s="1"/>
  <c r="F206" i="16" s="1"/>
  <c r="Q208" i="16"/>
  <c r="P208" i="16" s="1"/>
  <c r="V208" i="16" s="1"/>
  <c r="F208" i="16" s="1"/>
  <c r="Q210" i="16"/>
  <c r="P210" i="16" s="1"/>
  <c r="V210" i="16" s="1"/>
  <c r="F210" i="16" s="1"/>
  <c r="Q212" i="16"/>
  <c r="P212" i="16" s="1"/>
  <c r="V212" i="16" s="1"/>
  <c r="F212" i="16" s="1"/>
  <c r="Q214" i="16"/>
  <c r="P214" i="16" s="1"/>
  <c r="V214" i="16" s="1"/>
  <c r="F214" i="16" s="1"/>
  <c r="Q216" i="16"/>
  <c r="P216" i="16" s="1"/>
  <c r="V216" i="16" s="1"/>
  <c r="F216" i="16" s="1"/>
  <c r="Q218" i="16"/>
  <c r="P218" i="16" s="1"/>
  <c r="V218" i="16" s="1"/>
  <c r="F218" i="16" s="1"/>
  <c r="Q220" i="16"/>
  <c r="P220" i="16" s="1"/>
  <c r="V220" i="16" s="1"/>
  <c r="F220" i="16" s="1"/>
  <c r="Q222" i="16"/>
  <c r="P222" i="16" s="1"/>
  <c r="V222" i="16" s="1"/>
  <c r="F222" i="16" s="1"/>
  <c r="Q224" i="16"/>
  <c r="P224" i="16" s="1"/>
  <c r="V224" i="16" s="1"/>
  <c r="F224" i="16" s="1"/>
  <c r="Q226" i="16"/>
  <c r="P226" i="16" s="1"/>
  <c r="V226" i="16" s="1"/>
  <c r="F226" i="16" s="1"/>
  <c r="Q228" i="16"/>
  <c r="P228" i="16" s="1"/>
  <c r="V228" i="16" s="1"/>
  <c r="Q230" i="16"/>
  <c r="P230" i="16" s="1"/>
  <c r="V230" i="16" s="1"/>
  <c r="F230" i="16" s="1"/>
  <c r="Q232" i="16"/>
  <c r="P232" i="16" s="1"/>
  <c r="V232" i="16" s="1"/>
  <c r="F232" i="16" s="1"/>
  <c r="Q234" i="16"/>
  <c r="P234" i="16" s="1"/>
  <c r="V234" i="16" s="1"/>
  <c r="F234" i="16" s="1"/>
  <c r="Q236" i="16"/>
  <c r="P236" i="16" s="1"/>
  <c r="V236" i="16" s="1"/>
  <c r="F236" i="16" s="1"/>
  <c r="Q238" i="16"/>
  <c r="P238" i="16" s="1"/>
  <c r="V238" i="16" s="1"/>
  <c r="F238" i="16" s="1"/>
  <c r="Q240" i="16"/>
  <c r="P240" i="16" s="1"/>
  <c r="V240" i="16" s="1"/>
  <c r="F240" i="16" s="1"/>
  <c r="Q242" i="16"/>
  <c r="P242" i="16" s="1"/>
  <c r="V242" i="16" s="1"/>
  <c r="F242" i="16" s="1"/>
  <c r="Q244" i="16"/>
  <c r="P244" i="16" s="1"/>
  <c r="V244" i="16" s="1"/>
  <c r="F244" i="16" s="1"/>
  <c r="Q246" i="16"/>
  <c r="P246" i="16" s="1"/>
  <c r="V246" i="16" s="1"/>
  <c r="F246" i="16" s="1"/>
  <c r="Q248" i="16"/>
  <c r="P248" i="16" s="1"/>
  <c r="V248" i="16" s="1"/>
  <c r="F248" i="16" s="1"/>
  <c r="Q250" i="16"/>
  <c r="P250" i="16" s="1"/>
  <c r="V250" i="16" s="1"/>
  <c r="F250" i="16" s="1"/>
  <c r="Q252" i="16"/>
  <c r="P252" i="16" s="1"/>
  <c r="V252" i="16" s="1"/>
  <c r="F252" i="16" s="1"/>
  <c r="Q254" i="16"/>
  <c r="P254" i="16" s="1"/>
  <c r="V254" i="16" s="1"/>
  <c r="F254" i="16" s="1"/>
  <c r="Q256" i="16"/>
  <c r="P256" i="16" s="1"/>
  <c r="V256" i="16" s="1"/>
  <c r="F256" i="16" s="1"/>
  <c r="Q258" i="16"/>
  <c r="P258" i="16" s="1"/>
  <c r="V258" i="16" s="1"/>
  <c r="F258" i="16" s="1"/>
  <c r="Q260" i="16"/>
  <c r="P260" i="16" s="1"/>
  <c r="V260" i="16" s="1"/>
  <c r="F260" i="16" s="1"/>
  <c r="Q262" i="16"/>
  <c r="P262" i="16" s="1"/>
  <c r="V262" i="16" s="1"/>
  <c r="F262" i="16" s="1"/>
  <c r="Q264" i="16"/>
  <c r="P264" i="16" s="1"/>
  <c r="V264" i="16" s="1"/>
  <c r="F264" i="16" s="1"/>
  <c r="Q266" i="16"/>
  <c r="P266" i="16" s="1"/>
  <c r="V266" i="16" s="1"/>
  <c r="F266" i="16" s="1"/>
  <c r="Q268" i="16"/>
  <c r="P268" i="16" s="1"/>
  <c r="V268" i="16" s="1"/>
  <c r="F268" i="16" s="1"/>
  <c r="Q270" i="16"/>
  <c r="P270" i="16" s="1"/>
  <c r="V270" i="16" s="1"/>
  <c r="F270" i="16" s="1"/>
  <c r="Q272" i="16"/>
  <c r="P272" i="16" s="1"/>
  <c r="D52" i="7" s="1"/>
  <c r="Q274" i="16"/>
  <c r="P274" i="16" s="1"/>
  <c r="V274" i="16" s="1"/>
  <c r="F274" i="16" s="1"/>
  <c r="Q276" i="16"/>
  <c r="P276" i="16" s="1"/>
  <c r="V276" i="16" s="1"/>
  <c r="F276" i="16" s="1"/>
  <c r="Q278" i="16"/>
  <c r="P278" i="16" s="1"/>
  <c r="V278" i="16" s="1"/>
  <c r="F278" i="16" s="1"/>
  <c r="Q280" i="16"/>
  <c r="P280" i="16" s="1"/>
  <c r="V280" i="16" s="1"/>
  <c r="F280" i="16" s="1"/>
  <c r="Q282" i="16"/>
  <c r="P282" i="16" s="1"/>
  <c r="V282" i="16" s="1"/>
  <c r="F282" i="16" s="1"/>
  <c r="G282" i="16" s="1"/>
  <c r="BY282" i="6" s="1"/>
  <c r="Q284" i="16"/>
  <c r="P284" i="16" s="1"/>
  <c r="V284" i="16" s="1"/>
  <c r="F284" i="16" s="1"/>
  <c r="Q286" i="16"/>
  <c r="P286" i="16" s="1"/>
  <c r="V286" i="16" s="1"/>
  <c r="F286" i="16" s="1"/>
  <c r="Q288" i="16"/>
  <c r="P288" i="16" s="1"/>
  <c r="V288" i="16" s="1"/>
  <c r="F288" i="16" s="1"/>
  <c r="Q290" i="16"/>
  <c r="P290" i="16" s="1"/>
  <c r="V290" i="16" s="1"/>
  <c r="F290" i="16" s="1"/>
  <c r="Q292" i="16"/>
  <c r="P292" i="16" s="1"/>
  <c r="V292" i="16" s="1"/>
  <c r="F292" i="16" s="1"/>
  <c r="Q294" i="16"/>
  <c r="P294" i="16" s="1"/>
  <c r="V294" i="16" s="1"/>
  <c r="F294" i="16" s="1"/>
  <c r="Q296" i="16"/>
  <c r="P296" i="16" s="1"/>
  <c r="V296" i="16" s="1"/>
  <c r="F296" i="16" s="1"/>
  <c r="Q298" i="16"/>
  <c r="P298" i="16" s="1"/>
  <c r="V298" i="16" s="1"/>
  <c r="F298" i="16" s="1"/>
  <c r="Q300" i="16"/>
  <c r="P300" i="16" s="1"/>
  <c r="V300" i="16" s="1"/>
  <c r="F300" i="16" s="1"/>
  <c r="Q302" i="16"/>
  <c r="P302" i="16" s="1"/>
  <c r="V302" i="16" s="1"/>
  <c r="F302" i="16" s="1"/>
  <c r="Q304" i="16"/>
  <c r="P304" i="16" s="1"/>
  <c r="V304" i="16" s="1"/>
  <c r="F304" i="16" s="1"/>
  <c r="Q306" i="16"/>
  <c r="P306" i="16" s="1"/>
  <c r="V306" i="16" s="1"/>
  <c r="F306" i="16" s="1"/>
  <c r="Q308" i="16"/>
  <c r="P308" i="16" s="1"/>
  <c r="V308" i="16" s="1"/>
  <c r="F308" i="16" s="1"/>
  <c r="G308" i="16" s="1"/>
  <c r="BY308" i="6" s="1"/>
  <c r="Q310" i="16"/>
  <c r="P310" i="16" s="1"/>
  <c r="V310" i="16" s="1"/>
  <c r="F310" i="16" s="1"/>
  <c r="Q312" i="16"/>
  <c r="P312" i="16" s="1"/>
  <c r="V312" i="16" s="1"/>
  <c r="F312" i="16" s="1"/>
  <c r="Q314" i="16"/>
  <c r="P314" i="16" s="1"/>
  <c r="V314" i="16" s="1"/>
  <c r="F314" i="16" s="1"/>
  <c r="G314" i="16" s="1"/>
  <c r="BY314" i="6" s="1"/>
  <c r="Q316" i="16"/>
  <c r="P316" i="16" s="1"/>
  <c r="V316" i="16" s="1"/>
  <c r="F316" i="16" s="1"/>
  <c r="Q318" i="16"/>
  <c r="P318" i="16" s="1"/>
  <c r="V318" i="16" s="1"/>
  <c r="F318" i="16" s="1"/>
  <c r="Q320" i="16"/>
  <c r="P320" i="16" s="1"/>
  <c r="V320" i="16" s="1"/>
  <c r="F320" i="16" s="1"/>
  <c r="Q322" i="16"/>
  <c r="P322" i="16" s="1"/>
  <c r="V322" i="16" s="1"/>
  <c r="F322" i="16" s="1"/>
  <c r="Q324" i="16"/>
  <c r="P324" i="16" s="1"/>
  <c r="V324" i="16" s="1"/>
  <c r="F324" i="16" s="1"/>
  <c r="Q326" i="16"/>
  <c r="P326" i="16" s="1"/>
  <c r="V326" i="16" s="1"/>
  <c r="F326" i="16" s="1"/>
  <c r="Q328" i="16"/>
  <c r="P328" i="16" s="1"/>
  <c r="V328" i="16" s="1"/>
  <c r="F328" i="16" s="1"/>
  <c r="Q330" i="16"/>
  <c r="P330" i="16" s="1"/>
  <c r="V330" i="16" s="1"/>
  <c r="F330" i="16" s="1"/>
  <c r="Q332" i="16"/>
  <c r="P332" i="16" s="1"/>
  <c r="V332" i="16" s="1"/>
  <c r="F332" i="16" s="1"/>
  <c r="Q334" i="16"/>
  <c r="P334" i="16" s="1"/>
  <c r="V334" i="16" s="1"/>
  <c r="F334" i="16" s="1"/>
  <c r="Q336" i="16"/>
  <c r="P336" i="16" s="1"/>
  <c r="V336" i="16" s="1"/>
  <c r="F336" i="16" s="1"/>
  <c r="G336" i="16" s="1"/>
  <c r="BY336" i="6" s="1"/>
  <c r="Q338" i="16"/>
  <c r="P338" i="16" s="1"/>
  <c r="V338" i="16" s="1"/>
  <c r="F338" i="16" s="1"/>
  <c r="Q340" i="16"/>
  <c r="P340" i="16" s="1"/>
  <c r="V340" i="16" s="1"/>
  <c r="F340" i="16" s="1"/>
  <c r="Q342" i="16"/>
  <c r="P342" i="16" s="1"/>
  <c r="V342" i="16" s="1"/>
  <c r="F342" i="16" s="1"/>
  <c r="Q344" i="16"/>
  <c r="P344" i="16" s="1"/>
  <c r="V344" i="16" s="1"/>
  <c r="F344" i="16" s="1"/>
  <c r="G344" i="16" s="1"/>
  <c r="BY344" i="6" s="1"/>
  <c r="Q346" i="16"/>
  <c r="P346" i="16" s="1"/>
  <c r="V346" i="16" s="1"/>
  <c r="F346" i="16" s="1"/>
  <c r="Q348" i="16"/>
  <c r="P348" i="16" s="1"/>
  <c r="V348" i="16" s="1"/>
  <c r="F348" i="16" s="1"/>
  <c r="Q350" i="16"/>
  <c r="P350" i="16" s="1"/>
  <c r="V350" i="16" s="1"/>
  <c r="Q352" i="16"/>
  <c r="P352" i="16" s="1"/>
  <c r="V352" i="16" s="1"/>
  <c r="F352" i="16" s="1"/>
  <c r="G352" i="16" s="1"/>
  <c r="BY352" i="6" s="1"/>
  <c r="Q354" i="16"/>
  <c r="P354" i="16" s="1"/>
  <c r="V354" i="16" s="1"/>
  <c r="F354" i="16" s="1"/>
  <c r="G354" i="16" s="1"/>
  <c r="BY354" i="6" s="1"/>
  <c r="Q356" i="16"/>
  <c r="P356" i="16" s="1"/>
  <c r="V356" i="16" s="1"/>
  <c r="F356" i="16" s="1"/>
  <c r="Q358" i="16"/>
  <c r="P358" i="16" s="1"/>
  <c r="V358" i="16" s="1"/>
  <c r="F358" i="16" s="1"/>
  <c r="Q360" i="16"/>
  <c r="P360" i="16" s="1"/>
  <c r="V360" i="16" s="1"/>
  <c r="F360" i="16" s="1"/>
  <c r="Q362" i="16"/>
  <c r="P362" i="16" s="1"/>
  <c r="V362" i="16" s="1"/>
  <c r="F362" i="16" s="1"/>
  <c r="G362" i="16" s="1"/>
  <c r="BY362" i="6" s="1"/>
  <c r="Q364" i="16"/>
  <c r="P364" i="16" s="1"/>
  <c r="V364" i="16" s="1"/>
  <c r="F364" i="16" s="1"/>
  <c r="G364" i="16" s="1"/>
  <c r="BY364" i="6" s="1"/>
  <c r="Q366" i="16"/>
  <c r="P366" i="16" s="1"/>
  <c r="V366" i="16" s="1"/>
  <c r="F366" i="16" s="1"/>
  <c r="G366" i="16" s="1"/>
  <c r="BY366" i="6" s="1"/>
  <c r="Q368" i="16"/>
  <c r="P368" i="16" s="1"/>
  <c r="V368" i="16" s="1"/>
  <c r="F368" i="16" s="1"/>
  <c r="G368" i="16" s="1"/>
  <c r="BY368" i="6" s="1"/>
  <c r="Q370" i="16"/>
  <c r="P370" i="16" s="1"/>
  <c r="V370" i="16" s="1"/>
  <c r="F370" i="16" s="1"/>
  <c r="G370" i="16" s="1"/>
  <c r="BY370" i="6" s="1"/>
  <c r="Q372" i="16"/>
  <c r="P372" i="16" s="1"/>
  <c r="V372" i="16" s="1"/>
  <c r="F372" i="16" s="1"/>
  <c r="G372" i="16" s="1"/>
  <c r="BY372" i="6" s="1"/>
  <c r="Q374" i="16"/>
  <c r="P374" i="16" s="1"/>
  <c r="V374" i="16" s="1"/>
  <c r="F374" i="16" s="1"/>
  <c r="G374" i="16" s="1"/>
  <c r="BY374" i="6" s="1"/>
  <c r="Q124" i="16"/>
  <c r="P124" i="16" s="1"/>
  <c r="V124" i="16" s="1"/>
  <c r="F124" i="16" s="1"/>
  <c r="G124" i="16" s="1"/>
  <c r="BY124" i="6" s="1"/>
  <c r="Q120" i="16"/>
  <c r="P120" i="16" s="1"/>
  <c r="V120" i="16" s="1"/>
  <c r="F120" i="16" s="1"/>
  <c r="Q116" i="16"/>
  <c r="P116" i="16" s="1"/>
  <c r="V116" i="16" s="1"/>
  <c r="F116" i="16" s="1"/>
  <c r="G116" i="16" s="1"/>
  <c r="BY116" i="6" s="1"/>
  <c r="Q112" i="16"/>
  <c r="P112" i="16" s="1"/>
  <c r="V112" i="16" s="1"/>
  <c r="F112" i="16" s="1"/>
  <c r="G112" i="16" s="1"/>
  <c r="BY112" i="6" s="1"/>
  <c r="Q108" i="16"/>
  <c r="P108" i="16" s="1"/>
  <c r="V108" i="16" s="1"/>
  <c r="Q104" i="16"/>
  <c r="P104" i="16" s="1"/>
  <c r="V104" i="16" s="1"/>
  <c r="F104" i="16" s="1"/>
  <c r="G104" i="16" s="1"/>
  <c r="BY104" i="6" s="1"/>
  <c r="Q100" i="16"/>
  <c r="P100" i="16" s="1"/>
  <c r="V100" i="16" s="1"/>
  <c r="F100" i="16" s="1"/>
  <c r="Q96" i="16"/>
  <c r="P96" i="16" s="1"/>
  <c r="V96" i="16" s="1"/>
  <c r="F96" i="16" s="1"/>
  <c r="G96" i="16" s="1"/>
  <c r="BY96" i="6" s="1"/>
  <c r="Q92" i="16"/>
  <c r="P92" i="16" s="1"/>
  <c r="V92" i="16" s="1"/>
  <c r="F92" i="16" s="1"/>
  <c r="Q88" i="16"/>
  <c r="P88" i="16" s="1"/>
  <c r="Q84" i="16"/>
  <c r="P84" i="16" s="1"/>
  <c r="V84" i="16" s="1"/>
  <c r="F84" i="16" s="1"/>
  <c r="G84" i="16" s="1"/>
  <c r="BY84" i="6" s="1"/>
  <c r="Q80" i="16"/>
  <c r="P80" i="16" s="1"/>
  <c r="V80" i="16" s="1"/>
  <c r="F80" i="16" s="1"/>
  <c r="G80" i="16" s="1"/>
  <c r="BY80" i="6" s="1"/>
  <c r="Q76" i="16"/>
  <c r="P76" i="16" s="1"/>
  <c r="V76" i="16" s="1"/>
  <c r="F76" i="16" s="1"/>
  <c r="G76" i="16" s="1"/>
  <c r="BY76" i="6" s="1"/>
  <c r="Q72" i="16"/>
  <c r="P72" i="16" s="1"/>
  <c r="V72" i="16" s="1"/>
  <c r="F72" i="16" s="1"/>
  <c r="G72" i="16" s="1"/>
  <c r="BY72" i="6" s="1"/>
  <c r="Q68" i="16"/>
  <c r="P68" i="16" s="1"/>
  <c r="V68" i="16" s="1"/>
  <c r="F68" i="16" s="1"/>
  <c r="Q64" i="16"/>
  <c r="P64" i="16" s="1"/>
  <c r="V64" i="16" s="1"/>
  <c r="F64" i="16" s="1"/>
  <c r="Q60" i="16"/>
  <c r="P60" i="16" s="1"/>
  <c r="Q56" i="16"/>
  <c r="P56" i="16" s="1"/>
  <c r="V56" i="16" s="1"/>
  <c r="F56" i="16" s="1"/>
  <c r="G56" i="16" s="1"/>
  <c r="BY56" i="6" s="1"/>
  <c r="Q52" i="16"/>
  <c r="P52" i="16" s="1"/>
  <c r="V52" i="16" s="1"/>
  <c r="F52" i="16" s="1"/>
  <c r="G52" i="16" s="1"/>
  <c r="BY52" i="6" s="1"/>
  <c r="Q48" i="16"/>
  <c r="P48" i="16" s="1"/>
  <c r="V48" i="16" s="1"/>
  <c r="F48" i="16" s="1"/>
  <c r="G48" i="16" s="1"/>
  <c r="BY48" i="6" s="1"/>
  <c r="Q44" i="16"/>
  <c r="P44" i="16" s="1"/>
  <c r="V44" i="16" s="1"/>
  <c r="F44" i="16" s="1"/>
  <c r="Q40" i="16"/>
  <c r="P40" i="16" s="1"/>
  <c r="V40" i="16" s="1"/>
  <c r="F40" i="16" s="1"/>
  <c r="G40" i="16" s="1"/>
  <c r="BY40" i="6" s="1"/>
  <c r="Q36" i="16"/>
  <c r="P36" i="16" s="1"/>
  <c r="V36" i="16" s="1"/>
  <c r="F36" i="16" s="1"/>
  <c r="G36" i="16" s="1"/>
  <c r="BY36" i="6" s="1"/>
  <c r="Q32" i="16"/>
  <c r="P32" i="16" s="1"/>
  <c r="V32" i="16" s="1"/>
  <c r="F32" i="16" s="1"/>
  <c r="G32" i="16" s="1"/>
  <c r="BY32" i="6" s="1"/>
  <c r="Q28" i="16"/>
  <c r="P28" i="16" s="1"/>
  <c r="V28" i="16" s="1"/>
  <c r="F28" i="16" s="1"/>
  <c r="G28" i="16" s="1"/>
  <c r="BY28" i="6" s="1"/>
  <c r="Q24" i="16"/>
  <c r="P24" i="16" s="1"/>
  <c r="V24" i="16" s="1"/>
  <c r="F24" i="16" s="1"/>
  <c r="G24" i="16" s="1"/>
  <c r="BY24" i="6" s="1"/>
  <c r="Q20" i="16"/>
  <c r="P20" i="16" s="1"/>
  <c r="V20" i="16" s="1"/>
  <c r="F20" i="16" s="1"/>
  <c r="G20" i="16" s="1"/>
  <c r="BY20" i="6" s="1"/>
  <c r="Q16" i="16"/>
  <c r="P16" i="16" s="1"/>
  <c r="V16" i="16" s="1"/>
  <c r="F16" i="16" s="1"/>
  <c r="G16" i="16" s="1"/>
  <c r="BY16" i="6" s="1"/>
  <c r="P22" i="16"/>
  <c r="V22" i="16" s="1"/>
  <c r="F22" i="16" s="1"/>
  <c r="G22" i="16" s="1"/>
  <c r="BY22" i="6" s="1"/>
  <c r="F62" i="19"/>
  <c r="G62" i="19"/>
  <c r="Q135" i="16"/>
  <c r="P135" i="16" s="1"/>
  <c r="V135" i="16" s="1"/>
  <c r="F135" i="16" s="1"/>
  <c r="G135" i="16" s="1"/>
  <c r="BY135" i="6" s="1"/>
  <c r="Q133" i="16"/>
  <c r="P133" i="16" s="1"/>
  <c r="V133" i="16" s="1"/>
  <c r="Q131" i="16"/>
  <c r="P131" i="16" s="1"/>
  <c r="V131" i="16" s="1"/>
  <c r="F131" i="16" s="1"/>
  <c r="Q129" i="16"/>
  <c r="P129" i="16" s="1"/>
  <c r="V129" i="16" s="1"/>
  <c r="Q127" i="16"/>
  <c r="P127" i="16" s="1"/>
  <c r="V127" i="16" s="1"/>
  <c r="F127" i="16" s="1"/>
  <c r="G127" i="16" s="1"/>
  <c r="BY127" i="6" s="1"/>
  <c r="Q125" i="16"/>
  <c r="P125" i="16" s="1"/>
  <c r="V125" i="16" s="1"/>
  <c r="F125" i="16" s="1"/>
  <c r="G125" i="16" s="1"/>
  <c r="BY125" i="6" s="1"/>
  <c r="Q123" i="16"/>
  <c r="P123" i="16" s="1"/>
  <c r="V123" i="16" s="1"/>
  <c r="F123" i="16" s="1"/>
  <c r="G123" i="16" s="1"/>
  <c r="BY123" i="6" s="1"/>
  <c r="Q121" i="16"/>
  <c r="P121" i="16" s="1"/>
  <c r="V121" i="16" s="1"/>
  <c r="F121" i="16" s="1"/>
  <c r="G121" i="16" s="1"/>
  <c r="BY121" i="6" s="1"/>
  <c r="Q119" i="16"/>
  <c r="P119" i="16" s="1"/>
  <c r="D47" i="7" s="1"/>
  <c r="Q117" i="16"/>
  <c r="P117" i="16" s="1"/>
  <c r="V117" i="16" s="1"/>
  <c r="F117" i="16" s="1"/>
  <c r="G117" i="16" s="1"/>
  <c r="BY117" i="6" s="1"/>
  <c r="Q115" i="16"/>
  <c r="P115" i="16" s="1"/>
  <c r="V115" i="16" s="1"/>
  <c r="F115" i="16" s="1"/>
  <c r="G115" i="16" s="1"/>
  <c r="BY115" i="6" s="1"/>
  <c r="Q113" i="16"/>
  <c r="P113" i="16" s="1"/>
  <c r="V113" i="16" s="1"/>
  <c r="F113" i="16" s="1"/>
  <c r="G113" i="16" s="1"/>
  <c r="BY113" i="6" s="1"/>
  <c r="Q111" i="16"/>
  <c r="P111" i="16" s="1"/>
  <c r="V111" i="16" s="1"/>
  <c r="F111" i="16" s="1"/>
  <c r="G111" i="16" s="1"/>
  <c r="BY111" i="6" s="1"/>
  <c r="Q109" i="16"/>
  <c r="P109" i="16" s="1"/>
  <c r="V109" i="16" s="1"/>
  <c r="F109" i="16" s="1"/>
  <c r="G109" i="16" s="1"/>
  <c r="BY109" i="6" s="1"/>
  <c r="Q107" i="16"/>
  <c r="P107" i="16" s="1"/>
  <c r="V107" i="16" s="1"/>
  <c r="F107" i="16" s="1"/>
  <c r="Q105" i="16"/>
  <c r="P105" i="16" s="1"/>
  <c r="V105" i="16" s="1"/>
  <c r="F105" i="16" s="1"/>
  <c r="G105" i="16" s="1"/>
  <c r="BY105" i="6" s="1"/>
  <c r="Q103" i="16"/>
  <c r="P103" i="16" s="1"/>
  <c r="V103" i="16" s="1"/>
  <c r="F103" i="16" s="1"/>
  <c r="Q101" i="16"/>
  <c r="P101" i="16" s="1"/>
  <c r="V101" i="16" s="1"/>
  <c r="F101" i="16" s="1"/>
  <c r="G101" i="16" s="1"/>
  <c r="BY101" i="6" s="1"/>
  <c r="Q99" i="16"/>
  <c r="P99" i="16" s="1"/>
  <c r="V99" i="16" s="1"/>
  <c r="F99" i="16" s="1"/>
  <c r="G99" i="16" s="1"/>
  <c r="BY99" i="6" s="1"/>
  <c r="Q97" i="16"/>
  <c r="P97" i="16" s="1"/>
  <c r="V97" i="16" s="1"/>
  <c r="F97" i="16" s="1"/>
  <c r="Q95" i="16"/>
  <c r="P95" i="16" s="1"/>
  <c r="V95" i="16" s="1"/>
  <c r="F95" i="16" s="1"/>
  <c r="Q93" i="16"/>
  <c r="P93" i="16" s="1"/>
  <c r="V93" i="16" s="1"/>
  <c r="F93" i="16" s="1"/>
  <c r="Q91" i="16"/>
  <c r="P91" i="16" s="1"/>
  <c r="V91" i="16" s="1"/>
  <c r="F91" i="16" s="1"/>
  <c r="Q89" i="16"/>
  <c r="P89" i="16" s="1"/>
  <c r="V89" i="16" s="1"/>
  <c r="F89" i="16" s="1"/>
  <c r="G89" i="16" s="1"/>
  <c r="BY89" i="6" s="1"/>
  <c r="Q87" i="16"/>
  <c r="P87" i="16" s="1"/>
  <c r="V87" i="16" s="1"/>
  <c r="F87" i="16" s="1"/>
  <c r="G87" i="16" s="1"/>
  <c r="BY87" i="6" s="1"/>
  <c r="Q85" i="16"/>
  <c r="P85" i="16" s="1"/>
  <c r="V85" i="16" s="1"/>
  <c r="F85" i="16" s="1"/>
  <c r="Q83" i="16"/>
  <c r="P83" i="16" s="1"/>
  <c r="V83" i="16" s="1"/>
  <c r="F83" i="16" s="1"/>
  <c r="G83" i="16" s="1"/>
  <c r="BY83" i="6" s="1"/>
  <c r="Q81" i="16"/>
  <c r="P81" i="16" s="1"/>
  <c r="V81" i="16" s="1"/>
  <c r="F81" i="16" s="1"/>
  <c r="Q79" i="16"/>
  <c r="P79" i="16" s="1"/>
  <c r="V79" i="16" s="1"/>
  <c r="F79" i="16" s="1"/>
  <c r="Q77" i="16"/>
  <c r="P77" i="16" s="1"/>
  <c r="V77" i="16" s="1"/>
  <c r="F77" i="16" s="1"/>
  <c r="G77" i="16" s="1"/>
  <c r="BY77" i="6" s="1"/>
  <c r="Q75" i="16"/>
  <c r="P75" i="16" s="1"/>
  <c r="V75" i="16" s="1"/>
  <c r="F75" i="16" s="1"/>
  <c r="Q73" i="16"/>
  <c r="P73" i="16" s="1"/>
  <c r="V73" i="16" s="1"/>
  <c r="F73" i="16" s="1"/>
  <c r="G73" i="16" s="1"/>
  <c r="BY73" i="6" s="1"/>
  <c r="Q71" i="16"/>
  <c r="P71" i="16" s="1"/>
  <c r="V71" i="16" s="1"/>
  <c r="F71" i="16" s="1"/>
  <c r="G71" i="16" s="1"/>
  <c r="BY71" i="6" s="1"/>
  <c r="Q69" i="16"/>
  <c r="P69" i="16" s="1"/>
  <c r="V69" i="16" s="1"/>
  <c r="F69" i="16" s="1"/>
  <c r="G69" i="16" s="1"/>
  <c r="BY69" i="6" s="1"/>
  <c r="Q67" i="16"/>
  <c r="P67" i="16" s="1"/>
  <c r="V67" i="16" s="1"/>
  <c r="F67" i="16" s="1"/>
  <c r="G67" i="16" s="1"/>
  <c r="BY67" i="6" s="1"/>
  <c r="Q65" i="16"/>
  <c r="P65" i="16" s="1"/>
  <c r="V65" i="16" s="1"/>
  <c r="F65" i="16" s="1"/>
  <c r="G65" i="16" s="1"/>
  <c r="BY65" i="6" s="1"/>
  <c r="Q63" i="16"/>
  <c r="P63" i="16" s="1"/>
  <c r="V63" i="16" s="1"/>
  <c r="F63" i="16" s="1"/>
  <c r="G63" i="16" s="1"/>
  <c r="BY63" i="6" s="1"/>
  <c r="Q61" i="16"/>
  <c r="P61" i="16" s="1"/>
  <c r="V61" i="16" s="1"/>
  <c r="F61" i="16" s="1"/>
  <c r="G61" i="16" s="1"/>
  <c r="BY61" i="6" s="1"/>
  <c r="Q59" i="16"/>
  <c r="P59" i="16" s="1"/>
  <c r="V59" i="16" s="1"/>
  <c r="F59" i="16" s="1"/>
  <c r="G59" i="16" s="1"/>
  <c r="BY59" i="6" s="1"/>
  <c r="Q57" i="16"/>
  <c r="P57" i="16" s="1"/>
  <c r="V57" i="16" s="1"/>
  <c r="F57" i="16" s="1"/>
  <c r="G57" i="16" s="1"/>
  <c r="BY57" i="6" s="1"/>
  <c r="Q55" i="16"/>
  <c r="P55" i="16" s="1"/>
  <c r="V55" i="16" s="1"/>
  <c r="F55" i="16" s="1"/>
  <c r="G55" i="16" s="1"/>
  <c r="BY55" i="6" s="1"/>
  <c r="Q53" i="16"/>
  <c r="P53" i="16" s="1"/>
  <c r="V53" i="16" s="1"/>
  <c r="F53" i="16" s="1"/>
  <c r="G53" i="16" s="1"/>
  <c r="BY53" i="6" s="1"/>
  <c r="Q51" i="16"/>
  <c r="P51" i="16" s="1"/>
  <c r="V51" i="16" s="1"/>
  <c r="F51" i="16" s="1"/>
  <c r="G51" i="16" s="1"/>
  <c r="BY51" i="6" s="1"/>
  <c r="Q49" i="16"/>
  <c r="P49" i="16" s="1"/>
  <c r="V49" i="16" s="1"/>
  <c r="F49" i="16" s="1"/>
  <c r="G49" i="16" s="1"/>
  <c r="BY49" i="6" s="1"/>
  <c r="Q47" i="16"/>
  <c r="P47" i="16" s="1"/>
  <c r="V47" i="16" s="1"/>
  <c r="F47" i="16" s="1"/>
  <c r="G47" i="16" s="1"/>
  <c r="BY47" i="6" s="1"/>
  <c r="Q45" i="16"/>
  <c r="P45" i="16" s="1"/>
  <c r="V45" i="16" s="1"/>
  <c r="F45" i="16" s="1"/>
  <c r="G45" i="16" s="1"/>
  <c r="BY45" i="6" s="1"/>
  <c r="Q43" i="16"/>
  <c r="P43" i="16" s="1"/>
  <c r="V43" i="16" s="1"/>
  <c r="F43" i="16" s="1"/>
  <c r="G43" i="16" s="1"/>
  <c r="BY43" i="6" s="1"/>
  <c r="Q41" i="16"/>
  <c r="P41" i="16" s="1"/>
  <c r="V41" i="16" s="1"/>
  <c r="F41" i="16" s="1"/>
  <c r="G41" i="16" s="1"/>
  <c r="BY41" i="6" s="1"/>
  <c r="Q39" i="16"/>
  <c r="P39" i="16" s="1"/>
  <c r="V39" i="16" s="1"/>
  <c r="F39" i="16" s="1"/>
  <c r="G39" i="16" s="1"/>
  <c r="BY39" i="6" s="1"/>
  <c r="Q37" i="16"/>
  <c r="P37" i="16" s="1"/>
  <c r="V37" i="16" s="1"/>
  <c r="F37" i="16" s="1"/>
  <c r="G37" i="16" s="1"/>
  <c r="BY37" i="6" s="1"/>
  <c r="Q35" i="16"/>
  <c r="P35" i="16" s="1"/>
  <c r="V35" i="16" s="1"/>
  <c r="F35" i="16" s="1"/>
  <c r="G35" i="16" s="1"/>
  <c r="BY35" i="6" s="1"/>
  <c r="Q33" i="16"/>
  <c r="P33" i="16" s="1"/>
  <c r="V33" i="16" s="1"/>
  <c r="F33" i="16" s="1"/>
  <c r="G33" i="16" s="1"/>
  <c r="BY33" i="6" s="1"/>
  <c r="Q31" i="16"/>
  <c r="P31" i="16" s="1"/>
  <c r="V31" i="16" s="1"/>
  <c r="F31" i="16" s="1"/>
  <c r="G31" i="16" s="1"/>
  <c r="BY31" i="6" s="1"/>
  <c r="Q29" i="16"/>
  <c r="P29" i="16" s="1"/>
  <c r="V29" i="16" s="1"/>
  <c r="F29" i="16" s="1"/>
  <c r="Q27" i="16"/>
  <c r="P27" i="16" s="1"/>
  <c r="V27" i="16" s="1"/>
  <c r="F27" i="16" s="1"/>
  <c r="G27" i="16" s="1"/>
  <c r="BY27" i="6" s="1"/>
  <c r="Q25" i="16"/>
  <c r="P25" i="16" s="1"/>
  <c r="V25" i="16" s="1"/>
  <c r="F25" i="16" s="1"/>
  <c r="G25" i="16" s="1"/>
  <c r="BY25" i="6" s="1"/>
  <c r="Q23" i="16"/>
  <c r="P23" i="16" s="1"/>
  <c r="V23" i="16" s="1"/>
  <c r="F23" i="16" s="1"/>
  <c r="G23" i="16" s="1"/>
  <c r="BY23" i="6" s="1"/>
  <c r="Q21" i="16"/>
  <c r="P21" i="16" s="1"/>
  <c r="V21" i="16" s="1"/>
  <c r="F21" i="16" s="1"/>
  <c r="Q19" i="16"/>
  <c r="P19" i="16" s="1"/>
  <c r="V19" i="16" s="1"/>
  <c r="F19" i="16" s="1"/>
  <c r="Q17" i="16"/>
  <c r="P17" i="16" s="1"/>
  <c r="V17" i="16" s="1"/>
  <c r="F17" i="16" s="1"/>
  <c r="G17" i="16" s="1"/>
  <c r="BY17" i="6" s="1"/>
  <c r="Q15" i="16"/>
  <c r="G18" i="15"/>
  <c r="BX18" i="6" s="1"/>
  <c r="H18" i="15"/>
  <c r="AA18" i="15"/>
  <c r="Z18" i="15" s="1"/>
  <c r="Y18" i="15" s="1"/>
  <c r="G49" i="15"/>
  <c r="BX49" i="6" s="1"/>
  <c r="H49" i="15"/>
  <c r="AA49" i="15"/>
  <c r="Z49" i="15" s="1"/>
  <c r="Y49" i="15" s="1"/>
  <c r="G71" i="15"/>
  <c r="BX71" i="6" s="1"/>
  <c r="AA71" i="15"/>
  <c r="Z71" i="15" s="1"/>
  <c r="Y71" i="15" s="1"/>
  <c r="H71" i="15"/>
  <c r="H79" i="15"/>
  <c r="AA79" i="15"/>
  <c r="Z79" i="15" s="1"/>
  <c r="Y79" i="15" s="1"/>
  <c r="G79" i="15"/>
  <c r="BX79" i="6" s="1"/>
  <c r="AA117" i="15"/>
  <c r="Z117" i="15" s="1"/>
  <c r="Y117" i="15" s="1"/>
  <c r="H117" i="15"/>
  <c r="G117" i="15"/>
  <c r="BX117" i="6" s="1"/>
  <c r="H133" i="15"/>
  <c r="G133" i="15"/>
  <c r="BX133" i="6" s="1"/>
  <c r="AA133" i="15"/>
  <c r="Z133" i="15" s="1"/>
  <c r="Y133" i="15" s="1"/>
  <c r="G161" i="15"/>
  <c r="BX161" i="6" s="1"/>
  <c r="H161" i="15"/>
  <c r="AA161" i="15"/>
  <c r="Z161" i="15" s="1"/>
  <c r="Y161" i="15" s="1"/>
  <c r="AA187" i="15"/>
  <c r="Z187" i="15" s="1"/>
  <c r="Y187" i="15" s="1"/>
  <c r="H187" i="15"/>
  <c r="G187" i="15"/>
  <c r="BX187" i="6" s="1"/>
  <c r="H207" i="15"/>
  <c r="G207" i="15"/>
  <c r="BX207" i="6" s="1"/>
  <c r="AA207" i="15"/>
  <c r="Z207" i="15" s="1"/>
  <c r="Y207" i="15" s="1"/>
  <c r="AA275" i="15"/>
  <c r="Z275" i="15" s="1"/>
  <c r="Y275" i="15" s="1"/>
  <c r="G275" i="15"/>
  <c r="BX275" i="6" s="1"/>
  <c r="H275" i="15"/>
  <c r="G325" i="15"/>
  <c r="BX325" i="6" s="1"/>
  <c r="AA325" i="15"/>
  <c r="Z325" i="15" s="1"/>
  <c r="Y325" i="15" s="1"/>
  <c r="H325" i="15"/>
  <c r="G371" i="15"/>
  <c r="BX371" i="6" s="1"/>
  <c r="AA371" i="15"/>
  <c r="Z371" i="15" s="1"/>
  <c r="Y371" i="15" s="1"/>
  <c r="H371" i="15"/>
  <c r="H16" i="15"/>
  <c r="G16" i="15"/>
  <c r="BX16" i="6" s="1"/>
  <c r="AA16" i="15"/>
  <c r="Z16" i="15" s="1"/>
  <c r="Y16" i="15" s="1"/>
  <c r="AA42" i="15"/>
  <c r="Z42" i="15" s="1"/>
  <c r="Y42" i="15" s="1"/>
  <c r="G42" i="15"/>
  <c r="BX42" i="6" s="1"/>
  <c r="H42" i="15"/>
  <c r="H64" i="15"/>
  <c r="AA64" i="15"/>
  <c r="Z64" i="15" s="1"/>
  <c r="Y64" i="15" s="1"/>
  <c r="G64" i="15"/>
  <c r="BX64" i="6" s="1"/>
  <c r="H96" i="15"/>
  <c r="AA96" i="15"/>
  <c r="Z96" i="15" s="1"/>
  <c r="Y96" i="15" s="1"/>
  <c r="G96" i="15"/>
  <c r="BX96" i="6" s="1"/>
  <c r="H100" i="15"/>
  <c r="AA100" i="15"/>
  <c r="Z100" i="15" s="1"/>
  <c r="Y100" i="15" s="1"/>
  <c r="G100" i="15"/>
  <c r="BX100" i="6" s="1"/>
  <c r="H148" i="15"/>
  <c r="G148" i="15"/>
  <c r="BX148" i="6" s="1"/>
  <c r="AA148" i="15"/>
  <c r="Z148" i="15" s="1"/>
  <c r="Y148" i="15" s="1"/>
  <c r="G170" i="15"/>
  <c r="BX170" i="6" s="1"/>
  <c r="AA170" i="15"/>
  <c r="Z170" i="15" s="1"/>
  <c r="Y170" i="15" s="1"/>
  <c r="H170" i="15"/>
  <c r="H180" i="15"/>
  <c r="G180" i="15"/>
  <c r="BX180" i="6" s="1"/>
  <c r="AA180" i="15"/>
  <c r="Z180" i="15" s="1"/>
  <c r="Y180" i="15" s="1"/>
  <c r="H186" i="15"/>
  <c r="G186" i="15"/>
  <c r="BX186" i="6" s="1"/>
  <c r="AA186" i="15"/>
  <c r="Z186" i="15" s="1"/>
  <c r="Y186" i="15" s="1"/>
  <c r="H200" i="15"/>
  <c r="AA200" i="15"/>
  <c r="Z200" i="15" s="1"/>
  <c r="Y200" i="15" s="1"/>
  <c r="G200" i="15"/>
  <c r="BX200" i="6" s="1"/>
  <c r="H218" i="15"/>
  <c r="AA218" i="15"/>
  <c r="Z218" i="15" s="1"/>
  <c r="Y218" i="15" s="1"/>
  <c r="G218" i="15"/>
  <c r="BX218" i="6" s="1"/>
  <c r="AA234" i="15"/>
  <c r="Z234" i="15" s="1"/>
  <c r="Y234" i="15" s="1"/>
  <c r="G234" i="15"/>
  <c r="BX234" i="6" s="1"/>
  <c r="H234" i="15"/>
  <c r="AA262" i="15"/>
  <c r="Z262" i="15" s="1"/>
  <c r="Y262" i="15" s="1"/>
  <c r="G262" i="15"/>
  <c r="BX262" i="6" s="1"/>
  <c r="H262" i="15"/>
  <c r="AA308" i="15"/>
  <c r="Z308" i="15" s="1"/>
  <c r="Y308" i="15" s="1"/>
  <c r="G308" i="15"/>
  <c r="BX308" i="6" s="1"/>
  <c r="H308" i="15"/>
  <c r="G316" i="15"/>
  <c r="BX316" i="6" s="1"/>
  <c r="H316" i="15"/>
  <c r="AA316" i="15"/>
  <c r="Z316" i="15" s="1"/>
  <c r="Y316" i="15" s="1"/>
  <c r="AA362" i="15"/>
  <c r="Z362" i="15" s="1"/>
  <c r="Y362" i="15" s="1"/>
  <c r="G362" i="15"/>
  <c r="BX362" i="6" s="1"/>
  <c r="H362" i="15"/>
  <c r="H332" i="15"/>
  <c r="G332" i="15"/>
  <c r="BX332" i="6" s="1"/>
  <c r="AA332" i="15"/>
  <c r="Z332" i="15" s="1"/>
  <c r="Y332" i="15" s="1"/>
  <c r="AA364" i="15"/>
  <c r="Z364" i="15" s="1"/>
  <c r="Y364" i="15" s="1"/>
  <c r="G364" i="15"/>
  <c r="BX364" i="6" s="1"/>
  <c r="H364" i="15"/>
  <c r="AA370" i="15"/>
  <c r="Z370" i="15" s="1"/>
  <c r="Y370" i="15" s="1"/>
  <c r="G370" i="15"/>
  <c r="BX370" i="6" s="1"/>
  <c r="H370" i="15"/>
  <c r="AA20" i="15"/>
  <c r="Z20" i="15" s="1"/>
  <c r="Y20" i="15" s="1"/>
  <c r="G20" i="15"/>
  <c r="BX20" i="6" s="1"/>
  <c r="H20" i="15"/>
  <c r="G57" i="15"/>
  <c r="BX57" i="6" s="1"/>
  <c r="AA57" i="15"/>
  <c r="Z57" i="15" s="1"/>
  <c r="Y57" i="15" s="1"/>
  <c r="H57" i="15"/>
  <c r="G75" i="15"/>
  <c r="BX75" i="6" s="1"/>
  <c r="H75" i="15"/>
  <c r="AA75" i="15"/>
  <c r="Z75" i="15" s="1"/>
  <c r="Y75" i="15" s="1"/>
  <c r="G99" i="15"/>
  <c r="BX99" i="6" s="1"/>
  <c r="AA99" i="15"/>
  <c r="Z99" i="15" s="1"/>
  <c r="Y99" i="15" s="1"/>
  <c r="H99" i="15"/>
  <c r="H129" i="15"/>
  <c r="AA129" i="15"/>
  <c r="Z129" i="15" s="1"/>
  <c r="Y129" i="15" s="1"/>
  <c r="G129" i="15"/>
  <c r="BX129" i="6" s="1"/>
  <c r="G141" i="15"/>
  <c r="BX141" i="6" s="1"/>
  <c r="AA141" i="15"/>
  <c r="Z141" i="15" s="1"/>
  <c r="Y141" i="15" s="1"/>
  <c r="H141" i="15"/>
  <c r="G183" i="15"/>
  <c r="BX183" i="6" s="1"/>
  <c r="H183" i="15"/>
  <c r="AA183" i="15"/>
  <c r="Z183" i="15" s="1"/>
  <c r="Y183" i="15" s="1"/>
  <c r="G197" i="15"/>
  <c r="BX197" i="6" s="1"/>
  <c r="H197" i="15"/>
  <c r="AA197" i="15"/>
  <c r="Z197" i="15" s="1"/>
  <c r="Y197" i="15" s="1"/>
  <c r="AA219" i="15"/>
  <c r="Z219" i="15" s="1"/>
  <c r="Y219" i="15" s="1"/>
  <c r="G219" i="15"/>
  <c r="BX219" i="6" s="1"/>
  <c r="H219" i="15"/>
  <c r="G295" i="15"/>
  <c r="BX295" i="6" s="1"/>
  <c r="AA295" i="15"/>
  <c r="Z295" i="15" s="1"/>
  <c r="Y295" i="15" s="1"/>
  <c r="H295" i="15"/>
  <c r="G355" i="15"/>
  <c r="BX355" i="6" s="1"/>
  <c r="AA355" i="15"/>
  <c r="Z355" i="15" s="1"/>
  <c r="Y355" i="15" s="1"/>
  <c r="H355" i="15"/>
  <c r="G41" i="15"/>
  <c r="BX41" i="6" s="1"/>
  <c r="H41" i="15"/>
  <c r="AA41" i="15"/>
  <c r="Z41" i="15" s="1"/>
  <c r="Y41" i="15" s="1"/>
  <c r="H51" i="15"/>
  <c r="G51" i="15"/>
  <c r="BX51" i="6" s="1"/>
  <c r="AA51" i="15"/>
  <c r="Z51" i="15" s="1"/>
  <c r="Y51" i="15" s="1"/>
  <c r="G69" i="15"/>
  <c r="BX69" i="6" s="1"/>
  <c r="AA69" i="15"/>
  <c r="Z69" i="15" s="1"/>
  <c r="Y69" i="15" s="1"/>
  <c r="H69" i="15"/>
  <c r="H73" i="15"/>
  <c r="G73" i="15"/>
  <c r="BX73" i="6" s="1"/>
  <c r="AA73" i="15"/>
  <c r="Z73" i="15" s="1"/>
  <c r="Y73" i="15" s="1"/>
  <c r="AA77" i="15"/>
  <c r="Z77" i="15" s="1"/>
  <c r="Y77" i="15" s="1"/>
  <c r="H77" i="15"/>
  <c r="G77" i="15"/>
  <c r="BX77" i="6" s="1"/>
  <c r="AA81" i="15"/>
  <c r="Z81" i="15" s="1"/>
  <c r="Y81" i="15" s="1"/>
  <c r="H81" i="15"/>
  <c r="G81" i="15"/>
  <c r="BX81" i="6" s="1"/>
  <c r="H109" i="15"/>
  <c r="G109" i="15"/>
  <c r="BX109" i="6" s="1"/>
  <c r="AA109" i="15"/>
  <c r="Z109" i="15" s="1"/>
  <c r="Y109" i="15" s="1"/>
  <c r="G121" i="15"/>
  <c r="BX121" i="6" s="1"/>
  <c r="AA121" i="15"/>
  <c r="Z121" i="15" s="1"/>
  <c r="Y121" i="15" s="1"/>
  <c r="H121" i="15"/>
  <c r="H131" i="15"/>
  <c r="G131" i="15"/>
  <c r="BX131" i="6" s="1"/>
  <c r="AA131" i="15"/>
  <c r="Z131" i="15" s="1"/>
  <c r="Y131" i="15" s="1"/>
  <c r="H153" i="15"/>
  <c r="AA153" i="15"/>
  <c r="Z153" i="15" s="1"/>
  <c r="Y153" i="15" s="1"/>
  <c r="G153" i="15"/>
  <c r="BX153" i="6" s="1"/>
  <c r="G181" i="15"/>
  <c r="BX181" i="6" s="1"/>
  <c r="H181" i="15"/>
  <c r="AA181" i="15"/>
  <c r="Z181" i="15" s="1"/>
  <c r="Y181" i="15" s="1"/>
  <c r="AA185" i="15"/>
  <c r="Z185" i="15" s="1"/>
  <c r="Y185" i="15" s="1"/>
  <c r="G185" i="15"/>
  <c r="BX185" i="6" s="1"/>
  <c r="H185" i="15"/>
  <c r="H195" i="15"/>
  <c r="AA195" i="15"/>
  <c r="Z195" i="15" s="1"/>
  <c r="Y195" i="15" s="1"/>
  <c r="G195" i="15"/>
  <c r="BX195" i="6" s="1"/>
  <c r="G205" i="15"/>
  <c r="BX205" i="6" s="1"/>
  <c r="H205" i="15"/>
  <c r="AA205" i="15"/>
  <c r="Z205" i="15" s="1"/>
  <c r="Y205" i="15" s="1"/>
  <c r="AA209" i="15"/>
  <c r="Z209" i="15" s="1"/>
  <c r="Y209" i="15" s="1"/>
  <c r="G209" i="15"/>
  <c r="BX209" i="6" s="1"/>
  <c r="H209" i="15"/>
  <c r="AA237" i="15"/>
  <c r="Z237" i="15" s="1"/>
  <c r="Y237" i="15" s="1"/>
  <c r="H237" i="15"/>
  <c r="G237" i="15"/>
  <c r="BX237" i="6" s="1"/>
  <c r="G277" i="15"/>
  <c r="BX277" i="6" s="1"/>
  <c r="AA277" i="15"/>
  <c r="Z277" i="15" s="1"/>
  <c r="Y277" i="15" s="1"/>
  <c r="H277" i="15"/>
  <c r="AA309" i="15"/>
  <c r="Z309" i="15" s="1"/>
  <c r="Y309" i="15" s="1"/>
  <c r="G309" i="15"/>
  <c r="BX309" i="6" s="1"/>
  <c r="H309" i="15"/>
  <c r="G353" i="15"/>
  <c r="BX353" i="6" s="1"/>
  <c r="H353" i="15"/>
  <c r="AA353" i="15"/>
  <c r="Z353" i="15" s="1"/>
  <c r="Y353" i="15" s="1"/>
  <c r="G367" i="15"/>
  <c r="BX367" i="6" s="1"/>
  <c r="AA367" i="15"/>
  <c r="Z367" i="15" s="1"/>
  <c r="Y367" i="15" s="1"/>
  <c r="H367" i="15"/>
  <c r="AA375" i="15"/>
  <c r="Z375" i="15" s="1"/>
  <c r="Y375" i="15" s="1"/>
  <c r="G375" i="15"/>
  <c r="BX375" i="6" s="1"/>
  <c r="H375" i="15"/>
  <c r="AA17" i="15"/>
  <c r="Z17" i="15" s="1"/>
  <c r="Y17" i="15" s="1"/>
  <c r="H17" i="15"/>
  <c r="G17" i="15"/>
  <c r="BX17" i="6" s="1"/>
  <c r="H36" i="15"/>
  <c r="G36" i="15"/>
  <c r="BX36" i="6" s="1"/>
  <c r="AA36" i="15"/>
  <c r="Z36" i="15" s="1"/>
  <c r="Y36" i="15" s="1"/>
  <c r="AA44" i="15"/>
  <c r="Z44" i="15" s="1"/>
  <c r="Y44" i="15" s="1"/>
  <c r="G44" i="15"/>
  <c r="BX44" i="6" s="1"/>
  <c r="H44" i="15"/>
  <c r="H58" i="15"/>
  <c r="AA58" i="15"/>
  <c r="Z58" i="15" s="1"/>
  <c r="Y58" i="15" s="1"/>
  <c r="G58" i="15"/>
  <c r="BX58" i="6" s="1"/>
  <c r="H66" i="15"/>
  <c r="G66" i="15"/>
  <c r="BX66" i="6" s="1"/>
  <c r="AA66" i="15"/>
  <c r="Z66" i="15" s="1"/>
  <c r="Y66" i="15" s="1"/>
  <c r="H84" i="15"/>
  <c r="AA84" i="15"/>
  <c r="Z84" i="15" s="1"/>
  <c r="Y84" i="15" s="1"/>
  <c r="G84" i="15"/>
  <c r="BX84" i="6" s="1"/>
  <c r="H98" i="15"/>
  <c r="AA98" i="15"/>
  <c r="Z98" i="15" s="1"/>
  <c r="Y98" i="15" s="1"/>
  <c r="G98" i="15"/>
  <c r="BX98" i="6" s="1"/>
  <c r="AA108" i="15"/>
  <c r="Z108" i="15" s="1"/>
  <c r="Y108" i="15" s="1"/>
  <c r="H108" i="15"/>
  <c r="G108" i="15"/>
  <c r="BX108" i="6" s="1"/>
  <c r="AA178" i="15"/>
  <c r="Z178" i="15" s="1"/>
  <c r="Y178" i="15" s="1"/>
  <c r="G178" i="15"/>
  <c r="BX178" i="6" s="1"/>
  <c r="H178" i="15"/>
  <c r="G184" i="15"/>
  <c r="BX184" i="6" s="1"/>
  <c r="H184" i="15"/>
  <c r="AA184" i="15"/>
  <c r="Z184" i="15" s="1"/>
  <c r="Y184" i="15" s="1"/>
  <c r="AA188" i="15"/>
  <c r="Z188" i="15" s="1"/>
  <c r="Y188" i="15" s="1"/>
  <c r="H188" i="15"/>
  <c r="G188" i="15"/>
  <c r="BX188" i="6" s="1"/>
  <c r="H216" i="15"/>
  <c r="AA216" i="15"/>
  <c r="Z216" i="15" s="1"/>
  <c r="Y216" i="15" s="1"/>
  <c r="G216" i="15"/>
  <c r="BX216" i="6" s="1"/>
  <c r="G228" i="15"/>
  <c r="BX228" i="6" s="1"/>
  <c r="AA228" i="15"/>
  <c r="Z228" i="15" s="1"/>
  <c r="Y228" i="15" s="1"/>
  <c r="H228" i="15"/>
  <c r="G236" i="15"/>
  <c r="BX236" i="6" s="1"/>
  <c r="AA236" i="15"/>
  <c r="Z236" i="15" s="1"/>
  <c r="Y236" i="15" s="1"/>
  <c r="H236" i="15"/>
  <c r="AA260" i="15"/>
  <c r="Z260" i="15" s="1"/>
  <c r="Y260" i="15" s="1"/>
  <c r="G260" i="15"/>
  <c r="BX260" i="6" s="1"/>
  <c r="H260" i="15"/>
  <c r="G274" i="15"/>
  <c r="BX274" i="6" s="1"/>
  <c r="AA274" i="15"/>
  <c r="Z274" i="15" s="1"/>
  <c r="Y274" i="15" s="1"/>
  <c r="H274" i="15"/>
  <c r="G296" i="15"/>
  <c r="BX296" i="6" s="1"/>
  <c r="AA296" i="15"/>
  <c r="Z296" i="15" s="1"/>
  <c r="Y296" i="15" s="1"/>
  <c r="H296" i="15"/>
  <c r="G312" i="15"/>
  <c r="BX312" i="6" s="1"/>
  <c r="AA312" i="15"/>
  <c r="Z312" i="15" s="1"/>
  <c r="Y312" i="15" s="1"/>
  <c r="H312" i="15"/>
  <c r="G358" i="15"/>
  <c r="BX358" i="6" s="1"/>
  <c r="H358" i="15"/>
  <c r="AA358" i="15"/>
  <c r="Z358" i="15" s="1"/>
  <c r="Y358" i="15" s="1"/>
  <c r="AA328" i="15"/>
  <c r="Z328" i="15" s="1"/>
  <c r="Y328" i="15" s="1"/>
  <c r="G328" i="15"/>
  <c r="BX328" i="6" s="1"/>
  <c r="H328" i="15"/>
  <c r="G360" i="15"/>
  <c r="BX360" i="6" s="1"/>
  <c r="AA360" i="15"/>
  <c r="Z360" i="15" s="1"/>
  <c r="Y360" i="15" s="1"/>
  <c r="H360" i="15"/>
  <c r="G368" i="15"/>
  <c r="BX368" i="6" s="1"/>
  <c r="AA368" i="15"/>
  <c r="Z368" i="15" s="1"/>
  <c r="Y368" i="15" s="1"/>
  <c r="H368" i="15"/>
  <c r="G21" i="15"/>
  <c r="BX21" i="6" s="1"/>
  <c r="H21" i="15"/>
  <c r="AA21" i="15"/>
  <c r="Z21" i="15" s="1"/>
  <c r="Y21" i="15" s="1"/>
  <c r="G361" i="15"/>
  <c r="BX361" i="6" s="1"/>
  <c r="AA361" i="15"/>
  <c r="Z361" i="15" s="1"/>
  <c r="Y361" i="15" s="1"/>
  <c r="H361" i="15"/>
  <c r="AA37" i="15"/>
  <c r="Z37" i="15" s="1"/>
  <c r="Y37" i="15" s="1"/>
  <c r="G37" i="15"/>
  <c r="BX37" i="6" s="1"/>
  <c r="H37" i="15"/>
  <c r="J39" i="15"/>
  <c r="I39" i="15"/>
  <c r="G61" i="15"/>
  <c r="BX61" i="6" s="1"/>
  <c r="AA61" i="15"/>
  <c r="Z61" i="15" s="1"/>
  <c r="Y61" i="15" s="1"/>
  <c r="H61" i="15"/>
  <c r="G85" i="15"/>
  <c r="BX85" i="6" s="1"/>
  <c r="H85" i="15"/>
  <c r="AA85" i="15"/>
  <c r="Z85" i="15" s="1"/>
  <c r="Y85" i="15" s="1"/>
  <c r="G89" i="15"/>
  <c r="BX89" i="6" s="1"/>
  <c r="AA89" i="15"/>
  <c r="Z89" i="15" s="1"/>
  <c r="Y89" i="15" s="1"/>
  <c r="H89" i="15"/>
  <c r="H93" i="15"/>
  <c r="AA93" i="15"/>
  <c r="Z93" i="15" s="1"/>
  <c r="Y93" i="15" s="1"/>
  <c r="G93" i="15"/>
  <c r="BX93" i="6" s="1"/>
  <c r="I97" i="15"/>
  <c r="J97" i="15"/>
  <c r="G103" i="15"/>
  <c r="BX103" i="6" s="1"/>
  <c r="AA103" i="15"/>
  <c r="Z103" i="15" s="1"/>
  <c r="Y103" i="15" s="1"/>
  <c r="H103" i="15"/>
  <c r="H105" i="15"/>
  <c r="AA105" i="15"/>
  <c r="Z105" i="15" s="1"/>
  <c r="Y105" i="15" s="1"/>
  <c r="G105" i="15"/>
  <c r="BX105" i="6" s="1"/>
  <c r="H113" i="15"/>
  <c r="AA113" i="15"/>
  <c r="Z113" i="15" s="1"/>
  <c r="Y113" i="15" s="1"/>
  <c r="G113" i="15"/>
  <c r="BX113" i="6" s="1"/>
  <c r="J115" i="15"/>
  <c r="I115" i="15"/>
  <c r="AA125" i="15"/>
  <c r="Z125" i="15" s="1"/>
  <c r="Y125" i="15" s="1"/>
  <c r="H125" i="15"/>
  <c r="G125" i="15"/>
  <c r="BX125" i="6" s="1"/>
  <c r="H145" i="15"/>
  <c r="AA145" i="15"/>
  <c r="Z145" i="15" s="1"/>
  <c r="Y145" i="15" s="1"/>
  <c r="G145" i="15"/>
  <c r="BX145" i="6" s="1"/>
  <c r="J151" i="15"/>
  <c r="I151" i="15"/>
  <c r="G165" i="15"/>
  <c r="BX165" i="6" s="1"/>
  <c r="AA165" i="15"/>
  <c r="Z165" i="15" s="1"/>
  <c r="Y165" i="15" s="1"/>
  <c r="H165" i="15"/>
  <c r="G169" i="15"/>
  <c r="BX169" i="6" s="1"/>
  <c r="H169" i="15"/>
  <c r="AA169" i="15"/>
  <c r="Z169" i="15" s="1"/>
  <c r="Y169" i="15" s="1"/>
  <c r="AA171" i="15"/>
  <c r="Z171" i="15" s="1"/>
  <c r="Y171" i="15" s="1"/>
  <c r="H171" i="15"/>
  <c r="G171" i="15"/>
  <c r="BX171" i="6" s="1"/>
  <c r="I193" i="15"/>
  <c r="J193" i="15"/>
  <c r="H201" i="15"/>
  <c r="AA201" i="15"/>
  <c r="Z201" i="15" s="1"/>
  <c r="Y201" i="15" s="1"/>
  <c r="G201" i="15"/>
  <c r="BX201" i="6" s="1"/>
  <c r="G213" i="15"/>
  <c r="BX213" i="6" s="1"/>
  <c r="AA213" i="15"/>
  <c r="Z213" i="15" s="1"/>
  <c r="Y213" i="15" s="1"/>
  <c r="H213" i="15"/>
  <c r="I217" i="15"/>
  <c r="J217" i="15"/>
  <c r="J223" i="15"/>
  <c r="I223" i="15"/>
  <c r="G227" i="15"/>
  <c r="BX227" i="6" s="1"/>
  <c r="AA227" i="15"/>
  <c r="Z227" i="15" s="1"/>
  <c r="Y227" i="15" s="1"/>
  <c r="H227" i="15"/>
  <c r="AA229" i="15"/>
  <c r="Z229" i="15" s="1"/>
  <c r="Y229" i="15" s="1"/>
  <c r="G229" i="15"/>
  <c r="BX229" i="6" s="1"/>
  <c r="H229" i="15"/>
  <c r="I231" i="15"/>
  <c r="J231" i="15"/>
  <c r="J235" i="15"/>
  <c r="I235" i="15"/>
  <c r="J243" i="15"/>
  <c r="I243" i="15"/>
  <c r="I247" i="15"/>
  <c r="J247" i="15"/>
  <c r="J251" i="15"/>
  <c r="I251" i="15"/>
  <c r="J255" i="15"/>
  <c r="I255" i="15"/>
  <c r="J259" i="15"/>
  <c r="I259" i="15"/>
  <c r="G263" i="15"/>
  <c r="BX263" i="6" s="1"/>
  <c r="H263" i="15"/>
  <c r="AA263" i="15"/>
  <c r="Z263" i="15" s="1"/>
  <c r="Y263" i="15" s="1"/>
  <c r="J265" i="15"/>
  <c r="I265" i="15"/>
  <c r="J269" i="15"/>
  <c r="I269" i="15"/>
  <c r="J273" i="15"/>
  <c r="I273" i="15"/>
  <c r="J281" i="15"/>
  <c r="I281" i="15"/>
  <c r="AA285" i="15"/>
  <c r="Z285" i="15" s="1"/>
  <c r="Y285" i="15" s="1"/>
  <c r="G285" i="15"/>
  <c r="BX285" i="6" s="1"/>
  <c r="H285" i="15"/>
  <c r="J287" i="15"/>
  <c r="I287" i="15"/>
  <c r="G291" i="15"/>
  <c r="BX291" i="6" s="1"/>
  <c r="AA291" i="15"/>
  <c r="Z291" i="15" s="1"/>
  <c r="Y291" i="15" s="1"/>
  <c r="H291" i="15"/>
  <c r="J293" i="15"/>
  <c r="I293" i="15"/>
  <c r="AA299" i="15"/>
  <c r="Z299" i="15" s="1"/>
  <c r="Y299" i="15" s="1"/>
  <c r="G299" i="15"/>
  <c r="BX299" i="6" s="1"/>
  <c r="H299" i="15"/>
  <c r="G301" i="15"/>
  <c r="BX301" i="6" s="1"/>
  <c r="AA301" i="15"/>
  <c r="Z301" i="15" s="1"/>
  <c r="Y301" i="15" s="1"/>
  <c r="H301" i="15"/>
  <c r="AA303" i="15"/>
  <c r="Z303" i="15" s="1"/>
  <c r="Y303" i="15" s="1"/>
  <c r="G303" i="15"/>
  <c r="BX303" i="6" s="1"/>
  <c r="H303" i="15"/>
  <c r="AA305" i="15"/>
  <c r="Z305" i="15" s="1"/>
  <c r="Y305" i="15" s="1"/>
  <c r="H305" i="15"/>
  <c r="G305" i="15"/>
  <c r="BX305" i="6" s="1"/>
  <c r="J307" i="15"/>
  <c r="I307" i="15"/>
  <c r="G313" i="15"/>
  <c r="BX313" i="6" s="1"/>
  <c r="AA313" i="15"/>
  <c r="Z313" i="15" s="1"/>
  <c r="Y313" i="15" s="1"/>
  <c r="H313" i="15"/>
  <c r="I315" i="15"/>
  <c r="J315" i="15"/>
  <c r="G319" i="15"/>
  <c r="BX319" i="6" s="1"/>
  <c r="AA319" i="15"/>
  <c r="Z319" i="15" s="1"/>
  <c r="Y319" i="15" s="1"/>
  <c r="H319" i="15"/>
  <c r="G321" i="15"/>
  <c r="BX321" i="6" s="1"/>
  <c r="AA321" i="15"/>
  <c r="Z321" i="15" s="1"/>
  <c r="Y321" i="15" s="1"/>
  <c r="H321" i="15"/>
  <c r="J323" i="15"/>
  <c r="I323" i="15"/>
  <c r="AA329" i="15"/>
  <c r="Z329" i="15" s="1"/>
  <c r="Y329" i="15" s="1"/>
  <c r="H329" i="15"/>
  <c r="G329" i="15"/>
  <c r="BX329" i="6" s="1"/>
  <c r="J331" i="15"/>
  <c r="I331" i="15"/>
  <c r="AA333" i="15"/>
  <c r="Z333" i="15" s="1"/>
  <c r="Y333" i="15" s="1"/>
  <c r="G333" i="15"/>
  <c r="BX333" i="6" s="1"/>
  <c r="H333" i="15"/>
  <c r="I337" i="15"/>
  <c r="J337" i="15"/>
  <c r="I339" i="15"/>
  <c r="J339" i="15"/>
  <c r="AA343" i="15"/>
  <c r="Z343" i="15" s="1"/>
  <c r="Y343" i="15" s="1"/>
  <c r="G343" i="15"/>
  <c r="BX343" i="6" s="1"/>
  <c r="H343" i="15"/>
  <c r="J351" i="15"/>
  <c r="I351" i="15"/>
  <c r="H363" i="15"/>
  <c r="AA363" i="15"/>
  <c r="Z363" i="15" s="1"/>
  <c r="Y363" i="15" s="1"/>
  <c r="G363" i="15"/>
  <c r="BX363" i="6" s="1"/>
  <c r="K377" i="22"/>
  <c r="X377" i="22"/>
  <c r="AJ377" i="22"/>
  <c r="A378" i="22"/>
  <c r="AB377" i="22"/>
  <c r="L377" i="22"/>
  <c r="AK377" i="22"/>
  <c r="AC377" i="22"/>
  <c r="O377" i="22"/>
  <c r="I26" i="15"/>
  <c r="J26" i="15"/>
  <c r="J32" i="15"/>
  <c r="I32" i="15"/>
  <c r="J34" i="15"/>
  <c r="I34" i="15"/>
  <c r="I40" i="15"/>
  <c r="J40" i="15"/>
  <c r="C62" i="19"/>
  <c r="AA50" i="15"/>
  <c r="Z50" i="15" s="1"/>
  <c r="Y50" i="15" s="1"/>
  <c r="H50" i="15"/>
  <c r="G50" i="15"/>
  <c r="BX50" i="6" s="1"/>
  <c r="J52" i="15"/>
  <c r="I52" i="15"/>
  <c r="I62" i="15"/>
  <c r="J62" i="15"/>
  <c r="G70" i="15"/>
  <c r="BX70" i="6" s="1"/>
  <c r="H70" i="15"/>
  <c r="AA70" i="15"/>
  <c r="Z70" i="15" s="1"/>
  <c r="Y70" i="15" s="1"/>
  <c r="I72" i="15"/>
  <c r="J72" i="15"/>
  <c r="D62" i="19"/>
  <c r="J76" i="15"/>
  <c r="I76" i="15"/>
  <c r="H78" i="15"/>
  <c r="AA78" i="15"/>
  <c r="Z78" i="15" s="1"/>
  <c r="Y78" i="15" s="1"/>
  <c r="G78" i="15"/>
  <c r="BX78" i="6" s="1"/>
  <c r="AA80" i="15"/>
  <c r="Z80" i="15" s="1"/>
  <c r="Y80" i="15" s="1"/>
  <c r="G80" i="15"/>
  <c r="BX80" i="6" s="1"/>
  <c r="H80" i="15"/>
  <c r="J82" i="15"/>
  <c r="I82" i="15"/>
  <c r="H88" i="15"/>
  <c r="AA88" i="15"/>
  <c r="Z88" i="15" s="1"/>
  <c r="Y88" i="15" s="1"/>
  <c r="G88" i="15"/>
  <c r="BX88" i="6" s="1"/>
  <c r="H92" i="15"/>
  <c r="G92" i="15"/>
  <c r="BX92" i="6" s="1"/>
  <c r="AA92" i="15"/>
  <c r="Z92" i="15" s="1"/>
  <c r="Y92" i="15" s="1"/>
  <c r="I94" i="15"/>
  <c r="J94" i="15"/>
  <c r="H104" i="15"/>
  <c r="AA104" i="15"/>
  <c r="Z104" i="15" s="1"/>
  <c r="Y104" i="15" s="1"/>
  <c r="G104" i="15"/>
  <c r="BX104" i="6" s="1"/>
  <c r="J106" i="15"/>
  <c r="I106" i="15"/>
  <c r="G112" i="15"/>
  <c r="BX112" i="6" s="1"/>
  <c r="AA112" i="15"/>
  <c r="Z112" i="15" s="1"/>
  <c r="Y112" i="15" s="1"/>
  <c r="H112" i="15"/>
  <c r="I114" i="15"/>
  <c r="J114" i="15"/>
  <c r="G118" i="15"/>
  <c r="BX118" i="6" s="1"/>
  <c r="AA118" i="15"/>
  <c r="Z118" i="15" s="1"/>
  <c r="Y118" i="15" s="1"/>
  <c r="H118" i="15"/>
  <c r="G120" i="15"/>
  <c r="BX120" i="6" s="1"/>
  <c r="AA120" i="15"/>
  <c r="Z120" i="15" s="1"/>
  <c r="Y120" i="15" s="1"/>
  <c r="H120" i="15"/>
  <c r="H126" i="15"/>
  <c r="AA126" i="15"/>
  <c r="Z126" i="15" s="1"/>
  <c r="Y126" i="15" s="1"/>
  <c r="G126" i="15"/>
  <c r="BX126" i="6" s="1"/>
  <c r="J128" i="15"/>
  <c r="I128" i="15"/>
  <c r="J130" i="15"/>
  <c r="I130" i="15"/>
  <c r="H132" i="15"/>
  <c r="G132" i="15"/>
  <c r="BX132" i="6" s="1"/>
  <c r="AA132" i="15"/>
  <c r="Z132" i="15" s="1"/>
  <c r="Y132" i="15" s="1"/>
  <c r="G134" i="15"/>
  <c r="BX134" i="6" s="1"/>
  <c r="AA134" i="15"/>
  <c r="Z134" i="15" s="1"/>
  <c r="Y134" i="15" s="1"/>
  <c r="H134" i="15"/>
  <c r="H136" i="15"/>
  <c r="AA136" i="15"/>
  <c r="Z136" i="15" s="1"/>
  <c r="Y136" i="15" s="1"/>
  <c r="G136" i="15"/>
  <c r="BX136" i="6" s="1"/>
  <c r="G138" i="15"/>
  <c r="BX138" i="6" s="1"/>
  <c r="AA138" i="15"/>
  <c r="Z138" i="15" s="1"/>
  <c r="Y138" i="15" s="1"/>
  <c r="H138" i="15"/>
  <c r="G140" i="15"/>
  <c r="BX140" i="6" s="1"/>
  <c r="H140" i="15"/>
  <c r="AA140" i="15"/>
  <c r="Z140" i="15" s="1"/>
  <c r="Y140" i="15" s="1"/>
  <c r="AA142" i="15"/>
  <c r="Z142" i="15" s="1"/>
  <c r="Y142" i="15" s="1"/>
  <c r="G142" i="15"/>
  <c r="BX142" i="6" s="1"/>
  <c r="H142" i="15"/>
  <c r="AA144" i="15"/>
  <c r="Z144" i="15" s="1"/>
  <c r="Y144" i="15" s="1"/>
  <c r="H144" i="15"/>
  <c r="G144" i="15"/>
  <c r="BX144" i="6" s="1"/>
  <c r="I146" i="15"/>
  <c r="J146" i="15"/>
  <c r="AA152" i="15"/>
  <c r="Z152" i="15" s="1"/>
  <c r="Y152" i="15" s="1"/>
  <c r="H152" i="15"/>
  <c r="G152" i="15"/>
  <c r="BX152" i="6" s="1"/>
  <c r="AA154" i="15"/>
  <c r="Z154" i="15" s="1"/>
  <c r="Y154" i="15" s="1"/>
  <c r="G154" i="15"/>
  <c r="BX154" i="6" s="1"/>
  <c r="H154" i="15"/>
  <c r="AA156" i="15"/>
  <c r="Z156" i="15" s="1"/>
  <c r="Y156" i="15" s="1"/>
  <c r="H156" i="15"/>
  <c r="G156" i="15"/>
  <c r="BX156" i="6" s="1"/>
  <c r="H158" i="15"/>
  <c r="AA158" i="15"/>
  <c r="Z158" i="15" s="1"/>
  <c r="Y158" i="15" s="1"/>
  <c r="G158" i="15"/>
  <c r="BX158" i="6" s="1"/>
  <c r="G160" i="15"/>
  <c r="BX160" i="6" s="1"/>
  <c r="AA160" i="15"/>
  <c r="Z160" i="15" s="1"/>
  <c r="Y160" i="15" s="1"/>
  <c r="H160" i="15"/>
  <c r="AA162" i="15"/>
  <c r="Z162" i="15" s="1"/>
  <c r="Y162" i="15" s="1"/>
  <c r="G162" i="15"/>
  <c r="BX162" i="6" s="1"/>
  <c r="H162" i="15"/>
  <c r="G164" i="15"/>
  <c r="BX164" i="6" s="1"/>
  <c r="AA164" i="15"/>
  <c r="Z164" i="15" s="1"/>
  <c r="Y164" i="15" s="1"/>
  <c r="H164" i="15"/>
  <c r="J172" i="15"/>
  <c r="I172" i="15"/>
  <c r="AA174" i="15"/>
  <c r="Z174" i="15" s="1"/>
  <c r="Y174" i="15" s="1"/>
  <c r="G174" i="15"/>
  <c r="BX174" i="6" s="1"/>
  <c r="H174" i="15"/>
  <c r="J182" i="15"/>
  <c r="I182" i="15"/>
  <c r="J192" i="15"/>
  <c r="I192" i="15"/>
  <c r="AA196" i="15"/>
  <c r="Z196" i="15" s="1"/>
  <c r="Y196" i="15" s="1"/>
  <c r="G196" i="15"/>
  <c r="BX196" i="6" s="1"/>
  <c r="H196" i="15"/>
  <c r="J198" i="15"/>
  <c r="I198" i="15"/>
  <c r="J202" i="15"/>
  <c r="I202" i="15"/>
  <c r="H204" i="15"/>
  <c r="AA204" i="15"/>
  <c r="Z204" i="15" s="1"/>
  <c r="Y204" i="15" s="1"/>
  <c r="G204" i="15"/>
  <c r="BX204" i="6" s="1"/>
  <c r="H206" i="15"/>
  <c r="G206" i="15"/>
  <c r="BX206" i="6" s="1"/>
  <c r="AA206" i="15"/>
  <c r="Z206" i="15" s="1"/>
  <c r="Y206" i="15" s="1"/>
  <c r="J208" i="15"/>
  <c r="I208" i="15"/>
  <c r="J212" i="15"/>
  <c r="I212" i="15"/>
  <c r="J214" i="15"/>
  <c r="I214" i="15"/>
  <c r="J224" i="15"/>
  <c r="I224" i="15"/>
  <c r="I226" i="15"/>
  <c r="J226" i="15"/>
  <c r="I230" i="15"/>
  <c r="J230" i="15"/>
  <c r="I232" i="15"/>
  <c r="J232" i="15"/>
  <c r="G240" i="15"/>
  <c r="BX240" i="6" s="1"/>
  <c r="AA240" i="15"/>
  <c r="Z240" i="15" s="1"/>
  <c r="Y240" i="15" s="1"/>
  <c r="H240" i="15"/>
  <c r="J242" i="15"/>
  <c r="I242" i="15"/>
  <c r="G246" i="15"/>
  <c r="BX246" i="6" s="1"/>
  <c r="AA246" i="15"/>
  <c r="Z246" i="15" s="1"/>
  <c r="Y246" i="15" s="1"/>
  <c r="H246" i="15"/>
  <c r="I248" i="15"/>
  <c r="J248" i="15"/>
  <c r="J252" i="15"/>
  <c r="I252" i="15"/>
  <c r="J256" i="15"/>
  <c r="I256" i="15"/>
  <c r="AA258" i="15"/>
  <c r="Z258" i="15" s="1"/>
  <c r="Y258" i="15" s="1"/>
  <c r="H258" i="15"/>
  <c r="G258" i="15"/>
  <c r="BX258" i="6" s="1"/>
  <c r="AA266" i="15"/>
  <c r="Z266" i="15" s="1"/>
  <c r="Y266" i="15" s="1"/>
  <c r="G266" i="15"/>
  <c r="BX266" i="6" s="1"/>
  <c r="H266" i="15"/>
  <c r="I268" i="15"/>
  <c r="J268" i="15"/>
  <c r="G272" i="15"/>
  <c r="BX272" i="6" s="1"/>
  <c r="AA272" i="15"/>
  <c r="Z272" i="15" s="1"/>
  <c r="Y272" i="15" s="1"/>
  <c r="H272" i="15"/>
  <c r="AA278" i="15"/>
  <c r="Z278" i="15" s="1"/>
  <c r="Y278" i="15" s="1"/>
  <c r="H278" i="15"/>
  <c r="G278" i="15"/>
  <c r="BX278" i="6" s="1"/>
  <c r="AA280" i="15"/>
  <c r="Z280" i="15" s="1"/>
  <c r="Y280" i="15" s="1"/>
  <c r="G280" i="15"/>
  <c r="BX280" i="6" s="1"/>
  <c r="H280" i="15"/>
  <c r="AA282" i="15"/>
  <c r="Z282" i="15" s="1"/>
  <c r="Y282" i="15" s="1"/>
  <c r="G282" i="15"/>
  <c r="BX282" i="6" s="1"/>
  <c r="H282" i="15"/>
  <c r="I284" i="15"/>
  <c r="J284" i="15"/>
  <c r="K62" i="19"/>
  <c r="G292" i="15"/>
  <c r="BX292" i="6" s="1"/>
  <c r="AA292" i="15"/>
  <c r="Z292" i="15" s="1"/>
  <c r="Y292" i="15" s="1"/>
  <c r="H292" i="15"/>
  <c r="I294" i="15"/>
  <c r="J294" i="15"/>
  <c r="G300" i="15"/>
  <c r="BX300" i="6" s="1"/>
  <c r="AA300" i="15"/>
  <c r="Z300" i="15" s="1"/>
  <c r="Y300" i="15" s="1"/>
  <c r="H300" i="15"/>
  <c r="I304" i="15"/>
  <c r="J304" i="15"/>
  <c r="J336" i="15"/>
  <c r="I336" i="15"/>
  <c r="G352" i="15"/>
  <c r="BX352" i="6" s="1"/>
  <c r="AA352" i="15"/>
  <c r="Z352" i="15" s="1"/>
  <c r="Y352" i="15" s="1"/>
  <c r="H352" i="15"/>
  <c r="J354" i="15"/>
  <c r="I354" i="15"/>
  <c r="H372" i="15"/>
  <c r="AA372" i="15"/>
  <c r="Z372" i="15" s="1"/>
  <c r="Y372" i="15" s="1"/>
  <c r="G372" i="15"/>
  <c r="BX372" i="6" s="1"/>
  <c r="AA376" i="15"/>
  <c r="Z376" i="15" s="1"/>
  <c r="Y376" i="15" s="1"/>
  <c r="G376" i="15"/>
  <c r="BX376" i="6" s="1"/>
  <c r="H376" i="15"/>
  <c r="AA378" i="15"/>
  <c r="Z378" i="15" s="1"/>
  <c r="Y378" i="15" s="1"/>
  <c r="G378" i="15"/>
  <c r="BX378" i="6" s="1"/>
  <c r="H378" i="15"/>
  <c r="T377" i="16"/>
  <c r="X378" i="16"/>
  <c r="L378" i="16"/>
  <c r="AJ378" i="16"/>
  <c r="AI378" i="16"/>
  <c r="K378" i="16"/>
  <c r="AB378" i="16"/>
  <c r="A379" i="16"/>
  <c r="AK378" i="16"/>
  <c r="Q378" i="16"/>
  <c r="U378" i="16"/>
  <c r="AE378" i="16"/>
  <c r="AC378" i="16"/>
  <c r="O378" i="16"/>
  <c r="X374" i="25"/>
  <c r="A375" i="25"/>
  <c r="K374" i="25"/>
  <c r="AK374" i="25"/>
  <c r="AB374" i="25"/>
  <c r="L374" i="25"/>
  <c r="AJ374" i="25"/>
  <c r="AC374" i="25"/>
  <c r="O374" i="25"/>
  <c r="D378" i="17"/>
  <c r="E378" i="17" s="1"/>
  <c r="AF382" i="15"/>
  <c r="AF383" i="15"/>
  <c r="AF381" i="15"/>
  <c r="AD15" i="15"/>
  <c r="R15" i="16"/>
  <c r="R381" i="15"/>
  <c r="R382" i="15"/>
  <c r="R383" i="15"/>
  <c r="P15" i="15"/>
  <c r="S376" i="16"/>
  <c r="R376" i="16" s="1"/>
  <c r="I306" i="15"/>
  <c r="J306" i="15"/>
  <c r="I320" i="15"/>
  <c r="J320" i="15"/>
  <c r="J334" i="15"/>
  <c r="I334" i="15"/>
  <c r="J342" i="15"/>
  <c r="I342" i="15"/>
  <c r="J350" i="15"/>
  <c r="I350" i="15"/>
  <c r="J374" i="15"/>
  <c r="I374" i="15"/>
  <c r="I373" i="15"/>
  <c r="J373" i="15"/>
  <c r="J22" i="15"/>
  <c r="I22" i="15"/>
  <c r="I369" i="15"/>
  <c r="J369" i="15"/>
  <c r="G29" i="15"/>
  <c r="BX29" i="6" s="1"/>
  <c r="H29" i="15"/>
  <c r="AA29" i="15"/>
  <c r="Z29" i="15" s="1"/>
  <c r="Y29" i="15" s="1"/>
  <c r="I31" i="15"/>
  <c r="J31" i="15"/>
  <c r="H35" i="15"/>
  <c r="G35" i="15"/>
  <c r="BX35" i="6" s="1"/>
  <c r="AA35" i="15"/>
  <c r="Z35" i="15" s="1"/>
  <c r="Y35" i="15" s="1"/>
  <c r="AA45" i="15"/>
  <c r="Z45" i="15" s="1"/>
  <c r="Y45" i="15" s="1"/>
  <c r="H45" i="15"/>
  <c r="G45" i="15"/>
  <c r="BX45" i="6" s="1"/>
  <c r="I47" i="15"/>
  <c r="J47" i="15"/>
  <c r="I55" i="15"/>
  <c r="J55" i="15"/>
  <c r="AA87" i="15"/>
  <c r="Z87" i="15" s="1"/>
  <c r="Y87" i="15" s="1"/>
  <c r="H87" i="15"/>
  <c r="G87" i="15"/>
  <c r="BX87" i="6" s="1"/>
  <c r="H91" i="15"/>
  <c r="AA91" i="15"/>
  <c r="Z91" i="15" s="1"/>
  <c r="Y91" i="15" s="1"/>
  <c r="G91" i="15"/>
  <c r="BX91" i="6" s="1"/>
  <c r="H95" i="15"/>
  <c r="G95" i="15"/>
  <c r="BX95" i="6" s="1"/>
  <c r="AA95" i="15"/>
  <c r="Z95" i="15" s="1"/>
  <c r="Y95" i="15" s="1"/>
  <c r="I127" i="15"/>
  <c r="J127" i="15"/>
  <c r="J139" i="15"/>
  <c r="I139" i="15"/>
  <c r="H157" i="15"/>
  <c r="G157" i="15"/>
  <c r="BX157" i="6" s="1"/>
  <c r="AA157" i="15"/>
  <c r="Z157" i="15" s="1"/>
  <c r="Y157" i="15" s="1"/>
  <c r="AA167" i="15"/>
  <c r="Z167" i="15" s="1"/>
  <c r="Y167" i="15" s="1"/>
  <c r="H167" i="15"/>
  <c r="G167" i="15"/>
  <c r="BX167" i="6" s="1"/>
  <c r="G177" i="15"/>
  <c r="BX177" i="6" s="1"/>
  <c r="H177" i="15"/>
  <c r="AA177" i="15"/>
  <c r="Z177" i="15" s="1"/>
  <c r="Y177" i="15" s="1"/>
  <c r="G191" i="15"/>
  <c r="BX191" i="6" s="1"/>
  <c r="AA191" i="15"/>
  <c r="Z191" i="15" s="1"/>
  <c r="Y191" i="15" s="1"/>
  <c r="H191" i="15"/>
  <c r="J199" i="15"/>
  <c r="I199" i="15"/>
  <c r="H215" i="15"/>
  <c r="G215" i="15"/>
  <c r="BX215" i="6" s="1"/>
  <c r="AA215" i="15"/>
  <c r="Z215" i="15" s="1"/>
  <c r="Y215" i="15" s="1"/>
  <c r="AF15" i="16"/>
  <c r="G379" i="1"/>
  <c r="BW379" i="6" s="1"/>
  <c r="AA379" i="1"/>
  <c r="I379" i="1"/>
  <c r="F383" i="1"/>
  <c r="F382" i="1"/>
  <c r="F9" i="1"/>
  <c r="F381" i="1"/>
  <c r="AM10" i="1"/>
  <c r="AK10" i="1"/>
  <c r="AK12" i="1" s="1"/>
  <c r="AK13" i="1" s="1"/>
  <c r="V381" i="1"/>
  <c r="V383" i="1"/>
  <c r="V382" i="1"/>
  <c r="M61" i="19"/>
  <c r="J23" i="15"/>
  <c r="I23" i="15"/>
  <c r="I25" i="15"/>
  <c r="J25" i="15"/>
  <c r="J27" i="15"/>
  <c r="I27" i="15"/>
  <c r="I33" i="15"/>
  <c r="J33" i="15"/>
  <c r="I43" i="15"/>
  <c r="J43" i="15"/>
  <c r="J53" i="15"/>
  <c r="I53" i="15"/>
  <c r="J59" i="15"/>
  <c r="I59" i="15"/>
  <c r="J63" i="15"/>
  <c r="I63" i="15"/>
  <c r="J65" i="15"/>
  <c r="I65" i="15"/>
  <c r="J67" i="15"/>
  <c r="I67" i="15"/>
  <c r="J83" i="15"/>
  <c r="I83" i="15"/>
  <c r="J101" i="15"/>
  <c r="I101" i="15"/>
  <c r="E62" i="19"/>
  <c r="I107" i="15"/>
  <c r="J107" i="15"/>
  <c r="I111" i="15"/>
  <c r="J111" i="15"/>
  <c r="H119" i="15"/>
  <c r="AA119" i="15"/>
  <c r="Z119" i="15" s="1"/>
  <c r="Y119" i="15" s="1"/>
  <c r="G119" i="15"/>
  <c r="BX119" i="6" s="1"/>
  <c r="I123" i="15"/>
  <c r="J123" i="15"/>
  <c r="F135" i="15"/>
  <c r="J137" i="15"/>
  <c r="I137" i="15"/>
  <c r="J143" i="15"/>
  <c r="I143" i="15"/>
  <c r="I147" i="15"/>
  <c r="J147" i="15"/>
  <c r="G149" i="15"/>
  <c r="BX149" i="6" s="1"/>
  <c r="AA149" i="15"/>
  <c r="Z149" i="15" s="1"/>
  <c r="Y149" i="15" s="1"/>
  <c r="H149" i="15"/>
  <c r="J155" i="15"/>
  <c r="I155" i="15"/>
  <c r="I159" i="15"/>
  <c r="J159" i="15"/>
  <c r="J163" i="15"/>
  <c r="I163" i="15"/>
  <c r="I173" i="15"/>
  <c r="J173" i="15"/>
  <c r="J175" i="15"/>
  <c r="I175" i="15"/>
  <c r="I179" i="15"/>
  <c r="J179" i="15"/>
  <c r="I189" i="15"/>
  <c r="J189" i="15"/>
  <c r="I203" i="15"/>
  <c r="J203" i="15"/>
  <c r="J211" i="15"/>
  <c r="I211" i="15"/>
  <c r="J221" i="15"/>
  <c r="I221" i="15"/>
  <c r="J225" i="15"/>
  <c r="I225" i="15"/>
  <c r="I62" i="19"/>
  <c r="J233" i="15"/>
  <c r="I233" i="15"/>
  <c r="J239" i="15"/>
  <c r="I239" i="15"/>
  <c r="G241" i="15"/>
  <c r="BX241" i="6" s="1"/>
  <c r="AA241" i="15"/>
  <c r="Z241" i="15" s="1"/>
  <c r="Y241" i="15" s="1"/>
  <c r="H241" i="15"/>
  <c r="I245" i="15"/>
  <c r="J245" i="15"/>
  <c r="J249" i="15"/>
  <c r="I249" i="15"/>
  <c r="J253" i="15"/>
  <c r="I253" i="15"/>
  <c r="I257" i="15"/>
  <c r="J257" i="15"/>
  <c r="J261" i="15"/>
  <c r="I261" i="15"/>
  <c r="I267" i="15"/>
  <c r="J267" i="15"/>
  <c r="J271" i="15"/>
  <c r="I271" i="15"/>
  <c r="I279" i="15"/>
  <c r="J279" i="15"/>
  <c r="J283" i="15"/>
  <c r="I283" i="15"/>
  <c r="I289" i="15"/>
  <c r="J289" i="15"/>
  <c r="J297" i="15"/>
  <c r="I297" i="15"/>
  <c r="I311" i="15"/>
  <c r="J311" i="15"/>
  <c r="I317" i="15"/>
  <c r="J317" i="15"/>
  <c r="L62" i="19"/>
  <c r="J327" i="15"/>
  <c r="I327" i="15"/>
  <c r="I335" i="15"/>
  <c r="J335" i="15"/>
  <c r="J341" i="15"/>
  <c r="I341" i="15"/>
  <c r="J345" i="15"/>
  <c r="I345" i="15"/>
  <c r="J347" i="15"/>
  <c r="I347" i="15"/>
  <c r="G349" i="15"/>
  <c r="BX349" i="6" s="1"/>
  <c r="H349" i="15"/>
  <c r="I359" i="15"/>
  <c r="J359" i="15"/>
  <c r="Q15" i="7"/>
  <c r="AE16" i="16"/>
  <c r="AD16" i="16" s="1"/>
  <c r="AE18" i="16"/>
  <c r="AD18" i="16" s="1"/>
  <c r="AE20" i="16"/>
  <c r="AD20" i="16" s="1"/>
  <c r="AE22" i="16"/>
  <c r="AD22" i="16" s="1"/>
  <c r="AE24" i="16"/>
  <c r="AD24" i="16" s="1"/>
  <c r="AE26" i="16"/>
  <c r="AD26" i="16" s="1"/>
  <c r="AE28" i="16"/>
  <c r="AD28" i="16" s="1"/>
  <c r="AE30" i="16"/>
  <c r="AD30" i="16" s="1"/>
  <c r="AE32" i="16"/>
  <c r="AD32" i="16" s="1"/>
  <c r="AE34" i="16"/>
  <c r="AD34" i="16" s="1"/>
  <c r="AE36" i="16"/>
  <c r="AD36" i="16" s="1"/>
  <c r="AE38" i="16"/>
  <c r="AD38" i="16" s="1"/>
  <c r="AE40" i="16"/>
  <c r="AD40" i="16" s="1"/>
  <c r="AE42" i="16"/>
  <c r="AD42" i="16" s="1"/>
  <c r="AE46" i="16"/>
  <c r="AD46" i="16" s="1"/>
  <c r="AE48" i="16"/>
  <c r="AD48" i="16" s="1"/>
  <c r="AE52" i="16"/>
  <c r="AD52" i="16" s="1"/>
  <c r="AE56" i="16"/>
  <c r="AD56" i="16" s="1"/>
  <c r="AE60" i="16"/>
  <c r="AD60" i="16" s="1"/>
  <c r="AE64" i="16"/>
  <c r="AD64" i="16" s="1"/>
  <c r="AE68" i="16"/>
  <c r="AD68" i="16" s="1"/>
  <c r="AE72" i="16"/>
  <c r="AD72" i="16" s="1"/>
  <c r="AE78" i="16"/>
  <c r="AD78" i="16" s="1"/>
  <c r="AE80" i="16"/>
  <c r="AD80" i="16" s="1"/>
  <c r="AE84" i="16"/>
  <c r="AD84" i="16" s="1"/>
  <c r="AE88" i="16"/>
  <c r="AD88" i="16" s="1"/>
  <c r="AE94" i="16"/>
  <c r="AD94" i="16" s="1"/>
  <c r="AE98" i="16"/>
  <c r="AD98" i="16" s="1"/>
  <c r="AE102" i="16"/>
  <c r="AD102" i="16" s="1"/>
  <c r="AE106" i="16"/>
  <c r="AD106" i="16" s="1"/>
  <c r="AE110" i="16"/>
  <c r="AD110" i="16" s="1"/>
  <c r="AE114" i="16"/>
  <c r="AD114" i="16" s="1"/>
  <c r="AE118" i="16"/>
  <c r="AD118" i="16" s="1"/>
  <c r="AE122" i="16"/>
  <c r="AD122" i="16" s="1"/>
  <c r="AE126" i="16"/>
  <c r="AD126" i="16" s="1"/>
  <c r="AE130" i="16"/>
  <c r="AD130" i="16" s="1"/>
  <c r="AE134" i="16"/>
  <c r="AD134" i="16" s="1"/>
  <c r="AE138" i="16"/>
  <c r="AD138" i="16" s="1"/>
  <c r="AE142" i="16"/>
  <c r="AD142" i="16" s="1"/>
  <c r="AE146" i="16"/>
  <c r="AD146" i="16" s="1"/>
  <c r="AE150" i="16"/>
  <c r="AD150" i="16" s="1"/>
  <c r="AE154" i="16"/>
  <c r="AD154" i="16" s="1"/>
  <c r="AE158" i="16"/>
  <c r="AD158" i="16" s="1"/>
  <c r="AE164" i="16"/>
  <c r="AD164" i="16" s="1"/>
  <c r="AE168" i="16"/>
  <c r="AD168" i="16" s="1"/>
  <c r="AE170" i="16"/>
  <c r="AD170" i="16" s="1"/>
  <c r="AE176" i="16"/>
  <c r="AD176" i="16" s="1"/>
  <c r="AE178" i="16"/>
  <c r="AD178" i="16" s="1"/>
  <c r="AE182" i="16"/>
  <c r="AD182" i="16" s="1"/>
  <c r="AE188" i="16"/>
  <c r="AD188" i="16" s="1"/>
  <c r="AE192" i="16"/>
  <c r="AD192" i="16" s="1"/>
  <c r="AE196" i="16"/>
  <c r="AD196" i="16" s="1"/>
  <c r="AE200" i="16"/>
  <c r="AD200" i="16" s="1"/>
  <c r="AE204" i="16"/>
  <c r="AD204" i="16" s="1"/>
  <c r="AE206" i="16"/>
  <c r="AD206" i="16" s="1"/>
  <c r="AE212" i="16"/>
  <c r="AD212" i="16" s="1"/>
  <c r="AE214" i="16"/>
  <c r="AD214" i="16" s="1"/>
  <c r="AE218" i="16"/>
  <c r="AD218" i="16" s="1"/>
  <c r="AE224" i="16"/>
  <c r="AD224" i="16" s="1"/>
  <c r="AE226" i="16"/>
  <c r="AD226" i="16" s="1"/>
  <c r="AE230" i="16"/>
  <c r="AD230" i="16" s="1"/>
  <c r="AE234" i="16"/>
  <c r="AD234" i="16" s="1"/>
  <c r="AE238" i="16"/>
  <c r="AD238" i="16" s="1"/>
  <c r="AE242" i="16"/>
  <c r="AD242" i="16" s="1"/>
  <c r="AE246" i="16"/>
  <c r="AD246" i="16" s="1"/>
  <c r="AE250" i="16"/>
  <c r="AD250" i="16" s="1"/>
  <c r="AE254" i="16"/>
  <c r="AD254" i="16" s="1"/>
  <c r="AE258" i="16"/>
  <c r="AD258" i="16" s="1"/>
  <c r="AE262" i="16"/>
  <c r="AD262" i="16" s="1"/>
  <c r="AE264" i="16"/>
  <c r="AD264" i="16" s="1"/>
  <c r="AE270" i="16"/>
  <c r="AD270" i="16" s="1"/>
  <c r="AE274" i="16"/>
  <c r="AD274" i="16" s="1"/>
  <c r="AE278" i="16"/>
  <c r="AD278" i="16" s="1"/>
  <c r="AE282" i="16"/>
  <c r="AD282" i="16" s="1"/>
  <c r="AE284" i="16"/>
  <c r="AD284" i="16" s="1"/>
  <c r="AE288" i="16"/>
  <c r="AD288" i="16" s="1"/>
  <c r="AE294" i="16"/>
  <c r="AD294" i="16" s="1"/>
  <c r="AE298" i="16"/>
  <c r="AD298" i="16" s="1"/>
  <c r="AE302" i="16"/>
  <c r="AD302" i="16" s="1"/>
  <c r="AE304" i="16"/>
  <c r="AD304" i="16" s="1"/>
  <c r="AE308" i="16"/>
  <c r="AD308" i="16" s="1"/>
  <c r="AE314" i="16"/>
  <c r="AD314" i="16" s="1"/>
  <c r="AE316" i="16"/>
  <c r="AD316" i="16" s="1"/>
  <c r="AE320" i="16"/>
  <c r="AD320" i="16" s="1"/>
  <c r="AE324" i="16"/>
  <c r="AD324" i="16" s="1"/>
  <c r="AE330" i="16"/>
  <c r="AD330" i="16" s="1"/>
  <c r="AE334" i="16"/>
  <c r="AD334" i="16" s="1"/>
  <c r="AE338" i="16"/>
  <c r="AD338" i="16" s="1"/>
  <c r="AE342" i="16"/>
  <c r="AD342" i="16" s="1"/>
  <c r="AE344" i="16"/>
  <c r="AD344" i="16" s="1"/>
  <c r="AE348" i="16"/>
  <c r="AD348" i="16" s="1"/>
  <c r="AE352" i="16"/>
  <c r="AD352" i="16" s="1"/>
  <c r="AE358" i="16"/>
  <c r="AD358" i="16" s="1"/>
  <c r="AE362" i="16"/>
  <c r="AD362" i="16" s="1"/>
  <c r="AE364" i="16"/>
  <c r="AD364" i="16" s="1"/>
  <c r="AE368" i="16"/>
  <c r="AD368" i="16" s="1"/>
  <c r="AE372" i="16"/>
  <c r="AD372" i="16" s="1"/>
  <c r="AE376" i="16"/>
  <c r="AE15" i="16"/>
  <c r="AE17" i="16"/>
  <c r="AD17" i="16" s="1"/>
  <c r="AE19" i="16"/>
  <c r="AD19" i="16" s="1"/>
  <c r="AE21" i="16"/>
  <c r="AD21" i="16" s="1"/>
  <c r="AE23" i="16"/>
  <c r="AD23" i="16" s="1"/>
  <c r="AE25" i="16"/>
  <c r="AD25" i="16" s="1"/>
  <c r="AE27" i="16"/>
  <c r="AD27" i="16" s="1"/>
  <c r="AE29" i="16"/>
  <c r="AD29" i="16" s="1"/>
  <c r="AE31" i="16"/>
  <c r="AD31" i="16" s="1"/>
  <c r="AE33" i="16"/>
  <c r="AD33" i="16" s="1"/>
  <c r="AE35" i="16"/>
  <c r="AD35" i="16" s="1"/>
  <c r="AE37" i="16"/>
  <c r="AD37" i="16" s="1"/>
  <c r="AE39" i="16"/>
  <c r="AD39" i="16" s="1"/>
  <c r="AE41" i="16"/>
  <c r="AD41" i="16" s="1"/>
  <c r="AE43" i="16"/>
  <c r="AD43" i="16" s="1"/>
  <c r="AE45" i="16"/>
  <c r="AD45" i="16" s="1"/>
  <c r="AE47" i="16"/>
  <c r="AD47" i="16" s="1"/>
  <c r="AE49" i="16"/>
  <c r="AD49" i="16" s="1"/>
  <c r="AE51" i="16"/>
  <c r="AD51" i="16" s="1"/>
  <c r="AE53" i="16"/>
  <c r="AD53" i="16" s="1"/>
  <c r="AE55" i="16"/>
  <c r="AD55" i="16" s="1"/>
  <c r="AE57" i="16"/>
  <c r="AD57" i="16" s="1"/>
  <c r="AE59" i="16"/>
  <c r="AD59" i="16" s="1"/>
  <c r="AE61" i="16"/>
  <c r="AD61" i="16" s="1"/>
  <c r="AE63" i="16"/>
  <c r="AD63" i="16" s="1"/>
  <c r="AE65" i="16"/>
  <c r="AD65" i="16" s="1"/>
  <c r="AE67" i="16"/>
  <c r="AD67" i="16" s="1"/>
  <c r="AE69" i="16"/>
  <c r="AD69" i="16" s="1"/>
  <c r="AE71" i="16"/>
  <c r="AD71" i="16" s="1"/>
  <c r="AE73" i="16"/>
  <c r="AD73" i="16" s="1"/>
  <c r="AE75" i="16"/>
  <c r="AD75" i="16" s="1"/>
  <c r="AE77" i="16"/>
  <c r="AD77" i="16" s="1"/>
  <c r="AE79" i="16"/>
  <c r="AD79" i="16" s="1"/>
  <c r="AE81" i="16"/>
  <c r="AD81" i="16" s="1"/>
  <c r="AE83" i="16"/>
  <c r="AD83" i="16" s="1"/>
  <c r="AE85" i="16"/>
  <c r="AD85" i="16" s="1"/>
  <c r="AE87" i="16"/>
  <c r="AD87" i="16" s="1"/>
  <c r="AE89" i="16"/>
  <c r="AD89" i="16" s="1"/>
  <c r="AE91" i="16"/>
  <c r="AD91" i="16" s="1"/>
  <c r="AE93" i="16"/>
  <c r="AD93" i="16" s="1"/>
  <c r="AE95" i="16"/>
  <c r="AD95" i="16" s="1"/>
  <c r="AE97" i="16"/>
  <c r="AD97" i="16" s="1"/>
  <c r="AE99" i="16"/>
  <c r="AD99" i="16" s="1"/>
  <c r="AE101" i="16"/>
  <c r="AD101" i="16" s="1"/>
  <c r="AE103" i="16"/>
  <c r="AD103" i="16" s="1"/>
  <c r="AE105" i="16"/>
  <c r="AD105" i="16" s="1"/>
  <c r="AE107" i="16"/>
  <c r="AD107" i="16" s="1"/>
  <c r="AE109" i="16"/>
  <c r="AD109" i="16" s="1"/>
  <c r="AE111" i="16"/>
  <c r="AD111" i="16" s="1"/>
  <c r="AE113" i="16"/>
  <c r="AD113" i="16" s="1"/>
  <c r="AE115" i="16"/>
  <c r="AD115" i="16" s="1"/>
  <c r="AE117" i="16"/>
  <c r="AD117" i="16" s="1"/>
  <c r="AE119" i="16"/>
  <c r="AD119" i="16" s="1"/>
  <c r="AE121" i="16"/>
  <c r="AD121" i="16" s="1"/>
  <c r="AE123" i="16"/>
  <c r="AD123" i="16" s="1"/>
  <c r="AE125" i="16"/>
  <c r="AD125" i="16" s="1"/>
  <c r="AE127" i="16"/>
  <c r="AD127" i="16" s="1"/>
  <c r="AE129" i="16"/>
  <c r="AD129" i="16" s="1"/>
  <c r="AE131" i="16"/>
  <c r="AD131" i="16" s="1"/>
  <c r="AE133" i="16"/>
  <c r="AD133" i="16" s="1"/>
  <c r="AE135" i="16"/>
  <c r="AD135" i="16" s="1"/>
  <c r="AE137" i="16"/>
  <c r="AD137" i="16" s="1"/>
  <c r="AE139" i="16"/>
  <c r="AD139" i="16" s="1"/>
  <c r="AE141" i="16"/>
  <c r="AD141" i="16" s="1"/>
  <c r="AE143" i="16"/>
  <c r="AD143" i="16" s="1"/>
  <c r="AE145" i="16"/>
  <c r="AD145" i="16" s="1"/>
  <c r="AE147" i="16"/>
  <c r="AD147" i="16" s="1"/>
  <c r="AE149" i="16"/>
  <c r="AD149" i="16" s="1"/>
  <c r="AE151" i="16"/>
  <c r="AD151" i="16" s="1"/>
  <c r="AE153" i="16"/>
  <c r="AD153" i="16" s="1"/>
  <c r="AE155" i="16"/>
  <c r="AD155" i="16" s="1"/>
  <c r="AE157" i="16"/>
  <c r="AD157" i="16" s="1"/>
  <c r="AE159" i="16"/>
  <c r="AD159" i="16" s="1"/>
  <c r="AE161" i="16"/>
  <c r="AD161" i="16" s="1"/>
  <c r="AE163" i="16"/>
  <c r="AD163" i="16" s="1"/>
  <c r="AE165" i="16"/>
  <c r="AD165" i="16" s="1"/>
  <c r="AE167" i="16"/>
  <c r="AD167" i="16" s="1"/>
  <c r="AE169" i="16"/>
  <c r="AD169" i="16" s="1"/>
  <c r="AE171" i="16"/>
  <c r="AD171" i="16" s="1"/>
  <c r="AE173" i="16"/>
  <c r="AD173" i="16" s="1"/>
  <c r="AE175" i="16"/>
  <c r="AD175" i="16" s="1"/>
  <c r="AE177" i="16"/>
  <c r="AD177" i="16" s="1"/>
  <c r="AE179" i="16"/>
  <c r="AD179" i="16" s="1"/>
  <c r="AE181" i="16"/>
  <c r="AD181" i="16" s="1"/>
  <c r="AE183" i="16"/>
  <c r="AD183" i="16" s="1"/>
  <c r="AE185" i="16"/>
  <c r="AD185" i="16" s="1"/>
  <c r="AE187" i="16"/>
  <c r="AD187" i="16" s="1"/>
  <c r="AE189" i="16"/>
  <c r="AD189" i="16" s="1"/>
  <c r="AE191" i="16"/>
  <c r="AD191" i="16" s="1"/>
  <c r="AE193" i="16"/>
  <c r="AD193" i="16" s="1"/>
  <c r="AE195" i="16"/>
  <c r="AD195" i="16" s="1"/>
  <c r="AE197" i="16"/>
  <c r="AD197" i="16" s="1"/>
  <c r="AE199" i="16"/>
  <c r="AD199" i="16" s="1"/>
  <c r="AE201" i="16"/>
  <c r="AD201" i="16" s="1"/>
  <c r="AE203" i="16"/>
  <c r="AD203" i="16" s="1"/>
  <c r="AE205" i="16"/>
  <c r="AD205" i="16" s="1"/>
  <c r="AE207" i="16"/>
  <c r="AD207" i="16" s="1"/>
  <c r="AE209" i="16"/>
  <c r="AD209" i="16" s="1"/>
  <c r="AE211" i="16"/>
  <c r="AD211" i="16" s="1"/>
  <c r="AE213" i="16"/>
  <c r="AD213" i="16" s="1"/>
  <c r="AE215" i="16"/>
  <c r="AD215" i="16" s="1"/>
  <c r="AE217" i="16"/>
  <c r="AD217" i="16" s="1"/>
  <c r="AE219" i="16"/>
  <c r="AD219" i="16" s="1"/>
  <c r="AE221" i="16"/>
  <c r="AD221" i="16" s="1"/>
  <c r="AE223" i="16"/>
  <c r="AD223" i="16" s="1"/>
  <c r="AE225" i="16"/>
  <c r="AD225" i="16" s="1"/>
  <c r="AE227" i="16"/>
  <c r="AD227" i="16" s="1"/>
  <c r="AE229" i="16"/>
  <c r="AD229" i="16" s="1"/>
  <c r="AE231" i="16"/>
  <c r="AD231" i="16" s="1"/>
  <c r="AE233" i="16"/>
  <c r="AD233" i="16" s="1"/>
  <c r="AE235" i="16"/>
  <c r="AD235" i="16" s="1"/>
  <c r="AE237" i="16"/>
  <c r="AD237" i="16" s="1"/>
  <c r="AE239" i="16"/>
  <c r="AD239" i="16" s="1"/>
  <c r="AE241" i="16"/>
  <c r="AD241" i="16" s="1"/>
  <c r="AE243" i="16"/>
  <c r="AD243" i="16" s="1"/>
  <c r="AE245" i="16"/>
  <c r="AD245" i="16" s="1"/>
  <c r="AE247" i="16"/>
  <c r="AD247" i="16" s="1"/>
  <c r="AE249" i="16"/>
  <c r="AD249" i="16" s="1"/>
  <c r="AE251" i="16"/>
  <c r="AD251" i="16" s="1"/>
  <c r="AE253" i="16"/>
  <c r="AD253" i="16" s="1"/>
  <c r="AE255" i="16"/>
  <c r="AD255" i="16" s="1"/>
  <c r="AE257" i="16"/>
  <c r="AD257" i="16" s="1"/>
  <c r="AE259" i="16"/>
  <c r="AD259" i="16" s="1"/>
  <c r="AE261" i="16"/>
  <c r="AD261" i="16" s="1"/>
  <c r="AE263" i="16"/>
  <c r="AD263" i="16" s="1"/>
  <c r="AE265" i="16"/>
  <c r="AD265" i="16" s="1"/>
  <c r="AE267" i="16"/>
  <c r="AD267" i="16" s="1"/>
  <c r="AE269" i="16"/>
  <c r="AD269" i="16" s="1"/>
  <c r="AE271" i="16"/>
  <c r="AD271" i="16" s="1"/>
  <c r="AE273" i="16"/>
  <c r="AD273" i="16" s="1"/>
  <c r="AE275" i="16"/>
  <c r="AD275" i="16" s="1"/>
  <c r="AE277" i="16"/>
  <c r="AD277" i="16" s="1"/>
  <c r="AE279" i="16"/>
  <c r="AD279" i="16" s="1"/>
  <c r="AE281" i="16"/>
  <c r="AD281" i="16" s="1"/>
  <c r="AE283" i="16"/>
  <c r="AD283" i="16" s="1"/>
  <c r="AE285" i="16"/>
  <c r="AD285" i="16" s="1"/>
  <c r="AE287" i="16"/>
  <c r="AD287" i="16" s="1"/>
  <c r="AE289" i="16"/>
  <c r="AD289" i="16" s="1"/>
  <c r="AE291" i="16"/>
  <c r="AD291" i="16" s="1"/>
  <c r="AE293" i="16"/>
  <c r="AD293" i="16" s="1"/>
  <c r="AE295" i="16"/>
  <c r="AD295" i="16" s="1"/>
  <c r="AE297" i="16"/>
  <c r="AD297" i="16" s="1"/>
  <c r="AE299" i="16"/>
  <c r="AD299" i="16" s="1"/>
  <c r="AE301" i="16"/>
  <c r="AD301" i="16" s="1"/>
  <c r="AE303" i="16"/>
  <c r="AD303" i="16" s="1"/>
  <c r="AE305" i="16"/>
  <c r="AD305" i="16" s="1"/>
  <c r="AE307" i="16"/>
  <c r="AD307" i="16" s="1"/>
  <c r="AE309" i="16"/>
  <c r="AD309" i="16" s="1"/>
  <c r="AE311" i="16"/>
  <c r="AD311" i="16" s="1"/>
  <c r="AE313" i="16"/>
  <c r="AD313" i="16" s="1"/>
  <c r="AE315" i="16"/>
  <c r="AD315" i="16" s="1"/>
  <c r="AE317" i="16"/>
  <c r="AD317" i="16" s="1"/>
  <c r="AE319" i="16"/>
  <c r="AD319" i="16" s="1"/>
  <c r="AE321" i="16"/>
  <c r="AD321" i="16" s="1"/>
  <c r="AE323" i="16"/>
  <c r="AD323" i="16" s="1"/>
  <c r="AE325" i="16"/>
  <c r="AD325" i="16" s="1"/>
  <c r="AE327" i="16"/>
  <c r="AD327" i="16" s="1"/>
  <c r="AE329" i="16"/>
  <c r="AD329" i="16" s="1"/>
  <c r="AE331" i="16"/>
  <c r="AD331" i="16" s="1"/>
  <c r="AE333" i="16"/>
  <c r="AD333" i="16" s="1"/>
  <c r="AE335" i="16"/>
  <c r="AD335" i="16" s="1"/>
  <c r="AE337" i="16"/>
  <c r="AD337" i="16" s="1"/>
  <c r="AE339" i="16"/>
  <c r="AD339" i="16" s="1"/>
  <c r="AE341" i="16"/>
  <c r="AD341" i="16" s="1"/>
  <c r="AE343" i="16"/>
  <c r="AD343" i="16" s="1"/>
  <c r="AE345" i="16"/>
  <c r="AD345" i="16" s="1"/>
  <c r="AE347" i="16"/>
  <c r="AD347" i="16" s="1"/>
  <c r="AE349" i="16"/>
  <c r="AD349" i="16" s="1"/>
  <c r="AE351" i="16"/>
  <c r="AD351" i="16" s="1"/>
  <c r="AE353" i="16"/>
  <c r="AD353" i="16" s="1"/>
  <c r="AE355" i="16"/>
  <c r="AD355" i="16" s="1"/>
  <c r="AE357" i="16"/>
  <c r="AD357" i="16" s="1"/>
  <c r="AE359" i="16"/>
  <c r="AD359" i="16" s="1"/>
  <c r="AE361" i="16"/>
  <c r="AD361" i="16" s="1"/>
  <c r="AE363" i="16"/>
  <c r="AD363" i="16" s="1"/>
  <c r="AE365" i="16"/>
  <c r="AD365" i="16" s="1"/>
  <c r="AE367" i="16"/>
  <c r="AD367" i="16" s="1"/>
  <c r="AE369" i="16"/>
  <c r="AD369" i="16" s="1"/>
  <c r="AE371" i="16"/>
  <c r="AD371" i="16" s="1"/>
  <c r="AE373" i="16"/>
  <c r="AD373" i="16" s="1"/>
  <c r="Q376" i="16"/>
  <c r="AE44" i="16"/>
  <c r="AD44" i="16" s="1"/>
  <c r="AE50" i="16"/>
  <c r="AD50" i="16" s="1"/>
  <c r="AE54" i="16"/>
  <c r="AD54" i="16" s="1"/>
  <c r="AE58" i="16"/>
  <c r="AD58" i="16" s="1"/>
  <c r="AE62" i="16"/>
  <c r="AD62" i="16" s="1"/>
  <c r="AE66" i="16"/>
  <c r="AD66" i="16" s="1"/>
  <c r="AE70" i="16"/>
  <c r="AD70" i="16" s="1"/>
  <c r="AE74" i="16"/>
  <c r="AD74" i="16" s="1"/>
  <c r="AE76" i="16"/>
  <c r="AD76" i="16" s="1"/>
  <c r="AE82" i="16"/>
  <c r="AD82" i="16" s="1"/>
  <c r="AE86" i="16"/>
  <c r="AD86" i="16" s="1"/>
  <c r="AE90" i="16"/>
  <c r="AD90" i="16" s="1"/>
  <c r="AE92" i="16"/>
  <c r="AD92" i="16" s="1"/>
  <c r="AE96" i="16"/>
  <c r="AD96" i="16" s="1"/>
  <c r="AE100" i="16"/>
  <c r="AD100" i="16" s="1"/>
  <c r="AE104" i="16"/>
  <c r="AD104" i="16" s="1"/>
  <c r="AE108" i="16"/>
  <c r="AD108" i="16" s="1"/>
  <c r="AE112" i="16"/>
  <c r="AD112" i="16" s="1"/>
  <c r="AE116" i="16"/>
  <c r="AD116" i="16" s="1"/>
  <c r="AE120" i="16"/>
  <c r="AD120" i="16" s="1"/>
  <c r="AE124" i="16"/>
  <c r="AD124" i="16" s="1"/>
  <c r="AE128" i="16"/>
  <c r="AD128" i="16" s="1"/>
  <c r="AE132" i="16"/>
  <c r="AD132" i="16" s="1"/>
  <c r="AE136" i="16"/>
  <c r="AD136" i="16" s="1"/>
  <c r="AE140" i="16"/>
  <c r="AD140" i="16" s="1"/>
  <c r="AE144" i="16"/>
  <c r="AD144" i="16" s="1"/>
  <c r="AE148" i="16"/>
  <c r="AD148" i="16" s="1"/>
  <c r="AE152" i="16"/>
  <c r="AD152" i="16" s="1"/>
  <c r="AE156" i="16"/>
  <c r="AD156" i="16" s="1"/>
  <c r="AE160" i="16"/>
  <c r="AD160" i="16" s="1"/>
  <c r="AE162" i="16"/>
  <c r="AD162" i="16" s="1"/>
  <c r="AE166" i="16"/>
  <c r="AD166" i="16" s="1"/>
  <c r="AE172" i="16"/>
  <c r="AD172" i="16" s="1"/>
  <c r="AE174" i="16"/>
  <c r="AD174" i="16" s="1"/>
  <c r="AE180" i="16"/>
  <c r="AD180" i="16" s="1"/>
  <c r="AE184" i="16"/>
  <c r="AD184" i="16" s="1"/>
  <c r="AE186" i="16"/>
  <c r="AD186" i="16" s="1"/>
  <c r="AE190" i="16"/>
  <c r="AD190" i="16" s="1"/>
  <c r="AE194" i="16"/>
  <c r="AD194" i="16" s="1"/>
  <c r="AE198" i="16"/>
  <c r="AD198" i="16" s="1"/>
  <c r="AE202" i="16"/>
  <c r="AD202" i="16" s="1"/>
  <c r="AE208" i="16"/>
  <c r="AD208" i="16" s="1"/>
  <c r="AE210" i="16"/>
  <c r="AD210" i="16" s="1"/>
  <c r="AE216" i="16"/>
  <c r="AD216" i="16" s="1"/>
  <c r="AE220" i="16"/>
  <c r="AD220" i="16" s="1"/>
  <c r="AE222" i="16"/>
  <c r="AD222" i="16" s="1"/>
  <c r="AE228" i="16"/>
  <c r="AD228" i="16" s="1"/>
  <c r="AE232" i="16"/>
  <c r="AD232" i="16" s="1"/>
  <c r="AE236" i="16"/>
  <c r="AD236" i="16" s="1"/>
  <c r="AE240" i="16"/>
  <c r="AD240" i="16" s="1"/>
  <c r="AE244" i="16"/>
  <c r="AD244" i="16" s="1"/>
  <c r="AE248" i="16"/>
  <c r="AD248" i="16" s="1"/>
  <c r="AE252" i="16"/>
  <c r="AD252" i="16" s="1"/>
  <c r="AE256" i="16"/>
  <c r="AD256" i="16" s="1"/>
  <c r="AE260" i="16"/>
  <c r="AD260" i="16" s="1"/>
  <c r="AE266" i="16"/>
  <c r="AD266" i="16" s="1"/>
  <c r="AE268" i="16"/>
  <c r="AD268" i="16" s="1"/>
  <c r="AE272" i="16"/>
  <c r="AD272" i="16" s="1"/>
  <c r="AE276" i="16"/>
  <c r="AD276" i="16" s="1"/>
  <c r="AE280" i="16"/>
  <c r="AD280" i="16" s="1"/>
  <c r="AE286" i="16"/>
  <c r="AD286" i="16" s="1"/>
  <c r="AE290" i="16"/>
  <c r="AD290" i="16" s="1"/>
  <c r="AE292" i="16"/>
  <c r="AD292" i="16" s="1"/>
  <c r="AE296" i="16"/>
  <c r="AD296" i="16" s="1"/>
  <c r="AE300" i="16"/>
  <c r="AD300" i="16" s="1"/>
  <c r="AE306" i="16"/>
  <c r="AD306" i="16" s="1"/>
  <c r="AE310" i="16"/>
  <c r="AD310" i="16" s="1"/>
  <c r="AE312" i="16"/>
  <c r="AD312" i="16" s="1"/>
  <c r="AE318" i="16"/>
  <c r="AD318" i="16" s="1"/>
  <c r="AE322" i="16"/>
  <c r="AD322" i="16" s="1"/>
  <c r="AE326" i="16"/>
  <c r="AD326" i="16" s="1"/>
  <c r="AE328" i="16"/>
  <c r="AD328" i="16" s="1"/>
  <c r="AE332" i="16"/>
  <c r="AD332" i="16" s="1"/>
  <c r="AE336" i="16"/>
  <c r="AD336" i="16" s="1"/>
  <c r="AE340" i="16"/>
  <c r="AD340" i="16" s="1"/>
  <c r="AE346" i="16"/>
  <c r="AD346" i="16" s="1"/>
  <c r="AE350" i="16"/>
  <c r="AD350" i="16" s="1"/>
  <c r="AE354" i="16"/>
  <c r="AD354" i="16" s="1"/>
  <c r="AE356" i="16"/>
  <c r="AD356" i="16" s="1"/>
  <c r="AE360" i="16"/>
  <c r="AD360" i="16" s="1"/>
  <c r="AE366" i="16"/>
  <c r="AD366" i="16" s="1"/>
  <c r="AE370" i="16"/>
  <c r="AD370" i="16" s="1"/>
  <c r="AE374" i="16"/>
  <c r="AD374" i="16" s="1"/>
  <c r="AE375" i="16"/>
  <c r="AD375" i="16" s="1"/>
  <c r="J24" i="15"/>
  <c r="I24" i="15"/>
  <c r="J28" i="15"/>
  <c r="I28" i="15"/>
  <c r="I30" i="15"/>
  <c r="J30" i="15"/>
  <c r="I38" i="15"/>
  <c r="J38" i="15"/>
  <c r="F46" i="15"/>
  <c r="J48" i="15"/>
  <c r="I48" i="15"/>
  <c r="I54" i="15"/>
  <c r="J54" i="15"/>
  <c r="J56" i="15"/>
  <c r="I56" i="15"/>
  <c r="G60" i="15"/>
  <c r="BX60" i="6" s="1"/>
  <c r="AA60" i="15"/>
  <c r="Z60" i="15" s="1"/>
  <c r="Y60" i="15" s="1"/>
  <c r="H60" i="15"/>
  <c r="I68" i="15"/>
  <c r="J68" i="15"/>
  <c r="F74" i="15"/>
  <c r="I86" i="15"/>
  <c r="J86" i="15"/>
  <c r="I90" i="15"/>
  <c r="J90" i="15"/>
  <c r="J102" i="15"/>
  <c r="I102" i="15"/>
  <c r="I110" i="15"/>
  <c r="J110" i="15"/>
  <c r="I116" i="15"/>
  <c r="J116" i="15"/>
  <c r="I122" i="15"/>
  <c r="J122" i="15"/>
  <c r="I124" i="15"/>
  <c r="J124" i="15"/>
  <c r="J150" i="15"/>
  <c r="I150" i="15"/>
  <c r="H166" i="15"/>
  <c r="AA166" i="15"/>
  <c r="Z166" i="15" s="1"/>
  <c r="Y166" i="15" s="1"/>
  <c r="G166" i="15"/>
  <c r="BX166" i="6" s="1"/>
  <c r="J168" i="15"/>
  <c r="I168" i="15"/>
  <c r="J176" i="15"/>
  <c r="I176" i="15"/>
  <c r="J190" i="15"/>
  <c r="I190" i="15"/>
  <c r="J194" i="15"/>
  <c r="I194" i="15"/>
  <c r="H62" i="19"/>
  <c r="G210" i="15"/>
  <c r="BX210" i="6" s="1"/>
  <c r="H210" i="15"/>
  <c r="AA210" i="15"/>
  <c r="Z210" i="15" s="1"/>
  <c r="Y210" i="15" s="1"/>
  <c r="I220" i="15"/>
  <c r="J220" i="15"/>
  <c r="I222" i="15"/>
  <c r="J222" i="15"/>
  <c r="I238" i="15"/>
  <c r="J238" i="15"/>
  <c r="I244" i="15"/>
  <c r="J244" i="15"/>
  <c r="J250" i="15"/>
  <c r="I250" i="15"/>
  <c r="J254" i="15"/>
  <c r="I254" i="15"/>
  <c r="J62" i="19"/>
  <c r="I264" i="15"/>
  <c r="J264" i="15"/>
  <c r="J270" i="15"/>
  <c r="I270" i="15"/>
  <c r="I276" i="15"/>
  <c r="J276" i="15"/>
  <c r="F288" i="15"/>
  <c r="I290" i="15"/>
  <c r="J290" i="15"/>
  <c r="I298" i="15"/>
  <c r="J298" i="15"/>
  <c r="I318" i="15"/>
  <c r="J318" i="15"/>
  <c r="J322" i="15"/>
  <c r="I322" i="15"/>
  <c r="I326" i="15"/>
  <c r="J326" i="15"/>
  <c r="J330" i="15"/>
  <c r="I330" i="15"/>
  <c r="J340" i="15"/>
  <c r="I340" i="15"/>
  <c r="J344" i="15"/>
  <c r="I344" i="15"/>
  <c r="J348" i="15"/>
  <c r="I348" i="15"/>
  <c r="J366" i="15"/>
  <c r="I366" i="15"/>
  <c r="K375" i="24"/>
  <c r="A376" i="24"/>
  <c r="AJ375" i="24"/>
  <c r="AB375" i="24"/>
  <c r="L375" i="24"/>
  <c r="X375" i="24"/>
  <c r="AK375" i="24"/>
  <c r="AC375" i="24"/>
  <c r="O375" i="24"/>
  <c r="A379" i="20"/>
  <c r="AB378" i="20"/>
  <c r="AJ378" i="20"/>
  <c r="K378" i="20"/>
  <c r="L378" i="20"/>
  <c r="X378" i="20"/>
  <c r="AK378" i="20"/>
  <c r="AC378" i="20"/>
  <c r="O378" i="20"/>
  <c r="Q377" i="16"/>
  <c r="AH377" i="16"/>
  <c r="D377" i="16"/>
  <c r="E377" i="16" s="1"/>
  <c r="X376" i="23"/>
  <c r="L376" i="23"/>
  <c r="AB376" i="23"/>
  <c r="AK376" i="23"/>
  <c r="K376" i="23"/>
  <c r="A377" i="23"/>
  <c r="AJ376" i="23"/>
  <c r="AC376" i="23"/>
  <c r="O376" i="23"/>
  <c r="X379" i="17"/>
  <c r="K379" i="17"/>
  <c r="AK379" i="17"/>
  <c r="AB379" i="17"/>
  <c r="L379" i="17"/>
  <c r="B38" i="19" s="1"/>
  <c r="AJ379" i="17"/>
  <c r="O379" i="17"/>
  <c r="C38" i="19" s="1"/>
  <c r="AC379" i="17"/>
  <c r="G286" i="15"/>
  <c r="BX286" i="6" s="1"/>
  <c r="AA286" i="15"/>
  <c r="Z286" i="15" s="1"/>
  <c r="Y286" i="15" s="1"/>
  <c r="H286" i="15"/>
  <c r="AA302" i="15"/>
  <c r="Z302" i="15" s="1"/>
  <c r="Y302" i="15" s="1"/>
  <c r="G302" i="15"/>
  <c r="BX302" i="6" s="1"/>
  <c r="H302" i="15"/>
  <c r="G310" i="15"/>
  <c r="BX310" i="6" s="1"/>
  <c r="AA310" i="15"/>
  <c r="Z310" i="15" s="1"/>
  <c r="Y310" i="15" s="1"/>
  <c r="H310" i="15"/>
  <c r="I314" i="15"/>
  <c r="J314" i="15"/>
  <c r="J324" i="15"/>
  <c r="I324" i="15"/>
  <c r="J338" i="15"/>
  <c r="I338" i="15"/>
  <c r="J346" i="15"/>
  <c r="I346" i="15"/>
  <c r="J356" i="15"/>
  <c r="I356" i="15"/>
  <c r="AG376" i="16"/>
  <c r="AF376" i="16" s="1"/>
  <c r="I357" i="15"/>
  <c r="J357" i="15"/>
  <c r="I365" i="15"/>
  <c r="J365" i="15"/>
  <c r="I377" i="15"/>
  <c r="J377" i="15"/>
  <c r="H19" i="15"/>
  <c r="AA19" i="15"/>
  <c r="Z19" i="15" s="1"/>
  <c r="Y19" i="15" s="1"/>
  <c r="G19" i="15"/>
  <c r="BX19" i="6" s="1"/>
  <c r="AA371" i="16" l="1"/>
  <c r="Z371" i="16" s="1"/>
  <c r="Y371" i="16" s="1"/>
  <c r="AA347" i="16"/>
  <c r="Z347" i="16" s="1"/>
  <c r="Y347" i="16" s="1"/>
  <c r="AA339" i="16"/>
  <c r="Z339" i="16" s="1"/>
  <c r="Y339" i="16" s="1"/>
  <c r="AA315" i="16"/>
  <c r="Z315" i="16" s="1"/>
  <c r="Y315" i="16" s="1"/>
  <c r="AA307" i="16"/>
  <c r="Z307" i="16" s="1"/>
  <c r="Y307" i="16" s="1"/>
  <c r="AA291" i="16"/>
  <c r="Z291" i="16" s="1"/>
  <c r="Y291" i="16" s="1"/>
  <c r="H347" i="16"/>
  <c r="I347" i="16" s="1"/>
  <c r="H339" i="16"/>
  <c r="I339" i="16" s="1"/>
  <c r="H315" i="16"/>
  <c r="I315" i="16" s="1"/>
  <c r="H307" i="16"/>
  <c r="I307" i="16" s="1"/>
  <c r="H365" i="16"/>
  <c r="I365" i="16" s="1"/>
  <c r="AA365" i="16"/>
  <c r="Z365" i="16" s="1"/>
  <c r="Y365" i="16" s="1"/>
  <c r="AA171" i="16"/>
  <c r="Z171" i="16" s="1"/>
  <c r="Y171" i="16" s="1"/>
  <c r="V241" i="16"/>
  <c r="F241" i="16" s="1"/>
  <c r="G241" i="16" s="1"/>
  <c r="BY241" i="6" s="1"/>
  <c r="V333" i="16"/>
  <c r="F333" i="16" s="1"/>
  <c r="AA333" i="16" s="1"/>
  <c r="Z333" i="16" s="1"/>
  <c r="Y333" i="16" s="1"/>
  <c r="V363" i="16"/>
  <c r="F363" i="16" s="1"/>
  <c r="AA363" i="16" s="1"/>
  <c r="Z363" i="16" s="1"/>
  <c r="Y363" i="16" s="1"/>
  <c r="AA369" i="16"/>
  <c r="Z369" i="16" s="1"/>
  <c r="Y369" i="16" s="1"/>
  <c r="H359" i="16"/>
  <c r="I359" i="16" s="1"/>
  <c r="H175" i="16"/>
  <c r="I175" i="16" s="1"/>
  <c r="H369" i="16"/>
  <c r="J369" i="16" s="1"/>
  <c r="AA373" i="16"/>
  <c r="Z373" i="16" s="1"/>
  <c r="Y373" i="16" s="1"/>
  <c r="AA361" i="16"/>
  <c r="Z361" i="16" s="1"/>
  <c r="Y361" i="16" s="1"/>
  <c r="AA349" i="16"/>
  <c r="Z349" i="16" s="1"/>
  <c r="Y349" i="16" s="1"/>
  <c r="H373" i="16"/>
  <c r="J373" i="16" s="1"/>
  <c r="AA375" i="16"/>
  <c r="Z375" i="16" s="1"/>
  <c r="Y375" i="16" s="1"/>
  <c r="AA367" i="16"/>
  <c r="Z367" i="16" s="1"/>
  <c r="Y367" i="16" s="1"/>
  <c r="AA359" i="16"/>
  <c r="Z359" i="16" s="1"/>
  <c r="Y359" i="16" s="1"/>
  <c r="AA187" i="16"/>
  <c r="Z187" i="16" s="1"/>
  <c r="Y187" i="16" s="1"/>
  <c r="AA179" i="16"/>
  <c r="Z179" i="16" s="1"/>
  <c r="Y179" i="16" s="1"/>
  <c r="AA175" i="16"/>
  <c r="Z175" i="16" s="1"/>
  <c r="Y175" i="16" s="1"/>
  <c r="H179" i="16"/>
  <c r="J179" i="16" s="1"/>
  <c r="AD376" i="16"/>
  <c r="AA185" i="16"/>
  <c r="Z185" i="16" s="1"/>
  <c r="Y185" i="16" s="1"/>
  <c r="AA177" i="16"/>
  <c r="Z177" i="16" s="1"/>
  <c r="Y177" i="16" s="1"/>
  <c r="AA169" i="16"/>
  <c r="Z169" i="16" s="1"/>
  <c r="Y169" i="16" s="1"/>
  <c r="H289" i="16"/>
  <c r="I289" i="16" s="1"/>
  <c r="D48" i="7"/>
  <c r="D44" i="7"/>
  <c r="H23" i="16"/>
  <c r="J23" i="16" s="1"/>
  <c r="H189" i="16"/>
  <c r="I189" i="16" s="1"/>
  <c r="H173" i="16"/>
  <c r="J173" i="16" s="1"/>
  <c r="V119" i="16"/>
  <c r="F119" i="16" s="1"/>
  <c r="G119" i="16" s="1"/>
  <c r="BY119" i="6" s="1"/>
  <c r="H102" i="16"/>
  <c r="J102" i="16" s="1"/>
  <c r="H38" i="16"/>
  <c r="I38" i="16" s="1"/>
  <c r="H30" i="16"/>
  <c r="J30" i="16" s="1"/>
  <c r="AA374" i="16"/>
  <c r="Z374" i="16" s="1"/>
  <c r="Y374" i="16" s="1"/>
  <c r="AA162" i="16"/>
  <c r="Z162" i="16" s="1"/>
  <c r="Y162" i="16" s="1"/>
  <c r="AA86" i="16"/>
  <c r="Z86" i="16" s="1"/>
  <c r="Y86" i="16" s="1"/>
  <c r="AA62" i="16"/>
  <c r="Z62" i="16" s="1"/>
  <c r="Y62" i="16" s="1"/>
  <c r="AA54" i="16"/>
  <c r="Z54" i="16" s="1"/>
  <c r="Y54" i="16" s="1"/>
  <c r="AA189" i="16"/>
  <c r="Z189" i="16" s="1"/>
  <c r="Y189" i="16" s="1"/>
  <c r="AA181" i="16"/>
  <c r="Z181" i="16" s="1"/>
  <c r="Y181" i="16" s="1"/>
  <c r="AA173" i="16"/>
  <c r="Z173" i="16" s="1"/>
  <c r="Y173" i="16" s="1"/>
  <c r="AA165" i="16"/>
  <c r="Z165" i="16" s="1"/>
  <c r="Y165" i="16" s="1"/>
  <c r="AA141" i="16"/>
  <c r="Z141" i="16" s="1"/>
  <c r="Y141" i="16" s="1"/>
  <c r="AA178" i="16"/>
  <c r="Z178" i="16" s="1"/>
  <c r="Y178" i="16" s="1"/>
  <c r="AA146" i="16"/>
  <c r="Z146" i="16" s="1"/>
  <c r="Y146" i="16" s="1"/>
  <c r="AA38" i="16"/>
  <c r="Z38" i="16" s="1"/>
  <c r="Y38" i="16" s="1"/>
  <c r="AA30" i="16"/>
  <c r="Z30" i="16" s="1"/>
  <c r="Y30" i="16" s="1"/>
  <c r="AA22" i="16"/>
  <c r="Z22" i="16" s="1"/>
  <c r="Y22" i="16" s="1"/>
  <c r="H111" i="16"/>
  <c r="J111" i="16" s="1"/>
  <c r="H83" i="16"/>
  <c r="J83" i="16" s="1"/>
  <c r="H67" i="16"/>
  <c r="J67" i="16" s="1"/>
  <c r="H63" i="16"/>
  <c r="I63" i="16" s="1"/>
  <c r="H59" i="16"/>
  <c r="I59" i="16" s="1"/>
  <c r="H127" i="16"/>
  <c r="I127" i="16" s="1"/>
  <c r="H146" i="16"/>
  <c r="J146" i="16" s="1"/>
  <c r="H94" i="16"/>
  <c r="J94" i="16" s="1"/>
  <c r="H62" i="16"/>
  <c r="I62" i="16" s="1"/>
  <c r="H39" i="16"/>
  <c r="J39" i="16" s="1"/>
  <c r="V180" i="16"/>
  <c r="F180" i="16" s="1"/>
  <c r="G180" i="16" s="1"/>
  <c r="BY180" i="6" s="1"/>
  <c r="D49" i="7"/>
  <c r="AA148" i="16"/>
  <c r="Z148" i="16" s="1"/>
  <c r="Y148" i="16" s="1"/>
  <c r="AA164" i="16"/>
  <c r="Z164" i="16" s="1"/>
  <c r="Y164" i="16" s="1"/>
  <c r="AA186" i="16"/>
  <c r="Z186" i="16" s="1"/>
  <c r="Y186" i="16" s="1"/>
  <c r="AA172" i="16"/>
  <c r="Z172" i="16" s="1"/>
  <c r="Y172" i="16" s="1"/>
  <c r="AA156" i="16"/>
  <c r="Z156" i="16" s="1"/>
  <c r="Y156" i="16" s="1"/>
  <c r="AA140" i="16"/>
  <c r="Z140" i="16" s="1"/>
  <c r="Y140" i="16" s="1"/>
  <c r="AA125" i="16"/>
  <c r="Z125" i="16" s="1"/>
  <c r="Y125" i="16" s="1"/>
  <c r="AA121" i="16"/>
  <c r="Z121" i="16" s="1"/>
  <c r="Y121" i="16" s="1"/>
  <c r="AA117" i="16"/>
  <c r="Z117" i="16" s="1"/>
  <c r="Y117" i="16" s="1"/>
  <c r="AA113" i="16"/>
  <c r="Z113" i="16" s="1"/>
  <c r="Y113" i="16" s="1"/>
  <c r="AA109" i="16"/>
  <c r="Z109" i="16" s="1"/>
  <c r="Y109" i="16" s="1"/>
  <c r="AA105" i="16"/>
  <c r="Z105" i="16" s="1"/>
  <c r="Y105" i="16" s="1"/>
  <c r="AA101" i="16"/>
  <c r="Z101" i="16" s="1"/>
  <c r="Y101" i="16" s="1"/>
  <c r="AA89" i="16"/>
  <c r="Z89" i="16" s="1"/>
  <c r="Y89" i="16" s="1"/>
  <c r="AA77" i="16"/>
  <c r="Z77" i="16" s="1"/>
  <c r="Y77" i="16" s="1"/>
  <c r="AA73" i="16"/>
  <c r="Z73" i="16" s="1"/>
  <c r="Y73" i="16" s="1"/>
  <c r="AA69" i="16"/>
  <c r="Z69" i="16" s="1"/>
  <c r="Y69" i="16" s="1"/>
  <c r="AA65" i="16"/>
  <c r="Z65" i="16" s="1"/>
  <c r="Y65" i="16" s="1"/>
  <c r="AA61" i="16"/>
  <c r="Z61" i="16" s="1"/>
  <c r="Y61" i="16" s="1"/>
  <c r="AA57" i="16"/>
  <c r="Z57" i="16" s="1"/>
  <c r="Y57" i="16" s="1"/>
  <c r="AA53" i="16"/>
  <c r="Z53" i="16" s="1"/>
  <c r="Y53" i="16" s="1"/>
  <c r="AA49" i="16"/>
  <c r="Z49" i="16" s="1"/>
  <c r="Y49" i="16" s="1"/>
  <c r="AA45" i="16"/>
  <c r="Z45" i="16" s="1"/>
  <c r="Y45" i="16" s="1"/>
  <c r="AA41" i="16"/>
  <c r="Z41" i="16" s="1"/>
  <c r="Y41" i="16" s="1"/>
  <c r="AA37" i="16"/>
  <c r="Z37" i="16" s="1"/>
  <c r="Y37" i="16" s="1"/>
  <c r="AA33" i="16"/>
  <c r="Z33" i="16" s="1"/>
  <c r="Y33" i="16" s="1"/>
  <c r="AA368" i="16"/>
  <c r="Z368" i="16" s="1"/>
  <c r="Y368" i="16" s="1"/>
  <c r="AA352" i="16"/>
  <c r="Z352" i="16" s="1"/>
  <c r="Y352" i="16" s="1"/>
  <c r="AA344" i="16"/>
  <c r="Z344" i="16" s="1"/>
  <c r="Y344" i="16" s="1"/>
  <c r="AA188" i="16"/>
  <c r="Z188" i="16" s="1"/>
  <c r="Y188" i="16" s="1"/>
  <c r="AA170" i="16"/>
  <c r="Z170" i="16" s="1"/>
  <c r="Y170" i="16" s="1"/>
  <c r="AA154" i="16"/>
  <c r="Z154" i="16" s="1"/>
  <c r="Y154" i="16" s="1"/>
  <c r="AA138" i="16"/>
  <c r="Z138" i="16" s="1"/>
  <c r="Y138" i="16" s="1"/>
  <c r="AA130" i="16"/>
  <c r="Z130" i="16" s="1"/>
  <c r="Y130" i="16" s="1"/>
  <c r="AA122" i="16"/>
  <c r="Z122" i="16" s="1"/>
  <c r="Y122" i="16" s="1"/>
  <c r="AA98" i="16"/>
  <c r="Z98" i="16" s="1"/>
  <c r="Y98" i="16" s="1"/>
  <c r="AA42" i="16"/>
  <c r="Z42" i="16" s="1"/>
  <c r="Y42" i="16" s="1"/>
  <c r="AA34" i="16"/>
  <c r="Z34" i="16" s="1"/>
  <c r="Y34" i="16" s="1"/>
  <c r="AA18" i="16"/>
  <c r="Z18" i="16" s="1"/>
  <c r="Y18" i="16" s="1"/>
  <c r="H101" i="16"/>
  <c r="I101" i="16" s="1"/>
  <c r="H65" i="16"/>
  <c r="I65" i="16" s="1"/>
  <c r="H53" i="16"/>
  <c r="I53" i="16" s="1"/>
  <c r="H27" i="16"/>
  <c r="J27" i="16" s="1"/>
  <c r="H172" i="16"/>
  <c r="I172" i="16" s="1"/>
  <c r="H130" i="16"/>
  <c r="J130" i="16" s="1"/>
  <c r="H128" i="16"/>
  <c r="I128" i="16" s="1"/>
  <c r="V272" i="16"/>
  <c r="F272" i="16" s="1"/>
  <c r="AA272" i="16" s="1"/>
  <c r="Z272" i="16" s="1"/>
  <c r="Y272" i="16" s="1"/>
  <c r="H110" i="16"/>
  <c r="I110" i="16" s="1"/>
  <c r="H86" i="16"/>
  <c r="I86" i="16" s="1"/>
  <c r="H54" i="16"/>
  <c r="J54" i="16" s="1"/>
  <c r="AA135" i="16"/>
  <c r="Z135" i="16" s="1"/>
  <c r="Y135" i="16" s="1"/>
  <c r="AA127" i="16"/>
  <c r="Z127" i="16" s="1"/>
  <c r="Y127" i="16" s="1"/>
  <c r="AA123" i="16"/>
  <c r="Z123" i="16" s="1"/>
  <c r="Y123" i="16" s="1"/>
  <c r="AA115" i="16"/>
  <c r="Z115" i="16" s="1"/>
  <c r="Y115" i="16" s="1"/>
  <c r="AA111" i="16"/>
  <c r="Z111" i="16" s="1"/>
  <c r="Y111" i="16" s="1"/>
  <c r="AA99" i="16"/>
  <c r="Z99" i="16" s="1"/>
  <c r="Y99" i="16" s="1"/>
  <c r="AA87" i="16"/>
  <c r="Z87" i="16" s="1"/>
  <c r="Y87" i="16" s="1"/>
  <c r="AA83" i="16"/>
  <c r="Z83" i="16" s="1"/>
  <c r="Y83" i="16" s="1"/>
  <c r="AA71" i="16"/>
  <c r="Z71" i="16" s="1"/>
  <c r="Y71" i="16" s="1"/>
  <c r="AA67" i="16"/>
  <c r="Z67" i="16" s="1"/>
  <c r="Y67" i="16" s="1"/>
  <c r="AA63" i="16"/>
  <c r="Z63" i="16" s="1"/>
  <c r="Y63" i="16" s="1"/>
  <c r="AA59" i="16"/>
  <c r="Z59" i="16" s="1"/>
  <c r="Y59" i="16" s="1"/>
  <c r="AA55" i="16"/>
  <c r="Z55" i="16" s="1"/>
  <c r="Y55" i="16" s="1"/>
  <c r="AA51" i="16"/>
  <c r="Z51" i="16" s="1"/>
  <c r="Y51" i="16" s="1"/>
  <c r="AA47" i="16"/>
  <c r="Z47" i="16" s="1"/>
  <c r="Y47" i="16" s="1"/>
  <c r="AA43" i="16"/>
  <c r="Z43" i="16" s="1"/>
  <c r="Y43" i="16" s="1"/>
  <c r="AA39" i="16"/>
  <c r="Z39" i="16" s="1"/>
  <c r="Y39" i="16" s="1"/>
  <c r="AA35" i="16"/>
  <c r="Z35" i="16" s="1"/>
  <c r="Y35" i="16" s="1"/>
  <c r="AA31" i="16"/>
  <c r="Z31" i="16" s="1"/>
  <c r="Y31" i="16" s="1"/>
  <c r="AA23" i="16"/>
  <c r="Z23" i="16" s="1"/>
  <c r="Y23" i="16" s="1"/>
  <c r="AA134" i="16"/>
  <c r="Z134" i="16" s="1"/>
  <c r="Y134" i="16" s="1"/>
  <c r="AA126" i="16"/>
  <c r="Z126" i="16" s="1"/>
  <c r="Y126" i="16" s="1"/>
  <c r="AA118" i="16"/>
  <c r="Z118" i="16" s="1"/>
  <c r="Y118" i="16" s="1"/>
  <c r="AA110" i="16"/>
  <c r="Z110" i="16" s="1"/>
  <c r="Y110" i="16" s="1"/>
  <c r="AA102" i="16"/>
  <c r="Z102" i="16" s="1"/>
  <c r="Y102" i="16" s="1"/>
  <c r="AA94" i="16"/>
  <c r="Z94" i="16" s="1"/>
  <c r="Y94" i="16" s="1"/>
  <c r="H123" i="16"/>
  <c r="I123" i="16" s="1"/>
  <c r="H43" i="16"/>
  <c r="J43" i="16" s="1"/>
  <c r="H55" i="16"/>
  <c r="I55" i="16" s="1"/>
  <c r="H47" i="16"/>
  <c r="J47" i="16" s="1"/>
  <c r="H31" i="16"/>
  <c r="J31" i="16" s="1"/>
  <c r="H22" i="16"/>
  <c r="J22" i="16" s="1"/>
  <c r="D50" i="7"/>
  <c r="H115" i="16"/>
  <c r="I115" i="16" s="1"/>
  <c r="H314" i="16"/>
  <c r="I314" i="16" s="1"/>
  <c r="H150" i="16"/>
  <c r="I150" i="16" s="1"/>
  <c r="AA366" i="16"/>
  <c r="Z366" i="16" s="1"/>
  <c r="Y366" i="16" s="1"/>
  <c r="AA132" i="16"/>
  <c r="Z132" i="16" s="1"/>
  <c r="Y132" i="16" s="1"/>
  <c r="AA362" i="16"/>
  <c r="Z362" i="16" s="1"/>
  <c r="Y362" i="16" s="1"/>
  <c r="AA314" i="16"/>
  <c r="Z314" i="16" s="1"/>
  <c r="Y314" i="16" s="1"/>
  <c r="AA282" i="16"/>
  <c r="Z282" i="16" s="1"/>
  <c r="Y282" i="16" s="1"/>
  <c r="H354" i="16"/>
  <c r="J354" i="16" s="1"/>
  <c r="D53" i="7"/>
  <c r="F350" i="16"/>
  <c r="G350" i="16" s="1"/>
  <c r="BY350" i="6" s="1"/>
  <c r="V136" i="16"/>
  <c r="F136" i="16" s="1"/>
  <c r="H366" i="16"/>
  <c r="I366" i="16" s="1"/>
  <c r="H344" i="16"/>
  <c r="J344" i="16" s="1"/>
  <c r="H176" i="16"/>
  <c r="J176" i="16" s="1"/>
  <c r="H168" i="16"/>
  <c r="J168" i="16" s="1"/>
  <c r="AA370" i="16"/>
  <c r="Z370" i="16" s="1"/>
  <c r="Y370" i="16" s="1"/>
  <c r="AA354" i="16"/>
  <c r="Z354" i="16" s="1"/>
  <c r="Y354" i="16" s="1"/>
  <c r="AA336" i="16"/>
  <c r="Z336" i="16" s="1"/>
  <c r="Y336" i="16" s="1"/>
  <c r="AA184" i="16"/>
  <c r="Z184" i="16" s="1"/>
  <c r="Y184" i="16" s="1"/>
  <c r="AA174" i="16"/>
  <c r="Z174" i="16" s="1"/>
  <c r="Y174" i="16" s="1"/>
  <c r="AA166" i="16"/>
  <c r="Z166" i="16" s="1"/>
  <c r="Y166" i="16" s="1"/>
  <c r="AA160" i="16"/>
  <c r="Z160" i="16" s="1"/>
  <c r="Y160" i="16" s="1"/>
  <c r="AA152" i="16"/>
  <c r="Z152" i="16" s="1"/>
  <c r="Y152" i="16" s="1"/>
  <c r="AA144" i="16"/>
  <c r="Z144" i="16" s="1"/>
  <c r="Y144" i="16" s="1"/>
  <c r="AA128" i="16"/>
  <c r="Z128" i="16" s="1"/>
  <c r="Y128" i="16" s="1"/>
  <c r="AA372" i="16"/>
  <c r="Z372" i="16" s="1"/>
  <c r="Y372" i="16" s="1"/>
  <c r="AA364" i="16"/>
  <c r="Z364" i="16" s="1"/>
  <c r="Y364" i="16" s="1"/>
  <c r="AA308" i="16"/>
  <c r="Z308" i="16" s="1"/>
  <c r="Y308" i="16" s="1"/>
  <c r="AA182" i="16"/>
  <c r="Z182" i="16" s="1"/>
  <c r="Y182" i="16" s="1"/>
  <c r="AA176" i="16"/>
  <c r="Z176" i="16" s="1"/>
  <c r="Y176" i="16" s="1"/>
  <c r="AA168" i="16"/>
  <c r="Z168" i="16" s="1"/>
  <c r="Y168" i="16" s="1"/>
  <c r="AA150" i="16"/>
  <c r="Z150" i="16" s="1"/>
  <c r="Y150" i="16" s="1"/>
  <c r="H374" i="16"/>
  <c r="I374" i="16" s="1"/>
  <c r="H336" i="16"/>
  <c r="I336" i="16" s="1"/>
  <c r="H182" i="16"/>
  <c r="J182" i="16" s="1"/>
  <c r="V88" i="16"/>
  <c r="F88" i="16" s="1"/>
  <c r="AA88" i="16" s="1"/>
  <c r="Z88" i="16" s="1"/>
  <c r="Y88" i="16" s="1"/>
  <c r="D46" i="7"/>
  <c r="D45" i="7"/>
  <c r="V60" i="16"/>
  <c r="F60" i="16" s="1"/>
  <c r="AA60" i="16" s="1"/>
  <c r="Z60" i="16" s="1"/>
  <c r="Y60" i="16" s="1"/>
  <c r="F108" i="16"/>
  <c r="G108" i="16" s="1"/>
  <c r="BY108" i="6" s="1"/>
  <c r="H56" i="16"/>
  <c r="J56" i="16" s="1"/>
  <c r="H48" i="16"/>
  <c r="I48" i="16" s="1"/>
  <c r="AA124" i="16"/>
  <c r="Z124" i="16" s="1"/>
  <c r="Y124" i="16" s="1"/>
  <c r="AA116" i="16"/>
  <c r="Z116" i="16" s="1"/>
  <c r="Y116" i="16" s="1"/>
  <c r="AA76" i="16"/>
  <c r="Z76" i="16" s="1"/>
  <c r="Y76" i="16" s="1"/>
  <c r="AA80" i="16"/>
  <c r="Z80" i="16" s="1"/>
  <c r="Y80" i="16" s="1"/>
  <c r="AA72" i="16"/>
  <c r="Z72" i="16" s="1"/>
  <c r="Y72" i="16" s="1"/>
  <c r="AA56" i="16"/>
  <c r="Z56" i="16" s="1"/>
  <c r="Y56" i="16" s="1"/>
  <c r="AA48" i="16"/>
  <c r="Z48" i="16" s="1"/>
  <c r="Y48" i="16" s="1"/>
  <c r="H40" i="16"/>
  <c r="I40" i="16" s="1"/>
  <c r="F129" i="16"/>
  <c r="G129" i="16" s="1"/>
  <c r="BY129" i="6" s="1"/>
  <c r="F133" i="16"/>
  <c r="G133" i="16" s="1"/>
  <c r="BY133" i="6" s="1"/>
  <c r="F26" i="16"/>
  <c r="H26" i="16" s="1"/>
  <c r="F50" i="16"/>
  <c r="AA50" i="16" s="1"/>
  <c r="Z50" i="16" s="1"/>
  <c r="Y50" i="16" s="1"/>
  <c r="F114" i="16"/>
  <c r="AA114" i="16" s="1"/>
  <c r="Z114" i="16" s="1"/>
  <c r="Y114" i="16" s="1"/>
  <c r="H124" i="16"/>
  <c r="J124" i="16" s="1"/>
  <c r="H116" i="16"/>
  <c r="I116" i="16" s="1"/>
  <c r="H28" i="16"/>
  <c r="J28" i="16" s="1"/>
  <c r="H24" i="16"/>
  <c r="I24" i="16" s="1"/>
  <c r="AA112" i="16"/>
  <c r="Z112" i="16" s="1"/>
  <c r="Y112" i="16" s="1"/>
  <c r="AA104" i="16"/>
  <c r="Z104" i="16" s="1"/>
  <c r="Y104" i="16" s="1"/>
  <c r="AA96" i="16"/>
  <c r="Z96" i="16" s="1"/>
  <c r="Y96" i="16" s="1"/>
  <c r="AA84" i="16"/>
  <c r="Z84" i="16" s="1"/>
  <c r="Y84" i="16" s="1"/>
  <c r="AA52" i="16"/>
  <c r="Z52" i="16" s="1"/>
  <c r="Y52" i="16" s="1"/>
  <c r="AA40" i="16"/>
  <c r="Z40" i="16" s="1"/>
  <c r="Y40" i="16" s="1"/>
  <c r="AA36" i="16"/>
  <c r="Z36" i="16" s="1"/>
  <c r="Y36" i="16" s="1"/>
  <c r="AA32" i="16"/>
  <c r="Z32" i="16" s="1"/>
  <c r="Y32" i="16" s="1"/>
  <c r="AA28" i="16"/>
  <c r="Z28" i="16" s="1"/>
  <c r="Y28" i="16" s="1"/>
  <c r="AA24" i="16"/>
  <c r="Z24" i="16" s="1"/>
  <c r="Y24" i="16" s="1"/>
  <c r="AA20" i="16"/>
  <c r="Z20" i="16" s="1"/>
  <c r="Y20" i="16" s="1"/>
  <c r="AA16" i="16"/>
  <c r="Z16" i="16" s="1"/>
  <c r="Y16" i="16" s="1"/>
  <c r="H76" i="16"/>
  <c r="I76" i="16" s="1"/>
  <c r="H72" i="16"/>
  <c r="J72" i="16" s="1"/>
  <c r="H52" i="16"/>
  <c r="J52" i="16" s="1"/>
  <c r="H32" i="16"/>
  <c r="I32" i="16" s="1"/>
  <c r="H297" i="16"/>
  <c r="J297" i="16" s="1"/>
  <c r="H271" i="16"/>
  <c r="J271" i="16" s="1"/>
  <c r="H253" i="16"/>
  <c r="I253" i="16" s="1"/>
  <c r="H320" i="16"/>
  <c r="J320" i="16" s="1"/>
  <c r="H259" i="16"/>
  <c r="I259" i="16" s="1"/>
  <c r="H255" i="16"/>
  <c r="J255" i="16" s="1"/>
  <c r="H251" i="16"/>
  <c r="I251" i="16" s="1"/>
  <c r="H338" i="16"/>
  <c r="J338" i="16" s="1"/>
  <c r="H330" i="16"/>
  <c r="I330" i="16" s="1"/>
  <c r="H122" i="16"/>
  <c r="I122" i="16" s="1"/>
  <c r="H90" i="16"/>
  <c r="J90" i="16" s="1"/>
  <c r="AA90" i="16"/>
  <c r="Z90" i="16" s="1"/>
  <c r="Y90" i="16" s="1"/>
  <c r="AA82" i="16"/>
  <c r="Z82" i="16" s="1"/>
  <c r="Y82" i="16" s="1"/>
  <c r="AA66" i="16"/>
  <c r="Z66" i="16" s="1"/>
  <c r="Y66" i="16" s="1"/>
  <c r="AA27" i="16"/>
  <c r="Z27" i="16" s="1"/>
  <c r="Y27" i="16" s="1"/>
  <c r="H267" i="16"/>
  <c r="I267" i="16" s="1"/>
  <c r="H143" i="16"/>
  <c r="I143" i="16" s="1"/>
  <c r="H33" i="16"/>
  <c r="I33" i="16" s="1"/>
  <c r="H82" i="16"/>
  <c r="I82" i="16" s="1"/>
  <c r="H34" i="16"/>
  <c r="I34" i="16" s="1"/>
  <c r="H273" i="16"/>
  <c r="I273" i="16" s="1"/>
  <c r="H265" i="16"/>
  <c r="J265" i="16" s="1"/>
  <c r="H247" i="16"/>
  <c r="J247" i="16" s="1"/>
  <c r="F106" i="16"/>
  <c r="H106" i="16" s="1"/>
  <c r="H348" i="16"/>
  <c r="J348" i="16" s="1"/>
  <c r="H327" i="16"/>
  <c r="J327" i="16" s="1"/>
  <c r="H317" i="16"/>
  <c r="J317" i="16" s="1"/>
  <c r="H25" i="16"/>
  <c r="J25" i="16" s="1"/>
  <c r="P376" i="16"/>
  <c r="V376" i="16" s="1"/>
  <c r="H331" i="16"/>
  <c r="I331" i="16" s="1"/>
  <c r="F78" i="16"/>
  <c r="AA78" i="16" s="1"/>
  <c r="Z78" i="16" s="1"/>
  <c r="Y78" i="16" s="1"/>
  <c r="H340" i="16"/>
  <c r="I340" i="16" s="1"/>
  <c r="AA25" i="16"/>
  <c r="Z25" i="16" s="1"/>
  <c r="Y25" i="16" s="1"/>
  <c r="AA17" i="16"/>
  <c r="Z17" i="16" s="1"/>
  <c r="Y17" i="16" s="1"/>
  <c r="H256" i="16"/>
  <c r="J256" i="16" s="1"/>
  <c r="H224" i="16"/>
  <c r="J224" i="16" s="1"/>
  <c r="H323" i="16"/>
  <c r="I323" i="16" s="1"/>
  <c r="AA218" i="16"/>
  <c r="Z218" i="16" s="1"/>
  <c r="Y218" i="16" s="1"/>
  <c r="G218" i="16"/>
  <c r="BY218" i="6" s="1"/>
  <c r="AA226" i="16"/>
  <c r="Z226" i="16" s="1"/>
  <c r="Y226" i="16" s="1"/>
  <c r="G226" i="16"/>
  <c r="BY226" i="6" s="1"/>
  <c r="G234" i="16"/>
  <c r="BY234" i="6" s="1"/>
  <c r="AA234" i="16"/>
  <c r="Z234" i="16" s="1"/>
  <c r="Y234" i="16" s="1"/>
  <c r="G242" i="16"/>
  <c r="BY242" i="6" s="1"/>
  <c r="AA242" i="16"/>
  <c r="Z242" i="16" s="1"/>
  <c r="Y242" i="16" s="1"/>
  <c r="G250" i="16"/>
  <c r="BY250" i="6" s="1"/>
  <c r="AA250" i="16"/>
  <c r="Z250" i="16" s="1"/>
  <c r="Y250" i="16" s="1"/>
  <c r="G258" i="16"/>
  <c r="BY258" i="6" s="1"/>
  <c r="AA258" i="16"/>
  <c r="Z258" i="16" s="1"/>
  <c r="Y258" i="16" s="1"/>
  <c r="G266" i="16"/>
  <c r="BY266" i="6" s="1"/>
  <c r="AA266" i="16"/>
  <c r="Z266" i="16" s="1"/>
  <c r="Y266" i="16" s="1"/>
  <c r="G274" i="16"/>
  <c r="BY274" i="6" s="1"/>
  <c r="AA274" i="16"/>
  <c r="Z274" i="16" s="1"/>
  <c r="Y274" i="16" s="1"/>
  <c r="H290" i="16"/>
  <c r="G290" i="16"/>
  <c r="BY290" i="6" s="1"/>
  <c r="AA290" i="16"/>
  <c r="Z290" i="16" s="1"/>
  <c r="Y290" i="16" s="1"/>
  <c r="G298" i="16"/>
  <c r="BY298" i="6" s="1"/>
  <c r="H298" i="16"/>
  <c r="AA298" i="16"/>
  <c r="Z298" i="16" s="1"/>
  <c r="Y298" i="16" s="1"/>
  <c r="AA358" i="16"/>
  <c r="Z358" i="16" s="1"/>
  <c r="Y358" i="16" s="1"/>
  <c r="G358" i="16"/>
  <c r="BY358" i="6" s="1"/>
  <c r="G303" i="16"/>
  <c r="BY303" i="6" s="1"/>
  <c r="AA303" i="16"/>
  <c r="Z303" i="16" s="1"/>
  <c r="Y303" i="16" s="1"/>
  <c r="AA325" i="16"/>
  <c r="Z325" i="16" s="1"/>
  <c r="Y325" i="16" s="1"/>
  <c r="G325" i="16"/>
  <c r="BY325" i="6" s="1"/>
  <c r="H335" i="16"/>
  <c r="G335" i="16"/>
  <c r="BY335" i="6" s="1"/>
  <c r="AA335" i="16"/>
  <c r="Z335" i="16" s="1"/>
  <c r="Y335" i="16" s="1"/>
  <c r="AA341" i="16"/>
  <c r="Z341" i="16" s="1"/>
  <c r="Y341" i="16" s="1"/>
  <c r="G341" i="16"/>
  <c r="BY341" i="6" s="1"/>
  <c r="AA200" i="16"/>
  <c r="Z200" i="16" s="1"/>
  <c r="Y200" i="16" s="1"/>
  <c r="G200" i="16"/>
  <c r="BY200" i="6" s="1"/>
  <c r="G220" i="16"/>
  <c r="BY220" i="6" s="1"/>
  <c r="AA220" i="16"/>
  <c r="Z220" i="16" s="1"/>
  <c r="Y220" i="16" s="1"/>
  <c r="AA236" i="16"/>
  <c r="Z236" i="16" s="1"/>
  <c r="Y236" i="16" s="1"/>
  <c r="G236" i="16"/>
  <c r="BY236" i="6" s="1"/>
  <c r="G252" i="16"/>
  <c r="BY252" i="6" s="1"/>
  <c r="H252" i="16"/>
  <c r="AA252" i="16"/>
  <c r="Z252" i="16" s="1"/>
  <c r="Y252" i="16" s="1"/>
  <c r="G268" i="16"/>
  <c r="BY268" i="6" s="1"/>
  <c r="AA268" i="16"/>
  <c r="Z268" i="16" s="1"/>
  <c r="Y268" i="16" s="1"/>
  <c r="H268" i="16"/>
  <c r="G79" i="16"/>
  <c r="BY79" i="6" s="1"/>
  <c r="AA79" i="16"/>
  <c r="Z79" i="16" s="1"/>
  <c r="Y79" i="16" s="1"/>
  <c r="G91" i="16"/>
  <c r="BY91" i="6" s="1"/>
  <c r="AA91" i="16"/>
  <c r="Z91" i="16" s="1"/>
  <c r="Y91" i="16" s="1"/>
  <c r="G95" i="16"/>
  <c r="BY95" i="6" s="1"/>
  <c r="AA95" i="16"/>
  <c r="Z95" i="16" s="1"/>
  <c r="Y95" i="16" s="1"/>
  <c r="AA103" i="16"/>
  <c r="Z103" i="16" s="1"/>
  <c r="Y103" i="16" s="1"/>
  <c r="G103" i="16"/>
  <c r="BY103" i="6" s="1"/>
  <c r="G107" i="16"/>
  <c r="BY107" i="6" s="1"/>
  <c r="AA107" i="16"/>
  <c r="Z107" i="16" s="1"/>
  <c r="Y107" i="16" s="1"/>
  <c r="AA119" i="16"/>
  <c r="Z119" i="16" s="1"/>
  <c r="Y119" i="16" s="1"/>
  <c r="AA153" i="16"/>
  <c r="Z153" i="16" s="1"/>
  <c r="Y153" i="16" s="1"/>
  <c r="G153" i="16"/>
  <c r="BY153" i="6" s="1"/>
  <c r="AA157" i="16"/>
  <c r="Z157" i="16" s="1"/>
  <c r="Y157" i="16" s="1"/>
  <c r="G157" i="16"/>
  <c r="BY157" i="6" s="1"/>
  <c r="AA161" i="16"/>
  <c r="Z161" i="16" s="1"/>
  <c r="Y161" i="16" s="1"/>
  <c r="G161" i="16"/>
  <c r="BY161" i="6" s="1"/>
  <c r="H193" i="16"/>
  <c r="G193" i="16"/>
  <c r="BY193" i="6" s="1"/>
  <c r="AA193" i="16"/>
  <c r="Z193" i="16" s="1"/>
  <c r="Y193" i="16" s="1"/>
  <c r="G201" i="16"/>
  <c r="BY201" i="6" s="1"/>
  <c r="AA201" i="16"/>
  <c r="Z201" i="16" s="1"/>
  <c r="Y201" i="16" s="1"/>
  <c r="G205" i="16"/>
  <c r="BY205" i="6" s="1"/>
  <c r="AA205" i="16"/>
  <c r="Z205" i="16" s="1"/>
  <c r="Y205" i="16" s="1"/>
  <c r="G209" i="16"/>
  <c r="BY209" i="6" s="1"/>
  <c r="AA209" i="16"/>
  <c r="Z209" i="16" s="1"/>
  <c r="Y209" i="16" s="1"/>
  <c r="AA213" i="16"/>
  <c r="Z213" i="16" s="1"/>
  <c r="Y213" i="16" s="1"/>
  <c r="G213" i="16"/>
  <c r="BY213" i="6" s="1"/>
  <c r="H217" i="16"/>
  <c r="AA217" i="16"/>
  <c r="Z217" i="16" s="1"/>
  <c r="Y217" i="16" s="1"/>
  <c r="G217" i="16"/>
  <c r="BY217" i="6" s="1"/>
  <c r="AA221" i="16"/>
  <c r="Z221" i="16" s="1"/>
  <c r="Y221" i="16" s="1"/>
  <c r="G221" i="16"/>
  <c r="BY221" i="6" s="1"/>
  <c r="G225" i="16"/>
  <c r="BY225" i="6" s="1"/>
  <c r="AA225" i="16"/>
  <c r="Z225" i="16" s="1"/>
  <c r="Y225" i="16" s="1"/>
  <c r="AA229" i="16"/>
  <c r="Z229" i="16" s="1"/>
  <c r="Y229" i="16" s="1"/>
  <c r="G229" i="16"/>
  <c r="BY229" i="6" s="1"/>
  <c r="H233" i="16"/>
  <c r="G233" i="16"/>
  <c r="BY233" i="6" s="1"/>
  <c r="AA233" i="16"/>
  <c r="Z233" i="16" s="1"/>
  <c r="Y233" i="16" s="1"/>
  <c r="G237" i="16"/>
  <c r="BY237" i="6" s="1"/>
  <c r="AA237" i="16"/>
  <c r="Z237" i="16" s="1"/>
  <c r="Y237" i="16" s="1"/>
  <c r="AA241" i="16"/>
  <c r="Z241" i="16" s="1"/>
  <c r="Y241" i="16" s="1"/>
  <c r="AA357" i="16"/>
  <c r="Z357" i="16" s="1"/>
  <c r="Y357" i="16" s="1"/>
  <c r="G357" i="16"/>
  <c r="BY357" i="6" s="1"/>
  <c r="G44" i="16"/>
  <c r="BY44" i="6" s="1"/>
  <c r="AA44" i="16"/>
  <c r="Z44" i="16" s="1"/>
  <c r="Y44" i="16" s="1"/>
  <c r="G92" i="16"/>
  <c r="BY92" i="6" s="1"/>
  <c r="AA92" i="16"/>
  <c r="Z92" i="16" s="1"/>
  <c r="Y92" i="16" s="1"/>
  <c r="AA120" i="16"/>
  <c r="Z120" i="16" s="1"/>
  <c r="Y120" i="16" s="1"/>
  <c r="G120" i="16"/>
  <c r="BY120" i="6" s="1"/>
  <c r="J347" i="16"/>
  <c r="AA21" i="16"/>
  <c r="Z21" i="16" s="1"/>
  <c r="Y21" i="16" s="1"/>
  <c r="G21" i="16"/>
  <c r="BY21" i="6" s="1"/>
  <c r="H214" i="16"/>
  <c r="G214" i="16"/>
  <c r="BY214" i="6" s="1"/>
  <c r="AA214" i="16"/>
  <c r="Z214" i="16" s="1"/>
  <c r="Y214" i="16" s="1"/>
  <c r="AA222" i="16"/>
  <c r="Z222" i="16" s="1"/>
  <c r="Y222" i="16" s="1"/>
  <c r="G222" i="16"/>
  <c r="BY222" i="6" s="1"/>
  <c r="H222" i="16"/>
  <c r="AA230" i="16"/>
  <c r="Z230" i="16" s="1"/>
  <c r="Y230" i="16" s="1"/>
  <c r="H230" i="16"/>
  <c r="G230" i="16"/>
  <c r="BY230" i="6" s="1"/>
  <c r="H238" i="16"/>
  <c r="G238" i="16"/>
  <c r="BY238" i="6" s="1"/>
  <c r="AA238" i="16"/>
  <c r="Z238" i="16" s="1"/>
  <c r="Y238" i="16" s="1"/>
  <c r="AA246" i="16"/>
  <c r="Z246" i="16" s="1"/>
  <c r="Y246" i="16" s="1"/>
  <c r="G246" i="16"/>
  <c r="BY246" i="6" s="1"/>
  <c r="AA254" i="16"/>
  <c r="Z254" i="16" s="1"/>
  <c r="Y254" i="16" s="1"/>
  <c r="H254" i="16"/>
  <c r="G254" i="16"/>
  <c r="BY254" i="6" s="1"/>
  <c r="AA262" i="16"/>
  <c r="Z262" i="16" s="1"/>
  <c r="Y262" i="16" s="1"/>
  <c r="G262" i="16"/>
  <c r="BY262" i="6" s="1"/>
  <c r="AA270" i="16"/>
  <c r="Z270" i="16" s="1"/>
  <c r="Y270" i="16" s="1"/>
  <c r="H270" i="16"/>
  <c r="G270" i="16"/>
  <c r="BY270" i="6" s="1"/>
  <c r="G278" i="16"/>
  <c r="BY278" i="6" s="1"/>
  <c r="AA278" i="16"/>
  <c r="Z278" i="16" s="1"/>
  <c r="Y278" i="16" s="1"/>
  <c r="G286" i="16"/>
  <c r="BY286" i="6" s="1"/>
  <c r="AA286" i="16"/>
  <c r="Z286" i="16" s="1"/>
  <c r="Y286" i="16" s="1"/>
  <c r="H294" i="16"/>
  <c r="AA294" i="16"/>
  <c r="Z294" i="16" s="1"/>
  <c r="Y294" i="16" s="1"/>
  <c r="G294" i="16"/>
  <c r="BY294" i="6" s="1"/>
  <c r="AA302" i="16"/>
  <c r="Z302" i="16" s="1"/>
  <c r="Y302" i="16" s="1"/>
  <c r="G302" i="16"/>
  <c r="BY302" i="6" s="1"/>
  <c r="H311" i="16"/>
  <c r="G311" i="16"/>
  <c r="BY311" i="6" s="1"/>
  <c r="AA311" i="16"/>
  <c r="Z311" i="16" s="1"/>
  <c r="Y311" i="16" s="1"/>
  <c r="G321" i="16"/>
  <c r="BY321" i="6" s="1"/>
  <c r="AA321" i="16"/>
  <c r="Z321" i="16" s="1"/>
  <c r="Y321" i="16" s="1"/>
  <c r="G329" i="16"/>
  <c r="BY329" i="6" s="1"/>
  <c r="AA329" i="16"/>
  <c r="Z329" i="16" s="1"/>
  <c r="Y329" i="16" s="1"/>
  <c r="H337" i="16"/>
  <c r="G337" i="16"/>
  <c r="BY337" i="6" s="1"/>
  <c r="AA337" i="16"/>
  <c r="Z337" i="16" s="1"/>
  <c r="Y337" i="16" s="1"/>
  <c r="G343" i="16"/>
  <c r="BY343" i="6" s="1"/>
  <c r="AA343" i="16"/>
  <c r="Z343" i="16" s="1"/>
  <c r="Y343" i="16" s="1"/>
  <c r="AA192" i="16"/>
  <c r="Z192" i="16" s="1"/>
  <c r="Y192" i="16" s="1"/>
  <c r="H192" i="16"/>
  <c r="G192" i="16"/>
  <c r="BY192" i="6" s="1"/>
  <c r="H208" i="16"/>
  <c r="AA208" i="16"/>
  <c r="Z208" i="16" s="1"/>
  <c r="Y208" i="16" s="1"/>
  <c r="G208" i="16"/>
  <c r="BY208" i="6" s="1"/>
  <c r="G244" i="16"/>
  <c r="BY244" i="6" s="1"/>
  <c r="AA244" i="16"/>
  <c r="Z244" i="16" s="1"/>
  <c r="Y244" i="16" s="1"/>
  <c r="AA260" i="16"/>
  <c r="Z260" i="16" s="1"/>
  <c r="Y260" i="16" s="1"/>
  <c r="G260" i="16"/>
  <c r="BY260" i="6" s="1"/>
  <c r="AA19" i="16"/>
  <c r="Z19" i="16" s="1"/>
  <c r="Y19" i="16" s="1"/>
  <c r="G19" i="16"/>
  <c r="BY19" i="6" s="1"/>
  <c r="G81" i="16"/>
  <c r="BY81" i="6" s="1"/>
  <c r="AA81" i="16"/>
  <c r="Z81" i="16" s="1"/>
  <c r="Y81" i="16" s="1"/>
  <c r="G85" i="16"/>
  <c r="BY85" i="6" s="1"/>
  <c r="AA85" i="16"/>
  <c r="Z85" i="16" s="1"/>
  <c r="Y85" i="16" s="1"/>
  <c r="G93" i="16"/>
  <c r="BY93" i="6" s="1"/>
  <c r="AA93" i="16"/>
  <c r="Z93" i="16" s="1"/>
  <c r="Y93" i="16" s="1"/>
  <c r="AA97" i="16"/>
  <c r="Z97" i="16" s="1"/>
  <c r="Y97" i="16" s="1"/>
  <c r="H97" i="16"/>
  <c r="G97" i="16"/>
  <c r="BY97" i="6" s="1"/>
  <c r="AA151" i="16"/>
  <c r="Z151" i="16" s="1"/>
  <c r="Y151" i="16" s="1"/>
  <c r="G151" i="16"/>
  <c r="BY151" i="6" s="1"/>
  <c r="H155" i="16"/>
  <c r="AA155" i="16"/>
  <c r="Z155" i="16" s="1"/>
  <c r="Y155" i="16" s="1"/>
  <c r="G155" i="16"/>
  <c r="BY155" i="6" s="1"/>
  <c r="H159" i="16"/>
  <c r="AA159" i="16"/>
  <c r="Z159" i="16" s="1"/>
  <c r="Y159" i="16" s="1"/>
  <c r="G159" i="16"/>
  <c r="BY159" i="6" s="1"/>
  <c r="H163" i="16"/>
  <c r="G163" i="16"/>
  <c r="BY163" i="6" s="1"/>
  <c r="AA163" i="16"/>
  <c r="Z163" i="16" s="1"/>
  <c r="Y163" i="16" s="1"/>
  <c r="G183" i="16"/>
  <c r="BY183" i="6" s="1"/>
  <c r="AA183" i="16"/>
  <c r="Z183" i="16" s="1"/>
  <c r="Y183" i="16" s="1"/>
  <c r="G191" i="16"/>
  <c r="BY191" i="6" s="1"/>
  <c r="AA191" i="16"/>
  <c r="Z191" i="16" s="1"/>
  <c r="Y191" i="16" s="1"/>
  <c r="G195" i="16"/>
  <c r="BY195" i="6" s="1"/>
  <c r="AA195" i="16"/>
  <c r="Z195" i="16" s="1"/>
  <c r="Y195" i="16" s="1"/>
  <c r="H199" i="16"/>
  <c r="AA199" i="16"/>
  <c r="Z199" i="16" s="1"/>
  <c r="Y199" i="16" s="1"/>
  <c r="G199" i="16"/>
  <c r="BY199" i="6" s="1"/>
  <c r="G203" i="16"/>
  <c r="BY203" i="6" s="1"/>
  <c r="AA203" i="16"/>
  <c r="Z203" i="16" s="1"/>
  <c r="Y203" i="16" s="1"/>
  <c r="H203" i="16"/>
  <c r="G207" i="16"/>
  <c r="BY207" i="6" s="1"/>
  <c r="AA207" i="16"/>
  <c r="Z207" i="16" s="1"/>
  <c r="Y207" i="16" s="1"/>
  <c r="H211" i="16"/>
  <c r="G211" i="16"/>
  <c r="BY211" i="6" s="1"/>
  <c r="AA211" i="16"/>
  <c r="Z211" i="16" s="1"/>
  <c r="Y211" i="16" s="1"/>
  <c r="AA215" i="16"/>
  <c r="Z215" i="16" s="1"/>
  <c r="Y215" i="16" s="1"/>
  <c r="G215" i="16"/>
  <c r="BY215" i="6" s="1"/>
  <c r="G219" i="16"/>
  <c r="BY219" i="6" s="1"/>
  <c r="AA219" i="16"/>
  <c r="Z219" i="16" s="1"/>
  <c r="Y219" i="16" s="1"/>
  <c r="G223" i="16"/>
  <c r="BY223" i="6" s="1"/>
  <c r="H223" i="16"/>
  <c r="AA223" i="16"/>
  <c r="Z223" i="16" s="1"/>
  <c r="Y223" i="16" s="1"/>
  <c r="G227" i="16"/>
  <c r="BY227" i="6" s="1"/>
  <c r="AA227" i="16"/>
  <c r="Z227" i="16" s="1"/>
  <c r="Y227" i="16" s="1"/>
  <c r="H231" i="16"/>
  <c r="AA231" i="16"/>
  <c r="Z231" i="16" s="1"/>
  <c r="Y231" i="16" s="1"/>
  <c r="G231" i="16"/>
  <c r="BY231" i="6" s="1"/>
  <c r="G235" i="16"/>
  <c r="BY235" i="6" s="1"/>
  <c r="AA235" i="16"/>
  <c r="Z235" i="16" s="1"/>
  <c r="Y235" i="16" s="1"/>
  <c r="G239" i="16"/>
  <c r="BY239" i="6" s="1"/>
  <c r="AA239" i="16"/>
  <c r="Z239" i="16" s="1"/>
  <c r="Y239" i="16" s="1"/>
  <c r="H239" i="16"/>
  <c r="AA345" i="16"/>
  <c r="Z345" i="16" s="1"/>
  <c r="Y345" i="16" s="1"/>
  <c r="G345" i="16"/>
  <c r="BY345" i="6" s="1"/>
  <c r="G353" i="16"/>
  <c r="BY353" i="6" s="1"/>
  <c r="AA353" i="16"/>
  <c r="Z353" i="16" s="1"/>
  <c r="Y353" i="16" s="1"/>
  <c r="H68" i="16"/>
  <c r="AA68" i="16"/>
  <c r="Z68" i="16" s="1"/>
  <c r="Y68" i="16" s="1"/>
  <c r="G68" i="16"/>
  <c r="BY68" i="6" s="1"/>
  <c r="G100" i="16"/>
  <c r="BY100" i="6" s="1"/>
  <c r="AA100" i="16"/>
  <c r="Z100" i="16" s="1"/>
  <c r="Y100" i="16" s="1"/>
  <c r="I19" i="15"/>
  <c r="H19" i="16" s="1"/>
  <c r="J19" i="15"/>
  <c r="H357" i="16"/>
  <c r="AK5" i="17"/>
  <c r="AK6" i="17"/>
  <c r="AM5" i="17"/>
  <c r="AM9" i="17"/>
  <c r="AK7" i="17"/>
  <c r="AK11" i="17" s="1"/>
  <c r="AK9" i="17"/>
  <c r="AM7" i="17"/>
  <c r="AM11" i="17" s="1"/>
  <c r="AG377" i="16"/>
  <c r="AF377" i="16" s="1"/>
  <c r="AD377" i="16" s="1"/>
  <c r="H46" i="15"/>
  <c r="AA46" i="15"/>
  <c r="Z46" i="15" s="1"/>
  <c r="Y46" i="15" s="1"/>
  <c r="G46" i="15"/>
  <c r="BX46" i="6" s="1"/>
  <c r="I349" i="15"/>
  <c r="H349" i="16" s="1"/>
  <c r="J349" i="15"/>
  <c r="H345" i="16"/>
  <c r="H341" i="16"/>
  <c r="G135" i="15"/>
  <c r="BX135" i="6" s="1"/>
  <c r="H135" i="15"/>
  <c r="AA135" i="15"/>
  <c r="Z135" i="15" s="1"/>
  <c r="Y135" i="15" s="1"/>
  <c r="G11" i="19"/>
  <c r="J35" i="19" s="1"/>
  <c r="AB9" i="1"/>
  <c r="F11" i="1"/>
  <c r="Z379" i="1"/>
  <c r="AA383" i="1"/>
  <c r="AA381" i="1"/>
  <c r="AA382" i="1"/>
  <c r="AA9" i="1"/>
  <c r="AL9" i="1"/>
  <c r="AM8" i="1"/>
  <c r="AL10" i="1"/>
  <c r="AD15" i="16"/>
  <c r="J215" i="15"/>
  <c r="I215" i="15"/>
  <c r="H215" i="16" s="1"/>
  <c r="I167" i="15"/>
  <c r="J167" i="15"/>
  <c r="J157" i="15"/>
  <c r="I157" i="15"/>
  <c r="H157" i="16" s="1"/>
  <c r="J91" i="15"/>
  <c r="I91" i="15"/>
  <c r="H91" i="16" s="1"/>
  <c r="J87" i="15"/>
  <c r="I87" i="15"/>
  <c r="H87" i="16" s="1"/>
  <c r="A376" i="25"/>
  <c r="AB375" i="25"/>
  <c r="X375" i="25"/>
  <c r="AK375" i="25"/>
  <c r="K375" i="25"/>
  <c r="L375" i="25"/>
  <c r="AJ375" i="25"/>
  <c r="AC375" i="25"/>
  <c r="O375" i="25"/>
  <c r="T378" i="16"/>
  <c r="AH378" i="16"/>
  <c r="D378" i="16"/>
  <c r="J378" i="15"/>
  <c r="I378" i="15"/>
  <c r="I372" i="15"/>
  <c r="H372" i="16" s="1"/>
  <c r="J372" i="15"/>
  <c r="I300" i="15"/>
  <c r="H300" i="16" s="1"/>
  <c r="J300" i="15"/>
  <c r="J280" i="15"/>
  <c r="I280" i="15"/>
  <c r="H280" i="16" s="1"/>
  <c r="J278" i="15"/>
  <c r="I278" i="15"/>
  <c r="H278" i="16" s="1"/>
  <c r="J272" i="15"/>
  <c r="I272" i="15"/>
  <c r="H242" i="16"/>
  <c r="J240" i="15"/>
  <c r="I240" i="15"/>
  <c r="H240" i="16" s="1"/>
  <c r="H226" i="16"/>
  <c r="I204" i="15"/>
  <c r="H204" i="16" s="1"/>
  <c r="J204" i="15"/>
  <c r="I174" i="15"/>
  <c r="H174" i="16" s="1"/>
  <c r="J174" i="15"/>
  <c r="J162" i="15"/>
  <c r="I162" i="15"/>
  <c r="H162" i="16" s="1"/>
  <c r="J158" i="15"/>
  <c r="I158" i="15"/>
  <c r="H158" i="16" s="1"/>
  <c r="I156" i="15"/>
  <c r="H156" i="16" s="1"/>
  <c r="J156" i="15"/>
  <c r="I154" i="15"/>
  <c r="H154" i="16" s="1"/>
  <c r="J154" i="15"/>
  <c r="I152" i="15"/>
  <c r="H152" i="16" s="1"/>
  <c r="J152" i="15"/>
  <c r="J136" i="15"/>
  <c r="I136" i="15"/>
  <c r="J132" i="15"/>
  <c r="I132" i="15"/>
  <c r="H132" i="16" s="1"/>
  <c r="I120" i="15"/>
  <c r="H120" i="16" s="1"/>
  <c r="J120" i="15"/>
  <c r="J112" i="15"/>
  <c r="I112" i="15"/>
  <c r="H112" i="16" s="1"/>
  <c r="J92" i="15"/>
  <c r="I92" i="15"/>
  <c r="H92" i="16" s="1"/>
  <c r="I80" i="15"/>
  <c r="H80" i="16" s="1"/>
  <c r="J80" i="15"/>
  <c r="J70" i="15"/>
  <c r="I70" i="15"/>
  <c r="H70" i="16" s="1"/>
  <c r="I343" i="15"/>
  <c r="H343" i="16" s="1"/>
  <c r="J343" i="15"/>
  <c r="I319" i="15"/>
  <c r="H319" i="16" s="1"/>
  <c r="J319" i="15"/>
  <c r="J315" i="16"/>
  <c r="I301" i="15"/>
  <c r="H301" i="16" s="1"/>
  <c r="J301" i="15"/>
  <c r="I291" i="15"/>
  <c r="H291" i="16" s="1"/>
  <c r="J291" i="15"/>
  <c r="I227" i="15"/>
  <c r="H227" i="16" s="1"/>
  <c r="J227" i="15"/>
  <c r="J201" i="15"/>
  <c r="I201" i="15"/>
  <c r="H201" i="16" s="1"/>
  <c r="J171" i="15"/>
  <c r="I171" i="15"/>
  <c r="H171" i="16" s="1"/>
  <c r="H151" i="16"/>
  <c r="J145" i="15"/>
  <c r="I145" i="15"/>
  <c r="H145" i="16" s="1"/>
  <c r="J105" i="15"/>
  <c r="I105" i="15"/>
  <c r="H105" i="16" s="1"/>
  <c r="J93" i="15"/>
  <c r="I93" i="15"/>
  <c r="H93" i="16" s="1"/>
  <c r="I37" i="15"/>
  <c r="H37" i="16" s="1"/>
  <c r="J37" i="15"/>
  <c r="J368" i="15"/>
  <c r="I368" i="15"/>
  <c r="H368" i="16" s="1"/>
  <c r="J328" i="15"/>
  <c r="I328" i="15"/>
  <c r="H328" i="16" s="1"/>
  <c r="J358" i="15"/>
  <c r="I358" i="15"/>
  <c r="H358" i="16" s="1"/>
  <c r="J312" i="15"/>
  <c r="I312" i="15"/>
  <c r="H312" i="16" s="1"/>
  <c r="I274" i="15"/>
  <c r="H274" i="16" s="1"/>
  <c r="J274" i="15"/>
  <c r="J236" i="15"/>
  <c r="I236" i="15"/>
  <c r="H236" i="16" s="1"/>
  <c r="J216" i="15"/>
  <c r="I216" i="15"/>
  <c r="H216" i="16" s="1"/>
  <c r="I188" i="15"/>
  <c r="H188" i="16" s="1"/>
  <c r="J188" i="15"/>
  <c r="I84" i="15"/>
  <c r="H84" i="16" s="1"/>
  <c r="J84" i="15"/>
  <c r="J58" i="15"/>
  <c r="I58" i="15"/>
  <c r="H58" i="16" s="1"/>
  <c r="I36" i="15"/>
  <c r="H36" i="16" s="1"/>
  <c r="J36" i="15"/>
  <c r="J17" i="15"/>
  <c r="I17" i="15"/>
  <c r="H17" i="16" s="1"/>
  <c r="J375" i="15"/>
  <c r="I375" i="15"/>
  <c r="H375" i="16" s="1"/>
  <c r="I277" i="15"/>
  <c r="H277" i="16" s="1"/>
  <c r="J277" i="15"/>
  <c r="I237" i="15"/>
  <c r="H237" i="16" s="1"/>
  <c r="J237" i="15"/>
  <c r="J209" i="15"/>
  <c r="I209" i="15"/>
  <c r="H209" i="16" s="1"/>
  <c r="J205" i="15"/>
  <c r="I205" i="15"/>
  <c r="H205" i="16" s="1"/>
  <c r="I195" i="15"/>
  <c r="H195" i="16" s="1"/>
  <c r="J195" i="15"/>
  <c r="I131" i="15"/>
  <c r="H131" i="16" s="1"/>
  <c r="J131" i="15"/>
  <c r="J109" i="15"/>
  <c r="I109" i="15"/>
  <c r="H109" i="16" s="1"/>
  <c r="I81" i="15"/>
  <c r="H81" i="16" s="1"/>
  <c r="J81" i="15"/>
  <c r="J69" i="15"/>
  <c r="I69" i="15"/>
  <c r="H69" i="16" s="1"/>
  <c r="G46" i="16"/>
  <c r="BY46" i="6" s="1"/>
  <c r="AA46" i="16"/>
  <c r="Z46" i="16" s="1"/>
  <c r="Y46" i="16" s="1"/>
  <c r="AA58" i="16"/>
  <c r="Z58" i="16" s="1"/>
  <c r="Y58" i="16" s="1"/>
  <c r="G58" i="16"/>
  <c r="BY58" i="6" s="1"/>
  <c r="G70" i="16"/>
  <c r="BY70" i="6" s="1"/>
  <c r="AA70" i="16"/>
  <c r="Z70" i="16" s="1"/>
  <c r="Y70" i="16" s="1"/>
  <c r="G74" i="16"/>
  <c r="BY74" i="6" s="1"/>
  <c r="AA74" i="16"/>
  <c r="Z74" i="16" s="1"/>
  <c r="Y74" i="16" s="1"/>
  <c r="AA142" i="16"/>
  <c r="Z142" i="16" s="1"/>
  <c r="Y142" i="16" s="1"/>
  <c r="G142" i="16"/>
  <c r="BY142" i="6" s="1"/>
  <c r="AA158" i="16"/>
  <c r="Z158" i="16" s="1"/>
  <c r="Y158" i="16" s="1"/>
  <c r="G158" i="16"/>
  <c r="BY158" i="6" s="1"/>
  <c r="H190" i="16"/>
  <c r="AA190" i="16"/>
  <c r="Z190" i="16" s="1"/>
  <c r="Y190" i="16" s="1"/>
  <c r="G190" i="16"/>
  <c r="BY190" i="6" s="1"/>
  <c r="G194" i="16"/>
  <c r="BY194" i="6" s="1"/>
  <c r="H194" i="16"/>
  <c r="AA194" i="16"/>
  <c r="Z194" i="16" s="1"/>
  <c r="Y194" i="16" s="1"/>
  <c r="H198" i="16"/>
  <c r="AA198" i="16"/>
  <c r="Z198" i="16" s="1"/>
  <c r="Y198" i="16" s="1"/>
  <c r="G198" i="16"/>
  <c r="BY198" i="6" s="1"/>
  <c r="H202" i="16"/>
  <c r="AA202" i="16"/>
  <c r="Z202" i="16" s="1"/>
  <c r="Y202" i="16" s="1"/>
  <c r="G202" i="16"/>
  <c r="BY202" i="6" s="1"/>
  <c r="G206" i="16"/>
  <c r="BY206" i="6" s="1"/>
  <c r="AA206" i="16"/>
  <c r="Z206" i="16" s="1"/>
  <c r="Y206" i="16" s="1"/>
  <c r="G210" i="16"/>
  <c r="BY210" i="6" s="1"/>
  <c r="AA210" i="16"/>
  <c r="Z210" i="16" s="1"/>
  <c r="Y210" i="16" s="1"/>
  <c r="H306" i="16"/>
  <c r="AA306" i="16"/>
  <c r="Z306" i="16" s="1"/>
  <c r="Y306" i="16" s="1"/>
  <c r="G306" i="16"/>
  <c r="BY306" i="6" s="1"/>
  <c r="AA310" i="16"/>
  <c r="Z310" i="16" s="1"/>
  <c r="Y310" i="16" s="1"/>
  <c r="G310" i="16"/>
  <c r="BY310" i="6" s="1"/>
  <c r="H318" i="16"/>
  <c r="AA318" i="16"/>
  <c r="Z318" i="16" s="1"/>
  <c r="Y318" i="16" s="1"/>
  <c r="G318" i="16"/>
  <c r="BY318" i="6" s="1"/>
  <c r="G322" i="16"/>
  <c r="BY322" i="6" s="1"/>
  <c r="H322" i="16"/>
  <c r="AA322" i="16"/>
  <c r="Z322" i="16" s="1"/>
  <c r="Y322" i="16" s="1"/>
  <c r="AA326" i="16"/>
  <c r="Z326" i="16" s="1"/>
  <c r="Y326" i="16" s="1"/>
  <c r="H326" i="16"/>
  <c r="G326" i="16"/>
  <c r="BY326" i="6" s="1"/>
  <c r="G330" i="16"/>
  <c r="BY330" i="6" s="1"/>
  <c r="AA330" i="16"/>
  <c r="Z330" i="16" s="1"/>
  <c r="Y330" i="16" s="1"/>
  <c r="H334" i="16"/>
  <c r="AA334" i="16"/>
  <c r="Z334" i="16" s="1"/>
  <c r="Y334" i="16" s="1"/>
  <c r="G334" i="16"/>
  <c r="BY334" i="6" s="1"/>
  <c r="G338" i="16"/>
  <c r="BY338" i="6" s="1"/>
  <c r="AA338" i="16"/>
  <c r="Z338" i="16" s="1"/>
  <c r="Y338" i="16" s="1"/>
  <c r="AA342" i="16"/>
  <c r="Z342" i="16" s="1"/>
  <c r="Y342" i="16" s="1"/>
  <c r="H342" i="16"/>
  <c r="G342" i="16"/>
  <c r="BY342" i="6" s="1"/>
  <c r="H346" i="16"/>
  <c r="AA346" i="16"/>
  <c r="Z346" i="16" s="1"/>
  <c r="Y346" i="16" s="1"/>
  <c r="G346" i="16"/>
  <c r="BY346" i="6" s="1"/>
  <c r="H351" i="16"/>
  <c r="G351" i="16"/>
  <c r="BY351" i="6" s="1"/>
  <c r="AA351" i="16"/>
  <c r="Z351" i="16" s="1"/>
  <c r="Y351" i="16" s="1"/>
  <c r="G355" i="16"/>
  <c r="BY355" i="6" s="1"/>
  <c r="AA355" i="16"/>
  <c r="Z355" i="16" s="1"/>
  <c r="Y355" i="16" s="1"/>
  <c r="I295" i="15"/>
  <c r="H295" i="16" s="1"/>
  <c r="J295" i="15"/>
  <c r="I183" i="15"/>
  <c r="H183" i="16" s="1"/>
  <c r="J183" i="15"/>
  <c r="I141" i="15"/>
  <c r="H141" i="16" s="1"/>
  <c r="J141" i="15"/>
  <c r="I99" i="15"/>
  <c r="H99" i="16" s="1"/>
  <c r="J99" i="15"/>
  <c r="J75" i="15"/>
  <c r="I75" i="15"/>
  <c r="H75" i="16" s="1"/>
  <c r="J57" i="15"/>
  <c r="I57" i="15"/>
  <c r="H57" i="16" s="1"/>
  <c r="G64" i="16"/>
  <c r="BY64" i="6" s="1"/>
  <c r="AA64" i="16"/>
  <c r="Z64" i="16" s="1"/>
  <c r="Y64" i="16" s="1"/>
  <c r="G280" i="16"/>
  <c r="BY280" i="6" s="1"/>
  <c r="AA280" i="16"/>
  <c r="Z280" i="16" s="1"/>
  <c r="Y280" i="16" s="1"/>
  <c r="G288" i="16"/>
  <c r="BY288" i="6" s="1"/>
  <c r="AA288" i="16"/>
  <c r="Z288" i="16" s="1"/>
  <c r="Y288" i="16" s="1"/>
  <c r="G296" i="16"/>
  <c r="BY296" i="6" s="1"/>
  <c r="AA296" i="16"/>
  <c r="Z296" i="16" s="1"/>
  <c r="Y296" i="16" s="1"/>
  <c r="G304" i="16"/>
  <c r="BY304" i="6" s="1"/>
  <c r="AA304" i="16"/>
  <c r="Z304" i="16" s="1"/>
  <c r="Y304" i="16" s="1"/>
  <c r="H304" i="16"/>
  <c r="G312" i="16"/>
  <c r="BY312" i="6" s="1"/>
  <c r="AA312" i="16"/>
  <c r="Z312" i="16" s="1"/>
  <c r="Y312" i="16" s="1"/>
  <c r="AA316" i="16"/>
  <c r="Z316" i="16" s="1"/>
  <c r="Y316" i="16" s="1"/>
  <c r="G316" i="16"/>
  <c r="BY316" i="6" s="1"/>
  <c r="H324" i="16"/>
  <c r="G324" i="16"/>
  <c r="BY324" i="6" s="1"/>
  <c r="AA324" i="16"/>
  <c r="Z324" i="16" s="1"/>
  <c r="Y324" i="16" s="1"/>
  <c r="AA332" i="16"/>
  <c r="Z332" i="16" s="1"/>
  <c r="Y332" i="16" s="1"/>
  <c r="G332" i="16"/>
  <c r="BY332" i="6" s="1"/>
  <c r="G340" i="16"/>
  <c r="BY340" i="6" s="1"/>
  <c r="AA340" i="16"/>
  <c r="Z340" i="16" s="1"/>
  <c r="Y340" i="16" s="1"/>
  <c r="AA356" i="16"/>
  <c r="Z356" i="16" s="1"/>
  <c r="Y356" i="16" s="1"/>
  <c r="H356" i="16"/>
  <c r="G356" i="16"/>
  <c r="BY356" i="6" s="1"/>
  <c r="AA360" i="16"/>
  <c r="Z360" i="16" s="1"/>
  <c r="Y360" i="16" s="1"/>
  <c r="G360" i="16"/>
  <c r="BY360" i="6" s="1"/>
  <c r="J370" i="15"/>
  <c r="I370" i="15"/>
  <c r="H370" i="16" s="1"/>
  <c r="I332" i="15"/>
  <c r="H332" i="16" s="1"/>
  <c r="J332" i="15"/>
  <c r="J262" i="15"/>
  <c r="I262" i="15"/>
  <c r="H262" i="16" s="1"/>
  <c r="J218" i="15"/>
  <c r="I218" i="15"/>
  <c r="H218" i="16" s="1"/>
  <c r="J186" i="15"/>
  <c r="I186" i="15"/>
  <c r="H186" i="16" s="1"/>
  <c r="J170" i="15"/>
  <c r="I170" i="15"/>
  <c r="H170" i="16" s="1"/>
  <c r="J100" i="15"/>
  <c r="I100" i="15"/>
  <c r="H100" i="16" s="1"/>
  <c r="J64" i="15"/>
  <c r="I64" i="15"/>
  <c r="H64" i="16" s="1"/>
  <c r="J16" i="15"/>
  <c r="I16" i="15"/>
  <c r="H16" i="16" s="1"/>
  <c r="AA75" i="16"/>
  <c r="Z75" i="16" s="1"/>
  <c r="Y75" i="16" s="1"/>
  <c r="G75" i="16"/>
  <c r="BY75" i="6" s="1"/>
  <c r="AA131" i="16"/>
  <c r="Z131" i="16" s="1"/>
  <c r="Y131" i="16" s="1"/>
  <c r="G131" i="16"/>
  <c r="BY131" i="6" s="1"/>
  <c r="H137" i="16"/>
  <c r="AA137" i="16"/>
  <c r="Z137" i="16" s="1"/>
  <c r="Y137" i="16" s="1"/>
  <c r="G137" i="16"/>
  <c r="BY137" i="6" s="1"/>
  <c r="H139" i="16"/>
  <c r="AA139" i="16"/>
  <c r="Z139" i="16" s="1"/>
  <c r="Y139" i="16" s="1"/>
  <c r="G139" i="16"/>
  <c r="BY139" i="6" s="1"/>
  <c r="AA143" i="16"/>
  <c r="Z143" i="16" s="1"/>
  <c r="Y143" i="16" s="1"/>
  <c r="G143" i="16"/>
  <c r="BY143" i="6" s="1"/>
  <c r="G145" i="16"/>
  <c r="BY145" i="6" s="1"/>
  <c r="AA145" i="16"/>
  <c r="Z145" i="16" s="1"/>
  <c r="Y145" i="16" s="1"/>
  <c r="H147" i="16"/>
  <c r="AA147" i="16"/>
  <c r="Z147" i="16" s="1"/>
  <c r="Y147" i="16" s="1"/>
  <c r="G147" i="16"/>
  <c r="BY147" i="6" s="1"/>
  <c r="G149" i="16"/>
  <c r="BY149" i="6" s="1"/>
  <c r="AA149" i="16"/>
  <c r="Z149" i="16" s="1"/>
  <c r="Y149" i="16" s="1"/>
  <c r="H63" i="19"/>
  <c r="G243" i="16"/>
  <c r="BY243" i="6" s="1"/>
  <c r="AA243" i="16"/>
  <c r="Z243" i="16" s="1"/>
  <c r="Y243" i="16" s="1"/>
  <c r="H243" i="16"/>
  <c r="H245" i="16"/>
  <c r="G245" i="16"/>
  <c r="BY245" i="6" s="1"/>
  <c r="AA245" i="16"/>
  <c r="Z245" i="16" s="1"/>
  <c r="Y245" i="16" s="1"/>
  <c r="AA247" i="16"/>
  <c r="Z247" i="16" s="1"/>
  <c r="Y247" i="16" s="1"/>
  <c r="G247" i="16"/>
  <c r="BY247" i="6" s="1"/>
  <c r="AA249" i="16"/>
  <c r="Z249" i="16" s="1"/>
  <c r="Y249" i="16" s="1"/>
  <c r="H249" i="16"/>
  <c r="G249" i="16"/>
  <c r="BY249" i="6" s="1"/>
  <c r="G251" i="16"/>
  <c r="BY251" i="6" s="1"/>
  <c r="AA251" i="16"/>
  <c r="Z251" i="16" s="1"/>
  <c r="Y251" i="16" s="1"/>
  <c r="AA253" i="16"/>
  <c r="Z253" i="16" s="1"/>
  <c r="Y253" i="16" s="1"/>
  <c r="G253" i="16"/>
  <c r="BY253" i="6" s="1"/>
  <c r="G255" i="16"/>
  <c r="BY255" i="6" s="1"/>
  <c r="AA255" i="16"/>
  <c r="Z255" i="16" s="1"/>
  <c r="Y255" i="16" s="1"/>
  <c r="AA257" i="16"/>
  <c r="Z257" i="16" s="1"/>
  <c r="Y257" i="16" s="1"/>
  <c r="H257" i="16"/>
  <c r="G257" i="16"/>
  <c r="BY257" i="6" s="1"/>
  <c r="AA259" i="16"/>
  <c r="Z259" i="16" s="1"/>
  <c r="Y259" i="16" s="1"/>
  <c r="G259" i="16"/>
  <c r="BY259" i="6" s="1"/>
  <c r="G261" i="16"/>
  <c r="BY261" i="6" s="1"/>
  <c r="AA261" i="16"/>
  <c r="Z261" i="16" s="1"/>
  <c r="Y261" i="16" s="1"/>
  <c r="H261" i="16"/>
  <c r="AA263" i="16"/>
  <c r="Z263" i="16" s="1"/>
  <c r="Y263" i="16" s="1"/>
  <c r="G263" i="16"/>
  <c r="BY263" i="6" s="1"/>
  <c r="G265" i="16"/>
  <c r="BY265" i="6" s="1"/>
  <c r="AA265" i="16"/>
  <c r="Z265" i="16" s="1"/>
  <c r="Y265" i="16" s="1"/>
  <c r="G267" i="16"/>
  <c r="BY267" i="6" s="1"/>
  <c r="AA267" i="16"/>
  <c r="Z267" i="16" s="1"/>
  <c r="Y267" i="16" s="1"/>
  <c r="G269" i="16"/>
  <c r="BY269" i="6" s="1"/>
  <c r="AA269" i="16"/>
  <c r="Z269" i="16" s="1"/>
  <c r="Y269" i="16" s="1"/>
  <c r="H269" i="16"/>
  <c r="G271" i="16"/>
  <c r="BY271" i="6" s="1"/>
  <c r="AA271" i="16"/>
  <c r="Z271" i="16" s="1"/>
  <c r="Y271" i="16" s="1"/>
  <c r="G273" i="16"/>
  <c r="BY273" i="6" s="1"/>
  <c r="AA273" i="16"/>
  <c r="Z273" i="16" s="1"/>
  <c r="Y273" i="16" s="1"/>
  <c r="AA275" i="16"/>
  <c r="Z275" i="16" s="1"/>
  <c r="Y275" i="16" s="1"/>
  <c r="G275" i="16"/>
  <c r="BY275" i="6" s="1"/>
  <c r="G277" i="16"/>
  <c r="BY277" i="6" s="1"/>
  <c r="AA277" i="16"/>
  <c r="Z277" i="16" s="1"/>
  <c r="Y277" i="16" s="1"/>
  <c r="H279" i="16"/>
  <c r="G279" i="16"/>
  <c r="BY279" i="6" s="1"/>
  <c r="AA279" i="16"/>
  <c r="Z279" i="16" s="1"/>
  <c r="Y279" i="16" s="1"/>
  <c r="AA281" i="16"/>
  <c r="Z281" i="16" s="1"/>
  <c r="Y281" i="16" s="1"/>
  <c r="H281" i="16"/>
  <c r="G281" i="16"/>
  <c r="BY281" i="6" s="1"/>
  <c r="G283" i="16"/>
  <c r="BY283" i="6" s="1"/>
  <c r="AA283" i="16"/>
  <c r="Z283" i="16" s="1"/>
  <c r="Y283" i="16" s="1"/>
  <c r="H283" i="16"/>
  <c r="G285" i="16"/>
  <c r="BY285" i="6" s="1"/>
  <c r="AA285" i="16"/>
  <c r="Z285" i="16" s="1"/>
  <c r="Y285" i="16" s="1"/>
  <c r="H287" i="16"/>
  <c r="AA287" i="16"/>
  <c r="Z287" i="16" s="1"/>
  <c r="Y287" i="16" s="1"/>
  <c r="G287" i="16"/>
  <c r="BY287" i="6" s="1"/>
  <c r="K63" i="19"/>
  <c r="H293" i="16"/>
  <c r="AA293" i="16"/>
  <c r="Z293" i="16" s="1"/>
  <c r="Y293" i="16" s="1"/>
  <c r="G293" i="16"/>
  <c r="BY293" i="6" s="1"/>
  <c r="AA295" i="16"/>
  <c r="Z295" i="16" s="1"/>
  <c r="Y295" i="16" s="1"/>
  <c r="G295" i="16"/>
  <c r="BY295" i="6" s="1"/>
  <c r="AA297" i="16"/>
  <c r="Z297" i="16" s="1"/>
  <c r="Y297" i="16" s="1"/>
  <c r="G297" i="16"/>
  <c r="BY297" i="6" s="1"/>
  <c r="AA299" i="16"/>
  <c r="Z299" i="16" s="1"/>
  <c r="Y299" i="16" s="1"/>
  <c r="G299" i="16"/>
  <c r="BY299" i="6" s="1"/>
  <c r="AA301" i="16"/>
  <c r="Z301" i="16" s="1"/>
  <c r="Y301" i="16" s="1"/>
  <c r="G301" i="16"/>
  <c r="BY301" i="6" s="1"/>
  <c r="AA305" i="16"/>
  <c r="Z305" i="16" s="1"/>
  <c r="Y305" i="16" s="1"/>
  <c r="G305" i="16"/>
  <c r="BY305" i="6" s="1"/>
  <c r="G309" i="16"/>
  <c r="BY309" i="6" s="1"/>
  <c r="AA309" i="16"/>
  <c r="Z309" i="16" s="1"/>
  <c r="Y309" i="16" s="1"/>
  <c r="AA313" i="16"/>
  <c r="Z313" i="16" s="1"/>
  <c r="Y313" i="16" s="1"/>
  <c r="G313" i="16"/>
  <c r="BY313" i="6" s="1"/>
  <c r="AA317" i="16"/>
  <c r="Z317" i="16" s="1"/>
  <c r="Y317" i="16" s="1"/>
  <c r="G317" i="16"/>
  <c r="BY317" i="6" s="1"/>
  <c r="G319" i="16"/>
  <c r="BY319" i="6" s="1"/>
  <c r="AA319" i="16"/>
  <c r="Z319" i="16" s="1"/>
  <c r="Y319" i="16" s="1"/>
  <c r="AA323" i="16"/>
  <c r="Z323" i="16" s="1"/>
  <c r="Y323" i="16" s="1"/>
  <c r="G323" i="16"/>
  <c r="BY323" i="6" s="1"/>
  <c r="AA327" i="16"/>
  <c r="Z327" i="16" s="1"/>
  <c r="Y327" i="16" s="1"/>
  <c r="G327" i="16"/>
  <c r="BY327" i="6" s="1"/>
  <c r="AA331" i="16"/>
  <c r="Z331" i="16" s="1"/>
  <c r="Y331" i="16" s="1"/>
  <c r="G331" i="16"/>
  <c r="BY331" i="6" s="1"/>
  <c r="J325" i="15"/>
  <c r="I325" i="15"/>
  <c r="H325" i="16" s="1"/>
  <c r="J207" i="15"/>
  <c r="I207" i="15"/>
  <c r="H207" i="16" s="1"/>
  <c r="I187" i="15"/>
  <c r="H187" i="16" s="1"/>
  <c r="J187" i="15"/>
  <c r="J71" i="15"/>
  <c r="I71" i="15"/>
  <c r="H71" i="16" s="1"/>
  <c r="I49" i="15"/>
  <c r="H49" i="16" s="1"/>
  <c r="J49" i="15"/>
  <c r="AA196" i="16"/>
  <c r="Z196" i="16" s="1"/>
  <c r="Y196" i="16" s="1"/>
  <c r="G196" i="16"/>
  <c r="BY196" i="6" s="1"/>
  <c r="AA204" i="16"/>
  <c r="Z204" i="16" s="1"/>
  <c r="Y204" i="16" s="1"/>
  <c r="G204" i="16"/>
  <c r="BY204" i="6" s="1"/>
  <c r="H212" i="16"/>
  <c r="AA212" i="16"/>
  <c r="Z212" i="16" s="1"/>
  <c r="Y212" i="16" s="1"/>
  <c r="G212" i="16"/>
  <c r="BY212" i="6" s="1"/>
  <c r="AA216" i="16"/>
  <c r="Z216" i="16" s="1"/>
  <c r="Y216" i="16" s="1"/>
  <c r="G216" i="16"/>
  <c r="BY216" i="6" s="1"/>
  <c r="G224" i="16"/>
  <c r="BY224" i="6" s="1"/>
  <c r="AA224" i="16"/>
  <c r="Z224" i="16" s="1"/>
  <c r="Y224" i="16" s="1"/>
  <c r="H232" i="16"/>
  <c r="AA232" i="16"/>
  <c r="Z232" i="16" s="1"/>
  <c r="Y232" i="16" s="1"/>
  <c r="G232" i="16"/>
  <c r="BY232" i="6" s="1"/>
  <c r="AA240" i="16"/>
  <c r="Z240" i="16" s="1"/>
  <c r="Y240" i="16" s="1"/>
  <c r="G240" i="16"/>
  <c r="BY240" i="6" s="1"/>
  <c r="AA248" i="16"/>
  <c r="Z248" i="16" s="1"/>
  <c r="Y248" i="16" s="1"/>
  <c r="G248" i="16"/>
  <c r="BY248" i="6" s="1"/>
  <c r="H248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H264" i="16"/>
  <c r="G276" i="16"/>
  <c r="BY276" i="6" s="1"/>
  <c r="H276" i="16"/>
  <c r="AA276" i="16"/>
  <c r="Z276" i="16" s="1"/>
  <c r="Y276" i="16" s="1"/>
  <c r="H284" i="16"/>
  <c r="G284" i="16"/>
  <c r="BY284" i="6" s="1"/>
  <c r="AA284" i="16"/>
  <c r="Z284" i="16" s="1"/>
  <c r="Y284" i="16" s="1"/>
  <c r="G292" i="16"/>
  <c r="BY292" i="6" s="1"/>
  <c r="AA292" i="16"/>
  <c r="Z292" i="16" s="1"/>
  <c r="Y292" i="16" s="1"/>
  <c r="AA300" i="16"/>
  <c r="Z300" i="16" s="1"/>
  <c r="Y300" i="16" s="1"/>
  <c r="G300" i="16"/>
  <c r="BY300" i="6" s="1"/>
  <c r="G320" i="16"/>
  <c r="BY320" i="6" s="1"/>
  <c r="AA320" i="16"/>
  <c r="Z320" i="16" s="1"/>
  <c r="Y320" i="16" s="1"/>
  <c r="AA328" i="16"/>
  <c r="Z328" i="16" s="1"/>
  <c r="Y328" i="16" s="1"/>
  <c r="G328" i="16"/>
  <c r="BY328" i="6" s="1"/>
  <c r="G348" i="16"/>
  <c r="BY348" i="6" s="1"/>
  <c r="AA348" i="16"/>
  <c r="Z348" i="16" s="1"/>
  <c r="Y348" i="16" s="1"/>
  <c r="J302" i="15"/>
  <c r="I302" i="15"/>
  <c r="H302" i="16" s="1"/>
  <c r="O383" i="17"/>
  <c r="O381" i="17"/>
  <c r="O382" i="17"/>
  <c r="AJ5" i="17"/>
  <c r="AJ6" i="17"/>
  <c r="H244" i="16"/>
  <c r="H220" i="16"/>
  <c r="J210" i="15"/>
  <c r="I210" i="15"/>
  <c r="H210" i="16" s="1"/>
  <c r="AA74" i="15"/>
  <c r="Z74" i="15" s="1"/>
  <c r="Y74" i="15" s="1"/>
  <c r="G74" i="15"/>
  <c r="BX74" i="6" s="1"/>
  <c r="H74" i="15"/>
  <c r="I310" i="15"/>
  <c r="H310" i="16" s="1"/>
  <c r="J310" i="15"/>
  <c r="I286" i="15"/>
  <c r="H286" i="16" s="1"/>
  <c r="J286" i="15"/>
  <c r="AC382" i="17"/>
  <c r="AC383" i="17"/>
  <c r="AC381" i="17"/>
  <c r="D379" i="17"/>
  <c r="L382" i="17"/>
  <c r="L381" i="17"/>
  <c r="L383" i="17"/>
  <c r="K377" i="23"/>
  <c r="X377" i="23"/>
  <c r="L377" i="23"/>
  <c r="AK377" i="23"/>
  <c r="AB377" i="23"/>
  <c r="A378" i="23"/>
  <c r="AJ377" i="23"/>
  <c r="AC377" i="23"/>
  <c r="O377" i="23"/>
  <c r="L379" i="20"/>
  <c r="B40" i="19" s="1"/>
  <c r="K379" i="20"/>
  <c r="AK379" i="20"/>
  <c r="AB379" i="20"/>
  <c r="X379" i="20"/>
  <c r="AJ379" i="20"/>
  <c r="AC379" i="20"/>
  <c r="O379" i="20"/>
  <c r="C40" i="19" s="1"/>
  <c r="L376" i="24"/>
  <c r="AB376" i="24"/>
  <c r="AJ376" i="24"/>
  <c r="K376" i="24"/>
  <c r="X376" i="24"/>
  <c r="A377" i="24"/>
  <c r="AK376" i="24"/>
  <c r="AC376" i="24"/>
  <c r="O376" i="24"/>
  <c r="G288" i="15"/>
  <c r="BX288" i="6" s="1"/>
  <c r="AA288" i="15"/>
  <c r="Z288" i="15" s="1"/>
  <c r="Y288" i="15" s="1"/>
  <c r="H288" i="15"/>
  <c r="H250" i="16"/>
  <c r="J166" i="15"/>
  <c r="I166" i="15"/>
  <c r="H166" i="16" s="1"/>
  <c r="J60" i="15"/>
  <c r="I60" i="15"/>
  <c r="J241" i="15"/>
  <c r="I241" i="15"/>
  <c r="H225" i="16"/>
  <c r="H221" i="16"/>
  <c r="J149" i="15"/>
  <c r="I149" i="15"/>
  <c r="H149" i="16" s="1"/>
  <c r="J119" i="15"/>
  <c r="I119" i="15"/>
  <c r="H107" i="16"/>
  <c r="N61" i="19"/>
  <c r="H379" i="15"/>
  <c r="I381" i="1"/>
  <c r="I383" i="1"/>
  <c r="I382" i="1"/>
  <c r="G383" i="1"/>
  <c r="G12" i="1" s="1"/>
  <c r="G382" i="1"/>
  <c r="G381" i="1"/>
  <c r="J191" i="15"/>
  <c r="I191" i="15"/>
  <c r="H191" i="16" s="1"/>
  <c r="I177" i="15"/>
  <c r="H177" i="16" s="1"/>
  <c r="J177" i="15"/>
  <c r="J95" i="15"/>
  <c r="I95" i="15"/>
  <c r="H95" i="16" s="1"/>
  <c r="J45" i="15"/>
  <c r="I45" i="15"/>
  <c r="H45" i="16" s="1"/>
  <c r="I35" i="15"/>
  <c r="H35" i="16" s="1"/>
  <c r="J35" i="15"/>
  <c r="J29" i="15"/>
  <c r="I29" i="15"/>
  <c r="H29" i="16" s="1"/>
  <c r="V15" i="15"/>
  <c r="P382" i="15"/>
  <c r="P383" i="15"/>
  <c r="P381" i="15"/>
  <c r="F15" i="15"/>
  <c r="P15" i="16"/>
  <c r="AD383" i="15"/>
  <c r="AD381" i="15"/>
  <c r="AD382" i="15"/>
  <c r="E378" i="16"/>
  <c r="X379" i="16"/>
  <c r="AB379" i="16"/>
  <c r="AJ379" i="16"/>
  <c r="AI379" i="16"/>
  <c r="Q379" i="16"/>
  <c r="A380" i="16"/>
  <c r="L379" i="16"/>
  <c r="B37" i="19" s="1"/>
  <c r="K379" i="16"/>
  <c r="AK379" i="16"/>
  <c r="U379" i="16"/>
  <c r="AE379" i="16"/>
  <c r="AE12" i="17" s="1"/>
  <c r="AC379" i="16"/>
  <c r="O379" i="16"/>
  <c r="C37" i="19" s="1"/>
  <c r="S377" i="16"/>
  <c r="R377" i="16" s="1"/>
  <c r="P377" i="16" s="1"/>
  <c r="V377" i="16" s="1"/>
  <c r="F377" i="16" s="1"/>
  <c r="J376" i="15"/>
  <c r="I376" i="15"/>
  <c r="I352" i="15"/>
  <c r="H352" i="16" s="1"/>
  <c r="J352" i="15"/>
  <c r="I292" i="15"/>
  <c r="H292" i="16" s="1"/>
  <c r="J292" i="15"/>
  <c r="J282" i="15"/>
  <c r="I282" i="15"/>
  <c r="H282" i="16" s="1"/>
  <c r="J266" i="15"/>
  <c r="I266" i="15"/>
  <c r="H266" i="16" s="1"/>
  <c r="I258" i="15"/>
  <c r="H258" i="16" s="1"/>
  <c r="J258" i="15"/>
  <c r="J246" i="15"/>
  <c r="I246" i="15"/>
  <c r="H246" i="16" s="1"/>
  <c r="J206" i="15"/>
  <c r="I206" i="15"/>
  <c r="H206" i="16" s="1"/>
  <c r="J196" i="15"/>
  <c r="I196" i="15"/>
  <c r="H196" i="16" s="1"/>
  <c r="J164" i="15"/>
  <c r="I164" i="15"/>
  <c r="H164" i="16" s="1"/>
  <c r="J160" i="15"/>
  <c r="I160" i="15"/>
  <c r="H160" i="16" s="1"/>
  <c r="I144" i="15"/>
  <c r="H144" i="16" s="1"/>
  <c r="J144" i="15"/>
  <c r="J142" i="15"/>
  <c r="I142" i="15"/>
  <c r="H142" i="16" s="1"/>
  <c r="I140" i="15"/>
  <c r="H140" i="16" s="1"/>
  <c r="J140" i="15"/>
  <c r="I138" i="15"/>
  <c r="H138" i="16" s="1"/>
  <c r="J138" i="15"/>
  <c r="I134" i="15"/>
  <c r="H134" i="16" s="1"/>
  <c r="J134" i="15"/>
  <c r="I126" i="15"/>
  <c r="H126" i="16" s="1"/>
  <c r="J126" i="15"/>
  <c r="I118" i="15"/>
  <c r="H118" i="16" s="1"/>
  <c r="J118" i="15"/>
  <c r="I104" i="15"/>
  <c r="H104" i="16" s="1"/>
  <c r="J104" i="15"/>
  <c r="J88" i="15"/>
  <c r="I88" i="15"/>
  <c r="J78" i="15"/>
  <c r="I78" i="15"/>
  <c r="J50" i="15"/>
  <c r="I50" i="15"/>
  <c r="AB378" i="22"/>
  <c r="K378" i="22"/>
  <c r="AJ378" i="22"/>
  <c r="A379" i="22"/>
  <c r="L378" i="22"/>
  <c r="X378" i="22"/>
  <c r="AK378" i="22"/>
  <c r="AC378" i="22"/>
  <c r="O378" i="22"/>
  <c r="J363" i="15"/>
  <c r="I363" i="15"/>
  <c r="I333" i="15"/>
  <c r="J333" i="15"/>
  <c r="I329" i="15"/>
  <c r="H329" i="16" s="1"/>
  <c r="J329" i="15"/>
  <c r="J321" i="15"/>
  <c r="I321" i="15"/>
  <c r="H321" i="16" s="1"/>
  <c r="J313" i="15"/>
  <c r="I313" i="15"/>
  <c r="H313" i="16" s="1"/>
  <c r="I305" i="15"/>
  <c r="H305" i="16" s="1"/>
  <c r="J305" i="15"/>
  <c r="J303" i="15"/>
  <c r="I303" i="15"/>
  <c r="H303" i="16" s="1"/>
  <c r="J299" i="15"/>
  <c r="I299" i="15"/>
  <c r="H299" i="16" s="1"/>
  <c r="J285" i="15"/>
  <c r="I285" i="15"/>
  <c r="H285" i="16" s="1"/>
  <c r="J263" i="15"/>
  <c r="I263" i="15"/>
  <c r="H263" i="16" s="1"/>
  <c r="H235" i="16"/>
  <c r="J229" i="15"/>
  <c r="I229" i="15"/>
  <c r="H229" i="16" s="1"/>
  <c r="I213" i="15"/>
  <c r="H213" i="16" s="1"/>
  <c r="J213" i="15"/>
  <c r="J169" i="15"/>
  <c r="I169" i="15"/>
  <c r="H169" i="16" s="1"/>
  <c r="J165" i="15"/>
  <c r="I165" i="15"/>
  <c r="H165" i="16" s="1"/>
  <c r="I125" i="15"/>
  <c r="H125" i="16" s="1"/>
  <c r="J125" i="15"/>
  <c r="J113" i="15"/>
  <c r="I113" i="15"/>
  <c r="H113" i="16" s="1"/>
  <c r="I103" i="15"/>
  <c r="H103" i="16" s="1"/>
  <c r="J103" i="15"/>
  <c r="I89" i="15"/>
  <c r="H89" i="16" s="1"/>
  <c r="J89" i="15"/>
  <c r="J85" i="15"/>
  <c r="I85" i="15"/>
  <c r="H85" i="16" s="1"/>
  <c r="I61" i="15"/>
  <c r="H61" i="16" s="1"/>
  <c r="J61" i="15"/>
  <c r="I361" i="15"/>
  <c r="H361" i="16" s="1"/>
  <c r="J361" i="15"/>
  <c r="J21" i="15"/>
  <c r="I21" i="15"/>
  <c r="H21" i="16" s="1"/>
  <c r="J360" i="15"/>
  <c r="I360" i="15"/>
  <c r="H360" i="16" s="1"/>
  <c r="J296" i="15"/>
  <c r="I296" i="15"/>
  <c r="H296" i="16" s="1"/>
  <c r="J260" i="15"/>
  <c r="I260" i="15"/>
  <c r="H260" i="16" s="1"/>
  <c r="J228" i="15"/>
  <c r="I228" i="15"/>
  <c r="J184" i="15"/>
  <c r="I184" i="15"/>
  <c r="H184" i="16" s="1"/>
  <c r="J178" i="15"/>
  <c r="I178" i="15"/>
  <c r="H178" i="16" s="1"/>
  <c r="J108" i="15"/>
  <c r="I108" i="15"/>
  <c r="J98" i="15"/>
  <c r="I98" i="15"/>
  <c r="H98" i="16" s="1"/>
  <c r="J66" i="15"/>
  <c r="I66" i="15"/>
  <c r="H66" i="16" s="1"/>
  <c r="J44" i="15"/>
  <c r="I44" i="15"/>
  <c r="H44" i="16" s="1"/>
  <c r="J367" i="15"/>
  <c r="I367" i="15"/>
  <c r="H367" i="16" s="1"/>
  <c r="I353" i="15"/>
  <c r="H353" i="16" s="1"/>
  <c r="J353" i="15"/>
  <c r="J309" i="15"/>
  <c r="I309" i="15"/>
  <c r="H309" i="16" s="1"/>
  <c r="I185" i="15"/>
  <c r="H185" i="16" s="1"/>
  <c r="J185" i="15"/>
  <c r="J181" i="15"/>
  <c r="I181" i="15"/>
  <c r="H181" i="16" s="1"/>
  <c r="I153" i="15"/>
  <c r="H153" i="16" s="1"/>
  <c r="J153" i="15"/>
  <c r="I121" i="15"/>
  <c r="H121" i="16" s="1"/>
  <c r="J121" i="15"/>
  <c r="J77" i="15"/>
  <c r="I77" i="15"/>
  <c r="H77" i="16" s="1"/>
  <c r="I73" i="15"/>
  <c r="H73" i="16" s="1"/>
  <c r="J73" i="15"/>
  <c r="J51" i="15"/>
  <c r="I51" i="15"/>
  <c r="H51" i="16" s="1"/>
  <c r="J41" i="15"/>
  <c r="I41" i="15"/>
  <c r="H41" i="16" s="1"/>
  <c r="I355" i="15"/>
  <c r="H355" i="16" s="1"/>
  <c r="J355" i="15"/>
  <c r="I219" i="15"/>
  <c r="H219" i="16" s="1"/>
  <c r="J219" i="15"/>
  <c r="I197" i="15"/>
  <c r="J197" i="15"/>
  <c r="J129" i="15"/>
  <c r="I129" i="15"/>
  <c r="F228" i="16"/>
  <c r="J20" i="15"/>
  <c r="I20" i="15"/>
  <c r="H20" i="16" s="1"/>
  <c r="J364" i="15"/>
  <c r="I364" i="15"/>
  <c r="H364" i="16" s="1"/>
  <c r="I362" i="15"/>
  <c r="H362" i="16" s="1"/>
  <c r="J362" i="15"/>
  <c r="J316" i="15"/>
  <c r="I316" i="15"/>
  <c r="H316" i="16" s="1"/>
  <c r="J308" i="15"/>
  <c r="I308" i="15"/>
  <c r="H308" i="16" s="1"/>
  <c r="J234" i="15"/>
  <c r="I234" i="15"/>
  <c r="H234" i="16" s="1"/>
  <c r="J200" i="15"/>
  <c r="I200" i="15"/>
  <c r="H200" i="16" s="1"/>
  <c r="I180" i="15"/>
  <c r="J180" i="15"/>
  <c r="J148" i="15"/>
  <c r="I148" i="15"/>
  <c r="H148" i="16" s="1"/>
  <c r="I96" i="15"/>
  <c r="H96" i="16" s="1"/>
  <c r="J96" i="15"/>
  <c r="J42" i="15"/>
  <c r="I42" i="15"/>
  <c r="H42" i="16" s="1"/>
  <c r="G29" i="16"/>
  <c r="BY29" i="6" s="1"/>
  <c r="AA29" i="16"/>
  <c r="Z29" i="16" s="1"/>
  <c r="Y29" i="16" s="1"/>
  <c r="F167" i="16"/>
  <c r="F197" i="16"/>
  <c r="G289" i="16"/>
  <c r="BY289" i="6" s="1"/>
  <c r="AA289" i="16"/>
  <c r="Z289" i="16" s="1"/>
  <c r="Y289" i="16" s="1"/>
  <c r="I371" i="15"/>
  <c r="H371" i="16" s="1"/>
  <c r="J371" i="15"/>
  <c r="I275" i="15"/>
  <c r="H275" i="16" s="1"/>
  <c r="J275" i="15"/>
  <c r="I161" i="15"/>
  <c r="H161" i="16" s="1"/>
  <c r="J161" i="15"/>
  <c r="I133" i="15"/>
  <c r="J133" i="15"/>
  <c r="J117" i="15"/>
  <c r="I117" i="15"/>
  <c r="H117" i="16" s="1"/>
  <c r="I79" i="15"/>
  <c r="H79" i="16" s="1"/>
  <c r="J79" i="15"/>
  <c r="I18" i="15"/>
  <c r="H18" i="16" s="1"/>
  <c r="J18" i="15"/>
  <c r="L38" i="19" l="1"/>
  <c r="J307" i="16"/>
  <c r="J339" i="16"/>
  <c r="J365" i="16"/>
  <c r="H241" i="16"/>
  <c r="J241" i="16" s="1"/>
  <c r="I63" i="19"/>
  <c r="D11" i="19"/>
  <c r="G35" i="19"/>
  <c r="G363" i="16"/>
  <c r="BY363" i="6" s="1"/>
  <c r="I369" i="16"/>
  <c r="J175" i="16"/>
  <c r="G333" i="16"/>
  <c r="BY333" i="6" s="1"/>
  <c r="L63" i="19"/>
  <c r="H333" i="16"/>
  <c r="J333" i="16" s="1"/>
  <c r="I179" i="16"/>
  <c r="H363" i="16"/>
  <c r="I363" i="16" s="1"/>
  <c r="J359" i="16"/>
  <c r="I373" i="16"/>
  <c r="J110" i="16"/>
  <c r="J289" i="16"/>
  <c r="J65" i="16"/>
  <c r="H50" i="16"/>
  <c r="J50" i="16" s="1"/>
  <c r="I22" i="16"/>
  <c r="J366" i="16"/>
  <c r="G88" i="16"/>
  <c r="BY88" i="6" s="1"/>
  <c r="I52" i="16"/>
  <c r="J189" i="16"/>
  <c r="I130" i="16"/>
  <c r="I23" i="16"/>
  <c r="J123" i="16"/>
  <c r="I173" i="16"/>
  <c r="I30" i="16"/>
  <c r="J63" i="19"/>
  <c r="H180" i="16"/>
  <c r="I180" i="16" s="1"/>
  <c r="J62" i="16"/>
  <c r="I146" i="16"/>
  <c r="J59" i="16"/>
  <c r="I338" i="16"/>
  <c r="I102" i="16"/>
  <c r="G63" i="19"/>
  <c r="I265" i="16"/>
  <c r="J33" i="16"/>
  <c r="I327" i="16"/>
  <c r="AA180" i="16"/>
  <c r="Z180" i="16" s="1"/>
  <c r="Y180" i="16" s="1"/>
  <c r="AA350" i="16"/>
  <c r="Z350" i="16" s="1"/>
  <c r="Y350" i="16" s="1"/>
  <c r="J128" i="16"/>
  <c r="J53" i="16"/>
  <c r="J63" i="16"/>
  <c r="I83" i="16"/>
  <c r="I28" i="16"/>
  <c r="I124" i="16"/>
  <c r="I39" i="16"/>
  <c r="J336" i="16"/>
  <c r="J38" i="16"/>
  <c r="I354" i="16"/>
  <c r="D63" i="19"/>
  <c r="AA108" i="16"/>
  <c r="Z108" i="16" s="1"/>
  <c r="Y108" i="16" s="1"/>
  <c r="AA106" i="16"/>
  <c r="Z106" i="16" s="1"/>
  <c r="Y106" i="16" s="1"/>
  <c r="I255" i="16"/>
  <c r="J40" i="16"/>
  <c r="H88" i="16"/>
  <c r="J88" i="16" s="1"/>
  <c r="I94" i="16"/>
  <c r="J172" i="16"/>
  <c r="I47" i="16"/>
  <c r="J101" i="16"/>
  <c r="H119" i="16"/>
  <c r="I119" i="16" s="1"/>
  <c r="I271" i="16"/>
  <c r="I54" i="16"/>
  <c r="J122" i="16"/>
  <c r="I176" i="16"/>
  <c r="I56" i="16"/>
  <c r="AA133" i="16"/>
  <c r="Z133" i="16" s="1"/>
  <c r="Y133" i="16" s="1"/>
  <c r="G50" i="16"/>
  <c r="BY50" i="6" s="1"/>
  <c r="J34" i="16"/>
  <c r="J76" i="16"/>
  <c r="J127" i="16"/>
  <c r="I43" i="16"/>
  <c r="J267" i="16"/>
  <c r="E63" i="19"/>
  <c r="I31" i="16"/>
  <c r="I67" i="16"/>
  <c r="I111" i="16"/>
  <c r="I182" i="16"/>
  <c r="H133" i="16"/>
  <c r="J133" i="16" s="1"/>
  <c r="G106" i="16"/>
  <c r="BY106" i="6" s="1"/>
  <c r="H108" i="16"/>
  <c r="J108" i="16" s="1"/>
  <c r="J115" i="16"/>
  <c r="I224" i="16"/>
  <c r="J340" i="16"/>
  <c r="J331" i="16"/>
  <c r="I320" i="16"/>
  <c r="J150" i="16"/>
  <c r="I27" i="16"/>
  <c r="J86" i="16"/>
  <c r="G272" i="16"/>
  <c r="BY272" i="6" s="1"/>
  <c r="I25" i="16"/>
  <c r="J374" i="16"/>
  <c r="J55" i="16"/>
  <c r="J253" i="16"/>
  <c r="I297" i="16"/>
  <c r="J330" i="16"/>
  <c r="I344" i="16"/>
  <c r="J314" i="16"/>
  <c r="H272" i="16"/>
  <c r="I272" i="16" s="1"/>
  <c r="J259" i="16"/>
  <c r="J116" i="16"/>
  <c r="AA129" i="16"/>
  <c r="Z129" i="16" s="1"/>
  <c r="Y129" i="16" s="1"/>
  <c r="G114" i="16"/>
  <c r="BY114" i="6" s="1"/>
  <c r="I72" i="16"/>
  <c r="F63" i="19"/>
  <c r="G136" i="16"/>
  <c r="BY136" i="6" s="1"/>
  <c r="AA136" i="16"/>
  <c r="Z136" i="16" s="1"/>
  <c r="Y136" i="16" s="1"/>
  <c r="H129" i="16"/>
  <c r="I129" i="16" s="1"/>
  <c r="H350" i="16"/>
  <c r="J350" i="16" s="1"/>
  <c r="I256" i="16"/>
  <c r="J24" i="16"/>
  <c r="I168" i="16"/>
  <c r="I348" i="16"/>
  <c r="J48" i="16"/>
  <c r="H114" i="16"/>
  <c r="J114" i="16" s="1"/>
  <c r="G26" i="16"/>
  <c r="BY26" i="6" s="1"/>
  <c r="J273" i="16"/>
  <c r="J32" i="16"/>
  <c r="J82" i="16"/>
  <c r="I317" i="16"/>
  <c r="G60" i="16"/>
  <c r="BY60" i="6" s="1"/>
  <c r="C63" i="19"/>
  <c r="J251" i="16"/>
  <c r="J323" i="16"/>
  <c r="H78" i="16"/>
  <c r="I78" i="16" s="1"/>
  <c r="H60" i="16"/>
  <c r="I60" i="16" s="1"/>
  <c r="I90" i="16"/>
  <c r="G78" i="16"/>
  <c r="BY78" i="6" s="1"/>
  <c r="AA26" i="16"/>
  <c r="Z26" i="16" s="1"/>
  <c r="Y26" i="16" s="1"/>
  <c r="I247" i="16"/>
  <c r="H136" i="16"/>
  <c r="J136" i="16" s="1"/>
  <c r="J143" i="16"/>
  <c r="J106" i="16"/>
  <c r="I106" i="16"/>
  <c r="F376" i="16"/>
  <c r="H376" i="16" s="1"/>
  <c r="I79" i="16"/>
  <c r="J79" i="16"/>
  <c r="I161" i="16"/>
  <c r="J161" i="16"/>
  <c r="J200" i="16"/>
  <c r="I200" i="16"/>
  <c r="I234" i="16"/>
  <c r="J234" i="16"/>
  <c r="I355" i="16"/>
  <c r="J355" i="16"/>
  <c r="I153" i="16"/>
  <c r="J153" i="16"/>
  <c r="J353" i="16"/>
  <c r="I353" i="16"/>
  <c r="J213" i="16"/>
  <c r="I213" i="16"/>
  <c r="I285" i="16"/>
  <c r="J285" i="16"/>
  <c r="J299" i="16"/>
  <c r="I299" i="16"/>
  <c r="I303" i="16"/>
  <c r="J303" i="16"/>
  <c r="J313" i="16"/>
  <c r="I313" i="16"/>
  <c r="J321" i="16"/>
  <c r="I321" i="16"/>
  <c r="I258" i="16"/>
  <c r="J258" i="16"/>
  <c r="I292" i="16"/>
  <c r="J292" i="16"/>
  <c r="I191" i="16"/>
  <c r="J191" i="16"/>
  <c r="I205" i="16"/>
  <c r="J205" i="16"/>
  <c r="I209" i="16"/>
  <c r="J209" i="16"/>
  <c r="I358" i="16"/>
  <c r="J358" i="16"/>
  <c r="I93" i="16"/>
  <c r="J93" i="16"/>
  <c r="I227" i="16"/>
  <c r="J227" i="16"/>
  <c r="J343" i="16"/>
  <c r="I343" i="16"/>
  <c r="J309" i="16"/>
  <c r="I309" i="16"/>
  <c r="J44" i="16"/>
  <c r="I44" i="16"/>
  <c r="I296" i="16"/>
  <c r="J296" i="16"/>
  <c r="J360" i="16"/>
  <c r="I360" i="16"/>
  <c r="J229" i="16"/>
  <c r="I229" i="16"/>
  <c r="I305" i="16"/>
  <c r="J305" i="16"/>
  <c r="J329" i="16"/>
  <c r="I329" i="16"/>
  <c r="I142" i="16"/>
  <c r="J142" i="16"/>
  <c r="I196" i="16"/>
  <c r="J196" i="16"/>
  <c r="I206" i="16"/>
  <c r="J206" i="16"/>
  <c r="I241" i="16"/>
  <c r="J286" i="16"/>
  <c r="I286" i="16"/>
  <c r="J310" i="16"/>
  <c r="I310" i="16"/>
  <c r="I210" i="16"/>
  <c r="J210" i="16"/>
  <c r="J207" i="16"/>
  <c r="I207" i="16"/>
  <c r="I100" i="16"/>
  <c r="J100" i="16"/>
  <c r="J218" i="16"/>
  <c r="I218" i="16"/>
  <c r="I195" i="16"/>
  <c r="J195" i="16"/>
  <c r="J274" i="16"/>
  <c r="I274" i="16"/>
  <c r="J201" i="16"/>
  <c r="I201" i="16"/>
  <c r="I92" i="16"/>
  <c r="J92" i="16"/>
  <c r="J278" i="16"/>
  <c r="I278" i="16"/>
  <c r="J91" i="16"/>
  <c r="I91" i="16"/>
  <c r="I157" i="16"/>
  <c r="J157" i="16"/>
  <c r="I215" i="16"/>
  <c r="J215" i="16"/>
  <c r="J117" i="16"/>
  <c r="I117" i="16"/>
  <c r="AA167" i="16"/>
  <c r="Z167" i="16" s="1"/>
  <c r="Y167" i="16" s="1"/>
  <c r="G167" i="16"/>
  <c r="BY167" i="6" s="1"/>
  <c r="J96" i="16"/>
  <c r="I96" i="16"/>
  <c r="I362" i="16"/>
  <c r="J362" i="16"/>
  <c r="J41" i="16"/>
  <c r="I41" i="16"/>
  <c r="I51" i="16"/>
  <c r="J51" i="16"/>
  <c r="I77" i="16"/>
  <c r="J77" i="16"/>
  <c r="J181" i="16"/>
  <c r="I181" i="16"/>
  <c r="I367" i="16"/>
  <c r="J367" i="16"/>
  <c r="I66" i="16"/>
  <c r="J66" i="16"/>
  <c r="J98" i="16"/>
  <c r="I98" i="16"/>
  <c r="I178" i="16"/>
  <c r="J178" i="16"/>
  <c r="J184" i="16"/>
  <c r="I184" i="16"/>
  <c r="H228" i="16"/>
  <c r="J260" i="16"/>
  <c r="I260" i="16"/>
  <c r="J21" i="16"/>
  <c r="I21" i="16"/>
  <c r="J85" i="16"/>
  <c r="I85" i="16"/>
  <c r="J113" i="16"/>
  <c r="I113" i="16"/>
  <c r="J165" i="16"/>
  <c r="I165" i="16"/>
  <c r="I169" i="16"/>
  <c r="J169" i="16"/>
  <c r="I235" i="16"/>
  <c r="J235" i="16"/>
  <c r="I104" i="16"/>
  <c r="J104" i="16"/>
  <c r="J118" i="16"/>
  <c r="I118" i="16"/>
  <c r="J126" i="16"/>
  <c r="I126" i="16"/>
  <c r="I134" i="16"/>
  <c r="J134" i="16"/>
  <c r="I138" i="16"/>
  <c r="J138" i="16"/>
  <c r="I140" i="16"/>
  <c r="J140" i="16"/>
  <c r="J144" i="16"/>
  <c r="I144" i="16"/>
  <c r="I352" i="16"/>
  <c r="J352" i="16"/>
  <c r="G377" i="16"/>
  <c r="BY377" i="6" s="1"/>
  <c r="AA377" i="16"/>
  <c r="Z377" i="16" s="1"/>
  <c r="Y377" i="16" s="1"/>
  <c r="U12" i="17"/>
  <c r="P16" i="7"/>
  <c r="V11" i="7" s="1"/>
  <c r="U11" i="17" s="1"/>
  <c r="T379" i="16"/>
  <c r="X380" i="16"/>
  <c r="K380" i="16"/>
  <c r="AJ380" i="16"/>
  <c r="U380" i="16"/>
  <c r="U381" i="16" s="1"/>
  <c r="Q380" i="16"/>
  <c r="Q381" i="16" s="1"/>
  <c r="AE380" i="16"/>
  <c r="AE383" i="16" s="1"/>
  <c r="L380" i="16"/>
  <c r="AB380" i="16"/>
  <c r="AK380" i="16"/>
  <c r="AI380" i="16"/>
  <c r="AI382" i="16" s="1"/>
  <c r="AC380" i="16"/>
  <c r="O380" i="16"/>
  <c r="AI12" i="17"/>
  <c r="AH379" i="16"/>
  <c r="V15" i="16"/>
  <c r="F15" i="16" s="1"/>
  <c r="G15" i="15"/>
  <c r="BX15" i="6" s="1"/>
  <c r="AA15" i="15"/>
  <c r="H15" i="15"/>
  <c r="F382" i="15"/>
  <c r="AM10" i="15"/>
  <c r="F9" i="15"/>
  <c r="AK10" i="15"/>
  <c r="AK12" i="15" s="1"/>
  <c r="AK13" i="15" s="1"/>
  <c r="F381" i="15"/>
  <c r="F383" i="15"/>
  <c r="V380" i="15"/>
  <c r="V381" i="15" s="1"/>
  <c r="B62" i="19"/>
  <c r="V383" i="15"/>
  <c r="I35" i="16"/>
  <c r="J35" i="16"/>
  <c r="J177" i="16"/>
  <c r="I177" i="16"/>
  <c r="J107" i="16"/>
  <c r="I107" i="16"/>
  <c r="I225" i="16"/>
  <c r="J225" i="16"/>
  <c r="J166" i="16"/>
  <c r="I166" i="16"/>
  <c r="I250" i="16"/>
  <c r="J250" i="16"/>
  <c r="AC381" i="20"/>
  <c r="AC383" i="20"/>
  <c r="AC382" i="20"/>
  <c r="L381" i="20"/>
  <c r="L383" i="20"/>
  <c r="L382" i="20"/>
  <c r="D9" i="17"/>
  <c r="D11" i="17" s="1"/>
  <c r="E38" i="19" s="1"/>
  <c r="AJ7" i="17"/>
  <c r="D382" i="17"/>
  <c r="D381" i="17"/>
  <c r="D383" i="17"/>
  <c r="I74" i="15"/>
  <c r="H74" i="16" s="1"/>
  <c r="J74" i="15"/>
  <c r="J244" i="16"/>
  <c r="I244" i="16"/>
  <c r="AJ8" i="17"/>
  <c r="I302" i="16"/>
  <c r="J302" i="16"/>
  <c r="H377" i="16"/>
  <c r="I284" i="16"/>
  <c r="J284" i="16"/>
  <c r="I276" i="16"/>
  <c r="J276" i="16"/>
  <c r="I264" i="16"/>
  <c r="J264" i="16"/>
  <c r="I240" i="16"/>
  <c r="J240" i="16"/>
  <c r="J216" i="16"/>
  <c r="I216" i="16"/>
  <c r="I204" i="16"/>
  <c r="J204" i="16"/>
  <c r="I71" i="16"/>
  <c r="J71" i="16"/>
  <c r="I325" i="16"/>
  <c r="J325" i="16"/>
  <c r="I319" i="16"/>
  <c r="J319" i="16"/>
  <c r="I301" i="16"/>
  <c r="J301" i="16"/>
  <c r="I293" i="16"/>
  <c r="J293" i="16"/>
  <c r="J287" i="16"/>
  <c r="I287" i="16"/>
  <c r="I283" i="16"/>
  <c r="J283" i="16"/>
  <c r="I281" i="16"/>
  <c r="J281" i="16"/>
  <c r="J279" i="16"/>
  <c r="I279" i="16"/>
  <c r="J269" i="16"/>
  <c r="I269" i="16"/>
  <c r="I249" i="16"/>
  <c r="J249" i="16"/>
  <c r="J245" i="16"/>
  <c r="I245" i="16"/>
  <c r="I147" i="16"/>
  <c r="J147" i="16"/>
  <c r="J139" i="16"/>
  <c r="I139" i="16"/>
  <c r="J131" i="16"/>
  <c r="I131" i="16"/>
  <c r="J332" i="16"/>
  <c r="I332" i="16"/>
  <c r="I280" i="16"/>
  <c r="J280" i="16"/>
  <c r="I57" i="16"/>
  <c r="J57" i="16"/>
  <c r="I75" i="16"/>
  <c r="J75" i="16"/>
  <c r="J295" i="16"/>
  <c r="I295" i="16"/>
  <c r="I351" i="16"/>
  <c r="J351" i="16"/>
  <c r="J322" i="16"/>
  <c r="I322" i="16"/>
  <c r="J318" i="16"/>
  <c r="I318" i="16"/>
  <c r="J306" i="16"/>
  <c r="I306" i="16"/>
  <c r="I198" i="16"/>
  <c r="J198" i="16"/>
  <c r="I194" i="16"/>
  <c r="J194" i="16"/>
  <c r="I190" i="16"/>
  <c r="J190" i="16"/>
  <c r="J70" i="16"/>
  <c r="I70" i="16"/>
  <c r="I26" i="16"/>
  <c r="J26" i="16"/>
  <c r="I81" i="16"/>
  <c r="J81" i="16"/>
  <c r="J237" i="16"/>
  <c r="I237" i="16"/>
  <c r="J36" i="16"/>
  <c r="I36" i="16"/>
  <c r="J84" i="16"/>
  <c r="I84" i="16"/>
  <c r="J188" i="16"/>
  <c r="I188" i="16"/>
  <c r="I37" i="16"/>
  <c r="J37" i="16"/>
  <c r="J171" i="16"/>
  <c r="I171" i="16"/>
  <c r="J112" i="16"/>
  <c r="I112" i="16"/>
  <c r="I132" i="16"/>
  <c r="J132" i="16"/>
  <c r="J158" i="16"/>
  <c r="I158" i="16"/>
  <c r="I162" i="16"/>
  <c r="J162" i="16"/>
  <c r="I226" i="16"/>
  <c r="J226" i="16"/>
  <c r="AG378" i="16"/>
  <c r="S378" i="16"/>
  <c r="R378" i="16" s="1"/>
  <c r="P378" i="16" s="1"/>
  <c r="J87" i="16"/>
  <c r="I87" i="16"/>
  <c r="Y379" i="1"/>
  <c r="Z382" i="1"/>
  <c r="AL7" i="1"/>
  <c r="AL11" i="1" s="1"/>
  <c r="Z9" i="1"/>
  <c r="Z383" i="1"/>
  <c r="Z381" i="1"/>
  <c r="AL8" i="1"/>
  <c r="J135" i="15"/>
  <c r="I135" i="15"/>
  <c r="H135" i="16" s="1"/>
  <c r="J341" i="16"/>
  <c r="I341" i="16"/>
  <c r="J46" i="15"/>
  <c r="I46" i="15"/>
  <c r="H46" i="16" s="1"/>
  <c r="AK3" i="17"/>
  <c r="Q14" i="19" s="1"/>
  <c r="I231" i="16"/>
  <c r="J231" i="16"/>
  <c r="I211" i="16"/>
  <c r="J211" i="16"/>
  <c r="I203" i="16"/>
  <c r="J203" i="16"/>
  <c r="J163" i="16"/>
  <c r="I163" i="16"/>
  <c r="J155" i="16"/>
  <c r="I155" i="16"/>
  <c r="J97" i="16"/>
  <c r="I97" i="16"/>
  <c r="J337" i="16"/>
  <c r="I337" i="16"/>
  <c r="J294" i="16"/>
  <c r="I294" i="16"/>
  <c r="J270" i="16"/>
  <c r="I270" i="16"/>
  <c r="I214" i="16"/>
  <c r="J214" i="16"/>
  <c r="I193" i="16"/>
  <c r="J193" i="16"/>
  <c r="J268" i="16"/>
  <c r="I268" i="16"/>
  <c r="J252" i="16"/>
  <c r="I252" i="16"/>
  <c r="J18" i="16"/>
  <c r="I18" i="16"/>
  <c r="J275" i="16"/>
  <c r="I275" i="16"/>
  <c r="I371" i="16"/>
  <c r="J371" i="16"/>
  <c r="G197" i="16"/>
  <c r="BY197" i="6" s="1"/>
  <c r="AA197" i="16"/>
  <c r="Z197" i="16" s="1"/>
  <c r="Y197" i="16" s="1"/>
  <c r="H197" i="16"/>
  <c r="I42" i="16"/>
  <c r="J42" i="16"/>
  <c r="I148" i="16"/>
  <c r="J148" i="16"/>
  <c r="I308" i="16"/>
  <c r="J308" i="16"/>
  <c r="J316" i="16"/>
  <c r="I316" i="16"/>
  <c r="J364" i="16"/>
  <c r="I364" i="16"/>
  <c r="I20" i="16"/>
  <c r="J20" i="16"/>
  <c r="G228" i="16"/>
  <c r="BY228" i="6" s="1"/>
  <c r="AA228" i="16"/>
  <c r="Z228" i="16" s="1"/>
  <c r="Y228" i="16" s="1"/>
  <c r="J219" i="16"/>
  <c r="I219" i="16"/>
  <c r="I73" i="16"/>
  <c r="J73" i="16"/>
  <c r="J121" i="16"/>
  <c r="I121" i="16"/>
  <c r="I185" i="16"/>
  <c r="J185" i="16"/>
  <c r="J361" i="16"/>
  <c r="I361" i="16"/>
  <c r="J61" i="16"/>
  <c r="I61" i="16"/>
  <c r="I89" i="16"/>
  <c r="J89" i="16"/>
  <c r="J103" i="16"/>
  <c r="I103" i="16"/>
  <c r="J125" i="16"/>
  <c r="I125" i="16"/>
  <c r="J263" i="16"/>
  <c r="I263" i="16"/>
  <c r="L379" i="22"/>
  <c r="B41" i="19" s="1"/>
  <c r="AB379" i="22"/>
  <c r="AJ379" i="22"/>
  <c r="A380" i="22"/>
  <c r="AK379" i="22"/>
  <c r="X379" i="22"/>
  <c r="K379" i="22"/>
  <c r="AC379" i="22"/>
  <c r="O379" i="22"/>
  <c r="C41" i="19" s="1"/>
  <c r="I160" i="16"/>
  <c r="J160" i="16"/>
  <c r="J164" i="16"/>
  <c r="I164" i="16"/>
  <c r="I246" i="16"/>
  <c r="J246" i="16"/>
  <c r="I266" i="16"/>
  <c r="J266" i="16"/>
  <c r="J282" i="16"/>
  <c r="I282" i="16"/>
  <c r="D379" i="16"/>
  <c r="E379" i="16" s="1"/>
  <c r="P15" i="7"/>
  <c r="Q12" i="17"/>
  <c r="I29" i="16"/>
  <c r="J29" i="16"/>
  <c r="J45" i="16"/>
  <c r="I45" i="16"/>
  <c r="J95" i="16"/>
  <c r="I95" i="16"/>
  <c r="A7" i="6"/>
  <c r="E7" i="7"/>
  <c r="I379" i="15"/>
  <c r="J379" i="15"/>
  <c r="I149" i="16"/>
  <c r="J149" i="16"/>
  <c r="I221" i="16"/>
  <c r="J221" i="16"/>
  <c r="AE381" i="16"/>
  <c r="J288" i="15"/>
  <c r="I288" i="15"/>
  <c r="H288" i="16" s="1"/>
  <c r="X377" i="24"/>
  <c r="AB377" i="24"/>
  <c r="A378" i="24"/>
  <c r="AK377" i="24"/>
  <c r="K377" i="24"/>
  <c r="AJ377" i="24"/>
  <c r="L377" i="24"/>
  <c r="AC377" i="24"/>
  <c r="O377" i="24"/>
  <c r="O383" i="20"/>
  <c r="O382" i="20"/>
  <c r="O381" i="20"/>
  <c r="K378" i="23"/>
  <c r="L378" i="23"/>
  <c r="A379" i="23"/>
  <c r="AK378" i="23"/>
  <c r="X378" i="23"/>
  <c r="AJ378" i="23"/>
  <c r="AB378" i="23"/>
  <c r="AC378" i="23"/>
  <c r="O378" i="23"/>
  <c r="I220" i="16"/>
  <c r="J220" i="16"/>
  <c r="E379" i="17"/>
  <c r="I328" i="16"/>
  <c r="J328" i="16"/>
  <c r="J300" i="16"/>
  <c r="I300" i="16"/>
  <c r="J248" i="16"/>
  <c r="I248" i="16"/>
  <c r="J232" i="16"/>
  <c r="I232" i="16"/>
  <c r="J212" i="16"/>
  <c r="I212" i="16"/>
  <c r="I49" i="16"/>
  <c r="J49" i="16"/>
  <c r="I187" i="16"/>
  <c r="J187" i="16"/>
  <c r="I277" i="16"/>
  <c r="J277" i="16"/>
  <c r="I261" i="16"/>
  <c r="J261" i="16"/>
  <c r="I257" i="16"/>
  <c r="J257" i="16"/>
  <c r="I243" i="16"/>
  <c r="J243" i="16"/>
  <c r="J145" i="16"/>
  <c r="I145" i="16"/>
  <c r="J137" i="16"/>
  <c r="I137" i="16"/>
  <c r="I16" i="16"/>
  <c r="J16" i="16"/>
  <c r="I64" i="16"/>
  <c r="J64" i="16"/>
  <c r="J170" i="16"/>
  <c r="I170" i="16"/>
  <c r="I186" i="16"/>
  <c r="J186" i="16"/>
  <c r="J262" i="16"/>
  <c r="I262" i="16"/>
  <c r="I370" i="16"/>
  <c r="J370" i="16"/>
  <c r="I356" i="16"/>
  <c r="J356" i="16"/>
  <c r="I324" i="16"/>
  <c r="J324" i="16"/>
  <c r="J312" i="16"/>
  <c r="I312" i="16"/>
  <c r="J304" i="16"/>
  <c r="I304" i="16"/>
  <c r="I99" i="16"/>
  <c r="J99" i="16"/>
  <c r="J141" i="16"/>
  <c r="I141" i="16"/>
  <c r="I183" i="16"/>
  <c r="J183" i="16"/>
  <c r="I346" i="16"/>
  <c r="J346" i="16"/>
  <c r="I342" i="16"/>
  <c r="J342" i="16"/>
  <c r="I334" i="16"/>
  <c r="J334" i="16"/>
  <c r="J326" i="16"/>
  <c r="I326" i="16"/>
  <c r="I202" i="16"/>
  <c r="J202" i="16"/>
  <c r="J69" i="16"/>
  <c r="I69" i="16"/>
  <c r="J109" i="16"/>
  <c r="I109" i="16"/>
  <c r="I375" i="16"/>
  <c r="J375" i="16"/>
  <c r="J17" i="16"/>
  <c r="I17" i="16"/>
  <c r="I58" i="16"/>
  <c r="J58" i="16"/>
  <c r="J236" i="16"/>
  <c r="I236" i="16"/>
  <c r="J368" i="16"/>
  <c r="I368" i="16"/>
  <c r="J105" i="16"/>
  <c r="I105" i="16"/>
  <c r="I151" i="16"/>
  <c r="J151" i="16"/>
  <c r="I291" i="16"/>
  <c r="J291" i="16"/>
  <c r="Q382" i="16"/>
  <c r="J80" i="16"/>
  <c r="I80" i="16"/>
  <c r="J120" i="16"/>
  <c r="I120" i="16"/>
  <c r="I152" i="16"/>
  <c r="J152" i="16"/>
  <c r="I154" i="16"/>
  <c r="J154" i="16"/>
  <c r="J156" i="16"/>
  <c r="I156" i="16"/>
  <c r="J174" i="16"/>
  <c r="I174" i="16"/>
  <c r="I242" i="16"/>
  <c r="J242" i="16"/>
  <c r="I372" i="16"/>
  <c r="J372" i="16"/>
  <c r="AI383" i="16"/>
  <c r="K376" i="25"/>
  <c r="A377" i="25"/>
  <c r="L376" i="25"/>
  <c r="AK376" i="25"/>
  <c r="AB376" i="25"/>
  <c r="AJ376" i="25"/>
  <c r="X376" i="25"/>
  <c r="AC376" i="25"/>
  <c r="O376" i="25"/>
  <c r="H167" i="16"/>
  <c r="J345" i="16"/>
  <c r="I345" i="16"/>
  <c r="J349" i="16"/>
  <c r="I349" i="16"/>
  <c r="J357" i="16"/>
  <c r="I357" i="16"/>
  <c r="J19" i="16"/>
  <c r="I19" i="16"/>
  <c r="I68" i="16"/>
  <c r="J68" i="16"/>
  <c r="I239" i="16"/>
  <c r="J239" i="16"/>
  <c r="I223" i="16"/>
  <c r="J223" i="16"/>
  <c r="J199" i="16"/>
  <c r="I199" i="16"/>
  <c r="I159" i="16"/>
  <c r="J159" i="16"/>
  <c r="J208" i="16"/>
  <c r="I208" i="16"/>
  <c r="J192" i="16"/>
  <c r="I192" i="16"/>
  <c r="J311" i="16"/>
  <c r="I311" i="16"/>
  <c r="I254" i="16"/>
  <c r="J254" i="16"/>
  <c r="J238" i="16"/>
  <c r="I238" i="16"/>
  <c r="J230" i="16"/>
  <c r="I230" i="16"/>
  <c r="I222" i="16"/>
  <c r="J222" i="16"/>
  <c r="Q383" i="16"/>
  <c r="I233" i="16"/>
  <c r="J233" i="16"/>
  <c r="I217" i="16"/>
  <c r="J217" i="16"/>
  <c r="J335" i="16"/>
  <c r="I335" i="16"/>
  <c r="I298" i="16"/>
  <c r="J298" i="16"/>
  <c r="I290" i="16"/>
  <c r="J290" i="16"/>
  <c r="E11" i="19" l="1"/>
  <c r="F11" i="19" s="1"/>
  <c r="W2" i="7"/>
  <c r="I333" i="16"/>
  <c r="L40" i="19"/>
  <c r="J363" i="16"/>
  <c r="I88" i="16"/>
  <c r="I50" i="16"/>
  <c r="AI381" i="16"/>
  <c r="J180" i="16"/>
  <c r="I108" i="16"/>
  <c r="J78" i="16"/>
  <c r="J272" i="16"/>
  <c r="J119" i="16"/>
  <c r="I133" i="16"/>
  <c r="J129" i="16"/>
  <c r="I136" i="16"/>
  <c r="J60" i="16"/>
  <c r="I114" i="16"/>
  <c r="I350" i="16"/>
  <c r="AE382" i="16"/>
  <c r="G376" i="16"/>
  <c r="BY376" i="6" s="1"/>
  <c r="V382" i="15"/>
  <c r="U10" i="17"/>
  <c r="U34" i="17" s="1"/>
  <c r="J376" i="16"/>
  <c r="I376" i="16"/>
  <c r="AA376" i="16"/>
  <c r="Z376" i="16" s="1"/>
  <c r="Y376" i="16" s="1"/>
  <c r="V378" i="16"/>
  <c r="J167" i="16"/>
  <c r="I167" i="16"/>
  <c r="AB377" i="25"/>
  <c r="A378" i="25"/>
  <c r="K377" i="25"/>
  <c r="AK377" i="25"/>
  <c r="L377" i="25"/>
  <c r="X377" i="25"/>
  <c r="AJ377" i="25"/>
  <c r="AC377" i="25"/>
  <c r="O377" i="25"/>
  <c r="AJ9" i="17"/>
  <c r="AJ11" i="17" s="1"/>
  <c r="AK8" i="17"/>
  <c r="E382" i="17"/>
  <c r="E381" i="17"/>
  <c r="E383" i="17"/>
  <c r="E9" i="17"/>
  <c r="E11" i="17" s="1"/>
  <c r="AJ10" i="17"/>
  <c r="AJ12" i="17" s="1"/>
  <c r="X379" i="23"/>
  <c r="L379" i="23"/>
  <c r="B42" i="19" s="1"/>
  <c r="AK379" i="23"/>
  <c r="K379" i="23"/>
  <c r="AB379" i="23"/>
  <c r="AJ379" i="23"/>
  <c r="AC379" i="23"/>
  <c r="O379" i="23"/>
  <c r="C42" i="19" s="1"/>
  <c r="X380" i="22"/>
  <c r="L380" i="22"/>
  <c r="AK380" i="22"/>
  <c r="AB380" i="22"/>
  <c r="AJ380" i="22"/>
  <c r="K380" i="22"/>
  <c r="AC380" i="22"/>
  <c r="O380" i="22"/>
  <c r="J46" i="16"/>
  <c r="I46" i="16"/>
  <c r="I135" i="16"/>
  <c r="J135" i="16"/>
  <c r="AF378" i="16"/>
  <c r="N62" i="19"/>
  <c r="F11" i="15"/>
  <c r="AB9" i="15"/>
  <c r="G12" i="19"/>
  <c r="Z15" i="15"/>
  <c r="AA381" i="15"/>
  <c r="AL10" i="15"/>
  <c r="AA383" i="15"/>
  <c r="AM8" i="15"/>
  <c r="AA382" i="15"/>
  <c r="AA9" i="15"/>
  <c r="O383" i="16"/>
  <c r="O381" i="16"/>
  <c r="O382" i="16"/>
  <c r="AH380" i="16"/>
  <c r="T380" i="16"/>
  <c r="T382" i="16" s="1"/>
  <c r="U382" i="16"/>
  <c r="U383" i="16"/>
  <c r="U16" i="7"/>
  <c r="U130" i="17"/>
  <c r="U258" i="17"/>
  <c r="L378" i="24"/>
  <c r="A379" i="24"/>
  <c r="AJ378" i="24"/>
  <c r="K378" i="24"/>
  <c r="AB378" i="24"/>
  <c r="X378" i="24"/>
  <c r="AK378" i="24"/>
  <c r="AC378" i="24"/>
  <c r="O378" i="24"/>
  <c r="I288" i="16"/>
  <c r="J288" i="16"/>
  <c r="U15" i="7"/>
  <c r="Q10" i="17"/>
  <c r="Q18" i="17" s="1"/>
  <c r="I197" i="16"/>
  <c r="J197" i="16"/>
  <c r="AJ3" i="1"/>
  <c r="O11" i="19" s="1"/>
  <c r="AL5" i="1"/>
  <c r="Y381" i="1"/>
  <c r="Y383" i="1"/>
  <c r="X9" i="1"/>
  <c r="Y382" i="1"/>
  <c r="AM6" i="1"/>
  <c r="AM12" i="1" s="1"/>
  <c r="AL6" i="1"/>
  <c r="AL12" i="1" s="1"/>
  <c r="J377" i="16"/>
  <c r="I377" i="16"/>
  <c r="J74" i="16"/>
  <c r="I74" i="16"/>
  <c r="J15" i="15"/>
  <c r="I15" i="15"/>
  <c r="G383" i="15"/>
  <c r="G12" i="15" s="1"/>
  <c r="G382" i="15"/>
  <c r="G381" i="15"/>
  <c r="AA15" i="16"/>
  <c r="G15" i="16"/>
  <c r="BY15" i="6" s="1"/>
  <c r="H15" i="16"/>
  <c r="B63" i="19"/>
  <c r="AG379" i="16"/>
  <c r="AF379" i="16" s="1"/>
  <c r="AD379" i="16" s="1"/>
  <c r="AI75" i="17"/>
  <c r="AI139" i="17"/>
  <c r="AI189" i="17"/>
  <c r="AI221" i="17"/>
  <c r="AI253" i="17"/>
  <c r="AI285" i="17"/>
  <c r="AI317" i="17"/>
  <c r="AI349" i="17"/>
  <c r="AC382" i="16"/>
  <c r="AC383" i="16"/>
  <c r="AC381" i="16"/>
  <c r="AK6" i="16"/>
  <c r="AM9" i="16"/>
  <c r="AK5" i="16"/>
  <c r="AK9" i="16"/>
  <c r="AM7" i="16"/>
  <c r="AM11" i="16" s="1"/>
  <c r="AM5" i="16"/>
  <c r="AK7" i="16"/>
  <c r="AK11" i="16" s="1"/>
  <c r="D380" i="16"/>
  <c r="AJ8" i="16" s="1"/>
  <c r="L382" i="16"/>
  <c r="L381" i="16"/>
  <c r="L383" i="16"/>
  <c r="AJ9" i="16"/>
  <c r="AJ5" i="16"/>
  <c r="AL9" i="16"/>
  <c r="AJ7" i="16"/>
  <c r="AJ11" i="16" s="1"/>
  <c r="AL7" i="16"/>
  <c r="AL11" i="16" s="1"/>
  <c r="AJ6" i="16"/>
  <c r="AL5" i="16"/>
  <c r="S379" i="16"/>
  <c r="I228" i="16"/>
  <c r="J228" i="16"/>
  <c r="AI365" i="17" l="1"/>
  <c r="AI333" i="17"/>
  <c r="AI301" i="17"/>
  <c r="AH301" i="17" s="1"/>
  <c r="AI269" i="17"/>
  <c r="AI237" i="17"/>
  <c r="AI205" i="17"/>
  <c r="AI171" i="17"/>
  <c r="AH171" i="17" s="1"/>
  <c r="AI107" i="17"/>
  <c r="AI43" i="17"/>
  <c r="U322" i="17"/>
  <c r="U194" i="17"/>
  <c r="T194" i="17" s="1"/>
  <c r="U66" i="17"/>
  <c r="AI373" i="17"/>
  <c r="AH373" i="17" s="1"/>
  <c r="AI357" i="17"/>
  <c r="AI341" i="17"/>
  <c r="AH341" i="17" s="1"/>
  <c r="AI325" i="17"/>
  <c r="AH325" i="17" s="1"/>
  <c r="AI309" i="17"/>
  <c r="AH309" i="17" s="1"/>
  <c r="AI293" i="17"/>
  <c r="AI277" i="17"/>
  <c r="AH277" i="17" s="1"/>
  <c r="AI261" i="17"/>
  <c r="AH261" i="17" s="1"/>
  <c r="AI245" i="17"/>
  <c r="AH245" i="17" s="1"/>
  <c r="AI229" i="17"/>
  <c r="AI213" i="17"/>
  <c r="AH213" i="17" s="1"/>
  <c r="AI197" i="17"/>
  <c r="AH197" i="17" s="1"/>
  <c r="AI181" i="17"/>
  <c r="AH181" i="17" s="1"/>
  <c r="AI155" i="17"/>
  <c r="AI123" i="17"/>
  <c r="AH123" i="17" s="1"/>
  <c r="AI91" i="17"/>
  <c r="AH91" i="17" s="1"/>
  <c r="AI59" i="17"/>
  <c r="AH59" i="17" s="1"/>
  <c r="AI27" i="17"/>
  <c r="U354" i="17"/>
  <c r="U290" i="17"/>
  <c r="U226" i="17"/>
  <c r="T226" i="17" s="1"/>
  <c r="U162" i="17"/>
  <c r="U98" i="17"/>
  <c r="U18" i="17"/>
  <c r="AI377" i="17"/>
  <c r="AI369" i="17"/>
  <c r="AI361" i="17"/>
  <c r="AH361" i="17" s="1"/>
  <c r="AI353" i="17"/>
  <c r="AH353" i="17" s="1"/>
  <c r="AI345" i="17"/>
  <c r="AI337" i="17"/>
  <c r="AH337" i="17" s="1"/>
  <c r="AI329" i="17"/>
  <c r="AH329" i="17" s="1"/>
  <c r="AI321" i="17"/>
  <c r="AI313" i="17"/>
  <c r="AH313" i="17" s="1"/>
  <c r="AI305" i="17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I249" i="17"/>
  <c r="AI241" i="17"/>
  <c r="AI233" i="17"/>
  <c r="AH233" i="17" s="1"/>
  <c r="AI225" i="17"/>
  <c r="AH225" i="17" s="1"/>
  <c r="AI217" i="17"/>
  <c r="AI209" i="17"/>
  <c r="AH209" i="17" s="1"/>
  <c r="AI201" i="17"/>
  <c r="AH201" i="17" s="1"/>
  <c r="AI193" i="17"/>
  <c r="AI185" i="17"/>
  <c r="AH185" i="17" s="1"/>
  <c r="AI177" i="17"/>
  <c r="AI163" i="17"/>
  <c r="AH163" i="17" s="1"/>
  <c r="AI147" i="17"/>
  <c r="AI131" i="17"/>
  <c r="AH131" i="17" s="1"/>
  <c r="AI115" i="17"/>
  <c r="AI99" i="17"/>
  <c r="AH99" i="17" s="1"/>
  <c r="AI83" i="17"/>
  <c r="AH83" i="17" s="1"/>
  <c r="AI67" i="17"/>
  <c r="AH67" i="17" s="1"/>
  <c r="AI51" i="17"/>
  <c r="AH51" i="17" s="1"/>
  <c r="AI35" i="17"/>
  <c r="AH35" i="17" s="1"/>
  <c r="AI19" i="17"/>
  <c r="U370" i="17"/>
  <c r="T370" i="17" s="1"/>
  <c r="U338" i="17"/>
  <c r="U306" i="17"/>
  <c r="U274" i="17"/>
  <c r="U242" i="17"/>
  <c r="T242" i="17" s="1"/>
  <c r="U210" i="17"/>
  <c r="U178" i="17"/>
  <c r="T178" i="17" s="1"/>
  <c r="U146" i="17"/>
  <c r="U114" i="17"/>
  <c r="T114" i="17" s="1"/>
  <c r="U82" i="17"/>
  <c r="U50" i="17"/>
  <c r="T383" i="16"/>
  <c r="J36" i="19"/>
  <c r="T381" i="16"/>
  <c r="Q358" i="17"/>
  <c r="Q294" i="17"/>
  <c r="Q326" i="17"/>
  <c r="Q262" i="17"/>
  <c r="L37" i="19"/>
  <c r="D12" i="19"/>
  <c r="G36" i="19"/>
  <c r="C14" i="19"/>
  <c r="F38" i="19"/>
  <c r="Q373" i="17"/>
  <c r="Q342" i="17"/>
  <c r="Q310" i="17"/>
  <c r="Q278" i="17"/>
  <c r="Q232" i="17"/>
  <c r="U22" i="17"/>
  <c r="T22" i="17" s="1"/>
  <c r="U30" i="17"/>
  <c r="U38" i="17"/>
  <c r="T38" i="17" s="1"/>
  <c r="U46" i="17"/>
  <c r="U54" i="17"/>
  <c r="T54" i="17" s="1"/>
  <c r="U62" i="17"/>
  <c r="T62" i="17" s="1"/>
  <c r="U70" i="17"/>
  <c r="T70" i="17" s="1"/>
  <c r="U78" i="17"/>
  <c r="T78" i="17" s="1"/>
  <c r="U86" i="17"/>
  <c r="T86" i="17" s="1"/>
  <c r="U94" i="17"/>
  <c r="U102" i="17"/>
  <c r="T102" i="17" s="1"/>
  <c r="U110" i="17"/>
  <c r="U118" i="17"/>
  <c r="T118" i="17" s="1"/>
  <c r="U126" i="17"/>
  <c r="T126" i="17" s="1"/>
  <c r="U134" i="17"/>
  <c r="T134" i="17" s="1"/>
  <c r="U142" i="17"/>
  <c r="T142" i="17" s="1"/>
  <c r="U150" i="17"/>
  <c r="T150" i="17" s="1"/>
  <c r="U158" i="17"/>
  <c r="U166" i="17"/>
  <c r="T166" i="17" s="1"/>
  <c r="U174" i="17"/>
  <c r="U182" i="17"/>
  <c r="T182" i="17" s="1"/>
  <c r="U190" i="17"/>
  <c r="T190" i="17" s="1"/>
  <c r="U198" i="17"/>
  <c r="T198" i="17" s="1"/>
  <c r="U206" i="17"/>
  <c r="T206" i="17" s="1"/>
  <c r="U214" i="17"/>
  <c r="T214" i="17" s="1"/>
  <c r="U222" i="17"/>
  <c r="U230" i="17"/>
  <c r="T230" i="17" s="1"/>
  <c r="U238" i="17"/>
  <c r="U246" i="17"/>
  <c r="T246" i="17" s="1"/>
  <c r="U254" i="17"/>
  <c r="T254" i="17" s="1"/>
  <c r="U262" i="17"/>
  <c r="T262" i="17" s="1"/>
  <c r="U270" i="17"/>
  <c r="T270" i="17" s="1"/>
  <c r="U278" i="17"/>
  <c r="T278" i="17" s="1"/>
  <c r="U286" i="17"/>
  <c r="U294" i="17"/>
  <c r="T294" i="17" s="1"/>
  <c r="U302" i="17"/>
  <c r="U310" i="17"/>
  <c r="T310" i="17" s="1"/>
  <c r="U318" i="17"/>
  <c r="T318" i="17" s="1"/>
  <c r="U326" i="17"/>
  <c r="T326" i="17" s="1"/>
  <c r="U334" i="17"/>
  <c r="T334" i="17" s="1"/>
  <c r="U342" i="17"/>
  <c r="T342" i="17" s="1"/>
  <c r="U350" i="17"/>
  <c r="U358" i="17"/>
  <c r="T358" i="17" s="1"/>
  <c r="U366" i="17"/>
  <c r="U374" i="17"/>
  <c r="T374" i="17" s="1"/>
  <c r="AI17" i="17"/>
  <c r="AH17" i="17" s="1"/>
  <c r="AI21" i="17"/>
  <c r="AH21" i="17" s="1"/>
  <c r="AI25" i="17"/>
  <c r="AH25" i="17" s="1"/>
  <c r="AI29" i="17"/>
  <c r="AH29" i="17" s="1"/>
  <c r="AI33" i="17"/>
  <c r="AH33" i="17" s="1"/>
  <c r="AI37" i="17"/>
  <c r="AH37" i="17" s="1"/>
  <c r="AI41" i="17"/>
  <c r="AH41" i="17" s="1"/>
  <c r="AI45" i="17"/>
  <c r="AH45" i="17" s="1"/>
  <c r="AI49" i="17"/>
  <c r="AI53" i="17"/>
  <c r="AH53" i="17" s="1"/>
  <c r="AI57" i="17"/>
  <c r="AH57" i="17" s="1"/>
  <c r="AI61" i="17"/>
  <c r="AH61" i="17" s="1"/>
  <c r="AI65" i="17"/>
  <c r="AH65" i="17" s="1"/>
  <c r="AI69" i="17"/>
  <c r="AH69" i="17" s="1"/>
  <c r="AI73" i="17"/>
  <c r="AH73" i="17" s="1"/>
  <c r="AI77" i="17"/>
  <c r="AH77" i="17" s="1"/>
  <c r="AI81" i="17"/>
  <c r="AI85" i="17"/>
  <c r="AH85" i="17" s="1"/>
  <c r="AI89" i="17"/>
  <c r="AH89" i="17" s="1"/>
  <c r="AI93" i="17"/>
  <c r="AH93" i="17" s="1"/>
  <c r="AI97" i="17"/>
  <c r="AI101" i="17"/>
  <c r="AH101" i="17" s="1"/>
  <c r="AI105" i="17"/>
  <c r="AH105" i="17" s="1"/>
  <c r="AI109" i="17"/>
  <c r="AH109" i="17" s="1"/>
  <c r="AI113" i="17"/>
  <c r="AH113" i="17" s="1"/>
  <c r="AI117" i="17"/>
  <c r="AH117" i="17" s="1"/>
  <c r="AI121" i="17"/>
  <c r="AH121" i="17" s="1"/>
  <c r="AI125" i="17"/>
  <c r="AH125" i="17" s="1"/>
  <c r="AI129" i="17"/>
  <c r="AI133" i="17"/>
  <c r="AH133" i="17" s="1"/>
  <c r="AI137" i="17"/>
  <c r="AH137" i="17" s="1"/>
  <c r="AI141" i="17"/>
  <c r="AH141" i="17" s="1"/>
  <c r="AI145" i="17"/>
  <c r="AH145" i="17" s="1"/>
  <c r="AI149" i="17"/>
  <c r="AH149" i="17" s="1"/>
  <c r="AI153" i="17"/>
  <c r="AH153" i="17" s="1"/>
  <c r="AI157" i="17"/>
  <c r="AH157" i="17" s="1"/>
  <c r="AI161" i="17"/>
  <c r="AH161" i="17" s="1"/>
  <c r="AI165" i="17"/>
  <c r="AH165" i="17" s="1"/>
  <c r="AI169" i="17"/>
  <c r="AH169" i="17" s="1"/>
  <c r="AI173" i="17"/>
  <c r="AH173" i="17" s="1"/>
  <c r="AI379" i="17"/>
  <c r="AI12" i="18" s="1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67" i="17"/>
  <c r="AI159" i="17"/>
  <c r="AH159" i="17" s="1"/>
  <c r="AI151" i="17"/>
  <c r="AH151" i="17" s="1"/>
  <c r="AI143" i="17"/>
  <c r="AH143" i="17" s="1"/>
  <c r="AI135" i="17"/>
  <c r="AH135" i="17" s="1"/>
  <c r="AI127" i="17"/>
  <c r="AH127" i="17" s="1"/>
  <c r="AI119" i="17"/>
  <c r="AH119" i="17" s="1"/>
  <c r="AI111" i="17"/>
  <c r="AH111" i="17" s="1"/>
  <c r="AI103" i="17"/>
  <c r="AH103" i="17" s="1"/>
  <c r="AI95" i="17"/>
  <c r="AH95" i="17" s="1"/>
  <c r="AI87" i="17"/>
  <c r="AI79" i="17"/>
  <c r="AH79" i="17" s="1"/>
  <c r="AI71" i="17"/>
  <c r="AI63" i="17"/>
  <c r="AH63" i="17" s="1"/>
  <c r="AI55" i="17"/>
  <c r="AI47" i="17"/>
  <c r="AH47" i="17" s="1"/>
  <c r="AI39" i="17"/>
  <c r="AI31" i="17"/>
  <c r="AH31" i="17" s="1"/>
  <c r="AI23" i="17"/>
  <c r="AH23" i="17" s="1"/>
  <c r="AI16" i="17"/>
  <c r="AH16" i="17" s="1"/>
  <c r="U378" i="17"/>
  <c r="T378" i="17" s="1"/>
  <c r="U362" i="17"/>
  <c r="T362" i="17" s="1"/>
  <c r="U346" i="17"/>
  <c r="U330" i="17"/>
  <c r="T330" i="17" s="1"/>
  <c r="U314" i="17"/>
  <c r="T314" i="17" s="1"/>
  <c r="U298" i="17"/>
  <c r="T298" i="17" s="1"/>
  <c r="U282" i="17"/>
  <c r="U266" i="17"/>
  <c r="T266" i="17" s="1"/>
  <c r="U250" i="17"/>
  <c r="T250" i="17" s="1"/>
  <c r="U234" i="17"/>
  <c r="T234" i="17" s="1"/>
  <c r="U218" i="17"/>
  <c r="U202" i="17"/>
  <c r="T202" i="17" s="1"/>
  <c r="U186" i="17"/>
  <c r="T186" i="17" s="1"/>
  <c r="U170" i="17"/>
  <c r="T170" i="17" s="1"/>
  <c r="U154" i="17"/>
  <c r="U138" i="17"/>
  <c r="T138" i="17" s="1"/>
  <c r="U122" i="17"/>
  <c r="T122" i="17" s="1"/>
  <c r="U106" i="17"/>
  <c r="T106" i="17" s="1"/>
  <c r="U90" i="17"/>
  <c r="U74" i="17"/>
  <c r="T74" i="17" s="1"/>
  <c r="U58" i="17"/>
  <c r="T58" i="17" s="1"/>
  <c r="U42" i="17"/>
  <c r="T42" i="17" s="1"/>
  <c r="U26" i="17"/>
  <c r="Q377" i="17"/>
  <c r="Q366" i="17"/>
  <c r="Q350" i="17"/>
  <c r="Q334" i="17"/>
  <c r="Q318" i="17"/>
  <c r="Q302" i="17"/>
  <c r="Q286" i="17"/>
  <c r="Q270" i="17"/>
  <c r="Q248" i="17"/>
  <c r="Q192" i="17"/>
  <c r="Q379" i="17"/>
  <c r="Q12" i="18" s="1"/>
  <c r="Q375" i="17"/>
  <c r="Q370" i="17"/>
  <c r="Q362" i="17"/>
  <c r="Q354" i="17"/>
  <c r="Q346" i="17"/>
  <c r="Q338" i="17"/>
  <c r="Q330" i="17"/>
  <c r="Q322" i="17"/>
  <c r="Q314" i="17"/>
  <c r="Q306" i="17"/>
  <c r="Q298" i="17"/>
  <c r="Q290" i="17"/>
  <c r="Q282" i="17"/>
  <c r="Q274" i="17"/>
  <c r="Q266" i="17"/>
  <c r="Q256" i="17"/>
  <c r="Q240" i="17"/>
  <c r="Q216" i="17"/>
  <c r="Q150" i="17"/>
  <c r="Q224" i="17"/>
  <c r="Q208" i="17"/>
  <c r="Q176" i="17"/>
  <c r="Q118" i="17"/>
  <c r="Q378" i="17"/>
  <c r="Q376" i="17"/>
  <c r="Q374" i="17"/>
  <c r="Q372" i="17"/>
  <c r="Q368" i="17"/>
  <c r="Q364" i="17"/>
  <c r="Q360" i="17"/>
  <c r="Q356" i="17"/>
  <c r="Q352" i="17"/>
  <c r="Q348" i="17"/>
  <c r="Q344" i="17"/>
  <c r="Q340" i="17"/>
  <c r="Q336" i="17"/>
  <c r="Q332" i="17"/>
  <c r="Q328" i="17"/>
  <c r="Q324" i="17"/>
  <c r="Q320" i="17"/>
  <c r="Q316" i="17"/>
  <c r="Q312" i="17"/>
  <c r="Q308" i="17"/>
  <c r="Q304" i="17"/>
  <c r="Q300" i="17"/>
  <c r="Q296" i="17"/>
  <c r="Q292" i="17"/>
  <c r="Q288" i="17"/>
  <c r="Q284" i="17"/>
  <c r="Q280" i="17"/>
  <c r="Q276" i="17"/>
  <c r="Q272" i="17"/>
  <c r="Q268" i="17"/>
  <c r="Q264" i="17"/>
  <c r="Q260" i="17"/>
  <c r="Q252" i="17"/>
  <c r="Q244" i="17"/>
  <c r="Q236" i="17"/>
  <c r="Q228" i="17"/>
  <c r="Q220" i="17"/>
  <c r="Q212" i="17"/>
  <c r="Q200" i="17"/>
  <c r="Q184" i="17"/>
  <c r="Q166" i="17"/>
  <c r="Q134" i="17"/>
  <c r="Q78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4" i="17"/>
  <c r="Q196" i="17"/>
  <c r="Q188" i="17"/>
  <c r="Q180" i="17"/>
  <c r="Q172" i="17"/>
  <c r="Q158" i="17"/>
  <c r="Q142" i="17"/>
  <c r="Q126" i="17"/>
  <c r="Q104" i="17"/>
  <c r="Q46" i="17"/>
  <c r="Q206" i="17"/>
  <c r="Q202" i="17"/>
  <c r="Q198" i="17"/>
  <c r="Q194" i="17"/>
  <c r="Q190" i="17"/>
  <c r="Q186" i="17"/>
  <c r="Q182" i="17"/>
  <c r="Q178" i="17"/>
  <c r="Q174" i="17"/>
  <c r="Q170" i="17"/>
  <c r="Q162" i="17"/>
  <c r="Q154" i="17"/>
  <c r="Q146" i="17"/>
  <c r="Q138" i="17"/>
  <c r="Q130" i="17"/>
  <c r="Q122" i="17"/>
  <c r="Q112" i="17"/>
  <c r="Q94" i="17"/>
  <c r="Q62" i="17"/>
  <c r="Q30" i="17"/>
  <c r="Q168" i="17"/>
  <c r="Q164" i="17"/>
  <c r="Q160" i="17"/>
  <c r="Q156" i="17"/>
  <c r="Q152" i="17"/>
  <c r="Q148" i="17"/>
  <c r="Q144" i="17"/>
  <c r="Q140" i="17"/>
  <c r="Q136" i="17"/>
  <c r="Q132" i="17"/>
  <c r="Q128" i="17"/>
  <c r="Q124" i="17"/>
  <c r="Q120" i="17"/>
  <c r="Q116" i="17"/>
  <c r="Q108" i="17"/>
  <c r="Q100" i="17"/>
  <c r="Q86" i="17"/>
  <c r="Q70" i="17"/>
  <c r="Q54" i="17"/>
  <c r="Q38" i="17"/>
  <c r="Q22" i="17"/>
  <c r="Q114" i="17"/>
  <c r="Q110" i="17"/>
  <c r="Q106" i="17"/>
  <c r="Q102" i="17"/>
  <c r="Q98" i="17"/>
  <c r="Q90" i="17"/>
  <c r="Q82" i="17"/>
  <c r="Q74" i="17"/>
  <c r="Q66" i="17"/>
  <c r="Q58" i="17"/>
  <c r="Q50" i="17"/>
  <c r="Q42" i="17"/>
  <c r="Q34" i="17"/>
  <c r="Q26" i="17"/>
  <c r="W16" i="7"/>
  <c r="U16" i="17"/>
  <c r="T16" i="17" s="1"/>
  <c r="U17" i="17"/>
  <c r="T17" i="17" s="1"/>
  <c r="U19" i="17"/>
  <c r="T19" i="17" s="1"/>
  <c r="U21" i="17"/>
  <c r="U23" i="17"/>
  <c r="T23" i="17" s="1"/>
  <c r="U25" i="17"/>
  <c r="T25" i="17" s="1"/>
  <c r="U27" i="17"/>
  <c r="T27" i="17" s="1"/>
  <c r="U29" i="17"/>
  <c r="U31" i="17"/>
  <c r="T31" i="17" s="1"/>
  <c r="U33" i="17"/>
  <c r="T33" i="17" s="1"/>
  <c r="U35" i="17"/>
  <c r="T35" i="17" s="1"/>
  <c r="U37" i="17"/>
  <c r="U39" i="17"/>
  <c r="T39" i="17" s="1"/>
  <c r="U41" i="17"/>
  <c r="T41" i="17" s="1"/>
  <c r="U43" i="17"/>
  <c r="T43" i="17" s="1"/>
  <c r="U45" i="17"/>
  <c r="U47" i="17"/>
  <c r="T47" i="17" s="1"/>
  <c r="U49" i="17"/>
  <c r="T49" i="17" s="1"/>
  <c r="U51" i="17"/>
  <c r="T51" i="17" s="1"/>
  <c r="U53" i="17"/>
  <c r="U55" i="17"/>
  <c r="T55" i="17" s="1"/>
  <c r="U57" i="17"/>
  <c r="T57" i="17" s="1"/>
  <c r="U59" i="17"/>
  <c r="T59" i="17" s="1"/>
  <c r="U61" i="17"/>
  <c r="U63" i="17"/>
  <c r="T63" i="17" s="1"/>
  <c r="U65" i="17"/>
  <c r="T65" i="17" s="1"/>
  <c r="U67" i="17"/>
  <c r="T67" i="17" s="1"/>
  <c r="U69" i="17"/>
  <c r="U71" i="17"/>
  <c r="T71" i="17" s="1"/>
  <c r="U73" i="17"/>
  <c r="T73" i="17" s="1"/>
  <c r="U75" i="17"/>
  <c r="T75" i="17" s="1"/>
  <c r="U77" i="17"/>
  <c r="U79" i="17"/>
  <c r="T79" i="17" s="1"/>
  <c r="U81" i="17"/>
  <c r="T81" i="17" s="1"/>
  <c r="U83" i="17"/>
  <c r="T83" i="17" s="1"/>
  <c r="U85" i="17"/>
  <c r="U87" i="17"/>
  <c r="T87" i="17" s="1"/>
  <c r="U89" i="17"/>
  <c r="T89" i="17" s="1"/>
  <c r="U91" i="17"/>
  <c r="T91" i="17" s="1"/>
  <c r="U93" i="17"/>
  <c r="U95" i="17"/>
  <c r="T95" i="17" s="1"/>
  <c r="U97" i="17"/>
  <c r="T97" i="17" s="1"/>
  <c r="U99" i="17"/>
  <c r="T99" i="17" s="1"/>
  <c r="U101" i="17"/>
  <c r="U103" i="17"/>
  <c r="T103" i="17" s="1"/>
  <c r="U105" i="17"/>
  <c r="T105" i="17" s="1"/>
  <c r="U107" i="17"/>
  <c r="T107" i="17" s="1"/>
  <c r="U109" i="17"/>
  <c r="U111" i="17"/>
  <c r="T111" i="17" s="1"/>
  <c r="U113" i="17"/>
  <c r="T113" i="17" s="1"/>
  <c r="U115" i="17"/>
  <c r="T115" i="17" s="1"/>
  <c r="U117" i="17"/>
  <c r="U119" i="17"/>
  <c r="T119" i="17" s="1"/>
  <c r="U121" i="17"/>
  <c r="T121" i="17" s="1"/>
  <c r="U123" i="17"/>
  <c r="T123" i="17" s="1"/>
  <c r="U125" i="17"/>
  <c r="U127" i="17"/>
  <c r="T127" i="17" s="1"/>
  <c r="U129" i="17"/>
  <c r="T129" i="17" s="1"/>
  <c r="U131" i="17"/>
  <c r="T131" i="17" s="1"/>
  <c r="U133" i="17"/>
  <c r="U135" i="17"/>
  <c r="T135" i="17" s="1"/>
  <c r="U137" i="17"/>
  <c r="T137" i="17" s="1"/>
  <c r="U139" i="17"/>
  <c r="T139" i="17" s="1"/>
  <c r="U141" i="17"/>
  <c r="U143" i="17"/>
  <c r="T143" i="17" s="1"/>
  <c r="U145" i="17"/>
  <c r="T145" i="17" s="1"/>
  <c r="U147" i="17"/>
  <c r="T147" i="17" s="1"/>
  <c r="U149" i="17"/>
  <c r="U151" i="17"/>
  <c r="T151" i="17" s="1"/>
  <c r="U153" i="17"/>
  <c r="T153" i="17" s="1"/>
  <c r="U155" i="17"/>
  <c r="T155" i="17" s="1"/>
  <c r="U157" i="17"/>
  <c r="U159" i="17"/>
  <c r="T159" i="17" s="1"/>
  <c r="U161" i="17"/>
  <c r="T161" i="17" s="1"/>
  <c r="U163" i="17"/>
  <c r="T163" i="17" s="1"/>
  <c r="U165" i="17"/>
  <c r="U167" i="17"/>
  <c r="T167" i="17" s="1"/>
  <c r="U169" i="17"/>
  <c r="T169" i="17" s="1"/>
  <c r="U171" i="17"/>
  <c r="T171" i="17" s="1"/>
  <c r="U173" i="17"/>
  <c r="U175" i="17"/>
  <c r="T175" i="17" s="1"/>
  <c r="U177" i="17"/>
  <c r="T177" i="17" s="1"/>
  <c r="U179" i="17"/>
  <c r="T179" i="17" s="1"/>
  <c r="U181" i="17"/>
  <c r="U183" i="17"/>
  <c r="T183" i="17" s="1"/>
  <c r="U185" i="17"/>
  <c r="T185" i="17" s="1"/>
  <c r="U187" i="17"/>
  <c r="T187" i="17" s="1"/>
  <c r="U189" i="17"/>
  <c r="U191" i="17"/>
  <c r="T191" i="17" s="1"/>
  <c r="U193" i="17"/>
  <c r="T193" i="17" s="1"/>
  <c r="U195" i="17"/>
  <c r="T195" i="17" s="1"/>
  <c r="U197" i="17"/>
  <c r="U199" i="17"/>
  <c r="T199" i="17" s="1"/>
  <c r="U201" i="17"/>
  <c r="T201" i="17" s="1"/>
  <c r="U203" i="17"/>
  <c r="T203" i="17" s="1"/>
  <c r="U205" i="17"/>
  <c r="U207" i="17"/>
  <c r="T207" i="17" s="1"/>
  <c r="U209" i="17"/>
  <c r="T209" i="17" s="1"/>
  <c r="U211" i="17"/>
  <c r="T211" i="17" s="1"/>
  <c r="U213" i="17"/>
  <c r="U215" i="17"/>
  <c r="T215" i="17" s="1"/>
  <c r="U217" i="17"/>
  <c r="T217" i="17" s="1"/>
  <c r="U219" i="17"/>
  <c r="T219" i="17" s="1"/>
  <c r="U221" i="17"/>
  <c r="U223" i="17"/>
  <c r="T223" i="17" s="1"/>
  <c r="U225" i="17"/>
  <c r="T225" i="17" s="1"/>
  <c r="U227" i="17"/>
  <c r="T227" i="17" s="1"/>
  <c r="U229" i="17"/>
  <c r="U231" i="17"/>
  <c r="T231" i="17" s="1"/>
  <c r="U233" i="17"/>
  <c r="T233" i="17" s="1"/>
  <c r="U235" i="17"/>
  <c r="T235" i="17" s="1"/>
  <c r="U237" i="17"/>
  <c r="U239" i="17"/>
  <c r="T239" i="17" s="1"/>
  <c r="U241" i="17"/>
  <c r="T241" i="17" s="1"/>
  <c r="U243" i="17"/>
  <c r="T243" i="17" s="1"/>
  <c r="U245" i="17"/>
  <c r="U247" i="17"/>
  <c r="T247" i="17" s="1"/>
  <c r="U249" i="17"/>
  <c r="T249" i="17" s="1"/>
  <c r="U251" i="17"/>
  <c r="T251" i="17" s="1"/>
  <c r="U253" i="17"/>
  <c r="U255" i="17"/>
  <c r="T255" i="17" s="1"/>
  <c r="U257" i="17"/>
  <c r="T257" i="17" s="1"/>
  <c r="U259" i="17"/>
  <c r="T259" i="17" s="1"/>
  <c r="U261" i="17"/>
  <c r="U263" i="17"/>
  <c r="T263" i="17" s="1"/>
  <c r="U265" i="17"/>
  <c r="T265" i="17" s="1"/>
  <c r="U267" i="17"/>
  <c r="T267" i="17" s="1"/>
  <c r="U269" i="17"/>
  <c r="U271" i="17"/>
  <c r="T271" i="17" s="1"/>
  <c r="U273" i="17"/>
  <c r="T273" i="17" s="1"/>
  <c r="U275" i="17"/>
  <c r="T275" i="17" s="1"/>
  <c r="U277" i="17"/>
  <c r="U279" i="17"/>
  <c r="T279" i="17" s="1"/>
  <c r="U281" i="17"/>
  <c r="T281" i="17" s="1"/>
  <c r="U283" i="17"/>
  <c r="T283" i="17" s="1"/>
  <c r="U285" i="17"/>
  <c r="U287" i="17"/>
  <c r="T287" i="17" s="1"/>
  <c r="U289" i="17"/>
  <c r="T289" i="17" s="1"/>
  <c r="U291" i="17"/>
  <c r="T291" i="17" s="1"/>
  <c r="U293" i="17"/>
  <c r="U295" i="17"/>
  <c r="T295" i="17" s="1"/>
  <c r="U297" i="17"/>
  <c r="T297" i="17" s="1"/>
  <c r="U299" i="17"/>
  <c r="T299" i="17" s="1"/>
  <c r="U301" i="17"/>
  <c r="U303" i="17"/>
  <c r="T303" i="17" s="1"/>
  <c r="U305" i="17"/>
  <c r="T305" i="17" s="1"/>
  <c r="U307" i="17"/>
  <c r="T307" i="17" s="1"/>
  <c r="U309" i="17"/>
  <c r="U311" i="17"/>
  <c r="T311" i="17" s="1"/>
  <c r="U313" i="17"/>
  <c r="T313" i="17" s="1"/>
  <c r="U315" i="17"/>
  <c r="T315" i="17" s="1"/>
  <c r="U317" i="17"/>
  <c r="U319" i="17"/>
  <c r="T319" i="17" s="1"/>
  <c r="U321" i="17"/>
  <c r="T321" i="17" s="1"/>
  <c r="U323" i="17"/>
  <c r="T323" i="17" s="1"/>
  <c r="U325" i="17"/>
  <c r="U327" i="17"/>
  <c r="T327" i="17" s="1"/>
  <c r="U329" i="17"/>
  <c r="T329" i="17" s="1"/>
  <c r="U331" i="17"/>
  <c r="T331" i="17" s="1"/>
  <c r="U333" i="17"/>
  <c r="U335" i="17"/>
  <c r="T335" i="17" s="1"/>
  <c r="U337" i="17"/>
  <c r="T337" i="17" s="1"/>
  <c r="U339" i="17"/>
  <c r="T339" i="17" s="1"/>
  <c r="U341" i="17"/>
  <c r="U343" i="17"/>
  <c r="T343" i="17" s="1"/>
  <c r="U345" i="17"/>
  <c r="T345" i="17" s="1"/>
  <c r="U347" i="17"/>
  <c r="T347" i="17" s="1"/>
  <c r="U349" i="17"/>
  <c r="U351" i="17"/>
  <c r="T351" i="17" s="1"/>
  <c r="U353" i="17"/>
  <c r="T353" i="17" s="1"/>
  <c r="U355" i="17"/>
  <c r="T355" i="17" s="1"/>
  <c r="U357" i="17"/>
  <c r="U359" i="17"/>
  <c r="T359" i="17" s="1"/>
  <c r="U361" i="17"/>
  <c r="T361" i="17" s="1"/>
  <c r="U363" i="17"/>
  <c r="T363" i="17" s="1"/>
  <c r="U365" i="17"/>
  <c r="U367" i="17"/>
  <c r="T367" i="17" s="1"/>
  <c r="U369" i="17"/>
  <c r="T369" i="17" s="1"/>
  <c r="U371" i="17"/>
  <c r="T371" i="17" s="1"/>
  <c r="U373" i="17"/>
  <c r="U375" i="17"/>
  <c r="T375" i="17" s="1"/>
  <c r="U377" i="17"/>
  <c r="T377" i="17" s="1"/>
  <c r="U379" i="17"/>
  <c r="U12" i="18" s="1"/>
  <c r="AI378" i="17"/>
  <c r="AH378" i="17" s="1"/>
  <c r="AI376" i="17"/>
  <c r="AH376" i="17" s="1"/>
  <c r="AI374" i="17"/>
  <c r="AH374" i="17" s="1"/>
  <c r="AI372" i="17"/>
  <c r="AH372" i="17" s="1"/>
  <c r="AI370" i="17"/>
  <c r="AH370" i="17" s="1"/>
  <c r="AI368" i="17"/>
  <c r="AH368" i="17" s="1"/>
  <c r="AI366" i="17"/>
  <c r="AI364" i="17"/>
  <c r="AH364" i="17" s="1"/>
  <c r="AI362" i="17"/>
  <c r="AH362" i="17" s="1"/>
  <c r="AI360" i="17"/>
  <c r="AH360" i="17" s="1"/>
  <c r="AI358" i="17"/>
  <c r="AH358" i="17" s="1"/>
  <c r="AI356" i="17"/>
  <c r="AH356" i="17" s="1"/>
  <c r="AI354" i="17"/>
  <c r="AH354" i="17" s="1"/>
  <c r="AI352" i="17"/>
  <c r="AH352" i="17" s="1"/>
  <c r="AI350" i="17"/>
  <c r="AI348" i="17"/>
  <c r="AH348" i="17" s="1"/>
  <c r="AI346" i="17"/>
  <c r="AH346" i="17" s="1"/>
  <c r="AI344" i="17"/>
  <c r="AH344" i="17" s="1"/>
  <c r="AI342" i="17"/>
  <c r="AH342" i="17" s="1"/>
  <c r="AI340" i="17"/>
  <c r="AH340" i="17" s="1"/>
  <c r="AI338" i="17"/>
  <c r="AH338" i="17" s="1"/>
  <c r="AI336" i="17"/>
  <c r="AH336" i="17" s="1"/>
  <c r="AI334" i="17"/>
  <c r="AI332" i="17"/>
  <c r="AH332" i="17" s="1"/>
  <c r="AI330" i="17"/>
  <c r="AH330" i="17" s="1"/>
  <c r="AI328" i="17"/>
  <c r="AH328" i="17" s="1"/>
  <c r="AI326" i="17"/>
  <c r="AH326" i="17" s="1"/>
  <c r="AI324" i="17"/>
  <c r="AH324" i="17" s="1"/>
  <c r="AI322" i="17"/>
  <c r="AH322" i="17" s="1"/>
  <c r="AI320" i="17"/>
  <c r="AH320" i="17" s="1"/>
  <c r="AI318" i="17"/>
  <c r="AI316" i="17"/>
  <c r="AH316" i="17" s="1"/>
  <c r="AI314" i="17"/>
  <c r="AH314" i="17" s="1"/>
  <c r="AI312" i="17"/>
  <c r="AH312" i="17" s="1"/>
  <c r="AI310" i="17"/>
  <c r="AH310" i="17" s="1"/>
  <c r="AI308" i="17"/>
  <c r="AH308" i="17" s="1"/>
  <c r="AI306" i="17"/>
  <c r="AH306" i="17" s="1"/>
  <c r="AI304" i="17"/>
  <c r="AH304" i="17" s="1"/>
  <c r="AI302" i="17"/>
  <c r="AI300" i="17"/>
  <c r="AH300" i="17" s="1"/>
  <c r="AI298" i="17"/>
  <c r="AH298" i="17" s="1"/>
  <c r="AI296" i="17"/>
  <c r="AH296" i="17" s="1"/>
  <c r="AI294" i="17"/>
  <c r="AH294" i="17" s="1"/>
  <c r="AI292" i="17"/>
  <c r="AH292" i="17" s="1"/>
  <c r="AI290" i="17"/>
  <c r="AH290" i="17" s="1"/>
  <c r="AI288" i="17"/>
  <c r="AH288" i="17" s="1"/>
  <c r="AI286" i="17"/>
  <c r="AI284" i="17"/>
  <c r="AH284" i="17" s="1"/>
  <c r="AI282" i="17"/>
  <c r="AH282" i="17" s="1"/>
  <c r="AI280" i="17"/>
  <c r="AH280" i="17" s="1"/>
  <c r="AI278" i="17"/>
  <c r="AH278" i="17" s="1"/>
  <c r="AI276" i="17"/>
  <c r="AH276" i="17" s="1"/>
  <c r="AI274" i="17"/>
  <c r="AH274" i="17" s="1"/>
  <c r="AI272" i="17"/>
  <c r="AH272" i="17" s="1"/>
  <c r="AI270" i="17"/>
  <c r="AI268" i="17"/>
  <c r="AH268" i="17" s="1"/>
  <c r="AI266" i="17"/>
  <c r="AH266" i="17" s="1"/>
  <c r="AI264" i="17"/>
  <c r="AH264" i="17" s="1"/>
  <c r="AI262" i="17"/>
  <c r="AH262" i="17" s="1"/>
  <c r="AI260" i="17"/>
  <c r="AH260" i="17" s="1"/>
  <c r="AI258" i="17"/>
  <c r="AH258" i="17" s="1"/>
  <c r="AI256" i="17"/>
  <c r="AH256" i="17" s="1"/>
  <c r="AI254" i="17"/>
  <c r="AI252" i="17"/>
  <c r="AH252" i="17" s="1"/>
  <c r="AI250" i="17"/>
  <c r="AH250" i="17" s="1"/>
  <c r="AI248" i="17"/>
  <c r="AH248" i="17" s="1"/>
  <c r="AI246" i="17"/>
  <c r="AH246" i="17" s="1"/>
  <c r="AI244" i="17"/>
  <c r="AH244" i="17" s="1"/>
  <c r="AI242" i="17"/>
  <c r="AH242" i="17" s="1"/>
  <c r="AI240" i="17"/>
  <c r="AH240" i="17" s="1"/>
  <c r="AI238" i="17"/>
  <c r="AI236" i="17"/>
  <c r="AH236" i="17" s="1"/>
  <c r="AI234" i="17"/>
  <c r="AH234" i="17" s="1"/>
  <c r="AI232" i="17"/>
  <c r="AH232" i="17" s="1"/>
  <c r="AI230" i="17"/>
  <c r="AH230" i="17" s="1"/>
  <c r="AI228" i="17"/>
  <c r="AH228" i="17" s="1"/>
  <c r="AI226" i="17"/>
  <c r="AH226" i="17" s="1"/>
  <c r="AI224" i="17"/>
  <c r="AH224" i="17" s="1"/>
  <c r="AI222" i="17"/>
  <c r="AI220" i="17"/>
  <c r="AH220" i="17" s="1"/>
  <c r="AI218" i="17"/>
  <c r="AH218" i="17" s="1"/>
  <c r="AI216" i="17"/>
  <c r="AH216" i="17" s="1"/>
  <c r="AI214" i="17"/>
  <c r="AH214" i="17" s="1"/>
  <c r="AI212" i="17"/>
  <c r="AH212" i="17" s="1"/>
  <c r="AI210" i="17"/>
  <c r="AH210" i="17" s="1"/>
  <c r="AI208" i="17"/>
  <c r="AH208" i="17" s="1"/>
  <c r="AI206" i="17"/>
  <c r="AI204" i="17"/>
  <c r="AH204" i="17" s="1"/>
  <c r="AI202" i="17"/>
  <c r="AH202" i="17" s="1"/>
  <c r="AI200" i="17"/>
  <c r="AH200" i="17" s="1"/>
  <c r="AI198" i="17"/>
  <c r="AH198" i="17" s="1"/>
  <c r="AI196" i="17"/>
  <c r="AH196" i="17" s="1"/>
  <c r="AI194" i="17"/>
  <c r="AH194" i="17" s="1"/>
  <c r="AI192" i="17"/>
  <c r="AH192" i="17" s="1"/>
  <c r="AI190" i="17"/>
  <c r="AI188" i="17"/>
  <c r="AH188" i="17" s="1"/>
  <c r="AI186" i="17"/>
  <c r="AH186" i="17" s="1"/>
  <c r="AI184" i="17"/>
  <c r="AH184" i="17" s="1"/>
  <c r="AI182" i="17"/>
  <c r="AH182" i="17" s="1"/>
  <c r="AI180" i="17"/>
  <c r="AH180" i="17" s="1"/>
  <c r="AI178" i="17"/>
  <c r="AH178" i="17" s="1"/>
  <c r="AI176" i="17"/>
  <c r="AH176" i="17" s="1"/>
  <c r="AI174" i="17"/>
  <c r="AI172" i="17"/>
  <c r="AH172" i="17" s="1"/>
  <c r="AI170" i="17"/>
  <c r="AH170" i="17" s="1"/>
  <c r="AI168" i="17"/>
  <c r="AH168" i="17" s="1"/>
  <c r="AI166" i="17"/>
  <c r="AH166" i="17" s="1"/>
  <c r="AI164" i="17"/>
  <c r="AH164" i="17" s="1"/>
  <c r="AI162" i="17"/>
  <c r="AH162" i="17" s="1"/>
  <c r="AI160" i="17"/>
  <c r="AH160" i="17" s="1"/>
  <c r="AI158" i="17"/>
  <c r="AI156" i="17"/>
  <c r="AH156" i="17" s="1"/>
  <c r="AI154" i="17"/>
  <c r="AH154" i="17" s="1"/>
  <c r="AI152" i="17"/>
  <c r="AH152" i="17" s="1"/>
  <c r="AI150" i="17"/>
  <c r="AH150" i="17" s="1"/>
  <c r="AI148" i="17"/>
  <c r="AH148" i="17" s="1"/>
  <c r="AI146" i="17"/>
  <c r="AH146" i="17" s="1"/>
  <c r="AI144" i="17"/>
  <c r="AH144" i="17" s="1"/>
  <c r="AI142" i="17"/>
  <c r="AI140" i="17"/>
  <c r="AH140" i="17" s="1"/>
  <c r="AI138" i="17"/>
  <c r="AH138" i="17" s="1"/>
  <c r="AI136" i="17"/>
  <c r="AH136" i="17" s="1"/>
  <c r="AI134" i="17"/>
  <c r="AH134" i="17" s="1"/>
  <c r="AI132" i="17"/>
  <c r="AH132" i="17" s="1"/>
  <c r="AI130" i="17"/>
  <c r="AH130" i="17" s="1"/>
  <c r="AI128" i="17"/>
  <c r="AH128" i="17" s="1"/>
  <c r="AI126" i="17"/>
  <c r="AI124" i="17"/>
  <c r="AH124" i="17" s="1"/>
  <c r="AI122" i="17"/>
  <c r="AH122" i="17" s="1"/>
  <c r="AI120" i="17"/>
  <c r="AH120" i="17" s="1"/>
  <c r="AI118" i="17"/>
  <c r="AH118" i="17" s="1"/>
  <c r="AI116" i="17"/>
  <c r="AH116" i="17" s="1"/>
  <c r="AI114" i="17"/>
  <c r="AH114" i="17" s="1"/>
  <c r="AI112" i="17"/>
  <c r="AH112" i="17" s="1"/>
  <c r="AI110" i="17"/>
  <c r="AI108" i="17"/>
  <c r="AH108" i="17" s="1"/>
  <c r="AI106" i="17"/>
  <c r="AH106" i="17" s="1"/>
  <c r="AI104" i="17"/>
  <c r="AH104" i="17" s="1"/>
  <c r="AI102" i="17"/>
  <c r="AH102" i="17" s="1"/>
  <c r="AI100" i="17"/>
  <c r="AH100" i="17" s="1"/>
  <c r="AI98" i="17"/>
  <c r="AH98" i="17" s="1"/>
  <c r="AI96" i="17"/>
  <c r="AH96" i="17" s="1"/>
  <c r="AI94" i="17"/>
  <c r="AI92" i="17"/>
  <c r="AH92" i="17" s="1"/>
  <c r="AI90" i="17"/>
  <c r="AH90" i="17" s="1"/>
  <c r="AI88" i="17"/>
  <c r="AH88" i="17" s="1"/>
  <c r="AI86" i="17"/>
  <c r="AH86" i="17" s="1"/>
  <c r="AI84" i="17"/>
  <c r="AH84" i="17" s="1"/>
  <c r="AI82" i="17"/>
  <c r="AH82" i="17" s="1"/>
  <c r="AI80" i="17"/>
  <c r="AH80" i="17" s="1"/>
  <c r="AI78" i="17"/>
  <c r="AI76" i="17"/>
  <c r="AH76" i="17" s="1"/>
  <c r="AI74" i="17"/>
  <c r="AH74" i="17" s="1"/>
  <c r="AI72" i="17"/>
  <c r="AH72" i="17" s="1"/>
  <c r="AI70" i="17"/>
  <c r="AH70" i="17" s="1"/>
  <c r="AI68" i="17"/>
  <c r="AH68" i="17" s="1"/>
  <c r="AI66" i="17"/>
  <c r="AH66" i="17" s="1"/>
  <c r="AI64" i="17"/>
  <c r="AH64" i="17" s="1"/>
  <c r="AI62" i="17"/>
  <c r="AI60" i="17"/>
  <c r="AH60" i="17" s="1"/>
  <c r="AI58" i="17"/>
  <c r="AH58" i="17" s="1"/>
  <c r="AI56" i="17"/>
  <c r="AH56" i="17" s="1"/>
  <c r="AI54" i="17"/>
  <c r="AH54" i="17" s="1"/>
  <c r="AI52" i="17"/>
  <c r="AH52" i="17" s="1"/>
  <c r="AI50" i="17"/>
  <c r="AH50" i="17" s="1"/>
  <c r="AI48" i="17"/>
  <c r="AH48" i="17" s="1"/>
  <c r="AI46" i="17"/>
  <c r="AI44" i="17"/>
  <c r="AH44" i="17" s="1"/>
  <c r="AI42" i="17"/>
  <c r="AH42" i="17" s="1"/>
  <c r="AI40" i="17"/>
  <c r="AH40" i="17" s="1"/>
  <c r="AI38" i="17"/>
  <c r="AH38" i="17" s="1"/>
  <c r="AI36" i="17"/>
  <c r="AH36" i="17" s="1"/>
  <c r="AI34" i="17"/>
  <c r="AH34" i="17" s="1"/>
  <c r="AI32" i="17"/>
  <c r="AH32" i="17" s="1"/>
  <c r="AI30" i="17"/>
  <c r="AI28" i="17"/>
  <c r="AH28" i="17" s="1"/>
  <c r="AI26" i="17"/>
  <c r="AH26" i="17" s="1"/>
  <c r="AI24" i="17"/>
  <c r="AH24" i="17" s="1"/>
  <c r="AI22" i="17"/>
  <c r="AH22" i="17" s="1"/>
  <c r="AI20" i="17"/>
  <c r="AH20" i="17" s="1"/>
  <c r="AI18" i="17"/>
  <c r="AH18" i="17" s="1"/>
  <c r="AI15" i="17"/>
  <c r="Q16" i="17"/>
  <c r="Q15" i="17"/>
  <c r="Q20" i="17"/>
  <c r="Q24" i="17"/>
  <c r="Q28" i="17"/>
  <c r="Q32" i="17"/>
  <c r="Q36" i="17"/>
  <c r="Q40" i="17"/>
  <c r="Q44" i="17"/>
  <c r="Q48" i="17"/>
  <c r="Q52" i="17"/>
  <c r="Q56" i="17"/>
  <c r="Q60" i="17"/>
  <c r="Q64" i="17"/>
  <c r="Q68" i="17"/>
  <c r="Q72" i="17"/>
  <c r="Q76" i="17"/>
  <c r="Q80" i="17"/>
  <c r="Q84" i="17"/>
  <c r="Q88" i="17"/>
  <c r="Q92" i="17"/>
  <c r="Q96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U376" i="17"/>
  <c r="T376" i="17" s="1"/>
  <c r="U372" i="17"/>
  <c r="U368" i="17"/>
  <c r="T368" i="17" s="1"/>
  <c r="U364" i="17"/>
  <c r="T364" i="17" s="1"/>
  <c r="U360" i="17"/>
  <c r="T360" i="17" s="1"/>
  <c r="U356" i="17"/>
  <c r="U352" i="17"/>
  <c r="T352" i="17" s="1"/>
  <c r="U348" i="17"/>
  <c r="T348" i="17" s="1"/>
  <c r="U344" i="17"/>
  <c r="T344" i="17" s="1"/>
  <c r="U340" i="17"/>
  <c r="T340" i="17" s="1"/>
  <c r="U336" i="17"/>
  <c r="T336" i="17" s="1"/>
  <c r="U332" i="17"/>
  <c r="U328" i="17"/>
  <c r="T328" i="17" s="1"/>
  <c r="U324" i="17"/>
  <c r="T324" i="17" s="1"/>
  <c r="U320" i="17"/>
  <c r="T320" i="17" s="1"/>
  <c r="U316" i="17"/>
  <c r="U312" i="17"/>
  <c r="T312" i="17" s="1"/>
  <c r="U308" i="17"/>
  <c r="U304" i="17"/>
  <c r="T304" i="17" s="1"/>
  <c r="U300" i="17"/>
  <c r="T300" i="17" s="1"/>
  <c r="U296" i="17"/>
  <c r="T296" i="17" s="1"/>
  <c r="U292" i="17"/>
  <c r="U288" i="17"/>
  <c r="T288" i="17" s="1"/>
  <c r="U284" i="17"/>
  <c r="T284" i="17" s="1"/>
  <c r="U280" i="17"/>
  <c r="T280" i="17" s="1"/>
  <c r="U276" i="17"/>
  <c r="T276" i="17" s="1"/>
  <c r="U272" i="17"/>
  <c r="T272" i="17" s="1"/>
  <c r="U268" i="17"/>
  <c r="U264" i="17"/>
  <c r="T264" i="17" s="1"/>
  <c r="U260" i="17"/>
  <c r="T260" i="17" s="1"/>
  <c r="U256" i="17"/>
  <c r="T256" i="17" s="1"/>
  <c r="U252" i="17"/>
  <c r="U248" i="17"/>
  <c r="T248" i="17" s="1"/>
  <c r="U244" i="17"/>
  <c r="U240" i="17"/>
  <c r="T240" i="17" s="1"/>
  <c r="U236" i="17"/>
  <c r="T236" i="17" s="1"/>
  <c r="U232" i="17"/>
  <c r="T232" i="17" s="1"/>
  <c r="U228" i="17"/>
  <c r="U224" i="17"/>
  <c r="T224" i="17" s="1"/>
  <c r="U220" i="17"/>
  <c r="T220" i="17" s="1"/>
  <c r="U216" i="17"/>
  <c r="T216" i="17" s="1"/>
  <c r="U212" i="17"/>
  <c r="T212" i="17" s="1"/>
  <c r="U208" i="17"/>
  <c r="T208" i="17" s="1"/>
  <c r="U204" i="17"/>
  <c r="U200" i="17"/>
  <c r="T200" i="17" s="1"/>
  <c r="U196" i="17"/>
  <c r="T196" i="17" s="1"/>
  <c r="U192" i="17"/>
  <c r="T192" i="17" s="1"/>
  <c r="U188" i="17"/>
  <c r="U184" i="17"/>
  <c r="T184" i="17" s="1"/>
  <c r="U180" i="17"/>
  <c r="U176" i="17"/>
  <c r="T176" i="17" s="1"/>
  <c r="U172" i="17"/>
  <c r="T172" i="17" s="1"/>
  <c r="U168" i="17"/>
  <c r="T168" i="17" s="1"/>
  <c r="U164" i="17"/>
  <c r="U160" i="17"/>
  <c r="T160" i="17" s="1"/>
  <c r="U156" i="17"/>
  <c r="T156" i="17" s="1"/>
  <c r="U152" i="17"/>
  <c r="T152" i="17" s="1"/>
  <c r="U148" i="17"/>
  <c r="T148" i="17" s="1"/>
  <c r="U144" i="17"/>
  <c r="T144" i="17" s="1"/>
  <c r="U140" i="17"/>
  <c r="U136" i="17"/>
  <c r="T136" i="17" s="1"/>
  <c r="U132" i="17"/>
  <c r="T132" i="17" s="1"/>
  <c r="U128" i="17"/>
  <c r="T128" i="17" s="1"/>
  <c r="U124" i="17"/>
  <c r="U120" i="17"/>
  <c r="T120" i="17" s="1"/>
  <c r="U116" i="17"/>
  <c r="U112" i="17"/>
  <c r="T112" i="17" s="1"/>
  <c r="U108" i="17"/>
  <c r="T108" i="17" s="1"/>
  <c r="U104" i="17"/>
  <c r="T104" i="17" s="1"/>
  <c r="U100" i="17"/>
  <c r="U96" i="17"/>
  <c r="T96" i="17" s="1"/>
  <c r="U92" i="17"/>
  <c r="T92" i="17" s="1"/>
  <c r="U88" i="17"/>
  <c r="T88" i="17" s="1"/>
  <c r="U84" i="17"/>
  <c r="T84" i="17" s="1"/>
  <c r="U80" i="17"/>
  <c r="T80" i="17" s="1"/>
  <c r="U76" i="17"/>
  <c r="U72" i="17"/>
  <c r="T72" i="17" s="1"/>
  <c r="U68" i="17"/>
  <c r="T68" i="17" s="1"/>
  <c r="U64" i="17"/>
  <c r="T64" i="17" s="1"/>
  <c r="U60" i="17"/>
  <c r="U56" i="17"/>
  <c r="T56" i="17" s="1"/>
  <c r="U52" i="17"/>
  <c r="U48" i="17"/>
  <c r="T48" i="17" s="1"/>
  <c r="U44" i="17"/>
  <c r="T44" i="17" s="1"/>
  <c r="U40" i="17"/>
  <c r="T40" i="17" s="1"/>
  <c r="U36" i="17"/>
  <c r="U32" i="17"/>
  <c r="T32" i="17" s="1"/>
  <c r="U28" i="17"/>
  <c r="T28" i="17" s="1"/>
  <c r="U24" i="17"/>
  <c r="T24" i="17" s="1"/>
  <c r="U20" i="17"/>
  <c r="T20" i="17" s="1"/>
  <c r="U15" i="17"/>
  <c r="Q97" i="17"/>
  <c r="Q95" i="17"/>
  <c r="Q93" i="17"/>
  <c r="Q91" i="17"/>
  <c r="Q89" i="17"/>
  <c r="Q87" i="17"/>
  <c r="Q85" i="17"/>
  <c r="Q83" i="17"/>
  <c r="Q81" i="17"/>
  <c r="Q79" i="17"/>
  <c r="Q77" i="17"/>
  <c r="Q75" i="17"/>
  <c r="Q73" i="17"/>
  <c r="Q71" i="17"/>
  <c r="Q69" i="17"/>
  <c r="Q67" i="17"/>
  <c r="Q65" i="17"/>
  <c r="Q63" i="17"/>
  <c r="Q61" i="17"/>
  <c r="Q59" i="17"/>
  <c r="Q57" i="17"/>
  <c r="Q55" i="17"/>
  <c r="Q53" i="17"/>
  <c r="Q51" i="17"/>
  <c r="Q49" i="17"/>
  <c r="Q47" i="17"/>
  <c r="Q45" i="17"/>
  <c r="Q43" i="17"/>
  <c r="Q41" i="17"/>
  <c r="Q39" i="17"/>
  <c r="Q37" i="17"/>
  <c r="Q35" i="17"/>
  <c r="Q33" i="17"/>
  <c r="Q31" i="17"/>
  <c r="Q29" i="17"/>
  <c r="Q27" i="17"/>
  <c r="Q25" i="17"/>
  <c r="Q23" i="17"/>
  <c r="Q21" i="17"/>
  <c r="Q19" i="17"/>
  <c r="Q17" i="17"/>
  <c r="AJ4" i="1"/>
  <c r="P11" i="19" s="1"/>
  <c r="M12" i="19" s="1"/>
  <c r="AL13" i="1"/>
  <c r="R379" i="16"/>
  <c r="AJ3" i="16"/>
  <c r="O13" i="19" s="1"/>
  <c r="AK3" i="16"/>
  <c r="Q13" i="19" s="1"/>
  <c r="AH379" i="17"/>
  <c r="AH377" i="17"/>
  <c r="AH369" i="17"/>
  <c r="AH365" i="17"/>
  <c r="AH357" i="17"/>
  <c r="AH351" i="17"/>
  <c r="AH349" i="17"/>
  <c r="AH345" i="17"/>
  <c r="AH333" i="17"/>
  <c r="AH321" i="17"/>
  <c r="AH317" i="17"/>
  <c r="AH305" i="17"/>
  <c r="AH293" i="17"/>
  <c r="AH285" i="17"/>
  <c r="AH269" i="17"/>
  <c r="AH257" i="17"/>
  <c r="AH255" i="17"/>
  <c r="AH253" i="17"/>
  <c r="AH249" i="17"/>
  <c r="AH241" i="17"/>
  <c r="AH237" i="17"/>
  <c r="AH229" i="17"/>
  <c r="AH223" i="17"/>
  <c r="AH221" i="17"/>
  <c r="AH217" i="17"/>
  <c r="AH205" i="17"/>
  <c r="AH193" i="17"/>
  <c r="AH189" i="17"/>
  <c r="AH177" i="17"/>
  <c r="AH167" i="17"/>
  <c r="AH155" i="17"/>
  <c r="AH147" i="17"/>
  <c r="AH139" i="17"/>
  <c r="AH129" i="17"/>
  <c r="AH115" i="17"/>
  <c r="AH107" i="17"/>
  <c r="AH97" i="17"/>
  <c r="AH87" i="17"/>
  <c r="AH81" i="17"/>
  <c r="AH75" i="17"/>
  <c r="AH71" i="17"/>
  <c r="AH55" i="17"/>
  <c r="AH49" i="17"/>
  <c r="AH43" i="17"/>
  <c r="AH39" i="17"/>
  <c r="AH27" i="17"/>
  <c r="AH19" i="17"/>
  <c r="B7" i="6"/>
  <c r="K7" i="7"/>
  <c r="J381" i="15"/>
  <c r="J383" i="15"/>
  <c r="J382" i="15"/>
  <c r="AK4" i="1"/>
  <c r="R11" i="19" s="1"/>
  <c r="N12" i="19" s="1"/>
  <c r="AM13" i="1"/>
  <c r="J11" i="19"/>
  <c r="AA11" i="1"/>
  <c r="AA5" i="1" s="1"/>
  <c r="I11" i="19" s="1"/>
  <c r="I35" i="19" s="1"/>
  <c r="W15" i="7"/>
  <c r="AE16" i="17"/>
  <c r="AE17" i="17"/>
  <c r="AE19" i="17"/>
  <c r="AE21" i="17"/>
  <c r="AE23" i="17"/>
  <c r="AE25" i="17"/>
  <c r="AE27" i="17"/>
  <c r="AE29" i="17"/>
  <c r="AE31" i="17"/>
  <c r="AE33" i="17"/>
  <c r="AE35" i="17"/>
  <c r="AE37" i="17"/>
  <c r="AE39" i="17"/>
  <c r="AE41" i="17"/>
  <c r="AE43" i="17"/>
  <c r="AE45" i="17"/>
  <c r="AE47" i="17"/>
  <c r="AE49" i="17"/>
  <c r="AE51" i="17"/>
  <c r="AE53" i="17"/>
  <c r="AE55" i="17"/>
  <c r="AE57" i="17"/>
  <c r="AE59" i="17"/>
  <c r="AE61" i="17"/>
  <c r="AE63" i="17"/>
  <c r="AE65" i="17"/>
  <c r="AE67" i="17"/>
  <c r="AE69" i="17"/>
  <c r="AE71" i="17"/>
  <c r="AE73" i="17"/>
  <c r="AE75" i="17"/>
  <c r="AE77" i="17"/>
  <c r="AE79" i="17"/>
  <c r="AE81" i="17"/>
  <c r="AE83" i="17"/>
  <c r="AE85" i="17"/>
  <c r="AE87" i="17"/>
  <c r="AE89" i="17"/>
  <c r="AE91" i="17"/>
  <c r="AE93" i="17"/>
  <c r="AE95" i="17"/>
  <c r="AE97" i="17"/>
  <c r="AE99" i="17"/>
  <c r="AE101" i="17"/>
  <c r="AE103" i="17"/>
  <c r="AE105" i="17"/>
  <c r="AE107" i="17"/>
  <c r="AE109" i="17"/>
  <c r="AE111" i="17"/>
  <c r="AE113" i="17"/>
  <c r="AE115" i="17"/>
  <c r="AE117" i="17"/>
  <c r="AE119" i="17"/>
  <c r="AE121" i="17"/>
  <c r="AE123" i="17"/>
  <c r="AE125" i="17"/>
  <c r="AE127" i="17"/>
  <c r="AE129" i="17"/>
  <c r="AE131" i="17"/>
  <c r="AE133" i="17"/>
  <c r="AE135" i="17"/>
  <c r="AE137" i="17"/>
  <c r="AE139" i="17"/>
  <c r="AE141" i="17"/>
  <c r="AE143" i="17"/>
  <c r="AE145" i="17"/>
  <c r="AE147" i="17"/>
  <c r="AE149" i="17"/>
  <c r="AE151" i="17"/>
  <c r="AE153" i="17"/>
  <c r="AE155" i="17"/>
  <c r="AE157" i="17"/>
  <c r="AE159" i="17"/>
  <c r="AE161" i="17"/>
  <c r="AE163" i="17"/>
  <c r="AE165" i="17"/>
  <c r="AE167" i="17"/>
  <c r="AE169" i="17"/>
  <c r="AE171" i="17"/>
  <c r="AE173" i="17"/>
  <c r="AE175" i="17"/>
  <c r="AE177" i="17"/>
  <c r="AE179" i="17"/>
  <c r="AE181" i="17"/>
  <c r="AE183" i="17"/>
  <c r="AE185" i="17"/>
  <c r="AE187" i="17"/>
  <c r="AE189" i="17"/>
  <c r="AE191" i="17"/>
  <c r="AE193" i="17"/>
  <c r="AE195" i="17"/>
  <c r="AE197" i="17"/>
  <c r="AE199" i="17"/>
  <c r="AE201" i="17"/>
  <c r="AE203" i="17"/>
  <c r="AE205" i="17"/>
  <c r="AE207" i="17"/>
  <c r="AE209" i="17"/>
  <c r="AE211" i="17"/>
  <c r="AE213" i="17"/>
  <c r="AE215" i="17"/>
  <c r="AE217" i="17"/>
  <c r="AE219" i="17"/>
  <c r="AE221" i="17"/>
  <c r="AE223" i="17"/>
  <c r="AE225" i="17"/>
  <c r="AE227" i="17"/>
  <c r="AE229" i="17"/>
  <c r="AE231" i="17"/>
  <c r="AE233" i="17"/>
  <c r="AE235" i="17"/>
  <c r="AE237" i="17"/>
  <c r="AE239" i="17"/>
  <c r="AE241" i="17"/>
  <c r="AE243" i="17"/>
  <c r="AE245" i="17"/>
  <c r="AE247" i="17"/>
  <c r="AE249" i="17"/>
  <c r="AE251" i="17"/>
  <c r="AE253" i="17"/>
  <c r="AE255" i="17"/>
  <c r="AE257" i="17"/>
  <c r="AE259" i="17"/>
  <c r="AE261" i="17"/>
  <c r="AE263" i="17"/>
  <c r="AE265" i="17"/>
  <c r="AE267" i="17"/>
  <c r="AE269" i="17"/>
  <c r="AE271" i="17"/>
  <c r="AE273" i="17"/>
  <c r="AE275" i="17"/>
  <c r="AE277" i="17"/>
  <c r="AE279" i="17"/>
  <c r="AE281" i="17"/>
  <c r="AE283" i="17"/>
  <c r="AE285" i="17"/>
  <c r="AE287" i="17"/>
  <c r="AE289" i="17"/>
  <c r="AE291" i="17"/>
  <c r="AE293" i="17"/>
  <c r="AE295" i="17"/>
  <c r="AE297" i="17"/>
  <c r="AE299" i="17"/>
  <c r="AE301" i="17"/>
  <c r="AE303" i="17"/>
  <c r="AE305" i="17"/>
  <c r="AE307" i="17"/>
  <c r="AE309" i="17"/>
  <c r="AE311" i="17"/>
  <c r="AE313" i="17"/>
  <c r="AE315" i="17"/>
  <c r="AE317" i="17"/>
  <c r="AE319" i="17"/>
  <c r="AE321" i="17"/>
  <c r="AE323" i="17"/>
  <c r="AE325" i="17"/>
  <c r="AE327" i="17"/>
  <c r="AE329" i="17"/>
  <c r="AE331" i="17"/>
  <c r="AE333" i="17"/>
  <c r="AE335" i="17"/>
  <c r="AE337" i="17"/>
  <c r="AE339" i="17"/>
  <c r="AE341" i="17"/>
  <c r="AE343" i="17"/>
  <c r="AE345" i="17"/>
  <c r="AE347" i="17"/>
  <c r="AE349" i="17"/>
  <c r="AE351" i="17"/>
  <c r="AE353" i="17"/>
  <c r="AE355" i="17"/>
  <c r="AE357" i="17"/>
  <c r="AE359" i="17"/>
  <c r="AE361" i="17"/>
  <c r="AE363" i="17"/>
  <c r="AE365" i="17"/>
  <c r="AE367" i="17"/>
  <c r="AE369" i="17"/>
  <c r="AE371" i="17"/>
  <c r="AE373" i="17"/>
  <c r="AE375" i="17"/>
  <c r="AE377" i="17"/>
  <c r="AE379" i="17"/>
  <c r="AE12" i="18" s="1"/>
  <c r="AE15" i="17"/>
  <c r="AE18" i="17"/>
  <c r="AE20" i="17"/>
  <c r="AE22" i="17"/>
  <c r="AE24" i="17"/>
  <c r="AE26" i="17"/>
  <c r="AE28" i="17"/>
  <c r="AE30" i="17"/>
  <c r="AE32" i="17"/>
  <c r="AE34" i="17"/>
  <c r="AE36" i="17"/>
  <c r="AE38" i="17"/>
  <c r="AE40" i="17"/>
  <c r="AE42" i="17"/>
  <c r="AE44" i="17"/>
  <c r="AE46" i="17"/>
  <c r="AE48" i="17"/>
  <c r="AE50" i="17"/>
  <c r="AE52" i="17"/>
  <c r="AE54" i="17"/>
  <c r="AE56" i="17"/>
  <c r="AE58" i="17"/>
  <c r="AE60" i="17"/>
  <c r="AE62" i="17"/>
  <c r="AE64" i="17"/>
  <c r="AE66" i="17"/>
  <c r="AE68" i="17"/>
  <c r="AE70" i="17"/>
  <c r="AE72" i="17"/>
  <c r="AE74" i="17"/>
  <c r="AE76" i="17"/>
  <c r="AE78" i="17"/>
  <c r="AE80" i="17"/>
  <c r="AE82" i="17"/>
  <c r="AE84" i="17"/>
  <c r="AE86" i="17"/>
  <c r="AE88" i="17"/>
  <c r="AE90" i="17"/>
  <c r="AE92" i="17"/>
  <c r="AE94" i="17"/>
  <c r="AE96" i="17"/>
  <c r="AE98" i="17"/>
  <c r="AE100" i="17"/>
  <c r="AE102" i="17"/>
  <c r="AE104" i="17"/>
  <c r="AE106" i="17"/>
  <c r="AE108" i="17"/>
  <c r="AE110" i="17"/>
  <c r="AE112" i="17"/>
  <c r="AE114" i="17"/>
  <c r="AE116" i="17"/>
  <c r="AE118" i="17"/>
  <c r="AE120" i="17"/>
  <c r="AE122" i="17"/>
  <c r="AE124" i="17"/>
  <c r="AE126" i="17"/>
  <c r="AE128" i="17"/>
  <c r="AE130" i="17"/>
  <c r="AE132" i="17"/>
  <c r="AE134" i="17"/>
  <c r="AE136" i="17"/>
  <c r="AE138" i="17"/>
  <c r="AE140" i="17"/>
  <c r="AE142" i="17"/>
  <c r="AE144" i="17"/>
  <c r="AE146" i="17"/>
  <c r="AE148" i="17"/>
  <c r="AE150" i="17"/>
  <c r="AE152" i="17"/>
  <c r="AE154" i="17"/>
  <c r="AE156" i="17"/>
  <c r="AE158" i="17"/>
  <c r="AE160" i="17"/>
  <c r="AE162" i="17"/>
  <c r="AE164" i="17"/>
  <c r="AE166" i="17"/>
  <c r="AE168" i="17"/>
  <c r="AE170" i="17"/>
  <c r="AE172" i="17"/>
  <c r="AE174" i="17"/>
  <c r="AE176" i="17"/>
  <c r="AE178" i="17"/>
  <c r="AE180" i="17"/>
  <c r="AE182" i="17"/>
  <c r="AE184" i="17"/>
  <c r="AE186" i="17"/>
  <c r="AE188" i="17"/>
  <c r="AE190" i="17"/>
  <c r="AE192" i="17"/>
  <c r="AE194" i="17"/>
  <c r="AE196" i="17"/>
  <c r="AE198" i="17"/>
  <c r="AE200" i="17"/>
  <c r="AE202" i="17"/>
  <c r="AE204" i="17"/>
  <c r="AE206" i="17"/>
  <c r="AE208" i="17"/>
  <c r="AE210" i="17"/>
  <c r="AE212" i="17"/>
  <c r="AE214" i="17"/>
  <c r="AE216" i="17"/>
  <c r="AE218" i="17"/>
  <c r="AE220" i="17"/>
  <c r="AE222" i="17"/>
  <c r="AE224" i="17"/>
  <c r="AE226" i="17"/>
  <c r="AE228" i="17"/>
  <c r="AE230" i="17"/>
  <c r="AE232" i="17"/>
  <c r="AE234" i="17"/>
  <c r="AE236" i="17"/>
  <c r="AE238" i="17"/>
  <c r="AE240" i="17"/>
  <c r="AE242" i="17"/>
  <c r="AE244" i="17"/>
  <c r="AE246" i="17"/>
  <c r="AE248" i="17"/>
  <c r="AE250" i="17"/>
  <c r="AE252" i="17"/>
  <c r="AE254" i="17"/>
  <c r="AE256" i="17"/>
  <c r="AE258" i="17"/>
  <c r="AE260" i="17"/>
  <c r="AE262" i="17"/>
  <c r="AE264" i="17"/>
  <c r="AE266" i="17"/>
  <c r="AE268" i="17"/>
  <c r="AE270" i="17"/>
  <c r="AE272" i="17"/>
  <c r="AE274" i="17"/>
  <c r="AE276" i="17"/>
  <c r="AE278" i="17"/>
  <c r="AE280" i="17"/>
  <c r="AE282" i="17"/>
  <c r="AE284" i="17"/>
  <c r="AE286" i="17"/>
  <c r="AE288" i="17"/>
  <c r="AE290" i="17"/>
  <c r="AE292" i="17"/>
  <c r="AE294" i="17"/>
  <c r="AE296" i="17"/>
  <c r="AE298" i="17"/>
  <c r="AE300" i="17"/>
  <c r="AE302" i="17"/>
  <c r="AE304" i="17"/>
  <c r="AE306" i="17"/>
  <c r="AE308" i="17"/>
  <c r="AE310" i="17"/>
  <c r="AE312" i="17"/>
  <c r="AE314" i="17"/>
  <c r="AE316" i="17"/>
  <c r="AE318" i="17"/>
  <c r="AE320" i="17"/>
  <c r="AE322" i="17"/>
  <c r="AE324" i="17"/>
  <c r="AE326" i="17"/>
  <c r="AE328" i="17"/>
  <c r="AE330" i="17"/>
  <c r="AE332" i="17"/>
  <c r="AE334" i="17"/>
  <c r="AE336" i="17"/>
  <c r="AE338" i="17"/>
  <c r="AE340" i="17"/>
  <c r="AE342" i="17"/>
  <c r="AE344" i="17"/>
  <c r="AE346" i="17"/>
  <c r="AE348" i="17"/>
  <c r="AE350" i="17"/>
  <c r="AE352" i="17"/>
  <c r="AE354" i="17"/>
  <c r="AE356" i="17"/>
  <c r="AE358" i="17"/>
  <c r="AE360" i="17"/>
  <c r="AE362" i="17"/>
  <c r="AE364" i="17"/>
  <c r="AE366" i="17"/>
  <c r="AE368" i="17"/>
  <c r="AE370" i="17"/>
  <c r="AE372" i="17"/>
  <c r="AE374" i="17"/>
  <c r="AE376" i="17"/>
  <c r="AE378" i="17"/>
  <c r="T372" i="17"/>
  <c r="T366" i="17"/>
  <c r="T356" i="17"/>
  <c r="T354" i="17"/>
  <c r="T350" i="17"/>
  <c r="T346" i="17"/>
  <c r="T338" i="17"/>
  <c r="T332" i="17"/>
  <c r="T322" i="17"/>
  <c r="T316" i="17"/>
  <c r="T308" i="17"/>
  <c r="T306" i="17"/>
  <c r="T302" i="17"/>
  <c r="T292" i="17"/>
  <c r="T290" i="17"/>
  <c r="T286" i="17"/>
  <c r="T282" i="17"/>
  <c r="T274" i="17"/>
  <c r="T268" i="17"/>
  <c r="T258" i="17"/>
  <c r="T252" i="17"/>
  <c r="T244" i="17"/>
  <c r="T238" i="17"/>
  <c r="T228" i="17"/>
  <c r="T222" i="17"/>
  <c r="T218" i="17"/>
  <c r="T210" i="17"/>
  <c r="T204" i="17"/>
  <c r="T188" i="17"/>
  <c r="T180" i="17"/>
  <c r="T174" i="17"/>
  <c r="T164" i="17"/>
  <c r="T162" i="17"/>
  <c r="T158" i="17"/>
  <c r="T154" i="17"/>
  <c r="T146" i="17"/>
  <c r="T140" i="17"/>
  <c r="T130" i="17"/>
  <c r="T124" i="17"/>
  <c r="T116" i="17"/>
  <c r="T110" i="17"/>
  <c r="T100" i="17"/>
  <c r="T98" i="17"/>
  <c r="T94" i="17"/>
  <c r="T90" i="17"/>
  <c r="T82" i="17"/>
  <c r="T76" i="17"/>
  <c r="T66" i="17"/>
  <c r="T60" i="17"/>
  <c r="T52" i="17"/>
  <c r="T50" i="17"/>
  <c r="T46" i="17"/>
  <c r="T36" i="17"/>
  <c r="T34" i="17"/>
  <c r="T30" i="17"/>
  <c r="T26" i="17"/>
  <c r="T18" i="17"/>
  <c r="S380" i="16"/>
  <c r="R380" i="16" s="1"/>
  <c r="P380" i="16" s="1"/>
  <c r="V380" i="16" s="1"/>
  <c r="AG380" i="16"/>
  <c r="AF380" i="16" s="1"/>
  <c r="AH382" i="16"/>
  <c r="AH383" i="16"/>
  <c r="AH381" i="16"/>
  <c r="AD378" i="16"/>
  <c r="Y11" i="1"/>
  <c r="O383" i="22"/>
  <c r="O381" i="22"/>
  <c r="O382" i="22"/>
  <c r="L383" i="22"/>
  <c r="L381" i="22"/>
  <c r="L382" i="22"/>
  <c r="O382" i="23"/>
  <c r="O381" i="23"/>
  <c r="O383" i="23"/>
  <c r="L382" i="23"/>
  <c r="L381" i="23"/>
  <c r="L383" i="23"/>
  <c r="AJ13" i="17"/>
  <c r="A379" i="25"/>
  <c r="L378" i="25"/>
  <c r="AJ378" i="25"/>
  <c r="K378" i="25"/>
  <c r="AB378" i="25"/>
  <c r="X378" i="25"/>
  <c r="AK378" i="25"/>
  <c r="AC378" i="25"/>
  <c r="O378" i="25"/>
  <c r="E380" i="16"/>
  <c r="D381" i="16"/>
  <c r="D382" i="16"/>
  <c r="D383" i="16"/>
  <c r="D9" i="16"/>
  <c r="D11" i="16" s="1"/>
  <c r="E37" i="19" s="1"/>
  <c r="AH366" i="17"/>
  <c r="AH350" i="17"/>
  <c r="AH334" i="17"/>
  <c r="AH318" i="17"/>
  <c r="AH302" i="17"/>
  <c r="AH286" i="17"/>
  <c r="AH270" i="17"/>
  <c r="AH254" i="17"/>
  <c r="AH238" i="17"/>
  <c r="AH222" i="17"/>
  <c r="AH206" i="17"/>
  <c r="AH190" i="17"/>
  <c r="AH174" i="17"/>
  <c r="AH158" i="17"/>
  <c r="AH142" i="17"/>
  <c r="AH126" i="17"/>
  <c r="AH110" i="17"/>
  <c r="AH94" i="17"/>
  <c r="AH78" i="17"/>
  <c r="AH62" i="17"/>
  <c r="AH46" i="17"/>
  <c r="AH30" i="17"/>
  <c r="J15" i="16"/>
  <c r="I15" i="16"/>
  <c r="Z15" i="16"/>
  <c r="I382" i="15"/>
  <c r="I381" i="15"/>
  <c r="I383" i="15"/>
  <c r="X379" i="24"/>
  <c r="K379" i="24"/>
  <c r="AK379" i="24"/>
  <c r="L379" i="24"/>
  <c r="B43" i="19" s="1"/>
  <c r="AB379" i="24"/>
  <c r="AJ379" i="24"/>
  <c r="AC379" i="24"/>
  <c r="O379" i="24"/>
  <c r="C43" i="19" s="1"/>
  <c r="T373" i="17"/>
  <c r="T365" i="17"/>
  <c r="T357" i="17"/>
  <c r="T349" i="17"/>
  <c r="T341" i="17"/>
  <c r="T333" i="17"/>
  <c r="T325" i="17"/>
  <c r="T317" i="17"/>
  <c r="T309" i="17"/>
  <c r="T301" i="17"/>
  <c r="T293" i="17"/>
  <c r="T285" i="17"/>
  <c r="T277" i="17"/>
  <c r="T269" i="17"/>
  <c r="T261" i="17"/>
  <c r="T253" i="17"/>
  <c r="T245" i="17"/>
  <c r="T237" i="17"/>
  <c r="T229" i="17"/>
  <c r="T221" i="17"/>
  <c r="T213" i="17"/>
  <c r="T205" i="17"/>
  <c r="T197" i="17"/>
  <c r="T189" i="17"/>
  <c r="T181" i="17"/>
  <c r="T173" i="17"/>
  <c r="T165" i="17"/>
  <c r="T157" i="17"/>
  <c r="T149" i="17"/>
  <c r="T141" i="17"/>
  <c r="T133" i="17"/>
  <c r="T125" i="17"/>
  <c r="T117" i="17"/>
  <c r="T109" i="17"/>
  <c r="T101" i="17"/>
  <c r="T93" i="17"/>
  <c r="T85" i="17"/>
  <c r="T77" i="17"/>
  <c r="T69" i="17"/>
  <c r="T61" i="17"/>
  <c r="T53" i="17"/>
  <c r="T45" i="17"/>
  <c r="T37" i="17"/>
  <c r="T29" i="17"/>
  <c r="T21" i="17"/>
  <c r="AL8" i="15"/>
  <c r="Y15" i="15"/>
  <c r="Z381" i="15"/>
  <c r="Z383" i="15"/>
  <c r="Z382" i="15"/>
  <c r="Z9" i="15"/>
  <c r="Z11" i="1"/>
  <c r="Z5" i="1" s="1"/>
  <c r="H11" i="19" s="1"/>
  <c r="H35" i="19" s="1"/>
  <c r="AC383" i="22"/>
  <c r="AC382" i="22"/>
  <c r="AC381" i="22"/>
  <c r="AM9" i="22"/>
  <c r="AK5" i="22"/>
  <c r="AK7" i="22"/>
  <c r="AK11" i="22" s="1"/>
  <c r="AM7" i="22"/>
  <c r="AM11" i="22" s="1"/>
  <c r="AM5" i="22"/>
  <c r="AK9" i="22"/>
  <c r="AC381" i="23"/>
  <c r="AC383" i="23"/>
  <c r="AC382" i="23"/>
  <c r="F378" i="16"/>
  <c r="AG382" i="16" l="1"/>
  <c r="U382" i="17"/>
  <c r="V15" i="7"/>
  <c r="E12" i="19"/>
  <c r="L42" i="19"/>
  <c r="L41" i="19"/>
  <c r="AI382" i="17"/>
  <c r="AD380" i="16"/>
  <c r="AD383" i="16" s="1"/>
  <c r="AF381" i="16"/>
  <c r="T15" i="17"/>
  <c r="S15" i="17" s="1"/>
  <c r="U383" i="17"/>
  <c r="V16" i="7"/>
  <c r="AB11" i="7" s="1"/>
  <c r="U11" i="18" s="1"/>
  <c r="U10" i="18" s="1"/>
  <c r="T379" i="17"/>
  <c r="S379" i="17" s="1"/>
  <c r="R379" i="17" s="1"/>
  <c r="P379" i="17" s="1"/>
  <c r="D38" i="19" s="1"/>
  <c r="AG383" i="16"/>
  <c r="AI383" i="17"/>
  <c r="Q381" i="17"/>
  <c r="Q383" i="17"/>
  <c r="AF382" i="16"/>
  <c r="AF383" i="16"/>
  <c r="AG381" i="16"/>
  <c r="AI381" i="17"/>
  <c r="Q382" i="17"/>
  <c r="AH15" i="17"/>
  <c r="AH381" i="17" s="1"/>
  <c r="U381" i="17"/>
  <c r="AK3" i="22"/>
  <c r="Q17" i="19" s="1"/>
  <c r="O381" i="24"/>
  <c r="O383" i="24"/>
  <c r="O382" i="24"/>
  <c r="L381" i="24"/>
  <c r="L383" i="24"/>
  <c r="L382" i="24"/>
  <c r="Y15" i="16"/>
  <c r="AH382" i="17"/>
  <c r="X379" i="25"/>
  <c r="L379" i="25"/>
  <c r="B44" i="19" s="1"/>
  <c r="B33" i="19" s="1"/>
  <c r="AK379" i="25"/>
  <c r="K379" i="25"/>
  <c r="AJ379" i="25"/>
  <c r="AB379" i="25"/>
  <c r="AC379" i="25"/>
  <c r="O379" i="25"/>
  <c r="C44" i="19" s="1"/>
  <c r="C33" i="19" s="1"/>
  <c r="S142" i="17"/>
  <c r="R142" i="17" s="1"/>
  <c r="P142" i="17" s="1"/>
  <c r="S144" i="17"/>
  <c r="R144" i="17" s="1"/>
  <c r="P144" i="17" s="1"/>
  <c r="S146" i="17"/>
  <c r="R146" i="17" s="1"/>
  <c r="P146" i="17" s="1"/>
  <c r="S148" i="17"/>
  <c r="R148" i="17" s="1"/>
  <c r="P148" i="17" s="1"/>
  <c r="S150" i="17"/>
  <c r="R150" i="17" s="1"/>
  <c r="P150" i="17" s="1"/>
  <c r="S152" i="17"/>
  <c r="R152" i="17" s="1"/>
  <c r="P152" i="17" s="1"/>
  <c r="S154" i="17"/>
  <c r="R154" i="17" s="1"/>
  <c r="P154" i="17" s="1"/>
  <c r="S156" i="17"/>
  <c r="R156" i="17" s="1"/>
  <c r="P156" i="17" s="1"/>
  <c r="S158" i="17"/>
  <c r="R158" i="17" s="1"/>
  <c r="P158" i="17" s="1"/>
  <c r="S160" i="17"/>
  <c r="R160" i="17" s="1"/>
  <c r="P160" i="17" s="1"/>
  <c r="S162" i="17"/>
  <c r="R162" i="17" s="1"/>
  <c r="P162" i="17" s="1"/>
  <c r="S164" i="17"/>
  <c r="R164" i="17" s="1"/>
  <c r="P164" i="17" s="1"/>
  <c r="S166" i="17"/>
  <c r="R166" i="17" s="1"/>
  <c r="P166" i="17" s="1"/>
  <c r="S168" i="17"/>
  <c r="R168" i="17" s="1"/>
  <c r="P168" i="17" s="1"/>
  <c r="S170" i="17"/>
  <c r="R170" i="17" s="1"/>
  <c r="P170" i="17" s="1"/>
  <c r="S172" i="17"/>
  <c r="R172" i="17" s="1"/>
  <c r="P172" i="17" s="1"/>
  <c r="S174" i="17"/>
  <c r="R174" i="17" s="1"/>
  <c r="P174" i="17" s="1"/>
  <c r="S176" i="17"/>
  <c r="R176" i="17" s="1"/>
  <c r="P176" i="17" s="1"/>
  <c r="S178" i="17"/>
  <c r="R178" i="17" s="1"/>
  <c r="P178" i="17" s="1"/>
  <c r="S180" i="17"/>
  <c r="R180" i="17" s="1"/>
  <c r="P180" i="17" s="1"/>
  <c r="S182" i="17"/>
  <c r="R182" i="17" s="1"/>
  <c r="P182" i="17" s="1"/>
  <c r="S184" i="17"/>
  <c r="R184" i="17" s="1"/>
  <c r="P184" i="17" s="1"/>
  <c r="S186" i="17"/>
  <c r="R186" i="17" s="1"/>
  <c r="P186" i="17" s="1"/>
  <c r="S188" i="17"/>
  <c r="R188" i="17" s="1"/>
  <c r="P188" i="17" s="1"/>
  <c r="S190" i="17"/>
  <c r="R190" i="17" s="1"/>
  <c r="P190" i="17" s="1"/>
  <c r="S192" i="17"/>
  <c r="R192" i="17" s="1"/>
  <c r="P192" i="17" s="1"/>
  <c r="V192" i="17" s="1"/>
  <c r="F192" i="17" s="1"/>
  <c r="S194" i="17"/>
  <c r="R194" i="17" s="1"/>
  <c r="P194" i="17" s="1"/>
  <c r="S196" i="17"/>
  <c r="R196" i="17" s="1"/>
  <c r="P196" i="17" s="1"/>
  <c r="V196" i="17" s="1"/>
  <c r="S198" i="17"/>
  <c r="R198" i="17" s="1"/>
  <c r="P198" i="17" s="1"/>
  <c r="S200" i="17"/>
  <c r="R200" i="17" s="1"/>
  <c r="P200" i="17" s="1"/>
  <c r="S202" i="17"/>
  <c r="R202" i="17" s="1"/>
  <c r="P202" i="17" s="1"/>
  <c r="S204" i="17"/>
  <c r="R204" i="17" s="1"/>
  <c r="P204" i="17" s="1"/>
  <c r="S206" i="17"/>
  <c r="R206" i="17" s="1"/>
  <c r="P206" i="17" s="1"/>
  <c r="S208" i="17"/>
  <c r="R208" i="17" s="1"/>
  <c r="P208" i="17" s="1"/>
  <c r="S210" i="17"/>
  <c r="R210" i="17" s="1"/>
  <c r="P210" i="17" s="1"/>
  <c r="S212" i="17"/>
  <c r="R212" i="17" s="1"/>
  <c r="P212" i="17" s="1"/>
  <c r="S214" i="17"/>
  <c r="R214" i="17" s="1"/>
  <c r="P214" i="17" s="1"/>
  <c r="S216" i="17"/>
  <c r="R216" i="17" s="1"/>
  <c r="P216" i="17" s="1"/>
  <c r="S218" i="17"/>
  <c r="R218" i="17" s="1"/>
  <c r="P218" i="17" s="1"/>
  <c r="S220" i="17"/>
  <c r="R220" i="17" s="1"/>
  <c r="P220" i="17" s="1"/>
  <c r="S222" i="17"/>
  <c r="R222" i="17" s="1"/>
  <c r="P222" i="17" s="1"/>
  <c r="S224" i="17"/>
  <c r="R224" i="17" s="1"/>
  <c r="P224" i="17" s="1"/>
  <c r="S226" i="17"/>
  <c r="R226" i="17" s="1"/>
  <c r="P226" i="17" s="1"/>
  <c r="S228" i="17"/>
  <c r="R228" i="17" s="1"/>
  <c r="P228" i="17" s="1"/>
  <c r="S230" i="17"/>
  <c r="R230" i="17" s="1"/>
  <c r="P230" i="17" s="1"/>
  <c r="S232" i="17"/>
  <c r="R232" i="17" s="1"/>
  <c r="P232" i="17" s="1"/>
  <c r="S234" i="17"/>
  <c r="R234" i="17" s="1"/>
  <c r="P234" i="17" s="1"/>
  <c r="S236" i="17"/>
  <c r="R236" i="17" s="1"/>
  <c r="P236" i="17" s="1"/>
  <c r="S238" i="17"/>
  <c r="R238" i="17" s="1"/>
  <c r="P238" i="17" s="1"/>
  <c r="S240" i="17"/>
  <c r="R240" i="17" s="1"/>
  <c r="P240" i="17" s="1"/>
  <c r="S242" i="17"/>
  <c r="R242" i="17" s="1"/>
  <c r="P242" i="17" s="1"/>
  <c r="S244" i="17"/>
  <c r="R244" i="17" s="1"/>
  <c r="P244" i="17" s="1"/>
  <c r="V244" i="17" s="1"/>
  <c r="S246" i="17"/>
  <c r="R246" i="17" s="1"/>
  <c r="P246" i="17" s="1"/>
  <c r="V246" i="17" s="1"/>
  <c r="F246" i="17" s="1"/>
  <c r="S248" i="17"/>
  <c r="R248" i="17" s="1"/>
  <c r="P248" i="17" s="1"/>
  <c r="V248" i="17" s="1"/>
  <c r="F248" i="17" s="1"/>
  <c r="S250" i="17"/>
  <c r="R250" i="17" s="1"/>
  <c r="P250" i="17" s="1"/>
  <c r="V250" i="17" s="1"/>
  <c r="F250" i="17" s="1"/>
  <c r="S252" i="17"/>
  <c r="R252" i="17" s="1"/>
  <c r="P252" i="17" s="1"/>
  <c r="V252" i="17" s="1"/>
  <c r="F252" i="17" s="1"/>
  <c r="S254" i="17"/>
  <c r="R254" i="17" s="1"/>
  <c r="P254" i="17" s="1"/>
  <c r="S256" i="17"/>
  <c r="R256" i="17" s="1"/>
  <c r="P256" i="17" s="1"/>
  <c r="S258" i="17"/>
  <c r="R258" i="17" s="1"/>
  <c r="P258" i="17" s="1"/>
  <c r="V258" i="17" s="1"/>
  <c r="S260" i="17"/>
  <c r="R260" i="17" s="1"/>
  <c r="P260" i="17" s="1"/>
  <c r="S262" i="17"/>
  <c r="R262" i="17" s="1"/>
  <c r="P262" i="17" s="1"/>
  <c r="V262" i="17" s="1"/>
  <c r="F262" i="17" s="1"/>
  <c r="S264" i="17"/>
  <c r="R264" i="17" s="1"/>
  <c r="P264" i="17" s="1"/>
  <c r="S266" i="17"/>
  <c r="R266" i="17" s="1"/>
  <c r="P266" i="17" s="1"/>
  <c r="S268" i="17"/>
  <c r="R268" i="17" s="1"/>
  <c r="P268" i="17" s="1"/>
  <c r="V268" i="17" s="1"/>
  <c r="F268" i="17" s="1"/>
  <c r="S270" i="17"/>
  <c r="R270" i="17" s="1"/>
  <c r="P270" i="17" s="1"/>
  <c r="V270" i="17" s="1"/>
  <c r="S272" i="17"/>
  <c r="R272" i="17" s="1"/>
  <c r="P272" i="17" s="1"/>
  <c r="S274" i="17"/>
  <c r="R274" i="17" s="1"/>
  <c r="P274" i="17" s="1"/>
  <c r="S276" i="17"/>
  <c r="R276" i="17" s="1"/>
  <c r="P276" i="17" s="1"/>
  <c r="S278" i="17"/>
  <c r="R278" i="17" s="1"/>
  <c r="P278" i="17" s="1"/>
  <c r="S280" i="17"/>
  <c r="R280" i="17" s="1"/>
  <c r="P280" i="17" s="1"/>
  <c r="S282" i="17"/>
  <c r="R282" i="17" s="1"/>
  <c r="P282" i="17" s="1"/>
  <c r="S284" i="17"/>
  <c r="R284" i="17" s="1"/>
  <c r="P284" i="17" s="1"/>
  <c r="S286" i="17"/>
  <c r="R286" i="17" s="1"/>
  <c r="P286" i="17" s="1"/>
  <c r="S288" i="17"/>
  <c r="R288" i="17" s="1"/>
  <c r="P288" i="17" s="1"/>
  <c r="S290" i="17"/>
  <c r="R290" i="17" s="1"/>
  <c r="P290" i="17" s="1"/>
  <c r="V290" i="17" s="1"/>
  <c r="F290" i="17" s="1"/>
  <c r="S292" i="17"/>
  <c r="R292" i="17" s="1"/>
  <c r="P292" i="17" s="1"/>
  <c r="S294" i="17"/>
  <c r="R294" i="17" s="1"/>
  <c r="P294" i="17" s="1"/>
  <c r="S296" i="17"/>
  <c r="R296" i="17" s="1"/>
  <c r="P296" i="17" s="1"/>
  <c r="S298" i="17"/>
  <c r="R298" i="17" s="1"/>
  <c r="P298" i="17" s="1"/>
  <c r="S300" i="17"/>
  <c r="R300" i="17" s="1"/>
  <c r="P300" i="17" s="1"/>
  <c r="S302" i="17"/>
  <c r="R302" i="17" s="1"/>
  <c r="P302" i="17" s="1"/>
  <c r="S304" i="17"/>
  <c r="R304" i="17" s="1"/>
  <c r="P304" i="17" s="1"/>
  <c r="S306" i="17"/>
  <c r="R306" i="17" s="1"/>
  <c r="P306" i="17" s="1"/>
  <c r="V306" i="17" s="1"/>
  <c r="F306" i="17" s="1"/>
  <c r="S308" i="17"/>
  <c r="R308" i="17" s="1"/>
  <c r="P308" i="17" s="1"/>
  <c r="S310" i="17"/>
  <c r="R310" i="17" s="1"/>
  <c r="P310" i="17" s="1"/>
  <c r="S312" i="17"/>
  <c r="R312" i="17" s="1"/>
  <c r="P312" i="17" s="1"/>
  <c r="S314" i="17"/>
  <c r="R314" i="17" s="1"/>
  <c r="P314" i="17" s="1"/>
  <c r="S316" i="17"/>
  <c r="R316" i="17" s="1"/>
  <c r="P316" i="17" s="1"/>
  <c r="AE382" i="17"/>
  <c r="AE383" i="17"/>
  <c r="AE381" i="17"/>
  <c r="AG16" i="17"/>
  <c r="AF16" i="17" s="1"/>
  <c r="AD16" i="17" s="1"/>
  <c r="AG17" i="17"/>
  <c r="AF17" i="17" s="1"/>
  <c r="AD17" i="17" s="1"/>
  <c r="AG19" i="17"/>
  <c r="AF19" i="17" s="1"/>
  <c r="AD19" i="17" s="1"/>
  <c r="AG21" i="17"/>
  <c r="AF21" i="17" s="1"/>
  <c r="AD21" i="17" s="1"/>
  <c r="AG23" i="17"/>
  <c r="AF23" i="17" s="1"/>
  <c r="AD23" i="17" s="1"/>
  <c r="AG25" i="17"/>
  <c r="AF25" i="17" s="1"/>
  <c r="AD25" i="17" s="1"/>
  <c r="AG27" i="17"/>
  <c r="AF27" i="17" s="1"/>
  <c r="AD27" i="17" s="1"/>
  <c r="AG29" i="17"/>
  <c r="AF29" i="17" s="1"/>
  <c r="AD29" i="17" s="1"/>
  <c r="AG31" i="17"/>
  <c r="AF31" i="17" s="1"/>
  <c r="AD31" i="17" s="1"/>
  <c r="AG33" i="17"/>
  <c r="AF33" i="17" s="1"/>
  <c r="AD33" i="17" s="1"/>
  <c r="AG35" i="17"/>
  <c r="AF35" i="17" s="1"/>
  <c r="AD35" i="17" s="1"/>
  <c r="AG37" i="17"/>
  <c r="AF37" i="17" s="1"/>
  <c r="AD37" i="17" s="1"/>
  <c r="AG39" i="17"/>
  <c r="AF39" i="17" s="1"/>
  <c r="AD39" i="17" s="1"/>
  <c r="AG41" i="17"/>
  <c r="AF41" i="17" s="1"/>
  <c r="AD41" i="17" s="1"/>
  <c r="AG43" i="17"/>
  <c r="AF43" i="17" s="1"/>
  <c r="AD43" i="17" s="1"/>
  <c r="AG45" i="17"/>
  <c r="AF45" i="17" s="1"/>
  <c r="AD45" i="17" s="1"/>
  <c r="AG47" i="17"/>
  <c r="AF47" i="17" s="1"/>
  <c r="AD47" i="17" s="1"/>
  <c r="AG49" i="17"/>
  <c r="AF49" i="17" s="1"/>
  <c r="AD49" i="17" s="1"/>
  <c r="AG51" i="17"/>
  <c r="AF51" i="17" s="1"/>
  <c r="AD51" i="17" s="1"/>
  <c r="AG53" i="17"/>
  <c r="AF53" i="17" s="1"/>
  <c r="AD53" i="17" s="1"/>
  <c r="AG55" i="17"/>
  <c r="AF55" i="17" s="1"/>
  <c r="AD55" i="17" s="1"/>
  <c r="AG57" i="17"/>
  <c r="AF57" i="17" s="1"/>
  <c r="AD57" i="17" s="1"/>
  <c r="AG59" i="17"/>
  <c r="AF59" i="17" s="1"/>
  <c r="AD59" i="17" s="1"/>
  <c r="AG61" i="17"/>
  <c r="AF61" i="17" s="1"/>
  <c r="AD61" i="17" s="1"/>
  <c r="AG63" i="17"/>
  <c r="AF63" i="17" s="1"/>
  <c r="AD63" i="17" s="1"/>
  <c r="AG65" i="17"/>
  <c r="AF65" i="17" s="1"/>
  <c r="AD65" i="17" s="1"/>
  <c r="AG67" i="17"/>
  <c r="AF67" i="17" s="1"/>
  <c r="AD67" i="17" s="1"/>
  <c r="AG69" i="17"/>
  <c r="AF69" i="17" s="1"/>
  <c r="AD69" i="17" s="1"/>
  <c r="AG71" i="17"/>
  <c r="AF71" i="17" s="1"/>
  <c r="AD71" i="17" s="1"/>
  <c r="AG73" i="17"/>
  <c r="AF73" i="17" s="1"/>
  <c r="AD73" i="17" s="1"/>
  <c r="AG75" i="17"/>
  <c r="AF75" i="17" s="1"/>
  <c r="AD75" i="17" s="1"/>
  <c r="AG77" i="17"/>
  <c r="AF77" i="17" s="1"/>
  <c r="AD77" i="17" s="1"/>
  <c r="AG79" i="17"/>
  <c r="AF79" i="17" s="1"/>
  <c r="AD79" i="17" s="1"/>
  <c r="AG81" i="17"/>
  <c r="AF81" i="17" s="1"/>
  <c r="AD81" i="17" s="1"/>
  <c r="AG83" i="17"/>
  <c r="AF83" i="17" s="1"/>
  <c r="AD83" i="17" s="1"/>
  <c r="AG85" i="17"/>
  <c r="AF85" i="17" s="1"/>
  <c r="AD85" i="17" s="1"/>
  <c r="AG87" i="17"/>
  <c r="AF87" i="17" s="1"/>
  <c r="AD87" i="17" s="1"/>
  <c r="AG89" i="17"/>
  <c r="AF89" i="17" s="1"/>
  <c r="AD89" i="17" s="1"/>
  <c r="AG91" i="17"/>
  <c r="AF91" i="17" s="1"/>
  <c r="AD91" i="17" s="1"/>
  <c r="AG93" i="17"/>
  <c r="AF93" i="17" s="1"/>
  <c r="AD93" i="17" s="1"/>
  <c r="AG95" i="17"/>
  <c r="AF95" i="17" s="1"/>
  <c r="AD95" i="17" s="1"/>
  <c r="AG97" i="17"/>
  <c r="AF97" i="17" s="1"/>
  <c r="AD97" i="17" s="1"/>
  <c r="AG99" i="17"/>
  <c r="AF99" i="17" s="1"/>
  <c r="AD99" i="17" s="1"/>
  <c r="AG101" i="17"/>
  <c r="AF101" i="17" s="1"/>
  <c r="AD101" i="17" s="1"/>
  <c r="AG103" i="17"/>
  <c r="AF103" i="17" s="1"/>
  <c r="AD103" i="17" s="1"/>
  <c r="AG105" i="17"/>
  <c r="AF105" i="17" s="1"/>
  <c r="AD105" i="17" s="1"/>
  <c r="AG107" i="17"/>
  <c r="AF107" i="17" s="1"/>
  <c r="AD107" i="17" s="1"/>
  <c r="AG109" i="17"/>
  <c r="AF109" i="17" s="1"/>
  <c r="AD109" i="17" s="1"/>
  <c r="AG111" i="17"/>
  <c r="AF111" i="17" s="1"/>
  <c r="AD111" i="17" s="1"/>
  <c r="AG113" i="17"/>
  <c r="AF113" i="17" s="1"/>
  <c r="AD113" i="17" s="1"/>
  <c r="AG115" i="17"/>
  <c r="AF115" i="17" s="1"/>
  <c r="AD115" i="17" s="1"/>
  <c r="AG117" i="17"/>
  <c r="AF117" i="17" s="1"/>
  <c r="AD117" i="17" s="1"/>
  <c r="AG119" i="17"/>
  <c r="AF119" i="17" s="1"/>
  <c r="AD119" i="17" s="1"/>
  <c r="AG121" i="17"/>
  <c r="AF121" i="17" s="1"/>
  <c r="AD121" i="17" s="1"/>
  <c r="AG123" i="17"/>
  <c r="AF123" i="17" s="1"/>
  <c r="AD123" i="17" s="1"/>
  <c r="AG125" i="17"/>
  <c r="AF125" i="17" s="1"/>
  <c r="AD125" i="17" s="1"/>
  <c r="AG127" i="17"/>
  <c r="AF127" i="17" s="1"/>
  <c r="AD127" i="17" s="1"/>
  <c r="AG129" i="17"/>
  <c r="AF129" i="17" s="1"/>
  <c r="AD129" i="17" s="1"/>
  <c r="AG131" i="17"/>
  <c r="AF131" i="17" s="1"/>
  <c r="AD131" i="17" s="1"/>
  <c r="AG133" i="17"/>
  <c r="AF133" i="17" s="1"/>
  <c r="AD133" i="17" s="1"/>
  <c r="AG135" i="17"/>
  <c r="AF135" i="17" s="1"/>
  <c r="AD135" i="17" s="1"/>
  <c r="AG137" i="17"/>
  <c r="AF137" i="17" s="1"/>
  <c r="AD137" i="17" s="1"/>
  <c r="AG139" i="17"/>
  <c r="AF139" i="17" s="1"/>
  <c r="AD139" i="17" s="1"/>
  <c r="AG141" i="17"/>
  <c r="AF141" i="17" s="1"/>
  <c r="AD141" i="17" s="1"/>
  <c r="AG143" i="17"/>
  <c r="AF143" i="17" s="1"/>
  <c r="AD143" i="17" s="1"/>
  <c r="AG145" i="17"/>
  <c r="AF145" i="17" s="1"/>
  <c r="AD145" i="17" s="1"/>
  <c r="AG147" i="17"/>
  <c r="AF147" i="17" s="1"/>
  <c r="AD147" i="17" s="1"/>
  <c r="AG149" i="17"/>
  <c r="AF149" i="17" s="1"/>
  <c r="AD149" i="17" s="1"/>
  <c r="AG151" i="17"/>
  <c r="AF151" i="17" s="1"/>
  <c r="AD151" i="17" s="1"/>
  <c r="AG153" i="17"/>
  <c r="AF153" i="17" s="1"/>
  <c r="AD153" i="17" s="1"/>
  <c r="AG155" i="17"/>
  <c r="AF155" i="17" s="1"/>
  <c r="AD155" i="17" s="1"/>
  <c r="AG157" i="17"/>
  <c r="AF157" i="17" s="1"/>
  <c r="AD157" i="17" s="1"/>
  <c r="AG159" i="17"/>
  <c r="AF159" i="17" s="1"/>
  <c r="AD159" i="17" s="1"/>
  <c r="AG161" i="17"/>
  <c r="AF161" i="17" s="1"/>
  <c r="AD161" i="17" s="1"/>
  <c r="AG163" i="17"/>
  <c r="AF163" i="17" s="1"/>
  <c r="AD163" i="17" s="1"/>
  <c r="AG165" i="17"/>
  <c r="AF165" i="17" s="1"/>
  <c r="AD165" i="17" s="1"/>
  <c r="AG167" i="17"/>
  <c r="AF167" i="17" s="1"/>
  <c r="AD167" i="17" s="1"/>
  <c r="AG169" i="17"/>
  <c r="AF169" i="17" s="1"/>
  <c r="AD169" i="17" s="1"/>
  <c r="AG171" i="17"/>
  <c r="AF171" i="17" s="1"/>
  <c r="AD171" i="17" s="1"/>
  <c r="AG173" i="17"/>
  <c r="AF173" i="17" s="1"/>
  <c r="AD173" i="17" s="1"/>
  <c r="AG175" i="17"/>
  <c r="AF175" i="17" s="1"/>
  <c r="AD175" i="17" s="1"/>
  <c r="AG177" i="17"/>
  <c r="AF177" i="17" s="1"/>
  <c r="AD177" i="17" s="1"/>
  <c r="AG179" i="17"/>
  <c r="AF179" i="17" s="1"/>
  <c r="AD179" i="17" s="1"/>
  <c r="AG181" i="17"/>
  <c r="AF181" i="17" s="1"/>
  <c r="AD181" i="17" s="1"/>
  <c r="AG183" i="17"/>
  <c r="AF183" i="17" s="1"/>
  <c r="AD183" i="17" s="1"/>
  <c r="AG185" i="17"/>
  <c r="AF185" i="17" s="1"/>
  <c r="AD185" i="17" s="1"/>
  <c r="AG187" i="17"/>
  <c r="AF187" i="17" s="1"/>
  <c r="AD187" i="17" s="1"/>
  <c r="AG189" i="17"/>
  <c r="AF189" i="17" s="1"/>
  <c r="AD189" i="17" s="1"/>
  <c r="AG191" i="17"/>
  <c r="AF191" i="17" s="1"/>
  <c r="AD191" i="17" s="1"/>
  <c r="AG193" i="17"/>
  <c r="AF193" i="17" s="1"/>
  <c r="AD193" i="17" s="1"/>
  <c r="AG195" i="17"/>
  <c r="AF195" i="17" s="1"/>
  <c r="AD195" i="17" s="1"/>
  <c r="AG197" i="17"/>
  <c r="AF197" i="17" s="1"/>
  <c r="AD197" i="17" s="1"/>
  <c r="AG199" i="17"/>
  <c r="AF199" i="17" s="1"/>
  <c r="AD199" i="17" s="1"/>
  <c r="AG201" i="17"/>
  <c r="AF201" i="17" s="1"/>
  <c r="AD201" i="17" s="1"/>
  <c r="AG203" i="17"/>
  <c r="AF203" i="17" s="1"/>
  <c r="AD203" i="17" s="1"/>
  <c r="AG205" i="17"/>
  <c r="AF205" i="17" s="1"/>
  <c r="AD205" i="17" s="1"/>
  <c r="AG207" i="17"/>
  <c r="AF207" i="17" s="1"/>
  <c r="AD207" i="17" s="1"/>
  <c r="AG209" i="17"/>
  <c r="AF209" i="17" s="1"/>
  <c r="AD209" i="17" s="1"/>
  <c r="AG211" i="17"/>
  <c r="AF211" i="17" s="1"/>
  <c r="AD211" i="17" s="1"/>
  <c r="AG213" i="17"/>
  <c r="AF213" i="17" s="1"/>
  <c r="AD213" i="17" s="1"/>
  <c r="AG215" i="17"/>
  <c r="AF215" i="17" s="1"/>
  <c r="AD215" i="17" s="1"/>
  <c r="AG217" i="17"/>
  <c r="AF217" i="17" s="1"/>
  <c r="AD217" i="17" s="1"/>
  <c r="AG219" i="17"/>
  <c r="AF219" i="17" s="1"/>
  <c r="AD219" i="17" s="1"/>
  <c r="AG221" i="17"/>
  <c r="AF221" i="17" s="1"/>
  <c r="AD221" i="17" s="1"/>
  <c r="AG223" i="17"/>
  <c r="AF223" i="17" s="1"/>
  <c r="AD223" i="17" s="1"/>
  <c r="AG225" i="17"/>
  <c r="AF225" i="17" s="1"/>
  <c r="AD225" i="17" s="1"/>
  <c r="AG227" i="17"/>
  <c r="AF227" i="17" s="1"/>
  <c r="AD227" i="17" s="1"/>
  <c r="AG229" i="17"/>
  <c r="AF229" i="17" s="1"/>
  <c r="AD229" i="17" s="1"/>
  <c r="AG231" i="17"/>
  <c r="AF231" i="17" s="1"/>
  <c r="AD231" i="17" s="1"/>
  <c r="AG233" i="17"/>
  <c r="AF233" i="17" s="1"/>
  <c r="AD233" i="17" s="1"/>
  <c r="AG235" i="17"/>
  <c r="AF235" i="17" s="1"/>
  <c r="AD235" i="17" s="1"/>
  <c r="S383" i="16"/>
  <c r="S381" i="16"/>
  <c r="AA378" i="16"/>
  <c r="G378" i="16"/>
  <c r="BY378" i="6" s="1"/>
  <c r="H378" i="16"/>
  <c r="X9" i="15"/>
  <c r="AM6" i="15"/>
  <c r="AM12" i="15" s="1"/>
  <c r="Y382" i="15"/>
  <c r="AL6" i="15"/>
  <c r="AL12" i="15" s="1"/>
  <c r="Y383" i="15"/>
  <c r="Y381" i="15"/>
  <c r="S16" i="17"/>
  <c r="R16" i="17" s="1"/>
  <c r="P16" i="17" s="1"/>
  <c r="V16" i="17" s="1"/>
  <c r="S17" i="17"/>
  <c r="R17" i="17" s="1"/>
  <c r="P17" i="17" s="1"/>
  <c r="S19" i="17"/>
  <c r="R19" i="17" s="1"/>
  <c r="P19" i="17" s="1"/>
  <c r="S21" i="17"/>
  <c r="R21" i="17" s="1"/>
  <c r="P21" i="17" s="1"/>
  <c r="S23" i="17"/>
  <c r="R23" i="17" s="1"/>
  <c r="P23" i="17" s="1"/>
  <c r="S25" i="17"/>
  <c r="R25" i="17" s="1"/>
  <c r="P25" i="17" s="1"/>
  <c r="S27" i="17"/>
  <c r="R27" i="17" s="1"/>
  <c r="P27" i="17" s="1"/>
  <c r="S29" i="17"/>
  <c r="R29" i="17" s="1"/>
  <c r="P29" i="17" s="1"/>
  <c r="S31" i="17"/>
  <c r="R31" i="17" s="1"/>
  <c r="P31" i="17" s="1"/>
  <c r="S33" i="17"/>
  <c r="R33" i="17" s="1"/>
  <c r="P33" i="17" s="1"/>
  <c r="V33" i="17" s="1"/>
  <c r="F33" i="17" s="1"/>
  <c r="S35" i="17"/>
  <c r="R35" i="17" s="1"/>
  <c r="P35" i="17" s="1"/>
  <c r="S37" i="17"/>
  <c r="R37" i="17" s="1"/>
  <c r="P37" i="17" s="1"/>
  <c r="V37" i="17" s="1"/>
  <c r="S39" i="17"/>
  <c r="R39" i="17" s="1"/>
  <c r="P39" i="17" s="1"/>
  <c r="S41" i="17"/>
  <c r="R41" i="17" s="1"/>
  <c r="P41" i="17" s="1"/>
  <c r="S43" i="17"/>
  <c r="R43" i="17" s="1"/>
  <c r="P43" i="17" s="1"/>
  <c r="S45" i="17"/>
  <c r="R45" i="17" s="1"/>
  <c r="P45" i="17" s="1"/>
  <c r="S47" i="17"/>
  <c r="R47" i="17" s="1"/>
  <c r="P47" i="17" s="1"/>
  <c r="S49" i="17"/>
  <c r="R49" i="17" s="1"/>
  <c r="P49" i="17" s="1"/>
  <c r="S51" i="17"/>
  <c r="R51" i="17" s="1"/>
  <c r="P51" i="17" s="1"/>
  <c r="S53" i="17"/>
  <c r="R53" i="17" s="1"/>
  <c r="P53" i="17" s="1"/>
  <c r="S55" i="17"/>
  <c r="R55" i="17" s="1"/>
  <c r="P55" i="17" s="1"/>
  <c r="S57" i="17"/>
  <c r="R57" i="17" s="1"/>
  <c r="P57" i="17" s="1"/>
  <c r="S59" i="17"/>
  <c r="R59" i="17" s="1"/>
  <c r="P59" i="17" s="1"/>
  <c r="S61" i="17"/>
  <c r="R61" i="17" s="1"/>
  <c r="P61" i="17" s="1"/>
  <c r="S63" i="17"/>
  <c r="R63" i="17" s="1"/>
  <c r="P63" i="17" s="1"/>
  <c r="S65" i="17"/>
  <c r="R65" i="17" s="1"/>
  <c r="P65" i="17" s="1"/>
  <c r="S67" i="17"/>
  <c r="R67" i="17" s="1"/>
  <c r="P67" i="17" s="1"/>
  <c r="S69" i="17"/>
  <c r="R69" i="17" s="1"/>
  <c r="P69" i="17" s="1"/>
  <c r="S71" i="17"/>
  <c r="R71" i="17" s="1"/>
  <c r="P71" i="17" s="1"/>
  <c r="S73" i="17"/>
  <c r="R73" i="17" s="1"/>
  <c r="P73" i="17" s="1"/>
  <c r="S75" i="17"/>
  <c r="R75" i="17" s="1"/>
  <c r="P75" i="17" s="1"/>
  <c r="S77" i="17"/>
  <c r="R77" i="17" s="1"/>
  <c r="P77" i="17" s="1"/>
  <c r="S79" i="17"/>
  <c r="R79" i="17" s="1"/>
  <c r="P79" i="17" s="1"/>
  <c r="S81" i="17"/>
  <c r="R81" i="17" s="1"/>
  <c r="P81" i="17" s="1"/>
  <c r="S83" i="17"/>
  <c r="R83" i="17" s="1"/>
  <c r="P83" i="17" s="1"/>
  <c r="S85" i="17"/>
  <c r="R85" i="17" s="1"/>
  <c r="P85" i="17" s="1"/>
  <c r="V85" i="17" s="1"/>
  <c r="F85" i="17" s="1"/>
  <c r="S87" i="17"/>
  <c r="R87" i="17" s="1"/>
  <c r="P87" i="17" s="1"/>
  <c r="S89" i="17"/>
  <c r="R89" i="17" s="1"/>
  <c r="P89" i="17" s="1"/>
  <c r="S91" i="17"/>
  <c r="R91" i="17" s="1"/>
  <c r="P91" i="17" s="1"/>
  <c r="V91" i="17" s="1"/>
  <c r="F91" i="17" s="1"/>
  <c r="S93" i="17"/>
  <c r="R93" i="17" s="1"/>
  <c r="P93" i="17" s="1"/>
  <c r="S95" i="17"/>
  <c r="R95" i="17" s="1"/>
  <c r="P95" i="17" s="1"/>
  <c r="S97" i="17"/>
  <c r="R97" i="17" s="1"/>
  <c r="P97" i="17" s="1"/>
  <c r="S99" i="17"/>
  <c r="R99" i="17" s="1"/>
  <c r="P99" i="17" s="1"/>
  <c r="V99" i="17" s="1"/>
  <c r="F99" i="17" s="1"/>
  <c r="S101" i="17"/>
  <c r="R101" i="17" s="1"/>
  <c r="P101" i="17" s="1"/>
  <c r="S103" i="17"/>
  <c r="R103" i="17" s="1"/>
  <c r="P103" i="17" s="1"/>
  <c r="V103" i="17" s="1"/>
  <c r="F103" i="17" s="1"/>
  <c r="S105" i="17"/>
  <c r="R105" i="17" s="1"/>
  <c r="P105" i="17" s="1"/>
  <c r="V105" i="17" s="1"/>
  <c r="S107" i="17"/>
  <c r="R107" i="17" s="1"/>
  <c r="P107" i="17" s="1"/>
  <c r="S109" i="17"/>
  <c r="R109" i="17" s="1"/>
  <c r="P109" i="17" s="1"/>
  <c r="S111" i="17"/>
  <c r="R111" i="17" s="1"/>
  <c r="P111" i="17" s="1"/>
  <c r="S113" i="17"/>
  <c r="R113" i="17" s="1"/>
  <c r="P113" i="17" s="1"/>
  <c r="S115" i="17"/>
  <c r="R115" i="17" s="1"/>
  <c r="P115" i="17" s="1"/>
  <c r="S117" i="17"/>
  <c r="R117" i="17" s="1"/>
  <c r="P117" i="17" s="1"/>
  <c r="V117" i="17" s="1"/>
  <c r="F117" i="17" s="1"/>
  <c r="S119" i="17"/>
  <c r="R119" i="17" s="1"/>
  <c r="P119" i="17" s="1"/>
  <c r="S121" i="17"/>
  <c r="R121" i="17" s="1"/>
  <c r="P121" i="17" s="1"/>
  <c r="S123" i="17"/>
  <c r="R123" i="17" s="1"/>
  <c r="P123" i="17" s="1"/>
  <c r="S125" i="17"/>
  <c r="R125" i="17" s="1"/>
  <c r="P125" i="17" s="1"/>
  <c r="S127" i="17"/>
  <c r="R127" i="17" s="1"/>
  <c r="P127" i="17" s="1"/>
  <c r="S129" i="17"/>
  <c r="R129" i="17" s="1"/>
  <c r="P129" i="17" s="1"/>
  <c r="S131" i="17"/>
  <c r="R131" i="17" s="1"/>
  <c r="P131" i="17" s="1"/>
  <c r="S133" i="17"/>
  <c r="R133" i="17" s="1"/>
  <c r="P133" i="17" s="1"/>
  <c r="S135" i="17"/>
  <c r="R135" i="17" s="1"/>
  <c r="P135" i="17" s="1"/>
  <c r="S137" i="17"/>
  <c r="R137" i="17" s="1"/>
  <c r="P137" i="17" s="1"/>
  <c r="S139" i="17"/>
  <c r="R139" i="17" s="1"/>
  <c r="P139" i="17" s="1"/>
  <c r="S141" i="17"/>
  <c r="R141" i="17" s="1"/>
  <c r="P141" i="17" s="1"/>
  <c r="S143" i="17"/>
  <c r="R143" i="17" s="1"/>
  <c r="P143" i="17" s="1"/>
  <c r="S145" i="17"/>
  <c r="R145" i="17" s="1"/>
  <c r="P145" i="17" s="1"/>
  <c r="S147" i="17"/>
  <c r="R147" i="17" s="1"/>
  <c r="P147" i="17" s="1"/>
  <c r="S149" i="17"/>
  <c r="R149" i="17" s="1"/>
  <c r="P149" i="17" s="1"/>
  <c r="S151" i="17"/>
  <c r="R151" i="17" s="1"/>
  <c r="P151" i="17" s="1"/>
  <c r="S153" i="17"/>
  <c r="R153" i="17" s="1"/>
  <c r="P153" i="17" s="1"/>
  <c r="S155" i="17"/>
  <c r="R155" i="17" s="1"/>
  <c r="P155" i="17" s="1"/>
  <c r="S157" i="17"/>
  <c r="R157" i="17" s="1"/>
  <c r="P157" i="17" s="1"/>
  <c r="S159" i="17"/>
  <c r="R159" i="17" s="1"/>
  <c r="P159" i="17" s="1"/>
  <c r="S161" i="17"/>
  <c r="R161" i="17" s="1"/>
  <c r="P161" i="17" s="1"/>
  <c r="S163" i="17"/>
  <c r="R163" i="17" s="1"/>
  <c r="P163" i="17" s="1"/>
  <c r="S165" i="17"/>
  <c r="R165" i="17" s="1"/>
  <c r="P165" i="17" s="1"/>
  <c r="S167" i="17"/>
  <c r="R167" i="17" s="1"/>
  <c r="P167" i="17" s="1"/>
  <c r="S169" i="17"/>
  <c r="R169" i="17" s="1"/>
  <c r="P169" i="17" s="1"/>
  <c r="S171" i="17"/>
  <c r="R171" i="17" s="1"/>
  <c r="P171" i="17" s="1"/>
  <c r="S173" i="17"/>
  <c r="R173" i="17" s="1"/>
  <c r="P173" i="17" s="1"/>
  <c r="S175" i="17"/>
  <c r="R175" i="17" s="1"/>
  <c r="P175" i="17" s="1"/>
  <c r="S177" i="17"/>
  <c r="R177" i="17" s="1"/>
  <c r="P177" i="17" s="1"/>
  <c r="S179" i="17"/>
  <c r="R179" i="17" s="1"/>
  <c r="P179" i="17" s="1"/>
  <c r="S181" i="17"/>
  <c r="R181" i="17" s="1"/>
  <c r="P181" i="17" s="1"/>
  <c r="S183" i="17"/>
  <c r="R183" i="17" s="1"/>
  <c r="P183" i="17" s="1"/>
  <c r="S185" i="17"/>
  <c r="R185" i="17" s="1"/>
  <c r="P185" i="17" s="1"/>
  <c r="S187" i="17"/>
  <c r="R187" i="17" s="1"/>
  <c r="P187" i="17" s="1"/>
  <c r="S189" i="17"/>
  <c r="R189" i="17" s="1"/>
  <c r="P189" i="17" s="1"/>
  <c r="S191" i="17"/>
  <c r="R191" i="17" s="1"/>
  <c r="P191" i="17" s="1"/>
  <c r="V191" i="17" s="1"/>
  <c r="F191" i="17" s="1"/>
  <c r="S193" i="17"/>
  <c r="R193" i="17" s="1"/>
  <c r="P193" i="17" s="1"/>
  <c r="V193" i="17" s="1"/>
  <c r="F193" i="17" s="1"/>
  <c r="S195" i="17"/>
  <c r="R195" i="17" s="1"/>
  <c r="P195" i="17" s="1"/>
  <c r="S197" i="17"/>
  <c r="R197" i="17" s="1"/>
  <c r="P197" i="17" s="1"/>
  <c r="S199" i="17"/>
  <c r="R199" i="17" s="1"/>
  <c r="P199" i="17" s="1"/>
  <c r="S201" i="17"/>
  <c r="R201" i="17" s="1"/>
  <c r="P201" i="17" s="1"/>
  <c r="S203" i="17"/>
  <c r="R203" i="17" s="1"/>
  <c r="P203" i="17" s="1"/>
  <c r="S205" i="17"/>
  <c r="R205" i="17" s="1"/>
  <c r="P205" i="17" s="1"/>
  <c r="V205" i="17" s="1"/>
  <c r="F205" i="17" s="1"/>
  <c r="S207" i="17"/>
  <c r="R207" i="17" s="1"/>
  <c r="P207" i="17" s="1"/>
  <c r="S209" i="17"/>
  <c r="R209" i="17" s="1"/>
  <c r="P209" i="17" s="1"/>
  <c r="S211" i="17"/>
  <c r="R211" i="17" s="1"/>
  <c r="P211" i="17" s="1"/>
  <c r="S213" i="17"/>
  <c r="R213" i="17" s="1"/>
  <c r="P213" i="17" s="1"/>
  <c r="S215" i="17"/>
  <c r="R215" i="17" s="1"/>
  <c r="P215" i="17" s="1"/>
  <c r="S217" i="17"/>
  <c r="R217" i="17" s="1"/>
  <c r="P217" i="17" s="1"/>
  <c r="S219" i="17"/>
  <c r="R219" i="17" s="1"/>
  <c r="P219" i="17" s="1"/>
  <c r="S221" i="17"/>
  <c r="R221" i="17" s="1"/>
  <c r="P221" i="17" s="1"/>
  <c r="S223" i="17"/>
  <c r="R223" i="17" s="1"/>
  <c r="P223" i="17" s="1"/>
  <c r="S225" i="17"/>
  <c r="R225" i="17" s="1"/>
  <c r="P225" i="17" s="1"/>
  <c r="S227" i="17"/>
  <c r="R227" i="17" s="1"/>
  <c r="P227" i="17" s="1"/>
  <c r="V227" i="17" s="1"/>
  <c r="S229" i="17"/>
  <c r="R229" i="17" s="1"/>
  <c r="P229" i="17" s="1"/>
  <c r="S231" i="17"/>
  <c r="R231" i="17" s="1"/>
  <c r="P231" i="17" s="1"/>
  <c r="S233" i="17"/>
  <c r="R233" i="17" s="1"/>
  <c r="P233" i="17" s="1"/>
  <c r="S235" i="17"/>
  <c r="R235" i="17" s="1"/>
  <c r="P235" i="17" s="1"/>
  <c r="V235" i="17" s="1"/>
  <c r="S237" i="17"/>
  <c r="R237" i="17" s="1"/>
  <c r="P237" i="17" s="1"/>
  <c r="V237" i="17" s="1"/>
  <c r="F237" i="17" s="1"/>
  <c r="S239" i="17"/>
  <c r="R239" i="17" s="1"/>
  <c r="P239" i="17" s="1"/>
  <c r="S241" i="17"/>
  <c r="R241" i="17" s="1"/>
  <c r="P241" i="17" s="1"/>
  <c r="S243" i="17"/>
  <c r="R243" i="17" s="1"/>
  <c r="P243" i="17" s="1"/>
  <c r="V243" i="17" s="1"/>
  <c r="F243" i="17" s="1"/>
  <c r="S245" i="17"/>
  <c r="R245" i="17" s="1"/>
  <c r="P245" i="17" s="1"/>
  <c r="V245" i="17" s="1"/>
  <c r="F245" i="17" s="1"/>
  <c r="S247" i="17"/>
  <c r="R247" i="17" s="1"/>
  <c r="P247" i="17" s="1"/>
  <c r="S249" i="17"/>
  <c r="R249" i="17" s="1"/>
  <c r="P249" i="17" s="1"/>
  <c r="S251" i="17"/>
  <c r="R251" i="17" s="1"/>
  <c r="P251" i="17" s="1"/>
  <c r="S253" i="17"/>
  <c r="R253" i="17" s="1"/>
  <c r="P253" i="17" s="1"/>
  <c r="V253" i="17" s="1"/>
  <c r="F253" i="17" s="1"/>
  <c r="S255" i="17"/>
  <c r="R255" i="17" s="1"/>
  <c r="P255" i="17" s="1"/>
  <c r="S257" i="17"/>
  <c r="R257" i="17" s="1"/>
  <c r="P257" i="17" s="1"/>
  <c r="S259" i="17"/>
  <c r="R259" i="17" s="1"/>
  <c r="P259" i="17" s="1"/>
  <c r="S261" i="17"/>
  <c r="R261" i="17" s="1"/>
  <c r="P261" i="17" s="1"/>
  <c r="S263" i="17"/>
  <c r="R263" i="17" s="1"/>
  <c r="P263" i="17" s="1"/>
  <c r="V263" i="17" s="1"/>
  <c r="S265" i="17"/>
  <c r="R265" i="17" s="1"/>
  <c r="P265" i="17" s="1"/>
  <c r="S267" i="17"/>
  <c r="R267" i="17" s="1"/>
  <c r="P267" i="17" s="1"/>
  <c r="V267" i="17" s="1"/>
  <c r="S269" i="17"/>
  <c r="R269" i="17" s="1"/>
  <c r="P269" i="17" s="1"/>
  <c r="S271" i="17"/>
  <c r="R271" i="17" s="1"/>
  <c r="P271" i="17" s="1"/>
  <c r="V271" i="17" s="1"/>
  <c r="F271" i="17" s="1"/>
  <c r="S273" i="17"/>
  <c r="R273" i="17" s="1"/>
  <c r="P273" i="17" s="1"/>
  <c r="S275" i="17"/>
  <c r="R275" i="17" s="1"/>
  <c r="P275" i="17" s="1"/>
  <c r="V275" i="17" s="1"/>
  <c r="S277" i="17"/>
  <c r="R277" i="17" s="1"/>
  <c r="P277" i="17" s="1"/>
  <c r="S279" i="17"/>
  <c r="R279" i="17" s="1"/>
  <c r="P279" i="17" s="1"/>
  <c r="S281" i="17"/>
  <c r="R281" i="17" s="1"/>
  <c r="P281" i="17" s="1"/>
  <c r="S283" i="17"/>
  <c r="R283" i="17" s="1"/>
  <c r="P283" i="17" s="1"/>
  <c r="S285" i="17"/>
  <c r="R285" i="17" s="1"/>
  <c r="P285" i="17" s="1"/>
  <c r="S287" i="17"/>
  <c r="R287" i="17" s="1"/>
  <c r="P287" i="17" s="1"/>
  <c r="S289" i="17"/>
  <c r="R289" i="17" s="1"/>
  <c r="P289" i="17" s="1"/>
  <c r="S291" i="17"/>
  <c r="R291" i="17" s="1"/>
  <c r="P291" i="17" s="1"/>
  <c r="S293" i="17"/>
  <c r="R293" i="17" s="1"/>
  <c r="P293" i="17" s="1"/>
  <c r="S295" i="17"/>
  <c r="R295" i="17" s="1"/>
  <c r="P295" i="17" s="1"/>
  <c r="S297" i="17"/>
  <c r="R297" i="17" s="1"/>
  <c r="P297" i="17" s="1"/>
  <c r="S299" i="17"/>
  <c r="R299" i="17" s="1"/>
  <c r="P299" i="17" s="1"/>
  <c r="S301" i="17"/>
  <c r="R301" i="17" s="1"/>
  <c r="P301" i="17" s="1"/>
  <c r="S303" i="17"/>
  <c r="R303" i="17" s="1"/>
  <c r="P303" i="17" s="1"/>
  <c r="S305" i="17"/>
  <c r="R305" i="17" s="1"/>
  <c r="P305" i="17" s="1"/>
  <c r="S307" i="17"/>
  <c r="R307" i="17" s="1"/>
  <c r="P307" i="17" s="1"/>
  <c r="S309" i="17"/>
  <c r="R309" i="17" s="1"/>
  <c r="P309" i="17" s="1"/>
  <c r="S311" i="17"/>
  <c r="R311" i="17" s="1"/>
  <c r="P311" i="17" s="1"/>
  <c r="S313" i="17"/>
  <c r="R313" i="17" s="1"/>
  <c r="P313" i="17" s="1"/>
  <c r="S315" i="17"/>
  <c r="R315" i="17" s="1"/>
  <c r="P315" i="17" s="1"/>
  <c r="S317" i="17"/>
  <c r="R317" i="17" s="1"/>
  <c r="P317" i="17" s="1"/>
  <c r="S319" i="17"/>
  <c r="R319" i="17" s="1"/>
  <c r="P319" i="17" s="1"/>
  <c r="V319" i="17" s="1"/>
  <c r="S321" i="17"/>
  <c r="R321" i="17" s="1"/>
  <c r="P321" i="17" s="1"/>
  <c r="S323" i="17"/>
  <c r="R323" i="17" s="1"/>
  <c r="P323" i="17" s="1"/>
  <c r="S325" i="17"/>
  <c r="R325" i="17" s="1"/>
  <c r="P325" i="17" s="1"/>
  <c r="V325" i="17" s="1"/>
  <c r="F325" i="17" s="1"/>
  <c r="S327" i="17"/>
  <c r="R327" i="17" s="1"/>
  <c r="P327" i="17" s="1"/>
  <c r="S329" i="17"/>
  <c r="R329" i="17" s="1"/>
  <c r="P329" i="17" s="1"/>
  <c r="V329" i="17" s="1"/>
  <c r="S331" i="17"/>
  <c r="R331" i="17" s="1"/>
  <c r="P331" i="17" s="1"/>
  <c r="S333" i="17"/>
  <c r="R333" i="17" s="1"/>
  <c r="P333" i="17" s="1"/>
  <c r="S335" i="17"/>
  <c r="R335" i="17" s="1"/>
  <c r="P335" i="17" s="1"/>
  <c r="S337" i="17"/>
  <c r="R337" i="17" s="1"/>
  <c r="P337" i="17" s="1"/>
  <c r="V337" i="17" s="1"/>
  <c r="F337" i="17" s="1"/>
  <c r="S339" i="17"/>
  <c r="R339" i="17" s="1"/>
  <c r="P339" i="17" s="1"/>
  <c r="V339" i="17" s="1"/>
  <c r="F339" i="17" s="1"/>
  <c r="S341" i="17"/>
  <c r="R341" i="17" s="1"/>
  <c r="P341" i="17" s="1"/>
  <c r="V341" i="17" s="1"/>
  <c r="F341" i="17" s="1"/>
  <c r="S343" i="17"/>
  <c r="R343" i="17" s="1"/>
  <c r="P343" i="17" s="1"/>
  <c r="V343" i="17" s="1"/>
  <c r="F343" i="17" s="1"/>
  <c r="S345" i="17"/>
  <c r="R345" i="17" s="1"/>
  <c r="P345" i="17" s="1"/>
  <c r="S347" i="17"/>
  <c r="R347" i="17" s="1"/>
  <c r="P347" i="17" s="1"/>
  <c r="S349" i="17"/>
  <c r="R349" i="17" s="1"/>
  <c r="P349" i="17" s="1"/>
  <c r="V349" i="17" s="1"/>
  <c r="S351" i="17"/>
  <c r="R351" i="17" s="1"/>
  <c r="P351" i="17" s="1"/>
  <c r="S353" i="17"/>
  <c r="R353" i="17" s="1"/>
  <c r="P353" i="17" s="1"/>
  <c r="S355" i="17"/>
  <c r="R355" i="17" s="1"/>
  <c r="P355" i="17" s="1"/>
  <c r="V355" i="17" s="1"/>
  <c r="F355" i="17" s="1"/>
  <c r="S357" i="17"/>
  <c r="R357" i="17" s="1"/>
  <c r="P357" i="17" s="1"/>
  <c r="V357" i="17" s="1"/>
  <c r="F357" i="17" s="1"/>
  <c r="S359" i="17"/>
  <c r="R359" i="17" s="1"/>
  <c r="P359" i="17" s="1"/>
  <c r="S361" i="17"/>
  <c r="R361" i="17" s="1"/>
  <c r="P361" i="17" s="1"/>
  <c r="S363" i="17"/>
  <c r="R363" i="17" s="1"/>
  <c r="P363" i="17" s="1"/>
  <c r="S365" i="17"/>
  <c r="R365" i="17" s="1"/>
  <c r="P365" i="17" s="1"/>
  <c r="S367" i="17"/>
  <c r="R367" i="17" s="1"/>
  <c r="P367" i="17" s="1"/>
  <c r="S369" i="17"/>
  <c r="R369" i="17" s="1"/>
  <c r="P369" i="17" s="1"/>
  <c r="S371" i="17"/>
  <c r="R371" i="17" s="1"/>
  <c r="P371" i="17" s="1"/>
  <c r="S373" i="17"/>
  <c r="R373" i="17" s="1"/>
  <c r="P373" i="17" s="1"/>
  <c r="S375" i="17"/>
  <c r="R375" i="17" s="1"/>
  <c r="P375" i="17" s="1"/>
  <c r="S377" i="17"/>
  <c r="R377" i="17" s="1"/>
  <c r="P377" i="17" s="1"/>
  <c r="AA16" i="7"/>
  <c r="AC383" i="24"/>
  <c r="AC382" i="24"/>
  <c r="AC381" i="24"/>
  <c r="AM9" i="24"/>
  <c r="AK7" i="24"/>
  <c r="AK11" i="24" s="1"/>
  <c r="AM7" i="24"/>
  <c r="AM11" i="24" s="1"/>
  <c r="AK5" i="24"/>
  <c r="AK9" i="24"/>
  <c r="AM5" i="24"/>
  <c r="Q10" i="18"/>
  <c r="Q16" i="18" s="1"/>
  <c r="AA15" i="7"/>
  <c r="Q19" i="18"/>
  <c r="Q275" i="18"/>
  <c r="AG18" i="17"/>
  <c r="AF18" i="17" s="1"/>
  <c r="AD18" i="17" s="1"/>
  <c r="AG20" i="17"/>
  <c r="AF20" i="17" s="1"/>
  <c r="AD20" i="17" s="1"/>
  <c r="AG22" i="17"/>
  <c r="AF22" i="17" s="1"/>
  <c r="AD22" i="17" s="1"/>
  <c r="AG24" i="17"/>
  <c r="AF24" i="17" s="1"/>
  <c r="AD24" i="17" s="1"/>
  <c r="AG26" i="17"/>
  <c r="AF26" i="17" s="1"/>
  <c r="AD26" i="17" s="1"/>
  <c r="AG28" i="17"/>
  <c r="AF28" i="17" s="1"/>
  <c r="AD28" i="17" s="1"/>
  <c r="AG30" i="17"/>
  <c r="AF30" i="17" s="1"/>
  <c r="AD30" i="17" s="1"/>
  <c r="AG32" i="17"/>
  <c r="AF32" i="17" s="1"/>
  <c r="AD32" i="17" s="1"/>
  <c r="AG34" i="17"/>
  <c r="AF34" i="17" s="1"/>
  <c r="AD34" i="17" s="1"/>
  <c r="AG36" i="17"/>
  <c r="AF36" i="17" s="1"/>
  <c r="AD36" i="17" s="1"/>
  <c r="AG38" i="17"/>
  <c r="AF38" i="17" s="1"/>
  <c r="AD38" i="17" s="1"/>
  <c r="AG40" i="17"/>
  <c r="AF40" i="17" s="1"/>
  <c r="AD40" i="17" s="1"/>
  <c r="AG42" i="17"/>
  <c r="AF42" i="17" s="1"/>
  <c r="AD42" i="17" s="1"/>
  <c r="AG44" i="17"/>
  <c r="AF44" i="17" s="1"/>
  <c r="AD44" i="17" s="1"/>
  <c r="AG46" i="17"/>
  <c r="AF46" i="17" s="1"/>
  <c r="AD46" i="17" s="1"/>
  <c r="AG48" i="17"/>
  <c r="AF48" i="17" s="1"/>
  <c r="AD48" i="17" s="1"/>
  <c r="AG50" i="17"/>
  <c r="AF50" i="17" s="1"/>
  <c r="AD50" i="17" s="1"/>
  <c r="AG52" i="17"/>
  <c r="AF52" i="17" s="1"/>
  <c r="AD52" i="17" s="1"/>
  <c r="AG54" i="17"/>
  <c r="AF54" i="17" s="1"/>
  <c r="AD54" i="17" s="1"/>
  <c r="AG56" i="17"/>
  <c r="AF56" i="17" s="1"/>
  <c r="AD56" i="17" s="1"/>
  <c r="AG58" i="17"/>
  <c r="AF58" i="17" s="1"/>
  <c r="AD58" i="17" s="1"/>
  <c r="AG60" i="17"/>
  <c r="AF60" i="17" s="1"/>
  <c r="AD60" i="17" s="1"/>
  <c r="AG62" i="17"/>
  <c r="AF62" i="17" s="1"/>
  <c r="AD62" i="17" s="1"/>
  <c r="AG64" i="17"/>
  <c r="AF64" i="17" s="1"/>
  <c r="AD64" i="17" s="1"/>
  <c r="AG66" i="17"/>
  <c r="AF66" i="17" s="1"/>
  <c r="AD66" i="17" s="1"/>
  <c r="AG68" i="17"/>
  <c r="AF68" i="17" s="1"/>
  <c r="AD68" i="17" s="1"/>
  <c r="AG70" i="17"/>
  <c r="AF70" i="17" s="1"/>
  <c r="AD70" i="17" s="1"/>
  <c r="AG72" i="17"/>
  <c r="AF72" i="17" s="1"/>
  <c r="AD72" i="17" s="1"/>
  <c r="AG74" i="17"/>
  <c r="AF74" i="17" s="1"/>
  <c r="AD74" i="17" s="1"/>
  <c r="AG76" i="17"/>
  <c r="AF76" i="17" s="1"/>
  <c r="AD76" i="17" s="1"/>
  <c r="AG78" i="17"/>
  <c r="AF78" i="17" s="1"/>
  <c r="AD78" i="17" s="1"/>
  <c r="AG80" i="17"/>
  <c r="AF80" i="17" s="1"/>
  <c r="AD80" i="17" s="1"/>
  <c r="AG82" i="17"/>
  <c r="AF82" i="17" s="1"/>
  <c r="AD82" i="17" s="1"/>
  <c r="AG84" i="17"/>
  <c r="AF84" i="17" s="1"/>
  <c r="AD84" i="17" s="1"/>
  <c r="AG86" i="17"/>
  <c r="AF86" i="17" s="1"/>
  <c r="AD86" i="17" s="1"/>
  <c r="AG88" i="17"/>
  <c r="AF88" i="17" s="1"/>
  <c r="AD88" i="17" s="1"/>
  <c r="AG90" i="17"/>
  <c r="AF90" i="17" s="1"/>
  <c r="AD90" i="17" s="1"/>
  <c r="AG92" i="17"/>
  <c r="AF92" i="17" s="1"/>
  <c r="AD92" i="17" s="1"/>
  <c r="AG94" i="17"/>
  <c r="AF94" i="17" s="1"/>
  <c r="AD94" i="17" s="1"/>
  <c r="AG96" i="17"/>
  <c r="AF96" i="17" s="1"/>
  <c r="AD96" i="17" s="1"/>
  <c r="AG98" i="17"/>
  <c r="AF98" i="17" s="1"/>
  <c r="AD98" i="17" s="1"/>
  <c r="AG100" i="17"/>
  <c r="AF100" i="17" s="1"/>
  <c r="AD100" i="17" s="1"/>
  <c r="AG102" i="17"/>
  <c r="AF102" i="17" s="1"/>
  <c r="AD102" i="17" s="1"/>
  <c r="AG104" i="17"/>
  <c r="AF104" i="17" s="1"/>
  <c r="AD104" i="17" s="1"/>
  <c r="AG106" i="17"/>
  <c r="AF106" i="17" s="1"/>
  <c r="AD106" i="17" s="1"/>
  <c r="AG108" i="17"/>
  <c r="AF108" i="17" s="1"/>
  <c r="AD108" i="17" s="1"/>
  <c r="AG110" i="17"/>
  <c r="AF110" i="17" s="1"/>
  <c r="AD110" i="17" s="1"/>
  <c r="AG112" i="17"/>
  <c r="AF112" i="17" s="1"/>
  <c r="AD112" i="17" s="1"/>
  <c r="AG114" i="17"/>
  <c r="AF114" i="17" s="1"/>
  <c r="AD114" i="17" s="1"/>
  <c r="AG116" i="17"/>
  <c r="AF116" i="17" s="1"/>
  <c r="AD116" i="17" s="1"/>
  <c r="AG118" i="17"/>
  <c r="AF118" i="17" s="1"/>
  <c r="AD118" i="17" s="1"/>
  <c r="AG120" i="17"/>
  <c r="AF120" i="17" s="1"/>
  <c r="AD120" i="17" s="1"/>
  <c r="AG122" i="17"/>
  <c r="AF122" i="17" s="1"/>
  <c r="AD122" i="17" s="1"/>
  <c r="AG124" i="17"/>
  <c r="AF124" i="17" s="1"/>
  <c r="AD124" i="17" s="1"/>
  <c r="AG126" i="17"/>
  <c r="AF126" i="17" s="1"/>
  <c r="AD126" i="17" s="1"/>
  <c r="AG128" i="17"/>
  <c r="AF128" i="17" s="1"/>
  <c r="AD128" i="17" s="1"/>
  <c r="AG130" i="17"/>
  <c r="AF130" i="17" s="1"/>
  <c r="AD130" i="17" s="1"/>
  <c r="AG132" i="17"/>
  <c r="AF132" i="17" s="1"/>
  <c r="AD132" i="17" s="1"/>
  <c r="AG134" i="17"/>
  <c r="AF134" i="17" s="1"/>
  <c r="AD134" i="17" s="1"/>
  <c r="AG136" i="17"/>
  <c r="AF136" i="17" s="1"/>
  <c r="AD136" i="17" s="1"/>
  <c r="AG138" i="17"/>
  <c r="AF138" i="17" s="1"/>
  <c r="AD138" i="17" s="1"/>
  <c r="AG140" i="17"/>
  <c r="AF140" i="17" s="1"/>
  <c r="AD140" i="17" s="1"/>
  <c r="AG142" i="17"/>
  <c r="AF142" i="17" s="1"/>
  <c r="AD142" i="17" s="1"/>
  <c r="AG144" i="17"/>
  <c r="AF144" i="17" s="1"/>
  <c r="AD144" i="17" s="1"/>
  <c r="AG146" i="17"/>
  <c r="AF146" i="17" s="1"/>
  <c r="AD146" i="17" s="1"/>
  <c r="AG148" i="17"/>
  <c r="AF148" i="17" s="1"/>
  <c r="AD148" i="17" s="1"/>
  <c r="AG150" i="17"/>
  <c r="AF150" i="17" s="1"/>
  <c r="AD150" i="17" s="1"/>
  <c r="AG152" i="17"/>
  <c r="AF152" i="17" s="1"/>
  <c r="AD152" i="17" s="1"/>
  <c r="AG154" i="17"/>
  <c r="AF154" i="17" s="1"/>
  <c r="AD154" i="17" s="1"/>
  <c r="AG156" i="17"/>
  <c r="AF156" i="17" s="1"/>
  <c r="AD156" i="17" s="1"/>
  <c r="AG158" i="17"/>
  <c r="AF158" i="17" s="1"/>
  <c r="AD158" i="17" s="1"/>
  <c r="AG160" i="17"/>
  <c r="AF160" i="17" s="1"/>
  <c r="AD160" i="17" s="1"/>
  <c r="AG162" i="17"/>
  <c r="AF162" i="17" s="1"/>
  <c r="AD162" i="17" s="1"/>
  <c r="AG164" i="17"/>
  <c r="AF164" i="17" s="1"/>
  <c r="AD164" i="17" s="1"/>
  <c r="AG166" i="17"/>
  <c r="AF166" i="17" s="1"/>
  <c r="AD166" i="17" s="1"/>
  <c r="AG168" i="17"/>
  <c r="AF168" i="17" s="1"/>
  <c r="AD168" i="17" s="1"/>
  <c r="AG170" i="17"/>
  <c r="AF170" i="17" s="1"/>
  <c r="AD170" i="17" s="1"/>
  <c r="AG172" i="17"/>
  <c r="AF172" i="17" s="1"/>
  <c r="AD172" i="17" s="1"/>
  <c r="AG174" i="17"/>
  <c r="AF174" i="17" s="1"/>
  <c r="AD174" i="17" s="1"/>
  <c r="AG176" i="17"/>
  <c r="AF176" i="17" s="1"/>
  <c r="AD176" i="17" s="1"/>
  <c r="AG178" i="17"/>
  <c r="AF178" i="17" s="1"/>
  <c r="AD178" i="17" s="1"/>
  <c r="AG180" i="17"/>
  <c r="AF180" i="17" s="1"/>
  <c r="AD180" i="17" s="1"/>
  <c r="AG182" i="17"/>
  <c r="AF182" i="17" s="1"/>
  <c r="AD182" i="17" s="1"/>
  <c r="AG184" i="17"/>
  <c r="AF184" i="17" s="1"/>
  <c r="AD184" i="17" s="1"/>
  <c r="AG186" i="17"/>
  <c r="AF186" i="17" s="1"/>
  <c r="AD186" i="17" s="1"/>
  <c r="AG188" i="17"/>
  <c r="AF188" i="17" s="1"/>
  <c r="AD188" i="17" s="1"/>
  <c r="AG190" i="17"/>
  <c r="AF190" i="17" s="1"/>
  <c r="AD190" i="17" s="1"/>
  <c r="AG192" i="17"/>
  <c r="AF192" i="17" s="1"/>
  <c r="AD192" i="17" s="1"/>
  <c r="AG194" i="17"/>
  <c r="AF194" i="17" s="1"/>
  <c r="AD194" i="17" s="1"/>
  <c r="AG196" i="17"/>
  <c r="AF196" i="17" s="1"/>
  <c r="AD196" i="17" s="1"/>
  <c r="AG198" i="17"/>
  <c r="AF198" i="17" s="1"/>
  <c r="AD198" i="17" s="1"/>
  <c r="AG200" i="17"/>
  <c r="AF200" i="17" s="1"/>
  <c r="AD200" i="17" s="1"/>
  <c r="AG202" i="17"/>
  <c r="AF202" i="17" s="1"/>
  <c r="AD202" i="17" s="1"/>
  <c r="AG204" i="17"/>
  <c r="AF204" i="17" s="1"/>
  <c r="AD204" i="17" s="1"/>
  <c r="AG206" i="17"/>
  <c r="AF206" i="17" s="1"/>
  <c r="AD206" i="17" s="1"/>
  <c r="AG208" i="17"/>
  <c r="AF208" i="17" s="1"/>
  <c r="AD208" i="17" s="1"/>
  <c r="AG210" i="17"/>
  <c r="AF210" i="17" s="1"/>
  <c r="AD210" i="17" s="1"/>
  <c r="AG212" i="17"/>
  <c r="AF212" i="17" s="1"/>
  <c r="AD212" i="17" s="1"/>
  <c r="AG214" i="17"/>
  <c r="AF214" i="17" s="1"/>
  <c r="AD214" i="17" s="1"/>
  <c r="AG216" i="17"/>
  <c r="AF216" i="17" s="1"/>
  <c r="AD216" i="17" s="1"/>
  <c r="AG218" i="17"/>
  <c r="AF218" i="17" s="1"/>
  <c r="AD218" i="17" s="1"/>
  <c r="AG220" i="17"/>
  <c r="AF220" i="17" s="1"/>
  <c r="AD220" i="17" s="1"/>
  <c r="AG222" i="17"/>
  <c r="AF222" i="17" s="1"/>
  <c r="AD222" i="17" s="1"/>
  <c r="AG224" i="17"/>
  <c r="AF224" i="17" s="1"/>
  <c r="AD224" i="17" s="1"/>
  <c r="AG226" i="17"/>
  <c r="AF226" i="17" s="1"/>
  <c r="AD226" i="17" s="1"/>
  <c r="AG228" i="17"/>
  <c r="AF228" i="17" s="1"/>
  <c r="AD228" i="17" s="1"/>
  <c r="AG230" i="17"/>
  <c r="AF230" i="17" s="1"/>
  <c r="AD230" i="17" s="1"/>
  <c r="AG232" i="17"/>
  <c r="AF232" i="17" s="1"/>
  <c r="AD232" i="17" s="1"/>
  <c r="AG234" i="17"/>
  <c r="AF234" i="17" s="1"/>
  <c r="AD234" i="17" s="1"/>
  <c r="AG236" i="17"/>
  <c r="AF236" i="17" s="1"/>
  <c r="AD236" i="17" s="1"/>
  <c r="AG238" i="17"/>
  <c r="AF238" i="17" s="1"/>
  <c r="AD238" i="17" s="1"/>
  <c r="AG240" i="17"/>
  <c r="AF240" i="17" s="1"/>
  <c r="AD240" i="17" s="1"/>
  <c r="AG242" i="17"/>
  <c r="AF242" i="17" s="1"/>
  <c r="AD242" i="17" s="1"/>
  <c r="AG244" i="17"/>
  <c r="AF244" i="17" s="1"/>
  <c r="AD244" i="17" s="1"/>
  <c r="AG246" i="17"/>
  <c r="AF246" i="17" s="1"/>
  <c r="AD246" i="17" s="1"/>
  <c r="AG248" i="17"/>
  <c r="AF248" i="17" s="1"/>
  <c r="AD248" i="17" s="1"/>
  <c r="AG250" i="17"/>
  <c r="AF250" i="17" s="1"/>
  <c r="AD250" i="17" s="1"/>
  <c r="AG252" i="17"/>
  <c r="AF252" i="17" s="1"/>
  <c r="AD252" i="17" s="1"/>
  <c r="AG254" i="17"/>
  <c r="AF254" i="17" s="1"/>
  <c r="AD254" i="17" s="1"/>
  <c r="AG256" i="17"/>
  <c r="AF256" i="17" s="1"/>
  <c r="AD256" i="17" s="1"/>
  <c r="AG258" i="17"/>
  <c r="AF258" i="17" s="1"/>
  <c r="AD258" i="17" s="1"/>
  <c r="AG260" i="17"/>
  <c r="AF260" i="17" s="1"/>
  <c r="AD260" i="17" s="1"/>
  <c r="AG262" i="17"/>
  <c r="AF262" i="17" s="1"/>
  <c r="AD262" i="17" s="1"/>
  <c r="AG264" i="17"/>
  <c r="AF264" i="17" s="1"/>
  <c r="AD264" i="17" s="1"/>
  <c r="AG266" i="17"/>
  <c r="AF266" i="17" s="1"/>
  <c r="AD266" i="17" s="1"/>
  <c r="AG268" i="17"/>
  <c r="AF268" i="17" s="1"/>
  <c r="AD268" i="17" s="1"/>
  <c r="AG270" i="17"/>
  <c r="AF270" i="17" s="1"/>
  <c r="AD270" i="17" s="1"/>
  <c r="AG272" i="17"/>
  <c r="AF272" i="17" s="1"/>
  <c r="AD272" i="17" s="1"/>
  <c r="AG274" i="17"/>
  <c r="AF274" i="17" s="1"/>
  <c r="AD274" i="17" s="1"/>
  <c r="AG276" i="17"/>
  <c r="AF276" i="17" s="1"/>
  <c r="AD276" i="17" s="1"/>
  <c r="AG278" i="17"/>
  <c r="AF278" i="17" s="1"/>
  <c r="AD278" i="17" s="1"/>
  <c r="AG280" i="17"/>
  <c r="AF280" i="17" s="1"/>
  <c r="AD280" i="17" s="1"/>
  <c r="AG282" i="17"/>
  <c r="AF282" i="17" s="1"/>
  <c r="AD282" i="17" s="1"/>
  <c r="AG284" i="17"/>
  <c r="AF284" i="17" s="1"/>
  <c r="AD284" i="17" s="1"/>
  <c r="AG286" i="17"/>
  <c r="AF286" i="17" s="1"/>
  <c r="AD286" i="17" s="1"/>
  <c r="AG288" i="17"/>
  <c r="AF288" i="17" s="1"/>
  <c r="AD288" i="17" s="1"/>
  <c r="AG290" i="17"/>
  <c r="AF290" i="17" s="1"/>
  <c r="AD290" i="17" s="1"/>
  <c r="AG292" i="17"/>
  <c r="AF292" i="17" s="1"/>
  <c r="AD292" i="17" s="1"/>
  <c r="AG294" i="17"/>
  <c r="AF294" i="17" s="1"/>
  <c r="AD294" i="17" s="1"/>
  <c r="AG296" i="17"/>
  <c r="AF296" i="17" s="1"/>
  <c r="AD296" i="17" s="1"/>
  <c r="AG298" i="17"/>
  <c r="AF298" i="17" s="1"/>
  <c r="AD298" i="17" s="1"/>
  <c r="AG300" i="17"/>
  <c r="AF300" i="17" s="1"/>
  <c r="AD300" i="17" s="1"/>
  <c r="AG302" i="17"/>
  <c r="AF302" i="17" s="1"/>
  <c r="AD302" i="17" s="1"/>
  <c r="AG304" i="17"/>
  <c r="AF304" i="17" s="1"/>
  <c r="AD304" i="17" s="1"/>
  <c r="AG306" i="17"/>
  <c r="AF306" i="17" s="1"/>
  <c r="AD306" i="17" s="1"/>
  <c r="AG308" i="17"/>
  <c r="AF308" i="17" s="1"/>
  <c r="AD308" i="17" s="1"/>
  <c r="AG310" i="17"/>
  <c r="AF310" i="17" s="1"/>
  <c r="AD310" i="17" s="1"/>
  <c r="AG312" i="17"/>
  <c r="AF312" i="17" s="1"/>
  <c r="AD312" i="17" s="1"/>
  <c r="AG314" i="17"/>
  <c r="AF314" i="17" s="1"/>
  <c r="AD314" i="17" s="1"/>
  <c r="AG316" i="17"/>
  <c r="AF316" i="17" s="1"/>
  <c r="AD316" i="17" s="1"/>
  <c r="AG318" i="17"/>
  <c r="AF318" i="17" s="1"/>
  <c r="AD318" i="17" s="1"/>
  <c r="AG320" i="17"/>
  <c r="AF320" i="17" s="1"/>
  <c r="AD320" i="17" s="1"/>
  <c r="AG322" i="17"/>
  <c r="AF322" i="17" s="1"/>
  <c r="AD322" i="17" s="1"/>
  <c r="AG324" i="17"/>
  <c r="AF324" i="17" s="1"/>
  <c r="AD324" i="17" s="1"/>
  <c r="AG326" i="17"/>
  <c r="AF326" i="17" s="1"/>
  <c r="AD326" i="17" s="1"/>
  <c r="AG328" i="17"/>
  <c r="AF328" i="17" s="1"/>
  <c r="AD328" i="17" s="1"/>
  <c r="AG330" i="17"/>
  <c r="AF330" i="17" s="1"/>
  <c r="AD330" i="17" s="1"/>
  <c r="AG332" i="17"/>
  <c r="AF332" i="17" s="1"/>
  <c r="AD332" i="17" s="1"/>
  <c r="AG334" i="17"/>
  <c r="AF334" i="17" s="1"/>
  <c r="AD334" i="17" s="1"/>
  <c r="AG336" i="17"/>
  <c r="AF336" i="17" s="1"/>
  <c r="AD336" i="17" s="1"/>
  <c r="AG338" i="17"/>
  <c r="AF338" i="17" s="1"/>
  <c r="AD338" i="17" s="1"/>
  <c r="AG340" i="17"/>
  <c r="AF340" i="17" s="1"/>
  <c r="AD340" i="17" s="1"/>
  <c r="AG342" i="17"/>
  <c r="AF342" i="17" s="1"/>
  <c r="AD342" i="17" s="1"/>
  <c r="AG344" i="17"/>
  <c r="AF344" i="17" s="1"/>
  <c r="AD344" i="17" s="1"/>
  <c r="AG346" i="17"/>
  <c r="AF346" i="17" s="1"/>
  <c r="AD346" i="17" s="1"/>
  <c r="AG348" i="17"/>
  <c r="AF348" i="17" s="1"/>
  <c r="AD348" i="17" s="1"/>
  <c r="AG350" i="17"/>
  <c r="AF350" i="17" s="1"/>
  <c r="AD350" i="17" s="1"/>
  <c r="AG352" i="17"/>
  <c r="AF352" i="17" s="1"/>
  <c r="AD352" i="17" s="1"/>
  <c r="AG354" i="17"/>
  <c r="AF354" i="17" s="1"/>
  <c r="AD354" i="17" s="1"/>
  <c r="AG356" i="17"/>
  <c r="AF356" i="17" s="1"/>
  <c r="AD356" i="17" s="1"/>
  <c r="AG358" i="17"/>
  <c r="AF358" i="17" s="1"/>
  <c r="AD358" i="17" s="1"/>
  <c r="AG360" i="17"/>
  <c r="AF360" i="17" s="1"/>
  <c r="AD360" i="17" s="1"/>
  <c r="AG362" i="17"/>
  <c r="AF362" i="17" s="1"/>
  <c r="AD362" i="17" s="1"/>
  <c r="AG364" i="17"/>
  <c r="AF364" i="17" s="1"/>
  <c r="AD364" i="17" s="1"/>
  <c r="AG366" i="17"/>
  <c r="AF366" i="17" s="1"/>
  <c r="AD366" i="17" s="1"/>
  <c r="AG368" i="17"/>
  <c r="AF368" i="17" s="1"/>
  <c r="AD368" i="17" s="1"/>
  <c r="AG370" i="17"/>
  <c r="AF370" i="17" s="1"/>
  <c r="AD370" i="17" s="1"/>
  <c r="AG372" i="17"/>
  <c r="AF372" i="17" s="1"/>
  <c r="AD372" i="17" s="1"/>
  <c r="AG374" i="17"/>
  <c r="AF374" i="17" s="1"/>
  <c r="AD374" i="17" s="1"/>
  <c r="AG376" i="17"/>
  <c r="AF376" i="17" s="1"/>
  <c r="AD376" i="17" s="1"/>
  <c r="AG378" i="17"/>
  <c r="AF378" i="17" s="1"/>
  <c r="AD378" i="17" s="1"/>
  <c r="F380" i="16"/>
  <c r="AK8" i="16"/>
  <c r="AJ10" i="16"/>
  <c r="AJ12" i="16" s="1"/>
  <c r="AJ13" i="16" s="1"/>
  <c r="E382" i="16"/>
  <c r="E381" i="16"/>
  <c r="E9" i="16"/>
  <c r="E11" i="16" s="1"/>
  <c r="E383" i="16"/>
  <c r="S18" i="17"/>
  <c r="R18" i="17" s="1"/>
  <c r="P18" i="17" s="1"/>
  <c r="S20" i="17"/>
  <c r="R20" i="17" s="1"/>
  <c r="P20" i="17" s="1"/>
  <c r="S22" i="17"/>
  <c r="R22" i="17" s="1"/>
  <c r="P22" i="17" s="1"/>
  <c r="S24" i="17"/>
  <c r="R24" i="17" s="1"/>
  <c r="P24" i="17" s="1"/>
  <c r="S26" i="17"/>
  <c r="R26" i="17" s="1"/>
  <c r="P26" i="17" s="1"/>
  <c r="S28" i="17"/>
  <c r="R28" i="17" s="1"/>
  <c r="P28" i="17" s="1"/>
  <c r="S30" i="17"/>
  <c r="R30" i="17" s="1"/>
  <c r="P30" i="17" s="1"/>
  <c r="S32" i="17"/>
  <c r="R32" i="17" s="1"/>
  <c r="P32" i="17" s="1"/>
  <c r="S34" i="17"/>
  <c r="R34" i="17" s="1"/>
  <c r="P34" i="17" s="1"/>
  <c r="S36" i="17"/>
  <c r="R36" i="17" s="1"/>
  <c r="P36" i="17" s="1"/>
  <c r="S38" i="17"/>
  <c r="R38" i="17" s="1"/>
  <c r="P38" i="17" s="1"/>
  <c r="V38" i="17" s="1"/>
  <c r="F38" i="17" s="1"/>
  <c r="S40" i="17"/>
  <c r="R40" i="17" s="1"/>
  <c r="P40" i="17" s="1"/>
  <c r="V40" i="17" s="1"/>
  <c r="F40" i="17" s="1"/>
  <c r="S42" i="17"/>
  <c r="R42" i="17" s="1"/>
  <c r="P42" i="17" s="1"/>
  <c r="S44" i="17"/>
  <c r="R44" i="17" s="1"/>
  <c r="P44" i="17" s="1"/>
  <c r="S46" i="17"/>
  <c r="R46" i="17" s="1"/>
  <c r="P46" i="17" s="1"/>
  <c r="S48" i="17"/>
  <c r="R48" i="17" s="1"/>
  <c r="P48" i="17" s="1"/>
  <c r="S50" i="17"/>
  <c r="R50" i="17" s="1"/>
  <c r="P50" i="17" s="1"/>
  <c r="S52" i="17"/>
  <c r="R52" i="17" s="1"/>
  <c r="P52" i="17" s="1"/>
  <c r="V52" i="17" s="1"/>
  <c r="S54" i="17"/>
  <c r="R54" i="17" s="1"/>
  <c r="P54" i="17" s="1"/>
  <c r="V54" i="17" s="1"/>
  <c r="F54" i="17" s="1"/>
  <c r="S56" i="17"/>
  <c r="R56" i="17" s="1"/>
  <c r="P56" i="17" s="1"/>
  <c r="S58" i="17"/>
  <c r="R58" i="17" s="1"/>
  <c r="P58" i="17" s="1"/>
  <c r="S60" i="17"/>
  <c r="R60" i="17" s="1"/>
  <c r="P60" i="17" s="1"/>
  <c r="S62" i="17"/>
  <c r="R62" i="17" s="1"/>
  <c r="P62" i="17" s="1"/>
  <c r="S64" i="17"/>
  <c r="R64" i="17" s="1"/>
  <c r="P64" i="17" s="1"/>
  <c r="V64" i="17" s="1"/>
  <c r="F64" i="17" s="1"/>
  <c r="S66" i="17"/>
  <c r="R66" i="17" s="1"/>
  <c r="P66" i="17" s="1"/>
  <c r="S68" i="17"/>
  <c r="R68" i="17" s="1"/>
  <c r="P68" i="17" s="1"/>
  <c r="S70" i="17"/>
  <c r="R70" i="17" s="1"/>
  <c r="P70" i="17" s="1"/>
  <c r="S72" i="17"/>
  <c r="R72" i="17" s="1"/>
  <c r="P72" i="17" s="1"/>
  <c r="S74" i="17"/>
  <c r="R74" i="17" s="1"/>
  <c r="P74" i="17" s="1"/>
  <c r="V74" i="17" s="1"/>
  <c r="S76" i="17"/>
  <c r="R76" i="17" s="1"/>
  <c r="P76" i="17" s="1"/>
  <c r="S78" i="17"/>
  <c r="R78" i="17" s="1"/>
  <c r="P78" i="17" s="1"/>
  <c r="S80" i="17"/>
  <c r="R80" i="17" s="1"/>
  <c r="P80" i="17" s="1"/>
  <c r="S82" i="17"/>
  <c r="R82" i="17" s="1"/>
  <c r="P82" i="17" s="1"/>
  <c r="S84" i="17"/>
  <c r="R84" i="17" s="1"/>
  <c r="P84" i="17" s="1"/>
  <c r="S86" i="17"/>
  <c r="R86" i="17" s="1"/>
  <c r="P86" i="17" s="1"/>
  <c r="S88" i="17"/>
  <c r="R88" i="17" s="1"/>
  <c r="P88" i="17" s="1"/>
  <c r="S90" i="17"/>
  <c r="R90" i="17" s="1"/>
  <c r="P90" i="17" s="1"/>
  <c r="S92" i="17"/>
  <c r="R92" i="17" s="1"/>
  <c r="P92" i="17" s="1"/>
  <c r="V92" i="17" s="1"/>
  <c r="S94" i="17"/>
  <c r="R94" i="17" s="1"/>
  <c r="P94" i="17" s="1"/>
  <c r="S96" i="17"/>
  <c r="R96" i="17" s="1"/>
  <c r="P96" i="17" s="1"/>
  <c r="S98" i="17"/>
  <c r="R98" i="17" s="1"/>
  <c r="P98" i="17" s="1"/>
  <c r="S100" i="17"/>
  <c r="R100" i="17" s="1"/>
  <c r="P100" i="17" s="1"/>
  <c r="S102" i="17"/>
  <c r="R102" i="17" s="1"/>
  <c r="P102" i="17" s="1"/>
  <c r="V102" i="17" s="1"/>
  <c r="F102" i="17" s="1"/>
  <c r="S104" i="17"/>
  <c r="R104" i="17" s="1"/>
  <c r="P104" i="17" s="1"/>
  <c r="S106" i="17"/>
  <c r="R106" i="17" s="1"/>
  <c r="P106" i="17" s="1"/>
  <c r="S108" i="17"/>
  <c r="R108" i="17" s="1"/>
  <c r="P108" i="17" s="1"/>
  <c r="S110" i="17"/>
  <c r="R110" i="17" s="1"/>
  <c r="P110" i="17" s="1"/>
  <c r="S112" i="17"/>
  <c r="R112" i="17" s="1"/>
  <c r="P112" i="17" s="1"/>
  <c r="V112" i="17" s="1"/>
  <c r="S114" i="17"/>
  <c r="R114" i="17" s="1"/>
  <c r="P114" i="17" s="1"/>
  <c r="V114" i="17" s="1"/>
  <c r="S116" i="17"/>
  <c r="R116" i="17" s="1"/>
  <c r="P116" i="17" s="1"/>
  <c r="S118" i="17"/>
  <c r="R118" i="17" s="1"/>
  <c r="P118" i="17" s="1"/>
  <c r="S120" i="17"/>
  <c r="R120" i="17" s="1"/>
  <c r="P120" i="17" s="1"/>
  <c r="S122" i="17"/>
  <c r="R122" i="17" s="1"/>
  <c r="P122" i="17" s="1"/>
  <c r="S124" i="17"/>
  <c r="R124" i="17" s="1"/>
  <c r="P124" i="17" s="1"/>
  <c r="S126" i="17"/>
  <c r="R126" i="17" s="1"/>
  <c r="P126" i="17" s="1"/>
  <c r="S128" i="17"/>
  <c r="R128" i="17" s="1"/>
  <c r="P128" i="17" s="1"/>
  <c r="S130" i="17"/>
  <c r="R130" i="17" s="1"/>
  <c r="P130" i="17" s="1"/>
  <c r="S132" i="17"/>
  <c r="R132" i="17" s="1"/>
  <c r="P132" i="17" s="1"/>
  <c r="S134" i="17"/>
  <c r="R134" i="17" s="1"/>
  <c r="P134" i="17" s="1"/>
  <c r="S136" i="17"/>
  <c r="R136" i="17" s="1"/>
  <c r="P136" i="17" s="1"/>
  <c r="S138" i="17"/>
  <c r="R138" i="17" s="1"/>
  <c r="P138" i="17" s="1"/>
  <c r="S140" i="17"/>
  <c r="R140" i="17" s="1"/>
  <c r="P140" i="17" s="1"/>
  <c r="S318" i="17"/>
  <c r="R318" i="17" s="1"/>
  <c r="P318" i="17" s="1"/>
  <c r="S320" i="17"/>
  <c r="R320" i="17" s="1"/>
  <c r="P320" i="17" s="1"/>
  <c r="V320" i="17" s="1"/>
  <c r="S322" i="17"/>
  <c r="R322" i="17" s="1"/>
  <c r="P322" i="17" s="1"/>
  <c r="V322" i="17" s="1"/>
  <c r="F322" i="17" s="1"/>
  <c r="S324" i="17"/>
  <c r="R324" i="17" s="1"/>
  <c r="P324" i="17" s="1"/>
  <c r="S326" i="17"/>
  <c r="R326" i="17" s="1"/>
  <c r="P326" i="17" s="1"/>
  <c r="V326" i="17" s="1"/>
  <c r="F326" i="17" s="1"/>
  <c r="S328" i="17"/>
  <c r="R328" i="17" s="1"/>
  <c r="P328" i="17" s="1"/>
  <c r="S330" i="17"/>
  <c r="R330" i="17" s="1"/>
  <c r="P330" i="17" s="1"/>
  <c r="V330" i="17" s="1"/>
  <c r="S332" i="17"/>
  <c r="R332" i="17" s="1"/>
  <c r="P332" i="17" s="1"/>
  <c r="S334" i="17"/>
  <c r="R334" i="17" s="1"/>
  <c r="P334" i="17" s="1"/>
  <c r="S336" i="17"/>
  <c r="R336" i="17" s="1"/>
  <c r="P336" i="17" s="1"/>
  <c r="V336" i="17" s="1"/>
  <c r="F336" i="17" s="1"/>
  <c r="S338" i="17"/>
  <c r="R338" i="17" s="1"/>
  <c r="P338" i="17" s="1"/>
  <c r="V338" i="17" s="1"/>
  <c r="F338" i="17" s="1"/>
  <c r="S340" i="17"/>
  <c r="R340" i="17" s="1"/>
  <c r="P340" i="17" s="1"/>
  <c r="S342" i="17"/>
  <c r="R342" i="17" s="1"/>
  <c r="P342" i="17" s="1"/>
  <c r="S344" i="17"/>
  <c r="R344" i="17" s="1"/>
  <c r="P344" i="17" s="1"/>
  <c r="S346" i="17"/>
  <c r="R346" i="17" s="1"/>
  <c r="P346" i="17" s="1"/>
  <c r="V346" i="17" s="1"/>
  <c r="S348" i="17"/>
  <c r="R348" i="17" s="1"/>
  <c r="P348" i="17" s="1"/>
  <c r="S350" i="17"/>
  <c r="R350" i="17" s="1"/>
  <c r="P350" i="17" s="1"/>
  <c r="S352" i="17"/>
  <c r="R352" i="17" s="1"/>
  <c r="P352" i="17" s="1"/>
  <c r="V352" i="17" s="1"/>
  <c r="F352" i="17" s="1"/>
  <c r="S354" i="17"/>
  <c r="R354" i="17" s="1"/>
  <c r="P354" i="17" s="1"/>
  <c r="V354" i="17" s="1"/>
  <c r="F354" i="17" s="1"/>
  <c r="S356" i="17"/>
  <c r="R356" i="17" s="1"/>
  <c r="P356" i="17" s="1"/>
  <c r="V356" i="17" s="1"/>
  <c r="F356" i="17" s="1"/>
  <c r="S358" i="17"/>
  <c r="R358" i="17" s="1"/>
  <c r="P358" i="17" s="1"/>
  <c r="S360" i="17"/>
  <c r="R360" i="17" s="1"/>
  <c r="P360" i="17" s="1"/>
  <c r="S362" i="17"/>
  <c r="R362" i="17" s="1"/>
  <c r="P362" i="17" s="1"/>
  <c r="S364" i="17"/>
  <c r="R364" i="17" s="1"/>
  <c r="P364" i="17" s="1"/>
  <c r="S366" i="17"/>
  <c r="R366" i="17" s="1"/>
  <c r="P366" i="17" s="1"/>
  <c r="S368" i="17"/>
  <c r="R368" i="17" s="1"/>
  <c r="P368" i="17" s="1"/>
  <c r="S370" i="17"/>
  <c r="R370" i="17" s="1"/>
  <c r="P370" i="17" s="1"/>
  <c r="S372" i="17"/>
  <c r="R372" i="17" s="1"/>
  <c r="P372" i="17" s="1"/>
  <c r="S374" i="17"/>
  <c r="R374" i="17" s="1"/>
  <c r="P374" i="17" s="1"/>
  <c r="S376" i="17"/>
  <c r="R376" i="17" s="1"/>
  <c r="P376" i="17" s="1"/>
  <c r="S378" i="17"/>
  <c r="R378" i="17" s="1"/>
  <c r="P378" i="17" s="1"/>
  <c r="AE22" i="18"/>
  <c r="AE30" i="18"/>
  <c r="AE38" i="18"/>
  <c r="AE46" i="18"/>
  <c r="AE54" i="18"/>
  <c r="AE62" i="18"/>
  <c r="AE70" i="18"/>
  <c r="AE78" i="18"/>
  <c r="AE86" i="18"/>
  <c r="AE94" i="18"/>
  <c r="AE102" i="18"/>
  <c r="AE110" i="18"/>
  <c r="AE118" i="18"/>
  <c r="AE126" i="18"/>
  <c r="AE134" i="18"/>
  <c r="AE142" i="18"/>
  <c r="AE150" i="18"/>
  <c r="AE158" i="18"/>
  <c r="AE166" i="18"/>
  <c r="AE174" i="18"/>
  <c r="AE182" i="18"/>
  <c r="AE190" i="18"/>
  <c r="AE198" i="18"/>
  <c r="AE206" i="18"/>
  <c r="AE214" i="18"/>
  <c r="AE222" i="18"/>
  <c r="AE230" i="18"/>
  <c r="AE238" i="18"/>
  <c r="AE246" i="18"/>
  <c r="AE254" i="18"/>
  <c r="AE262" i="18"/>
  <c r="AE270" i="18"/>
  <c r="AE278" i="18"/>
  <c r="AE286" i="18"/>
  <c r="AE294" i="18"/>
  <c r="AE302" i="18"/>
  <c r="AE310" i="18"/>
  <c r="AE318" i="18"/>
  <c r="AE326" i="18"/>
  <c r="AE334" i="18"/>
  <c r="AE342" i="18"/>
  <c r="AE350" i="18"/>
  <c r="AE358" i="18"/>
  <c r="AE366" i="18"/>
  <c r="AE374" i="18"/>
  <c r="AG237" i="17"/>
  <c r="AF237" i="17" s="1"/>
  <c r="AD237" i="17" s="1"/>
  <c r="AG239" i="17"/>
  <c r="AF239" i="17" s="1"/>
  <c r="AD239" i="17" s="1"/>
  <c r="AG241" i="17"/>
  <c r="AF241" i="17" s="1"/>
  <c r="AD241" i="17" s="1"/>
  <c r="AG243" i="17"/>
  <c r="AF243" i="17" s="1"/>
  <c r="AD243" i="17" s="1"/>
  <c r="AG245" i="17"/>
  <c r="AF245" i="17" s="1"/>
  <c r="AD245" i="17" s="1"/>
  <c r="AG247" i="17"/>
  <c r="AF247" i="17" s="1"/>
  <c r="AD247" i="17" s="1"/>
  <c r="AG249" i="17"/>
  <c r="AF249" i="17" s="1"/>
  <c r="AD249" i="17" s="1"/>
  <c r="AG251" i="17"/>
  <c r="AF251" i="17" s="1"/>
  <c r="AD251" i="17" s="1"/>
  <c r="AG253" i="17"/>
  <c r="AF253" i="17" s="1"/>
  <c r="AD253" i="17" s="1"/>
  <c r="AG255" i="17"/>
  <c r="AF255" i="17" s="1"/>
  <c r="AD255" i="17" s="1"/>
  <c r="AG257" i="17"/>
  <c r="AF257" i="17" s="1"/>
  <c r="AD257" i="17" s="1"/>
  <c r="AG259" i="17"/>
  <c r="AF259" i="17" s="1"/>
  <c r="AD259" i="17" s="1"/>
  <c r="AG261" i="17"/>
  <c r="AF261" i="17" s="1"/>
  <c r="AD261" i="17" s="1"/>
  <c r="AG263" i="17"/>
  <c r="AF263" i="17" s="1"/>
  <c r="AD263" i="17" s="1"/>
  <c r="AG265" i="17"/>
  <c r="AF265" i="17" s="1"/>
  <c r="AD265" i="17" s="1"/>
  <c r="AG267" i="17"/>
  <c r="AF267" i="17" s="1"/>
  <c r="AD267" i="17" s="1"/>
  <c r="AG269" i="17"/>
  <c r="AF269" i="17" s="1"/>
  <c r="AD269" i="17" s="1"/>
  <c r="AG271" i="17"/>
  <c r="AF271" i="17" s="1"/>
  <c r="AD271" i="17" s="1"/>
  <c r="AG273" i="17"/>
  <c r="AF273" i="17" s="1"/>
  <c r="AD273" i="17" s="1"/>
  <c r="AG275" i="17"/>
  <c r="AF275" i="17" s="1"/>
  <c r="AD275" i="17" s="1"/>
  <c r="AG277" i="17"/>
  <c r="AF277" i="17" s="1"/>
  <c r="AD277" i="17" s="1"/>
  <c r="AG279" i="17"/>
  <c r="AF279" i="17" s="1"/>
  <c r="AD279" i="17" s="1"/>
  <c r="AG281" i="17"/>
  <c r="AF281" i="17" s="1"/>
  <c r="AD281" i="17" s="1"/>
  <c r="AG283" i="17"/>
  <c r="AF283" i="17" s="1"/>
  <c r="AD283" i="17" s="1"/>
  <c r="AG285" i="17"/>
  <c r="AF285" i="17" s="1"/>
  <c r="AD285" i="17" s="1"/>
  <c r="AG287" i="17"/>
  <c r="AF287" i="17" s="1"/>
  <c r="AD287" i="17" s="1"/>
  <c r="AG289" i="17"/>
  <c r="AF289" i="17" s="1"/>
  <c r="AD289" i="17" s="1"/>
  <c r="AG291" i="17"/>
  <c r="AF291" i="17" s="1"/>
  <c r="AD291" i="17" s="1"/>
  <c r="AG293" i="17"/>
  <c r="AF293" i="17" s="1"/>
  <c r="AD293" i="17" s="1"/>
  <c r="AG295" i="17"/>
  <c r="AF295" i="17" s="1"/>
  <c r="AD295" i="17" s="1"/>
  <c r="AG297" i="17"/>
  <c r="AF297" i="17" s="1"/>
  <c r="AD297" i="17" s="1"/>
  <c r="AG299" i="17"/>
  <c r="AF299" i="17" s="1"/>
  <c r="AD299" i="17" s="1"/>
  <c r="AG301" i="17"/>
  <c r="AF301" i="17" s="1"/>
  <c r="AD301" i="17" s="1"/>
  <c r="AG303" i="17"/>
  <c r="AF303" i="17" s="1"/>
  <c r="AD303" i="17" s="1"/>
  <c r="AG305" i="17"/>
  <c r="AF305" i="17" s="1"/>
  <c r="AD305" i="17" s="1"/>
  <c r="AG307" i="17"/>
  <c r="AF307" i="17" s="1"/>
  <c r="AD307" i="17" s="1"/>
  <c r="AG309" i="17"/>
  <c r="AF309" i="17" s="1"/>
  <c r="AD309" i="17" s="1"/>
  <c r="AG311" i="17"/>
  <c r="AF311" i="17" s="1"/>
  <c r="AD311" i="17" s="1"/>
  <c r="AG313" i="17"/>
  <c r="AF313" i="17" s="1"/>
  <c r="AD313" i="17" s="1"/>
  <c r="AG315" i="17"/>
  <c r="AF315" i="17" s="1"/>
  <c r="AD315" i="17" s="1"/>
  <c r="AG317" i="17"/>
  <c r="AF317" i="17" s="1"/>
  <c r="AD317" i="17" s="1"/>
  <c r="AG319" i="17"/>
  <c r="AF319" i="17" s="1"/>
  <c r="AD319" i="17" s="1"/>
  <c r="AG321" i="17"/>
  <c r="AF321" i="17" s="1"/>
  <c r="AD321" i="17" s="1"/>
  <c r="AG323" i="17"/>
  <c r="AF323" i="17" s="1"/>
  <c r="AD323" i="17" s="1"/>
  <c r="AG325" i="17"/>
  <c r="AF325" i="17" s="1"/>
  <c r="AD325" i="17" s="1"/>
  <c r="AG327" i="17"/>
  <c r="AF327" i="17" s="1"/>
  <c r="AD327" i="17" s="1"/>
  <c r="AG329" i="17"/>
  <c r="AF329" i="17" s="1"/>
  <c r="AD329" i="17" s="1"/>
  <c r="AG331" i="17"/>
  <c r="AF331" i="17" s="1"/>
  <c r="AD331" i="17" s="1"/>
  <c r="AG333" i="17"/>
  <c r="AF333" i="17" s="1"/>
  <c r="AD333" i="17" s="1"/>
  <c r="AG335" i="17"/>
  <c r="AF335" i="17" s="1"/>
  <c r="AD335" i="17" s="1"/>
  <c r="AG337" i="17"/>
  <c r="AF337" i="17" s="1"/>
  <c r="AD337" i="17" s="1"/>
  <c r="AG339" i="17"/>
  <c r="AF339" i="17" s="1"/>
  <c r="AD339" i="17" s="1"/>
  <c r="AG341" i="17"/>
  <c r="AF341" i="17" s="1"/>
  <c r="AD341" i="17" s="1"/>
  <c r="AG343" i="17"/>
  <c r="AF343" i="17" s="1"/>
  <c r="AD343" i="17" s="1"/>
  <c r="AG345" i="17"/>
  <c r="AF345" i="17" s="1"/>
  <c r="AD345" i="17" s="1"/>
  <c r="AG347" i="17"/>
  <c r="AF347" i="17" s="1"/>
  <c r="AD347" i="17" s="1"/>
  <c r="AG349" i="17"/>
  <c r="AF349" i="17" s="1"/>
  <c r="AD349" i="17" s="1"/>
  <c r="AG351" i="17"/>
  <c r="AF351" i="17" s="1"/>
  <c r="AD351" i="17" s="1"/>
  <c r="AG353" i="17"/>
  <c r="AF353" i="17" s="1"/>
  <c r="AD353" i="17" s="1"/>
  <c r="AG355" i="17"/>
  <c r="AF355" i="17" s="1"/>
  <c r="AD355" i="17" s="1"/>
  <c r="AG357" i="17"/>
  <c r="AF357" i="17" s="1"/>
  <c r="AD357" i="17" s="1"/>
  <c r="AG359" i="17"/>
  <c r="AF359" i="17" s="1"/>
  <c r="AD359" i="17" s="1"/>
  <c r="AG361" i="17"/>
  <c r="AF361" i="17" s="1"/>
  <c r="AD361" i="17" s="1"/>
  <c r="AG363" i="17"/>
  <c r="AF363" i="17" s="1"/>
  <c r="AD363" i="17" s="1"/>
  <c r="AG365" i="17"/>
  <c r="AF365" i="17" s="1"/>
  <c r="AD365" i="17" s="1"/>
  <c r="AG367" i="17"/>
  <c r="AF367" i="17" s="1"/>
  <c r="AD367" i="17" s="1"/>
  <c r="AG369" i="17"/>
  <c r="AF369" i="17" s="1"/>
  <c r="AD369" i="17" s="1"/>
  <c r="AG371" i="17"/>
  <c r="AF371" i="17" s="1"/>
  <c r="AD371" i="17" s="1"/>
  <c r="AG373" i="17"/>
  <c r="AF373" i="17" s="1"/>
  <c r="AD373" i="17" s="1"/>
  <c r="AG375" i="17"/>
  <c r="AF375" i="17" s="1"/>
  <c r="AD375" i="17" s="1"/>
  <c r="AG377" i="17"/>
  <c r="AF377" i="17" s="1"/>
  <c r="AD377" i="17" s="1"/>
  <c r="AG379" i="17"/>
  <c r="AF379" i="17" s="1"/>
  <c r="AD379" i="17" s="1"/>
  <c r="S382" i="16"/>
  <c r="R383" i="16"/>
  <c r="P379" i="16"/>
  <c r="D37" i="19" s="1"/>
  <c r="R382" i="16"/>
  <c r="R381" i="16"/>
  <c r="AE378" i="18" l="1"/>
  <c r="AE370" i="18"/>
  <c r="AE362" i="18"/>
  <c r="AE354" i="18"/>
  <c r="AE346" i="18"/>
  <c r="AE338" i="18"/>
  <c r="AE330" i="18"/>
  <c r="AE322" i="18"/>
  <c r="AE314" i="18"/>
  <c r="AE306" i="18"/>
  <c r="AE298" i="18"/>
  <c r="AE290" i="18"/>
  <c r="AE282" i="18"/>
  <c r="AE274" i="18"/>
  <c r="AE266" i="18"/>
  <c r="AE258" i="18"/>
  <c r="AE250" i="18"/>
  <c r="AE242" i="18"/>
  <c r="AE234" i="18"/>
  <c r="AE226" i="18"/>
  <c r="AE218" i="18"/>
  <c r="AE210" i="18"/>
  <c r="AE202" i="18"/>
  <c r="AE194" i="18"/>
  <c r="AE186" i="18"/>
  <c r="AE178" i="18"/>
  <c r="AE170" i="18"/>
  <c r="AE162" i="18"/>
  <c r="AE154" i="18"/>
  <c r="AE146" i="18"/>
  <c r="AE138" i="18"/>
  <c r="AE130" i="18"/>
  <c r="AE122" i="18"/>
  <c r="AE114" i="18"/>
  <c r="AE106" i="18"/>
  <c r="AE98" i="18"/>
  <c r="AE90" i="18"/>
  <c r="AE82" i="18"/>
  <c r="AE74" i="18"/>
  <c r="AE66" i="18"/>
  <c r="AE58" i="18"/>
  <c r="AE50" i="18"/>
  <c r="AE42" i="18"/>
  <c r="AE34" i="18"/>
  <c r="AE26" i="18"/>
  <c r="AE16" i="18"/>
  <c r="Q379" i="18"/>
  <c r="Q147" i="18"/>
  <c r="T381" i="17"/>
  <c r="Q339" i="18"/>
  <c r="Q211" i="18"/>
  <c r="Q83" i="18"/>
  <c r="AH383" i="17"/>
  <c r="F12" i="19"/>
  <c r="T382" i="17"/>
  <c r="AG15" i="17"/>
  <c r="Q363" i="18"/>
  <c r="Q307" i="18"/>
  <c r="Q243" i="18"/>
  <c r="Q179" i="18"/>
  <c r="Q115" i="18"/>
  <c r="Q51" i="18"/>
  <c r="C13" i="19"/>
  <c r="F37" i="19"/>
  <c r="L43" i="19"/>
  <c r="Q371" i="18"/>
  <c r="Q355" i="18"/>
  <c r="Q323" i="18"/>
  <c r="Q291" i="18"/>
  <c r="Q259" i="18"/>
  <c r="Q227" i="18"/>
  <c r="Q195" i="18"/>
  <c r="Q163" i="18"/>
  <c r="Q131" i="18"/>
  <c r="Q99" i="18"/>
  <c r="Q67" i="18"/>
  <c r="Q35" i="18"/>
  <c r="Q347" i="18"/>
  <c r="Q331" i="18"/>
  <c r="Q315" i="18"/>
  <c r="Q299" i="18"/>
  <c r="Q283" i="18"/>
  <c r="Q267" i="18"/>
  <c r="Q251" i="18"/>
  <c r="Q235" i="18"/>
  <c r="Q219" i="18"/>
  <c r="Q203" i="18"/>
  <c r="Q187" i="18"/>
  <c r="Q171" i="18"/>
  <c r="Q155" i="18"/>
  <c r="Q139" i="18"/>
  <c r="Q123" i="18"/>
  <c r="Q107" i="18"/>
  <c r="Q91" i="18"/>
  <c r="Q75" i="18"/>
  <c r="Q59" i="18"/>
  <c r="Q43" i="18"/>
  <c r="Q27" i="18"/>
  <c r="AD382" i="16"/>
  <c r="U21" i="18"/>
  <c r="U45" i="18"/>
  <c r="T45" i="18" s="1"/>
  <c r="U61" i="18"/>
  <c r="U77" i="18"/>
  <c r="T77" i="18" s="1"/>
  <c r="U93" i="18"/>
  <c r="U109" i="18"/>
  <c r="T109" i="18" s="1"/>
  <c r="U125" i="18"/>
  <c r="U141" i="18"/>
  <c r="T141" i="18" s="1"/>
  <c r="U157" i="18"/>
  <c r="U173" i="18"/>
  <c r="T173" i="18" s="1"/>
  <c r="U189" i="18"/>
  <c r="U205" i="18"/>
  <c r="T205" i="18" s="1"/>
  <c r="U221" i="18"/>
  <c r="U237" i="18"/>
  <c r="T237" i="18" s="1"/>
  <c r="U253" i="18"/>
  <c r="U269" i="18"/>
  <c r="T269" i="18" s="1"/>
  <c r="U285" i="18"/>
  <c r="U301" i="18"/>
  <c r="T301" i="18" s="1"/>
  <c r="U309" i="18"/>
  <c r="U325" i="18"/>
  <c r="U349" i="18"/>
  <c r="U365" i="18"/>
  <c r="T365" i="18" s="1"/>
  <c r="AI22" i="18"/>
  <c r="AI46" i="18"/>
  <c r="AH46" i="18" s="1"/>
  <c r="AI62" i="18"/>
  <c r="AI78" i="18"/>
  <c r="AH78" i="18" s="1"/>
  <c r="AI94" i="18"/>
  <c r="AI110" i="18"/>
  <c r="AH110" i="18" s="1"/>
  <c r="AI126" i="18"/>
  <c r="AI142" i="18"/>
  <c r="AH142" i="18" s="1"/>
  <c r="AI158" i="18"/>
  <c r="AI174" i="18"/>
  <c r="AH174" i="18" s="1"/>
  <c r="AI190" i="18"/>
  <c r="AI206" i="18"/>
  <c r="AH206" i="18" s="1"/>
  <c r="AI222" i="18"/>
  <c r="AI238" i="18"/>
  <c r="AH238" i="18" s="1"/>
  <c r="AI254" i="18"/>
  <c r="AI270" i="18"/>
  <c r="AH270" i="18" s="1"/>
  <c r="AI284" i="18"/>
  <c r="AI292" i="18"/>
  <c r="AH292" i="18" s="1"/>
  <c r="AI300" i="18"/>
  <c r="AH300" i="18" s="1"/>
  <c r="AI308" i="18"/>
  <c r="AH308" i="18" s="1"/>
  <c r="AI316" i="18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16" i="18"/>
  <c r="U25" i="18"/>
  <c r="U33" i="18"/>
  <c r="U41" i="18"/>
  <c r="T41" i="18" s="1"/>
  <c r="U49" i="18"/>
  <c r="U57" i="18"/>
  <c r="T57" i="18" s="1"/>
  <c r="U65" i="18"/>
  <c r="U73" i="18"/>
  <c r="T73" i="18" s="1"/>
  <c r="U81" i="18"/>
  <c r="U89" i="18"/>
  <c r="T89" i="18" s="1"/>
  <c r="U97" i="18"/>
  <c r="U105" i="18"/>
  <c r="T105" i="18" s="1"/>
  <c r="U113" i="18"/>
  <c r="U121" i="18"/>
  <c r="T121" i="18" s="1"/>
  <c r="U129" i="18"/>
  <c r="U137" i="18"/>
  <c r="T137" i="18" s="1"/>
  <c r="U145" i="18"/>
  <c r="U153" i="18"/>
  <c r="T153" i="18" s="1"/>
  <c r="U161" i="18"/>
  <c r="U169" i="18"/>
  <c r="T169" i="18" s="1"/>
  <c r="U177" i="18"/>
  <c r="U185" i="18"/>
  <c r="T185" i="18" s="1"/>
  <c r="U193" i="18"/>
  <c r="U201" i="18"/>
  <c r="T201" i="18" s="1"/>
  <c r="U209" i="18"/>
  <c r="U217" i="18"/>
  <c r="T217" i="18" s="1"/>
  <c r="U225" i="18"/>
  <c r="U233" i="18"/>
  <c r="T233" i="18" s="1"/>
  <c r="U241" i="18"/>
  <c r="U249" i="18"/>
  <c r="T249" i="18" s="1"/>
  <c r="U257" i="18"/>
  <c r="U265" i="18"/>
  <c r="T265" i="18" s="1"/>
  <c r="U273" i="18"/>
  <c r="U281" i="18"/>
  <c r="T281" i="18" s="1"/>
  <c r="U289" i="18"/>
  <c r="U297" i="18"/>
  <c r="T297" i="18" s="1"/>
  <c r="U305" i="18"/>
  <c r="U313" i="18"/>
  <c r="T313" i="18" s="1"/>
  <c r="U321" i="18"/>
  <c r="U329" i="18"/>
  <c r="T329" i="18" s="1"/>
  <c r="U337" i="18"/>
  <c r="U345" i="18"/>
  <c r="T345" i="18" s="1"/>
  <c r="U353" i="18"/>
  <c r="U361" i="18"/>
  <c r="T361" i="18" s="1"/>
  <c r="U369" i="18"/>
  <c r="U377" i="18"/>
  <c r="T377" i="18" s="1"/>
  <c r="AI15" i="18"/>
  <c r="AH15" i="18" s="1"/>
  <c r="AI26" i="18"/>
  <c r="AI34" i="18"/>
  <c r="AH34" i="18" s="1"/>
  <c r="AI42" i="18"/>
  <c r="AI50" i="18"/>
  <c r="AI58" i="18"/>
  <c r="AI66" i="18"/>
  <c r="AH66" i="18" s="1"/>
  <c r="AI74" i="18"/>
  <c r="AI82" i="18"/>
  <c r="AI90" i="18"/>
  <c r="AI98" i="18"/>
  <c r="AH98" i="18" s="1"/>
  <c r="AI106" i="18"/>
  <c r="AI114" i="18"/>
  <c r="AI122" i="18"/>
  <c r="AI130" i="18"/>
  <c r="AH130" i="18" s="1"/>
  <c r="AI138" i="18"/>
  <c r="AI146" i="18"/>
  <c r="AI154" i="18"/>
  <c r="AI162" i="18"/>
  <c r="AH162" i="18" s="1"/>
  <c r="AI170" i="18"/>
  <c r="AI178" i="18"/>
  <c r="AI186" i="18"/>
  <c r="AI194" i="18"/>
  <c r="AH194" i="18" s="1"/>
  <c r="AI202" i="18"/>
  <c r="AI210" i="18"/>
  <c r="AI218" i="18"/>
  <c r="AI226" i="18"/>
  <c r="AH226" i="18" s="1"/>
  <c r="AI234" i="18"/>
  <c r="AI242" i="18"/>
  <c r="AI250" i="18"/>
  <c r="AI258" i="18"/>
  <c r="AH258" i="18" s="1"/>
  <c r="AI266" i="18"/>
  <c r="AI274" i="18"/>
  <c r="AI282" i="18"/>
  <c r="AI286" i="18"/>
  <c r="AI290" i="18"/>
  <c r="AI294" i="18"/>
  <c r="AI298" i="18"/>
  <c r="AI302" i="18"/>
  <c r="AI306" i="18"/>
  <c r="AI310" i="18"/>
  <c r="AI314" i="18"/>
  <c r="AI318" i="18"/>
  <c r="AI322" i="18"/>
  <c r="AI326" i="18"/>
  <c r="AI330" i="18"/>
  <c r="AI334" i="18"/>
  <c r="AI338" i="18"/>
  <c r="AI342" i="18"/>
  <c r="AI346" i="18"/>
  <c r="AI350" i="18"/>
  <c r="AI354" i="18"/>
  <c r="AI358" i="18"/>
  <c r="AI362" i="18"/>
  <c r="AI366" i="18"/>
  <c r="AI370" i="18"/>
  <c r="AI374" i="18"/>
  <c r="AI378" i="18"/>
  <c r="U29" i="18"/>
  <c r="U37" i="18"/>
  <c r="U53" i="18"/>
  <c r="U69" i="18"/>
  <c r="U85" i="18"/>
  <c r="U101" i="18"/>
  <c r="U117" i="18"/>
  <c r="U133" i="18"/>
  <c r="U149" i="18"/>
  <c r="U165" i="18"/>
  <c r="U181" i="18"/>
  <c r="U197" i="18"/>
  <c r="U213" i="18"/>
  <c r="U229" i="18"/>
  <c r="U245" i="18"/>
  <c r="U261" i="18"/>
  <c r="U277" i="18"/>
  <c r="U293" i="18"/>
  <c r="U317" i="18"/>
  <c r="U333" i="18"/>
  <c r="T333" i="18" s="1"/>
  <c r="U341" i="18"/>
  <c r="U357" i="18"/>
  <c r="U373" i="18"/>
  <c r="AI30" i="18"/>
  <c r="AH30" i="18" s="1"/>
  <c r="AI38" i="18"/>
  <c r="AI54" i="18"/>
  <c r="AH54" i="18" s="1"/>
  <c r="AI70" i="18"/>
  <c r="AI86" i="18"/>
  <c r="AH86" i="18" s="1"/>
  <c r="AI102" i="18"/>
  <c r="AI118" i="18"/>
  <c r="AH118" i="18" s="1"/>
  <c r="AI134" i="18"/>
  <c r="AI150" i="18"/>
  <c r="AH150" i="18" s="1"/>
  <c r="AI166" i="18"/>
  <c r="AI182" i="18"/>
  <c r="AH182" i="18" s="1"/>
  <c r="AI198" i="18"/>
  <c r="AI214" i="18"/>
  <c r="AH214" i="18" s="1"/>
  <c r="AI230" i="18"/>
  <c r="AI246" i="18"/>
  <c r="AH246" i="18" s="1"/>
  <c r="AI262" i="18"/>
  <c r="AI278" i="18"/>
  <c r="AH278" i="18" s="1"/>
  <c r="AI288" i="18"/>
  <c r="AH288" i="18" s="1"/>
  <c r="AI296" i="18"/>
  <c r="AI304" i="18"/>
  <c r="AI312" i="18"/>
  <c r="AI320" i="18"/>
  <c r="AH320" i="18" s="1"/>
  <c r="AI328" i="18"/>
  <c r="AI336" i="18"/>
  <c r="AI344" i="18"/>
  <c r="AI352" i="18"/>
  <c r="AH352" i="18" s="1"/>
  <c r="AI360" i="18"/>
  <c r="AI368" i="18"/>
  <c r="AI376" i="18"/>
  <c r="AD381" i="16"/>
  <c r="T383" i="17"/>
  <c r="Q375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1" i="18"/>
  <c r="Q223" i="18"/>
  <c r="Q215" i="18"/>
  <c r="Q207" i="18"/>
  <c r="Q199" i="18"/>
  <c r="Q191" i="18"/>
  <c r="Q183" i="18"/>
  <c r="Q175" i="18"/>
  <c r="Q167" i="18"/>
  <c r="Q159" i="18"/>
  <c r="Q151" i="18"/>
  <c r="Q143" i="18"/>
  <c r="Q135" i="18"/>
  <c r="Q127" i="18"/>
  <c r="Q119" i="18"/>
  <c r="Q111" i="18"/>
  <c r="Q103" i="18"/>
  <c r="Q95" i="18"/>
  <c r="Q87" i="18"/>
  <c r="Q79" i="18"/>
  <c r="Q71" i="18"/>
  <c r="Q63" i="18"/>
  <c r="Q55" i="18"/>
  <c r="Q47" i="18"/>
  <c r="Q39" i="18"/>
  <c r="Q31" i="18"/>
  <c r="Q23" i="18"/>
  <c r="AE376" i="18"/>
  <c r="AE372" i="18"/>
  <c r="AE368" i="18"/>
  <c r="AE364" i="18"/>
  <c r="AE360" i="18"/>
  <c r="AE356" i="18"/>
  <c r="AE352" i="18"/>
  <c r="AE348" i="18"/>
  <c r="AE344" i="18"/>
  <c r="AE340" i="18"/>
  <c r="AE336" i="18"/>
  <c r="AE332" i="18"/>
  <c r="AE328" i="18"/>
  <c r="AE324" i="18"/>
  <c r="AE320" i="18"/>
  <c r="AE316" i="18"/>
  <c r="AE312" i="18"/>
  <c r="AE308" i="18"/>
  <c r="AE304" i="18"/>
  <c r="AE300" i="18"/>
  <c r="AE296" i="18"/>
  <c r="AE292" i="18"/>
  <c r="AE288" i="18"/>
  <c r="AE284" i="18"/>
  <c r="AE280" i="18"/>
  <c r="AE276" i="18"/>
  <c r="AE272" i="18"/>
  <c r="AE268" i="18"/>
  <c r="AE264" i="18"/>
  <c r="AE260" i="18"/>
  <c r="AE256" i="18"/>
  <c r="AE252" i="18"/>
  <c r="AE248" i="18"/>
  <c r="AE244" i="18"/>
  <c r="AE240" i="18"/>
  <c r="AE236" i="18"/>
  <c r="AE232" i="18"/>
  <c r="AE228" i="18"/>
  <c r="AE224" i="18"/>
  <c r="AE220" i="18"/>
  <c r="AE216" i="18"/>
  <c r="AE212" i="18"/>
  <c r="AE208" i="18"/>
  <c r="AE204" i="18"/>
  <c r="AE200" i="18"/>
  <c r="AE196" i="18"/>
  <c r="AE192" i="18"/>
  <c r="AE188" i="18"/>
  <c r="AE184" i="18"/>
  <c r="AE180" i="18"/>
  <c r="AE176" i="18"/>
  <c r="AE172" i="18"/>
  <c r="AE168" i="18"/>
  <c r="AE164" i="18"/>
  <c r="AE160" i="18"/>
  <c r="AE156" i="18"/>
  <c r="AE152" i="18"/>
  <c r="AE148" i="18"/>
  <c r="AE144" i="18"/>
  <c r="AE140" i="18"/>
  <c r="AE136" i="18"/>
  <c r="AE132" i="18"/>
  <c r="AE128" i="18"/>
  <c r="AE124" i="18"/>
  <c r="AE120" i="18"/>
  <c r="AE116" i="18"/>
  <c r="AE112" i="18"/>
  <c r="AE108" i="18"/>
  <c r="AE104" i="18"/>
  <c r="AE100" i="18"/>
  <c r="AE96" i="18"/>
  <c r="AE92" i="18"/>
  <c r="AE88" i="18"/>
  <c r="AE84" i="18"/>
  <c r="AE80" i="18"/>
  <c r="AE76" i="18"/>
  <c r="AE72" i="18"/>
  <c r="AE68" i="18"/>
  <c r="AE64" i="18"/>
  <c r="AE60" i="18"/>
  <c r="AE56" i="18"/>
  <c r="AE52" i="18"/>
  <c r="AE48" i="18"/>
  <c r="AE44" i="18"/>
  <c r="AE40" i="18"/>
  <c r="AE36" i="18"/>
  <c r="AE32" i="18"/>
  <c r="AE28" i="18"/>
  <c r="AE24" i="18"/>
  <c r="AE20" i="18"/>
  <c r="AE17" i="18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7" i="18"/>
  <c r="Q233" i="18"/>
  <c r="Q229" i="18"/>
  <c r="Q225" i="18"/>
  <c r="Q221" i="18"/>
  <c r="Q217" i="18"/>
  <c r="Q213" i="18"/>
  <c r="Q209" i="18"/>
  <c r="Q205" i="18"/>
  <c r="Q201" i="18"/>
  <c r="Q197" i="18"/>
  <c r="Q193" i="18"/>
  <c r="Q189" i="18"/>
  <c r="Q185" i="18"/>
  <c r="Q181" i="18"/>
  <c r="Q177" i="18"/>
  <c r="Q173" i="18"/>
  <c r="Q169" i="18"/>
  <c r="Q165" i="18"/>
  <c r="Q161" i="18"/>
  <c r="Q157" i="18"/>
  <c r="Q153" i="18"/>
  <c r="Q149" i="18"/>
  <c r="Q145" i="18"/>
  <c r="Q141" i="18"/>
  <c r="Q137" i="18"/>
  <c r="Q133" i="18"/>
  <c r="Q129" i="18"/>
  <c r="Q125" i="18"/>
  <c r="Q121" i="18"/>
  <c r="Q117" i="18"/>
  <c r="Q113" i="18"/>
  <c r="Q109" i="18"/>
  <c r="Q105" i="18"/>
  <c r="Q101" i="18"/>
  <c r="Q97" i="18"/>
  <c r="Q93" i="18"/>
  <c r="Q89" i="18"/>
  <c r="Q85" i="18"/>
  <c r="Q81" i="18"/>
  <c r="Q77" i="18"/>
  <c r="Q73" i="18"/>
  <c r="Q69" i="18"/>
  <c r="Q65" i="18"/>
  <c r="Q61" i="18"/>
  <c r="Q57" i="18"/>
  <c r="Q53" i="18"/>
  <c r="Q49" i="18"/>
  <c r="Q45" i="18"/>
  <c r="Q41" i="18"/>
  <c r="Q37" i="18"/>
  <c r="Q33" i="18"/>
  <c r="Q29" i="18"/>
  <c r="Q25" i="18"/>
  <c r="Q21" i="18"/>
  <c r="Q17" i="18"/>
  <c r="AC16" i="7"/>
  <c r="U18" i="18"/>
  <c r="U15" i="18"/>
  <c r="T15" i="18" s="1"/>
  <c r="U17" i="18"/>
  <c r="T17" i="18" s="1"/>
  <c r="U20" i="18"/>
  <c r="U22" i="18"/>
  <c r="T22" i="18" s="1"/>
  <c r="U24" i="18"/>
  <c r="T24" i="18" s="1"/>
  <c r="U26" i="18"/>
  <c r="T26" i="18" s="1"/>
  <c r="U28" i="18"/>
  <c r="U30" i="18"/>
  <c r="T30" i="18" s="1"/>
  <c r="U32" i="18"/>
  <c r="T32" i="18" s="1"/>
  <c r="U34" i="18"/>
  <c r="T34" i="18" s="1"/>
  <c r="U36" i="18"/>
  <c r="U38" i="18"/>
  <c r="T38" i="18" s="1"/>
  <c r="U40" i="18"/>
  <c r="T40" i="18" s="1"/>
  <c r="U42" i="18"/>
  <c r="T42" i="18" s="1"/>
  <c r="U44" i="18"/>
  <c r="U46" i="18"/>
  <c r="T46" i="18" s="1"/>
  <c r="U48" i="18"/>
  <c r="T48" i="18" s="1"/>
  <c r="U50" i="18"/>
  <c r="T50" i="18" s="1"/>
  <c r="U52" i="18"/>
  <c r="U54" i="18"/>
  <c r="T54" i="18" s="1"/>
  <c r="U56" i="18"/>
  <c r="T56" i="18" s="1"/>
  <c r="U58" i="18"/>
  <c r="T58" i="18" s="1"/>
  <c r="U60" i="18"/>
  <c r="U62" i="18"/>
  <c r="T62" i="18" s="1"/>
  <c r="U64" i="18"/>
  <c r="T64" i="18" s="1"/>
  <c r="U66" i="18"/>
  <c r="T66" i="18" s="1"/>
  <c r="U68" i="18"/>
  <c r="U70" i="18"/>
  <c r="T70" i="18" s="1"/>
  <c r="U72" i="18"/>
  <c r="T72" i="18" s="1"/>
  <c r="U74" i="18"/>
  <c r="T74" i="18" s="1"/>
  <c r="U76" i="18"/>
  <c r="U78" i="18"/>
  <c r="T78" i="18" s="1"/>
  <c r="U80" i="18"/>
  <c r="T80" i="18" s="1"/>
  <c r="U82" i="18"/>
  <c r="T82" i="18" s="1"/>
  <c r="U84" i="18"/>
  <c r="U86" i="18"/>
  <c r="T86" i="18" s="1"/>
  <c r="U88" i="18"/>
  <c r="T88" i="18" s="1"/>
  <c r="U90" i="18"/>
  <c r="T90" i="18" s="1"/>
  <c r="U92" i="18"/>
  <c r="U94" i="18"/>
  <c r="T94" i="18" s="1"/>
  <c r="U96" i="18"/>
  <c r="T96" i="18" s="1"/>
  <c r="U98" i="18"/>
  <c r="T98" i="18" s="1"/>
  <c r="U100" i="18"/>
  <c r="U102" i="18"/>
  <c r="T102" i="18" s="1"/>
  <c r="U104" i="18"/>
  <c r="T104" i="18" s="1"/>
  <c r="U106" i="18"/>
  <c r="T106" i="18" s="1"/>
  <c r="U108" i="18"/>
  <c r="U110" i="18"/>
  <c r="T110" i="18" s="1"/>
  <c r="U112" i="18"/>
  <c r="T112" i="18" s="1"/>
  <c r="U114" i="18"/>
  <c r="T114" i="18" s="1"/>
  <c r="U116" i="18"/>
  <c r="U118" i="18"/>
  <c r="T118" i="18" s="1"/>
  <c r="U120" i="18"/>
  <c r="T120" i="18" s="1"/>
  <c r="U122" i="18"/>
  <c r="T122" i="18" s="1"/>
  <c r="U124" i="18"/>
  <c r="U126" i="18"/>
  <c r="T126" i="18" s="1"/>
  <c r="U128" i="18"/>
  <c r="T128" i="18" s="1"/>
  <c r="U130" i="18"/>
  <c r="T130" i="18" s="1"/>
  <c r="U132" i="18"/>
  <c r="U134" i="18"/>
  <c r="T134" i="18" s="1"/>
  <c r="U136" i="18"/>
  <c r="T136" i="18" s="1"/>
  <c r="U138" i="18"/>
  <c r="T138" i="18" s="1"/>
  <c r="U140" i="18"/>
  <c r="U142" i="18"/>
  <c r="T142" i="18" s="1"/>
  <c r="U144" i="18"/>
  <c r="T144" i="18" s="1"/>
  <c r="U146" i="18"/>
  <c r="T146" i="18" s="1"/>
  <c r="U148" i="18"/>
  <c r="U150" i="18"/>
  <c r="T150" i="18" s="1"/>
  <c r="U152" i="18"/>
  <c r="T152" i="18" s="1"/>
  <c r="U154" i="18"/>
  <c r="T154" i="18" s="1"/>
  <c r="U156" i="18"/>
  <c r="U158" i="18"/>
  <c r="T158" i="18" s="1"/>
  <c r="U160" i="18"/>
  <c r="T160" i="18" s="1"/>
  <c r="U162" i="18"/>
  <c r="T162" i="18" s="1"/>
  <c r="U164" i="18"/>
  <c r="U166" i="18"/>
  <c r="T166" i="18" s="1"/>
  <c r="U168" i="18"/>
  <c r="T168" i="18" s="1"/>
  <c r="U170" i="18"/>
  <c r="T170" i="18" s="1"/>
  <c r="U172" i="18"/>
  <c r="U174" i="18"/>
  <c r="T174" i="18" s="1"/>
  <c r="U176" i="18"/>
  <c r="T176" i="18" s="1"/>
  <c r="U178" i="18"/>
  <c r="T178" i="18" s="1"/>
  <c r="U180" i="18"/>
  <c r="U182" i="18"/>
  <c r="T182" i="18" s="1"/>
  <c r="U184" i="18"/>
  <c r="T184" i="18" s="1"/>
  <c r="U186" i="18"/>
  <c r="T186" i="18" s="1"/>
  <c r="U188" i="18"/>
  <c r="U190" i="18"/>
  <c r="T190" i="18" s="1"/>
  <c r="U192" i="18"/>
  <c r="T192" i="18" s="1"/>
  <c r="U194" i="18"/>
  <c r="T194" i="18" s="1"/>
  <c r="U196" i="18"/>
  <c r="U198" i="18"/>
  <c r="T198" i="18" s="1"/>
  <c r="U200" i="18"/>
  <c r="T200" i="18" s="1"/>
  <c r="U202" i="18"/>
  <c r="T202" i="18" s="1"/>
  <c r="U204" i="18"/>
  <c r="U206" i="18"/>
  <c r="T206" i="18" s="1"/>
  <c r="U208" i="18"/>
  <c r="T208" i="18" s="1"/>
  <c r="U210" i="18"/>
  <c r="T210" i="18" s="1"/>
  <c r="U212" i="18"/>
  <c r="U214" i="18"/>
  <c r="T214" i="18" s="1"/>
  <c r="U216" i="18"/>
  <c r="T216" i="18" s="1"/>
  <c r="U218" i="18"/>
  <c r="T218" i="18" s="1"/>
  <c r="U220" i="18"/>
  <c r="U222" i="18"/>
  <c r="T222" i="18" s="1"/>
  <c r="U224" i="18"/>
  <c r="T224" i="18" s="1"/>
  <c r="U226" i="18"/>
  <c r="T226" i="18" s="1"/>
  <c r="U228" i="18"/>
  <c r="U230" i="18"/>
  <c r="T230" i="18" s="1"/>
  <c r="U232" i="18"/>
  <c r="T232" i="18" s="1"/>
  <c r="U234" i="18"/>
  <c r="T234" i="18" s="1"/>
  <c r="U236" i="18"/>
  <c r="U238" i="18"/>
  <c r="T238" i="18" s="1"/>
  <c r="U240" i="18"/>
  <c r="T240" i="18" s="1"/>
  <c r="U242" i="18"/>
  <c r="T242" i="18" s="1"/>
  <c r="U244" i="18"/>
  <c r="U246" i="18"/>
  <c r="T246" i="18" s="1"/>
  <c r="U248" i="18"/>
  <c r="T248" i="18" s="1"/>
  <c r="U250" i="18"/>
  <c r="T250" i="18" s="1"/>
  <c r="U252" i="18"/>
  <c r="U254" i="18"/>
  <c r="T254" i="18" s="1"/>
  <c r="U256" i="18"/>
  <c r="T256" i="18" s="1"/>
  <c r="U258" i="18"/>
  <c r="T258" i="18" s="1"/>
  <c r="U260" i="18"/>
  <c r="U262" i="18"/>
  <c r="T262" i="18" s="1"/>
  <c r="U264" i="18"/>
  <c r="T264" i="18" s="1"/>
  <c r="U266" i="18"/>
  <c r="T266" i="18" s="1"/>
  <c r="U268" i="18"/>
  <c r="U270" i="18"/>
  <c r="T270" i="18" s="1"/>
  <c r="U272" i="18"/>
  <c r="T272" i="18" s="1"/>
  <c r="U274" i="18"/>
  <c r="T274" i="18" s="1"/>
  <c r="U276" i="18"/>
  <c r="U278" i="18"/>
  <c r="T278" i="18" s="1"/>
  <c r="U280" i="18"/>
  <c r="T280" i="18" s="1"/>
  <c r="U282" i="18"/>
  <c r="T282" i="18" s="1"/>
  <c r="U284" i="18"/>
  <c r="U286" i="18"/>
  <c r="T286" i="18" s="1"/>
  <c r="U288" i="18"/>
  <c r="T288" i="18" s="1"/>
  <c r="U290" i="18"/>
  <c r="T290" i="18" s="1"/>
  <c r="U292" i="18"/>
  <c r="U294" i="18"/>
  <c r="T294" i="18" s="1"/>
  <c r="U296" i="18"/>
  <c r="T296" i="18" s="1"/>
  <c r="U298" i="18"/>
  <c r="T298" i="18" s="1"/>
  <c r="U300" i="18"/>
  <c r="U302" i="18"/>
  <c r="T302" i="18" s="1"/>
  <c r="U304" i="18"/>
  <c r="T304" i="18" s="1"/>
  <c r="U306" i="18"/>
  <c r="T306" i="18" s="1"/>
  <c r="U308" i="18"/>
  <c r="U310" i="18"/>
  <c r="T310" i="18" s="1"/>
  <c r="U312" i="18"/>
  <c r="T312" i="18" s="1"/>
  <c r="U314" i="18"/>
  <c r="T314" i="18" s="1"/>
  <c r="U316" i="18"/>
  <c r="U318" i="18"/>
  <c r="T318" i="18" s="1"/>
  <c r="U320" i="18"/>
  <c r="T320" i="18" s="1"/>
  <c r="U322" i="18"/>
  <c r="T322" i="18" s="1"/>
  <c r="U324" i="18"/>
  <c r="U326" i="18"/>
  <c r="T326" i="18" s="1"/>
  <c r="U328" i="18"/>
  <c r="T328" i="18" s="1"/>
  <c r="U330" i="18"/>
  <c r="T330" i="18" s="1"/>
  <c r="U332" i="18"/>
  <c r="U334" i="18"/>
  <c r="T334" i="18" s="1"/>
  <c r="U336" i="18"/>
  <c r="T336" i="18" s="1"/>
  <c r="U338" i="18"/>
  <c r="T338" i="18" s="1"/>
  <c r="U340" i="18"/>
  <c r="U342" i="18"/>
  <c r="T342" i="18" s="1"/>
  <c r="U344" i="18"/>
  <c r="T344" i="18" s="1"/>
  <c r="U346" i="18"/>
  <c r="T346" i="18" s="1"/>
  <c r="U348" i="18"/>
  <c r="U350" i="18"/>
  <c r="T350" i="18" s="1"/>
  <c r="U352" i="18"/>
  <c r="T352" i="18" s="1"/>
  <c r="U354" i="18"/>
  <c r="T354" i="18" s="1"/>
  <c r="U356" i="18"/>
  <c r="U358" i="18"/>
  <c r="T358" i="18" s="1"/>
  <c r="U360" i="18"/>
  <c r="T360" i="18" s="1"/>
  <c r="U362" i="18"/>
  <c r="T362" i="18" s="1"/>
  <c r="U364" i="18"/>
  <c r="U366" i="18"/>
  <c r="T366" i="18" s="1"/>
  <c r="U368" i="18"/>
  <c r="T368" i="18" s="1"/>
  <c r="U370" i="18"/>
  <c r="T370" i="18" s="1"/>
  <c r="U372" i="18"/>
  <c r="U374" i="18"/>
  <c r="T374" i="18" s="1"/>
  <c r="U376" i="18"/>
  <c r="T376" i="18" s="1"/>
  <c r="U378" i="18"/>
  <c r="T378" i="18" s="1"/>
  <c r="AI17" i="18"/>
  <c r="AI18" i="18"/>
  <c r="AH18" i="18" s="1"/>
  <c r="AI19" i="18"/>
  <c r="AI21" i="18"/>
  <c r="AH21" i="18" s="1"/>
  <c r="AI23" i="18"/>
  <c r="AI25" i="18"/>
  <c r="AH25" i="18" s="1"/>
  <c r="AI27" i="18"/>
  <c r="AI29" i="18"/>
  <c r="AH29" i="18" s="1"/>
  <c r="AI31" i="18"/>
  <c r="AI33" i="18"/>
  <c r="AH33" i="18" s="1"/>
  <c r="AI35" i="18"/>
  <c r="AI37" i="18"/>
  <c r="AH37" i="18" s="1"/>
  <c r="AI39" i="18"/>
  <c r="AI41" i="18"/>
  <c r="AH41" i="18" s="1"/>
  <c r="AI43" i="18"/>
  <c r="AI45" i="18"/>
  <c r="AH45" i="18" s="1"/>
  <c r="AI47" i="18"/>
  <c r="AI49" i="18"/>
  <c r="AH49" i="18" s="1"/>
  <c r="AI51" i="18"/>
  <c r="AI53" i="18"/>
  <c r="AH53" i="18" s="1"/>
  <c r="AI55" i="18"/>
  <c r="AI57" i="18"/>
  <c r="AH57" i="18" s="1"/>
  <c r="AI59" i="18"/>
  <c r="AI61" i="18"/>
  <c r="AH61" i="18" s="1"/>
  <c r="AI63" i="18"/>
  <c r="AI65" i="18"/>
  <c r="AH65" i="18" s="1"/>
  <c r="AI67" i="18"/>
  <c r="AI69" i="18"/>
  <c r="AH69" i="18" s="1"/>
  <c r="AI71" i="18"/>
  <c r="AI73" i="18"/>
  <c r="AH73" i="18" s="1"/>
  <c r="AI75" i="18"/>
  <c r="AI77" i="18"/>
  <c r="AH77" i="18" s="1"/>
  <c r="AI79" i="18"/>
  <c r="AI81" i="18"/>
  <c r="AH81" i="18" s="1"/>
  <c r="AI83" i="18"/>
  <c r="AI85" i="18"/>
  <c r="AH85" i="18" s="1"/>
  <c r="AI87" i="18"/>
  <c r="AI89" i="18"/>
  <c r="AH89" i="18" s="1"/>
  <c r="AI91" i="18"/>
  <c r="AI93" i="18"/>
  <c r="AH93" i="18" s="1"/>
  <c r="AI95" i="18"/>
  <c r="AI97" i="18"/>
  <c r="AH97" i="18" s="1"/>
  <c r="AI99" i="18"/>
  <c r="AI101" i="18"/>
  <c r="AH101" i="18" s="1"/>
  <c r="AI103" i="18"/>
  <c r="AI105" i="18"/>
  <c r="AH105" i="18" s="1"/>
  <c r="AI107" i="18"/>
  <c r="AI109" i="18"/>
  <c r="AH109" i="18" s="1"/>
  <c r="AI111" i="18"/>
  <c r="AI113" i="18"/>
  <c r="AH113" i="18" s="1"/>
  <c r="AI115" i="18"/>
  <c r="AI117" i="18"/>
  <c r="AH117" i="18" s="1"/>
  <c r="AI119" i="18"/>
  <c r="AI121" i="18"/>
  <c r="AH121" i="18" s="1"/>
  <c r="AI123" i="18"/>
  <c r="AI125" i="18"/>
  <c r="AH125" i="18" s="1"/>
  <c r="AI127" i="18"/>
  <c r="AI129" i="18"/>
  <c r="AH129" i="18" s="1"/>
  <c r="AI131" i="18"/>
  <c r="AI133" i="18"/>
  <c r="AH133" i="18" s="1"/>
  <c r="AI135" i="18"/>
  <c r="AI137" i="18"/>
  <c r="AH137" i="18" s="1"/>
  <c r="AI139" i="18"/>
  <c r="AI141" i="18"/>
  <c r="AH141" i="18" s="1"/>
  <c r="AI143" i="18"/>
  <c r="AI145" i="18"/>
  <c r="AH145" i="18" s="1"/>
  <c r="AI147" i="18"/>
  <c r="AI149" i="18"/>
  <c r="AH149" i="18" s="1"/>
  <c r="AI151" i="18"/>
  <c r="AI153" i="18"/>
  <c r="AH153" i="18" s="1"/>
  <c r="AI155" i="18"/>
  <c r="AI157" i="18"/>
  <c r="AH157" i="18" s="1"/>
  <c r="AI159" i="18"/>
  <c r="AI161" i="18"/>
  <c r="AH161" i="18" s="1"/>
  <c r="AI163" i="18"/>
  <c r="AI165" i="18"/>
  <c r="AH165" i="18" s="1"/>
  <c r="AI167" i="18"/>
  <c r="AI169" i="18"/>
  <c r="AH169" i="18" s="1"/>
  <c r="AI171" i="18"/>
  <c r="AI173" i="18"/>
  <c r="AH173" i="18" s="1"/>
  <c r="AI175" i="18"/>
  <c r="AI177" i="18"/>
  <c r="AH177" i="18" s="1"/>
  <c r="AI179" i="18"/>
  <c r="AI181" i="18"/>
  <c r="AH181" i="18" s="1"/>
  <c r="AI183" i="18"/>
  <c r="AI185" i="18"/>
  <c r="AH185" i="18" s="1"/>
  <c r="AI187" i="18"/>
  <c r="AI189" i="18"/>
  <c r="AH189" i="18" s="1"/>
  <c r="AI191" i="18"/>
  <c r="AI193" i="18"/>
  <c r="AH193" i="18" s="1"/>
  <c r="AI195" i="18"/>
  <c r="AI197" i="18"/>
  <c r="AH197" i="18" s="1"/>
  <c r="AI199" i="18"/>
  <c r="AI201" i="18"/>
  <c r="AH201" i="18" s="1"/>
  <c r="AI203" i="18"/>
  <c r="AI205" i="18"/>
  <c r="AH205" i="18" s="1"/>
  <c r="AI207" i="18"/>
  <c r="AI209" i="18"/>
  <c r="AH209" i="18" s="1"/>
  <c r="AI211" i="18"/>
  <c r="AI213" i="18"/>
  <c r="AH213" i="18" s="1"/>
  <c r="AI215" i="18"/>
  <c r="AI217" i="18"/>
  <c r="AH217" i="18" s="1"/>
  <c r="AI219" i="18"/>
  <c r="AI221" i="18"/>
  <c r="AH221" i="18" s="1"/>
  <c r="AI223" i="18"/>
  <c r="AI225" i="18"/>
  <c r="AH225" i="18" s="1"/>
  <c r="AI227" i="18"/>
  <c r="AI229" i="18"/>
  <c r="AH229" i="18" s="1"/>
  <c r="AI231" i="18"/>
  <c r="AI233" i="18"/>
  <c r="AH233" i="18" s="1"/>
  <c r="AI235" i="18"/>
  <c r="AI237" i="18"/>
  <c r="AH237" i="18" s="1"/>
  <c r="AI239" i="18"/>
  <c r="AI241" i="18"/>
  <c r="AH241" i="18" s="1"/>
  <c r="AI243" i="18"/>
  <c r="AI245" i="18"/>
  <c r="AH245" i="18" s="1"/>
  <c r="AI247" i="18"/>
  <c r="AI249" i="18"/>
  <c r="AH249" i="18" s="1"/>
  <c r="AI251" i="18"/>
  <c r="AI253" i="18"/>
  <c r="AH253" i="18" s="1"/>
  <c r="AI255" i="18"/>
  <c r="AI257" i="18"/>
  <c r="AH257" i="18" s="1"/>
  <c r="AI259" i="18"/>
  <c r="AI261" i="18"/>
  <c r="AH261" i="18" s="1"/>
  <c r="AI263" i="18"/>
  <c r="AI265" i="18"/>
  <c r="AH265" i="18" s="1"/>
  <c r="AI267" i="18"/>
  <c r="AI269" i="18"/>
  <c r="AH269" i="18" s="1"/>
  <c r="AI271" i="18"/>
  <c r="AI273" i="18"/>
  <c r="AH273" i="18" s="1"/>
  <c r="AI275" i="18"/>
  <c r="AI277" i="18"/>
  <c r="AH277" i="18" s="1"/>
  <c r="AI279" i="18"/>
  <c r="AI281" i="18"/>
  <c r="AH281" i="18" s="1"/>
  <c r="AI379" i="18"/>
  <c r="AI12" i="20" s="1"/>
  <c r="AI377" i="18"/>
  <c r="AH377" i="18" s="1"/>
  <c r="AI375" i="18"/>
  <c r="AI373" i="18"/>
  <c r="AH373" i="18" s="1"/>
  <c r="AI371" i="18"/>
  <c r="AI369" i="18"/>
  <c r="AH369" i="18" s="1"/>
  <c r="AI367" i="18"/>
  <c r="AI365" i="18"/>
  <c r="AH365" i="18" s="1"/>
  <c r="AI363" i="18"/>
  <c r="AI361" i="18"/>
  <c r="AH361" i="18" s="1"/>
  <c r="AI359" i="18"/>
  <c r="AI357" i="18"/>
  <c r="AH357" i="18" s="1"/>
  <c r="AI355" i="18"/>
  <c r="AI353" i="18"/>
  <c r="AH353" i="18" s="1"/>
  <c r="AI351" i="18"/>
  <c r="AI349" i="18"/>
  <c r="AH349" i="18" s="1"/>
  <c r="AI347" i="18"/>
  <c r="AI345" i="18"/>
  <c r="AH345" i="18" s="1"/>
  <c r="AI343" i="18"/>
  <c r="AI341" i="18"/>
  <c r="AH341" i="18" s="1"/>
  <c r="AI339" i="18"/>
  <c r="AI337" i="18"/>
  <c r="AH337" i="18" s="1"/>
  <c r="AI335" i="18"/>
  <c r="AI333" i="18"/>
  <c r="AH333" i="18" s="1"/>
  <c r="AI331" i="18"/>
  <c r="AI329" i="18"/>
  <c r="AH329" i="18" s="1"/>
  <c r="AI327" i="18"/>
  <c r="AI325" i="18"/>
  <c r="AH325" i="18" s="1"/>
  <c r="AI323" i="18"/>
  <c r="AI321" i="18"/>
  <c r="AH321" i="18" s="1"/>
  <c r="AI319" i="18"/>
  <c r="AI317" i="18"/>
  <c r="AH317" i="18" s="1"/>
  <c r="AI315" i="18"/>
  <c r="AI313" i="18"/>
  <c r="AH313" i="18" s="1"/>
  <c r="AI311" i="18"/>
  <c r="AI309" i="18"/>
  <c r="AH309" i="18" s="1"/>
  <c r="AI307" i="18"/>
  <c r="AI305" i="18"/>
  <c r="AH305" i="18" s="1"/>
  <c r="AI303" i="18"/>
  <c r="AI301" i="18"/>
  <c r="AH301" i="18" s="1"/>
  <c r="AI299" i="18"/>
  <c r="AI297" i="18"/>
  <c r="AH297" i="18" s="1"/>
  <c r="AI295" i="18"/>
  <c r="AI293" i="18"/>
  <c r="AH293" i="18" s="1"/>
  <c r="AI291" i="18"/>
  <c r="AI289" i="18"/>
  <c r="AH289" i="18" s="1"/>
  <c r="AI287" i="18"/>
  <c r="AH287" i="18" s="1"/>
  <c r="AI285" i="18"/>
  <c r="AH285" i="18" s="1"/>
  <c r="AI283" i="18"/>
  <c r="AI280" i="18"/>
  <c r="AH280" i="18" s="1"/>
  <c r="AI276" i="18"/>
  <c r="AI272" i="18"/>
  <c r="AH272" i="18" s="1"/>
  <c r="AI268" i="18"/>
  <c r="AH268" i="18" s="1"/>
  <c r="AI264" i="18"/>
  <c r="AH264" i="18" s="1"/>
  <c r="AI260" i="18"/>
  <c r="AH260" i="18" s="1"/>
  <c r="AI256" i="18"/>
  <c r="AH256" i="18" s="1"/>
  <c r="AI252" i="18"/>
  <c r="AH252" i="18" s="1"/>
  <c r="AI248" i="18"/>
  <c r="AH248" i="18" s="1"/>
  <c r="AI244" i="18"/>
  <c r="AI240" i="18"/>
  <c r="AH240" i="18" s="1"/>
  <c r="AI236" i="18"/>
  <c r="AH236" i="18" s="1"/>
  <c r="AI232" i="18"/>
  <c r="AH232" i="18" s="1"/>
  <c r="AI228" i="18"/>
  <c r="AH228" i="18" s="1"/>
  <c r="AI224" i="18"/>
  <c r="AH224" i="18" s="1"/>
  <c r="AI220" i="18"/>
  <c r="AH220" i="18" s="1"/>
  <c r="AI216" i="18"/>
  <c r="AH216" i="18" s="1"/>
  <c r="AI212" i="18"/>
  <c r="AI208" i="18"/>
  <c r="AH208" i="18" s="1"/>
  <c r="AI204" i="18"/>
  <c r="AH204" i="18" s="1"/>
  <c r="AI200" i="18"/>
  <c r="AH200" i="18" s="1"/>
  <c r="AI196" i="18"/>
  <c r="AH196" i="18" s="1"/>
  <c r="AI192" i="18"/>
  <c r="AH192" i="18" s="1"/>
  <c r="AI188" i="18"/>
  <c r="AH188" i="18" s="1"/>
  <c r="AI184" i="18"/>
  <c r="AH184" i="18" s="1"/>
  <c r="AI180" i="18"/>
  <c r="AI176" i="18"/>
  <c r="AH176" i="18" s="1"/>
  <c r="AI172" i="18"/>
  <c r="AH172" i="18" s="1"/>
  <c r="AI168" i="18"/>
  <c r="AH168" i="18" s="1"/>
  <c r="AI164" i="18"/>
  <c r="AH164" i="18" s="1"/>
  <c r="AI160" i="18"/>
  <c r="AH160" i="18" s="1"/>
  <c r="AI156" i="18"/>
  <c r="AH156" i="18" s="1"/>
  <c r="AI152" i="18"/>
  <c r="AH152" i="18" s="1"/>
  <c r="AI148" i="18"/>
  <c r="AI144" i="18"/>
  <c r="AH144" i="18" s="1"/>
  <c r="AI140" i="18"/>
  <c r="AH140" i="18" s="1"/>
  <c r="AI136" i="18"/>
  <c r="AH136" i="18" s="1"/>
  <c r="AI132" i="18"/>
  <c r="AH132" i="18" s="1"/>
  <c r="AI128" i="18"/>
  <c r="AH128" i="18" s="1"/>
  <c r="AI124" i="18"/>
  <c r="AH124" i="18" s="1"/>
  <c r="AI120" i="18"/>
  <c r="AH120" i="18" s="1"/>
  <c r="AI116" i="18"/>
  <c r="AI112" i="18"/>
  <c r="AH112" i="18" s="1"/>
  <c r="AI108" i="18"/>
  <c r="AH108" i="18" s="1"/>
  <c r="AI104" i="18"/>
  <c r="AH104" i="18" s="1"/>
  <c r="AI100" i="18"/>
  <c r="AH100" i="18" s="1"/>
  <c r="AI96" i="18"/>
  <c r="AH96" i="18" s="1"/>
  <c r="AI92" i="18"/>
  <c r="AH92" i="18" s="1"/>
  <c r="AI88" i="18"/>
  <c r="AH88" i="18" s="1"/>
  <c r="AI84" i="18"/>
  <c r="AI80" i="18"/>
  <c r="AH80" i="18" s="1"/>
  <c r="AI76" i="18"/>
  <c r="AH76" i="18" s="1"/>
  <c r="AI72" i="18"/>
  <c r="AH72" i="18" s="1"/>
  <c r="AI68" i="18"/>
  <c r="AH68" i="18" s="1"/>
  <c r="AI64" i="18"/>
  <c r="AH64" i="18" s="1"/>
  <c r="AI60" i="18"/>
  <c r="AH60" i="18" s="1"/>
  <c r="AI56" i="18"/>
  <c r="AH56" i="18" s="1"/>
  <c r="AI52" i="18"/>
  <c r="AI48" i="18"/>
  <c r="AH48" i="18" s="1"/>
  <c r="AI44" i="18"/>
  <c r="AH44" i="18" s="1"/>
  <c r="AI40" i="18"/>
  <c r="AH40" i="18" s="1"/>
  <c r="AI36" i="18"/>
  <c r="AH36" i="18" s="1"/>
  <c r="AI32" i="18"/>
  <c r="AH32" i="18" s="1"/>
  <c r="AI28" i="18"/>
  <c r="AH28" i="18" s="1"/>
  <c r="AI24" i="18"/>
  <c r="AH24" i="18" s="1"/>
  <c r="AI20" i="18"/>
  <c r="AI16" i="18"/>
  <c r="AC15" i="7"/>
  <c r="Q15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8" i="18"/>
  <c r="Q60" i="18"/>
  <c r="Q62" i="18"/>
  <c r="Q64" i="18"/>
  <c r="Q66" i="18"/>
  <c r="Q68" i="18"/>
  <c r="Q70" i="18"/>
  <c r="Q72" i="18"/>
  <c r="Q74" i="18"/>
  <c r="Q76" i="18"/>
  <c r="Q78" i="18"/>
  <c r="Q80" i="18"/>
  <c r="Q82" i="18"/>
  <c r="Q84" i="18"/>
  <c r="Q86" i="18"/>
  <c r="Q88" i="18"/>
  <c r="Q90" i="18"/>
  <c r="Q92" i="18"/>
  <c r="Q94" i="18"/>
  <c r="Q96" i="18"/>
  <c r="Q98" i="18"/>
  <c r="Q100" i="18"/>
  <c r="Q102" i="18"/>
  <c r="Q104" i="18"/>
  <c r="Q106" i="18"/>
  <c r="Q108" i="18"/>
  <c r="Q110" i="18"/>
  <c r="Q112" i="18"/>
  <c r="Q114" i="18"/>
  <c r="Q116" i="18"/>
  <c r="Q118" i="18"/>
  <c r="Q120" i="18"/>
  <c r="Q122" i="18"/>
  <c r="Q124" i="18"/>
  <c r="Q126" i="18"/>
  <c r="Q128" i="18"/>
  <c r="Q130" i="18"/>
  <c r="Q132" i="18"/>
  <c r="Q134" i="18"/>
  <c r="Q136" i="18"/>
  <c r="Q138" i="18"/>
  <c r="Q140" i="18"/>
  <c r="Q142" i="18"/>
  <c r="Q144" i="18"/>
  <c r="Q146" i="18"/>
  <c r="Q148" i="18"/>
  <c r="Q150" i="18"/>
  <c r="Q152" i="18"/>
  <c r="Q154" i="18"/>
  <c r="Q156" i="18"/>
  <c r="Q158" i="18"/>
  <c r="Q160" i="18"/>
  <c r="Q162" i="18"/>
  <c r="Q164" i="18"/>
  <c r="Q166" i="18"/>
  <c r="Q168" i="18"/>
  <c r="Q170" i="18"/>
  <c r="Q172" i="18"/>
  <c r="Q174" i="18"/>
  <c r="Q176" i="18"/>
  <c r="Q178" i="18"/>
  <c r="Q180" i="18"/>
  <c r="Q182" i="18"/>
  <c r="Q184" i="18"/>
  <c r="Q186" i="18"/>
  <c r="Q188" i="18"/>
  <c r="Q190" i="18"/>
  <c r="Q192" i="18"/>
  <c r="Q194" i="18"/>
  <c r="Q196" i="18"/>
  <c r="Q198" i="18"/>
  <c r="Q200" i="18"/>
  <c r="Q202" i="18"/>
  <c r="Q204" i="18"/>
  <c r="Q206" i="18"/>
  <c r="Q208" i="18"/>
  <c r="Q210" i="18"/>
  <c r="Q212" i="18"/>
  <c r="Q214" i="18"/>
  <c r="Q216" i="18"/>
  <c r="Q218" i="18"/>
  <c r="Q220" i="18"/>
  <c r="Q222" i="18"/>
  <c r="Q224" i="18"/>
  <c r="Q226" i="18"/>
  <c r="Q228" i="18"/>
  <c r="Q230" i="18"/>
  <c r="Q232" i="18"/>
  <c r="Q234" i="18"/>
  <c r="Q236" i="18"/>
  <c r="Q238" i="18"/>
  <c r="Q240" i="18"/>
  <c r="Q242" i="18"/>
  <c r="Q244" i="18"/>
  <c r="Q246" i="18"/>
  <c r="Q248" i="18"/>
  <c r="Q250" i="18"/>
  <c r="Q252" i="18"/>
  <c r="Q254" i="18"/>
  <c r="Q256" i="18"/>
  <c r="Q258" i="18"/>
  <c r="Q260" i="18"/>
  <c r="Q262" i="18"/>
  <c r="Q264" i="18"/>
  <c r="Q266" i="18"/>
  <c r="Q268" i="18"/>
  <c r="Q270" i="18"/>
  <c r="Q272" i="18"/>
  <c r="Q274" i="18"/>
  <c r="Q276" i="18"/>
  <c r="Q278" i="18"/>
  <c r="Q280" i="18"/>
  <c r="Q282" i="18"/>
  <c r="Q284" i="18"/>
  <c r="Q286" i="18"/>
  <c r="Q288" i="18"/>
  <c r="Q290" i="18"/>
  <c r="Q292" i="18"/>
  <c r="Q294" i="18"/>
  <c r="Q296" i="18"/>
  <c r="Q298" i="18"/>
  <c r="Q300" i="18"/>
  <c r="Q302" i="18"/>
  <c r="Q304" i="18"/>
  <c r="Q306" i="18"/>
  <c r="Q308" i="18"/>
  <c r="Q310" i="18"/>
  <c r="Q312" i="18"/>
  <c r="Q314" i="18"/>
  <c r="Q316" i="18"/>
  <c r="Q318" i="18"/>
  <c r="Q320" i="18"/>
  <c r="Q322" i="18"/>
  <c r="Q324" i="18"/>
  <c r="Q326" i="18"/>
  <c r="Q328" i="18"/>
  <c r="Q330" i="18"/>
  <c r="Q332" i="18"/>
  <c r="Q334" i="18"/>
  <c r="Q336" i="18"/>
  <c r="Q338" i="18"/>
  <c r="Q340" i="18"/>
  <c r="Q342" i="18"/>
  <c r="Q344" i="18"/>
  <c r="Q346" i="18"/>
  <c r="Q348" i="18"/>
  <c r="Q350" i="18"/>
  <c r="Q352" i="18"/>
  <c r="Q354" i="18"/>
  <c r="Q356" i="18"/>
  <c r="Q358" i="18"/>
  <c r="Q360" i="18"/>
  <c r="Q362" i="18"/>
  <c r="Q364" i="18"/>
  <c r="Q366" i="18"/>
  <c r="Q368" i="18"/>
  <c r="Q370" i="18"/>
  <c r="Q372" i="18"/>
  <c r="Q374" i="18"/>
  <c r="Q376" i="18"/>
  <c r="Q378" i="18"/>
  <c r="AE15" i="18"/>
  <c r="AE18" i="18"/>
  <c r="AE19" i="18"/>
  <c r="AE21" i="18"/>
  <c r="AE23" i="18"/>
  <c r="AE25" i="18"/>
  <c r="AE27" i="18"/>
  <c r="AE29" i="18"/>
  <c r="AE31" i="18"/>
  <c r="AE33" i="18"/>
  <c r="AE35" i="18"/>
  <c r="AE37" i="18"/>
  <c r="AE39" i="18"/>
  <c r="AE41" i="18"/>
  <c r="AE43" i="18"/>
  <c r="AE45" i="18"/>
  <c r="AE47" i="18"/>
  <c r="AE49" i="18"/>
  <c r="AE51" i="18"/>
  <c r="AE53" i="18"/>
  <c r="AE55" i="18"/>
  <c r="AE57" i="18"/>
  <c r="AE59" i="18"/>
  <c r="AE61" i="18"/>
  <c r="AE63" i="18"/>
  <c r="AE65" i="18"/>
  <c r="AE67" i="18"/>
  <c r="AE69" i="18"/>
  <c r="AE71" i="18"/>
  <c r="AE73" i="18"/>
  <c r="AE75" i="18"/>
  <c r="AE77" i="18"/>
  <c r="AE79" i="18"/>
  <c r="AE81" i="18"/>
  <c r="AE83" i="18"/>
  <c r="AE85" i="18"/>
  <c r="AE87" i="18"/>
  <c r="AE89" i="18"/>
  <c r="AE91" i="18"/>
  <c r="AE93" i="18"/>
  <c r="AE95" i="18"/>
  <c r="AE97" i="18"/>
  <c r="AE99" i="18"/>
  <c r="AE101" i="18"/>
  <c r="AE103" i="18"/>
  <c r="AE105" i="18"/>
  <c r="AE107" i="18"/>
  <c r="AE109" i="18"/>
  <c r="AE111" i="18"/>
  <c r="AE113" i="18"/>
  <c r="AE115" i="18"/>
  <c r="AE117" i="18"/>
  <c r="AE119" i="18"/>
  <c r="AE121" i="18"/>
  <c r="AE123" i="18"/>
  <c r="AE125" i="18"/>
  <c r="AE127" i="18"/>
  <c r="AE129" i="18"/>
  <c r="AE131" i="18"/>
  <c r="AE133" i="18"/>
  <c r="AE135" i="18"/>
  <c r="AE137" i="18"/>
  <c r="AE139" i="18"/>
  <c r="AE141" i="18"/>
  <c r="AE143" i="18"/>
  <c r="AE145" i="18"/>
  <c r="AE147" i="18"/>
  <c r="AE149" i="18"/>
  <c r="AE151" i="18"/>
  <c r="AE153" i="18"/>
  <c r="AE155" i="18"/>
  <c r="AE157" i="18"/>
  <c r="AE159" i="18"/>
  <c r="AE161" i="18"/>
  <c r="AE163" i="18"/>
  <c r="AE165" i="18"/>
  <c r="AE167" i="18"/>
  <c r="AE169" i="18"/>
  <c r="AE171" i="18"/>
  <c r="AE173" i="18"/>
  <c r="AE175" i="18"/>
  <c r="AE177" i="18"/>
  <c r="AE179" i="18"/>
  <c r="AE181" i="18"/>
  <c r="AE183" i="18"/>
  <c r="AE185" i="18"/>
  <c r="AE187" i="18"/>
  <c r="AE189" i="18"/>
  <c r="AE191" i="18"/>
  <c r="AE193" i="18"/>
  <c r="AE195" i="18"/>
  <c r="AE197" i="18"/>
  <c r="AE199" i="18"/>
  <c r="AE201" i="18"/>
  <c r="AE203" i="18"/>
  <c r="AE205" i="18"/>
  <c r="AE207" i="18"/>
  <c r="AE209" i="18"/>
  <c r="AE211" i="18"/>
  <c r="AE213" i="18"/>
  <c r="AE215" i="18"/>
  <c r="AE217" i="18"/>
  <c r="AE219" i="18"/>
  <c r="AE221" i="18"/>
  <c r="AE223" i="18"/>
  <c r="AE225" i="18"/>
  <c r="AE227" i="18"/>
  <c r="AE229" i="18"/>
  <c r="AE231" i="18"/>
  <c r="AE233" i="18"/>
  <c r="AE235" i="18"/>
  <c r="AE237" i="18"/>
  <c r="AE239" i="18"/>
  <c r="AE241" i="18"/>
  <c r="AE243" i="18"/>
  <c r="AE245" i="18"/>
  <c r="AE247" i="18"/>
  <c r="AE249" i="18"/>
  <c r="AE251" i="18"/>
  <c r="AE253" i="18"/>
  <c r="AE255" i="18"/>
  <c r="AE257" i="18"/>
  <c r="AE259" i="18"/>
  <c r="AE261" i="18"/>
  <c r="AE263" i="18"/>
  <c r="AE265" i="18"/>
  <c r="AE267" i="18"/>
  <c r="AE269" i="18"/>
  <c r="AE271" i="18"/>
  <c r="AE273" i="18"/>
  <c r="AE275" i="18"/>
  <c r="AE277" i="18"/>
  <c r="AE279" i="18"/>
  <c r="AE281" i="18"/>
  <c r="AE283" i="18"/>
  <c r="AE285" i="18"/>
  <c r="AE287" i="18"/>
  <c r="AE289" i="18"/>
  <c r="AE291" i="18"/>
  <c r="AE293" i="18"/>
  <c r="AE295" i="18"/>
  <c r="AE297" i="18"/>
  <c r="AE299" i="18"/>
  <c r="AE301" i="18"/>
  <c r="AE303" i="18"/>
  <c r="AE305" i="18"/>
  <c r="AE307" i="18"/>
  <c r="AE309" i="18"/>
  <c r="AE311" i="18"/>
  <c r="AE313" i="18"/>
  <c r="AE315" i="18"/>
  <c r="AE317" i="18"/>
  <c r="AE319" i="18"/>
  <c r="AE321" i="18"/>
  <c r="AE323" i="18"/>
  <c r="AE325" i="18"/>
  <c r="AE327" i="18"/>
  <c r="AE329" i="18"/>
  <c r="AE331" i="18"/>
  <c r="AE333" i="18"/>
  <c r="AE335" i="18"/>
  <c r="AE337" i="18"/>
  <c r="AE339" i="18"/>
  <c r="AE341" i="18"/>
  <c r="AE343" i="18"/>
  <c r="AE345" i="18"/>
  <c r="AE347" i="18"/>
  <c r="AE349" i="18"/>
  <c r="AE351" i="18"/>
  <c r="AE353" i="18"/>
  <c r="AE355" i="18"/>
  <c r="AE357" i="18"/>
  <c r="AE359" i="18"/>
  <c r="AE361" i="18"/>
  <c r="AE363" i="18"/>
  <c r="AE365" i="18"/>
  <c r="AE367" i="18"/>
  <c r="AE369" i="18"/>
  <c r="AE371" i="18"/>
  <c r="AE373" i="18"/>
  <c r="AE375" i="18"/>
  <c r="AE377" i="18"/>
  <c r="AE379" i="18"/>
  <c r="AE12" i="20" s="1"/>
  <c r="U379" i="18"/>
  <c r="U12" i="20" s="1"/>
  <c r="U375" i="18"/>
  <c r="T375" i="18" s="1"/>
  <c r="U371" i="18"/>
  <c r="T371" i="18" s="1"/>
  <c r="U367" i="18"/>
  <c r="T367" i="18" s="1"/>
  <c r="U363" i="18"/>
  <c r="T363" i="18" s="1"/>
  <c r="U359" i="18"/>
  <c r="T359" i="18" s="1"/>
  <c r="U355" i="18"/>
  <c r="T355" i="18" s="1"/>
  <c r="U351" i="18"/>
  <c r="T351" i="18" s="1"/>
  <c r="U347" i="18"/>
  <c r="T347" i="18" s="1"/>
  <c r="U343" i="18"/>
  <c r="T343" i="18" s="1"/>
  <c r="U339" i="18"/>
  <c r="T339" i="18" s="1"/>
  <c r="U335" i="18"/>
  <c r="T335" i="18" s="1"/>
  <c r="U331" i="18"/>
  <c r="U327" i="18"/>
  <c r="T327" i="18" s="1"/>
  <c r="U323" i="18"/>
  <c r="T323" i="18" s="1"/>
  <c r="U319" i="18"/>
  <c r="T319" i="18" s="1"/>
  <c r="U315" i="18"/>
  <c r="U311" i="18"/>
  <c r="T311" i="18" s="1"/>
  <c r="U307" i="18"/>
  <c r="T307" i="18" s="1"/>
  <c r="U303" i="18"/>
  <c r="T303" i="18" s="1"/>
  <c r="U299" i="18"/>
  <c r="T299" i="18" s="1"/>
  <c r="U295" i="18"/>
  <c r="T295" i="18" s="1"/>
  <c r="U291" i="18"/>
  <c r="T291" i="18" s="1"/>
  <c r="U287" i="18"/>
  <c r="T287" i="18" s="1"/>
  <c r="U283" i="18"/>
  <c r="T283" i="18" s="1"/>
  <c r="U279" i="18"/>
  <c r="T279" i="18" s="1"/>
  <c r="U275" i="18"/>
  <c r="T275" i="18" s="1"/>
  <c r="U271" i="18"/>
  <c r="T271" i="18" s="1"/>
  <c r="U267" i="18"/>
  <c r="U263" i="18"/>
  <c r="T263" i="18" s="1"/>
  <c r="U259" i="18"/>
  <c r="T259" i="18" s="1"/>
  <c r="U255" i="18"/>
  <c r="T255" i="18" s="1"/>
  <c r="U251" i="18"/>
  <c r="U247" i="18"/>
  <c r="T247" i="18" s="1"/>
  <c r="U243" i="18"/>
  <c r="T243" i="18" s="1"/>
  <c r="U239" i="18"/>
  <c r="T239" i="18" s="1"/>
  <c r="U235" i="18"/>
  <c r="T235" i="18" s="1"/>
  <c r="U231" i="18"/>
  <c r="T231" i="18" s="1"/>
  <c r="U227" i="18"/>
  <c r="T227" i="18" s="1"/>
  <c r="U223" i="18"/>
  <c r="T223" i="18" s="1"/>
  <c r="U219" i="18"/>
  <c r="T219" i="18" s="1"/>
  <c r="U215" i="18"/>
  <c r="T215" i="18" s="1"/>
  <c r="U211" i="18"/>
  <c r="T211" i="18" s="1"/>
  <c r="U207" i="18"/>
  <c r="T207" i="18" s="1"/>
  <c r="U203" i="18"/>
  <c r="U199" i="18"/>
  <c r="T199" i="18" s="1"/>
  <c r="U195" i="18"/>
  <c r="T195" i="18" s="1"/>
  <c r="U191" i="18"/>
  <c r="T191" i="18" s="1"/>
  <c r="U187" i="18"/>
  <c r="U183" i="18"/>
  <c r="T183" i="18" s="1"/>
  <c r="U179" i="18"/>
  <c r="T179" i="18" s="1"/>
  <c r="U175" i="18"/>
  <c r="T175" i="18" s="1"/>
  <c r="U171" i="18"/>
  <c r="T171" i="18" s="1"/>
  <c r="U167" i="18"/>
  <c r="T167" i="18" s="1"/>
  <c r="U163" i="18"/>
  <c r="T163" i="18" s="1"/>
  <c r="U159" i="18"/>
  <c r="T159" i="18" s="1"/>
  <c r="U155" i="18"/>
  <c r="T155" i="18" s="1"/>
  <c r="U151" i="18"/>
  <c r="T151" i="18" s="1"/>
  <c r="U147" i="18"/>
  <c r="T147" i="18" s="1"/>
  <c r="U143" i="18"/>
  <c r="T143" i="18" s="1"/>
  <c r="U139" i="18"/>
  <c r="U135" i="18"/>
  <c r="T135" i="18" s="1"/>
  <c r="U131" i="18"/>
  <c r="T131" i="18" s="1"/>
  <c r="U127" i="18"/>
  <c r="T127" i="18" s="1"/>
  <c r="U123" i="18"/>
  <c r="U119" i="18"/>
  <c r="T119" i="18" s="1"/>
  <c r="U115" i="18"/>
  <c r="T115" i="18" s="1"/>
  <c r="U111" i="18"/>
  <c r="T111" i="18" s="1"/>
  <c r="U107" i="18"/>
  <c r="T107" i="18" s="1"/>
  <c r="U103" i="18"/>
  <c r="T103" i="18" s="1"/>
  <c r="U99" i="18"/>
  <c r="T99" i="18" s="1"/>
  <c r="U95" i="18"/>
  <c r="T95" i="18" s="1"/>
  <c r="U91" i="18"/>
  <c r="T91" i="18" s="1"/>
  <c r="U87" i="18"/>
  <c r="T87" i="18" s="1"/>
  <c r="U83" i="18"/>
  <c r="T83" i="18" s="1"/>
  <c r="U79" i="18"/>
  <c r="T79" i="18" s="1"/>
  <c r="U75" i="18"/>
  <c r="U71" i="18"/>
  <c r="T71" i="18" s="1"/>
  <c r="U67" i="18"/>
  <c r="T67" i="18" s="1"/>
  <c r="U63" i="18"/>
  <c r="T63" i="18" s="1"/>
  <c r="U59" i="18"/>
  <c r="U55" i="18"/>
  <c r="T55" i="18" s="1"/>
  <c r="U51" i="18"/>
  <c r="T51" i="18" s="1"/>
  <c r="U47" i="18"/>
  <c r="T47" i="18" s="1"/>
  <c r="U43" i="18"/>
  <c r="T43" i="18" s="1"/>
  <c r="U39" i="18"/>
  <c r="T39" i="18" s="1"/>
  <c r="U35" i="18"/>
  <c r="T35" i="18" s="1"/>
  <c r="U31" i="18"/>
  <c r="T31" i="18" s="1"/>
  <c r="U27" i="18"/>
  <c r="T27" i="18" s="1"/>
  <c r="U23" i="18"/>
  <c r="T23" i="18" s="1"/>
  <c r="U19" i="18"/>
  <c r="T19" i="18" s="1"/>
  <c r="V377" i="17"/>
  <c r="F377" i="17" s="1"/>
  <c r="V373" i="17"/>
  <c r="F373" i="17" s="1"/>
  <c r="V365" i="17"/>
  <c r="F365" i="17" s="1"/>
  <c r="V361" i="17"/>
  <c r="F361" i="17" s="1"/>
  <c r="V353" i="17"/>
  <c r="F353" i="17" s="1"/>
  <c r="V333" i="17"/>
  <c r="D66" i="7"/>
  <c r="F333" i="17"/>
  <c r="V375" i="17"/>
  <c r="F375" i="17" s="1"/>
  <c r="V371" i="17"/>
  <c r="F371" i="17" s="1"/>
  <c r="V367" i="17"/>
  <c r="F367" i="17" s="1"/>
  <c r="V363" i="17"/>
  <c r="D67" i="7"/>
  <c r="F363" i="17"/>
  <c r="V359" i="17"/>
  <c r="F359" i="17" s="1"/>
  <c r="AA355" i="17"/>
  <c r="Z355" i="17" s="1"/>
  <c r="Y355" i="17" s="1"/>
  <c r="G355" i="17"/>
  <c r="BZ355" i="6" s="1"/>
  <c r="H355" i="17"/>
  <c r="V351" i="17"/>
  <c r="F351" i="17" s="1"/>
  <c r="V347" i="17"/>
  <c r="F347" i="17" s="1"/>
  <c r="AA343" i="17"/>
  <c r="Z343" i="17" s="1"/>
  <c r="Y343" i="17" s="1"/>
  <c r="G343" i="17"/>
  <c r="BZ343" i="6" s="1"/>
  <c r="H343" i="17"/>
  <c r="AA339" i="17"/>
  <c r="Z339" i="17" s="1"/>
  <c r="Y339" i="17" s="1"/>
  <c r="G339" i="17"/>
  <c r="BZ339" i="6" s="1"/>
  <c r="H339" i="17"/>
  <c r="V335" i="17"/>
  <c r="F335" i="17" s="1"/>
  <c r="V331" i="17"/>
  <c r="F331" i="17" s="1"/>
  <c r="V327" i="17"/>
  <c r="F327" i="17" s="1"/>
  <c r="V323" i="17"/>
  <c r="F323" i="17" s="1"/>
  <c r="F319" i="17"/>
  <c r="V315" i="17"/>
  <c r="F315" i="17" s="1"/>
  <c r="V311" i="17"/>
  <c r="F311" i="17" s="1"/>
  <c r="V307" i="17"/>
  <c r="F307" i="17" s="1"/>
  <c r="V303" i="17"/>
  <c r="F303" i="17" s="1"/>
  <c r="V299" i="17"/>
  <c r="F299" i="17" s="1"/>
  <c r="V295" i="17"/>
  <c r="F295" i="17" s="1"/>
  <c r="V291" i="17"/>
  <c r="F291" i="17" s="1"/>
  <c r="V287" i="17"/>
  <c r="F287" i="17" s="1"/>
  <c r="V283" i="17"/>
  <c r="F283" i="17" s="1"/>
  <c r="V279" i="17"/>
  <c r="F279" i="17" s="1"/>
  <c r="F275" i="17"/>
  <c r="G271" i="17"/>
  <c r="BZ271" i="6" s="1"/>
  <c r="AA271" i="17"/>
  <c r="Z271" i="17" s="1"/>
  <c r="Y271" i="17" s="1"/>
  <c r="H271" i="17"/>
  <c r="F267" i="17"/>
  <c r="F263" i="17"/>
  <c r="V259" i="17"/>
  <c r="F259" i="17" s="1"/>
  <c r="V255" i="17"/>
  <c r="F255" i="17" s="1"/>
  <c r="V251" i="17"/>
  <c r="F251" i="17" s="1"/>
  <c r="V247" i="17"/>
  <c r="F247" i="17" s="1"/>
  <c r="G243" i="17"/>
  <c r="BZ243" i="6" s="1"/>
  <c r="AA243" i="17"/>
  <c r="Z243" i="17" s="1"/>
  <c r="Y243" i="17" s="1"/>
  <c r="H243" i="17"/>
  <c r="V239" i="17"/>
  <c r="F239" i="17" s="1"/>
  <c r="F235" i="17"/>
  <c r="V231" i="17"/>
  <c r="F231" i="17" s="1"/>
  <c r="F227" i="17"/>
  <c r="V223" i="17"/>
  <c r="F223" i="17" s="1"/>
  <c r="V219" i="17"/>
  <c r="F219" i="17" s="1"/>
  <c r="V215" i="17"/>
  <c r="F215" i="17" s="1"/>
  <c r="V211" i="17"/>
  <c r="F211" i="17" s="1"/>
  <c r="V207" i="17"/>
  <c r="F207" i="17" s="1"/>
  <c r="V203" i="17"/>
  <c r="F203" i="17" s="1"/>
  <c r="V199" i="17"/>
  <c r="F199" i="17" s="1"/>
  <c r="V195" i="17"/>
  <c r="F195" i="17" s="1"/>
  <c r="G191" i="17"/>
  <c r="BZ191" i="6" s="1"/>
  <c r="AA191" i="17"/>
  <c r="Z191" i="17" s="1"/>
  <c r="Y191" i="17" s="1"/>
  <c r="H191" i="17"/>
  <c r="V187" i="17"/>
  <c r="F187" i="17" s="1"/>
  <c r="V183" i="17"/>
  <c r="F183" i="17" s="1"/>
  <c r="V179" i="17"/>
  <c r="F179" i="17" s="1"/>
  <c r="V175" i="17"/>
  <c r="F175" i="17" s="1"/>
  <c r="V171" i="17"/>
  <c r="F171" i="17" s="1"/>
  <c r="V167" i="17"/>
  <c r="F167" i="17" s="1"/>
  <c r="V163" i="17"/>
  <c r="F163" i="17" s="1"/>
  <c r="V159" i="17"/>
  <c r="F159" i="17" s="1"/>
  <c r="V155" i="17"/>
  <c r="F155" i="17" s="1"/>
  <c r="V151" i="17"/>
  <c r="F151" i="17" s="1"/>
  <c r="V147" i="17"/>
  <c r="F147" i="17" s="1"/>
  <c r="V143" i="17"/>
  <c r="F143" i="17" s="1"/>
  <c r="V139" i="17"/>
  <c r="F139" i="17" s="1"/>
  <c r="V135" i="17"/>
  <c r="F135" i="17" s="1"/>
  <c r="V131" i="17"/>
  <c r="F131" i="17" s="1"/>
  <c r="V127" i="17"/>
  <c r="F127" i="17" s="1"/>
  <c r="V123" i="17"/>
  <c r="F123" i="17" s="1"/>
  <c r="D59" i="7"/>
  <c r="V119" i="17"/>
  <c r="F119" i="17" s="1"/>
  <c r="V115" i="17"/>
  <c r="F115" i="17" s="1"/>
  <c r="V111" i="17"/>
  <c r="F111" i="17" s="1"/>
  <c r="V107" i="17"/>
  <c r="F107" i="17" s="1"/>
  <c r="AA103" i="17"/>
  <c r="Z103" i="17" s="1"/>
  <c r="Y103" i="17" s="1"/>
  <c r="G103" i="17"/>
  <c r="BZ103" i="6" s="1"/>
  <c r="H103" i="17"/>
  <c r="AA99" i="17"/>
  <c r="Z99" i="17" s="1"/>
  <c r="Y99" i="17" s="1"/>
  <c r="G99" i="17"/>
  <c r="BZ99" i="6" s="1"/>
  <c r="H99" i="17"/>
  <c r="V95" i="17"/>
  <c r="F95" i="17" s="1"/>
  <c r="G91" i="17"/>
  <c r="BZ91" i="6" s="1"/>
  <c r="AA91" i="17"/>
  <c r="Z91" i="17" s="1"/>
  <c r="Y91" i="17" s="1"/>
  <c r="H91" i="17"/>
  <c r="V87" i="17"/>
  <c r="F87" i="17" s="1"/>
  <c r="V83" i="17"/>
  <c r="F83" i="17" s="1"/>
  <c r="V79" i="17"/>
  <c r="F79" i="17" s="1"/>
  <c r="V75" i="17"/>
  <c r="F75" i="17" s="1"/>
  <c r="V71" i="17"/>
  <c r="F71" i="17" s="1"/>
  <c r="V67" i="17"/>
  <c r="F67" i="17" s="1"/>
  <c r="V63" i="17"/>
  <c r="F63" i="17" s="1"/>
  <c r="V59" i="17"/>
  <c r="F59" i="17" s="1"/>
  <c r="V55" i="17"/>
  <c r="F55" i="17" s="1"/>
  <c r="V51" i="17"/>
  <c r="F51" i="17" s="1"/>
  <c r="V47" i="17"/>
  <c r="F47" i="17" s="1"/>
  <c r="V43" i="17"/>
  <c r="F43" i="17" s="1"/>
  <c r="V39" i="17"/>
  <c r="F39" i="17" s="1"/>
  <c r="V35" i="17"/>
  <c r="F35" i="17" s="1"/>
  <c r="V31" i="17"/>
  <c r="F31" i="17" s="1"/>
  <c r="V27" i="17"/>
  <c r="F27" i="17" s="1"/>
  <c r="V23" i="17"/>
  <c r="F23" i="17" s="1"/>
  <c r="V19" i="17"/>
  <c r="F19" i="17" s="1"/>
  <c r="F16" i="17"/>
  <c r="V369" i="17"/>
  <c r="F369" i="17" s="1"/>
  <c r="G357" i="17"/>
  <c r="BZ357" i="6" s="1"/>
  <c r="AA357" i="17"/>
  <c r="Z357" i="17" s="1"/>
  <c r="Y357" i="17" s="1"/>
  <c r="H357" i="17"/>
  <c r="F349" i="17"/>
  <c r="V345" i="17"/>
  <c r="F345" i="17" s="1"/>
  <c r="AA341" i="17"/>
  <c r="Z341" i="17" s="1"/>
  <c r="Y341" i="17" s="1"/>
  <c r="G341" i="17"/>
  <c r="BZ341" i="6" s="1"/>
  <c r="H341" i="17"/>
  <c r="G337" i="17"/>
  <c r="BZ337" i="6" s="1"/>
  <c r="AA337" i="17"/>
  <c r="Z337" i="17" s="1"/>
  <c r="Y337" i="17" s="1"/>
  <c r="H337" i="17"/>
  <c r="F329" i="17"/>
  <c r="AA325" i="17"/>
  <c r="Z325" i="17" s="1"/>
  <c r="Y325" i="17" s="1"/>
  <c r="G325" i="17"/>
  <c r="BZ325" i="6" s="1"/>
  <c r="H325" i="17"/>
  <c r="V321" i="17"/>
  <c r="V317" i="17"/>
  <c r="F317" i="17" s="1"/>
  <c r="V313" i="17"/>
  <c r="F313" i="17" s="1"/>
  <c r="V309" i="17"/>
  <c r="F309" i="17" s="1"/>
  <c r="V305" i="17"/>
  <c r="F305" i="17" s="1"/>
  <c r="V301" i="17"/>
  <c r="F301" i="17" s="1"/>
  <c r="V297" i="17"/>
  <c r="F297" i="17" s="1"/>
  <c r="V293" i="17"/>
  <c r="F293" i="17" s="1"/>
  <c r="V289" i="17"/>
  <c r="F289" i="17" s="1"/>
  <c r="V285" i="17"/>
  <c r="F285" i="17" s="1"/>
  <c r="V281" i="17"/>
  <c r="F281" i="17" s="1"/>
  <c r="V277" i="17"/>
  <c r="F277" i="17" s="1"/>
  <c r="V273" i="17"/>
  <c r="F273" i="17" s="1"/>
  <c r="V269" i="17"/>
  <c r="F269" i="17" s="1"/>
  <c r="V265" i="17"/>
  <c r="F265" i="17" s="1"/>
  <c r="V261" i="17"/>
  <c r="F261" i="17" s="1"/>
  <c r="V257" i="17"/>
  <c r="F257" i="17" s="1"/>
  <c r="G253" i="17"/>
  <c r="BZ253" i="6" s="1"/>
  <c r="AA253" i="17"/>
  <c r="Z253" i="17" s="1"/>
  <c r="Y253" i="17" s="1"/>
  <c r="H253" i="17"/>
  <c r="V249" i="17"/>
  <c r="F249" i="17" s="1"/>
  <c r="G245" i="17"/>
  <c r="BZ245" i="6" s="1"/>
  <c r="AA245" i="17"/>
  <c r="Z245" i="17" s="1"/>
  <c r="Y245" i="17" s="1"/>
  <c r="H245" i="17"/>
  <c r="V241" i="17"/>
  <c r="D63" i="7"/>
  <c r="F241" i="17"/>
  <c r="G237" i="17"/>
  <c r="BZ237" i="6" s="1"/>
  <c r="AA237" i="17"/>
  <c r="Z237" i="17" s="1"/>
  <c r="Y237" i="17" s="1"/>
  <c r="H237" i="17"/>
  <c r="V233" i="17"/>
  <c r="F233" i="17" s="1"/>
  <c r="V229" i="17"/>
  <c r="F229" i="17" s="1"/>
  <c r="V225" i="17"/>
  <c r="F225" i="17" s="1"/>
  <c r="V221" i="17"/>
  <c r="F221" i="17" s="1"/>
  <c r="V217" i="17"/>
  <c r="F217" i="17" s="1"/>
  <c r="V213" i="17"/>
  <c r="F213" i="17" s="1"/>
  <c r="V209" i="17"/>
  <c r="F209" i="17" s="1"/>
  <c r="G205" i="17"/>
  <c r="BZ205" i="6" s="1"/>
  <c r="AA205" i="17"/>
  <c r="Z205" i="17" s="1"/>
  <c r="Y205" i="17" s="1"/>
  <c r="H205" i="17"/>
  <c r="V201" i="17"/>
  <c r="F201" i="17" s="1"/>
  <c r="V197" i="17"/>
  <c r="F197" i="17" s="1"/>
  <c r="AA193" i="17"/>
  <c r="Z193" i="17" s="1"/>
  <c r="Y193" i="17" s="1"/>
  <c r="G193" i="17"/>
  <c r="BZ193" i="6" s="1"/>
  <c r="H193" i="17"/>
  <c r="V189" i="17"/>
  <c r="F189" i="17" s="1"/>
  <c r="V185" i="17"/>
  <c r="F185" i="17" s="1"/>
  <c r="V181" i="17"/>
  <c r="F181" i="17" s="1"/>
  <c r="V177" i="17"/>
  <c r="F177" i="17" s="1"/>
  <c r="V173" i="17"/>
  <c r="F173" i="17" s="1"/>
  <c r="V169" i="17"/>
  <c r="F169" i="17" s="1"/>
  <c r="V165" i="17"/>
  <c r="F165" i="17" s="1"/>
  <c r="V161" i="17"/>
  <c r="F161" i="17" s="1"/>
  <c r="V157" i="17"/>
  <c r="F157" i="17" s="1"/>
  <c r="V153" i="17"/>
  <c r="F153" i="17" s="1"/>
  <c r="V149" i="17"/>
  <c r="D60" i="7"/>
  <c r="F149" i="17"/>
  <c r="V145" i="17"/>
  <c r="F145" i="17" s="1"/>
  <c r="V141" i="17"/>
  <c r="F141" i="17" s="1"/>
  <c r="V137" i="17"/>
  <c r="F137" i="17" s="1"/>
  <c r="V133" i="17"/>
  <c r="F133" i="17" s="1"/>
  <c r="V129" i="17"/>
  <c r="F129" i="17" s="1"/>
  <c r="V125" i="17"/>
  <c r="F125" i="17" s="1"/>
  <c r="V121" i="17"/>
  <c r="F121" i="17" s="1"/>
  <c r="AA117" i="17"/>
  <c r="Z117" i="17" s="1"/>
  <c r="Y117" i="17" s="1"/>
  <c r="G117" i="17"/>
  <c r="BZ117" i="6" s="1"/>
  <c r="H117" i="17"/>
  <c r="V113" i="17"/>
  <c r="F113" i="17" s="1"/>
  <c r="V109" i="17"/>
  <c r="F109" i="17" s="1"/>
  <c r="F105" i="17"/>
  <c r="V101" i="17"/>
  <c r="F101" i="17" s="1"/>
  <c r="V97" i="17"/>
  <c r="F97" i="17" s="1"/>
  <c r="V93" i="17"/>
  <c r="F93" i="17" s="1"/>
  <c r="V89" i="17"/>
  <c r="F89" i="17" s="1"/>
  <c r="G85" i="17"/>
  <c r="BZ85" i="6" s="1"/>
  <c r="AA85" i="17"/>
  <c r="Z85" i="17" s="1"/>
  <c r="Y85" i="17" s="1"/>
  <c r="H85" i="17"/>
  <c r="V81" i="17"/>
  <c r="F81" i="17" s="1"/>
  <c r="V77" i="17"/>
  <c r="F77" i="17" s="1"/>
  <c r="V73" i="17"/>
  <c r="F73" i="17" s="1"/>
  <c r="V69" i="17"/>
  <c r="F69" i="17" s="1"/>
  <c r="V65" i="17"/>
  <c r="F65" i="17" s="1"/>
  <c r="V61" i="17"/>
  <c r="F61" i="17" s="1"/>
  <c r="V57" i="17"/>
  <c r="F57" i="17" s="1"/>
  <c r="V53" i="17"/>
  <c r="F53" i="17" s="1"/>
  <c r="V49" i="17"/>
  <c r="F49" i="17" s="1"/>
  <c r="V45" i="17"/>
  <c r="F45" i="17" s="1"/>
  <c r="V41" i="17"/>
  <c r="F41" i="17" s="1"/>
  <c r="F37" i="17"/>
  <c r="G33" i="17"/>
  <c r="BZ33" i="6" s="1"/>
  <c r="H33" i="17"/>
  <c r="V29" i="17"/>
  <c r="D56" i="7"/>
  <c r="F29" i="17"/>
  <c r="V25" i="17"/>
  <c r="F25" i="17" s="1"/>
  <c r="V21" i="17"/>
  <c r="F21" i="17" s="1"/>
  <c r="V17" i="17"/>
  <c r="F17" i="17" s="1"/>
  <c r="AJ4" i="15"/>
  <c r="P12" i="19" s="1"/>
  <c r="M13" i="19" s="1"/>
  <c r="AL13" i="15"/>
  <c r="V379" i="17"/>
  <c r="F379" i="17" s="1"/>
  <c r="V379" i="16"/>
  <c r="P383" i="16"/>
  <c r="P381" i="16"/>
  <c r="P382" i="16"/>
  <c r="AH376" i="18"/>
  <c r="AH368" i="18"/>
  <c r="AH360" i="18"/>
  <c r="AH344" i="18"/>
  <c r="AH336" i="18"/>
  <c r="AH328" i="18"/>
  <c r="AH316" i="18"/>
  <c r="AH312" i="18"/>
  <c r="AH304" i="18"/>
  <c r="AH296" i="18"/>
  <c r="AH284" i="18"/>
  <c r="AH276" i="18"/>
  <c r="AH244" i="18"/>
  <c r="AH212" i="18"/>
  <c r="AH180" i="18"/>
  <c r="AH148" i="18"/>
  <c r="AH116" i="18"/>
  <c r="AH84" i="18"/>
  <c r="AH52" i="18"/>
  <c r="V376" i="17"/>
  <c r="F376" i="17" s="1"/>
  <c r="V372" i="17"/>
  <c r="F372" i="17" s="1"/>
  <c r="V368" i="17"/>
  <c r="F368" i="17" s="1"/>
  <c r="V364" i="17"/>
  <c r="F364" i="17" s="1"/>
  <c r="V360" i="17"/>
  <c r="F360" i="17" s="1"/>
  <c r="V358" i="17"/>
  <c r="F358" i="17" s="1"/>
  <c r="AA354" i="17"/>
  <c r="Z354" i="17" s="1"/>
  <c r="Y354" i="17" s="1"/>
  <c r="G354" i="17"/>
  <c r="BZ354" i="6" s="1"/>
  <c r="H354" i="17"/>
  <c r="V350" i="17"/>
  <c r="F350" i="17" s="1"/>
  <c r="V348" i="17"/>
  <c r="F348" i="17" s="1"/>
  <c r="V344" i="17"/>
  <c r="F344" i="17" s="1"/>
  <c r="V340" i="17"/>
  <c r="F340" i="17" s="1"/>
  <c r="G336" i="17"/>
  <c r="BZ336" i="6" s="1"/>
  <c r="AA336" i="17"/>
  <c r="Z336" i="17" s="1"/>
  <c r="Y336" i="17" s="1"/>
  <c r="H336" i="17"/>
  <c r="F330" i="17"/>
  <c r="V328" i="17"/>
  <c r="F328" i="17" s="1"/>
  <c r="G322" i="17"/>
  <c r="BZ322" i="6" s="1"/>
  <c r="AA322" i="17"/>
  <c r="Z322" i="17" s="1"/>
  <c r="Y322" i="17" s="1"/>
  <c r="H322" i="17"/>
  <c r="V318" i="17"/>
  <c r="F318" i="17" s="1"/>
  <c r="V138" i="17"/>
  <c r="F138" i="17" s="1"/>
  <c r="V134" i="17"/>
  <c r="F134" i="17" s="1"/>
  <c r="V130" i="17"/>
  <c r="F130" i="17" s="1"/>
  <c r="V126" i="17"/>
  <c r="F126" i="17" s="1"/>
  <c r="V122" i="17"/>
  <c r="F122" i="17" s="1"/>
  <c r="V118" i="17"/>
  <c r="F118" i="17" s="1"/>
  <c r="F114" i="17"/>
  <c r="V110" i="17"/>
  <c r="F110" i="17" s="1"/>
  <c r="AA102" i="17"/>
  <c r="Z102" i="17" s="1"/>
  <c r="Y102" i="17" s="1"/>
  <c r="G102" i="17"/>
  <c r="BZ102" i="6" s="1"/>
  <c r="H102" i="17"/>
  <c r="V98" i="17"/>
  <c r="F98" i="17" s="1"/>
  <c r="V94" i="17"/>
  <c r="F94" i="17" s="1"/>
  <c r="V80" i="17"/>
  <c r="F80" i="17" s="1"/>
  <c r="AH379" i="18"/>
  <c r="AH375" i="18"/>
  <c r="AH371" i="18"/>
  <c r="AH367" i="18"/>
  <c r="AH363" i="18"/>
  <c r="AH359" i="18"/>
  <c r="AH355" i="18"/>
  <c r="AH351" i="18"/>
  <c r="AH347" i="18"/>
  <c r="AH343" i="18"/>
  <c r="AH339" i="18"/>
  <c r="AH335" i="18"/>
  <c r="AH331" i="18"/>
  <c r="AH327" i="18"/>
  <c r="AH323" i="18"/>
  <c r="AH319" i="18"/>
  <c r="AH315" i="18"/>
  <c r="AH311" i="18"/>
  <c r="AH307" i="18"/>
  <c r="AH303" i="18"/>
  <c r="AH299" i="18"/>
  <c r="AH295" i="18"/>
  <c r="AH291" i="18"/>
  <c r="AH283" i="18"/>
  <c r="AH279" i="18"/>
  <c r="AH275" i="18"/>
  <c r="AH271" i="18"/>
  <c r="AH267" i="18"/>
  <c r="AH263" i="18"/>
  <c r="AH259" i="18"/>
  <c r="AH255" i="18"/>
  <c r="AH251" i="18"/>
  <c r="AH247" i="18"/>
  <c r="AH243" i="18"/>
  <c r="AH239" i="18"/>
  <c r="AH235" i="18"/>
  <c r="AH231" i="18"/>
  <c r="AH227" i="18"/>
  <c r="AH223" i="18"/>
  <c r="AH219" i="18"/>
  <c r="AH215" i="18"/>
  <c r="AH211" i="18"/>
  <c r="AH207" i="18"/>
  <c r="AH203" i="18"/>
  <c r="AH199" i="18"/>
  <c r="AH195" i="18"/>
  <c r="AH191" i="18"/>
  <c r="AH187" i="18"/>
  <c r="AH183" i="18"/>
  <c r="AH179" i="18"/>
  <c r="AH175" i="18"/>
  <c r="AH171" i="18"/>
  <c r="AH167" i="18"/>
  <c r="AH163" i="18"/>
  <c r="AH159" i="18"/>
  <c r="AH155" i="18"/>
  <c r="AH151" i="18"/>
  <c r="AH147" i="18"/>
  <c r="AH143" i="18"/>
  <c r="AH139" i="18"/>
  <c r="AH135" i="18"/>
  <c r="AH131" i="18"/>
  <c r="AH127" i="18"/>
  <c r="AH123" i="18"/>
  <c r="AH119" i="18"/>
  <c r="AH115" i="18"/>
  <c r="AH111" i="18"/>
  <c r="AH107" i="18"/>
  <c r="AH103" i="18"/>
  <c r="AH99" i="18"/>
  <c r="AH95" i="18"/>
  <c r="AH91" i="18"/>
  <c r="AH87" i="18"/>
  <c r="AH83" i="18"/>
  <c r="AH79" i="18"/>
  <c r="AH75" i="18"/>
  <c r="AH71" i="18"/>
  <c r="AH67" i="18"/>
  <c r="AH63" i="18"/>
  <c r="AH59" i="18"/>
  <c r="AH55" i="18"/>
  <c r="AH51" i="18"/>
  <c r="AH47" i="18"/>
  <c r="AH43" i="18"/>
  <c r="AH39" i="18"/>
  <c r="AH35" i="18"/>
  <c r="AH31" i="18"/>
  <c r="AH27" i="18"/>
  <c r="AH23" i="18"/>
  <c r="AH19" i="18"/>
  <c r="AH17" i="18"/>
  <c r="H380" i="16"/>
  <c r="AA380" i="16"/>
  <c r="Z380" i="16" s="1"/>
  <c r="Y380" i="16" s="1"/>
  <c r="G380" i="16"/>
  <c r="BY380" i="6" s="1"/>
  <c r="AB15" i="7"/>
  <c r="Q12" i="20"/>
  <c r="AK3" i="24"/>
  <c r="Q19" i="19" s="1"/>
  <c r="AB16" i="7"/>
  <c r="AH11" i="7" s="1"/>
  <c r="U11" i="20" s="1"/>
  <c r="T373" i="18"/>
  <c r="T369" i="18"/>
  <c r="T357" i="18"/>
  <c r="T353" i="18"/>
  <c r="T349" i="18"/>
  <c r="T341" i="18"/>
  <c r="T337" i="18"/>
  <c r="T331" i="18"/>
  <c r="T325" i="18"/>
  <c r="T321" i="18"/>
  <c r="T317" i="18"/>
  <c r="T315" i="18"/>
  <c r="T309" i="18"/>
  <c r="T305" i="18"/>
  <c r="T293" i="18"/>
  <c r="T289" i="18"/>
  <c r="T285" i="18"/>
  <c r="T277" i="18"/>
  <c r="T273" i="18"/>
  <c r="T267" i="18"/>
  <c r="T261" i="18"/>
  <c r="T257" i="18"/>
  <c r="T253" i="18"/>
  <c r="T251" i="18"/>
  <c r="T245" i="18"/>
  <c r="T241" i="18"/>
  <c r="T229" i="18"/>
  <c r="T225" i="18"/>
  <c r="T221" i="18"/>
  <c r="T213" i="18"/>
  <c r="T209" i="18"/>
  <c r="T203" i="18"/>
  <c r="T197" i="18"/>
  <c r="T193" i="18"/>
  <c r="T189" i="18"/>
  <c r="T187" i="18"/>
  <c r="T181" i="18"/>
  <c r="T177" i="18"/>
  <c r="T165" i="18"/>
  <c r="T161" i="18"/>
  <c r="T157" i="18"/>
  <c r="T149" i="18"/>
  <c r="T145" i="18"/>
  <c r="T139" i="18"/>
  <c r="T133" i="18"/>
  <c r="T129" i="18"/>
  <c r="T125" i="18"/>
  <c r="T123" i="18"/>
  <c r="T117" i="18"/>
  <c r="T113" i="18"/>
  <c r="T101" i="18"/>
  <c r="T97" i="18"/>
  <c r="T93" i="18"/>
  <c r="T85" i="18"/>
  <c r="T81" i="18"/>
  <c r="T75" i="18"/>
  <c r="T69" i="18"/>
  <c r="T65" i="18"/>
  <c r="T61" i="18"/>
  <c r="T59" i="18"/>
  <c r="T53" i="18"/>
  <c r="T49" i="18"/>
  <c r="T37" i="18"/>
  <c r="T33" i="18"/>
  <c r="T29" i="18"/>
  <c r="T25" i="18"/>
  <c r="T21" i="18"/>
  <c r="T16" i="18"/>
  <c r="AK4" i="15"/>
  <c r="R12" i="19" s="1"/>
  <c r="N13" i="19" s="1"/>
  <c r="AM13" i="15"/>
  <c r="S381" i="17"/>
  <c r="S382" i="17"/>
  <c r="S383" i="17"/>
  <c r="R15" i="17"/>
  <c r="AC381" i="25"/>
  <c r="AC382" i="25"/>
  <c r="AC383" i="25"/>
  <c r="AG383" i="17"/>
  <c r="AG382" i="17"/>
  <c r="AG381" i="17"/>
  <c r="AF15" i="17"/>
  <c r="AH378" i="18"/>
  <c r="AH374" i="18"/>
  <c r="AH370" i="18"/>
  <c r="AH366" i="18"/>
  <c r="AH362" i="18"/>
  <c r="AH358" i="18"/>
  <c r="AH354" i="18"/>
  <c r="AH350" i="18"/>
  <c r="AH346" i="18"/>
  <c r="AH342" i="18"/>
  <c r="AH338" i="18"/>
  <c r="AH334" i="18"/>
  <c r="AH330" i="18"/>
  <c r="AH326" i="18"/>
  <c r="AH322" i="18"/>
  <c r="AH318" i="18"/>
  <c r="AH314" i="18"/>
  <c r="AH310" i="18"/>
  <c r="AH306" i="18"/>
  <c r="AH302" i="18"/>
  <c r="AH298" i="18"/>
  <c r="AH294" i="18"/>
  <c r="AH290" i="18"/>
  <c r="AH286" i="18"/>
  <c r="AH282" i="18"/>
  <c r="AH274" i="18"/>
  <c r="AH266" i="18"/>
  <c r="AH262" i="18"/>
  <c r="AH254" i="18"/>
  <c r="AH250" i="18"/>
  <c r="AH242" i="18"/>
  <c r="AH234" i="18"/>
  <c r="AH230" i="18"/>
  <c r="AH222" i="18"/>
  <c r="AH218" i="18"/>
  <c r="AH210" i="18"/>
  <c r="AH202" i="18"/>
  <c r="AH198" i="18"/>
  <c r="AH190" i="18"/>
  <c r="AH186" i="18"/>
  <c r="AH178" i="18"/>
  <c r="AH170" i="18"/>
  <c r="AH166" i="18"/>
  <c r="AH158" i="18"/>
  <c r="AH154" i="18"/>
  <c r="AH146" i="18"/>
  <c r="AH138" i="18"/>
  <c r="AH134" i="18"/>
  <c r="AH126" i="18"/>
  <c r="AH122" i="18"/>
  <c r="AH114" i="18"/>
  <c r="AH106" i="18"/>
  <c r="AH102" i="18"/>
  <c r="AH94" i="18"/>
  <c r="AH90" i="18"/>
  <c r="AH82" i="18"/>
  <c r="AH74" i="18"/>
  <c r="AH70" i="18"/>
  <c r="AH62" i="18"/>
  <c r="AH58" i="18"/>
  <c r="AH50" i="18"/>
  <c r="AH42" i="18"/>
  <c r="AH38" i="18"/>
  <c r="AH26" i="18"/>
  <c r="AH22" i="18"/>
  <c r="AH20" i="18"/>
  <c r="V378" i="17"/>
  <c r="F378" i="17" s="1"/>
  <c r="V374" i="17"/>
  <c r="F374" i="17" s="1"/>
  <c r="V370" i="17"/>
  <c r="F370" i="17" s="1"/>
  <c r="V366" i="17"/>
  <c r="F366" i="17" s="1"/>
  <c r="V362" i="17"/>
  <c r="F362" i="17" s="1"/>
  <c r="G356" i="17"/>
  <c r="BZ356" i="6" s="1"/>
  <c r="AA356" i="17"/>
  <c r="Z356" i="17" s="1"/>
  <c r="Y356" i="17" s="1"/>
  <c r="H356" i="17"/>
  <c r="AA352" i="17"/>
  <c r="Z352" i="17" s="1"/>
  <c r="Y352" i="17" s="1"/>
  <c r="G352" i="17"/>
  <c r="BZ352" i="6" s="1"/>
  <c r="H352" i="17"/>
  <c r="F346" i="17"/>
  <c r="V342" i="17"/>
  <c r="F342" i="17" s="1"/>
  <c r="G338" i="17"/>
  <c r="BZ338" i="6" s="1"/>
  <c r="AA338" i="17"/>
  <c r="Z338" i="17" s="1"/>
  <c r="Y338" i="17" s="1"/>
  <c r="H338" i="17"/>
  <c r="V334" i="17"/>
  <c r="F334" i="17" s="1"/>
  <c r="V332" i="17"/>
  <c r="F332" i="17" s="1"/>
  <c r="G326" i="17"/>
  <c r="BZ326" i="6" s="1"/>
  <c r="AA326" i="17"/>
  <c r="Z326" i="17" s="1"/>
  <c r="Y326" i="17" s="1"/>
  <c r="H326" i="17"/>
  <c r="V324" i="17"/>
  <c r="F324" i="17" s="1"/>
  <c r="F320" i="17"/>
  <c r="V140" i="17"/>
  <c r="F140" i="17" s="1"/>
  <c r="V136" i="17"/>
  <c r="F136" i="17" s="1"/>
  <c r="V132" i="17"/>
  <c r="F132" i="17" s="1"/>
  <c r="V128" i="17"/>
  <c r="F128" i="17" s="1"/>
  <c r="V124" i="17"/>
  <c r="F124" i="17" s="1"/>
  <c r="V120" i="17"/>
  <c r="F120" i="17" s="1"/>
  <c r="V116" i="17"/>
  <c r="F116" i="17" s="1"/>
  <c r="F112" i="17"/>
  <c r="V108" i="17"/>
  <c r="F108" i="17" s="1"/>
  <c r="V106" i="17"/>
  <c r="V104" i="17"/>
  <c r="F104" i="17" s="1"/>
  <c r="V100" i="17"/>
  <c r="F100" i="17" s="1"/>
  <c r="V96" i="17"/>
  <c r="F96" i="17" s="1"/>
  <c r="F92" i="17"/>
  <c r="V90" i="17"/>
  <c r="F90" i="17" s="1"/>
  <c r="D58" i="7"/>
  <c r="V88" i="17"/>
  <c r="F88" i="17" s="1"/>
  <c r="V86" i="17"/>
  <c r="F86" i="17" s="1"/>
  <c r="V84" i="17"/>
  <c r="F84" i="17" s="1"/>
  <c r="V82" i="17"/>
  <c r="F82" i="17" s="1"/>
  <c r="V78" i="17"/>
  <c r="F78" i="17" s="1"/>
  <c r="V76" i="17"/>
  <c r="F76" i="17" s="1"/>
  <c r="F74" i="17"/>
  <c r="V72" i="17"/>
  <c r="F72" i="17" s="1"/>
  <c r="V70" i="17"/>
  <c r="F70" i="17" s="1"/>
  <c r="V68" i="17"/>
  <c r="F68" i="17" s="1"/>
  <c r="V66" i="17"/>
  <c r="F66" i="17" s="1"/>
  <c r="G64" i="17"/>
  <c r="BZ64" i="6" s="1"/>
  <c r="AA64" i="17"/>
  <c r="Z64" i="17" s="1"/>
  <c r="Y64" i="17" s="1"/>
  <c r="H64" i="17"/>
  <c r="V62" i="17"/>
  <c r="F62" i="17" s="1"/>
  <c r="D57" i="7"/>
  <c r="V60" i="17"/>
  <c r="F60" i="17" s="1"/>
  <c r="V58" i="17"/>
  <c r="F58" i="17" s="1"/>
  <c r="V56" i="17"/>
  <c r="F56" i="17" s="1"/>
  <c r="AA54" i="17"/>
  <c r="Z54" i="17" s="1"/>
  <c r="Y54" i="17" s="1"/>
  <c r="G54" i="17"/>
  <c r="BZ54" i="6" s="1"/>
  <c r="H54" i="17"/>
  <c r="F52" i="17"/>
  <c r="V50" i="17"/>
  <c r="F50" i="17" s="1"/>
  <c r="V48" i="17"/>
  <c r="F48" i="17" s="1"/>
  <c r="V46" i="17"/>
  <c r="F46" i="17" s="1"/>
  <c r="V44" i="17"/>
  <c r="F44" i="17" s="1"/>
  <c r="V42" i="17"/>
  <c r="F42" i="17" s="1"/>
  <c r="AA40" i="17"/>
  <c r="Z40" i="17" s="1"/>
  <c r="Y40" i="17" s="1"/>
  <c r="G40" i="17"/>
  <c r="BZ40" i="6" s="1"/>
  <c r="H40" i="17"/>
  <c r="G38" i="17"/>
  <c r="BZ38" i="6" s="1"/>
  <c r="AA38" i="17"/>
  <c r="Z38" i="17" s="1"/>
  <c r="Y38" i="17" s="1"/>
  <c r="H38" i="17"/>
  <c r="V36" i="17"/>
  <c r="F36" i="17" s="1"/>
  <c r="V34" i="17"/>
  <c r="F34" i="17" s="1"/>
  <c r="V32" i="17"/>
  <c r="F32" i="17" s="1"/>
  <c r="V30" i="17"/>
  <c r="F30" i="17" s="1"/>
  <c r="V28" i="17"/>
  <c r="F28" i="17" s="1"/>
  <c r="V26" i="17"/>
  <c r="F26" i="17" s="1"/>
  <c r="V24" i="17"/>
  <c r="F24" i="17" s="1"/>
  <c r="V22" i="17"/>
  <c r="F22" i="17" s="1"/>
  <c r="V20" i="17"/>
  <c r="F20" i="17" s="1"/>
  <c r="V18" i="17"/>
  <c r="F18" i="17" s="1"/>
  <c r="T372" i="18"/>
  <c r="T364" i="18"/>
  <c r="T356" i="18"/>
  <c r="T348" i="18"/>
  <c r="T340" i="18"/>
  <c r="T332" i="18"/>
  <c r="T324" i="18"/>
  <c r="T316" i="18"/>
  <c r="T308" i="18"/>
  <c r="T300" i="18"/>
  <c r="T292" i="18"/>
  <c r="T284" i="18"/>
  <c r="T276" i="18"/>
  <c r="T268" i="18"/>
  <c r="T260" i="18"/>
  <c r="T252" i="18"/>
  <c r="T244" i="18"/>
  <c r="T236" i="18"/>
  <c r="T228" i="18"/>
  <c r="T220" i="18"/>
  <c r="T212" i="18"/>
  <c r="T204" i="18"/>
  <c r="T196" i="18"/>
  <c r="T188" i="18"/>
  <c r="T180" i="18"/>
  <c r="T172" i="18"/>
  <c r="T164" i="18"/>
  <c r="T156" i="18"/>
  <c r="T148" i="18"/>
  <c r="T140" i="18"/>
  <c r="T132" i="18"/>
  <c r="T124" i="18"/>
  <c r="T116" i="18"/>
  <c r="T108" i="18"/>
  <c r="T100" i="18"/>
  <c r="T92" i="18"/>
  <c r="T84" i="18"/>
  <c r="T76" i="18"/>
  <c r="T68" i="18"/>
  <c r="T60" i="18"/>
  <c r="T52" i="18"/>
  <c r="T44" i="18"/>
  <c r="T36" i="18"/>
  <c r="T28" i="18"/>
  <c r="T20" i="18"/>
  <c r="T18" i="18"/>
  <c r="Y11" i="15"/>
  <c r="J12" i="19"/>
  <c r="AA11" i="15"/>
  <c r="AA5" i="15" s="1"/>
  <c r="I12" i="19" s="1"/>
  <c r="I378" i="16"/>
  <c r="J378" i="16"/>
  <c r="Z378" i="16"/>
  <c r="AA33" i="17"/>
  <c r="Z33" i="17" s="1"/>
  <c r="Y33" i="17" s="1"/>
  <c r="V316" i="17"/>
  <c r="F316" i="17" s="1"/>
  <c r="V314" i="17"/>
  <c r="F314" i="17" s="1"/>
  <c r="V312" i="17"/>
  <c r="F312" i="17" s="1"/>
  <c r="V310" i="17"/>
  <c r="F310" i="17" s="1"/>
  <c r="V308" i="17"/>
  <c r="F308" i="17" s="1"/>
  <c r="G306" i="17"/>
  <c r="BZ306" i="6" s="1"/>
  <c r="AA306" i="17"/>
  <c r="Z306" i="17" s="1"/>
  <c r="Y306" i="17" s="1"/>
  <c r="H306" i="17"/>
  <c r="V304" i="17"/>
  <c r="F304" i="17" s="1"/>
  <c r="D65" i="7"/>
  <c r="V302" i="17"/>
  <c r="F302" i="17" s="1"/>
  <c r="V300" i="17"/>
  <c r="F300" i="17" s="1"/>
  <c r="V298" i="17"/>
  <c r="F298" i="17" s="1"/>
  <c r="V296" i="17"/>
  <c r="F296" i="17" s="1"/>
  <c r="V294" i="17"/>
  <c r="F294" i="17" s="1"/>
  <c r="V292" i="17"/>
  <c r="F292" i="17" s="1"/>
  <c r="AA290" i="17"/>
  <c r="Z290" i="17" s="1"/>
  <c r="Y290" i="17" s="1"/>
  <c r="G290" i="17"/>
  <c r="BZ290" i="6" s="1"/>
  <c r="H290" i="17"/>
  <c r="V288" i="17"/>
  <c r="F288" i="17" s="1"/>
  <c r="V286" i="17"/>
  <c r="F286" i="17" s="1"/>
  <c r="V284" i="17"/>
  <c r="F284" i="17" s="1"/>
  <c r="V282" i="17"/>
  <c r="F282" i="17" s="1"/>
  <c r="V280" i="17"/>
  <c r="F280" i="17" s="1"/>
  <c r="V278" i="17"/>
  <c r="F278" i="17" s="1"/>
  <c r="V276" i="17"/>
  <c r="F276" i="17" s="1"/>
  <c r="V274" i="17"/>
  <c r="F274" i="17" s="1"/>
  <c r="D64" i="7"/>
  <c r="V272" i="17"/>
  <c r="F272" i="17" s="1"/>
  <c r="F270" i="17"/>
  <c r="AA268" i="17"/>
  <c r="Z268" i="17" s="1"/>
  <c r="Y268" i="17" s="1"/>
  <c r="G268" i="17"/>
  <c r="BZ268" i="6" s="1"/>
  <c r="H268" i="17"/>
  <c r="V266" i="17"/>
  <c r="F266" i="17" s="1"/>
  <c r="V264" i="17"/>
  <c r="F264" i="17" s="1"/>
  <c r="AA262" i="17"/>
  <c r="Z262" i="17" s="1"/>
  <c r="Y262" i="17" s="1"/>
  <c r="G262" i="17"/>
  <c r="BZ262" i="6" s="1"/>
  <c r="H262" i="17"/>
  <c r="V260" i="17"/>
  <c r="F260" i="17" s="1"/>
  <c r="F258" i="17"/>
  <c r="V256" i="17"/>
  <c r="F256" i="17" s="1"/>
  <c r="V254" i="17"/>
  <c r="F254" i="17" s="1"/>
  <c r="AA252" i="17"/>
  <c r="Z252" i="17" s="1"/>
  <c r="Y252" i="17" s="1"/>
  <c r="G252" i="17"/>
  <c r="BZ252" i="6" s="1"/>
  <c r="H252" i="17"/>
  <c r="G250" i="17"/>
  <c r="BZ250" i="6" s="1"/>
  <c r="AA250" i="17"/>
  <c r="Z250" i="17" s="1"/>
  <c r="Y250" i="17" s="1"/>
  <c r="H250" i="17"/>
  <c r="G248" i="17"/>
  <c r="BZ248" i="6" s="1"/>
  <c r="AA248" i="17"/>
  <c r="Z248" i="17" s="1"/>
  <c r="Y248" i="17" s="1"/>
  <c r="H248" i="17"/>
  <c r="G246" i="17"/>
  <c r="BZ246" i="6" s="1"/>
  <c r="AA246" i="17"/>
  <c r="Z246" i="17" s="1"/>
  <c r="Y246" i="17" s="1"/>
  <c r="H246" i="17"/>
  <c r="F244" i="17"/>
  <c r="V242" i="17"/>
  <c r="F242" i="17" s="1"/>
  <c r="V240" i="17"/>
  <c r="F240" i="17" s="1"/>
  <c r="V238" i="17"/>
  <c r="F238" i="17" s="1"/>
  <c r="V236" i="17"/>
  <c r="F236" i="17" s="1"/>
  <c r="V234" i="17"/>
  <c r="F234" i="17" s="1"/>
  <c r="V232" i="17"/>
  <c r="F232" i="17" s="1"/>
  <c r="V230" i="17"/>
  <c r="F230" i="17" s="1"/>
  <c r="V228" i="17"/>
  <c r="F228" i="17" s="1"/>
  <c r="V226" i="17"/>
  <c r="F226" i="17" s="1"/>
  <c r="V224" i="17"/>
  <c r="F224" i="17" s="1"/>
  <c r="V222" i="17"/>
  <c r="F222" i="17" s="1"/>
  <c r="V220" i="17"/>
  <c r="F220" i="17" s="1"/>
  <c r="V218" i="17"/>
  <c r="F218" i="17" s="1"/>
  <c r="V216" i="17"/>
  <c r="F216" i="17" s="1"/>
  <c r="V214" i="17"/>
  <c r="F214" i="17" s="1"/>
  <c r="V212" i="17"/>
  <c r="F212" i="17" s="1"/>
  <c r="D62" i="7"/>
  <c r="V210" i="17"/>
  <c r="F210" i="17" s="1"/>
  <c r="V208" i="17"/>
  <c r="F208" i="17" s="1"/>
  <c r="V206" i="17"/>
  <c r="F206" i="17" s="1"/>
  <c r="V204" i="17"/>
  <c r="F204" i="17" s="1"/>
  <c r="V202" i="17"/>
  <c r="F202" i="17" s="1"/>
  <c r="V200" i="17"/>
  <c r="F200" i="17" s="1"/>
  <c r="V198" i="17"/>
  <c r="F198" i="17" s="1"/>
  <c r="F196" i="17"/>
  <c r="V194" i="17"/>
  <c r="F194" i="17" s="1"/>
  <c r="AA192" i="17"/>
  <c r="Z192" i="17" s="1"/>
  <c r="Y192" i="17" s="1"/>
  <c r="G192" i="17"/>
  <c r="BZ192" i="6" s="1"/>
  <c r="H192" i="17"/>
  <c r="V190" i="17"/>
  <c r="F190" i="17" s="1"/>
  <c r="V188" i="17"/>
  <c r="F188" i="17" s="1"/>
  <c r="V186" i="17"/>
  <c r="F186" i="17" s="1"/>
  <c r="V184" i="17"/>
  <c r="F184" i="17" s="1"/>
  <c r="V182" i="17"/>
  <c r="F182" i="17" s="1"/>
  <c r="D61" i="7"/>
  <c r="V180" i="17"/>
  <c r="F180" i="17" s="1"/>
  <c r="V178" i="17"/>
  <c r="F178" i="17" s="1"/>
  <c r="V176" i="17"/>
  <c r="F176" i="17" s="1"/>
  <c r="V174" i="17"/>
  <c r="F174" i="17" s="1"/>
  <c r="V172" i="17"/>
  <c r="F172" i="17" s="1"/>
  <c r="V170" i="17"/>
  <c r="F170" i="17" s="1"/>
  <c r="V168" i="17"/>
  <c r="F168" i="17" s="1"/>
  <c r="V166" i="17"/>
  <c r="V164" i="17"/>
  <c r="F164" i="17" s="1"/>
  <c r="V162" i="17"/>
  <c r="F162" i="17" s="1"/>
  <c r="V160" i="17"/>
  <c r="F160" i="17" s="1"/>
  <c r="V158" i="17"/>
  <c r="F158" i="17" s="1"/>
  <c r="V156" i="17"/>
  <c r="F156" i="17" s="1"/>
  <c r="V154" i="17"/>
  <c r="F154" i="17" s="1"/>
  <c r="V152" i="17"/>
  <c r="F152" i="17" s="1"/>
  <c r="V150" i="17"/>
  <c r="F150" i="17" s="1"/>
  <c r="V148" i="17"/>
  <c r="V146" i="17"/>
  <c r="F146" i="17" s="1"/>
  <c r="V144" i="17"/>
  <c r="F144" i="17" s="1"/>
  <c r="V142" i="17"/>
  <c r="O381" i="25"/>
  <c r="O383" i="25"/>
  <c r="O382" i="25"/>
  <c r="L381" i="25"/>
  <c r="L382" i="25"/>
  <c r="L383" i="25"/>
  <c r="Z11" i="15"/>
  <c r="Z5" i="15" s="1"/>
  <c r="H12" i="19" s="1"/>
  <c r="T379" i="18" l="1"/>
  <c r="Q382" i="18"/>
  <c r="H36" i="19"/>
  <c r="I36" i="19"/>
  <c r="AE381" i="18"/>
  <c r="AI383" i="18"/>
  <c r="L44" i="19"/>
  <c r="AE383" i="18"/>
  <c r="Q381" i="18"/>
  <c r="U383" i="18"/>
  <c r="AH16" i="18"/>
  <c r="AI382" i="18"/>
  <c r="AI381" i="18"/>
  <c r="AE382" i="18"/>
  <c r="Q383" i="18"/>
  <c r="G64" i="19"/>
  <c r="U382" i="18"/>
  <c r="U381" i="18"/>
  <c r="E64" i="19"/>
  <c r="I64" i="19"/>
  <c r="J64" i="19"/>
  <c r="L64" i="19"/>
  <c r="D64" i="19"/>
  <c r="U10" i="20"/>
  <c r="M64" i="19"/>
  <c r="AA146" i="17"/>
  <c r="Z146" i="17" s="1"/>
  <c r="Y146" i="17" s="1"/>
  <c r="G146" i="17"/>
  <c r="BZ146" i="6" s="1"/>
  <c r="H146" i="17"/>
  <c r="AA154" i="17"/>
  <c r="Z154" i="17" s="1"/>
  <c r="Y154" i="17" s="1"/>
  <c r="G154" i="17"/>
  <c r="BZ154" i="6" s="1"/>
  <c r="H154" i="17"/>
  <c r="AA144" i="17"/>
  <c r="Z144" i="17" s="1"/>
  <c r="Y144" i="17" s="1"/>
  <c r="G144" i="17"/>
  <c r="BZ144" i="6" s="1"/>
  <c r="H144" i="17"/>
  <c r="AA152" i="17"/>
  <c r="Z152" i="17" s="1"/>
  <c r="Y152" i="17" s="1"/>
  <c r="G152" i="17"/>
  <c r="BZ152" i="6" s="1"/>
  <c r="H152" i="17"/>
  <c r="AA156" i="17"/>
  <c r="Z156" i="17" s="1"/>
  <c r="Y156" i="17" s="1"/>
  <c r="G156" i="17"/>
  <c r="BZ156" i="6" s="1"/>
  <c r="H156" i="17"/>
  <c r="AA160" i="17"/>
  <c r="Z160" i="17" s="1"/>
  <c r="Y160" i="17" s="1"/>
  <c r="G160" i="17"/>
  <c r="BZ160" i="6" s="1"/>
  <c r="H160" i="17"/>
  <c r="AA164" i="17"/>
  <c r="Z164" i="17" s="1"/>
  <c r="Y164" i="17" s="1"/>
  <c r="G164" i="17"/>
  <c r="BZ164" i="6" s="1"/>
  <c r="H164" i="17"/>
  <c r="AA168" i="17"/>
  <c r="Z168" i="17" s="1"/>
  <c r="Y168" i="17" s="1"/>
  <c r="G168" i="17"/>
  <c r="BZ168" i="6" s="1"/>
  <c r="H168" i="17"/>
  <c r="AA172" i="17"/>
  <c r="Z172" i="17" s="1"/>
  <c r="Y172" i="17" s="1"/>
  <c r="G172" i="17"/>
  <c r="BZ172" i="6" s="1"/>
  <c r="H172" i="17"/>
  <c r="G176" i="17"/>
  <c r="BZ176" i="6" s="1"/>
  <c r="AA176" i="17"/>
  <c r="Z176" i="17" s="1"/>
  <c r="Y176" i="17" s="1"/>
  <c r="H176" i="17"/>
  <c r="AA180" i="17"/>
  <c r="Z180" i="17" s="1"/>
  <c r="Y180" i="17" s="1"/>
  <c r="G180" i="17"/>
  <c r="BZ180" i="6" s="1"/>
  <c r="H180" i="17"/>
  <c r="G200" i="17"/>
  <c r="BZ200" i="6" s="1"/>
  <c r="AA200" i="17"/>
  <c r="Z200" i="17" s="1"/>
  <c r="Y200" i="17" s="1"/>
  <c r="H200" i="17"/>
  <c r="G204" i="17"/>
  <c r="BZ204" i="6" s="1"/>
  <c r="AA204" i="17"/>
  <c r="Z204" i="17" s="1"/>
  <c r="Y204" i="17" s="1"/>
  <c r="H204" i="17"/>
  <c r="AA208" i="17"/>
  <c r="Z208" i="17" s="1"/>
  <c r="Y208" i="17" s="1"/>
  <c r="G208" i="17"/>
  <c r="BZ208" i="6" s="1"/>
  <c r="H208" i="17"/>
  <c r="G266" i="17"/>
  <c r="BZ266" i="6" s="1"/>
  <c r="AA266" i="17"/>
  <c r="Z266" i="17" s="1"/>
  <c r="Y266" i="17" s="1"/>
  <c r="H266" i="17"/>
  <c r="AA292" i="17"/>
  <c r="Z292" i="17" s="1"/>
  <c r="Y292" i="17" s="1"/>
  <c r="G292" i="17"/>
  <c r="BZ292" i="6" s="1"/>
  <c r="H292" i="17"/>
  <c r="G296" i="17"/>
  <c r="BZ296" i="6" s="1"/>
  <c r="AA296" i="17"/>
  <c r="Z296" i="17" s="1"/>
  <c r="Y296" i="17" s="1"/>
  <c r="H296" i="17"/>
  <c r="G300" i="17"/>
  <c r="BZ300" i="6" s="1"/>
  <c r="AA300" i="17"/>
  <c r="Z300" i="17" s="1"/>
  <c r="Y300" i="17" s="1"/>
  <c r="H300" i="17"/>
  <c r="AA308" i="17"/>
  <c r="Z308" i="17" s="1"/>
  <c r="Y308" i="17" s="1"/>
  <c r="G308" i="17"/>
  <c r="BZ308" i="6" s="1"/>
  <c r="H308" i="17"/>
  <c r="AA312" i="17"/>
  <c r="Z312" i="17" s="1"/>
  <c r="Y312" i="17" s="1"/>
  <c r="G312" i="17"/>
  <c r="BZ312" i="6" s="1"/>
  <c r="H312" i="17"/>
  <c r="AA316" i="17"/>
  <c r="Z316" i="17" s="1"/>
  <c r="Y316" i="17" s="1"/>
  <c r="G316" i="17"/>
  <c r="BZ316" i="6" s="1"/>
  <c r="H316" i="17"/>
  <c r="G20" i="17"/>
  <c r="BZ20" i="6" s="1"/>
  <c r="AA20" i="17"/>
  <c r="Z20" i="17" s="1"/>
  <c r="Y20" i="17" s="1"/>
  <c r="H20" i="17"/>
  <c r="G24" i="17"/>
  <c r="BZ24" i="6" s="1"/>
  <c r="AA24" i="17"/>
  <c r="Z24" i="17" s="1"/>
  <c r="Y24" i="17" s="1"/>
  <c r="H24" i="17"/>
  <c r="G28" i="17"/>
  <c r="BZ28" i="6" s="1"/>
  <c r="AA28" i="17"/>
  <c r="Z28" i="17" s="1"/>
  <c r="Y28" i="17" s="1"/>
  <c r="H28" i="17"/>
  <c r="AA32" i="17"/>
  <c r="Z32" i="17" s="1"/>
  <c r="Y32" i="17" s="1"/>
  <c r="G32" i="17"/>
  <c r="BZ32" i="6" s="1"/>
  <c r="H32" i="17"/>
  <c r="AA36" i="17"/>
  <c r="Z36" i="17" s="1"/>
  <c r="Y36" i="17" s="1"/>
  <c r="G36" i="17"/>
  <c r="BZ36" i="6" s="1"/>
  <c r="H36" i="17"/>
  <c r="G44" i="17"/>
  <c r="BZ44" i="6" s="1"/>
  <c r="AA44" i="17"/>
  <c r="Z44" i="17" s="1"/>
  <c r="Y44" i="17" s="1"/>
  <c r="H44" i="17"/>
  <c r="AA48" i="17"/>
  <c r="Z48" i="17" s="1"/>
  <c r="Y48" i="17" s="1"/>
  <c r="G48" i="17"/>
  <c r="BZ48" i="6" s="1"/>
  <c r="H48" i="17"/>
  <c r="AA90" i="17"/>
  <c r="Z90" i="17" s="1"/>
  <c r="Y90" i="17" s="1"/>
  <c r="G90" i="17"/>
  <c r="BZ90" i="6" s="1"/>
  <c r="H90" i="17"/>
  <c r="AA96" i="17"/>
  <c r="Z96" i="17" s="1"/>
  <c r="Y96" i="17" s="1"/>
  <c r="G96" i="17"/>
  <c r="BZ96" i="6" s="1"/>
  <c r="H96" i="17"/>
  <c r="AA104" i="17"/>
  <c r="Z104" i="17" s="1"/>
  <c r="Y104" i="17" s="1"/>
  <c r="G104" i="17"/>
  <c r="BZ104" i="6" s="1"/>
  <c r="H104" i="17"/>
  <c r="G108" i="17"/>
  <c r="BZ108" i="6" s="1"/>
  <c r="AA108" i="17"/>
  <c r="Z108" i="17" s="1"/>
  <c r="Y108" i="17" s="1"/>
  <c r="H108" i="17"/>
  <c r="AA116" i="17"/>
  <c r="Z116" i="17" s="1"/>
  <c r="Y116" i="17" s="1"/>
  <c r="G116" i="17"/>
  <c r="BZ116" i="6" s="1"/>
  <c r="H116" i="17"/>
  <c r="AA124" i="17"/>
  <c r="G124" i="17"/>
  <c r="BZ124" i="6" s="1"/>
  <c r="H124" i="17"/>
  <c r="AA132" i="17"/>
  <c r="Z132" i="17" s="1"/>
  <c r="Y132" i="17" s="1"/>
  <c r="G132" i="17"/>
  <c r="BZ132" i="6" s="1"/>
  <c r="H132" i="17"/>
  <c r="AA140" i="17"/>
  <c r="Z140" i="17" s="1"/>
  <c r="Y140" i="17" s="1"/>
  <c r="G140" i="17"/>
  <c r="BZ140" i="6" s="1"/>
  <c r="H140" i="17"/>
  <c r="AA324" i="17"/>
  <c r="Z324" i="17" s="1"/>
  <c r="Y324" i="17" s="1"/>
  <c r="G324" i="17"/>
  <c r="BZ324" i="6" s="1"/>
  <c r="H324" i="17"/>
  <c r="AA366" i="17"/>
  <c r="Z366" i="17" s="1"/>
  <c r="Y366" i="17" s="1"/>
  <c r="G366" i="17"/>
  <c r="BZ366" i="6" s="1"/>
  <c r="H366" i="17"/>
  <c r="AA374" i="17"/>
  <c r="Z374" i="17" s="1"/>
  <c r="Y374" i="17" s="1"/>
  <c r="G374" i="17"/>
  <c r="BZ374" i="6" s="1"/>
  <c r="H374" i="17"/>
  <c r="G94" i="17"/>
  <c r="BZ94" i="6" s="1"/>
  <c r="AA94" i="17"/>
  <c r="Z94" i="17" s="1"/>
  <c r="Y94" i="17" s="1"/>
  <c r="H94" i="17"/>
  <c r="G360" i="17"/>
  <c r="BZ360" i="6" s="1"/>
  <c r="AA360" i="17"/>
  <c r="Z360" i="17" s="1"/>
  <c r="Y360" i="17" s="1"/>
  <c r="H360" i="17"/>
  <c r="G368" i="17"/>
  <c r="BZ368" i="6" s="1"/>
  <c r="AA368" i="17"/>
  <c r="Z368" i="17" s="1"/>
  <c r="Y368" i="17" s="1"/>
  <c r="H368" i="17"/>
  <c r="G376" i="17"/>
  <c r="BZ376" i="6" s="1"/>
  <c r="AA376" i="17"/>
  <c r="Z376" i="17" s="1"/>
  <c r="Y376" i="17" s="1"/>
  <c r="H376" i="17"/>
  <c r="G41" i="17"/>
  <c r="BZ41" i="6" s="1"/>
  <c r="AA41" i="17"/>
  <c r="Z41" i="17" s="1"/>
  <c r="Y41" i="17" s="1"/>
  <c r="H41" i="17"/>
  <c r="G49" i="17"/>
  <c r="BZ49" i="6" s="1"/>
  <c r="AA49" i="17"/>
  <c r="Z49" i="17" s="1"/>
  <c r="Y49" i="17" s="1"/>
  <c r="H49" i="17"/>
  <c r="AA57" i="17"/>
  <c r="Z57" i="17" s="1"/>
  <c r="Y57" i="17" s="1"/>
  <c r="G57" i="17"/>
  <c r="BZ57" i="6" s="1"/>
  <c r="H57" i="17"/>
  <c r="AA65" i="17"/>
  <c r="Z65" i="17" s="1"/>
  <c r="Y65" i="17" s="1"/>
  <c r="G65" i="17"/>
  <c r="BZ65" i="6" s="1"/>
  <c r="H65" i="17"/>
  <c r="AA73" i="17"/>
  <c r="Z73" i="17" s="1"/>
  <c r="Y73" i="17" s="1"/>
  <c r="G73" i="17"/>
  <c r="BZ73" i="6" s="1"/>
  <c r="H73" i="17"/>
  <c r="G81" i="17"/>
  <c r="BZ81" i="6" s="1"/>
  <c r="AA81" i="17"/>
  <c r="Z81" i="17" s="1"/>
  <c r="Y81" i="17" s="1"/>
  <c r="H81" i="17"/>
  <c r="G113" i="17"/>
  <c r="BZ113" i="6" s="1"/>
  <c r="AA113" i="17"/>
  <c r="Z113" i="17" s="1"/>
  <c r="Y113" i="17" s="1"/>
  <c r="H113" i="17"/>
  <c r="AA157" i="17"/>
  <c r="Z157" i="17" s="1"/>
  <c r="Y157" i="17" s="1"/>
  <c r="G157" i="17"/>
  <c r="BZ157" i="6" s="1"/>
  <c r="H157" i="17"/>
  <c r="G165" i="17"/>
  <c r="BZ165" i="6" s="1"/>
  <c r="AA165" i="17"/>
  <c r="Z165" i="17" s="1"/>
  <c r="Y165" i="17" s="1"/>
  <c r="H165" i="17"/>
  <c r="AA173" i="17"/>
  <c r="Z173" i="17" s="1"/>
  <c r="Y173" i="17" s="1"/>
  <c r="G173" i="17"/>
  <c r="BZ173" i="6" s="1"/>
  <c r="H173" i="17"/>
  <c r="G181" i="17"/>
  <c r="BZ181" i="6" s="1"/>
  <c r="AA181" i="17"/>
  <c r="Z181" i="17" s="1"/>
  <c r="Y181" i="17" s="1"/>
  <c r="H181" i="17"/>
  <c r="AA189" i="17"/>
  <c r="Z189" i="17" s="1"/>
  <c r="Y189" i="17" s="1"/>
  <c r="G189" i="17"/>
  <c r="BZ189" i="6" s="1"/>
  <c r="H189" i="17"/>
  <c r="AA213" i="17"/>
  <c r="Z213" i="17" s="1"/>
  <c r="Y213" i="17" s="1"/>
  <c r="G213" i="17"/>
  <c r="BZ213" i="6" s="1"/>
  <c r="H213" i="17"/>
  <c r="G221" i="17"/>
  <c r="BZ221" i="6" s="1"/>
  <c r="AA221" i="17"/>
  <c r="Z221" i="17" s="1"/>
  <c r="Y221" i="17" s="1"/>
  <c r="H221" i="17"/>
  <c r="AA229" i="17"/>
  <c r="Z229" i="17" s="1"/>
  <c r="Y229" i="17" s="1"/>
  <c r="G229" i="17"/>
  <c r="BZ229" i="6" s="1"/>
  <c r="H229" i="17"/>
  <c r="G257" i="17"/>
  <c r="BZ257" i="6" s="1"/>
  <c r="AA257" i="17"/>
  <c r="Z257" i="17" s="1"/>
  <c r="Y257" i="17" s="1"/>
  <c r="H257" i="17"/>
  <c r="AA265" i="17"/>
  <c r="Z265" i="17" s="1"/>
  <c r="Y265" i="17" s="1"/>
  <c r="G265" i="17"/>
  <c r="BZ265" i="6" s="1"/>
  <c r="H265" i="17"/>
  <c r="G273" i="17"/>
  <c r="BZ273" i="6" s="1"/>
  <c r="AA273" i="17"/>
  <c r="Z273" i="17" s="1"/>
  <c r="Y273" i="17" s="1"/>
  <c r="H273" i="17"/>
  <c r="AA281" i="17"/>
  <c r="Z281" i="17" s="1"/>
  <c r="Y281" i="17" s="1"/>
  <c r="G281" i="17"/>
  <c r="BZ281" i="6" s="1"/>
  <c r="H281" i="17"/>
  <c r="AA289" i="17"/>
  <c r="Z289" i="17" s="1"/>
  <c r="Y289" i="17" s="1"/>
  <c r="G289" i="17"/>
  <c r="BZ289" i="6" s="1"/>
  <c r="H289" i="17"/>
  <c r="AA297" i="17"/>
  <c r="Z297" i="17" s="1"/>
  <c r="Y297" i="17" s="1"/>
  <c r="G297" i="17"/>
  <c r="BZ297" i="6" s="1"/>
  <c r="H297" i="17"/>
  <c r="AA305" i="17"/>
  <c r="Z305" i="17" s="1"/>
  <c r="Y305" i="17" s="1"/>
  <c r="G305" i="17"/>
  <c r="BZ305" i="6" s="1"/>
  <c r="H305" i="17"/>
  <c r="AA313" i="17"/>
  <c r="Z313" i="17" s="1"/>
  <c r="Y313" i="17" s="1"/>
  <c r="G313" i="17"/>
  <c r="BZ313" i="6" s="1"/>
  <c r="H313" i="17"/>
  <c r="AA107" i="17"/>
  <c r="Z107" i="17" s="1"/>
  <c r="Y107" i="17" s="1"/>
  <c r="G107" i="17"/>
  <c r="BZ107" i="6" s="1"/>
  <c r="H107" i="17"/>
  <c r="AA115" i="17"/>
  <c r="Z115" i="17" s="1"/>
  <c r="Y115" i="17" s="1"/>
  <c r="G115" i="17"/>
  <c r="BZ115" i="6" s="1"/>
  <c r="H115" i="17"/>
  <c r="AA195" i="17"/>
  <c r="Z195" i="17" s="1"/>
  <c r="Y195" i="17" s="1"/>
  <c r="G195" i="17"/>
  <c r="BZ195" i="6" s="1"/>
  <c r="H195" i="17"/>
  <c r="AA203" i="17"/>
  <c r="Z203" i="17" s="1"/>
  <c r="Y203" i="17" s="1"/>
  <c r="G203" i="17"/>
  <c r="BZ203" i="6" s="1"/>
  <c r="H203" i="17"/>
  <c r="G211" i="17"/>
  <c r="BZ211" i="6" s="1"/>
  <c r="AA211" i="17"/>
  <c r="Z211" i="17" s="1"/>
  <c r="Y211" i="17" s="1"/>
  <c r="H211" i="17"/>
  <c r="AA219" i="17"/>
  <c r="Z219" i="17" s="1"/>
  <c r="Y219" i="17" s="1"/>
  <c r="G219" i="17"/>
  <c r="BZ219" i="6" s="1"/>
  <c r="H219" i="17"/>
  <c r="AA283" i="17"/>
  <c r="Z283" i="17" s="1"/>
  <c r="Y283" i="17" s="1"/>
  <c r="G283" i="17"/>
  <c r="BZ283" i="6" s="1"/>
  <c r="H283" i="17"/>
  <c r="G291" i="17"/>
  <c r="BZ291" i="6" s="1"/>
  <c r="AA291" i="17"/>
  <c r="Z291" i="17" s="1"/>
  <c r="Y291" i="17" s="1"/>
  <c r="H291" i="17"/>
  <c r="G299" i="17"/>
  <c r="BZ299" i="6" s="1"/>
  <c r="AA299" i="17"/>
  <c r="Z299" i="17" s="1"/>
  <c r="Y299" i="17" s="1"/>
  <c r="H299" i="17"/>
  <c r="AA307" i="17"/>
  <c r="Z307" i="17" s="1"/>
  <c r="Y307" i="17" s="1"/>
  <c r="G307" i="17"/>
  <c r="BZ307" i="6" s="1"/>
  <c r="H307" i="17"/>
  <c r="G315" i="17"/>
  <c r="BZ315" i="6" s="1"/>
  <c r="AA315" i="17"/>
  <c r="Z315" i="17" s="1"/>
  <c r="Y315" i="17" s="1"/>
  <c r="H315" i="17"/>
  <c r="AA367" i="17"/>
  <c r="Z367" i="17" s="1"/>
  <c r="Y367" i="17" s="1"/>
  <c r="G367" i="17"/>
  <c r="BZ367" i="6" s="1"/>
  <c r="H367" i="17"/>
  <c r="G375" i="17"/>
  <c r="BZ375" i="6" s="1"/>
  <c r="AA375" i="17"/>
  <c r="Z375" i="17" s="1"/>
  <c r="Y375" i="17" s="1"/>
  <c r="H375" i="17"/>
  <c r="AA150" i="17"/>
  <c r="Z150" i="17" s="1"/>
  <c r="Y150" i="17" s="1"/>
  <c r="G150" i="17"/>
  <c r="BZ150" i="6" s="1"/>
  <c r="H150" i="17"/>
  <c r="G158" i="17"/>
  <c r="BZ158" i="6" s="1"/>
  <c r="AA158" i="17"/>
  <c r="Z158" i="17" s="1"/>
  <c r="Y158" i="17" s="1"/>
  <c r="H158" i="17"/>
  <c r="AA162" i="17"/>
  <c r="Z162" i="17" s="1"/>
  <c r="Y162" i="17" s="1"/>
  <c r="G162" i="17"/>
  <c r="BZ162" i="6" s="1"/>
  <c r="H162" i="17"/>
  <c r="G170" i="17"/>
  <c r="BZ170" i="6" s="1"/>
  <c r="AA170" i="17"/>
  <c r="Z170" i="17" s="1"/>
  <c r="Y170" i="17" s="1"/>
  <c r="H170" i="17"/>
  <c r="G174" i="17"/>
  <c r="BZ174" i="6" s="1"/>
  <c r="AA174" i="17"/>
  <c r="Z174" i="17" s="1"/>
  <c r="Y174" i="17" s="1"/>
  <c r="H174" i="17"/>
  <c r="AA178" i="17"/>
  <c r="Z178" i="17" s="1"/>
  <c r="Y178" i="17" s="1"/>
  <c r="G178" i="17"/>
  <c r="BZ178" i="6" s="1"/>
  <c r="H178" i="17"/>
  <c r="AA194" i="17"/>
  <c r="Z194" i="17" s="1"/>
  <c r="Y194" i="17" s="1"/>
  <c r="G194" i="17"/>
  <c r="BZ194" i="6" s="1"/>
  <c r="H194" i="17"/>
  <c r="AA198" i="17"/>
  <c r="Z198" i="17" s="1"/>
  <c r="Y198" i="17" s="1"/>
  <c r="G198" i="17"/>
  <c r="BZ198" i="6" s="1"/>
  <c r="H198" i="17"/>
  <c r="G202" i="17"/>
  <c r="BZ202" i="6" s="1"/>
  <c r="AA202" i="17"/>
  <c r="Z202" i="17" s="1"/>
  <c r="Y202" i="17" s="1"/>
  <c r="H202" i="17"/>
  <c r="AA206" i="17"/>
  <c r="Z206" i="17" s="1"/>
  <c r="Y206" i="17" s="1"/>
  <c r="G206" i="17"/>
  <c r="BZ206" i="6" s="1"/>
  <c r="H206" i="17"/>
  <c r="AA210" i="17"/>
  <c r="Z210" i="17" s="1"/>
  <c r="Y210" i="17" s="1"/>
  <c r="G210" i="17"/>
  <c r="BZ210" i="6" s="1"/>
  <c r="H210" i="17"/>
  <c r="AA264" i="17"/>
  <c r="Z264" i="17" s="1"/>
  <c r="Y264" i="17" s="1"/>
  <c r="G264" i="17"/>
  <c r="BZ264" i="6" s="1"/>
  <c r="H264" i="17"/>
  <c r="G294" i="17"/>
  <c r="BZ294" i="6" s="1"/>
  <c r="AA294" i="17"/>
  <c r="Z294" i="17" s="1"/>
  <c r="Y294" i="17" s="1"/>
  <c r="H294" i="17"/>
  <c r="AA298" i="17"/>
  <c r="Z298" i="17" s="1"/>
  <c r="Y298" i="17" s="1"/>
  <c r="G298" i="17"/>
  <c r="BZ298" i="6" s="1"/>
  <c r="H298" i="17"/>
  <c r="G302" i="17"/>
  <c r="BZ302" i="6" s="1"/>
  <c r="AA302" i="17"/>
  <c r="Z302" i="17" s="1"/>
  <c r="Y302" i="17" s="1"/>
  <c r="H302" i="17"/>
  <c r="AA310" i="17"/>
  <c r="Z310" i="17" s="1"/>
  <c r="Y310" i="17" s="1"/>
  <c r="G310" i="17"/>
  <c r="BZ310" i="6" s="1"/>
  <c r="H310" i="17"/>
  <c r="G314" i="17"/>
  <c r="BZ314" i="6" s="1"/>
  <c r="AA314" i="17"/>
  <c r="Z314" i="17" s="1"/>
  <c r="Y314" i="17" s="1"/>
  <c r="H314" i="17"/>
  <c r="AA18" i="17"/>
  <c r="Z18" i="17" s="1"/>
  <c r="Y18" i="17" s="1"/>
  <c r="G18" i="17"/>
  <c r="BZ18" i="6" s="1"/>
  <c r="H18" i="17"/>
  <c r="AA22" i="17"/>
  <c r="Z22" i="17" s="1"/>
  <c r="Y22" i="17" s="1"/>
  <c r="G22" i="17"/>
  <c r="BZ22" i="6" s="1"/>
  <c r="H22" i="17"/>
  <c r="AA26" i="17"/>
  <c r="Z26" i="17" s="1"/>
  <c r="Y26" i="17" s="1"/>
  <c r="G26" i="17"/>
  <c r="BZ26" i="6" s="1"/>
  <c r="H26" i="17"/>
  <c r="G30" i="17"/>
  <c r="BZ30" i="6" s="1"/>
  <c r="AA30" i="17"/>
  <c r="Z30" i="17" s="1"/>
  <c r="Y30" i="17" s="1"/>
  <c r="H30" i="17"/>
  <c r="AA34" i="17"/>
  <c r="Z34" i="17" s="1"/>
  <c r="Y34" i="17" s="1"/>
  <c r="G34" i="17"/>
  <c r="BZ34" i="6" s="1"/>
  <c r="H34" i="17"/>
  <c r="AA42" i="17"/>
  <c r="Z42" i="17" s="1"/>
  <c r="Y42" i="17" s="1"/>
  <c r="G42" i="17"/>
  <c r="BZ42" i="6" s="1"/>
  <c r="H42" i="17"/>
  <c r="G46" i="17"/>
  <c r="BZ46" i="6" s="1"/>
  <c r="AA46" i="17"/>
  <c r="Z46" i="17" s="1"/>
  <c r="Y46" i="17" s="1"/>
  <c r="H46" i="17"/>
  <c r="AA50" i="17"/>
  <c r="Z50" i="17" s="1"/>
  <c r="Y50" i="17" s="1"/>
  <c r="G50" i="17"/>
  <c r="BZ50" i="6" s="1"/>
  <c r="H50" i="17"/>
  <c r="AA62" i="17"/>
  <c r="Z62" i="17" s="1"/>
  <c r="Y62" i="17" s="1"/>
  <c r="G62" i="17"/>
  <c r="BZ62" i="6" s="1"/>
  <c r="H62" i="17"/>
  <c r="AA100" i="17"/>
  <c r="Z100" i="17" s="1"/>
  <c r="Y100" i="17" s="1"/>
  <c r="G100" i="17"/>
  <c r="BZ100" i="6" s="1"/>
  <c r="H100" i="17"/>
  <c r="AA120" i="17"/>
  <c r="Z120" i="17" s="1"/>
  <c r="Y120" i="17" s="1"/>
  <c r="G120" i="17"/>
  <c r="BZ120" i="6" s="1"/>
  <c r="H120" i="17"/>
  <c r="AA128" i="17"/>
  <c r="Z128" i="17" s="1"/>
  <c r="Y128" i="17" s="1"/>
  <c r="G128" i="17"/>
  <c r="BZ128" i="6" s="1"/>
  <c r="H128" i="17"/>
  <c r="G136" i="17"/>
  <c r="BZ136" i="6" s="1"/>
  <c r="AA136" i="17"/>
  <c r="Z136" i="17" s="1"/>
  <c r="Y136" i="17" s="1"/>
  <c r="H136" i="17"/>
  <c r="G342" i="17"/>
  <c r="BZ342" i="6" s="1"/>
  <c r="AA342" i="17"/>
  <c r="Z342" i="17" s="1"/>
  <c r="Y342" i="17" s="1"/>
  <c r="H342" i="17"/>
  <c r="AA362" i="17"/>
  <c r="Z362" i="17" s="1"/>
  <c r="Y362" i="17" s="1"/>
  <c r="G362" i="17"/>
  <c r="BZ362" i="6" s="1"/>
  <c r="H362" i="17"/>
  <c r="G370" i="17"/>
  <c r="BZ370" i="6" s="1"/>
  <c r="AA370" i="17"/>
  <c r="Z370" i="17" s="1"/>
  <c r="Y370" i="17" s="1"/>
  <c r="H370" i="17"/>
  <c r="G378" i="17"/>
  <c r="BZ378" i="6" s="1"/>
  <c r="AA378" i="17"/>
  <c r="Z378" i="17" s="1"/>
  <c r="Y378" i="17" s="1"/>
  <c r="G80" i="17"/>
  <c r="BZ80" i="6" s="1"/>
  <c r="AA80" i="17"/>
  <c r="Z80" i="17" s="1"/>
  <c r="Y80" i="17" s="1"/>
  <c r="H80" i="17"/>
  <c r="AA98" i="17"/>
  <c r="Z98" i="17" s="1"/>
  <c r="Y98" i="17" s="1"/>
  <c r="G98" i="17"/>
  <c r="BZ98" i="6" s="1"/>
  <c r="H98" i="17"/>
  <c r="G328" i="17"/>
  <c r="BZ328" i="6" s="1"/>
  <c r="AA328" i="17"/>
  <c r="Z328" i="17" s="1"/>
  <c r="Y328" i="17" s="1"/>
  <c r="H328" i="17"/>
  <c r="G358" i="17"/>
  <c r="BZ358" i="6" s="1"/>
  <c r="AA358" i="17"/>
  <c r="Z358" i="17" s="1"/>
  <c r="Y358" i="17" s="1"/>
  <c r="H358" i="17"/>
  <c r="G364" i="17"/>
  <c r="BZ364" i="6" s="1"/>
  <c r="AA364" i="17"/>
  <c r="Z364" i="17" s="1"/>
  <c r="Y364" i="17" s="1"/>
  <c r="H364" i="17"/>
  <c r="G372" i="17"/>
  <c r="BZ372" i="6" s="1"/>
  <c r="AA372" i="17"/>
  <c r="Z372" i="17" s="1"/>
  <c r="Y372" i="17" s="1"/>
  <c r="H372" i="17"/>
  <c r="AA45" i="17"/>
  <c r="Z45" i="17" s="1"/>
  <c r="Y45" i="17" s="1"/>
  <c r="G45" i="17"/>
  <c r="BZ45" i="6" s="1"/>
  <c r="H45" i="17"/>
  <c r="AA53" i="17"/>
  <c r="Z53" i="17" s="1"/>
  <c r="Y53" i="17" s="1"/>
  <c r="G53" i="17"/>
  <c r="BZ53" i="6" s="1"/>
  <c r="H53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77" i="17"/>
  <c r="Z77" i="17" s="1"/>
  <c r="Y77" i="17" s="1"/>
  <c r="G77" i="17"/>
  <c r="BZ77" i="6" s="1"/>
  <c r="H77" i="17"/>
  <c r="AA109" i="17"/>
  <c r="Z109" i="17" s="1"/>
  <c r="Y109" i="17" s="1"/>
  <c r="G109" i="17"/>
  <c r="BZ109" i="6" s="1"/>
  <c r="H109" i="17"/>
  <c r="G153" i="17"/>
  <c r="BZ153" i="6" s="1"/>
  <c r="AA153" i="17"/>
  <c r="Z153" i="17" s="1"/>
  <c r="Y153" i="17" s="1"/>
  <c r="H153" i="17"/>
  <c r="AA161" i="17"/>
  <c r="Z161" i="17" s="1"/>
  <c r="Y161" i="17" s="1"/>
  <c r="G161" i="17"/>
  <c r="BZ161" i="6" s="1"/>
  <c r="H161" i="17"/>
  <c r="G169" i="17"/>
  <c r="BZ169" i="6" s="1"/>
  <c r="AA169" i="17"/>
  <c r="Z169" i="17" s="1"/>
  <c r="Y169" i="17" s="1"/>
  <c r="H169" i="17"/>
  <c r="AA177" i="17"/>
  <c r="Z177" i="17" s="1"/>
  <c r="Y177" i="17" s="1"/>
  <c r="G177" i="17"/>
  <c r="BZ177" i="6" s="1"/>
  <c r="H177" i="17"/>
  <c r="G185" i="17"/>
  <c r="BZ185" i="6" s="1"/>
  <c r="AA185" i="17"/>
  <c r="Z185" i="17" s="1"/>
  <c r="Y185" i="17" s="1"/>
  <c r="H185" i="17"/>
  <c r="AA209" i="17"/>
  <c r="Z209" i="17" s="1"/>
  <c r="Y209" i="17" s="1"/>
  <c r="G209" i="17"/>
  <c r="BZ209" i="6" s="1"/>
  <c r="H209" i="17"/>
  <c r="G217" i="17"/>
  <c r="BZ217" i="6" s="1"/>
  <c r="AA217" i="17"/>
  <c r="Z217" i="17" s="1"/>
  <c r="Y217" i="17" s="1"/>
  <c r="H217" i="17"/>
  <c r="G225" i="17"/>
  <c r="BZ225" i="6" s="1"/>
  <c r="AA225" i="17"/>
  <c r="Z225" i="17" s="1"/>
  <c r="Y225" i="17" s="1"/>
  <c r="H225" i="17"/>
  <c r="AA233" i="17"/>
  <c r="Z233" i="17" s="1"/>
  <c r="Y233" i="17" s="1"/>
  <c r="G233" i="17"/>
  <c r="BZ233" i="6" s="1"/>
  <c r="H233" i="17"/>
  <c r="AA261" i="17"/>
  <c r="Z261" i="17" s="1"/>
  <c r="Y261" i="17" s="1"/>
  <c r="G261" i="17"/>
  <c r="BZ261" i="6" s="1"/>
  <c r="H261" i="17"/>
  <c r="AA269" i="17"/>
  <c r="Z269" i="17" s="1"/>
  <c r="Y269" i="17" s="1"/>
  <c r="G269" i="17"/>
  <c r="BZ269" i="6" s="1"/>
  <c r="H269" i="17"/>
  <c r="G277" i="17"/>
  <c r="BZ277" i="6" s="1"/>
  <c r="AA277" i="17"/>
  <c r="Z277" i="17" s="1"/>
  <c r="Y277" i="17" s="1"/>
  <c r="H277" i="17"/>
  <c r="AA285" i="17"/>
  <c r="Z285" i="17" s="1"/>
  <c r="Y285" i="17" s="1"/>
  <c r="G285" i="17"/>
  <c r="BZ285" i="6" s="1"/>
  <c r="H285" i="17"/>
  <c r="G293" i="17"/>
  <c r="BZ293" i="6" s="1"/>
  <c r="AA293" i="17"/>
  <c r="Z293" i="17" s="1"/>
  <c r="Y293" i="17" s="1"/>
  <c r="H293" i="17"/>
  <c r="G301" i="17"/>
  <c r="BZ301" i="6" s="1"/>
  <c r="AA301" i="17"/>
  <c r="Z301" i="17" s="1"/>
  <c r="Y301" i="17" s="1"/>
  <c r="H301" i="17"/>
  <c r="AA309" i="17"/>
  <c r="Z309" i="17" s="1"/>
  <c r="Y309" i="17" s="1"/>
  <c r="G309" i="17"/>
  <c r="BZ309" i="6" s="1"/>
  <c r="H309" i="17"/>
  <c r="AA317" i="17"/>
  <c r="Z317" i="17" s="1"/>
  <c r="Y317" i="17" s="1"/>
  <c r="G317" i="17"/>
  <c r="BZ317" i="6" s="1"/>
  <c r="H317" i="17"/>
  <c r="G95" i="17"/>
  <c r="BZ95" i="6" s="1"/>
  <c r="AA95" i="17"/>
  <c r="Z95" i="17" s="1"/>
  <c r="Y95" i="17" s="1"/>
  <c r="H95" i="17"/>
  <c r="G111" i="17"/>
  <c r="BZ111" i="6" s="1"/>
  <c r="AA111" i="17"/>
  <c r="Z111" i="17" s="1"/>
  <c r="Y111" i="17" s="1"/>
  <c r="H111" i="17"/>
  <c r="G119" i="17"/>
  <c r="BZ119" i="6" s="1"/>
  <c r="AA119" i="17"/>
  <c r="Z119" i="17" s="1"/>
  <c r="Y119" i="17" s="1"/>
  <c r="H119" i="17"/>
  <c r="G199" i="17"/>
  <c r="BZ199" i="6" s="1"/>
  <c r="AA199" i="17"/>
  <c r="Z199" i="17" s="1"/>
  <c r="Y199" i="17" s="1"/>
  <c r="H199" i="17"/>
  <c r="G207" i="17"/>
  <c r="BZ207" i="6" s="1"/>
  <c r="AA207" i="17"/>
  <c r="Z207" i="17" s="1"/>
  <c r="Y207" i="17" s="1"/>
  <c r="H207" i="17"/>
  <c r="G215" i="17"/>
  <c r="BZ215" i="6" s="1"/>
  <c r="AA215" i="17"/>
  <c r="Z215" i="17" s="1"/>
  <c r="Y215" i="17" s="1"/>
  <c r="H215" i="17"/>
  <c r="AA223" i="17"/>
  <c r="Z223" i="17" s="1"/>
  <c r="Y223" i="17" s="1"/>
  <c r="G223" i="17"/>
  <c r="BZ223" i="6" s="1"/>
  <c r="H223" i="17"/>
  <c r="G231" i="17"/>
  <c r="BZ231" i="6" s="1"/>
  <c r="AA231" i="17"/>
  <c r="Z231" i="17" s="1"/>
  <c r="Y231" i="17" s="1"/>
  <c r="H231" i="17"/>
  <c r="G239" i="17"/>
  <c r="BZ239" i="6" s="1"/>
  <c r="AA239" i="17"/>
  <c r="Z239" i="17" s="1"/>
  <c r="Y239" i="17" s="1"/>
  <c r="H239" i="17"/>
  <c r="AA279" i="17"/>
  <c r="Z279" i="17" s="1"/>
  <c r="Y279" i="17" s="1"/>
  <c r="G279" i="17"/>
  <c r="BZ279" i="6" s="1"/>
  <c r="H279" i="17"/>
  <c r="G287" i="17"/>
  <c r="BZ287" i="6" s="1"/>
  <c r="AA287" i="17"/>
  <c r="Z287" i="17" s="1"/>
  <c r="Y287" i="17" s="1"/>
  <c r="H287" i="17"/>
  <c r="G295" i="17"/>
  <c r="BZ295" i="6" s="1"/>
  <c r="AA295" i="17"/>
  <c r="Z295" i="17" s="1"/>
  <c r="Y295" i="17" s="1"/>
  <c r="H295" i="17"/>
  <c r="AA303" i="17"/>
  <c r="Z303" i="17" s="1"/>
  <c r="Y303" i="17" s="1"/>
  <c r="G303" i="17"/>
  <c r="BZ303" i="6" s="1"/>
  <c r="H303" i="17"/>
  <c r="G311" i="17"/>
  <c r="BZ311" i="6" s="1"/>
  <c r="AA311" i="17"/>
  <c r="Z311" i="17" s="1"/>
  <c r="Y311" i="17" s="1"/>
  <c r="H311" i="17"/>
  <c r="G371" i="17"/>
  <c r="BZ371" i="6" s="1"/>
  <c r="AA371" i="17"/>
  <c r="Z371" i="17" s="1"/>
  <c r="Y371" i="17" s="1"/>
  <c r="H371" i="17"/>
  <c r="G182" i="17"/>
  <c r="BZ182" i="6" s="1"/>
  <c r="AA182" i="17"/>
  <c r="Z182" i="17" s="1"/>
  <c r="Y182" i="17" s="1"/>
  <c r="H182" i="17"/>
  <c r="AA186" i="17"/>
  <c r="Z186" i="17" s="1"/>
  <c r="Y186" i="17" s="1"/>
  <c r="G186" i="17"/>
  <c r="BZ186" i="6" s="1"/>
  <c r="H186" i="17"/>
  <c r="G190" i="17"/>
  <c r="BZ190" i="6" s="1"/>
  <c r="AA190" i="17"/>
  <c r="Z190" i="17" s="1"/>
  <c r="Y190" i="17" s="1"/>
  <c r="H190" i="17"/>
  <c r="I192" i="17"/>
  <c r="J192" i="17"/>
  <c r="AA196" i="17"/>
  <c r="Z196" i="17" s="1"/>
  <c r="Y196" i="17" s="1"/>
  <c r="G196" i="17"/>
  <c r="BZ196" i="6" s="1"/>
  <c r="H196" i="17"/>
  <c r="G212" i="17"/>
  <c r="BZ212" i="6" s="1"/>
  <c r="AA212" i="17"/>
  <c r="Z212" i="17" s="1"/>
  <c r="Y212" i="17" s="1"/>
  <c r="H212" i="17"/>
  <c r="AA216" i="17"/>
  <c r="Z216" i="17" s="1"/>
  <c r="Y216" i="17" s="1"/>
  <c r="G216" i="17"/>
  <c r="BZ216" i="6" s="1"/>
  <c r="H216" i="17"/>
  <c r="AA220" i="17"/>
  <c r="Z220" i="17" s="1"/>
  <c r="Y220" i="17" s="1"/>
  <c r="G220" i="17"/>
  <c r="BZ220" i="6" s="1"/>
  <c r="H220" i="17"/>
  <c r="G224" i="17"/>
  <c r="BZ224" i="6" s="1"/>
  <c r="AA224" i="17"/>
  <c r="Z224" i="17" s="1"/>
  <c r="Y224" i="17" s="1"/>
  <c r="H224" i="17"/>
  <c r="AA228" i="17"/>
  <c r="Z228" i="17" s="1"/>
  <c r="Y228" i="17" s="1"/>
  <c r="G228" i="17"/>
  <c r="BZ228" i="6" s="1"/>
  <c r="H228" i="17"/>
  <c r="G232" i="17"/>
  <c r="BZ232" i="6" s="1"/>
  <c r="AA232" i="17"/>
  <c r="Z232" i="17" s="1"/>
  <c r="Y232" i="17" s="1"/>
  <c r="H232" i="17"/>
  <c r="G236" i="17"/>
  <c r="BZ236" i="6" s="1"/>
  <c r="AA236" i="17"/>
  <c r="Z236" i="17" s="1"/>
  <c r="Y236" i="17" s="1"/>
  <c r="H236" i="17"/>
  <c r="AA240" i="17"/>
  <c r="Z240" i="17" s="1"/>
  <c r="Y240" i="17" s="1"/>
  <c r="G240" i="17"/>
  <c r="BZ240" i="6" s="1"/>
  <c r="H240" i="17"/>
  <c r="F142" i="17"/>
  <c r="F148" i="17"/>
  <c r="F166" i="17"/>
  <c r="H64" i="19"/>
  <c r="G244" i="17"/>
  <c r="BZ244" i="6" s="1"/>
  <c r="AA244" i="17"/>
  <c r="Z244" i="17" s="1"/>
  <c r="Y244" i="17" s="1"/>
  <c r="H244" i="17"/>
  <c r="I248" i="17"/>
  <c r="J248" i="17"/>
  <c r="I252" i="17"/>
  <c r="J252" i="17"/>
  <c r="G258" i="17"/>
  <c r="BZ258" i="6" s="1"/>
  <c r="AA258" i="17"/>
  <c r="Z258" i="17" s="1"/>
  <c r="Y258" i="17" s="1"/>
  <c r="H258" i="17"/>
  <c r="I268" i="17"/>
  <c r="J268" i="17"/>
  <c r="AA270" i="17"/>
  <c r="Z270" i="17" s="1"/>
  <c r="Y270" i="17" s="1"/>
  <c r="G270" i="17"/>
  <c r="BZ270" i="6" s="1"/>
  <c r="H270" i="17"/>
  <c r="K64" i="19"/>
  <c r="T382" i="18"/>
  <c r="S15" i="18"/>
  <c r="T383" i="18"/>
  <c r="T381" i="18"/>
  <c r="S20" i="18"/>
  <c r="R20" i="18" s="1"/>
  <c r="P20" i="18" s="1"/>
  <c r="V20" i="18" s="1"/>
  <c r="I38" i="17"/>
  <c r="J38" i="17"/>
  <c r="J54" i="17"/>
  <c r="I54" i="17"/>
  <c r="I64" i="17"/>
  <c r="J64" i="17"/>
  <c r="G74" i="17"/>
  <c r="BZ74" i="6" s="1"/>
  <c r="AA74" i="17"/>
  <c r="Z74" i="17" s="1"/>
  <c r="Y74" i="17" s="1"/>
  <c r="H74" i="17"/>
  <c r="F106" i="17"/>
  <c r="J326" i="17"/>
  <c r="I326" i="17"/>
  <c r="I352" i="17"/>
  <c r="J352" i="17"/>
  <c r="AG20" i="18"/>
  <c r="AF20" i="18" s="1"/>
  <c r="AD20" i="18" s="1"/>
  <c r="AG22" i="18"/>
  <c r="AF22" i="18" s="1"/>
  <c r="AD22" i="18" s="1"/>
  <c r="AG26" i="18"/>
  <c r="AF26" i="18" s="1"/>
  <c r="AD26" i="18" s="1"/>
  <c r="AG30" i="18"/>
  <c r="AF30" i="18" s="1"/>
  <c r="AD30" i="18" s="1"/>
  <c r="AG34" i="18"/>
  <c r="AF34" i="18" s="1"/>
  <c r="AD34" i="18" s="1"/>
  <c r="AG38" i="18"/>
  <c r="AF38" i="18" s="1"/>
  <c r="AD38" i="18" s="1"/>
  <c r="AG42" i="18"/>
  <c r="AF42" i="18" s="1"/>
  <c r="AD42" i="18" s="1"/>
  <c r="AG50" i="18"/>
  <c r="AF50" i="18" s="1"/>
  <c r="AD50" i="18" s="1"/>
  <c r="AG54" i="18"/>
  <c r="AF54" i="18" s="1"/>
  <c r="AD54" i="18" s="1"/>
  <c r="AG58" i="18"/>
  <c r="AF58" i="18" s="1"/>
  <c r="AD58" i="18" s="1"/>
  <c r="AG62" i="18"/>
  <c r="AF62" i="18" s="1"/>
  <c r="AD62" i="18" s="1"/>
  <c r="AG66" i="18"/>
  <c r="AF66" i="18" s="1"/>
  <c r="AD66" i="18" s="1"/>
  <c r="AG74" i="18"/>
  <c r="AF74" i="18" s="1"/>
  <c r="AD74" i="18" s="1"/>
  <c r="AG78" i="18"/>
  <c r="AF78" i="18" s="1"/>
  <c r="AD78" i="18" s="1"/>
  <c r="AG82" i="18"/>
  <c r="AF82" i="18" s="1"/>
  <c r="AD82" i="18" s="1"/>
  <c r="AG86" i="18"/>
  <c r="AF86" i="18" s="1"/>
  <c r="AD86" i="18" s="1"/>
  <c r="AG90" i="18"/>
  <c r="AF90" i="18" s="1"/>
  <c r="AD90" i="18" s="1"/>
  <c r="AG94" i="18"/>
  <c r="AF94" i="18" s="1"/>
  <c r="AD94" i="18" s="1"/>
  <c r="AG98" i="18"/>
  <c r="AF98" i="18" s="1"/>
  <c r="AD98" i="18" s="1"/>
  <c r="AG102" i="18"/>
  <c r="AF102" i="18" s="1"/>
  <c r="AD102" i="18" s="1"/>
  <c r="AG106" i="18"/>
  <c r="AF106" i="18" s="1"/>
  <c r="AD106" i="18" s="1"/>
  <c r="AG114" i="18"/>
  <c r="AF114" i="18" s="1"/>
  <c r="AD114" i="18" s="1"/>
  <c r="AG118" i="18"/>
  <c r="AF118" i="18" s="1"/>
  <c r="AD118" i="18" s="1"/>
  <c r="AG122" i="18"/>
  <c r="AF122" i="18" s="1"/>
  <c r="AD122" i="18" s="1"/>
  <c r="AG126" i="18"/>
  <c r="AF126" i="18" s="1"/>
  <c r="AD126" i="18" s="1"/>
  <c r="AG130" i="18"/>
  <c r="AF130" i="18" s="1"/>
  <c r="AD130" i="18" s="1"/>
  <c r="AG134" i="18"/>
  <c r="AF134" i="18" s="1"/>
  <c r="AD134" i="18" s="1"/>
  <c r="AG146" i="18"/>
  <c r="AF146" i="18" s="1"/>
  <c r="AD146" i="18" s="1"/>
  <c r="AG150" i="18"/>
  <c r="AF150" i="18" s="1"/>
  <c r="AD150" i="18" s="1"/>
  <c r="AG154" i="18"/>
  <c r="AF154" i="18" s="1"/>
  <c r="AD154" i="18" s="1"/>
  <c r="AG158" i="18"/>
  <c r="AF158" i="18" s="1"/>
  <c r="AD158" i="18" s="1"/>
  <c r="AG162" i="18"/>
  <c r="AF162" i="18" s="1"/>
  <c r="AD162" i="18" s="1"/>
  <c r="AG166" i="18"/>
  <c r="AF166" i="18" s="1"/>
  <c r="AD166" i="18" s="1"/>
  <c r="AG170" i="18"/>
  <c r="AF170" i="18" s="1"/>
  <c r="AD170" i="18" s="1"/>
  <c r="AG174" i="18"/>
  <c r="AF174" i="18" s="1"/>
  <c r="AD174" i="18" s="1"/>
  <c r="AG178" i="18"/>
  <c r="AF178" i="18" s="1"/>
  <c r="AD178" i="18" s="1"/>
  <c r="AG182" i="18"/>
  <c r="AF182" i="18" s="1"/>
  <c r="AD182" i="18" s="1"/>
  <c r="AG186" i="18"/>
  <c r="AF186" i="18" s="1"/>
  <c r="AD186" i="18" s="1"/>
  <c r="AG194" i="18"/>
  <c r="AF194" i="18" s="1"/>
  <c r="AD194" i="18" s="1"/>
  <c r="AG202" i="18"/>
  <c r="AF202" i="18" s="1"/>
  <c r="AD202" i="18" s="1"/>
  <c r="AG206" i="18"/>
  <c r="AF206" i="18" s="1"/>
  <c r="AD206" i="18" s="1"/>
  <c r="AG210" i="18"/>
  <c r="AF210" i="18" s="1"/>
  <c r="AD210" i="18" s="1"/>
  <c r="AG218" i="18"/>
  <c r="AF218" i="18" s="1"/>
  <c r="AD218" i="18" s="1"/>
  <c r="AG222" i="18"/>
  <c r="AF222" i="18" s="1"/>
  <c r="AD222" i="18" s="1"/>
  <c r="AG226" i="18"/>
  <c r="AF226" i="18" s="1"/>
  <c r="AD226" i="18" s="1"/>
  <c r="AG230" i="18"/>
  <c r="AF230" i="18" s="1"/>
  <c r="AD230" i="18" s="1"/>
  <c r="AG234" i="18"/>
  <c r="AF234" i="18" s="1"/>
  <c r="AD234" i="18" s="1"/>
  <c r="AG238" i="18"/>
  <c r="AF238" i="18" s="1"/>
  <c r="AD238" i="18" s="1"/>
  <c r="AG242" i="18"/>
  <c r="AF242" i="18" s="1"/>
  <c r="AD242" i="18" s="1"/>
  <c r="AG246" i="18"/>
  <c r="AF246" i="18" s="1"/>
  <c r="AD246" i="18" s="1"/>
  <c r="AG254" i="18"/>
  <c r="AF254" i="18" s="1"/>
  <c r="AD254" i="18" s="1"/>
  <c r="AG258" i="18"/>
  <c r="AF258" i="18" s="1"/>
  <c r="AD258" i="18" s="1"/>
  <c r="AG262" i="18"/>
  <c r="AF262" i="18" s="1"/>
  <c r="AD262" i="18" s="1"/>
  <c r="AG266" i="18"/>
  <c r="AF266" i="18" s="1"/>
  <c r="AD266" i="18" s="1"/>
  <c r="AG270" i="18"/>
  <c r="AF270" i="18" s="1"/>
  <c r="AD270" i="18" s="1"/>
  <c r="AG278" i="18"/>
  <c r="AF278" i="18" s="1"/>
  <c r="AD278" i="18" s="1"/>
  <c r="AG282" i="18"/>
  <c r="AF282" i="18" s="1"/>
  <c r="AD282" i="18" s="1"/>
  <c r="AG286" i="18"/>
  <c r="AF286" i="18" s="1"/>
  <c r="AD286" i="18" s="1"/>
  <c r="AG290" i="18"/>
  <c r="AF290" i="18" s="1"/>
  <c r="AD290" i="18" s="1"/>
  <c r="AG294" i="18"/>
  <c r="AF294" i="18" s="1"/>
  <c r="AD294" i="18" s="1"/>
  <c r="AG298" i="18"/>
  <c r="AF298" i="18" s="1"/>
  <c r="AD298" i="18" s="1"/>
  <c r="AG302" i="18"/>
  <c r="AF302" i="18" s="1"/>
  <c r="AD302" i="18" s="1"/>
  <c r="AG306" i="18"/>
  <c r="AF306" i="18" s="1"/>
  <c r="AD306" i="18" s="1"/>
  <c r="AG310" i="18"/>
  <c r="AF310" i="18" s="1"/>
  <c r="AD310" i="18" s="1"/>
  <c r="AG318" i="18"/>
  <c r="AF318" i="18" s="1"/>
  <c r="AD318" i="18" s="1"/>
  <c r="AG322" i="18"/>
  <c r="AF322" i="18" s="1"/>
  <c r="AD322" i="18" s="1"/>
  <c r="AG326" i="18"/>
  <c r="AF326" i="18" s="1"/>
  <c r="AD326" i="18" s="1"/>
  <c r="AG330" i="18"/>
  <c r="AF330" i="18" s="1"/>
  <c r="AD330" i="18" s="1"/>
  <c r="AG334" i="18"/>
  <c r="AF334" i="18" s="1"/>
  <c r="AD334" i="18" s="1"/>
  <c r="AG338" i="18"/>
  <c r="AF338" i="18" s="1"/>
  <c r="AD338" i="18" s="1"/>
  <c r="AG350" i="18"/>
  <c r="AF350" i="18" s="1"/>
  <c r="AD350" i="18" s="1"/>
  <c r="AG354" i="18"/>
  <c r="AF354" i="18" s="1"/>
  <c r="AD354" i="18" s="1"/>
  <c r="AG358" i="18"/>
  <c r="AF358" i="18" s="1"/>
  <c r="AD358" i="18" s="1"/>
  <c r="AG362" i="18"/>
  <c r="AF362" i="18" s="1"/>
  <c r="AD362" i="18" s="1"/>
  <c r="AG366" i="18"/>
  <c r="AF366" i="18" s="1"/>
  <c r="AD366" i="18" s="1"/>
  <c r="AG374" i="18"/>
  <c r="AF374" i="18" s="1"/>
  <c r="AD374" i="18" s="1"/>
  <c r="AG378" i="18"/>
  <c r="AF378" i="18" s="1"/>
  <c r="AD378" i="18" s="1"/>
  <c r="AF382" i="17"/>
  <c r="AF381" i="17"/>
  <c r="AF383" i="17"/>
  <c r="AD15" i="17"/>
  <c r="AG16" i="7"/>
  <c r="U30" i="20"/>
  <c r="U46" i="20"/>
  <c r="U62" i="20"/>
  <c r="U78" i="20"/>
  <c r="U94" i="20"/>
  <c r="U110" i="20"/>
  <c r="U126" i="20"/>
  <c r="U142" i="20"/>
  <c r="U158" i="20"/>
  <c r="U174" i="20"/>
  <c r="U187" i="20"/>
  <c r="U195" i="20"/>
  <c r="U203" i="20"/>
  <c r="U211" i="20"/>
  <c r="U219" i="20"/>
  <c r="U226" i="20"/>
  <c r="U230" i="20"/>
  <c r="U234" i="20"/>
  <c r="U238" i="20"/>
  <c r="U242" i="20"/>
  <c r="U246" i="20"/>
  <c r="U250" i="20"/>
  <c r="U254" i="20"/>
  <c r="U258" i="20"/>
  <c r="U262" i="20"/>
  <c r="U266" i="20"/>
  <c r="U270" i="20"/>
  <c r="U274" i="20"/>
  <c r="U278" i="20"/>
  <c r="U282" i="20"/>
  <c r="U286" i="20"/>
  <c r="U290" i="20"/>
  <c r="U294" i="20"/>
  <c r="U298" i="20"/>
  <c r="U302" i="20"/>
  <c r="U306" i="20"/>
  <c r="U310" i="20"/>
  <c r="U314" i="20"/>
  <c r="U318" i="20"/>
  <c r="U322" i="20"/>
  <c r="U326" i="20"/>
  <c r="U330" i="20"/>
  <c r="U334" i="20"/>
  <c r="U338" i="20"/>
  <c r="U342" i="20"/>
  <c r="U346" i="20"/>
  <c r="U350" i="20"/>
  <c r="U354" i="20"/>
  <c r="U358" i="20"/>
  <c r="U362" i="20"/>
  <c r="U366" i="20"/>
  <c r="U370" i="20"/>
  <c r="U374" i="20"/>
  <c r="U378" i="20"/>
  <c r="Q10" i="20"/>
  <c r="AE11" i="20" s="1"/>
  <c r="AG15" i="7"/>
  <c r="Q15" i="20"/>
  <c r="Q31" i="20"/>
  <c r="Q47" i="20"/>
  <c r="Q63" i="20"/>
  <c r="Q79" i="20"/>
  <c r="Q95" i="20"/>
  <c r="Q111" i="20"/>
  <c r="Q127" i="20"/>
  <c r="Q143" i="20"/>
  <c r="Q159" i="20"/>
  <c r="Q175" i="20"/>
  <c r="Q191" i="20"/>
  <c r="Q207" i="20"/>
  <c r="Q215" i="20"/>
  <c r="Q223" i="20"/>
  <c r="Q231" i="20"/>
  <c r="Q239" i="20"/>
  <c r="Q247" i="20"/>
  <c r="Q255" i="20"/>
  <c r="Q263" i="20"/>
  <c r="Q271" i="20"/>
  <c r="Q279" i="20"/>
  <c r="Q287" i="20"/>
  <c r="Q295" i="20"/>
  <c r="Q303" i="20"/>
  <c r="Q311" i="20"/>
  <c r="Q319" i="20"/>
  <c r="Q327" i="20"/>
  <c r="Q335" i="20"/>
  <c r="Q343" i="20"/>
  <c r="Q351" i="20"/>
  <c r="Q357" i="20"/>
  <c r="Q361" i="20"/>
  <c r="Q365" i="20"/>
  <c r="Q369" i="20"/>
  <c r="Q373" i="20"/>
  <c r="Q377" i="20"/>
  <c r="J380" i="16"/>
  <c r="I380" i="16"/>
  <c r="H380" i="17" s="1"/>
  <c r="AG17" i="18"/>
  <c r="AF17" i="18" s="1"/>
  <c r="AD17" i="18" s="1"/>
  <c r="AG18" i="18"/>
  <c r="AF18" i="18" s="1"/>
  <c r="AD18" i="18" s="1"/>
  <c r="AG19" i="18"/>
  <c r="AF19" i="18" s="1"/>
  <c r="AD19" i="18" s="1"/>
  <c r="AG47" i="18"/>
  <c r="AF47" i="18" s="1"/>
  <c r="AD47" i="18" s="1"/>
  <c r="AG83" i="18"/>
  <c r="AF83" i="18" s="1"/>
  <c r="AD83" i="18" s="1"/>
  <c r="AG113" i="18"/>
  <c r="AF113" i="18" s="1"/>
  <c r="AD113" i="18" s="1"/>
  <c r="AG117" i="18"/>
  <c r="AF117" i="18" s="1"/>
  <c r="AD117" i="18" s="1"/>
  <c r="AG141" i="18"/>
  <c r="AF141" i="18" s="1"/>
  <c r="AD141" i="18" s="1"/>
  <c r="AG143" i="18"/>
  <c r="AF143" i="18" s="1"/>
  <c r="AD143" i="18" s="1"/>
  <c r="AG145" i="18"/>
  <c r="AF145" i="18" s="1"/>
  <c r="AD145" i="18" s="1"/>
  <c r="AG151" i="18"/>
  <c r="AF151" i="18" s="1"/>
  <c r="AD151" i="18" s="1"/>
  <c r="AG161" i="18"/>
  <c r="AF161" i="18" s="1"/>
  <c r="AD161" i="18" s="1"/>
  <c r="AG199" i="18"/>
  <c r="AF199" i="18" s="1"/>
  <c r="AD199" i="18" s="1"/>
  <c r="AG215" i="18"/>
  <c r="AF215" i="18" s="1"/>
  <c r="AD215" i="18" s="1"/>
  <c r="AG241" i="18"/>
  <c r="AF241" i="18" s="1"/>
  <c r="AD241" i="18" s="1"/>
  <c r="AG255" i="18"/>
  <c r="AF255" i="18" s="1"/>
  <c r="AD255" i="18" s="1"/>
  <c r="AG265" i="18"/>
  <c r="AF265" i="18" s="1"/>
  <c r="AD265" i="18" s="1"/>
  <c r="AG273" i="18"/>
  <c r="AF273" i="18" s="1"/>
  <c r="AD273" i="18" s="1"/>
  <c r="AG283" i="18"/>
  <c r="AF283" i="18" s="1"/>
  <c r="AD283" i="18" s="1"/>
  <c r="AG287" i="18"/>
  <c r="AF287" i="18" s="1"/>
  <c r="AD287" i="18" s="1"/>
  <c r="AG295" i="18"/>
  <c r="AF295" i="18" s="1"/>
  <c r="AD295" i="18" s="1"/>
  <c r="AG341" i="18"/>
  <c r="AF341" i="18" s="1"/>
  <c r="AD341" i="18" s="1"/>
  <c r="AG345" i="18"/>
  <c r="AF345" i="18" s="1"/>
  <c r="AD345" i="18" s="1"/>
  <c r="I102" i="17"/>
  <c r="J102" i="17"/>
  <c r="G114" i="17"/>
  <c r="BZ114" i="6" s="1"/>
  <c r="AA114" i="17"/>
  <c r="Z114" i="17" s="1"/>
  <c r="Y114" i="17" s="1"/>
  <c r="H114" i="17"/>
  <c r="I336" i="17"/>
  <c r="J336" i="17"/>
  <c r="AG24" i="18"/>
  <c r="AF24" i="18" s="1"/>
  <c r="AD24" i="18" s="1"/>
  <c r="AG80" i="18"/>
  <c r="AF80" i="18" s="1"/>
  <c r="AD80" i="18" s="1"/>
  <c r="AG116" i="18"/>
  <c r="AF116" i="18" s="1"/>
  <c r="AD116" i="18" s="1"/>
  <c r="AG120" i="18"/>
  <c r="AF120" i="18" s="1"/>
  <c r="AD120" i="18" s="1"/>
  <c r="AG128" i="18"/>
  <c r="AF128" i="18" s="1"/>
  <c r="AD128" i="18" s="1"/>
  <c r="AG144" i="18"/>
  <c r="AF144" i="18" s="1"/>
  <c r="AD144" i="18" s="1"/>
  <c r="AG148" i="18"/>
  <c r="AF148" i="18" s="1"/>
  <c r="AD148" i="18" s="1"/>
  <c r="AG256" i="18"/>
  <c r="AF256" i="18" s="1"/>
  <c r="AD256" i="18" s="1"/>
  <c r="AG284" i="18"/>
  <c r="AF284" i="18" s="1"/>
  <c r="AD284" i="18" s="1"/>
  <c r="F379" i="16"/>
  <c r="V381" i="16"/>
  <c r="V382" i="16"/>
  <c r="V383" i="16"/>
  <c r="M63" i="19"/>
  <c r="J33" i="17"/>
  <c r="I33" i="17"/>
  <c r="I85" i="17"/>
  <c r="J85" i="17"/>
  <c r="J117" i="17"/>
  <c r="I117" i="17"/>
  <c r="I193" i="17"/>
  <c r="J193" i="17"/>
  <c r="I237" i="17"/>
  <c r="J237" i="17"/>
  <c r="J245" i="17"/>
  <c r="I245" i="17"/>
  <c r="F321" i="17"/>
  <c r="J325" i="17"/>
  <c r="I325" i="17"/>
  <c r="AA329" i="17"/>
  <c r="Z329" i="17" s="1"/>
  <c r="Y329" i="17" s="1"/>
  <c r="G329" i="17"/>
  <c r="BZ329" i="6" s="1"/>
  <c r="H329" i="17"/>
  <c r="I341" i="17"/>
  <c r="J341" i="17"/>
  <c r="I357" i="17"/>
  <c r="J357" i="17"/>
  <c r="G16" i="17"/>
  <c r="BZ16" i="6" s="1"/>
  <c r="AA16" i="17"/>
  <c r="Z16" i="17" s="1"/>
  <c r="Y16" i="17" s="1"/>
  <c r="H16" i="17"/>
  <c r="I99" i="17"/>
  <c r="J99" i="17"/>
  <c r="F64" i="19"/>
  <c r="J243" i="17"/>
  <c r="I243" i="17"/>
  <c r="G263" i="17"/>
  <c r="BZ263" i="6" s="1"/>
  <c r="AA263" i="17"/>
  <c r="Z263" i="17" s="1"/>
  <c r="Y263" i="17" s="1"/>
  <c r="H263" i="17"/>
  <c r="G267" i="17"/>
  <c r="BZ267" i="6" s="1"/>
  <c r="AA267" i="17"/>
  <c r="Z267" i="17" s="1"/>
  <c r="Y267" i="17" s="1"/>
  <c r="H267" i="17"/>
  <c r="G319" i="17"/>
  <c r="BZ319" i="6" s="1"/>
  <c r="AA319" i="17"/>
  <c r="Z319" i="17" s="1"/>
  <c r="Y319" i="17" s="1"/>
  <c r="H319" i="17"/>
  <c r="J343" i="17"/>
  <c r="I343" i="17"/>
  <c r="AA359" i="17"/>
  <c r="Z359" i="17" s="1"/>
  <c r="Y359" i="17" s="1"/>
  <c r="G359" i="17"/>
  <c r="BZ359" i="6" s="1"/>
  <c r="H359" i="17"/>
  <c r="AA363" i="17"/>
  <c r="Z363" i="17" s="1"/>
  <c r="Y363" i="17" s="1"/>
  <c r="G363" i="17"/>
  <c r="BZ363" i="6" s="1"/>
  <c r="H363" i="17"/>
  <c r="G353" i="17"/>
  <c r="BZ353" i="6" s="1"/>
  <c r="AA353" i="17"/>
  <c r="Z353" i="17" s="1"/>
  <c r="Y353" i="17" s="1"/>
  <c r="H353" i="17"/>
  <c r="G361" i="17"/>
  <c r="BZ361" i="6" s="1"/>
  <c r="AA361" i="17"/>
  <c r="Z361" i="17" s="1"/>
  <c r="Y361" i="17" s="1"/>
  <c r="H361" i="17"/>
  <c r="G365" i="17"/>
  <c r="BZ365" i="6" s="1"/>
  <c r="AA365" i="17"/>
  <c r="Z365" i="17" s="1"/>
  <c r="Y365" i="17" s="1"/>
  <c r="H365" i="17"/>
  <c r="G373" i="17"/>
  <c r="BZ373" i="6" s="1"/>
  <c r="AA373" i="17"/>
  <c r="Z373" i="17" s="1"/>
  <c r="Y373" i="17" s="1"/>
  <c r="H373" i="17"/>
  <c r="AA377" i="17"/>
  <c r="Z377" i="17" s="1"/>
  <c r="Y377" i="17" s="1"/>
  <c r="G377" i="17"/>
  <c r="BZ377" i="6" s="1"/>
  <c r="H377" i="17"/>
  <c r="G184" i="17"/>
  <c r="BZ184" i="6" s="1"/>
  <c r="AA184" i="17"/>
  <c r="Z184" i="17" s="1"/>
  <c r="Y184" i="17" s="1"/>
  <c r="H184" i="17"/>
  <c r="G188" i="17"/>
  <c r="BZ188" i="6" s="1"/>
  <c r="AA188" i="17"/>
  <c r="Z188" i="17" s="1"/>
  <c r="Y188" i="17" s="1"/>
  <c r="H188" i="17"/>
  <c r="G214" i="17"/>
  <c r="BZ214" i="6" s="1"/>
  <c r="AA214" i="17"/>
  <c r="Z214" i="17" s="1"/>
  <c r="Y214" i="17" s="1"/>
  <c r="H214" i="17"/>
  <c r="G218" i="17"/>
  <c r="BZ218" i="6" s="1"/>
  <c r="AA218" i="17"/>
  <c r="Z218" i="17" s="1"/>
  <c r="Y218" i="17" s="1"/>
  <c r="H218" i="17"/>
  <c r="AA222" i="17"/>
  <c r="Z222" i="17" s="1"/>
  <c r="Y222" i="17" s="1"/>
  <c r="G222" i="17"/>
  <c r="BZ222" i="6" s="1"/>
  <c r="H222" i="17"/>
  <c r="G226" i="17"/>
  <c r="BZ226" i="6" s="1"/>
  <c r="AA226" i="17"/>
  <c r="Z226" i="17" s="1"/>
  <c r="Y226" i="17" s="1"/>
  <c r="H226" i="17"/>
  <c r="AA230" i="17"/>
  <c r="Z230" i="17" s="1"/>
  <c r="Y230" i="17" s="1"/>
  <c r="G230" i="17"/>
  <c r="BZ230" i="6" s="1"/>
  <c r="H230" i="17"/>
  <c r="G234" i="17"/>
  <c r="BZ234" i="6" s="1"/>
  <c r="AA234" i="17"/>
  <c r="Z234" i="17" s="1"/>
  <c r="Y234" i="17" s="1"/>
  <c r="H234" i="17"/>
  <c r="G238" i="17"/>
  <c r="BZ238" i="6" s="1"/>
  <c r="AA238" i="17"/>
  <c r="Z238" i="17" s="1"/>
  <c r="Y238" i="17" s="1"/>
  <c r="H238" i="17"/>
  <c r="G242" i="17"/>
  <c r="BZ242" i="6" s="1"/>
  <c r="AA242" i="17"/>
  <c r="Z242" i="17" s="1"/>
  <c r="Y242" i="17" s="1"/>
  <c r="H242" i="17"/>
  <c r="I246" i="17"/>
  <c r="J246" i="17"/>
  <c r="I250" i="17"/>
  <c r="J250" i="17"/>
  <c r="G254" i="17"/>
  <c r="BZ254" i="6" s="1"/>
  <c r="AA254" i="17"/>
  <c r="Z254" i="17" s="1"/>
  <c r="Y254" i="17" s="1"/>
  <c r="H254" i="17"/>
  <c r="AA256" i="17"/>
  <c r="Z256" i="17" s="1"/>
  <c r="Y256" i="17" s="1"/>
  <c r="G256" i="17"/>
  <c r="BZ256" i="6" s="1"/>
  <c r="H256" i="17"/>
  <c r="G260" i="17"/>
  <c r="BZ260" i="6" s="1"/>
  <c r="AA260" i="17"/>
  <c r="Z260" i="17" s="1"/>
  <c r="Y260" i="17" s="1"/>
  <c r="H260" i="17"/>
  <c r="I262" i="17"/>
  <c r="J262" i="17"/>
  <c r="AA272" i="17"/>
  <c r="Z272" i="17" s="1"/>
  <c r="Y272" i="17" s="1"/>
  <c r="G272" i="17"/>
  <c r="BZ272" i="6" s="1"/>
  <c r="H272" i="17"/>
  <c r="G274" i="17"/>
  <c r="BZ274" i="6" s="1"/>
  <c r="AA274" i="17"/>
  <c r="Z274" i="17" s="1"/>
  <c r="Y274" i="17" s="1"/>
  <c r="H274" i="17"/>
  <c r="G276" i="17"/>
  <c r="BZ276" i="6" s="1"/>
  <c r="AA276" i="17"/>
  <c r="Z276" i="17" s="1"/>
  <c r="Y276" i="17" s="1"/>
  <c r="H276" i="17"/>
  <c r="AA278" i="17"/>
  <c r="Z278" i="17" s="1"/>
  <c r="Y278" i="17" s="1"/>
  <c r="G278" i="17"/>
  <c r="BZ278" i="6" s="1"/>
  <c r="H278" i="17"/>
  <c r="G280" i="17"/>
  <c r="BZ280" i="6" s="1"/>
  <c r="AA280" i="17"/>
  <c r="Z280" i="17" s="1"/>
  <c r="Y280" i="17" s="1"/>
  <c r="H280" i="17"/>
  <c r="AA282" i="17"/>
  <c r="Z282" i="17" s="1"/>
  <c r="Y282" i="17" s="1"/>
  <c r="G282" i="17"/>
  <c r="BZ282" i="6" s="1"/>
  <c r="H282" i="17"/>
  <c r="AA284" i="17"/>
  <c r="Z284" i="17" s="1"/>
  <c r="Y284" i="17" s="1"/>
  <c r="G284" i="17"/>
  <c r="BZ284" i="6" s="1"/>
  <c r="H284" i="17"/>
  <c r="AA286" i="17"/>
  <c r="Z286" i="17" s="1"/>
  <c r="Y286" i="17" s="1"/>
  <c r="G286" i="17"/>
  <c r="BZ286" i="6" s="1"/>
  <c r="H286" i="17"/>
  <c r="G288" i="17"/>
  <c r="BZ288" i="6" s="1"/>
  <c r="AA288" i="17"/>
  <c r="Z288" i="17" s="1"/>
  <c r="Y288" i="17" s="1"/>
  <c r="H288" i="17"/>
  <c r="I290" i="17"/>
  <c r="J290" i="17"/>
  <c r="AA304" i="17"/>
  <c r="Z304" i="17" s="1"/>
  <c r="Y304" i="17" s="1"/>
  <c r="G304" i="17"/>
  <c r="BZ304" i="6" s="1"/>
  <c r="H304" i="17"/>
  <c r="I306" i="17"/>
  <c r="J306" i="17"/>
  <c r="Y378" i="16"/>
  <c r="H378" i="17"/>
  <c r="S18" i="18"/>
  <c r="R18" i="18" s="1"/>
  <c r="P18" i="18" s="1"/>
  <c r="V18" i="18" s="1"/>
  <c r="S17" i="18"/>
  <c r="R17" i="18" s="1"/>
  <c r="P17" i="18" s="1"/>
  <c r="V17" i="18" s="1"/>
  <c r="S22" i="18"/>
  <c r="R22" i="18" s="1"/>
  <c r="P22" i="18" s="1"/>
  <c r="V22" i="18" s="1"/>
  <c r="S24" i="18"/>
  <c r="R24" i="18" s="1"/>
  <c r="P24" i="18" s="1"/>
  <c r="V24" i="18" s="1"/>
  <c r="S26" i="18"/>
  <c r="R26" i="18" s="1"/>
  <c r="P26" i="18" s="1"/>
  <c r="V26" i="18" s="1"/>
  <c r="S28" i="18"/>
  <c r="R28" i="18" s="1"/>
  <c r="P28" i="18" s="1"/>
  <c r="V28" i="18" s="1"/>
  <c r="S30" i="18"/>
  <c r="R30" i="18" s="1"/>
  <c r="P30" i="18" s="1"/>
  <c r="V30" i="18" s="1"/>
  <c r="S32" i="18"/>
  <c r="R32" i="18" s="1"/>
  <c r="P32" i="18" s="1"/>
  <c r="V32" i="18" s="1"/>
  <c r="S34" i="18"/>
  <c r="R34" i="18" s="1"/>
  <c r="P34" i="18" s="1"/>
  <c r="V34" i="18" s="1"/>
  <c r="S36" i="18"/>
  <c r="R36" i="18" s="1"/>
  <c r="P36" i="18" s="1"/>
  <c r="V36" i="18" s="1"/>
  <c r="S38" i="18"/>
  <c r="R38" i="18" s="1"/>
  <c r="P38" i="18" s="1"/>
  <c r="V38" i="18" s="1"/>
  <c r="S40" i="18"/>
  <c r="R40" i="18" s="1"/>
  <c r="P40" i="18" s="1"/>
  <c r="V40" i="18" s="1"/>
  <c r="S42" i="18"/>
  <c r="R42" i="18" s="1"/>
  <c r="P42" i="18" s="1"/>
  <c r="V42" i="18" s="1"/>
  <c r="S44" i="18"/>
  <c r="R44" i="18" s="1"/>
  <c r="P44" i="18" s="1"/>
  <c r="V44" i="18" s="1"/>
  <c r="S46" i="18"/>
  <c r="R46" i="18" s="1"/>
  <c r="P46" i="18" s="1"/>
  <c r="V46" i="18" s="1"/>
  <c r="S48" i="18"/>
  <c r="R48" i="18" s="1"/>
  <c r="P48" i="18" s="1"/>
  <c r="V48" i="18" s="1"/>
  <c r="S50" i="18"/>
  <c r="R50" i="18" s="1"/>
  <c r="P50" i="18" s="1"/>
  <c r="V50" i="18" s="1"/>
  <c r="S52" i="18"/>
  <c r="R52" i="18" s="1"/>
  <c r="P52" i="18" s="1"/>
  <c r="V52" i="18" s="1"/>
  <c r="S54" i="18"/>
  <c r="R54" i="18" s="1"/>
  <c r="P54" i="18" s="1"/>
  <c r="V54" i="18" s="1"/>
  <c r="S56" i="18"/>
  <c r="R56" i="18" s="1"/>
  <c r="P56" i="18" s="1"/>
  <c r="V56" i="18" s="1"/>
  <c r="S58" i="18"/>
  <c r="R58" i="18" s="1"/>
  <c r="P58" i="18" s="1"/>
  <c r="V58" i="18" s="1"/>
  <c r="S60" i="18"/>
  <c r="R60" i="18" s="1"/>
  <c r="P60" i="18" s="1"/>
  <c r="S62" i="18"/>
  <c r="R62" i="18" s="1"/>
  <c r="P62" i="18" s="1"/>
  <c r="V62" i="18" s="1"/>
  <c r="S64" i="18"/>
  <c r="R64" i="18" s="1"/>
  <c r="P64" i="18" s="1"/>
  <c r="V64" i="18" s="1"/>
  <c r="S66" i="18"/>
  <c r="R66" i="18" s="1"/>
  <c r="P66" i="18" s="1"/>
  <c r="V66" i="18" s="1"/>
  <c r="S68" i="18"/>
  <c r="R68" i="18" s="1"/>
  <c r="P68" i="18" s="1"/>
  <c r="V68" i="18" s="1"/>
  <c r="S70" i="18"/>
  <c r="R70" i="18" s="1"/>
  <c r="P70" i="18" s="1"/>
  <c r="V70" i="18" s="1"/>
  <c r="S72" i="18"/>
  <c r="R72" i="18" s="1"/>
  <c r="P72" i="18" s="1"/>
  <c r="V72" i="18" s="1"/>
  <c r="S74" i="18"/>
  <c r="R74" i="18" s="1"/>
  <c r="P74" i="18" s="1"/>
  <c r="V74" i="18" s="1"/>
  <c r="S76" i="18"/>
  <c r="R76" i="18" s="1"/>
  <c r="P76" i="18" s="1"/>
  <c r="V76" i="18" s="1"/>
  <c r="S78" i="18"/>
  <c r="R78" i="18" s="1"/>
  <c r="P78" i="18" s="1"/>
  <c r="V78" i="18" s="1"/>
  <c r="S80" i="18"/>
  <c r="R80" i="18" s="1"/>
  <c r="P80" i="18" s="1"/>
  <c r="V80" i="18" s="1"/>
  <c r="S82" i="18"/>
  <c r="R82" i="18" s="1"/>
  <c r="P82" i="18" s="1"/>
  <c r="V82" i="18" s="1"/>
  <c r="S84" i="18"/>
  <c r="R84" i="18" s="1"/>
  <c r="P84" i="18" s="1"/>
  <c r="V84" i="18" s="1"/>
  <c r="S86" i="18"/>
  <c r="R86" i="18" s="1"/>
  <c r="P86" i="18" s="1"/>
  <c r="V86" i="18" s="1"/>
  <c r="S88" i="18"/>
  <c r="R88" i="18" s="1"/>
  <c r="P88" i="18" s="1"/>
  <c r="S90" i="18"/>
  <c r="R90" i="18" s="1"/>
  <c r="P90" i="18" s="1"/>
  <c r="V90" i="18" s="1"/>
  <c r="S92" i="18"/>
  <c r="R92" i="18" s="1"/>
  <c r="P92" i="18" s="1"/>
  <c r="V92" i="18" s="1"/>
  <c r="S94" i="18"/>
  <c r="R94" i="18" s="1"/>
  <c r="P94" i="18" s="1"/>
  <c r="V94" i="18" s="1"/>
  <c r="S96" i="18"/>
  <c r="R96" i="18" s="1"/>
  <c r="P96" i="18" s="1"/>
  <c r="V96" i="18" s="1"/>
  <c r="S98" i="18"/>
  <c r="R98" i="18" s="1"/>
  <c r="P98" i="18" s="1"/>
  <c r="V98" i="18" s="1"/>
  <c r="S100" i="18"/>
  <c r="R100" i="18" s="1"/>
  <c r="P100" i="18" s="1"/>
  <c r="V100" i="18" s="1"/>
  <c r="S102" i="18"/>
  <c r="R102" i="18" s="1"/>
  <c r="P102" i="18" s="1"/>
  <c r="V102" i="18" s="1"/>
  <c r="S104" i="18"/>
  <c r="R104" i="18" s="1"/>
  <c r="P104" i="18" s="1"/>
  <c r="V104" i="18" s="1"/>
  <c r="S106" i="18"/>
  <c r="R106" i="18" s="1"/>
  <c r="P106" i="18" s="1"/>
  <c r="V106" i="18" s="1"/>
  <c r="S108" i="18"/>
  <c r="R108" i="18" s="1"/>
  <c r="P108" i="18" s="1"/>
  <c r="V108" i="18" s="1"/>
  <c r="S110" i="18"/>
  <c r="R110" i="18" s="1"/>
  <c r="P110" i="18" s="1"/>
  <c r="V110" i="18" s="1"/>
  <c r="S112" i="18"/>
  <c r="R112" i="18" s="1"/>
  <c r="P112" i="18" s="1"/>
  <c r="V112" i="18" s="1"/>
  <c r="S114" i="18"/>
  <c r="R114" i="18" s="1"/>
  <c r="P114" i="18" s="1"/>
  <c r="V114" i="18" s="1"/>
  <c r="S116" i="18"/>
  <c r="R116" i="18" s="1"/>
  <c r="P116" i="18" s="1"/>
  <c r="V116" i="18" s="1"/>
  <c r="S118" i="18"/>
  <c r="R118" i="18" s="1"/>
  <c r="P118" i="18" s="1"/>
  <c r="V118" i="18" s="1"/>
  <c r="S120" i="18"/>
  <c r="R120" i="18" s="1"/>
  <c r="P120" i="18" s="1"/>
  <c r="V120" i="18" s="1"/>
  <c r="S122" i="18"/>
  <c r="R122" i="18" s="1"/>
  <c r="P122" i="18" s="1"/>
  <c r="V122" i="18" s="1"/>
  <c r="S124" i="18"/>
  <c r="R124" i="18" s="1"/>
  <c r="P124" i="18" s="1"/>
  <c r="V124" i="18" s="1"/>
  <c r="S126" i="18"/>
  <c r="R126" i="18" s="1"/>
  <c r="P126" i="18" s="1"/>
  <c r="V126" i="18" s="1"/>
  <c r="S128" i="18"/>
  <c r="R128" i="18" s="1"/>
  <c r="P128" i="18" s="1"/>
  <c r="V128" i="18" s="1"/>
  <c r="S130" i="18"/>
  <c r="R130" i="18" s="1"/>
  <c r="P130" i="18" s="1"/>
  <c r="V130" i="18" s="1"/>
  <c r="S132" i="18"/>
  <c r="R132" i="18" s="1"/>
  <c r="P132" i="18" s="1"/>
  <c r="V132" i="18" s="1"/>
  <c r="S134" i="18"/>
  <c r="R134" i="18" s="1"/>
  <c r="P134" i="18" s="1"/>
  <c r="V134" i="18" s="1"/>
  <c r="S136" i="18"/>
  <c r="R136" i="18" s="1"/>
  <c r="P136" i="18" s="1"/>
  <c r="V136" i="18" s="1"/>
  <c r="S138" i="18"/>
  <c r="R138" i="18" s="1"/>
  <c r="P138" i="18" s="1"/>
  <c r="V138" i="18" s="1"/>
  <c r="S140" i="18"/>
  <c r="R140" i="18" s="1"/>
  <c r="P140" i="18" s="1"/>
  <c r="V140" i="18" s="1"/>
  <c r="S142" i="18"/>
  <c r="R142" i="18" s="1"/>
  <c r="P142" i="18" s="1"/>
  <c r="V142" i="18" s="1"/>
  <c r="S144" i="18"/>
  <c r="R144" i="18" s="1"/>
  <c r="P144" i="18" s="1"/>
  <c r="V144" i="18" s="1"/>
  <c r="S146" i="18"/>
  <c r="R146" i="18" s="1"/>
  <c r="P146" i="18" s="1"/>
  <c r="V146" i="18" s="1"/>
  <c r="S148" i="18"/>
  <c r="R148" i="18" s="1"/>
  <c r="P148" i="18" s="1"/>
  <c r="V148" i="18" s="1"/>
  <c r="S150" i="18"/>
  <c r="R150" i="18" s="1"/>
  <c r="P150" i="18" s="1"/>
  <c r="V150" i="18" s="1"/>
  <c r="S152" i="18"/>
  <c r="R152" i="18" s="1"/>
  <c r="P152" i="18" s="1"/>
  <c r="V152" i="18" s="1"/>
  <c r="S154" i="18"/>
  <c r="R154" i="18" s="1"/>
  <c r="P154" i="18" s="1"/>
  <c r="V154" i="18" s="1"/>
  <c r="S156" i="18"/>
  <c r="R156" i="18" s="1"/>
  <c r="P156" i="18" s="1"/>
  <c r="V156" i="18" s="1"/>
  <c r="S158" i="18"/>
  <c r="R158" i="18" s="1"/>
  <c r="P158" i="18" s="1"/>
  <c r="V158" i="18" s="1"/>
  <c r="S160" i="18"/>
  <c r="R160" i="18" s="1"/>
  <c r="P160" i="18" s="1"/>
  <c r="V160" i="18" s="1"/>
  <c r="S162" i="18"/>
  <c r="R162" i="18" s="1"/>
  <c r="P162" i="18" s="1"/>
  <c r="V162" i="18" s="1"/>
  <c r="S164" i="18"/>
  <c r="R164" i="18" s="1"/>
  <c r="P164" i="18" s="1"/>
  <c r="V164" i="18" s="1"/>
  <c r="S166" i="18"/>
  <c r="R166" i="18" s="1"/>
  <c r="P166" i="18" s="1"/>
  <c r="V166" i="18" s="1"/>
  <c r="S168" i="18"/>
  <c r="R168" i="18" s="1"/>
  <c r="P168" i="18" s="1"/>
  <c r="V168" i="18" s="1"/>
  <c r="S170" i="18"/>
  <c r="R170" i="18" s="1"/>
  <c r="P170" i="18" s="1"/>
  <c r="V170" i="18" s="1"/>
  <c r="S172" i="18"/>
  <c r="R172" i="18" s="1"/>
  <c r="P172" i="18" s="1"/>
  <c r="V172" i="18" s="1"/>
  <c r="S174" i="18"/>
  <c r="R174" i="18" s="1"/>
  <c r="P174" i="18" s="1"/>
  <c r="V174" i="18" s="1"/>
  <c r="S176" i="18"/>
  <c r="R176" i="18" s="1"/>
  <c r="P176" i="18" s="1"/>
  <c r="V176" i="18" s="1"/>
  <c r="S178" i="18"/>
  <c r="R178" i="18" s="1"/>
  <c r="P178" i="18" s="1"/>
  <c r="V178" i="18" s="1"/>
  <c r="S180" i="18"/>
  <c r="R180" i="18" s="1"/>
  <c r="P180" i="18" s="1"/>
  <c r="S182" i="18"/>
  <c r="R182" i="18" s="1"/>
  <c r="P182" i="18" s="1"/>
  <c r="V182" i="18" s="1"/>
  <c r="S184" i="18"/>
  <c r="R184" i="18" s="1"/>
  <c r="P184" i="18" s="1"/>
  <c r="V184" i="18" s="1"/>
  <c r="S186" i="18"/>
  <c r="R186" i="18" s="1"/>
  <c r="P186" i="18" s="1"/>
  <c r="V186" i="18" s="1"/>
  <c r="S188" i="18"/>
  <c r="R188" i="18" s="1"/>
  <c r="P188" i="18" s="1"/>
  <c r="V188" i="18" s="1"/>
  <c r="S190" i="18"/>
  <c r="R190" i="18" s="1"/>
  <c r="P190" i="18" s="1"/>
  <c r="V190" i="18" s="1"/>
  <c r="S192" i="18"/>
  <c r="R192" i="18" s="1"/>
  <c r="P192" i="18" s="1"/>
  <c r="V192" i="18" s="1"/>
  <c r="S194" i="18"/>
  <c r="R194" i="18" s="1"/>
  <c r="P194" i="18" s="1"/>
  <c r="V194" i="18" s="1"/>
  <c r="S196" i="18"/>
  <c r="R196" i="18" s="1"/>
  <c r="P196" i="18" s="1"/>
  <c r="V196" i="18" s="1"/>
  <c r="S198" i="18"/>
  <c r="R198" i="18" s="1"/>
  <c r="P198" i="18" s="1"/>
  <c r="V198" i="18" s="1"/>
  <c r="S200" i="18"/>
  <c r="R200" i="18" s="1"/>
  <c r="P200" i="18" s="1"/>
  <c r="V200" i="18" s="1"/>
  <c r="S202" i="18"/>
  <c r="R202" i="18" s="1"/>
  <c r="P202" i="18" s="1"/>
  <c r="V202" i="18" s="1"/>
  <c r="S204" i="18"/>
  <c r="R204" i="18" s="1"/>
  <c r="P204" i="18" s="1"/>
  <c r="V204" i="18" s="1"/>
  <c r="S206" i="18"/>
  <c r="R206" i="18" s="1"/>
  <c r="P206" i="18" s="1"/>
  <c r="V206" i="18" s="1"/>
  <c r="S208" i="18"/>
  <c r="R208" i="18" s="1"/>
  <c r="P208" i="18" s="1"/>
  <c r="V208" i="18" s="1"/>
  <c r="S210" i="18"/>
  <c r="R210" i="18" s="1"/>
  <c r="P210" i="18" s="1"/>
  <c r="S212" i="18"/>
  <c r="R212" i="18" s="1"/>
  <c r="P212" i="18" s="1"/>
  <c r="V212" i="18" s="1"/>
  <c r="S214" i="18"/>
  <c r="R214" i="18" s="1"/>
  <c r="P214" i="18" s="1"/>
  <c r="V214" i="18" s="1"/>
  <c r="S216" i="18"/>
  <c r="R216" i="18" s="1"/>
  <c r="P216" i="18" s="1"/>
  <c r="V216" i="18" s="1"/>
  <c r="S218" i="18"/>
  <c r="R218" i="18" s="1"/>
  <c r="P218" i="18" s="1"/>
  <c r="V218" i="18" s="1"/>
  <c r="S220" i="18"/>
  <c r="R220" i="18" s="1"/>
  <c r="P220" i="18" s="1"/>
  <c r="V220" i="18" s="1"/>
  <c r="S222" i="18"/>
  <c r="R222" i="18" s="1"/>
  <c r="P222" i="18" s="1"/>
  <c r="V222" i="18" s="1"/>
  <c r="S224" i="18"/>
  <c r="R224" i="18" s="1"/>
  <c r="P224" i="18" s="1"/>
  <c r="V224" i="18" s="1"/>
  <c r="S226" i="18"/>
  <c r="R226" i="18" s="1"/>
  <c r="P226" i="18" s="1"/>
  <c r="V226" i="18" s="1"/>
  <c r="S228" i="18"/>
  <c r="R228" i="18" s="1"/>
  <c r="P228" i="18" s="1"/>
  <c r="V228" i="18" s="1"/>
  <c r="S230" i="18"/>
  <c r="R230" i="18" s="1"/>
  <c r="P230" i="18" s="1"/>
  <c r="V230" i="18" s="1"/>
  <c r="S232" i="18"/>
  <c r="R232" i="18" s="1"/>
  <c r="P232" i="18" s="1"/>
  <c r="V232" i="18" s="1"/>
  <c r="S234" i="18"/>
  <c r="R234" i="18" s="1"/>
  <c r="P234" i="18" s="1"/>
  <c r="V234" i="18" s="1"/>
  <c r="S236" i="18"/>
  <c r="R236" i="18" s="1"/>
  <c r="P236" i="18" s="1"/>
  <c r="V236" i="18" s="1"/>
  <c r="S238" i="18"/>
  <c r="R238" i="18" s="1"/>
  <c r="P238" i="18" s="1"/>
  <c r="V238" i="18" s="1"/>
  <c r="S240" i="18"/>
  <c r="R240" i="18" s="1"/>
  <c r="P240" i="18" s="1"/>
  <c r="V240" i="18" s="1"/>
  <c r="S242" i="18"/>
  <c r="R242" i="18" s="1"/>
  <c r="P242" i="18" s="1"/>
  <c r="V242" i="18" s="1"/>
  <c r="S244" i="18"/>
  <c r="R244" i="18" s="1"/>
  <c r="P244" i="18" s="1"/>
  <c r="V244" i="18" s="1"/>
  <c r="S246" i="18"/>
  <c r="R246" i="18" s="1"/>
  <c r="P246" i="18" s="1"/>
  <c r="V246" i="18" s="1"/>
  <c r="S248" i="18"/>
  <c r="R248" i="18" s="1"/>
  <c r="P248" i="18" s="1"/>
  <c r="V248" i="18" s="1"/>
  <c r="S250" i="18"/>
  <c r="R250" i="18" s="1"/>
  <c r="P250" i="18" s="1"/>
  <c r="V250" i="18" s="1"/>
  <c r="S252" i="18"/>
  <c r="R252" i="18" s="1"/>
  <c r="P252" i="18" s="1"/>
  <c r="V252" i="18" s="1"/>
  <c r="S254" i="18"/>
  <c r="R254" i="18" s="1"/>
  <c r="P254" i="18" s="1"/>
  <c r="V254" i="18" s="1"/>
  <c r="S256" i="18"/>
  <c r="R256" i="18" s="1"/>
  <c r="P256" i="18" s="1"/>
  <c r="V256" i="18" s="1"/>
  <c r="S258" i="18"/>
  <c r="R258" i="18" s="1"/>
  <c r="P258" i="18" s="1"/>
  <c r="V258" i="18" s="1"/>
  <c r="S260" i="18"/>
  <c r="R260" i="18" s="1"/>
  <c r="P260" i="18" s="1"/>
  <c r="V260" i="18" s="1"/>
  <c r="S262" i="18"/>
  <c r="R262" i="18" s="1"/>
  <c r="P262" i="18" s="1"/>
  <c r="V262" i="18" s="1"/>
  <c r="S264" i="18"/>
  <c r="R264" i="18" s="1"/>
  <c r="P264" i="18" s="1"/>
  <c r="V264" i="18" s="1"/>
  <c r="S266" i="18"/>
  <c r="R266" i="18" s="1"/>
  <c r="P266" i="18" s="1"/>
  <c r="V266" i="18" s="1"/>
  <c r="S268" i="18"/>
  <c r="R268" i="18" s="1"/>
  <c r="P268" i="18" s="1"/>
  <c r="V268" i="18" s="1"/>
  <c r="S270" i="18"/>
  <c r="R270" i="18" s="1"/>
  <c r="P270" i="18" s="1"/>
  <c r="V270" i="18" s="1"/>
  <c r="S272" i="18"/>
  <c r="R272" i="18" s="1"/>
  <c r="P272" i="18" s="1"/>
  <c r="S274" i="18"/>
  <c r="R274" i="18" s="1"/>
  <c r="P274" i="18" s="1"/>
  <c r="V274" i="18" s="1"/>
  <c r="S276" i="18"/>
  <c r="R276" i="18" s="1"/>
  <c r="P276" i="18" s="1"/>
  <c r="V276" i="18" s="1"/>
  <c r="S278" i="18"/>
  <c r="R278" i="18" s="1"/>
  <c r="P278" i="18" s="1"/>
  <c r="V278" i="18" s="1"/>
  <c r="S280" i="18"/>
  <c r="R280" i="18" s="1"/>
  <c r="P280" i="18" s="1"/>
  <c r="V280" i="18" s="1"/>
  <c r="S282" i="18"/>
  <c r="R282" i="18" s="1"/>
  <c r="P282" i="18" s="1"/>
  <c r="V282" i="18" s="1"/>
  <c r="S284" i="18"/>
  <c r="R284" i="18" s="1"/>
  <c r="P284" i="18" s="1"/>
  <c r="V284" i="18" s="1"/>
  <c r="S286" i="18"/>
  <c r="R286" i="18" s="1"/>
  <c r="P286" i="18" s="1"/>
  <c r="V286" i="18" s="1"/>
  <c r="S288" i="18"/>
  <c r="R288" i="18" s="1"/>
  <c r="P288" i="18" s="1"/>
  <c r="V288" i="18" s="1"/>
  <c r="S290" i="18"/>
  <c r="R290" i="18" s="1"/>
  <c r="P290" i="18" s="1"/>
  <c r="V290" i="18" s="1"/>
  <c r="S292" i="18"/>
  <c r="R292" i="18" s="1"/>
  <c r="P292" i="18" s="1"/>
  <c r="V292" i="18" s="1"/>
  <c r="S294" i="18"/>
  <c r="R294" i="18" s="1"/>
  <c r="P294" i="18" s="1"/>
  <c r="V294" i="18" s="1"/>
  <c r="S296" i="18"/>
  <c r="R296" i="18" s="1"/>
  <c r="P296" i="18" s="1"/>
  <c r="V296" i="18" s="1"/>
  <c r="S298" i="18"/>
  <c r="R298" i="18" s="1"/>
  <c r="P298" i="18" s="1"/>
  <c r="V298" i="18" s="1"/>
  <c r="S300" i="18"/>
  <c r="R300" i="18" s="1"/>
  <c r="P300" i="18" s="1"/>
  <c r="V300" i="18" s="1"/>
  <c r="S302" i="18"/>
  <c r="R302" i="18" s="1"/>
  <c r="P302" i="18" s="1"/>
  <c r="S304" i="18"/>
  <c r="R304" i="18" s="1"/>
  <c r="P304" i="18" s="1"/>
  <c r="V304" i="18" s="1"/>
  <c r="S306" i="18"/>
  <c r="R306" i="18" s="1"/>
  <c r="P306" i="18" s="1"/>
  <c r="V306" i="18" s="1"/>
  <c r="S308" i="18"/>
  <c r="R308" i="18" s="1"/>
  <c r="P308" i="18" s="1"/>
  <c r="V308" i="18" s="1"/>
  <c r="S310" i="18"/>
  <c r="R310" i="18" s="1"/>
  <c r="P310" i="18" s="1"/>
  <c r="V310" i="18" s="1"/>
  <c r="S312" i="18"/>
  <c r="R312" i="18" s="1"/>
  <c r="P312" i="18" s="1"/>
  <c r="V312" i="18" s="1"/>
  <c r="S314" i="18"/>
  <c r="R314" i="18" s="1"/>
  <c r="P314" i="18" s="1"/>
  <c r="V314" i="18" s="1"/>
  <c r="S316" i="18"/>
  <c r="R316" i="18" s="1"/>
  <c r="P316" i="18" s="1"/>
  <c r="V316" i="18" s="1"/>
  <c r="S318" i="18"/>
  <c r="R318" i="18" s="1"/>
  <c r="P318" i="18" s="1"/>
  <c r="V318" i="18" s="1"/>
  <c r="S320" i="18"/>
  <c r="R320" i="18" s="1"/>
  <c r="P320" i="18" s="1"/>
  <c r="V320" i="18" s="1"/>
  <c r="S322" i="18"/>
  <c r="R322" i="18" s="1"/>
  <c r="P322" i="18" s="1"/>
  <c r="V322" i="18" s="1"/>
  <c r="S324" i="18"/>
  <c r="R324" i="18" s="1"/>
  <c r="P324" i="18" s="1"/>
  <c r="V324" i="18" s="1"/>
  <c r="S326" i="18"/>
  <c r="R326" i="18" s="1"/>
  <c r="P326" i="18" s="1"/>
  <c r="V326" i="18" s="1"/>
  <c r="S328" i="18"/>
  <c r="R328" i="18" s="1"/>
  <c r="P328" i="18" s="1"/>
  <c r="V328" i="18" s="1"/>
  <c r="S330" i="18"/>
  <c r="R330" i="18" s="1"/>
  <c r="P330" i="18" s="1"/>
  <c r="V330" i="18" s="1"/>
  <c r="S332" i="18"/>
  <c r="R332" i="18" s="1"/>
  <c r="P332" i="18" s="1"/>
  <c r="V332" i="18" s="1"/>
  <c r="S334" i="18"/>
  <c r="R334" i="18" s="1"/>
  <c r="P334" i="18" s="1"/>
  <c r="V334" i="18" s="1"/>
  <c r="S336" i="18"/>
  <c r="R336" i="18" s="1"/>
  <c r="P336" i="18" s="1"/>
  <c r="V336" i="18" s="1"/>
  <c r="S338" i="18"/>
  <c r="R338" i="18" s="1"/>
  <c r="P338" i="18" s="1"/>
  <c r="V338" i="18" s="1"/>
  <c r="S340" i="18"/>
  <c r="R340" i="18" s="1"/>
  <c r="P340" i="18" s="1"/>
  <c r="V340" i="18" s="1"/>
  <c r="S342" i="18"/>
  <c r="R342" i="18" s="1"/>
  <c r="P342" i="18" s="1"/>
  <c r="V342" i="18" s="1"/>
  <c r="S344" i="18"/>
  <c r="R344" i="18" s="1"/>
  <c r="P344" i="18" s="1"/>
  <c r="V344" i="18" s="1"/>
  <c r="S346" i="18"/>
  <c r="R346" i="18" s="1"/>
  <c r="P346" i="18" s="1"/>
  <c r="V346" i="18" s="1"/>
  <c r="S348" i="18"/>
  <c r="R348" i="18" s="1"/>
  <c r="P348" i="18" s="1"/>
  <c r="V348" i="18" s="1"/>
  <c r="S350" i="18"/>
  <c r="R350" i="18" s="1"/>
  <c r="P350" i="18" s="1"/>
  <c r="V350" i="18" s="1"/>
  <c r="S352" i="18"/>
  <c r="R352" i="18" s="1"/>
  <c r="P352" i="18" s="1"/>
  <c r="V352" i="18" s="1"/>
  <c r="S354" i="18"/>
  <c r="R354" i="18" s="1"/>
  <c r="P354" i="18" s="1"/>
  <c r="V354" i="18" s="1"/>
  <c r="S356" i="18"/>
  <c r="R356" i="18" s="1"/>
  <c r="P356" i="18" s="1"/>
  <c r="V356" i="18" s="1"/>
  <c r="S358" i="18"/>
  <c r="R358" i="18" s="1"/>
  <c r="P358" i="18" s="1"/>
  <c r="V358" i="18" s="1"/>
  <c r="S360" i="18"/>
  <c r="R360" i="18" s="1"/>
  <c r="P360" i="18" s="1"/>
  <c r="V360" i="18" s="1"/>
  <c r="S362" i="18"/>
  <c r="R362" i="18" s="1"/>
  <c r="P362" i="18" s="1"/>
  <c r="V362" i="18" s="1"/>
  <c r="S364" i="18"/>
  <c r="R364" i="18" s="1"/>
  <c r="P364" i="18" s="1"/>
  <c r="V364" i="18" s="1"/>
  <c r="S366" i="18"/>
  <c r="R366" i="18" s="1"/>
  <c r="P366" i="18" s="1"/>
  <c r="V366" i="18" s="1"/>
  <c r="S368" i="18"/>
  <c r="R368" i="18" s="1"/>
  <c r="P368" i="18" s="1"/>
  <c r="V368" i="18" s="1"/>
  <c r="S370" i="18"/>
  <c r="R370" i="18" s="1"/>
  <c r="P370" i="18" s="1"/>
  <c r="V370" i="18" s="1"/>
  <c r="S372" i="18"/>
  <c r="R372" i="18" s="1"/>
  <c r="P372" i="18" s="1"/>
  <c r="V372" i="18" s="1"/>
  <c r="S374" i="18"/>
  <c r="R374" i="18" s="1"/>
  <c r="P374" i="18" s="1"/>
  <c r="V374" i="18" s="1"/>
  <c r="S376" i="18"/>
  <c r="R376" i="18" s="1"/>
  <c r="P376" i="18" s="1"/>
  <c r="V376" i="18" s="1"/>
  <c r="S378" i="18"/>
  <c r="R378" i="18" s="1"/>
  <c r="P378" i="18" s="1"/>
  <c r="V378" i="18" s="1"/>
  <c r="J40" i="17"/>
  <c r="I40" i="17"/>
  <c r="C64" i="19"/>
  <c r="AA52" i="17"/>
  <c r="Z52" i="17" s="1"/>
  <c r="Y52" i="17" s="1"/>
  <c r="G52" i="17"/>
  <c r="BZ52" i="6" s="1"/>
  <c r="H52" i="17"/>
  <c r="G56" i="17"/>
  <c r="BZ56" i="6" s="1"/>
  <c r="AA56" i="17"/>
  <c r="Z56" i="17" s="1"/>
  <c r="Y56" i="17" s="1"/>
  <c r="H56" i="17"/>
  <c r="AA58" i="17"/>
  <c r="Z58" i="17" s="1"/>
  <c r="Y58" i="17" s="1"/>
  <c r="G58" i="17"/>
  <c r="BZ58" i="6" s="1"/>
  <c r="H58" i="17"/>
  <c r="G60" i="17"/>
  <c r="BZ60" i="6" s="1"/>
  <c r="AA60" i="17"/>
  <c r="Z60" i="17" s="1"/>
  <c r="Y60" i="17" s="1"/>
  <c r="H60" i="17"/>
  <c r="G66" i="17"/>
  <c r="BZ66" i="6" s="1"/>
  <c r="AA66" i="17"/>
  <c r="Z66" i="17" s="1"/>
  <c r="Y66" i="17" s="1"/>
  <c r="H66" i="17"/>
  <c r="AA68" i="17"/>
  <c r="Z68" i="17" s="1"/>
  <c r="Y68" i="17" s="1"/>
  <c r="G68" i="17"/>
  <c r="BZ68" i="6" s="1"/>
  <c r="H68" i="17"/>
  <c r="G70" i="17"/>
  <c r="BZ70" i="6" s="1"/>
  <c r="AA70" i="17"/>
  <c r="Z70" i="17" s="1"/>
  <c r="Y70" i="17" s="1"/>
  <c r="H70" i="17"/>
  <c r="AA72" i="17"/>
  <c r="Z72" i="17" s="1"/>
  <c r="Y72" i="17" s="1"/>
  <c r="G72" i="17"/>
  <c r="BZ72" i="6" s="1"/>
  <c r="H72" i="17"/>
  <c r="G76" i="17"/>
  <c r="BZ76" i="6" s="1"/>
  <c r="AA76" i="17"/>
  <c r="Z76" i="17" s="1"/>
  <c r="Y76" i="17" s="1"/>
  <c r="H76" i="17"/>
  <c r="G78" i="17"/>
  <c r="BZ78" i="6" s="1"/>
  <c r="AA78" i="17"/>
  <c r="Z78" i="17" s="1"/>
  <c r="Y78" i="17" s="1"/>
  <c r="H78" i="17"/>
  <c r="AA82" i="17"/>
  <c r="Z82" i="17" s="1"/>
  <c r="Y82" i="17" s="1"/>
  <c r="G82" i="17"/>
  <c r="BZ82" i="6" s="1"/>
  <c r="H82" i="17"/>
  <c r="AA84" i="17"/>
  <c r="Z84" i="17" s="1"/>
  <c r="Y84" i="17" s="1"/>
  <c r="G84" i="17"/>
  <c r="BZ84" i="6" s="1"/>
  <c r="H84" i="17"/>
  <c r="G86" i="17"/>
  <c r="BZ86" i="6" s="1"/>
  <c r="AA86" i="17"/>
  <c r="Z86" i="17" s="1"/>
  <c r="Y86" i="17" s="1"/>
  <c r="H86" i="17"/>
  <c r="AA88" i="17"/>
  <c r="Z88" i="17" s="1"/>
  <c r="Y88" i="17" s="1"/>
  <c r="G88" i="17"/>
  <c r="BZ88" i="6" s="1"/>
  <c r="H88" i="17"/>
  <c r="G92" i="17"/>
  <c r="BZ92" i="6" s="1"/>
  <c r="AA92" i="17"/>
  <c r="Z92" i="17" s="1"/>
  <c r="Y92" i="17" s="1"/>
  <c r="H92" i="17"/>
  <c r="AA112" i="17"/>
  <c r="Z112" i="17" s="1"/>
  <c r="Y112" i="17" s="1"/>
  <c r="G112" i="17"/>
  <c r="BZ112" i="6" s="1"/>
  <c r="H112" i="17"/>
  <c r="AA320" i="17"/>
  <c r="Z320" i="17" s="1"/>
  <c r="Y320" i="17" s="1"/>
  <c r="G320" i="17"/>
  <c r="BZ320" i="6" s="1"/>
  <c r="H320" i="17"/>
  <c r="G332" i="17"/>
  <c r="BZ332" i="6" s="1"/>
  <c r="AA332" i="17"/>
  <c r="Z332" i="17" s="1"/>
  <c r="Y332" i="17" s="1"/>
  <c r="H332" i="17"/>
  <c r="AA334" i="17"/>
  <c r="Z334" i="17" s="1"/>
  <c r="Y334" i="17" s="1"/>
  <c r="G334" i="17"/>
  <c r="BZ334" i="6" s="1"/>
  <c r="H334" i="17"/>
  <c r="I338" i="17"/>
  <c r="J338" i="17"/>
  <c r="AA346" i="17"/>
  <c r="Z346" i="17" s="1"/>
  <c r="Y346" i="17" s="1"/>
  <c r="G346" i="17"/>
  <c r="BZ346" i="6" s="1"/>
  <c r="H346" i="17"/>
  <c r="I356" i="17"/>
  <c r="J356" i="17"/>
  <c r="AG16" i="18"/>
  <c r="AF16" i="18" s="1"/>
  <c r="AD16" i="18" s="1"/>
  <c r="AG46" i="18"/>
  <c r="AF46" i="18" s="1"/>
  <c r="AD46" i="18" s="1"/>
  <c r="AG70" i="18"/>
  <c r="AF70" i="18" s="1"/>
  <c r="AD70" i="18" s="1"/>
  <c r="AG110" i="18"/>
  <c r="AF110" i="18" s="1"/>
  <c r="AD110" i="18" s="1"/>
  <c r="AG138" i="18"/>
  <c r="AF138" i="18" s="1"/>
  <c r="AD138" i="18" s="1"/>
  <c r="AG142" i="18"/>
  <c r="AF142" i="18" s="1"/>
  <c r="AD142" i="18" s="1"/>
  <c r="AG190" i="18"/>
  <c r="AF190" i="18" s="1"/>
  <c r="AD190" i="18" s="1"/>
  <c r="AG198" i="18"/>
  <c r="AF198" i="18" s="1"/>
  <c r="AD198" i="18" s="1"/>
  <c r="AG214" i="18"/>
  <c r="AF214" i="18" s="1"/>
  <c r="AD214" i="18" s="1"/>
  <c r="AG250" i="18"/>
  <c r="AF250" i="18" s="1"/>
  <c r="AD250" i="18" s="1"/>
  <c r="AG274" i="18"/>
  <c r="AF274" i="18" s="1"/>
  <c r="AD274" i="18" s="1"/>
  <c r="AG314" i="18"/>
  <c r="AF314" i="18" s="1"/>
  <c r="AD314" i="18" s="1"/>
  <c r="AG342" i="18"/>
  <c r="AF342" i="18" s="1"/>
  <c r="AD342" i="18" s="1"/>
  <c r="AG346" i="18"/>
  <c r="AF346" i="18" s="1"/>
  <c r="AD346" i="18" s="1"/>
  <c r="AG370" i="18"/>
  <c r="AF370" i="18" s="1"/>
  <c r="AD370" i="18" s="1"/>
  <c r="R381" i="17"/>
  <c r="R382" i="17"/>
  <c r="R383" i="17"/>
  <c r="P15" i="17"/>
  <c r="S16" i="18"/>
  <c r="R16" i="18" s="1"/>
  <c r="P16" i="18" s="1"/>
  <c r="V16" i="18" s="1"/>
  <c r="S19" i="18"/>
  <c r="R19" i="18" s="1"/>
  <c r="P19" i="18" s="1"/>
  <c r="V19" i="18" s="1"/>
  <c r="S21" i="18"/>
  <c r="R21" i="18" s="1"/>
  <c r="P21" i="18" s="1"/>
  <c r="V21" i="18" s="1"/>
  <c r="S23" i="18"/>
  <c r="R23" i="18" s="1"/>
  <c r="P23" i="18" s="1"/>
  <c r="V23" i="18" s="1"/>
  <c r="S25" i="18"/>
  <c r="R25" i="18" s="1"/>
  <c r="P25" i="18" s="1"/>
  <c r="V25" i="18" s="1"/>
  <c r="S27" i="18"/>
  <c r="R27" i="18" s="1"/>
  <c r="P27" i="18" s="1"/>
  <c r="V27" i="18" s="1"/>
  <c r="S29" i="18"/>
  <c r="R29" i="18" s="1"/>
  <c r="P29" i="18" s="1"/>
  <c r="S31" i="18"/>
  <c r="R31" i="18" s="1"/>
  <c r="P31" i="18" s="1"/>
  <c r="V31" i="18" s="1"/>
  <c r="S33" i="18"/>
  <c r="R33" i="18" s="1"/>
  <c r="P33" i="18" s="1"/>
  <c r="V33" i="18" s="1"/>
  <c r="S35" i="18"/>
  <c r="R35" i="18" s="1"/>
  <c r="P35" i="18" s="1"/>
  <c r="V35" i="18" s="1"/>
  <c r="S37" i="18"/>
  <c r="R37" i="18" s="1"/>
  <c r="P37" i="18" s="1"/>
  <c r="V37" i="18" s="1"/>
  <c r="S39" i="18"/>
  <c r="R39" i="18" s="1"/>
  <c r="P39" i="18" s="1"/>
  <c r="V39" i="18" s="1"/>
  <c r="S41" i="18"/>
  <c r="R41" i="18" s="1"/>
  <c r="P41" i="18" s="1"/>
  <c r="V41" i="18" s="1"/>
  <c r="S43" i="18"/>
  <c r="R43" i="18" s="1"/>
  <c r="P43" i="18" s="1"/>
  <c r="V43" i="18" s="1"/>
  <c r="S45" i="18"/>
  <c r="R45" i="18" s="1"/>
  <c r="P45" i="18" s="1"/>
  <c r="V45" i="18" s="1"/>
  <c r="S47" i="18"/>
  <c r="R47" i="18" s="1"/>
  <c r="P47" i="18" s="1"/>
  <c r="V47" i="18" s="1"/>
  <c r="S49" i="18"/>
  <c r="R49" i="18" s="1"/>
  <c r="P49" i="18" s="1"/>
  <c r="V49" i="18" s="1"/>
  <c r="S51" i="18"/>
  <c r="R51" i="18" s="1"/>
  <c r="P51" i="18" s="1"/>
  <c r="V51" i="18" s="1"/>
  <c r="S53" i="18"/>
  <c r="R53" i="18" s="1"/>
  <c r="P53" i="18" s="1"/>
  <c r="V53" i="18" s="1"/>
  <c r="S55" i="18"/>
  <c r="R55" i="18" s="1"/>
  <c r="P55" i="18" s="1"/>
  <c r="V55" i="18" s="1"/>
  <c r="S57" i="18"/>
  <c r="R57" i="18" s="1"/>
  <c r="P57" i="18" s="1"/>
  <c r="V57" i="18" s="1"/>
  <c r="S59" i="18"/>
  <c r="R59" i="18" s="1"/>
  <c r="P59" i="18" s="1"/>
  <c r="V59" i="18" s="1"/>
  <c r="S61" i="18"/>
  <c r="R61" i="18" s="1"/>
  <c r="P61" i="18" s="1"/>
  <c r="V61" i="18" s="1"/>
  <c r="S63" i="18"/>
  <c r="R63" i="18" s="1"/>
  <c r="P63" i="18" s="1"/>
  <c r="V63" i="18" s="1"/>
  <c r="S65" i="18"/>
  <c r="R65" i="18" s="1"/>
  <c r="P65" i="18" s="1"/>
  <c r="V65" i="18" s="1"/>
  <c r="S67" i="18"/>
  <c r="R67" i="18" s="1"/>
  <c r="P67" i="18" s="1"/>
  <c r="V67" i="18" s="1"/>
  <c r="S69" i="18"/>
  <c r="R69" i="18" s="1"/>
  <c r="P69" i="18" s="1"/>
  <c r="V69" i="18" s="1"/>
  <c r="S71" i="18"/>
  <c r="R71" i="18" s="1"/>
  <c r="P71" i="18" s="1"/>
  <c r="V71" i="18" s="1"/>
  <c r="S73" i="18"/>
  <c r="R73" i="18" s="1"/>
  <c r="P73" i="18" s="1"/>
  <c r="V73" i="18" s="1"/>
  <c r="S75" i="18"/>
  <c r="R75" i="18" s="1"/>
  <c r="P75" i="18" s="1"/>
  <c r="V75" i="18" s="1"/>
  <c r="S77" i="18"/>
  <c r="R77" i="18" s="1"/>
  <c r="P77" i="18" s="1"/>
  <c r="V77" i="18" s="1"/>
  <c r="S79" i="18"/>
  <c r="R79" i="18" s="1"/>
  <c r="P79" i="18" s="1"/>
  <c r="V79" i="18" s="1"/>
  <c r="S81" i="18"/>
  <c r="R81" i="18" s="1"/>
  <c r="P81" i="18" s="1"/>
  <c r="V81" i="18" s="1"/>
  <c r="S83" i="18"/>
  <c r="R83" i="18" s="1"/>
  <c r="P83" i="18" s="1"/>
  <c r="V83" i="18" s="1"/>
  <c r="S85" i="18"/>
  <c r="R85" i="18" s="1"/>
  <c r="P85" i="18" s="1"/>
  <c r="V85" i="18" s="1"/>
  <c r="S87" i="18"/>
  <c r="R87" i="18" s="1"/>
  <c r="P87" i="18" s="1"/>
  <c r="V87" i="18" s="1"/>
  <c r="S89" i="18"/>
  <c r="R89" i="18" s="1"/>
  <c r="P89" i="18" s="1"/>
  <c r="V89" i="18" s="1"/>
  <c r="S91" i="18"/>
  <c r="R91" i="18" s="1"/>
  <c r="P91" i="18" s="1"/>
  <c r="V91" i="18" s="1"/>
  <c r="S93" i="18"/>
  <c r="R93" i="18" s="1"/>
  <c r="P93" i="18" s="1"/>
  <c r="V93" i="18" s="1"/>
  <c r="S95" i="18"/>
  <c r="R95" i="18" s="1"/>
  <c r="P95" i="18" s="1"/>
  <c r="V95" i="18" s="1"/>
  <c r="S97" i="18"/>
  <c r="R97" i="18" s="1"/>
  <c r="P97" i="18" s="1"/>
  <c r="V97" i="18" s="1"/>
  <c r="S99" i="18"/>
  <c r="R99" i="18" s="1"/>
  <c r="P99" i="18" s="1"/>
  <c r="V99" i="18" s="1"/>
  <c r="S101" i="18"/>
  <c r="R101" i="18" s="1"/>
  <c r="P101" i="18" s="1"/>
  <c r="V101" i="18" s="1"/>
  <c r="S103" i="18"/>
  <c r="R103" i="18" s="1"/>
  <c r="P103" i="18" s="1"/>
  <c r="V103" i="18" s="1"/>
  <c r="S105" i="18"/>
  <c r="R105" i="18" s="1"/>
  <c r="P105" i="18" s="1"/>
  <c r="V105" i="18" s="1"/>
  <c r="S107" i="18"/>
  <c r="R107" i="18" s="1"/>
  <c r="P107" i="18" s="1"/>
  <c r="V107" i="18" s="1"/>
  <c r="S109" i="18"/>
  <c r="R109" i="18" s="1"/>
  <c r="P109" i="18" s="1"/>
  <c r="V109" i="18" s="1"/>
  <c r="S111" i="18"/>
  <c r="R111" i="18" s="1"/>
  <c r="P111" i="18" s="1"/>
  <c r="V111" i="18" s="1"/>
  <c r="S113" i="18"/>
  <c r="R113" i="18" s="1"/>
  <c r="P113" i="18" s="1"/>
  <c r="V113" i="18" s="1"/>
  <c r="S115" i="18"/>
  <c r="R115" i="18" s="1"/>
  <c r="P115" i="18" s="1"/>
  <c r="V115" i="18" s="1"/>
  <c r="S117" i="18"/>
  <c r="R117" i="18" s="1"/>
  <c r="P117" i="18" s="1"/>
  <c r="V117" i="18" s="1"/>
  <c r="S119" i="18"/>
  <c r="R119" i="18" s="1"/>
  <c r="P119" i="18" s="1"/>
  <c r="S121" i="18"/>
  <c r="R121" i="18" s="1"/>
  <c r="P121" i="18" s="1"/>
  <c r="V121" i="18" s="1"/>
  <c r="S123" i="18"/>
  <c r="R123" i="18" s="1"/>
  <c r="P123" i="18" s="1"/>
  <c r="V123" i="18" s="1"/>
  <c r="S125" i="18"/>
  <c r="R125" i="18" s="1"/>
  <c r="P125" i="18" s="1"/>
  <c r="V125" i="18" s="1"/>
  <c r="S127" i="18"/>
  <c r="R127" i="18" s="1"/>
  <c r="P127" i="18" s="1"/>
  <c r="V127" i="18" s="1"/>
  <c r="S129" i="18"/>
  <c r="R129" i="18" s="1"/>
  <c r="P129" i="18" s="1"/>
  <c r="V129" i="18" s="1"/>
  <c r="S131" i="18"/>
  <c r="R131" i="18" s="1"/>
  <c r="P131" i="18" s="1"/>
  <c r="V131" i="18" s="1"/>
  <c r="S133" i="18"/>
  <c r="R133" i="18" s="1"/>
  <c r="P133" i="18" s="1"/>
  <c r="V133" i="18" s="1"/>
  <c r="S135" i="18"/>
  <c r="R135" i="18" s="1"/>
  <c r="P135" i="18" s="1"/>
  <c r="V135" i="18" s="1"/>
  <c r="S137" i="18"/>
  <c r="R137" i="18" s="1"/>
  <c r="P137" i="18" s="1"/>
  <c r="V137" i="18" s="1"/>
  <c r="S139" i="18"/>
  <c r="R139" i="18" s="1"/>
  <c r="P139" i="18" s="1"/>
  <c r="V139" i="18" s="1"/>
  <c r="S141" i="18"/>
  <c r="R141" i="18" s="1"/>
  <c r="P141" i="18" s="1"/>
  <c r="V141" i="18" s="1"/>
  <c r="S143" i="18"/>
  <c r="R143" i="18" s="1"/>
  <c r="P143" i="18" s="1"/>
  <c r="V143" i="18" s="1"/>
  <c r="S145" i="18"/>
  <c r="R145" i="18" s="1"/>
  <c r="P145" i="18" s="1"/>
  <c r="V145" i="18" s="1"/>
  <c r="S147" i="18"/>
  <c r="R147" i="18" s="1"/>
  <c r="P147" i="18" s="1"/>
  <c r="V147" i="18" s="1"/>
  <c r="S149" i="18"/>
  <c r="R149" i="18" s="1"/>
  <c r="P149" i="18" s="1"/>
  <c r="S151" i="18"/>
  <c r="R151" i="18" s="1"/>
  <c r="P151" i="18" s="1"/>
  <c r="V151" i="18" s="1"/>
  <c r="S153" i="18"/>
  <c r="R153" i="18" s="1"/>
  <c r="P153" i="18" s="1"/>
  <c r="V153" i="18" s="1"/>
  <c r="S155" i="18"/>
  <c r="R155" i="18" s="1"/>
  <c r="P155" i="18" s="1"/>
  <c r="V155" i="18" s="1"/>
  <c r="S157" i="18"/>
  <c r="R157" i="18" s="1"/>
  <c r="P157" i="18" s="1"/>
  <c r="V157" i="18" s="1"/>
  <c r="S159" i="18"/>
  <c r="R159" i="18" s="1"/>
  <c r="P159" i="18" s="1"/>
  <c r="V159" i="18" s="1"/>
  <c r="S161" i="18"/>
  <c r="R161" i="18" s="1"/>
  <c r="P161" i="18" s="1"/>
  <c r="V161" i="18" s="1"/>
  <c r="S163" i="18"/>
  <c r="R163" i="18" s="1"/>
  <c r="P163" i="18" s="1"/>
  <c r="V163" i="18" s="1"/>
  <c r="S165" i="18"/>
  <c r="R165" i="18" s="1"/>
  <c r="P165" i="18" s="1"/>
  <c r="V165" i="18" s="1"/>
  <c r="S167" i="18"/>
  <c r="R167" i="18" s="1"/>
  <c r="P167" i="18" s="1"/>
  <c r="V167" i="18" s="1"/>
  <c r="S169" i="18"/>
  <c r="R169" i="18" s="1"/>
  <c r="P169" i="18" s="1"/>
  <c r="V169" i="18" s="1"/>
  <c r="S171" i="18"/>
  <c r="R171" i="18" s="1"/>
  <c r="P171" i="18" s="1"/>
  <c r="V171" i="18" s="1"/>
  <c r="S173" i="18"/>
  <c r="R173" i="18" s="1"/>
  <c r="P173" i="18" s="1"/>
  <c r="V173" i="18" s="1"/>
  <c r="S175" i="18"/>
  <c r="R175" i="18" s="1"/>
  <c r="P175" i="18" s="1"/>
  <c r="V175" i="18" s="1"/>
  <c r="S177" i="18"/>
  <c r="R177" i="18" s="1"/>
  <c r="P177" i="18" s="1"/>
  <c r="V177" i="18" s="1"/>
  <c r="S179" i="18"/>
  <c r="R179" i="18" s="1"/>
  <c r="P179" i="18" s="1"/>
  <c r="V179" i="18" s="1"/>
  <c r="S181" i="18"/>
  <c r="R181" i="18" s="1"/>
  <c r="P181" i="18" s="1"/>
  <c r="V181" i="18" s="1"/>
  <c r="S183" i="18"/>
  <c r="R183" i="18" s="1"/>
  <c r="P183" i="18" s="1"/>
  <c r="V183" i="18" s="1"/>
  <c r="S185" i="18"/>
  <c r="R185" i="18" s="1"/>
  <c r="P185" i="18" s="1"/>
  <c r="V185" i="18" s="1"/>
  <c r="S187" i="18"/>
  <c r="R187" i="18" s="1"/>
  <c r="P187" i="18" s="1"/>
  <c r="V187" i="18" s="1"/>
  <c r="S189" i="18"/>
  <c r="R189" i="18" s="1"/>
  <c r="P189" i="18" s="1"/>
  <c r="V189" i="18" s="1"/>
  <c r="S191" i="18"/>
  <c r="R191" i="18" s="1"/>
  <c r="P191" i="18" s="1"/>
  <c r="V191" i="18" s="1"/>
  <c r="S193" i="18"/>
  <c r="R193" i="18" s="1"/>
  <c r="P193" i="18" s="1"/>
  <c r="V193" i="18" s="1"/>
  <c r="S195" i="18"/>
  <c r="R195" i="18" s="1"/>
  <c r="P195" i="18" s="1"/>
  <c r="V195" i="18" s="1"/>
  <c r="S197" i="18"/>
  <c r="R197" i="18" s="1"/>
  <c r="P197" i="18" s="1"/>
  <c r="V197" i="18" s="1"/>
  <c r="S199" i="18"/>
  <c r="R199" i="18" s="1"/>
  <c r="P199" i="18" s="1"/>
  <c r="V199" i="18" s="1"/>
  <c r="S201" i="18"/>
  <c r="R201" i="18" s="1"/>
  <c r="P201" i="18" s="1"/>
  <c r="V201" i="18" s="1"/>
  <c r="S203" i="18"/>
  <c r="R203" i="18" s="1"/>
  <c r="P203" i="18" s="1"/>
  <c r="V203" i="18" s="1"/>
  <c r="S205" i="18"/>
  <c r="R205" i="18" s="1"/>
  <c r="P205" i="18" s="1"/>
  <c r="V205" i="18" s="1"/>
  <c r="S207" i="18"/>
  <c r="R207" i="18" s="1"/>
  <c r="P207" i="18" s="1"/>
  <c r="V207" i="18" s="1"/>
  <c r="S209" i="18"/>
  <c r="R209" i="18" s="1"/>
  <c r="P209" i="18" s="1"/>
  <c r="V209" i="18" s="1"/>
  <c r="S211" i="18"/>
  <c r="R211" i="18" s="1"/>
  <c r="P211" i="18" s="1"/>
  <c r="V211" i="18" s="1"/>
  <c r="S213" i="18"/>
  <c r="R213" i="18" s="1"/>
  <c r="P213" i="18" s="1"/>
  <c r="V213" i="18" s="1"/>
  <c r="S215" i="18"/>
  <c r="R215" i="18" s="1"/>
  <c r="P215" i="18" s="1"/>
  <c r="V215" i="18" s="1"/>
  <c r="S217" i="18"/>
  <c r="R217" i="18" s="1"/>
  <c r="P217" i="18" s="1"/>
  <c r="V217" i="18" s="1"/>
  <c r="S219" i="18"/>
  <c r="R219" i="18" s="1"/>
  <c r="P219" i="18" s="1"/>
  <c r="V219" i="18" s="1"/>
  <c r="S221" i="18"/>
  <c r="R221" i="18" s="1"/>
  <c r="P221" i="18" s="1"/>
  <c r="V221" i="18" s="1"/>
  <c r="S223" i="18"/>
  <c r="R223" i="18" s="1"/>
  <c r="P223" i="18" s="1"/>
  <c r="V223" i="18" s="1"/>
  <c r="S225" i="18"/>
  <c r="R225" i="18" s="1"/>
  <c r="P225" i="18" s="1"/>
  <c r="V225" i="18" s="1"/>
  <c r="S227" i="18"/>
  <c r="R227" i="18" s="1"/>
  <c r="P227" i="18" s="1"/>
  <c r="V227" i="18" s="1"/>
  <c r="S229" i="18"/>
  <c r="R229" i="18" s="1"/>
  <c r="P229" i="18" s="1"/>
  <c r="V229" i="18" s="1"/>
  <c r="S231" i="18"/>
  <c r="R231" i="18" s="1"/>
  <c r="P231" i="18" s="1"/>
  <c r="V231" i="18" s="1"/>
  <c r="S233" i="18"/>
  <c r="R233" i="18" s="1"/>
  <c r="P233" i="18" s="1"/>
  <c r="V233" i="18" s="1"/>
  <c r="S235" i="18"/>
  <c r="R235" i="18" s="1"/>
  <c r="P235" i="18" s="1"/>
  <c r="V235" i="18" s="1"/>
  <c r="S237" i="18"/>
  <c r="R237" i="18" s="1"/>
  <c r="P237" i="18" s="1"/>
  <c r="V237" i="18" s="1"/>
  <c r="S239" i="18"/>
  <c r="R239" i="18" s="1"/>
  <c r="P239" i="18" s="1"/>
  <c r="V239" i="18" s="1"/>
  <c r="S241" i="18"/>
  <c r="R241" i="18" s="1"/>
  <c r="P241" i="18" s="1"/>
  <c r="S243" i="18"/>
  <c r="R243" i="18" s="1"/>
  <c r="P243" i="18" s="1"/>
  <c r="V243" i="18" s="1"/>
  <c r="S245" i="18"/>
  <c r="R245" i="18" s="1"/>
  <c r="P245" i="18" s="1"/>
  <c r="V245" i="18" s="1"/>
  <c r="S247" i="18"/>
  <c r="R247" i="18" s="1"/>
  <c r="P247" i="18" s="1"/>
  <c r="V247" i="18" s="1"/>
  <c r="S249" i="18"/>
  <c r="R249" i="18" s="1"/>
  <c r="P249" i="18" s="1"/>
  <c r="V249" i="18" s="1"/>
  <c r="S251" i="18"/>
  <c r="R251" i="18" s="1"/>
  <c r="P251" i="18" s="1"/>
  <c r="V251" i="18" s="1"/>
  <c r="S253" i="18"/>
  <c r="R253" i="18" s="1"/>
  <c r="P253" i="18" s="1"/>
  <c r="V253" i="18" s="1"/>
  <c r="S255" i="18"/>
  <c r="R255" i="18" s="1"/>
  <c r="P255" i="18" s="1"/>
  <c r="V255" i="18" s="1"/>
  <c r="S257" i="18"/>
  <c r="R257" i="18" s="1"/>
  <c r="P257" i="18" s="1"/>
  <c r="V257" i="18" s="1"/>
  <c r="S259" i="18"/>
  <c r="R259" i="18" s="1"/>
  <c r="P259" i="18" s="1"/>
  <c r="V259" i="18" s="1"/>
  <c r="S261" i="18"/>
  <c r="R261" i="18" s="1"/>
  <c r="P261" i="18" s="1"/>
  <c r="V261" i="18" s="1"/>
  <c r="S263" i="18"/>
  <c r="R263" i="18" s="1"/>
  <c r="P263" i="18" s="1"/>
  <c r="V263" i="18" s="1"/>
  <c r="S265" i="18"/>
  <c r="R265" i="18" s="1"/>
  <c r="P265" i="18" s="1"/>
  <c r="V265" i="18" s="1"/>
  <c r="S267" i="18"/>
  <c r="R267" i="18" s="1"/>
  <c r="P267" i="18" s="1"/>
  <c r="V267" i="18" s="1"/>
  <c r="S269" i="18"/>
  <c r="R269" i="18" s="1"/>
  <c r="P269" i="18" s="1"/>
  <c r="V269" i="18" s="1"/>
  <c r="S271" i="18"/>
  <c r="R271" i="18" s="1"/>
  <c r="P271" i="18" s="1"/>
  <c r="V271" i="18" s="1"/>
  <c r="S273" i="18"/>
  <c r="R273" i="18" s="1"/>
  <c r="P273" i="18" s="1"/>
  <c r="V273" i="18" s="1"/>
  <c r="S275" i="18"/>
  <c r="R275" i="18" s="1"/>
  <c r="P275" i="18" s="1"/>
  <c r="V275" i="18" s="1"/>
  <c r="S277" i="18"/>
  <c r="R277" i="18" s="1"/>
  <c r="P277" i="18" s="1"/>
  <c r="V277" i="18" s="1"/>
  <c r="S279" i="18"/>
  <c r="R279" i="18" s="1"/>
  <c r="P279" i="18" s="1"/>
  <c r="V279" i="18" s="1"/>
  <c r="S281" i="18"/>
  <c r="R281" i="18" s="1"/>
  <c r="P281" i="18" s="1"/>
  <c r="V281" i="18" s="1"/>
  <c r="S283" i="18"/>
  <c r="R283" i="18" s="1"/>
  <c r="P283" i="18" s="1"/>
  <c r="V283" i="18" s="1"/>
  <c r="S285" i="18"/>
  <c r="R285" i="18" s="1"/>
  <c r="P285" i="18" s="1"/>
  <c r="V285" i="18" s="1"/>
  <c r="S287" i="18"/>
  <c r="R287" i="18" s="1"/>
  <c r="P287" i="18" s="1"/>
  <c r="V287" i="18" s="1"/>
  <c r="S289" i="18"/>
  <c r="R289" i="18" s="1"/>
  <c r="P289" i="18" s="1"/>
  <c r="V289" i="18" s="1"/>
  <c r="S291" i="18"/>
  <c r="R291" i="18" s="1"/>
  <c r="P291" i="18" s="1"/>
  <c r="V291" i="18" s="1"/>
  <c r="S293" i="18"/>
  <c r="R293" i="18" s="1"/>
  <c r="P293" i="18" s="1"/>
  <c r="V293" i="18" s="1"/>
  <c r="S295" i="18"/>
  <c r="R295" i="18" s="1"/>
  <c r="P295" i="18" s="1"/>
  <c r="V295" i="18" s="1"/>
  <c r="S297" i="18"/>
  <c r="R297" i="18" s="1"/>
  <c r="P297" i="18" s="1"/>
  <c r="V297" i="18" s="1"/>
  <c r="S299" i="18"/>
  <c r="R299" i="18" s="1"/>
  <c r="P299" i="18" s="1"/>
  <c r="V299" i="18" s="1"/>
  <c r="S301" i="18"/>
  <c r="R301" i="18" s="1"/>
  <c r="P301" i="18" s="1"/>
  <c r="V301" i="18" s="1"/>
  <c r="S303" i="18"/>
  <c r="R303" i="18" s="1"/>
  <c r="P303" i="18" s="1"/>
  <c r="V303" i="18" s="1"/>
  <c r="S305" i="18"/>
  <c r="R305" i="18" s="1"/>
  <c r="P305" i="18" s="1"/>
  <c r="V305" i="18" s="1"/>
  <c r="S307" i="18"/>
  <c r="R307" i="18" s="1"/>
  <c r="P307" i="18" s="1"/>
  <c r="V307" i="18" s="1"/>
  <c r="S309" i="18"/>
  <c r="R309" i="18" s="1"/>
  <c r="P309" i="18" s="1"/>
  <c r="V309" i="18" s="1"/>
  <c r="S311" i="18"/>
  <c r="R311" i="18" s="1"/>
  <c r="P311" i="18" s="1"/>
  <c r="V311" i="18" s="1"/>
  <c r="S313" i="18"/>
  <c r="R313" i="18" s="1"/>
  <c r="P313" i="18" s="1"/>
  <c r="V313" i="18" s="1"/>
  <c r="S315" i="18"/>
  <c r="R315" i="18" s="1"/>
  <c r="P315" i="18" s="1"/>
  <c r="V315" i="18" s="1"/>
  <c r="S317" i="18"/>
  <c r="R317" i="18" s="1"/>
  <c r="P317" i="18" s="1"/>
  <c r="V317" i="18" s="1"/>
  <c r="S319" i="18"/>
  <c r="R319" i="18" s="1"/>
  <c r="P319" i="18" s="1"/>
  <c r="V319" i="18" s="1"/>
  <c r="S321" i="18"/>
  <c r="R321" i="18" s="1"/>
  <c r="P321" i="18" s="1"/>
  <c r="V321" i="18" s="1"/>
  <c r="S323" i="18"/>
  <c r="R323" i="18" s="1"/>
  <c r="P323" i="18" s="1"/>
  <c r="V323" i="18" s="1"/>
  <c r="S325" i="18"/>
  <c r="R325" i="18" s="1"/>
  <c r="P325" i="18" s="1"/>
  <c r="V325" i="18" s="1"/>
  <c r="S327" i="18"/>
  <c r="R327" i="18" s="1"/>
  <c r="P327" i="18" s="1"/>
  <c r="V327" i="18" s="1"/>
  <c r="S329" i="18"/>
  <c r="R329" i="18" s="1"/>
  <c r="P329" i="18" s="1"/>
  <c r="V329" i="18" s="1"/>
  <c r="S331" i="18"/>
  <c r="R331" i="18" s="1"/>
  <c r="P331" i="18" s="1"/>
  <c r="V331" i="18" s="1"/>
  <c r="S333" i="18"/>
  <c r="R333" i="18" s="1"/>
  <c r="P333" i="18" s="1"/>
  <c r="S335" i="18"/>
  <c r="R335" i="18" s="1"/>
  <c r="P335" i="18" s="1"/>
  <c r="V335" i="18" s="1"/>
  <c r="S337" i="18"/>
  <c r="R337" i="18" s="1"/>
  <c r="P337" i="18" s="1"/>
  <c r="V337" i="18" s="1"/>
  <c r="S339" i="18"/>
  <c r="R339" i="18" s="1"/>
  <c r="P339" i="18" s="1"/>
  <c r="V339" i="18" s="1"/>
  <c r="S341" i="18"/>
  <c r="R341" i="18" s="1"/>
  <c r="P341" i="18" s="1"/>
  <c r="V341" i="18" s="1"/>
  <c r="S343" i="18"/>
  <c r="R343" i="18" s="1"/>
  <c r="P343" i="18" s="1"/>
  <c r="V343" i="18" s="1"/>
  <c r="S345" i="18"/>
  <c r="R345" i="18" s="1"/>
  <c r="P345" i="18" s="1"/>
  <c r="V345" i="18" s="1"/>
  <c r="S347" i="18"/>
  <c r="R347" i="18" s="1"/>
  <c r="P347" i="18" s="1"/>
  <c r="V347" i="18" s="1"/>
  <c r="S349" i="18"/>
  <c r="R349" i="18" s="1"/>
  <c r="P349" i="18" s="1"/>
  <c r="V349" i="18" s="1"/>
  <c r="S351" i="18"/>
  <c r="R351" i="18" s="1"/>
  <c r="P351" i="18" s="1"/>
  <c r="V351" i="18" s="1"/>
  <c r="S353" i="18"/>
  <c r="R353" i="18" s="1"/>
  <c r="P353" i="18" s="1"/>
  <c r="V353" i="18" s="1"/>
  <c r="S355" i="18"/>
  <c r="R355" i="18" s="1"/>
  <c r="P355" i="18" s="1"/>
  <c r="V355" i="18" s="1"/>
  <c r="S357" i="18"/>
  <c r="R357" i="18" s="1"/>
  <c r="P357" i="18" s="1"/>
  <c r="V357" i="18" s="1"/>
  <c r="S359" i="18"/>
  <c r="R359" i="18" s="1"/>
  <c r="P359" i="18" s="1"/>
  <c r="V359" i="18" s="1"/>
  <c r="S361" i="18"/>
  <c r="R361" i="18" s="1"/>
  <c r="P361" i="18" s="1"/>
  <c r="V361" i="18" s="1"/>
  <c r="S363" i="18"/>
  <c r="R363" i="18" s="1"/>
  <c r="P363" i="18" s="1"/>
  <c r="S365" i="18"/>
  <c r="R365" i="18" s="1"/>
  <c r="P365" i="18" s="1"/>
  <c r="V365" i="18" s="1"/>
  <c r="S367" i="18"/>
  <c r="R367" i="18" s="1"/>
  <c r="P367" i="18" s="1"/>
  <c r="V367" i="18" s="1"/>
  <c r="S369" i="18"/>
  <c r="R369" i="18" s="1"/>
  <c r="P369" i="18" s="1"/>
  <c r="V369" i="18" s="1"/>
  <c r="S371" i="18"/>
  <c r="R371" i="18" s="1"/>
  <c r="P371" i="18" s="1"/>
  <c r="V371" i="18" s="1"/>
  <c r="S373" i="18"/>
  <c r="R373" i="18" s="1"/>
  <c r="P373" i="18" s="1"/>
  <c r="V373" i="18" s="1"/>
  <c r="S375" i="18"/>
  <c r="R375" i="18" s="1"/>
  <c r="P375" i="18" s="1"/>
  <c r="V375" i="18" s="1"/>
  <c r="S377" i="18"/>
  <c r="R377" i="18" s="1"/>
  <c r="P377" i="18" s="1"/>
  <c r="V377" i="18" s="1"/>
  <c r="S379" i="18"/>
  <c r="R379" i="18" s="1"/>
  <c r="P379" i="18" s="1"/>
  <c r="AG21" i="18"/>
  <c r="AF21" i="18" s="1"/>
  <c r="AD21" i="18" s="1"/>
  <c r="AG23" i="18"/>
  <c r="AF23" i="18" s="1"/>
  <c r="AD23" i="18" s="1"/>
  <c r="AG25" i="18"/>
  <c r="AF25" i="18" s="1"/>
  <c r="AD25" i="18" s="1"/>
  <c r="AG27" i="18"/>
  <c r="AF27" i="18" s="1"/>
  <c r="AD27" i="18" s="1"/>
  <c r="AG29" i="18"/>
  <c r="AF29" i="18" s="1"/>
  <c r="AD29" i="18" s="1"/>
  <c r="AG31" i="18"/>
  <c r="AF31" i="18" s="1"/>
  <c r="AD31" i="18" s="1"/>
  <c r="AG33" i="18"/>
  <c r="AF33" i="18" s="1"/>
  <c r="AD33" i="18" s="1"/>
  <c r="AG35" i="18"/>
  <c r="AF35" i="18" s="1"/>
  <c r="AD35" i="18" s="1"/>
  <c r="AG37" i="18"/>
  <c r="AF37" i="18" s="1"/>
  <c r="AD37" i="18" s="1"/>
  <c r="AG39" i="18"/>
  <c r="AF39" i="18" s="1"/>
  <c r="AD39" i="18" s="1"/>
  <c r="AG41" i="18"/>
  <c r="AF41" i="18" s="1"/>
  <c r="AD41" i="18" s="1"/>
  <c r="AG43" i="18"/>
  <c r="AF43" i="18" s="1"/>
  <c r="AD43" i="18" s="1"/>
  <c r="AG45" i="18"/>
  <c r="AF45" i="18" s="1"/>
  <c r="AD45" i="18" s="1"/>
  <c r="AG49" i="18"/>
  <c r="AF49" i="18" s="1"/>
  <c r="AD49" i="18" s="1"/>
  <c r="AG51" i="18"/>
  <c r="AF51" i="18" s="1"/>
  <c r="AD51" i="18" s="1"/>
  <c r="AG53" i="18"/>
  <c r="AF53" i="18" s="1"/>
  <c r="AD53" i="18" s="1"/>
  <c r="AG55" i="18"/>
  <c r="AF55" i="18" s="1"/>
  <c r="AD55" i="18" s="1"/>
  <c r="AG57" i="18"/>
  <c r="AF57" i="18" s="1"/>
  <c r="AD57" i="18" s="1"/>
  <c r="AG59" i="18"/>
  <c r="AF59" i="18" s="1"/>
  <c r="AD59" i="18" s="1"/>
  <c r="AG61" i="18"/>
  <c r="AF61" i="18" s="1"/>
  <c r="AD61" i="18" s="1"/>
  <c r="AG63" i="18"/>
  <c r="AF63" i="18" s="1"/>
  <c r="AD63" i="18" s="1"/>
  <c r="AG65" i="18"/>
  <c r="AF65" i="18" s="1"/>
  <c r="AD65" i="18" s="1"/>
  <c r="AG67" i="18"/>
  <c r="AF67" i="18" s="1"/>
  <c r="AD67" i="18" s="1"/>
  <c r="AG69" i="18"/>
  <c r="AF69" i="18" s="1"/>
  <c r="AD69" i="18" s="1"/>
  <c r="AG71" i="18"/>
  <c r="AF71" i="18" s="1"/>
  <c r="AD71" i="18" s="1"/>
  <c r="AG73" i="18"/>
  <c r="AF73" i="18" s="1"/>
  <c r="AD73" i="18" s="1"/>
  <c r="AG75" i="18"/>
  <c r="AF75" i="18" s="1"/>
  <c r="AD75" i="18" s="1"/>
  <c r="AG77" i="18"/>
  <c r="AF77" i="18" s="1"/>
  <c r="AD77" i="18" s="1"/>
  <c r="AG79" i="18"/>
  <c r="AF79" i="18" s="1"/>
  <c r="AD79" i="18" s="1"/>
  <c r="AG81" i="18"/>
  <c r="AF81" i="18" s="1"/>
  <c r="AD81" i="18" s="1"/>
  <c r="AG85" i="18"/>
  <c r="AF85" i="18" s="1"/>
  <c r="AD85" i="18" s="1"/>
  <c r="AG87" i="18"/>
  <c r="AF87" i="18" s="1"/>
  <c r="AD87" i="18" s="1"/>
  <c r="AG89" i="18"/>
  <c r="AF89" i="18" s="1"/>
  <c r="AD89" i="18" s="1"/>
  <c r="AG91" i="18"/>
  <c r="AF91" i="18" s="1"/>
  <c r="AD91" i="18" s="1"/>
  <c r="AG93" i="18"/>
  <c r="AF93" i="18" s="1"/>
  <c r="AD93" i="18" s="1"/>
  <c r="AG95" i="18"/>
  <c r="AF95" i="18" s="1"/>
  <c r="AD95" i="18" s="1"/>
  <c r="AG97" i="18"/>
  <c r="AF97" i="18" s="1"/>
  <c r="AD97" i="18" s="1"/>
  <c r="AG99" i="18"/>
  <c r="AF99" i="18" s="1"/>
  <c r="AD99" i="18" s="1"/>
  <c r="AG101" i="18"/>
  <c r="AF101" i="18" s="1"/>
  <c r="AD101" i="18" s="1"/>
  <c r="AG103" i="18"/>
  <c r="AF103" i="18" s="1"/>
  <c r="AD103" i="18" s="1"/>
  <c r="AG105" i="18"/>
  <c r="AF105" i="18" s="1"/>
  <c r="AD105" i="18" s="1"/>
  <c r="AG107" i="18"/>
  <c r="AF107" i="18" s="1"/>
  <c r="AD107" i="18" s="1"/>
  <c r="AG109" i="18"/>
  <c r="AF109" i="18" s="1"/>
  <c r="AD109" i="18" s="1"/>
  <c r="AG111" i="18"/>
  <c r="AF111" i="18" s="1"/>
  <c r="AD111" i="18" s="1"/>
  <c r="AG115" i="18"/>
  <c r="AF115" i="18" s="1"/>
  <c r="AD115" i="18" s="1"/>
  <c r="AG119" i="18"/>
  <c r="AF119" i="18" s="1"/>
  <c r="AD119" i="18" s="1"/>
  <c r="AG121" i="18"/>
  <c r="AF121" i="18" s="1"/>
  <c r="AD121" i="18" s="1"/>
  <c r="AG123" i="18"/>
  <c r="AF123" i="18" s="1"/>
  <c r="AD123" i="18" s="1"/>
  <c r="AG125" i="18"/>
  <c r="AF125" i="18" s="1"/>
  <c r="AD125" i="18" s="1"/>
  <c r="AG127" i="18"/>
  <c r="AF127" i="18" s="1"/>
  <c r="AD127" i="18" s="1"/>
  <c r="AG129" i="18"/>
  <c r="AF129" i="18" s="1"/>
  <c r="AD129" i="18" s="1"/>
  <c r="AG131" i="18"/>
  <c r="AF131" i="18" s="1"/>
  <c r="AD131" i="18" s="1"/>
  <c r="AG133" i="18"/>
  <c r="AF133" i="18" s="1"/>
  <c r="AD133" i="18" s="1"/>
  <c r="AG135" i="18"/>
  <c r="AF135" i="18" s="1"/>
  <c r="AD135" i="18" s="1"/>
  <c r="AG137" i="18"/>
  <c r="AF137" i="18" s="1"/>
  <c r="AD137" i="18" s="1"/>
  <c r="AG139" i="18"/>
  <c r="AF139" i="18" s="1"/>
  <c r="AD139" i="18" s="1"/>
  <c r="AG147" i="18"/>
  <c r="AF147" i="18" s="1"/>
  <c r="AD147" i="18" s="1"/>
  <c r="AG149" i="18"/>
  <c r="AF149" i="18" s="1"/>
  <c r="AD149" i="18" s="1"/>
  <c r="AG153" i="18"/>
  <c r="AF153" i="18" s="1"/>
  <c r="AD153" i="18" s="1"/>
  <c r="AG155" i="18"/>
  <c r="AF155" i="18" s="1"/>
  <c r="AD155" i="18" s="1"/>
  <c r="AG157" i="18"/>
  <c r="AF157" i="18" s="1"/>
  <c r="AD157" i="18" s="1"/>
  <c r="AG159" i="18"/>
  <c r="AF159" i="18" s="1"/>
  <c r="AD159" i="18" s="1"/>
  <c r="AG163" i="18"/>
  <c r="AF163" i="18" s="1"/>
  <c r="AD163" i="18" s="1"/>
  <c r="AG165" i="18"/>
  <c r="AF165" i="18" s="1"/>
  <c r="AD165" i="18" s="1"/>
  <c r="AG167" i="18"/>
  <c r="AF167" i="18" s="1"/>
  <c r="AD167" i="18" s="1"/>
  <c r="AG169" i="18"/>
  <c r="AF169" i="18" s="1"/>
  <c r="AD169" i="18" s="1"/>
  <c r="AG171" i="18"/>
  <c r="AF171" i="18" s="1"/>
  <c r="AD171" i="18" s="1"/>
  <c r="AG173" i="18"/>
  <c r="AF173" i="18" s="1"/>
  <c r="AD173" i="18" s="1"/>
  <c r="AG175" i="18"/>
  <c r="AF175" i="18" s="1"/>
  <c r="AD175" i="18" s="1"/>
  <c r="AG177" i="18"/>
  <c r="AF177" i="18" s="1"/>
  <c r="AD177" i="18" s="1"/>
  <c r="AG179" i="18"/>
  <c r="AF179" i="18" s="1"/>
  <c r="AD179" i="18" s="1"/>
  <c r="AG181" i="18"/>
  <c r="AF181" i="18" s="1"/>
  <c r="AD181" i="18" s="1"/>
  <c r="AG183" i="18"/>
  <c r="AF183" i="18" s="1"/>
  <c r="AD183" i="18" s="1"/>
  <c r="AG185" i="18"/>
  <c r="AF185" i="18" s="1"/>
  <c r="AD185" i="18" s="1"/>
  <c r="AG187" i="18"/>
  <c r="AF187" i="18" s="1"/>
  <c r="AD187" i="18" s="1"/>
  <c r="AG189" i="18"/>
  <c r="AF189" i="18" s="1"/>
  <c r="AD189" i="18" s="1"/>
  <c r="AG191" i="18"/>
  <c r="AF191" i="18" s="1"/>
  <c r="AD191" i="18" s="1"/>
  <c r="AG193" i="18"/>
  <c r="AF193" i="18" s="1"/>
  <c r="AD193" i="18" s="1"/>
  <c r="AG195" i="18"/>
  <c r="AF195" i="18" s="1"/>
  <c r="AD195" i="18" s="1"/>
  <c r="AG197" i="18"/>
  <c r="AF197" i="18" s="1"/>
  <c r="AD197" i="18" s="1"/>
  <c r="AG201" i="18"/>
  <c r="AF201" i="18" s="1"/>
  <c r="AD201" i="18" s="1"/>
  <c r="AG203" i="18"/>
  <c r="AF203" i="18" s="1"/>
  <c r="AD203" i="18" s="1"/>
  <c r="AG205" i="18"/>
  <c r="AF205" i="18" s="1"/>
  <c r="AD205" i="18" s="1"/>
  <c r="AG207" i="18"/>
  <c r="AF207" i="18" s="1"/>
  <c r="AD207" i="18" s="1"/>
  <c r="AG209" i="18"/>
  <c r="AF209" i="18" s="1"/>
  <c r="AD209" i="18" s="1"/>
  <c r="AG211" i="18"/>
  <c r="AF211" i="18" s="1"/>
  <c r="AD211" i="18" s="1"/>
  <c r="AG213" i="18"/>
  <c r="AF213" i="18" s="1"/>
  <c r="AD213" i="18" s="1"/>
  <c r="AG217" i="18"/>
  <c r="AF217" i="18" s="1"/>
  <c r="AD217" i="18" s="1"/>
  <c r="AG219" i="18"/>
  <c r="AF219" i="18" s="1"/>
  <c r="AD219" i="18" s="1"/>
  <c r="AG221" i="18"/>
  <c r="AF221" i="18" s="1"/>
  <c r="AD221" i="18" s="1"/>
  <c r="AG223" i="18"/>
  <c r="AF223" i="18" s="1"/>
  <c r="AD223" i="18" s="1"/>
  <c r="AG225" i="18"/>
  <c r="AF225" i="18" s="1"/>
  <c r="AD225" i="18" s="1"/>
  <c r="AG227" i="18"/>
  <c r="AF227" i="18" s="1"/>
  <c r="AD227" i="18" s="1"/>
  <c r="AG229" i="18"/>
  <c r="AF229" i="18" s="1"/>
  <c r="AD229" i="18" s="1"/>
  <c r="AG231" i="18"/>
  <c r="AF231" i="18" s="1"/>
  <c r="AD231" i="18" s="1"/>
  <c r="AG233" i="18"/>
  <c r="AF233" i="18" s="1"/>
  <c r="AD233" i="18" s="1"/>
  <c r="AG235" i="18"/>
  <c r="AF235" i="18" s="1"/>
  <c r="AD235" i="18" s="1"/>
  <c r="AG237" i="18"/>
  <c r="AF237" i="18" s="1"/>
  <c r="AD237" i="18" s="1"/>
  <c r="AG239" i="18"/>
  <c r="AF239" i="18" s="1"/>
  <c r="AD239" i="18" s="1"/>
  <c r="AG243" i="18"/>
  <c r="AF243" i="18" s="1"/>
  <c r="AD243" i="18" s="1"/>
  <c r="AG245" i="18"/>
  <c r="AF245" i="18" s="1"/>
  <c r="AD245" i="18" s="1"/>
  <c r="AG247" i="18"/>
  <c r="AF247" i="18" s="1"/>
  <c r="AD247" i="18" s="1"/>
  <c r="AG249" i="18"/>
  <c r="AF249" i="18" s="1"/>
  <c r="AD249" i="18" s="1"/>
  <c r="AG251" i="18"/>
  <c r="AF251" i="18" s="1"/>
  <c r="AD251" i="18" s="1"/>
  <c r="AG253" i="18"/>
  <c r="AF253" i="18" s="1"/>
  <c r="AD253" i="18" s="1"/>
  <c r="AG257" i="18"/>
  <c r="AF257" i="18" s="1"/>
  <c r="AD257" i="18" s="1"/>
  <c r="AG259" i="18"/>
  <c r="AF259" i="18" s="1"/>
  <c r="AD259" i="18" s="1"/>
  <c r="AG261" i="18"/>
  <c r="AF261" i="18" s="1"/>
  <c r="AD261" i="18" s="1"/>
  <c r="AG263" i="18"/>
  <c r="AF263" i="18" s="1"/>
  <c r="AD263" i="18" s="1"/>
  <c r="AG267" i="18"/>
  <c r="AF267" i="18" s="1"/>
  <c r="AD267" i="18" s="1"/>
  <c r="AG269" i="18"/>
  <c r="AF269" i="18" s="1"/>
  <c r="AD269" i="18" s="1"/>
  <c r="AG271" i="18"/>
  <c r="AF271" i="18" s="1"/>
  <c r="AD271" i="18" s="1"/>
  <c r="AG275" i="18"/>
  <c r="AF275" i="18" s="1"/>
  <c r="AD275" i="18" s="1"/>
  <c r="AG277" i="18"/>
  <c r="AF277" i="18" s="1"/>
  <c r="AD277" i="18" s="1"/>
  <c r="AG279" i="18"/>
  <c r="AF279" i="18" s="1"/>
  <c r="AD279" i="18" s="1"/>
  <c r="AG281" i="18"/>
  <c r="AF281" i="18" s="1"/>
  <c r="AD281" i="18" s="1"/>
  <c r="AG285" i="18"/>
  <c r="AF285" i="18" s="1"/>
  <c r="AD285" i="18" s="1"/>
  <c r="AG289" i="18"/>
  <c r="AF289" i="18" s="1"/>
  <c r="AD289" i="18" s="1"/>
  <c r="AG291" i="18"/>
  <c r="AF291" i="18" s="1"/>
  <c r="AD291" i="18" s="1"/>
  <c r="AG293" i="18"/>
  <c r="AF293" i="18" s="1"/>
  <c r="AD293" i="18" s="1"/>
  <c r="AG297" i="18"/>
  <c r="AF297" i="18" s="1"/>
  <c r="AD297" i="18" s="1"/>
  <c r="AG299" i="18"/>
  <c r="AF299" i="18" s="1"/>
  <c r="AD299" i="18" s="1"/>
  <c r="AG301" i="18"/>
  <c r="AF301" i="18" s="1"/>
  <c r="AD301" i="18" s="1"/>
  <c r="AG303" i="18"/>
  <c r="AF303" i="18" s="1"/>
  <c r="AD303" i="18" s="1"/>
  <c r="AG305" i="18"/>
  <c r="AF305" i="18" s="1"/>
  <c r="AD305" i="18" s="1"/>
  <c r="AG307" i="18"/>
  <c r="AF307" i="18" s="1"/>
  <c r="AD307" i="18" s="1"/>
  <c r="AG309" i="18"/>
  <c r="AF309" i="18" s="1"/>
  <c r="AD309" i="18" s="1"/>
  <c r="AG311" i="18"/>
  <c r="AF311" i="18" s="1"/>
  <c r="AD311" i="18" s="1"/>
  <c r="AG313" i="18"/>
  <c r="AF313" i="18" s="1"/>
  <c r="AD313" i="18" s="1"/>
  <c r="AG315" i="18"/>
  <c r="AF315" i="18" s="1"/>
  <c r="AD315" i="18" s="1"/>
  <c r="AG317" i="18"/>
  <c r="AF317" i="18" s="1"/>
  <c r="AD317" i="18" s="1"/>
  <c r="AG319" i="18"/>
  <c r="AF319" i="18" s="1"/>
  <c r="AD319" i="18" s="1"/>
  <c r="AG321" i="18"/>
  <c r="AF321" i="18" s="1"/>
  <c r="AD321" i="18" s="1"/>
  <c r="AG323" i="18"/>
  <c r="AF323" i="18" s="1"/>
  <c r="AD323" i="18" s="1"/>
  <c r="AG325" i="18"/>
  <c r="AF325" i="18" s="1"/>
  <c r="AD325" i="18" s="1"/>
  <c r="AG327" i="18"/>
  <c r="AF327" i="18" s="1"/>
  <c r="AD327" i="18" s="1"/>
  <c r="AG329" i="18"/>
  <c r="AF329" i="18" s="1"/>
  <c r="AD329" i="18" s="1"/>
  <c r="AG331" i="18"/>
  <c r="AF331" i="18" s="1"/>
  <c r="AD331" i="18" s="1"/>
  <c r="AG333" i="18"/>
  <c r="AF333" i="18" s="1"/>
  <c r="AD333" i="18" s="1"/>
  <c r="AG335" i="18"/>
  <c r="AF335" i="18" s="1"/>
  <c r="AD335" i="18" s="1"/>
  <c r="AG337" i="18"/>
  <c r="AF337" i="18" s="1"/>
  <c r="AD337" i="18" s="1"/>
  <c r="AG339" i="18"/>
  <c r="AF339" i="18" s="1"/>
  <c r="AD339" i="18" s="1"/>
  <c r="AG343" i="18"/>
  <c r="AF343" i="18" s="1"/>
  <c r="AD343" i="18" s="1"/>
  <c r="AG347" i="18"/>
  <c r="AF347" i="18" s="1"/>
  <c r="AD347" i="18" s="1"/>
  <c r="AG349" i="18"/>
  <c r="AF349" i="18" s="1"/>
  <c r="AD349" i="18" s="1"/>
  <c r="AG351" i="18"/>
  <c r="AF351" i="18" s="1"/>
  <c r="AD351" i="18" s="1"/>
  <c r="AG353" i="18"/>
  <c r="AF353" i="18" s="1"/>
  <c r="AD353" i="18" s="1"/>
  <c r="AG355" i="18"/>
  <c r="AF355" i="18" s="1"/>
  <c r="AD355" i="18" s="1"/>
  <c r="AG357" i="18"/>
  <c r="AF357" i="18" s="1"/>
  <c r="AD357" i="18" s="1"/>
  <c r="AG359" i="18"/>
  <c r="AF359" i="18" s="1"/>
  <c r="AD359" i="18" s="1"/>
  <c r="AG361" i="18"/>
  <c r="AF361" i="18" s="1"/>
  <c r="AD361" i="18" s="1"/>
  <c r="AG363" i="18"/>
  <c r="AF363" i="18" s="1"/>
  <c r="AD363" i="18" s="1"/>
  <c r="AG365" i="18"/>
  <c r="AF365" i="18" s="1"/>
  <c r="AD365" i="18" s="1"/>
  <c r="AG367" i="18"/>
  <c r="AF367" i="18" s="1"/>
  <c r="AD367" i="18" s="1"/>
  <c r="AG369" i="18"/>
  <c r="AF369" i="18" s="1"/>
  <c r="AD369" i="18" s="1"/>
  <c r="AG371" i="18"/>
  <c r="AF371" i="18" s="1"/>
  <c r="AD371" i="18" s="1"/>
  <c r="AG373" i="18"/>
  <c r="AF373" i="18" s="1"/>
  <c r="AD373" i="18" s="1"/>
  <c r="AG375" i="18"/>
  <c r="AF375" i="18" s="1"/>
  <c r="AD375" i="18" s="1"/>
  <c r="AG377" i="18"/>
  <c r="AF377" i="18" s="1"/>
  <c r="AD377" i="18" s="1"/>
  <c r="AG379" i="18"/>
  <c r="AF379" i="18" s="1"/>
  <c r="AD379" i="18" s="1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A110" i="17"/>
  <c r="Z110" i="17" s="1"/>
  <c r="Y110" i="17" s="1"/>
  <c r="G110" i="17"/>
  <c r="BZ110" i="6" s="1"/>
  <c r="H110" i="17"/>
  <c r="G118" i="17"/>
  <c r="BZ118" i="6" s="1"/>
  <c r="AA118" i="17"/>
  <c r="Z118" i="17" s="1"/>
  <c r="Y118" i="17" s="1"/>
  <c r="H118" i="17"/>
  <c r="G122" i="17"/>
  <c r="BZ122" i="6" s="1"/>
  <c r="AA122" i="17"/>
  <c r="Z122" i="17" s="1"/>
  <c r="Y122" i="17" s="1"/>
  <c r="H122" i="17"/>
  <c r="G126" i="17"/>
  <c r="BZ126" i="6" s="1"/>
  <c r="AA126" i="17"/>
  <c r="Z126" i="17" s="1"/>
  <c r="Y126" i="17" s="1"/>
  <c r="H126" i="17"/>
  <c r="G130" i="17"/>
  <c r="BZ130" i="6" s="1"/>
  <c r="AA130" i="17"/>
  <c r="Z130" i="17" s="1"/>
  <c r="Y130" i="17" s="1"/>
  <c r="H130" i="17"/>
  <c r="G134" i="17"/>
  <c r="BZ134" i="6" s="1"/>
  <c r="AA134" i="17"/>
  <c r="Z134" i="17" s="1"/>
  <c r="Y134" i="17" s="1"/>
  <c r="H134" i="17"/>
  <c r="AA138" i="17"/>
  <c r="Z138" i="17" s="1"/>
  <c r="Y138" i="17" s="1"/>
  <c r="G138" i="17"/>
  <c r="BZ138" i="6" s="1"/>
  <c r="H138" i="17"/>
  <c r="G318" i="17"/>
  <c r="BZ318" i="6" s="1"/>
  <c r="AA318" i="17"/>
  <c r="Z318" i="17" s="1"/>
  <c r="Y318" i="17" s="1"/>
  <c r="H318" i="17"/>
  <c r="J322" i="17"/>
  <c r="I322" i="17"/>
  <c r="G330" i="17"/>
  <c r="BZ330" i="6" s="1"/>
  <c r="AA330" i="17"/>
  <c r="Z330" i="17" s="1"/>
  <c r="Y330" i="17" s="1"/>
  <c r="H330" i="17"/>
  <c r="AA340" i="17"/>
  <c r="Z340" i="17" s="1"/>
  <c r="Y340" i="17" s="1"/>
  <c r="G340" i="17"/>
  <c r="BZ340" i="6" s="1"/>
  <c r="H340" i="17"/>
  <c r="G344" i="17"/>
  <c r="BZ344" i="6" s="1"/>
  <c r="AA344" i="17"/>
  <c r="Z344" i="17" s="1"/>
  <c r="Y344" i="17" s="1"/>
  <c r="H344" i="17"/>
  <c r="G348" i="17"/>
  <c r="BZ348" i="6" s="1"/>
  <c r="AA348" i="17"/>
  <c r="Z348" i="17" s="1"/>
  <c r="Y348" i="17" s="1"/>
  <c r="H348" i="17"/>
  <c r="AA350" i="17"/>
  <c r="Z350" i="17" s="1"/>
  <c r="Y350" i="17" s="1"/>
  <c r="G350" i="17"/>
  <c r="BZ350" i="6" s="1"/>
  <c r="H350" i="17"/>
  <c r="I354" i="17"/>
  <c r="J354" i="17"/>
  <c r="AH383" i="18"/>
  <c r="AH381" i="18"/>
  <c r="AH382" i="18"/>
  <c r="AG15" i="18"/>
  <c r="AG28" i="18"/>
  <c r="AF28" i="18" s="1"/>
  <c r="AD28" i="18" s="1"/>
  <c r="AG32" i="18"/>
  <c r="AF32" i="18" s="1"/>
  <c r="AD32" i="18" s="1"/>
  <c r="AG36" i="18"/>
  <c r="AF36" i="18" s="1"/>
  <c r="AD36" i="18" s="1"/>
  <c r="AG40" i="18"/>
  <c r="AF40" i="18" s="1"/>
  <c r="AD40" i="18" s="1"/>
  <c r="AG44" i="18"/>
  <c r="AF44" i="18" s="1"/>
  <c r="AD44" i="18" s="1"/>
  <c r="AG48" i="18"/>
  <c r="AF48" i="18" s="1"/>
  <c r="AD48" i="18" s="1"/>
  <c r="AG52" i="18"/>
  <c r="AF52" i="18" s="1"/>
  <c r="AD52" i="18" s="1"/>
  <c r="AG56" i="18"/>
  <c r="AF56" i="18" s="1"/>
  <c r="AD56" i="18" s="1"/>
  <c r="AG60" i="18"/>
  <c r="AF60" i="18" s="1"/>
  <c r="AD60" i="18" s="1"/>
  <c r="AG64" i="18"/>
  <c r="AF64" i="18" s="1"/>
  <c r="AD64" i="18" s="1"/>
  <c r="AG68" i="18"/>
  <c r="AF68" i="18" s="1"/>
  <c r="AD68" i="18" s="1"/>
  <c r="AG72" i="18"/>
  <c r="AF72" i="18" s="1"/>
  <c r="AD72" i="18" s="1"/>
  <c r="AG76" i="18"/>
  <c r="AF76" i="18" s="1"/>
  <c r="AD76" i="18" s="1"/>
  <c r="AG84" i="18"/>
  <c r="AF84" i="18" s="1"/>
  <c r="AD84" i="18" s="1"/>
  <c r="AG88" i="18"/>
  <c r="AF88" i="18" s="1"/>
  <c r="AD88" i="18" s="1"/>
  <c r="AG92" i="18"/>
  <c r="AF92" i="18" s="1"/>
  <c r="AD92" i="18" s="1"/>
  <c r="AG96" i="18"/>
  <c r="AF96" i="18" s="1"/>
  <c r="AD96" i="18" s="1"/>
  <c r="AG100" i="18"/>
  <c r="AF100" i="18" s="1"/>
  <c r="AD100" i="18" s="1"/>
  <c r="AG104" i="18"/>
  <c r="AF104" i="18" s="1"/>
  <c r="AD104" i="18" s="1"/>
  <c r="AG108" i="18"/>
  <c r="AF108" i="18" s="1"/>
  <c r="AD108" i="18" s="1"/>
  <c r="AG112" i="18"/>
  <c r="AF112" i="18" s="1"/>
  <c r="AD112" i="18" s="1"/>
  <c r="AG124" i="18"/>
  <c r="AF124" i="18" s="1"/>
  <c r="AD124" i="18" s="1"/>
  <c r="AG132" i="18"/>
  <c r="AF132" i="18" s="1"/>
  <c r="AD132" i="18" s="1"/>
  <c r="AG136" i="18"/>
  <c r="AF136" i="18" s="1"/>
  <c r="AD136" i="18" s="1"/>
  <c r="AG140" i="18"/>
  <c r="AF140" i="18" s="1"/>
  <c r="AD140" i="18" s="1"/>
  <c r="AG152" i="18"/>
  <c r="AF152" i="18" s="1"/>
  <c r="AD152" i="18" s="1"/>
  <c r="AG156" i="18"/>
  <c r="AF156" i="18" s="1"/>
  <c r="AD156" i="18" s="1"/>
  <c r="AG160" i="18"/>
  <c r="AF160" i="18" s="1"/>
  <c r="AD160" i="18" s="1"/>
  <c r="AG164" i="18"/>
  <c r="AF164" i="18" s="1"/>
  <c r="AD164" i="18" s="1"/>
  <c r="AG168" i="18"/>
  <c r="AF168" i="18" s="1"/>
  <c r="AD168" i="18" s="1"/>
  <c r="AG172" i="18"/>
  <c r="AF172" i="18" s="1"/>
  <c r="AD172" i="18" s="1"/>
  <c r="AG176" i="18"/>
  <c r="AF176" i="18" s="1"/>
  <c r="AD176" i="18" s="1"/>
  <c r="AG180" i="18"/>
  <c r="AF180" i="18" s="1"/>
  <c r="AD180" i="18" s="1"/>
  <c r="AG184" i="18"/>
  <c r="AF184" i="18" s="1"/>
  <c r="AD184" i="18" s="1"/>
  <c r="AG188" i="18"/>
  <c r="AF188" i="18" s="1"/>
  <c r="AD188" i="18" s="1"/>
  <c r="AG192" i="18"/>
  <c r="AF192" i="18" s="1"/>
  <c r="AD192" i="18" s="1"/>
  <c r="AG196" i="18"/>
  <c r="AF196" i="18" s="1"/>
  <c r="AD196" i="18" s="1"/>
  <c r="AG200" i="18"/>
  <c r="AF200" i="18" s="1"/>
  <c r="AD200" i="18" s="1"/>
  <c r="AG204" i="18"/>
  <c r="AF204" i="18" s="1"/>
  <c r="AD204" i="18" s="1"/>
  <c r="AG208" i="18"/>
  <c r="AF208" i="18" s="1"/>
  <c r="AD208" i="18" s="1"/>
  <c r="AG212" i="18"/>
  <c r="AF212" i="18" s="1"/>
  <c r="AD212" i="18" s="1"/>
  <c r="AG216" i="18"/>
  <c r="AF216" i="18" s="1"/>
  <c r="AD216" i="18" s="1"/>
  <c r="AG220" i="18"/>
  <c r="AF220" i="18" s="1"/>
  <c r="AD220" i="18" s="1"/>
  <c r="AG224" i="18"/>
  <c r="AF224" i="18" s="1"/>
  <c r="AD224" i="18" s="1"/>
  <c r="AG228" i="18"/>
  <c r="AF228" i="18" s="1"/>
  <c r="AD228" i="18" s="1"/>
  <c r="AG232" i="18"/>
  <c r="AF232" i="18" s="1"/>
  <c r="AD232" i="18" s="1"/>
  <c r="AG236" i="18"/>
  <c r="AF236" i="18" s="1"/>
  <c r="AD236" i="18" s="1"/>
  <c r="AG240" i="18"/>
  <c r="AF240" i="18" s="1"/>
  <c r="AD240" i="18" s="1"/>
  <c r="AG244" i="18"/>
  <c r="AF244" i="18" s="1"/>
  <c r="AD244" i="18" s="1"/>
  <c r="AG248" i="18"/>
  <c r="AF248" i="18" s="1"/>
  <c r="AD248" i="18" s="1"/>
  <c r="AG252" i="18"/>
  <c r="AF252" i="18" s="1"/>
  <c r="AD252" i="18" s="1"/>
  <c r="AG260" i="18"/>
  <c r="AF260" i="18" s="1"/>
  <c r="AD260" i="18" s="1"/>
  <c r="AG264" i="18"/>
  <c r="AF264" i="18" s="1"/>
  <c r="AD264" i="18" s="1"/>
  <c r="AG268" i="18"/>
  <c r="AF268" i="18" s="1"/>
  <c r="AD268" i="18" s="1"/>
  <c r="AG272" i="18"/>
  <c r="AF272" i="18" s="1"/>
  <c r="AD272" i="18" s="1"/>
  <c r="AG276" i="18"/>
  <c r="AF276" i="18" s="1"/>
  <c r="AD276" i="18" s="1"/>
  <c r="AG280" i="18"/>
  <c r="AF280" i="18" s="1"/>
  <c r="AD280" i="18" s="1"/>
  <c r="AG288" i="18"/>
  <c r="AF288" i="18" s="1"/>
  <c r="AD288" i="18" s="1"/>
  <c r="AG292" i="18"/>
  <c r="AF292" i="18" s="1"/>
  <c r="AD292" i="18" s="1"/>
  <c r="AG296" i="18"/>
  <c r="AF296" i="18" s="1"/>
  <c r="AD296" i="18" s="1"/>
  <c r="AG300" i="18"/>
  <c r="AF300" i="18" s="1"/>
  <c r="AD300" i="18" s="1"/>
  <c r="AG304" i="18"/>
  <c r="AF304" i="18" s="1"/>
  <c r="AD304" i="18" s="1"/>
  <c r="AG308" i="18"/>
  <c r="AF308" i="18" s="1"/>
  <c r="AD308" i="18" s="1"/>
  <c r="AG312" i="18"/>
  <c r="AF312" i="18" s="1"/>
  <c r="AD312" i="18" s="1"/>
  <c r="AG316" i="18"/>
  <c r="AF316" i="18" s="1"/>
  <c r="AD316" i="18" s="1"/>
  <c r="AG320" i="18"/>
  <c r="AF320" i="18" s="1"/>
  <c r="AD320" i="18" s="1"/>
  <c r="AG324" i="18"/>
  <c r="AF324" i="18" s="1"/>
  <c r="AD324" i="18" s="1"/>
  <c r="AG328" i="18"/>
  <c r="AF328" i="18" s="1"/>
  <c r="AD328" i="18" s="1"/>
  <c r="AG332" i="18"/>
  <c r="AF332" i="18" s="1"/>
  <c r="AD332" i="18" s="1"/>
  <c r="AG336" i="18"/>
  <c r="AF336" i="18" s="1"/>
  <c r="AD336" i="18" s="1"/>
  <c r="AG340" i="18"/>
  <c r="AF340" i="18" s="1"/>
  <c r="AD340" i="18" s="1"/>
  <c r="AG344" i="18"/>
  <c r="AF344" i="18" s="1"/>
  <c r="AD344" i="18" s="1"/>
  <c r="AG348" i="18"/>
  <c r="AF348" i="18" s="1"/>
  <c r="AD348" i="18" s="1"/>
  <c r="AG352" i="18"/>
  <c r="AF352" i="18" s="1"/>
  <c r="AD352" i="18" s="1"/>
  <c r="AG356" i="18"/>
  <c r="AF356" i="18" s="1"/>
  <c r="AD356" i="18" s="1"/>
  <c r="AG360" i="18"/>
  <c r="AF360" i="18" s="1"/>
  <c r="AD360" i="18" s="1"/>
  <c r="AG364" i="18"/>
  <c r="AF364" i="18" s="1"/>
  <c r="AD364" i="18" s="1"/>
  <c r="AG368" i="18"/>
  <c r="AF368" i="18" s="1"/>
  <c r="AD368" i="18" s="1"/>
  <c r="AG372" i="18"/>
  <c r="AF372" i="18" s="1"/>
  <c r="AD372" i="18" s="1"/>
  <c r="AG376" i="18"/>
  <c r="AF376" i="18" s="1"/>
  <c r="AD376" i="18" s="1"/>
  <c r="AA379" i="17"/>
  <c r="Z379" i="17" s="1"/>
  <c r="Y379" i="17" s="1"/>
  <c r="G379" i="17"/>
  <c r="BZ379" i="6" s="1"/>
  <c r="G17" i="17"/>
  <c r="BZ17" i="6" s="1"/>
  <c r="AA17" i="17"/>
  <c r="Z17" i="17" s="1"/>
  <c r="Y17" i="17" s="1"/>
  <c r="H17" i="17"/>
  <c r="G21" i="17"/>
  <c r="BZ21" i="6" s="1"/>
  <c r="AA21" i="17"/>
  <c r="Z21" i="17" s="1"/>
  <c r="Y21" i="17" s="1"/>
  <c r="H21" i="17"/>
  <c r="G25" i="17"/>
  <c r="BZ25" i="6" s="1"/>
  <c r="AA25" i="17"/>
  <c r="Z25" i="17" s="1"/>
  <c r="Y25" i="17" s="1"/>
  <c r="H25" i="17"/>
  <c r="AA29" i="17"/>
  <c r="Z29" i="17" s="1"/>
  <c r="Y29" i="17" s="1"/>
  <c r="G29" i="17"/>
  <c r="BZ29" i="6" s="1"/>
  <c r="H29" i="17"/>
  <c r="AA37" i="17"/>
  <c r="Z37" i="17" s="1"/>
  <c r="Y37" i="17" s="1"/>
  <c r="G37" i="17"/>
  <c r="BZ37" i="6" s="1"/>
  <c r="H37" i="17"/>
  <c r="AA89" i="17"/>
  <c r="Z89" i="17" s="1"/>
  <c r="Y89" i="17" s="1"/>
  <c r="G89" i="17"/>
  <c r="BZ89" i="6" s="1"/>
  <c r="H89" i="17"/>
  <c r="G93" i="17"/>
  <c r="BZ93" i="6" s="1"/>
  <c r="AA93" i="17"/>
  <c r="Z93" i="17" s="1"/>
  <c r="Y93" i="17" s="1"/>
  <c r="H93" i="17"/>
  <c r="AA97" i="17"/>
  <c r="Z97" i="17" s="1"/>
  <c r="Y97" i="17" s="1"/>
  <c r="G97" i="17"/>
  <c r="BZ97" i="6" s="1"/>
  <c r="H97" i="17"/>
  <c r="G101" i="17"/>
  <c r="BZ101" i="6" s="1"/>
  <c r="AA101" i="17"/>
  <c r="Z101" i="17" s="1"/>
  <c r="Y101" i="17" s="1"/>
  <c r="H101" i="17"/>
  <c r="G105" i="17"/>
  <c r="BZ105" i="6" s="1"/>
  <c r="AA105" i="17"/>
  <c r="Z105" i="17" s="1"/>
  <c r="Y105" i="17" s="1"/>
  <c r="H105" i="17"/>
  <c r="AA121" i="17"/>
  <c r="Z121" i="17" s="1"/>
  <c r="Y121" i="17" s="1"/>
  <c r="G121" i="17"/>
  <c r="BZ121" i="6" s="1"/>
  <c r="H121" i="17"/>
  <c r="G125" i="17"/>
  <c r="BZ125" i="6" s="1"/>
  <c r="AA125" i="17"/>
  <c r="Z125" i="17" s="1"/>
  <c r="Y125" i="17" s="1"/>
  <c r="H125" i="17"/>
  <c r="AA129" i="17"/>
  <c r="Z129" i="17" s="1"/>
  <c r="Y129" i="17" s="1"/>
  <c r="G129" i="17"/>
  <c r="BZ129" i="6" s="1"/>
  <c r="H129" i="17"/>
  <c r="AA133" i="17"/>
  <c r="Z133" i="17" s="1"/>
  <c r="Y133" i="17" s="1"/>
  <c r="G133" i="17"/>
  <c r="BZ133" i="6" s="1"/>
  <c r="H133" i="17"/>
  <c r="G137" i="17"/>
  <c r="BZ137" i="6" s="1"/>
  <c r="AA137" i="17"/>
  <c r="Z137" i="17" s="1"/>
  <c r="Y137" i="17" s="1"/>
  <c r="H137" i="17"/>
  <c r="AA141" i="17"/>
  <c r="Z141" i="17" s="1"/>
  <c r="Y141" i="17" s="1"/>
  <c r="G141" i="17"/>
  <c r="BZ141" i="6" s="1"/>
  <c r="H141" i="17"/>
  <c r="G145" i="17"/>
  <c r="BZ145" i="6" s="1"/>
  <c r="AA145" i="17"/>
  <c r="Z145" i="17" s="1"/>
  <c r="Y145" i="17" s="1"/>
  <c r="H145" i="17"/>
  <c r="AA149" i="17"/>
  <c r="Z149" i="17" s="1"/>
  <c r="Y149" i="17" s="1"/>
  <c r="G149" i="17"/>
  <c r="BZ149" i="6" s="1"/>
  <c r="H149" i="17"/>
  <c r="AA197" i="17"/>
  <c r="Z197" i="17" s="1"/>
  <c r="Y197" i="17" s="1"/>
  <c r="G197" i="17"/>
  <c r="BZ197" i="6" s="1"/>
  <c r="H197" i="17"/>
  <c r="G201" i="17"/>
  <c r="BZ201" i="6" s="1"/>
  <c r="AA201" i="17"/>
  <c r="Z201" i="17" s="1"/>
  <c r="Y201" i="17" s="1"/>
  <c r="H201" i="17"/>
  <c r="I205" i="17"/>
  <c r="J205" i="17"/>
  <c r="G241" i="17"/>
  <c r="BZ241" i="6" s="1"/>
  <c r="AA241" i="17"/>
  <c r="Z241" i="17" s="1"/>
  <c r="Y241" i="17" s="1"/>
  <c r="H241" i="17"/>
  <c r="G249" i="17"/>
  <c r="BZ249" i="6" s="1"/>
  <c r="AA249" i="17"/>
  <c r="Z249" i="17" s="1"/>
  <c r="Y249" i="17" s="1"/>
  <c r="H249" i="17"/>
  <c r="I253" i="17"/>
  <c r="J253" i="17"/>
  <c r="J337" i="17"/>
  <c r="I337" i="17"/>
  <c r="G345" i="17"/>
  <c r="BZ345" i="6" s="1"/>
  <c r="AA345" i="17"/>
  <c r="Z345" i="17" s="1"/>
  <c r="Y345" i="17" s="1"/>
  <c r="H345" i="17"/>
  <c r="AA349" i="17"/>
  <c r="Z349" i="17" s="1"/>
  <c r="Y349" i="17" s="1"/>
  <c r="G349" i="17"/>
  <c r="BZ349" i="6" s="1"/>
  <c r="H349" i="17"/>
  <c r="AA369" i="17"/>
  <c r="Z369" i="17" s="1"/>
  <c r="Y369" i="17" s="1"/>
  <c r="G369" i="17"/>
  <c r="BZ369" i="6" s="1"/>
  <c r="H369" i="17"/>
  <c r="G19" i="17"/>
  <c r="BZ19" i="6" s="1"/>
  <c r="AA19" i="17"/>
  <c r="Z19" i="17" s="1"/>
  <c r="Y19" i="17" s="1"/>
  <c r="H19" i="17"/>
  <c r="AA23" i="17"/>
  <c r="Z23" i="17" s="1"/>
  <c r="Y23" i="17" s="1"/>
  <c r="G23" i="17"/>
  <c r="BZ23" i="6" s="1"/>
  <c r="H23" i="17"/>
  <c r="AA27" i="17"/>
  <c r="Z27" i="17" s="1"/>
  <c r="Y27" i="17" s="1"/>
  <c r="G27" i="17"/>
  <c r="BZ27" i="6" s="1"/>
  <c r="H27" i="17"/>
  <c r="G31" i="17"/>
  <c r="BZ31" i="6" s="1"/>
  <c r="AA31" i="17"/>
  <c r="Z31" i="17" s="1"/>
  <c r="Y31" i="17" s="1"/>
  <c r="H31" i="17"/>
  <c r="AA35" i="17"/>
  <c r="Z35" i="17" s="1"/>
  <c r="Y35" i="17" s="1"/>
  <c r="G35" i="17"/>
  <c r="BZ35" i="6" s="1"/>
  <c r="H35" i="17"/>
  <c r="G39" i="17"/>
  <c r="BZ39" i="6" s="1"/>
  <c r="AA39" i="17"/>
  <c r="Z39" i="17" s="1"/>
  <c r="Y39" i="17" s="1"/>
  <c r="H39" i="17"/>
  <c r="G43" i="17"/>
  <c r="BZ43" i="6" s="1"/>
  <c r="AA43" i="17"/>
  <c r="Z43" i="17" s="1"/>
  <c r="Y43" i="17" s="1"/>
  <c r="H43" i="17"/>
  <c r="G47" i="17"/>
  <c r="BZ47" i="6" s="1"/>
  <c r="AA47" i="17"/>
  <c r="Z47" i="17" s="1"/>
  <c r="Y47" i="17" s="1"/>
  <c r="H47" i="17"/>
  <c r="G51" i="17"/>
  <c r="BZ51" i="6" s="1"/>
  <c r="AA51" i="17"/>
  <c r="Z51" i="17" s="1"/>
  <c r="Y51" i="17" s="1"/>
  <c r="H51" i="17"/>
  <c r="AA55" i="17"/>
  <c r="Z55" i="17" s="1"/>
  <c r="Y55" i="17" s="1"/>
  <c r="G55" i="17"/>
  <c r="BZ55" i="6" s="1"/>
  <c r="H55" i="17"/>
  <c r="AA59" i="17"/>
  <c r="Z59" i="17" s="1"/>
  <c r="Y59" i="17" s="1"/>
  <c r="G59" i="17"/>
  <c r="BZ59" i="6" s="1"/>
  <c r="H59" i="17"/>
  <c r="AA63" i="17"/>
  <c r="Z63" i="17" s="1"/>
  <c r="Y63" i="17" s="1"/>
  <c r="G63" i="17"/>
  <c r="BZ63" i="6" s="1"/>
  <c r="H63" i="17"/>
  <c r="AA67" i="17"/>
  <c r="Z67" i="17" s="1"/>
  <c r="Y67" i="17" s="1"/>
  <c r="G67" i="17"/>
  <c r="BZ67" i="6" s="1"/>
  <c r="H67" i="17"/>
  <c r="AA71" i="17"/>
  <c r="Z71" i="17" s="1"/>
  <c r="Y71" i="17" s="1"/>
  <c r="G71" i="17"/>
  <c r="BZ71" i="6" s="1"/>
  <c r="H71" i="17"/>
  <c r="G75" i="17"/>
  <c r="BZ75" i="6" s="1"/>
  <c r="AA75" i="17"/>
  <c r="Z75" i="17" s="1"/>
  <c r="Y75" i="17" s="1"/>
  <c r="H75" i="17"/>
  <c r="G79" i="17"/>
  <c r="BZ79" i="6" s="1"/>
  <c r="AA79" i="17"/>
  <c r="Z79" i="17" s="1"/>
  <c r="Y79" i="17" s="1"/>
  <c r="H79" i="17"/>
  <c r="G83" i="17"/>
  <c r="BZ83" i="6" s="1"/>
  <c r="AA83" i="17"/>
  <c r="Z83" i="17" s="1"/>
  <c r="Y83" i="17" s="1"/>
  <c r="H83" i="17"/>
  <c r="G87" i="17"/>
  <c r="BZ87" i="6" s="1"/>
  <c r="AA87" i="17"/>
  <c r="Z87" i="17" s="1"/>
  <c r="Y87" i="17" s="1"/>
  <c r="H87" i="17"/>
  <c r="J91" i="17"/>
  <c r="I91" i="17"/>
  <c r="I103" i="17"/>
  <c r="J103" i="17"/>
  <c r="AA123" i="17"/>
  <c r="Z123" i="17" s="1"/>
  <c r="Y123" i="17" s="1"/>
  <c r="G123" i="17"/>
  <c r="BZ123" i="6" s="1"/>
  <c r="H123" i="17"/>
  <c r="AA127" i="17"/>
  <c r="Z127" i="17" s="1"/>
  <c r="Y127" i="17" s="1"/>
  <c r="G127" i="17"/>
  <c r="BZ127" i="6" s="1"/>
  <c r="H127" i="17"/>
  <c r="G131" i="17"/>
  <c r="BZ131" i="6" s="1"/>
  <c r="AA131" i="17"/>
  <c r="Z131" i="17" s="1"/>
  <c r="Y131" i="17" s="1"/>
  <c r="H131" i="17"/>
  <c r="G135" i="17"/>
  <c r="BZ135" i="6" s="1"/>
  <c r="AA135" i="17"/>
  <c r="Z135" i="17" s="1"/>
  <c r="Y135" i="17" s="1"/>
  <c r="H135" i="17"/>
  <c r="AA139" i="17"/>
  <c r="Z139" i="17" s="1"/>
  <c r="Y139" i="17" s="1"/>
  <c r="G139" i="17"/>
  <c r="BZ139" i="6" s="1"/>
  <c r="H139" i="17"/>
  <c r="G143" i="17"/>
  <c r="BZ143" i="6" s="1"/>
  <c r="AA143" i="17"/>
  <c r="Z143" i="17" s="1"/>
  <c r="Y143" i="17" s="1"/>
  <c r="H143" i="17"/>
  <c r="AA147" i="17"/>
  <c r="Z147" i="17" s="1"/>
  <c r="Y147" i="17" s="1"/>
  <c r="G147" i="17"/>
  <c r="BZ147" i="6" s="1"/>
  <c r="H147" i="17"/>
  <c r="G151" i="17"/>
  <c r="BZ151" i="6" s="1"/>
  <c r="AA151" i="17"/>
  <c r="Z151" i="17" s="1"/>
  <c r="Y151" i="17" s="1"/>
  <c r="H151" i="17"/>
  <c r="G155" i="17"/>
  <c r="BZ155" i="6" s="1"/>
  <c r="AA155" i="17"/>
  <c r="Z155" i="17" s="1"/>
  <c r="Y155" i="17" s="1"/>
  <c r="H155" i="17"/>
  <c r="AA159" i="17"/>
  <c r="Z159" i="17" s="1"/>
  <c r="Y159" i="17" s="1"/>
  <c r="G159" i="17"/>
  <c r="BZ159" i="6" s="1"/>
  <c r="H159" i="17"/>
  <c r="G163" i="17"/>
  <c r="BZ163" i="6" s="1"/>
  <c r="AA163" i="17"/>
  <c r="Z163" i="17" s="1"/>
  <c r="Y163" i="17" s="1"/>
  <c r="H163" i="17"/>
  <c r="AA167" i="17"/>
  <c r="Z167" i="17" s="1"/>
  <c r="Y167" i="17" s="1"/>
  <c r="G167" i="17"/>
  <c r="BZ167" i="6" s="1"/>
  <c r="H167" i="17"/>
  <c r="G171" i="17"/>
  <c r="BZ171" i="6" s="1"/>
  <c r="AA171" i="17"/>
  <c r="Z171" i="17" s="1"/>
  <c r="Y171" i="17" s="1"/>
  <c r="H171" i="17"/>
  <c r="AA175" i="17"/>
  <c r="Z175" i="17" s="1"/>
  <c r="Y175" i="17" s="1"/>
  <c r="G175" i="17"/>
  <c r="BZ175" i="6" s="1"/>
  <c r="H175" i="17"/>
  <c r="G179" i="17"/>
  <c r="BZ179" i="6" s="1"/>
  <c r="AA179" i="17"/>
  <c r="Z179" i="17" s="1"/>
  <c r="Y179" i="17" s="1"/>
  <c r="H179" i="17"/>
  <c r="G183" i="17"/>
  <c r="BZ183" i="6" s="1"/>
  <c r="AA183" i="17"/>
  <c r="Z183" i="17" s="1"/>
  <c r="Y183" i="17" s="1"/>
  <c r="H183" i="17"/>
  <c r="AA187" i="17"/>
  <c r="Z187" i="17" s="1"/>
  <c r="Y187" i="17" s="1"/>
  <c r="G187" i="17"/>
  <c r="BZ187" i="6" s="1"/>
  <c r="H187" i="17"/>
  <c r="I191" i="17"/>
  <c r="J191" i="17"/>
  <c r="AA227" i="17"/>
  <c r="Z227" i="17" s="1"/>
  <c r="Y227" i="17" s="1"/>
  <c r="G227" i="17"/>
  <c r="BZ227" i="6" s="1"/>
  <c r="H227" i="17"/>
  <c r="G235" i="17"/>
  <c r="BZ235" i="6" s="1"/>
  <c r="AA235" i="17"/>
  <c r="Z235" i="17" s="1"/>
  <c r="Y235" i="17" s="1"/>
  <c r="H235" i="17"/>
  <c r="AA247" i="17"/>
  <c r="Z247" i="17" s="1"/>
  <c r="Y247" i="17" s="1"/>
  <c r="G247" i="17"/>
  <c r="BZ247" i="6" s="1"/>
  <c r="H247" i="17"/>
  <c r="G251" i="17"/>
  <c r="BZ251" i="6" s="1"/>
  <c r="AA251" i="17"/>
  <c r="Z251" i="17" s="1"/>
  <c r="Y251" i="17" s="1"/>
  <c r="H251" i="17"/>
  <c r="G255" i="17"/>
  <c r="BZ255" i="6" s="1"/>
  <c r="AA255" i="17"/>
  <c r="Z255" i="17" s="1"/>
  <c r="Y255" i="17" s="1"/>
  <c r="H255" i="17"/>
  <c r="AA259" i="17"/>
  <c r="Z259" i="17" s="1"/>
  <c r="Y259" i="17" s="1"/>
  <c r="G259" i="17"/>
  <c r="BZ259" i="6" s="1"/>
  <c r="H259" i="17"/>
  <c r="I271" i="17"/>
  <c r="J271" i="17"/>
  <c r="AA275" i="17"/>
  <c r="Z275" i="17" s="1"/>
  <c r="Y275" i="17" s="1"/>
  <c r="G275" i="17"/>
  <c r="BZ275" i="6" s="1"/>
  <c r="H275" i="17"/>
  <c r="AA323" i="17"/>
  <c r="Z323" i="17" s="1"/>
  <c r="Y323" i="17" s="1"/>
  <c r="G323" i="17"/>
  <c r="BZ323" i="6" s="1"/>
  <c r="H323" i="17"/>
  <c r="AA327" i="17"/>
  <c r="Z327" i="17" s="1"/>
  <c r="Y327" i="17" s="1"/>
  <c r="G327" i="17"/>
  <c r="BZ327" i="6" s="1"/>
  <c r="H327" i="17"/>
  <c r="AA331" i="17"/>
  <c r="Z331" i="17" s="1"/>
  <c r="Y331" i="17" s="1"/>
  <c r="G331" i="17"/>
  <c r="BZ331" i="6" s="1"/>
  <c r="H331" i="17"/>
  <c r="G335" i="17"/>
  <c r="BZ335" i="6" s="1"/>
  <c r="AA335" i="17"/>
  <c r="Z335" i="17" s="1"/>
  <c r="Y335" i="17" s="1"/>
  <c r="H335" i="17"/>
  <c r="J339" i="17"/>
  <c r="I339" i="17"/>
  <c r="AA347" i="17"/>
  <c r="Z347" i="17" s="1"/>
  <c r="Y347" i="17" s="1"/>
  <c r="G347" i="17"/>
  <c r="BZ347" i="6" s="1"/>
  <c r="H347" i="17"/>
  <c r="G351" i="17"/>
  <c r="BZ351" i="6" s="1"/>
  <c r="AA351" i="17"/>
  <c r="Z351" i="17" s="1"/>
  <c r="Y351" i="17" s="1"/>
  <c r="H351" i="17"/>
  <c r="I355" i="17"/>
  <c r="J355" i="17"/>
  <c r="AA333" i="17"/>
  <c r="Z333" i="17" s="1"/>
  <c r="Y333" i="17" s="1"/>
  <c r="G333" i="17"/>
  <c r="BZ333" i="6" s="1"/>
  <c r="H333" i="17"/>
  <c r="U22" i="20" l="1"/>
  <c r="U376" i="20"/>
  <c r="U372" i="20"/>
  <c r="U368" i="20"/>
  <c r="U364" i="20"/>
  <c r="U360" i="20"/>
  <c r="U356" i="20"/>
  <c r="U352" i="20"/>
  <c r="U348" i="20"/>
  <c r="U344" i="20"/>
  <c r="U340" i="20"/>
  <c r="U336" i="20"/>
  <c r="U332" i="20"/>
  <c r="U328" i="20"/>
  <c r="U324" i="20"/>
  <c r="U320" i="20"/>
  <c r="U316" i="20"/>
  <c r="U312" i="20"/>
  <c r="U308" i="20"/>
  <c r="U304" i="20"/>
  <c r="U300" i="20"/>
  <c r="U296" i="20"/>
  <c r="U292" i="20"/>
  <c r="U288" i="20"/>
  <c r="U284" i="20"/>
  <c r="U280" i="20"/>
  <c r="U276" i="20"/>
  <c r="U272" i="20"/>
  <c r="U268" i="20"/>
  <c r="U264" i="20"/>
  <c r="U260" i="20"/>
  <c r="U256" i="20"/>
  <c r="U252" i="20"/>
  <c r="U248" i="20"/>
  <c r="U244" i="20"/>
  <c r="U240" i="20"/>
  <c r="U236" i="20"/>
  <c r="U232" i="20"/>
  <c r="U228" i="20"/>
  <c r="U223" i="20"/>
  <c r="U215" i="20"/>
  <c r="T215" i="20" s="1"/>
  <c r="U207" i="20"/>
  <c r="U199" i="20"/>
  <c r="T199" i="20" s="1"/>
  <c r="U191" i="20"/>
  <c r="U182" i="20"/>
  <c r="T182" i="20" s="1"/>
  <c r="U166" i="20"/>
  <c r="U150" i="20"/>
  <c r="T150" i="20" s="1"/>
  <c r="U134" i="20"/>
  <c r="U118" i="20"/>
  <c r="T118" i="20" s="1"/>
  <c r="U102" i="20"/>
  <c r="U86" i="20"/>
  <c r="T86" i="20" s="1"/>
  <c r="U70" i="20"/>
  <c r="U54" i="20"/>
  <c r="T54" i="20" s="1"/>
  <c r="U38" i="20"/>
  <c r="U18" i="20"/>
  <c r="T18" i="20" s="1"/>
  <c r="V379" i="18"/>
  <c r="W379" i="18" s="1"/>
  <c r="D39" i="19"/>
  <c r="Q379" i="20"/>
  <c r="Q375" i="20"/>
  <c r="Q371" i="20"/>
  <c r="Q367" i="20"/>
  <c r="Q363" i="20"/>
  <c r="Q359" i="20"/>
  <c r="Q355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199" i="20"/>
  <c r="Q183" i="20"/>
  <c r="Q167" i="20"/>
  <c r="Q151" i="20"/>
  <c r="Q135" i="20"/>
  <c r="Q119" i="20"/>
  <c r="Q103" i="20"/>
  <c r="Q87" i="20"/>
  <c r="Q71" i="20"/>
  <c r="Q55" i="20"/>
  <c r="Q39" i="20"/>
  <c r="Q23" i="20"/>
  <c r="U379" i="20"/>
  <c r="U12" i="22" s="1"/>
  <c r="U377" i="20"/>
  <c r="U375" i="20"/>
  <c r="T375" i="20" s="1"/>
  <c r="U373" i="20"/>
  <c r="U371" i="20"/>
  <c r="T371" i="20" s="1"/>
  <c r="U369" i="20"/>
  <c r="U367" i="20"/>
  <c r="T367" i="20" s="1"/>
  <c r="U365" i="20"/>
  <c r="U363" i="20"/>
  <c r="T363" i="20" s="1"/>
  <c r="U361" i="20"/>
  <c r="U359" i="20"/>
  <c r="T359" i="20" s="1"/>
  <c r="U357" i="20"/>
  <c r="U355" i="20"/>
  <c r="T355" i="20" s="1"/>
  <c r="U353" i="20"/>
  <c r="U351" i="20"/>
  <c r="T351" i="20" s="1"/>
  <c r="U349" i="20"/>
  <c r="U347" i="20"/>
  <c r="T347" i="20" s="1"/>
  <c r="U345" i="20"/>
  <c r="U343" i="20"/>
  <c r="T343" i="20" s="1"/>
  <c r="U341" i="20"/>
  <c r="U339" i="20"/>
  <c r="T339" i="20" s="1"/>
  <c r="U337" i="20"/>
  <c r="U335" i="20"/>
  <c r="T335" i="20" s="1"/>
  <c r="U333" i="20"/>
  <c r="U331" i="20"/>
  <c r="T331" i="20" s="1"/>
  <c r="U329" i="20"/>
  <c r="U327" i="20"/>
  <c r="T327" i="20" s="1"/>
  <c r="U325" i="20"/>
  <c r="U323" i="20"/>
  <c r="T323" i="20" s="1"/>
  <c r="U321" i="20"/>
  <c r="U319" i="20"/>
  <c r="T319" i="20" s="1"/>
  <c r="U317" i="20"/>
  <c r="U315" i="20"/>
  <c r="T315" i="20" s="1"/>
  <c r="U313" i="20"/>
  <c r="U311" i="20"/>
  <c r="T311" i="20" s="1"/>
  <c r="U309" i="20"/>
  <c r="U307" i="20"/>
  <c r="T307" i="20" s="1"/>
  <c r="U305" i="20"/>
  <c r="U303" i="20"/>
  <c r="T303" i="20" s="1"/>
  <c r="U301" i="20"/>
  <c r="U299" i="20"/>
  <c r="T299" i="20" s="1"/>
  <c r="U297" i="20"/>
  <c r="U295" i="20"/>
  <c r="T295" i="20" s="1"/>
  <c r="U293" i="20"/>
  <c r="U291" i="20"/>
  <c r="T291" i="20" s="1"/>
  <c r="U289" i="20"/>
  <c r="U287" i="20"/>
  <c r="T287" i="20" s="1"/>
  <c r="U285" i="20"/>
  <c r="U283" i="20"/>
  <c r="T283" i="20" s="1"/>
  <c r="U281" i="20"/>
  <c r="U279" i="20"/>
  <c r="T279" i="20" s="1"/>
  <c r="U277" i="20"/>
  <c r="U275" i="20"/>
  <c r="T275" i="20" s="1"/>
  <c r="U273" i="20"/>
  <c r="U271" i="20"/>
  <c r="T271" i="20" s="1"/>
  <c r="U269" i="20"/>
  <c r="U267" i="20"/>
  <c r="T267" i="20" s="1"/>
  <c r="U265" i="20"/>
  <c r="U263" i="20"/>
  <c r="T263" i="20" s="1"/>
  <c r="U261" i="20"/>
  <c r="U259" i="20"/>
  <c r="T259" i="20" s="1"/>
  <c r="U257" i="20"/>
  <c r="U255" i="20"/>
  <c r="T255" i="20" s="1"/>
  <c r="U253" i="20"/>
  <c r="U251" i="20"/>
  <c r="T251" i="20" s="1"/>
  <c r="U249" i="20"/>
  <c r="U247" i="20"/>
  <c r="T247" i="20" s="1"/>
  <c r="U245" i="20"/>
  <c r="U243" i="20"/>
  <c r="T243" i="20" s="1"/>
  <c r="U241" i="20"/>
  <c r="U239" i="20"/>
  <c r="T239" i="20" s="1"/>
  <c r="U237" i="20"/>
  <c r="U235" i="20"/>
  <c r="T235" i="20" s="1"/>
  <c r="U233" i="20"/>
  <c r="U231" i="20"/>
  <c r="T231" i="20" s="1"/>
  <c r="U229" i="20"/>
  <c r="U227" i="20"/>
  <c r="T227" i="20" s="1"/>
  <c r="U225" i="20"/>
  <c r="U221" i="20"/>
  <c r="T221" i="20" s="1"/>
  <c r="U217" i="20"/>
  <c r="U213" i="20"/>
  <c r="T213" i="20" s="1"/>
  <c r="U209" i="20"/>
  <c r="U205" i="20"/>
  <c r="T205" i="20" s="1"/>
  <c r="U201" i="20"/>
  <c r="U197" i="20"/>
  <c r="T197" i="20" s="1"/>
  <c r="U193" i="20"/>
  <c r="U189" i="20"/>
  <c r="T189" i="20" s="1"/>
  <c r="U185" i="20"/>
  <c r="U178" i="20"/>
  <c r="T178" i="20" s="1"/>
  <c r="U170" i="20"/>
  <c r="U162" i="20"/>
  <c r="T162" i="20" s="1"/>
  <c r="U154" i="20"/>
  <c r="U146" i="20"/>
  <c r="T146" i="20" s="1"/>
  <c r="U138" i="20"/>
  <c r="U130" i="20"/>
  <c r="T130" i="20" s="1"/>
  <c r="U122" i="20"/>
  <c r="U114" i="20"/>
  <c r="T114" i="20" s="1"/>
  <c r="U106" i="20"/>
  <c r="U98" i="20"/>
  <c r="T98" i="20" s="1"/>
  <c r="U90" i="20"/>
  <c r="U82" i="20"/>
  <c r="T82" i="20" s="1"/>
  <c r="U74" i="20"/>
  <c r="U66" i="20"/>
  <c r="T66" i="20" s="1"/>
  <c r="U58" i="20"/>
  <c r="U50" i="20"/>
  <c r="T50" i="20" s="1"/>
  <c r="U42" i="20"/>
  <c r="U34" i="20"/>
  <c r="T34" i="20" s="1"/>
  <c r="U26" i="20"/>
  <c r="U16" i="20"/>
  <c r="AI11" i="20"/>
  <c r="U224" i="20"/>
  <c r="U222" i="20"/>
  <c r="U220" i="20"/>
  <c r="U218" i="20"/>
  <c r="U216" i="20"/>
  <c r="U214" i="20"/>
  <c r="U212" i="20"/>
  <c r="U210" i="20"/>
  <c r="U208" i="20"/>
  <c r="U206" i="20"/>
  <c r="U204" i="20"/>
  <c r="U202" i="20"/>
  <c r="U200" i="20"/>
  <c r="U198" i="20"/>
  <c r="U196" i="20"/>
  <c r="U194" i="20"/>
  <c r="U192" i="20"/>
  <c r="U190" i="20"/>
  <c r="U188" i="20"/>
  <c r="U186" i="20"/>
  <c r="U184" i="20"/>
  <c r="U180" i="20"/>
  <c r="U176" i="20"/>
  <c r="T176" i="20" s="1"/>
  <c r="U172" i="20"/>
  <c r="U168" i="20"/>
  <c r="T168" i="20" s="1"/>
  <c r="U164" i="20"/>
  <c r="U160" i="20"/>
  <c r="U156" i="20"/>
  <c r="U152" i="20"/>
  <c r="U148" i="20"/>
  <c r="U144" i="20"/>
  <c r="T144" i="20" s="1"/>
  <c r="U140" i="20"/>
  <c r="U136" i="20"/>
  <c r="T136" i="20" s="1"/>
  <c r="U132" i="20"/>
  <c r="U128" i="20"/>
  <c r="U124" i="20"/>
  <c r="U120" i="20"/>
  <c r="U116" i="20"/>
  <c r="U112" i="20"/>
  <c r="T112" i="20" s="1"/>
  <c r="U108" i="20"/>
  <c r="U104" i="20"/>
  <c r="T104" i="20" s="1"/>
  <c r="U100" i="20"/>
  <c r="U96" i="20"/>
  <c r="U92" i="20"/>
  <c r="U88" i="20"/>
  <c r="U84" i="20"/>
  <c r="U80" i="20"/>
  <c r="T80" i="20" s="1"/>
  <c r="U76" i="20"/>
  <c r="U72" i="20"/>
  <c r="T72" i="20" s="1"/>
  <c r="U68" i="20"/>
  <c r="U64" i="20"/>
  <c r="U60" i="20"/>
  <c r="U56" i="20"/>
  <c r="U52" i="20"/>
  <c r="U48" i="20"/>
  <c r="T48" i="20" s="1"/>
  <c r="U44" i="20"/>
  <c r="U40" i="20"/>
  <c r="T40" i="20" s="1"/>
  <c r="U36" i="20"/>
  <c r="U32" i="20"/>
  <c r="U28" i="20"/>
  <c r="U24" i="20"/>
  <c r="U20" i="20"/>
  <c r="AI16" i="7"/>
  <c r="U15" i="20"/>
  <c r="U17" i="20"/>
  <c r="T17" i="20" s="1"/>
  <c r="U19" i="20"/>
  <c r="U21" i="20"/>
  <c r="T21" i="20" s="1"/>
  <c r="U23" i="20"/>
  <c r="U25" i="20"/>
  <c r="T25" i="20" s="1"/>
  <c r="U27" i="20"/>
  <c r="U29" i="20"/>
  <c r="T29" i="20" s="1"/>
  <c r="U31" i="20"/>
  <c r="U33" i="20"/>
  <c r="T33" i="20" s="1"/>
  <c r="U35" i="20"/>
  <c r="U37" i="20"/>
  <c r="T37" i="20" s="1"/>
  <c r="U39" i="20"/>
  <c r="U41" i="20"/>
  <c r="T41" i="20" s="1"/>
  <c r="U43" i="20"/>
  <c r="U45" i="20"/>
  <c r="T45" i="20" s="1"/>
  <c r="U47" i="20"/>
  <c r="U49" i="20"/>
  <c r="T49" i="20" s="1"/>
  <c r="U51" i="20"/>
  <c r="U53" i="20"/>
  <c r="T53" i="20" s="1"/>
  <c r="U55" i="20"/>
  <c r="U57" i="20"/>
  <c r="T57" i="20" s="1"/>
  <c r="U59" i="20"/>
  <c r="U61" i="20"/>
  <c r="T61" i="20" s="1"/>
  <c r="U63" i="20"/>
  <c r="U65" i="20"/>
  <c r="T65" i="20" s="1"/>
  <c r="U67" i="20"/>
  <c r="U69" i="20"/>
  <c r="T69" i="20" s="1"/>
  <c r="U71" i="20"/>
  <c r="U73" i="20"/>
  <c r="T73" i="20" s="1"/>
  <c r="U75" i="20"/>
  <c r="U77" i="20"/>
  <c r="T77" i="20" s="1"/>
  <c r="U79" i="20"/>
  <c r="U81" i="20"/>
  <c r="T81" i="20" s="1"/>
  <c r="U83" i="20"/>
  <c r="U85" i="20"/>
  <c r="T85" i="20" s="1"/>
  <c r="U87" i="20"/>
  <c r="U89" i="20"/>
  <c r="T89" i="20" s="1"/>
  <c r="U91" i="20"/>
  <c r="U93" i="20"/>
  <c r="T93" i="20" s="1"/>
  <c r="U95" i="20"/>
  <c r="U97" i="20"/>
  <c r="T97" i="20" s="1"/>
  <c r="U99" i="20"/>
  <c r="U101" i="20"/>
  <c r="T101" i="20" s="1"/>
  <c r="U103" i="20"/>
  <c r="U105" i="20"/>
  <c r="T105" i="20" s="1"/>
  <c r="U107" i="20"/>
  <c r="U109" i="20"/>
  <c r="T109" i="20" s="1"/>
  <c r="U111" i="20"/>
  <c r="U113" i="20"/>
  <c r="T113" i="20" s="1"/>
  <c r="U115" i="20"/>
  <c r="U117" i="20"/>
  <c r="T117" i="20" s="1"/>
  <c r="U119" i="20"/>
  <c r="U121" i="20"/>
  <c r="T121" i="20" s="1"/>
  <c r="U123" i="20"/>
  <c r="U125" i="20"/>
  <c r="T125" i="20" s="1"/>
  <c r="U127" i="20"/>
  <c r="U129" i="20"/>
  <c r="T129" i="20" s="1"/>
  <c r="U131" i="20"/>
  <c r="U133" i="20"/>
  <c r="T133" i="20" s="1"/>
  <c r="U135" i="20"/>
  <c r="U137" i="20"/>
  <c r="T137" i="20" s="1"/>
  <c r="U139" i="20"/>
  <c r="U141" i="20"/>
  <c r="T141" i="20" s="1"/>
  <c r="U143" i="20"/>
  <c r="U145" i="20"/>
  <c r="T145" i="20" s="1"/>
  <c r="U147" i="20"/>
  <c r="U149" i="20"/>
  <c r="T149" i="20" s="1"/>
  <c r="U151" i="20"/>
  <c r="U153" i="20"/>
  <c r="T153" i="20" s="1"/>
  <c r="U155" i="20"/>
  <c r="U157" i="20"/>
  <c r="T157" i="20" s="1"/>
  <c r="U159" i="20"/>
  <c r="U161" i="20"/>
  <c r="T161" i="20" s="1"/>
  <c r="U163" i="20"/>
  <c r="U165" i="20"/>
  <c r="T165" i="20" s="1"/>
  <c r="U167" i="20"/>
  <c r="U169" i="20"/>
  <c r="T169" i="20" s="1"/>
  <c r="U171" i="20"/>
  <c r="U173" i="20"/>
  <c r="T173" i="20" s="1"/>
  <c r="U175" i="20"/>
  <c r="U177" i="20"/>
  <c r="T177" i="20" s="1"/>
  <c r="U179" i="20"/>
  <c r="U181" i="20"/>
  <c r="T181" i="20" s="1"/>
  <c r="U183" i="20"/>
  <c r="Q16" i="20"/>
  <c r="Q17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93" i="20"/>
  <c r="Q97" i="20"/>
  <c r="Q101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9" i="20"/>
  <c r="Q173" i="20"/>
  <c r="Q177" i="20"/>
  <c r="Q181" i="20"/>
  <c r="Q185" i="20"/>
  <c r="Q189" i="20"/>
  <c r="Q193" i="20"/>
  <c r="Q197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203" i="20"/>
  <c r="Q195" i="20"/>
  <c r="Q187" i="20"/>
  <c r="Q179" i="20"/>
  <c r="Q171" i="20"/>
  <c r="Q163" i="20"/>
  <c r="Q155" i="20"/>
  <c r="Q147" i="20"/>
  <c r="Q139" i="20"/>
  <c r="Q131" i="20"/>
  <c r="Q123" i="20"/>
  <c r="Q115" i="20"/>
  <c r="Q107" i="20"/>
  <c r="Q99" i="20"/>
  <c r="Q91" i="20"/>
  <c r="Q83" i="20"/>
  <c r="Q75" i="20"/>
  <c r="Q67" i="20"/>
  <c r="Q59" i="20"/>
  <c r="Q51" i="20"/>
  <c r="Q43" i="20"/>
  <c r="Q35" i="20"/>
  <c r="Q27" i="20"/>
  <c r="Q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4" i="20"/>
  <c r="Q272" i="20"/>
  <c r="Q270" i="20"/>
  <c r="Q268" i="20"/>
  <c r="Q266" i="20"/>
  <c r="Q264" i="20"/>
  <c r="Q262" i="20"/>
  <c r="Q260" i="20"/>
  <c r="Q258" i="20"/>
  <c r="Q256" i="20"/>
  <c r="Q254" i="20"/>
  <c r="Q252" i="20"/>
  <c r="Q250" i="20"/>
  <c r="Q248" i="20"/>
  <c r="Q246" i="20"/>
  <c r="Q244" i="20"/>
  <c r="Q242" i="20"/>
  <c r="Q240" i="20"/>
  <c r="Q238" i="20"/>
  <c r="Q236" i="20"/>
  <c r="Q234" i="20"/>
  <c r="Q232" i="20"/>
  <c r="Q230" i="20"/>
  <c r="Q228" i="20"/>
  <c r="Q226" i="20"/>
  <c r="Q224" i="20"/>
  <c r="Q222" i="20"/>
  <c r="Q220" i="20"/>
  <c r="Q218" i="20"/>
  <c r="Q216" i="20"/>
  <c r="Q214" i="20"/>
  <c r="Q212" i="20"/>
  <c r="Q210" i="20"/>
  <c r="Q208" i="20"/>
  <c r="Q206" i="20"/>
  <c r="Q204" i="20"/>
  <c r="Q202" i="20"/>
  <c r="Q200" i="20"/>
  <c r="Q198" i="20"/>
  <c r="Q196" i="20"/>
  <c r="Q194" i="20"/>
  <c r="Q192" i="20"/>
  <c r="Q190" i="20"/>
  <c r="Q188" i="20"/>
  <c r="Q186" i="20"/>
  <c r="Q184" i="20"/>
  <c r="Q182" i="20"/>
  <c r="Q180" i="20"/>
  <c r="Q178" i="20"/>
  <c r="Q176" i="20"/>
  <c r="Q174" i="20"/>
  <c r="Q172" i="20"/>
  <c r="Q170" i="20"/>
  <c r="Q168" i="20"/>
  <c r="Q166" i="20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4" i="20"/>
  <c r="Q102" i="20"/>
  <c r="Q100" i="20"/>
  <c r="Q98" i="20"/>
  <c r="Q96" i="20"/>
  <c r="Q94" i="20"/>
  <c r="Q92" i="20"/>
  <c r="Q90" i="20"/>
  <c r="Q88" i="20"/>
  <c r="Q86" i="20"/>
  <c r="Q84" i="20"/>
  <c r="Q82" i="20"/>
  <c r="Q80" i="20"/>
  <c r="Q78" i="20"/>
  <c r="Q76" i="20"/>
  <c r="Q74" i="20"/>
  <c r="Q72" i="20"/>
  <c r="Q70" i="20"/>
  <c r="Q68" i="20"/>
  <c r="Q66" i="20"/>
  <c r="Q64" i="20"/>
  <c r="Q62" i="20"/>
  <c r="Q60" i="20"/>
  <c r="Q58" i="20"/>
  <c r="Q56" i="20"/>
  <c r="Q54" i="20"/>
  <c r="Q52" i="20"/>
  <c r="Q50" i="20"/>
  <c r="Q48" i="20"/>
  <c r="Q46" i="20"/>
  <c r="Q44" i="20"/>
  <c r="Q42" i="20"/>
  <c r="Q40" i="20"/>
  <c r="Q38" i="20"/>
  <c r="Q36" i="20"/>
  <c r="Q34" i="20"/>
  <c r="Q32" i="20"/>
  <c r="Q30" i="20"/>
  <c r="Q28" i="20"/>
  <c r="Q26" i="20"/>
  <c r="Q24" i="20"/>
  <c r="Q22" i="20"/>
  <c r="Q20" i="20"/>
  <c r="Q18" i="20"/>
  <c r="W147" i="18"/>
  <c r="D147" i="18"/>
  <c r="E147" i="18" s="1"/>
  <c r="F147" i="18" s="1"/>
  <c r="D123" i="18"/>
  <c r="E123" i="18" s="1"/>
  <c r="F123" i="18" s="1"/>
  <c r="W123" i="18"/>
  <c r="D121" i="18"/>
  <c r="E121" i="18" s="1"/>
  <c r="F121" i="18" s="1"/>
  <c r="W121" i="18"/>
  <c r="W97" i="18"/>
  <c r="D97" i="18"/>
  <c r="E97" i="18" s="1"/>
  <c r="F97" i="18" s="1"/>
  <c r="W89" i="18"/>
  <c r="D89" i="18"/>
  <c r="E89" i="18" s="1"/>
  <c r="F89" i="18" s="1"/>
  <c r="W87" i="18"/>
  <c r="D87" i="18"/>
  <c r="E87" i="18" s="1"/>
  <c r="F87" i="18" s="1"/>
  <c r="W55" i="18"/>
  <c r="D55" i="18"/>
  <c r="E55" i="18" s="1"/>
  <c r="F55" i="18" s="1"/>
  <c r="D51" i="18"/>
  <c r="E51" i="18" s="1"/>
  <c r="F51" i="18" s="1"/>
  <c r="W51" i="18"/>
  <c r="W47" i="18"/>
  <c r="D47" i="18"/>
  <c r="E47" i="18" s="1"/>
  <c r="F47" i="18" s="1"/>
  <c r="D43" i="18"/>
  <c r="E43" i="18" s="1"/>
  <c r="F43" i="18" s="1"/>
  <c r="W43" i="18"/>
  <c r="D35" i="18"/>
  <c r="E35" i="18" s="1"/>
  <c r="F35" i="18" s="1"/>
  <c r="W35" i="18"/>
  <c r="W27" i="18"/>
  <c r="D27" i="18"/>
  <c r="E27" i="18" s="1"/>
  <c r="F27" i="18" s="1"/>
  <c r="D23" i="18"/>
  <c r="E23" i="18" s="1"/>
  <c r="F23" i="18" s="1"/>
  <c r="W23" i="18"/>
  <c r="W332" i="18"/>
  <c r="D332" i="18"/>
  <c r="E332" i="18" s="1"/>
  <c r="F332" i="18" s="1"/>
  <c r="W288" i="18"/>
  <c r="D288" i="18"/>
  <c r="E288" i="18" s="1"/>
  <c r="F288" i="18" s="1"/>
  <c r="W182" i="18"/>
  <c r="D182" i="18"/>
  <c r="E182" i="18" s="1"/>
  <c r="F182" i="18" s="1"/>
  <c r="W148" i="18"/>
  <c r="D148" i="18"/>
  <c r="E148" i="18" s="1"/>
  <c r="F148" i="18" s="1"/>
  <c r="W142" i="18"/>
  <c r="D142" i="18"/>
  <c r="E142" i="18" s="1"/>
  <c r="F142" i="18" s="1"/>
  <c r="D122" i="18"/>
  <c r="E122" i="18" s="1"/>
  <c r="F122" i="18" s="1"/>
  <c r="W122" i="18"/>
  <c r="D118" i="18"/>
  <c r="E118" i="18" s="1"/>
  <c r="F118" i="18" s="1"/>
  <c r="W118" i="18"/>
  <c r="W86" i="18"/>
  <c r="D86" i="18"/>
  <c r="E86" i="18" s="1"/>
  <c r="F86" i="18" s="1"/>
  <c r="W84" i="18"/>
  <c r="D84" i="18"/>
  <c r="E84" i="18" s="1"/>
  <c r="F84" i="18" s="1"/>
  <c r="D82" i="18"/>
  <c r="E82" i="18" s="1"/>
  <c r="F82" i="18" s="1"/>
  <c r="W82" i="18"/>
  <c r="D78" i="18"/>
  <c r="E78" i="18" s="1"/>
  <c r="F78" i="18" s="1"/>
  <c r="W78" i="18"/>
  <c r="D72" i="18"/>
  <c r="E72" i="18" s="1"/>
  <c r="F72" i="18" s="1"/>
  <c r="W72" i="18"/>
  <c r="D70" i="18"/>
  <c r="E70" i="18" s="1"/>
  <c r="F70" i="18" s="1"/>
  <c r="W70" i="18"/>
  <c r="W68" i="18"/>
  <c r="D68" i="18"/>
  <c r="E68" i="18" s="1"/>
  <c r="F68" i="18" s="1"/>
  <c r="D66" i="18"/>
  <c r="E66" i="18" s="1"/>
  <c r="F66" i="18" s="1"/>
  <c r="W66" i="18"/>
  <c r="D56" i="18"/>
  <c r="E56" i="18" s="1"/>
  <c r="F56" i="18" s="1"/>
  <c r="W56" i="18"/>
  <c r="I347" i="17"/>
  <c r="J347" i="17"/>
  <c r="I331" i="17"/>
  <c r="J331" i="17"/>
  <c r="I251" i="17"/>
  <c r="J251" i="17"/>
  <c r="J179" i="17"/>
  <c r="I179" i="17"/>
  <c r="J163" i="17"/>
  <c r="I163" i="17"/>
  <c r="I139" i="17"/>
  <c r="J139" i="17"/>
  <c r="J123" i="17"/>
  <c r="I123" i="17"/>
  <c r="W115" i="18"/>
  <c r="D115" i="18"/>
  <c r="E115" i="18" s="1"/>
  <c r="F115" i="18" s="1"/>
  <c r="W95" i="18"/>
  <c r="D95" i="18"/>
  <c r="E95" i="18" s="1"/>
  <c r="F95" i="18" s="1"/>
  <c r="I67" i="17"/>
  <c r="J67" i="17"/>
  <c r="I43" i="17"/>
  <c r="H43" i="18" s="1"/>
  <c r="J43" i="17"/>
  <c r="J19" i="17"/>
  <c r="I19" i="17"/>
  <c r="J349" i="17"/>
  <c r="I349" i="17"/>
  <c r="J125" i="17"/>
  <c r="I125" i="17"/>
  <c r="D113" i="18"/>
  <c r="E113" i="18" s="1"/>
  <c r="F113" i="18" s="1"/>
  <c r="W113" i="18"/>
  <c r="J105" i="17"/>
  <c r="I105" i="17"/>
  <c r="J97" i="17"/>
  <c r="I97" i="17"/>
  <c r="H97" i="18" s="1"/>
  <c r="J89" i="17"/>
  <c r="I89" i="17"/>
  <c r="H89" i="18" s="1"/>
  <c r="W77" i="18"/>
  <c r="D77" i="18"/>
  <c r="E77" i="18" s="1"/>
  <c r="F77" i="18" s="1"/>
  <c r="D49" i="18"/>
  <c r="E49" i="18" s="1"/>
  <c r="F49" i="18" s="1"/>
  <c r="W49" i="18"/>
  <c r="I340" i="17"/>
  <c r="J340" i="17"/>
  <c r="I318" i="17"/>
  <c r="J318" i="17"/>
  <c r="J134" i="17"/>
  <c r="I134" i="17"/>
  <c r="D98" i="18"/>
  <c r="E98" i="18" s="1"/>
  <c r="F98" i="18" s="1"/>
  <c r="W98" i="18"/>
  <c r="AH100" i="20"/>
  <c r="AH96" i="20"/>
  <c r="AH92" i="20"/>
  <c r="AH88" i="20"/>
  <c r="AH84" i="20"/>
  <c r="AH80" i="20"/>
  <c r="AH76" i="20"/>
  <c r="AH72" i="20"/>
  <c r="AH68" i="20"/>
  <c r="AH62" i="20"/>
  <c r="AH58" i="20"/>
  <c r="AH54" i="20"/>
  <c r="AH50" i="20"/>
  <c r="AH46" i="20"/>
  <c r="AH42" i="20"/>
  <c r="AH38" i="20"/>
  <c r="AH34" i="20"/>
  <c r="AH30" i="20"/>
  <c r="AH26" i="20"/>
  <c r="AH22" i="20"/>
  <c r="AH18" i="20"/>
  <c r="W375" i="18"/>
  <c r="D375" i="18"/>
  <c r="E375" i="18" s="1"/>
  <c r="F375" i="18" s="1"/>
  <c r="D371" i="18"/>
  <c r="E371" i="18" s="1"/>
  <c r="F371" i="18" s="1"/>
  <c r="W371" i="18"/>
  <c r="W367" i="18"/>
  <c r="D367" i="18"/>
  <c r="E367" i="18" s="1"/>
  <c r="F367" i="18" s="1"/>
  <c r="D79" i="7"/>
  <c r="V363" i="18"/>
  <c r="D355" i="18"/>
  <c r="E355" i="18" s="1"/>
  <c r="F355" i="18" s="1"/>
  <c r="H355" i="18" s="1"/>
  <c r="I355" i="18" s="1"/>
  <c r="B355" i="6" s="1"/>
  <c r="BA355" i="6" s="1"/>
  <c r="D355" i="6" s="1"/>
  <c r="W355" i="18"/>
  <c r="D351" i="18"/>
  <c r="E351" i="18" s="1"/>
  <c r="F351" i="18" s="1"/>
  <c r="W351" i="18"/>
  <c r="D347" i="18"/>
  <c r="E347" i="18" s="1"/>
  <c r="F347" i="18" s="1"/>
  <c r="W347" i="18"/>
  <c r="W343" i="18"/>
  <c r="D343" i="18"/>
  <c r="E343" i="18" s="1"/>
  <c r="F343" i="18" s="1"/>
  <c r="H343" i="18" s="1"/>
  <c r="W339" i="18"/>
  <c r="D339" i="18"/>
  <c r="E339" i="18" s="1"/>
  <c r="F339" i="18" s="1"/>
  <c r="H339" i="18" s="1"/>
  <c r="D335" i="18"/>
  <c r="E335" i="18" s="1"/>
  <c r="F335" i="18" s="1"/>
  <c r="W335" i="18"/>
  <c r="W331" i="18"/>
  <c r="D331" i="18"/>
  <c r="E331" i="18" s="1"/>
  <c r="F331" i="18" s="1"/>
  <c r="W327" i="18"/>
  <c r="D327" i="18"/>
  <c r="E327" i="18" s="1"/>
  <c r="F327" i="18" s="1"/>
  <c r="W323" i="18"/>
  <c r="D323" i="18"/>
  <c r="E323" i="18" s="1"/>
  <c r="F323" i="18" s="1"/>
  <c r="W317" i="18"/>
  <c r="D317" i="18"/>
  <c r="E317" i="18" s="1"/>
  <c r="F317" i="18" s="1"/>
  <c r="W313" i="18"/>
  <c r="D313" i="18"/>
  <c r="E313" i="18" s="1"/>
  <c r="F313" i="18" s="1"/>
  <c r="D309" i="18"/>
  <c r="E309" i="18" s="1"/>
  <c r="F309" i="18" s="1"/>
  <c r="W309" i="18"/>
  <c r="D305" i="18"/>
  <c r="E305" i="18" s="1"/>
  <c r="F305" i="18" s="1"/>
  <c r="W305" i="18"/>
  <c r="D301" i="18"/>
  <c r="E301" i="18" s="1"/>
  <c r="F301" i="18" s="1"/>
  <c r="W301" i="18"/>
  <c r="D297" i="18"/>
  <c r="E297" i="18" s="1"/>
  <c r="F297" i="18" s="1"/>
  <c r="W297" i="18"/>
  <c r="D293" i="18"/>
  <c r="E293" i="18" s="1"/>
  <c r="F293" i="18" s="1"/>
  <c r="W293" i="18"/>
  <c r="W289" i="18"/>
  <c r="D289" i="18"/>
  <c r="E289" i="18" s="1"/>
  <c r="F289" i="18" s="1"/>
  <c r="W285" i="18"/>
  <c r="D285" i="18"/>
  <c r="E285" i="18" s="1"/>
  <c r="F285" i="18" s="1"/>
  <c r="D281" i="18"/>
  <c r="E281" i="18" s="1"/>
  <c r="F281" i="18" s="1"/>
  <c r="W281" i="18"/>
  <c r="W277" i="18"/>
  <c r="D277" i="18"/>
  <c r="E277" i="18" s="1"/>
  <c r="F277" i="18" s="1"/>
  <c r="W267" i="18"/>
  <c r="D267" i="18"/>
  <c r="E267" i="18" s="1"/>
  <c r="F267" i="18" s="1"/>
  <c r="I333" i="17"/>
  <c r="J333" i="17"/>
  <c r="I351" i="17"/>
  <c r="H351" i="18" s="1"/>
  <c r="J351" i="17"/>
  <c r="I335" i="17"/>
  <c r="H335" i="18" s="1"/>
  <c r="I335" i="18" s="1"/>
  <c r="B335" i="6" s="1"/>
  <c r="BA335" i="6" s="1"/>
  <c r="D335" i="6" s="1"/>
  <c r="J335" i="17"/>
  <c r="J327" i="17"/>
  <c r="I327" i="17"/>
  <c r="J275" i="17"/>
  <c r="I275" i="17"/>
  <c r="I255" i="17"/>
  <c r="J255" i="17"/>
  <c r="I247" i="17"/>
  <c r="J247" i="17"/>
  <c r="J227" i="17"/>
  <c r="I227" i="17"/>
  <c r="J183" i="17"/>
  <c r="I183" i="17"/>
  <c r="J175" i="17"/>
  <c r="I175" i="17"/>
  <c r="I167" i="17"/>
  <c r="J167" i="17"/>
  <c r="J159" i="17"/>
  <c r="I159" i="17"/>
  <c r="J151" i="17"/>
  <c r="I151" i="17"/>
  <c r="J143" i="17"/>
  <c r="I143" i="17"/>
  <c r="J135" i="17"/>
  <c r="I135" i="17"/>
  <c r="J127" i="17"/>
  <c r="I127" i="17"/>
  <c r="D107" i="18"/>
  <c r="E107" i="18" s="1"/>
  <c r="F107" i="18" s="1"/>
  <c r="W107" i="18"/>
  <c r="J87" i="17"/>
  <c r="I87" i="17"/>
  <c r="J79" i="17"/>
  <c r="I79" i="17"/>
  <c r="I71" i="17"/>
  <c r="J71" i="17"/>
  <c r="I63" i="17"/>
  <c r="J63" i="17"/>
  <c r="J55" i="17"/>
  <c r="I55" i="17"/>
  <c r="I47" i="17"/>
  <c r="J47" i="17"/>
  <c r="J39" i="17"/>
  <c r="I39" i="17"/>
  <c r="I31" i="17"/>
  <c r="J31" i="17"/>
  <c r="I23" i="17"/>
  <c r="J23" i="17"/>
  <c r="I369" i="17"/>
  <c r="J369" i="17"/>
  <c r="J345" i="17"/>
  <c r="I345" i="17"/>
  <c r="I201" i="17"/>
  <c r="J201" i="17"/>
  <c r="I145" i="17"/>
  <c r="J145" i="17"/>
  <c r="J137" i="17"/>
  <c r="I137" i="17"/>
  <c r="J129" i="17"/>
  <c r="I129" i="17"/>
  <c r="I121" i="17"/>
  <c r="J121" i="17"/>
  <c r="W109" i="18"/>
  <c r="D109" i="18"/>
  <c r="E109" i="18" s="1"/>
  <c r="F109" i="18" s="1"/>
  <c r="J101" i="17"/>
  <c r="I101" i="17"/>
  <c r="J93" i="17"/>
  <c r="I93" i="17"/>
  <c r="D81" i="18"/>
  <c r="E81" i="18" s="1"/>
  <c r="F81" i="18" s="1"/>
  <c r="W81" i="18"/>
  <c r="W69" i="18"/>
  <c r="D69" i="18"/>
  <c r="E69" i="18" s="1"/>
  <c r="F69" i="18" s="1"/>
  <c r="W57" i="18"/>
  <c r="D57" i="18"/>
  <c r="E57" i="18" s="1"/>
  <c r="F57" i="18" s="1"/>
  <c r="W45" i="18"/>
  <c r="D45" i="18"/>
  <c r="E45" i="18" s="1"/>
  <c r="F45" i="18" s="1"/>
  <c r="I37" i="17"/>
  <c r="J37" i="17"/>
  <c r="I25" i="17"/>
  <c r="J25" i="17"/>
  <c r="J17" i="17"/>
  <c r="I17" i="17"/>
  <c r="AG383" i="18"/>
  <c r="AG382" i="18"/>
  <c r="AG381" i="18"/>
  <c r="AF15" i="18"/>
  <c r="I350" i="17"/>
  <c r="J350" i="17"/>
  <c r="I344" i="17"/>
  <c r="J344" i="17"/>
  <c r="I330" i="17"/>
  <c r="J330" i="17"/>
  <c r="I138" i="17"/>
  <c r="J138" i="17"/>
  <c r="J130" i="17"/>
  <c r="I130" i="17"/>
  <c r="I122" i="17"/>
  <c r="J122" i="17"/>
  <c r="J110" i="17"/>
  <c r="I110" i="17"/>
  <c r="W94" i="18"/>
  <c r="D94" i="18"/>
  <c r="E94" i="18" s="1"/>
  <c r="F94" i="18" s="1"/>
  <c r="AH103" i="20"/>
  <c r="AH101" i="20"/>
  <c r="AH99" i="20"/>
  <c r="AH97" i="20"/>
  <c r="AH95" i="20"/>
  <c r="AH93" i="20"/>
  <c r="AH91" i="20"/>
  <c r="AH89" i="20"/>
  <c r="AH87" i="20"/>
  <c r="AH85" i="20"/>
  <c r="AH83" i="20"/>
  <c r="AH81" i="20"/>
  <c r="AH79" i="20"/>
  <c r="AH77" i="20"/>
  <c r="AH75" i="20"/>
  <c r="AH73" i="20"/>
  <c r="AH71" i="20"/>
  <c r="AH69" i="20"/>
  <c r="AH67" i="20"/>
  <c r="AH65" i="20"/>
  <c r="AH63" i="20"/>
  <c r="AH61" i="20"/>
  <c r="AH59" i="20"/>
  <c r="AH57" i="20"/>
  <c r="AH55" i="20"/>
  <c r="AH53" i="20"/>
  <c r="AH51" i="20"/>
  <c r="AH49" i="20"/>
  <c r="AH47" i="20"/>
  <c r="AH45" i="20"/>
  <c r="AH43" i="20"/>
  <c r="AH41" i="20"/>
  <c r="AH39" i="20"/>
  <c r="AH37" i="20"/>
  <c r="AH35" i="20"/>
  <c r="AH33" i="20"/>
  <c r="AH31" i="20"/>
  <c r="AH29" i="20"/>
  <c r="AH27" i="20"/>
  <c r="AH25" i="20"/>
  <c r="AH23" i="20"/>
  <c r="AH21" i="20"/>
  <c r="AH19" i="20"/>
  <c r="AH17" i="20"/>
  <c r="AH15" i="20"/>
  <c r="I334" i="17"/>
  <c r="J334" i="17"/>
  <c r="I320" i="17"/>
  <c r="J320" i="17"/>
  <c r="J112" i="17"/>
  <c r="I112" i="17"/>
  <c r="D104" i="18"/>
  <c r="E104" i="18" s="1"/>
  <c r="F104" i="18" s="1"/>
  <c r="W104" i="18"/>
  <c r="D96" i="18"/>
  <c r="E96" i="18" s="1"/>
  <c r="F96" i="18" s="1"/>
  <c r="W96" i="18"/>
  <c r="D90" i="18"/>
  <c r="E90" i="18" s="1"/>
  <c r="F90" i="18" s="1"/>
  <c r="W90" i="18"/>
  <c r="J86" i="17"/>
  <c r="I86" i="17"/>
  <c r="J82" i="17"/>
  <c r="I82" i="17"/>
  <c r="J76" i="17"/>
  <c r="I76" i="17"/>
  <c r="J70" i="17"/>
  <c r="I70" i="17"/>
  <c r="J66" i="17"/>
  <c r="I66" i="17"/>
  <c r="J60" i="17"/>
  <c r="I60" i="17"/>
  <c r="I56" i="17"/>
  <c r="J56" i="17"/>
  <c r="W50" i="18"/>
  <c r="D50" i="18"/>
  <c r="E50" i="18" s="1"/>
  <c r="F50" i="18" s="1"/>
  <c r="D44" i="18"/>
  <c r="E44" i="18" s="1"/>
  <c r="F44" i="18" s="1"/>
  <c r="W44" i="18"/>
  <c r="W36" i="18"/>
  <c r="D36" i="18"/>
  <c r="E36" i="18" s="1"/>
  <c r="F36" i="18" s="1"/>
  <c r="W28" i="18"/>
  <c r="D28" i="18"/>
  <c r="E28" i="18" s="1"/>
  <c r="F28" i="18" s="1"/>
  <c r="W18" i="18"/>
  <c r="D18" i="18"/>
  <c r="E18" i="18" s="1"/>
  <c r="F18" i="18" s="1"/>
  <c r="I304" i="17"/>
  <c r="J304" i="17"/>
  <c r="J286" i="17"/>
  <c r="I286" i="17"/>
  <c r="J282" i="17"/>
  <c r="I282" i="17"/>
  <c r="I278" i="17"/>
  <c r="J278" i="17"/>
  <c r="I274" i="17"/>
  <c r="J274" i="17"/>
  <c r="I260" i="17"/>
  <c r="J260" i="17"/>
  <c r="J256" i="17"/>
  <c r="I256" i="17"/>
  <c r="I242" i="17"/>
  <c r="J242" i="17"/>
  <c r="I234" i="17"/>
  <c r="J234" i="17"/>
  <c r="I226" i="17"/>
  <c r="J226" i="17"/>
  <c r="I218" i="17"/>
  <c r="J218" i="17"/>
  <c r="I184" i="17"/>
  <c r="J184" i="17"/>
  <c r="J373" i="17"/>
  <c r="I373" i="17"/>
  <c r="I361" i="17"/>
  <c r="J361" i="17"/>
  <c r="J363" i="17"/>
  <c r="I363" i="17"/>
  <c r="I319" i="17"/>
  <c r="J319" i="17"/>
  <c r="I263" i="17"/>
  <c r="J263" i="17"/>
  <c r="J16" i="17"/>
  <c r="I16" i="17"/>
  <c r="G321" i="17"/>
  <c r="BZ321" i="6" s="1"/>
  <c r="AA321" i="17"/>
  <c r="Z321" i="17" s="1"/>
  <c r="Y321" i="17" s="1"/>
  <c r="H321" i="17"/>
  <c r="N63" i="19"/>
  <c r="AA379" i="16"/>
  <c r="G379" i="16"/>
  <c r="BY379" i="6" s="1"/>
  <c r="H379" i="16"/>
  <c r="F383" i="16"/>
  <c r="AK10" i="16"/>
  <c r="AK12" i="16" s="1"/>
  <c r="AK13" i="16" s="1"/>
  <c r="AM10" i="16"/>
  <c r="F9" i="16"/>
  <c r="F381" i="16"/>
  <c r="F382" i="16"/>
  <c r="I380" i="17"/>
  <c r="H380" i="18" s="1"/>
  <c r="J380" i="17"/>
  <c r="Q12" i="22"/>
  <c r="AH15" i="7"/>
  <c r="Q381" i="20"/>
  <c r="AI15" i="7"/>
  <c r="AE16" i="20"/>
  <c r="AE18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AE192" i="20"/>
  <c r="AE194" i="20"/>
  <c r="AE196" i="20"/>
  <c r="AE198" i="20"/>
  <c r="AE200" i="20"/>
  <c r="AE202" i="20"/>
  <c r="AE204" i="20"/>
  <c r="AE206" i="20"/>
  <c r="AE208" i="20"/>
  <c r="AE210" i="20"/>
  <c r="AE212" i="20"/>
  <c r="AE214" i="20"/>
  <c r="AE216" i="20"/>
  <c r="AE218" i="20"/>
  <c r="AE220" i="20"/>
  <c r="AE222" i="20"/>
  <c r="AE224" i="20"/>
  <c r="AE226" i="20"/>
  <c r="AE228" i="20"/>
  <c r="AE230" i="20"/>
  <c r="AE232" i="20"/>
  <c r="AE234" i="20"/>
  <c r="AE236" i="20"/>
  <c r="AE238" i="20"/>
  <c r="AE240" i="20"/>
  <c r="AE242" i="20"/>
  <c r="AE244" i="20"/>
  <c r="AE246" i="20"/>
  <c r="AE248" i="20"/>
  <c r="AE250" i="20"/>
  <c r="AE252" i="20"/>
  <c r="AE254" i="20"/>
  <c r="AE256" i="20"/>
  <c r="AE258" i="20"/>
  <c r="AE260" i="20"/>
  <c r="AE262" i="20"/>
  <c r="AE264" i="20"/>
  <c r="AE266" i="20"/>
  <c r="AE268" i="20"/>
  <c r="AE270" i="20"/>
  <c r="AE272" i="20"/>
  <c r="AE274" i="20"/>
  <c r="AE276" i="20"/>
  <c r="AE278" i="20"/>
  <c r="AE280" i="20"/>
  <c r="AE282" i="20"/>
  <c r="AE284" i="20"/>
  <c r="AE286" i="20"/>
  <c r="AE288" i="20"/>
  <c r="AE290" i="20"/>
  <c r="AE292" i="20"/>
  <c r="AE294" i="20"/>
  <c r="AE296" i="20"/>
  <c r="AE298" i="20"/>
  <c r="AE300" i="20"/>
  <c r="AE302" i="20"/>
  <c r="AE304" i="20"/>
  <c r="AE306" i="20"/>
  <c r="AE308" i="20"/>
  <c r="AE310" i="20"/>
  <c r="AE312" i="20"/>
  <c r="AE314" i="20"/>
  <c r="AE316" i="20"/>
  <c r="AE318" i="20"/>
  <c r="AE320" i="20"/>
  <c r="AE322" i="20"/>
  <c r="AE324" i="20"/>
  <c r="AE326" i="20"/>
  <c r="AE328" i="20"/>
  <c r="AE330" i="20"/>
  <c r="AE332" i="20"/>
  <c r="AE334" i="20"/>
  <c r="AE336" i="20"/>
  <c r="AE338" i="20"/>
  <c r="AE340" i="20"/>
  <c r="AE342" i="20"/>
  <c r="AE344" i="20"/>
  <c r="AE346" i="20"/>
  <c r="AE348" i="20"/>
  <c r="AE350" i="20"/>
  <c r="AE352" i="20"/>
  <c r="AE354" i="20"/>
  <c r="AE356" i="20"/>
  <c r="AE358" i="20"/>
  <c r="AE360" i="20"/>
  <c r="AE362" i="20"/>
  <c r="AE364" i="20"/>
  <c r="AE366" i="20"/>
  <c r="AE368" i="20"/>
  <c r="AE370" i="20"/>
  <c r="AE372" i="20"/>
  <c r="AE374" i="20"/>
  <c r="AE376" i="20"/>
  <c r="AE378" i="20"/>
  <c r="AE15" i="20"/>
  <c r="AE17" i="20"/>
  <c r="AE19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19" i="20"/>
  <c r="AE221" i="20"/>
  <c r="AE223" i="20"/>
  <c r="AE225" i="20"/>
  <c r="AE227" i="20"/>
  <c r="AE229" i="20"/>
  <c r="AE231" i="20"/>
  <c r="AE233" i="20"/>
  <c r="AE235" i="20"/>
  <c r="AE237" i="20"/>
  <c r="AE239" i="20"/>
  <c r="AE241" i="20"/>
  <c r="AE243" i="20"/>
  <c r="AE245" i="20"/>
  <c r="AE247" i="20"/>
  <c r="AE249" i="20"/>
  <c r="AE251" i="20"/>
  <c r="AE253" i="20"/>
  <c r="AE255" i="20"/>
  <c r="AE257" i="20"/>
  <c r="AE259" i="20"/>
  <c r="AE261" i="20"/>
  <c r="AE263" i="20"/>
  <c r="AE265" i="20"/>
  <c r="AE267" i="20"/>
  <c r="AE269" i="20"/>
  <c r="AE271" i="20"/>
  <c r="AE273" i="20"/>
  <c r="AE275" i="20"/>
  <c r="AE277" i="20"/>
  <c r="AE279" i="20"/>
  <c r="AE281" i="20"/>
  <c r="AE283" i="20"/>
  <c r="AE285" i="20"/>
  <c r="AE287" i="20"/>
  <c r="AE289" i="20"/>
  <c r="AE291" i="20"/>
  <c r="AE293" i="20"/>
  <c r="AE295" i="20"/>
  <c r="AE297" i="20"/>
  <c r="AE299" i="20"/>
  <c r="AE301" i="20"/>
  <c r="AE303" i="20"/>
  <c r="AE305" i="20"/>
  <c r="AE307" i="20"/>
  <c r="AE309" i="20"/>
  <c r="AE311" i="20"/>
  <c r="AE313" i="20"/>
  <c r="AE315" i="20"/>
  <c r="AE317" i="20"/>
  <c r="AE319" i="20"/>
  <c r="AE321" i="20"/>
  <c r="AE323" i="20"/>
  <c r="AE325" i="20"/>
  <c r="AE327" i="20"/>
  <c r="AE329" i="20"/>
  <c r="AE331" i="20"/>
  <c r="AE333" i="20"/>
  <c r="AE335" i="20"/>
  <c r="AE337" i="20"/>
  <c r="AE339" i="20"/>
  <c r="AE341" i="20"/>
  <c r="AE343" i="20"/>
  <c r="AE345" i="20"/>
  <c r="AE347" i="20"/>
  <c r="AE349" i="20"/>
  <c r="AE351" i="20"/>
  <c r="AE353" i="20"/>
  <c r="AE355" i="20"/>
  <c r="AE357" i="20"/>
  <c r="AE359" i="20"/>
  <c r="AE361" i="20"/>
  <c r="AE363" i="20"/>
  <c r="AE365" i="20"/>
  <c r="AE367" i="20"/>
  <c r="AE369" i="20"/>
  <c r="AE371" i="20"/>
  <c r="AE373" i="20"/>
  <c r="AE375" i="20"/>
  <c r="AE377" i="20"/>
  <c r="AE379" i="20"/>
  <c r="AE12" i="22" s="1"/>
  <c r="T378" i="20"/>
  <c r="T376" i="20"/>
  <c r="T374" i="20"/>
  <c r="T372" i="20"/>
  <c r="T370" i="20"/>
  <c r="T368" i="20"/>
  <c r="T366" i="20"/>
  <c r="T364" i="20"/>
  <c r="T362" i="20"/>
  <c r="T360" i="20"/>
  <c r="T358" i="20"/>
  <c r="T356" i="20"/>
  <c r="T354" i="20"/>
  <c r="T352" i="20"/>
  <c r="T350" i="20"/>
  <c r="T348" i="20"/>
  <c r="T346" i="20"/>
  <c r="T344" i="20"/>
  <c r="T342" i="20"/>
  <c r="T340" i="20"/>
  <c r="T338" i="20"/>
  <c r="T336" i="20"/>
  <c r="T334" i="20"/>
  <c r="T332" i="20"/>
  <c r="T330" i="20"/>
  <c r="T328" i="20"/>
  <c r="T326" i="20"/>
  <c r="T324" i="20"/>
  <c r="T322" i="20"/>
  <c r="T320" i="20"/>
  <c r="T318" i="20"/>
  <c r="T316" i="20"/>
  <c r="T314" i="20"/>
  <c r="T312" i="20"/>
  <c r="T310" i="20"/>
  <c r="T308" i="20"/>
  <c r="T306" i="20"/>
  <c r="T304" i="20"/>
  <c r="T302" i="20"/>
  <c r="T300" i="20"/>
  <c r="T298" i="20"/>
  <c r="T296" i="20"/>
  <c r="T294" i="20"/>
  <c r="T292" i="20"/>
  <c r="T290" i="20"/>
  <c r="T288" i="20"/>
  <c r="T286" i="20"/>
  <c r="T284" i="20"/>
  <c r="T282" i="20"/>
  <c r="T280" i="20"/>
  <c r="T278" i="20"/>
  <c r="T276" i="20"/>
  <c r="T274" i="20"/>
  <c r="T272" i="20"/>
  <c r="T270" i="20"/>
  <c r="T268" i="20"/>
  <c r="T266" i="20"/>
  <c r="T264" i="20"/>
  <c r="T262" i="20"/>
  <c r="T260" i="20"/>
  <c r="T258" i="20"/>
  <c r="T256" i="20"/>
  <c r="T254" i="20"/>
  <c r="T252" i="20"/>
  <c r="T250" i="20"/>
  <c r="T248" i="20"/>
  <c r="T246" i="20"/>
  <c r="T244" i="20"/>
  <c r="T242" i="20"/>
  <c r="T240" i="20"/>
  <c r="T238" i="20"/>
  <c r="T236" i="20"/>
  <c r="T234" i="20"/>
  <c r="T232" i="20"/>
  <c r="T230" i="20"/>
  <c r="T228" i="20"/>
  <c r="T226" i="20"/>
  <c r="T224" i="20"/>
  <c r="T222" i="20"/>
  <c r="T220" i="20"/>
  <c r="T218" i="20"/>
  <c r="T216" i="20"/>
  <c r="T214" i="20"/>
  <c r="T212" i="20"/>
  <c r="T210" i="20"/>
  <c r="T208" i="20"/>
  <c r="T206" i="20"/>
  <c r="T204" i="20"/>
  <c r="T202" i="20"/>
  <c r="T200" i="20"/>
  <c r="T198" i="20"/>
  <c r="T196" i="20"/>
  <c r="T194" i="20"/>
  <c r="T192" i="20"/>
  <c r="T190" i="20"/>
  <c r="T188" i="20"/>
  <c r="T186" i="20"/>
  <c r="T184" i="20"/>
  <c r="T180" i="20"/>
  <c r="T174" i="20"/>
  <c r="T172" i="20"/>
  <c r="T170" i="20"/>
  <c r="T166" i="20"/>
  <c r="T164" i="20"/>
  <c r="T160" i="20"/>
  <c r="T158" i="20"/>
  <c r="T156" i="20"/>
  <c r="T154" i="20"/>
  <c r="T152" i="20"/>
  <c r="T148" i="20"/>
  <c r="T142" i="20"/>
  <c r="T140" i="20"/>
  <c r="T138" i="20"/>
  <c r="T134" i="20"/>
  <c r="T132" i="20"/>
  <c r="T128" i="20"/>
  <c r="T126" i="20"/>
  <c r="T124" i="20"/>
  <c r="T122" i="20"/>
  <c r="T120" i="20"/>
  <c r="T116" i="20"/>
  <c r="T110" i="20"/>
  <c r="T108" i="20"/>
  <c r="T106" i="20"/>
  <c r="T102" i="20"/>
  <c r="T100" i="20"/>
  <c r="T96" i="20"/>
  <c r="T94" i="20"/>
  <c r="T92" i="20"/>
  <c r="T90" i="20"/>
  <c r="T88" i="20"/>
  <c r="T84" i="20"/>
  <c r="T78" i="20"/>
  <c r="T76" i="20"/>
  <c r="T74" i="20"/>
  <c r="T70" i="20"/>
  <c r="T68" i="20"/>
  <c r="T64" i="20"/>
  <c r="T62" i="20"/>
  <c r="T60" i="20"/>
  <c r="T58" i="20"/>
  <c r="T56" i="20"/>
  <c r="T52" i="20"/>
  <c r="T46" i="20"/>
  <c r="T44" i="20"/>
  <c r="T42" i="20"/>
  <c r="T38" i="20"/>
  <c r="T36" i="20"/>
  <c r="T32" i="20"/>
  <c r="T30" i="20"/>
  <c r="T28" i="20"/>
  <c r="T26" i="20"/>
  <c r="T24" i="20"/>
  <c r="T22" i="20"/>
  <c r="T20" i="20"/>
  <c r="T16" i="20"/>
  <c r="AA106" i="17"/>
  <c r="Z106" i="17" s="1"/>
  <c r="Y106" i="17" s="1"/>
  <c r="G106" i="17"/>
  <c r="BZ106" i="6" s="1"/>
  <c r="H106" i="17"/>
  <c r="S383" i="18"/>
  <c r="S382" i="18"/>
  <c r="S381" i="18"/>
  <c r="R15" i="18"/>
  <c r="J270" i="17"/>
  <c r="I270" i="17"/>
  <c r="I244" i="17"/>
  <c r="J244" i="17"/>
  <c r="G148" i="17"/>
  <c r="BZ148" i="6" s="1"/>
  <c r="AA148" i="17"/>
  <c r="Z148" i="17" s="1"/>
  <c r="Y148" i="17" s="1"/>
  <c r="H148" i="17"/>
  <c r="J236" i="17"/>
  <c r="I236" i="17"/>
  <c r="I228" i="17"/>
  <c r="J228" i="17"/>
  <c r="J220" i="17"/>
  <c r="I220" i="17"/>
  <c r="I212" i="17"/>
  <c r="J212" i="17"/>
  <c r="I190" i="17"/>
  <c r="J190" i="17"/>
  <c r="I182" i="17"/>
  <c r="J182" i="17"/>
  <c r="I311" i="17"/>
  <c r="J311" i="17"/>
  <c r="I295" i="17"/>
  <c r="J295" i="17"/>
  <c r="J279" i="17"/>
  <c r="I279" i="17"/>
  <c r="I231" i="17"/>
  <c r="J231" i="17"/>
  <c r="J215" i="17"/>
  <c r="I215" i="17"/>
  <c r="I199" i="17"/>
  <c r="J199" i="17"/>
  <c r="I111" i="17"/>
  <c r="J111" i="17"/>
  <c r="I317" i="17"/>
  <c r="H317" i="18" s="1"/>
  <c r="J317" i="17"/>
  <c r="I301" i="17"/>
  <c r="J301" i="17"/>
  <c r="J285" i="17"/>
  <c r="I285" i="17"/>
  <c r="I269" i="17"/>
  <c r="J269" i="17"/>
  <c r="I233" i="17"/>
  <c r="J233" i="17"/>
  <c r="J217" i="17"/>
  <c r="I217" i="17"/>
  <c r="J185" i="17"/>
  <c r="I185" i="17"/>
  <c r="J169" i="17"/>
  <c r="I169" i="17"/>
  <c r="J153" i="17"/>
  <c r="I153" i="17"/>
  <c r="I77" i="17"/>
  <c r="J77" i="17"/>
  <c r="J61" i="17"/>
  <c r="I61" i="17"/>
  <c r="J45" i="17"/>
  <c r="I45" i="17"/>
  <c r="I364" i="17"/>
  <c r="J364" i="17"/>
  <c r="I328" i="17"/>
  <c r="J328" i="17"/>
  <c r="J80" i="17"/>
  <c r="I80" i="17"/>
  <c r="I362" i="17"/>
  <c r="J362" i="17"/>
  <c r="I136" i="17"/>
  <c r="J136" i="17"/>
  <c r="J120" i="17"/>
  <c r="I120" i="17"/>
  <c r="I100" i="17"/>
  <c r="J100" i="17"/>
  <c r="J50" i="17"/>
  <c r="I50" i="17"/>
  <c r="J42" i="17"/>
  <c r="I42" i="17"/>
  <c r="J30" i="17"/>
  <c r="I30" i="17"/>
  <c r="J22" i="17"/>
  <c r="I22" i="17"/>
  <c r="J314" i="17"/>
  <c r="I314" i="17"/>
  <c r="I302" i="17"/>
  <c r="J302" i="17"/>
  <c r="J294" i="17"/>
  <c r="I294" i="17"/>
  <c r="I210" i="17"/>
  <c r="J210" i="17"/>
  <c r="I202" i="17"/>
  <c r="J202" i="17"/>
  <c r="J194" i="17"/>
  <c r="I194" i="17"/>
  <c r="J174" i="17"/>
  <c r="I174" i="17"/>
  <c r="I162" i="17"/>
  <c r="J162" i="17"/>
  <c r="J150" i="17"/>
  <c r="I150" i="17"/>
  <c r="J367" i="17"/>
  <c r="I367" i="17"/>
  <c r="J307" i="17"/>
  <c r="I307" i="17"/>
  <c r="I291" i="17"/>
  <c r="J291" i="17"/>
  <c r="J219" i="17"/>
  <c r="I219" i="17"/>
  <c r="I203" i="17"/>
  <c r="J203" i="17"/>
  <c r="I115" i="17"/>
  <c r="J115" i="17"/>
  <c r="J305" i="17"/>
  <c r="I305" i="17"/>
  <c r="H305" i="18" s="1"/>
  <c r="J289" i="17"/>
  <c r="I289" i="17"/>
  <c r="J273" i="17"/>
  <c r="I273" i="17"/>
  <c r="I257" i="17"/>
  <c r="J257" i="17"/>
  <c r="I221" i="17"/>
  <c r="J221" i="17"/>
  <c r="J189" i="17"/>
  <c r="I189" i="17"/>
  <c r="J173" i="17"/>
  <c r="I173" i="17"/>
  <c r="I157" i="17"/>
  <c r="J157" i="17"/>
  <c r="I81" i="17"/>
  <c r="J81" i="17"/>
  <c r="I65" i="17"/>
  <c r="J65" i="17"/>
  <c r="I49" i="17"/>
  <c r="J49" i="17"/>
  <c r="J376" i="17"/>
  <c r="I376" i="17"/>
  <c r="J360" i="17"/>
  <c r="I360" i="17"/>
  <c r="J374" i="17"/>
  <c r="I374" i="17"/>
  <c r="I324" i="17"/>
  <c r="J324" i="17"/>
  <c r="J132" i="17"/>
  <c r="I132" i="17"/>
  <c r="J116" i="17"/>
  <c r="I116" i="17"/>
  <c r="I104" i="17"/>
  <c r="H104" i="18" s="1"/>
  <c r="J104" i="17"/>
  <c r="I90" i="17"/>
  <c r="H90" i="18" s="1"/>
  <c r="J90" i="17"/>
  <c r="I44" i="17"/>
  <c r="H44" i="18" s="1"/>
  <c r="J44" i="17"/>
  <c r="I32" i="17"/>
  <c r="J32" i="17"/>
  <c r="I24" i="17"/>
  <c r="J24" i="17"/>
  <c r="I316" i="17"/>
  <c r="J316" i="17"/>
  <c r="I308" i="17"/>
  <c r="J308" i="17"/>
  <c r="I296" i="17"/>
  <c r="J296" i="17"/>
  <c r="I266" i="17"/>
  <c r="J266" i="17"/>
  <c r="I208" i="17"/>
  <c r="J208" i="17"/>
  <c r="J200" i="17"/>
  <c r="I200" i="17"/>
  <c r="J176" i="17"/>
  <c r="I176" i="17"/>
  <c r="I168" i="17"/>
  <c r="J168" i="17"/>
  <c r="I160" i="17"/>
  <c r="J160" i="17"/>
  <c r="J152" i="17"/>
  <c r="I152" i="17"/>
  <c r="J154" i="17"/>
  <c r="I154" i="17"/>
  <c r="D359" i="18"/>
  <c r="E359" i="18" s="1"/>
  <c r="F359" i="18" s="1"/>
  <c r="W359" i="18"/>
  <c r="J323" i="17"/>
  <c r="I323" i="17"/>
  <c r="I259" i="17"/>
  <c r="J259" i="17"/>
  <c r="J235" i="17"/>
  <c r="I235" i="17"/>
  <c r="I187" i="17"/>
  <c r="J187" i="17"/>
  <c r="I171" i="17"/>
  <c r="J171" i="17"/>
  <c r="J155" i="17"/>
  <c r="I155" i="17"/>
  <c r="J147" i="17"/>
  <c r="I147" i="17"/>
  <c r="I131" i="17"/>
  <c r="J131" i="17"/>
  <c r="J83" i="17"/>
  <c r="I83" i="17"/>
  <c r="J75" i="17"/>
  <c r="I75" i="17"/>
  <c r="J59" i="17"/>
  <c r="I59" i="17"/>
  <c r="J51" i="17"/>
  <c r="I51" i="17"/>
  <c r="J35" i="17"/>
  <c r="I35" i="17"/>
  <c r="J27" i="17"/>
  <c r="I27" i="17"/>
  <c r="J249" i="17"/>
  <c r="I249" i="17"/>
  <c r="J241" i="17"/>
  <c r="I241" i="17"/>
  <c r="J197" i="17"/>
  <c r="I197" i="17"/>
  <c r="I149" i="17"/>
  <c r="J149" i="17"/>
  <c r="I141" i="17"/>
  <c r="J141" i="17"/>
  <c r="I133" i="17"/>
  <c r="J133" i="17"/>
  <c r="W65" i="18"/>
  <c r="D65" i="18"/>
  <c r="E65" i="18" s="1"/>
  <c r="F65" i="18" s="1"/>
  <c r="D41" i="18"/>
  <c r="E41" i="18" s="1"/>
  <c r="F41" i="18" s="1"/>
  <c r="W41" i="18"/>
  <c r="I29" i="17"/>
  <c r="J29" i="17"/>
  <c r="J21" i="17"/>
  <c r="I21" i="17"/>
  <c r="J348" i="17"/>
  <c r="I348" i="17"/>
  <c r="J126" i="17"/>
  <c r="I126" i="17"/>
  <c r="J118" i="17"/>
  <c r="I118" i="17"/>
  <c r="W80" i="18"/>
  <c r="D80" i="18"/>
  <c r="E80" i="18" s="1"/>
  <c r="F80" i="18" s="1"/>
  <c r="AH102" i="20"/>
  <c r="AH98" i="20"/>
  <c r="AH94" i="20"/>
  <c r="AH90" i="20"/>
  <c r="AH86" i="20"/>
  <c r="AH82" i="20"/>
  <c r="AH78" i="20"/>
  <c r="AH74" i="20"/>
  <c r="AH70" i="20"/>
  <c r="AH66" i="20"/>
  <c r="AH64" i="20"/>
  <c r="AH60" i="20"/>
  <c r="AH56" i="20"/>
  <c r="AH52" i="20"/>
  <c r="AH48" i="20"/>
  <c r="AH44" i="20"/>
  <c r="AH40" i="20"/>
  <c r="AH36" i="20"/>
  <c r="AH32" i="20"/>
  <c r="AH28" i="20"/>
  <c r="AH24" i="20"/>
  <c r="AH20" i="20"/>
  <c r="AH16" i="20"/>
  <c r="W377" i="18"/>
  <c r="D377" i="18"/>
  <c r="E377" i="18" s="1"/>
  <c r="F377" i="18" s="1"/>
  <c r="D373" i="18"/>
  <c r="E373" i="18" s="1"/>
  <c r="F373" i="18" s="1"/>
  <c r="W373" i="18"/>
  <c r="D369" i="18"/>
  <c r="E369" i="18" s="1"/>
  <c r="F369" i="18" s="1"/>
  <c r="W369" i="18"/>
  <c r="W365" i="18"/>
  <c r="D365" i="18"/>
  <c r="E365" i="18" s="1"/>
  <c r="F365" i="18" s="1"/>
  <c r="W361" i="18"/>
  <c r="D361" i="18"/>
  <c r="E361" i="18" s="1"/>
  <c r="F361" i="18" s="1"/>
  <c r="W357" i="18"/>
  <c r="D357" i="18"/>
  <c r="E357" i="18" s="1"/>
  <c r="F357" i="18" s="1"/>
  <c r="D353" i="18"/>
  <c r="E353" i="18" s="1"/>
  <c r="F353" i="18" s="1"/>
  <c r="W353" i="18"/>
  <c r="W345" i="18"/>
  <c r="D345" i="18"/>
  <c r="E345" i="18" s="1"/>
  <c r="F345" i="18" s="1"/>
  <c r="W341" i="18"/>
  <c r="D341" i="18"/>
  <c r="E341" i="18" s="1"/>
  <c r="F341" i="18" s="1"/>
  <c r="H341" i="18" s="1"/>
  <c r="D337" i="18"/>
  <c r="E337" i="18" s="1"/>
  <c r="F337" i="18" s="1"/>
  <c r="W337" i="18"/>
  <c r="D78" i="7"/>
  <c r="V333" i="18"/>
  <c r="W329" i="18"/>
  <c r="D329" i="18"/>
  <c r="E329" i="18" s="1"/>
  <c r="F329" i="18" s="1"/>
  <c r="D325" i="18"/>
  <c r="E325" i="18" s="1"/>
  <c r="F325" i="18" s="1"/>
  <c r="W325" i="18"/>
  <c r="D321" i="18"/>
  <c r="E321" i="18" s="1"/>
  <c r="F321" i="18" s="1"/>
  <c r="W321" i="18"/>
  <c r="D315" i="18"/>
  <c r="E315" i="18" s="1"/>
  <c r="F315" i="18" s="1"/>
  <c r="W315" i="18"/>
  <c r="D311" i="18"/>
  <c r="E311" i="18" s="1"/>
  <c r="F311" i="18" s="1"/>
  <c r="W311" i="18"/>
  <c r="W307" i="18"/>
  <c r="D307" i="18"/>
  <c r="E307" i="18" s="1"/>
  <c r="F307" i="18" s="1"/>
  <c r="D303" i="18"/>
  <c r="E303" i="18" s="1"/>
  <c r="F303" i="18" s="1"/>
  <c r="W303" i="18"/>
  <c r="D299" i="18"/>
  <c r="E299" i="18" s="1"/>
  <c r="F299" i="18" s="1"/>
  <c r="W299" i="18"/>
  <c r="D295" i="18"/>
  <c r="E295" i="18" s="1"/>
  <c r="F295" i="18" s="1"/>
  <c r="W295" i="18"/>
  <c r="W291" i="18"/>
  <c r="D291" i="18"/>
  <c r="E291" i="18" s="1"/>
  <c r="F291" i="18" s="1"/>
  <c r="W287" i="18"/>
  <c r="D287" i="18"/>
  <c r="E287" i="18" s="1"/>
  <c r="F287" i="18" s="1"/>
  <c r="W283" i="18"/>
  <c r="D283" i="18"/>
  <c r="E283" i="18" s="1"/>
  <c r="F283" i="18" s="1"/>
  <c r="W279" i="18"/>
  <c r="D279" i="18"/>
  <c r="E279" i="18" s="1"/>
  <c r="F279" i="18" s="1"/>
  <c r="W275" i="18"/>
  <c r="D275" i="18"/>
  <c r="E275" i="18" s="1"/>
  <c r="F275" i="18" s="1"/>
  <c r="D273" i="18"/>
  <c r="E273" i="18" s="1"/>
  <c r="F273" i="18" s="1"/>
  <c r="W273" i="18"/>
  <c r="D271" i="18"/>
  <c r="E271" i="18" s="1"/>
  <c r="F271" i="18" s="1"/>
  <c r="W271" i="18"/>
  <c r="W269" i="18"/>
  <c r="D269" i="18"/>
  <c r="E269" i="18" s="1"/>
  <c r="F269" i="18" s="1"/>
  <c r="W265" i="18"/>
  <c r="D265" i="18"/>
  <c r="E265" i="18" s="1"/>
  <c r="F265" i="18" s="1"/>
  <c r="D263" i="18"/>
  <c r="E263" i="18" s="1"/>
  <c r="F263" i="18" s="1"/>
  <c r="W263" i="18"/>
  <c r="W261" i="18"/>
  <c r="D261" i="18"/>
  <c r="E261" i="18" s="1"/>
  <c r="F261" i="18" s="1"/>
  <c r="W259" i="18"/>
  <c r="D259" i="18"/>
  <c r="E259" i="18" s="1"/>
  <c r="F259" i="18" s="1"/>
  <c r="D257" i="18"/>
  <c r="E257" i="18" s="1"/>
  <c r="F257" i="18" s="1"/>
  <c r="W257" i="18"/>
  <c r="D255" i="18"/>
  <c r="E255" i="18" s="1"/>
  <c r="F255" i="18" s="1"/>
  <c r="W255" i="18"/>
  <c r="W253" i="18"/>
  <c r="D253" i="18"/>
  <c r="E253" i="18" s="1"/>
  <c r="F253" i="18" s="1"/>
  <c r="H253" i="18" s="1"/>
  <c r="D251" i="18"/>
  <c r="E251" i="18" s="1"/>
  <c r="F251" i="18" s="1"/>
  <c r="W251" i="18"/>
  <c r="W249" i="18"/>
  <c r="D249" i="18"/>
  <c r="E249" i="18" s="1"/>
  <c r="F249" i="18" s="1"/>
  <c r="W247" i="18"/>
  <c r="D247" i="18"/>
  <c r="E247" i="18" s="1"/>
  <c r="F247" i="18" s="1"/>
  <c r="W245" i="18"/>
  <c r="D245" i="18"/>
  <c r="E245" i="18" s="1"/>
  <c r="F245" i="18" s="1"/>
  <c r="H245" i="18" s="1"/>
  <c r="W243" i="18"/>
  <c r="D243" i="18"/>
  <c r="E243" i="18" s="1"/>
  <c r="F243" i="18" s="1"/>
  <c r="H243" i="18" s="1"/>
  <c r="D75" i="7"/>
  <c r="V241" i="18"/>
  <c r="I65" i="19" s="1"/>
  <c r="W239" i="18"/>
  <c r="D239" i="18"/>
  <c r="E239" i="18" s="1"/>
  <c r="F239" i="18" s="1"/>
  <c r="D237" i="18"/>
  <c r="E237" i="18" s="1"/>
  <c r="F237" i="18" s="1"/>
  <c r="W237" i="18"/>
  <c r="W235" i="18"/>
  <c r="D235" i="18"/>
  <c r="E235" i="18" s="1"/>
  <c r="F235" i="18" s="1"/>
  <c r="W233" i="18"/>
  <c r="D233" i="18"/>
  <c r="E233" i="18" s="1"/>
  <c r="F233" i="18" s="1"/>
  <c r="D231" i="18"/>
  <c r="E231" i="18" s="1"/>
  <c r="F231" i="18" s="1"/>
  <c r="W231" i="18"/>
  <c r="W229" i="18"/>
  <c r="D229" i="18"/>
  <c r="E229" i="18" s="1"/>
  <c r="F229" i="18" s="1"/>
  <c r="D225" i="18"/>
  <c r="E225" i="18" s="1"/>
  <c r="F225" i="18" s="1"/>
  <c r="W225" i="18"/>
  <c r="D223" i="18"/>
  <c r="E223" i="18" s="1"/>
  <c r="F223" i="18" s="1"/>
  <c r="W223" i="18"/>
  <c r="D221" i="18"/>
  <c r="E221" i="18" s="1"/>
  <c r="F221" i="18" s="1"/>
  <c r="W221" i="18"/>
  <c r="W219" i="18"/>
  <c r="D219" i="18"/>
  <c r="E219" i="18" s="1"/>
  <c r="F219" i="18" s="1"/>
  <c r="W217" i="18"/>
  <c r="D217" i="18"/>
  <c r="E217" i="18" s="1"/>
  <c r="F217" i="18" s="1"/>
  <c r="W215" i="18"/>
  <c r="D215" i="18"/>
  <c r="E215" i="18" s="1"/>
  <c r="F215" i="18" s="1"/>
  <c r="W213" i="18"/>
  <c r="D213" i="18"/>
  <c r="E213" i="18" s="1"/>
  <c r="F213" i="18" s="1"/>
  <c r="D211" i="18"/>
  <c r="E211" i="18" s="1"/>
  <c r="F211" i="18" s="1"/>
  <c r="W211" i="18"/>
  <c r="W209" i="18"/>
  <c r="D209" i="18"/>
  <c r="E209" i="18" s="1"/>
  <c r="F209" i="18" s="1"/>
  <c r="D207" i="18"/>
  <c r="E207" i="18" s="1"/>
  <c r="F207" i="18" s="1"/>
  <c r="W207" i="18"/>
  <c r="W205" i="18"/>
  <c r="D205" i="18"/>
  <c r="E205" i="18" s="1"/>
  <c r="F205" i="18" s="1"/>
  <c r="W203" i="18"/>
  <c r="D203" i="18"/>
  <c r="E203" i="18" s="1"/>
  <c r="F203" i="18" s="1"/>
  <c r="W201" i="18"/>
  <c r="D201" i="18"/>
  <c r="E201" i="18" s="1"/>
  <c r="F201" i="18" s="1"/>
  <c r="D199" i="18"/>
  <c r="E199" i="18" s="1"/>
  <c r="F199" i="18" s="1"/>
  <c r="W199" i="18"/>
  <c r="D197" i="18"/>
  <c r="E197" i="18" s="1"/>
  <c r="F197" i="18" s="1"/>
  <c r="W197" i="18"/>
  <c r="D195" i="18"/>
  <c r="E195" i="18" s="1"/>
  <c r="F195" i="18" s="1"/>
  <c r="W195" i="18"/>
  <c r="W193" i="18"/>
  <c r="D193" i="18"/>
  <c r="E193" i="18" s="1"/>
  <c r="F193" i="18" s="1"/>
  <c r="H193" i="18" s="1"/>
  <c r="W191" i="18"/>
  <c r="D191" i="18"/>
  <c r="E191" i="18" s="1"/>
  <c r="F191" i="18" s="1"/>
  <c r="W189" i="18"/>
  <c r="D189" i="18"/>
  <c r="E189" i="18" s="1"/>
  <c r="F189" i="18" s="1"/>
  <c r="W187" i="18"/>
  <c r="D187" i="18"/>
  <c r="E187" i="18" s="1"/>
  <c r="F187" i="18" s="1"/>
  <c r="W185" i="18"/>
  <c r="D185" i="18"/>
  <c r="E185" i="18" s="1"/>
  <c r="F185" i="18" s="1"/>
  <c r="D183" i="18"/>
  <c r="E183" i="18" s="1"/>
  <c r="F183" i="18" s="1"/>
  <c r="W183" i="18"/>
  <c r="D181" i="18"/>
  <c r="E181" i="18" s="1"/>
  <c r="F181" i="18" s="1"/>
  <c r="W181" i="18"/>
  <c r="W179" i="18"/>
  <c r="D179" i="18"/>
  <c r="E179" i="18" s="1"/>
  <c r="F179" i="18" s="1"/>
  <c r="W177" i="18"/>
  <c r="D177" i="18"/>
  <c r="E177" i="18" s="1"/>
  <c r="F177" i="18" s="1"/>
  <c r="D175" i="18"/>
  <c r="E175" i="18" s="1"/>
  <c r="F175" i="18" s="1"/>
  <c r="W175" i="18"/>
  <c r="W173" i="18"/>
  <c r="D173" i="18"/>
  <c r="E173" i="18" s="1"/>
  <c r="F173" i="18" s="1"/>
  <c r="D171" i="18"/>
  <c r="E171" i="18" s="1"/>
  <c r="F171" i="18" s="1"/>
  <c r="W171" i="18"/>
  <c r="D169" i="18"/>
  <c r="E169" i="18" s="1"/>
  <c r="F169" i="18" s="1"/>
  <c r="W169" i="18"/>
  <c r="D167" i="18"/>
  <c r="E167" i="18" s="1"/>
  <c r="F167" i="18" s="1"/>
  <c r="W167" i="18"/>
  <c r="W165" i="18"/>
  <c r="D165" i="18"/>
  <c r="E165" i="18" s="1"/>
  <c r="F165" i="18" s="1"/>
  <c r="D163" i="18"/>
  <c r="E163" i="18" s="1"/>
  <c r="F163" i="18" s="1"/>
  <c r="W163" i="18"/>
  <c r="D161" i="18"/>
  <c r="E161" i="18" s="1"/>
  <c r="F161" i="18" s="1"/>
  <c r="W161" i="18"/>
  <c r="W159" i="18"/>
  <c r="D159" i="18"/>
  <c r="E159" i="18" s="1"/>
  <c r="F159" i="18" s="1"/>
  <c r="D157" i="18"/>
  <c r="E157" i="18" s="1"/>
  <c r="F157" i="18" s="1"/>
  <c r="W157" i="18"/>
  <c r="W155" i="18"/>
  <c r="D155" i="18"/>
  <c r="E155" i="18" s="1"/>
  <c r="F155" i="18" s="1"/>
  <c r="W153" i="18"/>
  <c r="D153" i="18"/>
  <c r="E153" i="18" s="1"/>
  <c r="F153" i="18" s="1"/>
  <c r="W151" i="18"/>
  <c r="D151" i="18"/>
  <c r="E151" i="18" s="1"/>
  <c r="F151" i="18" s="1"/>
  <c r="D72" i="7"/>
  <c r="V149" i="18"/>
  <c r="F65" i="19" s="1"/>
  <c r="D145" i="18"/>
  <c r="E145" i="18" s="1"/>
  <c r="F145" i="18" s="1"/>
  <c r="W145" i="18"/>
  <c r="W143" i="18"/>
  <c r="D143" i="18"/>
  <c r="E143" i="18" s="1"/>
  <c r="F143" i="18" s="1"/>
  <c r="W141" i="18"/>
  <c r="D141" i="18"/>
  <c r="E141" i="18" s="1"/>
  <c r="F141" i="18" s="1"/>
  <c r="W139" i="18"/>
  <c r="D139" i="18"/>
  <c r="E139" i="18" s="1"/>
  <c r="F139" i="18" s="1"/>
  <c r="D137" i="18"/>
  <c r="E137" i="18" s="1"/>
  <c r="F137" i="18" s="1"/>
  <c r="W137" i="18"/>
  <c r="W133" i="18"/>
  <c r="D133" i="18"/>
  <c r="E133" i="18" s="1"/>
  <c r="F133" i="18" s="1"/>
  <c r="W131" i="18"/>
  <c r="D131" i="18"/>
  <c r="E131" i="18" s="1"/>
  <c r="F131" i="18" s="1"/>
  <c r="D129" i="18"/>
  <c r="E129" i="18" s="1"/>
  <c r="F129" i="18" s="1"/>
  <c r="W129" i="18"/>
  <c r="W127" i="18"/>
  <c r="D127" i="18"/>
  <c r="E127" i="18" s="1"/>
  <c r="F127" i="18" s="1"/>
  <c r="W125" i="18"/>
  <c r="D125" i="18"/>
  <c r="E125" i="18" s="1"/>
  <c r="F125" i="18" s="1"/>
  <c r="D71" i="7"/>
  <c r="V119" i="18"/>
  <c r="D117" i="18"/>
  <c r="E117" i="18" s="1"/>
  <c r="F117" i="18" s="1"/>
  <c r="W117" i="18"/>
  <c r="W111" i="18"/>
  <c r="D111" i="18"/>
  <c r="E111" i="18" s="1"/>
  <c r="F111" i="18" s="1"/>
  <c r="W103" i="18"/>
  <c r="D103" i="18"/>
  <c r="E103" i="18" s="1"/>
  <c r="F103" i="18" s="1"/>
  <c r="H103" i="18" s="1"/>
  <c r="W101" i="18"/>
  <c r="D101" i="18"/>
  <c r="E101" i="18" s="1"/>
  <c r="F101" i="18" s="1"/>
  <c r="D99" i="18"/>
  <c r="E99" i="18" s="1"/>
  <c r="F99" i="18" s="1"/>
  <c r="H99" i="18" s="1"/>
  <c r="W99" i="18"/>
  <c r="D93" i="18"/>
  <c r="E93" i="18" s="1"/>
  <c r="F93" i="18" s="1"/>
  <c r="W93" i="18"/>
  <c r="D91" i="18"/>
  <c r="E91" i="18" s="1"/>
  <c r="F91" i="18" s="1"/>
  <c r="W91" i="18"/>
  <c r="W85" i="18"/>
  <c r="D85" i="18"/>
  <c r="E85" i="18" s="1"/>
  <c r="F85" i="18" s="1"/>
  <c r="H85" i="18" s="1"/>
  <c r="W83" i="18"/>
  <c r="D83" i="18"/>
  <c r="E83" i="18" s="1"/>
  <c r="F83" i="18" s="1"/>
  <c r="D79" i="18"/>
  <c r="E79" i="18" s="1"/>
  <c r="F79" i="18" s="1"/>
  <c r="W79" i="18"/>
  <c r="D75" i="18"/>
  <c r="E75" i="18" s="1"/>
  <c r="F75" i="18" s="1"/>
  <c r="W75" i="18"/>
  <c r="D73" i="18"/>
  <c r="E73" i="18" s="1"/>
  <c r="F73" i="18" s="1"/>
  <c r="W73" i="18"/>
  <c r="D71" i="18"/>
  <c r="E71" i="18" s="1"/>
  <c r="F71" i="18" s="1"/>
  <c r="W71" i="18"/>
  <c r="W67" i="18"/>
  <c r="D67" i="18"/>
  <c r="E67" i="18" s="1"/>
  <c r="F67" i="18" s="1"/>
  <c r="W63" i="18"/>
  <c r="D63" i="18"/>
  <c r="E63" i="18" s="1"/>
  <c r="F63" i="18" s="1"/>
  <c r="W61" i="18"/>
  <c r="D61" i="18"/>
  <c r="E61" i="18" s="1"/>
  <c r="F61" i="18" s="1"/>
  <c r="D59" i="18"/>
  <c r="E59" i="18" s="1"/>
  <c r="F59" i="18" s="1"/>
  <c r="W59" i="18"/>
  <c r="W53" i="18"/>
  <c r="D53" i="18"/>
  <c r="E53" i="18" s="1"/>
  <c r="F53" i="18" s="1"/>
  <c r="W39" i="18"/>
  <c r="D39" i="18"/>
  <c r="E39" i="18" s="1"/>
  <c r="F39" i="18" s="1"/>
  <c r="W37" i="18"/>
  <c r="D37" i="18"/>
  <c r="E37" i="18" s="1"/>
  <c r="F37" i="18" s="1"/>
  <c r="D33" i="18"/>
  <c r="E33" i="18" s="1"/>
  <c r="F33" i="18" s="1"/>
  <c r="W33" i="18"/>
  <c r="D31" i="18"/>
  <c r="E31" i="18" s="1"/>
  <c r="F31" i="18" s="1"/>
  <c r="W31" i="18"/>
  <c r="D68" i="7"/>
  <c r="V29" i="18"/>
  <c r="W25" i="18"/>
  <c r="D25" i="18"/>
  <c r="E25" i="18" s="1"/>
  <c r="F25" i="18" s="1"/>
  <c r="D21" i="18"/>
  <c r="E21" i="18" s="1"/>
  <c r="F21" i="18" s="1"/>
  <c r="W21" i="18"/>
  <c r="D19" i="18"/>
  <c r="E19" i="18" s="1"/>
  <c r="F19" i="18" s="1"/>
  <c r="W19" i="18"/>
  <c r="D16" i="18"/>
  <c r="E16" i="18" s="1"/>
  <c r="F16" i="18" s="1"/>
  <c r="W16" i="18"/>
  <c r="P381" i="17"/>
  <c r="V15" i="17"/>
  <c r="F15" i="17" s="1"/>
  <c r="P382" i="17"/>
  <c r="P383" i="17"/>
  <c r="J346" i="17"/>
  <c r="I346" i="17"/>
  <c r="I332" i="17"/>
  <c r="J332" i="17"/>
  <c r="W116" i="18"/>
  <c r="D116" i="18"/>
  <c r="E116" i="18" s="1"/>
  <c r="F116" i="18" s="1"/>
  <c r="D108" i="18"/>
  <c r="E108" i="18" s="1"/>
  <c r="F108" i="18" s="1"/>
  <c r="W108" i="18"/>
  <c r="W100" i="18"/>
  <c r="D100" i="18"/>
  <c r="E100" i="18" s="1"/>
  <c r="F100" i="18" s="1"/>
  <c r="I92" i="17"/>
  <c r="J92" i="17"/>
  <c r="I88" i="17"/>
  <c r="J88" i="17"/>
  <c r="J84" i="17"/>
  <c r="I84" i="17"/>
  <c r="J78" i="17"/>
  <c r="I78" i="17"/>
  <c r="J72" i="17"/>
  <c r="I72" i="17"/>
  <c r="J68" i="17"/>
  <c r="I68" i="17"/>
  <c r="W62" i="18"/>
  <c r="D62" i="18"/>
  <c r="E62" i="18" s="1"/>
  <c r="F62" i="18" s="1"/>
  <c r="I58" i="17"/>
  <c r="J58" i="17"/>
  <c r="J52" i="17"/>
  <c r="I52" i="17"/>
  <c r="W48" i="18"/>
  <c r="D48" i="18"/>
  <c r="E48" i="18" s="1"/>
  <c r="F48" i="18" s="1"/>
  <c r="D46" i="18"/>
  <c r="E46" i="18" s="1"/>
  <c r="F46" i="18" s="1"/>
  <c r="W46" i="18"/>
  <c r="W42" i="18"/>
  <c r="D42" i="18"/>
  <c r="E42" i="18" s="1"/>
  <c r="F42" i="18" s="1"/>
  <c r="W34" i="18"/>
  <c r="D34" i="18"/>
  <c r="E34" i="18" s="1"/>
  <c r="F34" i="18" s="1"/>
  <c r="W22" i="18"/>
  <c r="D22" i="18"/>
  <c r="E22" i="18" s="1"/>
  <c r="F22" i="18" s="1"/>
  <c r="W378" i="18"/>
  <c r="D378" i="18"/>
  <c r="E378" i="18" s="1"/>
  <c r="F378" i="18" s="1"/>
  <c r="D376" i="18"/>
  <c r="E376" i="18" s="1"/>
  <c r="F376" i="18" s="1"/>
  <c r="W376" i="18"/>
  <c r="W374" i="18"/>
  <c r="D374" i="18"/>
  <c r="E374" i="18" s="1"/>
  <c r="F374" i="18" s="1"/>
  <c r="D372" i="18"/>
  <c r="E372" i="18" s="1"/>
  <c r="F372" i="18" s="1"/>
  <c r="W372" i="18"/>
  <c r="D370" i="18"/>
  <c r="E370" i="18" s="1"/>
  <c r="F370" i="18" s="1"/>
  <c r="W370" i="18"/>
  <c r="W368" i="18"/>
  <c r="D368" i="18"/>
  <c r="E368" i="18" s="1"/>
  <c r="F368" i="18" s="1"/>
  <c r="W366" i="18"/>
  <c r="D366" i="18"/>
  <c r="E366" i="18" s="1"/>
  <c r="F366" i="18" s="1"/>
  <c r="W364" i="18"/>
  <c r="D364" i="18"/>
  <c r="E364" i="18" s="1"/>
  <c r="F364" i="18" s="1"/>
  <c r="W362" i="18"/>
  <c r="D362" i="18"/>
  <c r="E362" i="18" s="1"/>
  <c r="F362" i="18" s="1"/>
  <c r="W360" i="18"/>
  <c r="D360" i="18"/>
  <c r="E360" i="18" s="1"/>
  <c r="F360" i="18" s="1"/>
  <c r="D358" i="18"/>
  <c r="E358" i="18" s="1"/>
  <c r="F358" i="18" s="1"/>
  <c r="W358" i="18"/>
  <c r="W356" i="18"/>
  <c r="D356" i="18"/>
  <c r="E356" i="18" s="1"/>
  <c r="F356" i="18" s="1"/>
  <c r="H356" i="18" s="1"/>
  <c r="W354" i="18"/>
  <c r="D354" i="18"/>
  <c r="E354" i="18" s="1"/>
  <c r="F354" i="18" s="1"/>
  <c r="H354" i="18" s="1"/>
  <c r="D352" i="18"/>
  <c r="E352" i="18" s="1"/>
  <c r="F352" i="18" s="1"/>
  <c r="W352" i="18"/>
  <c r="W350" i="18"/>
  <c r="D350" i="18"/>
  <c r="E350" i="18" s="1"/>
  <c r="F350" i="18" s="1"/>
  <c r="D348" i="18"/>
  <c r="E348" i="18" s="1"/>
  <c r="F348" i="18" s="1"/>
  <c r="W348" i="18"/>
  <c r="W346" i="18"/>
  <c r="D346" i="18"/>
  <c r="E346" i="18" s="1"/>
  <c r="F346" i="18" s="1"/>
  <c r="D344" i="18"/>
  <c r="E344" i="18" s="1"/>
  <c r="F344" i="18" s="1"/>
  <c r="W344" i="18"/>
  <c r="D342" i="18"/>
  <c r="E342" i="18" s="1"/>
  <c r="F342" i="18" s="1"/>
  <c r="W342" i="18"/>
  <c r="D340" i="18"/>
  <c r="E340" i="18" s="1"/>
  <c r="F340" i="18" s="1"/>
  <c r="W340" i="18"/>
  <c r="W338" i="18"/>
  <c r="D338" i="18"/>
  <c r="E338" i="18" s="1"/>
  <c r="F338" i="18" s="1"/>
  <c r="D336" i="18"/>
  <c r="E336" i="18" s="1"/>
  <c r="F336" i="18" s="1"/>
  <c r="W336" i="18"/>
  <c r="W334" i="18"/>
  <c r="D334" i="18"/>
  <c r="E334" i="18" s="1"/>
  <c r="F334" i="18" s="1"/>
  <c r="D330" i="18"/>
  <c r="E330" i="18" s="1"/>
  <c r="F330" i="18" s="1"/>
  <c r="W330" i="18"/>
  <c r="D328" i="18"/>
  <c r="E328" i="18" s="1"/>
  <c r="F328" i="18" s="1"/>
  <c r="W328" i="18"/>
  <c r="D326" i="18"/>
  <c r="E326" i="18" s="1"/>
  <c r="F326" i="18" s="1"/>
  <c r="W326" i="18"/>
  <c r="D324" i="18"/>
  <c r="E324" i="18" s="1"/>
  <c r="F324" i="18" s="1"/>
  <c r="W324" i="18"/>
  <c r="W322" i="18"/>
  <c r="D322" i="18"/>
  <c r="E322" i="18" s="1"/>
  <c r="F322" i="18" s="1"/>
  <c r="D320" i="18"/>
  <c r="E320" i="18" s="1"/>
  <c r="F320" i="18" s="1"/>
  <c r="W320" i="18"/>
  <c r="W318" i="18"/>
  <c r="D318" i="18"/>
  <c r="E318" i="18" s="1"/>
  <c r="F318" i="18" s="1"/>
  <c r="W316" i="18"/>
  <c r="D316" i="18"/>
  <c r="E316" i="18" s="1"/>
  <c r="F316" i="18" s="1"/>
  <c r="W314" i="18"/>
  <c r="D314" i="18"/>
  <c r="E314" i="18" s="1"/>
  <c r="F314" i="18" s="1"/>
  <c r="W312" i="18"/>
  <c r="D312" i="18"/>
  <c r="E312" i="18" s="1"/>
  <c r="F312" i="18" s="1"/>
  <c r="W310" i="18"/>
  <c r="D310" i="18"/>
  <c r="E310" i="18" s="1"/>
  <c r="F310" i="18" s="1"/>
  <c r="D308" i="18"/>
  <c r="E308" i="18" s="1"/>
  <c r="F308" i="18" s="1"/>
  <c r="W308" i="18"/>
  <c r="W306" i="18"/>
  <c r="D306" i="18"/>
  <c r="E306" i="18" s="1"/>
  <c r="F306" i="18" s="1"/>
  <c r="H306" i="18" s="1"/>
  <c r="D304" i="18"/>
  <c r="E304" i="18" s="1"/>
  <c r="F304" i="18" s="1"/>
  <c r="W304" i="18"/>
  <c r="D77" i="7"/>
  <c r="V302" i="18"/>
  <c r="W300" i="18"/>
  <c r="D300" i="18"/>
  <c r="E300" i="18" s="1"/>
  <c r="F300" i="18" s="1"/>
  <c r="D298" i="18"/>
  <c r="E298" i="18" s="1"/>
  <c r="F298" i="18" s="1"/>
  <c r="W298" i="18"/>
  <c r="D296" i="18"/>
  <c r="E296" i="18" s="1"/>
  <c r="F296" i="18" s="1"/>
  <c r="W296" i="18"/>
  <c r="W294" i="18"/>
  <c r="D294" i="18"/>
  <c r="E294" i="18" s="1"/>
  <c r="F294" i="18" s="1"/>
  <c r="W292" i="18"/>
  <c r="D292" i="18"/>
  <c r="E292" i="18" s="1"/>
  <c r="F292" i="18" s="1"/>
  <c r="W290" i="18"/>
  <c r="D290" i="18"/>
  <c r="E290" i="18" s="1"/>
  <c r="F290" i="18" s="1"/>
  <c r="W286" i="18"/>
  <c r="D286" i="18"/>
  <c r="E286" i="18" s="1"/>
  <c r="F286" i="18" s="1"/>
  <c r="D284" i="18"/>
  <c r="E284" i="18" s="1"/>
  <c r="F284" i="18" s="1"/>
  <c r="W284" i="18"/>
  <c r="D282" i="18"/>
  <c r="E282" i="18" s="1"/>
  <c r="F282" i="18" s="1"/>
  <c r="W282" i="18"/>
  <c r="W280" i="18"/>
  <c r="D280" i="18"/>
  <c r="E280" i="18" s="1"/>
  <c r="F280" i="18" s="1"/>
  <c r="D278" i="18"/>
  <c r="E278" i="18" s="1"/>
  <c r="F278" i="18" s="1"/>
  <c r="W278" i="18"/>
  <c r="W276" i="18"/>
  <c r="D276" i="18"/>
  <c r="E276" i="18" s="1"/>
  <c r="F276" i="18" s="1"/>
  <c r="D274" i="18"/>
  <c r="E274" i="18" s="1"/>
  <c r="F274" i="18" s="1"/>
  <c r="W274" i="18"/>
  <c r="D76" i="7"/>
  <c r="V272" i="18"/>
  <c r="J65" i="19" s="1"/>
  <c r="D270" i="18"/>
  <c r="E270" i="18" s="1"/>
  <c r="F270" i="18" s="1"/>
  <c r="W270" i="18"/>
  <c r="W268" i="18"/>
  <c r="D268" i="18"/>
  <c r="E268" i="18" s="1"/>
  <c r="F268" i="18" s="1"/>
  <c r="W266" i="18"/>
  <c r="D266" i="18"/>
  <c r="E266" i="18" s="1"/>
  <c r="F266" i="18" s="1"/>
  <c r="W264" i="18"/>
  <c r="D264" i="18"/>
  <c r="E264" i="18" s="1"/>
  <c r="F264" i="18" s="1"/>
  <c r="D262" i="18"/>
  <c r="E262" i="18" s="1"/>
  <c r="F262" i="18" s="1"/>
  <c r="H262" i="18" s="1"/>
  <c r="I262" i="18" s="1"/>
  <c r="B262" i="6" s="1"/>
  <c r="BA262" i="6" s="1"/>
  <c r="D262" i="6" s="1"/>
  <c r="W262" i="18"/>
  <c r="W260" i="18"/>
  <c r="D260" i="18"/>
  <c r="E260" i="18" s="1"/>
  <c r="F260" i="18" s="1"/>
  <c r="W256" i="18"/>
  <c r="D256" i="18"/>
  <c r="E256" i="18" s="1"/>
  <c r="F256" i="18" s="1"/>
  <c r="W254" i="18"/>
  <c r="D254" i="18"/>
  <c r="E254" i="18" s="1"/>
  <c r="F254" i="18" s="1"/>
  <c r="D252" i="18"/>
  <c r="E252" i="18" s="1"/>
  <c r="F252" i="18" s="1"/>
  <c r="H252" i="18" s="1"/>
  <c r="W252" i="18"/>
  <c r="W250" i="18"/>
  <c r="D250" i="18"/>
  <c r="E250" i="18" s="1"/>
  <c r="F250" i="18" s="1"/>
  <c r="H250" i="18" s="1"/>
  <c r="D248" i="18"/>
  <c r="E248" i="18" s="1"/>
  <c r="F248" i="18" s="1"/>
  <c r="H248" i="18" s="1"/>
  <c r="W248" i="18"/>
  <c r="W246" i="18"/>
  <c r="D246" i="18"/>
  <c r="E246" i="18" s="1"/>
  <c r="F246" i="18" s="1"/>
  <c r="H246" i="18" s="1"/>
  <c r="D244" i="18"/>
  <c r="E244" i="18" s="1"/>
  <c r="F244" i="18" s="1"/>
  <c r="W244" i="18"/>
  <c r="D242" i="18"/>
  <c r="E242" i="18" s="1"/>
  <c r="F242" i="18" s="1"/>
  <c r="W242" i="18"/>
  <c r="W240" i="18"/>
  <c r="D240" i="18"/>
  <c r="E240" i="18" s="1"/>
  <c r="F240" i="18" s="1"/>
  <c r="W238" i="18"/>
  <c r="D238" i="18"/>
  <c r="E238" i="18" s="1"/>
  <c r="F238" i="18" s="1"/>
  <c r="W236" i="18"/>
  <c r="D236" i="18"/>
  <c r="E236" i="18" s="1"/>
  <c r="F236" i="18" s="1"/>
  <c r="W234" i="18"/>
  <c r="D234" i="18"/>
  <c r="E234" i="18" s="1"/>
  <c r="F234" i="18" s="1"/>
  <c r="D232" i="18"/>
  <c r="E232" i="18" s="1"/>
  <c r="F232" i="18" s="1"/>
  <c r="W232" i="18"/>
  <c r="D230" i="18"/>
  <c r="E230" i="18" s="1"/>
  <c r="F230" i="18" s="1"/>
  <c r="W230" i="18"/>
  <c r="D228" i="18"/>
  <c r="E228" i="18" s="1"/>
  <c r="F228" i="18" s="1"/>
  <c r="W228" i="18"/>
  <c r="D226" i="18"/>
  <c r="E226" i="18" s="1"/>
  <c r="F226" i="18" s="1"/>
  <c r="W226" i="18"/>
  <c r="W224" i="18"/>
  <c r="D224" i="18"/>
  <c r="E224" i="18" s="1"/>
  <c r="F224" i="18" s="1"/>
  <c r="W222" i="18"/>
  <c r="D222" i="18"/>
  <c r="E222" i="18" s="1"/>
  <c r="F222" i="18" s="1"/>
  <c r="D220" i="18"/>
  <c r="E220" i="18" s="1"/>
  <c r="F220" i="18" s="1"/>
  <c r="W220" i="18"/>
  <c r="W218" i="18"/>
  <c r="D218" i="18"/>
  <c r="E218" i="18" s="1"/>
  <c r="F218" i="18" s="1"/>
  <c r="D216" i="18"/>
  <c r="E216" i="18" s="1"/>
  <c r="F216" i="18" s="1"/>
  <c r="W216" i="18"/>
  <c r="W214" i="18"/>
  <c r="D214" i="18"/>
  <c r="E214" i="18" s="1"/>
  <c r="F214" i="18" s="1"/>
  <c r="D212" i="18"/>
  <c r="E212" i="18" s="1"/>
  <c r="F212" i="18" s="1"/>
  <c r="W212" i="18"/>
  <c r="D74" i="7"/>
  <c r="V210" i="18"/>
  <c r="H65" i="19" s="1"/>
  <c r="W208" i="18"/>
  <c r="D208" i="18"/>
  <c r="E208" i="18" s="1"/>
  <c r="F208" i="18" s="1"/>
  <c r="W206" i="18"/>
  <c r="D206" i="18"/>
  <c r="E206" i="18" s="1"/>
  <c r="F206" i="18" s="1"/>
  <c r="D204" i="18"/>
  <c r="E204" i="18" s="1"/>
  <c r="F204" i="18" s="1"/>
  <c r="W204" i="18"/>
  <c r="W202" i="18"/>
  <c r="D202" i="18"/>
  <c r="E202" i="18" s="1"/>
  <c r="F202" i="18" s="1"/>
  <c r="D200" i="18"/>
  <c r="E200" i="18" s="1"/>
  <c r="F200" i="18" s="1"/>
  <c r="W200" i="18"/>
  <c r="D198" i="18"/>
  <c r="E198" i="18" s="1"/>
  <c r="F198" i="18" s="1"/>
  <c r="W198" i="18"/>
  <c r="D194" i="18"/>
  <c r="E194" i="18" s="1"/>
  <c r="F194" i="18" s="1"/>
  <c r="W194" i="18"/>
  <c r="D192" i="18"/>
  <c r="E192" i="18" s="1"/>
  <c r="F192" i="18" s="1"/>
  <c r="H192" i="18" s="1"/>
  <c r="W192" i="18"/>
  <c r="W190" i="18"/>
  <c r="D190" i="18"/>
  <c r="E190" i="18" s="1"/>
  <c r="F190" i="18" s="1"/>
  <c r="W188" i="18"/>
  <c r="D188" i="18"/>
  <c r="E188" i="18" s="1"/>
  <c r="F188" i="18" s="1"/>
  <c r="D186" i="18"/>
  <c r="E186" i="18" s="1"/>
  <c r="F186" i="18" s="1"/>
  <c r="W186" i="18"/>
  <c r="D184" i="18"/>
  <c r="E184" i="18" s="1"/>
  <c r="F184" i="18" s="1"/>
  <c r="W184" i="18"/>
  <c r="D73" i="7"/>
  <c r="V180" i="18"/>
  <c r="G65" i="19" s="1"/>
  <c r="D178" i="18"/>
  <c r="E178" i="18" s="1"/>
  <c r="F178" i="18" s="1"/>
  <c r="W178" i="18"/>
  <c r="D176" i="18"/>
  <c r="E176" i="18" s="1"/>
  <c r="F176" i="18" s="1"/>
  <c r="W176" i="18"/>
  <c r="D174" i="18"/>
  <c r="E174" i="18" s="1"/>
  <c r="F174" i="18" s="1"/>
  <c r="W174" i="18"/>
  <c r="W172" i="18"/>
  <c r="D172" i="18"/>
  <c r="E172" i="18" s="1"/>
  <c r="F172" i="18" s="1"/>
  <c r="D170" i="18"/>
  <c r="E170" i="18" s="1"/>
  <c r="F170" i="18" s="1"/>
  <c r="W170" i="18"/>
  <c r="W168" i="18"/>
  <c r="D168" i="18"/>
  <c r="E168" i="18" s="1"/>
  <c r="F168" i="18" s="1"/>
  <c r="D164" i="18"/>
  <c r="E164" i="18" s="1"/>
  <c r="F164" i="18" s="1"/>
  <c r="W164" i="18"/>
  <c r="W162" i="18"/>
  <c r="D162" i="18"/>
  <c r="E162" i="18" s="1"/>
  <c r="F162" i="18" s="1"/>
  <c r="W160" i="18"/>
  <c r="D160" i="18"/>
  <c r="E160" i="18" s="1"/>
  <c r="F160" i="18" s="1"/>
  <c r="D158" i="18"/>
  <c r="E158" i="18" s="1"/>
  <c r="F158" i="18" s="1"/>
  <c r="W158" i="18"/>
  <c r="D156" i="18"/>
  <c r="E156" i="18" s="1"/>
  <c r="F156" i="18" s="1"/>
  <c r="W156" i="18"/>
  <c r="W154" i="18"/>
  <c r="D154" i="18"/>
  <c r="E154" i="18" s="1"/>
  <c r="F154" i="18" s="1"/>
  <c r="W152" i="18"/>
  <c r="D152" i="18"/>
  <c r="E152" i="18" s="1"/>
  <c r="F152" i="18" s="1"/>
  <c r="D150" i="18"/>
  <c r="E150" i="18" s="1"/>
  <c r="F150" i="18" s="1"/>
  <c r="W150" i="18"/>
  <c r="D146" i="18"/>
  <c r="E146" i="18" s="1"/>
  <c r="F146" i="18" s="1"/>
  <c r="W146" i="18"/>
  <c r="W144" i="18"/>
  <c r="D144" i="18"/>
  <c r="E144" i="18" s="1"/>
  <c r="F144" i="18" s="1"/>
  <c r="W140" i="18"/>
  <c r="D140" i="18"/>
  <c r="E140" i="18" s="1"/>
  <c r="F140" i="18" s="1"/>
  <c r="W138" i="18"/>
  <c r="D138" i="18"/>
  <c r="E138" i="18" s="1"/>
  <c r="F138" i="18" s="1"/>
  <c r="W136" i="18"/>
  <c r="D136" i="18"/>
  <c r="E136" i="18" s="1"/>
  <c r="F136" i="18" s="1"/>
  <c r="D134" i="18"/>
  <c r="E134" i="18" s="1"/>
  <c r="F134" i="18" s="1"/>
  <c r="W134" i="18"/>
  <c r="W132" i="18"/>
  <c r="D132" i="18"/>
  <c r="E132" i="18" s="1"/>
  <c r="F132" i="18" s="1"/>
  <c r="D130" i="18"/>
  <c r="E130" i="18" s="1"/>
  <c r="F130" i="18" s="1"/>
  <c r="W130" i="18"/>
  <c r="W128" i="18"/>
  <c r="D128" i="18"/>
  <c r="E128" i="18" s="1"/>
  <c r="F128" i="18" s="1"/>
  <c r="D126" i="18"/>
  <c r="E126" i="18" s="1"/>
  <c r="F126" i="18" s="1"/>
  <c r="W126" i="18"/>
  <c r="W124" i="18"/>
  <c r="D124" i="18"/>
  <c r="E124" i="18" s="1"/>
  <c r="F124" i="18" s="1"/>
  <c r="W120" i="18"/>
  <c r="D120" i="18"/>
  <c r="E120" i="18" s="1"/>
  <c r="F120" i="18" s="1"/>
  <c r="D114" i="18"/>
  <c r="E114" i="18" s="1"/>
  <c r="F114" i="18" s="1"/>
  <c r="W114" i="18"/>
  <c r="W112" i="18"/>
  <c r="D112" i="18"/>
  <c r="E112" i="18" s="1"/>
  <c r="F112" i="18" s="1"/>
  <c r="W110" i="18"/>
  <c r="D110" i="18"/>
  <c r="E110" i="18" s="1"/>
  <c r="F110" i="18" s="1"/>
  <c r="W106" i="18"/>
  <c r="D106" i="18"/>
  <c r="E106" i="18" s="1"/>
  <c r="F106" i="18" s="1"/>
  <c r="W102" i="18"/>
  <c r="D102" i="18"/>
  <c r="E102" i="18" s="1"/>
  <c r="F102" i="18" s="1"/>
  <c r="H102" i="18" s="1"/>
  <c r="D92" i="18"/>
  <c r="E92" i="18" s="1"/>
  <c r="F92" i="18" s="1"/>
  <c r="W92" i="18"/>
  <c r="D70" i="7"/>
  <c r="V88" i="18"/>
  <c r="D65" i="19" s="1"/>
  <c r="D76" i="18"/>
  <c r="E76" i="18" s="1"/>
  <c r="F76" i="18" s="1"/>
  <c r="W76" i="18"/>
  <c r="D64" i="18"/>
  <c r="E64" i="18" s="1"/>
  <c r="F64" i="18" s="1"/>
  <c r="H64" i="18" s="1"/>
  <c r="W64" i="18"/>
  <c r="D69" i="7"/>
  <c r="V60" i="18"/>
  <c r="D58" i="18"/>
  <c r="E58" i="18" s="1"/>
  <c r="F58" i="18" s="1"/>
  <c r="W58" i="18"/>
  <c r="D54" i="18"/>
  <c r="E54" i="18" s="1"/>
  <c r="F54" i="18" s="1"/>
  <c r="H54" i="18" s="1"/>
  <c r="W54" i="18"/>
  <c r="W52" i="18"/>
  <c r="D52" i="18"/>
  <c r="E52" i="18" s="1"/>
  <c r="F52" i="18" s="1"/>
  <c r="D40" i="18"/>
  <c r="E40" i="18" s="1"/>
  <c r="F40" i="18" s="1"/>
  <c r="W40" i="18"/>
  <c r="D38" i="18"/>
  <c r="E38" i="18" s="1"/>
  <c r="F38" i="18" s="1"/>
  <c r="W38" i="18"/>
  <c r="W32" i="18"/>
  <c r="D32" i="18"/>
  <c r="E32" i="18" s="1"/>
  <c r="F32" i="18" s="1"/>
  <c r="D30" i="18"/>
  <c r="E30" i="18" s="1"/>
  <c r="F30" i="18" s="1"/>
  <c r="W30" i="18"/>
  <c r="D26" i="18"/>
  <c r="E26" i="18" s="1"/>
  <c r="F26" i="18" s="1"/>
  <c r="W26" i="18"/>
  <c r="W24" i="18"/>
  <c r="D24" i="18"/>
  <c r="E24" i="18" s="1"/>
  <c r="F24" i="18" s="1"/>
  <c r="W17" i="18"/>
  <c r="D17" i="18"/>
  <c r="E17" i="18" s="1"/>
  <c r="F17" i="18" s="1"/>
  <c r="J378" i="17"/>
  <c r="I378" i="17"/>
  <c r="J288" i="17"/>
  <c r="I288" i="17"/>
  <c r="I284" i="17"/>
  <c r="J284" i="17"/>
  <c r="I280" i="17"/>
  <c r="J280" i="17"/>
  <c r="J276" i="17"/>
  <c r="I276" i="17"/>
  <c r="I272" i="17"/>
  <c r="J272" i="17"/>
  <c r="I254" i="17"/>
  <c r="J254" i="17"/>
  <c r="J238" i="17"/>
  <c r="I238" i="17"/>
  <c r="I230" i="17"/>
  <c r="J230" i="17"/>
  <c r="I222" i="17"/>
  <c r="J222" i="17"/>
  <c r="I214" i="17"/>
  <c r="J214" i="17"/>
  <c r="J188" i="17"/>
  <c r="I188" i="17"/>
  <c r="J377" i="17"/>
  <c r="I377" i="17"/>
  <c r="I365" i="17"/>
  <c r="J365" i="17"/>
  <c r="I353" i="17"/>
  <c r="J353" i="17"/>
  <c r="J359" i="17"/>
  <c r="I359" i="17"/>
  <c r="J267" i="17"/>
  <c r="I267" i="17"/>
  <c r="I329" i="17"/>
  <c r="J329" i="17"/>
  <c r="J114" i="17"/>
  <c r="I114" i="17"/>
  <c r="AH16" i="7"/>
  <c r="AN11" i="7" s="1"/>
  <c r="U11" i="22" s="1"/>
  <c r="T377" i="20"/>
  <c r="T373" i="20"/>
  <c r="T369" i="20"/>
  <c r="T365" i="20"/>
  <c r="T361" i="20"/>
  <c r="T357" i="20"/>
  <c r="T353" i="20"/>
  <c r="T349" i="20"/>
  <c r="T345" i="20"/>
  <c r="T341" i="20"/>
  <c r="T337" i="20"/>
  <c r="T333" i="20"/>
  <c r="T329" i="20"/>
  <c r="T325" i="20"/>
  <c r="T321" i="20"/>
  <c r="T317" i="20"/>
  <c r="T313" i="20"/>
  <c r="T309" i="20"/>
  <c r="T305" i="20"/>
  <c r="T301" i="20"/>
  <c r="T297" i="20"/>
  <c r="T293" i="20"/>
  <c r="T289" i="20"/>
  <c r="T285" i="20"/>
  <c r="T281" i="20"/>
  <c r="T277" i="20"/>
  <c r="T273" i="20"/>
  <c r="T269" i="20"/>
  <c r="T265" i="20"/>
  <c r="T261" i="20"/>
  <c r="T257" i="20"/>
  <c r="T253" i="20"/>
  <c r="T249" i="20"/>
  <c r="T245" i="20"/>
  <c r="T241" i="20"/>
  <c r="T237" i="20"/>
  <c r="T233" i="20"/>
  <c r="T229" i="20"/>
  <c r="T225" i="20"/>
  <c r="T223" i="20"/>
  <c r="T219" i="20"/>
  <c r="T217" i="20"/>
  <c r="T211" i="20"/>
  <c r="T209" i="20"/>
  <c r="T207" i="20"/>
  <c r="T203" i="20"/>
  <c r="T201" i="20"/>
  <c r="T195" i="20"/>
  <c r="T193" i="20"/>
  <c r="T191" i="20"/>
  <c r="T187" i="20"/>
  <c r="T185" i="20"/>
  <c r="T183" i="20"/>
  <c r="T179" i="20"/>
  <c r="T175" i="20"/>
  <c r="T171" i="20"/>
  <c r="T167" i="20"/>
  <c r="T163" i="20"/>
  <c r="T159" i="20"/>
  <c r="T155" i="20"/>
  <c r="T151" i="20"/>
  <c r="T147" i="20"/>
  <c r="T143" i="20"/>
  <c r="T139" i="20"/>
  <c r="T135" i="20"/>
  <c r="T131" i="20"/>
  <c r="T127" i="20"/>
  <c r="T123" i="20"/>
  <c r="T119" i="20"/>
  <c r="T115" i="20"/>
  <c r="T111" i="20"/>
  <c r="T107" i="20"/>
  <c r="T103" i="20"/>
  <c r="T99" i="20"/>
  <c r="T95" i="20"/>
  <c r="T91" i="20"/>
  <c r="T87" i="20"/>
  <c r="T83" i="20"/>
  <c r="T79" i="20"/>
  <c r="T75" i="20"/>
  <c r="T71" i="20"/>
  <c r="T67" i="20"/>
  <c r="T63" i="20"/>
  <c r="T59" i="20"/>
  <c r="T55" i="20"/>
  <c r="T51" i="20"/>
  <c r="T47" i="20"/>
  <c r="T43" i="20"/>
  <c r="T39" i="20"/>
  <c r="T35" i="20"/>
  <c r="T31" i="20"/>
  <c r="T27" i="20"/>
  <c r="T23" i="20"/>
  <c r="T19" i="20"/>
  <c r="T15" i="20"/>
  <c r="AD383" i="17"/>
  <c r="AD381" i="17"/>
  <c r="AD382" i="17"/>
  <c r="J74" i="17"/>
  <c r="I74" i="17"/>
  <c r="D20" i="18"/>
  <c r="E20" i="18" s="1"/>
  <c r="F20" i="18" s="1"/>
  <c r="W20" i="18"/>
  <c r="I258" i="17"/>
  <c r="J258" i="17"/>
  <c r="G166" i="17"/>
  <c r="BZ166" i="6" s="1"/>
  <c r="AA166" i="17"/>
  <c r="Z166" i="17" s="1"/>
  <c r="Y166" i="17" s="1"/>
  <c r="H166" i="17"/>
  <c r="G142" i="17"/>
  <c r="BZ142" i="6" s="1"/>
  <c r="AA142" i="17"/>
  <c r="Z142" i="17" s="1"/>
  <c r="Y142" i="17" s="1"/>
  <c r="H142" i="17"/>
  <c r="I240" i="17"/>
  <c r="J240" i="17"/>
  <c r="I232" i="17"/>
  <c r="J232" i="17"/>
  <c r="I224" i="17"/>
  <c r="J224" i="17"/>
  <c r="I216" i="17"/>
  <c r="J216" i="17"/>
  <c r="I196" i="17"/>
  <c r="J196" i="17"/>
  <c r="J186" i="17"/>
  <c r="I186" i="17"/>
  <c r="I371" i="17"/>
  <c r="J371" i="17"/>
  <c r="J303" i="17"/>
  <c r="I303" i="17"/>
  <c r="I287" i="17"/>
  <c r="J287" i="17"/>
  <c r="I239" i="17"/>
  <c r="J239" i="17"/>
  <c r="I223" i="17"/>
  <c r="J223" i="17"/>
  <c r="I207" i="17"/>
  <c r="J207" i="17"/>
  <c r="I119" i="17"/>
  <c r="J119" i="17"/>
  <c r="J95" i="17"/>
  <c r="I95" i="17"/>
  <c r="I309" i="17"/>
  <c r="J309" i="17"/>
  <c r="I293" i="17"/>
  <c r="J293" i="17"/>
  <c r="I277" i="17"/>
  <c r="J277" i="17"/>
  <c r="I261" i="17"/>
  <c r="J261" i="17"/>
  <c r="I225" i="17"/>
  <c r="J225" i="17"/>
  <c r="I209" i="17"/>
  <c r="J209" i="17"/>
  <c r="I177" i="17"/>
  <c r="J177" i="17"/>
  <c r="J161" i="17"/>
  <c r="I161" i="17"/>
  <c r="J109" i="17"/>
  <c r="I109" i="17"/>
  <c r="I69" i="17"/>
  <c r="J69" i="17"/>
  <c r="J53" i="17"/>
  <c r="I53" i="17"/>
  <c r="I372" i="17"/>
  <c r="J372" i="17"/>
  <c r="J358" i="17"/>
  <c r="I358" i="17"/>
  <c r="I98" i="17"/>
  <c r="J98" i="17"/>
  <c r="J370" i="17"/>
  <c r="I370" i="17"/>
  <c r="J342" i="17"/>
  <c r="I342" i="17"/>
  <c r="J128" i="17"/>
  <c r="I128" i="17"/>
  <c r="I62" i="17"/>
  <c r="J62" i="17"/>
  <c r="J46" i="17"/>
  <c r="I46" i="17"/>
  <c r="J34" i="17"/>
  <c r="I34" i="17"/>
  <c r="J26" i="17"/>
  <c r="I26" i="17"/>
  <c r="J18" i="17"/>
  <c r="I18" i="17"/>
  <c r="I310" i="17"/>
  <c r="J310" i="17"/>
  <c r="J298" i="17"/>
  <c r="I298" i="17"/>
  <c r="I264" i="17"/>
  <c r="J264" i="17"/>
  <c r="I206" i="17"/>
  <c r="J206" i="17"/>
  <c r="I198" i="17"/>
  <c r="J198" i="17"/>
  <c r="I178" i="17"/>
  <c r="J178" i="17"/>
  <c r="J170" i="17"/>
  <c r="I170" i="17"/>
  <c r="I158" i="17"/>
  <c r="J158" i="17"/>
  <c r="J375" i="17"/>
  <c r="I375" i="17"/>
  <c r="I315" i="17"/>
  <c r="J315" i="17"/>
  <c r="J299" i="17"/>
  <c r="I299" i="17"/>
  <c r="J283" i="17"/>
  <c r="I283" i="17"/>
  <c r="I211" i="17"/>
  <c r="J211" i="17"/>
  <c r="I195" i="17"/>
  <c r="J195" i="17"/>
  <c r="J107" i="17"/>
  <c r="I107" i="17"/>
  <c r="I313" i="17"/>
  <c r="J313" i="17"/>
  <c r="J297" i="17"/>
  <c r="I297" i="17"/>
  <c r="I281" i="17"/>
  <c r="J281" i="17"/>
  <c r="I265" i="17"/>
  <c r="J265" i="17"/>
  <c r="I229" i="17"/>
  <c r="J229" i="17"/>
  <c r="I213" i="17"/>
  <c r="J213" i="17"/>
  <c r="I181" i="17"/>
  <c r="J181" i="17"/>
  <c r="I165" i="17"/>
  <c r="J165" i="17"/>
  <c r="I113" i="17"/>
  <c r="J113" i="17"/>
  <c r="I73" i="17"/>
  <c r="J73" i="17"/>
  <c r="I57" i="17"/>
  <c r="J57" i="17"/>
  <c r="I41" i="17"/>
  <c r="J41" i="17"/>
  <c r="I368" i="17"/>
  <c r="J368" i="17"/>
  <c r="J94" i="17"/>
  <c r="I94" i="17"/>
  <c r="J366" i="17"/>
  <c r="I366" i="17"/>
  <c r="I140" i="17"/>
  <c r="J140" i="17"/>
  <c r="I124" i="17"/>
  <c r="J124" i="17"/>
  <c r="Z124" i="17"/>
  <c r="I108" i="17"/>
  <c r="J108" i="17"/>
  <c r="J96" i="17"/>
  <c r="I96" i="17"/>
  <c r="I48" i="17"/>
  <c r="J48" i="17"/>
  <c r="I36" i="17"/>
  <c r="J36" i="17"/>
  <c r="I28" i="17"/>
  <c r="J28" i="17"/>
  <c r="J20" i="17"/>
  <c r="I20" i="17"/>
  <c r="J312" i="17"/>
  <c r="I312" i="17"/>
  <c r="I300" i="17"/>
  <c r="J300" i="17"/>
  <c r="J292" i="17"/>
  <c r="I292" i="17"/>
  <c r="I204" i="17"/>
  <c r="J204" i="17"/>
  <c r="J180" i="17"/>
  <c r="I180" i="17"/>
  <c r="I172" i="17"/>
  <c r="J172" i="17"/>
  <c r="I164" i="17"/>
  <c r="J164" i="17"/>
  <c r="I156" i="17"/>
  <c r="J156" i="17"/>
  <c r="I144" i="17"/>
  <c r="J144" i="17"/>
  <c r="J146" i="17"/>
  <c r="I146" i="17"/>
  <c r="U382" i="20" l="1"/>
  <c r="T379" i="20"/>
  <c r="T381" i="20" s="1"/>
  <c r="U383" i="20"/>
  <c r="D379" i="18"/>
  <c r="E379" i="18" s="1"/>
  <c r="F379" i="18" s="1"/>
  <c r="AA379" i="18" s="1"/>
  <c r="Z379" i="18" s="1"/>
  <c r="Y379" i="18" s="1"/>
  <c r="U381" i="20"/>
  <c r="H115" i="18"/>
  <c r="J115" i="18" s="1"/>
  <c r="C115" i="6" s="1"/>
  <c r="H77" i="18"/>
  <c r="J77" i="18" s="1"/>
  <c r="C77" i="6" s="1"/>
  <c r="H182" i="18"/>
  <c r="I182" i="18" s="1"/>
  <c r="B182" i="6" s="1"/>
  <c r="BA182" i="6" s="1"/>
  <c r="D182" i="6" s="1"/>
  <c r="H66" i="18"/>
  <c r="I66" i="18" s="1"/>
  <c r="B66" i="6" s="1"/>
  <c r="BA66" i="6" s="1"/>
  <c r="D66" i="6" s="1"/>
  <c r="H70" i="18"/>
  <c r="J70" i="18" s="1"/>
  <c r="C70" i="6" s="1"/>
  <c r="H82" i="18"/>
  <c r="I82" i="18" s="1"/>
  <c r="B82" i="6" s="1"/>
  <c r="BA82" i="6" s="1"/>
  <c r="D82" i="6" s="1"/>
  <c r="H122" i="18"/>
  <c r="J122" i="18" s="1"/>
  <c r="C122" i="6" s="1"/>
  <c r="H121" i="18"/>
  <c r="I121" i="18" s="1"/>
  <c r="B121" i="6" s="1"/>
  <c r="BA121" i="6" s="1"/>
  <c r="D121" i="6" s="1"/>
  <c r="H23" i="18"/>
  <c r="I23" i="18" s="1"/>
  <c r="B23" i="6" s="1"/>
  <c r="BA23" i="6" s="1"/>
  <c r="D23" i="6" s="1"/>
  <c r="AI105" i="20"/>
  <c r="AH105" i="20" s="1"/>
  <c r="AG105" i="20" s="1"/>
  <c r="AF105" i="20" s="1"/>
  <c r="AD105" i="20" s="1"/>
  <c r="AI107" i="20"/>
  <c r="AH107" i="20" s="1"/>
  <c r="AG107" i="20" s="1"/>
  <c r="AF107" i="20" s="1"/>
  <c r="AD107" i="20" s="1"/>
  <c r="AI109" i="20"/>
  <c r="AH109" i="20" s="1"/>
  <c r="AG109" i="20" s="1"/>
  <c r="AF109" i="20" s="1"/>
  <c r="AD109" i="20" s="1"/>
  <c r="AI111" i="20"/>
  <c r="AH111" i="20" s="1"/>
  <c r="AG111" i="20" s="1"/>
  <c r="AF111" i="20" s="1"/>
  <c r="AD111" i="20" s="1"/>
  <c r="AI113" i="20"/>
  <c r="AH113" i="20" s="1"/>
  <c r="AG113" i="20" s="1"/>
  <c r="AF113" i="20" s="1"/>
  <c r="AD113" i="20" s="1"/>
  <c r="AI115" i="20"/>
  <c r="AH115" i="20" s="1"/>
  <c r="AG115" i="20" s="1"/>
  <c r="AF115" i="20" s="1"/>
  <c r="AD115" i="20" s="1"/>
  <c r="AI117" i="20"/>
  <c r="AH117" i="20" s="1"/>
  <c r="AG117" i="20" s="1"/>
  <c r="AF117" i="20" s="1"/>
  <c r="AD117" i="20" s="1"/>
  <c r="AI119" i="20"/>
  <c r="AH119" i="20" s="1"/>
  <c r="AG119" i="20" s="1"/>
  <c r="AF119" i="20" s="1"/>
  <c r="AD119" i="20" s="1"/>
  <c r="AI121" i="20"/>
  <c r="AH121" i="20" s="1"/>
  <c r="AI123" i="20"/>
  <c r="AH123" i="20" s="1"/>
  <c r="AG123" i="20" s="1"/>
  <c r="AF123" i="20" s="1"/>
  <c r="AD123" i="20" s="1"/>
  <c r="AI125" i="20"/>
  <c r="AH125" i="20" s="1"/>
  <c r="AG125" i="20" s="1"/>
  <c r="AF125" i="20" s="1"/>
  <c r="AD125" i="20" s="1"/>
  <c r="AI127" i="20"/>
  <c r="AH127" i="20" s="1"/>
  <c r="AG127" i="20" s="1"/>
  <c r="AF127" i="20" s="1"/>
  <c r="AD127" i="20" s="1"/>
  <c r="AI129" i="20"/>
  <c r="AH129" i="20" s="1"/>
  <c r="AI131" i="20"/>
  <c r="AH131" i="20" s="1"/>
  <c r="AG131" i="20" s="1"/>
  <c r="AF131" i="20" s="1"/>
  <c r="AD131" i="20" s="1"/>
  <c r="AI133" i="20"/>
  <c r="AH133" i="20" s="1"/>
  <c r="AG133" i="20" s="1"/>
  <c r="AF133" i="20" s="1"/>
  <c r="AD133" i="20" s="1"/>
  <c r="AI135" i="20"/>
  <c r="AH135" i="20" s="1"/>
  <c r="AG135" i="20" s="1"/>
  <c r="AF135" i="20" s="1"/>
  <c r="AD135" i="20" s="1"/>
  <c r="AI137" i="20"/>
  <c r="AH137" i="20" s="1"/>
  <c r="AG137" i="20" s="1"/>
  <c r="AF137" i="20" s="1"/>
  <c r="AD137" i="20" s="1"/>
  <c r="AI139" i="20"/>
  <c r="AH139" i="20" s="1"/>
  <c r="AG139" i="20" s="1"/>
  <c r="AF139" i="20" s="1"/>
  <c r="AD139" i="20" s="1"/>
  <c r="AI141" i="20"/>
  <c r="AH141" i="20" s="1"/>
  <c r="AG141" i="20" s="1"/>
  <c r="AF141" i="20" s="1"/>
  <c r="AD141" i="20" s="1"/>
  <c r="AI143" i="20"/>
  <c r="AH143" i="20" s="1"/>
  <c r="AG143" i="20" s="1"/>
  <c r="AF143" i="20" s="1"/>
  <c r="AD143" i="20" s="1"/>
  <c r="AI145" i="20"/>
  <c r="AH145" i="20" s="1"/>
  <c r="AG145" i="20" s="1"/>
  <c r="AF145" i="20" s="1"/>
  <c r="AD145" i="20" s="1"/>
  <c r="AI147" i="20"/>
  <c r="AH147" i="20" s="1"/>
  <c r="AG147" i="20" s="1"/>
  <c r="AF147" i="20" s="1"/>
  <c r="AD147" i="20" s="1"/>
  <c r="AI149" i="20"/>
  <c r="AH149" i="20" s="1"/>
  <c r="AG149" i="20" s="1"/>
  <c r="AF149" i="20" s="1"/>
  <c r="AD149" i="20" s="1"/>
  <c r="AI151" i="20"/>
  <c r="AH151" i="20" s="1"/>
  <c r="AG151" i="20" s="1"/>
  <c r="AF151" i="20" s="1"/>
  <c r="AD151" i="20" s="1"/>
  <c r="AI153" i="20"/>
  <c r="AH153" i="20" s="1"/>
  <c r="AI155" i="20"/>
  <c r="AH155" i="20" s="1"/>
  <c r="AG155" i="20" s="1"/>
  <c r="AF155" i="20" s="1"/>
  <c r="AD155" i="20" s="1"/>
  <c r="AI157" i="20"/>
  <c r="AH157" i="20" s="1"/>
  <c r="AG157" i="20" s="1"/>
  <c r="AF157" i="20" s="1"/>
  <c r="AD157" i="20" s="1"/>
  <c r="AI159" i="20"/>
  <c r="AH159" i="20" s="1"/>
  <c r="AG159" i="20" s="1"/>
  <c r="AF159" i="20" s="1"/>
  <c r="AD159" i="20" s="1"/>
  <c r="AI161" i="20"/>
  <c r="AH161" i="20" s="1"/>
  <c r="AG161" i="20" s="1"/>
  <c r="AF161" i="20" s="1"/>
  <c r="AD161" i="20" s="1"/>
  <c r="AI163" i="20"/>
  <c r="AH163" i="20" s="1"/>
  <c r="AG163" i="20" s="1"/>
  <c r="AF163" i="20" s="1"/>
  <c r="AD163" i="20" s="1"/>
  <c r="AI165" i="20"/>
  <c r="AH165" i="20" s="1"/>
  <c r="AG165" i="20" s="1"/>
  <c r="AF165" i="20" s="1"/>
  <c r="AD165" i="20" s="1"/>
  <c r="AI167" i="20"/>
  <c r="AH167" i="20" s="1"/>
  <c r="AI169" i="20"/>
  <c r="AH169" i="20" s="1"/>
  <c r="AI171" i="20"/>
  <c r="AH171" i="20" s="1"/>
  <c r="AG171" i="20" s="1"/>
  <c r="AF171" i="20" s="1"/>
  <c r="AD171" i="20" s="1"/>
  <c r="AI173" i="20"/>
  <c r="AH173" i="20" s="1"/>
  <c r="AG173" i="20" s="1"/>
  <c r="AF173" i="20" s="1"/>
  <c r="AD173" i="20" s="1"/>
  <c r="AI175" i="20"/>
  <c r="AH175" i="20" s="1"/>
  <c r="AG175" i="20" s="1"/>
  <c r="AF175" i="20" s="1"/>
  <c r="AD175" i="20" s="1"/>
  <c r="AI177" i="20"/>
  <c r="AH177" i="20" s="1"/>
  <c r="AG177" i="20" s="1"/>
  <c r="AF177" i="20" s="1"/>
  <c r="AD177" i="20" s="1"/>
  <c r="AI179" i="20"/>
  <c r="AH179" i="20" s="1"/>
  <c r="AG179" i="20" s="1"/>
  <c r="AF179" i="20" s="1"/>
  <c r="AD179" i="20" s="1"/>
  <c r="AI181" i="20"/>
  <c r="AH181" i="20" s="1"/>
  <c r="AG181" i="20" s="1"/>
  <c r="AF181" i="20" s="1"/>
  <c r="AD181" i="20" s="1"/>
  <c r="AI183" i="20"/>
  <c r="AH183" i="20" s="1"/>
  <c r="AG183" i="20" s="1"/>
  <c r="AF183" i="20" s="1"/>
  <c r="AD183" i="20" s="1"/>
  <c r="AI185" i="20"/>
  <c r="AH185" i="20" s="1"/>
  <c r="AG185" i="20" s="1"/>
  <c r="AF185" i="20" s="1"/>
  <c r="AD185" i="20" s="1"/>
  <c r="AI187" i="20"/>
  <c r="AH187" i="20" s="1"/>
  <c r="AG187" i="20" s="1"/>
  <c r="AF187" i="20" s="1"/>
  <c r="AD187" i="20" s="1"/>
  <c r="AI189" i="20"/>
  <c r="AH189" i="20" s="1"/>
  <c r="AG189" i="20" s="1"/>
  <c r="AF189" i="20" s="1"/>
  <c r="AD189" i="20" s="1"/>
  <c r="AI191" i="20"/>
  <c r="AH191" i="20" s="1"/>
  <c r="AG191" i="20" s="1"/>
  <c r="AF191" i="20" s="1"/>
  <c r="AD191" i="20" s="1"/>
  <c r="AI193" i="20"/>
  <c r="AH193" i="20" s="1"/>
  <c r="AI195" i="20"/>
  <c r="AH195" i="20" s="1"/>
  <c r="AG195" i="20" s="1"/>
  <c r="AF195" i="20" s="1"/>
  <c r="AD195" i="20" s="1"/>
  <c r="AI197" i="20"/>
  <c r="AH197" i="20" s="1"/>
  <c r="AG197" i="20" s="1"/>
  <c r="AF197" i="20" s="1"/>
  <c r="AD197" i="20" s="1"/>
  <c r="AI199" i="20"/>
  <c r="AH199" i="20" s="1"/>
  <c r="AG199" i="20" s="1"/>
  <c r="AF199" i="20" s="1"/>
  <c r="AD199" i="20" s="1"/>
  <c r="AI201" i="20"/>
  <c r="AH201" i="20" s="1"/>
  <c r="AG201" i="20" s="1"/>
  <c r="AF201" i="20" s="1"/>
  <c r="AD201" i="20" s="1"/>
  <c r="AI203" i="20"/>
  <c r="AH203" i="20" s="1"/>
  <c r="AG203" i="20" s="1"/>
  <c r="AF203" i="20" s="1"/>
  <c r="AD203" i="20" s="1"/>
  <c r="AI205" i="20"/>
  <c r="AH205" i="20" s="1"/>
  <c r="AI207" i="20"/>
  <c r="AH207" i="20" s="1"/>
  <c r="AG207" i="20" s="1"/>
  <c r="AF207" i="20" s="1"/>
  <c r="AD207" i="20" s="1"/>
  <c r="AI209" i="20"/>
  <c r="AH209" i="20" s="1"/>
  <c r="AG209" i="20" s="1"/>
  <c r="AF209" i="20" s="1"/>
  <c r="AD209" i="20" s="1"/>
  <c r="AI211" i="20"/>
  <c r="AH211" i="20" s="1"/>
  <c r="AG211" i="20" s="1"/>
  <c r="AF211" i="20" s="1"/>
  <c r="AD211" i="20" s="1"/>
  <c r="AI213" i="20"/>
  <c r="AH213" i="20" s="1"/>
  <c r="AG213" i="20" s="1"/>
  <c r="AF213" i="20" s="1"/>
  <c r="AD213" i="20" s="1"/>
  <c r="AI215" i="20"/>
  <c r="AH215" i="20" s="1"/>
  <c r="AG215" i="20" s="1"/>
  <c r="AF215" i="20" s="1"/>
  <c r="AD215" i="20" s="1"/>
  <c r="AI217" i="20"/>
  <c r="AH217" i="20" s="1"/>
  <c r="AG217" i="20" s="1"/>
  <c r="AF217" i="20" s="1"/>
  <c r="AD217" i="20" s="1"/>
  <c r="AI219" i="20"/>
  <c r="AH219" i="20" s="1"/>
  <c r="AG219" i="20" s="1"/>
  <c r="AF219" i="20" s="1"/>
  <c r="AD219" i="20" s="1"/>
  <c r="AI221" i="20"/>
  <c r="AH221" i="20" s="1"/>
  <c r="AI223" i="20"/>
  <c r="AH223" i="20" s="1"/>
  <c r="AG223" i="20" s="1"/>
  <c r="AF223" i="20" s="1"/>
  <c r="AD223" i="20" s="1"/>
  <c r="AI225" i="20"/>
  <c r="AH225" i="20" s="1"/>
  <c r="AG225" i="20" s="1"/>
  <c r="AF225" i="20" s="1"/>
  <c r="AD225" i="20" s="1"/>
  <c r="AI227" i="20"/>
  <c r="AH227" i="20" s="1"/>
  <c r="AG227" i="20" s="1"/>
  <c r="AF227" i="20" s="1"/>
  <c r="AD227" i="20" s="1"/>
  <c r="AI229" i="20"/>
  <c r="AH229" i="20" s="1"/>
  <c r="AG229" i="20" s="1"/>
  <c r="AF229" i="20" s="1"/>
  <c r="AD229" i="20" s="1"/>
  <c r="AI231" i="20"/>
  <c r="AH231" i="20" s="1"/>
  <c r="AG231" i="20" s="1"/>
  <c r="AF231" i="20" s="1"/>
  <c r="AD231" i="20" s="1"/>
  <c r="AI233" i="20"/>
  <c r="AH233" i="20" s="1"/>
  <c r="AG233" i="20" s="1"/>
  <c r="AF233" i="20" s="1"/>
  <c r="AD233" i="20" s="1"/>
  <c r="AI235" i="20"/>
  <c r="AH235" i="20" s="1"/>
  <c r="AG235" i="20" s="1"/>
  <c r="AF235" i="20" s="1"/>
  <c r="AD235" i="20" s="1"/>
  <c r="AI237" i="20"/>
  <c r="AH237" i="20" s="1"/>
  <c r="AI239" i="20"/>
  <c r="AH239" i="20" s="1"/>
  <c r="AI241" i="20"/>
  <c r="AH241" i="20" s="1"/>
  <c r="AI243" i="20"/>
  <c r="AH243" i="20" s="1"/>
  <c r="AG243" i="20" s="1"/>
  <c r="AF243" i="20" s="1"/>
  <c r="AD243" i="20" s="1"/>
  <c r="AI245" i="20"/>
  <c r="AH245" i="20" s="1"/>
  <c r="AG245" i="20" s="1"/>
  <c r="AF245" i="20" s="1"/>
  <c r="AD245" i="20" s="1"/>
  <c r="AI247" i="20"/>
  <c r="AH247" i="20" s="1"/>
  <c r="AG247" i="20" s="1"/>
  <c r="AF247" i="20" s="1"/>
  <c r="AD247" i="20" s="1"/>
  <c r="AI249" i="20"/>
  <c r="AH249" i="20" s="1"/>
  <c r="AG249" i="20" s="1"/>
  <c r="AF249" i="20" s="1"/>
  <c r="AD249" i="20" s="1"/>
  <c r="AI251" i="20"/>
  <c r="AH251" i="20" s="1"/>
  <c r="AG251" i="20" s="1"/>
  <c r="AF251" i="20" s="1"/>
  <c r="AD251" i="20" s="1"/>
  <c r="AI253" i="20"/>
  <c r="AH253" i="20" s="1"/>
  <c r="AG253" i="20" s="1"/>
  <c r="AF253" i="20" s="1"/>
  <c r="AD253" i="20" s="1"/>
  <c r="AI255" i="20"/>
  <c r="AH255" i="20" s="1"/>
  <c r="AG255" i="20" s="1"/>
  <c r="AF255" i="20" s="1"/>
  <c r="AD255" i="20" s="1"/>
  <c r="AI257" i="20"/>
  <c r="AH257" i="20" s="1"/>
  <c r="AI259" i="20"/>
  <c r="AH259" i="20" s="1"/>
  <c r="AG259" i="20" s="1"/>
  <c r="AF259" i="20" s="1"/>
  <c r="AD259" i="20" s="1"/>
  <c r="AI261" i="20"/>
  <c r="AH261" i="20" s="1"/>
  <c r="AG261" i="20" s="1"/>
  <c r="AF261" i="20" s="1"/>
  <c r="AD261" i="20" s="1"/>
  <c r="AI263" i="20"/>
  <c r="AH263" i="20" s="1"/>
  <c r="AG263" i="20" s="1"/>
  <c r="AF263" i="20" s="1"/>
  <c r="AD263" i="20" s="1"/>
  <c r="AI265" i="20"/>
  <c r="AH265" i="20" s="1"/>
  <c r="AG265" i="20" s="1"/>
  <c r="AF265" i="20" s="1"/>
  <c r="AD265" i="20" s="1"/>
  <c r="AI267" i="20"/>
  <c r="AH267" i="20" s="1"/>
  <c r="AG267" i="20" s="1"/>
  <c r="AF267" i="20" s="1"/>
  <c r="AD267" i="20" s="1"/>
  <c r="AI269" i="20"/>
  <c r="AH269" i="20" s="1"/>
  <c r="AG269" i="20" s="1"/>
  <c r="AF269" i="20" s="1"/>
  <c r="AD269" i="20" s="1"/>
  <c r="AI271" i="20"/>
  <c r="AH271" i="20" s="1"/>
  <c r="AG271" i="20" s="1"/>
  <c r="AF271" i="20" s="1"/>
  <c r="AD271" i="20" s="1"/>
  <c r="AI273" i="20"/>
  <c r="AH273" i="20" s="1"/>
  <c r="AG273" i="20" s="1"/>
  <c r="AF273" i="20" s="1"/>
  <c r="AD273" i="20" s="1"/>
  <c r="AI104" i="20"/>
  <c r="AI106" i="20"/>
  <c r="AH106" i="20" s="1"/>
  <c r="AI108" i="20"/>
  <c r="AH108" i="20" s="1"/>
  <c r="AG108" i="20" s="1"/>
  <c r="AF108" i="20" s="1"/>
  <c r="AD108" i="20" s="1"/>
  <c r="AI110" i="20"/>
  <c r="AH110" i="20" s="1"/>
  <c r="AG110" i="20" s="1"/>
  <c r="AF110" i="20" s="1"/>
  <c r="AD110" i="20" s="1"/>
  <c r="AI112" i="20"/>
  <c r="AH112" i="20" s="1"/>
  <c r="AG112" i="20" s="1"/>
  <c r="AF112" i="20" s="1"/>
  <c r="AD112" i="20" s="1"/>
  <c r="AI114" i="20"/>
  <c r="AH114" i="20" s="1"/>
  <c r="AI116" i="20"/>
  <c r="AH116" i="20" s="1"/>
  <c r="AG116" i="20" s="1"/>
  <c r="AF116" i="20" s="1"/>
  <c r="AD116" i="20" s="1"/>
  <c r="AI118" i="20"/>
  <c r="AH118" i="20" s="1"/>
  <c r="AG118" i="20" s="1"/>
  <c r="AF118" i="20" s="1"/>
  <c r="AD118" i="20" s="1"/>
  <c r="AI120" i="20"/>
  <c r="AH120" i="20" s="1"/>
  <c r="AG120" i="20" s="1"/>
  <c r="AF120" i="20" s="1"/>
  <c r="AD120" i="20" s="1"/>
  <c r="AI122" i="20"/>
  <c r="AH122" i="20" s="1"/>
  <c r="AG122" i="20" s="1"/>
  <c r="AF122" i="20" s="1"/>
  <c r="AD122" i="20" s="1"/>
  <c r="AI124" i="20"/>
  <c r="AH124" i="20" s="1"/>
  <c r="AI126" i="20"/>
  <c r="AH126" i="20" s="1"/>
  <c r="AI128" i="20"/>
  <c r="AH128" i="20" s="1"/>
  <c r="AG128" i="20" s="1"/>
  <c r="AF128" i="20" s="1"/>
  <c r="AD128" i="20" s="1"/>
  <c r="AI130" i="20"/>
  <c r="AH130" i="20" s="1"/>
  <c r="AG130" i="20" s="1"/>
  <c r="AF130" i="20" s="1"/>
  <c r="AD130" i="20" s="1"/>
  <c r="AI132" i="20"/>
  <c r="AH132" i="20" s="1"/>
  <c r="AG132" i="20" s="1"/>
  <c r="AF132" i="20" s="1"/>
  <c r="AD132" i="20" s="1"/>
  <c r="AI134" i="20"/>
  <c r="AH134" i="20" s="1"/>
  <c r="AG134" i="20" s="1"/>
  <c r="AF134" i="20" s="1"/>
  <c r="AD134" i="20" s="1"/>
  <c r="AI136" i="20"/>
  <c r="AH136" i="20" s="1"/>
  <c r="AG136" i="20" s="1"/>
  <c r="AF136" i="20" s="1"/>
  <c r="AD136" i="20" s="1"/>
  <c r="AI138" i="20"/>
  <c r="AH138" i="20" s="1"/>
  <c r="AI140" i="20"/>
  <c r="AH140" i="20" s="1"/>
  <c r="AG140" i="20" s="1"/>
  <c r="AF140" i="20" s="1"/>
  <c r="AD140" i="20" s="1"/>
  <c r="AI142" i="20"/>
  <c r="AH142" i="20" s="1"/>
  <c r="AG142" i="20" s="1"/>
  <c r="AF142" i="20" s="1"/>
  <c r="AD142" i="20" s="1"/>
  <c r="AI144" i="20"/>
  <c r="AH144" i="20" s="1"/>
  <c r="AI146" i="20"/>
  <c r="AH146" i="20" s="1"/>
  <c r="AG146" i="20" s="1"/>
  <c r="AF146" i="20" s="1"/>
  <c r="AD146" i="20" s="1"/>
  <c r="AI148" i="20"/>
  <c r="AH148" i="20" s="1"/>
  <c r="AI150" i="20"/>
  <c r="AH150" i="20" s="1"/>
  <c r="AI152" i="20"/>
  <c r="AH152" i="20" s="1"/>
  <c r="AG152" i="20" s="1"/>
  <c r="AF152" i="20" s="1"/>
  <c r="AD152" i="20" s="1"/>
  <c r="AI154" i="20"/>
  <c r="AH154" i="20" s="1"/>
  <c r="AG154" i="20" s="1"/>
  <c r="AF154" i="20" s="1"/>
  <c r="AD154" i="20" s="1"/>
  <c r="AI156" i="20"/>
  <c r="AH156" i="20" s="1"/>
  <c r="AG156" i="20" s="1"/>
  <c r="AF156" i="20" s="1"/>
  <c r="AD156" i="20" s="1"/>
  <c r="AI158" i="20"/>
  <c r="AH158" i="20" s="1"/>
  <c r="AI160" i="20"/>
  <c r="AH160" i="20" s="1"/>
  <c r="AG160" i="20" s="1"/>
  <c r="AF160" i="20" s="1"/>
  <c r="AD160" i="20" s="1"/>
  <c r="AI162" i="20"/>
  <c r="AH162" i="20" s="1"/>
  <c r="AG162" i="20" s="1"/>
  <c r="AF162" i="20" s="1"/>
  <c r="AD162" i="20" s="1"/>
  <c r="AI164" i="20"/>
  <c r="AH164" i="20" s="1"/>
  <c r="AI166" i="20"/>
  <c r="AH166" i="20" s="1"/>
  <c r="AI168" i="20"/>
  <c r="AH168" i="20" s="1"/>
  <c r="AG168" i="20" s="1"/>
  <c r="AF168" i="20" s="1"/>
  <c r="AD168" i="20" s="1"/>
  <c r="AI170" i="20"/>
  <c r="AH170" i="20" s="1"/>
  <c r="AG170" i="20" s="1"/>
  <c r="AF170" i="20" s="1"/>
  <c r="AD170" i="20" s="1"/>
  <c r="AI172" i="20"/>
  <c r="AH172" i="20" s="1"/>
  <c r="AG172" i="20" s="1"/>
  <c r="AF172" i="20" s="1"/>
  <c r="AD172" i="20" s="1"/>
  <c r="AI174" i="20"/>
  <c r="AH174" i="20" s="1"/>
  <c r="AI176" i="20"/>
  <c r="AH176" i="20" s="1"/>
  <c r="AG176" i="20" s="1"/>
  <c r="AF176" i="20" s="1"/>
  <c r="AD176" i="20" s="1"/>
  <c r="AI178" i="20"/>
  <c r="AH178" i="20" s="1"/>
  <c r="AG178" i="20" s="1"/>
  <c r="AF178" i="20" s="1"/>
  <c r="AD178" i="20" s="1"/>
  <c r="AI180" i="20"/>
  <c r="AH180" i="20" s="1"/>
  <c r="AG180" i="20" s="1"/>
  <c r="AF180" i="20" s="1"/>
  <c r="AD180" i="20" s="1"/>
  <c r="AI182" i="20"/>
  <c r="AH182" i="20" s="1"/>
  <c r="AI184" i="20"/>
  <c r="AH184" i="20" s="1"/>
  <c r="AG184" i="20" s="1"/>
  <c r="AF184" i="20" s="1"/>
  <c r="AD184" i="20" s="1"/>
  <c r="AI186" i="20"/>
  <c r="AH186" i="20" s="1"/>
  <c r="AG186" i="20" s="1"/>
  <c r="AF186" i="20" s="1"/>
  <c r="AD186" i="20" s="1"/>
  <c r="AI188" i="20"/>
  <c r="AH188" i="20" s="1"/>
  <c r="AI190" i="20"/>
  <c r="AH190" i="20" s="1"/>
  <c r="AI192" i="20"/>
  <c r="AH192" i="20" s="1"/>
  <c r="AG192" i="20" s="1"/>
  <c r="AF192" i="20" s="1"/>
  <c r="AD192" i="20" s="1"/>
  <c r="AI194" i="20"/>
  <c r="AH194" i="20" s="1"/>
  <c r="AG194" i="20" s="1"/>
  <c r="AF194" i="20" s="1"/>
  <c r="AD194" i="20" s="1"/>
  <c r="AI196" i="20"/>
  <c r="AH196" i="20" s="1"/>
  <c r="AG196" i="20" s="1"/>
  <c r="AF196" i="20" s="1"/>
  <c r="AD196" i="20" s="1"/>
  <c r="AI198" i="20"/>
  <c r="AH198" i="20" s="1"/>
  <c r="AG198" i="20" s="1"/>
  <c r="AF198" i="20" s="1"/>
  <c r="AD198" i="20" s="1"/>
  <c r="AI200" i="20"/>
  <c r="AH200" i="20" s="1"/>
  <c r="AG200" i="20" s="1"/>
  <c r="AF200" i="20" s="1"/>
  <c r="AD200" i="20" s="1"/>
  <c r="AI202" i="20"/>
  <c r="AH202" i="20" s="1"/>
  <c r="AI204" i="20"/>
  <c r="AH204" i="20" s="1"/>
  <c r="AI206" i="20"/>
  <c r="AH206" i="20" s="1"/>
  <c r="AG206" i="20" s="1"/>
  <c r="AF206" i="20" s="1"/>
  <c r="AD206" i="20" s="1"/>
  <c r="AI208" i="20"/>
  <c r="AH208" i="20" s="1"/>
  <c r="AG208" i="20" s="1"/>
  <c r="AF208" i="20" s="1"/>
  <c r="AD208" i="20" s="1"/>
  <c r="AI210" i="20"/>
  <c r="AH210" i="20" s="1"/>
  <c r="AI212" i="20"/>
  <c r="AH212" i="20" s="1"/>
  <c r="AG212" i="20" s="1"/>
  <c r="AF212" i="20" s="1"/>
  <c r="AD212" i="20" s="1"/>
  <c r="AI214" i="20"/>
  <c r="AH214" i="20" s="1"/>
  <c r="AG214" i="20" s="1"/>
  <c r="AF214" i="20" s="1"/>
  <c r="AD214" i="20" s="1"/>
  <c r="AI216" i="20"/>
  <c r="AH216" i="20" s="1"/>
  <c r="AG216" i="20" s="1"/>
  <c r="AF216" i="20" s="1"/>
  <c r="AD216" i="20" s="1"/>
  <c r="AI218" i="20"/>
  <c r="AH218" i="20" s="1"/>
  <c r="AI220" i="20"/>
  <c r="AH220" i="20" s="1"/>
  <c r="AI222" i="20"/>
  <c r="AH222" i="20" s="1"/>
  <c r="AG222" i="20" s="1"/>
  <c r="AF222" i="20" s="1"/>
  <c r="AD222" i="20" s="1"/>
  <c r="AI224" i="20"/>
  <c r="AH224" i="20" s="1"/>
  <c r="AG224" i="20" s="1"/>
  <c r="AF224" i="20" s="1"/>
  <c r="AD224" i="20" s="1"/>
  <c r="AI226" i="20"/>
  <c r="AH226" i="20" s="1"/>
  <c r="AI228" i="20"/>
  <c r="AH228" i="20" s="1"/>
  <c r="AG228" i="20" s="1"/>
  <c r="AF228" i="20" s="1"/>
  <c r="AD228" i="20" s="1"/>
  <c r="AI230" i="20"/>
  <c r="AH230" i="20" s="1"/>
  <c r="AG230" i="20" s="1"/>
  <c r="AF230" i="20" s="1"/>
  <c r="AD230" i="20" s="1"/>
  <c r="AI232" i="20"/>
  <c r="AH232" i="20" s="1"/>
  <c r="AG232" i="20" s="1"/>
  <c r="AF232" i="20" s="1"/>
  <c r="AD232" i="20" s="1"/>
  <c r="AI234" i="20"/>
  <c r="AH234" i="20" s="1"/>
  <c r="AG234" i="20" s="1"/>
  <c r="AF234" i="20" s="1"/>
  <c r="AD234" i="20" s="1"/>
  <c r="AI236" i="20"/>
  <c r="AH236" i="20" s="1"/>
  <c r="AI238" i="20"/>
  <c r="AH238" i="20" s="1"/>
  <c r="AI240" i="20"/>
  <c r="AH240" i="20" s="1"/>
  <c r="AG240" i="20" s="1"/>
  <c r="AF240" i="20" s="1"/>
  <c r="AD240" i="20" s="1"/>
  <c r="AI242" i="20"/>
  <c r="AH242" i="20" s="1"/>
  <c r="AG242" i="20" s="1"/>
  <c r="AF242" i="20" s="1"/>
  <c r="AD242" i="20" s="1"/>
  <c r="AI244" i="20"/>
  <c r="AH244" i="20" s="1"/>
  <c r="AG244" i="20" s="1"/>
  <c r="AF244" i="20" s="1"/>
  <c r="AD244" i="20" s="1"/>
  <c r="AI246" i="20"/>
  <c r="AH246" i="20" s="1"/>
  <c r="AI248" i="20"/>
  <c r="AH248" i="20" s="1"/>
  <c r="AG248" i="20" s="1"/>
  <c r="AF248" i="20" s="1"/>
  <c r="AD248" i="20" s="1"/>
  <c r="AI250" i="20"/>
  <c r="AH250" i="20" s="1"/>
  <c r="AG250" i="20" s="1"/>
  <c r="AF250" i="20" s="1"/>
  <c r="AD250" i="20" s="1"/>
  <c r="AI252" i="20"/>
  <c r="AH252" i="20" s="1"/>
  <c r="AG252" i="20" s="1"/>
  <c r="AF252" i="20" s="1"/>
  <c r="AD252" i="20" s="1"/>
  <c r="AI254" i="20"/>
  <c r="AH254" i="20" s="1"/>
  <c r="AI256" i="20"/>
  <c r="AH256" i="20" s="1"/>
  <c r="AG256" i="20" s="1"/>
  <c r="AF256" i="20" s="1"/>
  <c r="AD256" i="20" s="1"/>
  <c r="AI258" i="20"/>
  <c r="AH258" i="20" s="1"/>
  <c r="AG258" i="20" s="1"/>
  <c r="AF258" i="20" s="1"/>
  <c r="AD258" i="20" s="1"/>
  <c r="AI260" i="20"/>
  <c r="AH260" i="20" s="1"/>
  <c r="AG260" i="20" s="1"/>
  <c r="AF260" i="20" s="1"/>
  <c r="AD260" i="20" s="1"/>
  <c r="AI262" i="20"/>
  <c r="AH262" i="20" s="1"/>
  <c r="AI264" i="20"/>
  <c r="AH264" i="20" s="1"/>
  <c r="AI266" i="20"/>
  <c r="AH266" i="20" s="1"/>
  <c r="AG266" i="20" s="1"/>
  <c r="AF266" i="20" s="1"/>
  <c r="AD266" i="20" s="1"/>
  <c r="AI268" i="20"/>
  <c r="AH268" i="20" s="1"/>
  <c r="AG268" i="20" s="1"/>
  <c r="AF268" i="20" s="1"/>
  <c r="AD268" i="20" s="1"/>
  <c r="AI270" i="20"/>
  <c r="AH270" i="20" s="1"/>
  <c r="AI272" i="20"/>
  <c r="AH272" i="20" s="1"/>
  <c r="AG272" i="20" s="1"/>
  <c r="AF272" i="20" s="1"/>
  <c r="AD272" i="20" s="1"/>
  <c r="AI275" i="20"/>
  <c r="AH275" i="20" s="1"/>
  <c r="AG275" i="20" s="1"/>
  <c r="AF275" i="20" s="1"/>
  <c r="AD275" i="20" s="1"/>
  <c r="AI277" i="20"/>
  <c r="AH277" i="20" s="1"/>
  <c r="AI279" i="20"/>
  <c r="AH279" i="20" s="1"/>
  <c r="AG279" i="20" s="1"/>
  <c r="AF279" i="20" s="1"/>
  <c r="AD279" i="20" s="1"/>
  <c r="AI281" i="20"/>
  <c r="AH281" i="20" s="1"/>
  <c r="AG281" i="20" s="1"/>
  <c r="AF281" i="20" s="1"/>
  <c r="AD281" i="20" s="1"/>
  <c r="AI283" i="20"/>
  <c r="AH283" i="20" s="1"/>
  <c r="AG283" i="20" s="1"/>
  <c r="AF283" i="20" s="1"/>
  <c r="AD283" i="20" s="1"/>
  <c r="AI285" i="20"/>
  <c r="AH285" i="20" s="1"/>
  <c r="AG285" i="20" s="1"/>
  <c r="AF285" i="20" s="1"/>
  <c r="AD285" i="20" s="1"/>
  <c r="AI287" i="20"/>
  <c r="AH287" i="20" s="1"/>
  <c r="AG287" i="20" s="1"/>
  <c r="AF287" i="20" s="1"/>
  <c r="AD287" i="20" s="1"/>
  <c r="AI289" i="20"/>
  <c r="AH289" i="20" s="1"/>
  <c r="AG289" i="20" s="1"/>
  <c r="AF289" i="20" s="1"/>
  <c r="AD289" i="20" s="1"/>
  <c r="AI291" i="20"/>
  <c r="AH291" i="20" s="1"/>
  <c r="AG291" i="20" s="1"/>
  <c r="AF291" i="20" s="1"/>
  <c r="AD291" i="20" s="1"/>
  <c r="AI293" i="20"/>
  <c r="AH293" i="20" s="1"/>
  <c r="AG293" i="20" s="1"/>
  <c r="AF293" i="20" s="1"/>
  <c r="AD293" i="20" s="1"/>
  <c r="AI295" i="20"/>
  <c r="AH295" i="20" s="1"/>
  <c r="AG295" i="20" s="1"/>
  <c r="AF295" i="20" s="1"/>
  <c r="AD295" i="20" s="1"/>
  <c r="AI297" i="20"/>
  <c r="AH297" i="20" s="1"/>
  <c r="AG297" i="20" s="1"/>
  <c r="AF297" i="20" s="1"/>
  <c r="AD297" i="20" s="1"/>
  <c r="AI299" i="20"/>
  <c r="AH299" i="20" s="1"/>
  <c r="AG299" i="20" s="1"/>
  <c r="AF299" i="20" s="1"/>
  <c r="AD299" i="20" s="1"/>
  <c r="AI301" i="20"/>
  <c r="AH301" i="20" s="1"/>
  <c r="AG301" i="20" s="1"/>
  <c r="AF301" i="20" s="1"/>
  <c r="AD301" i="20" s="1"/>
  <c r="AI303" i="20"/>
  <c r="AH303" i="20" s="1"/>
  <c r="AG303" i="20" s="1"/>
  <c r="AF303" i="20" s="1"/>
  <c r="AD303" i="20" s="1"/>
  <c r="AI305" i="20"/>
  <c r="AH305" i="20" s="1"/>
  <c r="AG305" i="20" s="1"/>
  <c r="AF305" i="20" s="1"/>
  <c r="AD305" i="20" s="1"/>
  <c r="AI307" i="20"/>
  <c r="AH307" i="20" s="1"/>
  <c r="AG307" i="20" s="1"/>
  <c r="AF307" i="20" s="1"/>
  <c r="AD307" i="20" s="1"/>
  <c r="AI309" i="20"/>
  <c r="AH309" i="20" s="1"/>
  <c r="AG309" i="20" s="1"/>
  <c r="AF309" i="20" s="1"/>
  <c r="AD309" i="20" s="1"/>
  <c r="AI311" i="20"/>
  <c r="AH311" i="20" s="1"/>
  <c r="AI313" i="20"/>
  <c r="AH313" i="20" s="1"/>
  <c r="AG313" i="20" s="1"/>
  <c r="AF313" i="20" s="1"/>
  <c r="AD313" i="20" s="1"/>
  <c r="AI315" i="20"/>
  <c r="AH315" i="20" s="1"/>
  <c r="AI317" i="20"/>
  <c r="AH317" i="20" s="1"/>
  <c r="AG317" i="20" s="1"/>
  <c r="AF317" i="20" s="1"/>
  <c r="AD317" i="20" s="1"/>
  <c r="AI319" i="20"/>
  <c r="AH319" i="20" s="1"/>
  <c r="AI321" i="20"/>
  <c r="AH321" i="20" s="1"/>
  <c r="AG321" i="20" s="1"/>
  <c r="AF321" i="20" s="1"/>
  <c r="AD321" i="20" s="1"/>
  <c r="AI323" i="20"/>
  <c r="AH323" i="20" s="1"/>
  <c r="AI325" i="20"/>
  <c r="AH325" i="20" s="1"/>
  <c r="AG325" i="20" s="1"/>
  <c r="AF325" i="20" s="1"/>
  <c r="AD325" i="20" s="1"/>
  <c r="AI327" i="20"/>
  <c r="AH327" i="20" s="1"/>
  <c r="AG327" i="20" s="1"/>
  <c r="AF327" i="20" s="1"/>
  <c r="AD327" i="20" s="1"/>
  <c r="AI329" i="20"/>
  <c r="AH329" i="20" s="1"/>
  <c r="AG329" i="20" s="1"/>
  <c r="AF329" i="20" s="1"/>
  <c r="AD329" i="20" s="1"/>
  <c r="AI331" i="20"/>
  <c r="AH331" i="20" s="1"/>
  <c r="AI333" i="20"/>
  <c r="AH333" i="20" s="1"/>
  <c r="AG333" i="20" s="1"/>
  <c r="AF333" i="20" s="1"/>
  <c r="AD333" i="20" s="1"/>
  <c r="AI335" i="20"/>
  <c r="AH335" i="20" s="1"/>
  <c r="AG335" i="20" s="1"/>
  <c r="AF335" i="20" s="1"/>
  <c r="AD335" i="20" s="1"/>
  <c r="AI337" i="20"/>
  <c r="AH337" i="20" s="1"/>
  <c r="AG337" i="20" s="1"/>
  <c r="AF337" i="20" s="1"/>
  <c r="AD337" i="20" s="1"/>
  <c r="AI339" i="20"/>
  <c r="AH339" i="20" s="1"/>
  <c r="AG339" i="20" s="1"/>
  <c r="AF339" i="20" s="1"/>
  <c r="AD339" i="20" s="1"/>
  <c r="AI341" i="20"/>
  <c r="AH341" i="20" s="1"/>
  <c r="AG341" i="20" s="1"/>
  <c r="AF341" i="20" s="1"/>
  <c r="AD341" i="20" s="1"/>
  <c r="AI343" i="20"/>
  <c r="AH343" i="20" s="1"/>
  <c r="AG343" i="20" s="1"/>
  <c r="AF343" i="20" s="1"/>
  <c r="AD343" i="20" s="1"/>
  <c r="AI345" i="20"/>
  <c r="AH345" i="20" s="1"/>
  <c r="AG345" i="20" s="1"/>
  <c r="AF345" i="20" s="1"/>
  <c r="AD345" i="20" s="1"/>
  <c r="AI347" i="20"/>
  <c r="AH347" i="20" s="1"/>
  <c r="AI349" i="20"/>
  <c r="AH349" i="20" s="1"/>
  <c r="AG349" i="20" s="1"/>
  <c r="AF349" i="20" s="1"/>
  <c r="AD349" i="20" s="1"/>
  <c r="AI351" i="20"/>
  <c r="AH351" i="20" s="1"/>
  <c r="AI353" i="20"/>
  <c r="AH353" i="20" s="1"/>
  <c r="AG353" i="20" s="1"/>
  <c r="AF353" i="20" s="1"/>
  <c r="AD353" i="20" s="1"/>
  <c r="AI355" i="20"/>
  <c r="AH355" i="20" s="1"/>
  <c r="AI357" i="20"/>
  <c r="AH357" i="20" s="1"/>
  <c r="AG357" i="20" s="1"/>
  <c r="AF357" i="20" s="1"/>
  <c r="AD357" i="20" s="1"/>
  <c r="AI359" i="20"/>
  <c r="AH359" i="20" s="1"/>
  <c r="AG359" i="20" s="1"/>
  <c r="AF359" i="20" s="1"/>
  <c r="AD359" i="20" s="1"/>
  <c r="AI361" i="20"/>
  <c r="AH361" i="20" s="1"/>
  <c r="AG361" i="20" s="1"/>
  <c r="AF361" i="20" s="1"/>
  <c r="AD361" i="20" s="1"/>
  <c r="AI363" i="20"/>
  <c r="AH363" i="20" s="1"/>
  <c r="AI365" i="20"/>
  <c r="AH365" i="20" s="1"/>
  <c r="AG365" i="20" s="1"/>
  <c r="AF365" i="20" s="1"/>
  <c r="AD365" i="20" s="1"/>
  <c r="AI367" i="20"/>
  <c r="AH367" i="20" s="1"/>
  <c r="AG367" i="20" s="1"/>
  <c r="AF367" i="20" s="1"/>
  <c r="AD367" i="20" s="1"/>
  <c r="AI369" i="20"/>
  <c r="AH369" i="20" s="1"/>
  <c r="AG369" i="20" s="1"/>
  <c r="AF369" i="20" s="1"/>
  <c r="AD369" i="20" s="1"/>
  <c r="AI371" i="20"/>
  <c r="AH371" i="20" s="1"/>
  <c r="AG371" i="20" s="1"/>
  <c r="AF371" i="20" s="1"/>
  <c r="AD371" i="20" s="1"/>
  <c r="AI373" i="20"/>
  <c r="AH373" i="20" s="1"/>
  <c r="AI375" i="20"/>
  <c r="AH375" i="20" s="1"/>
  <c r="AG375" i="20" s="1"/>
  <c r="AF375" i="20" s="1"/>
  <c r="AD375" i="20" s="1"/>
  <c r="AI377" i="20"/>
  <c r="AH377" i="20" s="1"/>
  <c r="AG377" i="20" s="1"/>
  <c r="AF377" i="20" s="1"/>
  <c r="AD377" i="20" s="1"/>
  <c r="AI379" i="20"/>
  <c r="AI362" i="20"/>
  <c r="AH362" i="20" s="1"/>
  <c r="AI370" i="20"/>
  <c r="AH370" i="20" s="1"/>
  <c r="AI374" i="20"/>
  <c r="AH374" i="20" s="1"/>
  <c r="AI378" i="20"/>
  <c r="AH378" i="20" s="1"/>
  <c r="AI274" i="20"/>
  <c r="AH274" i="20" s="1"/>
  <c r="AG274" i="20" s="1"/>
  <c r="AF274" i="20" s="1"/>
  <c r="AD274" i="20" s="1"/>
  <c r="AI276" i="20"/>
  <c r="AH276" i="20" s="1"/>
  <c r="AI278" i="20"/>
  <c r="AH278" i="20" s="1"/>
  <c r="AI280" i="20"/>
  <c r="AH280" i="20" s="1"/>
  <c r="AI282" i="20"/>
  <c r="AH282" i="20" s="1"/>
  <c r="AG282" i="20" s="1"/>
  <c r="AF282" i="20" s="1"/>
  <c r="AD282" i="20" s="1"/>
  <c r="AI284" i="20"/>
  <c r="AH284" i="20" s="1"/>
  <c r="AG284" i="20" s="1"/>
  <c r="AF284" i="20" s="1"/>
  <c r="AD284" i="20" s="1"/>
  <c r="AI286" i="20"/>
  <c r="AH286" i="20" s="1"/>
  <c r="AG286" i="20" s="1"/>
  <c r="AF286" i="20" s="1"/>
  <c r="AD286" i="20" s="1"/>
  <c r="AI288" i="20"/>
  <c r="AH288" i="20" s="1"/>
  <c r="AG288" i="20" s="1"/>
  <c r="AF288" i="20" s="1"/>
  <c r="AD288" i="20" s="1"/>
  <c r="AI290" i="20"/>
  <c r="AH290" i="20" s="1"/>
  <c r="AG290" i="20" s="1"/>
  <c r="AF290" i="20" s="1"/>
  <c r="AD290" i="20" s="1"/>
  <c r="AI292" i="20"/>
  <c r="AH292" i="20" s="1"/>
  <c r="AI294" i="20"/>
  <c r="AH294" i="20" s="1"/>
  <c r="AI296" i="20"/>
  <c r="AH296" i="20" s="1"/>
  <c r="AG296" i="20" s="1"/>
  <c r="AF296" i="20" s="1"/>
  <c r="AD296" i="20" s="1"/>
  <c r="AI298" i="20"/>
  <c r="AH298" i="20" s="1"/>
  <c r="AG298" i="20" s="1"/>
  <c r="AF298" i="20" s="1"/>
  <c r="AD298" i="20" s="1"/>
  <c r="AI300" i="20"/>
  <c r="AH300" i="20" s="1"/>
  <c r="AG300" i="20" s="1"/>
  <c r="AF300" i="20" s="1"/>
  <c r="AD300" i="20" s="1"/>
  <c r="AI302" i="20"/>
  <c r="AH302" i="20" s="1"/>
  <c r="AG302" i="20" s="1"/>
  <c r="AF302" i="20" s="1"/>
  <c r="AD302" i="20" s="1"/>
  <c r="AI304" i="20"/>
  <c r="AH304" i="20" s="1"/>
  <c r="AG304" i="20" s="1"/>
  <c r="AF304" i="20" s="1"/>
  <c r="AD304" i="20" s="1"/>
  <c r="AI306" i="20"/>
  <c r="AH306" i="20" s="1"/>
  <c r="AG306" i="20" s="1"/>
  <c r="AF306" i="20" s="1"/>
  <c r="AD306" i="20" s="1"/>
  <c r="AI308" i="20"/>
  <c r="AH308" i="20" s="1"/>
  <c r="AI310" i="20"/>
  <c r="AH310" i="20" s="1"/>
  <c r="AG310" i="20" s="1"/>
  <c r="AF310" i="20" s="1"/>
  <c r="AD310" i="20" s="1"/>
  <c r="AI312" i="20"/>
  <c r="AH312" i="20" s="1"/>
  <c r="AG312" i="20" s="1"/>
  <c r="AF312" i="20" s="1"/>
  <c r="AD312" i="20" s="1"/>
  <c r="AI314" i="20"/>
  <c r="AH314" i="20" s="1"/>
  <c r="AG314" i="20" s="1"/>
  <c r="AF314" i="20" s="1"/>
  <c r="AD314" i="20" s="1"/>
  <c r="AI316" i="20"/>
  <c r="AH316" i="20" s="1"/>
  <c r="AI318" i="20"/>
  <c r="AH318" i="20" s="1"/>
  <c r="AG318" i="20" s="1"/>
  <c r="AF318" i="20" s="1"/>
  <c r="AD318" i="20" s="1"/>
  <c r="AI320" i="20"/>
  <c r="AH320" i="20" s="1"/>
  <c r="AG320" i="20" s="1"/>
  <c r="AF320" i="20" s="1"/>
  <c r="AD320" i="20" s="1"/>
  <c r="AI322" i="20"/>
  <c r="AH322" i="20" s="1"/>
  <c r="AI324" i="20"/>
  <c r="AH324" i="20" s="1"/>
  <c r="AI326" i="20"/>
  <c r="AH326" i="20" s="1"/>
  <c r="AG326" i="20" s="1"/>
  <c r="AF326" i="20" s="1"/>
  <c r="AD326" i="20" s="1"/>
  <c r="AI328" i="20"/>
  <c r="AH328" i="20" s="1"/>
  <c r="AG328" i="20" s="1"/>
  <c r="AF328" i="20" s="1"/>
  <c r="AD328" i="20" s="1"/>
  <c r="AI330" i="20"/>
  <c r="AH330" i="20" s="1"/>
  <c r="AG330" i="20" s="1"/>
  <c r="AF330" i="20" s="1"/>
  <c r="AD330" i="20" s="1"/>
  <c r="AI332" i="20"/>
  <c r="AH332" i="20" s="1"/>
  <c r="AG332" i="20" s="1"/>
  <c r="AF332" i="20" s="1"/>
  <c r="AD332" i="20" s="1"/>
  <c r="AI334" i="20"/>
  <c r="AH334" i="20" s="1"/>
  <c r="AG334" i="20" s="1"/>
  <c r="AF334" i="20" s="1"/>
  <c r="AD334" i="20" s="1"/>
  <c r="AI336" i="20"/>
  <c r="AH336" i="20" s="1"/>
  <c r="AI338" i="20"/>
  <c r="AH338" i="20" s="1"/>
  <c r="AG338" i="20" s="1"/>
  <c r="AF338" i="20" s="1"/>
  <c r="AD338" i="20" s="1"/>
  <c r="AI340" i="20"/>
  <c r="AH340" i="20" s="1"/>
  <c r="AG340" i="20" s="1"/>
  <c r="AF340" i="20" s="1"/>
  <c r="AD340" i="20" s="1"/>
  <c r="AI342" i="20"/>
  <c r="AH342" i="20" s="1"/>
  <c r="AG342" i="20" s="1"/>
  <c r="AF342" i="20" s="1"/>
  <c r="AD342" i="20" s="1"/>
  <c r="AI344" i="20"/>
  <c r="AH344" i="20" s="1"/>
  <c r="AG344" i="20" s="1"/>
  <c r="AF344" i="20" s="1"/>
  <c r="AD344" i="20" s="1"/>
  <c r="AI346" i="20"/>
  <c r="AH346" i="20" s="1"/>
  <c r="AI348" i="20"/>
  <c r="AH348" i="20" s="1"/>
  <c r="AI350" i="20"/>
  <c r="AH350" i="20" s="1"/>
  <c r="AG350" i="20" s="1"/>
  <c r="AF350" i="20" s="1"/>
  <c r="AD350" i="20" s="1"/>
  <c r="AI352" i="20"/>
  <c r="AH352" i="20" s="1"/>
  <c r="AG352" i="20" s="1"/>
  <c r="AF352" i="20" s="1"/>
  <c r="AD352" i="20" s="1"/>
  <c r="AI354" i="20"/>
  <c r="AH354" i="20" s="1"/>
  <c r="AG354" i="20" s="1"/>
  <c r="AF354" i="20" s="1"/>
  <c r="AD354" i="20" s="1"/>
  <c r="AI356" i="20"/>
  <c r="AH356" i="20" s="1"/>
  <c r="AI358" i="20"/>
  <c r="AH358" i="20" s="1"/>
  <c r="AG358" i="20" s="1"/>
  <c r="AF358" i="20" s="1"/>
  <c r="AD358" i="20" s="1"/>
  <c r="AI360" i="20"/>
  <c r="AH360" i="20" s="1"/>
  <c r="AG360" i="20" s="1"/>
  <c r="AF360" i="20" s="1"/>
  <c r="AD360" i="20" s="1"/>
  <c r="AI364" i="20"/>
  <c r="AH364" i="20" s="1"/>
  <c r="AG364" i="20" s="1"/>
  <c r="AF364" i="20" s="1"/>
  <c r="AD364" i="20" s="1"/>
  <c r="AI366" i="20"/>
  <c r="AH366" i="20" s="1"/>
  <c r="AI368" i="20"/>
  <c r="AH368" i="20" s="1"/>
  <c r="AG368" i="20" s="1"/>
  <c r="AF368" i="20" s="1"/>
  <c r="AD368" i="20" s="1"/>
  <c r="AI372" i="20"/>
  <c r="AH372" i="20" s="1"/>
  <c r="AG372" i="20" s="1"/>
  <c r="AF372" i="20" s="1"/>
  <c r="AD372" i="20" s="1"/>
  <c r="AI376" i="20"/>
  <c r="AH376" i="20" s="1"/>
  <c r="AG376" i="20" s="1"/>
  <c r="AF376" i="20" s="1"/>
  <c r="AD376" i="20" s="1"/>
  <c r="H214" i="18"/>
  <c r="I214" i="18" s="1"/>
  <c r="B214" i="6" s="1"/>
  <c r="BA214" i="6" s="1"/>
  <c r="D214" i="6" s="1"/>
  <c r="H222" i="18"/>
  <c r="J222" i="18" s="1"/>
  <c r="C222" i="6" s="1"/>
  <c r="H329" i="18"/>
  <c r="J329" i="18" s="1"/>
  <c r="C329" i="6" s="1"/>
  <c r="H353" i="18"/>
  <c r="I353" i="18" s="1"/>
  <c r="B353" i="6" s="1"/>
  <c r="BA353" i="6" s="1"/>
  <c r="D353" i="6" s="1"/>
  <c r="H284" i="18"/>
  <c r="I284" i="18" s="1"/>
  <c r="B284" i="6" s="1"/>
  <c r="BA284" i="6" s="1"/>
  <c r="D284" i="6" s="1"/>
  <c r="Q382" i="20"/>
  <c r="H27" i="18"/>
  <c r="I27" i="18" s="1"/>
  <c r="B27" i="6" s="1"/>
  <c r="BA27" i="6" s="1"/>
  <c r="D27" i="6" s="1"/>
  <c r="H147" i="18"/>
  <c r="I147" i="18" s="1"/>
  <c r="B147" i="6" s="1"/>
  <c r="BA147" i="6" s="1"/>
  <c r="D147" i="6" s="1"/>
  <c r="H323" i="18"/>
  <c r="I323" i="18" s="1"/>
  <c r="B323" i="6" s="1"/>
  <c r="BA323" i="6" s="1"/>
  <c r="H28" i="18"/>
  <c r="I28" i="18" s="1"/>
  <c r="B28" i="6" s="1"/>
  <c r="BA28" i="6" s="1"/>
  <c r="D28" i="6" s="1"/>
  <c r="H36" i="18"/>
  <c r="J36" i="18" s="1"/>
  <c r="C36" i="6" s="1"/>
  <c r="H297" i="18"/>
  <c r="J297" i="18" s="1"/>
  <c r="C297" i="6" s="1"/>
  <c r="H72" i="18"/>
  <c r="J72" i="18" s="1"/>
  <c r="C72" i="6" s="1"/>
  <c r="H78" i="18"/>
  <c r="J78" i="18" s="1"/>
  <c r="C78" i="6" s="1"/>
  <c r="H41" i="18"/>
  <c r="I41" i="18" s="1"/>
  <c r="B41" i="6" s="1"/>
  <c r="BA41" i="6" s="1"/>
  <c r="D41" i="6" s="1"/>
  <c r="H113" i="18"/>
  <c r="I113" i="18" s="1"/>
  <c r="B113" i="6" s="1"/>
  <c r="BA113" i="6" s="1"/>
  <c r="H281" i="18"/>
  <c r="J281" i="18" s="1"/>
  <c r="C281" i="6" s="1"/>
  <c r="H98" i="18"/>
  <c r="J98" i="18" s="1"/>
  <c r="C98" i="6" s="1"/>
  <c r="H293" i="18"/>
  <c r="I293" i="18" s="1"/>
  <c r="B293" i="6" s="1"/>
  <c r="BA293" i="6" s="1"/>
  <c r="D293" i="6" s="1"/>
  <c r="H309" i="18"/>
  <c r="I309" i="18" s="1"/>
  <c r="B309" i="6" s="1"/>
  <c r="BA309" i="6" s="1"/>
  <c r="D309" i="6" s="1"/>
  <c r="H371" i="18"/>
  <c r="J371" i="18" s="1"/>
  <c r="C371" i="6" s="1"/>
  <c r="H118" i="18"/>
  <c r="I118" i="18" s="1"/>
  <c r="B118" i="6" s="1"/>
  <c r="BA118" i="6" s="1"/>
  <c r="D118" i="6" s="1"/>
  <c r="H35" i="18"/>
  <c r="I35" i="18" s="1"/>
  <c r="B35" i="6" s="1"/>
  <c r="BA35" i="6" s="1"/>
  <c r="D35" i="6" s="1"/>
  <c r="H51" i="18"/>
  <c r="J51" i="18" s="1"/>
  <c r="C51" i="6" s="1"/>
  <c r="H49" i="18"/>
  <c r="I49" i="18" s="1"/>
  <c r="B49" i="6" s="1"/>
  <c r="BA49" i="6" s="1"/>
  <c r="D49" i="6" s="1"/>
  <c r="H56" i="18"/>
  <c r="J56" i="18" s="1"/>
  <c r="C56" i="6" s="1"/>
  <c r="H123" i="18"/>
  <c r="I123" i="18" s="1"/>
  <c r="B123" i="6" s="1"/>
  <c r="BA123" i="6" s="1"/>
  <c r="D123" i="6" s="1"/>
  <c r="H156" i="18"/>
  <c r="I156" i="18" s="1"/>
  <c r="B156" i="6" s="1"/>
  <c r="BA156" i="6" s="1"/>
  <c r="D156" i="6" s="1"/>
  <c r="H164" i="18"/>
  <c r="J164" i="18" s="1"/>
  <c r="C164" i="6" s="1"/>
  <c r="H204" i="18"/>
  <c r="J204" i="18" s="1"/>
  <c r="C204" i="6" s="1"/>
  <c r="H108" i="18"/>
  <c r="I108" i="18" s="1"/>
  <c r="B108" i="6" s="1"/>
  <c r="BA108" i="6" s="1"/>
  <c r="D108" i="6" s="1"/>
  <c r="H94" i="18"/>
  <c r="I94" i="18" s="1"/>
  <c r="B94" i="6" s="1"/>
  <c r="BA94" i="6" s="1"/>
  <c r="D94" i="6" s="1"/>
  <c r="H283" i="18"/>
  <c r="J283" i="18" s="1"/>
  <c r="C283" i="6" s="1"/>
  <c r="H46" i="18"/>
  <c r="I46" i="18" s="1"/>
  <c r="B46" i="6" s="1"/>
  <c r="BA46" i="6" s="1"/>
  <c r="D46" i="6" s="1"/>
  <c r="H109" i="18"/>
  <c r="J109" i="18" s="1"/>
  <c r="C109" i="6" s="1"/>
  <c r="H20" i="18"/>
  <c r="J20" i="18" s="1"/>
  <c r="C20" i="6" s="1"/>
  <c r="H96" i="18"/>
  <c r="J96" i="18" s="1"/>
  <c r="C96" i="6" s="1"/>
  <c r="H73" i="18"/>
  <c r="I73" i="18" s="1"/>
  <c r="B73" i="6" s="1"/>
  <c r="BA73" i="6" s="1"/>
  <c r="D73" i="6" s="1"/>
  <c r="H165" i="18"/>
  <c r="I165" i="18" s="1"/>
  <c r="B165" i="6" s="1"/>
  <c r="BA165" i="6" s="1"/>
  <c r="D165" i="6" s="1"/>
  <c r="H213" i="18"/>
  <c r="J213" i="18" s="1"/>
  <c r="C213" i="6" s="1"/>
  <c r="H229" i="18"/>
  <c r="J229" i="18" s="1"/>
  <c r="C229" i="6" s="1"/>
  <c r="H265" i="18"/>
  <c r="J265" i="18" s="1"/>
  <c r="C265" i="6" s="1"/>
  <c r="H158" i="18"/>
  <c r="J158" i="18" s="1"/>
  <c r="C158" i="6" s="1"/>
  <c r="H178" i="18"/>
  <c r="J178" i="18" s="1"/>
  <c r="C178" i="6" s="1"/>
  <c r="H198" i="18"/>
  <c r="J198" i="18" s="1"/>
  <c r="C198" i="6" s="1"/>
  <c r="H372" i="18"/>
  <c r="J372" i="18" s="1"/>
  <c r="C372" i="6" s="1"/>
  <c r="H177" i="18"/>
  <c r="I177" i="18" s="1"/>
  <c r="B177" i="6" s="1"/>
  <c r="BA177" i="6" s="1"/>
  <c r="D177" i="6" s="1"/>
  <c r="H209" i="18"/>
  <c r="J209" i="18" s="1"/>
  <c r="C209" i="6" s="1"/>
  <c r="H261" i="18"/>
  <c r="I261" i="18" s="1"/>
  <c r="B261" i="6" s="1"/>
  <c r="BA261" i="6" s="1"/>
  <c r="D261" i="6" s="1"/>
  <c r="H239" i="18"/>
  <c r="J239" i="18" s="1"/>
  <c r="C239" i="6" s="1"/>
  <c r="H287" i="18"/>
  <c r="I287" i="18" s="1"/>
  <c r="B287" i="6" s="1"/>
  <c r="BA287" i="6" s="1"/>
  <c r="D287" i="6" s="1"/>
  <c r="H365" i="18"/>
  <c r="I365" i="18" s="1"/>
  <c r="B365" i="6" s="1"/>
  <c r="BA365" i="6" s="1"/>
  <c r="H68" i="18"/>
  <c r="I68" i="18" s="1"/>
  <c r="B68" i="6" s="1"/>
  <c r="BA68" i="6" s="1"/>
  <c r="D68" i="6" s="1"/>
  <c r="H84" i="18"/>
  <c r="J84" i="18" s="1"/>
  <c r="C84" i="6" s="1"/>
  <c r="H146" i="18"/>
  <c r="I146" i="18" s="1"/>
  <c r="B146" i="6" s="1"/>
  <c r="BA146" i="6" s="1"/>
  <c r="D146" i="6" s="1"/>
  <c r="AL10" i="17"/>
  <c r="H170" i="18"/>
  <c r="J170" i="18" s="1"/>
  <c r="C170" i="6" s="1"/>
  <c r="H298" i="18"/>
  <c r="I298" i="18" s="1"/>
  <c r="B298" i="6" s="1"/>
  <c r="BA298" i="6" s="1"/>
  <c r="D298" i="6" s="1"/>
  <c r="H26" i="18"/>
  <c r="I26" i="18" s="1"/>
  <c r="B26" i="6" s="1"/>
  <c r="BA26" i="6" s="1"/>
  <c r="D26" i="6" s="1"/>
  <c r="H342" i="18"/>
  <c r="I342" i="18" s="1"/>
  <c r="B342" i="6" s="1"/>
  <c r="BA342" i="6" s="1"/>
  <c r="D342" i="6" s="1"/>
  <c r="H370" i="18"/>
  <c r="I370" i="18" s="1"/>
  <c r="B370" i="6" s="1"/>
  <c r="BA370" i="6" s="1"/>
  <c r="D370" i="6" s="1"/>
  <c r="H358" i="18"/>
  <c r="I358" i="18" s="1"/>
  <c r="B358" i="6" s="1"/>
  <c r="BA358" i="6" s="1"/>
  <c r="D358" i="6" s="1"/>
  <c r="H186" i="18"/>
  <c r="I186" i="18" s="1"/>
  <c r="B186" i="6" s="1"/>
  <c r="BA186" i="6" s="1"/>
  <c r="D186" i="6" s="1"/>
  <c r="H216" i="18"/>
  <c r="I216" i="18" s="1"/>
  <c r="B216" i="6" s="1"/>
  <c r="BA216" i="6" s="1"/>
  <c r="D216" i="6" s="1"/>
  <c r="H232" i="18"/>
  <c r="J232" i="18" s="1"/>
  <c r="C232" i="6" s="1"/>
  <c r="H114" i="18"/>
  <c r="I114" i="18" s="1"/>
  <c r="B114" i="6" s="1"/>
  <c r="BA114" i="6" s="1"/>
  <c r="D114" i="6" s="1"/>
  <c r="H230" i="18"/>
  <c r="I230" i="18" s="1"/>
  <c r="B230" i="6" s="1"/>
  <c r="BA230" i="6" s="1"/>
  <c r="D230" i="6" s="1"/>
  <c r="H81" i="18"/>
  <c r="I81" i="18" s="1"/>
  <c r="B81" i="6" s="1"/>
  <c r="BA81" i="6" s="1"/>
  <c r="D81" i="6" s="1"/>
  <c r="H301" i="18"/>
  <c r="J301" i="18" s="1"/>
  <c r="C301" i="6" s="1"/>
  <c r="H57" i="18"/>
  <c r="I57" i="18" s="1"/>
  <c r="B57" i="6" s="1"/>
  <c r="BA57" i="6" s="1"/>
  <c r="H313" i="18"/>
  <c r="I313" i="18" s="1"/>
  <c r="B313" i="6" s="1"/>
  <c r="BA313" i="6" s="1"/>
  <c r="D313" i="6" s="1"/>
  <c r="H69" i="18"/>
  <c r="J69" i="18" s="1"/>
  <c r="C69" i="6" s="1"/>
  <c r="H277" i="18"/>
  <c r="J277" i="18" s="1"/>
  <c r="C277" i="6" s="1"/>
  <c r="M65" i="19"/>
  <c r="H45" i="18"/>
  <c r="J45" i="18" s="1"/>
  <c r="C45" i="6" s="1"/>
  <c r="Q383" i="20"/>
  <c r="H86" i="18"/>
  <c r="I86" i="18" s="1"/>
  <c r="B86" i="6" s="1"/>
  <c r="BA86" i="6" s="1"/>
  <c r="D86" i="6" s="1"/>
  <c r="H47" i="18"/>
  <c r="J47" i="18" s="1"/>
  <c r="C47" i="6" s="1"/>
  <c r="H292" i="18"/>
  <c r="I292" i="18" s="1"/>
  <c r="B292" i="6" s="1"/>
  <c r="BA292" i="6" s="1"/>
  <c r="D292" i="6" s="1"/>
  <c r="H312" i="18"/>
  <c r="J312" i="18" s="1"/>
  <c r="C312" i="6" s="1"/>
  <c r="H366" i="18"/>
  <c r="I366" i="18" s="1"/>
  <c r="B366" i="6" s="1"/>
  <c r="BA366" i="6" s="1"/>
  <c r="D366" i="6" s="1"/>
  <c r="H107" i="18"/>
  <c r="J107" i="18" s="1"/>
  <c r="C107" i="6" s="1"/>
  <c r="H299" i="18"/>
  <c r="I299" i="18" s="1"/>
  <c r="B299" i="6" s="1"/>
  <c r="BA299" i="6" s="1"/>
  <c r="D299" i="6" s="1"/>
  <c r="H375" i="18"/>
  <c r="J375" i="18" s="1"/>
  <c r="C375" i="6" s="1"/>
  <c r="H18" i="18"/>
  <c r="I18" i="18" s="1"/>
  <c r="B18" i="6" s="1"/>
  <c r="BA18" i="6" s="1"/>
  <c r="D18" i="6" s="1"/>
  <c r="H34" i="18"/>
  <c r="J34" i="18" s="1"/>
  <c r="C34" i="6" s="1"/>
  <c r="H128" i="18"/>
  <c r="I128" i="18" s="1"/>
  <c r="B128" i="6" s="1"/>
  <c r="BA128" i="6" s="1"/>
  <c r="D128" i="6" s="1"/>
  <c r="H53" i="18"/>
  <c r="J53" i="18" s="1"/>
  <c r="C53" i="6" s="1"/>
  <c r="H161" i="18"/>
  <c r="J161" i="18" s="1"/>
  <c r="C161" i="6" s="1"/>
  <c r="H95" i="18"/>
  <c r="J95" i="18" s="1"/>
  <c r="C95" i="6" s="1"/>
  <c r="H303" i="18"/>
  <c r="J303" i="18" s="1"/>
  <c r="C303" i="6" s="1"/>
  <c r="H224" i="18"/>
  <c r="I224" i="18" s="1"/>
  <c r="B224" i="6" s="1"/>
  <c r="BA224" i="6" s="1"/>
  <c r="D224" i="6" s="1"/>
  <c r="H240" i="18"/>
  <c r="I240" i="18" s="1"/>
  <c r="B240" i="6" s="1"/>
  <c r="BA240" i="6" s="1"/>
  <c r="D240" i="6" s="1"/>
  <c r="H267" i="18"/>
  <c r="J267" i="18" s="1"/>
  <c r="C267" i="6" s="1"/>
  <c r="H359" i="18"/>
  <c r="I359" i="18" s="1"/>
  <c r="B359" i="6" s="1"/>
  <c r="BA359" i="6" s="1"/>
  <c r="D359" i="6" s="1"/>
  <c r="H254" i="18"/>
  <c r="I254" i="18" s="1"/>
  <c r="B254" i="6" s="1"/>
  <c r="BA254" i="6" s="1"/>
  <c r="D254" i="6" s="1"/>
  <c r="H276" i="18"/>
  <c r="J276" i="18" s="1"/>
  <c r="C276" i="6" s="1"/>
  <c r="H288" i="18"/>
  <c r="I288" i="18" s="1"/>
  <c r="B288" i="6" s="1"/>
  <c r="BA288" i="6" s="1"/>
  <c r="D288" i="6" s="1"/>
  <c r="H332" i="18"/>
  <c r="J332" i="18" s="1"/>
  <c r="C332" i="6" s="1"/>
  <c r="H289" i="18"/>
  <c r="J289" i="18" s="1"/>
  <c r="C289" i="6" s="1"/>
  <c r="H367" i="18"/>
  <c r="J367" i="18" s="1"/>
  <c r="C367" i="6" s="1"/>
  <c r="H50" i="18"/>
  <c r="J50" i="18" s="1"/>
  <c r="C50" i="6" s="1"/>
  <c r="H285" i="18"/>
  <c r="J285" i="18" s="1"/>
  <c r="C285" i="6" s="1"/>
  <c r="H55" i="18"/>
  <c r="J55" i="18" s="1"/>
  <c r="C55" i="6" s="1"/>
  <c r="H87" i="18"/>
  <c r="J87" i="18" s="1"/>
  <c r="C87" i="6" s="1"/>
  <c r="H327" i="18"/>
  <c r="I327" i="18" s="1"/>
  <c r="B327" i="6" s="1"/>
  <c r="BA327" i="6" s="1"/>
  <c r="D327" i="6" s="1"/>
  <c r="J313" i="18"/>
  <c r="C313" i="6" s="1"/>
  <c r="J309" i="18"/>
  <c r="C309" i="6" s="1"/>
  <c r="H144" i="18"/>
  <c r="J144" i="18" s="1"/>
  <c r="C144" i="6" s="1"/>
  <c r="H172" i="18"/>
  <c r="J172" i="18" s="1"/>
  <c r="C172" i="6" s="1"/>
  <c r="H300" i="18"/>
  <c r="I300" i="18" s="1"/>
  <c r="B300" i="6" s="1"/>
  <c r="BA300" i="6" s="1"/>
  <c r="D300" i="6" s="1"/>
  <c r="H48" i="18"/>
  <c r="J48" i="18" s="1"/>
  <c r="C48" i="6" s="1"/>
  <c r="H124" i="18"/>
  <c r="I124" i="18" s="1"/>
  <c r="B124" i="6" s="1"/>
  <c r="BA124" i="6" s="1"/>
  <c r="D124" i="6" s="1"/>
  <c r="H140" i="18"/>
  <c r="J140" i="18" s="1"/>
  <c r="C140" i="6" s="1"/>
  <c r="H368" i="18"/>
  <c r="J368" i="18" s="1"/>
  <c r="C368" i="6" s="1"/>
  <c r="H181" i="18"/>
  <c r="I181" i="18" s="1"/>
  <c r="B181" i="6" s="1"/>
  <c r="BA181" i="6" s="1"/>
  <c r="D181" i="6" s="1"/>
  <c r="H195" i="18"/>
  <c r="J195" i="18" s="1"/>
  <c r="C195" i="6" s="1"/>
  <c r="H211" i="18"/>
  <c r="J211" i="18" s="1"/>
  <c r="C211" i="6" s="1"/>
  <c r="H315" i="18"/>
  <c r="J315" i="18" s="1"/>
  <c r="C315" i="6" s="1"/>
  <c r="H206" i="18"/>
  <c r="J206" i="18" s="1"/>
  <c r="C206" i="6" s="1"/>
  <c r="H264" i="18"/>
  <c r="J264" i="18" s="1"/>
  <c r="C264" i="6" s="1"/>
  <c r="H310" i="18"/>
  <c r="I310" i="18" s="1"/>
  <c r="B310" i="6" s="1"/>
  <c r="BA310" i="6" s="1"/>
  <c r="D310" i="6" s="1"/>
  <c r="H62" i="18"/>
  <c r="J62" i="18" s="1"/>
  <c r="C62" i="6" s="1"/>
  <c r="H225" i="18"/>
  <c r="J225" i="18" s="1"/>
  <c r="C225" i="6" s="1"/>
  <c r="H207" i="18"/>
  <c r="I207" i="18" s="1"/>
  <c r="B207" i="6" s="1"/>
  <c r="BA207" i="6" s="1"/>
  <c r="D207" i="6" s="1"/>
  <c r="H223" i="18"/>
  <c r="J223" i="18" s="1"/>
  <c r="C223" i="6" s="1"/>
  <c r="U10" i="22"/>
  <c r="H377" i="18"/>
  <c r="J377" i="18" s="1"/>
  <c r="C377" i="6" s="1"/>
  <c r="H188" i="18"/>
  <c r="I188" i="18" s="1"/>
  <c r="B188" i="6" s="1"/>
  <c r="BA188" i="6" s="1"/>
  <c r="D188" i="6" s="1"/>
  <c r="H238" i="18"/>
  <c r="J238" i="18" s="1"/>
  <c r="C238" i="6" s="1"/>
  <c r="H280" i="18"/>
  <c r="J280" i="18" s="1"/>
  <c r="C280" i="6" s="1"/>
  <c r="H378" i="18"/>
  <c r="I378" i="18" s="1"/>
  <c r="B378" i="6" s="1"/>
  <c r="BA378" i="6" s="1"/>
  <c r="D378" i="6" s="1"/>
  <c r="C65" i="19"/>
  <c r="J335" i="18"/>
  <c r="C335" i="6" s="1"/>
  <c r="J354" i="18"/>
  <c r="C354" i="6" s="1"/>
  <c r="I354" i="18"/>
  <c r="B354" i="6" s="1"/>
  <c r="BA354" i="6" s="1"/>
  <c r="D354" i="6" s="1"/>
  <c r="J356" i="18"/>
  <c r="C356" i="6" s="1"/>
  <c r="I356" i="18"/>
  <c r="B356" i="6" s="1"/>
  <c r="BA356" i="6" s="1"/>
  <c r="D356" i="6" s="1"/>
  <c r="F382" i="17"/>
  <c r="F381" i="17"/>
  <c r="F9" i="17"/>
  <c r="G15" i="17"/>
  <c r="BZ15" i="6" s="1"/>
  <c r="AA15" i="17"/>
  <c r="F383" i="17"/>
  <c r="AK10" i="17"/>
  <c r="AK12" i="17" s="1"/>
  <c r="AK13" i="17" s="1"/>
  <c r="AM10" i="17"/>
  <c r="H15" i="17"/>
  <c r="J103" i="18"/>
  <c r="C103" i="6" s="1"/>
  <c r="I103" i="18"/>
  <c r="B103" i="6" s="1"/>
  <c r="BA103" i="6" s="1"/>
  <c r="D103" i="6" s="1"/>
  <c r="I341" i="18"/>
  <c r="B341" i="6" s="1"/>
  <c r="BA341" i="6" s="1"/>
  <c r="D341" i="6" s="1"/>
  <c r="J341" i="18"/>
  <c r="C341" i="6" s="1"/>
  <c r="I193" i="18"/>
  <c r="B193" i="6" s="1"/>
  <c r="BA193" i="6" s="1"/>
  <c r="D193" i="6" s="1"/>
  <c r="J193" i="18"/>
  <c r="C193" i="6" s="1"/>
  <c r="I253" i="18"/>
  <c r="B253" i="6" s="1"/>
  <c r="BA253" i="6" s="1"/>
  <c r="J253" i="18"/>
  <c r="C253" i="6" s="1"/>
  <c r="Y124" i="17"/>
  <c r="AL6" i="17" s="1"/>
  <c r="AL8" i="17"/>
  <c r="I142" i="17"/>
  <c r="H142" i="18" s="1"/>
  <c r="J142" i="17"/>
  <c r="J248" i="18"/>
  <c r="C248" i="6" s="1"/>
  <c r="I248" i="18"/>
  <c r="B248" i="6" s="1"/>
  <c r="BA248" i="6" s="1"/>
  <c r="D248" i="6" s="1"/>
  <c r="I54" i="18"/>
  <c r="B54" i="6" s="1"/>
  <c r="BA54" i="6" s="1"/>
  <c r="D54" i="6" s="1"/>
  <c r="J54" i="18"/>
  <c r="C54" i="6" s="1"/>
  <c r="AM16" i="7"/>
  <c r="U18" i="22"/>
  <c r="U79" i="22"/>
  <c r="U143" i="22"/>
  <c r="U196" i="22"/>
  <c r="U228" i="22"/>
  <c r="U252" i="22"/>
  <c r="U268" i="22"/>
  <c r="U284" i="22"/>
  <c r="U300" i="22"/>
  <c r="U316" i="22"/>
  <c r="U332" i="22"/>
  <c r="U348" i="22"/>
  <c r="U364" i="22"/>
  <c r="U380" i="22"/>
  <c r="J102" i="18"/>
  <c r="C102" i="6" s="1"/>
  <c r="I102" i="18"/>
  <c r="B102" i="6" s="1"/>
  <c r="BA102" i="6" s="1"/>
  <c r="D102" i="6" s="1"/>
  <c r="J243" i="18"/>
  <c r="C243" i="6" s="1"/>
  <c r="I243" i="18"/>
  <c r="B243" i="6" s="1"/>
  <c r="BA243" i="6" s="1"/>
  <c r="D243" i="6" s="1"/>
  <c r="J250" i="18"/>
  <c r="C250" i="6" s="1"/>
  <c r="I250" i="18"/>
  <c r="B250" i="6" s="1"/>
  <c r="BA250" i="6" s="1"/>
  <c r="D250" i="6" s="1"/>
  <c r="I306" i="18"/>
  <c r="B306" i="6" s="1"/>
  <c r="BA306" i="6" s="1"/>
  <c r="D306" i="6" s="1"/>
  <c r="J306" i="18"/>
  <c r="C306" i="6" s="1"/>
  <c r="G26" i="18"/>
  <c r="CA26" i="6" s="1"/>
  <c r="AA26" i="18"/>
  <c r="Z26" i="18" s="1"/>
  <c r="Y26" i="18" s="1"/>
  <c r="G30" i="18"/>
  <c r="CA30" i="6" s="1"/>
  <c r="AA30" i="18"/>
  <c r="Z30" i="18" s="1"/>
  <c r="Y30" i="18" s="1"/>
  <c r="AA38" i="18"/>
  <c r="Z38" i="18" s="1"/>
  <c r="Y38" i="18" s="1"/>
  <c r="G38" i="18"/>
  <c r="CA38" i="6" s="1"/>
  <c r="G40" i="18"/>
  <c r="CA40" i="6" s="1"/>
  <c r="AA40" i="18"/>
  <c r="Z40" i="18" s="1"/>
  <c r="Y40" i="18" s="1"/>
  <c r="G52" i="18"/>
  <c r="CA52" i="6" s="1"/>
  <c r="AA52" i="18"/>
  <c r="Z52" i="18" s="1"/>
  <c r="Y52" i="18" s="1"/>
  <c r="D60" i="18"/>
  <c r="E60" i="18" s="1"/>
  <c r="F60" i="18" s="1"/>
  <c r="H60" i="18" s="1"/>
  <c r="W60" i="18"/>
  <c r="D88" i="18"/>
  <c r="E88" i="18" s="1"/>
  <c r="F88" i="18" s="1"/>
  <c r="W88" i="18"/>
  <c r="G102" i="18"/>
  <c r="CA102" i="6" s="1"/>
  <c r="AA102" i="18"/>
  <c r="Z102" i="18" s="1"/>
  <c r="Y102" i="18" s="1"/>
  <c r="AA106" i="18"/>
  <c r="Z106" i="18" s="1"/>
  <c r="Y106" i="18" s="1"/>
  <c r="G106" i="18"/>
  <c r="CA106" i="6" s="1"/>
  <c r="AA110" i="18"/>
  <c r="Z110" i="18" s="1"/>
  <c r="Y110" i="18" s="1"/>
  <c r="G110" i="18"/>
  <c r="CA110" i="6" s="1"/>
  <c r="G112" i="18"/>
  <c r="CA112" i="6" s="1"/>
  <c r="AA112" i="18"/>
  <c r="Z112" i="18" s="1"/>
  <c r="Y112" i="18" s="1"/>
  <c r="G120" i="18"/>
  <c r="CA120" i="6" s="1"/>
  <c r="AA120" i="18"/>
  <c r="Z120" i="18" s="1"/>
  <c r="Y120" i="18" s="1"/>
  <c r="AA124" i="18"/>
  <c r="Z124" i="18" s="1"/>
  <c r="Y124" i="18" s="1"/>
  <c r="G124" i="18"/>
  <c r="CA124" i="6" s="1"/>
  <c r="AA128" i="18"/>
  <c r="Z128" i="18" s="1"/>
  <c r="Y128" i="18" s="1"/>
  <c r="G128" i="18"/>
  <c r="CA128" i="6" s="1"/>
  <c r="AA132" i="18"/>
  <c r="Z132" i="18" s="1"/>
  <c r="Y132" i="18" s="1"/>
  <c r="G132" i="18"/>
  <c r="CA132" i="6" s="1"/>
  <c r="G136" i="18"/>
  <c r="CA136" i="6" s="1"/>
  <c r="AA136" i="18"/>
  <c r="Z136" i="18" s="1"/>
  <c r="Y136" i="18" s="1"/>
  <c r="AA138" i="18"/>
  <c r="Z138" i="18" s="1"/>
  <c r="Y138" i="18" s="1"/>
  <c r="G138" i="18"/>
  <c r="CA138" i="6" s="1"/>
  <c r="G140" i="18"/>
  <c r="CA140" i="6" s="1"/>
  <c r="AA140" i="18"/>
  <c r="Z140" i="18" s="1"/>
  <c r="Y140" i="18" s="1"/>
  <c r="AA144" i="18"/>
  <c r="Z144" i="18" s="1"/>
  <c r="Y144" i="18" s="1"/>
  <c r="G144" i="18"/>
  <c r="CA144" i="6" s="1"/>
  <c r="AA152" i="18"/>
  <c r="Z152" i="18" s="1"/>
  <c r="Y152" i="18" s="1"/>
  <c r="G152" i="18"/>
  <c r="CA152" i="6" s="1"/>
  <c r="AA154" i="18"/>
  <c r="Z154" i="18" s="1"/>
  <c r="Y154" i="18" s="1"/>
  <c r="G154" i="18"/>
  <c r="CA154" i="6" s="1"/>
  <c r="G160" i="18"/>
  <c r="CA160" i="6" s="1"/>
  <c r="AA160" i="18"/>
  <c r="Z160" i="18" s="1"/>
  <c r="Y160" i="18" s="1"/>
  <c r="AA162" i="18"/>
  <c r="Z162" i="18" s="1"/>
  <c r="Y162" i="18" s="1"/>
  <c r="G162" i="18"/>
  <c r="CA162" i="6" s="1"/>
  <c r="G168" i="18"/>
  <c r="CA168" i="6" s="1"/>
  <c r="AA168" i="18"/>
  <c r="Z168" i="18" s="1"/>
  <c r="Y168" i="18" s="1"/>
  <c r="AA172" i="18"/>
  <c r="Z172" i="18" s="1"/>
  <c r="Y172" i="18" s="1"/>
  <c r="G172" i="18"/>
  <c r="CA172" i="6" s="1"/>
  <c r="W180" i="18"/>
  <c r="D180" i="18"/>
  <c r="E180" i="18" s="1"/>
  <c r="F180" i="18" s="1"/>
  <c r="H180" i="18" s="1"/>
  <c r="G188" i="18"/>
  <c r="CA188" i="6" s="1"/>
  <c r="AA188" i="18"/>
  <c r="Z188" i="18" s="1"/>
  <c r="Y188" i="18" s="1"/>
  <c r="G190" i="18"/>
  <c r="CA190" i="6" s="1"/>
  <c r="AA190" i="18"/>
  <c r="Z190" i="18" s="1"/>
  <c r="Y190" i="18" s="1"/>
  <c r="AA202" i="18"/>
  <c r="Z202" i="18" s="1"/>
  <c r="Y202" i="18" s="1"/>
  <c r="G202" i="18"/>
  <c r="CA202" i="6" s="1"/>
  <c r="AA206" i="18"/>
  <c r="Z206" i="18" s="1"/>
  <c r="Y206" i="18" s="1"/>
  <c r="G206" i="18"/>
  <c r="CA206" i="6" s="1"/>
  <c r="AA208" i="18"/>
  <c r="Z208" i="18" s="1"/>
  <c r="Y208" i="18" s="1"/>
  <c r="G208" i="18"/>
  <c r="CA208" i="6" s="1"/>
  <c r="W210" i="18"/>
  <c r="D210" i="18"/>
  <c r="E210" i="18" s="1"/>
  <c r="F210" i="18" s="1"/>
  <c r="H210" i="18" s="1"/>
  <c r="AA214" i="18"/>
  <c r="Z214" i="18" s="1"/>
  <c r="Y214" i="18" s="1"/>
  <c r="G214" i="18"/>
  <c r="CA214" i="6" s="1"/>
  <c r="AA218" i="18"/>
  <c r="Z218" i="18" s="1"/>
  <c r="Y218" i="18" s="1"/>
  <c r="G218" i="18"/>
  <c r="CA218" i="6" s="1"/>
  <c r="AA222" i="18"/>
  <c r="Z222" i="18" s="1"/>
  <c r="Y222" i="18" s="1"/>
  <c r="G222" i="18"/>
  <c r="CA222" i="6" s="1"/>
  <c r="AA224" i="18"/>
  <c r="Z224" i="18" s="1"/>
  <c r="Y224" i="18" s="1"/>
  <c r="G224" i="18"/>
  <c r="CA224" i="6" s="1"/>
  <c r="G234" i="18"/>
  <c r="CA234" i="6" s="1"/>
  <c r="AA234" i="18"/>
  <c r="Z234" i="18" s="1"/>
  <c r="Y234" i="18" s="1"/>
  <c r="AA236" i="18"/>
  <c r="Z236" i="18" s="1"/>
  <c r="Y236" i="18" s="1"/>
  <c r="G236" i="18"/>
  <c r="CA236" i="6" s="1"/>
  <c r="G238" i="18"/>
  <c r="CA238" i="6" s="1"/>
  <c r="AA238" i="18"/>
  <c r="Z238" i="18" s="1"/>
  <c r="Y238" i="18" s="1"/>
  <c r="G240" i="18"/>
  <c r="CA240" i="6" s="1"/>
  <c r="AA240" i="18"/>
  <c r="Z240" i="18" s="1"/>
  <c r="Y240" i="18" s="1"/>
  <c r="AA246" i="18"/>
  <c r="Z246" i="18" s="1"/>
  <c r="Y246" i="18" s="1"/>
  <c r="G246" i="18"/>
  <c r="CA246" i="6" s="1"/>
  <c r="G250" i="18"/>
  <c r="CA250" i="6" s="1"/>
  <c r="AA250" i="18"/>
  <c r="Z250" i="18" s="1"/>
  <c r="Y250" i="18" s="1"/>
  <c r="G254" i="18"/>
  <c r="CA254" i="6" s="1"/>
  <c r="AA254" i="18"/>
  <c r="Z254" i="18" s="1"/>
  <c r="Y254" i="18" s="1"/>
  <c r="AA256" i="18"/>
  <c r="Z256" i="18" s="1"/>
  <c r="Y256" i="18" s="1"/>
  <c r="G256" i="18"/>
  <c r="CA256" i="6" s="1"/>
  <c r="G260" i="18"/>
  <c r="CA260" i="6" s="1"/>
  <c r="AA260" i="18"/>
  <c r="Z260" i="18" s="1"/>
  <c r="Y260" i="18" s="1"/>
  <c r="G264" i="18"/>
  <c r="CA264" i="6" s="1"/>
  <c r="AA264" i="18"/>
  <c r="Z264" i="18" s="1"/>
  <c r="Y264" i="18" s="1"/>
  <c r="AA266" i="18"/>
  <c r="Z266" i="18" s="1"/>
  <c r="Y266" i="18" s="1"/>
  <c r="G266" i="18"/>
  <c r="CA266" i="6" s="1"/>
  <c r="AA268" i="18"/>
  <c r="Z268" i="18" s="1"/>
  <c r="Y268" i="18" s="1"/>
  <c r="G268" i="18"/>
  <c r="CA268" i="6" s="1"/>
  <c r="W272" i="18"/>
  <c r="D272" i="18"/>
  <c r="E272" i="18" s="1"/>
  <c r="F272" i="18" s="1"/>
  <c r="H272" i="18" s="1"/>
  <c r="AA276" i="18"/>
  <c r="Z276" i="18" s="1"/>
  <c r="Y276" i="18" s="1"/>
  <c r="G276" i="18"/>
  <c r="CA276" i="6" s="1"/>
  <c r="G280" i="18"/>
  <c r="CA280" i="6" s="1"/>
  <c r="AA280" i="18"/>
  <c r="Z280" i="18" s="1"/>
  <c r="Y280" i="18" s="1"/>
  <c r="G286" i="18"/>
  <c r="CA286" i="6" s="1"/>
  <c r="AA286" i="18"/>
  <c r="Z286" i="18" s="1"/>
  <c r="Y286" i="18" s="1"/>
  <c r="K65" i="19"/>
  <c r="AA296" i="18"/>
  <c r="Z296" i="18" s="1"/>
  <c r="Y296" i="18" s="1"/>
  <c r="G296" i="18"/>
  <c r="CA296" i="6" s="1"/>
  <c r="AA298" i="18"/>
  <c r="Z298" i="18" s="1"/>
  <c r="Y298" i="18" s="1"/>
  <c r="G298" i="18"/>
  <c r="CA298" i="6" s="1"/>
  <c r="G304" i="18"/>
  <c r="CA304" i="6" s="1"/>
  <c r="AA304" i="18"/>
  <c r="Z304" i="18" s="1"/>
  <c r="Y304" i="18" s="1"/>
  <c r="G308" i="18"/>
  <c r="CA308" i="6" s="1"/>
  <c r="AA308" i="18"/>
  <c r="Z308" i="18" s="1"/>
  <c r="Y308" i="18" s="1"/>
  <c r="G320" i="18"/>
  <c r="CA320" i="6" s="1"/>
  <c r="AA320" i="18"/>
  <c r="Z320" i="18" s="1"/>
  <c r="Y320" i="18" s="1"/>
  <c r="AA324" i="18"/>
  <c r="Z324" i="18" s="1"/>
  <c r="Y324" i="18" s="1"/>
  <c r="G324" i="18"/>
  <c r="CA324" i="6" s="1"/>
  <c r="G326" i="18"/>
  <c r="CA326" i="6" s="1"/>
  <c r="AA326" i="18"/>
  <c r="Z326" i="18" s="1"/>
  <c r="Y326" i="18" s="1"/>
  <c r="AA328" i="18"/>
  <c r="Z328" i="18" s="1"/>
  <c r="Y328" i="18" s="1"/>
  <c r="G328" i="18"/>
  <c r="CA328" i="6" s="1"/>
  <c r="G330" i="18"/>
  <c r="CA330" i="6" s="1"/>
  <c r="AA330" i="18"/>
  <c r="Z330" i="18" s="1"/>
  <c r="Y330" i="18" s="1"/>
  <c r="AA336" i="18"/>
  <c r="Z336" i="18" s="1"/>
  <c r="Y336" i="18" s="1"/>
  <c r="G336" i="18"/>
  <c r="CA336" i="6" s="1"/>
  <c r="G340" i="18"/>
  <c r="CA340" i="6" s="1"/>
  <c r="AA340" i="18"/>
  <c r="Z340" i="18" s="1"/>
  <c r="Y340" i="18" s="1"/>
  <c r="G342" i="18"/>
  <c r="CA342" i="6" s="1"/>
  <c r="AA342" i="18"/>
  <c r="Z342" i="18" s="1"/>
  <c r="Y342" i="18" s="1"/>
  <c r="G344" i="18"/>
  <c r="CA344" i="6" s="1"/>
  <c r="AA344" i="18"/>
  <c r="Z344" i="18" s="1"/>
  <c r="Y344" i="18" s="1"/>
  <c r="AA348" i="18"/>
  <c r="Z348" i="18" s="1"/>
  <c r="Y348" i="18" s="1"/>
  <c r="G348" i="18"/>
  <c r="CA348" i="6" s="1"/>
  <c r="AA352" i="18"/>
  <c r="Z352" i="18" s="1"/>
  <c r="Y352" i="18" s="1"/>
  <c r="G352" i="18"/>
  <c r="CA352" i="6" s="1"/>
  <c r="AA358" i="18"/>
  <c r="Z358" i="18" s="1"/>
  <c r="Y358" i="18" s="1"/>
  <c r="G358" i="18"/>
  <c r="CA358" i="6" s="1"/>
  <c r="AA370" i="18"/>
  <c r="Z370" i="18" s="1"/>
  <c r="Y370" i="18" s="1"/>
  <c r="G370" i="18"/>
  <c r="CA370" i="6" s="1"/>
  <c r="G372" i="18"/>
  <c r="CA372" i="6" s="1"/>
  <c r="AA372" i="18"/>
  <c r="Z372" i="18" s="1"/>
  <c r="Y372" i="18" s="1"/>
  <c r="G376" i="18"/>
  <c r="CA376" i="6" s="1"/>
  <c r="AA376" i="18"/>
  <c r="Z376" i="18" s="1"/>
  <c r="Y376" i="18" s="1"/>
  <c r="AA46" i="18"/>
  <c r="Z46" i="18" s="1"/>
  <c r="Y46" i="18" s="1"/>
  <c r="G46" i="18"/>
  <c r="CA46" i="6" s="1"/>
  <c r="H58" i="18"/>
  <c r="H88" i="18"/>
  <c r="H92" i="18"/>
  <c r="G108" i="18"/>
  <c r="CA108" i="6" s="1"/>
  <c r="AA108" i="18"/>
  <c r="Z108" i="18" s="1"/>
  <c r="Y108" i="18" s="1"/>
  <c r="G16" i="18"/>
  <c r="CA16" i="6" s="1"/>
  <c r="AA16" i="18"/>
  <c r="Z16" i="18" s="1"/>
  <c r="Y16" i="18" s="1"/>
  <c r="AA19" i="18"/>
  <c r="Z19" i="18" s="1"/>
  <c r="Y19" i="18" s="1"/>
  <c r="G19" i="18"/>
  <c r="CA19" i="6" s="1"/>
  <c r="AA21" i="18"/>
  <c r="Z21" i="18" s="1"/>
  <c r="Y21" i="18" s="1"/>
  <c r="G21" i="18"/>
  <c r="CA21" i="6" s="1"/>
  <c r="G31" i="18"/>
  <c r="CA31" i="6" s="1"/>
  <c r="AA31" i="18"/>
  <c r="Z31" i="18" s="1"/>
  <c r="Y31" i="18" s="1"/>
  <c r="AA33" i="18"/>
  <c r="Z33" i="18" s="1"/>
  <c r="Y33" i="18" s="1"/>
  <c r="G33" i="18"/>
  <c r="CA33" i="6" s="1"/>
  <c r="G59" i="18"/>
  <c r="CA59" i="6" s="1"/>
  <c r="AA59" i="18"/>
  <c r="Z59" i="18" s="1"/>
  <c r="Y59" i="18" s="1"/>
  <c r="G71" i="18"/>
  <c r="CA71" i="6" s="1"/>
  <c r="AA71" i="18"/>
  <c r="Z71" i="18" s="1"/>
  <c r="Y71" i="18" s="1"/>
  <c r="G73" i="18"/>
  <c r="CA73" i="6" s="1"/>
  <c r="AA73" i="18"/>
  <c r="Z73" i="18" s="1"/>
  <c r="Y73" i="18" s="1"/>
  <c r="AA75" i="18"/>
  <c r="Z75" i="18" s="1"/>
  <c r="Y75" i="18" s="1"/>
  <c r="G75" i="18"/>
  <c r="CA75" i="6" s="1"/>
  <c r="AA79" i="18"/>
  <c r="Z79" i="18" s="1"/>
  <c r="Y79" i="18" s="1"/>
  <c r="G79" i="18"/>
  <c r="CA79" i="6" s="1"/>
  <c r="G91" i="18"/>
  <c r="CA91" i="6" s="1"/>
  <c r="AA91" i="18"/>
  <c r="Z91" i="18" s="1"/>
  <c r="Y91" i="18" s="1"/>
  <c r="AA93" i="18"/>
  <c r="Z93" i="18" s="1"/>
  <c r="Y93" i="18" s="1"/>
  <c r="G93" i="18"/>
  <c r="CA93" i="6" s="1"/>
  <c r="AA99" i="18"/>
  <c r="Z99" i="18" s="1"/>
  <c r="Y99" i="18" s="1"/>
  <c r="G99" i="18"/>
  <c r="CA99" i="6" s="1"/>
  <c r="E65" i="19"/>
  <c r="G117" i="18"/>
  <c r="CA117" i="6" s="1"/>
  <c r="AA117" i="18"/>
  <c r="Z117" i="18" s="1"/>
  <c r="Y117" i="18" s="1"/>
  <c r="G129" i="18"/>
  <c r="CA129" i="6" s="1"/>
  <c r="AA129" i="18"/>
  <c r="Z129" i="18" s="1"/>
  <c r="Y129" i="18" s="1"/>
  <c r="W135" i="18"/>
  <c r="D135" i="18"/>
  <c r="E135" i="18" s="1"/>
  <c r="F135" i="18" s="1"/>
  <c r="H135" i="18" s="1"/>
  <c r="AA137" i="18"/>
  <c r="Z137" i="18" s="1"/>
  <c r="Y137" i="18" s="1"/>
  <c r="G137" i="18"/>
  <c r="CA137" i="6" s="1"/>
  <c r="G145" i="18"/>
  <c r="CA145" i="6" s="1"/>
  <c r="AA145" i="18"/>
  <c r="Z145" i="18" s="1"/>
  <c r="Y145" i="18" s="1"/>
  <c r="G157" i="18"/>
  <c r="CA157" i="6" s="1"/>
  <c r="AA157" i="18"/>
  <c r="Z157" i="18" s="1"/>
  <c r="Y157" i="18" s="1"/>
  <c r="G161" i="18"/>
  <c r="CA161" i="6" s="1"/>
  <c r="AA161" i="18"/>
  <c r="Z161" i="18" s="1"/>
  <c r="Y161" i="18" s="1"/>
  <c r="G163" i="18"/>
  <c r="CA163" i="6" s="1"/>
  <c r="AA163" i="18"/>
  <c r="Z163" i="18" s="1"/>
  <c r="Y163" i="18" s="1"/>
  <c r="AA167" i="18"/>
  <c r="Z167" i="18" s="1"/>
  <c r="Y167" i="18" s="1"/>
  <c r="G167" i="18"/>
  <c r="CA167" i="6" s="1"/>
  <c r="G169" i="18"/>
  <c r="CA169" i="6" s="1"/>
  <c r="AA169" i="18"/>
  <c r="Z169" i="18" s="1"/>
  <c r="Y169" i="18" s="1"/>
  <c r="AA171" i="18"/>
  <c r="Z171" i="18" s="1"/>
  <c r="Y171" i="18" s="1"/>
  <c r="G171" i="18"/>
  <c r="CA171" i="6" s="1"/>
  <c r="G175" i="18"/>
  <c r="CA175" i="6" s="1"/>
  <c r="AA175" i="18"/>
  <c r="Z175" i="18" s="1"/>
  <c r="Y175" i="18" s="1"/>
  <c r="G181" i="18"/>
  <c r="CA181" i="6" s="1"/>
  <c r="AA181" i="18"/>
  <c r="Z181" i="18" s="1"/>
  <c r="Y181" i="18" s="1"/>
  <c r="G183" i="18"/>
  <c r="CA183" i="6" s="1"/>
  <c r="AA183" i="18"/>
  <c r="Z183" i="18" s="1"/>
  <c r="Y183" i="18" s="1"/>
  <c r="AA195" i="18"/>
  <c r="Z195" i="18" s="1"/>
  <c r="Y195" i="18" s="1"/>
  <c r="G195" i="18"/>
  <c r="CA195" i="6" s="1"/>
  <c r="AA197" i="18"/>
  <c r="Z197" i="18" s="1"/>
  <c r="Y197" i="18" s="1"/>
  <c r="G197" i="18"/>
  <c r="CA197" i="6" s="1"/>
  <c r="G199" i="18"/>
  <c r="CA199" i="6" s="1"/>
  <c r="AA199" i="18"/>
  <c r="Z199" i="18" s="1"/>
  <c r="Y199" i="18" s="1"/>
  <c r="AA207" i="18"/>
  <c r="Z207" i="18" s="1"/>
  <c r="Y207" i="18" s="1"/>
  <c r="G207" i="18"/>
  <c r="CA207" i="6" s="1"/>
  <c r="AA211" i="18"/>
  <c r="Z211" i="18" s="1"/>
  <c r="Y211" i="18" s="1"/>
  <c r="G211" i="18"/>
  <c r="CA211" i="6" s="1"/>
  <c r="G221" i="18"/>
  <c r="CA221" i="6" s="1"/>
  <c r="AA221" i="18"/>
  <c r="Z221" i="18" s="1"/>
  <c r="Y221" i="18" s="1"/>
  <c r="G223" i="18"/>
  <c r="CA223" i="6" s="1"/>
  <c r="AA223" i="18"/>
  <c r="Z223" i="18" s="1"/>
  <c r="Y223" i="18" s="1"/>
  <c r="AA225" i="18"/>
  <c r="Z225" i="18" s="1"/>
  <c r="Y225" i="18" s="1"/>
  <c r="G225" i="18"/>
  <c r="CA225" i="6" s="1"/>
  <c r="D227" i="18"/>
  <c r="E227" i="18" s="1"/>
  <c r="F227" i="18" s="1"/>
  <c r="H227" i="18" s="1"/>
  <c r="W227" i="18"/>
  <c r="G231" i="18"/>
  <c r="CA231" i="6" s="1"/>
  <c r="AA231" i="18"/>
  <c r="Z231" i="18" s="1"/>
  <c r="Y231" i="18" s="1"/>
  <c r="G237" i="18"/>
  <c r="CA237" i="6" s="1"/>
  <c r="AA237" i="18"/>
  <c r="Z237" i="18" s="1"/>
  <c r="Y237" i="18" s="1"/>
  <c r="G251" i="18"/>
  <c r="CA251" i="6" s="1"/>
  <c r="AA251" i="18"/>
  <c r="Z251" i="18" s="1"/>
  <c r="Y251" i="18" s="1"/>
  <c r="AA255" i="18"/>
  <c r="Z255" i="18" s="1"/>
  <c r="Y255" i="18" s="1"/>
  <c r="G255" i="18"/>
  <c r="CA255" i="6" s="1"/>
  <c r="AA257" i="18"/>
  <c r="Z257" i="18" s="1"/>
  <c r="Y257" i="18" s="1"/>
  <c r="G257" i="18"/>
  <c r="CA257" i="6" s="1"/>
  <c r="G263" i="18"/>
  <c r="CA263" i="6" s="1"/>
  <c r="AA263" i="18"/>
  <c r="Z263" i="18" s="1"/>
  <c r="Y263" i="18" s="1"/>
  <c r="AA271" i="18"/>
  <c r="Z271" i="18" s="1"/>
  <c r="Y271" i="18" s="1"/>
  <c r="G271" i="18"/>
  <c r="CA271" i="6" s="1"/>
  <c r="G273" i="18"/>
  <c r="CA273" i="6" s="1"/>
  <c r="AA273" i="18"/>
  <c r="Z273" i="18" s="1"/>
  <c r="Y273" i="18" s="1"/>
  <c r="AA295" i="18"/>
  <c r="Z295" i="18" s="1"/>
  <c r="Y295" i="18" s="1"/>
  <c r="G295" i="18"/>
  <c r="CA295" i="6" s="1"/>
  <c r="AA299" i="18"/>
  <c r="Z299" i="18" s="1"/>
  <c r="Y299" i="18" s="1"/>
  <c r="G299" i="18"/>
  <c r="CA299" i="6" s="1"/>
  <c r="AA303" i="18"/>
  <c r="Z303" i="18" s="1"/>
  <c r="Y303" i="18" s="1"/>
  <c r="G303" i="18"/>
  <c r="CA303" i="6" s="1"/>
  <c r="G311" i="18"/>
  <c r="CA311" i="6" s="1"/>
  <c r="AA311" i="18"/>
  <c r="Z311" i="18" s="1"/>
  <c r="Y311" i="18" s="1"/>
  <c r="AA315" i="18"/>
  <c r="Z315" i="18" s="1"/>
  <c r="Y315" i="18" s="1"/>
  <c r="G315" i="18"/>
  <c r="CA315" i="6" s="1"/>
  <c r="L65" i="19"/>
  <c r="AA321" i="18"/>
  <c r="Z321" i="18" s="1"/>
  <c r="Y321" i="18" s="1"/>
  <c r="G321" i="18"/>
  <c r="CA321" i="6" s="1"/>
  <c r="G325" i="18"/>
  <c r="CA325" i="6" s="1"/>
  <c r="AA325" i="18"/>
  <c r="Z325" i="18" s="1"/>
  <c r="Y325" i="18" s="1"/>
  <c r="G337" i="18"/>
  <c r="CA337" i="6" s="1"/>
  <c r="AA337" i="18"/>
  <c r="Z337" i="18" s="1"/>
  <c r="Y337" i="18" s="1"/>
  <c r="AA353" i="18"/>
  <c r="Z353" i="18" s="1"/>
  <c r="Y353" i="18" s="1"/>
  <c r="G353" i="18"/>
  <c r="CA353" i="6" s="1"/>
  <c r="AA369" i="18"/>
  <c r="Z369" i="18" s="1"/>
  <c r="Y369" i="18" s="1"/>
  <c r="G369" i="18"/>
  <c r="CA369" i="6" s="1"/>
  <c r="AA373" i="18"/>
  <c r="Z373" i="18" s="1"/>
  <c r="Y373" i="18" s="1"/>
  <c r="G373" i="18"/>
  <c r="CA373" i="6" s="1"/>
  <c r="AG16" i="20"/>
  <c r="AF16" i="20" s="1"/>
  <c r="AD16" i="20" s="1"/>
  <c r="AG20" i="20"/>
  <c r="AF20" i="20" s="1"/>
  <c r="AD20" i="20" s="1"/>
  <c r="AG40" i="20"/>
  <c r="AF40" i="20" s="1"/>
  <c r="AD40" i="20" s="1"/>
  <c r="AG44" i="20"/>
  <c r="AF44" i="20" s="1"/>
  <c r="AD44" i="20" s="1"/>
  <c r="AG52" i="20"/>
  <c r="AF52" i="20" s="1"/>
  <c r="AD52" i="20" s="1"/>
  <c r="AG74" i="20"/>
  <c r="AF74" i="20" s="1"/>
  <c r="AD74" i="20" s="1"/>
  <c r="AG82" i="20"/>
  <c r="AF82" i="20" s="1"/>
  <c r="AD82" i="20" s="1"/>
  <c r="AG86" i="20"/>
  <c r="AF86" i="20" s="1"/>
  <c r="AD86" i="20" s="1"/>
  <c r="AG190" i="20"/>
  <c r="AF190" i="20" s="1"/>
  <c r="AD190" i="20" s="1"/>
  <c r="AG294" i="20"/>
  <c r="AF294" i="20" s="1"/>
  <c r="AD294" i="20" s="1"/>
  <c r="H348" i="18"/>
  <c r="AA41" i="18"/>
  <c r="Z41" i="18" s="1"/>
  <c r="Y41" i="18" s="1"/>
  <c r="G41" i="18"/>
  <c r="CA41" i="6" s="1"/>
  <c r="H133" i="18"/>
  <c r="H141" i="18"/>
  <c r="H59" i="18"/>
  <c r="H75" i="18"/>
  <c r="H83" i="18"/>
  <c r="H155" i="18"/>
  <c r="H235" i="18"/>
  <c r="AA359" i="18"/>
  <c r="Z359" i="18" s="1"/>
  <c r="Y359" i="18" s="1"/>
  <c r="G359" i="18"/>
  <c r="CA359" i="6" s="1"/>
  <c r="H160" i="18"/>
  <c r="H168" i="18"/>
  <c r="H208" i="18"/>
  <c r="H266" i="18"/>
  <c r="H296" i="18"/>
  <c r="I296" i="18" s="1"/>
  <c r="B296" i="6" s="1"/>
  <c r="BA296" i="6" s="1"/>
  <c r="D296" i="6" s="1"/>
  <c r="H308" i="18"/>
  <c r="H316" i="18"/>
  <c r="I316" i="18" s="1"/>
  <c r="B316" i="6" s="1"/>
  <c r="BA316" i="6" s="1"/>
  <c r="D316" i="6" s="1"/>
  <c r="H24" i="18"/>
  <c r="H32" i="18"/>
  <c r="J44" i="18"/>
  <c r="C44" i="6" s="1"/>
  <c r="I44" i="18"/>
  <c r="B44" i="6" s="1"/>
  <c r="BA44" i="6" s="1"/>
  <c r="D44" i="6" s="1"/>
  <c r="J90" i="18"/>
  <c r="C90" i="6" s="1"/>
  <c r="I90" i="18"/>
  <c r="B90" i="6" s="1"/>
  <c r="BA90" i="6" s="1"/>
  <c r="D90" i="6" s="1"/>
  <c r="J104" i="18"/>
  <c r="C104" i="6" s="1"/>
  <c r="I104" i="18"/>
  <c r="B104" i="6" s="1"/>
  <c r="BA104" i="6" s="1"/>
  <c r="D104" i="6" s="1"/>
  <c r="H324" i="18"/>
  <c r="I324" i="18" s="1"/>
  <c r="B324" i="6" s="1"/>
  <c r="BA324" i="6" s="1"/>
  <c r="D324" i="6" s="1"/>
  <c r="H65" i="18"/>
  <c r="H157" i="18"/>
  <c r="H221" i="18"/>
  <c r="I221" i="18" s="1"/>
  <c r="B221" i="6" s="1"/>
  <c r="BA221" i="6" s="1"/>
  <c r="D221" i="6" s="1"/>
  <c r="H257" i="18"/>
  <c r="H203" i="18"/>
  <c r="H291" i="18"/>
  <c r="H162" i="18"/>
  <c r="H202" i="18"/>
  <c r="H100" i="18"/>
  <c r="H136" i="18"/>
  <c r="H362" i="18"/>
  <c r="H328" i="18"/>
  <c r="H364" i="18"/>
  <c r="H233" i="18"/>
  <c r="H269" i="18"/>
  <c r="J317" i="18"/>
  <c r="C317" i="6" s="1"/>
  <c r="I317" i="18"/>
  <c r="B317" i="6" s="1"/>
  <c r="BA317" i="6" s="1"/>
  <c r="D317" i="6" s="1"/>
  <c r="H111" i="18"/>
  <c r="H199" i="18"/>
  <c r="H231" i="18"/>
  <c r="H295" i="18"/>
  <c r="H311" i="18"/>
  <c r="I311" i="18" s="1"/>
  <c r="B311" i="6" s="1"/>
  <c r="BA311" i="6" s="1"/>
  <c r="D311" i="6" s="1"/>
  <c r="H190" i="18"/>
  <c r="H212" i="18"/>
  <c r="H228" i="18"/>
  <c r="H268" i="18"/>
  <c r="J106" i="17"/>
  <c r="I106" i="17"/>
  <c r="H106" i="18" s="1"/>
  <c r="H352" i="18"/>
  <c r="S16" i="20"/>
  <c r="R16" i="20" s="1"/>
  <c r="P16" i="20" s="1"/>
  <c r="V16" i="20" s="1"/>
  <c r="B16" i="20" s="1"/>
  <c r="S18" i="20"/>
  <c r="R18" i="20" s="1"/>
  <c r="P18" i="20" s="1"/>
  <c r="V18" i="20" s="1"/>
  <c r="B18" i="20" s="1"/>
  <c r="S20" i="20"/>
  <c r="R20" i="20" s="1"/>
  <c r="P20" i="20" s="1"/>
  <c r="V20" i="20" s="1"/>
  <c r="B20" i="20" s="1"/>
  <c r="S22" i="20"/>
  <c r="R22" i="20" s="1"/>
  <c r="P22" i="20" s="1"/>
  <c r="V22" i="20" s="1"/>
  <c r="B22" i="20" s="1"/>
  <c r="S24" i="20"/>
  <c r="R24" i="20" s="1"/>
  <c r="P24" i="20" s="1"/>
  <c r="V24" i="20" s="1"/>
  <c r="B24" i="20" s="1"/>
  <c r="S26" i="20"/>
  <c r="R26" i="20" s="1"/>
  <c r="P26" i="20" s="1"/>
  <c r="V26" i="20" s="1"/>
  <c r="B26" i="20" s="1"/>
  <c r="S28" i="20"/>
  <c r="R28" i="20" s="1"/>
  <c r="P28" i="20" s="1"/>
  <c r="V28" i="20" s="1"/>
  <c r="B28" i="20" s="1"/>
  <c r="S30" i="20"/>
  <c r="R30" i="20" s="1"/>
  <c r="P30" i="20" s="1"/>
  <c r="V30" i="20" s="1"/>
  <c r="B30" i="20" s="1"/>
  <c r="S32" i="20"/>
  <c r="R32" i="20" s="1"/>
  <c r="P32" i="20" s="1"/>
  <c r="V32" i="20" s="1"/>
  <c r="B32" i="20" s="1"/>
  <c r="S34" i="20"/>
  <c r="R34" i="20" s="1"/>
  <c r="P34" i="20" s="1"/>
  <c r="V34" i="20" s="1"/>
  <c r="B34" i="20" s="1"/>
  <c r="S36" i="20"/>
  <c r="R36" i="20" s="1"/>
  <c r="P36" i="20" s="1"/>
  <c r="V36" i="20" s="1"/>
  <c r="B36" i="20" s="1"/>
  <c r="S38" i="20"/>
  <c r="R38" i="20" s="1"/>
  <c r="P38" i="20" s="1"/>
  <c r="V38" i="20" s="1"/>
  <c r="B38" i="20" s="1"/>
  <c r="S40" i="20"/>
  <c r="R40" i="20" s="1"/>
  <c r="P40" i="20" s="1"/>
  <c r="V40" i="20" s="1"/>
  <c r="B40" i="20" s="1"/>
  <c r="S42" i="20"/>
  <c r="R42" i="20" s="1"/>
  <c r="P42" i="20" s="1"/>
  <c r="V42" i="20" s="1"/>
  <c r="B42" i="20" s="1"/>
  <c r="S44" i="20"/>
  <c r="R44" i="20" s="1"/>
  <c r="P44" i="20" s="1"/>
  <c r="V44" i="20" s="1"/>
  <c r="B44" i="20" s="1"/>
  <c r="S46" i="20"/>
  <c r="R46" i="20" s="1"/>
  <c r="P46" i="20" s="1"/>
  <c r="V46" i="20" s="1"/>
  <c r="S48" i="20"/>
  <c r="R48" i="20" s="1"/>
  <c r="P48" i="20" s="1"/>
  <c r="V48" i="20" s="1"/>
  <c r="B48" i="20" s="1"/>
  <c r="S50" i="20"/>
  <c r="R50" i="20" s="1"/>
  <c r="P50" i="20" s="1"/>
  <c r="V50" i="20" s="1"/>
  <c r="B50" i="20" s="1"/>
  <c r="S52" i="20"/>
  <c r="R52" i="20" s="1"/>
  <c r="P52" i="20" s="1"/>
  <c r="V52" i="20" s="1"/>
  <c r="B52" i="20" s="1"/>
  <c r="S54" i="20"/>
  <c r="R54" i="20" s="1"/>
  <c r="P54" i="20" s="1"/>
  <c r="V54" i="20" s="1"/>
  <c r="B54" i="20" s="1"/>
  <c r="S56" i="20"/>
  <c r="R56" i="20" s="1"/>
  <c r="P56" i="20" s="1"/>
  <c r="V56" i="20" s="1"/>
  <c r="B56" i="20" s="1"/>
  <c r="S58" i="20"/>
  <c r="R58" i="20" s="1"/>
  <c r="P58" i="20" s="1"/>
  <c r="V58" i="20" s="1"/>
  <c r="B58" i="20" s="1"/>
  <c r="S60" i="20"/>
  <c r="R60" i="20" s="1"/>
  <c r="P60" i="20" s="1"/>
  <c r="S62" i="20"/>
  <c r="R62" i="20" s="1"/>
  <c r="P62" i="20" s="1"/>
  <c r="V62" i="20" s="1"/>
  <c r="B62" i="20" s="1"/>
  <c r="S64" i="20"/>
  <c r="R64" i="20" s="1"/>
  <c r="P64" i="20" s="1"/>
  <c r="V64" i="20" s="1"/>
  <c r="B64" i="20" s="1"/>
  <c r="S66" i="20"/>
  <c r="R66" i="20" s="1"/>
  <c r="P66" i="20" s="1"/>
  <c r="V66" i="20" s="1"/>
  <c r="B66" i="20" s="1"/>
  <c r="S68" i="20"/>
  <c r="R68" i="20" s="1"/>
  <c r="P68" i="20" s="1"/>
  <c r="V68" i="20" s="1"/>
  <c r="B68" i="20" s="1"/>
  <c r="S70" i="20"/>
  <c r="R70" i="20" s="1"/>
  <c r="P70" i="20" s="1"/>
  <c r="V70" i="20" s="1"/>
  <c r="B70" i="20" s="1"/>
  <c r="S72" i="20"/>
  <c r="R72" i="20" s="1"/>
  <c r="P72" i="20" s="1"/>
  <c r="V72" i="20" s="1"/>
  <c r="B72" i="20" s="1"/>
  <c r="S74" i="20"/>
  <c r="R74" i="20" s="1"/>
  <c r="P74" i="20" s="1"/>
  <c r="V74" i="20" s="1"/>
  <c r="S76" i="20"/>
  <c r="R76" i="20" s="1"/>
  <c r="P76" i="20" s="1"/>
  <c r="V76" i="20" s="1"/>
  <c r="B76" i="20" s="1"/>
  <c r="S78" i="20"/>
  <c r="R78" i="20" s="1"/>
  <c r="P78" i="20" s="1"/>
  <c r="V78" i="20" s="1"/>
  <c r="B78" i="20" s="1"/>
  <c r="S80" i="20"/>
  <c r="R80" i="20" s="1"/>
  <c r="P80" i="20" s="1"/>
  <c r="V80" i="20" s="1"/>
  <c r="B80" i="20" s="1"/>
  <c r="S82" i="20"/>
  <c r="R82" i="20" s="1"/>
  <c r="P82" i="20" s="1"/>
  <c r="V82" i="20" s="1"/>
  <c r="B82" i="20" s="1"/>
  <c r="S84" i="20"/>
  <c r="R84" i="20" s="1"/>
  <c r="P84" i="20" s="1"/>
  <c r="V84" i="20" s="1"/>
  <c r="B84" i="20" s="1"/>
  <c r="S86" i="20"/>
  <c r="R86" i="20" s="1"/>
  <c r="P86" i="20" s="1"/>
  <c r="V86" i="20" s="1"/>
  <c r="B86" i="20" s="1"/>
  <c r="S88" i="20"/>
  <c r="R88" i="20" s="1"/>
  <c r="P88" i="20" s="1"/>
  <c r="S90" i="20"/>
  <c r="R90" i="20" s="1"/>
  <c r="P90" i="20" s="1"/>
  <c r="V90" i="20" s="1"/>
  <c r="B90" i="20" s="1"/>
  <c r="S92" i="20"/>
  <c r="R92" i="20" s="1"/>
  <c r="P92" i="20" s="1"/>
  <c r="V92" i="20" s="1"/>
  <c r="B92" i="20" s="1"/>
  <c r="S94" i="20"/>
  <c r="R94" i="20" s="1"/>
  <c r="P94" i="20" s="1"/>
  <c r="V94" i="20" s="1"/>
  <c r="B94" i="20" s="1"/>
  <c r="S96" i="20"/>
  <c r="R96" i="20" s="1"/>
  <c r="P96" i="20" s="1"/>
  <c r="V96" i="20" s="1"/>
  <c r="B96" i="20" s="1"/>
  <c r="S98" i="20"/>
  <c r="R98" i="20" s="1"/>
  <c r="P98" i="20" s="1"/>
  <c r="V98" i="20" s="1"/>
  <c r="B98" i="20" s="1"/>
  <c r="S100" i="20"/>
  <c r="R100" i="20" s="1"/>
  <c r="P100" i="20" s="1"/>
  <c r="V100" i="20" s="1"/>
  <c r="B100" i="20" s="1"/>
  <c r="S102" i="20"/>
  <c r="R102" i="20" s="1"/>
  <c r="P102" i="20" s="1"/>
  <c r="V102" i="20" s="1"/>
  <c r="B102" i="20" s="1"/>
  <c r="S104" i="20"/>
  <c r="R104" i="20" s="1"/>
  <c r="P104" i="20" s="1"/>
  <c r="V104" i="20" s="1"/>
  <c r="B104" i="20" s="1"/>
  <c r="S106" i="20"/>
  <c r="R106" i="20" s="1"/>
  <c r="P106" i="20" s="1"/>
  <c r="V106" i="20" s="1"/>
  <c r="B106" i="20" s="1"/>
  <c r="S108" i="20"/>
  <c r="R108" i="20" s="1"/>
  <c r="P108" i="20" s="1"/>
  <c r="V108" i="20" s="1"/>
  <c r="B108" i="20" s="1"/>
  <c r="S110" i="20"/>
  <c r="R110" i="20" s="1"/>
  <c r="P110" i="20" s="1"/>
  <c r="V110" i="20" s="1"/>
  <c r="B110" i="20" s="1"/>
  <c r="S112" i="20"/>
  <c r="R112" i="20" s="1"/>
  <c r="P112" i="20" s="1"/>
  <c r="V112" i="20" s="1"/>
  <c r="B112" i="20" s="1"/>
  <c r="S114" i="20"/>
  <c r="R114" i="20" s="1"/>
  <c r="P114" i="20" s="1"/>
  <c r="V114" i="20" s="1"/>
  <c r="B114" i="20" s="1"/>
  <c r="S116" i="20"/>
  <c r="R116" i="20" s="1"/>
  <c r="P116" i="20" s="1"/>
  <c r="V116" i="20" s="1"/>
  <c r="B116" i="20" s="1"/>
  <c r="S118" i="20"/>
  <c r="R118" i="20" s="1"/>
  <c r="P118" i="20" s="1"/>
  <c r="V118" i="20" s="1"/>
  <c r="B118" i="20" s="1"/>
  <c r="S120" i="20"/>
  <c r="R120" i="20" s="1"/>
  <c r="P120" i="20" s="1"/>
  <c r="V120" i="20" s="1"/>
  <c r="B120" i="20" s="1"/>
  <c r="S122" i="20"/>
  <c r="R122" i="20" s="1"/>
  <c r="P122" i="20" s="1"/>
  <c r="V122" i="20" s="1"/>
  <c r="B122" i="20" s="1"/>
  <c r="S124" i="20"/>
  <c r="R124" i="20" s="1"/>
  <c r="P124" i="20" s="1"/>
  <c r="V124" i="20" s="1"/>
  <c r="B124" i="20" s="1"/>
  <c r="S126" i="20"/>
  <c r="R126" i="20" s="1"/>
  <c r="P126" i="20" s="1"/>
  <c r="V126" i="20" s="1"/>
  <c r="B126" i="20" s="1"/>
  <c r="S128" i="20"/>
  <c r="R128" i="20" s="1"/>
  <c r="P128" i="20" s="1"/>
  <c r="V128" i="20" s="1"/>
  <c r="B128" i="20" s="1"/>
  <c r="S130" i="20"/>
  <c r="R130" i="20" s="1"/>
  <c r="P130" i="20" s="1"/>
  <c r="V130" i="20" s="1"/>
  <c r="B130" i="20" s="1"/>
  <c r="S132" i="20"/>
  <c r="R132" i="20" s="1"/>
  <c r="P132" i="20" s="1"/>
  <c r="V132" i="20" s="1"/>
  <c r="B132" i="20" s="1"/>
  <c r="S134" i="20"/>
  <c r="R134" i="20" s="1"/>
  <c r="P134" i="20" s="1"/>
  <c r="V134" i="20" s="1"/>
  <c r="B134" i="20" s="1"/>
  <c r="S136" i="20"/>
  <c r="R136" i="20" s="1"/>
  <c r="P136" i="20" s="1"/>
  <c r="V136" i="20" s="1"/>
  <c r="B136" i="20" s="1"/>
  <c r="S138" i="20"/>
  <c r="R138" i="20" s="1"/>
  <c r="P138" i="20" s="1"/>
  <c r="V138" i="20" s="1"/>
  <c r="B138" i="20" s="1"/>
  <c r="S140" i="20"/>
  <c r="R140" i="20" s="1"/>
  <c r="P140" i="20" s="1"/>
  <c r="V140" i="20" s="1"/>
  <c r="B140" i="20" s="1"/>
  <c r="S142" i="20"/>
  <c r="R142" i="20" s="1"/>
  <c r="P142" i="20" s="1"/>
  <c r="V142" i="20" s="1"/>
  <c r="B142" i="20" s="1"/>
  <c r="S144" i="20"/>
  <c r="R144" i="20" s="1"/>
  <c r="P144" i="20" s="1"/>
  <c r="V144" i="20" s="1"/>
  <c r="B144" i="20" s="1"/>
  <c r="S146" i="20"/>
  <c r="R146" i="20" s="1"/>
  <c r="P146" i="20" s="1"/>
  <c r="V146" i="20" s="1"/>
  <c r="B146" i="20" s="1"/>
  <c r="S148" i="20"/>
  <c r="R148" i="20" s="1"/>
  <c r="P148" i="20" s="1"/>
  <c r="V148" i="20" s="1"/>
  <c r="B148" i="20" s="1"/>
  <c r="S150" i="20"/>
  <c r="R150" i="20" s="1"/>
  <c r="P150" i="20" s="1"/>
  <c r="V150" i="20" s="1"/>
  <c r="B150" i="20" s="1"/>
  <c r="S152" i="20"/>
  <c r="R152" i="20" s="1"/>
  <c r="P152" i="20" s="1"/>
  <c r="V152" i="20" s="1"/>
  <c r="B152" i="20" s="1"/>
  <c r="S154" i="20"/>
  <c r="R154" i="20" s="1"/>
  <c r="P154" i="20" s="1"/>
  <c r="V154" i="20" s="1"/>
  <c r="B154" i="20" s="1"/>
  <c r="S156" i="20"/>
  <c r="R156" i="20" s="1"/>
  <c r="P156" i="20" s="1"/>
  <c r="V156" i="20" s="1"/>
  <c r="B156" i="20" s="1"/>
  <c r="S158" i="20"/>
  <c r="R158" i="20" s="1"/>
  <c r="P158" i="20" s="1"/>
  <c r="V158" i="20" s="1"/>
  <c r="B158" i="20" s="1"/>
  <c r="S160" i="20"/>
  <c r="R160" i="20" s="1"/>
  <c r="P160" i="20" s="1"/>
  <c r="V160" i="20" s="1"/>
  <c r="B160" i="20" s="1"/>
  <c r="S162" i="20"/>
  <c r="R162" i="20" s="1"/>
  <c r="P162" i="20" s="1"/>
  <c r="V162" i="20" s="1"/>
  <c r="B162" i="20" s="1"/>
  <c r="S164" i="20"/>
  <c r="R164" i="20" s="1"/>
  <c r="P164" i="20" s="1"/>
  <c r="V164" i="20" s="1"/>
  <c r="B164" i="20" s="1"/>
  <c r="S166" i="20"/>
  <c r="R166" i="20" s="1"/>
  <c r="P166" i="20" s="1"/>
  <c r="V166" i="20" s="1"/>
  <c r="S168" i="20"/>
  <c r="R168" i="20" s="1"/>
  <c r="P168" i="20" s="1"/>
  <c r="V168" i="20" s="1"/>
  <c r="B168" i="20" s="1"/>
  <c r="S170" i="20"/>
  <c r="R170" i="20" s="1"/>
  <c r="P170" i="20" s="1"/>
  <c r="V170" i="20" s="1"/>
  <c r="B170" i="20" s="1"/>
  <c r="S172" i="20"/>
  <c r="R172" i="20" s="1"/>
  <c r="P172" i="20" s="1"/>
  <c r="V172" i="20" s="1"/>
  <c r="B172" i="20" s="1"/>
  <c r="S174" i="20"/>
  <c r="R174" i="20" s="1"/>
  <c r="P174" i="20" s="1"/>
  <c r="V174" i="20" s="1"/>
  <c r="B174" i="20" s="1"/>
  <c r="S176" i="20"/>
  <c r="R176" i="20" s="1"/>
  <c r="P176" i="20" s="1"/>
  <c r="V176" i="20" s="1"/>
  <c r="B176" i="20" s="1"/>
  <c r="S178" i="20"/>
  <c r="R178" i="20" s="1"/>
  <c r="P178" i="20" s="1"/>
  <c r="V178" i="20" s="1"/>
  <c r="B178" i="20" s="1"/>
  <c r="S180" i="20"/>
  <c r="R180" i="20" s="1"/>
  <c r="P180" i="20" s="1"/>
  <c r="S182" i="20"/>
  <c r="R182" i="20" s="1"/>
  <c r="P182" i="20" s="1"/>
  <c r="V182" i="20" s="1"/>
  <c r="B182" i="20" s="1"/>
  <c r="S184" i="20"/>
  <c r="R184" i="20" s="1"/>
  <c r="P184" i="20" s="1"/>
  <c r="V184" i="20" s="1"/>
  <c r="B184" i="20" s="1"/>
  <c r="S186" i="20"/>
  <c r="R186" i="20" s="1"/>
  <c r="P186" i="20" s="1"/>
  <c r="V186" i="20" s="1"/>
  <c r="B186" i="20" s="1"/>
  <c r="S188" i="20"/>
  <c r="R188" i="20" s="1"/>
  <c r="P188" i="20" s="1"/>
  <c r="V188" i="20" s="1"/>
  <c r="B188" i="20" s="1"/>
  <c r="S190" i="20"/>
  <c r="R190" i="20" s="1"/>
  <c r="P190" i="20" s="1"/>
  <c r="V190" i="20" s="1"/>
  <c r="B190" i="20" s="1"/>
  <c r="S192" i="20"/>
  <c r="R192" i="20" s="1"/>
  <c r="P192" i="20" s="1"/>
  <c r="V192" i="20" s="1"/>
  <c r="B192" i="20" s="1"/>
  <c r="S194" i="20"/>
  <c r="R194" i="20" s="1"/>
  <c r="P194" i="20" s="1"/>
  <c r="V194" i="20" s="1"/>
  <c r="B194" i="20" s="1"/>
  <c r="S196" i="20"/>
  <c r="R196" i="20" s="1"/>
  <c r="P196" i="20" s="1"/>
  <c r="V196" i="20" s="1"/>
  <c r="S198" i="20"/>
  <c r="R198" i="20" s="1"/>
  <c r="P198" i="20" s="1"/>
  <c r="V198" i="20" s="1"/>
  <c r="B198" i="20" s="1"/>
  <c r="S200" i="20"/>
  <c r="R200" i="20" s="1"/>
  <c r="P200" i="20" s="1"/>
  <c r="V200" i="20" s="1"/>
  <c r="B200" i="20" s="1"/>
  <c r="S202" i="20"/>
  <c r="R202" i="20" s="1"/>
  <c r="P202" i="20" s="1"/>
  <c r="V202" i="20" s="1"/>
  <c r="B202" i="20" s="1"/>
  <c r="S204" i="20"/>
  <c r="R204" i="20" s="1"/>
  <c r="P204" i="20" s="1"/>
  <c r="V204" i="20" s="1"/>
  <c r="B204" i="20" s="1"/>
  <c r="S206" i="20"/>
  <c r="R206" i="20" s="1"/>
  <c r="P206" i="20" s="1"/>
  <c r="V206" i="20" s="1"/>
  <c r="B206" i="20" s="1"/>
  <c r="S208" i="20"/>
  <c r="R208" i="20" s="1"/>
  <c r="P208" i="20" s="1"/>
  <c r="V208" i="20" s="1"/>
  <c r="B208" i="20" s="1"/>
  <c r="S210" i="20"/>
  <c r="R210" i="20" s="1"/>
  <c r="P210" i="20" s="1"/>
  <c r="S212" i="20"/>
  <c r="R212" i="20" s="1"/>
  <c r="P212" i="20" s="1"/>
  <c r="V212" i="20" s="1"/>
  <c r="B212" i="20" s="1"/>
  <c r="S214" i="20"/>
  <c r="R214" i="20" s="1"/>
  <c r="P214" i="20" s="1"/>
  <c r="V214" i="20" s="1"/>
  <c r="B214" i="20" s="1"/>
  <c r="S216" i="20"/>
  <c r="R216" i="20" s="1"/>
  <c r="P216" i="20" s="1"/>
  <c r="V216" i="20" s="1"/>
  <c r="B216" i="20" s="1"/>
  <c r="S218" i="20"/>
  <c r="R218" i="20" s="1"/>
  <c r="P218" i="20" s="1"/>
  <c r="V218" i="20" s="1"/>
  <c r="B218" i="20" s="1"/>
  <c r="S220" i="20"/>
  <c r="R220" i="20" s="1"/>
  <c r="P220" i="20" s="1"/>
  <c r="V220" i="20" s="1"/>
  <c r="B220" i="20" s="1"/>
  <c r="S222" i="20"/>
  <c r="R222" i="20" s="1"/>
  <c r="P222" i="20" s="1"/>
  <c r="V222" i="20" s="1"/>
  <c r="B222" i="20" s="1"/>
  <c r="S224" i="20"/>
  <c r="R224" i="20" s="1"/>
  <c r="P224" i="20" s="1"/>
  <c r="V224" i="20" s="1"/>
  <c r="B224" i="20" s="1"/>
  <c r="S226" i="20"/>
  <c r="R226" i="20" s="1"/>
  <c r="P226" i="20" s="1"/>
  <c r="V226" i="20" s="1"/>
  <c r="B226" i="20" s="1"/>
  <c r="S228" i="20"/>
  <c r="R228" i="20" s="1"/>
  <c r="P228" i="20" s="1"/>
  <c r="V228" i="20" s="1"/>
  <c r="B228" i="20" s="1"/>
  <c r="S230" i="20"/>
  <c r="R230" i="20" s="1"/>
  <c r="P230" i="20" s="1"/>
  <c r="V230" i="20" s="1"/>
  <c r="B230" i="20" s="1"/>
  <c r="S232" i="20"/>
  <c r="R232" i="20" s="1"/>
  <c r="P232" i="20" s="1"/>
  <c r="V232" i="20" s="1"/>
  <c r="B232" i="20" s="1"/>
  <c r="S234" i="20"/>
  <c r="R234" i="20" s="1"/>
  <c r="P234" i="20" s="1"/>
  <c r="V234" i="20" s="1"/>
  <c r="B234" i="20" s="1"/>
  <c r="S236" i="20"/>
  <c r="R236" i="20" s="1"/>
  <c r="P236" i="20" s="1"/>
  <c r="V236" i="20" s="1"/>
  <c r="B236" i="20" s="1"/>
  <c r="S238" i="20"/>
  <c r="R238" i="20" s="1"/>
  <c r="P238" i="20" s="1"/>
  <c r="V238" i="20" s="1"/>
  <c r="B238" i="20" s="1"/>
  <c r="S240" i="20"/>
  <c r="R240" i="20" s="1"/>
  <c r="P240" i="20" s="1"/>
  <c r="V240" i="20" s="1"/>
  <c r="B240" i="20" s="1"/>
  <c r="S242" i="20"/>
  <c r="R242" i="20" s="1"/>
  <c r="P242" i="20" s="1"/>
  <c r="V242" i="20" s="1"/>
  <c r="B242" i="20" s="1"/>
  <c r="S244" i="20"/>
  <c r="R244" i="20" s="1"/>
  <c r="P244" i="20" s="1"/>
  <c r="V244" i="20" s="1"/>
  <c r="B244" i="20" s="1"/>
  <c r="S246" i="20"/>
  <c r="R246" i="20" s="1"/>
  <c r="P246" i="20" s="1"/>
  <c r="V246" i="20" s="1"/>
  <c r="B246" i="20" s="1"/>
  <c r="S248" i="20"/>
  <c r="R248" i="20" s="1"/>
  <c r="P248" i="20" s="1"/>
  <c r="V248" i="20" s="1"/>
  <c r="B248" i="20" s="1"/>
  <c r="S250" i="20"/>
  <c r="R250" i="20" s="1"/>
  <c r="P250" i="20" s="1"/>
  <c r="V250" i="20" s="1"/>
  <c r="B250" i="20" s="1"/>
  <c r="S252" i="20"/>
  <c r="R252" i="20" s="1"/>
  <c r="P252" i="20" s="1"/>
  <c r="V252" i="20" s="1"/>
  <c r="B252" i="20" s="1"/>
  <c r="S254" i="20"/>
  <c r="R254" i="20" s="1"/>
  <c r="P254" i="20" s="1"/>
  <c r="V254" i="20" s="1"/>
  <c r="B254" i="20" s="1"/>
  <c r="S256" i="20"/>
  <c r="R256" i="20" s="1"/>
  <c r="P256" i="20" s="1"/>
  <c r="V256" i="20" s="1"/>
  <c r="B256" i="20" s="1"/>
  <c r="S258" i="20"/>
  <c r="R258" i="20" s="1"/>
  <c r="P258" i="20" s="1"/>
  <c r="V258" i="20" s="1"/>
  <c r="S260" i="20"/>
  <c r="R260" i="20" s="1"/>
  <c r="P260" i="20" s="1"/>
  <c r="V260" i="20" s="1"/>
  <c r="B260" i="20" s="1"/>
  <c r="S262" i="20"/>
  <c r="R262" i="20" s="1"/>
  <c r="P262" i="20" s="1"/>
  <c r="V262" i="20" s="1"/>
  <c r="B262" i="20" s="1"/>
  <c r="S264" i="20"/>
  <c r="R264" i="20" s="1"/>
  <c r="P264" i="20" s="1"/>
  <c r="V264" i="20" s="1"/>
  <c r="B264" i="20" s="1"/>
  <c r="S266" i="20"/>
  <c r="R266" i="20" s="1"/>
  <c r="P266" i="20" s="1"/>
  <c r="V266" i="20" s="1"/>
  <c r="B266" i="20" s="1"/>
  <c r="S268" i="20"/>
  <c r="R268" i="20" s="1"/>
  <c r="P268" i="20" s="1"/>
  <c r="V268" i="20" s="1"/>
  <c r="B268" i="20" s="1"/>
  <c r="S270" i="20"/>
  <c r="R270" i="20" s="1"/>
  <c r="P270" i="20" s="1"/>
  <c r="V270" i="20" s="1"/>
  <c r="B270" i="20" s="1"/>
  <c r="S272" i="20"/>
  <c r="R272" i="20" s="1"/>
  <c r="P272" i="20" s="1"/>
  <c r="S274" i="20"/>
  <c r="R274" i="20" s="1"/>
  <c r="P274" i="20" s="1"/>
  <c r="V274" i="20" s="1"/>
  <c r="B274" i="20" s="1"/>
  <c r="S276" i="20"/>
  <c r="R276" i="20" s="1"/>
  <c r="P276" i="20" s="1"/>
  <c r="V276" i="20" s="1"/>
  <c r="B276" i="20" s="1"/>
  <c r="S278" i="20"/>
  <c r="R278" i="20" s="1"/>
  <c r="P278" i="20" s="1"/>
  <c r="V278" i="20" s="1"/>
  <c r="B278" i="20" s="1"/>
  <c r="S280" i="20"/>
  <c r="R280" i="20" s="1"/>
  <c r="P280" i="20" s="1"/>
  <c r="V280" i="20" s="1"/>
  <c r="B280" i="20" s="1"/>
  <c r="S282" i="20"/>
  <c r="R282" i="20" s="1"/>
  <c r="P282" i="20" s="1"/>
  <c r="V282" i="20" s="1"/>
  <c r="B282" i="20" s="1"/>
  <c r="S284" i="20"/>
  <c r="R284" i="20" s="1"/>
  <c r="P284" i="20" s="1"/>
  <c r="V284" i="20" s="1"/>
  <c r="B284" i="20" s="1"/>
  <c r="S286" i="20"/>
  <c r="R286" i="20" s="1"/>
  <c r="P286" i="20" s="1"/>
  <c r="V286" i="20" s="1"/>
  <c r="B286" i="20" s="1"/>
  <c r="S288" i="20"/>
  <c r="R288" i="20" s="1"/>
  <c r="P288" i="20" s="1"/>
  <c r="V288" i="20" s="1"/>
  <c r="S290" i="20"/>
  <c r="R290" i="20" s="1"/>
  <c r="P290" i="20" s="1"/>
  <c r="V290" i="20" s="1"/>
  <c r="B290" i="20" s="1"/>
  <c r="S292" i="20"/>
  <c r="R292" i="20" s="1"/>
  <c r="P292" i="20" s="1"/>
  <c r="V292" i="20" s="1"/>
  <c r="B292" i="20" s="1"/>
  <c r="S294" i="20"/>
  <c r="R294" i="20" s="1"/>
  <c r="P294" i="20" s="1"/>
  <c r="V294" i="20" s="1"/>
  <c r="B294" i="20" s="1"/>
  <c r="S296" i="20"/>
  <c r="R296" i="20" s="1"/>
  <c r="P296" i="20" s="1"/>
  <c r="V296" i="20" s="1"/>
  <c r="B296" i="20" s="1"/>
  <c r="S298" i="20"/>
  <c r="R298" i="20" s="1"/>
  <c r="P298" i="20" s="1"/>
  <c r="V298" i="20" s="1"/>
  <c r="B298" i="20" s="1"/>
  <c r="S300" i="20"/>
  <c r="R300" i="20" s="1"/>
  <c r="P300" i="20" s="1"/>
  <c r="V300" i="20" s="1"/>
  <c r="B300" i="20" s="1"/>
  <c r="S302" i="20"/>
  <c r="R302" i="20" s="1"/>
  <c r="P302" i="20" s="1"/>
  <c r="S304" i="20"/>
  <c r="R304" i="20" s="1"/>
  <c r="P304" i="20" s="1"/>
  <c r="V304" i="20" s="1"/>
  <c r="B304" i="20" s="1"/>
  <c r="S306" i="20"/>
  <c r="R306" i="20" s="1"/>
  <c r="P306" i="20" s="1"/>
  <c r="V306" i="20" s="1"/>
  <c r="B306" i="20" s="1"/>
  <c r="S308" i="20"/>
  <c r="R308" i="20" s="1"/>
  <c r="P308" i="20" s="1"/>
  <c r="V308" i="20" s="1"/>
  <c r="B308" i="20" s="1"/>
  <c r="S310" i="20"/>
  <c r="R310" i="20" s="1"/>
  <c r="P310" i="20" s="1"/>
  <c r="V310" i="20" s="1"/>
  <c r="B310" i="20" s="1"/>
  <c r="S312" i="20"/>
  <c r="R312" i="20" s="1"/>
  <c r="P312" i="20" s="1"/>
  <c r="V312" i="20" s="1"/>
  <c r="B312" i="20" s="1"/>
  <c r="S314" i="20"/>
  <c r="R314" i="20" s="1"/>
  <c r="P314" i="20" s="1"/>
  <c r="V314" i="20" s="1"/>
  <c r="B314" i="20" s="1"/>
  <c r="S316" i="20"/>
  <c r="R316" i="20" s="1"/>
  <c r="P316" i="20" s="1"/>
  <c r="V316" i="20" s="1"/>
  <c r="B316" i="20" s="1"/>
  <c r="S318" i="20"/>
  <c r="R318" i="20" s="1"/>
  <c r="P318" i="20" s="1"/>
  <c r="V318" i="20" s="1"/>
  <c r="B318" i="20" s="1"/>
  <c r="S320" i="20"/>
  <c r="R320" i="20" s="1"/>
  <c r="P320" i="20" s="1"/>
  <c r="V320" i="20" s="1"/>
  <c r="B320" i="20" s="1"/>
  <c r="S322" i="20"/>
  <c r="R322" i="20" s="1"/>
  <c r="P322" i="20" s="1"/>
  <c r="V322" i="20" s="1"/>
  <c r="B322" i="20" s="1"/>
  <c r="S324" i="20"/>
  <c r="R324" i="20" s="1"/>
  <c r="P324" i="20" s="1"/>
  <c r="V324" i="20" s="1"/>
  <c r="B324" i="20" s="1"/>
  <c r="S326" i="20"/>
  <c r="R326" i="20" s="1"/>
  <c r="P326" i="20" s="1"/>
  <c r="V326" i="20" s="1"/>
  <c r="B326" i="20" s="1"/>
  <c r="S328" i="20"/>
  <c r="R328" i="20" s="1"/>
  <c r="P328" i="20" s="1"/>
  <c r="V328" i="20" s="1"/>
  <c r="B328" i="20" s="1"/>
  <c r="S330" i="20"/>
  <c r="R330" i="20" s="1"/>
  <c r="P330" i="20" s="1"/>
  <c r="V330" i="20" s="1"/>
  <c r="B330" i="20" s="1"/>
  <c r="S332" i="20"/>
  <c r="R332" i="20" s="1"/>
  <c r="P332" i="20" s="1"/>
  <c r="V332" i="20" s="1"/>
  <c r="B332" i="20" s="1"/>
  <c r="S334" i="20"/>
  <c r="R334" i="20" s="1"/>
  <c r="P334" i="20" s="1"/>
  <c r="V334" i="20" s="1"/>
  <c r="B334" i="20" s="1"/>
  <c r="S336" i="20"/>
  <c r="R336" i="20" s="1"/>
  <c r="P336" i="20" s="1"/>
  <c r="V336" i="20" s="1"/>
  <c r="B336" i="20" s="1"/>
  <c r="S338" i="20"/>
  <c r="R338" i="20" s="1"/>
  <c r="P338" i="20" s="1"/>
  <c r="V338" i="20" s="1"/>
  <c r="B338" i="20" s="1"/>
  <c r="S340" i="20"/>
  <c r="R340" i="20" s="1"/>
  <c r="P340" i="20" s="1"/>
  <c r="V340" i="20" s="1"/>
  <c r="B340" i="20" s="1"/>
  <c r="S342" i="20"/>
  <c r="R342" i="20" s="1"/>
  <c r="P342" i="20" s="1"/>
  <c r="V342" i="20" s="1"/>
  <c r="B342" i="20" s="1"/>
  <c r="S344" i="20"/>
  <c r="R344" i="20" s="1"/>
  <c r="P344" i="20" s="1"/>
  <c r="V344" i="20" s="1"/>
  <c r="B344" i="20" s="1"/>
  <c r="S346" i="20"/>
  <c r="R346" i="20" s="1"/>
  <c r="P346" i="20" s="1"/>
  <c r="V346" i="20" s="1"/>
  <c r="B346" i="20" s="1"/>
  <c r="S348" i="20"/>
  <c r="R348" i="20" s="1"/>
  <c r="P348" i="20" s="1"/>
  <c r="V348" i="20" s="1"/>
  <c r="B348" i="20" s="1"/>
  <c r="S350" i="20"/>
  <c r="R350" i="20" s="1"/>
  <c r="P350" i="20" s="1"/>
  <c r="V350" i="20" s="1"/>
  <c r="B350" i="20" s="1"/>
  <c r="S352" i="20"/>
  <c r="R352" i="20" s="1"/>
  <c r="P352" i="20" s="1"/>
  <c r="V352" i="20" s="1"/>
  <c r="B352" i="20" s="1"/>
  <c r="S354" i="20"/>
  <c r="R354" i="20" s="1"/>
  <c r="P354" i="20" s="1"/>
  <c r="V354" i="20" s="1"/>
  <c r="B354" i="20" s="1"/>
  <c r="S356" i="20"/>
  <c r="R356" i="20" s="1"/>
  <c r="P356" i="20" s="1"/>
  <c r="V356" i="20" s="1"/>
  <c r="B356" i="20" s="1"/>
  <c r="S358" i="20"/>
  <c r="R358" i="20" s="1"/>
  <c r="P358" i="20" s="1"/>
  <c r="V358" i="20" s="1"/>
  <c r="B358" i="20" s="1"/>
  <c r="S360" i="20"/>
  <c r="R360" i="20" s="1"/>
  <c r="P360" i="20" s="1"/>
  <c r="V360" i="20" s="1"/>
  <c r="B360" i="20" s="1"/>
  <c r="S362" i="20"/>
  <c r="R362" i="20" s="1"/>
  <c r="P362" i="20" s="1"/>
  <c r="V362" i="20" s="1"/>
  <c r="B362" i="20" s="1"/>
  <c r="S364" i="20"/>
  <c r="R364" i="20" s="1"/>
  <c r="P364" i="20" s="1"/>
  <c r="V364" i="20" s="1"/>
  <c r="B364" i="20" s="1"/>
  <c r="S366" i="20"/>
  <c r="R366" i="20" s="1"/>
  <c r="P366" i="20" s="1"/>
  <c r="V366" i="20" s="1"/>
  <c r="B366" i="20" s="1"/>
  <c r="S368" i="20"/>
  <c r="R368" i="20" s="1"/>
  <c r="P368" i="20" s="1"/>
  <c r="V368" i="20" s="1"/>
  <c r="B368" i="20" s="1"/>
  <c r="S370" i="20"/>
  <c r="R370" i="20" s="1"/>
  <c r="P370" i="20" s="1"/>
  <c r="V370" i="20" s="1"/>
  <c r="B370" i="20" s="1"/>
  <c r="S372" i="20"/>
  <c r="R372" i="20" s="1"/>
  <c r="P372" i="20" s="1"/>
  <c r="V372" i="20" s="1"/>
  <c r="B372" i="20" s="1"/>
  <c r="S374" i="20"/>
  <c r="R374" i="20" s="1"/>
  <c r="P374" i="20" s="1"/>
  <c r="V374" i="20" s="1"/>
  <c r="B374" i="20" s="1"/>
  <c r="S376" i="20"/>
  <c r="R376" i="20" s="1"/>
  <c r="P376" i="20" s="1"/>
  <c r="V376" i="20" s="1"/>
  <c r="B376" i="20" s="1"/>
  <c r="S378" i="20"/>
  <c r="R378" i="20" s="1"/>
  <c r="P378" i="20" s="1"/>
  <c r="V378" i="20" s="1"/>
  <c r="B378" i="20" s="1"/>
  <c r="H336" i="18"/>
  <c r="G382" i="16"/>
  <c r="G381" i="16"/>
  <c r="G383" i="16"/>
  <c r="G12" i="16" s="1"/>
  <c r="H33" i="18"/>
  <c r="I321" i="17"/>
  <c r="H321" i="18" s="1"/>
  <c r="J321" i="17"/>
  <c r="H16" i="18"/>
  <c r="H263" i="18"/>
  <c r="H373" i="18"/>
  <c r="H256" i="18"/>
  <c r="J262" i="18"/>
  <c r="C262" i="6" s="1"/>
  <c r="H274" i="18"/>
  <c r="H278" i="18"/>
  <c r="G18" i="18"/>
  <c r="CA18" i="6" s="1"/>
  <c r="AA18" i="18"/>
  <c r="Z18" i="18" s="1"/>
  <c r="Y18" i="18" s="1"/>
  <c r="AA28" i="18"/>
  <c r="Z28" i="18" s="1"/>
  <c r="Y28" i="18" s="1"/>
  <c r="G28" i="18"/>
  <c r="CA28" i="6" s="1"/>
  <c r="G36" i="18"/>
  <c r="CA36" i="6" s="1"/>
  <c r="AA36" i="18"/>
  <c r="Z36" i="18" s="1"/>
  <c r="Y36" i="18" s="1"/>
  <c r="H40" i="18"/>
  <c r="AA44" i="18"/>
  <c r="Z44" i="18" s="1"/>
  <c r="Y44" i="18" s="1"/>
  <c r="G44" i="18"/>
  <c r="CA44" i="6" s="1"/>
  <c r="AA90" i="18"/>
  <c r="Z90" i="18" s="1"/>
  <c r="Y90" i="18" s="1"/>
  <c r="G90" i="18"/>
  <c r="CA90" i="6" s="1"/>
  <c r="G96" i="18"/>
  <c r="CA96" i="6" s="1"/>
  <c r="AA96" i="18"/>
  <c r="Z96" i="18" s="1"/>
  <c r="Y96" i="18" s="1"/>
  <c r="G104" i="18"/>
  <c r="CA104" i="6" s="1"/>
  <c r="AA104" i="18"/>
  <c r="Z104" i="18" s="1"/>
  <c r="Y104" i="18" s="1"/>
  <c r="H320" i="18"/>
  <c r="H334" i="18"/>
  <c r="AG15" i="20"/>
  <c r="AG25" i="20"/>
  <c r="AF25" i="20" s="1"/>
  <c r="AD25" i="20" s="1"/>
  <c r="AG29" i="20"/>
  <c r="AF29" i="20" s="1"/>
  <c r="AD29" i="20" s="1"/>
  <c r="AG33" i="20"/>
  <c r="AF33" i="20" s="1"/>
  <c r="AD33" i="20" s="1"/>
  <c r="AG35" i="20"/>
  <c r="AF35" i="20" s="1"/>
  <c r="AD35" i="20" s="1"/>
  <c r="AG37" i="20"/>
  <c r="AF37" i="20" s="1"/>
  <c r="AD37" i="20" s="1"/>
  <c r="AG39" i="20"/>
  <c r="AF39" i="20" s="1"/>
  <c r="AD39" i="20" s="1"/>
  <c r="AG43" i="20"/>
  <c r="AF43" i="20" s="1"/>
  <c r="AD43" i="20" s="1"/>
  <c r="AG47" i="20"/>
  <c r="AF47" i="20" s="1"/>
  <c r="AD47" i="20" s="1"/>
  <c r="AG49" i="20"/>
  <c r="AF49" i="20" s="1"/>
  <c r="AD49" i="20" s="1"/>
  <c r="AG53" i="20"/>
  <c r="AF53" i="20" s="1"/>
  <c r="AD53" i="20" s="1"/>
  <c r="AG55" i="20"/>
  <c r="AF55" i="20" s="1"/>
  <c r="AD55" i="20" s="1"/>
  <c r="AG61" i="20"/>
  <c r="AF61" i="20" s="1"/>
  <c r="AD61" i="20" s="1"/>
  <c r="AG63" i="20"/>
  <c r="AF63" i="20" s="1"/>
  <c r="AD63" i="20" s="1"/>
  <c r="AG65" i="20"/>
  <c r="AF65" i="20" s="1"/>
  <c r="AD65" i="20" s="1"/>
  <c r="AG69" i="20"/>
  <c r="AF69" i="20" s="1"/>
  <c r="AD69" i="20" s="1"/>
  <c r="AG71" i="20"/>
  <c r="AF71" i="20" s="1"/>
  <c r="AD71" i="20" s="1"/>
  <c r="AG75" i="20"/>
  <c r="AF75" i="20" s="1"/>
  <c r="AD75" i="20" s="1"/>
  <c r="AG77" i="20"/>
  <c r="AF77" i="20" s="1"/>
  <c r="AD77" i="20" s="1"/>
  <c r="AG79" i="20"/>
  <c r="AF79" i="20" s="1"/>
  <c r="AD79" i="20" s="1"/>
  <c r="AG83" i="20"/>
  <c r="AF83" i="20" s="1"/>
  <c r="AD83" i="20" s="1"/>
  <c r="AG87" i="20"/>
  <c r="AF87" i="20" s="1"/>
  <c r="AD87" i="20" s="1"/>
  <c r="AG89" i="20"/>
  <c r="AF89" i="20" s="1"/>
  <c r="AD89" i="20" s="1"/>
  <c r="AG91" i="20"/>
  <c r="AF91" i="20" s="1"/>
  <c r="AD91" i="20" s="1"/>
  <c r="AG93" i="20"/>
  <c r="AF93" i="20" s="1"/>
  <c r="AD93" i="20" s="1"/>
  <c r="AG95" i="20"/>
  <c r="AF95" i="20" s="1"/>
  <c r="AD95" i="20" s="1"/>
  <c r="AG97" i="20"/>
  <c r="AF97" i="20" s="1"/>
  <c r="AD97" i="20" s="1"/>
  <c r="AG99" i="20"/>
  <c r="AF99" i="20" s="1"/>
  <c r="AD99" i="20" s="1"/>
  <c r="AG101" i="20"/>
  <c r="AF101" i="20" s="1"/>
  <c r="AD101" i="20" s="1"/>
  <c r="AG103" i="20"/>
  <c r="AF103" i="20" s="1"/>
  <c r="AD103" i="20" s="1"/>
  <c r="AG129" i="20"/>
  <c r="AF129" i="20" s="1"/>
  <c r="AD129" i="20" s="1"/>
  <c r="AG153" i="20"/>
  <c r="AF153" i="20" s="1"/>
  <c r="AD153" i="20" s="1"/>
  <c r="AG169" i="20"/>
  <c r="AF169" i="20" s="1"/>
  <c r="AD169" i="20" s="1"/>
  <c r="AG221" i="20"/>
  <c r="AF221" i="20" s="1"/>
  <c r="AD221" i="20" s="1"/>
  <c r="AG237" i="20"/>
  <c r="AF237" i="20" s="1"/>
  <c r="AD237" i="20" s="1"/>
  <c r="AG239" i="20"/>
  <c r="AF239" i="20" s="1"/>
  <c r="AD239" i="20" s="1"/>
  <c r="AG241" i="20"/>
  <c r="AF241" i="20" s="1"/>
  <c r="AD241" i="20" s="1"/>
  <c r="AG257" i="20"/>
  <c r="AF257" i="20" s="1"/>
  <c r="AD257" i="20" s="1"/>
  <c r="AG311" i="20"/>
  <c r="AF311" i="20" s="1"/>
  <c r="AD311" i="20" s="1"/>
  <c r="AG319" i="20"/>
  <c r="AF319" i="20" s="1"/>
  <c r="AD319" i="20" s="1"/>
  <c r="AG323" i="20"/>
  <c r="AF323" i="20" s="1"/>
  <c r="AD323" i="20" s="1"/>
  <c r="AG331" i="20"/>
  <c r="AF331" i="20" s="1"/>
  <c r="AD331" i="20" s="1"/>
  <c r="AG347" i="20"/>
  <c r="AF347" i="20" s="1"/>
  <c r="AD347" i="20" s="1"/>
  <c r="AG355" i="20"/>
  <c r="AF355" i="20" s="1"/>
  <c r="AD355" i="20" s="1"/>
  <c r="AG363" i="20"/>
  <c r="AF363" i="20" s="1"/>
  <c r="AD363" i="20" s="1"/>
  <c r="H138" i="18"/>
  <c r="H330" i="18"/>
  <c r="H344" i="18"/>
  <c r="H350" i="18"/>
  <c r="H25" i="18"/>
  <c r="H37" i="18"/>
  <c r="AA81" i="18"/>
  <c r="Z81" i="18" s="1"/>
  <c r="Y81" i="18" s="1"/>
  <c r="G81" i="18"/>
  <c r="CA81" i="6" s="1"/>
  <c r="H145" i="18"/>
  <c r="H201" i="18"/>
  <c r="H369" i="18"/>
  <c r="H31" i="18"/>
  <c r="H63" i="18"/>
  <c r="H71" i="18"/>
  <c r="G107" i="18"/>
  <c r="CA107" i="6" s="1"/>
  <c r="AA107" i="18"/>
  <c r="Z107" i="18" s="1"/>
  <c r="Y107" i="18" s="1"/>
  <c r="H167" i="18"/>
  <c r="H271" i="18"/>
  <c r="J355" i="18"/>
  <c r="C355" i="6" s="1"/>
  <c r="G281" i="18"/>
  <c r="CA281" i="6" s="1"/>
  <c r="AA281" i="18"/>
  <c r="Z281" i="18" s="1"/>
  <c r="Y281" i="18" s="1"/>
  <c r="G293" i="18"/>
  <c r="CA293" i="6" s="1"/>
  <c r="AA293" i="18"/>
  <c r="Z293" i="18" s="1"/>
  <c r="Y293" i="18" s="1"/>
  <c r="AA297" i="18"/>
  <c r="Z297" i="18" s="1"/>
  <c r="Y297" i="18" s="1"/>
  <c r="G297" i="18"/>
  <c r="CA297" i="6" s="1"/>
  <c r="G301" i="18"/>
  <c r="CA301" i="6" s="1"/>
  <c r="AA301" i="18"/>
  <c r="Z301" i="18" s="1"/>
  <c r="Y301" i="18" s="1"/>
  <c r="AA305" i="18"/>
  <c r="Z305" i="18" s="1"/>
  <c r="Y305" i="18" s="1"/>
  <c r="G305" i="18"/>
  <c r="CA305" i="6" s="1"/>
  <c r="G309" i="18"/>
  <c r="CA309" i="6" s="1"/>
  <c r="AA309" i="18"/>
  <c r="Z309" i="18" s="1"/>
  <c r="Y309" i="18" s="1"/>
  <c r="AA335" i="18"/>
  <c r="Z335" i="18" s="1"/>
  <c r="Y335" i="18" s="1"/>
  <c r="G335" i="18"/>
  <c r="CA335" i="6" s="1"/>
  <c r="G347" i="18"/>
  <c r="CA347" i="6" s="1"/>
  <c r="AA347" i="18"/>
  <c r="Z347" i="18" s="1"/>
  <c r="Y347" i="18" s="1"/>
  <c r="G351" i="18"/>
  <c r="CA351" i="6" s="1"/>
  <c r="AA351" i="18"/>
  <c r="Z351" i="18" s="1"/>
  <c r="Y351" i="18" s="1"/>
  <c r="AA355" i="18"/>
  <c r="Z355" i="18" s="1"/>
  <c r="Y355" i="18" s="1"/>
  <c r="G355" i="18"/>
  <c r="CA355" i="6" s="1"/>
  <c r="AA371" i="18"/>
  <c r="Z371" i="18" s="1"/>
  <c r="Y371" i="18" s="1"/>
  <c r="G371" i="18"/>
  <c r="CA371" i="6" s="1"/>
  <c r="AG18" i="20"/>
  <c r="AF18" i="20" s="1"/>
  <c r="AD18" i="20" s="1"/>
  <c r="AG22" i="20"/>
  <c r="AF22" i="20" s="1"/>
  <c r="AD22" i="20" s="1"/>
  <c r="AG26" i="20"/>
  <c r="AF26" i="20" s="1"/>
  <c r="AD26" i="20" s="1"/>
  <c r="AG30" i="20"/>
  <c r="AF30" i="20" s="1"/>
  <c r="AD30" i="20" s="1"/>
  <c r="AG50" i="20"/>
  <c r="AF50" i="20" s="1"/>
  <c r="AD50" i="20" s="1"/>
  <c r="AG58" i="20"/>
  <c r="AF58" i="20" s="1"/>
  <c r="AD58" i="20" s="1"/>
  <c r="AG68" i="20"/>
  <c r="AF68" i="20" s="1"/>
  <c r="AD68" i="20" s="1"/>
  <c r="AG92" i="20"/>
  <c r="AF92" i="20" s="1"/>
  <c r="AD92" i="20" s="1"/>
  <c r="AG144" i="20"/>
  <c r="AF144" i="20" s="1"/>
  <c r="AD144" i="20" s="1"/>
  <c r="AG280" i="20"/>
  <c r="AF280" i="20" s="1"/>
  <c r="AD280" i="20" s="1"/>
  <c r="AG366" i="20"/>
  <c r="AF366" i="20" s="1"/>
  <c r="AD366" i="20" s="1"/>
  <c r="AA98" i="18"/>
  <c r="Z98" i="18" s="1"/>
  <c r="Y98" i="18" s="1"/>
  <c r="G98" i="18"/>
  <c r="CA98" i="6" s="1"/>
  <c r="H318" i="18"/>
  <c r="I318" i="18" s="1"/>
  <c r="B318" i="6" s="1"/>
  <c r="BA318" i="6" s="1"/>
  <c r="D318" i="6" s="1"/>
  <c r="H340" i="18"/>
  <c r="G49" i="18"/>
  <c r="CA49" i="6" s="1"/>
  <c r="AA49" i="18"/>
  <c r="Z49" i="18" s="1"/>
  <c r="Y49" i="18" s="1"/>
  <c r="G113" i="18"/>
  <c r="CA113" i="6" s="1"/>
  <c r="AA113" i="18"/>
  <c r="Z113" i="18" s="1"/>
  <c r="Y113" i="18" s="1"/>
  <c r="H19" i="18"/>
  <c r="AA95" i="18"/>
  <c r="Z95" i="18" s="1"/>
  <c r="Y95" i="18" s="1"/>
  <c r="G95" i="18"/>
  <c r="CA95" i="6" s="1"/>
  <c r="AA115" i="18"/>
  <c r="Z115" i="18" s="1"/>
  <c r="Y115" i="18" s="1"/>
  <c r="G115" i="18"/>
  <c r="CA115" i="6" s="1"/>
  <c r="H163" i="18"/>
  <c r="H179" i="18"/>
  <c r="AA68" i="18"/>
  <c r="Z68" i="18" s="1"/>
  <c r="Y68" i="18" s="1"/>
  <c r="G68" i="18"/>
  <c r="CA68" i="6" s="1"/>
  <c r="AA84" i="18"/>
  <c r="Z84" i="18" s="1"/>
  <c r="Y84" i="18" s="1"/>
  <c r="G84" i="18"/>
  <c r="CA84" i="6" s="1"/>
  <c r="AA86" i="18"/>
  <c r="Z86" i="18" s="1"/>
  <c r="Y86" i="18" s="1"/>
  <c r="G86" i="18"/>
  <c r="CA86" i="6" s="1"/>
  <c r="AA142" i="18"/>
  <c r="Z142" i="18" s="1"/>
  <c r="Y142" i="18" s="1"/>
  <c r="G142" i="18"/>
  <c r="CA142" i="6" s="1"/>
  <c r="G148" i="18"/>
  <c r="CA148" i="6" s="1"/>
  <c r="AA148" i="18"/>
  <c r="Z148" i="18" s="1"/>
  <c r="Y148" i="18" s="1"/>
  <c r="G182" i="18"/>
  <c r="CA182" i="6" s="1"/>
  <c r="AA182" i="18"/>
  <c r="Z182" i="18" s="1"/>
  <c r="Y182" i="18" s="1"/>
  <c r="G288" i="18"/>
  <c r="CA288" i="6" s="1"/>
  <c r="AA288" i="18"/>
  <c r="Z288" i="18" s="1"/>
  <c r="Y288" i="18" s="1"/>
  <c r="AA332" i="18"/>
  <c r="Z332" i="18" s="1"/>
  <c r="Y332" i="18" s="1"/>
  <c r="G332" i="18"/>
  <c r="CA332" i="6" s="1"/>
  <c r="G27" i="18"/>
  <c r="CA27" i="6" s="1"/>
  <c r="AA27" i="18"/>
  <c r="Z27" i="18" s="1"/>
  <c r="Y27" i="18" s="1"/>
  <c r="AA47" i="18"/>
  <c r="Z47" i="18" s="1"/>
  <c r="Y47" i="18" s="1"/>
  <c r="G47" i="18"/>
  <c r="CA47" i="6" s="1"/>
  <c r="AA55" i="18"/>
  <c r="Z55" i="18" s="1"/>
  <c r="Y55" i="18" s="1"/>
  <c r="G55" i="18"/>
  <c r="CA55" i="6" s="1"/>
  <c r="G87" i="18"/>
  <c r="CA87" i="6" s="1"/>
  <c r="AA87" i="18"/>
  <c r="Z87" i="18" s="1"/>
  <c r="Y87" i="18" s="1"/>
  <c r="AA89" i="18"/>
  <c r="Z89" i="18" s="1"/>
  <c r="Y89" i="18" s="1"/>
  <c r="G89" i="18"/>
  <c r="CA89" i="6" s="1"/>
  <c r="G97" i="18"/>
  <c r="CA97" i="6" s="1"/>
  <c r="AA97" i="18"/>
  <c r="Z97" i="18" s="1"/>
  <c r="Y97" i="18" s="1"/>
  <c r="G147" i="18"/>
  <c r="CA147" i="6" s="1"/>
  <c r="AA147" i="18"/>
  <c r="Z147" i="18" s="1"/>
  <c r="Y147" i="18" s="1"/>
  <c r="J192" i="18"/>
  <c r="C192" i="6" s="1"/>
  <c r="I192" i="18"/>
  <c r="B192" i="6" s="1"/>
  <c r="BA192" i="6" s="1"/>
  <c r="D192" i="6" s="1"/>
  <c r="J166" i="17"/>
  <c r="I166" i="17"/>
  <c r="J252" i="18"/>
  <c r="C252" i="6" s="1"/>
  <c r="I252" i="18"/>
  <c r="B252" i="6" s="1"/>
  <c r="BA252" i="6" s="1"/>
  <c r="D252" i="6" s="1"/>
  <c r="G20" i="18"/>
  <c r="CA20" i="6" s="1"/>
  <c r="AA20" i="18"/>
  <c r="Z20" i="18" s="1"/>
  <c r="Y20" i="18" s="1"/>
  <c r="I64" i="18"/>
  <c r="B64" i="6" s="1"/>
  <c r="BA64" i="6" s="1"/>
  <c r="D64" i="6" s="1"/>
  <c r="J64" i="18"/>
  <c r="C64" i="6" s="1"/>
  <c r="S15" i="20"/>
  <c r="T382" i="20"/>
  <c r="S17" i="20"/>
  <c r="R17" i="20" s="1"/>
  <c r="P17" i="20" s="1"/>
  <c r="V17" i="20" s="1"/>
  <c r="B17" i="20" s="1"/>
  <c r="S19" i="20"/>
  <c r="R19" i="20" s="1"/>
  <c r="P19" i="20" s="1"/>
  <c r="V19" i="20" s="1"/>
  <c r="B19" i="20" s="1"/>
  <c r="S21" i="20"/>
  <c r="R21" i="20" s="1"/>
  <c r="P21" i="20" s="1"/>
  <c r="V21" i="20" s="1"/>
  <c r="B21" i="20" s="1"/>
  <c r="S23" i="20"/>
  <c r="R23" i="20" s="1"/>
  <c r="P23" i="20" s="1"/>
  <c r="V23" i="20" s="1"/>
  <c r="B23" i="20" s="1"/>
  <c r="S25" i="20"/>
  <c r="R25" i="20" s="1"/>
  <c r="P25" i="20" s="1"/>
  <c r="V25" i="20" s="1"/>
  <c r="B25" i="20" s="1"/>
  <c r="S27" i="20"/>
  <c r="R27" i="20" s="1"/>
  <c r="P27" i="20" s="1"/>
  <c r="V27" i="20" s="1"/>
  <c r="B27" i="20" s="1"/>
  <c r="S29" i="20"/>
  <c r="R29" i="20" s="1"/>
  <c r="P29" i="20" s="1"/>
  <c r="S31" i="20"/>
  <c r="R31" i="20" s="1"/>
  <c r="P31" i="20" s="1"/>
  <c r="V31" i="20" s="1"/>
  <c r="B31" i="20" s="1"/>
  <c r="S33" i="20"/>
  <c r="R33" i="20" s="1"/>
  <c r="P33" i="20" s="1"/>
  <c r="V33" i="20" s="1"/>
  <c r="B33" i="20" s="1"/>
  <c r="S35" i="20"/>
  <c r="R35" i="20" s="1"/>
  <c r="P35" i="20" s="1"/>
  <c r="V35" i="20" s="1"/>
  <c r="B35" i="20" s="1"/>
  <c r="S37" i="20"/>
  <c r="R37" i="20" s="1"/>
  <c r="P37" i="20" s="1"/>
  <c r="V37" i="20" s="1"/>
  <c r="B37" i="20" s="1"/>
  <c r="S39" i="20"/>
  <c r="R39" i="20" s="1"/>
  <c r="P39" i="20" s="1"/>
  <c r="V39" i="20" s="1"/>
  <c r="B39" i="20" s="1"/>
  <c r="S41" i="20"/>
  <c r="R41" i="20" s="1"/>
  <c r="P41" i="20" s="1"/>
  <c r="V41" i="20" s="1"/>
  <c r="B41" i="20" s="1"/>
  <c r="S43" i="20"/>
  <c r="R43" i="20" s="1"/>
  <c r="P43" i="20" s="1"/>
  <c r="V43" i="20" s="1"/>
  <c r="B43" i="20" s="1"/>
  <c r="S45" i="20"/>
  <c r="R45" i="20" s="1"/>
  <c r="P45" i="20" s="1"/>
  <c r="V45" i="20" s="1"/>
  <c r="B45" i="20" s="1"/>
  <c r="S47" i="20"/>
  <c r="R47" i="20" s="1"/>
  <c r="P47" i="20" s="1"/>
  <c r="V47" i="20" s="1"/>
  <c r="B47" i="20" s="1"/>
  <c r="S49" i="20"/>
  <c r="R49" i="20" s="1"/>
  <c r="P49" i="20" s="1"/>
  <c r="V49" i="20" s="1"/>
  <c r="B49" i="20" s="1"/>
  <c r="S51" i="20"/>
  <c r="R51" i="20" s="1"/>
  <c r="P51" i="20" s="1"/>
  <c r="V51" i="20" s="1"/>
  <c r="B51" i="20" s="1"/>
  <c r="S53" i="20"/>
  <c r="R53" i="20" s="1"/>
  <c r="P53" i="20" s="1"/>
  <c r="V53" i="20" s="1"/>
  <c r="B53" i="20" s="1"/>
  <c r="S55" i="20"/>
  <c r="R55" i="20" s="1"/>
  <c r="P55" i="20" s="1"/>
  <c r="V55" i="20" s="1"/>
  <c r="B55" i="20" s="1"/>
  <c r="S57" i="20"/>
  <c r="R57" i="20" s="1"/>
  <c r="P57" i="20" s="1"/>
  <c r="V57" i="20" s="1"/>
  <c r="B57" i="20" s="1"/>
  <c r="S59" i="20"/>
  <c r="R59" i="20" s="1"/>
  <c r="P59" i="20" s="1"/>
  <c r="V59" i="20" s="1"/>
  <c r="B59" i="20" s="1"/>
  <c r="S61" i="20"/>
  <c r="R61" i="20" s="1"/>
  <c r="P61" i="20" s="1"/>
  <c r="V61" i="20" s="1"/>
  <c r="B61" i="20" s="1"/>
  <c r="S63" i="20"/>
  <c r="R63" i="20" s="1"/>
  <c r="P63" i="20" s="1"/>
  <c r="V63" i="20" s="1"/>
  <c r="B63" i="20" s="1"/>
  <c r="S65" i="20"/>
  <c r="R65" i="20" s="1"/>
  <c r="P65" i="20" s="1"/>
  <c r="V65" i="20" s="1"/>
  <c r="B65" i="20" s="1"/>
  <c r="S67" i="20"/>
  <c r="R67" i="20" s="1"/>
  <c r="P67" i="20" s="1"/>
  <c r="V67" i="20" s="1"/>
  <c r="B67" i="20" s="1"/>
  <c r="S69" i="20"/>
  <c r="R69" i="20" s="1"/>
  <c r="P69" i="20" s="1"/>
  <c r="V69" i="20" s="1"/>
  <c r="B69" i="20" s="1"/>
  <c r="S71" i="20"/>
  <c r="R71" i="20" s="1"/>
  <c r="P71" i="20" s="1"/>
  <c r="V71" i="20" s="1"/>
  <c r="B71" i="20" s="1"/>
  <c r="S73" i="20"/>
  <c r="R73" i="20" s="1"/>
  <c r="P73" i="20" s="1"/>
  <c r="V73" i="20" s="1"/>
  <c r="B73" i="20" s="1"/>
  <c r="S75" i="20"/>
  <c r="R75" i="20" s="1"/>
  <c r="P75" i="20" s="1"/>
  <c r="V75" i="20" s="1"/>
  <c r="B75" i="20" s="1"/>
  <c r="S77" i="20"/>
  <c r="R77" i="20" s="1"/>
  <c r="P77" i="20" s="1"/>
  <c r="V77" i="20" s="1"/>
  <c r="B77" i="20" s="1"/>
  <c r="S79" i="20"/>
  <c r="R79" i="20" s="1"/>
  <c r="P79" i="20" s="1"/>
  <c r="V79" i="20" s="1"/>
  <c r="B79" i="20" s="1"/>
  <c r="S81" i="20"/>
  <c r="R81" i="20" s="1"/>
  <c r="P81" i="20" s="1"/>
  <c r="V81" i="20" s="1"/>
  <c r="B81" i="20" s="1"/>
  <c r="S83" i="20"/>
  <c r="R83" i="20" s="1"/>
  <c r="P83" i="20" s="1"/>
  <c r="V83" i="20" s="1"/>
  <c r="B83" i="20" s="1"/>
  <c r="S85" i="20"/>
  <c r="R85" i="20" s="1"/>
  <c r="P85" i="20" s="1"/>
  <c r="V85" i="20" s="1"/>
  <c r="B85" i="20" s="1"/>
  <c r="S87" i="20"/>
  <c r="R87" i="20" s="1"/>
  <c r="P87" i="20" s="1"/>
  <c r="V87" i="20" s="1"/>
  <c r="B87" i="20" s="1"/>
  <c r="S89" i="20"/>
  <c r="R89" i="20" s="1"/>
  <c r="P89" i="20" s="1"/>
  <c r="V89" i="20" s="1"/>
  <c r="B89" i="20" s="1"/>
  <c r="S91" i="20"/>
  <c r="R91" i="20" s="1"/>
  <c r="P91" i="20" s="1"/>
  <c r="V91" i="20" s="1"/>
  <c r="B91" i="20" s="1"/>
  <c r="S93" i="20"/>
  <c r="R93" i="20" s="1"/>
  <c r="P93" i="20" s="1"/>
  <c r="V93" i="20" s="1"/>
  <c r="B93" i="20" s="1"/>
  <c r="S95" i="20"/>
  <c r="R95" i="20" s="1"/>
  <c r="P95" i="20" s="1"/>
  <c r="V95" i="20" s="1"/>
  <c r="B95" i="20" s="1"/>
  <c r="S97" i="20"/>
  <c r="R97" i="20" s="1"/>
  <c r="P97" i="20" s="1"/>
  <c r="V97" i="20" s="1"/>
  <c r="B97" i="20" s="1"/>
  <c r="S99" i="20"/>
  <c r="R99" i="20" s="1"/>
  <c r="P99" i="20" s="1"/>
  <c r="V99" i="20" s="1"/>
  <c r="B99" i="20" s="1"/>
  <c r="S101" i="20"/>
  <c r="R101" i="20" s="1"/>
  <c r="P101" i="20" s="1"/>
  <c r="V101" i="20" s="1"/>
  <c r="B101" i="20" s="1"/>
  <c r="S103" i="20"/>
  <c r="R103" i="20" s="1"/>
  <c r="P103" i="20" s="1"/>
  <c r="V103" i="20" s="1"/>
  <c r="B103" i="20" s="1"/>
  <c r="S105" i="20"/>
  <c r="R105" i="20" s="1"/>
  <c r="P105" i="20" s="1"/>
  <c r="V105" i="20" s="1"/>
  <c r="S107" i="20"/>
  <c r="R107" i="20" s="1"/>
  <c r="P107" i="20" s="1"/>
  <c r="V107" i="20" s="1"/>
  <c r="B107" i="20" s="1"/>
  <c r="S109" i="20"/>
  <c r="R109" i="20" s="1"/>
  <c r="P109" i="20" s="1"/>
  <c r="V109" i="20" s="1"/>
  <c r="B109" i="20" s="1"/>
  <c r="S111" i="20"/>
  <c r="R111" i="20" s="1"/>
  <c r="P111" i="20" s="1"/>
  <c r="V111" i="20" s="1"/>
  <c r="B111" i="20" s="1"/>
  <c r="S113" i="20"/>
  <c r="R113" i="20" s="1"/>
  <c r="P113" i="20" s="1"/>
  <c r="V113" i="20" s="1"/>
  <c r="B113" i="20" s="1"/>
  <c r="S115" i="20"/>
  <c r="R115" i="20" s="1"/>
  <c r="P115" i="20" s="1"/>
  <c r="V115" i="20" s="1"/>
  <c r="B115" i="20" s="1"/>
  <c r="S117" i="20"/>
  <c r="R117" i="20" s="1"/>
  <c r="P117" i="20" s="1"/>
  <c r="V117" i="20" s="1"/>
  <c r="B117" i="20" s="1"/>
  <c r="S119" i="20"/>
  <c r="R119" i="20" s="1"/>
  <c r="P119" i="20" s="1"/>
  <c r="S121" i="20"/>
  <c r="R121" i="20" s="1"/>
  <c r="P121" i="20" s="1"/>
  <c r="V121" i="20" s="1"/>
  <c r="B121" i="20" s="1"/>
  <c r="S123" i="20"/>
  <c r="R123" i="20" s="1"/>
  <c r="P123" i="20" s="1"/>
  <c r="V123" i="20" s="1"/>
  <c r="B123" i="20" s="1"/>
  <c r="S125" i="20"/>
  <c r="R125" i="20" s="1"/>
  <c r="P125" i="20" s="1"/>
  <c r="V125" i="20" s="1"/>
  <c r="B125" i="20" s="1"/>
  <c r="S127" i="20"/>
  <c r="R127" i="20" s="1"/>
  <c r="P127" i="20" s="1"/>
  <c r="V127" i="20" s="1"/>
  <c r="B127" i="20" s="1"/>
  <c r="S129" i="20"/>
  <c r="R129" i="20" s="1"/>
  <c r="P129" i="20" s="1"/>
  <c r="V129" i="20" s="1"/>
  <c r="B129" i="20" s="1"/>
  <c r="S131" i="20"/>
  <c r="R131" i="20" s="1"/>
  <c r="P131" i="20" s="1"/>
  <c r="V131" i="20" s="1"/>
  <c r="B131" i="20" s="1"/>
  <c r="S133" i="20"/>
  <c r="R133" i="20" s="1"/>
  <c r="P133" i="20" s="1"/>
  <c r="V133" i="20" s="1"/>
  <c r="B133" i="20" s="1"/>
  <c r="S135" i="20"/>
  <c r="R135" i="20" s="1"/>
  <c r="P135" i="20" s="1"/>
  <c r="V135" i="20" s="1"/>
  <c r="S137" i="20"/>
  <c r="R137" i="20" s="1"/>
  <c r="P137" i="20" s="1"/>
  <c r="V137" i="20" s="1"/>
  <c r="B137" i="20" s="1"/>
  <c r="S139" i="20"/>
  <c r="R139" i="20" s="1"/>
  <c r="P139" i="20" s="1"/>
  <c r="V139" i="20" s="1"/>
  <c r="B139" i="20" s="1"/>
  <c r="S141" i="20"/>
  <c r="R141" i="20" s="1"/>
  <c r="P141" i="20" s="1"/>
  <c r="V141" i="20" s="1"/>
  <c r="B141" i="20" s="1"/>
  <c r="S143" i="20"/>
  <c r="R143" i="20" s="1"/>
  <c r="P143" i="20" s="1"/>
  <c r="V143" i="20" s="1"/>
  <c r="B143" i="20" s="1"/>
  <c r="S145" i="20"/>
  <c r="R145" i="20" s="1"/>
  <c r="P145" i="20" s="1"/>
  <c r="V145" i="20" s="1"/>
  <c r="B145" i="20" s="1"/>
  <c r="S147" i="20"/>
  <c r="R147" i="20" s="1"/>
  <c r="P147" i="20" s="1"/>
  <c r="V147" i="20" s="1"/>
  <c r="B147" i="20" s="1"/>
  <c r="S149" i="20"/>
  <c r="R149" i="20" s="1"/>
  <c r="P149" i="20" s="1"/>
  <c r="S151" i="20"/>
  <c r="R151" i="20" s="1"/>
  <c r="P151" i="20" s="1"/>
  <c r="V151" i="20" s="1"/>
  <c r="B151" i="20" s="1"/>
  <c r="S153" i="20"/>
  <c r="R153" i="20" s="1"/>
  <c r="P153" i="20" s="1"/>
  <c r="V153" i="20" s="1"/>
  <c r="B153" i="20" s="1"/>
  <c r="S155" i="20"/>
  <c r="R155" i="20" s="1"/>
  <c r="P155" i="20" s="1"/>
  <c r="V155" i="20" s="1"/>
  <c r="B155" i="20" s="1"/>
  <c r="S157" i="20"/>
  <c r="R157" i="20" s="1"/>
  <c r="P157" i="20" s="1"/>
  <c r="V157" i="20" s="1"/>
  <c r="B157" i="20" s="1"/>
  <c r="S159" i="20"/>
  <c r="R159" i="20" s="1"/>
  <c r="P159" i="20" s="1"/>
  <c r="V159" i="20" s="1"/>
  <c r="B159" i="20" s="1"/>
  <c r="S161" i="20"/>
  <c r="R161" i="20" s="1"/>
  <c r="P161" i="20" s="1"/>
  <c r="V161" i="20" s="1"/>
  <c r="B161" i="20" s="1"/>
  <c r="S163" i="20"/>
  <c r="R163" i="20" s="1"/>
  <c r="P163" i="20" s="1"/>
  <c r="V163" i="20" s="1"/>
  <c r="B163" i="20" s="1"/>
  <c r="S165" i="20"/>
  <c r="R165" i="20" s="1"/>
  <c r="P165" i="20" s="1"/>
  <c r="V165" i="20" s="1"/>
  <c r="B165" i="20" s="1"/>
  <c r="S167" i="20"/>
  <c r="R167" i="20" s="1"/>
  <c r="P167" i="20" s="1"/>
  <c r="V167" i="20" s="1"/>
  <c r="B167" i="20" s="1"/>
  <c r="S169" i="20"/>
  <c r="R169" i="20" s="1"/>
  <c r="P169" i="20" s="1"/>
  <c r="V169" i="20" s="1"/>
  <c r="B169" i="20" s="1"/>
  <c r="S171" i="20"/>
  <c r="R171" i="20" s="1"/>
  <c r="P171" i="20" s="1"/>
  <c r="V171" i="20" s="1"/>
  <c r="B171" i="20" s="1"/>
  <c r="S173" i="20"/>
  <c r="R173" i="20" s="1"/>
  <c r="P173" i="20" s="1"/>
  <c r="V173" i="20" s="1"/>
  <c r="B173" i="20" s="1"/>
  <c r="S175" i="20"/>
  <c r="R175" i="20" s="1"/>
  <c r="P175" i="20" s="1"/>
  <c r="V175" i="20" s="1"/>
  <c r="B175" i="20" s="1"/>
  <c r="S177" i="20"/>
  <c r="R177" i="20" s="1"/>
  <c r="P177" i="20" s="1"/>
  <c r="V177" i="20" s="1"/>
  <c r="B177" i="20" s="1"/>
  <c r="S179" i="20"/>
  <c r="R179" i="20" s="1"/>
  <c r="P179" i="20" s="1"/>
  <c r="V179" i="20" s="1"/>
  <c r="B179" i="20" s="1"/>
  <c r="S181" i="20"/>
  <c r="R181" i="20" s="1"/>
  <c r="P181" i="20" s="1"/>
  <c r="V181" i="20" s="1"/>
  <c r="B181" i="20" s="1"/>
  <c r="S183" i="20"/>
  <c r="R183" i="20" s="1"/>
  <c r="P183" i="20" s="1"/>
  <c r="V183" i="20" s="1"/>
  <c r="B183" i="20" s="1"/>
  <c r="S185" i="20"/>
  <c r="R185" i="20" s="1"/>
  <c r="P185" i="20" s="1"/>
  <c r="V185" i="20" s="1"/>
  <c r="B185" i="20" s="1"/>
  <c r="S187" i="20"/>
  <c r="R187" i="20" s="1"/>
  <c r="P187" i="20" s="1"/>
  <c r="V187" i="20" s="1"/>
  <c r="B187" i="20" s="1"/>
  <c r="S189" i="20"/>
  <c r="R189" i="20" s="1"/>
  <c r="P189" i="20" s="1"/>
  <c r="V189" i="20" s="1"/>
  <c r="B189" i="20" s="1"/>
  <c r="S191" i="20"/>
  <c r="R191" i="20" s="1"/>
  <c r="P191" i="20" s="1"/>
  <c r="V191" i="20" s="1"/>
  <c r="B191" i="20" s="1"/>
  <c r="S193" i="20"/>
  <c r="R193" i="20" s="1"/>
  <c r="P193" i="20" s="1"/>
  <c r="V193" i="20" s="1"/>
  <c r="B193" i="20" s="1"/>
  <c r="S195" i="20"/>
  <c r="R195" i="20" s="1"/>
  <c r="P195" i="20" s="1"/>
  <c r="V195" i="20" s="1"/>
  <c r="B195" i="20" s="1"/>
  <c r="S197" i="20"/>
  <c r="R197" i="20" s="1"/>
  <c r="P197" i="20" s="1"/>
  <c r="V197" i="20" s="1"/>
  <c r="B197" i="20" s="1"/>
  <c r="S199" i="20"/>
  <c r="R199" i="20" s="1"/>
  <c r="P199" i="20" s="1"/>
  <c r="V199" i="20" s="1"/>
  <c r="B199" i="20" s="1"/>
  <c r="S201" i="20"/>
  <c r="R201" i="20" s="1"/>
  <c r="P201" i="20" s="1"/>
  <c r="V201" i="20" s="1"/>
  <c r="B201" i="20" s="1"/>
  <c r="S203" i="20"/>
  <c r="R203" i="20" s="1"/>
  <c r="P203" i="20" s="1"/>
  <c r="V203" i="20" s="1"/>
  <c r="B203" i="20" s="1"/>
  <c r="S205" i="20"/>
  <c r="R205" i="20" s="1"/>
  <c r="P205" i="20" s="1"/>
  <c r="V205" i="20" s="1"/>
  <c r="B205" i="20" s="1"/>
  <c r="S207" i="20"/>
  <c r="R207" i="20" s="1"/>
  <c r="P207" i="20" s="1"/>
  <c r="V207" i="20" s="1"/>
  <c r="B207" i="20" s="1"/>
  <c r="S209" i="20"/>
  <c r="R209" i="20" s="1"/>
  <c r="P209" i="20" s="1"/>
  <c r="V209" i="20" s="1"/>
  <c r="B209" i="20" s="1"/>
  <c r="S211" i="20"/>
  <c r="R211" i="20" s="1"/>
  <c r="P211" i="20" s="1"/>
  <c r="V211" i="20" s="1"/>
  <c r="B211" i="20" s="1"/>
  <c r="S213" i="20"/>
  <c r="R213" i="20" s="1"/>
  <c r="P213" i="20" s="1"/>
  <c r="V213" i="20" s="1"/>
  <c r="B213" i="20" s="1"/>
  <c r="S215" i="20"/>
  <c r="R215" i="20" s="1"/>
  <c r="P215" i="20" s="1"/>
  <c r="V215" i="20" s="1"/>
  <c r="B215" i="20" s="1"/>
  <c r="S217" i="20"/>
  <c r="R217" i="20" s="1"/>
  <c r="P217" i="20" s="1"/>
  <c r="V217" i="20" s="1"/>
  <c r="B217" i="20" s="1"/>
  <c r="S219" i="20"/>
  <c r="R219" i="20" s="1"/>
  <c r="P219" i="20" s="1"/>
  <c r="V219" i="20" s="1"/>
  <c r="B219" i="20" s="1"/>
  <c r="S221" i="20"/>
  <c r="R221" i="20" s="1"/>
  <c r="P221" i="20" s="1"/>
  <c r="V221" i="20" s="1"/>
  <c r="B221" i="20" s="1"/>
  <c r="S223" i="20"/>
  <c r="R223" i="20" s="1"/>
  <c r="P223" i="20" s="1"/>
  <c r="V223" i="20" s="1"/>
  <c r="B223" i="20" s="1"/>
  <c r="S225" i="20"/>
  <c r="R225" i="20" s="1"/>
  <c r="P225" i="20" s="1"/>
  <c r="V225" i="20" s="1"/>
  <c r="B225" i="20" s="1"/>
  <c r="S227" i="20"/>
  <c r="R227" i="20" s="1"/>
  <c r="P227" i="20" s="1"/>
  <c r="V227" i="20" s="1"/>
  <c r="S229" i="20"/>
  <c r="R229" i="20" s="1"/>
  <c r="P229" i="20" s="1"/>
  <c r="V229" i="20" s="1"/>
  <c r="B229" i="20" s="1"/>
  <c r="S231" i="20"/>
  <c r="R231" i="20" s="1"/>
  <c r="P231" i="20" s="1"/>
  <c r="V231" i="20" s="1"/>
  <c r="B231" i="20" s="1"/>
  <c r="S233" i="20"/>
  <c r="R233" i="20" s="1"/>
  <c r="P233" i="20" s="1"/>
  <c r="V233" i="20" s="1"/>
  <c r="B233" i="20" s="1"/>
  <c r="S235" i="20"/>
  <c r="R235" i="20" s="1"/>
  <c r="P235" i="20" s="1"/>
  <c r="V235" i="20" s="1"/>
  <c r="B235" i="20" s="1"/>
  <c r="S237" i="20"/>
  <c r="R237" i="20" s="1"/>
  <c r="P237" i="20" s="1"/>
  <c r="V237" i="20" s="1"/>
  <c r="B237" i="20" s="1"/>
  <c r="S239" i="20"/>
  <c r="R239" i="20" s="1"/>
  <c r="P239" i="20" s="1"/>
  <c r="V239" i="20" s="1"/>
  <c r="B239" i="20" s="1"/>
  <c r="S241" i="20"/>
  <c r="R241" i="20" s="1"/>
  <c r="P241" i="20" s="1"/>
  <c r="S243" i="20"/>
  <c r="R243" i="20" s="1"/>
  <c r="P243" i="20" s="1"/>
  <c r="V243" i="20" s="1"/>
  <c r="B243" i="20" s="1"/>
  <c r="S245" i="20"/>
  <c r="R245" i="20" s="1"/>
  <c r="P245" i="20" s="1"/>
  <c r="V245" i="20" s="1"/>
  <c r="B245" i="20" s="1"/>
  <c r="S247" i="20"/>
  <c r="R247" i="20" s="1"/>
  <c r="P247" i="20" s="1"/>
  <c r="V247" i="20" s="1"/>
  <c r="B247" i="20" s="1"/>
  <c r="S249" i="20"/>
  <c r="R249" i="20" s="1"/>
  <c r="P249" i="20" s="1"/>
  <c r="V249" i="20" s="1"/>
  <c r="B249" i="20" s="1"/>
  <c r="S251" i="20"/>
  <c r="R251" i="20" s="1"/>
  <c r="P251" i="20" s="1"/>
  <c r="V251" i="20" s="1"/>
  <c r="B251" i="20" s="1"/>
  <c r="S253" i="20"/>
  <c r="R253" i="20" s="1"/>
  <c r="P253" i="20" s="1"/>
  <c r="V253" i="20" s="1"/>
  <c r="B253" i="20" s="1"/>
  <c r="S255" i="20"/>
  <c r="R255" i="20" s="1"/>
  <c r="P255" i="20" s="1"/>
  <c r="V255" i="20" s="1"/>
  <c r="B255" i="20" s="1"/>
  <c r="S257" i="20"/>
  <c r="R257" i="20" s="1"/>
  <c r="P257" i="20" s="1"/>
  <c r="V257" i="20" s="1"/>
  <c r="B257" i="20" s="1"/>
  <c r="S259" i="20"/>
  <c r="R259" i="20" s="1"/>
  <c r="P259" i="20" s="1"/>
  <c r="V259" i="20" s="1"/>
  <c r="B259" i="20" s="1"/>
  <c r="S261" i="20"/>
  <c r="R261" i="20" s="1"/>
  <c r="P261" i="20" s="1"/>
  <c r="V261" i="20" s="1"/>
  <c r="B261" i="20" s="1"/>
  <c r="S263" i="20"/>
  <c r="R263" i="20" s="1"/>
  <c r="P263" i="20" s="1"/>
  <c r="V263" i="20" s="1"/>
  <c r="B263" i="20" s="1"/>
  <c r="S265" i="20"/>
  <c r="R265" i="20" s="1"/>
  <c r="P265" i="20" s="1"/>
  <c r="V265" i="20" s="1"/>
  <c r="B265" i="20" s="1"/>
  <c r="S267" i="20"/>
  <c r="R267" i="20" s="1"/>
  <c r="P267" i="20" s="1"/>
  <c r="V267" i="20" s="1"/>
  <c r="B267" i="20" s="1"/>
  <c r="S269" i="20"/>
  <c r="R269" i="20" s="1"/>
  <c r="P269" i="20" s="1"/>
  <c r="V269" i="20" s="1"/>
  <c r="B269" i="20" s="1"/>
  <c r="S271" i="20"/>
  <c r="R271" i="20" s="1"/>
  <c r="P271" i="20" s="1"/>
  <c r="V271" i="20" s="1"/>
  <c r="B271" i="20" s="1"/>
  <c r="S273" i="20"/>
  <c r="R273" i="20" s="1"/>
  <c r="P273" i="20" s="1"/>
  <c r="V273" i="20" s="1"/>
  <c r="B273" i="20" s="1"/>
  <c r="S275" i="20"/>
  <c r="R275" i="20" s="1"/>
  <c r="P275" i="20" s="1"/>
  <c r="V275" i="20" s="1"/>
  <c r="B275" i="20" s="1"/>
  <c r="S277" i="20"/>
  <c r="R277" i="20" s="1"/>
  <c r="P277" i="20" s="1"/>
  <c r="V277" i="20" s="1"/>
  <c r="B277" i="20" s="1"/>
  <c r="S279" i="20"/>
  <c r="R279" i="20" s="1"/>
  <c r="P279" i="20" s="1"/>
  <c r="V279" i="20" s="1"/>
  <c r="B279" i="20" s="1"/>
  <c r="S281" i="20"/>
  <c r="R281" i="20" s="1"/>
  <c r="P281" i="20" s="1"/>
  <c r="V281" i="20" s="1"/>
  <c r="B281" i="20" s="1"/>
  <c r="S283" i="20"/>
  <c r="R283" i="20" s="1"/>
  <c r="P283" i="20" s="1"/>
  <c r="V283" i="20" s="1"/>
  <c r="B283" i="20" s="1"/>
  <c r="S285" i="20"/>
  <c r="R285" i="20" s="1"/>
  <c r="P285" i="20" s="1"/>
  <c r="V285" i="20" s="1"/>
  <c r="B285" i="20" s="1"/>
  <c r="S287" i="20"/>
  <c r="R287" i="20" s="1"/>
  <c r="P287" i="20" s="1"/>
  <c r="V287" i="20" s="1"/>
  <c r="B287" i="20" s="1"/>
  <c r="S289" i="20"/>
  <c r="R289" i="20" s="1"/>
  <c r="P289" i="20" s="1"/>
  <c r="V289" i="20" s="1"/>
  <c r="B289" i="20" s="1"/>
  <c r="S291" i="20"/>
  <c r="R291" i="20" s="1"/>
  <c r="P291" i="20" s="1"/>
  <c r="V291" i="20" s="1"/>
  <c r="B291" i="20" s="1"/>
  <c r="S293" i="20"/>
  <c r="R293" i="20" s="1"/>
  <c r="P293" i="20" s="1"/>
  <c r="V293" i="20" s="1"/>
  <c r="B293" i="20" s="1"/>
  <c r="S295" i="20"/>
  <c r="R295" i="20" s="1"/>
  <c r="P295" i="20" s="1"/>
  <c r="V295" i="20" s="1"/>
  <c r="B295" i="20" s="1"/>
  <c r="S297" i="20"/>
  <c r="R297" i="20" s="1"/>
  <c r="P297" i="20" s="1"/>
  <c r="V297" i="20" s="1"/>
  <c r="B297" i="20" s="1"/>
  <c r="S299" i="20"/>
  <c r="R299" i="20" s="1"/>
  <c r="P299" i="20" s="1"/>
  <c r="V299" i="20" s="1"/>
  <c r="B299" i="20" s="1"/>
  <c r="S301" i="20"/>
  <c r="R301" i="20" s="1"/>
  <c r="P301" i="20" s="1"/>
  <c r="V301" i="20" s="1"/>
  <c r="B301" i="20" s="1"/>
  <c r="S303" i="20"/>
  <c r="R303" i="20" s="1"/>
  <c r="P303" i="20" s="1"/>
  <c r="V303" i="20" s="1"/>
  <c r="B303" i="20" s="1"/>
  <c r="S305" i="20"/>
  <c r="R305" i="20" s="1"/>
  <c r="P305" i="20" s="1"/>
  <c r="V305" i="20" s="1"/>
  <c r="B305" i="20" s="1"/>
  <c r="S307" i="20"/>
  <c r="R307" i="20" s="1"/>
  <c r="P307" i="20" s="1"/>
  <c r="V307" i="20" s="1"/>
  <c r="B307" i="20" s="1"/>
  <c r="S309" i="20"/>
  <c r="R309" i="20" s="1"/>
  <c r="P309" i="20" s="1"/>
  <c r="V309" i="20" s="1"/>
  <c r="B309" i="20" s="1"/>
  <c r="S311" i="20"/>
  <c r="R311" i="20" s="1"/>
  <c r="P311" i="20" s="1"/>
  <c r="V311" i="20" s="1"/>
  <c r="B311" i="20" s="1"/>
  <c r="S313" i="20"/>
  <c r="R313" i="20" s="1"/>
  <c r="P313" i="20" s="1"/>
  <c r="V313" i="20" s="1"/>
  <c r="B313" i="20" s="1"/>
  <c r="S315" i="20"/>
  <c r="R315" i="20" s="1"/>
  <c r="P315" i="20" s="1"/>
  <c r="V315" i="20" s="1"/>
  <c r="B315" i="20" s="1"/>
  <c r="S317" i="20"/>
  <c r="R317" i="20" s="1"/>
  <c r="P317" i="20" s="1"/>
  <c r="V317" i="20" s="1"/>
  <c r="B317" i="20" s="1"/>
  <c r="S319" i="20"/>
  <c r="R319" i="20" s="1"/>
  <c r="P319" i="20" s="1"/>
  <c r="V319" i="20" s="1"/>
  <c r="S321" i="20"/>
  <c r="R321" i="20" s="1"/>
  <c r="P321" i="20" s="1"/>
  <c r="V321" i="20" s="1"/>
  <c r="B321" i="20" s="1"/>
  <c r="S323" i="20"/>
  <c r="R323" i="20" s="1"/>
  <c r="P323" i="20" s="1"/>
  <c r="V323" i="20" s="1"/>
  <c r="B323" i="20" s="1"/>
  <c r="S325" i="20"/>
  <c r="R325" i="20" s="1"/>
  <c r="P325" i="20" s="1"/>
  <c r="V325" i="20" s="1"/>
  <c r="B325" i="20" s="1"/>
  <c r="S327" i="20"/>
  <c r="R327" i="20" s="1"/>
  <c r="P327" i="20" s="1"/>
  <c r="V327" i="20" s="1"/>
  <c r="B327" i="20" s="1"/>
  <c r="S329" i="20"/>
  <c r="R329" i="20" s="1"/>
  <c r="P329" i="20" s="1"/>
  <c r="V329" i="20" s="1"/>
  <c r="B329" i="20" s="1"/>
  <c r="S331" i="20"/>
  <c r="R331" i="20" s="1"/>
  <c r="P331" i="20" s="1"/>
  <c r="V331" i="20" s="1"/>
  <c r="B331" i="20" s="1"/>
  <c r="S333" i="20"/>
  <c r="R333" i="20" s="1"/>
  <c r="P333" i="20" s="1"/>
  <c r="S335" i="20"/>
  <c r="R335" i="20" s="1"/>
  <c r="P335" i="20" s="1"/>
  <c r="V335" i="20" s="1"/>
  <c r="B335" i="20" s="1"/>
  <c r="S337" i="20"/>
  <c r="R337" i="20" s="1"/>
  <c r="P337" i="20" s="1"/>
  <c r="V337" i="20" s="1"/>
  <c r="B337" i="20" s="1"/>
  <c r="S339" i="20"/>
  <c r="R339" i="20" s="1"/>
  <c r="P339" i="20" s="1"/>
  <c r="V339" i="20" s="1"/>
  <c r="B339" i="20" s="1"/>
  <c r="S341" i="20"/>
  <c r="R341" i="20" s="1"/>
  <c r="P341" i="20" s="1"/>
  <c r="V341" i="20" s="1"/>
  <c r="B341" i="20" s="1"/>
  <c r="S343" i="20"/>
  <c r="R343" i="20" s="1"/>
  <c r="P343" i="20" s="1"/>
  <c r="V343" i="20" s="1"/>
  <c r="B343" i="20" s="1"/>
  <c r="S345" i="20"/>
  <c r="R345" i="20" s="1"/>
  <c r="P345" i="20" s="1"/>
  <c r="V345" i="20" s="1"/>
  <c r="B345" i="20" s="1"/>
  <c r="S347" i="20"/>
  <c r="R347" i="20" s="1"/>
  <c r="P347" i="20" s="1"/>
  <c r="V347" i="20" s="1"/>
  <c r="B347" i="20" s="1"/>
  <c r="S349" i="20"/>
  <c r="R349" i="20" s="1"/>
  <c r="P349" i="20" s="1"/>
  <c r="V349" i="20" s="1"/>
  <c r="S351" i="20"/>
  <c r="R351" i="20" s="1"/>
  <c r="P351" i="20" s="1"/>
  <c r="V351" i="20" s="1"/>
  <c r="B351" i="20" s="1"/>
  <c r="S353" i="20"/>
  <c r="R353" i="20" s="1"/>
  <c r="P353" i="20" s="1"/>
  <c r="V353" i="20" s="1"/>
  <c r="B353" i="20" s="1"/>
  <c r="S355" i="20"/>
  <c r="R355" i="20" s="1"/>
  <c r="P355" i="20" s="1"/>
  <c r="V355" i="20" s="1"/>
  <c r="B355" i="20" s="1"/>
  <c r="S357" i="20"/>
  <c r="R357" i="20" s="1"/>
  <c r="P357" i="20" s="1"/>
  <c r="V357" i="20" s="1"/>
  <c r="B357" i="20" s="1"/>
  <c r="S359" i="20"/>
  <c r="R359" i="20" s="1"/>
  <c r="P359" i="20" s="1"/>
  <c r="V359" i="20" s="1"/>
  <c r="B359" i="20" s="1"/>
  <c r="S361" i="20"/>
  <c r="R361" i="20" s="1"/>
  <c r="P361" i="20" s="1"/>
  <c r="V361" i="20" s="1"/>
  <c r="B361" i="20" s="1"/>
  <c r="S363" i="20"/>
  <c r="R363" i="20" s="1"/>
  <c r="P363" i="20" s="1"/>
  <c r="S365" i="20"/>
  <c r="R365" i="20" s="1"/>
  <c r="P365" i="20" s="1"/>
  <c r="V365" i="20" s="1"/>
  <c r="B365" i="20" s="1"/>
  <c r="S367" i="20"/>
  <c r="R367" i="20" s="1"/>
  <c r="P367" i="20" s="1"/>
  <c r="V367" i="20" s="1"/>
  <c r="B367" i="20" s="1"/>
  <c r="S369" i="20"/>
  <c r="R369" i="20" s="1"/>
  <c r="P369" i="20" s="1"/>
  <c r="V369" i="20" s="1"/>
  <c r="B369" i="20" s="1"/>
  <c r="S371" i="20"/>
  <c r="R371" i="20" s="1"/>
  <c r="P371" i="20" s="1"/>
  <c r="V371" i="20" s="1"/>
  <c r="B371" i="20" s="1"/>
  <c r="S373" i="20"/>
  <c r="R373" i="20" s="1"/>
  <c r="P373" i="20" s="1"/>
  <c r="V373" i="20" s="1"/>
  <c r="B373" i="20" s="1"/>
  <c r="S375" i="20"/>
  <c r="R375" i="20" s="1"/>
  <c r="P375" i="20" s="1"/>
  <c r="V375" i="20" s="1"/>
  <c r="B375" i="20" s="1"/>
  <c r="S377" i="20"/>
  <c r="R377" i="20" s="1"/>
  <c r="P377" i="20" s="1"/>
  <c r="V377" i="20" s="1"/>
  <c r="B377" i="20" s="1"/>
  <c r="J85" i="18"/>
  <c r="C85" i="6" s="1"/>
  <c r="I85" i="18"/>
  <c r="B85" i="6" s="1"/>
  <c r="BA85" i="6" s="1"/>
  <c r="I245" i="18"/>
  <c r="B245" i="6" s="1"/>
  <c r="BA245" i="6" s="1"/>
  <c r="D245" i="6" s="1"/>
  <c r="J245" i="18"/>
  <c r="C245" i="6" s="1"/>
  <c r="J99" i="18"/>
  <c r="C99" i="6" s="1"/>
  <c r="I99" i="18"/>
  <c r="B99" i="6" s="1"/>
  <c r="BA99" i="6" s="1"/>
  <c r="I246" i="18"/>
  <c r="B246" i="6" s="1"/>
  <c r="BA246" i="6" s="1"/>
  <c r="D246" i="6" s="1"/>
  <c r="J246" i="18"/>
  <c r="C246" i="6" s="1"/>
  <c r="AA17" i="18"/>
  <c r="Z17" i="18" s="1"/>
  <c r="Y17" i="18" s="1"/>
  <c r="G17" i="18"/>
  <c r="CA17" i="6" s="1"/>
  <c r="G24" i="18"/>
  <c r="CA24" i="6" s="1"/>
  <c r="AA24" i="18"/>
  <c r="Z24" i="18" s="1"/>
  <c r="Y24" i="18" s="1"/>
  <c r="G32" i="18"/>
  <c r="CA32" i="6" s="1"/>
  <c r="AA32" i="18"/>
  <c r="Z32" i="18" s="1"/>
  <c r="Y32" i="18" s="1"/>
  <c r="AA54" i="18"/>
  <c r="Z54" i="18" s="1"/>
  <c r="Y54" i="18" s="1"/>
  <c r="G54" i="18"/>
  <c r="CA54" i="6" s="1"/>
  <c r="AA58" i="18"/>
  <c r="Z58" i="18" s="1"/>
  <c r="Y58" i="18" s="1"/>
  <c r="G58" i="18"/>
  <c r="CA58" i="6" s="1"/>
  <c r="G64" i="18"/>
  <c r="CA64" i="6" s="1"/>
  <c r="AA64" i="18"/>
  <c r="Z64" i="18" s="1"/>
  <c r="Y64" i="18" s="1"/>
  <c r="W74" i="18"/>
  <c r="D74" i="18"/>
  <c r="E74" i="18" s="1"/>
  <c r="F74" i="18" s="1"/>
  <c r="G76" i="18"/>
  <c r="CA76" i="6" s="1"/>
  <c r="AA76" i="18"/>
  <c r="Z76" i="18" s="1"/>
  <c r="Y76" i="18" s="1"/>
  <c r="G92" i="18"/>
  <c r="CA92" i="6" s="1"/>
  <c r="AA92" i="18"/>
  <c r="Z92" i="18" s="1"/>
  <c r="Y92" i="18" s="1"/>
  <c r="AA114" i="18"/>
  <c r="Z114" i="18" s="1"/>
  <c r="Y114" i="18" s="1"/>
  <c r="G114" i="18"/>
  <c r="CA114" i="6" s="1"/>
  <c r="AA126" i="18"/>
  <c r="Z126" i="18" s="1"/>
  <c r="Y126" i="18" s="1"/>
  <c r="G126" i="18"/>
  <c r="CA126" i="6" s="1"/>
  <c r="G130" i="18"/>
  <c r="CA130" i="6" s="1"/>
  <c r="AA130" i="18"/>
  <c r="Z130" i="18" s="1"/>
  <c r="Y130" i="18" s="1"/>
  <c r="AA134" i="18"/>
  <c r="Z134" i="18" s="1"/>
  <c r="Y134" i="18" s="1"/>
  <c r="G134" i="18"/>
  <c r="CA134" i="6" s="1"/>
  <c r="G146" i="18"/>
  <c r="CA146" i="6" s="1"/>
  <c r="AA146" i="18"/>
  <c r="Z146" i="18" s="1"/>
  <c r="Y146" i="18" s="1"/>
  <c r="G150" i="18"/>
  <c r="CA150" i="6" s="1"/>
  <c r="AA150" i="18"/>
  <c r="Z150" i="18" s="1"/>
  <c r="Y150" i="18" s="1"/>
  <c r="G156" i="18"/>
  <c r="CA156" i="6" s="1"/>
  <c r="AA156" i="18"/>
  <c r="Z156" i="18" s="1"/>
  <c r="Y156" i="18" s="1"/>
  <c r="G158" i="18"/>
  <c r="CA158" i="6" s="1"/>
  <c r="AA158" i="18"/>
  <c r="Z158" i="18" s="1"/>
  <c r="Y158" i="18" s="1"/>
  <c r="AA164" i="18"/>
  <c r="Z164" i="18" s="1"/>
  <c r="Y164" i="18" s="1"/>
  <c r="G164" i="18"/>
  <c r="CA164" i="6" s="1"/>
  <c r="W166" i="18"/>
  <c r="D166" i="18"/>
  <c r="E166" i="18" s="1"/>
  <c r="F166" i="18" s="1"/>
  <c r="G170" i="18"/>
  <c r="CA170" i="6" s="1"/>
  <c r="AA170" i="18"/>
  <c r="Z170" i="18" s="1"/>
  <c r="Y170" i="18" s="1"/>
  <c r="AA174" i="18"/>
  <c r="Z174" i="18" s="1"/>
  <c r="Y174" i="18" s="1"/>
  <c r="G174" i="18"/>
  <c r="CA174" i="6" s="1"/>
  <c r="G176" i="18"/>
  <c r="CA176" i="6" s="1"/>
  <c r="AA176" i="18"/>
  <c r="Z176" i="18" s="1"/>
  <c r="Y176" i="18" s="1"/>
  <c r="G178" i="18"/>
  <c r="CA178" i="6" s="1"/>
  <c r="AA178" i="18"/>
  <c r="Z178" i="18" s="1"/>
  <c r="Y178" i="18" s="1"/>
  <c r="AA184" i="18"/>
  <c r="Z184" i="18" s="1"/>
  <c r="Y184" i="18" s="1"/>
  <c r="G184" i="18"/>
  <c r="CA184" i="6" s="1"/>
  <c r="G186" i="18"/>
  <c r="CA186" i="6" s="1"/>
  <c r="AA186" i="18"/>
  <c r="Z186" i="18" s="1"/>
  <c r="Y186" i="18" s="1"/>
  <c r="G192" i="18"/>
  <c r="CA192" i="6" s="1"/>
  <c r="AA192" i="18"/>
  <c r="Z192" i="18" s="1"/>
  <c r="Y192" i="18" s="1"/>
  <c r="G194" i="18"/>
  <c r="CA194" i="6" s="1"/>
  <c r="AA194" i="18"/>
  <c r="Z194" i="18" s="1"/>
  <c r="Y194" i="18" s="1"/>
  <c r="D196" i="18"/>
  <c r="E196" i="18" s="1"/>
  <c r="F196" i="18" s="1"/>
  <c r="W196" i="18"/>
  <c r="G198" i="18"/>
  <c r="CA198" i="6" s="1"/>
  <c r="AA198" i="18"/>
  <c r="Z198" i="18" s="1"/>
  <c r="Y198" i="18" s="1"/>
  <c r="AA200" i="18"/>
  <c r="Z200" i="18" s="1"/>
  <c r="Y200" i="18" s="1"/>
  <c r="G200" i="18"/>
  <c r="CA200" i="6" s="1"/>
  <c r="AA204" i="18"/>
  <c r="Z204" i="18" s="1"/>
  <c r="Y204" i="18" s="1"/>
  <c r="G204" i="18"/>
  <c r="CA204" i="6" s="1"/>
  <c r="G212" i="18"/>
  <c r="CA212" i="6" s="1"/>
  <c r="AA212" i="18"/>
  <c r="Z212" i="18" s="1"/>
  <c r="Y212" i="18" s="1"/>
  <c r="G216" i="18"/>
  <c r="CA216" i="6" s="1"/>
  <c r="AA216" i="18"/>
  <c r="Z216" i="18" s="1"/>
  <c r="Y216" i="18" s="1"/>
  <c r="AA220" i="18"/>
  <c r="Z220" i="18" s="1"/>
  <c r="Y220" i="18" s="1"/>
  <c r="G220" i="18"/>
  <c r="CA220" i="6" s="1"/>
  <c r="G226" i="18"/>
  <c r="CA226" i="6" s="1"/>
  <c r="AA226" i="18"/>
  <c r="Z226" i="18" s="1"/>
  <c r="Y226" i="18" s="1"/>
  <c r="AA228" i="18"/>
  <c r="Z228" i="18" s="1"/>
  <c r="Y228" i="18" s="1"/>
  <c r="G228" i="18"/>
  <c r="CA228" i="6" s="1"/>
  <c r="AA230" i="18"/>
  <c r="Z230" i="18" s="1"/>
  <c r="Y230" i="18" s="1"/>
  <c r="G230" i="18"/>
  <c r="CA230" i="6" s="1"/>
  <c r="G232" i="18"/>
  <c r="CA232" i="6" s="1"/>
  <c r="AA232" i="18"/>
  <c r="Z232" i="18" s="1"/>
  <c r="Y232" i="18" s="1"/>
  <c r="G242" i="18"/>
  <c r="CA242" i="6" s="1"/>
  <c r="AA242" i="18"/>
  <c r="Z242" i="18" s="1"/>
  <c r="Y242" i="18" s="1"/>
  <c r="AA244" i="18"/>
  <c r="Z244" i="18" s="1"/>
  <c r="Y244" i="18" s="1"/>
  <c r="G244" i="18"/>
  <c r="CA244" i="6" s="1"/>
  <c r="AA248" i="18"/>
  <c r="Z248" i="18" s="1"/>
  <c r="Y248" i="18" s="1"/>
  <c r="G248" i="18"/>
  <c r="CA248" i="6" s="1"/>
  <c r="G252" i="18"/>
  <c r="CA252" i="6" s="1"/>
  <c r="AA252" i="18"/>
  <c r="Z252" i="18" s="1"/>
  <c r="Y252" i="18" s="1"/>
  <c r="W258" i="18"/>
  <c r="D258" i="18"/>
  <c r="E258" i="18" s="1"/>
  <c r="F258" i="18" s="1"/>
  <c r="H258" i="18" s="1"/>
  <c r="G262" i="18"/>
  <c r="CA262" i="6" s="1"/>
  <c r="AA262" i="18"/>
  <c r="Z262" i="18" s="1"/>
  <c r="Y262" i="18" s="1"/>
  <c r="AA270" i="18"/>
  <c r="Z270" i="18" s="1"/>
  <c r="Y270" i="18" s="1"/>
  <c r="G270" i="18"/>
  <c r="CA270" i="6" s="1"/>
  <c r="AA274" i="18"/>
  <c r="Z274" i="18" s="1"/>
  <c r="Y274" i="18" s="1"/>
  <c r="G274" i="18"/>
  <c r="CA274" i="6" s="1"/>
  <c r="AA278" i="18"/>
  <c r="Z278" i="18" s="1"/>
  <c r="Y278" i="18" s="1"/>
  <c r="G278" i="18"/>
  <c r="CA278" i="6" s="1"/>
  <c r="AA282" i="18"/>
  <c r="Z282" i="18" s="1"/>
  <c r="Y282" i="18" s="1"/>
  <c r="G282" i="18"/>
  <c r="CA282" i="6" s="1"/>
  <c r="G284" i="18"/>
  <c r="CA284" i="6" s="1"/>
  <c r="AA284" i="18"/>
  <c r="Z284" i="18" s="1"/>
  <c r="Y284" i="18" s="1"/>
  <c r="AA290" i="18"/>
  <c r="Z290" i="18" s="1"/>
  <c r="Y290" i="18" s="1"/>
  <c r="G290" i="18"/>
  <c r="CA290" i="6" s="1"/>
  <c r="AA292" i="18"/>
  <c r="Z292" i="18" s="1"/>
  <c r="Y292" i="18" s="1"/>
  <c r="G292" i="18"/>
  <c r="CA292" i="6" s="1"/>
  <c r="AA294" i="18"/>
  <c r="Z294" i="18" s="1"/>
  <c r="Y294" i="18" s="1"/>
  <c r="G294" i="18"/>
  <c r="CA294" i="6" s="1"/>
  <c r="G300" i="18"/>
  <c r="CA300" i="6" s="1"/>
  <c r="AA300" i="18"/>
  <c r="Z300" i="18" s="1"/>
  <c r="Y300" i="18" s="1"/>
  <c r="W302" i="18"/>
  <c r="D302" i="18"/>
  <c r="E302" i="18" s="1"/>
  <c r="F302" i="18" s="1"/>
  <c r="AA306" i="18"/>
  <c r="Z306" i="18" s="1"/>
  <c r="Y306" i="18" s="1"/>
  <c r="G306" i="18"/>
  <c r="CA306" i="6" s="1"/>
  <c r="G310" i="18"/>
  <c r="CA310" i="6" s="1"/>
  <c r="AA310" i="18"/>
  <c r="Z310" i="18" s="1"/>
  <c r="Y310" i="18" s="1"/>
  <c r="G312" i="18"/>
  <c r="CA312" i="6" s="1"/>
  <c r="AA312" i="18"/>
  <c r="Z312" i="18" s="1"/>
  <c r="Y312" i="18" s="1"/>
  <c r="G314" i="18"/>
  <c r="CA314" i="6" s="1"/>
  <c r="AA314" i="18"/>
  <c r="Z314" i="18" s="1"/>
  <c r="Y314" i="18" s="1"/>
  <c r="AA316" i="18"/>
  <c r="Z316" i="18" s="1"/>
  <c r="Y316" i="18" s="1"/>
  <c r="G316" i="18"/>
  <c r="CA316" i="6" s="1"/>
  <c r="G318" i="18"/>
  <c r="CA318" i="6" s="1"/>
  <c r="AA318" i="18"/>
  <c r="Z318" i="18" s="1"/>
  <c r="Y318" i="18" s="1"/>
  <c r="AA322" i="18"/>
  <c r="Z322" i="18" s="1"/>
  <c r="Y322" i="18" s="1"/>
  <c r="G322" i="18"/>
  <c r="CA322" i="6" s="1"/>
  <c r="AA334" i="18"/>
  <c r="Z334" i="18" s="1"/>
  <c r="Y334" i="18" s="1"/>
  <c r="G334" i="18"/>
  <c r="CA334" i="6" s="1"/>
  <c r="G338" i="18"/>
  <c r="CA338" i="6" s="1"/>
  <c r="AA338" i="18"/>
  <c r="Z338" i="18" s="1"/>
  <c r="Y338" i="18" s="1"/>
  <c r="AA346" i="18"/>
  <c r="Z346" i="18" s="1"/>
  <c r="Y346" i="18" s="1"/>
  <c r="G346" i="18"/>
  <c r="CA346" i="6" s="1"/>
  <c r="H346" i="18"/>
  <c r="AA350" i="18"/>
  <c r="Z350" i="18" s="1"/>
  <c r="Y350" i="18" s="1"/>
  <c r="G350" i="18"/>
  <c r="CA350" i="6" s="1"/>
  <c r="G354" i="18"/>
  <c r="CA354" i="6" s="1"/>
  <c r="AA354" i="18"/>
  <c r="Z354" i="18" s="1"/>
  <c r="Y354" i="18" s="1"/>
  <c r="G356" i="18"/>
  <c r="CA356" i="6" s="1"/>
  <c r="AA356" i="18"/>
  <c r="Z356" i="18" s="1"/>
  <c r="Y356" i="18" s="1"/>
  <c r="G360" i="18"/>
  <c r="CA360" i="6" s="1"/>
  <c r="AA360" i="18"/>
  <c r="Z360" i="18" s="1"/>
  <c r="Y360" i="18" s="1"/>
  <c r="G362" i="18"/>
  <c r="CA362" i="6" s="1"/>
  <c r="AA362" i="18"/>
  <c r="Z362" i="18" s="1"/>
  <c r="Y362" i="18" s="1"/>
  <c r="G364" i="18"/>
  <c r="CA364" i="6" s="1"/>
  <c r="AA364" i="18"/>
  <c r="Z364" i="18" s="1"/>
  <c r="Y364" i="18" s="1"/>
  <c r="AA366" i="18"/>
  <c r="Z366" i="18" s="1"/>
  <c r="Y366" i="18" s="1"/>
  <c r="G366" i="18"/>
  <c r="CA366" i="6" s="1"/>
  <c r="AA368" i="18"/>
  <c r="Z368" i="18" s="1"/>
  <c r="Y368" i="18" s="1"/>
  <c r="G368" i="18"/>
  <c r="CA368" i="6" s="1"/>
  <c r="AA374" i="18"/>
  <c r="Z374" i="18" s="1"/>
  <c r="Y374" i="18" s="1"/>
  <c r="G374" i="18"/>
  <c r="CA374" i="6" s="1"/>
  <c r="AA378" i="18"/>
  <c r="Z378" i="18" s="1"/>
  <c r="Y378" i="18" s="1"/>
  <c r="G378" i="18"/>
  <c r="CA378" i="6" s="1"/>
  <c r="AA22" i="18"/>
  <c r="Z22" i="18" s="1"/>
  <c r="Y22" i="18" s="1"/>
  <c r="G22" i="18"/>
  <c r="CA22" i="6" s="1"/>
  <c r="AA34" i="18"/>
  <c r="Z34" i="18" s="1"/>
  <c r="Y34" i="18" s="1"/>
  <c r="G34" i="18"/>
  <c r="CA34" i="6" s="1"/>
  <c r="AA42" i="18"/>
  <c r="Z42" i="18" s="1"/>
  <c r="Y42" i="18" s="1"/>
  <c r="G42" i="18"/>
  <c r="CA42" i="6" s="1"/>
  <c r="AA48" i="18"/>
  <c r="Z48" i="18" s="1"/>
  <c r="Y48" i="18" s="1"/>
  <c r="G48" i="18"/>
  <c r="CA48" i="6" s="1"/>
  <c r="H52" i="18"/>
  <c r="AA62" i="18"/>
  <c r="Z62" i="18" s="1"/>
  <c r="Y62" i="18" s="1"/>
  <c r="G62" i="18"/>
  <c r="CA62" i="6" s="1"/>
  <c r="AA100" i="18"/>
  <c r="Z100" i="18" s="1"/>
  <c r="Y100" i="18" s="1"/>
  <c r="G100" i="18"/>
  <c r="CA100" i="6" s="1"/>
  <c r="G116" i="18"/>
  <c r="CA116" i="6" s="1"/>
  <c r="AA116" i="18"/>
  <c r="Z116" i="18" s="1"/>
  <c r="Y116" i="18" s="1"/>
  <c r="H338" i="18"/>
  <c r="V381" i="17"/>
  <c r="B64" i="19"/>
  <c r="V382" i="17"/>
  <c r="V383" i="17"/>
  <c r="AA25" i="18"/>
  <c r="Z25" i="18" s="1"/>
  <c r="Y25" i="18" s="1"/>
  <c r="G25" i="18"/>
  <c r="CA25" i="6" s="1"/>
  <c r="D29" i="18"/>
  <c r="E29" i="18" s="1"/>
  <c r="F29" i="18" s="1"/>
  <c r="W29" i="18"/>
  <c r="AA37" i="18"/>
  <c r="Z37" i="18" s="1"/>
  <c r="Y37" i="18" s="1"/>
  <c r="G37" i="18"/>
  <c r="CA37" i="6" s="1"/>
  <c r="G39" i="18"/>
  <c r="CA39" i="6" s="1"/>
  <c r="AA39" i="18"/>
  <c r="Z39" i="18" s="1"/>
  <c r="Y39" i="18" s="1"/>
  <c r="AA53" i="18"/>
  <c r="Z53" i="18" s="1"/>
  <c r="Y53" i="18" s="1"/>
  <c r="G53" i="18"/>
  <c r="CA53" i="6" s="1"/>
  <c r="AA61" i="18"/>
  <c r="Z61" i="18" s="1"/>
  <c r="Y61" i="18" s="1"/>
  <c r="G61" i="18"/>
  <c r="CA61" i="6" s="1"/>
  <c r="AA63" i="18"/>
  <c r="Z63" i="18" s="1"/>
  <c r="Y63" i="18" s="1"/>
  <c r="G63" i="18"/>
  <c r="CA63" i="6" s="1"/>
  <c r="AA67" i="18"/>
  <c r="Z67" i="18" s="1"/>
  <c r="Y67" i="18" s="1"/>
  <c r="G67" i="18"/>
  <c r="CA67" i="6" s="1"/>
  <c r="AA83" i="18"/>
  <c r="Z83" i="18" s="1"/>
  <c r="Y83" i="18" s="1"/>
  <c r="G83" i="18"/>
  <c r="CA83" i="6" s="1"/>
  <c r="AA85" i="18"/>
  <c r="Z85" i="18" s="1"/>
  <c r="Y85" i="18" s="1"/>
  <c r="G85" i="18"/>
  <c r="CA85" i="6" s="1"/>
  <c r="G101" i="18"/>
  <c r="CA101" i="6" s="1"/>
  <c r="AA101" i="18"/>
  <c r="Z101" i="18" s="1"/>
  <c r="Y101" i="18" s="1"/>
  <c r="AA103" i="18"/>
  <c r="Z103" i="18" s="1"/>
  <c r="Y103" i="18" s="1"/>
  <c r="G103" i="18"/>
  <c r="CA103" i="6" s="1"/>
  <c r="D105" i="18"/>
  <c r="E105" i="18" s="1"/>
  <c r="F105" i="18" s="1"/>
  <c r="H105" i="18" s="1"/>
  <c r="W105" i="18"/>
  <c r="AA111" i="18"/>
  <c r="Z111" i="18" s="1"/>
  <c r="Y111" i="18" s="1"/>
  <c r="G111" i="18"/>
  <c r="CA111" i="6" s="1"/>
  <c r="W119" i="18"/>
  <c r="D119" i="18"/>
  <c r="E119" i="18" s="1"/>
  <c r="F119" i="18" s="1"/>
  <c r="AA125" i="18"/>
  <c r="Z125" i="18" s="1"/>
  <c r="Y125" i="18" s="1"/>
  <c r="G125" i="18"/>
  <c r="CA125" i="6" s="1"/>
  <c r="AA127" i="18"/>
  <c r="Z127" i="18" s="1"/>
  <c r="Y127" i="18" s="1"/>
  <c r="G127" i="18"/>
  <c r="CA127" i="6" s="1"/>
  <c r="G131" i="18"/>
  <c r="CA131" i="6" s="1"/>
  <c r="AA131" i="18"/>
  <c r="Z131" i="18" s="1"/>
  <c r="Y131" i="18" s="1"/>
  <c r="G133" i="18"/>
  <c r="CA133" i="6" s="1"/>
  <c r="AA133" i="18"/>
  <c r="Z133" i="18" s="1"/>
  <c r="Y133" i="18" s="1"/>
  <c r="G139" i="18"/>
  <c r="CA139" i="6" s="1"/>
  <c r="AA139" i="18"/>
  <c r="Z139" i="18" s="1"/>
  <c r="Y139" i="18" s="1"/>
  <c r="AA141" i="18"/>
  <c r="Z141" i="18" s="1"/>
  <c r="Y141" i="18" s="1"/>
  <c r="G141" i="18"/>
  <c r="CA141" i="6" s="1"/>
  <c r="AA143" i="18"/>
  <c r="Z143" i="18" s="1"/>
  <c r="Y143" i="18" s="1"/>
  <c r="G143" i="18"/>
  <c r="CA143" i="6" s="1"/>
  <c r="D149" i="18"/>
  <c r="E149" i="18" s="1"/>
  <c r="F149" i="18" s="1"/>
  <c r="W149" i="18"/>
  <c r="AA151" i="18"/>
  <c r="Z151" i="18" s="1"/>
  <c r="Y151" i="18" s="1"/>
  <c r="G151" i="18"/>
  <c r="CA151" i="6" s="1"/>
  <c r="AA153" i="18"/>
  <c r="Z153" i="18" s="1"/>
  <c r="Y153" i="18" s="1"/>
  <c r="G153" i="18"/>
  <c r="CA153" i="6" s="1"/>
  <c r="G155" i="18"/>
  <c r="CA155" i="6" s="1"/>
  <c r="AA155" i="18"/>
  <c r="Z155" i="18" s="1"/>
  <c r="Y155" i="18" s="1"/>
  <c r="G159" i="18"/>
  <c r="CA159" i="6" s="1"/>
  <c r="AA159" i="18"/>
  <c r="Z159" i="18" s="1"/>
  <c r="Y159" i="18" s="1"/>
  <c r="AA165" i="18"/>
  <c r="Z165" i="18" s="1"/>
  <c r="Y165" i="18" s="1"/>
  <c r="G165" i="18"/>
  <c r="CA165" i="6" s="1"/>
  <c r="AA173" i="18"/>
  <c r="Z173" i="18" s="1"/>
  <c r="Y173" i="18" s="1"/>
  <c r="G173" i="18"/>
  <c r="CA173" i="6" s="1"/>
  <c r="G177" i="18"/>
  <c r="CA177" i="6" s="1"/>
  <c r="AA177" i="18"/>
  <c r="Z177" i="18" s="1"/>
  <c r="Y177" i="18" s="1"/>
  <c r="AA179" i="18"/>
  <c r="Z179" i="18" s="1"/>
  <c r="Y179" i="18" s="1"/>
  <c r="G179" i="18"/>
  <c r="CA179" i="6" s="1"/>
  <c r="AA185" i="18"/>
  <c r="Z185" i="18" s="1"/>
  <c r="Y185" i="18" s="1"/>
  <c r="G185" i="18"/>
  <c r="CA185" i="6" s="1"/>
  <c r="AA187" i="18"/>
  <c r="Z187" i="18" s="1"/>
  <c r="Y187" i="18" s="1"/>
  <c r="G187" i="18"/>
  <c r="CA187" i="6" s="1"/>
  <c r="G189" i="18"/>
  <c r="CA189" i="6" s="1"/>
  <c r="AA189" i="18"/>
  <c r="Z189" i="18" s="1"/>
  <c r="Y189" i="18" s="1"/>
  <c r="G191" i="18"/>
  <c r="CA191" i="6" s="1"/>
  <c r="AA191" i="18"/>
  <c r="Z191" i="18" s="1"/>
  <c r="Y191" i="18" s="1"/>
  <c r="AA193" i="18"/>
  <c r="Z193" i="18" s="1"/>
  <c r="Y193" i="18" s="1"/>
  <c r="G193" i="18"/>
  <c r="CA193" i="6" s="1"/>
  <c r="G201" i="18"/>
  <c r="CA201" i="6" s="1"/>
  <c r="AA201" i="18"/>
  <c r="Z201" i="18" s="1"/>
  <c r="Y201" i="18" s="1"/>
  <c r="AA203" i="18"/>
  <c r="Z203" i="18" s="1"/>
  <c r="Y203" i="18" s="1"/>
  <c r="G203" i="18"/>
  <c r="CA203" i="6" s="1"/>
  <c r="AA205" i="18"/>
  <c r="Z205" i="18" s="1"/>
  <c r="Y205" i="18" s="1"/>
  <c r="G205" i="18"/>
  <c r="CA205" i="6" s="1"/>
  <c r="AA209" i="18"/>
  <c r="Z209" i="18" s="1"/>
  <c r="Y209" i="18" s="1"/>
  <c r="G209" i="18"/>
  <c r="CA209" i="6" s="1"/>
  <c r="AA213" i="18"/>
  <c r="Z213" i="18" s="1"/>
  <c r="Y213" i="18" s="1"/>
  <c r="G213" i="18"/>
  <c r="CA213" i="6" s="1"/>
  <c r="AA215" i="18"/>
  <c r="Z215" i="18" s="1"/>
  <c r="Y215" i="18" s="1"/>
  <c r="G215" i="18"/>
  <c r="CA215" i="6" s="1"/>
  <c r="AA217" i="18"/>
  <c r="Z217" i="18" s="1"/>
  <c r="Y217" i="18" s="1"/>
  <c r="G217" i="18"/>
  <c r="CA217" i="6" s="1"/>
  <c r="G219" i="18"/>
  <c r="CA219" i="6" s="1"/>
  <c r="AA219" i="18"/>
  <c r="Z219" i="18" s="1"/>
  <c r="Y219" i="18" s="1"/>
  <c r="AA229" i="18"/>
  <c r="Z229" i="18" s="1"/>
  <c r="Y229" i="18" s="1"/>
  <c r="G229" i="18"/>
  <c r="CA229" i="6" s="1"/>
  <c r="G233" i="18"/>
  <c r="CA233" i="6" s="1"/>
  <c r="AA233" i="18"/>
  <c r="Z233" i="18" s="1"/>
  <c r="Y233" i="18" s="1"/>
  <c r="AA235" i="18"/>
  <c r="Z235" i="18" s="1"/>
  <c r="Y235" i="18" s="1"/>
  <c r="G235" i="18"/>
  <c r="CA235" i="6" s="1"/>
  <c r="G239" i="18"/>
  <c r="CA239" i="6" s="1"/>
  <c r="AA239" i="18"/>
  <c r="Z239" i="18" s="1"/>
  <c r="Y239" i="18" s="1"/>
  <c r="W241" i="18"/>
  <c r="D241" i="18"/>
  <c r="E241" i="18" s="1"/>
  <c r="F241" i="18" s="1"/>
  <c r="AA243" i="18"/>
  <c r="Z243" i="18" s="1"/>
  <c r="Y243" i="18" s="1"/>
  <c r="G243" i="18"/>
  <c r="CA243" i="6" s="1"/>
  <c r="AA245" i="18"/>
  <c r="Z245" i="18" s="1"/>
  <c r="Y245" i="18" s="1"/>
  <c r="G245" i="18"/>
  <c r="CA245" i="6" s="1"/>
  <c r="AA247" i="18"/>
  <c r="Z247" i="18" s="1"/>
  <c r="Y247" i="18" s="1"/>
  <c r="G247" i="18"/>
  <c r="CA247" i="6" s="1"/>
  <c r="G249" i="18"/>
  <c r="CA249" i="6" s="1"/>
  <c r="AA249" i="18"/>
  <c r="Z249" i="18" s="1"/>
  <c r="Y249" i="18" s="1"/>
  <c r="AA253" i="18"/>
  <c r="Z253" i="18" s="1"/>
  <c r="Y253" i="18" s="1"/>
  <c r="G253" i="18"/>
  <c r="CA253" i="6" s="1"/>
  <c r="G259" i="18"/>
  <c r="CA259" i="6" s="1"/>
  <c r="AA259" i="18"/>
  <c r="Z259" i="18" s="1"/>
  <c r="Y259" i="18" s="1"/>
  <c r="G261" i="18"/>
  <c r="CA261" i="6" s="1"/>
  <c r="AA261" i="18"/>
  <c r="Z261" i="18" s="1"/>
  <c r="Y261" i="18" s="1"/>
  <c r="AA265" i="18"/>
  <c r="Z265" i="18" s="1"/>
  <c r="Y265" i="18" s="1"/>
  <c r="G265" i="18"/>
  <c r="CA265" i="6" s="1"/>
  <c r="G269" i="18"/>
  <c r="CA269" i="6" s="1"/>
  <c r="AA269" i="18"/>
  <c r="Z269" i="18" s="1"/>
  <c r="Y269" i="18" s="1"/>
  <c r="G275" i="18"/>
  <c r="CA275" i="6" s="1"/>
  <c r="AA275" i="18"/>
  <c r="Z275" i="18" s="1"/>
  <c r="Y275" i="18" s="1"/>
  <c r="G279" i="18"/>
  <c r="CA279" i="6" s="1"/>
  <c r="AA279" i="18"/>
  <c r="Z279" i="18" s="1"/>
  <c r="Y279" i="18" s="1"/>
  <c r="AA283" i="18"/>
  <c r="Z283" i="18" s="1"/>
  <c r="Y283" i="18" s="1"/>
  <c r="G283" i="18"/>
  <c r="CA283" i="6" s="1"/>
  <c r="AA287" i="18"/>
  <c r="Z287" i="18" s="1"/>
  <c r="Y287" i="18" s="1"/>
  <c r="G287" i="18"/>
  <c r="CA287" i="6" s="1"/>
  <c r="G291" i="18"/>
  <c r="CA291" i="6" s="1"/>
  <c r="AA291" i="18"/>
  <c r="Z291" i="18" s="1"/>
  <c r="Y291" i="18" s="1"/>
  <c r="G307" i="18"/>
  <c r="CA307" i="6" s="1"/>
  <c r="AA307" i="18"/>
  <c r="Z307" i="18" s="1"/>
  <c r="Y307" i="18" s="1"/>
  <c r="D319" i="18"/>
  <c r="E319" i="18" s="1"/>
  <c r="F319" i="18" s="1"/>
  <c r="W319" i="18"/>
  <c r="G329" i="18"/>
  <c r="CA329" i="6" s="1"/>
  <c r="AA329" i="18"/>
  <c r="Z329" i="18" s="1"/>
  <c r="Y329" i="18" s="1"/>
  <c r="D333" i="18"/>
  <c r="E333" i="18" s="1"/>
  <c r="F333" i="18" s="1"/>
  <c r="W333" i="18"/>
  <c r="G341" i="18"/>
  <c r="CA341" i="6" s="1"/>
  <c r="AA341" i="18"/>
  <c r="Z341" i="18" s="1"/>
  <c r="Y341" i="18" s="1"/>
  <c r="AA345" i="18"/>
  <c r="Z345" i="18" s="1"/>
  <c r="Y345" i="18" s="1"/>
  <c r="G345" i="18"/>
  <c r="CA345" i="6" s="1"/>
  <c r="D349" i="18"/>
  <c r="E349" i="18" s="1"/>
  <c r="F349" i="18" s="1"/>
  <c r="W349" i="18"/>
  <c r="AA357" i="18"/>
  <c r="Z357" i="18" s="1"/>
  <c r="Y357" i="18" s="1"/>
  <c r="G357" i="18"/>
  <c r="CA357" i="6" s="1"/>
  <c r="AA361" i="18"/>
  <c r="Z361" i="18" s="1"/>
  <c r="Y361" i="18" s="1"/>
  <c r="G361" i="18"/>
  <c r="CA361" i="6" s="1"/>
  <c r="AA365" i="18"/>
  <c r="Z365" i="18" s="1"/>
  <c r="Y365" i="18" s="1"/>
  <c r="G365" i="18"/>
  <c r="CA365" i="6" s="1"/>
  <c r="G377" i="18"/>
  <c r="CA377" i="6" s="1"/>
  <c r="AA377" i="18"/>
  <c r="Z377" i="18" s="1"/>
  <c r="Y377" i="18" s="1"/>
  <c r="AG24" i="20"/>
  <c r="AF24" i="20" s="1"/>
  <c r="AD24" i="20" s="1"/>
  <c r="AG28" i="20"/>
  <c r="AF28" i="20" s="1"/>
  <c r="AD28" i="20" s="1"/>
  <c r="AG32" i="20"/>
  <c r="AF32" i="20" s="1"/>
  <c r="AD32" i="20" s="1"/>
  <c r="AG36" i="20"/>
  <c r="AF36" i="20" s="1"/>
  <c r="AD36" i="20" s="1"/>
  <c r="AG48" i="20"/>
  <c r="AF48" i="20" s="1"/>
  <c r="AD48" i="20" s="1"/>
  <c r="AG56" i="20"/>
  <c r="AF56" i="20" s="1"/>
  <c r="AD56" i="20" s="1"/>
  <c r="AG60" i="20"/>
  <c r="AF60" i="20" s="1"/>
  <c r="AD60" i="20" s="1"/>
  <c r="AG64" i="20"/>
  <c r="AF64" i="20" s="1"/>
  <c r="AD64" i="20" s="1"/>
  <c r="AG66" i="20"/>
  <c r="AF66" i="20" s="1"/>
  <c r="AD66" i="20" s="1"/>
  <c r="AG70" i="20"/>
  <c r="AF70" i="20" s="1"/>
  <c r="AD70" i="20" s="1"/>
  <c r="AG78" i="20"/>
  <c r="AF78" i="20" s="1"/>
  <c r="AD78" i="20" s="1"/>
  <c r="AG90" i="20"/>
  <c r="AF90" i="20" s="1"/>
  <c r="AD90" i="20" s="1"/>
  <c r="AG94" i="20"/>
  <c r="AF94" i="20" s="1"/>
  <c r="AD94" i="20" s="1"/>
  <c r="AG98" i="20"/>
  <c r="AF98" i="20" s="1"/>
  <c r="AD98" i="20" s="1"/>
  <c r="AG102" i="20"/>
  <c r="AF102" i="20" s="1"/>
  <c r="AD102" i="20" s="1"/>
  <c r="AG106" i="20"/>
  <c r="AF106" i="20" s="1"/>
  <c r="AD106" i="20" s="1"/>
  <c r="AG114" i="20"/>
  <c r="AF114" i="20" s="1"/>
  <c r="AD114" i="20" s="1"/>
  <c r="AG126" i="20"/>
  <c r="AF126" i="20" s="1"/>
  <c r="AD126" i="20" s="1"/>
  <c r="AG138" i="20"/>
  <c r="AF138" i="20" s="1"/>
  <c r="AD138" i="20" s="1"/>
  <c r="AG150" i="20"/>
  <c r="AF150" i="20" s="1"/>
  <c r="AD150" i="20" s="1"/>
  <c r="AG158" i="20"/>
  <c r="AF158" i="20" s="1"/>
  <c r="AD158" i="20" s="1"/>
  <c r="AG166" i="20"/>
  <c r="AF166" i="20" s="1"/>
  <c r="AD166" i="20" s="1"/>
  <c r="AG174" i="20"/>
  <c r="AF174" i="20" s="1"/>
  <c r="AD174" i="20" s="1"/>
  <c r="AG182" i="20"/>
  <c r="AF182" i="20" s="1"/>
  <c r="AD182" i="20" s="1"/>
  <c r="AG202" i="20"/>
  <c r="AF202" i="20" s="1"/>
  <c r="AD202" i="20" s="1"/>
  <c r="AG210" i="20"/>
  <c r="AF210" i="20" s="1"/>
  <c r="AD210" i="20" s="1"/>
  <c r="AG218" i="20"/>
  <c r="AF218" i="20" s="1"/>
  <c r="AD218" i="20" s="1"/>
  <c r="AG226" i="20"/>
  <c r="AF226" i="20" s="1"/>
  <c r="AD226" i="20" s="1"/>
  <c r="AG238" i="20"/>
  <c r="AF238" i="20" s="1"/>
  <c r="AD238" i="20" s="1"/>
  <c r="AG246" i="20"/>
  <c r="AF246" i="20" s="1"/>
  <c r="AD246" i="20" s="1"/>
  <c r="AG254" i="20"/>
  <c r="AF254" i="20" s="1"/>
  <c r="AD254" i="20" s="1"/>
  <c r="AG262" i="20"/>
  <c r="AF262" i="20" s="1"/>
  <c r="AD262" i="20" s="1"/>
  <c r="AG270" i="20"/>
  <c r="AF270" i="20" s="1"/>
  <c r="AD270" i="20" s="1"/>
  <c r="AG278" i="20"/>
  <c r="AF278" i="20" s="1"/>
  <c r="AD278" i="20" s="1"/>
  <c r="AG322" i="20"/>
  <c r="AF322" i="20" s="1"/>
  <c r="AD322" i="20" s="1"/>
  <c r="AG336" i="20"/>
  <c r="AF336" i="20" s="1"/>
  <c r="AD336" i="20" s="1"/>
  <c r="AG348" i="20"/>
  <c r="AF348" i="20" s="1"/>
  <c r="AD348" i="20" s="1"/>
  <c r="AG356" i="20"/>
  <c r="AF356" i="20" s="1"/>
  <c r="AD356" i="20" s="1"/>
  <c r="G80" i="18"/>
  <c r="CA80" i="6" s="1"/>
  <c r="AA80" i="18"/>
  <c r="Z80" i="18" s="1"/>
  <c r="Y80" i="18" s="1"/>
  <c r="H126" i="18"/>
  <c r="H322" i="18"/>
  <c r="H21" i="18"/>
  <c r="G65" i="18"/>
  <c r="CA65" i="6" s="1"/>
  <c r="AA65" i="18"/>
  <c r="Z65" i="18" s="1"/>
  <c r="Y65" i="18" s="1"/>
  <c r="H197" i="18"/>
  <c r="H249" i="18"/>
  <c r="H337" i="18"/>
  <c r="H131" i="18"/>
  <c r="H171" i="18"/>
  <c r="H187" i="18"/>
  <c r="H259" i="18"/>
  <c r="H154" i="18"/>
  <c r="H152" i="18"/>
  <c r="H176" i="18"/>
  <c r="H200" i="18"/>
  <c r="H116" i="18"/>
  <c r="H132" i="18"/>
  <c r="H374" i="18"/>
  <c r="H360" i="18"/>
  <c r="H376" i="18"/>
  <c r="H173" i="18"/>
  <c r="H189" i="18"/>
  <c r="H273" i="18"/>
  <c r="I305" i="18"/>
  <c r="B305" i="6" s="1"/>
  <c r="BA305" i="6" s="1"/>
  <c r="D305" i="6" s="1"/>
  <c r="J305" i="18"/>
  <c r="C305" i="6" s="1"/>
  <c r="H219" i="18"/>
  <c r="H307" i="18"/>
  <c r="H150" i="18"/>
  <c r="H174" i="18"/>
  <c r="H194" i="18"/>
  <c r="H294" i="18"/>
  <c r="H314" i="18"/>
  <c r="H22" i="18"/>
  <c r="H30" i="18"/>
  <c r="H42" i="18"/>
  <c r="H120" i="18"/>
  <c r="H80" i="18"/>
  <c r="H61" i="18"/>
  <c r="H153" i="18"/>
  <c r="H169" i="18"/>
  <c r="H185" i="18"/>
  <c r="H217" i="18"/>
  <c r="H215" i="18"/>
  <c r="H279" i="18"/>
  <c r="H220" i="18"/>
  <c r="H236" i="18"/>
  <c r="I148" i="17"/>
  <c r="H148" i="18" s="1"/>
  <c r="J148" i="17"/>
  <c r="H244" i="18"/>
  <c r="H270" i="18"/>
  <c r="R383" i="18"/>
  <c r="R381" i="18"/>
  <c r="R382" i="18"/>
  <c r="P15" i="18"/>
  <c r="H38" i="18"/>
  <c r="H326" i="18"/>
  <c r="AE382" i="20"/>
  <c r="AE383" i="20"/>
  <c r="AE381" i="20"/>
  <c r="AM15" i="7"/>
  <c r="Q10" i="22"/>
  <c r="AO15" i="7" s="1"/>
  <c r="J380" i="18"/>
  <c r="C380" i="6" s="1"/>
  <c r="I380" i="18"/>
  <c r="G13" i="19"/>
  <c r="AB9" i="16"/>
  <c r="F11" i="16"/>
  <c r="J379" i="16"/>
  <c r="I379" i="16"/>
  <c r="Z379" i="16"/>
  <c r="AA9" i="16"/>
  <c r="AL10" i="16"/>
  <c r="AM8" i="16"/>
  <c r="AA382" i="16"/>
  <c r="AA381" i="16"/>
  <c r="AA383" i="16"/>
  <c r="H117" i="18"/>
  <c r="H237" i="18"/>
  <c r="H325" i="18"/>
  <c r="H357" i="18"/>
  <c r="J343" i="18"/>
  <c r="C343" i="6" s="1"/>
  <c r="I343" i="18"/>
  <c r="B343" i="6" s="1"/>
  <c r="BA343" i="6" s="1"/>
  <c r="D343" i="6" s="1"/>
  <c r="H361" i="18"/>
  <c r="H184" i="18"/>
  <c r="H218" i="18"/>
  <c r="H226" i="18"/>
  <c r="H234" i="18"/>
  <c r="H242" i="18"/>
  <c r="H260" i="18"/>
  <c r="I260" i="18" s="1"/>
  <c r="B260" i="6" s="1"/>
  <c r="BA260" i="6" s="1"/>
  <c r="D260" i="6" s="1"/>
  <c r="H282" i="18"/>
  <c r="H286" i="18"/>
  <c r="H290" i="18"/>
  <c r="H304" i="18"/>
  <c r="AA50" i="18"/>
  <c r="Z50" i="18" s="1"/>
  <c r="Y50" i="18" s="1"/>
  <c r="G50" i="18"/>
  <c r="CA50" i="6" s="1"/>
  <c r="H76" i="18"/>
  <c r="H112" i="18"/>
  <c r="AG17" i="20"/>
  <c r="AF17" i="20" s="1"/>
  <c r="AD17" i="20" s="1"/>
  <c r="AG19" i="20"/>
  <c r="AF19" i="20" s="1"/>
  <c r="AD19" i="20" s="1"/>
  <c r="AG21" i="20"/>
  <c r="AF21" i="20" s="1"/>
  <c r="AD21" i="20" s="1"/>
  <c r="AG23" i="20"/>
  <c r="AF23" i="20" s="1"/>
  <c r="AD23" i="20" s="1"/>
  <c r="AG27" i="20"/>
  <c r="AF27" i="20" s="1"/>
  <c r="AD27" i="20" s="1"/>
  <c r="AG31" i="20"/>
  <c r="AF31" i="20" s="1"/>
  <c r="AD31" i="20" s="1"/>
  <c r="AG41" i="20"/>
  <c r="AF41" i="20" s="1"/>
  <c r="AD41" i="20" s="1"/>
  <c r="AG45" i="20"/>
  <c r="AF45" i="20" s="1"/>
  <c r="AD45" i="20" s="1"/>
  <c r="AG51" i="20"/>
  <c r="AF51" i="20" s="1"/>
  <c r="AD51" i="20" s="1"/>
  <c r="AG57" i="20"/>
  <c r="AF57" i="20" s="1"/>
  <c r="AD57" i="20" s="1"/>
  <c r="AG59" i="20"/>
  <c r="AF59" i="20" s="1"/>
  <c r="AD59" i="20" s="1"/>
  <c r="AG67" i="20"/>
  <c r="AF67" i="20" s="1"/>
  <c r="AD67" i="20" s="1"/>
  <c r="AG73" i="20"/>
  <c r="AF73" i="20" s="1"/>
  <c r="AD73" i="20" s="1"/>
  <c r="AG81" i="20"/>
  <c r="AF81" i="20" s="1"/>
  <c r="AD81" i="20" s="1"/>
  <c r="AG85" i="20"/>
  <c r="AF85" i="20" s="1"/>
  <c r="AD85" i="20" s="1"/>
  <c r="AG121" i="20"/>
  <c r="AF121" i="20" s="1"/>
  <c r="AD121" i="20" s="1"/>
  <c r="AG167" i="20"/>
  <c r="AF167" i="20" s="1"/>
  <c r="AD167" i="20" s="1"/>
  <c r="AG193" i="20"/>
  <c r="AF193" i="20" s="1"/>
  <c r="AD193" i="20" s="1"/>
  <c r="AG205" i="20"/>
  <c r="AF205" i="20" s="1"/>
  <c r="AD205" i="20" s="1"/>
  <c r="AG277" i="20"/>
  <c r="AF277" i="20" s="1"/>
  <c r="AD277" i="20" s="1"/>
  <c r="AG315" i="20"/>
  <c r="AF315" i="20" s="1"/>
  <c r="AD315" i="20" s="1"/>
  <c r="AG351" i="20"/>
  <c r="AF351" i="20" s="1"/>
  <c r="AD351" i="20" s="1"/>
  <c r="AG373" i="20"/>
  <c r="AF373" i="20" s="1"/>
  <c r="AD373" i="20" s="1"/>
  <c r="G94" i="18"/>
  <c r="CA94" i="6" s="1"/>
  <c r="AA94" i="18"/>
  <c r="Z94" i="18" s="1"/>
  <c r="Y94" i="18" s="1"/>
  <c r="H110" i="18"/>
  <c r="H130" i="18"/>
  <c r="AF382" i="18"/>
  <c r="AF381" i="18"/>
  <c r="AF383" i="18"/>
  <c r="AD15" i="18"/>
  <c r="H17" i="18"/>
  <c r="AA45" i="18"/>
  <c r="Z45" i="18" s="1"/>
  <c r="Y45" i="18" s="1"/>
  <c r="G45" i="18"/>
  <c r="CA45" i="6" s="1"/>
  <c r="AA57" i="18"/>
  <c r="Z57" i="18" s="1"/>
  <c r="Y57" i="18" s="1"/>
  <c r="G57" i="18"/>
  <c r="CA57" i="6" s="1"/>
  <c r="G69" i="18"/>
  <c r="CA69" i="6" s="1"/>
  <c r="AA69" i="18"/>
  <c r="Z69" i="18" s="1"/>
  <c r="Y69" i="18" s="1"/>
  <c r="H93" i="18"/>
  <c r="H101" i="18"/>
  <c r="AA109" i="18"/>
  <c r="Z109" i="18" s="1"/>
  <c r="Y109" i="18" s="1"/>
  <c r="G109" i="18"/>
  <c r="CA109" i="6" s="1"/>
  <c r="H129" i="18"/>
  <c r="H137" i="18"/>
  <c r="H345" i="18"/>
  <c r="H39" i="18"/>
  <c r="H79" i="18"/>
  <c r="H91" i="18"/>
  <c r="H127" i="18"/>
  <c r="H143" i="18"/>
  <c r="H151" i="18"/>
  <c r="H159" i="18"/>
  <c r="H175" i="18"/>
  <c r="H183" i="18"/>
  <c r="H191" i="18"/>
  <c r="H247" i="18"/>
  <c r="H255" i="18"/>
  <c r="H275" i="18"/>
  <c r="I339" i="18"/>
  <c r="B339" i="6" s="1"/>
  <c r="BA339" i="6" s="1"/>
  <c r="D339" i="6" s="1"/>
  <c r="J339" i="18"/>
  <c r="C339" i="6" s="1"/>
  <c r="I351" i="18"/>
  <c r="B351" i="6" s="1"/>
  <c r="BA351" i="6" s="1"/>
  <c r="J351" i="18"/>
  <c r="C351" i="6" s="1"/>
  <c r="AA267" i="18"/>
  <c r="Z267" i="18" s="1"/>
  <c r="Y267" i="18" s="1"/>
  <c r="G267" i="18"/>
  <c r="CA267" i="6" s="1"/>
  <c r="G277" i="18"/>
  <c r="CA277" i="6" s="1"/>
  <c r="AA277" i="18"/>
  <c r="Z277" i="18" s="1"/>
  <c r="Y277" i="18" s="1"/>
  <c r="G285" i="18"/>
  <c r="CA285" i="6" s="1"/>
  <c r="AA285" i="18"/>
  <c r="Z285" i="18" s="1"/>
  <c r="Y285" i="18" s="1"/>
  <c r="G289" i="18"/>
  <c r="CA289" i="6" s="1"/>
  <c r="AA289" i="18"/>
  <c r="Z289" i="18" s="1"/>
  <c r="Y289" i="18" s="1"/>
  <c r="G313" i="18"/>
  <c r="CA313" i="6" s="1"/>
  <c r="AA313" i="18"/>
  <c r="Z313" i="18" s="1"/>
  <c r="Y313" i="18" s="1"/>
  <c r="AA317" i="18"/>
  <c r="Z317" i="18" s="1"/>
  <c r="Y317" i="18" s="1"/>
  <c r="G317" i="18"/>
  <c r="CA317" i="6" s="1"/>
  <c r="AA323" i="18"/>
  <c r="Z323" i="18" s="1"/>
  <c r="Y323" i="18" s="1"/>
  <c r="G323" i="18"/>
  <c r="CA323" i="6" s="1"/>
  <c r="G327" i="18"/>
  <c r="CA327" i="6" s="1"/>
  <c r="AA327" i="18"/>
  <c r="Z327" i="18" s="1"/>
  <c r="Y327" i="18" s="1"/>
  <c r="AA331" i="18"/>
  <c r="Z331" i="18" s="1"/>
  <c r="Y331" i="18" s="1"/>
  <c r="G331" i="18"/>
  <c r="CA331" i="6" s="1"/>
  <c r="G339" i="18"/>
  <c r="CA339" i="6" s="1"/>
  <c r="AA339" i="18"/>
  <c r="Z339" i="18" s="1"/>
  <c r="Y339" i="18" s="1"/>
  <c r="G343" i="18"/>
  <c r="CA343" i="6" s="1"/>
  <c r="AA343" i="18"/>
  <c r="Z343" i="18" s="1"/>
  <c r="Y343" i="18" s="1"/>
  <c r="W363" i="18"/>
  <c r="D363" i="18"/>
  <c r="E363" i="18" s="1"/>
  <c r="F363" i="18" s="1"/>
  <c r="H363" i="18" s="1"/>
  <c r="AA367" i="18"/>
  <c r="Z367" i="18" s="1"/>
  <c r="Y367" i="18" s="1"/>
  <c r="G367" i="18"/>
  <c r="CA367" i="6" s="1"/>
  <c r="AA375" i="18"/>
  <c r="Z375" i="18" s="1"/>
  <c r="Y375" i="18" s="1"/>
  <c r="G375" i="18"/>
  <c r="CA375" i="6" s="1"/>
  <c r="AG34" i="20"/>
  <c r="AF34" i="20" s="1"/>
  <c r="AD34" i="20" s="1"/>
  <c r="AG38" i="20"/>
  <c r="AF38" i="20" s="1"/>
  <c r="AD38" i="20" s="1"/>
  <c r="AG42" i="20"/>
  <c r="AF42" i="20" s="1"/>
  <c r="AD42" i="20" s="1"/>
  <c r="AG46" i="20"/>
  <c r="AF46" i="20" s="1"/>
  <c r="AD46" i="20" s="1"/>
  <c r="AG54" i="20"/>
  <c r="AF54" i="20" s="1"/>
  <c r="AD54" i="20" s="1"/>
  <c r="AG62" i="20"/>
  <c r="AF62" i="20" s="1"/>
  <c r="AD62" i="20" s="1"/>
  <c r="AG72" i="20"/>
  <c r="AF72" i="20" s="1"/>
  <c r="AD72" i="20" s="1"/>
  <c r="AG76" i="20"/>
  <c r="AF76" i="20" s="1"/>
  <c r="AD76" i="20" s="1"/>
  <c r="AG80" i="20"/>
  <c r="AF80" i="20" s="1"/>
  <c r="AD80" i="20" s="1"/>
  <c r="AG84" i="20"/>
  <c r="AF84" i="20" s="1"/>
  <c r="AD84" i="20" s="1"/>
  <c r="AG88" i="20"/>
  <c r="AF88" i="20" s="1"/>
  <c r="AD88" i="20" s="1"/>
  <c r="AG96" i="20"/>
  <c r="AF96" i="20" s="1"/>
  <c r="AD96" i="20" s="1"/>
  <c r="AG100" i="20"/>
  <c r="AF100" i="20" s="1"/>
  <c r="AD100" i="20" s="1"/>
  <c r="AG124" i="20"/>
  <c r="AF124" i="20" s="1"/>
  <c r="AD124" i="20" s="1"/>
  <c r="AG148" i="20"/>
  <c r="AF148" i="20" s="1"/>
  <c r="AD148" i="20" s="1"/>
  <c r="AG164" i="20"/>
  <c r="AF164" i="20" s="1"/>
  <c r="AD164" i="20" s="1"/>
  <c r="AG188" i="20"/>
  <c r="AF188" i="20" s="1"/>
  <c r="AD188" i="20" s="1"/>
  <c r="AG204" i="20"/>
  <c r="AF204" i="20" s="1"/>
  <c r="AD204" i="20" s="1"/>
  <c r="AG220" i="20"/>
  <c r="AF220" i="20" s="1"/>
  <c r="AD220" i="20" s="1"/>
  <c r="AG236" i="20"/>
  <c r="AF236" i="20" s="1"/>
  <c r="AD236" i="20" s="1"/>
  <c r="AG264" i="20"/>
  <c r="AF264" i="20" s="1"/>
  <c r="AD264" i="20" s="1"/>
  <c r="AG276" i="20"/>
  <c r="AF276" i="20" s="1"/>
  <c r="AD276" i="20" s="1"/>
  <c r="AG292" i="20"/>
  <c r="AF292" i="20" s="1"/>
  <c r="AD292" i="20" s="1"/>
  <c r="AG308" i="20"/>
  <c r="AF308" i="20" s="1"/>
  <c r="AD308" i="20" s="1"/>
  <c r="AG316" i="20"/>
  <c r="AF316" i="20" s="1"/>
  <c r="AD316" i="20" s="1"/>
  <c r="AG324" i="20"/>
  <c r="AF324" i="20" s="1"/>
  <c r="AD324" i="20" s="1"/>
  <c r="AG346" i="20"/>
  <c r="AF346" i="20" s="1"/>
  <c r="AD346" i="20" s="1"/>
  <c r="AG362" i="20"/>
  <c r="AF362" i="20" s="1"/>
  <c r="AD362" i="20" s="1"/>
  <c r="AG370" i="20"/>
  <c r="AF370" i="20" s="1"/>
  <c r="AD370" i="20" s="1"/>
  <c r="AG374" i="20"/>
  <c r="AF374" i="20" s="1"/>
  <c r="AD374" i="20" s="1"/>
  <c r="AG378" i="20"/>
  <c r="AF378" i="20" s="1"/>
  <c r="AD378" i="20" s="1"/>
  <c r="H134" i="18"/>
  <c r="G77" i="18"/>
  <c r="CA77" i="6" s="1"/>
  <c r="AA77" i="18"/>
  <c r="Z77" i="18" s="1"/>
  <c r="Y77" i="18" s="1"/>
  <c r="I89" i="18"/>
  <c r="B89" i="6" s="1"/>
  <c r="BA89" i="6" s="1"/>
  <c r="D89" i="6" s="1"/>
  <c r="J89" i="18"/>
  <c r="C89" i="6" s="1"/>
  <c r="I97" i="18"/>
  <c r="B97" i="6" s="1"/>
  <c r="BA97" i="6" s="1"/>
  <c r="D97" i="6" s="1"/>
  <c r="J97" i="18"/>
  <c r="C97" i="6" s="1"/>
  <c r="H125" i="18"/>
  <c r="H205" i="18"/>
  <c r="J43" i="18"/>
  <c r="C43" i="6" s="1"/>
  <c r="I43" i="18"/>
  <c r="B43" i="6" s="1"/>
  <c r="BA43" i="6" s="1"/>
  <c r="H67" i="18"/>
  <c r="H139" i="18"/>
  <c r="H251" i="18"/>
  <c r="H331" i="18"/>
  <c r="H347" i="18"/>
  <c r="G56" i="18"/>
  <c r="CA56" i="6" s="1"/>
  <c r="AA56" i="18"/>
  <c r="Z56" i="18" s="1"/>
  <c r="Y56" i="18" s="1"/>
  <c r="AA66" i="18"/>
  <c r="Z66" i="18" s="1"/>
  <c r="Y66" i="18" s="1"/>
  <c r="G66" i="18"/>
  <c r="CA66" i="6" s="1"/>
  <c r="G70" i="18"/>
  <c r="CA70" i="6" s="1"/>
  <c r="AA70" i="18"/>
  <c r="Z70" i="18" s="1"/>
  <c r="Y70" i="18" s="1"/>
  <c r="G72" i="18"/>
  <c r="CA72" i="6" s="1"/>
  <c r="AA72" i="18"/>
  <c r="Z72" i="18" s="1"/>
  <c r="Y72" i="18" s="1"/>
  <c r="AA78" i="18"/>
  <c r="Z78" i="18" s="1"/>
  <c r="Y78" i="18" s="1"/>
  <c r="G78" i="18"/>
  <c r="CA78" i="6" s="1"/>
  <c r="G82" i="18"/>
  <c r="CA82" i="6" s="1"/>
  <c r="AA82" i="18"/>
  <c r="Z82" i="18" s="1"/>
  <c r="Y82" i="18" s="1"/>
  <c r="G118" i="18"/>
  <c r="CA118" i="6" s="1"/>
  <c r="AA118" i="18"/>
  <c r="Z118" i="18" s="1"/>
  <c r="Y118" i="18" s="1"/>
  <c r="AA122" i="18"/>
  <c r="Z122" i="18" s="1"/>
  <c r="Y122" i="18" s="1"/>
  <c r="G122" i="18"/>
  <c r="CA122" i="6" s="1"/>
  <c r="AA23" i="18"/>
  <c r="Z23" i="18" s="1"/>
  <c r="Y23" i="18" s="1"/>
  <c r="G23" i="18"/>
  <c r="CA23" i="6" s="1"/>
  <c r="AA35" i="18"/>
  <c r="Z35" i="18" s="1"/>
  <c r="Y35" i="18" s="1"/>
  <c r="G35" i="18"/>
  <c r="CA35" i="6" s="1"/>
  <c r="AA43" i="18"/>
  <c r="Z43" i="18" s="1"/>
  <c r="Y43" i="18" s="1"/>
  <c r="G43" i="18"/>
  <c r="CA43" i="6" s="1"/>
  <c r="G51" i="18"/>
  <c r="CA51" i="6" s="1"/>
  <c r="AA51" i="18"/>
  <c r="Z51" i="18" s="1"/>
  <c r="Y51" i="18" s="1"/>
  <c r="G121" i="18"/>
  <c r="CA121" i="6" s="1"/>
  <c r="AA121" i="18"/>
  <c r="Z121" i="18" s="1"/>
  <c r="Y121" i="18" s="1"/>
  <c r="AA123" i="18"/>
  <c r="Z123" i="18" s="1"/>
  <c r="Y123" i="18" s="1"/>
  <c r="G123" i="18"/>
  <c r="CA123" i="6" s="1"/>
  <c r="S379" i="20" l="1"/>
  <c r="R379" i="20" s="1"/>
  <c r="P379" i="20" s="1"/>
  <c r="T383" i="20"/>
  <c r="U31" i="22"/>
  <c r="U372" i="22"/>
  <c r="U356" i="22"/>
  <c r="T356" i="22" s="1"/>
  <c r="U340" i="22"/>
  <c r="U324" i="22"/>
  <c r="T324" i="22" s="1"/>
  <c r="U308" i="22"/>
  <c r="U292" i="22"/>
  <c r="T292" i="22" s="1"/>
  <c r="U276" i="22"/>
  <c r="U260" i="22"/>
  <c r="T260" i="22" s="1"/>
  <c r="U244" i="22"/>
  <c r="U212" i="22"/>
  <c r="T212" i="22" s="1"/>
  <c r="U175" i="22"/>
  <c r="U111" i="22"/>
  <c r="U47" i="22"/>
  <c r="U376" i="22"/>
  <c r="T376" i="22" s="1"/>
  <c r="U368" i="22"/>
  <c r="U360" i="22"/>
  <c r="T360" i="22" s="1"/>
  <c r="U352" i="22"/>
  <c r="U344" i="22"/>
  <c r="T344" i="22" s="1"/>
  <c r="U336" i="22"/>
  <c r="U328" i="22"/>
  <c r="T328" i="22" s="1"/>
  <c r="U320" i="22"/>
  <c r="U312" i="22"/>
  <c r="T312" i="22" s="1"/>
  <c r="U304" i="22"/>
  <c r="U296" i="22"/>
  <c r="T296" i="22" s="1"/>
  <c r="U288" i="22"/>
  <c r="U280" i="22"/>
  <c r="T280" i="22" s="1"/>
  <c r="U272" i="22"/>
  <c r="U264" i="22"/>
  <c r="T264" i="22" s="1"/>
  <c r="U256" i="22"/>
  <c r="U248" i="22"/>
  <c r="T248" i="22" s="1"/>
  <c r="U236" i="22"/>
  <c r="U220" i="22"/>
  <c r="T220" i="22" s="1"/>
  <c r="U204" i="22"/>
  <c r="U188" i="22"/>
  <c r="T188" i="22" s="1"/>
  <c r="U159" i="22"/>
  <c r="U127" i="22"/>
  <c r="U95" i="22"/>
  <c r="U63" i="22"/>
  <c r="U15" i="22"/>
  <c r="J37" i="19"/>
  <c r="U240" i="22"/>
  <c r="U232" i="22"/>
  <c r="T232" i="22" s="1"/>
  <c r="U224" i="22"/>
  <c r="U216" i="22"/>
  <c r="T216" i="22" s="1"/>
  <c r="U208" i="22"/>
  <c r="U200" i="22"/>
  <c r="T200" i="22" s="1"/>
  <c r="U192" i="22"/>
  <c r="U183" i="22"/>
  <c r="T183" i="22" s="1"/>
  <c r="U167" i="22"/>
  <c r="U151" i="22"/>
  <c r="T151" i="22" s="1"/>
  <c r="U135" i="22"/>
  <c r="U119" i="22"/>
  <c r="T119" i="22" s="1"/>
  <c r="U103" i="22"/>
  <c r="U87" i="22"/>
  <c r="T87" i="22" s="1"/>
  <c r="U71" i="22"/>
  <c r="U55" i="22"/>
  <c r="T55" i="22" s="1"/>
  <c r="U39" i="22"/>
  <c r="U23" i="22"/>
  <c r="T23" i="22" s="1"/>
  <c r="G379" i="18"/>
  <c r="CA379" i="6" s="1"/>
  <c r="J82" i="18"/>
  <c r="C82" i="6" s="1"/>
  <c r="J66" i="18"/>
  <c r="C66" i="6" s="1"/>
  <c r="J121" i="18"/>
  <c r="C121" i="6" s="1"/>
  <c r="I77" i="18"/>
  <c r="B77" i="6" s="1"/>
  <c r="BA77" i="6" s="1"/>
  <c r="D77" i="6" s="1"/>
  <c r="J182" i="18"/>
  <c r="C182" i="6" s="1"/>
  <c r="I115" i="18"/>
  <c r="B115" i="6" s="1"/>
  <c r="BA115" i="6" s="1"/>
  <c r="D115" i="6" s="1"/>
  <c r="D13" i="19"/>
  <c r="G37" i="19"/>
  <c r="V379" i="20"/>
  <c r="D40" i="19"/>
  <c r="I70" i="18"/>
  <c r="B70" i="6" s="1"/>
  <c r="BA70" i="6" s="1"/>
  <c r="D70" i="6" s="1"/>
  <c r="J23" i="18"/>
  <c r="C23" i="6" s="1"/>
  <c r="I122" i="18"/>
  <c r="B122" i="6" s="1"/>
  <c r="BA122" i="6" s="1"/>
  <c r="D122" i="6" s="1"/>
  <c r="AH104" i="20"/>
  <c r="AI383" i="20"/>
  <c r="AI381" i="20"/>
  <c r="AI382" i="20"/>
  <c r="AH379" i="20"/>
  <c r="AG379" i="20" s="1"/>
  <c r="AF379" i="20" s="1"/>
  <c r="AD379" i="20" s="1"/>
  <c r="AI12" i="22"/>
  <c r="Q360" i="22"/>
  <c r="Q240" i="22"/>
  <c r="Q304" i="22"/>
  <c r="Q176" i="22"/>
  <c r="U378" i="22"/>
  <c r="U374" i="22"/>
  <c r="U370" i="22"/>
  <c r="U366" i="22"/>
  <c r="U362" i="22"/>
  <c r="U358" i="22"/>
  <c r="U354" i="22"/>
  <c r="U350" i="22"/>
  <c r="U346" i="22"/>
  <c r="U342" i="22"/>
  <c r="U338" i="22"/>
  <c r="U334" i="22"/>
  <c r="U330" i="22"/>
  <c r="U326" i="22"/>
  <c r="U322" i="22"/>
  <c r="U318" i="22"/>
  <c r="U314" i="22"/>
  <c r="U310" i="22"/>
  <c r="U306" i="22"/>
  <c r="U302" i="22"/>
  <c r="U298" i="22"/>
  <c r="U294" i="22"/>
  <c r="U290" i="22"/>
  <c r="U286" i="22"/>
  <c r="U282" i="22"/>
  <c r="U278" i="22"/>
  <c r="U274" i="22"/>
  <c r="U270" i="22"/>
  <c r="U266" i="22"/>
  <c r="U262" i="22"/>
  <c r="U258" i="22"/>
  <c r="U254" i="22"/>
  <c r="U250" i="22"/>
  <c r="U246" i="22"/>
  <c r="U242" i="22"/>
  <c r="U238" i="22"/>
  <c r="U234" i="22"/>
  <c r="U230" i="22"/>
  <c r="U226" i="22"/>
  <c r="U222" i="22"/>
  <c r="U218" i="22"/>
  <c r="U214" i="22"/>
  <c r="U210" i="22"/>
  <c r="U206" i="22"/>
  <c r="U202" i="22"/>
  <c r="U198" i="22"/>
  <c r="U194" i="22"/>
  <c r="U190" i="22"/>
  <c r="U186" i="22"/>
  <c r="U179" i="22"/>
  <c r="U171" i="22"/>
  <c r="U163" i="22"/>
  <c r="U155" i="22"/>
  <c r="U147" i="22"/>
  <c r="U139" i="22"/>
  <c r="U131" i="22"/>
  <c r="U123" i="22"/>
  <c r="U115" i="22"/>
  <c r="U107" i="22"/>
  <c r="U99" i="22"/>
  <c r="U91" i="22"/>
  <c r="U83" i="22"/>
  <c r="U75" i="22"/>
  <c r="U67" i="22"/>
  <c r="U59" i="22"/>
  <c r="U51" i="22"/>
  <c r="U43" i="22"/>
  <c r="U35" i="22"/>
  <c r="U27" i="22"/>
  <c r="AO16" i="7"/>
  <c r="U19" i="22"/>
  <c r="U17" i="22"/>
  <c r="U20" i="22"/>
  <c r="U22" i="22"/>
  <c r="U24" i="22"/>
  <c r="U26" i="22"/>
  <c r="U28" i="22"/>
  <c r="U30" i="22"/>
  <c r="U32" i="22"/>
  <c r="U34" i="22"/>
  <c r="U36" i="22"/>
  <c r="U38" i="22"/>
  <c r="U40" i="22"/>
  <c r="U42" i="22"/>
  <c r="U44" i="22"/>
  <c r="U46" i="22"/>
  <c r="U48" i="22"/>
  <c r="U50" i="22"/>
  <c r="U52" i="22"/>
  <c r="U54" i="22"/>
  <c r="U56" i="22"/>
  <c r="U58" i="22"/>
  <c r="U60" i="22"/>
  <c r="U62" i="22"/>
  <c r="U64" i="22"/>
  <c r="U66" i="22"/>
  <c r="U68" i="22"/>
  <c r="U70" i="22"/>
  <c r="U72" i="22"/>
  <c r="U74" i="22"/>
  <c r="U76" i="22"/>
  <c r="U78" i="22"/>
  <c r="U80" i="22"/>
  <c r="U82" i="22"/>
  <c r="U84" i="22"/>
  <c r="U86" i="22"/>
  <c r="U88" i="22"/>
  <c r="U90" i="22"/>
  <c r="U92" i="22"/>
  <c r="U94" i="22"/>
  <c r="U96" i="22"/>
  <c r="U98" i="22"/>
  <c r="U100" i="22"/>
  <c r="U102" i="22"/>
  <c r="U104" i="22"/>
  <c r="U106" i="22"/>
  <c r="U108" i="22"/>
  <c r="U110" i="22"/>
  <c r="U112" i="22"/>
  <c r="U114" i="22"/>
  <c r="U116" i="22"/>
  <c r="U118" i="22"/>
  <c r="U120" i="22"/>
  <c r="U122" i="22"/>
  <c r="U124" i="22"/>
  <c r="U126" i="22"/>
  <c r="U128" i="22"/>
  <c r="U130" i="22"/>
  <c r="U132" i="22"/>
  <c r="U134" i="22"/>
  <c r="U136" i="22"/>
  <c r="U138" i="22"/>
  <c r="U140" i="22"/>
  <c r="U142" i="22"/>
  <c r="U144" i="22"/>
  <c r="U146" i="22"/>
  <c r="U148" i="22"/>
  <c r="U150" i="22"/>
  <c r="U152" i="22"/>
  <c r="U154" i="22"/>
  <c r="U156" i="22"/>
  <c r="U158" i="22"/>
  <c r="U160" i="22"/>
  <c r="U162" i="22"/>
  <c r="U164" i="22"/>
  <c r="U166" i="22"/>
  <c r="U168" i="22"/>
  <c r="U170" i="22"/>
  <c r="U172" i="22"/>
  <c r="U174" i="22"/>
  <c r="U176" i="22"/>
  <c r="U178" i="22"/>
  <c r="U180" i="22"/>
  <c r="U182" i="22"/>
  <c r="U184" i="22"/>
  <c r="U16" i="22"/>
  <c r="U21" i="22"/>
  <c r="U25" i="22"/>
  <c r="T25" i="22" s="1"/>
  <c r="U29" i="22"/>
  <c r="U33" i="22"/>
  <c r="T33" i="22" s="1"/>
  <c r="U37" i="22"/>
  <c r="U41" i="22"/>
  <c r="T41" i="22" s="1"/>
  <c r="U45" i="22"/>
  <c r="U49" i="22"/>
  <c r="T49" i="22" s="1"/>
  <c r="U53" i="22"/>
  <c r="U57" i="22"/>
  <c r="T57" i="22" s="1"/>
  <c r="U61" i="22"/>
  <c r="U65" i="22"/>
  <c r="T65" i="22" s="1"/>
  <c r="U69" i="22"/>
  <c r="U73" i="22"/>
  <c r="T73" i="22" s="1"/>
  <c r="U77" i="22"/>
  <c r="U81" i="22"/>
  <c r="T81" i="22" s="1"/>
  <c r="U85" i="22"/>
  <c r="U89" i="22"/>
  <c r="T89" i="22" s="1"/>
  <c r="U93" i="22"/>
  <c r="U97" i="22"/>
  <c r="T97" i="22" s="1"/>
  <c r="U101" i="22"/>
  <c r="U105" i="22"/>
  <c r="T105" i="22" s="1"/>
  <c r="U109" i="22"/>
  <c r="U113" i="22"/>
  <c r="T113" i="22" s="1"/>
  <c r="U117" i="22"/>
  <c r="U121" i="22"/>
  <c r="T121" i="22" s="1"/>
  <c r="U125" i="22"/>
  <c r="U129" i="22"/>
  <c r="T129" i="22" s="1"/>
  <c r="U133" i="22"/>
  <c r="U137" i="22"/>
  <c r="T137" i="22" s="1"/>
  <c r="U141" i="22"/>
  <c r="U145" i="22"/>
  <c r="T145" i="22" s="1"/>
  <c r="U149" i="22"/>
  <c r="U153" i="22"/>
  <c r="T153" i="22" s="1"/>
  <c r="U157" i="22"/>
  <c r="U161" i="22"/>
  <c r="T161" i="22" s="1"/>
  <c r="U165" i="22"/>
  <c r="U169" i="22"/>
  <c r="T169" i="22" s="1"/>
  <c r="U173" i="22"/>
  <c r="U177" i="22"/>
  <c r="T177" i="22" s="1"/>
  <c r="U181" i="22"/>
  <c r="U185" i="22"/>
  <c r="T185" i="22" s="1"/>
  <c r="U187" i="22"/>
  <c r="U189" i="22"/>
  <c r="T189" i="22" s="1"/>
  <c r="U191" i="22"/>
  <c r="U193" i="22"/>
  <c r="T193" i="22" s="1"/>
  <c r="U195" i="22"/>
  <c r="U197" i="22"/>
  <c r="T197" i="22" s="1"/>
  <c r="U199" i="22"/>
  <c r="U201" i="22"/>
  <c r="T201" i="22" s="1"/>
  <c r="U203" i="22"/>
  <c r="U205" i="22"/>
  <c r="T205" i="22" s="1"/>
  <c r="U207" i="22"/>
  <c r="U209" i="22"/>
  <c r="T209" i="22" s="1"/>
  <c r="U211" i="22"/>
  <c r="U213" i="22"/>
  <c r="T213" i="22" s="1"/>
  <c r="U215" i="22"/>
  <c r="U217" i="22"/>
  <c r="T217" i="22" s="1"/>
  <c r="U219" i="22"/>
  <c r="U221" i="22"/>
  <c r="T221" i="22" s="1"/>
  <c r="U223" i="22"/>
  <c r="U225" i="22"/>
  <c r="T225" i="22" s="1"/>
  <c r="U227" i="22"/>
  <c r="U229" i="22"/>
  <c r="T229" i="22" s="1"/>
  <c r="U231" i="22"/>
  <c r="U233" i="22"/>
  <c r="T233" i="22" s="1"/>
  <c r="U235" i="22"/>
  <c r="U237" i="22"/>
  <c r="T237" i="22" s="1"/>
  <c r="U239" i="22"/>
  <c r="U241" i="22"/>
  <c r="T241" i="22" s="1"/>
  <c r="U243" i="22"/>
  <c r="U245" i="22"/>
  <c r="T245" i="22" s="1"/>
  <c r="U247" i="22"/>
  <c r="U249" i="22"/>
  <c r="T249" i="22" s="1"/>
  <c r="U251" i="22"/>
  <c r="U253" i="22"/>
  <c r="T253" i="22" s="1"/>
  <c r="U255" i="22"/>
  <c r="U257" i="22"/>
  <c r="T257" i="22" s="1"/>
  <c r="U259" i="22"/>
  <c r="U261" i="22"/>
  <c r="T261" i="22" s="1"/>
  <c r="U263" i="22"/>
  <c r="U265" i="22"/>
  <c r="T265" i="22" s="1"/>
  <c r="U267" i="22"/>
  <c r="U269" i="22"/>
  <c r="T269" i="22" s="1"/>
  <c r="U271" i="22"/>
  <c r="U273" i="22"/>
  <c r="T273" i="22" s="1"/>
  <c r="U275" i="22"/>
  <c r="U277" i="22"/>
  <c r="T277" i="22" s="1"/>
  <c r="U279" i="22"/>
  <c r="U281" i="22"/>
  <c r="T281" i="22" s="1"/>
  <c r="U283" i="22"/>
  <c r="U285" i="22"/>
  <c r="T285" i="22" s="1"/>
  <c r="U287" i="22"/>
  <c r="U289" i="22"/>
  <c r="T289" i="22" s="1"/>
  <c r="U291" i="22"/>
  <c r="U293" i="22"/>
  <c r="T293" i="22" s="1"/>
  <c r="U295" i="22"/>
  <c r="U297" i="22"/>
  <c r="T297" i="22" s="1"/>
  <c r="U299" i="22"/>
  <c r="U301" i="22"/>
  <c r="T301" i="22" s="1"/>
  <c r="U303" i="22"/>
  <c r="U305" i="22"/>
  <c r="T305" i="22" s="1"/>
  <c r="U307" i="22"/>
  <c r="U309" i="22"/>
  <c r="T309" i="22" s="1"/>
  <c r="U311" i="22"/>
  <c r="U313" i="22"/>
  <c r="T313" i="22" s="1"/>
  <c r="U315" i="22"/>
  <c r="U317" i="22"/>
  <c r="T317" i="22" s="1"/>
  <c r="U319" i="22"/>
  <c r="U321" i="22"/>
  <c r="T321" i="22" s="1"/>
  <c r="U323" i="22"/>
  <c r="U325" i="22"/>
  <c r="T325" i="22" s="1"/>
  <c r="U327" i="22"/>
  <c r="U329" i="22"/>
  <c r="T329" i="22" s="1"/>
  <c r="U331" i="22"/>
  <c r="U333" i="22"/>
  <c r="T333" i="22" s="1"/>
  <c r="U335" i="22"/>
  <c r="U337" i="22"/>
  <c r="T337" i="22" s="1"/>
  <c r="U339" i="22"/>
  <c r="U341" i="22"/>
  <c r="T341" i="22" s="1"/>
  <c r="U343" i="22"/>
  <c r="U345" i="22"/>
  <c r="T345" i="22" s="1"/>
  <c r="U347" i="22"/>
  <c r="U349" i="22"/>
  <c r="T349" i="22" s="1"/>
  <c r="U351" i="22"/>
  <c r="U353" i="22"/>
  <c r="T353" i="22" s="1"/>
  <c r="U355" i="22"/>
  <c r="U357" i="22"/>
  <c r="T357" i="22" s="1"/>
  <c r="U359" i="22"/>
  <c r="U361" i="22"/>
  <c r="T361" i="22" s="1"/>
  <c r="U363" i="22"/>
  <c r="U365" i="22"/>
  <c r="T365" i="22" s="1"/>
  <c r="U367" i="22"/>
  <c r="U369" i="22"/>
  <c r="T369" i="22" s="1"/>
  <c r="U371" i="22"/>
  <c r="U373" i="22"/>
  <c r="T373" i="22" s="1"/>
  <c r="U375" i="22"/>
  <c r="U377" i="22"/>
  <c r="T377" i="22" s="1"/>
  <c r="U379" i="22"/>
  <c r="AI20" i="22"/>
  <c r="AI28" i="22"/>
  <c r="AI36" i="22"/>
  <c r="AI44" i="22"/>
  <c r="AI52" i="22"/>
  <c r="AI60" i="22"/>
  <c r="AI68" i="22"/>
  <c r="Q376" i="22"/>
  <c r="Q336" i="22"/>
  <c r="Q272" i="22"/>
  <c r="Q208" i="22"/>
  <c r="Q144" i="22"/>
  <c r="Q368" i="22"/>
  <c r="Q352" i="22"/>
  <c r="Q320" i="22"/>
  <c r="Q288" i="22"/>
  <c r="Q256" i="22"/>
  <c r="Q224" i="22"/>
  <c r="Q192" i="22"/>
  <c r="Q160" i="22"/>
  <c r="Q122" i="22"/>
  <c r="J186" i="18"/>
  <c r="C186" i="6" s="1"/>
  <c r="I158" i="18"/>
  <c r="B158" i="6" s="1"/>
  <c r="BA158" i="6" s="1"/>
  <c r="D158" i="6" s="1"/>
  <c r="I329" i="18"/>
  <c r="B329" i="6" s="1"/>
  <c r="BA329" i="6" s="1"/>
  <c r="D329" i="6" s="1"/>
  <c r="I164" i="18"/>
  <c r="B164" i="6" s="1"/>
  <c r="BA164" i="6" s="1"/>
  <c r="D164" i="6" s="1"/>
  <c r="I222" i="18"/>
  <c r="B222" i="6" s="1"/>
  <c r="BA222" i="6" s="1"/>
  <c r="D222" i="6" s="1"/>
  <c r="J353" i="18"/>
  <c r="C353" i="6" s="1"/>
  <c r="I223" i="18"/>
  <c r="B223" i="6" s="1"/>
  <c r="BA223" i="6" s="1"/>
  <c r="D223" i="6" s="1"/>
  <c r="J28" i="18"/>
  <c r="C28" i="6" s="1"/>
  <c r="I87" i="18"/>
  <c r="B87" i="6" s="1"/>
  <c r="BA87" i="6" s="1"/>
  <c r="D87" i="6" s="1"/>
  <c r="J68" i="18"/>
  <c r="C68" i="6" s="1"/>
  <c r="J292" i="18"/>
  <c r="C292" i="6" s="1"/>
  <c r="J323" i="18"/>
  <c r="C323" i="6" s="1"/>
  <c r="J284" i="18"/>
  <c r="C284" i="6" s="1"/>
  <c r="J214" i="18"/>
  <c r="C214" i="6" s="1"/>
  <c r="J147" i="18"/>
  <c r="C147" i="6" s="1"/>
  <c r="I375" i="18"/>
  <c r="B375" i="6" s="1"/>
  <c r="BA375" i="6" s="1"/>
  <c r="D375" i="6" s="1"/>
  <c r="Q344" i="22"/>
  <c r="Q328" i="22"/>
  <c r="Q312" i="22"/>
  <c r="Q296" i="22"/>
  <c r="Q280" i="22"/>
  <c r="Q264" i="22"/>
  <c r="Q248" i="22"/>
  <c r="Q232" i="22"/>
  <c r="Q216" i="22"/>
  <c r="Q200" i="22"/>
  <c r="Q184" i="22"/>
  <c r="Q168" i="22"/>
  <c r="Q152" i="22"/>
  <c r="Q136" i="22"/>
  <c r="Q95" i="22"/>
  <c r="Q38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88" i="22"/>
  <c r="Q180" i="22"/>
  <c r="Q172" i="22"/>
  <c r="Q164" i="22"/>
  <c r="Q156" i="22"/>
  <c r="Q148" i="22"/>
  <c r="Q140" i="22"/>
  <c r="Q130" i="22"/>
  <c r="Q111" i="22"/>
  <c r="Q79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26" i="22"/>
  <c r="Q118" i="22"/>
  <c r="Q103" i="22"/>
  <c r="Q87" i="22"/>
  <c r="Q59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2" i="22"/>
  <c r="Q128" i="22"/>
  <c r="Q124" i="22"/>
  <c r="Q120" i="22"/>
  <c r="Q115" i="22"/>
  <c r="Q107" i="22"/>
  <c r="Q99" i="22"/>
  <c r="Q91" i="22"/>
  <c r="Q83" i="22"/>
  <c r="Q75" i="22"/>
  <c r="Q43" i="22"/>
  <c r="Q67" i="22"/>
  <c r="Q51" i="22"/>
  <c r="Q31" i="22"/>
  <c r="J318" i="18"/>
  <c r="C318" i="6" s="1"/>
  <c r="I55" i="18"/>
  <c r="B55" i="6" s="1"/>
  <c r="BA55" i="6" s="1"/>
  <c r="D55" i="6" s="1"/>
  <c r="I78" i="18"/>
  <c r="B78" i="6" s="1"/>
  <c r="BA78" i="6" s="1"/>
  <c r="D78" i="6" s="1"/>
  <c r="Q133" i="22"/>
  <c r="Q131" i="22"/>
  <c r="Q129" i="22"/>
  <c r="Q127" i="22"/>
  <c r="Q125" i="22"/>
  <c r="Q123" i="22"/>
  <c r="Q121" i="22"/>
  <c r="Q119" i="22"/>
  <c r="Q117" i="22"/>
  <c r="Q113" i="22"/>
  <c r="Q109" i="22"/>
  <c r="Q105" i="22"/>
  <c r="Q101" i="22"/>
  <c r="Q97" i="22"/>
  <c r="Q93" i="22"/>
  <c r="Q89" i="22"/>
  <c r="Q85" i="22"/>
  <c r="Q81" i="22"/>
  <c r="Q77" i="22"/>
  <c r="Q71" i="22"/>
  <c r="Q63" i="22"/>
  <c r="Q55" i="22"/>
  <c r="Q47" i="22"/>
  <c r="Q39" i="22"/>
  <c r="Q23" i="22"/>
  <c r="J118" i="18"/>
  <c r="C118" i="6" s="1"/>
  <c r="J46" i="18"/>
  <c r="C46" i="6" s="1"/>
  <c r="I56" i="18"/>
  <c r="B56" i="6" s="1"/>
  <c r="BA56" i="6" s="1"/>
  <c r="D56" i="6" s="1"/>
  <c r="J81" i="18"/>
  <c r="C81" i="6" s="1"/>
  <c r="I51" i="18"/>
  <c r="B51" i="6" s="1"/>
  <c r="BA51" i="6" s="1"/>
  <c r="D51" i="6" s="1"/>
  <c r="I98" i="18"/>
  <c r="B98" i="6" s="1"/>
  <c r="BA98" i="6" s="1"/>
  <c r="D98" i="6" s="1"/>
  <c r="J113" i="18"/>
  <c r="C113" i="6" s="1"/>
  <c r="I172" i="18"/>
  <c r="B172" i="6" s="1"/>
  <c r="BA172" i="6" s="1"/>
  <c r="D172" i="6" s="1"/>
  <c r="I297" i="18"/>
  <c r="B297" i="6" s="1"/>
  <c r="BA297" i="6" s="1"/>
  <c r="D297" i="6" s="1"/>
  <c r="I367" i="18"/>
  <c r="B367" i="6" s="1"/>
  <c r="BA367" i="6" s="1"/>
  <c r="D367" i="6" s="1"/>
  <c r="J359" i="18"/>
  <c r="C359" i="6" s="1"/>
  <c r="J366" i="18"/>
  <c r="C366" i="6" s="1"/>
  <c r="J123" i="18"/>
  <c r="C123" i="6" s="1"/>
  <c r="J49" i="18"/>
  <c r="C49" i="6" s="1"/>
  <c r="J27" i="18"/>
  <c r="C27" i="6" s="1"/>
  <c r="J128" i="18"/>
  <c r="C128" i="6" s="1"/>
  <c r="I225" i="18"/>
  <c r="B225" i="6" s="1"/>
  <c r="BA225" i="6" s="1"/>
  <c r="D225" i="6" s="1"/>
  <c r="J86" i="18"/>
  <c r="C86" i="6" s="1"/>
  <c r="I285" i="18"/>
  <c r="B285" i="6" s="1"/>
  <c r="BA285" i="6" s="1"/>
  <c r="D285" i="6" s="1"/>
  <c r="I45" i="18"/>
  <c r="B45" i="6" s="1"/>
  <c r="BA45" i="6" s="1"/>
  <c r="D45" i="6" s="1"/>
  <c r="I72" i="18"/>
  <c r="B72" i="6" s="1"/>
  <c r="BA72" i="6" s="1"/>
  <c r="D72" i="6" s="1"/>
  <c r="J378" i="18"/>
  <c r="C378" i="6" s="1"/>
  <c r="I232" i="18"/>
  <c r="B232" i="6" s="1"/>
  <c r="BA232" i="6" s="1"/>
  <c r="D232" i="6" s="1"/>
  <c r="I161" i="18"/>
  <c r="B161" i="6" s="1"/>
  <c r="BA161" i="6" s="1"/>
  <c r="D161" i="6" s="1"/>
  <c r="J26" i="18"/>
  <c r="C26" i="6" s="1"/>
  <c r="I283" i="18"/>
  <c r="B283" i="6" s="1"/>
  <c r="BA283" i="6" s="1"/>
  <c r="D283" i="6" s="1"/>
  <c r="I96" i="18"/>
  <c r="B96" i="6" s="1"/>
  <c r="BA96" i="6" s="1"/>
  <c r="D96" i="6" s="1"/>
  <c r="J146" i="18"/>
  <c r="C146" i="6" s="1"/>
  <c r="I301" i="18"/>
  <c r="B301" i="6" s="1"/>
  <c r="BA301" i="6" s="1"/>
  <c r="D301" i="6" s="1"/>
  <c r="J35" i="18"/>
  <c r="C35" i="6" s="1"/>
  <c r="J230" i="18"/>
  <c r="C230" i="6" s="1"/>
  <c r="I371" i="18"/>
  <c r="B371" i="6" s="1"/>
  <c r="BA371" i="6" s="1"/>
  <c r="D371" i="6" s="1"/>
  <c r="J261" i="18"/>
  <c r="C261" i="6" s="1"/>
  <c r="J177" i="18"/>
  <c r="C177" i="6" s="1"/>
  <c r="I264" i="18"/>
  <c r="B264" i="6" s="1"/>
  <c r="BA264" i="6" s="1"/>
  <c r="D264" i="6" s="1"/>
  <c r="I229" i="18"/>
  <c r="B229" i="6" s="1"/>
  <c r="BA229" i="6" s="1"/>
  <c r="D229" i="6" s="1"/>
  <c r="J108" i="18"/>
  <c r="C108" i="6" s="1"/>
  <c r="I109" i="18"/>
  <c r="B109" i="6" s="1"/>
  <c r="BA109" i="6" s="1"/>
  <c r="D109" i="6" s="1"/>
  <c r="I170" i="18"/>
  <c r="B170" i="6" s="1"/>
  <c r="BA170" i="6" s="1"/>
  <c r="D170" i="6" s="1"/>
  <c r="I332" i="18"/>
  <c r="B332" i="6" s="1"/>
  <c r="BA332" i="6" s="1"/>
  <c r="D332" i="6" s="1"/>
  <c r="I276" i="18"/>
  <c r="B276" i="6" s="1"/>
  <c r="BA276" i="6" s="1"/>
  <c r="D276" i="6" s="1"/>
  <c r="J287" i="18"/>
  <c r="C287" i="6" s="1"/>
  <c r="I277" i="18"/>
  <c r="B277" i="6" s="1"/>
  <c r="BA277" i="6" s="1"/>
  <c r="D277" i="6" s="1"/>
  <c r="I198" i="18"/>
  <c r="B198" i="6" s="1"/>
  <c r="BA198" i="6" s="1"/>
  <c r="D198" i="6" s="1"/>
  <c r="I281" i="18"/>
  <c r="B281" i="6" s="1"/>
  <c r="BA281" i="6" s="1"/>
  <c r="D281" i="6" s="1"/>
  <c r="J165" i="18"/>
  <c r="C165" i="6" s="1"/>
  <c r="J41" i="18"/>
  <c r="C41" i="6" s="1"/>
  <c r="I36" i="18"/>
  <c r="B36" i="6" s="1"/>
  <c r="BA36" i="6" s="1"/>
  <c r="D36" i="6" s="1"/>
  <c r="I303" i="18"/>
  <c r="B303" i="6" s="1"/>
  <c r="BA303" i="6" s="1"/>
  <c r="D303" i="6" s="1"/>
  <c r="J370" i="18"/>
  <c r="C370" i="6" s="1"/>
  <c r="J18" i="18"/>
  <c r="C18" i="6" s="1"/>
  <c r="J299" i="18"/>
  <c r="C299" i="6" s="1"/>
  <c r="J316" i="18"/>
  <c r="C316" i="6" s="1"/>
  <c r="J114" i="18"/>
  <c r="C114" i="6" s="1"/>
  <c r="J358" i="18"/>
  <c r="C358" i="6" s="1"/>
  <c r="I206" i="18"/>
  <c r="B206" i="6" s="1"/>
  <c r="BA206" i="6" s="1"/>
  <c r="D206" i="6" s="1"/>
  <c r="I178" i="18"/>
  <c r="B178" i="6" s="1"/>
  <c r="BA178" i="6" s="1"/>
  <c r="D178" i="6" s="1"/>
  <c r="I211" i="18"/>
  <c r="B211" i="6" s="1"/>
  <c r="BA211" i="6" s="1"/>
  <c r="D211" i="6" s="1"/>
  <c r="I265" i="18"/>
  <c r="B265" i="6" s="1"/>
  <c r="BA265" i="6" s="1"/>
  <c r="D265" i="6" s="1"/>
  <c r="J181" i="18"/>
  <c r="C181" i="6" s="1"/>
  <c r="J57" i="18"/>
  <c r="C57" i="6" s="1"/>
  <c r="I140" i="18"/>
  <c r="B140" i="6" s="1"/>
  <c r="BA140" i="6" s="1"/>
  <c r="D140" i="6" s="1"/>
  <c r="J94" i="18"/>
  <c r="C94" i="6" s="1"/>
  <c r="I280" i="18"/>
  <c r="B280" i="6" s="1"/>
  <c r="BA280" i="6" s="1"/>
  <c r="D280" i="6" s="1"/>
  <c r="I377" i="18"/>
  <c r="B377" i="6" s="1"/>
  <c r="BA377" i="6" s="1"/>
  <c r="D377" i="6" s="1"/>
  <c r="J240" i="18"/>
  <c r="C240" i="6" s="1"/>
  <c r="I48" i="18"/>
  <c r="B48" i="6" s="1"/>
  <c r="BA48" i="6" s="1"/>
  <c r="D48" i="6" s="1"/>
  <c r="J293" i="18"/>
  <c r="C293" i="6" s="1"/>
  <c r="I53" i="18"/>
  <c r="B53" i="6" s="1"/>
  <c r="BA53" i="6" s="1"/>
  <c r="D53" i="6" s="1"/>
  <c r="J365" i="18"/>
  <c r="C365" i="6" s="1"/>
  <c r="I69" i="18"/>
  <c r="B69" i="6" s="1"/>
  <c r="BA69" i="6" s="1"/>
  <c r="D69" i="6" s="1"/>
  <c r="I204" i="18"/>
  <c r="B204" i="6" s="1"/>
  <c r="BA204" i="6" s="1"/>
  <c r="D204" i="6" s="1"/>
  <c r="J156" i="18"/>
  <c r="C156" i="6" s="1"/>
  <c r="I107" i="18"/>
  <c r="B107" i="6" s="1"/>
  <c r="BA107" i="6" s="1"/>
  <c r="D107" i="6" s="1"/>
  <c r="J311" i="18"/>
  <c r="C311" i="6" s="1"/>
  <c r="I289" i="18"/>
  <c r="B289" i="6" s="1"/>
  <c r="BA289" i="6" s="1"/>
  <c r="D289" i="6" s="1"/>
  <c r="I84" i="18"/>
  <c r="B84" i="6" s="1"/>
  <c r="BA84" i="6" s="1"/>
  <c r="D84" i="6" s="1"/>
  <c r="J188" i="18"/>
  <c r="C188" i="6" s="1"/>
  <c r="I267" i="18"/>
  <c r="B267" i="6" s="1"/>
  <c r="BA267" i="6" s="1"/>
  <c r="D267" i="6" s="1"/>
  <c r="J216" i="18"/>
  <c r="C216" i="6" s="1"/>
  <c r="J342" i="18"/>
  <c r="C342" i="6" s="1"/>
  <c r="I20" i="18"/>
  <c r="B20" i="6" s="1"/>
  <c r="BA20" i="6" s="1"/>
  <c r="D20" i="6" s="1"/>
  <c r="I47" i="18"/>
  <c r="B47" i="6" s="1"/>
  <c r="BA47" i="6" s="1"/>
  <c r="D47" i="6" s="1"/>
  <c r="I239" i="18"/>
  <c r="B239" i="6" s="1"/>
  <c r="BA239" i="6" s="1"/>
  <c r="D239" i="6" s="1"/>
  <c r="I209" i="18"/>
  <c r="B209" i="6" s="1"/>
  <c r="BA209" i="6" s="1"/>
  <c r="D209" i="6" s="1"/>
  <c r="I372" i="18"/>
  <c r="B372" i="6" s="1"/>
  <c r="BA372" i="6" s="1"/>
  <c r="D372" i="6" s="1"/>
  <c r="I315" i="18"/>
  <c r="B315" i="6" s="1"/>
  <c r="BA315" i="6" s="1"/>
  <c r="D315" i="6" s="1"/>
  <c r="I195" i="18"/>
  <c r="B195" i="6" s="1"/>
  <c r="BA195" i="6" s="1"/>
  <c r="D195" i="6" s="1"/>
  <c r="I213" i="18"/>
  <c r="B213" i="6" s="1"/>
  <c r="BA213" i="6" s="1"/>
  <c r="D213" i="6" s="1"/>
  <c r="J73" i="18"/>
  <c r="C73" i="6" s="1"/>
  <c r="I368" i="18"/>
  <c r="B368" i="6" s="1"/>
  <c r="BA368" i="6" s="1"/>
  <c r="D368" i="6" s="1"/>
  <c r="J124" i="18"/>
  <c r="C124" i="6" s="1"/>
  <c r="J300" i="18"/>
  <c r="C300" i="6" s="1"/>
  <c r="I144" i="18"/>
  <c r="B144" i="6" s="1"/>
  <c r="BA144" i="6" s="1"/>
  <c r="D144" i="6" s="1"/>
  <c r="J298" i="18"/>
  <c r="C298" i="6" s="1"/>
  <c r="J327" i="18"/>
  <c r="C327" i="6" s="1"/>
  <c r="I50" i="18"/>
  <c r="B50" i="6" s="1"/>
  <c r="BA50" i="6" s="1"/>
  <c r="D50" i="6" s="1"/>
  <c r="I238" i="18"/>
  <c r="B238" i="6" s="1"/>
  <c r="BA238" i="6" s="1"/>
  <c r="D238" i="6" s="1"/>
  <c r="J224" i="18"/>
  <c r="C224" i="6" s="1"/>
  <c r="I312" i="18"/>
  <c r="B312" i="6" s="1"/>
  <c r="BA312" i="6" s="1"/>
  <c r="D312" i="6" s="1"/>
  <c r="J288" i="18"/>
  <c r="C288" i="6" s="1"/>
  <c r="J254" i="18"/>
  <c r="C254" i="6" s="1"/>
  <c r="I62" i="18"/>
  <c r="B62" i="6" s="1"/>
  <c r="BA62" i="6" s="1"/>
  <c r="D62" i="6" s="1"/>
  <c r="I95" i="18"/>
  <c r="B95" i="6" s="1"/>
  <c r="BA95" i="6" s="1"/>
  <c r="D95" i="6" s="1"/>
  <c r="I34" i="18"/>
  <c r="B34" i="6" s="1"/>
  <c r="BA34" i="6" s="1"/>
  <c r="D34" i="6" s="1"/>
  <c r="Q35" i="22"/>
  <c r="Q27" i="22"/>
  <c r="Q19" i="22"/>
  <c r="Q73" i="22"/>
  <c r="Q69" i="22"/>
  <c r="Q65" i="22"/>
  <c r="Q61" i="22"/>
  <c r="Q57" i="22"/>
  <c r="Q53" i="22"/>
  <c r="Q49" i="22"/>
  <c r="Q45" i="22"/>
  <c r="Q41" i="22"/>
  <c r="Q37" i="22"/>
  <c r="Q33" i="22"/>
  <c r="Q29" i="22"/>
  <c r="Q25" i="22"/>
  <c r="Q21" i="22"/>
  <c r="Q17" i="22"/>
  <c r="J324" i="18"/>
  <c r="C324" i="6" s="1"/>
  <c r="J221" i="18"/>
  <c r="C221" i="6" s="1"/>
  <c r="J296" i="18"/>
  <c r="C296" i="6" s="1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51" i="22"/>
  <c r="AE247" i="22"/>
  <c r="AE243" i="22"/>
  <c r="AE239" i="22"/>
  <c r="AE235" i="22"/>
  <c r="AE231" i="22"/>
  <c r="AE227" i="22"/>
  <c r="AE223" i="22"/>
  <c r="AE219" i="22"/>
  <c r="AE215" i="22"/>
  <c r="AE211" i="22"/>
  <c r="AE207" i="22"/>
  <c r="AE203" i="22"/>
  <c r="AE199" i="22"/>
  <c r="AE195" i="22"/>
  <c r="AE191" i="22"/>
  <c r="AE187" i="22"/>
  <c r="AE183" i="22"/>
  <c r="AE179" i="22"/>
  <c r="AE175" i="22"/>
  <c r="AE171" i="22"/>
  <c r="AE167" i="22"/>
  <c r="AE163" i="22"/>
  <c r="AE159" i="22"/>
  <c r="AE155" i="22"/>
  <c r="AE151" i="22"/>
  <c r="AE147" i="22"/>
  <c r="AE143" i="22"/>
  <c r="AE139" i="22"/>
  <c r="AE135" i="22"/>
  <c r="AE131" i="22"/>
  <c r="AE127" i="22"/>
  <c r="AE123" i="22"/>
  <c r="AE119" i="22"/>
  <c r="AE115" i="22"/>
  <c r="AE111" i="22"/>
  <c r="AE107" i="22"/>
  <c r="AE103" i="22"/>
  <c r="AE99" i="22"/>
  <c r="AE95" i="22"/>
  <c r="AE91" i="22"/>
  <c r="AE87" i="22"/>
  <c r="AE83" i="22"/>
  <c r="AE79" i="22"/>
  <c r="AE75" i="22"/>
  <c r="AE71" i="22"/>
  <c r="AE67" i="22"/>
  <c r="AE63" i="22"/>
  <c r="AE59" i="22"/>
  <c r="AE55" i="22"/>
  <c r="AE51" i="22"/>
  <c r="AE47" i="22"/>
  <c r="AE43" i="22"/>
  <c r="AE39" i="22"/>
  <c r="AE35" i="22"/>
  <c r="AE31" i="22"/>
  <c r="AE27" i="22"/>
  <c r="AE23" i="22"/>
  <c r="AE15" i="22"/>
  <c r="AE18" i="22"/>
  <c r="J207" i="18"/>
  <c r="C207" i="6" s="1"/>
  <c r="Q116" i="22"/>
  <c r="Q114" i="22"/>
  <c r="Q112" i="22"/>
  <c r="Q110" i="22"/>
  <c r="Q108" i="22"/>
  <c r="Q106" i="22"/>
  <c r="Q104" i="22"/>
  <c r="Q102" i="22"/>
  <c r="Q100" i="22"/>
  <c r="Q98" i="22"/>
  <c r="Q96" i="22"/>
  <c r="Q94" i="22"/>
  <c r="Q92" i="22"/>
  <c r="Q90" i="22"/>
  <c r="Q88" i="22"/>
  <c r="Q86" i="22"/>
  <c r="Q84" i="22"/>
  <c r="Q82" i="22"/>
  <c r="Q80" i="22"/>
  <c r="Q78" i="22"/>
  <c r="Q76" i="22"/>
  <c r="Q74" i="22"/>
  <c r="Q72" i="22"/>
  <c r="Q70" i="22"/>
  <c r="Q68" i="22"/>
  <c r="Q66" i="22"/>
  <c r="Q64" i="22"/>
  <c r="Q62" i="22"/>
  <c r="Q60" i="22"/>
  <c r="Q58" i="22"/>
  <c r="Q56" i="22"/>
  <c r="Q54" i="22"/>
  <c r="Q52" i="22"/>
  <c r="Q50" i="22"/>
  <c r="Q48" i="22"/>
  <c r="Q46" i="22"/>
  <c r="Q44" i="22"/>
  <c r="Q42" i="22"/>
  <c r="Q40" i="22"/>
  <c r="Q38" i="22"/>
  <c r="Q36" i="22"/>
  <c r="Q34" i="22"/>
  <c r="Q32" i="22"/>
  <c r="Q30" i="22"/>
  <c r="Q28" i="22"/>
  <c r="Q26" i="22"/>
  <c r="Q24" i="22"/>
  <c r="Q22" i="22"/>
  <c r="Q20" i="22"/>
  <c r="Q15" i="22"/>
  <c r="Q16" i="22"/>
  <c r="Q18" i="22"/>
  <c r="AE377" i="22"/>
  <c r="AE373" i="22"/>
  <c r="AE369" i="22"/>
  <c r="AE365" i="22"/>
  <c r="AE361" i="22"/>
  <c r="AE357" i="22"/>
  <c r="AE353" i="22"/>
  <c r="AE349" i="22"/>
  <c r="AE345" i="22"/>
  <c r="AE341" i="22"/>
  <c r="AE337" i="22"/>
  <c r="AE333" i="22"/>
  <c r="AE329" i="22"/>
  <c r="AE325" i="22"/>
  <c r="AE321" i="22"/>
  <c r="AE317" i="22"/>
  <c r="AE313" i="22"/>
  <c r="AE309" i="22"/>
  <c r="AE305" i="22"/>
  <c r="AE301" i="22"/>
  <c r="AE297" i="22"/>
  <c r="AE293" i="22"/>
  <c r="AE289" i="22"/>
  <c r="AE285" i="22"/>
  <c r="AE281" i="22"/>
  <c r="AE277" i="22"/>
  <c r="AE273" i="22"/>
  <c r="AE269" i="22"/>
  <c r="AE265" i="22"/>
  <c r="AE261" i="22"/>
  <c r="AE257" i="22"/>
  <c r="AE253" i="22"/>
  <c r="AE249" i="22"/>
  <c r="AE245" i="22"/>
  <c r="AE241" i="22"/>
  <c r="AE237" i="22"/>
  <c r="AE233" i="22"/>
  <c r="AE229" i="22"/>
  <c r="AE225" i="22"/>
  <c r="AE221" i="22"/>
  <c r="AE217" i="22"/>
  <c r="AE213" i="22"/>
  <c r="AE209" i="22"/>
  <c r="AE205" i="22"/>
  <c r="AE201" i="22"/>
  <c r="AE197" i="22"/>
  <c r="AE193" i="22"/>
  <c r="AE189" i="22"/>
  <c r="AE185" i="22"/>
  <c r="AE181" i="22"/>
  <c r="AE177" i="22"/>
  <c r="AE173" i="22"/>
  <c r="AE169" i="22"/>
  <c r="AE165" i="22"/>
  <c r="AE161" i="22"/>
  <c r="AE157" i="22"/>
  <c r="AE153" i="22"/>
  <c r="AE149" i="22"/>
  <c r="AE145" i="22"/>
  <c r="AE141" i="22"/>
  <c r="AE137" i="22"/>
  <c r="AE133" i="22"/>
  <c r="AE129" i="22"/>
  <c r="AE125" i="22"/>
  <c r="AE121" i="22"/>
  <c r="AE117" i="22"/>
  <c r="AE113" i="22"/>
  <c r="AE109" i="22"/>
  <c r="AE105" i="22"/>
  <c r="AE101" i="22"/>
  <c r="AE97" i="22"/>
  <c r="AE93" i="22"/>
  <c r="AE89" i="22"/>
  <c r="AE85" i="22"/>
  <c r="AE81" i="22"/>
  <c r="AE77" i="22"/>
  <c r="AE73" i="22"/>
  <c r="AE69" i="22"/>
  <c r="AE65" i="22"/>
  <c r="AE61" i="22"/>
  <c r="AE57" i="22"/>
  <c r="AE53" i="22"/>
  <c r="AE49" i="22"/>
  <c r="AE45" i="22"/>
  <c r="AE41" i="22"/>
  <c r="AE37" i="22"/>
  <c r="AE33" i="22"/>
  <c r="AE29" i="22"/>
  <c r="AE25" i="22"/>
  <c r="AE21" i="22"/>
  <c r="AE16" i="22"/>
  <c r="J310" i="18"/>
  <c r="C310" i="6" s="1"/>
  <c r="J363" i="18"/>
  <c r="C363" i="6" s="1"/>
  <c r="I363" i="18"/>
  <c r="B363" i="6" s="1"/>
  <c r="BA363" i="6" s="1"/>
  <c r="D363" i="6" s="1"/>
  <c r="B379" i="20"/>
  <c r="D375" i="20"/>
  <c r="E375" i="20" s="1"/>
  <c r="F375" i="20" s="1"/>
  <c r="W375" i="20"/>
  <c r="D371" i="20"/>
  <c r="E371" i="20" s="1"/>
  <c r="F371" i="20" s="1"/>
  <c r="W371" i="20"/>
  <c r="D367" i="20"/>
  <c r="E367" i="20" s="1"/>
  <c r="F367" i="20" s="1"/>
  <c r="W367" i="20"/>
  <c r="AH31" i="7"/>
  <c r="V363" i="20"/>
  <c r="B363" i="20" s="1"/>
  <c r="W359" i="20"/>
  <c r="D359" i="20"/>
  <c r="E359" i="20" s="1"/>
  <c r="F359" i="20" s="1"/>
  <c r="D355" i="20"/>
  <c r="E355" i="20" s="1"/>
  <c r="F355" i="20" s="1"/>
  <c r="W355" i="20"/>
  <c r="W351" i="20"/>
  <c r="D351" i="20"/>
  <c r="E351" i="20" s="1"/>
  <c r="F351" i="20" s="1"/>
  <c r="W347" i="20"/>
  <c r="D347" i="20"/>
  <c r="E347" i="20" s="1"/>
  <c r="F347" i="20" s="1"/>
  <c r="D343" i="20"/>
  <c r="E343" i="20" s="1"/>
  <c r="F343" i="20" s="1"/>
  <c r="W343" i="20"/>
  <c r="W339" i="20"/>
  <c r="D339" i="20"/>
  <c r="E339" i="20" s="1"/>
  <c r="F339" i="20" s="1"/>
  <c r="W335" i="20"/>
  <c r="D335" i="20"/>
  <c r="E335" i="20" s="1"/>
  <c r="F335" i="20" s="1"/>
  <c r="W331" i="20"/>
  <c r="D331" i="20"/>
  <c r="E331" i="20" s="1"/>
  <c r="F331" i="20" s="1"/>
  <c r="W327" i="20"/>
  <c r="D327" i="20"/>
  <c r="E327" i="20" s="1"/>
  <c r="F327" i="20" s="1"/>
  <c r="D323" i="20"/>
  <c r="E323" i="20" s="1"/>
  <c r="F323" i="20" s="1"/>
  <c r="W323" i="20"/>
  <c r="B319" i="20"/>
  <c r="D315" i="20"/>
  <c r="E315" i="20" s="1"/>
  <c r="F315" i="20" s="1"/>
  <c r="W315" i="20"/>
  <c r="D311" i="20"/>
  <c r="E311" i="20" s="1"/>
  <c r="F311" i="20" s="1"/>
  <c r="W311" i="20"/>
  <c r="D307" i="20"/>
  <c r="E307" i="20" s="1"/>
  <c r="F307" i="20" s="1"/>
  <c r="W307" i="20"/>
  <c r="D303" i="20"/>
  <c r="E303" i="20" s="1"/>
  <c r="F303" i="20" s="1"/>
  <c r="W303" i="20"/>
  <c r="D299" i="20"/>
  <c r="E299" i="20" s="1"/>
  <c r="F299" i="20" s="1"/>
  <c r="W299" i="20"/>
  <c r="W295" i="20"/>
  <c r="D295" i="20"/>
  <c r="E295" i="20" s="1"/>
  <c r="F295" i="20" s="1"/>
  <c r="W291" i="20"/>
  <c r="D291" i="20"/>
  <c r="E291" i="20" s="1"/>
  <c r="F291" i="20" s="1"/>
  <c r="W287" i="20"/>
  <c r="D287" i="20"/>
  <c r="E287" i="20" s="1"/>
  <c r="F287" i="20" s="1"/>
  <c r="D283" i="20"/>
  <c r="E283" i="20" s="1"/>
  <c r="F283" i="20" s="1"/>
  <c r="W283" i="20"/>
  <c r="D279" i="20"/>
  <c r="E279" i="20" s="1"/>
  <c r="F279" i="20" s="1"/>
  <c r="W279" i="20"/>
  <c r="W275" i="20"/>
  <c r="D275" i="20"/>
  <c r="E275" i="20" s="1"/>
  <c r="F275" i="20" s="1"/>
  <c r="D271" i="20"/>
  <c r="E271" i="20" s="1"/>
  <c r="F271" i="20" s="1"/>
  <c r="W271" i="20"/>
  <c r="D267" i="20"/>
  <c r="E267" i="20" s="1"/>
  <c r="F267" i="20" s="1"/>
  <c r="W267" i="20"/>
  <c r="D263" i="20"/>
  <c r="E263" i="20" s="1"/>
  <c r="F263" i="20" s="1"/>
  <c r="W263" i="20"/>
  <c r="D259" i="20"/>
  <c r="E259" i="20" s="1"/>
  <c r="F259" i="20" s="1"/>
  <c r="W259" i="20"/>
  <c r="W255" i="20"/>
  <c r="D255" i="20"/>
  <c r="E255" i="20" s="1"/>
  <c r="F255" i="20" s="1"/>
  <c r="D251" i="20"/>
  <c r="E251" i="20" s="1"/>
  <c r="F251" i="20" s="1"/>
  <c r="W251" i="20"/>
  <c r="W247" i="20"/>
  <c r="D247" i="20"/>
  <c r="E247" i="20" s="1"/>
  <c r="F247" i="20" s="1"/>
  <c r="D243" i="20"/>
  <c r="E243" i="20" s="1"/>
  <c r="F243" i="20" s="1"/>
  <c r="W243" i="20"/>
  <c r="W239" i="20"/>
  <c r="D239" i="20"/>
  <c r="E239" i="20" s="1"/>
  <c r="F239" i="20" s="1"/>
  <c r="D235" i="20"/>
  <c r="E235" i="20" s="1"/>
  <c r="F235" i="20" s="1"/>
  <c r="W235" i="20"/>
  <c r="W231" i="20"/>
  <c r="D231" i="20"/>
  <c r="E231" i="20" s="1"/>
  <c r="F231" i="20" s="1"/>
  <c r="B227" i="20"/>
  <c r="W223" i="20"/>
  <c r="D223" i="20"/>
  <c r="E223" i="20" s="1"/>
  <c r="F223" i="20" s="1"/>
  <c r="W219" i="20"/>
  <c r="D219" i="20"/>
  <c r="E219" i="20" s="1"/>
  <c r="F219" i="20" s="1"/>
  <c r="W215" i="20"/>
  <c r="D215" i="20"/>
  <c r="E215" i="20" s="1"/>
  <c r="F215" i="20" s="1"/>
  <c r="W211" i="20"/>
  <c r="D211" i="20"/>
  <c r="E211" i="20" s="1"/>
  <c r="F211" i="20" s="1"/>
  <c r="W207" i="20"/>
  <c r="D207" i="20"/>
  <c r="E207" i="20" s="1"/>
  <c r="F207" i="20" s="1"/>
  <c r="W203" i="20"/>
  <c r="D203" i="20"/>
  <c r="E203" i="20" s="1"/>
  <c r="F203" i="20" s="1"/>
  <c r="W199" i="20"/>
  <c r="D199" i="20"/>
  <c r="E199" i="20" s="1"/>
  <c r="F199" i="20" s="1"/>
  <c r="W195" i="20"/>
  <c r="D195" i="20"/>
  <c r="E195" i="20" s="1"/>
  <c r="F195" i="20" s="1"/>
  <c r="D191" i="20"/>
  <c r="E191" i="20" s="1"/>
  <c r="F191" i="20" s="1"/>
  <c r="W191" i="20"/>
  <c r="W187" i="20"/>
  <c r="D187" i="20"/>
  <c r="E187" i="20" s="1"/>
  <c r="F187" i="20" s="1"/>
  <c r="W183" i="20"/>
  <c r="D183" i="20"/>
  <c r="E183" i="20" s="1"/>
  <c r="F183" i="20" s="1"/>
  <c r="W179" i="20"/>
  <c r="D179" i="20"/>
  <c r="E179" i="20" s="1"/>
  <c r="F179" i="20" s="1"/>
  <c r="W175" i="20"/>
  <c r="D175" i="20"/>
  <c r="E175" i="20" s="1"/>
  <c r="F175" i="20" s="1"/>
  <c r="D171" i="20"/>
  <c r="E171" i="20" s="1"/>
  <c r="F171" i="20" s="1"/>
  <c r="W171" i="20"/>
  <c r="W167" i="20"/>
  <c r="D167" i="20"/>
  <c r="E167" i="20" s="1"/>
  <c r="F167" i="20" s="1"/>
  <c r="W163" i="20"/>
  <c r="D163" i="20"/>
  <c r="E163" i="20" s="1"/>
  <c r="F163" i="20" s="1"/>
  <c r="W159" i="20"/>
  <c r="D159" i="20"/>
  <c r="E159" i="20" s="1"/>
  <c r="F159" i="20" s="1"/>
  <c r="D155" i="20"/>
  <c r="E155" i="20" s="1"/>
  <c r="F155" i="20" s="1"/>
  <c r="W155" i="20"/>
  <c r="W151" i="20"/>
  <c r="D151" i="20"/>
  <c r="E151" i="20" s="1"/>
  <c r="F151" i="20" s="1"/>
  <c r="W147" i="20"/>
  <c r="D147" i="20"/>
  <c r="E147" i="20" s="1"/>
  <c r="F147" i="20" s="1"/>
  <c r="W143" i="20"/>
  <c r="D143" i="20"/>
  <c r="E143" i="20" s="1"/>
  <c r="F143" i="20" s="1"/>
  <c r="D139" i="20"/>
  <c r="E139" i="20" s="1"/>
  <c r="F139" i="20" s="1"/>
  <c r="W139" i="20"/>
  <c r="B135" i="20"/>
  <c r="W131" i="20"/>
  <c r="D131" i="20"/>
  <c r="E131" i="20" s="1"/>
  <c r="F131" i="20" s="1"/>
  <c r="W127" i="20"/>
  <c r="D127" i="20"/>
  <c r="E127" i="20" s="1"/>
  <c r="F127" i="20" s="1"/>
  <c r="D123" i="20"/>
  <c r="E123" i="20" s="1"/>
  <c r="F123" i="20" s="1"/>
  <c r="W123" i="20"/>
  <c r="AH23" i="7"/>
  <c r="V119" i="20"/>
  <c r="B119" i="20" s="1"/>
  <c r="D115" i="20"/>
  <c r="E115" i="20" s="1"/>
  <c r="F115" i="20" s="1"/>
  <c r="W115" i="20"/>
  <c r="D111" i="20"/>
  <c r="E111" i="20" s="1"/>
  <c r="F111" i="20" s="1"/>
  <c r="W111" i="20"/>
  <c r="W107" i="20"/>
  <c r="D107" i="20"/>
  <c r="E107" i="20" s="1"/>
  <c r="F107" i="20" s="1"/>
  <c r="D103" i="20"/>
  <c r="E103" i="20" s="1"/>
  <c r="F103" i="20" s="1"/>
  <c r="W103" i="20"/>
  <c r="D99" i="20"/>
  <c r="E99" i="20" s="1"/>
  <c r="F99" i="20" s="1"/>
  <c r="W99" i="20"/>
  <c r="D95" i="20"/>
  <c r="E95" i="20" s="1"/>
  <c r="F95" i="20" s="1"/>
  <c r="W95" i="20"/>
  <c r="D91" i="20"/>
  <c r="E91" i="20" s="1"/>
  <c r="F91" i="20" s="1"/>
  <c r="W91" i="20"/>
  <c r="D87" i="20"/>
  <c r="E87" i="20" s="1"/>
  <c r="F87" i="20" s="1"/>
  <c r="W87" i="20"/>
  <c r="D83" i="20"/>
  <c r="E83" i="20" s="1"/>
  <c r="F83" i="20" s="1"/>
  <c r="W83" i="20"/>
  <c r="W79" i="20"/>
  <c r="D79" i="20"/>
  <c r="E79" i="20" s="1"/>
  <c r="F79" i="20" s="1"/>
  <c r="D75" i="20"/>
  <c r="E75" i="20" s="1"/>
  <c r="F75" i="20" s="1"/>
  <c r="W75" i="20"/>
  <c r="D71" i="20"/>
  <c r="E71" i="20" s="1"/>
  <c r="F71" i="20" s="1"/>
  <c r="W71" i="20"/>
  <c r="W67" i="20"/>
  <c r="D67" i="20"/>
  <c r="E67" i="20" s="1"/>
  <c r="F67" i="20" s="1"/>
  <c r="W63" i="20"/>
  <c r="D63" i="20"/>
  <c r="E63" i="20" s="1"/>
  <c r="F63" i="20" s="1"/>
  <c r="W59" i="20"/>
  <c r="D59" i="20"/>
  <c r="E59" i="20" s="1"/>
  <c r="F59" i="20" s="1"/>
  <c r="W55" i="20"/>
  <c r="D55" i="20"/>
  <c r="E55" i="20" s="1"/>
  <c r="F55" i="20" s="1"/>
  <c r="D51" i="20"/>
  <c r="E51" i="20" s="1"/>
  <c r="F51" i="20" s="1"/>
  <c r="W51" i="20"/>
  <c r="D47" i="20"/>
  <c r="E47" i="20" s="1"/>
  <c r="F47" i="20" s="1"/>
  <c r="W47" i="20"/>
  <c r="W43" i="20"/>
  <c r="D43" i="20"/>
  <c r="E43" i="20" s="1"/>
  <c r="F43" i="20" s="1"/>
  <c r="D39" i="20"/>
  <c r="E39" i="20" s="1"/>
  <c r="F39" i="20" s="1"/>
  <c r="W39" i="20"/>
  <c r="D35" i="20"/>
  <c r="E35" i="20" s="1"/>
  <c r="F35" i="20" s="1"/>
  <c r="W35" i="20"/>
  <c r="W31" i="20"/>
  <c r="D31" i="20"/>
  <c r="E31" i="20" s="1"/>
  <c r="F31" i="20" s="1"/>
  <c r="D27" i="20"/>
  <c r="E27" i="20" s="1"/>
  <c r="F27" i="20" s="1"/>
  <c r="W27" i="20"/>
  <c r="D23" i="20"/>
  <c r="E23" i="20" s="1"/>
  <c r="F23" i="20" s="1"/>
  <c r="W23" i="20"/>
  <c r="D19" i="20"/>
  <c r="E19" i="20" s="1"/>
  <c r="F19" i="20" s="1"/>
  <c r="W19" i="20"/>
  <c r="W378" i="20"/>
  <c r="D378" i="20"/>
  <c r="E378" i="20" s="1"/>
  <c r="F378" i="20" s="1"/>
  <c r="W374" i="20"/>
  <c r="D374" i="20"/>
  <c r="E374" i="20" s="1"/>
  <c r="F374" i="20" s="1"/>
  <c r="D370" i="20"/>
  <c r="E370" i="20" s="1"/>
  <c r="F370" i="20" s="1"/>
  <c r="W370" i="20"/>
  <c r="W366" i="20"/>
  <c r="D366" i="20"/>
  <c r="E366" i="20" s="1"/>
  <c r="F366" i="20" s="1"/>
  <c r="D362" i="20"/>
  <c r="E362" i="20" s="1"/>
  <c r="F362" i="20" s="1"/>
  <c r="W362" i="20"/>
  <c r="D358" i="20"/>
  <c r="E358" i="20" s="1"/>
  <c r="F358" i="20" s="1"/>
  <c r="W358" i="20"/>
  <c r="W354" i="20"/>
  <c r="D354" i="20"/>
  <c r="E354" i="20" s="1"/>
  <c r="F354" i="20" s="1"/>
  <c r="W350" i="20"/>
  <c r="D350" i="20"/>
  <c r="E350" i="20" s="1"/>
  <c r="F350" i="20" s="1"/>
  <c r="W346" i="20"/>
  <c r="D346" i="20"/>
  <c r="E346" i="20" s="1"/>
  <c r="F346" i="20" s="1"/>
  <c r="W342" i="20"/>
  <c r="D342" i="20"/>
  <c r="E342" i="20" s="1"/>
  <c r="F342" i="20" s="1"/>
  <c r="W338" i="20"/>
  <c r="D338" i="20"/>
  <c r="E338" i="20" s="1"/>
  <c r="F338" i="20" s="1"/>
  <c r="W334" i="20"/>
  <c r="D334" i="20"/>
  <c r="E334" i="20" s="1"/>
  <c r="F334" i="20" s="1"/>
  <c r="D330" i="20"/>
  <c r="E330" i="20" s="1"/>
  <c r="F330" i="20" s="1"/>
  <c r="W330" i="20"/>
  <c r="D326" i="20"/>
  <c r="E326" i="20" s="1"/>
  <c r="F326" i="20" s="1"/>
  <c r="W326" i="20"/>
  <c r="W322" i="20"/>
  <c r="D322" i="20"/>
  <c r="E322" i="20" s="1"/>
  <c r="F322" i="20" s="1"/>
  <c r="W318" i="20"/>
  <c r="D318" i="20"/>
  <c r="E318" i="20" s="1"/>
  <c r="F318" i="20" s="1"/>
  <c r="W314" i="20"/>
  <c r="D314" i="20"/>
  <c r="E314" i="20" s="1"/>
  <c r="F314" i="20" s="1"/>
  <c r="D310" i="20"/>
  <c r="E310" i="20" s="1"/>
  <c r="F310" i="20" s="1"/>
  <c r="W310" i="20"/>
  <c r="W306" i="20"/>
  <c r="D306" i="20"/>
  <c r="E306" i="20" s="1"/>
  <c r="F306" i="20" s="1"/>
  <c r="AH29" i="7"/>
  <c r="V302" i="20"/>
  <c r="B302" i="20" s="1"/>
  <c r="D298" i="20"/>
  <c r="E298" i="20" s="1"/>
  <c r="F298" i="20" s="1"/>
  <c r="W298" i="20"/>
  <c r="D294" i="20"/>
  <c r="E294" i="20" s="1"/>
  <c r="F294" i="20" s="1"/>
  <c r="W294" i="20"/>
  <c r="D290" i="20"/>
  <c r="E290" i="20" s="1"/>
  <c r="F290" i="20" s="1"/>
  <c r="W290" i="20"/>
  <c r="D286" i="20"/>
  <c r="E286" i="20" s="1"/>
  <c r="F286" i="20" s="1"/>
  <c r="W286" i="20"/>
  <c r="W282" i="20"/>
  <c r="D282" i="20"/>
  <c r="E282" i="20" s="1"/>
  <c r="F282" i="20" s="1"/>
  <c r="W278" i="20"/>
  <c r="D278" i="20"/>
  <c r="E278" i="20" s="1"/>
  <c r="F278" i="20" s="1"/>
  <c r="D274" i="20"/>
  <c r="E274" i="20" s="1"/>
  <c r="F274" i="20" s="1"/>
  <c r="W274" i="20"/>
  <c r="W270" i="20"/>
  <c r="D270" i="20"/>
  <c r="E270" i="20" s="1"/>
  <c r="F270" i="20" s="1"/>
  <c r="W266" i="20"/>
  <c r="D266" i="20"/>
  <c r="E266" i="20" s="1"/>
  <c r="F266" i="20" s="1"/>
  <c r="W262" i="20"/>
  <c r="D262" i="20"/>
  <c r="E262" i="20" s="1"/>
  <c r="F262" i="20" s="1"/>
  <c r="B258" i="20"/>
  <c r="D254" i="20"/>
  <c r="E254" i="20" s="1"/>
  <c r="F254" i="20" s="1"/>
  <c r="W254" i="20"/>
  <c r="D250" i="20"/>
  <c r="E250" i="20" s="1"/>
  <c r="F250" i="20" s="1"/>
  <c r="W250" i="20"/>
  <c r="W246" i="20"/>
  <c r="D246" i="20"/>
  <c r="E246" i="20" s="1"/>
  <c r="F246" i="20" s="1"/>
  <c r="W242" i="20"/>
  <c r="D242" i="20"/>
  <c r="E242" i="20" s="1"/>
  <c r="F242" i="20" s="1"/>
  <c r="D238" i="20"/>
  <c r="E238" i="20" s="1"/>
  <c r="F238" i="20" s="1"/>
  <c r="W238" i="20"/>
  <c r="D234" i="20"/>
  <c r="E234" i="20" s="1"/>
  <c r="F234" i="20" s="1"/>
  <c r="W234" i="20"/>
  <c r="D230" i="20"/>
  <c r="E230" i="20" s="1"/>
  <c r="F230" i="20" s="1"/>
  <c r="W230" i="20"/>
  <c r="D226" i="20"/>
  <c r="E226" i="20" s="1"/>
  <c r="F226" i="20" s="1"/>
  <c r="W226" i="20"/>
  <c r="W222" i="20"/>
  <c r="D222" i="20"/>
  <c r="E222" i="20" s="1"/>
  <c r="F222" i="20" s="1"/>
  <c r="W218" i="20"/>
  <c r="D218" i="20"/>
  <c r="E218" i="20" s="1"/>
  <c r="F218" i="20" s="1"/>
  <c r="W214" i="20"/>
  <c r="D214" i="20"/>
  <c r="E214" i="20" s="1"/>
  <c r="F214" i="20" s="1"/>
  <c r="AH26" i="7"/>
  <c r="V210" i="20"/>
  <c r="B210" i="20" s="1"/>
  <c r="W206" i="20"/>
  <c r="D206" i="20"/>
  <c r="E206" i="20" s="1"/>
  <c r="F206" i="20" s="1"/>
  <c r="W202" i="20"/>
  <c r="D202" i="20"/>
  <c r="E202" i="20" s="1"/>
  <c r="F202" i="20" s="1"/>
  <c r="W198" i="20"/>
  <c r="D198" i="20"/>
  <c r="E198" i="20" s="1"/>
  <c r="F198" i="20" s="1"/>
  <c r="D194" i="20"/>
  <c r="E194" i="20" s="1"/>
  <c r="F194" i="20" s="1"/>
  <c r="W194" i="20"/>
  <c r="D190" i="20"/>
  <c r="E190" i="20" s="1"/>
  <c r="F190" i="20" s="1"/>
  <c r="W190" i="20"/>
  <c r="W186" i="20"/>
  <c r="D186" i="20"/>
  <c r="E186" i="20" s="1"/>
  <c r="F186" i="20" s="1"/>
  <c r="W182" i="20"/>
  <c r="D182" i="20"/>
  <c r="E182" i="20" s="1"/>
  <c r="F182" i="20" s="1"/>
  <c r="W178" i="20"/>
  <c r="D178" i="20"/>
  <c r="E178" i="20" s="1"/>
  <c r="F178" i="20" s="1"/>
  <c r="W174" i="20"/>
  <c r="D174" i="20"/>
  <c r="E174" i="20" s="1"/>
  <c r="F174" i="20" s="1"/>
  <c r="D170" i="20"/>
  <c r="E170" i="20" s="1"/>
  <c r="F170" i="20" s="1"/>
  <c r="W170" i="20"/>
  <c r="B166" i="20"/>
  <c r="D162" i="20"/>
  <c r="E162" i="20" s="1"/>
  <c r="F162" i="20" s="1"/>
  <c r="W162" i="20"/>
  <c r="W158" i="20"/>
  <c r="D158" i="20"/>
  <c r="E158" i="20" s="1"/>
  <c r="F158" i="20" s="1"/>
  <c r="W154" i="20"/>
  <c r="D154" i="20"/>
  <c r="E154" i="20" s="1"/>
  <c r="F154" i="20" s="1"/>
  <c r="D150" i="20"/>
  <c r="E150" i="20" s="1"/>
  <c r="F150" i="20" s="1"/>
  <c r="W150" i="20"/>
  <c r="W146" i="20"/>
  <c r="D146" i="20"/>
  <c r="E146" i="20" s="1"/>
  <c r="F146" i="20" s="1"/>
  <c r="W142" i="20"/>
  <c r="D142" i="20"/>
  <c r="E142" i="20" s="1"/>
  <c r="F142" i="20" s="1"/>
  <c r="D138" i="20"/>
  <c r="E138" i="20" s="1"/>
  <c r="F138" i="20" s="1"/>
  <c r="W138" i="20"/>
  <c r="D134" i="20"/>
  <c r="E134" i="20" s="1"/>
  <c r="F134" i="20" s="1"/>
  <c r="W134" i="20"/>
  <c r="W130" i="20"/>
  <c r="D130" i="20"/>
  <c r="E130" i="20" s="1"/>
  <c r="F130" i="20" s="1"/>
  <c r="W126" i="20"/>
  <c r="D126" i="20"/>
  <c r="E126" i="20" s="1"/>
  <c r="F126" i="20" s="1"/>
  <c r="D122" i="20"/>
  <c r="E122" i="20" s="1"/>
  <c r="F122" i="20" s="1"/>
  <c r="W122" i="20"/>
  <c r="D118" i="20"/>
  <c r="E118" i="20" s="1"/>
  <c r="F118" i="20" s="1"/>
  <c r="W118" i="20"/>
  <c r="D114" i="20"/>
  <c r="E114" i="20" s="1"/>
  <c r="F114" i="20" s="1"/>
  <c r="W114" i="20"/>
  <c r="D110" i="20"/>
  <c r="E110" i="20" s="1"/>
  <c r="F110" i="20" s="1"/>
  <c r="W110" i="20"/>
  <c r="W106" i="20"/>
  <c r="D106" i="20"/>
  <c r="E106" i="20" s="1"/>
  <c r="F106" i="20" s="1"/>
  <c r="D102" i="20"/>
  <c r="E102" i="20" s="1"/>
  <c r="F102" i="20" s="1"/>
  <c r="W102" i="20"/>
  <c r="D98" i="20"/>
  <c r="E98" i="20" s="1"/>
  <c r="F98" i="20" s="1"/>
  <c r="W98" i="20"/>
  <c r="D94" i="20"/>
  <c r="E94" i="20" s="1"/>
  <c r="F94" i="20" s="1"/>
  <c r="W94" i="20"/>
  <c r="D90" i="20"/>
  <c r="E90" i="20" s="1"/>
  <c r="F90" i="20" s="1"/>
  <c r="W90" i="20"/>
  <c r="D86" i="20"/>
  <c r="E86" i="20" s="1"/>
  <c r="F86" i="20" s="1"/>
  <c r="W86" i="20"/>
  <c r="D82" i="20"/>
  <c r="E82" i="20" s="1"/>
  <c r="F82" i="20" s="1"/>
  <c r="W82" i="20"/>
  <c r="W78" i="20"/>
  <c r="D78" i="20"/>
  <c r="E78" i="20" s="1"/>
  <c r="F78" i="20" s="1"/>
  <c r="B74" i="20"/>
  <c r="D70" i="20"/>
  <c r="E70" i="20" s="1"/>
  <c r="F70" i="20" s="1"/>
  <c r="W70" i="20"/>
  <c r="D66" i="20"/>
  <c r="E66" i="20" s="1"/>
  <c r="F66" i="20" s="1"/>
  <c r="W66" i="20"/>
  <c r="W62" i="20"/>
  <c r="D62" i="20"/>
  <c r="E62" i="20" s="1"/>
  <c r="F62" i="20" s="1"/>
  <c r="W58" i="20"/>
  <c r="D58" i="20"/>
  <c r="E58" i="20" s="1"/>
  <c r="F58" i="20" s="1"/>
  <c r="D54" i="20"/>
  <c r="E54" i="20" s="1"/>
  <c r="F54" i="20" s="1"/>
  <c r="W54" i="20"/>
  <c r="D50" i="20"/>
  <c r="E50" i="20" s="1"/>
  <c r="F50" i="20" s="1"/>
  <c r="W50" i="20"/>
  <c r="B46" i="20"/>
  <c r="W42" i="20"/>
  <c r="D42" i="20"/>
  <c r="E42" i="20" s="1"/>
  <c r="F42" i="20" s="1"/>
  <c r="D38" i="20"/>
  <c r="E38" i="20" s="1"/>
  <c r="F38" i="20" s="1"/>
  <c r="W38" i="20"/>
  <c r="D34" i="20"/>
  <c r="E34" i="20" s="1"/>
  <c r="F34" i="20" s="1"/>
  <c r="W34" i="20"/>
  <c r="W30" i="20"/>
  <c r="D30" i="20"/>
  <c r="E30" i="20" s="1"/>
  <c r="F30" i="20" s="1"/>
  <c r="W26" i="20"/>
  <c r="D26" i="20"/>
  <c r="E26" i="20" s="1"/>
  <c r="F26" i="20" s="1"/>
  <c r="W22" i="20"/>
  <c r="D22" i="20"/>
  <c r="E22" i="20" s="1"/>
  <c r="F22" i="20" s="1"/>
  <c r="D18" i="20"/>
  <c r="E18" i="20" s="1"/>
  <c r="F18" i="20" s="1"/>
  <c r="W18" i="20"/>
  <c r="W377" i="20"/>
  <c r="D377" i="20"/>
  <c r="E377" i="20" s="1"/>
  <c r="F377" i="20" s="1"/>
  <c r="W373" i="20"/>
  <c r="D373" i="20"/>
  <c r="E373" i="20" s="1"/>
  <c r="F373" i="20" s="1"/>
  <c r="D369" i="20"/>
  <c r="E369" i="20" s="1"/>
  <c r="F369" i="20" s="1"/>
  <c r="W369" i="20"/>
  <c r="D365" i="20"/>
  <c r="E365" i="20" s="1"/>
  <c r="F365" i="20" s="1"/>
  <c r="W365" i="20"/>
  <c r="W361" i="20"/>
  <c r="D361" i="20"/>
  <c r="E361" i="20" s="1"/>
  <c r="F361" i="20" s="1"/>
  <c r="W357" i="20"/>
  <c r="D357" i="20"/>
  <c r="E357" i="20" s="1"/>
  <c r="F357" i="20" s="1"/>
  <c r="W353" i="20"/>
  <c r="D353" i="20"/>
  <c r="E353" i="20" s="1"/>
  <c r="F353" i="20" s="1"/>
  <c r="M66" i="19"/>
  <c r="B349" i="20"/>
  <c r="D345" i="20"/>
  <c r="E345" i="20" s="1"/>
  <c r="F345" i="20" s="1"/>
  <c r="W345" i="20"/>
  <c r="W341" i="20"/>
  <c r="D341" i="20"/>
  <c r="E341" i="20" s="1"/>
  <c r="F341" i="20" s="1"/>
  <c r="D337" i="20"/>
  <c r="E337" i="20" s="1"/>
  <c r="F337" i="20" s="1"/>
  <c r="W337" i="20"/>
  <c r="AH30" i="7"/>
  <c r="V333" i="20"/>
  <c r="B333" i="20" s="1"/>
  <c r="W329" i="20"/>
  <c r="D329" i="20"/>
  <c r="E329" i="20" s="1"/>
  <c r="F329" i="20" s="1"/>
  <c r="D325" i="20"/>
  <c r="E325" i="20" s="1"/>
  <c r="F325" i="20" s="1"/>
  <c r="W325" i="20"/>
  <c r="W321" i="20"/>
  <c r="D321" i="20"/>
  <c r="E321" i="20" s="1"/>
  <c r="F321" i="20" s="1"/>
  <c r="W317" i="20"/>
  <c r="D317" i="20"/>
  <c r="E317" i="20" s="1"/>
  <c r="F317" i="20" s="1"/>
  <c r="W313" i="20"/>
  <c r="D313" i="20"/>
  <c r="E313" i="20" s="1"/>
  <c r="F313" i="20" s="1"/>
  <c r="D309" i="20"/>
  <c r="E309" i="20" s="1"/>
  <c r="F309" i="20" s="1"/>
  <c r="W309" i="20"/>
  <c r="W305" i="20"/>
  <c r="D305" i="20"/>
  <c r="E305" i="20" s="1"/>
  <c r="F305" i="20" s="1"/>
  <c r="D301" i="20"/>
  <c r="E301" i="20" s="1"/>
  <c r="F301" i="20" s="1"/>
  <c r="W301" i="20"/>
  <c r="W297" i="20"/>
  <c r="D297" i="20"/>
  <c r="E297" i="20" s="1"/>
  <c r="F297" i="20" s="1"/>
  <c r="W293" i="20"/>
  <c r="D293" i="20"/>
  <c r="E293" i="20" s="1"/>
  <c r="F293" i="20" s="1"/>
  <c r="W289" i="20"/>
  <c r="D289" i="20"/>
  <c r="E289" i="20" s="1"/>
  <c r="F289" i="20" s="1"/>
  <c r="W285" i="20"/>
  <c r="D285" i="20"/>
  <c r="E285" i="20" s="1"/>
  <c r="F285" i="20" s="1"/>
  <c r="W281" i="20"/>
  <c r="D281" i="20"/>
  <c r="E281" i="20" s="1"/>
  <c r="F281" i="20" s="1"/>
  <c r="D277" i="20"/>
  <c r="E277" i="20" s="1"/>
  <c r="F277" i="20" s="1"/>
  <c r="W277" i="20"/>
  <c r="W273" i="20"/>
  <c r="D273" i="20"/>
  <c r="E273" i="20" s="1"/>
  <c r="F273" i="20" s="1"/>
  <c r="W269" i="20"/>
  <c r="D269" i="20"/>
  <c r="E269" i="20" s="1"/>
  <c r="F269" i="20" s="1"/>
  <c r="D265" i="20"/>
  <c r="E265" i="20" s="1"/>
  <c r="F265" i="20" s="1"/>
  <c r="W265" i="20"/>
  <c r="D261" i="20"/>
  <c r="E261" i="20" s="1"/>
  <c r="F261" i="20" s="1"/>
  <c r="W261" i="20"/>
  <c r="D257" i="20"/>
  <c r="E257" i="20" s="1"/>
  <c r="F257" i="20" s="1"/>
  <c r="W257" i="20"/>
  <c r="D253" i="20"/>
  <c r="E253" i="20" s="1"/>
  <c r="F253" i="20" s="1"/>
  <c r="W253" i="20"/>
  <c r="D249" i="20"/>
  <c r="E249" i="20" s="1"/>
  <c r="F249" i="20" s="1"/>
  <c r="W249" i="20"/>
  <c r="D245" i="20"/>
  <c r="E245" i="20" s="1"/>
  <c r="F245" i="20" s="1"/>
  <c r="W245" i="20"/>
  <c r="AH27" i="7"/>
  <c r="V241" i="20"/>
  <c r="B241" i="20" s="1"/>
  <c r="D237" i="20"/>
  <c r="E237" i="20" s="1"/>
  <c r="F237" i="20" s="1"/>
  <c r="W237" i="20"/>
  <c r="D233" i="20"/>
  <c r="E233" i="20" s="1"/>
  <c r="F233" i="20" s="1"/>
  <c r="W233" i="20"/>
  <c r="D229" i="20"/>
  <c r="E229" i="20" s="1"/>
  <c r="F229" i="20" s="1"/>
  <c r="W229" i="20"/>
  <c r="W225" i="20"/>
  <c r="D225" i="20"/>
  <c r="E225" i="20" s="1"/>
  <c r="F225" i="20" s="1"/>
  <c r="W221" i="20"/>
  <c r="D221" i="20"/>
  <c r="E221" i="20" s="1"/>
  <c r="F221" i="20" s="1"/>
  <c r="D217" i="20"/>
  <c r="E217" i="20" s="1"/>
  <c r="F217" i="20" s="1"/>
  <c r="W217" i="20"/>
  <c r="W213" i="20"/>
  <c r="D213" i="20"/>
  <c r="E213" i="20" s="1"/>
  <c r="F213" i="20" s="1"/>
  <c r="W209" i="20"/>
  <c r="D209" i="20"/>
  <c r="E209" i="20" s="1"/>
  <c r="F209" i="20" s="1"/>
  <c r="W205" i="20"/>
  <c r="D205" i="20"/>
  <c r="E205" i="20" s="1"/>
  <c r="F205" i="20" s="1"/>
  <c r="D201" i="20"/>
  <c r="E201" i="20" s="1"/>
  <c r="F201" i="20" s="1"/>
  <c r="W201" i="20"/>
  <c r="W197" i="20"/>
  <c r="D197" i="20"/>
  <c r="E197" i="20" s="1"/>
  <c r="F197" i="20" s="1"/>
  <c r="W193" i="20"/>
  <c r="D193" i="20"/>
  <c r="E193" i="20" s="1"/>
  <c r="F193" i="20" s="1"/>
  <c r="W189" i="20"/>
  <c r="D189" i="20"/>
  <c r="E189" i="20" s="1"/>
  <c r="F189" i="20" s="1"/>
  <c r="D185" i="20"/>
  <c r="E185" i="20" s="1"/>
  <c r="F185" i="20" s="1"/>
  <c r="W185" i="20"/>
  <c r="D181" i="20"/>
  <c r="E181" i="20" s="1"/>
  <c r="F181" i="20" s="1"/>
  <c r="W181" i="20"/>
  <c r="D177" i="20"/>
  <c r="E177" i="20" s="1"/>
  <c r="F177" i="20" s="1"/>
  <c r="W177" i="20"/>
  <c r="W173" i="20"/>
  <c r="D173" i="20"/>
  <c r="E173" i="20" s="1"/>
  <c r="F173" i="20" s="1"/>
  <c r="D169" i="20"/>
  <c r="E169" i="20" s="1"/>
  <c r="F169" i="20" s="1"/>
  <c r="W169" i="20"/>
  <c r="W165" i="20"/>
  <c r="D165" i="20"/>
  <c r="E165" i="20" s="1"/>
  <c r="F165" i="20" s="1"/>
  <c r="D161" i="20"/>
  <c r="E161" i="20" s="1"/>
  <c r="F161" i="20" s="1"/>
  <c r="W161" i="20"/>
  <c r="W157" i="20"/>
  <c r="D157" i="20"/>
  <c r="E157" i="20" s="1"/>
  <c r="F157" i="20" s="1"/>
  <c r="D153" i="20"/>
  <c r="E153" i="20" s="1"/>
  <c r="F153" i="20" s="1"/>
  <c r="W153" i="20"/>
  <c r="AH24" i="7"/>
  <c r="V149" i="20"/>
  <c r="B149" i="20" s="1"/>
  <c r="W145" i="20"/>
  <c r="D145" i="20"/>
  <c r="E145" i="20" s="1"/>
  <c r="F145" i="20" s="1"/>
  <c r="D141" i="20"/>
  <c r="E141" i="20" s="1"/>
  <c r="F141" i="20" s="1"/>
  <c r="W141" i="20"/>
  <c r="W137" i="20"/>
  <c r="D137" i="20"/>
  <c r="E137" i="20" s="1"/>
  <c r="F137" i="20" s="1"/>
  <c r="W133" i="20"/>
  <c r="D133" i="20"/>
  <c r="E133" i="20" s="1"/>
  <c r="F133" i="20" s="1"/>
  <c r="W129" i="20"/>
  <c r="D129" i="20"/>
  <c r="E129" i="20" s="1"/>
  <c r="F129" i="20" s="1"/>
  <c r="W125" i="20"/>
  <c r="D125" i="20"/>
  <c r="E125" i="20" s="1"/>
  <c r="F125" i="20" s="1"/>
  <c r="W121" i="20"/>
  <c r="D121" i="20"/>
  <c r="E121" i="20" s="1"/>
  <c r="F121" i="20" s="1"/>
  <c r="D117" i="20"/>
  <c r="E117" i="20" s="1"/>
  <c r="F117" i="20" s="1"/>
  <c r="W117" i="20"/>
  <c r="W113" i="20"/>
  <c r="D113" i="20"/>
  <c r="E113" i="20" s="1"/>
  <c r="F113" i="20" s="1"/>
  <c r="D109" i="20"/>
  <c r="E109" i="20" s="1"/>
  <c r="F109" i="20" s="1"/>
  <c r="W109" i="20"/>
  <c r="B105" i="20"/>
  <c r="E66" i="19"/>
  <c r="D101" i="20"/>
  <c r="E101" i="20" s="1"/>
  <c r="F101" i="20" s="1"/>
  <c r="W101" i="20"/>
  <c r="W97" i="20"/>
  <c r="D97" i="20"/>
  <c r="E97" i="20" s="1"/>
  <c r="F97" i="20" s="1"/>
  <c r="D93" i="20"/>
  <c r="E93" i="20" s="1"/>
  <c r="F93" i="20" s="1"/>
  <c r="W93" i="20"/>
  <c r="W89" i="20"/>
  <c r="D89" i="20"/>
  <c r="E89" i="20" s="1"/>
  <c r="F89" i="20" s="1"/>
  <c r="W85" i="20"/>
  <c r="D85" i="20"/>
  <c r="E85" i="20" s="1"/>
  <c r="F85" i="20" s="1"/>
  <c r="W81" i="20"/>
  <c r="D81" i="20"/>
  <c r="E81" i="20" s="1"/>
  <c r="F81" i="20" s="1"/>
  <c r="D77" i="20"/>
  <c r="E77" i="20" s="1"/>
  <c r="F77" i="20" s="1"/>
  <c r="W77" i="20"/>
  <c r="W73" i="20"/>
  <c r="D73" i="20"/>
  <c r="E73" i="20" s="1"/>
  <c r="F73" i="20" s="1"/>
  <c r="W69" i="20"/>
  <c r="D69" i="20"/>
  <c r="E69" i="20" s="1"/>
  <c r="F69" i="20" s="1"/>
  <c r="W65" i="20"/>
  <c r="D65" i="20"/>
  <c r="E65" i="20" s="1"/>
  <c r="F65" i="20" s="1"/>
  <c r="W61" i="20"/>
  <c r="D61" i="20"/>
  <c r="E61" i="20" s="1"/>
  <c r="F61" i="20" s="1"/>
  <c r="W57" i="20"/>
  <c r="D57" i="20"/>
  <c r="E57" i="20" s="1"/>
  <c r="F57" i="20" s="1"/>
  <c r="W53" i="20"/>
  <c r="D53" i="20"/>
  <c r="E53" i="20" s="1"/>
  <c r="F53" i="20" s="1"/>
  <c r="D49" i="20"/>
  <c r="E49" i="20" s="1"/>
  <c r="F49" i="20" s="1"/>
  <c r="W49" i="20"/>
  <c r="W45" i="20"/>
  <c r="D45" i="20"/>
  <c r="E45" i="20" s="1"/>
  <c r="F45" i="20" s="1"/>
  <c r="W41" i="20"/>
  <c r="D41" i="20"/>
  <c r="E41" i="20" s="1"/>
  <c r="F41" i="20" s="1"/>
  <c r="W37" i="20"/>
  <c r="D37" i="20"/>
  <c r="E37" i="20" s="1"/>
  <c r="F37" i="20" s="1"/>
  <c r="W33" i="20"/>
  <c r="D33" i="20"/>
  <c r="E33" i="20" s="1"/>
  <c r="F33" i="20" s="1"/>
  <c r="AH20" i="7"/>
  <c r="V29" i="20"/>
  <c r="B29" i="20" s="1"/>
  <c r="D25" i="20"/>
  <c r="E25" i="20" s="1"/>
  <c r="F25" i="20" s="1"/>
  <c r="W25" i="20"/>
  <c r="D21" i="20"/>
  <c r="E21" i="20" s="1"/>
  <c r="F21" i="20" s="1"/>
  <c r="W21" i="20"/>
  <c r="D17" i="20"/>
  <c r="E17" i="20" s="1"/>
  <c r="F17" i="20" s="1"/>
  <c r="W17" i="20"/>
  <c r="D376" i="20"/>
  <c r="E376" i="20" s="1"/>
  <c r="F376" i="20" s="1"/>
  <c r="W376" i="20"/>
  <c r="D372" i="20"/>
  <c r="E372" i="20" s="1"/>
  <c r="F372" i="20" s="1"/>
  <c r="W372" i="20"/>
  <c r="W368" i="20"/>
  <c r="D368" i="20"/>
  <c r="E368" i="20" s="1"/>
  <c r="F368" i="20" s="1"/>
  <c r="W364" i="20"/>
  <c r="D364" i="20"/>
  <c r="E364" i="20" s="1"/>
  <c r="F364" i="20" s="1"/>
  <c r="W360" i="20"/>
  <c r="D360" i="20"/>
  <c r="E360" i="20" s="1"/>
  <c r="F360" i="20" s="1"/>
  <c r="W356" i="20"/>
  <c r="D356" i="20"/>
  <c r="E356" i="20" s="1"/>
  <c r="F356" i="20" s="1"/>
  <c r="D352" i="20"/>
  <c r="E352" i="20" s="1"/>
  <c r="F352" i="20" s="1"/>
  <c r="W352" i="20"/>
  <c r="D348" i="20"/>
  <c r="E348" i="20" s="1"/>
  <c r="F348" i="20" s="1"/>
  <c r="W348" i="20"/>
  <c r="D344" i="20"/>
  <c r="E344" i="20" s="1"/>
  <c r="F344" i="20" s="1"/>
  <c r="W344" i="20"/>
  <c r="D340" i="20"/>
  <c r="E340" i="20" s="1"/>
  <c r="F340" i="20" s="1"/>
  <c r="W340" i="20"/>
  <c r="D336" i="20"/>
  <c r="E336" i="20" s="1"/>
  <c r="F336" i="20" s="1"/>
  <c r="W336" i="20"/>
  <c r="D332" i="20"/>
  <c r="E332" i="20" s="1"/>
  <c r="F332" i="20" s="1"/>
  <c r="W332" i="20"/>
  <c r="D328" i="20"/>
  <c r="E328" i="20" s="1"/>
  <c r="F328" i="20" s="1"/>
  <c r="W328" i="20"/>
  <c r="W324" i="20"/>
  <c r="D324" i="20"/>
  <c r="E324" i="20" s="1"/>
  <c r="F324" i="20" s="1"/>
  <c r="W320" i="20"/>
  <c r="D320" i="20"/>
  <c r="E320" i="20" s="1"/>
  <c r="F320" i="20" s="1"/>
  <c r="D316" i="20"/>
  <c r="E316" i="20" s="1"/>
  <c r="F316" i="20" s="1"/>
  <c r="W316" i="20"/>
  <c r="W312" i="20"/>
  <c r="D312" i="20"/>
  <c r="E312" i="20" s="1"/>
  <c r="F312" i="20" s="1"/>
  <c r="W308" i="20"/>
  <c r="D308" i="20"/>
  <c r="E308" i="20" s="1"/>
  <c r="F308" i="20" s="1"/>
  <c r="W304" i="20"/>
  <c r="D304" i="20"/>
  <c r="E304" i="20" s="1"/>
  <c r="F304" i="20" s="1"/>
  <c r="W300" i="20"/>
  <c r="D300" i="20"/>
  <c r="E300" i="20" s="1"/>
  <c r="F300" i="20" s="1"/>
  <c r="W296" i="20"/>
  <c r="D296" i="20"/>
  <c r="E296" i="20" s="1"/>
  <c r="F296" i="20" s="1"/>
  <c r="D292" i="20"/>
  <c r="E292" i="20" s="1"/>
  <c r="F292" i="20" s="1"/>
  <c r="W292" i="20"/>
  <c r="B288" i="20"/>
  <c r="K66" i="19"/>
  <c r="W284" i="20"/>
  <c r="D284" i="20"/>
  <c r="E284" i="20" s="1"/>
  <c r="F284" i="20" s="1"/>
  <c r="D280" i="20"/>
  <c r="E280" i="20" s="1"/>
  <c r="F280" i="20" s="1"/>
  <c r="W280" i="20"/>
  <c r="W276" i="20"/>
  <c r="D276" i="20"/>
  <c r="E276" i="20" s="1"/>
  <c r="F276" i="20" s="1"/>
  <c r="AH28" i="7"/>
  <c r="V272" i="20"/>
  <c r="B272" i="20" s="1"/>
  <c r="W268" i="20"/>
  <c r="D268" i="20"/>
  <c r="E268" i="20" s="1"/>
  <c r="F268" i="20" s="1"/>
  <c r="W264" i="20"/>
  <c r="D264" i="20"/>
  <c r="E264" i="20" s="1"/>
  <c r="F264" i="20" s="1"/>
  <c r="D260" i="20"/>
  <c r="E260" i="20" s="1"/>
  <c r="F260" i="20" s="1"/>
  <c r="W260" i="20"/>
  <c r="D256" i="20"/>
  <c r="E256" i="20" s="1"/>
  <c r="F256" i="20" s="1"/>
  <c r="W256" i="20"/>
  <c r="W252" i="20"/>
  <c r="D252" i="20"/>
  <c r="E252" i="20" s="1"/>
  <c r="F252" i="20" s="1"/>
  <c r="D248" i="20"/>
  <c r="E248" i="20" s="1"/>
  <c r="F248" i="20" s="1"/>
  <c r="W248" i="20"/>
  <c r="W244" i="20"/>
  <c r="D244" i="20"/>
  <c r="E244" i="20" s="1"/>
  <c r="F244" i="20" s="1"/>
  <c r="W240" i="20"/>
  <c r="D240" i="20"/>
  <c r="E240" i="20" s="1"/>
  <c r="F240" i="20" s="1"/>
  <c r="D236" i="20"/>
  <c r="E236" i="20" s="1"/>
  <c r="F236" i="20" s="1"/>
  <c r="W236" i="20"/>
  <c r="W232" i="20"/>
  <c r="D232" i="20"/>
  <c r="E232" i="20" s="1"/>
  <c r="F232" i="20" s="1"/>
  <c r="W228" i="20"/>
  <c r="D228" i="20"/>
  <c r="E228" i="20" s="1"/>
  <c r="F228" i="20" s="1"/>
  <c r="D224" i="20"/>
  <c r="E224" i="20" s="1"/>
  <c r="F224" i="20" s="1"/>
  <c r="W224" i="20"/>
  <c r="W220" i="20"/>
  <c r="D220" i="20"/>
  <c r="E220" i="20" s="1"/>
  <c r="F220" i="20" s="1"/>
  <c r="W216" i="20"/>
  <c r="D216" i="20"/>
  <c r="E216" i="20" s="1"/>
  <c r="F216" i="20" s="1"/>
  <c r="D212" i="20"/>
  <c r="E212" i="20" s="1"/>
  <c r="F212" i="20" s="1"/>
  <c r="W212" i="20"/>
  <c r="D208" i="20"/>
  <c r="E208" i="20" s="1"/>
  <c r="F208" i="20" s="1"/>
  <c r="W208" i="20"/>
  <c r="D204" i="20"/>
  <c r="E204" i="20" s="1"/>
  <c r="F204" i="20" s="1"/>
  <c r="W204" i="20"/>
  <c r="W200" i="20"/>
  <c r="D200" i="20"/>
  <c r="E200" i="20" s="1"/>
  <c r="F200" i="20" s="1"/>
  <c r="B196" i="20"/>
  <c r="D192" i="20"/>
  <c r="E192" i="20" s="1"/>
  <c r="F192" i="20" s="1"/>
  <c r="W192" i="20"/>
  <c r="W188" i="20"/>
  <c r="D188" i="20"/>
  <c r="E188" i="20" s="1"/>
  <c r="F188" i="20" s="1"/>
  <c r="D184" i="20"/>
  <c r="E184" i="20" s="1"/>
  <c r="F184" i="20" s="1"/>
  <c r="W184" i="20"/>
  <c r="AH25" i="7"/>
  <c r="V180" i="20"/>
  <c r="B180" i="20" s="1"/>
  <c r="D176" i="20"/>
  <c r="E176" i="20" s="1"/>
  <c r="F176" i="20" s="1"/>
  <c r="W176" i="20"/>
  <c r="W172" i="20"/>
  <c r="D172" i="20"/>
  <c r="E172" i="20" s="1"/>
  <c r="F172" i="20" s="1"/>
  <c r="W168" i="20"/>
  <c r="D168" i="20"/>
  <c r="E168" i="20" s="1"/>
  <c r="F168" i="20" s="1"/>
  <c r="D164" i="20"/>
  <c r="E164" i="20" s="1"/>
  <c r="F164" i="20" s="1"/>
  <c r="W164" i="20"/>
  <c r="W160" i="20"/>
  <c r="D160" i="20"/>
  <c r="E160" i="20" s="1"/>
  <c r="F160" i="20" s="1"/>
  <c r="D156" i="20"/>
  <c r="E156" i="20" s="1"/>
  <c r="F156" i="20" s="1"/>
  <c r="W156" i="20"/>
  <c r="D152" i="20"/>
  <c r="E152" i="20" s="1"/>
  <c r="F152" i="20" s="1"/>
  <c r="W152" i="20"/>
  <c r="D148" i="20"/>
  <c r="E148" i="20" s="1"/>
  <c r="F148" i="20" s="1"/>
  <c r="W148" i="20"/>
  <c r="W144" i="20"/>
  <c r="D144" i="20"/>
  <c r="E144" i="20" s="1"/>
  <c r="F144" i="20" s="1"/>
  <c r="D140" i="20"/>
  <c r="E140" i="20" s="1"/>
  <c r="F140" i="20" s="1"/>
  <c r="W140" i="20"/>
  <c r="W136" i="20"/>
  <c r="D136" i="20"/>
  <c r="E136" i="20" s="1"/>
  <c r="F136" i="20" s="1"/>
  <c r="D132" i="20"/>
  <c r="E132" i="20" s="1"/>
  <c r="F132" i="20" s="1"/>
  <c r="W132" i="20"/>
  <c r="D128" i="20"/>
  <c r="E128" i="20" s="1"/>
  <c r="F128" i="20" s="1"/>
  <c r="W128" i="20"/>
  <c r="W124" i="20"/>
  <c r="D124" i="20"/>
  <c r="E124" i="20" s="1"/>
  <c r="F124" i="20" s="1"/>
  <c r="D120" i="20"/>
  <c r="E120" i="20" s="1"/>
  <c r="F120" i="20" s="1"/>
  <c r="W120" i="20"/>
  <c r="W116" i="20"/>
  <c r="D116" i="20"/>
  <c r="E116" i="20" s="1"/>
  <c r="F116" i="20" s="1"/>
  <c r="D112" i="20"/>
  <c r="E112" i="20" s="1"/>
  <c r="F112" i="20" s="1"/>
  <c r="W112" i="20"/>
  <c r="D108" i="20"/>
  <c r="E108" i="20" s="1"/>
  <c r="F108" i="20" s="1"/>
  <c r="W108" i="20"/>
  <c r="D104" i="20"/>
  <c r="E104" i="20" s="1"/>
  <c r="F104" i="20" s="1"/>
  <c r="W104" i="20"/>
  <c r="D100" i="20"/>
  <c r="E100" i="20" s="1"/>
  <c r="F100" i="20" s="1"/>
  <c r="W100" i="20"/>
  <c r="D96" i="20"/>
  <c r="E96" i="20" s="1"/>
  <c r="F96" i="20" s="1"/>
  <c r="W96" i="20"/>
  <c r="W92" i="20"/>
  <c r="D92" i="20"/>
  <c r="E92" i="20" s="1"/>
  <c r="F92" i="20" s="1"/>
  <c r="AH22" i="7"/>
  <c r="V88" i="20"/>
  <c r="B88" i="20" s="1"/>
  <c r="D84" i="20"/>
  <c r="E84" i="20" s="1"/>
  <c r="F84" i="20" s="1"/>
  <c r="W84" i="20"/>
  <c r="W80" i="20"/>
  <c r="D80" i="20"/>
  <c r="E80" i="20" s="1"/>
  <c r="F80" i="20" s="1"/>
  <c r="D76" i="20"/>
  <c r="E76" i="20" s="1"/>
  <c r="F76" i="20" s="1"/>
  <c r="W76" i="20"/>
  <c r="D72" i="20"/>
  <c r="E72" i="20" s="1"/>
  <c r="F72" i="20" s="1"/>
  <c r="W72" i="20"/>
  <c r="W68" i="20"/>
  <c r="D68" i="20"/>
  <c r="E68" i="20" s="1"/>
  <c r="F68" i="20" s="1"/>
  <c r="D64" i="20"/>
  <c r="E64" i="20" s="1"/>
  <c r="F64" i="20" s="1"/>
  <c r="W64" i="20"/>
  <c r="AH21" i="7"/>
  <c r="V60" i="20"/>
  <c r="B60" i="20" s="1"/>
  <c r="D56" i="20"/>
  <c r="E56" i="20" s="1"/>
  <c r="F56" i="20" s="1"/>
  <c r="W56" i="20"/>
  <c r="W52" i="20"/>
  <c r="D52" i="20"/>
  <c r="E52" i="20" s="1"/>
  <c r="F52" i="20" s="1"/>
  <c r="D48" i="20"/>
  <c r="E48" i="20" s="1"/>
  <c r="F48" i="20" s="1"/>
  <c r="W48" i="20"/>
  <c r="D44" i="20"/>
  <c r="E44" i="20" s="1"/>
  <c r="F44" i="20" s="1"/>
  <c r="W44" i="20"/>
  <c r="D40" i="20"/>
  <c r="E40" i="20" s="1"/>
  <c r="F40" i="20" s="1"/>
  <c r="W40" i="20"/>
  <c r="W36" i="20"/>
  <c r="D36" i="20"/>
  <c r="E36" i="20" s="1"/>
  <c r="F36" i="20" s="1"/>
  <c r="W32" i="20"/>
  <c r="D32" i="20"/>
  <c r="E32" i="20" s="1"/>
  <c r="F32" i="20" s="1"/>
  <c r="W28" i="20"/>
  <c r="D28" i="20"/>
  <c r="E28" i="20" s="1"/>
  <c r="F28" i="20" s="1"/>
  <c r="D24" i="20"/>
  <c r="E24" i="20" s="1"/>
  <c r="F24" i="20" s="1"/>
  <c r="W24" i="20"/>
  <c r="D20" i="20"/>
  <c r="E20" i="20" s="1"/>
  <c r="F20" i="20" s="1"/>
  <c r="W20" i="20"/>
  <c r="W16" i="20"/>
  <c r="D16" i="20"/>
  <c r="E16" i="20" s="1"/>
  <c r="F16" i="20" s="1"/>
  <c r="I331" i="18"/>
  <c r="B331" i="6" s="1"/>
  <c r="BA331" i="6" s="1"/>
  <c r="D331" i="6" s="1"/>
  <c r="J331" i="18"/>
  <c r="C331" i="6" s="1"/>
  <c r="D43" i="6"/>
  <c r="I105" i="18"/>
  <c r="B105" i="6" s="1"/>
  <c r="BA105" i="6" s="1"/>
  <c r="D105" i="6" s="1"/>
  <c r="J105" i="18"/>
  <c r="C105" i="6" s="1"/>
  <c r="I191" i="18"/>
  <c r="B191" i="6" s="1"/>
  <c r="BA191" i="6" s="1"/>
  <c r="D191" i="6" s="1"/>
  <c r="J191" i="18"/>
  <c r="C191" i="6" s="1"/>
  <c r="I151" i="18"/>
  <c r="B151" i="6" s="1"/>
  <c r="BA151" i="6" s="1"/>
  <c r="D151" i="6" s="1"/>
  <c r="J151" i="18"/>
  <c r="C151" i="6" s="1"/>
  <c r="J91" i="18"/>
  <c r="C91" i="6" s="1"/>
  <c r="I91" i="18"/>
  <c r="B91" i="6" s="1"/>
  <c r="BA91" i="6" s="1"/>
  <c r="D91" i="6" s="1"/>
  <c r="J137" i="18"/>
  <c r="C137" i="6" s="1"/>
  <c r="I137" i="18"/>
  <c r="B137" i="6" s="1"/>
  <c r="BA137" i="6" s="1"/>
  <c r="D137" i="6" s="1"/>
  <c r="J101" i="18"/>
  <c r="C101" i="6" s="1"/>
  <c r="I101" i="18"/>
  <c r="B101" i="6" s="1"/>
  <c r="BA101" i="6" s="1"/>
  <c r="D101" i="6" s="1"/>
  <c r="J381" i="16"/>
  <c r="J382" i="16"/>
  <c r="J383" i="16"/>
  <c r="B380" i="6"/>
  <c r="BA380" i="6" s="1"/>
  <c r="D380" i="6" s="1"/>
  <c r="H380" i="20"/>
  <c r="I38" i="18"/>
  <c r="B38" i="6" s="1"/>
  <c r="BA38" i="6" s="1"/>
  <c r="D38" i="6" s="1"/>
  <c r="J38" i="18"/>
  <c r="C38" i="6" s="1"/>
  <c r="J244" i="18"/>
  <c r="C244" i="6" s="1"/>
  <c r="I244" i="18"/>
  <c r="B244" i="6" s="1"/>
  <c r="BA244" i="6" s="1"/>
  <c r="D244" i="6" s="1"/>
  <c r="I148" i="18"/>
  <c r="B148" i="6" s="1"/>
  <c r="BA148" i="6" s="1"/>
  <c r="D148" i="6" s="1"/>
  <c r="J148" i="18"/>
  <c r="C148" i="6" s="1"/>
  <c r="I220" i="18"/>
  <c r="B220" i="6" s="1"/>
  <c r="BA220" i="6" s="1"/>
  <c r="D220" i="6" s="1"/>
  <c r="J220" i="18"/>
  <c r="C220" i="6" s="1"/>
  <c r="I279" i="18"/>
  <c r="B279" i="6" s="1"/>
  <c r="BA279" i="6" s="1"/>
  <c r="D279" i="6" s="1"/>
  <c r="J279" i="18"/>
  <c r="C279" i="6" s="1"/>
  <c r="J217" i="18"/>
  <c r="C217" i="6" s="1"/>
  <c r="I217" i="18"/>
  <c r="B217" i="6" s="1"/>
  <c r="BA217" i="6" s="1"/>
  <c r="D217" i="6" s="1"/>
  <c r="J169" i="18"/>
  <c r="C169" i="6" s="1"/>
  <c r="I169" i="18"/>
  <c r="B169" i="6" s="1"/>
  <c r="BA169" i="6" s="1"/>
  <c r="I61" i="18"/>
  <c r="B61" i="6" s="1"/>
  <c r="BA61" i="6" s="1"/>
  <c r="D61" i="6" s="1"/>
  <c r="J61" i="18"/>
  <c r="C61" i="6" s="1"/>
  <c r="J120" i="18"/>
  <c r="C120" i="6" s="1"/>
  <c r="I120" i="18"/>
  <c r="B120" i="6" s="1"/>
  <c r="BA120" i="6" s="1"/>
  <c r="D120" i="6" s="1"/>
  <c r="J30" i="18"/>
  <c r="C30" i="6" s="1"/>
  <c r="I30" i="18"/>
  <c r="B30" i="6" s="1"/>
  <c r="BA30" i="6" s="1"/>
  <c r="D30" i="6" s="1"/>
  <c r="I314" i="18"/>
  <c r="B314" i="6" s="1"/>
  <c r="BA314" i="6" s="1"/>
  <c r="D314" i="6" s="1"/>
  <c r="J314" i="18"/>
  <c r="C314" i="6" s="1"/>
  <c r="I194" i="18"/>
  <c r="B194" i="6" s="1"/>
  <c r="BA194" i="6" s="1"/>
  <c r="D194" i="6" s="1"/>
  <c r="J194" i="18"/>
  <c r="C194" i="6" s="1"/>
  <c r="J150" i="18"/>
  <c r="C150" i="6" s="1"/>
  <c r="I150" i="18"/>
  <c r="B150" i="6" s="1"/>
  <c r="BA150" i="6" s="1"/>
  <c r="D150" i="6" s="1"/>
  <c r="J219" i="18"/>
  <c r="C219" i="6" s="1"/>
  <c r="I219" i="18"/>
  <c r="B219" i="6" s="1"/>
  <c r="BA219" i="6" s="1"/>
  <c r="D219" i="6" s="1"/>
  <c r="I173" i="18"/>
  <c r="B173" i="6" s="1"/>
  <c r="BA173" i="6" s="1"/>
  <c r="D173" i="6" s="1"/>
  <c r="J173" i="18"/>
  <c r="C173" i="6" s="1"/>
  <c r="J360" i="18"/>
  <c r="C360" i="6" s="1"/>
  <c r="I360" i="18"/>
  <c r="B360" i="6" s="1"/>
  <c r="BA360" i="6" s="1"/>
  <c r="D360" i="6" s="1"/>
  <c r="I116" i="18"/>
  <c r="B116" i="6" s="1"/>
  <c r="BA116" i="6" s="1"/>
  <c r="D116" i="6" s="1"/>
  <c r="J116" i="18"/>
  <c r="C116" i="6" s="1"/>
  <c r="I176" i="18"/>
  <c r="B176" i="6" s="1"/>
  <c r="BA176" i="6" s="1"/>
  <c r="D176" i="6" s="1"/>
  <c r="J176" i="18"/>
  <c r="C176" i="6" s="1"/>
  <c r="I154" i="18"/>
  <c r="B154" i="6" s="1"/>
  <c r="BA154" i="6" s="1"/>
  <c r="D154" i="6" s="1"/>
  <c r="J154" i="18"/>
  <c r="C154" i="6" s="1"/>
  <c r="J187" i="18"/>
  <c r="C187" i="6" s="1"/>
  <c r="I187" i="18"/>
  <c r="B187" i="6" s="1"/>
  <c r="BA187" i="6" s="1"/>
  <c r="D187" i="6" s="1"/>
  <c r="J131" i="18"/>
  <c r="C131" i="6" s="1"/>
  <c r="I131" i="18"/>
  <c r="B131" i="6" s="1"/>
  <c r="BA131" i="6" s="1"/>
  <c r="D131" i="6" s="1"/>
  <c r="J249" i="18"/>
  <c r="C249" i="6" s="1"/>
  <c r="I249" i="18"/>
  <c r="B249" i="6" s="1"/>
  <c r="BA249" i="6" s="1"/>
  <c r="D249" i="6" s="1"/>
  <c r="I197" i="18"/>
  <c r="B197" i="6" s="1"/>
  <c r="BA197" i="6" s="1"/>
  <c r="J197" i="18"/>
  <c r="C197" i="6" s="1"/>
  <c r="I322" i="18"/>
  <c r="B322" i="6" s="1"/>
  <c r="BA322" i="6" s="1"/>
  <c r="D322" i="6" s="1"/>
  <c r="J322" i="18"/>
  <c r="C322" i="6" s="1"/>
  <c r="G349" i="18"/>
  <c r="CA349" i="6" s="1"/>
  <c r="AA349" i="18"/>
  <c r="Z349" i="18" s="1"/>
  <c r="Y349" i="18" s="1"/>
  <c r="AA333" i="18"/>
  <c r="Z333" i="18" s="1"/>
  <c r="Y333" i="18" s="1"/>
  <c r="G333" i="18"/>
  <c r="CA333" i="6" s="1"/>
  <c r="AA241" i="18"/>
  <c r="Z241" i="18" s="1"/>
  <c r="Y241" i="18" s="1"/>
  <c r="G241" i="18"/>
  <c r="CA241" i="6" s="1"/>
  <c r="G105" i="18"/>
  <c r="CA105" i="6" s="1"/>
  <c r="AA105" i="18"/>
  <c r="Z105" i="18" s="1"/>
  <c r="Y105" i="18" s="1"/>
  <c r="AA29" i="18"/>
  <c r="Z29" i="18" s="1"/>
  <c r="Y29" i="18" s="1"/>
  <c r="G29" i="18"/>
  <c r="CA29" i="6" s="1"/>
  <c r="I338" i="18"/>
  <c r="B338" i="6" s="1"/>
  <c r="BA338" i="6" s="1"/>
  <c r="D338" i="6" s="1"/>
  <c r="J338" i="18"/>
  <c r="C338" i="6" s="1"/>
  <c r="I346" i="18"/>
  <c r="B346" i="6" s="1"/>
  <c r="BA346" i="6" s="1"/>
  <c r="D346" i="6" s="1"/>
  <c r="J346" i="18"/>
  <c r="C346" i="6" s="1"/>
  <c r="G302" i="18"/>
  <c r="CA302" i="6" s="1"/>
  <c r="AA302" i="18"/>
  <c r="Z302" i="18" s="1"/>
  <c r="Y302" i="18" s="1"/>
  <c r="AA196" i="18"/>
  <c r="Z196" i="18" s="1"/>
  <c r="Y196" i="18" s="1"/>
  <c r="G196" i="18"/>
  <c r="CA196" i="6" s="1"/>
  <c r="G74" i="18"/>
  <c r="CA74" i="6" s="1"/>
  <c r="AA74" i="18"/>
  <c r="Z74" i="18" s="1"/>
  <c r="Y74" i="18" s="1"/>
  <c r="J272" i="18"/>
  <c r="C272" i="6" s="1"/>
  <c r="I272" i="18"/>
  <c r="B272" i="6" s="1"/>
  <c r="BA272" i="6" s="1"/>
  <c r="D272" i="6" s="1"/>
  <c r="I258" i="18"/>
  <c r="B258" i="6" s="1"/>
  <c r="BA258" i="6" s="1"/>
  <c r="D258" i="6" s="1"/>
  <c r="J258" i="18"/>
  <c r="C258" i="6" s="1"/>
  <c r="I179" i="18"/>
  <c r="B179" i="6" s="1"/>
  <c r="BA179" i="6" s="1"/>
  <c r="D179" i="6" s="1"/>
  <c r="J179" i="18"/>
  <c r="C179" i="6" s="1"/>
  <c r="J19" i="18"/>
  <c r="C19" i="6" s="1"/>
  <c r="I19" i="18"/>
  <c r="B19" i="6" s="1"/>
  <c r="BA19" i="6" s="1"/>
  <c r="D19" i="6" s="1"/>
  <c r="I340" i="18"/>
  <c r="B340" i="6" s="1"/>
  <c r="BA340" i="6" s="1"/>
  <c r="D340" i="6" s="1"/>
  <c r="J340" i="18"/>
  <c r="C340" i="6" s="1"/>
  <c r="H333" i="18"/>
  <c r="I271" i="18"/>
  <c r="B271" i="6" s="1"/>
  <c r="BA271" i="6" s="1"/>
  <c r="D271" i="6" s="1"/>
  <c r="J271" i="18"/>
  <c r="C271" i="6" s="1"/>
  <c r="J167" i="18"/>
  <c r="C167" i="6" s="1"/>
  <c r="I167" i="18"/>
  <c r="B167" i="6" s="1"/>
  <c r="BA167" i="6" s="1"/>
  <c r="D167" i="6" s="1"/>
  <c r="I63" i="18"/>
  <c r="B63" i="6" s="1"/>
  <c r="BA63" i="6" s="1"/>
  <c r="D63" i="6" s="1"/>
  <c r="J63" i="18"/>
  <c r="C63" i="6" s="1"/>
  <c r="J369" i="18"/>
  <c r="C369" i="6" s="1"/>
  <c r="I369" i="18"/>
  <c r="B369" i="6" s="1"/>
  <c r="BA369" i="6" s="1"/>
  <c r="D369" i="6" s="1"/>
  <c r="I145" i="18"/>
  <c r="B145" i="6" s="1"/>
  <c r="BA145" i="6" s="1"/>
  <c r="D145" i="6" s="1"/>
  <c r="J145" i="18"/>
  <c r="C145" i="6" s="1"/>
  <c r="J25" i="18"/>
  <c r="C25" i="6" s="1"/>
  <c r="I25" i="18"/>
  <c r="B25" i="6" s="1"/>
  <c r="BA25" i="6" s="1"/>
  <c r="D25" i="6" s="1"/>
  <c r="I344" i="18"/>
  <c r="B344" i="6" s="1"/>
  <c r="BA344" i="6" s="1"/>
  <c r="D344" i="6" s="1"/>
  <c r="J344" i="18"/>
  <c r="C344" i="6" s="1"/>
  <c r="I138" i="18"/>
  <c r="B138" i="6" s="1"/>
  <c r="BA138" i="6" s="1"/>
  <c r="D138" i="6" s="1"/>
  <c r="J138" i="18"/>
  <c r="C138" i="6" s="1"/>
  <c r="I334" i="18"/>
  <c r="B334" i="6" s="1"/>
  <c r="BA334" i="6" s="1"/>
  <c r="D334" i="6" s="1"/>
  <c r="J334" i="18"/>
  <c r="C334" i="6" s="1"/>
  <c r="J278" i="18"/>
  <c r="C278" i="6" s="1"/>
  <c r="I278" i="18"/>
  <c r="B278" i="6" s="1"/>
  <c r="BA278" i="6" s="1"/>
  <c r="D278" i="6" s="1"/>
  <c r="I256" i="18"/>
  <c r="B256" i="6" s="1"/>
  <c r="BA256" i="6" s="1"/>
  <c r="D256" i="6" s="1"/>
  <c r="J256" i="18"/>
  <c r="C256" i="6" s="1"/>
  <c r="J263" i="18"/>
  <c r="C263" i="6" s="1"/>
  <c r="I263" i="18"/>
  <c r="B263" i="6" s="1"/>
  <c r="BA263" i="6" s="1"/>
  <c r="D263" i="6" s="1"/>
  <c r="J33" i="18"/>
  <c r="C33" i="6" s="1"/>
  <c r="I33" i="18"/>
  <c r="B33" i="6" s="1"/>
  <c r="BA33" i="6" s="1"/>
  <c r="D33" i="6" s="1"/>
  <c r="I336" i="18"/>
  <c r="B336" i="6" s="1"/>
  <c r="BA336" i="6" s="1"/>
  <c r="D336" i="6" s="1"/>
  <c r="J336" i="18"/>
  <c r="C336" i="6" s="1"/>
  <c r="J106" i="18"/>
  <c r="C106" i="6" s="1"/>
  <c r="I106" i="18"/>
  <c r="B106" i="6" s="1"/>
  <c r="BA106" i="6" s="1"/>
  <c r="D106" i="6" s="1"/>
  <c r="J268" i="18"/>
  <c r="C268" i="6" s="1"/>
  <c r="I268" i="18"/>
  <c r="B268" i="6" s="1"/>
  <c r="BA268" i="6" s="1"/>
  <c r="D268" i="6" s="1"/>
  <c r="J212" i="18"/>
  <c r="C212" i="6" s="1"/>
  <c r="I212" i="18"/>
  <c r="B212" i="6" s="1"/>
  <c r="BA212" i="6" s="1"/>
  <c r="D212" i="6" s="1"/>
  <c r="J231" i="18"/>
  <c r="C231" i="6" s="1"/>
  <c r="I231" i="18"/>
  <c r="B231" i="6" s="1"/>
  <c r="BA231" i="6" s="1"/>
  <c r="D231" i="6" s="1"/>
  <c r="J111" i="18"/>
  <c r="C111" i="6" s="1"/>
  <c r="I111" i="18"/>
  <c r="B111" i="6" s="1"/>
  <c r="BA111" i="6" s="1"/>
  <c r="D111" i="6" s="1"/>
  <c r="J233" i="18"/>
  <c r="C233" i="6" s="1"/>
  <c r="I233" i="18"/>
  <c r="B233" i="6" s="1"/>
  <c r="BA233" i="6" s="1"/>
  <c r="D233" i="6" s="1"/>
  <c r="J328" i="18"/>
  <c r="C328" i="6" s="1"/>
  <c r="I328" i="18"/>
  <c r="B328" i="6" s="1"/>
  <c r="BA328" i="6" s="1"/>
  <c r="D328" i="6" s="1"/>
  <c r="J136" i="18"/>
  <c r="C136" i="6" s="1"/>
  <c r="I136" i="18"/>
  <c r="B136" i="6" s="1"/>
  <c r="BA136" i="6" s="1"/>
  <c r="D136" i="6" s="1"/>
  <c r="H302" i="18"/>
  <c r="J202" i="18"/>
  <c r="C202" i="6" s="1"/>
  <c r="I202" i="18"/>
  <c r="B202" i="6" s="1"/>
  <c r="BA202" i="6" s="1"/>
  <c r="D202" i="6" s="1"/>
  <c r="J291" i="18"/>
  <c r="C291" i="6" s="1"/>
  <c r="I291" i="18"/>
  <c r="B291" i="6" s="1"/>
  <c r="BA291" i="6" s="1"/>
  <c r="D291" i="6" s="1"/>
  <c r="J257" i="18"/>
  <c r="C257" i="6" s="1"/>
  <c r="I257" i="18"/>
  <c r="B257" i="6" s="1"/>
  <c r="BA257" i="6" s="1"/>
  <c r="D257" i="6" s="1"/>
  <c r="I157" i="18"/>
  <c r="B157" i="6" s="1"/>
  <c r="BA157" i="6" s="1"/>
  <c r="D157" i="6" s="1"/>
  <c r="J157" i="18"/>
  <c r="C157" i="6" s="1"/>
  <c r="I24" i="18"/>
  <c r="B24" i="6" s="1"/>
  <c r="BA24" i="6" s="1"/>
  <c r="D24" i="6" s="1"/>
  <c r="J24" i="18"/>
  <c r="C24" i="6" s="1"/>
  <c r="I308" i="18"/>
  <c r="B308" i="6" s="1"/>
  <c r="BA308" i="6" s="1"/>
  <c r="D308" i="6" s="1"/>
  <c r="J308" i="18"/>
  <c r="C308" i="6" s="1"/>
  <c r="I266" i="18"/>
  <c r="B266" i="6" s="1"/>
  <c r="BA266" i="6" s="1"/>
  <c r="D266" i="6" s="1"/>
  <c r="J266" i="18"/>
  <c r="C266" i="6" s="1"/>
  <c r="J168" i="18"/>
  <c r="C168" i="6" s="1"/>
  <c r="I168" i="18"/>
  <c r="B168" i="6" s="1"/>
  <c r="BA168" i="6" s="1"/>
  <c r="D168" i="6" s="1"/>
  <c r="D323" i="6"/>
  <c r="I235" i="18"/>
  <c r="B235" i="6" s="1"/>
  <c r="BA235" i="6" s="1"/>
  <c r="D235" i="6" s="1"/>
  <c r="J235" i="18"/>
  <c r="C235" i="6" s="1"/>
  <c r="I83" i="18"/>
  <c r="B83" i="6" s="1"/>
  <c r="BA83" i="6" s="1"/>
  <c r="D83" i="6" s="1"/>
  <c r="J83" i="18"/>
  <c r="C83" i="6" s="1"/>
  <c r="J59" i="18"/>
  <c r="C59" i="6" s="1"/>
  <c r="I59" i="18"/>
  <c r="B59" i="6" s="1"/>
  <c r="BA59" i="6" s="1"/>
  <c r="D59" i="6" s="1"/>
  <c r="J133" i="18"/>
  <c r="C133" i="6" s="1"/>
  <c r="I133" i="18"/>
  <c r="B133" i="6" s="1"/>
  <c r="BA133" i="6" s="1"/>
  <c r="D133" i="6" s="1"/>
  <c r="J348" i="18"/>
  <c r="C348" i="6" s="1"/>
  <c r="I348" i="18"/>
  <c r="B348" i="6" s="1"/>
  <c r="BA348" i="6" s="1"/>
  <c r="D348" i="6" s="1"/>
  <c r="AA227" i="18"/>
  <c r="Z227" i="18" s="1"/>
  <c r="Y227" i="18" s="1"/>
  <c r="G227" i="18"/>
  <c r="CA227" i="6" s="1"/>
  <c r="AA135" i="18"/>
  <c r="Z135" i="18" s="1"/>
  <c r="Y135" i="18" s="1"/>
  <c r="G135" i="18"/>
  <c r="CA135" i="6" s="1"/>
  <c r="I88" i="18"/>
  <c r="B88" i="6" s="1"/>
  <c r="BA88" i="6" s="1"/>
  <c r="D88" i="6" s="1"/>
  <c r="J88" i="18"/>
  <c r="C88" i="6" s="1"/>
  <c r="AA210" i="18"/>
  <c r="Z210" i="18" s="1"/>
  <c r="Y210" i="18" s="1"/>
  <c r="G210" i="18"/>
  <c r="CA210" i="6" s="1"/>
  <c r="G88" i="18"/>
  <c r="CA88" i="6" s="1"/>
  <c r="AA88" i="18"/>
  <c r="Z88" i="18" s="1"/>
  <c r="Y88" i="18" s="1"/>
  <c r="D365" i="6"/>
  <c r="T379" i="22"/>
  <c r="U12" i="23"/>
  <c r="AN16" i="7"/>
  <c r="AT11" i="7" s="1"/>
  <c r="U11" i="23" s="1"/>
  <c r="T375" i="22"/>
  <c r="T371" i="22"/>
  <c r="T367" i="22"/>
  <c r="T363" i="22"/>
  <c r="T359" i="22"/>
  <c r="T355" i="22"/>
  <c r="T351" i="22"/>
  <c r="T347" i="22"/>
  <c r="T343" i="22"/>
  <c r="T339" i="22"/>
  <c r="T335" i="22"/>
  <c r="T331" i="22"/>
  <c r="T327" i="22"/>
  <c r="T323" i="22"/>
  <c r="T319" i="22"/>
  <c r="T315" i="22"/>
  <c r="T311" i="22"/>
  <c r="T307" i="22"/>
  <c r="T303" i="22"/>
  <c r="T299" i="22"/>
  <c r="T295" i="22"/>
  <c r="T291" i="22"/>
  <c r="T287" i="22"/>
  <c r="T283" i="22"/>
  <c r="T279" i="22"/>
  <c r="T275" i="22"/>
  <c r="T271" i="22"/>
  <c r="T267" i="22"/>
  <c r="T263" i="22"/>
  <c r="T259" i="22"/>
  <c r="T255" i="22"/>
  <c r="T251" i="22"/>
  <c r="T247" i="22"/>
  <c r="T243" i="22"/>
  <c r="T239" i="22"/>
  <c r="T235" i="22"/>
  <c r="T231" i="22"/>
  <c r="T227" i="22"/>
  <c r="T223" i="22"/>
  <c r="T219" i="22"/>
  <c r="T215" i="22"/>
  <c r="T211" i="22"/>
  <c r="T207" i="22"/>
  <c r="T203" i="22"/>
  <c r="T199" i="22"/>
  <c r="T195" i="22"/>
  <c r="T191" i="22"/>
  <c r="T187" i="22"/>
  <c r="T181" i="22"/>
  <c r="T179" i="22"/>
  <c r="T175" i="22"/>
  <c r="T173" i="22"/>
  <c r="T171" i="22"/>
  <c r="T167" i="22"/>
  <c r="T165" i="22"/>
  <c r="T163" i="22"/>
  <c r="T159" i="22"/>
  <c r="T157" i="22"/>
  <c r="T155" i="22"/>
  <c r="T149" i="22"/>
  <c r="T147" i="22"/>
  <c r="T143" i="22"/>
  <c r="T141" i="22"/>
  <c r="T139" i="22"/>
  <c r="T135" i="22"/>
  <c r="T133" i="22"/>
  <c r="T131" i="22"/>
  <c r="T127" i="22"/>
  <c r="T125" i="22"/>
  <c r="T123" i="22"/>
  <c r="T117" i="22"/>
  <c r="T115" i="22"/>
  <c r="T111" i="22"/>
  <c r="T109" i="22"/>
  <c r="T107" i="22"/>
  <c r="T103" i="22"/>
  <c r="T101" i="22"/>
  <c r="T99" i="22"/>
  <c r="T95" i="22"/>
  <c r="T93" i="22"/>
  <c r="T91" i="22"/>
  <c r="T85" i="22"/>
  <c r="T83" i="22"/>
  <c r="T79" i="22"/>
  <c r="T77" i="22"/>
  <c r="T75" i="22"/>
  <c r="T71" i="22"/>
  <c r="T69" i="22"/>
  <c r="T67" i="22"/>
  <c r="T63" i="22"/>
  <c r="T61" i="22"/>
  <c r="T59" i="22"/>
  <c r="T53" i="22"/>
  <c r="T51" i="22"/>
  <c r="T47" i="22"/>
  <c r="T45" i="22"/>
  <c r="T43" i="22"/>
  <c r="T39" i="22"/>
  <c r="T37" i="22"/>
  <c r="T35" i="22"/>
  <c r="T31" i="22"/>
  <c r="T29" i="22"/>
  <c r="T27" i="22"/>
  <c r="T21" i="22"/>
  <c r="T15" i="22"/>
  <c r="U381" i="22"/>
  <c r="U382" i="22"/>
  <c r="T16" i="22"/>
  <c r="T18" i="22"/>
  <c r="H74" i="18"/>
  <c r="I142" i="18"/>
  <c r="B142" i="6" s="1"/>
  <c r="BA142" i="6" s="1"/>
  <c r="D142" i="6" s="1"/>
  <c r="J142" i="18"/>
  <c r="C142" i="6" s="1"/>
  <c r="D57" i="6"/>
  <c r="D253" i="6"/>
  <c r="G383" i="17"/>
  <c r="G12" i="17" s="1"/>
  <c r="G381" i="17"/>
  <c r="G382" i="17"/>
  <c r="J139" i="18"/>
  <c r="C139" i="6" s="1"/>
  <c r="I139" i="18"/>
  <c r="B139" i="6" s="1"/>
  <c r="BA139" i="6" s="1"/>
  <c r="D139" i="6" s="1"/>
  <c r="I205" i="18"/>
  <c r="B205" i="6" s="1"/>
  <c r="BA205" i="6" s="1"/>
  <c r="D205" i="6" s="1"/>
  <c r="J205" i="18"/>
  <c r="C205" i="6" s="1"/>
  <c r="I134" i="18"/>
  <c r="B134" i="6" s="1"/>
  <c r="BA134" i="6" s="1"/>
  <c r="D134" i="6" s="1"/>
  <c r="J134" i="18"/>
  <c r="C134" i="6" s="1"/>
  <c r="D351" i="6"/>
  <c r="I255" i="18"/>
  <c r="B255" i="6" s="1"/>
  <c r="BA255" i="6" s="1"/>
  <c r="D255" i="6" s="1"/>
  <c r="J255" i="18"/>
  <c r="C255" i="6" s="1"/>
  <c r="I175" i="18"/>
  <c r="B175" i="6" s="1"/>
  <c r="BA175" i="6" s="1"/>
  <c r="D175" i="6" s="1"/>
  <c r="J175" i="18"/>
  <c r="C175" i="6" s="1"/>
  <c r="I135" i="18"/>
  <c r="B135" i="6" s="1"/>
  <c r="BA135" i="6" s="1"/>
  <c r="D135" i="6" s="1"/>
  <c r="J135" i="18"/>
  <c r="C135" i="6" s="1"/>
  <c r="J39" i="18"/>
  <c r="C39" i="6" s="1"/>
  <c r="I39" i="18"/>
  <c r="B39" i="6" s="1"/>
  <c r="BA39" i="6" s="1"/>
  <c r="D39" i="6" s="1"/>
  <c r="I17" i="18"/>
  <c r="B17" i="6" s="1"/>
  <c r="BA17" i="6" s="1"/>
  <c r="D17" i="6" s="1"/>
  <c r="J17" i="18"/>
  <c r="C17" i="6" s="1"/>
  <c r="J110" i="18"/>
  <c r="C110" i="6" s="1"/>
  <c r="I110" i="18"/>
  <c r="B110" i="6" s="1"/>
  <c r="BA110" i="6" s="1"/>
  <c r="D110" i="6" s="1"/>
  <c r="I76" i="18"/>
  <c r="B76" i="6" s="1"/>
  <c r="BA76" i="6" s="1"/>
  <c r="D76" i="6" s="1"/>
  <c r="J76" i="18"/>
  <c r="C76" i="6" s="1"/>
  <c r="J304" i="18"/>
  <c r="C304" i="6" s="1"/>
  <c r="I304" i="18"/>
  <c r="B304" i="6" s="1"/>
  <c r="BA304" i="6" s="1"/>
  <c r="D304" i="6" s="1"/>
  <c r="I286" i="18"/>
  <c r="B286" i="6" s="1"/>
  <c r="BA286" i="6" s="1"/>
  <c r="D286" i="6" s="1"/>
  <c r="J286" i="18"/>
  <c r="C286" i="6" s="1"/>
  <c r="I234" i="18"/>
  <c r="B234" i="6" s="1"/>
  <c r="BA234" i="6" s="1"/>
  <c r="D234" i="6" s="1"/>
  <c r="J234" i="18"/>
  <c r="C234" i="6" s="1"/>
  <c r="J218" i="18"/>
  <c r="C218" i="6" s="1"/>
  <c r="I218" i="18"/>
  <c r="B218" i="6" s="1"/>
  <c r="BA218" i="6" s="1"/>
  <c r="D218" i="6" s="1"/>
  <c r="I361" i="18"/>
  <c r="B361" i="6" s="1"/>
  <c r="BA361" i="6" s="1"/>
  <c r="D361" i="6" s="1"/>
  <c r="J361" i="18"/>
  <c r="C361" i="6" s="1"/>
  <c r="J325" i="18"/>
  <c r="C325" i="6" s="1"/>
  <c r="I325" i="18"/>
  <c r="B325" i="6" s="1"/>
  <c r="BA325" i="6" s="1"/>
  <c r="D325" i="6" s="1"/>
  <c r="I117" i="18"/>
  <c r="B117" i="6" s="1"/>
  <c r="BA117" i="6" s="1"/>
  <c r="D117" i="6" s="1"/>
  <c r="J117" i="18"/>
  <c r="C117" i="6" s="1"/>
  <c r="Y379" i="16"/>
  <c r="Z382" i="16"/>
  <c r="AL8" i="16"/>
  <c r="Z383" i="16"/>
  <c r="Z9" i="16"/>
  <c r="Z381" i="16"/>
  <c r="J347" i="18"/>
  <c r="C347" i="6" s="1"/>
  <c r="I347" i="18"/>
  <c r="B347" i="6" s="1"/>
  <c r="BA347" i="6" s="1"/>
  <c r="D347" i="6" s="1"/>
  <c r="J251" i="18"/>
  <c r="C251" i="6" s="1"/>
  <c r="I251" i="18"/>
  <c r="B251" i="6" s="1"/>
  <c r="BA251" i="6" s="1"/>
  <c r="D251" i="6" s="1"/>
  <c r="J67" i="18"/>
  <c r="C67" i="6" s="1"/>
  <c r="I67" i="18"/>
  <c r="B67" i="6" s="1"/>
  <c r="BA67" i="6" s="1"/>
  <c r="D67" i="6" s="1"/>
  <c r="J125" i="18"/>
  <c r="C125" i="6" s="1"/>
  <c r="I125" i="18"/>
  <c r="B125" i="6" s="1"/>
  <c r="BA125" i="6" s="1"/>
  <c r="D125" i="6" s="1"/>
  <c r="G363" i="18"/>
  <c r="CA363" i="6" s="1"/>
  <c r="AA363" i="18"/>
  <c r="Z363" i="18" s="1"/>
  <c r="Y363" i="18" s="1"/>
  <c r="I275" i="18"/>
  <c r="B275" i="6" s="1"/>
  <c r="BA275" i="6" s="1"/>
  <c r="D275" i="6" s="1"/>
  <c r="J275" i="18"/>
  <c r="C275" i="6" s="1"/>
  <c r="I247" i="18"/>
  <c r="B247" i="6" s="1"/>
  <c r="BA247" i="6" s="1"/>
  <c r="D247" i="6" s="1"/>
  <c r="J247" i="18"/>
  <c r="C247" i="6" s="1"/>
  <c r="J183" i="18"/>
  <c r="C183" i="6" s="1"/>
  <c r="I183" i="18"/>
  <c r="B183" i="6" s="1"/>
  <c r="BA183" i="6" s="1"/>
  <c r="I159" i="18"/>
  <c r="B159" i="6" s="1"/>
  <c r="BA159" i="6" s="1"/>
  <c r="D159" i="6" s="1"/>
  <c r="J159" i="18"/>
  <c r="C159" i="6" s="1"/>
  <c r="I143" i="18"/>
  <c r="B143" i="6" s="1"/>
  <c r="BA143" i="6" s="1"/>
  <c r="D143" i="6" s="1"/>
  <c r="J143" i="18"/>
  <c r="C143" i="6" s="1"/>
  <c r="J127" i="18"/>
  <c r="C127" i="6" s="1"/>
  <c r="I127" i="18"/>
  <c r="B127" i="6" s="1"/>
  <c r="BA127" i="6" s="1"/>
  <c r="I79" i="18"/>
  <c r="B79" i="6" s="1"/>
  <c r="BA79" i="6" s="1"/>
  <c r="D79" i="6" s="1"/>
  <c r="J79" i="18"/>
  <c r="C79" i="6" s="1"/>
  <c r="I345" i="18"/>
  <c r="B345" i="6" s="1"/>
  <c r="BA345" i="6" s="1"/>
  <c r="D345" i="6" s="1"/>
  <c r="J345" i="18"/>
  <c r="C345" i="6" s="1"/>
  <c r="I129" i="18"/>
  <c r="B129" i="6" s="1"/>
  <c r="BA129" i="6" s="1"/>
  <c r="D129" i="6" s="1"/>
  <c r="J129" i="18"/>
  <c r="C129" i="6" s="1"/>
  <c r="J93" i="18"/>
  <c r="C93" i="6" s="1"/>
  <c r="I93" i="18"/>
  <c r="B93" i="6" s="1"/>
  <c r="BA93" i="6" s="1"/>
  <c r="D93" i="6" s="1"/>
  <c r="AD382" i="18"/>
  <c r="AD383" i="18"/>
  <c r="AD381" i="18"/>
  <c r="J130" i="18"/>
  <c r="C130" i="6" s="1"/>
  <c r="I130" i="18"/>
  <c r="B130" i="6" s="1"/>
  <c r="BA130" i="6" s="1"/>
  <c r="D130" i="6" s="1"/>
  <c r="J112" i="18"/>
  <c r="C112" i="6" s="1"/>
  <c r="I112" i="18"/>
  <c r="B112" i="6" s="1"/>
  <c r="BA112" i="6" s="1"/>
  <c r="D112" i="6" s="1"/>
  <c r="I60" i="18"/>
  <c r="B60" i="6" s="1"/>
  <c r="BA60" i="6" s="1"/>
  <c r="D60" i="6" s="1"/>
  <c r="J60" i="18"/>
  <c r="C60" i="6" s="1"/>
  <c r="I290" i="18"/>
  <c r="B290" i="6" s="1"/>
  <c r="BA290" i="6" s="1"/>
  <c r="D290" i="6" s="1"/>
  <c r="J290" i="18"/>
  <c r="C290" i="6" s="1"/>
  <c r="J282" i="18"/>
  <c r="C282" i="6" s="1"/>
  <c r="I282" i="18"/>
  <c r="B282" i="6" s="1"/>
  <c r="BA282" i="6" s="1"/>
  <c r="D282" i="6" s="1"/>
  <c r="I242" i="18"/>
  <c r="B242" i="6" s="1"/>
  <c r="BA242" i="6" s="1"/>
  <c r="D242" i="6" s="1"/>
  <c r="J242" i="18"/>
  <c r="C242" i="6" s="1"/>
  <c r="I226" i="18"/>
  <c r="B226" i="6" s="1"/>
  <c r="BA226" i="6" s="1"/>
  <c r="D226" i="6" s="1"/>
  <c r="J226" i="18"/>
  <c r="C226" i="6" s="1"/>
  <c r="J184" i="18"/>
  <c r="C184" i="6" s="1"/>
  <c r="I184" i="18"/>
  <c r="B184" i="6" s="1"/>
  <c r="BA184" i="6" s="1"/>
  <c r="D184" i="6" s="1"/>
  <c r="I357" i="18"/>
  <c r="B357" i="6" s="1"/>
  <c r="BA357" i="6" s="1"/>
  <c r="D357" i="6" s="1"/>
  <c r="J357" i="18"/>
  <c r="C357" i="6" s="1"/>
  <c r="J237" i="18"/>
  <c r="C237" i="6" s="1"/>
  <c r="I237" i="18"/>
  <c r="B237" i="6" s="1"/>
  <c r="BA237" i="6" s="1"/>
  <c r="D237" i="6" s="1"/>
  <c r="H379" i="17"/>
  <c r="I382" i="16"/>
  <c r="I381" i="16"/>
  <c r="I383" i="16"/>
  <c r="Q12" i="23"/>
  <c r="AE380" i="22"/>
  <c r="AE378" i="22"/>
  <c r="AE376" i="22"/>
  <c r="AE374" i="22"/>
  <c r="AE372" i="22"/>
  <c r="AE370" i="22"/>
  <c r="AE368" i="22"/>
  <c r="AE366" i="22"/>
  <c r="AE364" i="22"/>
  <c r="AE362" i="22"/>
  <c r="AE360" i="22"/>
  <c r="AE358" i="22"/>
  <c r="AE356" i="22"/>
  <c r="AE354" i="22"/>
  <c r="AE352" i="22"/>
  <c r="AE350" i="22"/>
  <c r="AE348" i="22"/>
  <c r="AE346" i="22"/>
  <c r="AE344" i="22"/>
  <c r="AE342" i="22"/>
  <c r="AE340" i="22"/>
  <c r="AE338" i="22"/>
  <c r="AE336" i="22"/>
  <c r="AE334" i="22"/>
  <c r="AE332" i="22"/>
  <c r="AE330" i="22"/>
  <c r="AE328" i="22"/>
  <c r="AE326" i="22"/>
  <c r="AE324" i="22"/>
  <c r="AE322" i="22"/>
  <c r="AE320" i="22"/>
  <c r="AE318" i="22"/>
  <c r="AE316" i="22"/>
  <c r="AE314" i="22"/>
  <c r="AE312" i="22"/>
  <c r="AE310" i="22"/>
  <c r="AE308" i="22"/>
  <c r="AE306" i="22"/>
  <c r="AE304" i="22"/>
  <c r="AE302" i="22"/>
  <c r="AE300" i="22"/>
  <c r="AE298" i="22"/>
  <c r="AE296" i="22"/>
  <c r="AE294" i="22"/>
  <c r="AE292" i="22"/>
  <c r="AE290" i="22"/>
  <c r="AE288" i="22"/>
  <c r="AE286" i="22"/>
  <c r="AE284" i="22"/>
  <c r="AE282" i="22"/>
  <c r="AE280" i="22"/>
  <c r="AE278" i="22"/>
  <c r="AE276" i="22"/>
  <c r="AE274" i="22"/>
  <c r="AE272" i="22"/>
  <c r="AE270" i="22"/>
  <c r="AE268" i="22"/>
  <c r="AE266" i="22"/>
  <c r="AE264" i="22"/>
  <c r="AE262" i="22"/>
  <c r="AE260" i="22"/>
  <c r="AE258" i="22"/>
  <c r="AE256" i="22"/>
  <c r="AE254" i="22"/>
  <c r="AE252" i="22"/>
  <c r="AE250" i="22"/>
  <c r="AE248" i="22"/>
  <c r="AE246" i="22"/>
  <c r="AE244" i="22"/>
  <c r="AE242" i="22"/>
  <c r="AE240" i="22"/>
  <c r="AE238" i="22"/>
  <c r="AE236" i="22"/>
  <c r="AE234" i="22"/>
  <c r="AE232" i="22"/>
  <c r="AE230" i="22"/>
  <c r="AE228" i="22"/>
  <c r="AE226" i="22"/>
  <c r="AE224" i="22"/>
  <c r="AE222" i="22"/>
  <c r="AE220" i="22"/>
  <c r="AE218" i="22"/>
  <c r="AE216" i="22"/>
  <c r="AE214" i="22"/>
  <c r="AE212" i="22"/>
  <c r="AE210" i="22"/>
  <c r="AE208" i="22"/>
  <c r="AE206" i="22"/>
  <c r="AE204" i="22"/>
  <c r="AE202" i="22"/>
  <c r="AE200" i="22"/>
  <c r="AE198" i="22"/>
  <c r="AE196" i="22"/>
  <c r="AE194" i="22"/>
  <c r="AE192" i="22"/>
  <c r="AE190" i="22"/>
  <c r="AE188" i="22"/>
  <c r="AE186" i="22"/>
  <c r="AE184" i="22"/>
  <c r="AE182" i="22"/>
  <c r="AE180" i="22"/>
  <c r="AE178" i="22"/>
  <c r="AE176" i="22"/>
  <c r="AE174" i="22"/>
  <c r="AE172" i="22"/>
  <c r="AE170" i="22"/>
  <c r="AE168" i="22"/>
  <c r="AE166" i="22"/>
  <c r="AE164" i="22"/>
  <c r="AE162" i="22"/>
  <c r="AE160" i="22"/>
  <c r="AE158" i="22"/>
  <c r="AE156" i="22"/>
  <c r="AE154" i="22"/>
  <c r="AE152" i="22"/>
  <c r="AE150" i="22"/>
  <c r="AE148" i="22"/>
  <c r="AE146" i="22"/>
  <c r="AE144" i="22"/>
  <c r="AE142" i="22"/>
  <c r="AE140" i="22"/>
  <c r="AE138" i="22"/>
  <c r="AE136" i="22"/>
  <c r="AE134" i="22"/>
  <c r="AE132" i="22"/>
  <c r="AE130" i="22"/>
  <c r="AE128" i="22"/>
  <c r="AE126" i="22"/>
  <c r="AE124" i="22"/>
  <c r="AE122" i="22"/>
  <c r="AE120" i="22"/>
  <c r="AE118" i="22"/>
  <c r="AE116" i="22"/>
  <c r="AE114" i="22"/>
  <c r="AE112" i="22"/>
  <c r="AE110" i="22"/>
  <c r="AE108" i="22"/>
  <c r="AE106" i="22"/>
  <c r="AE104" i="22"/>
  <c r="AE102" i="22"/>
  <c r="AE100" i="22"/>
  <c r="AE98" i="22"/>
  <c r="AE96" i="22"/>
  <c r="AE94" i="22"/>
  <c r="AE92" i="22"/>
  <c r="AE90" i="22"/>
  <c r="AE88" i="22"/>
  <c r="AE86" i="22"/>
  <c r="AE84" i="22"/>
  <c r="AE82" i="22"/>
  <c r="AE80" i="22"/>
  <c r="AE78" i="22"/>
  <c r="AE76" i="22"/>
  <c r="AE74" i="22"/>
  <c r="AE72" i="22"/>
  <c r="AE70" i="22"/>
  <c r="AE68" i="22"/>
  <c r="AE66" i="22"/>
  <c r="AE64" i="22"/>
  <c r="AE62" i="22"/>
  <c r="AE60" i="22"/>
  <c r="AE58" i="22"/>
  <c r="AE56" i="22"/>
  <c r="AE54" i="22"/>
  <c r="AE52" i="22"/>
  <c r="AE50" i="22"/>
  <c r="AE48" i="22"/>
  <c r="AE46" i="22"/>
  <c r="AE44" i="22"/>
  <c r="AE42" i="22"/>
  <c r="AE40" i="22"/>
  <c r="AE38" i="22"/>
  <c r="AE36" i="22"/>
  <c r="AE34" i="22"/>
  <c r="AE32" i="22"/>
  <c r="AE30" i="22"/>
  <c r="AE28" i="22"/>
  <c r="AE26" i="22"/>
  <c r="AE24" i="22"/>
  <c r="AE22" i="22"/>
  <c r="AE20" i="22"/>
  <c r="AE17" i="22"/>
  <c r="AE19" i="22"/>
  <c r="I326" i="18"/>
  <c r="B326" i="6" s="1"/>
  <c r="BA326" i="6" s="1"/>
  <c r="D326" i="6" s="1"/>
  <c r="J326" i="18"/>
  <c r="C326" i="6" s="1"/>
  <c r="P381" i="18"/>
  <c r="V15" i="18"/>
  <c r="P383" i="18"/>
  <c r="P382" i="18"/>
  <c r="I270" i="18"/>
  <c r="B270" i="6" s="1"/>
  <c r="BA270" i="6" s="1"/>
  <c r="D270" i="6" s="1"/>
  <c r="J270" i="18"/>
  <c r="C270" i="6" s="1"/>
  <c r="I236" i="18"/>
  <c r="B236" i="6" s="1"/>
  <c r="BA236" i="6" s="1"/>
  <c r="D236" i="6" s="1"/>
  <c r="J236" i="18"/>
  <c r="C236" i="6" s="1"/>
  <c r="I215" i="18"/>
  <c r="B215" i="6" s="1"/>
  <c r="BA215" i="6" s="1"/>
  <c r="D215" i="6" s="1"/>
  <c r="J215" i="18"/>
  <c r="C215" i="6" s="1"/>
  <c r="I185" i="18"/>
  <c r="B185" i="6" s="1"/>
  <c r="BA185" i="6" s="1"/>
  <c r="D185" i="6" s="1"/>
  <c r="J185" i="18"/>
  <c r="C185" i="6" s="1"/>
  <c r="I153" i="18"/>
  <c r="B153" i="6" s="1"/>
  <c r="BA153" i="6" s="1"/>
  <c r="D153" i="6" s="1"/>
  <c r="J153" i="18"/>
  <c r="C153" i="6" s="1"/>
  <c r="I80" i="18"/>
  <c r="B80" i="6" s="1"/>
  <c r="BA80" i="6" s="1"/>
  <c r="D80" i="6" s="1"/>
  <c r="J80" i="18"/>
  <c r="C80" i="6" s="1"/>
  <c r="J42" i="18"/>
  <c r="C42" i="6" s="1"/>
  <c r="I42" i="18"/>
  <c r="B42" i="6" s="1"/>
  <c r="BA42" i="6" s="1"/>
  <c r="D42" i="6" s="1"/>
  <c r="I22" i="18"/>
  <c r="B22" i="6" s="1"/>
  <c r="BA22" i="6" s="1"/>
  <c r="D22" i="6" s="1"/>
  <c r="J22" i="18"/>
  <c r="C22" i="6" s="1"/>
  <c r="I294" i="18"/>
  <c r="B294" i="6" s="1"/>
  <c r="BA294" i="6" s="1"/>
  <c r="D294" i="6" s="1"/>
  <c r="J294" i="18"/>
  <c r="C294" i="6" s="1"/>
  <c r="J174" i="18"/>
  <c r="C174" i="6" s="1"/>
  <c r="I174" i="18"/>
  <c r="B174" i="6" s="1"/>
  <c r="BA174" i="6" s="1"/>
  <c r="D174" i="6" s="1"/>
  <c r="J307" i="18"/>
  <c r="C307" i="6" s="1"/>
  <c r="I307" i="18"/>
  <c r="B307" i="6" s="1"/>
  <c r="BA307" i="6" s="1"/>
  <c r="D307" i="6" s="1"/>
  <c r="J273" i="18"/>
  <c r="C273" i="6" s="1"/>
  <c r="I273" i="18"/>
  <c r="B273" i="6" s="1"/>
  <c r="BA273" i="6" s="1"/>
  <c r="D273" i="6" s="1"/>
  <c r="I189" i="18"/>
  <c r="B189" i="6" s="1"/>
  <c r="BA189" i="6" s="1"/>
  <c r="D189" i="6" s="1"/>
  <c r="J189" i="18"/>
  <c r="C189" i="6" s="1"/>
  <c r="I376" i="18"/>
  <c r="B376" i="6" s="1"/>
  <c r="BA376" i="6" s="1"/>
  <c r="D376" i="6" s="1"/>
  <c r="J376" i="18"/>
  <c r="C376" i="6" s="1"/>
  <c r="J374" i="18"/>
  <c r="C374" i="6" s="1"/>
  <c r="I374" i="18"/>
  <c r="B374" i="6" s="1"/>
  <c r="BA374" i="6" s="1"/>
  <c r="D374" i="6" s="1"/>
  <c r="J132" i="18"/>
  <c r="C132" i="6" s="1"/>
  <c r="I132" i="18"/>
  <c r="B132" i="6" s="1"/>
  <c r="BA132" i="6" s="1"/>
  <c r="D132" i="6" s="1"/>
  <c r="I200" i="18"/>
  <c r="B200" i="6" s="1"/>
  <c r="BA200" i="6" s="1"/>
  <c r="D200" i="6" s="1"/>
  <c r="J200" i="18"/>
  <c r="C200" i="6" s="1"/>
  <c r="J152" i="18"/>
  <c r="C152" i="6" s="1"/>
  <c r="I152" i="18"/>
  <c r="B152" i="6" s="1"/>
  <c r="BA152" i="6" s="1"/>
  <c r="D152" i="6" s="1"/>
  <c r="I259" i="18"/>
  <c r="B259" i="6" s="1"/>
  <c r="BA259" i="6" s="1"/>
  <c r="D259" i="6" s="1"/>
  <c r="J259" i="18"/>
  <c r="C259" i="6" s="1"/>
  <c r="J171" i="18"/>
  <c r="C171" i="6" s="1"/>
  <c r="I171" i="18"/>
  <c r="B171" i="6" s="1"/>
  <c r="BA171" i="6" s="1"/>
  <c r="D171" i="6" s="1"/>
  <c r="J337" i="18"/>
  <c r="C337" i="6" s="1"/>
  <c r="I337" i="18"/>
  <c r="B337" i="6" s="1"/>
  <c r="BA337" i="6" s="1"/>
  <c r="H241" i="18"/>
  <c r="J21" i="18"/>
  <c r="C21" i="6" s="1"/>
  <c r="I21" i="18"/>
  <c r="B21" i="6" s="1"/>
  <c r="BA21" i="6" s="1"/>
  <c r="D21" i="6" s="1"/>
  <c r="I126" i="18"/>
  <c r="B126" i="6" s="1"/>
  <c r="BA126" i="6" s="1"/>
  <c r="D126" i="6" s="1"/>
  <c r="J126" i="18"/>
  <c r="C126" i="6" s="1"/>
  <c r="G319" i="18"/>
  <c r="CA319" i="6" s="1"/>
  <c r="AA319" i="18"/>
  <c r="Z319" i="18" s="1"/>
  <c r="Y319" i="18" s="1"/>
  <c r="H149" i="18"/>
  <c r="G149" i="18"/>
  <c r="CA149" i="6" s="1"/>
  <c r="AA149" i="18"/>
  <c r="Z149" i="18" s="1"/>
  <c r="Y149" i="18" s="1"/>
  <c r="G119" i="18"/>
  <c r="CA119" i="6" s="1"/>
  <c r="H119" i="18"/>
  <c r="AA119" i="18"/>
  <c r="Z119" i="18" s="1"/>
  <c r="Y119" i="18" s="1"/>
  <c r="N64" i="19"/>
  <c r="I52" i="18"/>
  <c r="B52" i="6" s="1"/>
  <c r="BA52" i="6" s="1"/>
  <c r="D52" i="6" s="1"/>
  <c r="J52" i="18"/>
  <c r="C52" i="6" s="1"/>
  <c r="G258" i="18"/>
  <c r="CA258" i="6" s="1"/>
  <c r="AA258" i="18"/>
  <c r="Z258" i="18" s="1"/>
  <c r="Y258" i="18" s="1"/>
  <c r="AA166" i="18"/>
  <c r="Z166" i="18" s="1"/>
  <c r="Y166" i="18" s="1"/>
  <c r="G166" i="18"/>
  <c r="CA166" i="6" s="1"/>
  <c r="D99" i="6"/>
  <c r="D85" i="6"/>
  <c r="S382" i="20"/>
  <c r="S383" i="20"/>
  <c r="S381" i="20"/>
  <c r="R15" i="20"/>
  <c r="H166" i="18"/>
  <c r="I180" i="18"/>
  <c r="B180" i="6" s="1"/>
  <c r="BA180" i="6" s="1"/>
  <c r="D180" i="6" s="1"/>
  <c r="J180" i="18"/>
  <c r="C180" i="6" s="1"/>
  <c r="J163" i="18"/>
  <c r="C163" i="6" s="1"/>
  <c r="I163" i="18"/>
  <c r="B163" i="6" s="1"/>
  <c r="BA163" i="6" s="1"/>
  <c r="D163" i="6" s="1"/>
  <c r="H349" i="18"/>
  <c r="J227" i="18"/>
  <c r="C227" i="6" s="1"/>
  <c r="I227" i="18"/>
  <c r="B227" i="6" s="1"/>
  <c r="BA227" i="6" s="1"/>
  <c r="D227" i="6" s="1"/>
  <c r="J71" i="18"/>
  <c r="C71" i="6" s="1"/>
  <c r="I71" i="18"/>
  <c r="B71" i="6" s="1"/>
  <c r="BA71" i="6" s="1"/>
  <c r="I31" i="18"/>
  <c r="B31" i="6" s="1"/>
  <c r="BA31" i="6" s="1"/>
  <c r="D31" i="6" s="1"/>
  <c r="J31" i="18"/>
  <c r="C31" i="6" s="1"/>
  <c r="I201" i="18"/>
  <c r="B201" i="6" s="1"/>
  <c r="BA201" i="6" s="1"/>
  <c r="D201" i="6" s="1"/>
  <c r="J201" i="18"/>
  <c r="C201" i="6" s="1"/>
  <c r="I37" i="18"/>
  <c r="B37" i="6" s="1"/>
  <c r="BA37" i="6" s="1"/>
  <c r="D37" i="6" s="1"/>
  <c r="J37" i="18"/>
  <c r="C37" i="6" s="1"/>
  <c r="J350" i="18"/>
  <c r="C350" i="6" s="1"/>
  <c r="I350" i="18"/>
  <c r="B350" i="6" s="1"/>
  <c r="BA350" i="6" s="1"/>
  <c r="D350" i="6" s="1"/>
  <c r="J330" i="18"/>
  <c r="C330" i="6" s="1"/>
  <c r="I330" i="18"/>
  <c r="B330" i="6" s="1"/>
  <c r="BA330" i="6" s="1"/>
  <c r="D330" i="6" s="1"/>
  <c r="AH68" i="22"/>
  <c r="AH60" i="22"/>
  <c r="AH52" i="22"/>
  <c r="AH44" i="22"/>
  <c r="AH36" i="22"/>
  <c r="AH28" i="22"/>
  <c r="AH20" i="22"/>
  <c r="AF15" i="20"/>
  <c r="I320" i="18"/>
  <c r="B320" i="6" s="1"/>
  <c r="BA320" i="6" s="1"/>
  <c r="D320" i="6" s="1"/>
  <c r="J320" i="18"/>
  <c r="C320" i="6" s="1"/>
  <c r="J40" i="18"/>
  <c r="C40" i="6" s="1"/>
  <c r="I40" i="18"/>
  <c r="B40" i="6" s="1"/>
  <c r="BA40" i="6" s="1"/>
  <c r="D40" i="6" s="1"/>
  <c r="J274" i="18"/>
  <c r="C274" i="6" s="1"/>
  <c r="I274" i="18"/>
  <c r="B274" i="6" s="1"/>
  <c r="BA274" i="6" s="1"/>
  <c r="D274" i="6" s="1"/>
  <c r="J260" i="18"/>
  <c r="C260" i="6" s="1"/>
  <c r="J373" i="18"/>
  <c r="C373" i="6" s="1"/>
  <c r="I373" i="18"/>
  <c r="B373" i="6" s="1"/>
  <c r="BA373" i="6" s="1"/>
  <c r="D373" i="6" s="1"/>
  <c r="H319" i="18"/>
  <c r="I16" i="18"/>
  <c r="B16" i="6" s="1"/>
  <c r="BA16" i="6" s="1"/>
  <c r="D16" i="6" s="1"/>
  <c r="J16" i="18"/>
  <c r="C16" i="6" s="1"/>
  <c r="J321" i="18"/>
  <c r="C321" i="6" s="1"/>
  <c r="I321" i="18"/>
  <c r="B321" i="6" s="1"/>
  <c r="BA321" i="6" s="1"/>
  <c r="D321" i="6" s="1"/>
  <c r="C7" i="6"/>
  <c r="Q7" i="7"/>
  <c r="J352" i="18"/>
  <c r="C352" i="6" s="1"/>
  <c r="I352" i="18"/>
  <c r="B352" i="6" s="1"/>
  <c r="BA352" i="6" s="1"/>
  <c r="D352" i="6" s="1"/>
  <c r="J228" i="18"/>
  <c r="C228" i="6" s="1"/>
  <c r="I228" i="18"/>
  <c r="B228" i="6" s="1"/>
  <c r="BA228" i="6" s="1"/>
  <c r="D228" i="6" s="1"/>
  <c r="J190" i="18"/>
  <c r="C190" i="6" s="1"/>
  <c r="I190" i="18"/>
  <c r="B190" i="6" s="1"/>
  <c r="BA190" i="6" s="1"/>
  <c r="D190" i="6" s="1"/>
  <c r="I295" i="18"/>
  <c r="B295" i="6" s="1"/>
  <c r="BA295" i="6" s="1"/>
  <c r="J295" i="18"/>
  <c r="C295" i="6" s="1"/>
  <c r="I199" i="18"/>
  <c r="B199" i="6" s="1"/>
  <c r="BA199" i="6" s="1"/>
  <c r="D199" i="6" s="1"/>
  <c r="J199" i="18"/>
  <c r="C199" i="6" s="1"/>
  <c r="I269" i="18"/>
  <c r="B269" i="6" s="1"/>
  <c r="BA269" i="6" s="1"/>
  <c r="D269" i="6" s="1"/>
  <c r="J269" i="18"/>
  <c r="C269" i="6" s="1"/>
  <c r="J364" i="18"/>
  <c r="C364" i="6" s="1"/>
  <c r="I364" i="18"/>
  <c r="B364" i="6" s="1"/>
  <c r="BA364" i="6" s="1"/>
  <c r="D364" i="6" s="1"/>
  <c r="J362" i="18"/>
  <c r="C362" i="6" s="1"/>
  <c r="I362" i="18"/>
  <c r="B362" i="6" s="1"/>
  <c r="BA362" i="6" s="1"/>
  <c r="D362" i="6" s="1"/>
  <c r="I100" i="18"/>
  <c r="B100" i="6" s="1"/>
  <c r="BA100" i="6" s="1"/>
  <c r="D100" i="6" s="1"/>
  <c r="J100" i="18"/>
  <c r="C100" i="6" s="1"/>
  <c r="J210" i="18"/>
  <c r="C210" i="6" s="1"/>
  <c r="I210" i="18"/>
  <c r="B210" i="6" s="1"/>
  <c r="BA210" i="6" s="1"/>
  <c r="D210" i="6" s="1"/>
  <c r="J162" i="18"/>
  <c r="C162" i="6" s="1"/>
  <c r="I162" i="18"/>
  <c r="B162" i="6" s="1"/>
  <c r="BA162" i="6" s="1"/>
  <c r="D162" i="6" s="1"/>
  <c r="J203" i="18"/>
  <c r="C203" i="6" s="1"/>
  <c r="I203" i="18"/>
  <c r="B203" i="6" s="1"/>
  <c r="BA203" i="6" s="1"/>
  <c r="D203" i="6" s="1"/>
  <c r="J65" i="18"/>
  <c r="C65" i="6" s="1"/>
  <c r="I65" i="18"/>
  <c r="B65" i="6" s="1"/>
  <c r="BA65" i="6" s="1"/>
  <c r="D65" i="6" s="1"/>
  <c r="I32" i="18"/>
  <c r="B32" i="6" s="1"/>
  <c r="BA32" i="6" s="1"/>
  <c r="D32" i="6" s="1"/>
  <c r="J32" i="18"/>
  <c r="C32" i="6" s="1"/>
  <c r="J208" i="18"/>
  <c r="C208" i="6" s="1"/>
  <c r="I208" i="18"/>
  <c r="B208" i="6" s="1"/>
  <c r="BA208" i="6" s="1"/>
  <c r="D208" i="6" s="1"/>
  <c r="I160" i="18"/>
  <c r="B160" i="6" s="1"/>
  <c r="BA160" i="6" s="1"/>
  <c r="D160" i="6" s="1"/>
  <c r="J160" i="18"/>
  <c r="C160" i="6" s="1"/>
  <c r="J155" i="18"/>
  <c r="C155" i="6" s="1"/>
  <c r="I155" i="18"/>
  <c r="B155" i="6" s="1"/>
  <c r="BA155" i="6" s="1"/>
  <c r="J75" i="18"/>
  <c r="C75" i="6" s="1"/>
  <c r="I75" i="18"/>
  <c r="B75" i="6" s="1"/>
  <c r="BA75" i="6" s="1"/>
  <c r="D75" i="6" s="1"/>
  <c r="I141" i="18"/>
  <c r="B141" i="6" s="1"/>
  <c r="BA141" i="6" s="1"/>
  <c r="J141" i="18"/>
  <c r="C141" i="6" s="1"/>
  <c r="H29" i="18"/>
  <c r="J92" i="18"/>
  <c r="C92" i="6" s="1"/>
  <c r="I92" i="18"/>
  <c r="B92" i="6" s="1"/>
  <c r="BA92" i="6" s="1"/>
  <c r="D92" i="6" s="1"/>
  <c r="J58" i="18"/>
  <c r="C58" i="6" s="1"/>
  <c r="I58" i="18"/>
  <c r="B58" i="6" s="1"/>
  <c r="BA58" i="6" s="1"/>
  <c r="D58" i="6" s="1"/>
  <c r="AA272" i="18"/>
  <c r="Z272" i="18" s="1"/>
  <c r="Y272" i="18" s="1"/>
  <c r="G272" i="18"/>
  <c r="CA272" i="6" s="1"/>
  <c r="AA180" i="18"/>
  <c r="Z180" i="18" s="1"/>
  <c r="Y180" i="18" s="1"/>
  <c r="G180" i="18"/>
  <c r="CA180" i="6" s="1"/>
  <c r="G60" i="18"/>
  <c r="CA60" i="6" s="1"/>
  <c r="AA60" i="18"/>
  <c r="Z60" i="18" s="1"/>
  <c r="Y60" i="18" s="1"/>
  <c r="T380" i="22"/>
  <c r="T378" i="22"/>
  <c r="T374" i="22"/>
  <c r="T372" i="22"/>
  <c r="T370" i="22"/>
  <c r="T368" i="22"/>
  <c r="T366" i="22"/>
  <c r="T364" i="22"/>
  <c r="T362" i="22"/>
  <c r="T358" i="22"/>
  <c r="T354" i="22"/>
  <c r="T352" i="22"/>
  <c r="T350" i="22"/>
  <c r="T348" i="22"/>
  <c r="T346" i="22"/>
  <c r="T342" i="22"/>
  <c r="T340" i="22"/>
  <c r="T338" i="22"/>
  <c r="T336" i="22"/>
  <c r="T334" i="22"/>
  <c r="T332" i="22"/>
  <c r="T330" i="22"/>
  <c r="T326" i="22"/>
  <c r="T322" i="22"/>
  <c r="T320" i="22"/>
  <c r="T318" i="22"/>
  <c r="T316" i="22"/>
  <c r="T314" i="22"/>
  <c r="T310" i="22"/>
  <c r="T308" i="22"/>
  <c r="T306" i="22"/>
  <c r="T304" i="22"/>
  <c r="T302" i="22"/>
  <c r="T300" i="22"/>
  <c r="T298" i="22"/>
  <c r="T294" i="22"/>
  <c r="T290" i="22"/>
  <c r="T288" i="22"/>
  <c r="T286" i="22"/>
  <c r="T284" i="22"/>
  <c r="T282" i="22"/>
  <c r="T278" i="22"/>
  <c r="T276" i="22"/>
  <c r="T274" i="22"/>
  <c r="T272" i="22"/>
  <c r="T270" i="22"/>
  <c r="T268" i="22"/>
  <c r="T266" i="22"/>
  <c r="T262" i="22"/>
  <c r="T258" i="22"/>
  <c r="T256" i="22"/>
  <c r="T254" i="22"/>
  <c r="T252" i="22"/>
  <c r="T250" i="22"/>
  <c r="T246" i="22"/>
  <c r="T244" i="22"/>
  <c r="T242" i="22"/>
  <c r="T240" i="22"/>
  <c r="T238" i="22"/>
  <c r="T236" i="22"/>
  <c r="T234" i="22"/>
  <c r="T230" i="22"/>
  <c r="T228" i="22"/>
  <c r="T226" i="22"/>
  <c r="T224" i="22"/>
  <c r="T222" i="22"/>
  <c r="T218" i="22"/>
  <c r="T214" i="22"/>
  <c r="T210" i="22"/>
  <c r="T208" i="22"/>
  <c r="T206" i="22"/>
  <c r="T204" i="22"/>
  <c r="T202" i="22"/>
  <c r="T198" i="22"/>
  <c r="T196" i="22"/>
  <c r="T194" i="22"/>
  <c r="T192" i="22"/>
  <c r="T190" i="22"/>
  <c r="T186" i="22"/>
  <c r="T184" i="22"/>
  <c r="T182" i="22"/>
  <c r="T180" i="22"/>
  <c r="T178" i="22"/>
  <c r="T176" i="22"/>
  <c r="T174" i="22"/>
  <c r="T172" i="22"/>
  <c r="T170" i="22"/>
  <c r="T168" i="22"/>
  <c r="T166" i="22"/>
  <c r="T164" i="22"/>
  <c r="T162" i="22"/>
  <c r="T160" i="22"/>
  <c r="T158" i="22"/>
  <c r="T156" i="22"/>
  <c r="T154" i="22"/>
  <c r="T152" i="22"/>
  <c r="T150" i="22"/>
  <c r="T148" i="22"/>
  <c r="T146" i="22"/>
  <c r="T144" i="22"/>
  <c r="T142" i="22"/>
  <c r="T140" i="22"/>
  <c r="T138" i="22"/>
  <c r="T136" i="22"/>
  <c r="T134" i="22"/>
  <c r="T132" i="22"/>
  <c r="T130" i="22"/>
  <c r="T128" i="22"/>
  <c r="T126" i="22"/>
  <c r="T124" i="22"/>
  <c r="T122" i="22"/>
  <c r="T120" i="22"/>
  <c r="T118" i="22"/>
  <c r="T116" i="22"/>
  <c r="T114" i="22"/>
  <c r="T112" i="22"/>
  <c r="T110" i="22"/>
  <c r="T108" i="22"/>
  <c r="T106" i="22"/>
  <c r="T104" i="22"/>
  <c r="T102" i="22"/>
  <c r="T100" i="22"/>
  <c r="T98" i="22"/>
  <c r="T96" i="22"/>
  <c r="T94" i="22"/>
  <c r="T92" i="22"/>
  <c r="T90" i="22"/>
  <c r="T88" i="22"/>
  <c r="T86" i="22"/>
  <c r="T84" i="22"/>
  <c r="T82" i="22"/>
  <c r="T80" i="22"/>
  <c r="T78" i="22"/>
  <c r="T76" i="22"/>
  <c r="T74" i="22"/>
  <c r="T72" i="22"/>
  <c r="T70" i="22"/>
  <c r="T68" i="22"/>
  <c r="T66" i="22"/>
  <c r="T64" i="22"/>
  <c r="T62" i="22"/>
  <c r="T60" i="22"/>
  <c r="T58" i="22"/>
  <c r="T56" i="22"/>
  <c r="T54" i="22"/>
  <c r="T52" i="22"/>
  <c r="T50" i="22"/>
  <c r="T48" i="22"/>
  <c r="T46" i="22"/>
  <c r="T44" i="22"/>
  <c r="T42" i="22"/>
  <c r="T40" i="22"/>
  <c r="T38" i="22"/>
  <c r="T36" i="22"/>
  <c r="T34" i="22"/>
  <c r="T32" i="22"/>
  <c r="T30" i="22"/>
  <c r="T28" i="22"/>
  <c r="T26" i="22"/>
  <c r="T24" i="22"/>
  <c r="T22" i="22"/>
  <c r="T20" i="22"/>
  <c r="T17" i="22"/>
  <c r="T19" i="22"/>
  <c r="D113" i="6"/>
  <c r="AL12" i="17"/>
  <c r="AJ4" i="17" s="1"/>
  <c r="P14" i="19" s="1"/>
  <c r="H196" i="18"/>
  <c r="J15" i="17"/>
  <c r="I15" i="17"/>
  <c r="AA382" i="17"/>
  <c r="AA383" i="17"/>
  <c r="AA381" i="17"/>
  <c r="AA9" i="17"/>
  <c r="AL9" i="17"/>
  <c r="Z15" i="17"/>
  <c r="AM8" i="17"/>
  <c r="AB9" i="17"/>
  <c r="G14" i="19"/>
  <c r="J38" i="19" s="1"/>
  <c r="F11" i="17"/>
  <c r="AI108" i="22" l="1"/>
  <c r="AH108" i="22" s="1"/>
  <c r="AI78" i="22"/>
  <c r="AH78" i="22" s="1"/>
  <c r="AI15" i="22"/>
  <c r="AH15" i="22" s="1"/>
  <c r="AG15" i="22" s="1"/>
  <c r="AI22" i="22"/>
  <c r="AH22" i="22" s="1"/>
  <c r="AG22" i="22" s="1"/>
  <c r="AF22" i="22" s="1"/>
  <c r="AD22" i="22" s="1"/>
  <c r="AI26" i="22"/>
  <c r="AH26" i="22" s="1"/>
  <c r="AG26" i="22" s="1"/>
  <c r="AF26" i="22" s="1"/>
  <c r="AD26" i="22" s="1"/>
  <c r="AI30" i="22"/>
  <c r="AH30" i="22" s="1"/>
  <c r="AG30" i="22" s="1"/>
  <c r="AF30" i="22" s="1"/>
  <c r="AD30" i="22" s="1"/>
  <c r="AI34" i="22"/>
  <c r="AH34" i="22" s="1"/>
  <c r="AG34" i="22" s="1"/>
  <c r="AF34" i="22" s="1"/>
  <c r="AD34" i="22" s="1"/>
  <c r="AI38" i="22"/>
  <c r="AH38" i="22" s="1"/>
  <c r="AI42" i="22"/>
  <c r="AH42" i="22" s="1"/>
  <c r="AG42" i="22" s="1"/>
  <c r="AF42" i="22" s="1"/>
  <c r="AD42" i="22" s="1"/>
  <c r="AI46" i="22"/>
  <c r="AH46" i="22" s="1"/>
  <c r="AI50" i="22"/>
  <c r="AH50" i="22" s="1"/>
  <c r="AG50" i="22" s="1"/>
  <c r="AF50" i="22" s="1"/>
  <c r="AD50" i="22" s="1"/>
  <c r="AI54" i="22"/>
  <c r="AH54" i="22" s="1"/>
  <c r="AI58" i="22"/>
  <c r="AH58" i="22" s="1"/>
  <c r="AI62" i="22"/>
  <c r="AH62" i="22" s="1"/>
  <c r="AI66" i="22"/>
  <c r="AH66" i="22" s="1"/>
  <c r="AG66" i="22" s="1"/>
  <c r="AF66" i="22" s="1"/>
  <c r="AD66" i="22" s="1"/>
  <c r="AI70" i="22"/>
  <c r="AH70" i="22" s="1"/>
  <c r="AG70" i="22" s="1"/>
  <c r="AF70" i="22" s="1"/>
  <c r="AD70" i="22" s="1"/>
  <c r="AI74" i="22"/>
  <c r="AH74" i="22" s="1"/>
  <c r="AG74" i="22" s="1"/>
  <c r="AF74" i="22" s="1"/>
  <c r="AD74" i="22" s="1"/>
  <c r="U383" i="22"/>
  <c r="AI72" i="22"/>
  <c r="AH72" i="22" s="1"/>
  <c r="AG72" i="22" s="1"/>
  <c r="AF72" i="22" s="1"/>
  <c r="AD72" i="22" s="1"/>
  <c r="AI64" i="22"/>
  <c r="AH64" i="22" s="1"/>
  <c r="AG64" i="22" s="1"/>
  <c r="AF64" i="22" s="1"/>
  <c r="AD64" i="22" s="1"/>
  <c r="AI56" i="22"/>
  <c r="AH56" i="22" s="1"/>
  <c r="AG56" i="22" s="1"/>
  <c r="AF56" i="22" s="1"/>
  <c r="AD56" i="22" s="1"/>
  <c r="AI48" i="22"/>
  <c r="AH48" i="22" s="1"/>
  <c r="AG48" i="22" s="1"/>
  <c r="AF48" i="22" s="1"/>
  <c r="AD48" i="22" s="1"/>
  <c r="AI40" i="22"/>
  <c r="AH40" i="22" s="1"/>
  <c r="AG40" i="22" s="1"/>
  <c r="AF40" i="22" s="1"/>
  <c r="AD40" i="22" s="1"/>
  <c r="AI32" i="22"/>
  <c r="AH32" i="22" s="1"/>
  <c r="AI24" i="22"/>
  <c r="AH24" i="22" s="1"/>
  <c r="AG24" i="22" s="1"/>
  <c r="AF24" i="22" s="1"/>
  <c r="AD24" i="22" s="1"/>
  <c r="AI19" i="22"/>
  <c r="AH19" i="22" s="1"/>
  <c r="AG19" i="22" s="1"/>
  <c r="AF19" i="22" s="1"/>
  <c r="AD19" i="22" s="1"/>
  <c r="AI16" i="22"/>
  <c r="AH16" i="22" s="1"/>
  <c r="AG16" i="22" s="1"/>
  <c r="AF16" i="22" s="1"/>
  <c r="AD16" i="22" s="1"/>
  <c r="AI49" i="22"/>
  <c r="AH49" i="22" s="1"/>
  <c r="AI94" i="22"/>
  <c r="AH94" i="22" s="1"/>
  <c r="Q383" i="22"/>
  <c r="AI33" i="22"/>
  <c r="AH33" i="22" s="1"/>
  <c r="AG33" i="22" s="1"/>
  <c r="AF33" i="22" s="1"/>
  <c r="AD33" i="22" s="1"/>
  <c r="AI65" i="22"/>
  <c r="AH65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I82" i="22"/>
  <c r="AH82" i="22" s="1"/>
  <c r="AG82" i="22" s="1"/>
  <c r="AF82" i="22" s="1"/>
  <c r="AD82" i="22" s="1"/>
  <c r="AI90" i="22"/>
  <c r="AH90" i="22" s="1"/>
  <c r="AI98" i="22"/>
  <c r="AH98" i="22" s="1"/>
  <c r="AG98" i="22" s="1"/>
  <c r="AF98" i="22" s="1"/>
  <c r="AD98" i="22" s="1"/>
  <c r="AI106" i="22"/>
  <c r="AH106" i="22" s="1"/>
  <c r="AG106" i="22" s="1"/>
  <c r="AF106" i="22" s="1"/>
  <c r="AD106" i="22" s="1"/>
  <c r="AI21" i="22"/>
  <c r="AH21" i="22" s="1"/>
  <c r="AG21" i="22" s="1"/>
  <c r="AF21" i="22" s="1"/>
  <c r="AD21" i="22" s="1"/>
  <c r="AI29" i="22"/>
  <c r="AH29" i="22" s="1"/>
  <c r="AI37" i="22"/>
  <c r="AH37" i="22" s="1"/>
  <c r="AI45" i="22"/>
  <c r="AH45" i="22" s="1"/>
  <c r="AI53" i="22"/>
  <c r="AH53" i="22" s="1"/>
  <c r="AG53" i="22" s="1"/>
  <c r="AF53" i="22" s="1"/>
  <c r="AD53" i="22" s="1"/>
  <c r="AI61" i="22"/>
  <c r="AH61" i="22" s="1"/>
  <c r="AI69" i="22"/>
  <c r="AH69" i="22" s="1"/>
  <c r="AG69" i="22" s="1"/>
  <c r="AF69" i="22" s="1"/>
  <c r="AD69" i="22" s="1"/>
  <c r="AI76" i="22"/>
  <c r="AH76" i="22" s="1"/>
  <c r="AI80" i="22"/>
  <c r="AH80" i="22" s="1"/>
  <c r="AG80" i="22" s="1"/>
  <c r="AF80" i="22" s="1"/>
  <c r="AD80" i="22" s="1"/>
  <c r="AI84" i="22"/>
  <c r="AH84" i="22" s="1"/>
  <c r="AI88" i="22"/>
  <c r="AH88" i="22" s="1"/>
  <c r="AG88" i="22" s="1"/>
  <c r="AF88" i="22" s="1"/>
  <c r="AD88" i="22" s="1"/>
  <c r="AI92" i="22"/>
  <c r="AH92" i="22" s="1"/>
  <c r="AG92" i="22" s="1"/>
  <c r="AF92" i="22" s="1"/>
  <c r="AD92" i="22" s="1"/>
  <c r="AI96" i="22"/>
  <c r="AH96" i="22" s="1"/>
  <c r="AG96" i="22" s="1"/>
  <c r="AF96" i="22" s="1"/>
  <c r="AD96" i="22" s="1"/>
  <c r="AI100" i="22"/>
  <c r="AH100" i="22" s="1"/>
  <c r="AG100" i="22" s="1"/>
  <c r="AF100" i="22" s="1"/>
  <c r="AD100" i="22" s="1"/>
  <c r="AI104" i="22"/>
  <c r="AH104" i="22" s="1"/>
  <c r="E13" i="19"/>
  <c r="D14" i="19"/>
  <c r="G38" i="19"/>
  <c r="AI18" i="22"/>
  <c r="AH18" i="22" s="1"/>
  <c r="AG18" i="22" s="1"/>
  <c r="AF18" i="22" s="1"/>
  <c r="AD18" i="22" s="1"/>
  <c r="AI23" i="22"/>
  <c r="AH23" i="22" s="1"/>
  <c r="AG23" i="22" s="1"/>
  <c r="AF23" i="22" s="1"/>
  <c r="AD23" i="22" s="1"/>
  <c r="AI31" i="22"/>
  <c r="AH31" i="22" s="1"/>
  <c r="AI39" i="22"/>
  <c r="AH39" i="22" s="1"/>
  <c r="AI47" i="22"/>
  <c r="AH47" i="22" s="1"/>
  <c r="AG47" i="22" s="1"/>
  <c r="AF47" i="22" s="1"/>
  <c r="AD47" i="22" s="1"/>
  <c r="AI55" i="22"/>
  <c r="AH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7" i="22"/>
  <c r="AH77" i="22" s="1"/>
  <c r="AG77" i="22" s="1"/>
  <c r="AF77" i="22" s="1"/>
  <c r="AD77" i="22" s="1"/>
  <c r="AI81" i="22"/>
  <c r="AH81" i="22" s="1"/>
  <c r="AI85" i="22"/>
  <c r="AH85" i="22" s="1"/>
  <c r="AI89" i="22"/>
  <c r="AH89" i="22" s="1"/>
  <c r="AG89" i="22" s="1"/>
  <c r="AF89" i="22" s="1"/>
  <c r="AD89" i="22" s="1"/>
  <c r="AI93" i="22"/>
  <c r="AH93" i="22" s="1"/>
  <c r="AI97" i="22"/>
  <c r="AH97" i="22" s="1"/>
  <c r="AG97" i="22" s="1"/>
  <c r="AF97" i="22" s="1"/>
  <c r="AD97" i="22" s="1"/>
  <c r="AI101" i="22"/>
  <c r="AH101" i="22" s="1"/>
  <c r="AG101" i="22" s="1"/>
  <c r="AF101" i="22" s="1"/>
  <c r="AD101" i="22" s="1"/>
  <c r="AI105" i="22"/>
  <c r="AH105" i="22" s="1"/>
  <c r="AG105" i="22" s="1"/>
  <c r="AF105" i="22" s="1"/>
  <c r="AD105" i="22" s="1"/>
  <c r="AI109" i="22"/>
  <c r="AH109" i="22" s="1"/>
  <c r="AI111" i="22"/>
  <c r="AH111" i="22" s="1"/>
  <c r="AG111" i="22" s="1"/>
  <c r="AF111" i="22" s="1"/>
  <c r="AD111" i="22" s="1"/>
  <c r="AI113" i="22"/>
  <c r="AH113" i="22" s="1"/>
  <c r="AG113" i="22" s="1"/>
  <c r="AF113" i="22" s="1"/>
  <c r="AD113" i="22" s="1"/>
  <c r="AI115" i="22"/>
  <c r="AH115" i="22" s="1"/>
  <c r="AG115" i="22" s="1"/>
  <c r="AF115" i="22" s="1"/>
  <c r="AD115" i="22" s="1"/>
  <c r="AI117" i="22"/>
  <c r="AH117" i="22" s="1"/>
  <c r="AI119" i="22"/>
  <c r="AH119" i="22" s="1"/>
  <c r="AI121" i="22"/>
  <c r="AH121" i="22" s="1"/>
  <c r="AI123" i="22"/>
  <c r="AH123" i="22" s="1"/>
  <c r="AG123" i="22" s="1"/>
  <c r="AF123" i="22" s="1"/>
  <c r="AD123" i="22" s="1"/>
  <c r="AI125" i="22"/>
  <c r="AH125" i="22" s="1"/>
  <c r="AI127" i="22"/>
  <c r="AH127" i="22" s="1"/>
  <c r="AG127" i="22" s="1"/>
  <c r="AF127" i="22" s="1"/>
  <c r="AD127" i="22" s="1"/>
  <c r="AI129" i="22"/>
  <c r="AH129" i="22" s="1"/>
  <c r="AG129" i="22" s="1"/>
  <c r="AF129" i="22" s="1"/>
  <c r="AD129" i="22" s="1"/>
  <c r="AI131" i="22"/>
  <c r="AH131" i="22" s="1"/>
  <c r="AG131" i="22" s="1"/>
  <c r="AF131" i="22" s="1"/>
  <c r="AD131" i="22" s="1"/>
  <c r="AI133" i="22"/>
  <c r="AH133" i="22" s="1"/>
  <c r="AI135" i="22"/>
  <c r="AH135" i="22" s="1"/>
  <c r="AG135" i="22" s="1"/>
  <c r="AF135" i="22" s="1"/>
  <c r="AD135" i="22" s="1"/>
  <c r="AI137" i="22"/>
  <c r="AH137" i="22" s="1"/>
  <c r="AG137" i="22" s="1"/>
  <c r="AF137" i="22" s="1"/>
  <c r="AD137" i="22" s="1"/>
  <c r="AI139" i="22"/>
  <c r="AH139" i="22" s="1"/>
  <c r="AG139" i="22" s="1"/>
  <c r="AF139" i="22" s="1"/>
  <c r="AD139" i="22" s="1"/>
  <c r="AI141" i="22"/>
  <c r="AH141" i="22" s="1"/>
  <c r="AG141" i="22" s="1"/>
  <c r="AF141" i="22" s="1"/>
  <c r="AD141" i="22" s="1"/>
  <c r="AI143" i="22"/>
  <c r="AH143" i="22" s="1"/>
  <c r="AI145" i="22"/>
  <c r="AH145" i="22" s="1"/>
  <c r="AG145" i="22" s="1"/>
  <c r="AF145" i="22" s="1"/>
  <c r="AD145" i="22" s="1"/>
  <c r="AI147" i="22"/>
  <c r="AH147" i="22" s="1"/>
  <c r="AI149" i="22"/>
  <c r="AH149" i="22" s="1"/>
  <c r="AG149" i="22" s="1"/>
  <c r="AF149" i="22" s="1"/>
  <c r="AD149" i="22" s="1"/>
  <c r="AI151" i="22"/>
  <c r="AH151" i="22" s="1"/>
  <c r="AG151" i="22" s="1"/>
  <c r="AF151" i="22" s="1"/>
  <c r="AD151" i="22" s="1"/>
  <c r="AI153" i="22"/>
  <c r="AH153" i="22" s="1"/>
  <c r="AI155" i="22"/>
  <c r="AH155" i="22" s="1"/>
  <c r="AG155" i="22" s="1"/>
  <c r="AF155" i="22" s="1"/>
  <c r="AD155" i="22" s="1"/>
  <c r="AI157" i="22"/>
  <c r="AH157" i="22" s="1"/>
  <c r="AI159" i="22"/>
  <c r="AH159" i="22" s="1"/>
  <c r="AI161" i="22"/>
  <c r="AH161" i="22" s="1"/>
  <c r="AG161" i="22" s="1"/>
  <c r="AF161" i="22" s="1"/>
  <c r="AD161" i="22" s="1"/>
  <c r="AI163" i="22"/>
  <c r="AH163" i="22" s="1"/>
  <c r="AI165" i="22"/>
  <c r="AH165" i="22" s="1"/>
  <c r="AG165" i="22" s="1"/>
  <c r="AF165" i="22" s="1"/>
  <c r="AD165" i="22" s="1"/>
  <c r="AI167" i="22"/>
  <c r="AH167" i="22" s="1"/>
  <c r="AG167" i="22" s="1"/>
  <c r="AF167" i="22" s="1"/>
  <c r="AD167" i="22" s="1"/>
  <c r="AI169" i="22"/>
  <c r="AH169" i="22" s="1"/>
  <c r="AG169" i="22" s="1"/>
  <c r="AF169" i="22" s="1"/>
  <c r="AD169" i="22" s="1"/>
  <c r="AI171" i="22"/>
  <c r="AH171" i="22" s="1"/>
  <c r="AG171" i="22" s="1"/>
  <c r="AF171" i="22" s="1"/>
  <c r="AD171" i="22" s="1"/>
  <c r="AI173" i="22"/>
  <c r="AH173" i="22" s="1"/>
  <c r="AG173" i="22" s="1"/>
  <c r="AF173" i="22" s="1"/>
  <c r="AD173" i="22" s="1"/>
  <c r="AI175" i="22"/>
  <c r="AH175" i="22" s="1"/>
  <c r="AI177" i="22"/>
  <c r="AH177" i="22" s="1"/>
  <c r="AG177" i="22" s="1"/>
  <c r="AF177" i="22" s="1"/>
  <c r="AD177" i="22" s="1"/>
  <c r="AI179" i="22"/>
  <c r="AH179" i="22" s="1"/>
  <c r="AI181" i="22"/>
  <c r="AH181" i="22" s="1"/>
  <c r="AI183" i="22"/>
  <c r="AH183" i="22" s="1"/>
  <c r="AG183" i="22" s="1"/>
  <c r="AF183" i="22" s="1"/>
  <c r="AD183" i="22" s="1"/>
  <c r="AI185" i="22"/>
  <c r="AH185" i="22" s="1"/>
  <c r="AG185" i="22" s="1"/>
  <c r="AF185" i="22" s="1"/>
  <c r="AD185" i="22" s="1"/>
  <c r="AI187" i="22"/>
  <c r="AH187" i="22" s="1"/>
  <c r="AI189" i="22"/>
  <c r="AH189" i="22" s="1"/>
  <c r="AG189" i="22" s="1"/>
  <c r="AF189" i="22" s="1"/>
  <c r="AD189" i="22" s="1"/>
  <c r="AI191" i="22"/>
  <c r="AH191" i="22" s="1"/>
  <c r="AI193" i="22"/>
  <c r="AH193" i="22" s="1"/>
  <c r="AG193" i="22" s="1"/>
  <c r="AF193" i="22" s="1"/>
  <c r="AD193" i="22" s="1"/>
  <c r="AI195" i="22"/>
  <c r="AH195" i="22" s="1"/>
  <c r="AI197" i="22"/>
  <c r="AH197" i="22" s="1"/>
  <c r="AG197" i="22" s="1"/>
  <c r="AF197" i="22" s="1"/>
  <c r="AD197" i="22" s="1"/>
  <c r="AI199" i="22"/>
  <c r="AH199" i="22" s="1"/>
  <c r="AI201" i="22"/>
  <c r="AH201" i="22" s="1"/>
  <c r="AG201" i="22" s="1"/>
  <c r="AF201" i="22" s="1"/>
  <c r="AD201" i="22" s="1"/>
  <c r="AI203" i="22"/>
  <c r="AH203" i="22" s="1"/>
  <c r="AI205" i="22"/>
  <c r="AH205" i="22" s="1"/>
  <c r="AG205" i="22" s="1"/>
  <c r="AF205" i="22" s="1"/>
  <c r="AD205" i="22" s="1"/>
  <c r="AI207" i="22"/>
  <c r="AH207" i="22" s="1"/>
  <c r="AI209" i="22"/>
  <c r="AH209" i="22" s="1"/>
  <c r="AG209" i="22" s="1"/>
  <c r="AF209" i="22" s="1"/>
  <c r="AD209" i="22" s="1"/>
  <c r="AI211" i="22"/>
  <c r="AH211" i="22" s="1"/>
  <c r="AI213" i="22"/>
  <c r="AH213" i="22" s="1"/>
  <c r="AG213" i="22" s="1"/>
  <c r="AF213" i="22" s="1"/>
  <c r="AD213" i="22" s="1"/>
  <c r="AI215" i="22"/>
  <c r="AH215" i="22" s="1"/>
  <c r="AI217" i="22"/>
  <c r="AH217" i="22" s="1"/>
  <c r="AG217" i="22" s="1"/>
  <c r="AF217" i="22" s="1"/>
  <c r="AD217" i="22" s="1"/>
  <c r="AI219" i="22"/>
  <c r="AH219" i="22" s="1"/>
  <c r="AG219" i="22" s="1"/>
  <c r="AF219" i="22" s="1"/>
  <c r="AD219" i="22" s="1"/>
  <c r="AI221" i="22"/>
  <c r="AH221" i="22" s="1"/>
  <c r="AG221" i="22" s="1"/>
  <c r="AF221" i="22" s="1"/>
  <c r="AD221" i="22" s="1"/>
  <c r="AI223" i="22"/>
  <c r="AH223" i="22" s="1"/>
  <c r="AI225" i="22"/>
  <c r="AH225" i="22" s="1"/>
  <c r="AG225" i="22" s="1"/>
  <c r="AF225" i="22" s="1"/>
  <c r="AD225" i="22" s="1"/>
  <c r="AI227" i="22"/>
  <c r="AH227" i="22" s="1"/>
  <c r="AG227" i="22" s="1"/>
  <c r="AF227" i="22" s="1"/>
  <c r="AD227" i="22" s="1"/>
  <c r="AI229" i="22"/>
  <c r="AH229" i="22" s="1"/>
  <c r="AG229" i="22" s="1"/>
  <c r="AF229" i="22" s="1"/>
  <c r="AD229" i="22" s="1"/>
  <c r="AI231" i="22"/>
  <c r="AH231" i="22" s="1"/>
  <c r="AI233" i="22"/>
  <c r="AH233" i="22" s="1"/>
  <c r="AG233" i="22" s="1"/>
  <c r="AF233" i="22" s="1"/>
  <c r="AD233" i="22" s="1"/>
  <c r="AI235" i="22"/>
  <c r="AH235" i="22" s="1"/>
  <c r="AG235" i="22" s="1"/>
  <c r="AF235" i="22" s="1"/>
  <c r="AD235" i="22" s="1"/>
  <c r="AI237" i="22"/>
  <c r="AH237" i="22" s="1"/>
  <c r="AG237" i="22" s="1"/>
  <c r="AF237" i="22" s="1"/>
  <c r="AD237" i="22" s="1"/>
  <c r="AI239" i="22"/>
  <c r="AH239" i="22" s="1"/>
  <c r="AG239" i="22" s="1"/>
  <c r="AF239" i="22" s="1"/>
  <c r="AD239" i="22" s="1"/>
  <c r="AI241" i="22"/>
  <c r="AH241" i="22" s="1"/>
  <c r="AG241" i="22" s="1"/>
  <c r="AF241" i="22" s="1"/>
  <c r="AD241" i="22" s="1"/>
  <c r="AI243" i="22"/>
  <c r="AH243" i="22" s="1"/>
  <c r="AI245" i="22"/>
  <c r="AH245" i="22" s="1"/>
  <c r="AG245" i="22" s="1"/>
  <c r="AF245" i="22" s="1"/>
  <c r="AD245" i="22" s="1"/>
  <c r="AI247" i="22"/>
  <c r="AH247" i="22" s="1"/>
  <c r="AI249" i="22"/>
  <c r="AH249" i="22" s="1"/>
  <c r="AG249" i="22" s="1"/>
  <c r="AF249" i="22" s="1"/>
  <c r="AD249" i="22" s="1"/>
  <c r="AI251" i="22"/>
  <c r="AH251" i="22" s="1"/>
  <c r="AI253" i="22"/>
  <c r="AH253" i="22" s="1"/>
  <c r="AI255" i="22"/>
  <c r="AH255" i="22" s="1"/>
  <c r="AI257" i="22"/>
  <c r="AH257" i="22" s="1"/>
  <c r="AG257" i="22" s="1"/>
  <c r="AF257" i="22" s="1"/>
  <c r="AD257" i="22" s="1"/>
  <c r="AI259" i="22"/>
  <c r="AH259" i="22" s="1"/>
  <c r="AG259" i="22" s="1"/>
  <c r="AF259" i="22" s="1"/>
  <c r="AD259" i="22" s="1"/>
  <c r="AI261" i="22"/>
  <c r="AH261" i="22" s="1"/>
  <c r="AG261" i="22" s="1"/>
  <c r="AF261" i="22" s="1"/>
  <c r="AD261" i="22" s="1"/>
  <c r="AI263" i="22"/>
  <c r="AH263" i="22" s="1"/>
  <c r="AG263" i="22" s="1"/>
  <c r="AF263" i="22" s="1"/>
  <c r="AD263" i="22" s="1"/>
  <c r="AI265" i="22"/>
  <c r="AH265" i="22" s="1"/>
  <c r="AI267" i="22"/>
  <c r="AH267" i="22" s="1"/>
  <c r="AI269" i="22"/>
  <c r="AH269" i="22" s="1"/>
  <c r="AI271" i="22"/>
  <c r="AH271" i="22" s="1"/>
  <c r="AI273" i="22"/>
  <c r="AH273" i="22" s="1"/>
  <c r="AI275" i="22"/>
  <c r="AH275" i="22" s="1"/>
  <c r="AG275" i="22" s="1"/>
  <c r="AF275" i="22" s="1"/>
  <c r="AD275" i="22" s="1"/>
  <c r="AI277" i="22"/>
  <c r="AH277" i="22" s="1"/>
  <c r="AG277" i="22" s="1"/>
  <c r="AF277" i="22" s="1"/>
  <c r="AD277" i="22" s="1"/>
  <c r="AI279" i="22"/>
  <c r="AH279" i="22" s="1"/>
  <c r="AG279" i="22" s="1"/>
  <c r="AF279" i="22" s="1"/>
  <c r="AD279" i="22" s="1"/>
  <c r="AI281" i="22"/>
  <c r="AH281" i="22" s="1"/>
  <c r="AG281" i="22" s="1"/>
  <c r="AF281" i="22" s="1"/>
  <c r="AD281" i="22" s="1"/>
  <c r="AI283" i="22"/>
  <c r="AH283" i="22" s="1"/>
  <c r="AI285" i="22"/>
  <c r="AH285" i="22" s="1"/>
  <c r="AG285" i="22" s="1"/>
  <c r="AF285" i="22" s="1"/>
  <c r="AD285" i="22" s="1"/>
  <c r="AI287" i="22"/>
  <c r="AH287" i="22" s="1"/>
  <c r="AI289" i="22"/>
  <c r="AH289" i="22" s="1"/>
  <c r="AG289" i="22" s="1"/>
  <c r="AF289" i="22" s="1"/>
  <c r="AD289" i="22" s="1"/>
  <c r="AI291" i="22"/>
  <c r="AH291" i="22" s="1"/>
  <c r="AG291" i="22" s="1"/>
  <c r="AF291" i="22" s="1"/>
  <c r="AD291" i="22" s="1"/>
  <c r="AI293" i="22"/>
  <c r="AH293" i="22" s="1"/>
  <c r="AI295" i="22"/>
  <c r="AH295" i="22" s="1"/>
  <c r="AI297" i="22"/>
  <c r="AH297" i="22" s="1"/>
  <c r="AI299" i="22"/>
  <c r="AH299" i="22" s="1"/>
  <c r="AG299" i="22" s="1"/>
  <c r="AF299" i="22" s="1"/>
  <c r="AD299" i="22" s="1"/>
  <c r="AI301" i="22"/>
  <c r="AH301" i="22" s="1"/>
  <c r="AG301" i="22" s="1"/>
  <c r="AF301" i="22" s="1"/>
  <c r="AD301" i="22" s="1"/>
  <c r="AI303" i="22"/>
  <c r="AH303" i="22" s="1"/>
  <c r="AG303" i="22" s="1"/>
  <c r="AF303" i="22" s="1"/>
  <c r="AD303" i="22" s="1"/>
  <c r="AI305" i="22"/>
  <c r="AH305" i="22" s="1"/>
  <c r="AG305" i="22" s="1"/>
  <c r="AF305" i="22" s="1"/>
  <c r="AD305" i="22" s="1"/>
  <c r="AI307" i="22"/>
  <c r="AH307" i="22" s="1"/>
  <c r="AI309" i="22"/>
  <c r="AH309" i="22" s="1"/>
  <c r="AG309" i="22" s="1"/>
  <c r="AF309" i="22" s="1"/>
  <c r="AD309" i="22" s="1"/>
  <c r="AI311" i="22"/>
  <c r="AH311" i="22" s="1"/>
  <c r="AG311" i="22" s="1"/>
  <c r="AF311" i="22" s="1"/>
  <c r="AD311" i="22" s="1"/>
  <c r="AI313" i="22"/>
  <c r="AH313" i="22" s="1"/>
  <c r="AI315" i="22"/>
  <c r="AH315" i="22" s="1"/>
  <c r="AI317" i="22"/>
  <c r="AH317" i="22" s="1"/>
  <c r="AI319" i="22"/>
  <c r="AH319" i="22" s="1"/>
  <c r="AI321" i="22"/>
  <c r="AH321" i="22" s="1"/>
  <c r="AI323" i="22"/>
  <c r="AH323" i="22" s="1"/>
  <c r="AG323" i="22" s="1"/>
  <c r="AF323" i="22" s="1"/>
  <c r="AD323" i="22" s="1"/>
  <c r="AI325" i="22"/>
  <c r="AH325" i="22" s="1"/>
  <c r="AG325" i="22" s="1"/>
  <c r="AF325" i="22" s="1"/>
  <c r="AD325" i="22" s="1"/>
  <c r="AI327" i="22"/>
  <c r="AH327" i="22" s="1"/>
  <c r="AI329" i="22"/>
  <c r="AH329" i="22" s="1"/>
  <c r="AG329" i="22" s="1"/>
  <c r="AF329" i="22" s="1"/>
  <c r="AD329" i="22" s="1"/>
  <c r="AI331" i="22"/>
  <c r="AH331" i="22" s="1"/>
  <c r="AI333" i="22"/>
  <c r="AH333" i="22" s="1"/>
  <c r="AG333" i="22" s="1"/>
  <c r="AF333" i="22" s="1"/>
  <c r="AD333" i="22" s="1"/>
  <c r="AI335" i="22"/>
  <c r="AH335" i="22" s="1"/>
  <c r="AG335" i="22" s="1"/>
  <c r="AF335" i="22" s="1"/>
  <c r="AD335" i="22" s="1"/>
  <c r="AI337" i="22"/>
  <c r="AH337" i="22" s="1"/>
  <c r="AG337" i="22" s="1"/>
  <c r="AF337" i="22" s="1"/>
  <c r="AD337" i="22" s="1"/>
  <c r="AI339" i="22"/>
  <c r="AH339" i="22" s="1"/>
  <c r="AG339" i="22" s="1"/>
  <c r="AF339" i="22" s="1"/>
  <c r="AD339" i="22" s="1"/>
  <c r="AI341" i="22"/>
  <c r="AH341" i="22" s="1"/>
  <c r="AG341" i="22" s="1"/>
  <c r="AF341" i="22" s="1"/>
  <c r="AD341" i="22" s="1"/>
  <c r="AI343" i="22"/>
  <c r="AH343" i="22" s="1"/>
  <c r="AI345" i="22"/>
  <c r="AH345" i="22" s="1"/>
  <c r="AG345" i="22" s="1"/>
  <c r="AF345" i="22" s="1"/>
  <c r="AD345" i="22" s="1"/>
  <c r="AI347" i="22"/>
  <c r="AH347" i="22" s="1"/>
  <c r="AG347" i="22" s="1"/>
  <c r="AF347" i="22" s="1"/>
  <c r="AD347" i="22" s="1"/>
  <c r="AI349" i="22"/>
  <c r="AH349" i="22" s="1"/>
  <c r="AI351" i="22"/>
  <c r="AH351" i="22" s="1"/>
  <c r="AI353" i="22"/>
  <c r="AH353" i="22" s="1"/>
  <c r="AG353" i="22" s="1"/>
  <c r="AF353" i="22" s="1"/>
  <c r="AD353" i="22" s="1"/>
  <c r="AI355" i="22"/>
  <c r="AH355" i="22" s="1"/>
  <c r="AG355" i="22" s="1"/>
  <c r="AF355" i="22" s="1"/>
  <c r="AD355" i="22" s="1"/>
  <c r="AI357" i="22"/>
  <c r="AH357" i="22" s="1"/>
  <c r="AG357" i="22" s="1"/>
  <c r="AF357" i="22" s="1"/>
  <c r="AD357" i="22" s="1"/>
  <c r="AI359" i="22"/>
  <c r="AH359" i="22" s="1"/>
  <c r="AI361" i="22"/>
  <c r="AH361" i="22" s="1"/>
  <c r="AG361" i="22" s="1"/>
  <c r="AF361" i="22" s="1"/>
  <c r="AD361" i="22" s="1"/>
  <c r="AI363" i="22"/>
  <c r="AH363" i="22" s="1"/>
  <c r="AG363" i="22" s="1"/>
  <c r="AF363" i="22" s="1"/>
  <c r="AD363" i="22" s="1"/>
  <c r="AI365" i="22"/>
  <c r="AH365" i="22" s="1"/>
  <c r="AG365" i="22" s="1"/>
  <c r="AF365" i="22" s="1"/>
  <c r="AD365" i="22" s="1"/>
  <c r="AI367" i="22"/>
  <c r="AH367" i="22" s="1"/>
  <c r="AI369" i="22"/>
  <c r="AH369" i="22" s="1"/>
  <c r="AG369" i="22" s="1"/>
  <c r="AF369" i="22" s="1"/>
  <c r="AD369" i="22" s="1"/>
  <c r="AI371" i="22"/>
  <c r="AH371" i="22" s="1"/>
  <c r="AI373" i="22"/>
  <c r="AH373" i="22" s="1"/>
  <c r="AG373" i="22" s="1"/>
  <c r="AF373" i="22" s="1"/>
  <c r="AD373" i="22" s="1"/>
  <c r="AI375" i="22"/>
  <c r="AH375" i="22" s="1"/>
  <c r="AI377" i="22"/>
  <c r="AH377" i="22" s="1"/>
  <c r="AG377" i="22" s="1"/>
  <c r="AF377" i="22" s="1"/>
  <c r="AD377" i="22" s="1"/>
  <c r="AI379" i="22"/>
  <c r="AI17" i="22"/>
  <c r="AI27" i="22"/>
  <c r="AH27" i="22" s="1"/>
  <c r="AI35" i="22"/>
  <c r="AH35" i="22" s="1"/>
  <c r="AG35" i="22" s="1"/>
  <c r="AF35" i="22" s="1"/>
  <c r="AD35" i="22" s="1"/>
  <c r="AI43" i="22"/>
  <c r="AH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I79" i="22"/>
  <c r="AH79" i="22" s="1"/>
  <c r="AG79" i="22" s="1"/>
  <c r="AF79" i="22" s="1"/>
  <c r="AD79" i="22" s="1"/>
  <c r="AI83" i="22"/>
  <c r="AH83" i="22" s="1"/>
  <c r="AI87" i="22"/>
  <c r="AH87" i="22" s="1"/>
  <c r="AG87" i="22" s="1"/>
  <c r="AF87" i="22" s="1"/>
  <c r="AD87" i="22" s="1"/>
  <c r="AI91" i="22"/>
  <c r="AH91" i="22" s="1"/>
  <c r="AG91" i="22" s="1"/>
  <c r="AF91" i="22" s="1"/>
  <c r="AD91" i="22" s="1"/>
  <c r="AI95" i="22"/>
  <c r="AH95" i="22" s="1"/>
  <c r="AG95" i="22" s="1"/>
  <c r="AF95" i="22" s="1"/>
  <c r="AD95" i="22" s="1"/>
  <c r="AI99" i="22"/>
  <c r="AH99" i="22" s="1"/>
  <c r="AI103" i="22"/>
  <c r="AH103" i="22" s="1"/>
  <c r="AG103" i="22" s="1"/>
  <c r="AF103" i="22" s="1"/>
  <c r="AD103" i="22" s="1"/>
  <c r="AI107" i="22"/>
  <c r="AH107" i="22" s="1"/>
  <c r="AG107" i="22" s="1"/>
  <c r="AF107" i="22" s="1"/>
  <c r="AD107" i="22" s="1"/>
  <c r="AI110" i="22"/>
  <c r="AH110" i="22" s="1"/>
  <c r="AI112" i="22"/>
  <c r="AH112" i="22" s="1"/>
  <c r="AG112" i="22" s="1"/>
  <c r="AF112" i="22" s="1"/>
  <c r="AD112" i="22" s="1"/>
  <c r="AI114" i="22"/>
  <c r="AH114" i="22" s="1"/>
  <c r="AI116" i="22"/>
  <c r="AH116" i="22" s="1"/>
  <c r="AG116" i="22" s="1"/>
  <c r="AF116" i="22" s="1"/>
  <c r="AD116" i="22" s="1"/>
  <c r="AI118" i="22"/>
  <c r="AH118" i="22" s="1"/>
  <c r="AI120" i="22"/>
  <c r="AH120" i="22" s="1"/>
  <c r="AG120" i="22" s="1"/>
  <c r="AF120" i="22" s="1"/>
  <c r="AD120" i="22" s="1"/>
  <c r="AI122" i="22"/>
  <c r="AH122" i="22" s="1"/>
  <c r="AG122" i="22" s="1"/>
  <c r="AF122" i="22" s="1"/>
  <c r="AD122" i="22" s="1"/>
  <c r="AI124" i="22"/>
  <c r="AH124" i="22" s="1"/>
  <c r="AG124" i="22" s="1"/>
  <c r="AF124" i="22" s="1"/>
  <c r="AD124" i="22" s="1"/>
  <c r="AI126" i="22"/>
  <c r="AH126" i="22" s="1"/>
  <c r="AG126" i="22" s="1"/>
  <c r="AF126" i="22" s="1"/>
  <c r="AD126" i="22" s="1"/>
  <c r="AI128" i="22"/>
  <c r="AH128" i="22" s="1"/>
  <c r="AI130" i="22"/>
  <c r="AH130" i="22" s="1"/>
  <c r="AG130" i="22" s="1"/>
  <c r="AF130" i="22" s="1"/>
  <c r="AD130" i="22" s="1"/>
  <c r="AI132" i="22"/>
  <c r="AH132" i="22" s="1"/>
  <c r="AG132" i="22" s="1"/>
  <c r="AF132" i="22" s="1"/>
  <c r="AD132" i="22" s="1"/>
  <c r="AI134" i="22"/>
  <c r="AH134" i="22" s="1"/>
  <c r="AG134" i="22" s="1"/>
  <c r="AF134" i="22" s="1"/>
  <c r="AD134" i="22" s="1"/>
  <c r="AI136" i="22"/>
  <c r="AH136" i="22" s="1"/>
  <c r="AG136" i="22" s="1"/>
  <c r="AF136" i="22" s="1"/>
  <c r="AD136" i="22" s="1"/>
  <c r="AI138" i="22"/>
  <c r="AH138" i="22" s="1"/>
  <c r="AG138" i="22" s="1"/>
  <c r="AF138" i="22" s="1"/>
  <c r="AD138" i="22" s="1"/>
  <c r="AI140" i="22"/>
  <c r="AH140" i="22" s="1"/>
  <c r="AI142" i="22"/>
  <c r="AH142" i="22" s="1"/>
  <c r="AG142" i="22" s="1"/>
  <c r="AF142" i="22" s="1"/>
  <c r="AD142" i="22" s="1"/>
  <c r="AI144" i="22"/>
  <c r="AH144" i="22" s="1"/>
  <c r="AG144" i="22" s="1"/>
  <c r="AF144" i="22" s="1"/>
  <c r="AD144" i="22" s="1"/>
  <c r="AI146" i="22"/>
  <c r="AH146" i="22" s="1"/>
  <c r="AG146" i="22" s="1"/>
  <c r="AF146" i="22" s="1"/>
  <c r="AD146" i="22" s="1"/>
  <c r="AI148" i="22"/>
  <c r="AH148" i="22" s="1"/>
  <c r="AI150" i="22"/>
  <c r="AH150" i="22" s="1"/>
  <c r="AG150" i="22" s="1"/>
  <c r="AF150" i="22" s="1"/>
  <c r="AD150" i="22" s="1"/>
  <c r="AI152" i="22"/>
  <c r="AH152" i="22" s="1"/>
  <c r="AI154" i="22"/>
  <c r="AH154" i="22" s="1"/>
  <c r="AG154" i="22" s="1"/>
  <c r="AF154" i="22" s="1"/>
  <c r="AD154" i="22" s="1"/>
  <c r="AI156" i="22"/>
  <c r="AH156" i="22" s="1"/>
  <c r="AG156" i="22" s="1"/>
  <c r="AF156" i="22" s="1"/>
  <c r="AD156" i="22" s="1"/>
  <c r="AI158" i="22"/>
  <c r="AH158" i="22" s="1"/>
  <c r="AG158" i="22" s="1"/>
  <c r="AF158" i="22" s="1"/>
  <c r="AD158" i="22" s="1"/>
  <c r="AI160" i="22"/>
  <c r="AH160" i="22" s="1"/>
  <c r="AG160" i="22" s="1"/>
  <c r="AF160" i="22" s="1"/>
  <c r="AD160" i="22" s="1"/>
  <c r="AI162" i="22"/>
  <c r="AH162" i="22" s="1"/>
  <c r="AG162" i="22" s="1"/>
  <c r="AF162" i="22" s="1"/>
  <c r="AD162" i="22" s="1"/>
  <c r="AI164" i="22"/>
  <c r="AH164" i="22" s="1"/>
  <c r="AI166" i="22"/>
  <c r="AH166" i="22" s="1"/>
  <c r="AG166" i="22" s="1"/>
  <c r="AF166" i="22" s="1"/>
  <c r="AD166" i="22" s="1"/>
  <c r="AI168" i="22"/>
  <c r="AH168" i="22" s="1"/>
  <c r="AG168" i="22" s="1"/>
  <c r="AF168" i="22" s="1"/>
  <c r="AD168" i="22" s="1"/>
  <c r="AI170" i="22"/>
  <c r="AH170" i="22" s="1"/>
  <c r="AG170" i="22" s="1"/>
  <c r="AF170" i="22" s="1"/>
  <c r="AD170" i="22" s="1"/>
  <c r="AI172" i="22"/>
  <c r="AH172" i="22" s="1"/>
  <c r="AI174" i="22"/>
  <c r="AH174" i="22" s="1"/>
  <c r="AG174" i="22" s="1"/>
  <c r="AF174" i="22" s="1"/>
  <c r="AD174" i="22" s="1"/>
  <c r="AI176" i="22"/>
  <c r="AH176" i="22" s="1"/>
  <c r="AI178" i="22"/>
  <c r="AH178" i="22" s="1"/>
  <c r="AG178" i="22" s="1"/>
  <c r="AF178" i="22" s="1"/>
  <c r="AD178" i="22" s="1"/>
  <c r="AI180" i="22"/>
  <c r="AH180" i="22" s="1"/>
  <c r="AG180" i="22" s="1"/>
  <c r="AF180" i="22" s="1"/>
  <c r="AD180" i="22" s="1"/>
  <c r="AI182" i="22"/>
  <c r="AH182" i="22" s="1"/>
  <c r="AG182" i="22" s="1"/>
  <c r="AF182" i="22" s="1"/>
  <c r="AD182" i="22" s="1"/>
  <c r="AI184" i="22"/>
  <c r="AH184" i="22" s="1"/>
  <c r="AG184" i="22" s="1"/>
  <c r="AF184" i="22" s="1"/>
  <c r="AD184" i="22" s="1"/>
  <c r="AI186" i="22"/>
  <c r="AH186" i="22" s="1"/>
  <c r="AG186" i="22" s="1"/>
  <c r="AF186" i="22" s="1"/>
  <c r="AD186" i="22" s="1"/>
  <c r="AI188" i="22"/>
  <c r="AH188" i="22" s="1"/>
  <c r="AG188" i="22" s="1"/>
  <c r="AF188" i="22" s="1"/>
  <c r="AD188" i="22" s="1"/>
  <c r="AI190" i="22"/>
  <c r="AH190" i="22" s="1"/>
  <c r="AI192" i="22"/>
  <c r="AH192" i="22" s="1"/>
  <c r="AG192" i="22" s="1"/>
  <c r="AF192" i="22" s="1"/>
  <c r="AD192" i="22" s="1"/>
  <c r="AI194" i="22"/>
  <c r="AH194" i="22" s="1"/>
  <c r="AG194" i="22" s="1"/>
  <c r="AF194" i="22" s="1"/>
  <c r="AD194" i="22" s="1"/>
  <c r="AI196" i="22"/>
  <c r="AH196" i="22" s="1"/>
  <c r="AG196" i="22" s="1"/>
  <c r="AF196" i="22" s="1"/>
  <c r="AD196" i="22" s="1"/>
  <c r="AI198" i="22"/>
  <c r="AH198" i="22" s="1"/>
  <c r="AG198" i="22" s="1"/>
  <c r="AF198" i="22" s="1"/>
  <c r="AD198" i="22" s="1"/>
  <c r="AI200" i="22"/>
  <c r="AH200" i="22" s="1"/>
  <c r="AG200" i="22" s="1"/>
  <c r="AF200" i="22" s="1"/>
  <c r="AD200" i="22" s="1"/>
  <c r="AI202" i="22"/>
  <c r="AH202" i="22" s="1"/>
  <c r="AG202" i="22" s="1"/>
  <c r="AF202" i="22" s="1"/>
  <c r="AD202" i="22" s="1"/>
  <c r="AI204" i="22"/>
  <c r="AH204" i="22" s="1"/>
  <c r="AG204" i="22" s="1"/>
  <c r="AF204" i="22" s="1"/>
  <c r="AD204" i="22" s="1"/>
  <c r="AI206" i="22"/>
  <c r="AH206" i="22" s="1"/>
  <c r="AG206" i="22" s="1"/>
  <c r="AF206" i="22" s="1"/>
  <c r="AD206" i="22" s="1"/>
  <c r="AI208" i="22"/>
  <c r="AH208" i="22" s="1"/>
  <c r="AG208" i="22" s="1"/>
  <c r="AF208" i="22" s="1"/>
  <c r="AD208" i="22" s="1"/>
  <c r="AI210" i="22"/>
  <c r="AH210" i="22" s="1"/>
  <c r="AG210" i="22" s="1"/>
  <c r="AF210" i="22" s="1"/>
  <c r="AD210" i="22" s="1"/>
  <c r="AI212" i="22"/>
  <c r="AH212" i="22" s="1"/>
  <c r="AG212" i="22" s="1"/>
  <c r="AF212" i="22" s="1"/>
  <c r="AD212" i="22" s="1"/>
  <c r="AI214" i="22"/>
  <c r="AH214" i="22" s="1"/>
  <c r="AG214" i="22" s="1"/>
  <c r="AF214" i="22" s="1"/>
  <c r="AD214" i="22" s="1"/>
  <c r="AI216" i="22"/>
  <c r="AH216" i="22" s="1"/>
  <c r="AG216" i="22" s="1"/>
  <c r="AF216" i="22" s="1"/>
  <c r="AD216" i="22" s="1"/>
  <c r="AI218" i="22"/>
  <c r="AH218" i="22" s="1"/>
  <c r="AG218" i="22" s="1"/>
  <c r="AF218" i="22" s="1"/>
  <c r="AD218" i="22" s="1"/>
  <c r="AI220" i="22"/>
  <c r="AH220" i="22" s="1"/>
  <c r="AG220" i="22" s="1"/>
  <c r="AF220" i="22" s="1"/>
  <c r="AD220" i="22" s="1"/>
  <c r="AI222" i="22"/>
  <c r="AH222" i="22" s="1"/>
  <c r="AG222" i="22" s="1"/>
  <c r="AF222" i="22" s="1"/>
  <c r="AD222" i="22" s="1"/>
  <c r="AI224" i="22"/>
  <c r="AH224" i="22" s="1"/>
  <c r="AG224" i="22" s="1"/>
  <c r="AF224" i="22" s="1"/>
  <c r="AD224" i="22" s="1"/>
  <c r="AI226" i="22"/>
  <c r="AH226" i="22" s="1"/>
  <c r="AG226" i="22" s="1"/>
  <c r="AF226" i="22" s="1"/>
  <c r="AD226" i="22" s="1"/>
  <c r="AI228" i="22"/>
  <c r="AH228" i="22" s="1"/>
  <c r="AG228" i="22" s="1"/>
  <c r="AF228" i="22" s="1"/>
  <c r="AD228" i="22" s="1"/>
  <c r="AI230" i="22"/>
  <c r="AH230" i="22" s="1"/>
  <c r="AG230" i="22" s="1"/>
  <c r="AF230" i="22" s="1"/>
  <c r="AD230" i="22" s="1"/>
  <c r="AI232" i="22"/>
  <c r="AH232" i="22" s="1"/>
  <c r="AI234" i="22"/>
  <c r="AH234" i="22" s="1"/>
  <c r="AG234" i="22" s="1"/>
  <c r="AF234" i="22" s="1"/>
  <c r="AD234" i="22" s="1"/>
  <c r="AI236" i="22"/>
  <c r="AH236" i="22" s="1"/>
  <c r="AG236" i="22" s="1"/>
  <c r="AF236" i="22" s="1"/>
  <c r="AD236" i="22" s="1"/>
  <c r="AI238" i="22"/>
  <c r="AH238" i="22" s="1"/>
  <c r="AG238" i="22" s="1"/>
  <c r="AF238" i="22" s="1"/>
  <c r="AD238" i="22" s="1"/>
  <c r="AI240" i="22"/>
  <c r="AH240" i="22" s="1"/>
  <c r="AG240" i="22" s="1"/>
  <c r="AF240" i="22" s="1"/>
  <c r="AD240" i="22" s="1"/>
  <c r="AI242" i="22"/>
  <c r="AH242" i="22" s="1"/>
  <c r="AG242" i="22" s="1"/>
  <c r="AF242" i="22" s="1"/>
  <c r="AD242" i="22" s="1"/>
  <c r="AI244" i="22"/>
  <c r="AH244" i="22" s="1"/>
  <c r="AG244" i="22" s="1"/>
  <c r="AF244" i="22" s="1"/>
  <c r="AD244" i="22" s="1"/>
  <c r="AI246" i="22"/>
  <c r="AH246" i="22" s="1"/>
  <c r="AG246" i="22" s="1"/>
  <c r="AF246" i="22" s="1"/>
  <c r="AD246" i="22" s="1"/>
  <c r="AI248" i="22"/>
  <c r="AH248" i="22" s="1"/>
  <c r="AI250" i="22"/>
  <c r="AH250" i="22" s="1"/>
  <c r="AG250" i="22" s="1"/>
  <c r="AF250" i="22" s="1"/>
  <c r="AD250" i="22" s="1"/>
  <c r="AI252" i="22"/>
  <c r="AH252" i="22" s="1"/>
  <c r="AG252" i="22" s="1"/>
  <c r="AF252" i="22" s="1"/>
  <c r="AD252" i="22" s="1"/>
  <c r="AI254" i="22"/>
  <c r="AH254" i="22" s="1"/>
  <c r="AG254" i="22" s="1"/>
  <c r="AF254" i="22" s="1"/>
  <c r="AD254" i="22" s="1"/>
  <c r="AI256" i="22"/>
  <c r="AH256" i="22" s="1"/>
  <c r="AG256" i="22" s="1"/>
  <c r="AF256" i="22" s="1"/>
  <c r="AD256" i="22" s="1"/>
  <c r="AI258" i="22"/>
  <c r="AH258" i="22" s="1"/>
  <c r="AG258" i="22" s="1"/>
  <c r="AF258" i="22" s="1"/>
  <c r="AD258" i="22" s="1"/>
  <c r="AI260" i="22"/>
  <c r="AH260" i="22" s="1"/>
  <c r="AG260" i="22" s="1"/>
  <c r="AF260" i="22" s="1"/>
  <c r="AD260" i="22" s="1"/>
  <c r="AI262" i="22"/>
  <c r="AH262" i="22" s="1"/>
  <c r="AG262" i="22" s="1"/>
  <c r="AF262" i="22" s="1"/>
  <c r="AD262" i="22" s="1"/>
  <c r="AI264" i="22"/>
  <c r="AH264" i="22" s="1"/>
  <c r="AG264" i="22" s="1"/>
  <c r="AF264" i="22" s="1"/>
  <c r="AD264" i="22" s="1"/>
  <c r="AI266" i="22"/>
  <c r="AH266" i="22" s="1"/>
  <c r="AG266" i="22" s="1"/>
  <c r="AF266" i="22" s="1"/>
  <c r="AD266" i="22" s="1"/>
  <c r="AI268" i="22"/>
  <c r="AH268" i="22" s="1"/>
  <c r="AG268" i="22" s="1"/>
  <c r="AF268" i="22" s="1"/>
  <c r="AD268" i="22" s="1"/>
  <c r="AI270" i="22"/>
  <c r="AH270" i="22" s="1"/>
  <c r="AG270" i="22" s="1"/>
  <c r="AF270" i="22" s="1"/>
  <c r="AD270" i="22" s="1"/>
  <c r="AI272" i="22"/>
  <c r="AH272" i="22" s="1"/>
  <c r="AG272" i="22" s="1"/>
  <c r="AF272" i="22" s="1"/>
  <c r="AD272" i="22" s="1"/>
  <c r="AI274" i="22"/>
  <c r="AH274" i="22" s="1"/>
  <c r="AG274" i="22" s="1"/>
  <c r="AF274" i="22" s="1"/>
  <c r="AD274" i="22" s="1"/>
  <c r="AI276" i="22"/>
  <c r="AH276" i="22" s="1"/>
  <c r="AG276" i="22" s="1"/>
  <c r="AF276" i="22" s="1"/>
  <c r="AD276" i="22" s="1"/>
  <c r="AI278" i="22"/>
  <c r="AH278" i="22" s="1"/>
  <c r="AG278" i="22" s="1"/>
  <c r="AF278" i="22" s="1"/>
  <c r="AD278" i="22" s="1"/>
  <c r="AI280" i="22"/>
  <c r="AH280" i="22" s="1"/>
  <c r="AI282" i="22"/>
  <c r="AH282" i="22" s="1"/>
  <c r="AG282" i="22" s="1"/>
  <c r="AF282" i="22" s="1"/>
  <c r="AD282" i="22" s="1"/>
  <c r="AI284" i="22"/>
  <c r="AH284" i="22" s="1"/>
  <c r="AG284" i="22" s="1"/>
  <c r="AF284" i="22" s="1"/>
  <c r="AD284" i="22" s="1"/>
  <c r="AI286" i="22"/>
  <c r="AH286" i="22" s="1"/>
  <c r="AG286" i="22" s="1"/>
  <c r="AF286" i="22" s="1"/>
  <c r="AD286" i="22" s="1"/>
  <c r="AI288" i="22"/>
  <c r="AH288" i="22" s="1"/>
  <c r="AG288" i="22" s="1"/>
  <c r="AF288" i="22" s="1"/>
  <c r="AD288" i="22" s="1"/>
  <c r="AI290" i="22"/>
  <c r="AH290" i="22" s="1"/>
  <c r="AG290" i="22" s="1"/>
  <c r="AF290" i="22" s="1"/>
  <c r="AD290" i="22" s="1"/>
  <c r="AI292" i="22"/>
  <c r="AH292" i="22" s="1"/>
  <c r="AG292" i="22" s="1"/>
  <c r="AF292" i="22" s="1"/>
  <c r="AD292" i="22" s="1"/>
  <c r="AI294" i="22"/>
  <c r="AH294" i="22" s="1"/>
  <c r="AI296" i="22"/>
  <c r="AH296" i="22" s="1"/>
  <c r="AG296" i="22" s="1"/>
  <c r="AF296" i="22" s="1"/>
  <c r="AD296" i="22" s="1"/>
  <c r="AI298" i="22"/>
  <c r="AH298" i="22" s="1"/>
  <c r="AG298" i="22" s="1"/>
  <c r="AF298" i="22" s="1"/>
  <c r="AD298" i="22" s="1"/>
  <c r="AI300" i="22"/>
  <c r="AH300" i="22" s="1"/>
  <c r="AG300" i="22" s="1"/>
  <c r="AF300" i="22" s="1"/>
  <c r="AD300" i="22" s="1"/>
  <c r="AI302" i="22"/>
  <c r="AH302" i="22" s="1"/>
  <c r="AG302" i="22" s="1"/>
  <c r="AF302" i="22" s="1"/>
  <c r="AD302" i="22" s="1"/>
  <c r="AI304" i="22"/>
  <c r="AH304" i="22" s="1"/>
  <c r="AG304" i="22" s="1"/>
  <c r="AF304" i="22" s="1"/>
  <c r="AD304" i="22" s="1"/>
  <c r="AI306" i="22"/>
  <c r="AH306" i="22" s="1"/>
  <c r="AG306" i="22" s="1"/>
  <c r="AF306" i="22" s="1"/>
  <c r="AD306" i="22" s="1"/>
  <c r="AI308" i="22"/>
  <c r="AH308" i="22" s="1"/>
  <c r="AG308" i="22" s="1"/>
  <c r="AF308" i="22" s="1"/>
  <c r="AD308" i="22" s="1"/>
  <c r="AI310" i="22"/>
  <c r="AH310" i="22" s="1"/>
  <c r="AG310" i="22" s="1"/>
  <c r="AF310" i="22" s="1"/>
  <c r="AD310" i="22" s="1"/>
  <c r="AI312" i="22"/>
  <c r="AH312" i="22" s="1"/>
  <c r="AG312" i="22" s="1"/>
  <c r="AF312" i="22" s="1"/>
  <c r="AD312" i="22" s="1"/>
  <c r="AI314" i="22"/>
  <c r="AH314" i="22" s="1"/>
  <c r="AG314" i="22" s="1"/>
  <c r="AF314" i="22" s="1"/>
  <c r="AD314" i="22" s="1"/>
  <c r="AI316" i="22"/>
  <c r="AH316" i="22" s="1"/>
  <c r="AG316" i="22" s="1"/>
  <c r="AF316" i="22" s="1"/>
  <c r="AD316" i="22" s="1"/>
  <c r="AI318" i="22"/>
  <c r="AH318" i="22" s="1"/>
  <c r="AG318" i="22" s="1"/>
  <c r="AF318" i="22" s="1"/>
  <c r="AD318" i="22" s="1"/>
  <c r="AI320" i="22"/>
  <c r="AH320" i="22" s="1"/>
  <c r="AG320" i="22" s="1"/>
  <c r="AF320" i="22" s="1"/>
  <c r="AD320" i="22" s="1"/>
  <c r="AI322" i="22"/>
  <c r="AH322" i="22" s="1"/>
  <c r="AG322" i="22" s="1"/>
  <c r="AF322" i="22" s="1"/>
  <c r="AD322" i="22" s="1"/>
  <c r="AI324" i="22"/>
  <c r="AH324" i="22" s="1"/>
  <c r="AI326" i="22"/>
  <c r="AH326" i="22" s="1"/>
  <c r="AG326" i="22" s="1"/>
  <c r="AF326" i="22" s="1"/>
  <c r="AD326" i="22" s="1"/>
  <c r="AI328" i="22"/>
  <c r="AH328" i="22" s="1"/>
  <c r="AG328" i="22" s="1"/>
  <c r="AF328" i="22" s="1"/>
  <c r="AD328" i="22" s="1"/>
  <c r="AI330" i="22"/>
  <c r="AH330" i="22" s="1"/>
  <c r="AG330" i="22" s="1"/>
  <c r="AF330" i="22" s="1"/>
  <c r="AD330" i="22" s="1"/>
  <c r="AI332" i="22"/>
  <c r="AH332" i="22" s="1"/>
  <c r="AI334" i="22"/>
  <c r="AH334" i="22" s="1"/>
  <c r="AG334" i="22" s="1"/>
  <c r="AF334" i="22" s="1"/>
  <c r="AD334" i="22" s="1"/>
  <c r="AI336" i="22"/>
  <c r="AH336" i="22" s="1"/>
  <c r="AG336" i="22" s="1"/>
  <c r="AF336" i="22" s="1"/>
  <c r="AD336" i="22" s="1"/>
  <c r="AI338" i="22"/>
  <c r="AH338" i="22" s="1"/>
  <c r="AG338" i="22" s="1"/>
  <c r="AF338" i="22" s="1"/>
  <c r="AD338" i="22" s="1"/>
  <c r="AI340" i="22"/>
  <c r="AH340" i="22" s="1"/>
  <c r="AG340" i="22" s="1"/>
  <c r="AF340" i="22" s="1"/>
  <c r="AD340" i="22" s="1"/>
  <c r="AI342" i="22"/>
  <c r="AH342" i="22" s="1"/>
  <c r="AG342" i="22" s="1"/>
  <c r="AF342" i="22" s="1"/>
  <c r="AD342" i="22" s="1"/>
  <c r="AI344" i="22"/>
  <c r="AH344" i="22" s="1"/>
  <c r="AG344" i="22" s="1"/>
  <c r="AF344" i="22" s="1"/>
  <c r="AD344" i="22" s="1"/>
  <c r="AI346" i="22"/>
  <c r="AH346" i="22" s="1"/>
  <c r="AG346" i="22" s="1"/>
  <c r="AF346" i="22" s="1"/>
  <c r="AD346" i="22" s="1"/>
  <c r="AI348" i="22"/>
  <c r="AH348" i="22" s="1"/>
  <c r="AG348" i="22" s="1"/>
  <c r="AF348" i="22" s="1"/>
  <c r="AD348" i="22" s="1"/>
  <c r="AI350" i="22"/>
  <c r="AH350" i="22" s="1"/>
  <c r="AG350" i="22" s="1"/>
  <c r="AF350" i="22" s="1"/>
  <c r="AD350" i="22" s="1"/>
  <c r="AI352" i="22"/>
  <c r="AH352" i="22" s="1"/>
  <c r="AG352" i="22" s="1"/>
  <c r="AF352" i="22" s="1"/>
  <c r="AD352" i="22" s="1"/>
  <c r="AI354" i="22"/>
  <c r="AH354" i="22" s="1"/>
  <c r="AG354" i="22" s="1"/>
  <c r="AF354" i="22" s="1"/>
  <c r="AD354" i="22" s="1"/>
  <c r="AI356" i="22"/>
  <c r="AH356" i="22" s="1"/>
  <c r="AG356" i="22" s="1"/>
  <c r="AF356" i="22" s="1"/>
  <c r="AD356" i="22" s="1"/>
  <c r="AI358" i="22"/>
  <c r="AH358" i="22" s="1"/>
  <c r="AG358" i="22" s="1"/>
  <c r="AF358" i="22" s="1"/>
  <c r="AD358" i="22" s="1"/>
  <c r="AI360" i="22"/>
  <c r="AH360" i="22" s="1"/>
  <c r="AG360" i="22" s="1"/>
  <c r="AF360" i="22" s="1"/>
  <c r="AD360" i="22" s="1"/>
  <c r="AI362" i="22"/>
  <c r="AH362" i="22" s="1"/>
  <c r="AG362" i="22" s="1"/>
  <c r="AF362" i="22" s="1"/>
  <c r="AD362" i="22" s="1"/>
  <c r="AI364" i="22"/>
  <c r="AH364" i="22" s="1"/>
  <c r="AI366" i="22"/>
  <c r="AH366" i="22" s="1"/>
  <c r="AG366" i="22" s="1"/>
  <c r="AF366" i="22" s="1"/>
  <c r="AD366" i="22" s="1"/>
  <c r="AI368" i="22"/>
  <c r="AH368" i="22" s="1"/>
  <c r="AG368" i="22" s="1"/>
  <c r="AF368" i="22" s="1"/>
  <c r="AD368" i="22" s="1"/>
  <c r="AI370" i="22"/>
  <c r="AH370" i="22" s="1"/>
  <c r="AG370" i="22" s="1"/>
  <c r="AF370" i="22" s="1"/>
  <c r="AD370" i="22" s="1"/>
  <c r="AI372" i="22"/>
  <c r="AH372" i="22" s="1"/>
  <c r="AG372" i="22" s="1"/>
  <c r="AF372" i="22" s="1"/>
  <c r="AD372" i="22" s="1"/>
  <c r="AI374" i="22"/>
  <c r="AH374" i="22" s="1"/>
  <c r="AG374" i="22" s="1"/>
  <c r="AF374" i="22" s="1"/>
  <c r="AD374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I380" i="22"/>
  <c r="AH380" i="22" s="1"/>
  <c r="AG380" i="22" s="1"/>
  <c r="AF380" i="22" s="1"/>
  <c r="AD380" i="22" s="1"/>
  <c r="AH383" i="20"/>
  <c r="AH382" i="20"/>
  <c r="AH381" i="20"/>
  <c r="AG104" i="20"/>
  <c r="AB4" i="6"/>
  <c r="U10" i="23"/>
  <c r="U15" i="23" s="1"/>
  <c r="H66" i="19"/>
  <c r="AC4" i="6"/>
  <c r="Q382" i="22"/>
  <c r="Q381" i="22"/>
  <c r="AE381" i="22"/>
  <c r="Z382" i="17"/>
  <c r="Z383" i="17"/>
  <c r="Y15" i="17"/>
  <c r="Z9" i="17"/>
  <c r="AL7" i="17"/>
  <c r="Z381" i="17"/>
  <c r="I196" i="18"/>
  <c r="B196" i="6" s="1"/>
  <c r="BA196" i="6" s="1"/>
  <c r="D196" i="6" s="1"/>
  <c r="J196" i="18"/>
  <c r="C196" i="6" s="1"/>
  <c r="S19" i="22"/>
  <c r="R19" i="22" s="1"/>
  <c r="P19" i="22" s="1"/>
  <c r="V19" i="22" s="1"/>
  <c r="B19" i="22" s="1"/>
  <c r="S17" i="22"/>
  <c r="R17" i="22" s="1"/>
  <c r="P17" i="22" s="1"/>
  <c r="V17" i="22" s="1"/>
  <c r="B17" i="22" s="1"/>
  <c r="S20" i="22"/>
  <c r="R20" i="22" s="1"/>
  <c r="P20" i="22" s="1"/>
  <c r="V20" i="22" s="1"/>
  <c r="B20" i="22" s="1"/>
  <c r="S22" i="22"/>
  <c r="R22" i="22" s="1"/>
  <c r="P22" i="22" s="1"/>
  <c r="V22" i="22" s="1"/>
  <c r="B22" i="22" s="1"/>
  <c r="S24" i="22"/>
  <c r="R24" i="22" s="1"/>
  <c r="P24" i="22" s="1"/>
  <c r="V24" i="22" s="1"/>
  <c r="B24" i="22" s="1"/>
  <c r="S26" i="22"/>
  <c r="R26" i="22" s="1"/>
  <c r="P26" i="22" s="1"/>
  <c r="V26" i="22" s="1"/>
  <c r="B26" i="22" s="1"/>
  <c r="S28" i="22"/>
  <c r="R28" i="22" s="1"/>
  <c r="P28" i="22" s="1"/>
  <c r="V28" i="22" s="1"/>
  <c r="B28" i="22" s="1"/>
  <c r="S30" i="22"/>
  <c r="R30" i="22" s="1"/>
  <c r="P30" i="22" s="1"/>
  <c r="V30" i="22" s="1"/>
  <c r="B30" i="22" s="1"/>
  <c r="S32" i="22"/>
  <c r="R32" i="22" s="1"/>
  <c r="P32" i="22" s="1"/>
  <c r="V32" i="22" s="1"/>
  <c r="B32" i="22" s="1"/>
  <c r="S34" i="22"/>
  <c r="R34" i="22" s="1"/>
  <c r="P34" i="22" s="1"/>
  <c r="V34" i="22" s="1"/>
  <c r="B34" i="22" s="1"/>
  <c r="S36" i="22"/>
  <c r="R36" i="22" s="1"/>
  <c r="P36" i="22" s="1"/>
  <c r="V36" i="22" s="1"/>
  <c r="B36" i="22" s="1"/>
  <c r="S38" i="22"/>
  <c r="R38" i="22" s="1"/>
  <c r="P38" i="22" s="1"/>
  <c r="V38" i="22" s="1"/>
  <c r="B38" i="22" s="1"/>
  <c r="S40" i="22"/>
  <c r="R40" i="22" s="1"/>
  <c r="P40" i="22" s="1"/>
  <c r="V40" i="22" s="1"/>
  <c r="B40" i="22" s="1"/>
  <c r="S42" i="22"/>
  <c r="R42" i="22" s="1"/>
  <c r="P42" i="22" s="1"/>
  <c r="V42" i="22" s="1"/>
  <c r="B42" i="22" s="1"/>
  <c r="S44" i="22"/>
  <c r="R44" i="22" s="1"/>
  <c r="P44" i="22" s="1"/>
  <c r="V44" i="22" s="1"/>
  <c r="B44" i="22" s="1"/>
  <c r="S46" i="22"/>
  <c r="R46" i="22" s="1"/>
  <c r="P46" i="22" s="1"/>
  <c r="V46" i="22" s="1"/>
  <c r="B46" i="22" s="1"/>
  <c r="S48" i="22"/>
  <c r="R48" i="22" s="1"/>
  <c r="P48" i="22" s="1"/>
  <c r="V48" i="22" s="1"/>
  <c r="B48" i="22" s="1"/>
  <c r="S50" i="22"/>
  <c r="R50" i="22" s="1"/>
  <c r="P50" i="22" s="1"/>
  <c r="V50" i="22" s="1"/>
  <c r="B50" i="22" s="1"/>
  <c r="S52" i="22"/>
  <c r="R52" i="22" s="1"/>
  <c r="P52" i="22" s="1"/>
  <c r="V52" i="22" s="1"/>
  <c r="B52" i="22" s="1"/>
  <c r="S54" i="22"/>
  <c r="R54" i="22" s="1"/>
  <c r="P54" i="22" s="1"/>
  <c r="V54" i="22" s="1"/>
  <c r="B54" i="22" s="1"/>
  <c r="S56" i="22"/>
  <c r="R56" i="22" s="1"/>
  <c r="P56" i="22" s="1"/>
  <c r="V56" i="22" s="1"/>
  <c r="B56" i="22" s="1"/>
  <c r="S58" i="22"/>
  <c r="R58" i="22" s="1"/>
  <c r="P58" i="22" s="1"/>
  <c r="V58" i="22" s="1"/>
  <c r="B58" i="22" s="1"/>
  <c r="S60" i="22"/>
  <c r="R60" i="22" s="1"/>
  <c r="P60" i="22" s="1"/>
  <c r="S62" i="22"/>
  <c r="R62" i="22" s="1"/>
  <c r="P62" i="22" s="1"/>
  <c r="V62" i="22" s="1"/>
  <c r="B62" i="22" s="1"/>
  <c r="S64" i="22"/>
  <c r="R64" i="22" s="1"/>
  <c r="P64" i="22" s="1"/>
  <c r="V64" i="22" s="1"/>
  <c r="B64" i="22" s="1"/>
  <c r="S66" i="22"/>
  <c r="R66" i="22" s="1"/>
  <c r="P66" i="22" s="1"/>
  <c r="V66" i="22" s="1"/>
  <c r="B66" i="22" s="1"/>
  <c r="S68" i="22"/>
  <c r="R68" i="22" s="1"/>
  <c r="P68" i="22" s="1"/>
  <c r="V68" i="22" s="1"/>
  <c r="B68" i="22" s="1"/>
  <c r="S70" i="22"/>
  <c r="R70" i="22" s="1"/>
  <c r="P70" i="22" s="1"/>
  <c r="V70" i="22" s="1"/>
  <c r="B70" i="22" s="1"/>
  <c r="S72" i="22"/>
  <c r="R72" i="22" s="1"/>
  <c r="P72" i="22" s="1"/>
  <c r="V72" i="22" s="1"/>
  <c r="B72" i="22" s="1"/>
  <c r="S74" i="22"/>
  <c r="R74" i="22" s="1"/>
  <c r="P74" i="22" s="1"/>
  <c r="V74" i="22" s="1"/>
  <c r="B74" i="22" s="1"/>
  <c r="S76" i="22"/>
  <c r="R76" i="22" s="1"/>
  <c r="P76" i="22" s="1"/>
  <c r="V76" i="22" s="1"/>
  <c r="B76" i="22" s="1"/>
  <c r="S78" i="22"/>
  <c r="R78" i="22" s="1"/>
  <c r="P78" i="22" s="1"/>
  <c r="V78" i="22" s="1"/>
  <c r="B78" i="22" s="1"/>
  <c r="S80" i="22"/>
  <c r="R80" i="22" s="1"/>
  <c r="P80" i="22" s="1"/>
  <c r="V80" i="22" s="1"/>
  <c r="B80" i="22" s="1"/>
  <c r="S82" i="22"/>
  <c r="R82" i="22" s="1"/>
  <c r="P82" i="22" s="1"/>
  <c r="V82" i="22" s="1"/>
  <c r="B82" i="22" s="1"/>
  <c r="S84" i="22"/>
  <c r="R84" i="22" s="1"/>
  <c r="P84" i="22" s="1"/>
  <c r="V84" i="22" s="1"/>
  <c r="B84" i="22" s="1"/>
  <c r="S86" i="22"/>
  <c r="R86" i="22" s="1"/>
  <c r="P86" i="22" s="1"/>
  <c r="V86" i="22" s="1"/>
  <c r="B86" i="22" s="1"/>
  <c r="S88" i="22"/>
  <c r="R88" i="22" s="1"/>
  <c r="P88" i="22" s="1"/>
  <c r="S90" i="22"/>
  <c r="R90" i="22" s="1"/>
  <c r="P90" i="22" s="1"/>
  <c r="V90" i="22" s="1"/>
  <c r="B90" i="22" s="1"/>
  <c r="S92" i="22"/>
  <c r="R92" i="22" s="1"/>
  <c r="P92" i="22" s="1"/>
  <c r="V92" i="22" s="1"/>
  <c r="B92" i="22" s="1"/>
  <c r="S94" i="22"/>
  <c r="R94" i="22" s="1"/>
  <c r="P94" i="22" s="1"/>
  <c r="V94" i="22" s="1"/>
  <c r="B94" i="22" s="1"/>
  <c r="S96" i="22"/>
  <c r="R96" i="22" s="1"/>
  <c r="P96" i="22" s="1"/>
  <c r="V96" i="22" s="1"/>
  <c r="B96" i="22" s="1"/>
  <c r="S98" i="22"/>
  <c r="R98" i="22" s="1"/>
  <c r="P98" i="22" s="1"/>
  <c r="V98" i="22" s="1"/>
  <c r="B98" i="22" s="1"/>
  <c r="S100" i="22"/>
  <c r="R100" i="22" s="1"/>
  <c r="P100" i="22" s="1"/>
  <c r="V100" i="22" s="1"/>
  <c r="B100" i="22" s="1"/>
  <c r="S102" i="22"/>
  <c r="R102" i="22" s="1"/>
  <c r="P102" i="22" s="1"/>
  <c r="V102" i="22" s="1"/>
  <c r="B102" i="22" s="1"/>
  <c r="S104" i="22"/>
  <c r="R104" i="22" s="1"/>
  <c r="P104" i="22" s="1"/>
  <c r="V104" i="22" s="1"/>
  <c r="B104" i="22" s="1"/>
  <c r="S106" i="22"/>
  <c r="R106" i="22" s="1"/>
  <c r="P106" i="22" s="1"/>
  <c r="V106" i="22" s="1"/>
  <c r="B106" i="22" s="1"/>
  <c r="S108" i="22"/>
  <c r="R108" i="22" s="1"/>
  <c r="P108" i="22" s="1"/>
  <c r="V108" i="22" s="1"/>
  <c r="B108" i="22" s="1"/>
  <c r="S110" i="22"/>
  <c r="R110" i="22" s="1"/>
  <c r="P110" i="22" s="1"/>
  <c r="V110" i="22" s="1"/>
  <c r="B110" i="22" s="1"/>
  <c r="S112" i="22"/>
  <c r="R112" i="22" s="1"/>
  <c r="P112" i="22" s="1"/>
  <c r="V112" i="22" s="1"/>
  <c r="B112" i="22" s="1"/>
  <c r="S114" i="22"/>
  <c r="R114" i="22" s="1"/>
  <c r="P114" i="22" s="1"/>
  <c r="V114" i="22" s="1"/>
  <c r="B114" i="22" s="1"/>
  <c r="S116" i="22"/>
  <c r="R116" i="22" s="1"/>
  <c r="P116" i="22" s="1"/>
  <c r="V116" i="22" s="1"/>
  <c r="B116" i="22" s="1"/>
  <c r="S118" i="22"/>
  <c r="R118" i="22" s="1"/>
  <c r="P118" i="22" s="1"/>
  <c r="V118" i="22" s="1"/>
  <c r="B118" i="22" s="1"/>
  <c r="S120" i="22"/>
  <c r="R120" i="22" s="1"/>
  <c r="P120" i="22" s="1"/>
  <c r="V120" i="22" s="1"/>
  <c r="B120" i="22" s="1"/>
  <c r="S122" i="22"/>
  <c r="R122" i="22" s="1"/>
  <c r="P122" i="22" s="1"/>
  <c r="V122" i="22" s="1"/>
  <c r="B122" i="22" s="1"/>
  <c r="S124" i="22"/>
  <c r="R124" i="22" s="1"/>
  <c r="P124" i="22" s="1"/>
  <c r="V124" i="22" s="1"/>
  <c r="B124" i="22" s="1"/>
  <c r="S126" i="22"/>
  <c r="R126" i="22" s="1"/>
  <c r="P126" i="22" s="1"/>
  <c r="V126" i="22" s="1"/>
  <c r="B126" i="22" s="1"/>
  <c r="S128" i="22"/>
  <c r="R128" i="22" s="1"/>
  <c r="P128" i="22" s="1"/>
  <c r="V128" i="22" s="1"/>
  <c r="B128" i="22" s="1"/>
  <c r="S130" i="22"/>
  <c r="R130" i="22" s="1"/>
  <c r="P130" i="22" s="1"/>
  <c r="V130" i="22" s="1"/>
  <c r="B130" i="22" s="1"/>
  <c r="S132" i="22"/>
  <c r="R132" i="22" s="1"/>
  <c r="P132" i="22" s="1"/>
  <c r="V132" i="22" s="1"/>
  <c r="B132" i="22" s="1"/>
  <c r="S134" i="22"/>
  <c r="R134" i="22" s="1"/>
  <c r="P134" i="22" s="1"/>
  <c r="V134" i="22" s="1"/>
  <c r="B134" i="22" s="1"/>
  <c r="S136" i="22"/>
  <c r="R136" i="22" s="1"/>
  <c r="P136" i="22" s="1"/>
  <c r="V136" i="22" s="1"/>
  <c r="B136" i="22" s="1"/>
  <c r="S138" i="22"/>
  <c r="R138" i="22" s="1"/>
  <c r="P138" i="22" s="1"/>
  <c r="V138" i="22" s="1"/>
  <c r="B138" i="22" s="1"/>
  <c r="S140" i="22"/>
  <c r="R140" i="22" s="1"/>
  <c r="P140" i="22" s="1"/>
  <c r="V140" i="22" s="1"/>
  <c r="B140" i="22" s="1"/>
  <c r="S142" i="22"/>
  <c r="R142" i="22" s="1"/>
  <c r="P142" i="22" s="1"/>
  <c r="V142" i="22" s="1"/>
  <c r="B142" i="22" s="1"/>
  <c r="S144" i="22"/>
  <c r="R144" i="22" s="1"/>
  <c r="P144" i="22" s="1"/>
  <c r="V144" i="22" s="1"/>
  <c r="B144" i="22" s="1"/>
  <c r="S146" i="22"/>
  <c r="R146" i="22" s="1"/>
  <c r="P146" i="22" s="1"/>
  <c r="V146" i="22" s="1"/>
  <c r="B146" i="22" s="1"/>
  <c r="S148" i="22"/>
  <c r="R148" i="22" s="1"/>
  <c r="P148" i="22" s="1"/>
  <c r="V148" i="22" s="1"/>
  <c r="B148" i="22" s="1"/>
  <c r="S150" i="22"/>
  <c r="R150" i="22" s="1"/>
  <c r="P150" i="22" s="1"/>
  <c r="V150" i="22" s="1"/>
  <c r="B150" i="22" s="1"/>
  <c r="S152" i="22"/>
  <c r="R152" i="22" s="1"/>
  <c r="P152" i="22" s="1"/>
  <c r="V152" i="22" s="1"/>
  <c r="B152" i="22" s="1"/>
  <c r="S154" i="22"/>
  <c r="R154" i="22" s="1"/>
  <c r="P154" i="22" s="1"/>
  <c r="V154" i="22" s="1"/>
  <c r="B154" i="22" s="1"/>
  <c r="S156" i="22"/>
  <c r="R156" i="22" s="1"/>
  <c r="P156" i="22" s="1"/>
  <c r="V156" i="22" s="1"/>
  <c r="B156" i="22" s="1"/>
  <c r="S158" i="22"/>
  <c r="R158" i="22" s="1"/>
  <c r="P158" i="22" s="1"/>
  <c r="V158" i="22" s="1"/>
  <c r="B158" i="22" s="1"/>
  <c r="S160" i="22"/>
  <c r="R160" i="22" s="1"/>
  <c r="P160" i="22" s="1"/>
  <c r="V160" i="22" s="1"/>
  <c r="B160" i="22" s="1"/>
  <c r="S162" i="22"/>
  <c r="R162" i="22" s="1"/>
  <c r="P162" i="22" s="1"/>
  <c r="V162" i="22" s="1"/>
  <c r="B162" i="22" s="1"/>
  <c r="S164" i="22"/>
  <c r="R164" i="22" s="1"/>
  <c r="P164" i="22" s="1"/>
  <c r="V164" i="22" s="1"/>
  <c r="B164" i="22" s="1"/>
  <c r="S166" i="22"/>
  <c r="R166" i="22" s="1"/>
  <c r="P166" i="22" s="1"/>
  <c r="V166" i="22" s="1"/>
  <c r="B166" i="22" s="1"/>
  <c r="S168" i="22"/>
  <c r="R168" i="22" s="1"/>
  <c r="P168" i="22" s="1"/>
  <c r="V168" i="22" s="1"/>
  <c r="B168" i="22" s="1"/>
  <c r="S170" i="22"/>
  <c r="R170" i="22" s="1"/>
  <c r="P170" i="22" s="1"/>
  <c r="V170" i="22" s="1"/>
  <c r="B170" i="22" s="1"/>
  <c r="S172" i="22"/>
  <c r="R172" i="22" s="1"/>
  <c r="P172" i="22" s="1"/>
  <c r="V172" i="22" s="1"/>
  <c r="B172" i="22" s="1"/>
  <c r="S174" i="22"/>
  <c r="R174" i="22" s="1"/>
  <c r="P174" i="22" s="1"/>
  <c r="V174" i="22" s="1"/>
  <c r="B174" i="22" s="1"/>
  <c r="S176" i="22"/>
  <c r="R176" i="22" s="1"/>
  <c r="P176" i="22" s="1"/>
  <c r="V176" i="22" s="1"/>
  <c r="B176" i="22" s="1"/>
  <c r="S178" i="22"/>
  <c r="R178" i="22" s="1"/>
  <c r="P178" i="22" s="1"/>
  <c r="V178" i="22" s="1"/>
  <c r="B178" i="22" s="1"/>
  <c r="S180" i="22"/>
  <c r="R180" i="22" s="1"/>
  <c r="P180" i="22" s="1"/>
  <c r="S182" i="22"/>
  <c r="R182" i="22" s="1"/>
  <c r="P182" i="22" s="1"/>
  <c r="V182" i="22" s="1"/>
  <c r="B182" i="22" s="1"/>
  <c r="S184" i="22"/>
  <c r="R184" i="22" s="1"/>
  <c r="P184" i="22" s="1"/>
  <c r="V184" i="22" s="1"/>
  <c r="B184" i="22" s="1"/>
  <c r="S186" i="22"/>
  <c r="R186" i="22" s="1"/>
  <c r="P186" i="22" s="1"/>
  <c r="V186" i="22" s="1"/>
  <c r="B186" i="22" s="1"/>
  <c r="S188" i="22"/>
  <c r="R188" i="22" s="1"/>
  <c r="P188" i="22" s="1"/>
  <c r="V188" i="22" s="1"/>
  <c r="B188" i="22" s="1"/>
  <c r="S190" i="22"/>
  <c r="R190" i="22" s="1"/>
  <c r="P190" i="22" s="1"/>
  <c r="V190" i="22" s="1"/>
  <c r="B190" i="22" s="1"/>
  <c r="S192" i="22"/>
  <c r="R192" i="22" s="1"/>
  <c r="P192" i="22" s="1"/>
  <c r="V192" i="22" s="1"/>
  <c r="B192" i="22" s="1"/>
  <c r="S194" i="22"/>
  <c r="R194" i="22" s="1"/>
  <c r="P194" i="22" s="1"/>
  <c r="V194" i="22" s="1"/>
  <c r="B194" i="22" s="1"/>
  <c r="S196" i="22"/>
  <c r="R196" i="22" s="1"/>
  <c r="P196" i="22" s="1"/>
  <c r="V196" i="22" s="1"/>
  <c r="B196" i="22" s="1"/>
  <c r="S198" i="22"/>
  <c r="R198" i="22" s="1"/>
  <c r="P198" i="22" s="1"/>
  <c r="V198" i="22" s="1"/>
  <c r="B198" i="22" s="1"/>
  <c r="S200" i="22"/>
  <c r="R200" i="22" s="1"/>
  <c r="P200" i="22" s="1"/>
  <c r="V200" i="22" s="1"/>
  <c r="B200" i="22" s="1"/>
  <c r="S202" i="22"/>
  <c r="R202" i="22" s="1"/>
  <c r="P202" i="22" s="1"/>
  <c r="V202" i="22" s="1"/>
  <c r="B202" i="22" s="1"/>
  <c r="S204" i="22"/>
  <c r="R204" i="22" s="1"/>
  <c r="P204" i="22" s="1"/>
  <c r="V204" i="22" s="1"/>
  <c r="B204" i="22" s="1"/>
  <c r="S206" i="22"/>
  <c r="R206" i="22" s="1"/>
  <c r="P206" i="22" s="1"/>
  <c r="V206" i="22" s="1"/>
  <c r="B206" i="22" s="1"/>
  <c r="S208" i="22"/>
  <c r="R208" i="22" s="1"/>
  <c r="P208" i="22" s="1"/>
  <c r="V208" i="22" s="1"/>
  <c r="B208" i="22" s="1"/>
  <c r="S210" i="22"/>
  <c r="R210" i="22" s="1"/>
  <c r="P210" i="22" s="1"/>
  <c r="S212" i="22"/>
  <c r="R212" i="22" s="1"/>
  <c r="P212" i="22" s="1"/>
  <c r="V212" i="22" s="1"/>
  <c r="B212" i="22" s="1"/>
  <c r="S214" i="22"/>
  <c r="R214" i="22" s="1"/>
  <c r="P214" i="22" s="1"/>
  <c r="V214" i="22" s="1"/>
  <c r="B214" i="22" s="1"/>
  <c r="S216" i="22"/>
  <c r="R216" i="22" s="1"/>
  <c r="P216" i="22" s="1"/>
  <c r="V216" i="22" s="1"/>
  <c r="B216" i="22" s="1"/>
  <c r="S218" i="22"/>
  <c r="R218" i="22" s="1"/>
  <c r="P218" i="22" s="1"/>
  <c r="V218" i="22" s="1"/>
  <c r="B218" i="22" s="1"/>
  <c r="S220" i="22"/>
  <c r="R220" i="22" s="1"/>
  <c r="P220" i="22" s="1"/>
  <c r="V220" i="22" s="1"/>
  <c r="B220" i="22" s="1"/>
  <c r="S222" i="22"/>
  <c r="R222" i="22" s="1"/>
  <c r="P222" i="22" s="1"/>
  <c r="V222" i="22" s="1"/>
  <c r="B222" i="22" s="1"/>
  <c r="S224" i="22"/>
  <c r="R224" i="22" s="1"/>
  <c r="P224" i="22" s="1"/>
  <c r="V224" i="22" s="1"/>
  <c r="B224" i="22" s="1"/>
  <c r="S226" i="22"/>
  <c r="R226" i="22" s="1"/>
  <c r="P226" i="22" s="1"/>
  <c r="V226" i="22" s="1"/>
  <c r="B226" i="22" s="1"/>
  <c r="S228" i="22"/>
  <c r="R228" i="22" s="1"/>
  <c r="P228" i="22" s="1"/>
  <c r="V228" i="22" s="1"/>
  <c r="B228" i="22" s="1"/>
  <c r="S230" i="22"/>
  <c r="R230" i="22" s="1"/>
  <c r="P230" i="22" s="1"/>
  <c r="V230" i="22" s="1"/>
  <c r="B230" i="22" s="1"/>
  <c r="S232" i="22"/>
  <c r="R232" i="22" s="1"/>
  <c r="P232" i="22" s="1"/>
  <c r="V232" i="22" s="1"/>
  <c r="B232" i="22" s="1"/>
  <c r="S234" i="22"/>
  <c r="R234" i="22" s="1"/>
  <c r="P234" i="22" s="1"/>
  <c r="V234" i="22" s="1"/>
  <c r="B234" i="22" s="1"/>
  <c r="S236" i="22"/>
  <c r="R236" i="22" s="1"/>
  <c r="P236" i="22" s="1"/>
  <c r="V236" i="22" s="1"/>
  <c r="B236" i="22" s="1"/>
  <c r="S238" i="22"/>
  <c r="R238" i="22" s="1"/>
  <c r="P238" i="22" s="1"/>
  <c r="V238" i="22" s="1"/>
  <c r="B238" i="22" s="1"/>
  <c r="S240" i="22"/>
  <c r="R240" i="22" s="1"/>
  <c r="P240" i="22" s="1"/>
  <c r="V240" i="22" s="1"/>
  <c r="B240" i="22" s="1"/>
  <c r="S242" i="22"/>
  <c r="R242" i="22" s="1"/>
  <c r="P242" i="22" s="1"/>
  <c r="V242" i="22" s="1"/>
  <c r="B242" i="22" s="1"/>
  <c r="S244" i="22"/>
  <c r="R244" i="22" s="1"/>
  <c r="P244" i="22" s="1"/>
  <c r="V244" i="22" s="1"/>
  <c r="B244" i="22" s="1"/>
  <c r="S246" i="22"/>
  <c r="R246" i="22" s="1"/>
  <c r="P246" i="22" s="1"/>
  <c r="V246" i="22" s="1"/>
  <c r="B246" i="22" s="1"/>
  <c r="S248" i="22"/>
  <c r="R248" i="22" s="1"/>
  <c r="P248" i="22" s="1"/>
  <c r="V248" i="22" s="1"/>
  <c r="B248" i="22" s="1"/>
  <c r="S250" i="22"/>
  <c r="R250" i="22" s="1"/>
  <c r="P250" i="22" s="1"/>
  <c r="V250" i="22" s="1"/>
  <c r="B250" i="22" s="1"/>
  <c r="S252" i="22"/>
  <c r="R252" i="22" s="1"/>
  <c r="P252" i="22" s="1"/>
  <c r="V252" i="22" s="1"/>
  <c r="B252" i="22" s="1"/>
  <c r="S254" i="22"/>
  <c r="R254" i="22" s="1"/>
  <c r="P254" i="22" s="1"/>
  <c r="V254" i="22" s="1"/>
  <c r="B254" i="22" s="1"/>
  <c r="S256" i="22"/>
  <c r="R256" i="22" s="1"/>
  <c r="P256" i="22" s="1"/>
  <c r="V256" i="22" s="1"/>
  <c r="B256" i="22" s="1"/>
  <c r="S258" i="22"/>
  <c r="R258" i="22" s="1"/>
  <c r="P258" i="22" s="1"/>
  <c r="V258" i="22" s="1"/>
  <c r="B258" i="22" s="1"/>
  <c r="S260" i="22"/>
  <c r="R260" i="22" s="1"/>
  <c r="P260" i="22" s="1"/>
  <c r="V260" i="22" s="1"/>
  <c r="B260" i="22" s="1"/>
  <c r="S262" i="22"/>
  <c r="R262" i="22" s="1"/>
  <c r="P262" i="22" s="1"/>
  <c r="V262" i="22" s="1"/>
  <c r="B262" i="22" s="1"/>
  <c r="S264" i="22"/>
  <c r="R264" i="22" s="1"/>
  <c r="P264" i="22" s="1"/>
  <c r="V264" i="22" s="1"/>
  <c r="B264" i="22" s="1"/>
  <c r="S266" i="22"/>
  <c r="R266" i="22" s="1"/>
  <c r="P266" i="22" s="1"/>
  <c r="V266" i="22" s="1"/>
  <c r="B266" i="22" s="1"/>
  <c r="S268" i="22"/>
  <c r="R268" i="22" s="1"/>
  <c r="P268" i="22" s="1"/>
  <c r="V268" i="22" s="1"/>
  <c r="B268" i="22" s="1"/>
  <c r="S270" i="22"/>
  <c r="R270" i="22" s="1"/>
  <c r="P270" i="22" s="1"/>
  <c r="V270" i="22" s="1"/>
  <c r="B270" i="22" s="1"/>
  <c r="S272" i="22"/>
  <c r="R272" i="22" s="1"/>
  <c r="P272" i="22" s="1"/>
  <c r="S274" i="22"/>
  <c r="R274" i="22" s="1"/>
  <c r="P274" i="22" s="1"/>
  <c r="V274" i="22" s="1"/>
  <c r="B274" i="22" s="1"/>
  <c r="S276" i="22"/>
  <c r="R276" i="22" s="1"/>
  <c r="P276" i="22" s="1"/>
  <c r="V276" i="22" s="1"/>
  <c r="B276" i="22" s="1"/>
  <c r="S278" i="22"/>
  <c r="R278" i="22" s="1"/>
  <c r="P278" i="22" s="1"/>
  <c r="V278" i="22" s="1"/>
  <c r="B278" i="22" s="1"/>
  <c r="S280" i="22"/>
  <c r="R280" i="22" s="1"/>
  <c r="P280" i="22" s="1"/>
  <c r="V280" i="22" s="1"/>
  <c r="B280" i="22" s="1"/>
  <c r="S282" i="22"/>
  <c r="R282" i="22" s="1"/>
  <c r="P282" i="22" s="1"/>
  <c r="V282" i="22" s="1"/>
  <c r="B282" i="22" s="1"/>
  <c r="S284" i="22"/>
  <c r="R284" i="22" s="1"/>
  <c r="P284" i="22" s="1"/>
  <c r="V284" i="22" s="1"/>
  <c r="B284" i="22" s="1"/>
  <c r="S286" i="22"/>
  <c r="R286" i="22" s="1"/>
  <c r="P286" i="22" s="1"/>
  <c r="V286" i="22" s="1"/>
  <c r="B286" i="22" s="1"/>
  <c r="S288" i="22"/>
  <c r="R288" i="22" s="1"/>
  <c r="P288" i="22" s="1"/>
  <c r="V288" i="22" s="1"/>
  <c r="B288" i="22" s="1"/>
  <c r="S290" i="22"/>
  <c r="R290" i="22" s="1"/>
  <c r="P290" i="22" s="1"/>
  <c r="V290" i="22" s="1"/>
  <c r="B290" i="22" s="1"/>
  <c r="S292" i="22"/>
  <c r="R292" i="22" s="1"/>
  <c r="P292" i="22" s="1"/>
  <c r="V292" i="22" s="1"/>
  <c r="B292" i="22" s="1"/>
  <c r="S294" i="22"/>
  <c r="R294" i="22" s="1"/>
  <c r="P294" i="22" s="1"/>
  <c r="V294" i="22" s="1"/>
  <c r="B294" i="22" s="1"/>
  <c r="S296" i="22"/>
  <c r="R296" i="22" s="1"/>
  <c r="P296" i="22" s="1"/>
  <c r="V296" i="22" s="1"/>
  <c r="B296" i="22" s="1"/>
  <c r="S298" i="22"/>
  <c r="R298" i="22" s="1"/>
  <c r="P298" i="22" s="1"/>
  <c r="V298" i="22" s="1"/>
  <c r="B298" i="22" s="1"/>
  <c r="S300" i="22"/>
  <c r="R300" i="22" s="1"/>
  <c r="P300" i="22" s="1"/>
  <c r="V300" i="22" s="1"/>
  <c r="B300" i="22" s="1"/>
  <c r="S302" i="22"/>
  <c r="R302" i="22" s="1"/>
  <c r="P302" i="22" s="1"/>
  <c r="S304" i="22"/>
  <c r="R304" i="22" s="1"/>
  <c r="P304" i="22" s="1"/>
  <c r="V304" i="22" s="1"/>
  <c r="B304" i="22" s="1"/>
  <c r="S306" i="22"/>
  <c r="R306" i="22" s="1"/>
  <c r="P306" i="22" s="1"/>
  <c r="V306" i="22" s="1"/>
  <c r="B306" i="22" s="1"/>
  <c r="S308" i="22"/>
  <c r="R308" i="22" s="1"/>
  <c r="P308" i="22" s="1"/>
  <c r="V308" i="22" s="1"/>
  <c r="B308" i="22" s="1"/>
  <c r="S310" i="22"/>
  <c r="R310" i="22" s="1"/>
  <c r="P310" i="22" s="1"/>
  <c r="V310" i="22" s="1"/>
  <c r="B310" i="22" s="1"/>
  <c r="S312" i="22"/>
  <c r="R312" i="22" s="1"/>
  <c r="P312" i="22" s="1"/>
  <c r="V312" i="22" s="1"/>
  <c r="B312" i="22" s="1"/>
  <c r="S314" i="22"/>
  <c r="R314" i="22" s="1"/>
  <c r="P314" i="22" s="1"/>
  <c r="V314" i="22" s="1"/>
  <c r="B314" i="22" s="1"/>
  <c r="S316" i="22"/>
  <c r="R316" i="22" s="1"/>
  <c r="P316" i="22" s="1"/>
  <c r="V316" i="22" s="1"/>
  <c r="B316" i="22" s="1"/>
  <c r="S318" i="22"/>
  <c r="R318" i="22" s="1"/>
  <c r="P318" i="22" s="1"/>
  <c r="V318" i="22" s="1"/>
  <c r="B318" i="22" s="1"/>
  <c r="S320" i="22"/>
  <c r="R320" i="22" s="1"/>
  <c r="P320" i="22" s="1"/>
  <c r="V320" i="22" s="1"/>
  <c r="B320" i="22" s="1"/>
  <c r="S322" i="22"/>
  <c r="R322" i="22" s="1"/>
  <c r="P322" i="22" s="1"/>
  <c r="V322" i="22" s="1"/>
  <c r="B322" i="22" s="1"/>
  <c r="S324" i="22"/>
  <c r="R324" i="22" s="1"/>
  <c r="P324" i="22" s="1"/>
  <c r="V324" i="22" s="1"/>
  <c r="B324" i="22" s="1"/>
  <c r="S326" i="22"/>
  <c r="R326" i="22" s="1"/>
  <c r="P326" i="22" s="1"/>
  <c r="V326" i="22" s="1"/>
  <c r="B326" i="22" s="1"/>
  <c r="S328" i="22"/>
  <c r="R328" i="22" s="1"/>
  <c r="P328" i="22" s="1"/>
  <c r="V328" i="22" s="1"/>
  <c r="B328" i="22" s="1"/>
  <c r="S330" i="22"/>
  <c r="R330" i="22" s="1"/>
  <c r="P330" i="22" s="1"/>
  <c r="V330" i="22" s="1"/>
  <c r="B330" i="22" s="1"/>
  <c r="S332" i="22"/>
  <c r="R332" i="22" s="1"/>
  <c r="P332" i="22" s="1"/>
  <c r="V332" i="22" s="1"/>
  <c r="B332" i="22" s="1"/>
  <c r="S334" i="22"/>
  <c r="R334" i="22" s="1"/>
  <c r="P334" i="22" s="1"/>
  <c r="V334" i="22" s="1"/>
  <c r="B334" i="22" s="1"/>
  <c r="S336" i="22"/>
  <c r="R336" i="22" s="1"/>
  <c r="P336" i="22" s="1"/>
  <c r="V336" i="22" s="1"/>
  <c r="B336" i="22" s="1"/>
  <c r="S338" i="22"/>
  <c r="R338" i="22" s="1"/>
  <c r="P338" i="22" s="1"/>
  <c r="V338" i="22" s="1"/>
  <c r="B338" i="22" s="1"/>
  <c r="S340" i="22"/>
  <c r="R340" i="22" s="1"/>
  <c r="P340" i="22" s="1"/>
  <c r="V340" i="22" s="1"/>
  <c r="B340" i="22" s="1"/>
  <c r="S342" i="22"/>
  <c r="R342" i="22" s="1"/>
  <c r="P342" i="22" s="1"/>
  <c r="V342" i="22" s="1"/>
  <c r="B342" i="22" s="1"/>
  <c r="S344" i="22"/>
  <c r="R344" i="22" s="1"/>
  <c r="P344" i="22" s="1"/>
  <c r="V344" i="22" s="1"/>
  <c r="B344" i="22" s="1"/>
  <c r="S346" i="22"/>
  <c r="R346" i="22" s="1"/>
  <c r="P346" i="22" s="1"/>
  <c r="V346" i="22" s="1"/>
  <c r="B346" i="22" s="1"/>
  <c r="S348" i="22"/>
  <c r="R348" i="22" s="1"/>
  <c r="P348" i="22" s="1"/>
  <c r="V348" i="22" s="1"/>
  <c r="B348" i="22" s="1"/>
  <c r="S350" i="22"/>
  <c r="R350" i="22" s="1"/>
  <c r="P350" i="22" s="1"/>
  <c r="V350" i="22" s="1"/>
  <c r="B350" i="22" s="1"/>
  <c r="S352" i="22"/>
  <c r="R352" i="22" s="1"/>
  <c r="P352" i="22" s="1"/>
  <c r="V352" i="22" s="1"/>
  <c r="B352" i="22" s="1"/>
  <c r="S354" i="22"/>
  <c r="R354" i="22" s="1"/>
  <c r="P354" i="22" s="1"/>
  <c r="V354" i="22" s="1"/>
  <c r="B354" i="22" s="1"/>
  <c r="S356" i="22"/>
  <c r="R356" i="22" s="1"/>
  <c r="P356" i="22" s="1"/>
  <c r="V356" i="22" s="1"/>
  <c r="B356" i="22" s="1"/>
  <c r="S358" i="22"/>
  <c r="R358" i="22" s="1"/>
  <c r="P358" i="22" s="1"/>
  <c r="V358" i="22" s="1"/>
  <c r="B358" i="22" s="1"/>
  <c r="S360" i="22"/>
  <c r="R360" i="22" s="1"/>
  <c r="P360" i="22" s="1"/>
  <c r="V360" i="22" s="1"/>
  <c r="B360" i="22" s="1"/>
  <c r="S362" i="22"/>
  <c r="R362" i="22" s="1"/>
  <c r="P362" i="22" s="1"/>
  <c r="V362" i="22" s="1"/>
  <c r="B362" i="22" s="1"/>
  <c r="S364" i="22"/>
  <c r="R364" i="22" s="1"/>
  <c r="P364" i="22" s="1"/>
  <c r="V364" i="22" s="1"/>
  <c r="B364" i="22" s="1"/>
  <c r="S366" i="22"/>
  <c r="R366" i="22" s="1"/>
  <c r="P366" i="22" s="1"/>
  <c r="V366" i="22" s="1"/>
  <c r="B366" i="22" s="1"/>
  <c r="S368" i="22"/>
  <c r="R368" i="22" s="1"/>
  <c r="P368" i="22" s="1"/>
  <c r="V368" i="22" s="1"/>
  <c r="B368" i="22" s="1"/>
  <c r="S370" i="22"/>
  <c r="R370" i="22" s="1"/>
  <c r="P370" i="22" s="1"/>
  <c r="V370" i="22" s="1"/>
  <c r="B370" i="22" s="1"/>
  <c r="S372" i="22"/>
  <c r="R372" i="22" s="1"/>
  <c r="P372" i="22" s="1"/>
  <c r="V372" i="22" s="1"/>
  <c r="B372" i="22" s="1"/>
  <c r="S374" i="22"/>
  <c r="R374" i="22" s="1"/>
  <c r="P374" i="22" s="1"/>
  <c r="V374" i="22" s="1"/>
  <c r="B374" i="22" s="1"/>
  <c r="S376" i="22"/>
  <c r="R376" i="22" s="1"/>
  <c r="P376" i="22" s="1"/>
  <c r="V376" i="22" s="1"/>
  <c r="B376" i="22" s="1"/>
  <c r="S378" i="22"/>
  <c r="R378" i="22" s="1"/>
  <c r="P378" i="22" s="1"/>
  <c r="V378" i="22" s="1"/>
  <c r="B378" i="22" s="1"/>
  <c r="S380" i="22"/>
  <c r="R380" i="22" s="1"/>
  <c r="P380" i="22" s="1"/>
  <c r="V380" i="22" s="1"/>
  <c r="D155" i="6"/>
  <c r="J319" i="18"/>
  <c r="C319" i="6" s="1"/>
  <c r="I319" i="18"/>
  <c r="B319" i="6" s="1"/>
  <c r="BA319" i="6" s="1"/>
  <c r="AD15" i="20"/>
  <c r="AG20" i="22"/>
  <c r="AF20" i="22" s="1"/>
  <c r="AD20" i="22" s="1"/>
  <c r="AG28" i="22"/>
  <c r="AF28" i="22" s="1"/>
  <c r="AD28" i="22" s="1"/>
  <c r="AG32" i="22"/>
  <c r="AF32" i="22" s="1"/>
  <c r="AD32" i="22" s="1"/>
  <c r="AG36" i="22"/>
  <c r="AF36" i="22" s="1"/>
  <c r="AD36" i="22" s="1"/>
  <c r="AG38" i="22"/>
  <c r="AF38" i="22" s="1"/>
  <c r="AD38" i="22" s="1"/>
  <c r="AG44" i="22"/>
  <c r="AF44" i="22" s="1"/>
  <c r="AD44" i="22" s="1"/>
  <c r="AG46" i="22"/>
  <c r="AF46" i="22" s="1"/>
  <c r="AD46" i="22" s="1"/>
  <c r="AG54" i="22"/>
  <c r="AF54" i="22" s="1"/>
  <c r="AD54" i="22" s="1"/>
  <c r="AG58" i="22"/>
  <c r="AF58" i="22" s="1"/>
  <c r="AD58" i="22" s="1"/>
  <c r="AG60" i="22"/>
  <c r="AF60" i="22" s="1"/>
  <c r="AD60" i="22" s="1"/>
  <c r="AG68" i="22"/>
  <c r="AF68" i="22" s="1"/>
  <c r="AD68" i="22" s="1"/>
  <c r="AG94" i="22"/>
  <c r="AF94" i="22" s="1"/>
  <c r="AD94" i="22" s="1"/>
  <c r="AG104" i="22"/>
  <c r="AF104" i="22" s="1"/>
  <c r="AD104" i="22" s="1"/>
  <c r="AG108" i="22"/>
  <c r="AF108" i="22" s="1"/>
  <c r="AD108" i="22" s="1"/>
  <c r="AG114" i="22"/>
  <c r="AF114" i="22" s="1"/>
  <c r="AD114" i="22" s="1"/>
  <c r="AG118" i="22"/>
  <c r="AF118" i="22" s="1"/>
  <c r="AD118" i="22" s="1"/>
  <c r="AG128" i="22"/>
  <c r="AF128" i="22" s="1"/>
  <c r="AD128" i="22" s="1"/>
  <c r="AG140" i="22"/>
  <c r="AF140" i="22" s="1"/>
  <c r="AD140" i="22" s="1"/>
  <c r="AG148" i="22"/>
  <c r="AF148" i="22" s="1"/>
  <c r="AD148" i="22" s="1"/>
  <c r="AG190" i="22"/>
  <c r="AF190" i="22" s="1"/>
  <c r="AD190" i="22" s="1"/>
  <c r="AG280" i="22"/>
  <c r="AF280" i="22" s="1"/>
  <c r="AD280" i="22" s="1"/>
  <c r="AG294" i="22"/>
  <c r="AF294" i="22" s="1"/>
  <c r="AD294" i="22" s="1"/>
  <c r="AG332" i="22"/>
  <c r="AF332" i="22" s="1"/>
  <c r="AD332" i="22" s="1"/>
  <c r="I166" i="18"/>
  <c r="B166" i="6" s="1"/>
  <c r="BA166" i="6" s="1"/>
  <c r="D166" i="6" s="1"/>
  <c r="J166" i="18"/>
  <c r="C166" i="6" s="1"/>
  <c r="S4" i="6"/>
  <c r="T4" i="6"/>
  <c r="I241" i="18"/>
  <c r="B241" i="6" s="1"/>
  <c r="BA241" i="6" s="1"/>
  <c r="J241" i="18"/>
  <c r="C241" i="6" s="1"/>
  <c r="AS15" i="7"/>
  <c r="Q10" i="23"/>
  <c r="Q18" i="23" s="1"/>
  <c r="AL4" i="6"/>
  <c r="W7" i="7"/>
  <c r="D7" i="6"/>
  <c r="Q4" i="6"/>
  <c r="S15" i="22"/>
  <c r="T382" i="22"/>
  <c r="T381" i="22"/>
  <c r="T383" i="22"/>
  <c r="S21" i="22"/>
  <c r="R21" i="22" s="1"/>
  <c r="P21" i="22" s="1"/>
  <c r="V21" i="22" s="1"/>
  <c r="B21" i="22" s="1"/>
  <c r="S23" i="22"/>
  <c r="R23" i="22" s="1"/>
  <c r="P23" i="22" s="1"/>
  <c r="V23" i="22" s="1"/>
  <c r="B23" i="22" s="1"/>
  <c r="S25" i="22"/>
  <c r="R25" i="22" s="1"/>
  <c r="P25" i="22" s="1"/>
  <c r="V25" i="22" s="1"/>
  <c r="B25" i="22" s="1"/>
  <c r="S27" i="22"/>
  <c r="R27" i="22" s="1"/>
  <c r="P27" i="22" s="1"/>
  <c r="V27" i="22" s="1"/>
  <c r="B27" i="22" s="1"/>
  <c r="S29" i="22"/>
  <c r="R29" i="22" s="1"/>
  <c r="P29" i="22" s="1"/>
  <c r="S31" i="22"/>
  <c r="R31" i="22" s="1"/>
  <c r="P31" i="22" s="1"/>
  <c r="V31" i="22" s="1"/>
  <c r="B31" i="22" s="1"/>
  <c r="S33" i="22"/>
  <c r="R33" i="22" s="1"/>
  <c r="P33" i="22" s="1"/>
  <c r="V33" i="22" s="1"/>
  <c r="B33" i="22" s="1"/>
  <c r="S35" i="22"/>
  <c r="R35" i="22" s="1"/>
  <c r="P35" i="22" s="1"/>
  <c r="V35" i="22" s="1"/>
  <c r="B35" i="22" s="1"/>
  <c r="S37" i="22"/>
  <c r="R37" i="22" s="1"/>
  <c r="P37" i="22" s="1"/>
  <c r="V37" i="22" s="1"/>
  <c r="B37" i="22" s="1"/>
  <c r="S39" i="22"/>
  <c r="R39" i="22" s="1"/>
  <c r="P39" i="22" s="1"/>
  <c r="V39" i="22" s="1"/>
  <c r="B39" i="22" s="1"/>
  <c r="S41" i="22"/>
  <c r="R41" i="22" s="1"/>
  <c r="P41" i="22" s="1"/>
  <c r="V41" i="22" s="1"/>
  <c r="B41" i="22" s="1"/>
  <c r="S43" i="22"/>
  <c r="R43" i="22" s="1"/>
  <c r="P43" i="22" s="1"/>
  <c r="V43" i="22" s="1"/>
  <c r="B43" i="22" s="1"/>
  <c r="S45" i="22"/>
  <c r="R45" i="22" s="1"/>
  <c r="P45" i="22" s="1"/>
  <c r="V45" i="22" s="1"/>
  <c r="B45" i="22" s="1"/>
  <c r="S47" i="22"/>
  <c r="R47" i="22" s="1"/>
  <c r="P47" i="22" s="1"/>
  <c r="V47" i="22" s="1"/>
  <c r="B47" i="22" s="1"/>
  <c r="S49" i="22"/>
  <c r="R49" i="22" s="1"/>
  <c r="P49" i="22" s="1"/>
  <c r="V49" i="22" s="1"/>
  <c r="B49" i="22" s="1"/>
  <c r="S51" i="22"/>
  <c r="R51" i="22" s="1"/>
  <c r="P51" i="22" s="1"/>
  <c r="V51" i="22" s="1"/>
  <c r="B51" i="22" s="1"/>
  <c r="S53" i="22"/>
  <c r="R53" i="22" s="1"/>
  <c r="P53" i="22" s="1"/>
  <c r="V53" i="22" s="1"/>
  <c r="B53" i="22" s="1"/>
  <c r="S55" i="22"/>
  <c r="R55" i="22" s="1"/>
  <c r="P55" i="22" s="1"/>
  <c r="V55" i="22" s="1"/>
  <c r="B55" i="22" s="1"/>
  <c r="S57" i="22"/>
  <c r="R57" i="22" s="1"/>
  <c r="P57" i="22" s="1"/>
  <c r="V57" i="22" s="1"/>
  <c r="B57" i="22" s="1"/>
  <c r="S59" i="22"/>
  <c r="R59" i="22" s="1"/>
  <c r="P59" i="22" s="1"/>
  <c r="V59" i="22" s="1"/>
  <c r="B59" i="22" s="1"/>
  <c r="S61" i="22"/>
  <c r="R61" i="22" s="1"/>
  <c r="P61" i="22" s="1"/>
  <c r="V61" i="22" s="1"/>
  <c r="B61" i="22" s="1"/>
  <c r="S63" i="22"/>
  <c r="R63" i="22" s="1"/>
  <c r="P63" i="22" s="1"/>
  <c r="V63" i="22" s="1"/>
  <c r="B63" i="22" s="1"/>
  <c r="S65" i="22"/>
  <c r="R65" i="22" s="1"/>
  <c r="P65" i="22" s="1"/>
  <c r="V65" i="22" s="1"/>
  <c r="B65" i="22" s="1"/>
  <c r="S67" i="22"/>
  <c r="R67" i="22" s="1"/>
  <c r="P67" i="22" s="1"/>
  <c r="V67" i="22" s="1"/>
  <c r="B67" i="22" s="1"/>
  <c r="S69" i="22"/>
  <c r="R69" i="22" s="1"/>
  <c r="P69" i="22" s="1"/>
  <c r="V69" i="22" s="1"/>
  <c r="B69" i="22" s="1"/>
  <c r="S71" i="22"/>
  <c r="R71" i="22" s="1"/>
  <c r="P71" i="22" s="1"/>
  <c r="V71" i="22" s="1"/>
  <c r="B71" i="22" s="1"/>
  <c r="S73" i="22"/>
  <c r="R73" i="22" s="1"/>
  <c r="P73" i="22" s="1"/>
  <c r="V73" i="22" s="1"/>
  <c r="B73" i="22" s="1"/>
  <c r="S75" i="22"/>
  <c r="R75" i="22" s="1"/>
  <c r="P75" i="22" s="1"/>
  <c r="V75" i="22" s="1"/>
  <c r="B75" i="22" s="1"/>
  <c r="S77" i="22"/>
  <c r="R77" i="22" s="1"/>
  <c r="P77" i="22" s="1"/>
  <c r="V77" i="22" s="1"/>
  <c r="B77" i="22" s="1"/>
  <c r="S79" i="22"/>
  <c r="R79" i="22" s="1"/>
  <c r="P79" i="22" s="1"/>
  <c r="V79" i="22" s="1"/>
  <c r="B79" i="22" s="1"/>
  <c r="S81" i="22"/>
  <c r="R81" i="22" s="1"/>
  <c r="P81" i="22" s="1"/>
  <c r="V81" i="22" s="1"/>
  <c r="B81" i="22" s="1"/>
  <c r="S83" i="22"/>
  <c r="R83" i="22" s="1"/>
  <c r="P83" i="22" s="1"/>
  <c r="V83" i="22" s="1"/>
  <c r="B83" i="22" s="1"/>
  <c r="S85" i="22"/>
  <c r="R85" i="22" s="1"/>
  <c r="P85" i="22" s="1"/>
  <c r="V85" i="22" s="1"/>
  <c r="B85" i="22" s="1"/>
  <c r="S87" i="22"/>
  <c r="R87" i="22" s="1"/>
  <c r="P87" i="22" s="1"/>
  <c r="V87" i="22" s="1"/>
  <c r="B87" i="22" s="1"/>
  <c r="S89" i="22"/>
  <c r="R89" i="22" s="1"/>
  <c r="P89" i="22" s="1"/>
  <c r="V89" i="22" s="1"/>
  <c r="B89" i="22" s="1"/>
  <c r="S91" i="22"/>
  <c r="R91" i="22" s="1"/>
  <c r="P91" i="22" s="1"/>
  <c r="V91" i="22" s="1"/>
  <c r="B91" i="22" s="1"/>
  <c r="S93" i="22"/>
  <c r="R93" i="22" s="1"/>
  <c r="P93" i="22" s="1"/>
  <c r="V93" i="22" s="1"/>
  <c r="B93" i="22" s="1"/>
  <c r="S95" i="22"/>
  <c r="R95" i="22" s="1"/>
  <c r="P95" i="22" s="1"/>
  <c r="V95" i="22" s="1"/>
  <c r="B95" i="22" s="1"/>
  <c r="S97" i="22"/>
  <c r="R97" i="22" s="1"/>
  <c r="P97" i="22" s="1"/>
  <c r="V97" i="22" s="1"/>
  <c r="B97" i="22" s="1"/>
  <c r="S99" i="22"/>
  <c r="R99" i="22" s="1"/>
  <c r="P99" i="22" s="1"/>
  <c r="V99" i="22" s="1"/>
  <c r="B99" i="22" s="1"/>
  <c r="S101" i="22"/>
  <c r="R101" i="22" s="1"/>
  <c r="P101" i="22" s="1"/>
  <c r="V101" i="22" s="1"/>
  <c r="B101" i="22" s="1"/>
  <c r="S103" i="22"/>
  <c r="R103" i="22" s="1"/>
  <c r="P103" i="22" s="1"/>
  <c r="V103" i="22" s="1"/>
  <c r="B103" i="22" s="1"/>
  <c r="S105" i="22"/>
  <c r="R105" i="22" s="1"/>
  <c r="P105" i="22" s="1"/>
  <c r="V105" i="22" s="1"/>
  <c r="B105" i="22" s="1"/>
  <c r="S107" i="22"/>
  <c r="R107" i="22" s="1"/>
  <c r="P107" i="22" s="1"/>
  <c r="V107" i="22" s="1"/>
  <c r="B107" i="22" s="1"/>
  <c r="S109" i="22"/>
  <c r="R109" i="22" s="1"/>
  <c r="P109" i="22" s="1"/>
  <c r="V109" i="22" s="1"/>
  <c r="B109" i="22" s="1"/>
  <c r="S111" i="22"/>
  <c r="R111" i="22" s="1"/>
  <c r="P111" i="22" s="1"/>
  <c r="V111" i="22" s="1"/>
  <c r="B111" i="22" s="1"/>
  <c r="S113" i="22"/>
  <c r="R113" i="22" s="1"/>
  <c r="P113" i="22" s="1"/>
  <c r="V113" i="22" s="1"/>
  <c r="B113" i="22" s="1"/>
  <c r="S115" i="22"/>
  <c r="R115" i="22" s="1"/>
  <c r="P115" i="22" s="1"/>
  <c r="V115" i="22" s="1"/>
  <c r="B115" i="22" s="1"/>
  <c r="S117" i="22"/>
  <c r="R117" i="22" s="1"/>
  <c r="P117" i="22" s="1"/>
  <c r="V117" i="22" s="1"/>
  <c r="B117" i="22" s="1"/>
  <c r="S119" i="22"/>
  <c r="R119" i="22" s="1"/>
  <c r="P119" i="22" s="1"/>
  <c r="S121" i="22"/>
  <c r="R121" i="22" s="1"/>
  <c r="P121" i="22" s="1"/>
  <c r="V121" i="22" s="1"/>
  <c r="B121" i="22" s="1"/>
  <c r="S123" i="22"/>
  <c r="R123" i="22" s="1"/>
  <c r="P123" i="22" s="1"/>
  <c r="V123" i="22" s="1"/>
  <c r="B123" i="22" s="1"/>
  <c r="S125" i="22"/>
  <c r="R125" i="22" s="1"/>
  <c r="P125" i="22" s="1"/>
  <c r="V125" i="22" s="1"/>
  <c r="B125" i="22" s="1"/>
  <c r="S127" i="22"/>
  <c r="R127" i="22" s="1"/>
  <c r="P127" i="22" s="1"/>
  <c r="V127" i="22" s="1"/>
  <c r="B127" i="22" s="1"/>
  <c r="S129" i="22"/>
  <c r="R129" i="22" s="1"/>
  <c r="P129" i="22" s="1"/>
  <c r="V129" i="22" s="1"/>
  <c r="B129" i="22" s="1"/>
  <c r="S131" i="22"/>
  <c r="R131" i="22" s="1"/>
  <c r="P131" i="22" s="1"/>
  <c r="V131" i="22" s="1"/>
  <c r="B131" i="22" s="1"/>
  <c r="S133" i="22"/>
  <c r="R133" i="22" s="1"/>
  <c r="P133" i="22" s="1"/>
  <c r="V133" i="22" s="1"/>
  <c r="B133" i="22" s="1"/>
  <c r="S135" i="22"/>
  <c r="R135" i="22" s="1"/>
  <c r="P135" i="22" s="1"/>
  <c r="V135" i="22" s="1"/>
  <c r="B135" i="22" s="1"/>
  <c r="S137" i="22"/>
  <c r="R137" i="22" s="1"/>
  <c r="P137" i="22" s="1"/>
  <c r="V137" i="22" s="1"/>
  <c r="B137" i="22" s="1"/>
  <c r="S139" i="22"/>
  <c r="R139" i="22" s="1"/>
  <c r="P139" i="22" s="1"/>
  <c r="V139" i="22" s="1"/>
  <c r="B139" i="22" s="1"/>
  <c r="S141" i="22"/>
  <c r="R141" i="22" s="1"/>
  <c r="P141" i="22" s="1"/>
  <c r="V141" i="22" s="1"/>
  <c r="B141" i="22" s="1"/>
  <c r="S143" i="22"/>
  <c r="R143" i="22" s="1"/>
  <c r="P143" i="22" s="1"/>
  <c r="V143" i="22" s="1"/>
  <c r="B143" i="22" s="1"/>
  <c r="S145" i="22"/>
  <c r="R145" i="22" s="1"/>
  <c r="P145" i="22" s="1"/>
  <c r="V145" i="22" s="1"/>
  <c r="B145" i="22" s="1"/>
  <c r="S147" i="22"/>
  <c r="R147" i="22" s="1"/>
  <c r="P147" i="22" s="1"/>
  <c r="V147" i="22" s="1"/>
  <c r="B147" i="22" s="1"/>
  <c r="S149" i="22"/>
  <c r="R149" i="22" s="1"/>
  <c r="P149" i="22" s="1"/>
  <c r="S151" i="22"/>
  <c r="R151" i="22" s="1"/>
  <c r="P151" i="22" s="1"/>
  <c r="V151" i="22" s="1"/>
  <c r="B151" i="22" s="1"/>
  <c r="S153" i="22"/>
  <c r="R153" i="22" s="1"/>
  <c r="P153" i="22" s="1"/>
  <c r="V153" i="22" s="1"/>
  <c r="B153" i="22" s="1"/>
  <c r="S155" i="22"/>
  <c r="R155" i="22" s="1"/>
  <c r="P155" i="22" s="1"/>
  <c r="V155" i="22" s="1"/>
  <c r="B155" i="22" s="1"/>
  <c r="S157" i="22"/>
  <c r="R157" i="22" s="1"/>
  <c r="P157" i="22" s="1"/>
  <c r="V157" i="22" s="1"/>
  <c r="B157" i="22" s="1"/>
  <c r="S159" i="22"/>
  <c r="R159" i="22" s="1"/>
  <c r="P159" i="22" s="1"/>
  <c r="V159" i="22" s="1"/>
  <c r="B159" i="22" s="1"/>
  <c r="S161" i="22"/>
  <c r="R161" i="22" s="1"/>
  <c r="P161" i="22" s="1"/>
  <c r="V161" i="22" s="1"/>
  <c r="B161" i="22" s="1"/>
  <c r="S163" i="22"/>
  <c r="R163" i="22" s="1"/>
  <c r="P163" i="22" s="1"/>
  <c r="V163" i="22" s="1"/>
  <c r="B163" i="22" s="1"/>
  <c r="S165" i="22"/>
  <c r="R165" i="22" s="1"/>
  <c r="P165" i="22" s="1"/>
  <c r="V165" i="22" s="1"/>
  <c r="B165" i="22" s="1"/>
  <c r="S167" i="22"/>
  <c r="R167" i="22" s="1"/>
  <c r="P167" i="22" s="1"/>
  <c r="V167" i="22" s="1"/>
  <c r="B167" i="22" s="1"/>
  <c r="S169" i="22"/>
  <c r="R169" i="22" s="1"/>
  <c r="P169" i="22" s="1"/>
  <c r="V169" i="22" s="1"/>
  <c r="B169" i="22" s="1"/>
  <c r="S171" i="22"/>
  <c r="R171" i="22" s="1"/>
  <c r="P171" i="22" s="1"/>
  <c r="V171" i="22" s="1"/>
  <c r="B171" i="22" s="1"/>
  <c r="S173" i="22"/>
  <c r="R173" i="22" s="1"/>
  <c r="P173" i="22" s="1"/>
  <c r="V173" i="22" s="1"/>
  <c r="B173" i="22" s="1"/>
  <c r="S175" i="22"/>
  <c r="R175" i="22" s="1"/>
  <c r="P175" i="22" s="1"/>
  <c r="V175" i="22" s="1"/>
  <c r="B175" i="22" s="1"/>
  <c r="S177" i="22"/>
  <c r="R177" i="22" s="1"/>
  <c r="P177" i="22" s="1"/>
  <c r="V177" i="22" s="1"/>
  <c r="B177" i="22" s="1"/>
  <c r="S179" i="22"/>
  <c r="R179" i="22" s="1"/>
  <c r="P179" i="22" s="1"/>
  <c r="V179" i="22" s="1"/>
  <c r="B179" i="22" s="1"/>
  <c r="S181" i="22"/>
  <c r="R181" i="22" s="1"/>
  <c r="P181" i="22" s="1"/>
  <c r="V181" i="22" s="1"/>
  <c r="B181" i="22" s="1"/>
  <c r="S183" i="22"/>
  <c r="R183" i="22" s="1"/>
  <c r="P183" i="22" s="1"/>
  <c r="V183" i="22" s="1"/>
  <c r="B183" i="22" s="1"/>
  <c r="S185" i="22"/>
  <c r="R185" i="22" s="1"/>
  <c r="P185" i="22" s="1"/>
  <c r="V185" i="22" s="1"/>
  <c r="B185" i="22" s="1"/>
  <c r="S187" i="22"/>
  <c r="R187" i="22" s="1"/>
  <c r="P187" i="22" s="1"/>
  <c r="V187" i="22" s="1"/>
  <c r="B187" i="22" s="1"/>
  <c r="S189" i="22"/>
  <c r="R189" i="22" s="1"/>
  <c r="P189" i="22" s="1"/>
  <c r="V189" i="22" s="1"/>
  <c r="B189" i="22" s="1"/>
  <c r="S191" i="22"/>
  <c r="R191" i="22" s="1"/>
  <c r="P191" i="22" s="1"/>
  <c r="V191" i="22" s="1"/>
  <c r="B191" i="22" s="1"/>
  <c r="S193" i="22"/>
  <c r="R193" i="22" s="1"/>
  <c r="P193" i="22" s="1"/>
  <c r="V193" i="22" s="1"/>
  <c r="B193" i="22" s="1"/>
  <c r="S195" i="22"/>
  <c r="R195" i="22" s="1"/>
  <c r="P195" i="22" s="1"/>
  <c r="V195" i="22" s="1"/>
  <c r="B195" i="22" s="1"/>
  <c r="S197" i="22"/>
  <c r="R197" i="22" s="1"/>
  <c r="P197" i="22" s="1"/>
  <c r="V197" i="22" s="1"/>
  <c r="B197" i="22" s="1"/>
  <c r="S199" i="22"/>
  <c r="R199" i="22" s="1"/>
  <c r="P199" i="22" s="1"/>
  <c r="V199" i="22" s="1"/>
  <c r="B199" i="22" s="1"/>
  <c r="S201" i="22"/>
  <c r="R201" i="22" s="1"/>
  <c r="P201" i="22" s="1"/>
  <c r="V201" i="22" s="1"/>
  <c r="B201" i="22" s="1"/>
  <c r="S203" i="22"/>
  <c r="R203" i="22" s="1"/>
  <c r="P203" i="22" s="1"/>
  <c r="V203" i="22" s="1"/>
  <c r="B203" i="22" s="1"/>
  <c r="S205" i="22"/>
  <c r="R205" i="22" s="1"/>
  <c r="P205" i="22" s="1"/>
  <c r="V205" i="22" s="1"/>
  <c r="B205" i="22" s="1"/>
  <c r="S207" i="22"/>
  <c r="R207" i="22" s="1"/>
  <c r="P207" i="22" s="1"/>
  <c r="V207" i="22" s="1"/>
  <c r="B207" i="22" s="1"/>
  <c r="S209" i="22"/>
  <c r="R209" i="22" s="1"/>
  <c r="P209" i="22" s="1"/>
  <c r="V209" i="22" s="1"/>
  <c r="B209" i="22" s="1"/>
  <c r="S211" i="22"/>
  <c r="R211" i="22" s="1"/>
  <c r="P211" i="22" s="1"/>
  <c r="V211" i="22" s="1"/>
  <c r="B211" i="22" s="1"/>
  <c r="S213" i="22"/>
  <c r="R213" i="22" s="1"/>
  <c r="P213" i="22" s="1"/>
  <c r="V213" i="22" s="1"/>
  <c r="B213" i="22" s="1"/>
  <c r="S215" i="22"/>
  <c r="R215" i="22" s="1"/>
  <c r="P215" i="22" s="1"/>
  <c r="V215" i="22" s="1"/>
  <c r="B215" i="22" s="1"/>
  <c r="S217" i="22"/>
  <c r="R217" i="22" s="1"/>
  <c r="P217" i="22" s="1"/>
  <c r="V217" i="22" s="1"/>
  <c r="B217" i="22" s="1"/>
  <c r="S219" i="22"/>
  <c r="R219" i="22" s="1"/>
  <c r="P219" i="22" s="1"/>
  <c r="V219" i="22" s="1"/>
  <c r="B219" i="22" s="1"/>
  <c r="S221" i="22"/>
  <c r="R221" i="22" s="1"/>
  <c r="P221" i="22" s="1"/>
  <c r="V221" i="22" s="1"/>
  <c r="B221" i="22" s="1"/>
  <c r="S223" i="22"/>
  <c r="R223" i="22" s="1"/>
  <c r="P223" i="22" s="1"/>
  <c r="V223" i="22" s="1"/>
  <c r="B223" i="22" s="1"/>
  <c r="S225" i="22"/>
  <c r="R225" i="22" s="1"/>
  <c r="P225" i="22" s="1"/>
  <c r="V225" i="22" s="1"/>
  <c r="B225" i="22" s="1"/>
  <c r="S227" i="22"/>
  <c r="R227" i="22" s="1"/>
  <c r="P227" i="22" s="1"/>
  <c r="V227" i="22" s="1"/>
  <c r="B227" i="22" s="1"/>
  <c r="S229" i="22"/>
  <c r="R229" i="22" s="1"/>
  <c r="P229" i="22" s="1"/>
  <c r="V229" i="22" s="1"/>
  <c r="B229" i="22" s="1"/>
  <c r="S231" i="22"/>
  <c r="R231" i="22" s="1"/>
  <c r="P231" i="22" s="1"/>
  <c r="V231" i="22" s="1"/>
  <c r="B231" i="22" s="1"/>
  <c r="S233" i="22"/>
  <c r="R233" i="22" s="1"/>
  <c r="P233" i="22" s="1"/>
  <c r="V233" i="22" s="1"/>
  <c r="B233" i="22" s="1"/>
  <c r="S235" i="22"/>
  <c r="R235" i="22" s="1"/>
  <c r="P235" i="22" s="1"/>
  <c r="V235" i="22" s="1"/>
  <c r="B235" i="22" s="1"/>
  <c r="S237" i="22"/>
  <c r="R237" i="22" s="1"/>
  <c r="P237" i="22" s="1"/>
  <c r="V237" i="22" s="1"/>
  <c r="B237" i="22" s="1"/>
  <c r="S239" i="22"/>
  <c r="R239" i="22" s="1"/>
  <c r="P239" i="22" s="1"/>
  <c r="V239" i="22" s="1"/>
  <c r="B239" i="22" s="1"/>
  <c r="S241" i="22"/>
  <c r="R241" i="22" s="1"/>
  <c r="P241" i="22" s="1"/>
  <c r="S243" i="22"/>
  <c r="R243" i="22" s="1"/>
  <c r="P243" i="22" s="1"/>
  <c r="V243" i="22" s="1"/>
  <c r="B243" i="22" s="1"/>
  <c r="S245" i="22"/>
  <c r="R245" i="22" s="1"/>
  <c r="P245" i="22" s="1"/>
  <c r="V245" i="22" s="1"/>
  <c r="B245" i="22" s="1"/>
  <c r="S247" i="22"/>
  <c r="R247" i="22" s="1"/>
  <c r="P247" i="22" s="1"/>
  <c r="V247" i="22" s="1"/>
  <c r="B247" i="22" s="1"/>
  <c r="S249" i="22"/>
  <c r="R249" i="22" s="1"/>
  <c r="P249" i="22" s="1"/>
  <c r="V249" i="22" s="1"/>
  <c r="B249" i="22" s="1"/>
  <c r="S251" i="22"/>
  <c r="R251" i="22" s="1"/>
  <c r="P251" i="22" s="1"/>
  <c r="V251" i="22" s="1"/>
  <c r="B251" i="22" s="1"/>
  <c r="S253" i="22"/>
  <c r="R253" i="22" s="1"/>
  <c r="P253" i="22" s="1"/>
  <c r="V253" i="22" s="1"/>
  <c r="B253" i="22" s="1"/>
  <c r="S255" i="22"/>
  <c r="R255" i="22" s="1"/>
  <c r="P255" i="22" s="1"/>
  <c r="V255" i="22" s="1"/>
  <c r="B255" i="22" s="1"/>
  <c r="S257" i="22"/>
  <c r="R257" i="22" s="1"/>
  <c r="P257" i="22" s="1"/>
  <c r="V257" i="22" s="1"/>
  <c r="B257" i="22" s="1"/>
  <c r="S259" i="22"/>
  <c r="R259" i="22" s="1"/>
  <c r="P259" i="22" s="1"/>
  <c r="V259" i="22" s="1"/>
  <c r="B259" i="22" s="1"/>
  <c r="S261" i="22"/>
  <c r="R261" i="22" s="1"/>
  <c r="P261" i="22" s="1"/>
  <c r="V261" i="22" s="1"/>
  <c r="B261" i="22" s="1"/>
  <c r="S263" i="22"/>
  <c r="R263" i="22" s="1"/>
  <c r="P263" i="22" s="1"/>
  <c r="V263" i="22" s="1"/>
  <c r="B263" i="22" s="1"/>
  <c r="S265" i="22"/>
  <c r="R265" i="22" s="1"/>
  <c r="P265" i="22" s="1"/>
  <c r="V265" i="22" s="1"/>
  <c r="B265" i="22" s="1"/>
  <c r="S267" i="22"/>
  <c r="R267" i="22" s="1"/>
  <c r="P267" i="22" s="1"/>
  <c r="V267" i="22" s="1"/>
  <c r="B267" i="22" s="1"/>
  <c r="S269" i="22"/>
  <c r="R269" i="22" s="1"/>
  <c r="P269" i="22" s="1"/>
  <c r="V269" i="22" s="1"/>
  <c r="B269" i="22" s="1"/>
  <c r="S271" i="22"/>
  <c r="R271" i="22" s="1"/>
  <c r="P271" i="22" s="1"/>
  <c r="V271" i="22" s="1"/>
  <c r="B271" i="22" s="1"/>
  <c r="S273" i="22"/>
  <c r="R273" i="22" s="1"/>
  <c r="P273" i="22" s="1"/>
  <c r="V273" i="22" s="1"/>
  <c r="B273" i="22" s="1"/>
  <c r="S275" i="22"/>
  <c r="R275" i="22" s="1"/>
  <c r="P275" i="22" s="1"/>
  <c r="V275" i="22" s="1"/>
  <c r="B275" i="22" s="1"/>
  <c r="S277" i="22"/>
  <c r="R277" i="22" s="1"/>
  <c r="P277" i="22" s="1"/>
  <c r="V277" i="22" s="1"/>
  <c r="B277" i="22" s="1"/>
  <c r="S279" i="22"/>
  <c r="R279" i="22" s="1"/>
  <c r="P279" i="22" s="1"/>
  <c r="V279" i="22" s="1"/>
  <c r="B279" i="22" s="1"/>
  <c r="S281" i="22"/>
  <c r="R281" i="22" s="1"/>
  <c r="P281" i="22" s="1"/>
  <c r="V281" i="22" s="1"/>
  <c r="B281" i="22" s="1"/>
  <c r="S283" i="22"/>
  <c r="R283" i="22" s="1"/>
  <c r="P283" i="22" s="1"/>
  <c r="V283" i="22" s="1"/>
  <c r="B283" i="22" s="1"/>
  <c r="S285" i="22"/>
  <c r="R285" i="22" s="1"/>
  <c r="P285" i="22" s="1"/>
  <c r="V285" i="22" s="1"/>
  <c r="B285" i="22" s="1"/>
  <c r="S287" i="22"/>
  <c r="R287" i="22" s="1"/>
  <c r="P287" i="22" s="1"/>
  <c r="V287" i="22" s="1"/>
  <c r="B287" i="22" s="1"/>
  <c r="S289" i="22"/>
  <c r="R289" i="22" s="1"/>
  <c r="P289" i="22" s="1"/>
  <c r="V289" i="22" s="1"/>
  <c r="B289" i="22" s="1"/>
  <c r="S291" i="22"/>
  <c r="R291" i="22" s="1"/>
  <c r="P291" i="22" s="1"/>
  <c r="V291" i="22" s="1"/>
  <c r="B291" i="22" s="1"/>
  <c r="S293" i="22"/>
  <c r="R293" i="22" s="1"/>
  <c r="P293" i="22" s="1"/>
  <c r="V293" i="22" s="1"/>
  <c r="B293" i="22" s="1"/>
  <c r="S295" i="22"/>
  <c r="R295" i="22" s="1"/>
  <c r="P295" i="22" s="1"/>
  <c r="V295" i="22" s="1"/>
  <c r="B295" i="22" s="1"/>
  <c r="S297" i="22"/>
  <c r="R297" i="22" s="1"/>
  <c r="P297" i="22" s="1"/>
  <c r="V297" i="22" s="1"/>
  <c r="B297" i="22" s="1"/>
  <c r="S299" i="22"/>
  <c r="R299" i="22" s="1"/>
  <c r="P299" i="22" s="1"/>
  <c r="V299" i="22" s="1"/>
  <c r="B299" i="22" s="1"/>
  <c r="S301" i="22"/>
  <c r="R301" i="22" s="1"/>
  <c r="P301" i="22" s="1"/>
  <c r="V301" i="22" s="1"/>
  <c r="B301" i="22" s="1"/>
  <c r="S303" i="22"/>
  <c r="R303" i="22" s="1"/>
  <c r="P303" i="22" s="1"/>
  <c r="V303" i="22" s="1"/>
  <c r="B303" i="22" s="1"/>
  <c r="S305" i="22"/>
  <c r="R305" i="22" s="1"/>
  <c r="P305" i="22" s="1"/>
  <c r="V305" i="22" s="1"/>
  <c r="B305" i="22" s="1"/>
  <c r="S307" i="22"/>
  <c r="R307" i="22" s="1"/>
  <c r="P307" i="22" s="1"/>
  <c r="V307" i="22" s="1"/>
  <c r="B307" i="22" s="1"/>
  <c r="S309" i="22"/>
  <c r="R309" i="22" s="1"/>
  <c r="P309" i="22" s="1"/>
  <c r="V309" i="22" s="1"/>
  <c r="B309" i="22" s="1"/>
  <c r="S311" i="22"/>
  <c r="R311" i="22" s="1"/>
  <c r="P311" i="22" s="1"/>
  <c r="V311" i="22" s="1"/>
  <c r="B311" i="22" s="1"/>
  <c r="S313" i="22"/>
  <c r="R313" i="22" s="1"/>
  <c r="P313" i="22" s="1"/>
  <c r="V313" i="22" s="1"/>
  <c r="B313" i="22" s="1"/>
  <c r="S315" i="22"/>
  <c r="R315" i="22" s="1"/>
  <c r="P315" i="22" s="1"/>
  <c r="V315" i="22" s="1"/>
  <c r="B315" i="22" s="1"/>
  <c r="S317" i="22"/>
  <c r="R317" i="22" s="1"/>
  <c r="P317" i="22" s="1"/>
  <c r="V317" i="22" s="1"/>
  <c r="B317" i="22" s="1"/>
  <c r="S319" i="22"/>
  <c r="R319" i="22" s="1"/>
  <c r="P319" i="22" s="1"/>
  <c r="V319" i="22" s="1"/>
  <c r="B319" i="22" s="1"/>
  <c r="S321" i="22"/>
  <c r="R321" i="22" s="1"/>
  <c r="P321" i="22" s="1"/>
  <c r="V321" i="22" s="1"/>
  <c r="B321" i="22" s="1"/>
  <c r="S323" i="22"/>
  <c r="R323" i="22" s="1"/>
  <c r="P323" i="22" s="1"/>
  <c r="V323" i="22" s="1"/>
  <c r="B323" i="22" s="1"/>
  <c r="S325" i="22"/>
  <c r="R325" i="22" s="1"/>
  <c r="P325" i="22" s="1"/>
  <c r="V325" i="22" s="1"/>
  <c r="B325" i="22" s="1"/>
  <c r="S327" i="22"/>
  <c r="R327" i="22" s="1"/>
  <c r="P327" i="22" s="1"/>
  <c r="V327" i="22" s="1"/>
  <c r="B327" i="22" s="1"/>
  <c r="S329" i="22"/>
  <c r="R329" i="22" s="1"/>
  <c r="P329" i="22" s="1"/>
  <c r="V329" i="22" s="1"/>
  <c r="B329" i="22" s="1"/>
  <c r="S331" i="22"/>
  <c r="R331" i="22" s="1"/>
  <c r="P331" i="22" s="1"/>
  <c r="V331" i="22" s="1"/>
  <c r="B331" i="22" s="1"/>
  <c r="S333" i="22"/>
  <c r="R333" i="22" s="1"/>
  <c r="P333" i="22" s="1"/>
  <c r="S335" i="22"/>
  <c r="R335" i="22" s="1"/>
  <c r="P335" i="22" s="1"/>
  <c r="V335" i="22" s="1"/>
  <c r="B335" i="22" s="1"/>
  <c r="S337" i="22"/>
  <c r="R337" i="22" s="1"/>
  <c r="P337" i="22" s="1"/>
  <c r="V337" i="22" s="1"/>
  <c r="B337" i="22" s="1"/>
  <c r="S339" i="22"/>
  <c r="R339" i="22" s="1"/>
  <c r="P339" i="22" s="1"/>
  <c r="V339" i="22" s="1"/>
  <c r="B339" i="22" s="1"/>
  <c r="S341" i="22"/>
  <c r="R341" i="22" s="1"/>
  <c r="P341" i="22" s="1"/>
  <c r="V341" i="22" s="1"/>
  <c r="B341" i="22" s="1"/>
  <c r="S343" i="22"/>
  <c r="R343" i="22" s="1"/>
  <c r="P343" i="22" s="1"/>
  <c r="V343" i="22" s="1"/>
  <c r="B343" i="22" s="1"/>
  <c r="S345" i="22"/>
  <c r="R345" i="22" s="1"/>
  <c r="P345" i="22" s="1"/>
  <c r="V345" i="22" s="1"/>
  <c r="B345" i="22" s="1"/>
  <c r="S347" i="22"/>
  <c r="R347" i="22" s="1"/>
  <c r="P347" i="22" s="1"/>
  <c r="V347" i="22" s="1"/>
  <c r="B347" i="22" s="1"/>
  <c r="S349" i="22"/>
  <c r="R349" i="22" s="1"/>
  <c r="P349" i="22" s="1"/>
  <c r="V349" i="22" s="1"/>
  <c r="B349" i="22" s="1"/>
  <c r="S351" i="22"/>
  <c r="R351" i="22" s="1"/>
  <c r="P351" i="22" s="1"/>
  <c r="V351" i="22" s="1"/>
  <c r="B351" i="22" s="1"/>
  <c r="S353" i="22"/>
  <c r="R353" i="22" s="1"/>
  <c r="P353" i="22" s="1"/>
  <c r="V353" i="22" s="1"/>
  <c r="B353" i="22" s="1"/>
  <c r="S355" i="22"/>
  <c r="R355" i="22" s="1"/>
  <c r="P355" i="22" s="1"/>
  <c r="V355" i="22" s="1"/>
  <c r="B355" i="22" s="1"/>
  <c r="S357" i="22"/>
  <c r="R357" i="22" s="1"/>
  <c r="P357" i="22" s="1"/>
  <c r="V357" i="22" s="1"/>
  <c r="B357" i="22" s="1"/>
  <c r="S359" i="22"/>
  <c r="R359" i="22" s="1"/>
  <c r="P359" i="22" s="1"/>
  <c r="V359" i="22" s="1"/>
  <c r="B359" i="22" s="1"/>
  <c r="S361" i="22"/>
  <c r="R361" i="22" s="1"/>
  <c r="P361" i="22" s="1"/>
  <c r="V361" i="22" s="1"/>
  <c r="B361" i="22" s="1"/>
  <c r="S363" i="22"/>
  <c r="R363" i="22" s="1"/>
  <c r="P363" i="22" s="1"/>
  <c r="S365" i="22"/>
  <c r="R365" i="22" s="1"/>
  <c r="P365" i="22" s="1"/>
  <c r="V365" i="22" s="1"/>
  <c r="B365" i="22" s="1"/>
  <c r="S367" i="22"/>
  <c r="R367" i="22" s="1"/>
  <c r="P367" i="22" s="1"/>
  <c r="V367" i="22" s="1"/>
  <c r="B367" i="22" s="1"/>
  <c r="S369" i="22"/>
  <c r="R369" i="22" s="1"/>
  <c r="P369" i="22" s="1"/>
  <c r="V369" i="22" s="1"/>
  <c r="B369" i="22" s="1"/>
  <c r="S371" i="22"/>
  <c r="R371" i="22" s="1"/>
  <c r="P371" i="22" s="1"/>
  <c r="V371" i="22" s="1"/>
  <c r="B371" i="22" s="1"/>
  <c r="S373" i="22"/>
  <c r="R373" i="22" s="1"/>
  <c r="P373" i="22" s="1"/>
  <c r="V373" i="22" s="1"/>
  <c r="B373" i="22" s="1"/>
  <c r="S375" i="22"/>
  <c r="R375" i="22" s="1"/>
  <c r="P375" i="22" s="1"/>
  <c r="V375" i="22" s="1"/>
  <c r="B375" i="22" s="1"/>
  <c r="S377" i="22"/>
  <c r="R377" i="22" s="1"/>
  <c r="P377" i="22" s="1"/>
  <c r="V377" i="22" s="1"/>
  <c r="B377" i="22" s="1"/>
  <c r="AS16" i="7"/>
  <c r="U18" i="23"/>
  <c r="U17" i="23"/>
  <c r="U23" i="23"/>
  <c r="U27" i="23"/>
  <c r="U31" i="23"/>
  <c r="U35" i="23"/>
  <c r="U39" i="23"/>
  <c r="U43" i="23"/>
  <c r="U47" i="23"/>
  <c r="U51" i="23"/>
  <c r="U55" i="23"/>
  <c r="U59" i="23"/>
  <c r="U63" i="23"/>
  <c r="U67" i="23"/>
  <c r="U71" i="23"/>
  <c r="U75" i="23"/>
  <c r="U79" i="23"/>
  <c r="U83" i="23"/>
  <c r="U87" i="23"/>
  <c r="U91" i="23"/>
  <c r="U95" i="23"/>
  <c r="U99" i="23"/>
  <c r="U103" i="23"/>
  <c r="U107" i="23"/>
  <c r="U111" i="23"/>
  <c r="U115" i="23"/>
  <c r="U119" i="23"/>
  <c r="U123" i="23"/>
  <c r="U127" i="23"/>
  <c r="U131" i="23"/>
  <c r="U135" i="23"/>
  <c r="U139" i="23"/>
  <c r="U143" i="23"/>
  <c r="U147" i="23"/>
  <c r="U151" i="23"/>
  <c r="U155" i="23"/>
  <c r="U159" i="23"/>
  <c r="U163" i="23"/>
  <c r="U167" i="23"/>
  <c r="U171" i="23"/>
  <c r="U175" i="23"/>
  <c r="U179" i="23"/>
  <c r="U183" i="23"/>
  <c r="U187" i="23"/>
  <c r="U191" i="23"/>
  <c r="U195" i="23"/>
  <c r="U199" i="23"/>
  <c r="U203" i="23"/>
  <c r="U207" i="23"/>
  <c r="U211" i="23"/>
  <c r="U215" i="23"/>
  <c r="U219" i="23"/>
  <c r="U223" i="23"/>
  <c r="U227" i="23"/>
  <c r="U231" i="23"/>
  <c r="U235" i="23"/>
  <c r="U239" i="23"/>
  <c r="U243" i="23"/>
  <c r="U247" i="23"/>
  <c r="U251" i="23"/>
  <c r="U255" i="23"/>
  <c r="U259" i="23"/>
  <c r="U263" i="23"/>
  <c r="U267" i="23"/>
  <c r="U271" i="23"/>
  <c r="U275" i="23"/>
  <c r="U279" i="23"/>
  <c r="U283" i="23"/>
  <c r="U287" i="23"/>
  <c r="U291" i="23"/>
  <c r="U295" i="23"/>
  <c r="U299" i="23"/>
  <c r="U303" i="23"/>
  <c r="U307" i="23"/>
  <c r="U311" i="23"/>
  <c r="U315" i="23"/>
  <c r="U319" i="23"/>
  <c r="U323" i="23"/>
  <c r="U327" i="23"/>
  <c r="U331" i="23"/>
  <c r="U335" i="23"/>
  <c r="U339" i="23"/>
  <c r="U343" i="23"/>
  <c r="U347" i="23"/>
  <c r="U351" i="23"/>
  <c r="U355" i="23"/>
  <c r="U359" i="23"/>
  <c r="U363" i="23"/>
  <c r="U367" i="23"/>
  <c r="U371" i="23"/>
  <c r="U375" i="23"/>
  <c r="U379" i="23"/>
  <c r="S379" i="22"/>
  <c r="R379" i="22" s="1"/>
  <c r="P379" i="22" s="1"/>
  <c r="AG37" i="22"/>
  <c r="AF37" i="22" s="1"/>
  <c r="AD37" i="22" s="1"/>
  <c r="AG49" i="22"/>
  <c r="AF49" i="22" s="1"/>
  <c r="AD49" i="22" s="1"/>
  <c r="AG85" i="22"/>
  <c r="AF85" i="22" s="1"/>
  <c r="AD85" i="22" s="1"/>
  <c r="AG99" i="22"/>
  <c r="AF99" i="22" s="1"/>
  <c r="AD99" i="22" s="1"/>
  <c r="AG109" i="22"/>
  <c r="AF109" i="22" s="1"/>
  <c r="AD109" i="22" s="1"/>
  <c r="AG121" i="22"/>
  <c r="AF121" i="22" s="1"/>
  <c r="AD121" i="22" s="1"/>
  <c r="AG133" i="22"/>
  <c r="AF133" i="22" s="1"/>
  <c r="AD133" i="22" s="1"/>
  <c r="AG153" i="22"/>
  <c r="AF153" i="22" s="1"/>
  <c r="AD153" i="22" s="1"/>
  <c r="AG181" i="22"/>
  <c r="AF181" i="22" s="1"/>
  <c r="AD181" i="22" s="1"/>
  <c r="AG247" i="22"/>
  <c r="AF247" i="22" s="1"/>
  <c r="AD247" i="22" s="1"/>
  <c r="AG287" i="22"/>
  <c r="AF287" i="22" s="1"/>
  <c r="AD287" i="22" s="1"/>
  <c r="AG307" i="22"/>
  <c r="AF307" i="22" s="1"/>
  <c r="AD307" i="22" s="1"/>
  <c r="AG351" i="22"/>
  <c r="AF351" i="22" s="1"/>
  <c r="AD351" i="22" s="1"/>
  <c r="D169" i="6"/>
  <c r="Y4" i="6"/>
  <c r="AE382" i="22"/>
  <c r="AE383" i="22"/>
  <c r="P4" i="6"/>
  <c r="G16" i="20"/>
  <c r="CB16" i="6" s="1"/>
  <c r="AA16" i="20"/>
  <c r="Z16" i="20" s="1"/>
  <c r="Y16" i="20" s="1"/>
  <c r="H16" i="20"/>
  <c r="AA28" i="20"/>
  <c r="Z28" i="20" s="1"/>
  <c r="Y28" i="20" s="1"/>
  <c r="G28" i="20"/>
  <c r="CB28" i="6" s="1"/>
  <c r="H28" i="20"/>
  <c r="G32" i="20"/>
  <c r="CB32" i="6" s="1"/>
  <c r="AA32" i="20"/>
  <c r="Z32" i="20" s="1"/>
  <c r="Y32" i="20" s="1"/>
  <c r="H32" i="20"/>
  <c r="G36" i="20"/>
  <c r="CB36" i="6" s="1"/>
  <c r="H36" i="20"/>
  <c r="AA36" i="20"/>
  <c r="Z36" i="20" s="1"/>
  <c r="Y36" i="20" s="1"/>
  <c r="G52" i="20"/>
  <c r="CB52" i="6" s="1"/>
  <c r="H52" i="20"/>
  <c r="AA52" i="20"/>
  <c r="Z52" i="20" s="1"/>
  <c r="Y52" i="20" s="1"/>
  <c r="W60" i="20"/>
  <c r="D60" i="20"/>
  <c r="E60" i="20" s="1"/>
  <c r="F60" i="20" s="1"/>
  <c r="AA68" i="20"/>
  <c r="Z68" i="20" s="1"/>
  <c r="Y68" i="20" s="1"/>
  <c r="H68" i="20"/>
  <c r="G68" i="20"/>
  <c r="CB68" i="6" s="1"/>
  <c r="G80" i="20"/>
  <c r="CB80" i="6" s="1"/>
  <c r="AA80" i="20"/>
  <c r="Z80" i="20" s="1"/>
  <c r="Y80" i="20" s="1"/>
  <c r="H80" i="20"/>
  <c r="W88" i="20"/>
  <c r="D88" i="20"/>
  <c r="E88" i="20" s="1"/>
  <c r="F88" i="20" s="1"/>
  <c r="AA92" i="20"/>
  <c r="Z92" i="20" s="1"/>
  <c r="Y92" i="20" s="1"/>
  <c r="G92" i="20"/>
  <c r="CB92" i="6" s="1"/>
  <c r="H92" i="20"/>
  <c r="AA116" i="20"/>
  <c r="Z116" i="20" s="1"/>
  <c r="Y116" i="20" s="1"/>
  <c r="H116" i="20"/>
  <c r="G116" i="20"/>
  <c r="CB116" i="6" s="1"/>
  <c r="G124" i="20"/>
  <c r="CB124" i="6" s="1"/>
  <c r="AA124" i="20"/>
  <c r="Z124" i="20" s="1"/>
  <c r="Y124" i="20" s="1"/>
  <c r="H124" i="20"/>
  <c r="G136" i="20"/>
  <c r="CB136" i="6" s="1"/>
  <c r="AA136" i="20"/>
  <c r="Z136" i="20" s="1"/>
  <c r="Y136" i="20" s="1"/>
  <c r="H136" i="20"/>
  <c r="AA144" i="20"/>
  <c r="Z144" i="20" s="1"/>
  <c r="Y144" i="20" s="1"/>
  <c r="H144" i="20"/>
  <c r="G144" i="20"/>
  <c r="CB144" i="6" s="1"/>
  <c r="G160" i="20"/>
  <c r="CB160" i="6" s="1"/>
  <c r="H160" i="20"/>
  <c r="AA160" i="20"/>
  <c r="Z160" i="20" s="1"/>
  <c r="Y160" i="20" s="1"/>
  <c r="G168" i="20"/>
  <c r="CB168" i="6" s="1"/>
  <c r="H168" i="20"/>
  <c r="AA168" i="20"/>
  <c r="Z168" i="20" s="1"/>
  <c r="Y168" i="20" s="1"/>
  <c r="AA172" i="20"/>
  <c r="Z172" i="20" s="1"/>
  <c r="Y172" i="20" s="1"/>
  <c r="G172" i="20"/>
  <c r="CB172" i="6" s="1"/>
  <c r="H172" i="20"/>
  <c r="D180" i="20"/>
  <c r="E180" i="20" s="1"/>
  <c r="F180" i="20" s="1"/>
  <c r="W180" i="20"/>
  <c r="G188" i="20"/>
  <c r="CB188" i="6" s="1"/>
  <c r="AA188" i="20"/>
  <c r="Z188" i="20" s="1"/>
  <c r="Y188" i="20" s="1"/>
  <c r="H188" i="20"/>
  <c r="AA200" i="20"/>
  <c r="Z200" i="20" s="1"/>
  <c r="Y200" i="20" s="1"/>
  <c r="G200" i="20"/>
  <c r="CB200" i="6" s="1"/>
  <c r="H200" i="20"/>
  <c r="H216" i="20"/>
  <c r="G216" i="20"/>
  <c r="CB216" i="6" s="1"/>
  <c r="AA216" i="20"/>
  <c r="Z216" i="20" s="1"/>
  <c r="Y216" i="20" s="1"/>
  <c r="G220" i="20"/>
  <c r="CB220" i="6" s="1"/>
  <c r="AA220" i="20"/>
  <c r="Z220" i="20" s="1"/>
  <c r="Y220" i="20" s="1"/>
  <c r="H220" i="20"/>
  <c r="AA228" i="20"/>
  <c r="Z228" i="20" s="1"/>
  <c r="Y228" i="20" s="1"/>
  <c r="G228" i="20"/>
  <c r="CB228" i="6" s="1"/>
  <c r="H228" i="20"/>
  <c r="H232" i="20"/>
  <c r="G232" i="20"/>
  <c r="CB232" i="6" s="1"/>
  <c r="AA232" i="20"/>
  <c r="Z232" i="20" s="1"/>
  <c r="Y232" i="20" s="1"/>
  <c r="H240" i="20"/>
  <c r="AA240" i="20"/>
  <c r="Z240" i="20" s="1"/>
  <c r="Y240" i="20" s="1"/>
  <c r="G240" i="20"/>
  <c r="CB240" i="6" s="1"/>
  <c r="G244" i="20"/>
  <c r="CB244" i="6" s="1"/>
  <c r="AA244" i="20"/>
  <c r="Z244" i="20" s="1"/>
  <c r="Y244" i="20" s="1"/>
  <c r="H244" i="20"/>
  <c r="AA252" i="20"/>
  <c r="Z252" i="20" s="1"/>
  <c r="Y252" i="20" s="1"/>
  <c r="H252" i="20"/>
  <c r="G252" i="20"/>
  <c r="CB252" i="6" s="1"/>
  <c r="AA264" i="20"/>
  <c r="Z264" i="20" s="1"/>
  <c r="Y264" i="20" s="1"/>
  <c r="G264" i="20"/>
  <c r="CB264" i="6" s="1"/>
  <c r="H264" i="20"/>
  <c r="G268" i="20"/>
  <c r="CB268" i="6" s="1"/>
  <c r="AA268" i="20"/>
  <c r="Z268" i="20" s="1"/>
  <c r="Y268" i="20" s="1"/>
  <c r="H268" i="20"/>
  <c r="D272" i="20"/>
  <c r="E272" i="20" s="1"/>
  <c r="F272" i="20" s="1"/>
  <c r="W272" i="20"/>
  <c r="G276" i="20"/>
  <c r="CB276" i="6" s="1"/>
  <c r="AA276" i="20"/>
  <c r="Z276" i="20" s="1"/>
  <c r="Y276" i="20" s="1"/>
  <c r="H276" i="20"/>
  <c r="H284" i="20"/>
  <c r="G284" i="20"/>
  <c r="CB284" i="6" s="1"/>
  <c r="AA284" i="20"/>
  <c r="Z284" i="20" s="1"/>
  <c r="Y284" i="20" s="1"/>
  <c r="H296" i="20"/>
  <c r="AA296" i="20"/>
  <c r="Z296" i="20" s="1"/>
  <c r="Y296" i="20" s="1"/>
  <c r="G296" i="20"/>
  <c r="CB296" i="6" s="1"/>
  <c r="H300" i="20"/>
  <c r="G300" i="20"/>
  <c r="CB300" i="6" s="1"/>
  <c r="AA300" i="20"/>
  <c r="Z300" i="20" s="1"/>
  <c r="Y300" i="20" s="1"/>
  <c r="AA304" i="20"/>
  <c r="Z304" i="20" s="1"/>
  <c r="Y304" i="20" s="1"/>
  <c r="G304" i="20"/>
  <c r="CB304" i="6" s="1"/>
  <c r="H304" i="20"/>
  <c r="G308" i="20"/>
  <c r="CB308" i="6" s="1"/>
  <c r="H308" i="20"/>
  <c r="AA308" i="20"/>
  <c r="Z308" i="20" s="1"/>
  <c r="Y308" i="20" s="1"/>
  <c r="H312" i="20"/>
  <c r="G312" i="20"/>
  <c r="CB312" i="6" s="1"/>
  <c r="AA312" i="20"/>
  <c r="Z312" i="20" s="1"/>
  <c r="Y312" i="20" s="1"/>
  <c r="H320" i="20"/>
  <c r="G320" i="20"/>
  <c r="CB320" i="6" s="1"/>
  <c r="AA320" i="20"/>
  <c r="Z320" i="20" s="1"/>
  <c r="Y320" i="20" s="1"/>
  <c r="H324" i="20"/>
  <c r="AA324" i="20"/>
  <c r="Z324" i="20" s="1"/>
  <c r="Y324" i="20" s="1"/>
  <c r="G324" i="20"/>
  <c r="CB324" i="6" s="1"/>
  <c r="H356" i="20"/>
  <c r="G356" i="20"/>
  <c r="CB356" i="6" s="1"/>
  <c r="AA356" i="20"/>
  <c r="Z356" i="20" s="1"/>
  <c r="Y356" i="20" s="1"/>
  <c r="G360" i="20"/>
  <c r="CB360" i="6" s="1"/>
  <c r="H360" i="20"/>
  <c r="AA360" i="20"/>
  <c r="Z360" i="20" s="1"/>
  <c r="Y360" i="20" s="1"/>
  <c r="AA364" i="20"/>
  <c r="Z364" i="20" s="1"/>
  <c r="Y364" i="20" s="1"/>
  <c r="H364" i="20"/>
  <c r="G364" i="20"/>
  <c r="CB364" i="6" s="1"/>
  <c r="G368" i="20"/>
  <c r="CB368" i="6" s="1"/>
  <c r="AA368" i="20"/>
  <c r="Z368" i="20" s="1"/>
  <c r="Y368" i="20" s="1"/>
  <c r="H368" i="20"/>
  <c r="W29" i="20"/>
  <c r="D29" i="20"/>
  <c r="E29" i="20" s="1"/>
  <c r="F29" i="20" s="1"/>
  <c r="G33" i="20"/>
  <c r="CB33" i="6" s="1"/>
  <c r="H33" i="20"/>
  <c r="AA33" i="20"/>
  <c r="Z33" i="20" s="1"/>
  <c r="Y33" i="20" s="1"/>
  <c r="AA37" i="20"/>
  <c r="Z37" i="20" s="1"/>
  <c r="Y37" i="20" s="1"/>
  <c r="H37" i="20"/>
  <c r="G37" i="20"/>
  <c r="CB37" i="6" s="1"/>
  <c r="AA41" i="20"/>
  <c r="Z41" i="20" s="1"/>
  <c r="Y41" i="20" s="1"/>
  <c r="G41" i="20"/>
  <c r="CB41" i="6" s="1"/>
  <c r="H41" i="20"/>
  <c r="G45" i="20"/>
  <c r="CB45" i="6" s="1"/>
  <c r="H45" i="20"/>
  <c r="AA45" i="20"/>
  <c r="Z45" i="20" s="1"/>
  <c r="Y45" i="20" s="1"/>
  <c r="AA53" i="20"/>
  <c r="Z53" i="20" s="1"/>
  <c r="Y53" i="20" s="1"/>
  <c r="H53" i="20"/>
  <c r="G53" i="20"/>
  <c r="CB53" i="6" s="1"/>
  <c r="AA57" i="20"/>
  <c r="Z57" i="20" s="1"/>
  <c r="Y57" i="20" s="1"/>
  <c r="H57" i="20"/>
  <c r="G57" i="20"/>
  <c r="CB57" i="6" s="1"/>
  <c r="AA61" i="20"/>
  <c r="Z61" i="20" s="1"/>
  <c r="Y61" i="20" s="1"/>
  <c r="G61" i="20"/>
  <c r="CB61" i="6" s="1"/>
  <c r="H61" i="20"/>
  <c r="AA65" i="20"/>
  <c r="Z65" i="20" s="1"/>
  <c r="Y65" i="20" s="1"/>
  <c r="H65" i="20"/>
  <c r="G65" i="20"/>
  <c r="CB65" i="6" s="1"/>
  <c r="AA69" i="20"/>
  <c r="Z69" i="20" s="1"/>
  <c r="Y69" i="20" s="1"/>
  <c r="H69" i="20"/>
  <c r="G69" i="20"/>
  <c r="CB69" i="6" s="1"/>
  <c r="G73" i="20"/>
  <c r="CB73" i="6" s="1"/>
  <c r="H73" i="20"/>
  <c r="AA73" i="20"/>
  <c r="Z73" i="20" s="1"/>
  <c r="Y73" i="20" s="1"/>
  <c r="G81" i="20"/>
  <c r="CB81" i="6" s="1"/>
  <c r="AA81" i="20"/>
  <c r="Z81" i="20" s="1"/>
  <c r="Y81" i="20" s="1"/>
  <c r="H81" i="20"/>
  <c r="G85" i="20"/>
  <c r="CB85" i="6" s="1"/>
  <c r="H85" i="20"/>
  <c r="AA85" i="20"/>
  <c r="Z85" i="20" s="1"/>
  <c r="Y85" i="20" s="1"/>
  <c r="G89" i="20"/>
  <c r="CB89" i="6" s="1"/>
  <c r="H89" i="20"/>
  <c r="AA89" i="20"/>
  <c r="Z89" i="20" s="1"/>
  <c r="Y89" i="20" s="1"/>
  <c r="AA97" i="20"/>
  <c r="Z97" i="20" s="1"/>
  <c r="Y97" i="20" s="1"/>
  <c r="H97" i="20"/>
  <c r="G97" i="20"/>
  <c r="CB97" i="6" s="1"/>
  <c r="G113" i="20"/>
  <c r="CB113" i="6" s="1"/>
  <c r="H113" i="20"/>
  <c r="AA113" i="20"/>
  <c r="Z113" i="20" s="1"/>
  <c r="Y113" i="20" s="1"/>
  <c r="G121" i="20"/>
  <c r="CB121" i="6" s="1"/>
  <c r="H121" i="20"/>
  <c r="AA121" i="20"/>
  <c r="Z121" i="20" s="1"/>
  <c r="Y121" i="20" s="1"/>
  <c r="G125" i="20"/>
  <c r="CB125" i="6" s="1"/>
  <c r="H125" i="20"/>
  <c r="AA125" i="20"/>
  <c r="Z125" i="20" s="1"/>
  <c r="Y125" i="20" s="1"/>
  <c r="AA129" i="20"/>
  <c r="Z129" i="20" s="1"/>
  <c r="Y129" i="20" s="1"/>
  <c r="G129" i="20"/>
  <c r="CB129" i="6" s="1"/>
  <c r="H129" i="20"/>
  <c r="AA133" i="20"/>
  <c r="Z133" i="20" s="1"/>
  <c r="Y133" i="20" s="1"/>
  <c r="H133" i="20"/>
  <c r="G133" i="20"/>
  <c r="CB133" i="6" s="1"/>
  <c r="G137" i="20"/>
  <c r="CB137" i="6" s="1"/>
  <c r="AA137" i="20"/>
  <c r="Z137" i="20" s="1"/>
  <c r="Y137" i="20" s="1"/>
  <c r="H137" i="20"/>
  <c r="G145" i="20"/>
  <c r="CB145" i="6" s="1"/>
  <c r="AA145" i="20"/>
  <c r="Z145" i="20" s="1"/>
  <c r="Y145" i="20" s="1"/>
  <c r="H145" i="20"/>
  <c r="D149" i="20"/>
  <c r="E149" i="20" s="1"/>
  <c r="F149" i="20" s="1"/>
  <c r="W149" i="20"/>
  <c r="AA157" i="20"/>
  <c r="Z157" i="20" s="1"/>
  <c r="Y157" i="20" s="1"/>
  <c r="H157" i="20"/>
  <c r="G157" i="20"/>
  <c r="CB157" i="6" s="1"/>
  <c r="G165" i="20"/>
  <c r="CB165" i="6" s="1"/>
  <c r="AA165" i="20"/>
  <c r="Z165" i="20" s="1"/>
  <c r="Y165" i="20" s="1"/>
  <c r="H165" i="20"/>
  <c r="AA173" i="20"/>
  <c r="Z173" i="20" s="1"/>
  <c r="Y173" i="20" s="1"/>
  <c r="G173" i="20"/>
  <c r="CB173" i="6" s="1"/>
  <c r="H173" i="20"/>
  <c r="G189" i="20"/>
  <c r="CB189" i="6" s="1"/>
  <c r="H189" i="20"/>
  <c r="AA189" i="20"/>
  <c r="Z189" i="20" s="1"/>
  <c r="Y189" i="20" s="1"/>
  <c r="H193" i="20"/>
  <c r="G193" i="20"/>
  <c r="CB193" i="6" s="1"/>
  <c r="AA193" i="20"/>
  <c r="Z193" i="20" s="1"/>
  <c r="Y193" i="20" s="1"/>
  <c r="AA197" i="20"/>
  <c r="Z197" i="20" s="1"/>
  <c r="Y197" i="20" s="1"/>
  <c r="G197" i="20"/>
  <c r="CB197" i="6" s="1"/>
  <c r="H197" i="20"/>
  <c r="H205" i="20"/>
  <c r="G205" i="20"/>
  <c r="CB205" i="6" s="1"/>
  <c r="AA205" i="20"/>
  <c r="Z205" i="20" s="1"/>
  <c r="Y205" i="20" s="1"/>
  <c r="H209" i="20"/>
  <c r="AA209" i="20"/>
  <c r="Z209" i="20" s="1"/>
  <c r="Y209" i="20" s="1"/>
  <c r="G209" i="20"/>
  <c r="CB209" i="6" s="1"/>
  <c r="G213" i="20"/>
  <c r="CB213" i="6" s="1"/>
  <c r="AA213" i="20"/>
  <c r="Z213" i="20" s="1"/>
  <c r="Y213" i="20" s="1"/>
  <c r="H213" i="20"/>
  <c r="H221" i="20"/>
  <c r="AA221" i="20"/>
  <c r="Z221" i="20" s="1"/>
  <c r="Y221" i="20" s="1"/>
  <c r="G221" i="20"/>
  <c r="CB221" i="6" s="1"/>
  <c r="AA225" i="20"/>
  <c r="Z225" i="20" s="1"/>
  <c r="Y225" i="20" s="1"/>
  <c r="G225" i="20"/>
  <c r="CB225" i="6" s="1"/>
  <c r="H225" i="20"/>
  <c r="W241" i="20"/>
  <c r="D241" i="20"/>
  <c r="E241" i="20" s="1"/>
  <c r="F241" i="20" s="1"/>
  <c r="AA269" i="20"/>
  <c r="Z269" i="20" s="1"/>
  <c r="Y269" i="20" s="1"/>
  <c r="G269" i="20"/>
  <c r="CB269" i="6" s="1"/>
  <c r="H269" i="20"/>
  <c r="AA273" i="20"/>
  <c r="Z273" i="20" s="1"/>
  <c r="Y273" i="20" s="1"/>
  <c r="H273" i="20"/>
  <c r="G273" i="20"/>
  <c r="CB273" i="6" s="1"/>
  <c r="G281" i="20"/>
  <c r="CB281" i="6" s="1"/>
  <c r="AA281" i="20"/>
  <c r="Z281" i="20" s="1"/>
  <c r="Y281" i="20" s="1"/>
  <c r="H281" i="20"/>
  <c r="G285" i="20"/>
  <c r="CB285" i="6" s="1"/>
  <c r="AA285" i="20"/>
  <c r="Z285" i="20" s="1"/>
  <c r="Y285" i="20" s="1"/>
  <c r="H285" i="20"/>
  <c r="G289" i="20"/>
  <c r="CB289" i="6" s="1"/>
  <c r="H289" i="20"/>
  <c r="AA289" i="20"/>
  <c r="Z289" i="20" s="1"/>
  <c r="Y289" i="20" s="1"/>
  <c r="H293" i="20"/>
  <c r="G293" i="20"/>
  <c r="CB293" i="6" s="1"/>
  <c r="AA293" i="20"/>
  <c r="Z293" i="20" s="1"/>
  <c r="Y293" i="20" s="1"/>
  <c r="AA297" i="20"/>
  <c r="Z297" i="20" s="1"/>
  <c r="Y297" i="20" s="1"/>
  <c r="H297" i="20"/>
  <c r="G297" i="20"/>
  <c r="CB297" i="6" s="1"/>
  <c r="H305" i="20"/>
  <c r="G305" i="20"/>
  <c r="CB305" i="6" s="1"/>
  <c r="AA305" i="20"/>
  <c r="Z305" i="20" s="1"/>
  <c r="Y305" i="20" s="1"/>
  <c r="H313" i="20"/>
  <c r="G313" i="20"/>
  <c r="CB313" i="6" s="1"/>
  <c r="AA313" i="20"/>
  <c r="Z313" i="20" s="1"/>
  <c r="Y313" i="20" s="1"/>
  <c r="G317" i="20"/>
  <c r="CB317" i="6" s="1"/>
  <c r="AA317" i="20"/>
  <c r="Z317" i="20" s="1"/>
  <c r="Y317" i="20" s="1"/>
  <c r="H317" i="20"/>
  <c r="AA321" i="20"/>
  <c r="Z321" i="20" s="1"/>
  <c r="Y321" i="20" s="1"/>
  <c r="H321" i="20"/>
  <c r="G321" i="20"/>
  <c r="CB321" i="6" s="1"/>
  <c r="G329" i="20"/>
  <c r="CB329" i="6" s="1"/>
  <c r="AA329" i="20"/>
  <c r="Z329" i="20" s="1"/>
  <c r="Y329" i="20" s="1"/>
  <c r="H329" i="20"/>
  <c r="D333" i="20"/>
  <c r="E333" i="20" s="1"/>
  <c r="F333" i="20" s="1"/>
  <c r="W333" i="20"/>
  <c r="AA341" i="20"/>
  <c r="Z341" i="20" s="1"/>
  <c r="Y341" i="20" s="1"/>
  <c r="G341" i="20"/>
  <c r="CB341" i="6" s="1"/>
  <c r="H341" i="20"/>
  <c r="D349" i="20"/>
  <c r="E349" i="20" s="1"/>
  <c r="F349" i="20" s="1"/>
  <c r="W349" i="20"/>
  <c r="G353" i="20"/>
  <c r="CB353" i="6" s="1"/>
  <c r="AA353" i="20"/>
  <c r="Z353" i="20" s="1"/>
  <c r="Y353" i="20" s="1"/>
  <c r="H353" i="20"/>
  <c r="H357" i="20"/>
  <c r="AA357" i="20"/>
  <c r="Z357" i="20" s="1"/>
  <c r="Y357" i="20" s="1"/>
  <c r="G357" i="20"/>
  <c r="CB357" i="6" s="1"/>
  <c r="G361" i="20"/>
  <c r="CB361" i="6" s="1"/>
  <c r="H361" i="20"/>
  <c r="AA361" i="20"/>
  <c r="Z361" i="20" s="1"/>
  <c r="Y361" i="20" s="1"/>
  <c r="AA373" i="20"/>
  <c r="Z373" i="20" s="1"/>
  <c r="Y373" i="20" s="1"/>
  <c r="H373" i="20"/>
  <c r="G373" i="20"/>
  <c r="CB373" i="6" s="1"/>
  <c r="G377" i="20"/>
  <c r="CB377" i="6" s="1"/>
  <c r="H377" i="20"/>
  <c r="AA377" i="20"/>
  <c r="Z377" i="20" s="1"/>
  <c r="Y377" i="20" s="1"/>
  <c r="AA22" i="20"/>
  <c r="Z22" i="20" s="1"/>
  <c r="Y22" i="20" s="1"/>
  <c r="H22" i="20"/>
  <c r="G22" i="20"/>
  <c r="CB22" i="6" s="1"/>
  <c r="G26" i="20"/>
  <c r="CB26" i="6" s="1"/>
  <c r="H26" i="20"/>
  <c r="AA26" i="20"/>
  <c r="Z26" i="20" s="1"/>
  <c r="Y26" i="20" s="1"/>
  <c r="AA30" i="20"/>
  <c r="Z30" i="20" s="1"/>
  <c r="Y30" i="20" s="1"/>
  <c r="G30" i="20"/>
  <c r="CB30" i="6" s="1"/>
  <c r="H30" i="20"/>
  <c r="AA42" i="20"/>
  <c r="Z42" i="20" s="1"/>
  <c r="Y42" i="20" s="1"/>
  <c r="G42" i="20"/>
  <c r="CB42" i="6" s="1"/>
  <c r="H42" i="20"/>
  <c r="C66" i="19"/>
  <c r="G58" i="20"/>
  <c r="CB58" i="6" s="1"/>
  <c r="H58" i="20"/>
  <c r="AA58" i="20"/>
  <c r="Z58" i="20" s="1"/>
  <c r="Y58" i="20" s="1"/>
  <c r="G62" i="20"/>
  <c r="CB62" i="6" s="1"/>
  <c r="H62" i="20"/>
  <c r="AA62" i="20"/>
  <c r="Z62" i="20" s="1"/>
  <c r="Y62" i="20" s="1"/>
  <c r="D74" i="20"/>
  <c r="E74" i="20" s="1"/>
  <c r="F74" i="20" s="1"/>
  <c r="W74" i="20"/>
  <c r="AA78" i="20"/>
  <c r="Z78" i="20" s="1"/>
  <c r="Y78" i="20" s="1"/>
  <c r="H78" i="20"/>
  <c r="G78" i="20"/>
  <c r="CB78" i="6" s="1"/>
  <c r="AA106" i="20"/>
  <c r="Z106" i="20" s="1"/>
  <c r="Y106" i="20" s="1"/>
  <c r="H106" i="20"/>
  <c r="G106" i="20"/>
  <c r="CB106" i="6" s="1"/>
  <c r="G126" i="20"/>
  <c r="CB126" i="6" s="1"/>
  <c r="H126" i="20"/>
  <c r="AA126" i="20"/>
  <c r="Z126" i="20" s="1"/>
  <c r="Y126" i="20" s="1"/>
  <c r="AA130" i="20"/>
  <c r="Z130" i="20" s="1"/>
  <c r="Y130" i="20" s="1"/>
  <c r="H130" i="20"/>
  <c r="G130" i="20"/>
  <c r="CB130" i="6" s="1"/>
  <c r="G142" i="20"/>
  <c r="CB142" i="6" s="1"/>
  <c r="AA142" i="20"/>
  <c r="Z142" i="20" s="1"/>
  <c r="Y142" i="20" s="1"/>
  <c r="H142" i="20"/>
  <c r="AA146" i="20"/>
  <c r="Z146" i="20" s="1"/>
  <c r="Y146" i="20" s="1"/>
  <c r="G146" i="20"/>
  <c r="CB146" i="6" s="1"/>
  <c r="H146" i="20"/>
  <c r="AA154" i="20"/>
  <c r="Z154" i="20" s="1"/>
  <c r="Y154" i="20" s="1"/>
  <c r="H154" i="20"/>
  <c r="G154" i="20"/>
  <c r="CB154" i="6" s="1"/>
  <c r="AA158" i="20"/>
  <c r="Z158" i="20" s="1"/>
  <c r="Y158" i="20" s="1"/>
  <c r="G158" i="20"/>
  <c r="CB158" i="6" s="1"/>
  <c r="H158" i="20"/>
  <c r="G66" i="19"/>
  <c r="AA174" i="20"/>
  <c r="Z174" i="20" s="1"/>
  <c r="Y174" i="20" s="1"/>
  <c r="G174" i="20"/>
  <c r="CB174" i="6" s="1"/>
  <c r="H174" i="20"/>
  <c r="G178" i="20"/>
  <c r="CB178" i="6" s="1"/>
  <c r="AA178" i="20"/>
  <c r="Z178" i="20" s="1"/>
  <c r="Y178" i="20" s="1"/>
  <c r="H178" i="20"/>
  <c r="G182" i="20"/>
  <c r="CB182" i="6" s="1"/>
  <c r="AA182" i="20"/>
  <c r="Z182" i="20" s="1"/>
  <c r="Y182" i="20" s="1"/>
  <c r="H182" i="20"/>
  <c r="AA186" i="20"/>
  <c r="Z186" i="20" s="1"/>
  <c r="Y186" i="20" s="1"/>
  <c r="H186" i="20"/>
  <c r="G186" i="20"/>
  <c r="CB186" i="6" s="1"/>
  <c r="H198" i="20"/>
  <c r="G198" i="20"/>
  <c r="CB198" i="6" s="1"/>
  <c r="AA198" i="20"/>
  <c r="Z198" i="20" s="1"/>
  <c r="Y198" i="20" s="1"/>
  <c r="H202" i="20"/>
  <c r="AA202" i="20"/>
  <c r="Z202" i="20" s="1"/>
  <c r="Y202" i="20" s="1"/>
  <c r="G202" i="20"/>
  <c r="CB202" i="6" s="1"/>
  <c r="H206" i="20"/>
  <c r="AA206" i="20"/>
  <c r="Z206" i="20" s="1"/>
  <c r="Y206" i="20" s="1"/>
  <c r="G206" i="20"/>
  <c r="CB206" i="6" s="1"/>
  <c r="W210" i="20"/>
  <c r="D210" i="20"/>
  <c r="E210" i="20" s="1"/>
  <c r="F210" i="20" s="1"/>
  <c r="H214" i="20"/>
  <c r="AA214" i="20"/>
  <c r="Z214" i="20" s="1"/>
  <c r="Y214" i="20" s="1"/>
  <c r="G214" i="20"/>
  <c r="CB214" i="6" s="1"/>
  <c r="H218" i="20"/>
  <c r="G218" i="20"/>
  <c r="CB218" i="6" s="1"/>
  <c r="AA218" i="20"/>
  <c r="Z218" i="20" s="1"/>
  <c r="Y218" i="20" s="1"/>
  <c r="AA222" i="20"/>
  <c r="Z222" i="20" s="1"/>
  <c r="Y222" i="20" s="1"/>
  <c r="G222" i="20"/>
  <c r="CB222" i="6" s="1"/>
  <c r="H222" i="20"/>
  <c r="AA242" i="20"/>
  <c r="Z242" i="20" s="1"/>
  <c r="Y242" i="20" s="1"/>
  <c r="G242" i="20"/>
  <c r="CB242" i="6" s="1"/>
  <c r="H242" i="20"/>
  <c r="G246" i="20"/>
  <c r="CB246" i="6" s="1"/>
  <c r="AA246" i="20"/>
  <c r="Z246" i="20" s="1"/>
  <c r="Y246" i="20" s="1"/>
  <c r="H246" i="20"/>
  <c r="W258" i="20"/>
  <c r="D258" i="20"/>
  <c r="E258" i="20" s="1"/>
  <c r="F258" i="20" s="1"/>
  <c r="AA262" i="20"/>
  <c r="Z262" i="20" s="1"/>
  <c r="Y262" i="20" s="1"/>
  <c r="H262" i="20"/>
  <c r="G262" i="20"/>
  <c r="CB262" i="6" s="1"/>
  <c r="AA266" i="20"/>
  <c r="Z266" i="20" s="1"/>
  <c r="Y266" i="20" s="1"/>
  <c r="G266" i="20"/>
  <c r="CB266" i="6" s="1"/>
  <c r="H266" i="20"/>
  <c r="G270" i="20"/>
  <c r="CB270" i="6" s="1"/>
  <c r="H270" i="20"/>
  <c r="AA270" i="20"/>
  <c r="Z270" i="20" s="1"/>
  <c r="Y270" i="20" s="1"/>
  <c r="AA278" i="20"/>
  <c r="Z278" i="20" s="1"/>
  <c r="Y278" i="20" s="1"/>
  <c r="G278" i="20"/>
  <c r="CB278" i="6" s="1"/>
  <c r="H278" i="20"/>
  <c r="G282" i="20"/>
  <c r="CB282" i="6" s="1"/>
  <c r="AA282" i="20"/>
  <c r="Z282" i="20" s="1"/>
  <c r="Y282" i="20" s="1"/>
  <c r="H282" i="20"/>
  <c r="W302" i="20"/>
  <c r="D302" i="20"/>
  <c r="E302" i="20" s="1"/>
  <c r="F302" i="20" s="1"/>
  <c r="H306" i="20"/>
  <c r="G306" i="20"/>
  <c r="CB306" i="6" s="1"/>
  <c r="AA306" i="20"/>
  <c r="Z306" i="20" s="1"/>
  <c r="Y306" i="20" s="1"/>
  <c r="AA314" i="20"/>
  <c r="Z314" i="20" s="1"/>
  <c r="Y314" i="20" s="1"/>
  <c r="H314" i="20"/>
  <c r="G314" i="20"/>
  <c r="CB314" i="6" s="1"/>
  <c r="H318" i="20"/>
  <c r="G318" i="20"/>
  <c r="CB318" i="6" s="1"/>
  <c r="AA318" i="20"/>
  <c r="Z318" i="20" s="1"/>
  <c r="Y318" i="20" s="1"/>
  <c r="G322" i="20"/>
  <c r="CB322" i="6" s="1"/>
  <c r="AA322" i="20"/>
  <c r="Z322" i="20" s="1"/>
  <c r="Y322" i="20" s="1"/>
  <c r="H322" i="20"/>
  <c r="H334" i="20"/>
  <c r="G334" i="20"/>
  <c r="CB334" i="6" s="1"/>
  <c r="AA334" i="20"/>
  <c r="Z334" i="20" s="1"/>
  <c r="Y334" i="20" s="1"/>
  <c r="H338" i="20"/>
  <c r="G338" i="20"/>
  <c r="CB338" i="6" s="1"/>
  <c r="AA338" i="20"/>
  <c r="Z338" i="20" s="1"/>
  <c r="Y338" i="20" s="1"/>
  <c r="H342" i="20"/>
  <c r="AA342" i="20"/>
  <c r="Z342" i="20" s="1"/>
  <c r="Y342" i="20" s="1"/>
  <c r="G342" i="20"/>
  <c r="CB342" i="6" s="1"/>
  <c r="H346" i="20"/>
  <c r="G346" i="20"/>
  <c r="CB346" i="6" s="1"/>
  <c r="AA346" i="20"/>
  <c r="Z346" i="20" s="1"/>
  <c r="Y346" i="20" s="1"/>
  <c r="H350" i="20"/>
  <c r="AA350" i="20"/>
  <c r="Z350" i="20" s="1"/>
  <c r="Y350" i="20" s="1"/>
  <c r="G350" i="20"/>
  <c r="CB350" i="6" s="1"/>
  <c r="H354" i="20"/>
  <c r="AA354" i="20"/>
  <c r="Z354" i="20" s="1"/>
  <c r="Y354" i="20" s="1"/>
  <c r="G354" i="20"/>
  <c r="CB354" i="6" s="1"/>
  <c r="G366" i="20"/>
  <c r="CB366" i="6" s="1"/>
  <c r="H366" i="20"/>
  <c r="AA366" i="20"/>
  <c r="Z366" i="20" s="1"/>
  <c r="Y366" i="20" s="1"/>
  <c r="AA374" i="20"/>
  <c r="Z374" i="20" s="1"/>
  <c r="Y374" i="20" s="1"/>
  <c r="H374" i="20"/>
  <c r="G374" i="20"/>
  <c r="CB374" i="6" s="1"/>
  <c r="G378" i="20"/>
  <c r="CB378" i="6" s="1"/>
  <c r="AA378" i="20"/>
  <c r="Z378" i="20" s="1"/>
  <c r="Y378" i="20" s="1"/>
  <c r="H378" i="20"/>
  <c r="G31" i="20"/>
  <c r="CB31" i="6" s="1"/>
  <c r="AA31" i="20"/>
  <c r="Z31" i="20" s="1"/>
  <c r="Y31" i="20" s="1"/>
  <c r="H31" i="20"/>
  <c r="G43" i="20"/>
  <c r="CB43" i="6" s="1"/>
  <c r="H43" i="20"/>
  <c r="AA43" i="20"/>
  <c r="Z43" i="20" s="1"/>
  <c r="Y43" i="20" s="1"/>
  <c r="G55" i="20"/>
  <c r="CB55" i="6" s="1"/>
  <c r="H55" i="20"/>
  <c r="AA55" i="20"/>
  <c r="Z55" i="20" s="1"/>
  <c r="Y55" i="20" s="1"/>
  <c r="G59" i="20"/>
  <c r="CB59" i="6" s="1"/>
  <c r="H59" i="20"/>
  <c r="AA59" i="20"/>
  <c r="Z59" i="20" s="1"/>
  <c r="Y59" i="20" s="1"/>
  <c r="AA63" i="20"/>
  <c r="Z63" i="20" s="1"/>
  <c r="Y63" i="20" s="1"/>
  <c r="G63" i="20"/>
  <c r="CB63" i="6" s="1"/>
  <c r="H63" i="20"/>
  <c r="AA67" i="20"/>
  <c r="Z67" i="20" s="1"/>
  <c r="Y67" i="20" s="1"/>
  <c r="H67" i="20"/>
  <c r="G67" i="20"/>
  <c r="CB67" i="6" s="1"/>
  <c r="AA79" i="20"/>
  <c r="Z79" i="20" s="1"/>
  <c r="Y79" i="20" s="1"/>
  <c r="H79" i="20"/>
  <c r="G79" i="20"/>
  <c r="CB79" i="6" s="1"/>
  <c r="G107" i="20"/>
  <c r="CB107" i="6" s="1"/>
  <c r="H107" i="20"/>
  <c r="AA107" i="20"/>
  <c r="Z107" i="20" s="1"/>
  <c r="Y107" i="20" s="1"/>
  <c r="D119" i="20"/>
  <c r="E119" i="20" s="1"/>
  <c r="F119" i="20" s="1"/>
  <c r="W119" i="20"/>
  <c r="G127" i="20"/>
  <c r="CB127" i="6" s="1"/>
  <c r="AA127" i="20"/>
  <c r="Z127" i="20" s="1"/>
  <c r="Y127" i="20" s="1"/>
  <c r="H127" i="20"/>
  <c r="AA131" i="20"/>
  <c r="Z131" i="20" s="1"/>
  <c r="Y131" i="20" s="1"/>
  <c r="H131" i="20"/>
  <c r="G131" i="20"/>
  <c r="CB131" i="6" s="1"/>
  <c r="D135" i="20"/>
  <c r="E135" i="20" s="1"/>
  <c r="F135" i="20" s="1"/>
  <c r="W135" i="20"/>
  <c r="G143" i="20"/>
  <c r="CB143" i="6" s="1"/>
  <c r="H143" i="20"/>
  <c r="AA143" i="20"/>
  <c r="Z143" i="20" s="1"/>
  <c r="Y143" i="20" s="1"/>
  <c r="G147" i="20"/>
  <c r="CB147" i="6" s="1"/>
  <c r="AA147" i="20"/>
  <c r="Z147" i="20" s="1"/>
  <c r="Y147" i="20" s="1"/>
  <c r="H147" i="20"/>
  <c r="G151" i="20"/>
  <c r="CB151" i="6" s="1"/>
  <c r="H151" i="20"/>
  <c r="AA151" i="20"/>
  <c r="Z151" i="20" s="1"/>
  <c r="Y151" i="20" s="1"/>
  <c r="AA159" i="20"/>
  <c r="Z159" i="20" s="1"/>
  <c r="Y159" i="20" s="1"/>
  <c r="H159" i="20"/>
  <c r="G159" i="20"/>
  <c r="CB159" i="6" s="1"/>
  <c r="AA163" i="20"/>
  <c r="Z163" i="20" s="1"/>
  <c r="Y163" i="20" s="1"/>
  <c r="H163" i="20"/>
  <c r="G163" i="20"/>
  <c r="CB163" i="6" s="1"/>
  <c r="G167" i="20"/>
  <c r="CB167" i="6" s="1"/>
  <c r="H167" i="20"/>
  <c r="AA167" i="20"/>
  <c r="Z167" i="20" s="1"/>
  <c r="Y167" i="20" s="1"/>
  <c r="G175" i="20"/>
  <c r="CB175" i="6" s="1"/>
  <c r="H175" i="20"/>
  <c r="AA175" i="20"/>
  <c r="Z175" i="20" s="1"/>
  <c r="Y175" i="20" s="1"/>
  <c r="G179" i="20"/>
  <c r="CB179" i="6" s="1"/>
  <c r="AA179" i="20"/>
  <c r="Z179" i="20" s="1"/>
  <c r="Y179" i="20" s="1"/>
  <c r="H179" i="20"/>
  <c r="AA183" i="20"/>
  <c r="Z183" i="20" s="1"/>
  <c r="Y183" i="20" s="1"/>
  <c r="H183" i="20"/>
  <c r="G183" i="20"/>
  <c r="CB183" i="6" s="1"/>
  <c r="AA187" i="20"/>
  <c r="Z187" i="20" s="1"/>
  <c r="Y187" i="20" s="1"/>
  <c r="H187" i="20"/>
  <c r="G187" i="20"/>
  <c r="CB187" i="6" s="1"/>
  <c r="H195" i="20"/>
  <c r="G195" i="20"/>
  <c r="CB195" i="6" s="1"/>
  <c r="AA195" i="20"/>
  <c r="Z195" i="20" s="1"/>
  <c r="Y195" i="20" s="1"/>
  <c r="H199" i="20"/>
  <c r="G199" i="20"/>
  <c r="CB199" i="6" s="1"/>
  <c r="AA199" i="20"/>
  <c r="Z199" i="20" s="1"/>
  <c r="Y199" i="20" s="1"/>
  <c r="AA203" i="20"/>
  <c r="Z203" i="20" s="1"/>
  <c r="Y203" i="20" s="1"/>
  <c r="G203" i="20"/>
  <c r="CB203" i="6" s="1"/>
  <c r="H203" i="20"/>
  <c r="H207" i="20"/>
  <c r="AA207" i="20"/>
  <c r="Z207" i="20" s="1"/>
  <c r="Y207" i="20" s="1"/>
  <c r="G207" i="20"/>
  <c r="CB207" i="6" s="1"/>
  <c r="H211" i="20"/>
  <c r="AA211" i="20"/>
  <c r="Z211" i="20" s="1"/>
  <c r="Y211" i="20" s="1"/>
  <c r="G211" i="20"/>
  <c r="CB211" i="6" s="1"/>
  <c r="G215" i="20"/>
  <c r="CB215" i="6" s="1"/>
  <c r="AA215" i="20"/>
  <c r="Z215" i="20" s="1"/>
  <c r="Y215" i="20" s="1"/>
  <c r="H215" i="20"/>
  <c r="G219" i="20"/>
  <c r="CB219" i="6" s="1"/>
  <c r="AA219" i="20"/>
  <c r="Z219" i="20" s="1"/>
  <c r="Y219" i="20" s="1"/>
  <c r="H219" i="20"/>
  <c r="G223" i="20"/>
  <c r="CB223" i="6" s="1"/>
  <c r="AA223" i="20"/>
  <c r="Z223" i="20" s="1"/>
  <c r="Y223" i="20" s="1"/>
  <c r="H223" i="20"/>
  <c r="D227" i="20"/>
  <c r="E227" i="20" s="1"/>
  <c r="F227" i="20" s="1"/>
  <c r="W227" i="20"/>
  <c r="H231" i="20"/>
  <c r="G231" i="20"/>
  <c r="CB231" i="6" s="1"/>
  <c r="AA231" i="20"/>
  <c r="Z231" i="20" s="1"/>
  <c r="Y231" i="20" s="1"/>
  <c r="G239" i="20"/>
  <c r="CB239" i="6" s="1"/>
  <c r="AA239" i="20"/>
  <c r="Z239" i="20" s="1"/>
  <c r="Y239" i="20" s="1"/>
  <c r="H239" i="20"/>
  <c r="AA247" i="20"/>
  <c r="Z247" i="20" s="1"/>
  <c r="Y247" i="20" s="1"/>
  <c r="H247" i="20"/>
  <c r="G247" i="20"/>
  <c r="CB247" i="6" s="1"/>
  <c r="AA255" i="20"/>
  <c r="Z255" i="20" s="1"/>
  <c r="Y255" i="20" s="1"/>
  <c r="G255" i="20"/>
  <c r="CB255" i="6" s="1"/>
  <c r="H255" i="20"/>
  <c r="AA275" i="20"/>
  <c r="Z275" i="20" s="1"/>
  <c r="Y275" i="20" s="1"/>
  <c r="G275" i="20"/>
  <c r="CB275" i="6" s="1"/>
  <c r="H275" i="20"/>
  <c r="H287" i="20"/>
  <c r="AA287" i="20"/>
  <c r="Z287" i="20" s="1"/>
  <c r="Y287" i="20" s="1"/>
  <c r="G287" i="20"/>
  <c r="CB287" i="6" s="1"/>
  <c r="G291" i="20"/>
  <c r="CB291" i="6" s="1"/>
  <c r="AA291" i="20"/>
  <c r="Z291" i="20" s="1"/>
  <c r="Y291" i="20" s="1"/>
  <c r="H291" i="20"/>
  <c r="G295" i="20"/>
  <c r="CB295" i="6" s="1"/>
  <c r="AA295" i="20"/>
  <c r="Z295" i="20" s="1"/>
  <c r="Y295" i="20" s="1"/>
  <c r="H295" i="20"/>
  <c r="D319" i="20"/>
  <c r="E319" i="20" s="1"/>
  <c r="F319" i="20" s="1"/>
  <c r="W319" i="20"/>
  <c r="AA327" i="20"/>
  <c r="Z327" i="20" s="1"/>
  <c r="Y327" i="20" s="1"/>
  <c r="G327" i="20"/>
  <c r="CB327" i="6" s="1"/>
  <c r="H327" i="20"/>
  <c r="G331" i="20"/>
  <c r="CB331" i="6" s="1"/>
  <c r="AA331" i="20"/>
  <c r="Z331" i="20" s="1"/>
  <c r="Y331" i="20" s="1"/>
  <c r="H331" i="20"/>
  <c r="H335" i="20"/>
  <c r="G335" i="20"/>
  <c r="CB335" i="6" s="1"/>
  <c r="AA335" i="20"/>
  <c r="Z335" i="20" s="1"/>
  <c r="Y335" i="20" s="1"/>
  <c r="AA339" i="20"/>
  <c r="Z339" i="20" s="1"/>
  <c r="Y339" i="20" s="1"/>
  <c r="G339" i="20"/>
  <c r="CB339" i="6" s="1"/>
  <c r="H339" i="20"/>
  <c r="H347" i="20"/>
  <c r="G347" i="20"/>
  <c r="CB347" i="6" s="1"/>
  <c r="AA347" i="20"/>
  <c r="Z347" i="20" s="1"/>
  <c r="Y347" i="20" s="1"/>
  <c r="H351" i="20"/>
  <c r="AA351" i="20"/>
  <c r="Z351" i="20" s="1"/>
  <c r="Y351" i="20" s="1"/>
  <c r="G351" i="20"/>
  <c r="CB351" i="6" s="1"/>
  <c r="G359" i="20"/>
  <c r="CB359" i="6" s="1"/>
  <c r="AA359" i="20"/>
  <c r="Z359" i="20" s="1"/>
  <c r="Y359" i="20" s="1"/>
  <c r="H359" i="20"/>
  <c r="W363" i="20"/>
  <c r="D363" i="20"/>
  <c r="E363" i="20" s="1"/>
  <c r="F363" i="20" s="1"/>
  <c r="J29" i="18"/>
  <c r="C29" i="6" s="1"/>
  <c r="I29" i="18"/>
  <c r="B29" i="6" s="1"/>
  <c r="BA29" i="6" s="1"/>
  <c r="D141" i="6"/>
  <c r="D295" i="6"/>
  <c r="AG52" i="22"/>
  <c r="AF52" i="22" s="1"/>
  <c r="AD52" i="22" s="1"/>
  <c r="AG62" i="22"/>
  <c r="AF62" i="22" s="1"/>
  <c r="AD62" i="22" s="1"/>
  <c r="AG76" i="22"/>
  <c r="AF76" i="22" s="1"/>
  <c r="AD76" i="22" s="1"/>
  <c r="AG78" i="22"/>
  <c r="AF78" i="22" s="1"/>
  <c r="AD78" i="22" s="1"/>
  <c r="AG84" i="22"/>
  <c r="AF84" i="22" s="1"/>
  <c r="AD84" i="22" s="1"/>
  <c r="AG90" i="22"/>
  <c r="AF90" i="22" s="1"/>
  <c r="AD90" i="22" s="1"/>
  <c r="AG110" i="22"/>
  <c r="AF110" i="22" s="1"/>
  <c r="AD110" i="22" s="1"/>
  <c r="AG152" i="22"/>
  <c r="AF152" i="22" s="1"/>
  <c r="AD152" i="22" s="1"/>
  <c r="AG164" i="22"/>
  <c r="AF164" i="22" s="1"/>
  <c r="AD164" i="22" s="1"/>
  <c r="AG172" i="22"/>
  <c r="AF172" i="22" s="1"/>
  <c r="AD172" i="22" s="1"/>
  <c r="AG176" i="22"/>
  <c r="AF176" i="22" s="1"/>
  <c r="AD176" i="22" s="1"/>
  <c r="AG232" i="22"/>
  <c r="AF232" i="22" s="1"/>
  <c r="AD232" i="22" s="1"/>
  <c r="AG248" i="22"/>
  <c r="AF248" i="22" s="1"/>
  <c r="AD248" i="22" s="1"/>
  <c r="AG324" i="22"/>
  <c r="AF324" i="22" s="1"/>
  <c r="AD324" i="22" s="1"/>
  <c r="AG364" i="22"/>
  <c r="AF364" i="22" s="1"/>
  <c r="AD364" i="22" s="1"/>
  <c r="D71" i="6"/>
  <c r="I349" i="18"/>
  <c r="B349" i="6" s="1"/>
  <c r="BA349" i="6" s="1"/>
  <c r="D349" i="6" s="1"/>
  <c r="J349" i="18"/>
  <c r="C349" i="6" s="1"/>
  <c r="R383" i="20"/>
  <c r="R382" i="20"/>
  <c r="R381" i="20"/>
  <c r="P15" i="20"/>
  <c r="AF4" i="6"/>
  <c r="I119" i="18"/>
  <c r="B119" i="6" s="1"/>
  <c r="BA119" i="6" s="1"/>
  <c r="J119" i="18"/>
  <c r="C119" i="6" s="1"/>
  <c r="I149" i="18"/>
  <c r="B149" i="6" s="1"/>
  <c r="BA149" i="6" s="1"/>
  <c r="D149" i="6" s="1"/>
  <c r="J149" i="18"/>
  <c r="C149" i="6" s="1"/>
  <c r="D337" i="6"/>
  <c r="AK4" i="6"/>
  <c r="V381" i="18"/>
  <c r="B65" i="19"/>
  <c r="V383" i="18"/>
  <c r="V382" i="18"/>
  <c r="AJ5" i="18"/>
  <c r="J379" i="17"/>
  <c r="J382" i="17" s="1"/>
  <c r="I379" i="17"/>
  <c r="H379" i="18" s="1"/>
  <c r="D127" i="6"/>
  <c r="V4" i="6"/>
  <c r="D183" i="6"/>
  <c r="Y383" i="16"/>
  <c r="AM6" i="16"/>
  <c r="AM12" i="16" s="1"/>
  <c r="Y382" i="16"/>
  <c r="Y381" i="16"/>
  <c r="X9" i="16"/>
  <c r="AL6" i="16"/>
  <c r="AL12" i="16" s="1"/>
  <c r="AE4" i="6"/>
  <c r="AG4" i="6"/>
  <c r="I74" i="18"/>
  <c r="B74" i="6" s="1"/>
  <c r="BA74" i="6" s="1"/>
  <c r="D74" i="6" s="1"/>
  <c r="J74" i="18"/>
  <c r="C74" i="6" s="1"/>
  <c r="S18" i="22"/>
  <c r="R18" i="22" s="1"/>
  <c r="P18" i="22" s="1"/>
  <c r="V18" i="22" s="1"/>
  <c r="B18" i="22" s="1"/>
  <c r="S16" i="22"/>
  <c r="R16" i="22" s="1"/>
  <c r="P16" i="22" s="1"/>
  <c r="V16" i="22" s="1"/>
  <c r="B16" i="22" s="1"/>
  <c r="I302" i="18"/>
  <c r="B302" i="6" s="1"/>
  <c r="BA302" i="6" s="1"/>
  <c r="D302" i="6" s="1"/>
  <c r="J302" i="18"/>
  <c r="C302" i="6" s="1"/>
  <c r="AG27" i="22"/>
  <c r="AF27" i="22" s="1"/>
  <c r="AD27" i="22" s="1"/>
  <c r="AG29" i="22"/>
  <c r="AF29" i="22" s="1"/>
  <c r="AD29" i="22" s="1"/>
  <c r="AG31" i="22"/>
  <c r="AF31" i="22" s="1"/>
  <c r="AD31" i="22" s="1"/>
  <c r="AG39" i="22"/>
  <c r="AF39" i="22" s="1"/>
  <c r="AD39" i="22" s="1"/>
  <c r="AG43" i="22"/>
  <c r="AF43" i="22" s="1"/>
  <c r="AD43" i="22" s="1"/>
  <c r="AG45" i="22"/>
  <c r="AF45" i="22" s="1"/>
  <c r="AD45" i="22" s="1"/>
  <c r="AG55" i="22"/>
  <c r="AF55" i="22" s="1"/>
  <c r="AD55" i="22" s="1"/>
  <c r="AG61" i="22"/>
  <c r="AF61" i="22" s="1"/>
  <c r="AD61" i="22" s="1"/>
  <c r="AG65" i="22"/>
  <c r="AF65" i="22" s="1"/>
  <c r="AD65" i="22" s="1"/>
  <c r="AG73" i="22"/>
  <c r="AF73" i="22" s="1"/>
  <c r="AD73" i="22" s="1"/>
  <c r="AG75" i="22"/>
  <c r="AF75" i="22" s="1"/>
  <c r="AD75" i="22" s="1"/>
  <c r="AG81" i="22"/>
  <c r="AF81" i="22" s="1"/>
  <c r="AD81" i="22" s="1"/>
  <c r="AG83" i="22"/>
  <c r="AF83" i="22" s="1"/>
  <c r="AD83" i="22" s="1"/>
  <c r="AG93" i="22"/>
  <c r="AF93" i="22" s="1"/>
  <c r="AD93" i="22" s="1"/>
  <c r="AG117" i="22"/>
  <c r="AF117" i="22" s="1"/>
  <c r="AD117" i="22" s="1"/>
  <c r="AG119" i="22"/>
  <c r="AF119" i="22" s="1"/>
  <c r="AD119" i="22" s="1"/>
  <c r="AG125" i="22"/>
  <c r="AF125" i="22" s="1"/>
  <c r="AD125" i="22" s="1"/>
  <c r="AG143" i="22"/>
  <c r="AF143" i="22" s="1"/>
  <c r="AD143" i="22" s="1"/>
  <c r="AG147" i="22"/>
  <c r="AF147" i="22" s="1"/>
  <c r="AD147" i="22" s="1"/>
  <c r="AG157" i="22"/>
  <c r="AF157" i="22" s="1"/>
  <c r="AD157" i="22" s="1"/>
  <c r="AG159" i="22"/>
  <c r="AF159" i="22" s="1"/>
  <c r="AD159" i="22" s="1"/>
  <c r="AG163" i="22"/>
  <c r="AF163" i="22" s="1"/>
  <c r="AD163" i="22" s="1"/>
  <c r="AG175" i="22"/>
  <c r="AF175" i="22" s="1"/>
  <c r="AD175" i="22" s="1"/>
  <c r="AG179" i="22"/>
  <c r="AF179" i="22" s="1"/>
  <c r="AD179" i="22" s="1"/>
  <c r="AG187" i="22"/>
  <c r="AF187" i="22" s="1"/>
  <c r="AD187" i="22" s="1"/>
  <c r="AG191" i="22"/>
  <c r="AF191" i="22" s="1"/>
  <c r="AD191" i="22" s="1"/>
  <c r="AG195" i="22"/>
  <c r="AF195" i="22" s="1"/>
  <c r="AD195" i="22" s="1"/>
  <c r="AG199" i="22"/>
  <c r="AF199" i="22" s="1"/>
  <c r="AD199" i="22" s="1"/>
  <c r="AG203" i="22"/>
  <c r="AF203" i="22" s="1"/>
  <c r="AD203" i="22" s="1"/>
  <c r="AG207" i="22"/>
  <c r="AF207" i="22" s="1"/>
  <c r="AD207" i="22" s="1"/>
  <c r="AG211" i="22"/>
  <c r="AF211" i="22" s="1"/>
  <c r="AD211" i="22" s="1"/>
  <c r="AG215" i="22"/>
  <c r="AF215" i="22" s="1"/>
  <c r="AD215" i="22" s="1"/>
  <c r="AG223" i="22"/>
  <c r="AF223" i="22" s="1"/>
  <c r="AD223" i="22" s="1"/>
  <c r="AG231" i="22"/>
  <c r="AF231" i="22" s="1"/>
  <c r="AD231" i="22" s="1"/>
  <c r="AG243" i="22"/>
  <c r="AF243" i="22" s="1"/>
  <c r="AD243" i="22" s="1"/>
  <c r="AG251" i="22"/>
  <c r="AF251" i="22" s="1"/>
  <c r="AD251" i="22" s="1"/>
  <c r="AG253" i="22"/>
  <c r="AF253" i="22" s="1"/>
  <c r="AD253" i="22" s="1"/>
  <c r="AG255" i="22"/>
  <c r="AF255" i="22" s="1"/>
  <c r="AD255" i="22" s="1"/>
  <c r="AG265" i="22"/>
  <c r="AF265" i="22" s="1"/>
  <c r="AD265" i="22" s="1"/>
  <c r="AG267" i="22"/>
  <c r="AF267" i="22" s="1"/>
  <c r="AD267" i="22" s="1"/>
  <c r="AG269" i="22"/>
  <c r="AF269" i="22" s="1"/>
  <c r="AD269" i="22" s="1"/>
  <c r="AG271" i="22"/>
  <c r="AF271" i="22" s="1"/>
  <c r="AD271" i="22" s="1"/>
  <c r="AG273" i="22"/>
  <c r="AF273" i="22" s="1"/>
  <c r="AD273" i="22" s="1"/>
  <c r="AG283" i="22"/>
  <c r="AF283" i="22" s="1"/>
  <c r="AD283" i="22" s="1"/>
  <c r="AG293" i="22"/>
  <c r="AF293" i="22" s="1"/>
  <c r="AD293" i="22" s="1"/>
  <c r="AG295" i="22"/>
  <c r="AF295" i="22" s="1"/>
  <c r="AD295" i="22" s="1"/>
  <c r="AG297" i="22"/>
  <c r="AF297" i="22" s="1"/>
  <c r="AD297" i="22" s="1"/>
  <c r="AG313" i="22"/>
  <c r="AF313" i="22" s="1"/>
  <c r="AD313" i="22" s="1"/>
  <c r="AG315" i="22"/>
  <c r="AF315" i="22" s="1"/>
  <c r="AD315" i="22" s="1"/>
  <c r="AG317" i="22"/>
  <c r="AF317" i="22" s="1"/>
  <c r="AD317" i="22" s="1"/>
  <c r="AG319" i="22"/>
  <c r="AF319" i="22" s="1"/>
  <c r="AD319" i="22" s="1"/>
  <c r="AG321" i="22"/>
  <c r="AF321" i="22" s="1"/>
  <c r="AD321" i="22" s="1"/>
  <c r="AG327" i="22"/>
  <c r="AF327" i="22" s="1"/>
  <c r="AD327" i="22" s="1"/>
  <c r="AG331" i="22"/>
  <c r="AF331" i="22" s="1"/>
  <c r="AD331" i="22" s="1"/>
  <c r="AG343" i="22"/>
  <c r="AF343" i="22" s="1"/>
  <c r="AD343" i="22" s="1"/>
  <c r="AG349" i="22"/>
  <c r="AF349" i="22" s="1"/>
  <c r="AD349" i="22" s="1"/>
  <c r="AG359" i="22"/>
  <c r="AF359" i="22" s="1"/>
  <c r="AD359" i="22" s="1"/>
  <c r="AG367" i="22"/>
  <c r="AF367" i="22" s="1"/>
  <c r="AD367" i="22" s="1"/>
  <c r="AG371" i="22"/>
  <c r="AF371" i="22" s="1"/>
  <c r="AD371" i="22" s="1"/>
  <c r="AG375" i="22"/>
  <c r="AF375" i="22" s="1"/>
  <c r="AD375" i="22" s="1"/>
  <c r="I333" i="18"/>
  <c r="B333" i="6" s="1"/>
  <c r="BA333" i="6" s="1"/>
  <c r="D333" i="6" s="1"/>
  <c r="J333" i="18"/>
  <c r="C333" i="6" s="1"/>
  <c r="D197" i="6"/>
  <c r="AA4" i="6"/>
  <c r="J380" i="20"/>
  <c r="I380" i="20"/>
  <c r="AA20" i="20"/>
  <c r="Z20" i="20" s="1"/>
  <c r="Y20" i="20" s="1"/>
  <c r="G20" i="20"/>
  <c r="CB20" i="6" s="1"/>
  <c r="H20" i="20"/>
  <c r="G24" i="20"/>
  <c r="CB24" i="6" s="1"/>
  <c r="H24" i="20"/>
  <c r="AA24" i="20"/>
  <c r="Z24" i="20" s="1"/>
  <c r="Y24" i="20" s="1"/>
  <c r="G40" i="20"/>
  <c r="CB40" i="6" s="1"/>
  <c r="H40" i="20"/>
  <c r="AA40" i="20"/>
  <c r="Z40" i="20" s="1"/>
  <c r="Y40" i="20" s="1"/>
  <c r="AA44" i="20"/>
  <c r="Z44" i="20" s="1"/>
  <c r="Y44" i="20" s="1"/>
  <c r="H44" i="20"/>
  <c r="G44" i="20"/>
  <c r="CB44" i="6" s="1"/>
  <c r="AA48" i="20"/>
  <c r="Z48" i="20" s="1"/>
  <c r="Y48" i="20" s="1"/>
  <c r="G48" i="20"/>
  <c r="CB48" i="6" s="1"/>
  <c r="H48" i="20"/>
  <c r="G56" i="20"/>
  <c r="CB56" i="6" s="1"/>
  <c r="H56" i="20"/>
  <c r="AA56" i="20"/>
  <c r="Z56" i="20" s="1"/>
  <c r="Y56" i="20" s="1"/>
  <c r="AA64" i="20"/>
  <c r="Z64" i="20" s="1"/>
  <c r="Y64" i="20" s="1"/>
  <c r="H64" i="20"/>
  <c r="G64" i="20"/>
  <c r="CB64" i="6" s="1"/>
  <c r="G72" i="20"/>
  <c r="CB72" i="6" s="1"/>
  <c r="AA72" i="20"/>
  <c r="Z72" i="20" s="1"/>
  <c r="Y72" i="20" s="1"/>
  <c r="H72" i="20"/>
  <c r="AA76" i="20"/>
  <c r="Z76" i="20" s="1"/>
  <c r="Y76" i="20" s="1"/>
  <c r="H76" i="20"/>
  <c r="G76" i="20"/>
  <c r="CB76" i="6" s="1"/>
  <c r="AA84" i="20"/>
  <c r="Z84" i="20" s="1"/>
  <c r="Y84" i="20" s="1"/>
  <c r="H84" i="20"/>
  <c r="G84" i="20"/>
  <c r="CB84" i="6" s="1"/>
  <c r="AA96" i="20"/>
  <c r="Z96" i="20" s="1"/>
  <c r="Y96" i="20" s="1"/>
  <c r="G96" i="20"/>
  <c r="CB96" i="6" s="1"/>
  <c r="H96" i="20"/>
  <c r="G100" i="20"/>
  <c r="CB100" i="6" s="1"/>
  <c r="AA100" i="20"/>
  <c r="Z100" i="20" s="1"/>
  <c r="Y100" i="20" s="1"/>
  <c r="H100" i="20"/>
  <c r="H104" i="20"/>
  <c r="G104" i="20"/>
  <c r="CB104" i="6" s="1"/>
  <c r="G108" i="20"/>
  <c r="CB108" i="6" s="1"/>
  <c r="AA108" i="20"/>
  <c r="Z108" i="20" s="1"/>
  <c r="Y108" i="20" s="1"/>
  <c r="H108" i="20"/>
  <c r="AA112" i="20"/>
  <c r="Z112" i="20" s="1"/>
  <c r="Y112" i="20" s="1"/>
  <c r="H112" i="20"/>
  <c r="G112" i="20"/>
  <c r="CB112" i="6" s="1"/>
  <c r="G120" i="20"/>
  <c r="CB120" i="6" s="1"/>
  <c r="AA120" i="20"/>
  <c r="Z120" i="20" s="1"/>
  <c r="Y120" i="20" s="1"/>
  <c r="H120" i="20"/>
  <c r="G128" i="20"/>
  <c r="CB128" i="6" s="1"/>
  <c r="AA128" i="20"/>
  <c r="Z128" i="20" s="1"/>
  <c r="Y128" i="20" s="1"/>
  <c r="H128" i="20"/>
  <c r="G132" i="20"/>
  <c r="CB132" i="6" s="1"/>
  <c r="H132" i="20"/>
  <c r="AA132" i="20"/>
  <c r="Z132" i="20" s="1"/>
  <c r="Y132" i="20" s="1"/>
  <c r="G140" i="20"/>
  <c r="CB140" i="6" s="1"/>
  <c r="H140" i="20"/>
  <c r="AA140" i="20"/>
  <c r="Z140" i="20" s="1"/>
  <c r="Y140" i="20" s="1"/>
  <c r="AA148" i="20"/>
  <c r="Z148" i="20" s="1"/>
  <c r="Y148" i="20" s="1"/>
  <c r="G148" i="20"/>
  <c r="CB148" i="6" s="1"/>
  <c r="H148" i="20"/>
  <c r="G152" i="20"/>
  <c r="CB152" i="6" s="1"/>
  <c r="H152" i="20"/>
  <c r="AA152" i="20"/>
  <c r="Z152" i="20" s="1"/>
  <c r="Y152" i="20" s="1"/>
  <c r="G156" i="20"/>
  <c r="CB156" i="6" s="1"/>
  <c r="AA156" i="20"/>
  <c r="Z156" i="20" s="1"/>
  <c r="Y156" i="20" s="1"/>
  <c r="H156" i="20"/>
  <c r="G164" i="20"/>
  <c r="CB164" i="6" s="1"/>
  <c r="AA164" i="20"/>
  <c r="Z164" i="20" s="1"/>
  <c r="Y164" i="20" s="1"/>
  <c r="H164" i="20"/>
  <c r="G176" i="20"/>
  <c r="CB176" i="6" s="1"/>
  <c r="AA176" i="20"/>
  <c r="Z176" i="20" s="1"/>
  <c r="Y176" i="20" s="1"/>
  <c r="H176" i="20"/>
  <c r="AA184" i="20"/>
  <c r="Z184" i="20" s="1"/>
  <c r="Y184" i="20" s="1"/>
  <c r="H184" i="20"/>
  <c r="G184" i="20"/>
  <c r="CB184" i="6" s="1"/>
  <c r="G192" i="20"/>
  <c r="CB192" i="6" s="1"/>
  <c r="AA192" i="20"/>
  <c r="Z192" i="20" s="1"/>
  <c r="Y192" i="20" s="1"/>
  <c r="H192" i="20"/>
  <c r="D196" i="20"/>
  <c r="E196" i="20" s="1"/>
  <c r="F196" i="20" s="1"/>
  <c r="W196" i="20"/>
  <c r="G204" i="20"/>
  <c r="CB204" i="6" s="1"/>
  <c r="AA204" i="20"/>
  <c r="Z204" i="20" s="1"/>
  <c r="Y204" i="20" s="1"/>
  <c r="H204" i="20"/>
  <c r="H208" i="20"/>
  <c r="AA208" i="20"/>
  <c r="Z208" i="20" s="1"/>
  <c r="Y208" i="20" s="1"/>
  <c r="G208" i="20"/>
  <c r="CB208" i="6" s="1"/>
  <c r="H212" i="20"/>
  <c r="G212" i="20"/>
  <c r="CB212" i="6" s="1"/>
  <c r="AA212" i="20"/>
  <c r="Z212" i="20" s="1"/>
  <c r="Y212" i="20" s="1"/>
  <c r="AA224" i="20"/>
  <c r="Z224" i="20" s="1"/>
  <c r="Y224" i="20" s="1"/>
  <c r="G224" i="20"/>
  <c r="CB224" i="6" s="1"/>
  <c r="H224" i="20"/>
  <c r="AA236" i="20"/>
  <c r="Z236" i="20" s="1"/>
  <c r="Y236" i="20" s="1"/>
  <c r="G236" i="20"/>
  <c r="CB236" i="6" s="1"/>
  <c r="H236" i="20"/>
  <c r="G248" i="20"/>
  <c r="CB248" i="6" s="1"/>
  <c r="AA248" i="20"/>
  <c r="Z248" i="20" s="1"/>
  <c r="Y248" i="20" s="1"/>
  <c r="H248" i="20"/>
  <c r="AA256" i="20"/>
  <c r="Z256" i="20" s="1"/>
  <c r="Y256" i="20" s="1"/>
  <c r="G256" i="20"/>
  <c r="CB256" i="6" s="1"/>
  <c r="H256" i="20"/>
  <c r="H260" i="20"/>
  <c r="G260" i="20"/>
  <c r="CB260" i="6" s="1"/>
  <c r="AA260" i="20"/>
  <c r="Z260" i="20" s="1"/>
  <c r="Y260" i="20" s="1"/>
  <c r="G280" i="20"/>
  <c r="CB280" i="6" s="1"/>
  <c r="AA280" i="20"/>
  <c r="Z280" i="20" s="1"/>
  <c r="Y280" i="20" s="1"/>
  <c r="H280" i="20"/>
  <c r="W288" i="20"/>
  <c r="D288" i="20"/>
  <c r="E288" i="20" s="1"/>
  <c r="F288" i="20" s="1"/>
  <c r="AA292" i="20"/>
  <c r="Z292" i="20" s="1"/>
  <c r="Y292" i="20" s="1"/>
  <c r="G292" i="20"/>
  <c r="CB292" i="6" s="1"/>
  <c r="H292" i="20"/>
  <c r="H316" i="20"/>
  <c r="AA316" i="20"/>
  <c r="Z316" i="20" s="1"/>
  <c r="Y316" i="20" s="1"/>
  <c r="G316" i="20"/>
  <c r="CB316" i="6" s="1"/>
  <c r="H328" i="20"/>
  <c r="AA328" i="20"/>
  <c r="Z328" i="20" s="1"/>
  <c r="Y328" i="20" s="1"/>
  <c r="G328" i="20"/>
  <c r="CB328" i="6" s="1"/>
  <c r="G332" i="20"/>
  <c r="CB332" i="6" s="1"/>
  <c r="AA332" i="20"/>
  <c r="Z332" i="20" s="1"/>
  <c r="Y332" i="20" s="1"/>
  <c r="H332" i="20"/>
  <c r="AA336" i="20"/>
  <c r="Z336" i="20" s="1"/>
  <c r="Y336" i="20" s="1"/>
  <c r="G336" i="20"/>
  <c r="CB336" i="6" s="1"/>
  <c r="H336" i="20"/>
  <c r="AA340" i="20"/>
  <c r="Z340" i="20" s="1"/>
  <c r="Y340" i="20" s="1"/>
  <c r="G340" i="20"/>
  <c r="CB340" i="6" s="1"/>
  <c r="H340" i="20"/>
  <c r="H344" i="20"/>
  <c r="AA344" i="20"/>
  <c r="Z344" i="20" s="1"/>
  <c r="Y344" i="20" s="1"/>
  <c r="G344" i="20"/>
  <c r="CB344" i="6" s="1"/>
  <c r="AA348" i="20"/>
  <c r="Z348" i="20" s="1"/>
  <c r="Y348" i="20" s="1"/>
  <c r="G348" i="20"/>
  <c r="CB348" i="6" s="1"/>
  <c r="H348" i="20"/>
  <c r="H352" i="20"/>
  <c r="G352" i="20"/>
  <c r="CB352" i="6" s="1"/>
  <c r="AA352" i="20"/>
  <c r="Z352" i="20" s="1"/>
  <c r="Y352" i="20" s="1"/>
  <c r="G372" i="20"/>
  <c r="CB372" i="6" s="1"/>
  <c r="AA372" i="20"/>
  <c r="Z372" i="20" s="1"/>
  <c r="Y372" i="20" s="1"/>
  <c r="H372" i="20"/>
  <c r="AA376" i="20"/>
  <c r="Z376" i="20" s="1"/>
  <c r="Y376" i="20" s="1"/>
  <c r="H376" i="20"/>
  <c r="G376" i="20"/>
  <c r="CB376" i="6" s="1"/>
  <c r="G17" i="20"/>
  <c r="CB17" i="6" s="1"/>
  <c r="AA17" i="20"/>
  <c r="Z17" i="20" s="1"/>
  <c r="Y17" i="20" s="1"/>
  <c r="H17" i="20"/>
  <c r="AA21" i="20"/>
  <c r="Z21" i="20" s="1"/>
  <c r="Y21" i="20" s="1"/>
  <c r="G21" i="20"/>
  <c r="CB21" i="6" s="1"/>
  <c r="H21" i="20"/>
  <c r="G25" i="20"/>
  <c r="CB25" i="6" s="1"/>
  <c r="AA25" i="20"/>
  <c r="Z25" i="20" s="1"/>
  <c r="Y25" i="20" s="1"/>
  <c r="H25" i="20"/>
  <c r="AA49" i="20"/>
  <c r="Z49" i="20" s="1"/>
  <c r="Y49" i="20" s="1"/>
  <c r="H49" i="20"/>
  <c r="G49" i="20"/>
  <c r="CB49" i="6" s="1"/>
  <c r="AA77" i="20"/>
  <c r="Z77" i="20" s="1"/>
  <c r="Y77" i="20" s="1"/>
  <c r="G77" i="20"/>
  <c r="CB77" i="6" s="1"/>
  <c r="H77" i="20"/>
  <c r="AA93" i="20"/>
  <c r="Z93" i="20" s="1"/>
  <c r="Y93" i="20" s="1"/>
  <c r="G93" i="20"/>
  <c r="CB93" i="6" s="1"/>
  <c r="H93" i="20"/>
  <c r="G101" i="20"/>
  <c r="CB101" i="6" s="1"/>
  <c r="H101" i="20"/>
  <c r="AA101" i="20"/>
  <c r="Z101" i="20" s="1"/>
  <c r="Y101" i="20" s="1"/>
  <c r="D105" i="20"/>
  <c r="E105" i="20" s="1"/>
  <c r="F105" i="20" s="1"/>
  <c r="W105" i="20"/>
  <c r="G109" i="20"/>
  <c r="CB109" i="6" s="1"/>
  <c r="H109" i="20"/>
  <c r="AA109" i="20"/>
  <c r="Z109" i="20" s="1"/>
  <c r="Y109" i="20" s="1"/>
  <c r="G117" i="20"/>
  <c r="CB117" i="6" s="1"/>
  <c r="AA117" i="20"/>
  <c r="Z117" i="20" s="1"/>
  <c r="Y117" i="20" s="1"/>
  <c r="H117" i="20"/>
  <c r="AA141" i="20"/>
  <c r="Z141" i="20" s="1"/>
  <c r="Y141" i="20" s="1"/>
  <c r="H141" i="20"/>
  <c r="G141" i="20"/>
  <c r="CB141" i="6" s="1"/>
  <c r="AA153" i="20"/>
  <c r="Z153" i="20" s="1"/>
  <c r="Y153" i="20" s="1"/>
  <c r="H153" i="20"/>
  <c r="G153" i="20"/>
  <c r="CB153" i="6" s="1"/>
  <c r="G161" i="20"/>
  <c r="CB161" i="6" s="1"/>
  <c r="H161" i="20"/>
  <c r="AA161" i="20"/>
  <c r="Z161" i="20" s="1"/>
  <c r="Y161" i="20" s="1"/>
  <c r="AA169" i="20"/>
  <c r="Z169" i="20" s="1"/>
  <c r="Y169" i="20" s="1"/>
  <c r="G169" i="20"/>
  <c r="CB169" i="6" s="1"/>
  <c r="H169" i="20"/>
  <c r="AA177" i="20"/>
  <c r="Z177" i="20" s="1"/>
  <c r="Y177" i="20" s="1"/>
  <c r="G177" i="20"/>
  <c r="CB177" i="6" s="1"/>
  <c r="H177" i="20"/>
  <c r="AA181" i="20"/>
  <c r="Z181" i="20" s="1"/>
  <c r="Y181" i="20" s="1"/>
  <c r="G181" i="20"/>
  <c r="CB181" i="6" s="1"/>
  <c r="H181" i="20"/>
  <c r="AA185" i="20"/>
  <c r="Z185" i="20" s="1"/>
  <c r="Y185" i="20" s="1"/>
  <c r="H185" i="20"/>
  <c r="G185" i="20"/>
  <c r="CB185" i="6" s="1"/>
  <c r="AA201" i="20"/>
  <c r="Z201" i="20" s="1"/>
  <c r="Y201" i="20" s="1"/>
  <c r="G201" i="20"/>
  <c r="CB201" i="6" s="1"/>
  <c r="H201" i="20"/>
  <c r="H217" i="20"/>
  <c r="AA217" i="20"/>
  <c r="Z217" i="20" s="1"/>
  <c r="Y217" i="20" s="1"/>
  <c r="G217" i="20"/>
  <c r="CB217" i="6" s="1"/>
  <c r="H229" i="20"/>
  <c r="AA229" i="20"/>
  <c r="Z229" i="20" s="1"/>
  <c r="Y229" i="20" s="1"/>
  <c r="G229" i="20"/>
  <c r="CB229" i="6" s="1"/>
  <c r="H233" i="20"/>
  <c r="AA233" i="20"/>
  <c r="Z233" i="20" s="1"/>
  <c r="Y233" i="20" s="1"/>
  <c r="G233" i="20"/>
  <c r="CB233" i="6" s="1"/>
  <c r="G237" i="20"/>
  <c r="CB237" i="6" s="1"/>
  <c r="AA237" i="20"/>
  <c r="Z237" i="20" s="1"/>
  <c r="Y237" i="20" s="1"/>
  <c r="H237" i="20"/>
  <c r="H245" i="20"/>
  <c r="AA245" i="20"/>
  <c r="Z245" i="20" s="1"/>
  <c r="Y245" i="20" s="1"/>
  <c r="G245" i="20"/>
  <c r="CB245" i="6" s="1"/>
  <c r="G249" i="20"/>
  <c r="CB249" i="6" s="1"/>
  <c r="H249" i="20"/>
  <c r="AA249" i="20"/>
  <c r="Z249" i="20" s="1"/>
  <c r="Y249" i="20" s="1"/>
  <c r="G253" i="20"/>
  <c r="CB253" i="6" s="1"/>
  <c r="H253" i="20"/>
  <c r="AA253" i="20"/>
  <c r="Z253" i="20" s="1"/>
  <c r="Y253" i="20" s="1"/>
  <c r="G257" i="20"/>
  <c r="CB257" i="6" s="1"/>
  <c r="AA257" i="20"/>
  <c r="Z257" i="20" s="1"/>
  <c r="Y257" i="20" s="1"/>
  <c r="H257" i="20"/>
  <c r="G261" i="20"/>
  <c r="CB261" i="6" s="1"/>
  <c r="H261" i="20"/>
  <c r="AA261" i="20"/>
  <c r="Z261" i="20" s="1"/>
  <c r="Y261" i="20" s="1"/>
  <c r="AA265" i="20"/>
  <c r="Z265" i="20" s="1"/>
  <c r="Y265" i="20" s="1"/>
  <c r="G265" i="20"/>
  <c r="CB265" i="6" s="1"/>
  <c r="H265" i="20"/>
  <c r="H277" i="20"/>
  <c r="G277" i="20"/>
  <c r="CB277" i="6" s="1"/>
  <c r="AA277" i="20"/>
  <c r="Z277" i="20" s="1"/>
  <c r="Y277" i="20" s="1"/>
  <c r="H301" i="20"/>
  <c r="G301" i="20"/>
  <c r="CB301" i="6" s="1"/>
  <c r="AA301" i="20"/>
  <c r="Z301" i="20" s="1"/>
  <c r="Y301" i="20" s="1"/>
  <c r="H309" i="20"/>
  <c r="AA309" i="20"/>
  <c r="Z309" i="20" s="1"/>
  <c r="Y309" i="20" s="1"/>
  <c r="G309" i="20"/>
  <c r="CB309" i="6" s="1"/>
  <c r="G325" i="20"/>
  <c r="CB325" i="6" s="1"/>
  <c r="AA325" i="20"/>
  <c r="Z325" i="20" s="1"/>
  <c r="Y325" i="20" s="1"/>
  <c r="H325" i="20"/>
  <c r="H337" i="20"/>
  <c r="G337" i="20"/>
  <c r="CB337" i="6" s="1"/>
  <c r="AA337" i="20"/>
  <c r="Z337" i="20" s="1"/>
  <c r="Y337" i="20" s="1"/>
  <c r="G345" i="20"/>
  <c r="CB345" i="6" s="1"/>
  <c r="AA345" i="20"/>
  <c r="Z345" i="20" s="1"/>
  <c r="Y345" i="20" s="1"/>
  <c r="H345" i="20"/>
  <c r="G365" i="20"/>
  <c r="CB365" i="6" s="1"/>
  <c r="H365" i="20"/>
  <c r="AA365" i="20"/>
  <c r="Z365" i="20" s="1"/>
  <c r="Y365" i="20" s="1"/>
  <c r="AA369" i="20"/>
  <c r="Z369" i="20" s="1"/>
  <c r="Y369" i="20" s="1"/>
  <c r="H369" i="20"/>
  <c r="G369" i="20"/>
  <c r="CB369" i="6" s="1"/>
  <c r="G18" i="20"/>
  <c r="CB18" i="6" s="1"/>
  <c r="AA18" i="20"/>
  <c r="Z18" i="20" s="1"/>
  <c r="Y18" i="20" s="1"/>
  <c r="H18" i="20"/>
  <c r="G34" i="20"/>
  <c r="CB34" i="6" s="1"/>
  <c r="AA34" i="20"/>
  <c r="Z34" i="20" s="1"/>
  <c r="Y34" i="20" s="1"/>
  <c r="H34" i="20"/>
  <c r="G38" i="20"/>
  <c r="CB38" i="6" s="1"/>
  <c r="AA38" i="20"/>
  <c r="Z38" i="20" s="1"/>
  <c r="Y38" i="20" s="1"/>
  <c r="H38" i="20"/>
  <c r="W46" i="20"/>
  <c r="D46" i="20"/>
  <c r="E46" i="20" s="1"/>
  <c r="F46" i="20" s="1"/>
  <c r="AA50" i="20"/>
  <c r="Z50" i="20" s="1"/>
  <c r="Y50" i="20" s="1"/>
  <c r="H50" i="20"/>
  <c r="G50" i="20"/>
  <c r="CB50" i="6" s="1"/>
  <c r="G54" i="20"/>
  <c r="CB54" i="6" s="1"/>
  <c r="AA54" i="20"/>
  <c r="Z54" i="20" s="1"/>
  <c r="Y54" i="20" s="1"/>
  <c r="H54" i="20"/>
  <c r="G66" i="20"/>
  <c r="CB66" i="6" s="1"/>
  <c r="H66" i="20"/>
  <c r="AA66" i="20"/>
  <c r="Z66" i="20" s="1"/>
  <c r="Y66" i="20" s="1"/>
  <c r="G70" i="20"/>
  <c r="CB70" i="6" s="1"/>
  <c r="AA70" i="20"/>
  <c r="Z70" i="20" s="1"/>
  <c r="Y70" i="20" s="1"/>
  <c r="H70" i="20"/>
  <c r="D66" i="19"/>
  <c r="AA82" i="20"/>
  <c r="Z82" i="20" s="1"/>
  <c r="Y82" i="20" s="1"/>
  <c r="H82" i="20"/>
  <c r="G82" i="20"/>
  <c r="CB82" i="6" s="1"/>
  <c r="AA86" i="20"/>
  <c r="Z86" i="20" s="1"/>
  <c r="Y86" i="20" s="1"/>
  <c r="H86" i="20"/>
  <c r="G86" i="20"/>
  <c r="CB86" i="6" s="1"/>
  <c r="AA90" i="20"/>
  <c r="Z90" i="20" s="1"/>
  <c r="Y90" i="20" s="1"/>
  <c r="G90" i="20"/>
  <c r="CB90" i="6" s="1"/>
  <c r="H90" i="20"/>
  <c r="AA94" i="20"/>
  <c r="Z94" i="20" s="1"/>
  <c r="Y94" i="20" s="1"/>
  <c r="H94" i="20"/>
  <c r="G94" i="20"/>
  <c r="CB94" i="6" s="1"/>
  <c r="G98" i="20"/>
  <c r="CB98" i="6" s="1"/>
  <c r="H98" i="20"/>
  <c r="AA98" i="20"/>
  <c r="Z98" i="20" s="1"/>
  <c r="Y98" i="20" s="1"/>
  <c r="AA102" i="20"/>
  <c r="Z102" i="20" s="1"/>
  <c r="Y102" i="20" s="1"/>
  <c r="H102" i="20"/>
  <c r="G102" i="20"/>
  <c r="CB102" i="6" s="1"/>
  <c r="AA110" i="20"/>
  <c r="Z110" i="20" s="1"/>
  <c r="Y110" i="20" s="1"/>
  <c r="H110" i="20"/>
  <c r="G110" i="20"/>
  <c r="CB110" i="6" s="1"/>
  <c r="G114" i="20"/>
  <c r="CB114" i="6" s="1"/>
  <c r="H114" i="20"/>
  <c r="AA114" i="20"/>
  <c r="Z114" i="20" s="1"/>
  <c r="Y114" i="20" s="1"/>
  <c r="G118" i="20"/>
  <c r="CB118" i="6" s="1"/>
  <c r="H118" i="20"/>
  <c r="AA118" i="20"/>
  <c r="Z118" i="20" s="1"/>
  <c r="Y118" i="20" s="1"/>
  <c r="G122" i="20"/>
  <c r="CB122" i="6" s="1"/>
  <c r="H122" i="20"/>
  <c r="AA122" i="20"/>
  <c r="Z122" i="20" s="1"/>
  <c r="Y122" i="20" s="1"/>
  <c r="G134" i="20"/>
  <c r="CB134" i="6" s="1"/>
  <c r="AA134" i="20"/>
  <c r="Z134" i="20" s="1"/>
  <c r="Y134" i="20" s="1"/>
  <c r="H134" i="20"/>
  <c r="G138" i="20"/>
  <c r="CB138" i="6" s="1"/>
  <c r="H138" i="20"/>
  <c r="AA138" i="20"/>
  <c r="Z138" i="20" s="1"/>
  <c r="Y138" i="20" s="1"/>
  <c r="G150" i="20"/>
  <c r="CB150" i="6" s="1"/>
  <c r="AA150" i="20"/>
  <c r="Z150" i="20" s="1"/>
  <c r="Y150" i="20" s="1"/>
  <c r="H150" i="20"/>
  <c r="G162" i="20"/>
  <c r="CB162" i="6" s="1"/>
  <c r="AA162" i="20"/>
  <c r="Z162" i="20" s="1"/>
  <c r="Y162" i="20" s="1"/>
  <c r="H162" i="20"/>
  <c r="D166" i="20"/>
  <c r="E166" i="20" s="1"/>
  <c r="F166" i="20" s="1"/>
  <c r="W166" i="20"/>
  <c r="G170" i="20"/>
  <c r="CB170" i="6" s="1"/>
  <c r="AA170" i="20"/>
  <c r="Z170" i="20" s="1"/>
  <c r="Y170" i="20" s="1"/>
  <c r="H170" i="20"/>
  <c r="H190" i="20"/>
  <c r="AA190" i="20"/>
  <c r="Z190" i="20" s="1"/>
  <c r="Y190" i="20" s="1"/>
  <c r="G190" i="20"/>
  <c r="CB190" i="6" s="1"/>
  <c r="G194" i="20"/>
  <c r="CB194" i="6" s="1"/>
  <c r="AA194" i="20"/>
  <c r="Z194" i="20" s="1"/>
  <c r="Y194" i="20" s="1"/>
  <c r="H194" i="20"/>
  <c r="G226" i="20"/>
  <c r="CB226" i="6" s="1"/>
  <c r="AA226" i="20"/>
  <c r="Z226" i="20" s="1"/>
  <c r="Y226" i="20" s="1"/>
  <c r="H226" i="20"/>
  <c r="H230" i="20"/>
  <c r="G230" i="20"/>
  <c r="CB230" i="6" s="1"/>
  <c r="AA230" i="20"/>
  <c r="Z230" i="20" s="1"/>
  <c r="Y230" i="20" s="1"/>
  <c r="H234" i="20"/>
  <c r="G234" i="20"/>
  <c r="CB234" i="6" s="1"/>
  <c r="AA234" i="20"/>
  <c r="Z234" i="20" s="1"/>
  <c r="Y234" i="20" s="1"/>
  <c r="H238" i="20"/>
  <c r="AA238" i="20"/>
  <c r="Z238" i="20" s="1"/>
  <c r="Y238" i="20" s="1"/>
  <c r="G238" i="20"/>
  <c r="CB238" i="6" s="1"/>
  <c r="AA250" i="20"/>
  <c r="Z250" i="20" s="1"/>
  <c r="Y250" i="20" s="1"/>
  <c r="G250" i="20"/>
  <c r="CB250" i="6" s="1"/>
  <c r="H250" i="20"/>
  <c r="G254" i="20"/>
  <c r="CB254" i="6" s="1"/>
  <c r="AA254" i="20"/>
  <c r="Z254" i="20" s="1"/>
  <c r="Y254" i="20" s="1"/>
  <c r="H254" i="20"/>
  <c r="J66" i="19"/>
  <c r="G274" i="20"/>
  <c r="CB274" i="6" s="1"/>
  <c r="AA274" i="20"/>
  <c r="Z274" i="20" s="1"/>
  <c r="Y274" i="20" s="1"/>
  <c r="H274" i="20"/>
  <c r="H286" i="20"/>
  <c r="G286" i="20"/>
  <c r="CB286" i="6" s="1"/>
  <c r="AA286" i="20"/>
  <c r="Z286" i="20" s="1"/>
  <c r="Y286" i="20" s="1"/>
  <c r="H290" i="20"/>
  <c r="AA290" i="20"/>
  <c r="Z290" i="20" s="1"/>
  <c r="Y290" i="20" s="1"/>
  <c r="G290" i="20"/>
  <c r="CB290" i="6" s="1"/>
  <c r="H294" i="20"/>
  <c r="AA294" i="20"/>
  <c r="Z294" i="20" s="1"/>
  <c r="Y294" i="20" s="1"/>
  <c r="G294" i="20"/>
  <c r="CB294" i="6" s="1"/>
  <c r="G298" i="20"/>
  <c r="CB298" i="6" s="1"/>
  <c r="AA298" i="20"/>
  <c r="Z298" i="20" s="1"/>
  <c r="Y298" i="20" s="1"/>
  <c r="H298" i="20"/>
  <c r="H310" i="20"/>
  <c r="AA310" i="20"/>
  <c r="Z310" i="20" s="1"/>
  <c r="Y310" i="20" s="1"/>
  <c r="G310" i="20"/>
  <c r="CB310" i="6" s="1"/>
  <c r="G326" i="20"/>
  <c r="CB326" i="6" s="1"/>
  <c r="AA326" i="20"/>
  <c r="Z326" i="20" s="1"/>
  <c r="Y326" i="20" s="1"/>
  <c r="H326" i="20"/>
  <c r="AA330" i="20"/>
  <c r="Z330" i="20" s="1"/>
  <c r="Y330" i="20" s="1"/>
  <c r="G330" i="20"/>
  <c r="CB330" i="6" s="1"/>
  <c r="H330" i="20"/>
  <c r="AA358" i="20"/>
  <c r="Z358" i="20" s="1"/>
  <c r="Y358" i="20" s="1"/>
  <c r="H358" i="20"/>
  <c r="G358" i="20"/>
  <c r="CB358" i="6" s="1"/>
  <c r="AA362" i="20"/>
  <c r="Z362" i="20" s="1"/>
  <c r="Y362" i="20" s="1"/>
  <c r="H362" i="20"/>
  <c r="G362" i="20"/>
  <c r="CB362" i="6" s="1"/>
  <c r="G370" i="20"/>
  <c r="CB370" i="6" s="1"/>
  <c r="H370" i="20"/>
  <c r="AA370" i="20"/>
  <c r="Z370" i="20" s="1"/>
  <c r="Y370" i="20" s="1"/>
  <c r="AA19" i="20"/>
  <c r="Z19" i="20" s="1"/>
  <c r="Y19" i="20" s="1"/>
  <c r="G19" i="20"/>
  <c r="CB19" i="6" s="1"/>
  <c r="H19" i="20"/>
  <c r="AA23" i="20"/>
  <c r="Z23" i="20" s="1"/>
  <c r="Y23" i="20" s="1"/>
  <c r="G23" i="20"/>
  <c r="CB23" i="6" s="1"/>
  <c r="H23" i="20"/>
  <c r="G27" i="20"/>
  <c r="CB27" i="6" s="1"/>
  <c r="H27" i="20"/>
  <c r="AA27" i="20"/>
  <c r="Z27" i="20" s="1"/>
  <c r="Y27" i="20" s="1"/>
  <c r="AA35" i="20"/>
  <c r="Z35" i="20" s="1"/>
  <c r="Y35" i="20" s="1"/>
  <c r="H35" i="20"/>
  <c r="G35" i="20"/>
  <c r="CB35" i="6" s="1"/>
  <c r="AA39" i="20"/>
  <c r="Z39" i="20" s="1"/>
  <c r="Y39" i="20" s="1"/>
  <c r="H39" i="20"/>
  <c r="G39" i="20"/>
  <c r="CB39" i="6" s="1"/>
  <c r="G47" i="20"/>
  <c r="CB47" i="6" s="1"/>
  <c r="H47" i="20"/>
  <c r="AA47" i="20"/>
  <c r="Z47" i="20" s="1"/>
  <c r="Y47" i="20" s="1"/>
  <c r="AA51" i="20"/>
  <c r="Z51" i="20" s="1"/>
  <c r="Y51" i="20" s="1"/>
  <c r="H51" i="20"/>
  <c r="G51" i="20"/>
  <c r="CB51" i="6" s="1"/>
  <c r="G71" i="20"/>
  <c r="CB71" i="6" s="1"/>
  <c r="AA71" i="20"/>
  <c r="Z71" i="20" s="1"/>
  <c r="Y71" i="20" s="1"/>
  <c r="H71" i="20"/>
  <c r="AA75" i="20"/>
  <c r="Z75" i="20" s="1"/>
  <c r="Y75" i="20" s="1"/>
  <c r="H75" i="20"/>
  <c r="G75" i="20"/>
  <c r="CB75" i="6" s="1"/>
  <c r="AA83" i="20"/>
  <c r="Z83" i="20" s="1"/>
  <c r="Y83" i="20" s="1"/>
  <c r="H83" i="20"/>
  <c r="G83" i="20"/>
  <c r="CB83" i="6" s="1"/>
  <c r="G87" i="20"/>
  <c r="CB87" i="6" s="1"/>
  <c r="H87" i="20"/>
  <c r="AA87" i="20"/>
  <c r="Z87" i="20" s="1"/>
  <c r="Y87" i="20" s="1"/>
  <c r="G91" i="20"/>
  <c r="CB91" i="6" s="1"/>
  <c r="AA91" i="20"/>
  <c r="Z91" i="20" s="1"/>
  <c r="Y91" i="20" s="1"/>
  <c r="H91" i="20"/>
  <c r="G95" i="20"/>
  <c r="CB95" i="6" s="1"/>
  <c r="H95" i="20"/>
  <c r="AA95" i="20"/>
  <c r="Z95" i="20" s="1"/>
  <c r="Y95" i="20" s="1"/>
  <c r="G99" i="20"/>
  <c r="CB99" i="6" s="1"/>
  <c r="AA99" i="20"/>
  <c r="Z99" i="20" s="1"/>
  <c r="Y99" i="20" s="1"/>
  <c r="H99" i="20"/>
  <c r="AA103" i="20"/>
  <c r="Z103" i="20" s="1"/>
  <c r="Y103" i="20" s="1"/>
  <c r="H103" i="20"/>
  <c r="G103" i="20"/>
  <c r="CB103" i="6" s="1"/>
  <c r="AA111" i="20"/>
  <c r="Z111" i="20" s="1"/>
  <c r="Y111" i="20" s="1"/>
  <c r="G111" i="20"/>
  <c r="CB111" i="6" s="1"/>
  <c r="H111" i="20"/>
  <c r="AA115" i="20"/>
  <c r="Z115" i="20" s="1"/>
  <c r="Y115" i="20" s="1"/>
  <c r="G115" i="20"/>
  <c r="CB115" i="6" s="1"/>
  <c r="H115" i="20"/>
  <c r="AA123" i="20"/>
  <c r="Z123" i="20" s="1"/>
  <c r="Y123" i="20" s="1"/>
  <c r="H123" i="20"/>
  <c r="G123" i="20"/>
  <c r="CB123" i="6" s="1"/>
  <c r="F66" i="19"/>
  <c r="AA139" i="20"/>
  <c r="Z139" i="20" s="1"/>
  <c r="Y139" i="20" s="1"/>
  <c r="H139" i="20"/>
  <c r="G139" i="20"/>
  <c r="CB139" i="6" s="1"/>
  <c r="G155" i="20"/>
  <c r="CB155" i="6" s="1"/>
  <c r="H155" i="20"/>
  <c r="AA155" i="20"/>
  <c r="Z155" i="20" s="1"/>
  <c r="Y155" i="20" s="1"/>
  <c r="G171" i="20"/>
  <c r="CB171" i="6" s="1"/>
  <c r="H171" i="20"/>
  <c r="AA171" i="20"/>
  <c r="Z171" i="20" s="1"/>
  <c r="Y171" i="20" s="1"/>
  <c r="H191" i="20"/>
  <c r="AA191" i="20"/>
  <c r="Z191" i="20" s="1"/>
  <c r="Y191" i="20" s="1"/>
  <c r="G191" i="20"/>
  <c r="CB191" i="6" s="1"/>
  <c r="I66" i="19"/>
  <c r="G235" i="20"/>
  <c r="CB235" i="6" s="1"/>
  <c r="AA235" i="20"/>
  <c r="Z235" i="20" s="1"/>
  <c r="Y235" i="20" s="1"/>
  <c r="H235" i="20"/>
  <c r="G243" i="20"/>
  <c r="CB243" i="6" s="1"/>
  <c r="AA243" i="20"/>
  <c r="Z243" i="20" s="1"/>
  <c r="Y243" i="20" s="1"/>
  <c r="H243" i="20"/>
  <c r="AA251" i="20"/>
  <c r="Z251" i="20" s="1"/>
  <c r="Y251" i="20" s="1"/>
  <c r="H251" i="20"/>
  <c r="G251" i="20"/>
  <c r="CB251" i="6" s="1"/>
  <c r="G259" i="20"/>
  <c r="CB259" i="6" s="1"/>
  <c r="H259" i="20"/>
  <c r="AA259" i="20"/>
  <c r="Z259" i="20" s="1"/>
  <c r="Y259" i="20" s="1"/>
  <c r="AA263" i="20"/>
  <c r="Z263" i="20" s="1"/>
  <c r="Y263" i="20" s="1"/>
  <c r="H263" i="20"/>
  <c r="G263" i="20"/>
  <c r="CB263" i="6" s="1"/>
  <c r="G267" i="20"/>
  <c r="CB267" i="6" s="1"/>
  <c r="AA267" i="20"/>
  <c r="Z267" i="20" s="1"/>
  <c r="Y267" i="20" s="1"/>
  <c r="H267" i="20"/>
  <c r="G271" i="20"/>
  <c r="CB271" i="6" s="1"/>
  <c r="H271" i="20"/>
  <c r="AA271" i="20"/>
  <c r="Z271" i="20" s="1"/>
  <c r="Y271" i="20" s="1"/>
  <c r="H279" i="20"/>
  <c r="AA279" i="20"/>
  <c r="Z279" i="20" s="1"/>
  <c r="Y279" i="20" s="1"/>
  <c r="G279" i="20"/>
  <c r="CB279" i="6" s="1"/>
  <c r="G283" i="20"/>
  <c r="CB283" i="6" s="1"/>
  <c r="AA283" i="20"/>
  <c r="Z283" i="20" s="1"/>
  <c r="Y283" i="20" s="1"/>
  <c r="H283" i="20"/>
  <c r="H299" i="20"/>
  <c r="G299" i="20"/>
  <c r="CB299" i="6" s="1"/>
  <c r="AA299" i="20"/>
  <c r="Z299" i="20" s="1"/>
  <c r="Y299" i="20" s="1"/>
  <c r="H303" i="20"/>
  <c r="AA303" i="20"/>
  <c r="Z303" i="20" s="1"/>
  <c r="Y303" i="20" s="1"/>
  <c r="G303" i="20"/>
  <c r="CB303" i="6" s="1"/>
  <c r="AA307" i="20"/>
  <c r="Z307" i="20" s="1"/>
  <c r="Y307" i="20" s="1"/>
  <c r="H307" i="20"/>
  <c r="G307" i="20"/>
  <c r="CB307" i="6" s="1"/>
  <c r="H311" i="20"/>
  <c r="AA311" i="20"/>
  <c r="Z311" i="20" s="1"/>
  <c r="Y311" i="20" s="1"/>
  <c r="G311" i="20"/>
  <c r="CB311" i="6" s="1"/>
  <c r="AA315" i="20"/>
  <c r="Z315" i="20" s="1"/>
  <c r="Y315" i="20" s="1"/>
  <c r="G315" i="20"/>
  <c r="CB315" i="6" s="1"/>
  <c r="H315" i="20"/>
  <c r="L66" i="19"/>
  <c r="G323" i="20"/>
  <c r="CB323" i="6" s="1"/>
  <c r="AA323" i="20"/>
  <c r="Z323" i="20" s="1"/>
  <c r="Y323" i="20" s="1"/>
  <c r="H323" i="20"/>
  <c r="G343" i="20"/>
  <c r="CB343" i="6" s="1"/>
  <c r="AA343" i="20"/>
  <c r="Z343" i="20" s="1"/>
  <c r="Y343" i="20" s="1"/>
  <c r="H343" i="20"/>
  <c r="H355" i="20"/>
  <c r="AA355" i="20"/>
  <c r="Z355" i="20" s="1"/>
  <c r="Y355" i="20" s="1"/>
  <c r="G355" i="20"/>
  <c r="CB355" i="6" s="1"/>
  <c r="G367" i="20"/>
  <c r="CB367" i="6" s="1"/>
  <c r="H367" i="20"/>
  <c r="AA367" i="20"/>
  <c r="Z367" i="20" s="1"/>
  <c r="Y367" i="20" s="1"/>
  <c r="AA371" i="20"/>
  <c r="Z371" i="20" s="1"/>
  <c r="Y371" i="20" s="1"/>
  <c r="H371" i="20"/>
  <c r="G371" i="20"/>
  <c r="CB371" i="6" s="1"/>
  <c r="AA375" i="20"/>
  <c r="Z375" i="20" s="1"/>
  <c r="Y375" i="20" s="1"/>
  <c r="G375" i="20"/>
  <c r="CB375" i="6" s="1"/>
  <c r="H375" i="20"/>
  <c r="D379" i="20"/>
  <c r="E379" i="20" s="1"/>
  <c r="F379" i="20" s="1"/>
  <c r="W379" i="20"/>
  <c r="U377" i="23" l="1"/>
  <c r="T377" i="23" s="1"/>
  <c r="U373" i="23"/>
  <c r="U369" i="23"/>
  <c r="T369" i="23" s="1"/>
  <c r="U365" i="23"/>
  <c r="U361" i="23"/>
  <c r="T361" i="23" s="1"/>
  <c r="U357" i="23"/>
  <c r="U353" i="23"/>
  <c r="T353" i="23" s="1"/>
  <c r="U349" i="23"/>
  <c r="U345" i="23"/>
  <c r="T345" i="23" s="1"/>
  <c r="U341" i="23"/>
  <c r="U337" i="23"/>
  <c r="T337" i="23" s="1"/>
  <c r="U333" i="23"/>
  <c r="U329" i="23"/>
  <c r="T329" i="23" s="1"/>
  <c r="U325" i="23"/>
  <c r="U321" i="23"/>
  <c r="T321" i="23" s="1"/>
  <c r="U317" i="23"/>
  <c r="U313" i="23"/>
  <c r="T313" i="23" s="1"/>
  <c r="U309" i="23"/>
  <c r="U305" i="23"/>
  <c r="T305" i="23" s="1"/>
  <c r="U301" i="23"/>
  <c r="U297" i="23"/>
  <c r="T297" i="23" s="1"/>
  <c r="U293" i="23"/>
  <c r="U289" i="23"/>
  <c r="T289" i="23" s="1"/>
  <c r="U285" i="23"/>
  <c r="U281" i="23"/>
  <c r="T281" i="23" s="1"/>
  <c r="U277" i="23"/>
  <c r="U273" i="23"/>
  <c r="T273" i="23" s="1"/>
  <c r="U269" i="23"/>
  <c r="U265" i="23"/>
  <c r="T265" i="23" s="1"/>
  <c r="U261" i="23"/>
  <c r="U257" i="23"/>
  <c r="T257" i="23" s="1"/>
  <c r="U253" i="23"/>
  <c r="U249" i="23"/>
  <c r="T249" i="23" s="1"/>
  <c r="U245" i="23"/>
  <c r="U241" i="23"/>
  <c r="T241" i="23" s="1"/>
  <c r="U237" i="23"/>
  <c r="U233" i="23"/>
  <c r="T233" i="23" s="1"/>
  <c r="U229" i="23"/>
  <c r="U225" i="23"/>
  <c r="T225" i="23" s="1"/>
  <c r="U221" i="23"/>
  <c r="U217" i="23"/>
  <c r="T217" i="23" s="1"/>
  <c r="U213" i="23"/>
  <c r="U209" i="23"/>
  <c r="T209" i="23" s="1"/>
  <c r="U205" i="23"/>
  <c r="U201" i="23"/>
  <c r="T201" i="23" s="1"/>
  <c r="U197" i="23"/>
  <c r="U193" i="23"/>
  <c r="T193" i="23" s="1"/>
  <c r="U189" i="23"/>
  <c r="U185" i="23"/>
  <c r="T185" i="23" s="1"/>
  <c r="U181" i="23"/>
  <c r="U177" i="23"/>
  <c r="T177" i="23" s="1"/>
  <c r="U173" i="23"/>
  <c r="U169" i="23"/>
  <c r="T169" i="23" s="1"/>
  <c r="U165" i="23"/>
  <c r="U161" i="23"/>
  <c r="T161" i="23" s="1"/>
  <c r="U157" i="23"/>
  <c r="U153" i="23"/>
  <c r="T153" i="23" s="1"/>
  <c r="U149" i="23"/>
  <c r="U145" i="23"/>
  <c r="T145" i="23" s="1"/>
  <c r="U141" i="23"/>
  <c r="U137" i="23"/>
  <c r="T137" i="23" s="1"/>
  <c r="U133" i="23"/>
  <c r="U129" i="23"/>
  <c r="T129" i="23" s="1"/>
  <c r="U125" i="23"/>
  <c r="U121" i="23"/>
  <c r="T121" i="23" s="1"/>
  <c r="U117" i="23"/>
  <c r="U113" i="23"/>
  <c r="T113" i="23" s="1"/>
  <c r="U109" i="23"/>
  <c r="U105" i="23"/>
  <c r="T105" i="23" s="1"/>
  <c r="U101" i="23"/>
  <c r="U97" i="23"/>
  <c r="T97" i="23" s="1"/>
  <c r="U93" i="23"/>
  <c r="U89" i="23"/>
  <c r="T89" i="23" s="1"/>
  <c r="U85" i="23"/>
  <c r="U81" i="23"/>
  <c r="T81" i="23" s="1"/>
  <c r="U77" i="23"/>
  <c r="U73" i="23"/>
  <c r="T73" i="23" s="1"/>
  <c r="U69" i="23"/>
  <c r="U65" i="23"/>
  <c r="T65" i="23" s="1"/>
  <c r="U61" i="23"/>
  <c r="U57" i="23"/>
  <c r="T57" i="23" s="1"/>
  <c r="U53" i="23"/>
  <c r="U49" i="23"/>
  <c r="T49" i="23" s="1"/>
  <c r="U45" i="23"/>
  <c r="U41" i="23"/>
  <c r="T41" i="23" s="1"/>
  <c r="U37" i="23"/>
  <c r="U33" i="23"/>
  <c r="T33" i="23" s="1"/>
  <c r="U29" i="23"/>
  <c r="U25" i="23"/>
  <c r="T25" i="23" s="1"/>
  <c r="U21" i="23"/>
  <c r="AI11" i="23"/>
  <c r="AE11" i="23"/>
  <c r="AU16" i="7"/>
  <c r="F13" i="19"/>
  <c r="U378" i="23"/>
  <c r="U376" i="23"/>
  <c r="T376" i="23" s="1"/>
  <c r="U374" i="23"/>
  <c r="T374" i="23" s="1"/>
  <c r="U372" i="23"/>
  <c r="T372" i="23" s="1"/>
  <c r="U370" i="23"/>
  <c r="U368" i="23"/>
  <c r="T368" i="23" s="1"/>
  <c r="U366" i="23"/>
  <c r="T366" i="23" s="1"/>
  <c r="U364" i="23"/>
  <c r="T364" i="23" s="1"/>
  <c r="U362" i="23"/>
  <c r="U360" i="23"/>
  <c r="T360" i="23" s="1"/>
  <c r="U358" i="23"/>
  <c r="T358" i="23" s="1"/>
  <c r="U356" i="23"/>
  <c r="T356" i="23" s="1"/>
  <c r="U354" i="23"/>
  <c r="U352" i="23"/>
  <c r="T352" i="23" s="1"/>
  <c r="U350" i="23"/>
  <c r="T350" i="23" s="1"/>
  <c r="U348" i="23"/>
  <c r="T348" i="23" s="1"/>
  <c r="U346" i="23"/>
  <c r="U344" i="23"/>
  <c r="T344" i="23" s="1"/>
  <c r="U342" i="23"/>
  <c r="T342" i="23" s="1"/>
  <c r="U340" i="23"/>
  <c r="T340" i="23" s="1"/>
  <c r="U338" i="23"/>
  <c r="U336" i="23"/>
  <c r="T336" i="23" s="1"/>
  <c r="U334" i="23"/>
  <c r="T334" i="23" s="1"/>
  <c r="U332" i="23"/>
  <c r="T332" i="23" s="1"/>
  <c r="U330" i="23"/>
  <c r="U328" i="23"/>
  <c r="T328" i="23" s="1"/>
  <c r="U326" i="23"/>
  <c r="T326" i="23" s="1"/>
  <c r="U324" i="23"/>
  <c r="T324" i="23" s="1"/>
  <c r="U322" i="23"/>
  <c r="U320" i="23"/>
  <c r="T320" i="23" s="1"/>
  <c r="U318" i="23"/>
  <c r="T318" i="23" s="1"/>
  <c r="U316" i="23"/>
  <c r="T316" i="23" s="1"/>
  <c r="U314" i="23"/>
  <c r="U312" i="23"/>
  <c r="T312" i="23" s="1"/>
  <c r="U310" i="23"/>
  <c r="T310" i="23" s="1"/>
  <c r="U308" i="23"/>
  <c r="T308" i="23" s="1"/>
  <c r="U306" i="23"/>
  <c r="U304" i="23"/>
  <c r="T304" i="23" s="1"/>
  <c r="U302" i="23"/>
  <c r="T302" i="23" s="1"/>
  <c r="U300" i="23"/>
  <c r="T300" i="23" s="1"/>
  <c r="U298" i="23"/>
  <c r="U296" i="23"/>
  <c r="T296" i="23" s="1"/>
  <c r="U294" i="23"/>
  <c r="T294" i="23" s="1"/>
  <c r="U292" i="23"/>
  <c r="T292" i="23" s="1"/>
  <c r="U290" i="23"/>
  <c r="U288" i="23"/>
  <c r="T288" i="23" s="1"/>
  <c r="U286" i="23"/>
  <c r="T286" i="23" s="1"/>
  <c r="U284" i="23"/>
  <c r="T284" i="23" s="1"/>
  <c r="U282" i="23"/>
  <c r="U280" i="23"/>
  <c r="T280" i="23" s="1"/>
  <c r="U278" i="23"/>
  <c r="T278" i="23" s="1"/>
  <c r="U276" i="23"/>
  <c r="T276" i="23" s="1"/>
  <c r="U274" i="23"/>
  <c r="U272" i="23"/>
  <c r="T272" i="23" s="1"/>
  <c r="U270" i="23"/>
  <c r="T270" i="23" s="1"/>
  <c r="U268" i="23"/>
  <c r="T268" i="23" s="1"/>
  <c r="U266" i="23"/>
  <c r="U264" i="23"/>
  <c r="T264" i="23" s="1"/>
  <c r="U262" i="23"/>
  <c r="T262" i="23" s="1"/>
  <c r="U260" i="23"/>
  <c r="T260" i="23" s="1"/>
  <c r="U258" i="23"/>
  <c r="U256" i="23"/>
  <c r="U254" i="23"/>
  <c r="U252" i="23"/>
  <c r="U250" i="23"/>
  <c r="U248" i="23"/>
  <c r="U246" i="23"/>
  <c r="U244" i="23"/>
  <c r="U242" i="23"/>
  <c r="U240" i="23"/>
  <c r="U238" i="23"/>
  <c r="U236" i="23"/>
  <c r="U234" i="23"/>
  <c r="U232" i="23"/>
  <c r="U230" i="23"/>
  <c r="U228" i="23"/>
  <c r="U226" i="23"/>
  <c r="U224" i="23"/>
  <c r="U222" i="23"/>
  <c r="U220" i="23"/>
  <c r="T220" i="23" s="1"/>
  <c r="U218" i="23"/>
  <c r="T218" i="23" s="1"/>
  <c r="U216" i="23"/>
  <c r="T216" i="23" s="1"/>
  <c r="U214" i="23"/>
  <c r="U212" i="23"/>
  <c r="T212" i="23" s="1"/>
  <c r="U210" i="23"/>
  <c r="T210" i="23" s="1"/>
  <c r="U208" i="23"/>
  <c r="T208" i="23" s="1"/>
  <c r="U206" i="23"/>
  <c r="U204" i="23"/>
  <c r="T204" i="23" s="1"/>
  <c r="U202" i="23"/>
  <c r="T202" i="23" s="1"/>
  <c r="U200" i="23"/>
  <c r="T200" i="23" s="1"/>
  <c r="U198" i="23"/>
  <c r="U196" i="23"/>
  <c r="T196" i="23" s="1"/>
  <c r="U194" i="23"/>
  <c r="T194" i="23" s="1"/>
  <c r="U192" i="23"/>
  <c r="T192" i="23" s="1"/>
  <c r="U190" i="23"/>
  <c r="U188" i="23"/>
  <c r="T188" i="23" s="1"/>
  <c r="U186" i="23"/>
  <c r="T186" i="23" s="1"/>
  <c r="U184" i="23"/>
  <c r="T184" i="23" s="1"/>
  <c r="U182" i="23"/>
  <c r="U180" i="23"/>
  <c r="T180" i="23" s="1"/>
  <c r="U178" i="23"/>
  <c r="T178" i="23" s="1"/>
  <c r="U176" i="23"/>
  <c r="T176" i="23" s="1"/>
  <c r="U174" i="23"/>
  <c r="U172" i="23"/>
  <c r="T172" i="23" s="1"/>
  <c r="U170" i="23"/>
  <c r="T170" i="23" s="1"/>
  <c r="U168" i="23"/>
  <c r="T168" i="23" s="1"/>
  <c r="U166" i="23"/>
  <c r="U164" i="23"/>
  <c r="T164" i="23" s="1"/>
  <c r="U162" i="23"/>
  <c r="T162" i="23" s="1"/>
  <c r="U160" i="23"/>
  <c r="T160" i="23" s="1"/>
  <c r="U158" i="23"/>
  <c r="U156" i="23"/>
  <c r="T156" i="23" s="1"/>
  <c r="U154" i="23"/>
  <c r="T154" i="23" s="1"/>
  <c r="U152" i="23"/>
  <c r="T152" i="23" s="1"/>
  <c r="U150" i="23"/>
  <c r="U148" i="23"/>
  <c r="T148" i="23" s="1"/>
  <c r="U146" i="23"/>
  <c r="T146" i="23" s="1"/>
  <c r="U144" i="23"/>
  <c r="T144" i="23" s="1"/>
  <c r="U142" i="23"/>
  <c r="U140" i="23"/>
  <c r="T140" i="23" s="1"/>
  <c r="U138" i="23"/>
  <c r="T138" i="23" s="1"/>
  <c r="U136" i="23"/>
  <c r="T136" i="23" s="1"/>
  <c r="U134" i="23"/>
  <c r="U132" i="23"/>
  <c r="T132" i="23" s="1"/>
  <c r="U130" i="23"/>
  <c r="T130" i="23" s="1"/>
  <c r="U128" i="23"/>
  <c r="T128" i="23" s="1"/>
  <c r="U126" i="23"/>
  <c r="U124" i="23"/>
  <c r="T124" i="23" s="1"/>
  <c r="U122" i="23"/>
  <c r="T122" i="23" s="1"/>
  <c r="U120" i="23"/>
  <c r="T120" i="23" s="1"/>
  <c r="U118" i="23"/>
  <c r="U116" i="23"/>
  <c r="T116" i="23" s="1"/>
  <c r="U114" i="23"/>
  <c r="T114" i="23" s="1"/>
  <c r="U112" i="23"/>
  <c r="T112" i="23" s="1"/>
  <c r="U110" i="23"/>
  <c r="U108" i="23"/>
  <c r="T108" i="23" s="1"/>
  <c r="U106" i="23"/>
  <c r="T106" i="23" s="1"/>
  <c r="U104" i="23"/>
  <c r="T104" i="23" s="1"/>
  <c r="U102" i="23"/>
  <c r="U100" i="23"/>
  <c r="T100" i="23" s="1"/>
  <c r="U98" i="23"/>
  <c r="T98" i="23" s="1"/>
  <c r="U96" i="23"/>
  <c r="T96" i="23" s="1"/>
  <c r="U94" i="23"/>
  <c r="U92" i="23"/>
  <c r="T92" i="23" s="1"/>
  <c r="U90" i="23"/>
  <c r="T90" i="23" s="1"/>
  <c r="U88" i="23"/>
  <c r="T88" i="23" s="1"/>
  <c r="U86" i="23"/>
  <c r="U84" i="23"/>
  <c r="T84" i="23" s="1"/>
  <c r="U82" i="23"/>
  <c r="T82" i="23" s="1"/>
  <c r="U80" i="23"/>
  <c r="T80" i="23" s="1"/>
  <c r="U78" i="23"/>
  <c r="U76" i="23"/>
  <c r="T76" i="23" s="1"/>
  <c r="U74" i="23"/>
  <c r="T74" i="23" s="1"/>
  <c r="U72" i="23"/>
  <c r="T72" i="23" s="1"/>
  <c r="U70" i="23"/>
  <c r="U68" i="23"/>
  <c r="T68" i="23" s="1"/>
  <c r="U66" i="23"/>
  <c r="T66" i="23" s="1"/>
  <c r="U64" i="23"/>
  <c r="T64" i="23" s="1"/>
  <c r="U62" i="23"/>
  <c r="U60" i="23"/>
  <c r="T60" i="23" s="1"/>
  <c r="U58" i="23"/>
  <c r="T58" i="23" s="1"/>
  <c r="U56" i="23"/>
  <c r="T56" i="23" s="1"/>
  <c r="U54" i="23"/>
  <c r="U52" i="23"/>
  <c r="T52" i="23" s="1"/>
  <c r="U50" i="23"/>
  <c r="U48" i="23"/>
  <c r="T48" i="23" s="1"/>
  <c r="U46" i="23"/>
  <c r="U44" i="23"/>
  <c r="T44" i="23" s="1"/>
  <c r="U42" i="23"/>
  <c r="U40" i="23"/>
  <c r="T40" i="23" s="1"/>
  <c r="U38" i="23"/>
  <c r="U36" i="23"/>
  <c r="T36" i="23" s="1"/>
  <c r="U34" i="23"/>
  <c r="U32" i="23"/>
  <c r="T32" i="23" s="1"/>
  <c r="U30" i="23"/>
  <c r="U28" i="23"/>
  <c r="T28" i="23" s="1"/>
  <c r="U26" i="23"/>
  <c r="U24" i="23"/>
  <c r="T24" i="23" s="1"/>
  <c r="U22" i="23"/>
  <c r="U20" i="23"/>
  <c r="T20" i="23" s="1"/>
  <c r="U16" i="23"/>
  <c r="U383" i="23" s="1"/>
  <c r="U19" i="23"/>
  <c r="Q347" i="23"/>
  <c r="Q271" i="23"/>
  <c r="Q379" i="23"/>
  <c r="AT15" i="7" s="1"/>
  <c r="Q315" i="23"/>
  <c r="Q207" i="23"/>
  <c r="E14" i="19"/>
  <c r="F14" i="19" s="1"/>
  <c r="Q143" i="23"/>
  <c r="V379" i="22"/>
  <c r="B379" i="22" s="1"/>
  <c r="B380" i="22" s="1"/>
  <c r="D41" i="19"/>
  <c r="Q79" i="23"/>
  <c r="Q363" i="23"/>
  <c r="Q331" i="23"/>
  <c r="Q299" i="23"/>
  <c r="Q239" i="23"/>
  <c r="Q175" i="23"/>
  <c r="Q111" i="23"/>
  <c r="Q47" i="23"/>
  <c r="AF104" i="20"/>
  <c r="AG381" i="20"/>
  <c r="AG383" i="20"/>
  <c r="AG382" i="20"/>
  <c r="AI12" i="23"/>
  <c r="AH379" i="22"/>
  <c r="AG379" i="22" s="1"/>
  <c r="AF379" i="22" s="1"/>
  <c r="AD379" i="22" s="1"/>
  <c r="AI383" i="22"/>
  <c r="AH17" i="22"/>
  <c r="AI381" i="22"/>
  <c r="AI382" i="22"/>
  <c r="Q371" i="23"/>
  <c r="Q355" i="23"/>
  <c r="Q339" i="23"/>
  <c r="Q323" i="23"/>
  <c r="Q307" i="23"/>
  <c r="Q287" i="23"/>
  <c r="Q255" i="23"/>
  <c r="Q223" i="23"/>
  <c r="Q191" i="23"/>
  <c r="Q159" i="23"/>
  <c r="Q127" i="23"/>
  <c r="Q95" i="23"/>
  <c r="Q63" i="23"/>
  <c r="Q31" i="23"/>
  <c r="Q375" i="23"/>
  <c r="Q367" i="23"/>
  <c r="Q359" i="23"/>
  <c r="Q351" i="23"/>
  <c r="Q343" i="23"/>
  <c r="Q335" i="23"/>
  <c r="Q327" i="23"/>
  <c r="Q319" i="23"/>
  <c r="Q311" i="23"/>
  <c r="Q303" i="23"/>
  <c r="Q295" i="23"/>
  <c r="Q279" i="23"/>
  <c r="Q263" i="23"/>
  <c r="Q247" i="23"/>
  <c r="Q231" i="23"/>
  <c r="Q215" i="23"/>
  <c r="Q199" i="23"/>
  <c r="Q183" i="23"/>
  <c r="Q167" i="23"/>
  <c r="Q151" i="23"/>
  <c r="Q135" i="23"/>
  <c r="Q119" i="23"/>
  <c r="Q103" i="23"/>
  <c r="Q87" i="23"/>
  <c r="Q71" i="23"/>
  <c r="Q55" i="23"/>
  <c r="Q39" i="23"/>
  <c r="Q23" i="23"/>
  <c r="Q377" i="23"/>
  <c r="Q373" i="23"/>
  <c r="Q369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1" i="23"/>
  <c r="Q283" i="23"/>
  <c r="Q275" i="23"/>
  <c r="Q267" i="23"/>
  <c r="Q259" i="23"/>
  <c r="Q251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43" i="23"/>
  <c r="Q35" i="23"/>
  <c r="Q27" i="23"/>
  <c r="Q15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5" i="23"/>
  <c r="Q41" i="23"/>
  <c r="Q37" i="23"/>
  <c r="Q33" i="23"/>
  <c r="Q29" i="23"/>
  <c r="Q25" i="23"/>
  <c r="Q21" i="23"/>
  <c r="Q17" i="23"/>
  <c r="Z4" i="6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9" i="23"/>
  <c r="Q16" i="23"/>
  <c r="D371" i="22"/>
  <c r="E371" i="22" s="1"/>
  <c r="F371" i="22" s="1"/>
  <c r="W371" i="22"/>
  <c r="AH43" i="7"/>
  <c r="V363" i="22"/>
  <c r="D355" i="22"/>
  <c r="E355" i="22" s="1"/>
  <c r="F355" i="22" s="1"/>
  <c r="W355" i="22"/>
  <c r="D347" i="22"/>
  <c r="E347" i="22" s="1"/>
  <c r="F347" i="22" s="1"/>
  <c r="W347" i="22"/>
  <c r="D339" i="22"/>
  <c r="E339" i="22" s="1"/>
  <c r="F339" i="22" s="1"/>
  <c r="W339" i="22"/>
  <c r="W331" i="22"/>
  <c r="D331" i="22"/>
  <c r="E331" i="22" s="1"/>
  <c r="F331" i="22" s="1"/>
  <c r="W323" i="22"/>
  <c r="D323" i="22"/>
  <c r="E323" i="22" s="1"/>
  <c r="F323" i="22" s="1"/>
  <c r="W315" i="22"/>
  <c r="D315" i="22"/>
  <c r="E315" i="22" s="1"/>
  <c r="F315" i="22" s="1"/>
  <c r="D307" i="22"/>
  <c r="E307" i="22" s="1"/>
  <c r="F307" i="22" s="1"/>
  <c r="W307" i="22"/>
  <c r="W299" i="22"/>
  <c r="D299" i="22"/>
  <c r="E299" i="22" s="1"/>
  <c r="F299" i="22" s="1"/>
  <c r="D295" i="22"/>
  <c r="E295" i="22" s="1"/>
  <c r="F295" i="22" s="1"/>
  <c r="W295" i="22"/>
  <c r="D291" i="22"/>
  <c r="E291" i="22" s="1"/>
  <c r="F291" i="22" s="1"/>
  <c r="W291" i="22"/>
  <c r="W287" i="22"/>
  <c r="D287" i="22"/>
  <c r="E287" i="22" s="1"/>
  <c r="F287" i="22" s="1"/>
  <c r="W283" i="22"/>
  <c r="D283" i="22"/>
  <c r="E283" i="22" s="1"/>
  <c r="F283" i="22" s="1"/>
  <c r="W275" i="22"/>
  <c r="D275" i="22"/>
  <c r="E275" i="22" s="1"/>
  <c r="F275" i="22" s="1"/>
  <c r="D271" i="22"/>
  <c r="E271" i="22" s="1"/>
  <c r="F271" i="22" s="1"/>
  <c r="W271" i="22"/>
  <c r="W267" i="22"/>
  <c r="D267" i="22"/>
  <c r="E267" i="22" s="1"/>
  <c r="F267" i="22" s="1"/>
  <c r="W263" i="22"/>
  <c r="D263" i="22"/>
  <c r="E263" i="22" s="1"/>
  <c r="F263" i="22" s="1"/>
  <c r="W259" i="22"/>
  <c r="D259" i="22"/>
  <c r="E259" i="22" s="1"/>
  <c r="F259" i="22" s="1"/>
  <c r="W255" i="22"/>
  <c r="D255" i="22"/>
  <c r="E255" i="22" s="1"/>
  <c r="F255" i="22" s="1"/>
  <c r="W251" i="22"/>
  <c r="D251" i="22"/>
  <c r="E251" i="22" s="1"/>
  <c r="F251" i="22" s="1"/>
  <c r="D247" i="22"/>
  <c r="E247" i="22" s="1"/>
  <c r="F247" i="22" s="1"/>
  <c r="W247" i="22"/>
  <c r="W243" i="22"/>
  <c r="D243" i="22"/>
  <c r="E243" i="22" s="1"/>
  <c r="F243" i="22" s="1"/>
  <c r="W239" i="22"/>
  <c r="D239" i="22"/>
  <c r="E239" i="22" s="1"/>
  <c r="F239" i="22" s="1"/>
  <c r="W235" i="22"/>
  <c r="D235" i="22"/>
  <c r="E235" i="22" s="1"/>
  <c r="F235" i="22" s="1"/>
  <c r="W231" i="22"/>
  <c r="D231" i="22"/>
  <c r="E231" i="22" s="1"/>
  <c r="F231" i="22" s="1"/>
  <c r="D227" i="22"/>
  <c r="E227" i="22" s="1"/>
  <c r="F227" i="22" s="1"/>
  <c r="W227" i="22"/>
  <c r="D223" i="22"/>
  <c r="E223" i="22" s="1"/>
  <c r="F223" i="22" s="1"/>
  <c r="W223" i="22"/>
  <c r="W219" i="22"/>
  <c r="D219" i="22"/>
  <c r="E219" i="22" s="1"/>
  <c r="F219" i="22" s="1"/>
  <c r="D215" i="22"/>
  <c r="E215" i="22" s="1"/>
  <c r="F215" i="22" s="1"/>
  <c r="W215" i="22"/>
  <c r="W211" i="22"/>
  <c r="D211" i="22"/>
  <c r="E211" i="22" s="1"/>
  <c r="F211" i="22" s="1"/>
  <c r="D207" i="22"/>
  <c r="E207" i="22" s="1"/>
  <c r="F207" i="22" s="1"/>
  <c r="W207" i="22"/>
  <c r="W203" i="22"/>
  <c r="D203" i="22"/>
  <c r="E203" i="22" s="1"/>
  <c r="F203" i="22" s="1"/>
  <c r="W199" i="22"/>
  <c r="D199" i="22"/>
  <c r="E199" i="22" s="1"/>
  <c r="F199" i="22" s="1"/>
  <c r="W195" i="22"/>
  <c r="D195" i="22"/>
  <c r="E195" i="22" s="1"/>
  <c r="F195" i="22" s="1"/>
  <c r="W191" i="22"/>
  <c r="D191" i="22"/>
  <c r="E191" i="22" s="1"/>
  <c r="F191" i="22" s="1"/>
  <c r="W187" i="22"/>
  <c r="D187" i="22"/>
  <c r="E187" i="22" s="1"/>
  <c r="F187" i="22" s="1"/>
  <c r="W183" i="22"/>
  <c r="D183" i="22"/>
  <c r="E183" i="22" s="1"/>
  <c r="F183" i="22" s="1"/>
  <c r="W179" i="22"/>
  <c r="D179" i="22"/>
  <c r="E179" i="22" s="1"/>
  <c r="F179" i="22" s="1"/>
  <c r="D175" i="22"/>
  <c r="E175" i="22" s="1"/>
  <c r="F175" i="22" s="1"/>
  <c r="W175" i="22"/>
  <c r="D171" i="22"/>
  <c r="E171" i="22" s="1"/>
  <c r="F171" i="22" s="1"/>
  <c r="W171" i="22"/>
  <c r="D167" i="22"/>
  <c r="E167" i="22" s="1"/>
  <c r="F167" i="22" s="1"/>
  <c r="W167" i="22"/>
  <c r="W163" i="22"/>
  <c r="D163" i="22"/>
  <c r="E163" i="22" s="1"/>
  <c r="F163" i="22" s="1"/>
  <c r="W159" i="22"/>
  <c r="D159" i="22"/>
  <c r="E159" i="22" s="1"/>
  <c r="F159" i="22" s="1"/>
  <c r="W155" i="22"/>
  <c r="D155" i="22"/>
  <c r="E155" i="22" s="1"/>
  <c r="F155" i="22" s="1"/>
  <c r="W151" i="22"/>
  <c r="D151" i="22"/>
  <c r="E151" i="22" s="1"/>
  <c r="F151" i="22" s="1"/>
  <c r="D147" i="22"/>
  <c r="E147" i="22" s="1"/>
  <c r="F147" i="22" s="1"/>
  <c r="W147" i="22"/>
  <c r="W143" i="22"/>
  <c r="D143" i="22"/>
  <c r="E143" i="22" s="1"/>
  <c r="F143" i="22" s="1"/>
  <c r="W139" i="22"/>
  <c r="D139" i="22"/>
  <c r="E139" i="22" s="1"/>
  <c r="F139" i="22" s="1"/>
  <c r="D135" i="22"/>
  <c r="E135" i="22" s="1"/>
  <c r="F135" i="22" s="1"/>
  <c r="W135" i="22"/>
  <c r="D131" i="22"/>
  <c r="E131" i="22" s="1"/>
  <c r="F131" i="22" s="1"/>
  <c r="W131" i="22"/>
  <c r="D127" i="22"/>
  <c r="E127" i="22" s="1"/>
  <c r="F127" i="22" s="1"/>
  <c r="W127" i="22"/>
  <c r="D123" i="22"/>
  <c r="E123" i="22" s="1"/>
  <c r="F123" i="22" s="1"/>
  <c r="W123" i="22"/>
  <c r="AH35" i="7"/>
  <c r="V119" i="22"/>
  <c r="D115" i="22"/>
  <c r="E115" i="22" s="1"/>
  <c r="F115" i="22" s="1"/>
  <c r="W115" i="22"/>
  <c r="D111" i="22"/>
  <c r="E111" i="22" s="1"/>
  <c r="F111" i="22" s="1"/>
  <c r="W111" i="22"/>
  <c r="D107" i="22"/>
  <c r="E107" i="22" s="1"/>
  <c r="F107" i="22" s="1"/>
  <c r="W107" i="22"/>
  <c r="W103" i="22"/>
  <c r="D103" i="22"/>
  <c r="E103" i="22" s="1"/>
  <c r="F103" i="22" s="1"/>
  <c r="W99" i="22"/>
  <c r="D99" i="22"/>
  <c r="E99" i="22" s="1"/>
  <c r="F99" i="22" s="1"/>
  <c r="W95" i="22"/>
  <c r="D95" i="22"/>
  <c r="E95" i="22" s="1"/>
  <c r="F95" i="22" s="1"/>
  <c r="D91" i="22"/>
  <c r="E91" i="22" s="1"/>
  <c r="F91" i="22" s="1"/>
  <c r="W91" i="22"/>
  <c r="D87" i="22"/>
  <c r="E87" i="22" s="1"/>
  <c r="F87" i="22" s="1"/>
  <c r="W87" i="22"/>
  <c r="D83" i="22"/>
  <c r="E83" i="22" s="1"/>
  <c r="F83" i="22" s="1"/>
  <c r="W83" i="22"/>
  <c r="W79" i="22"/>
  <c r="D79" i="22"/>
  <c r="E79" i="22" s="1"/>
  <c r="F79" i="22" s="1"/>
  <c r="W75" i="22"/>
  <c r="D75" i="22"/>
  <c r="E75" i="22" s="1"/>
  <c r="F75" i="22" s="1"/>
  <c r="W71" i="22"/>
  <c r="D71" i="22"/>
  <c r="E71" i="22" s="1"/>
  <c r="F71" i="22" s="1"/>
  <c r="W67" i="22"/>
  <c r="D67" i="22"/>
  <c r="E67" i="22" s="1"/>
  <c r="F67" i="22" s="1"/>
  <c r="D63" i="22"/>
  <c r="E63" i="22" s="1"/>
  <c r="F63" i="22" s="1"/>
  <c r="W63" i="22"/>
  <c r="D59" i="22"/>
  <c r="E59" i="22" s="1"/>
  <c r="F59" i="22" s="1"/>
  <c r="W59" i="22"/>
  <c r="D55" i="22"/>
  <c r="E55" i="22" s="1"/>
  <c r="F55" i="22" s="1"/>
  <c r="W55" i="22"/>
  <c r="W51" i="22"/>
  <c r="D51" i="22"/>
  <c r="E51" i="22" s="1"/>
  <c r="F51" i="22" s="1"/>
  <c r="W47" i="22"/>
  <c r="D47" i="22"/>
  <c r="E47" i="22" s="1"/>
  <c r="F47" i="22" s="1"/>
  <c r="D43" i="22"/>
  <c r="E43" i="22" s="1"/>
  <c r="F43" i="22" s="1"/>
  <c r="W43" i="22"/>
  <c r="D39" i="22"/>
  <c r="E39" i="22" s="1"/>
  <c r="F39" i="22" s="1"/>
  <c r="W39" i="22"/>
  <c r="W35" i="22"/>
  <c r="D35" i="22"/>
  <c r="E35" i="22" s="1"/>
  <c r="F35" i="22" s="1"/>
  <c r="W31" i="22"/>
  <c r="D31" i="22"/>
  <c r="E31" i="22" s="1"/>
  <c r="F31" i="22" s="1"/>
  <c r="D27" i="22"/>
  <c r="E27" i="22" s="1"/>
  <c r="F27" i="22" s="1"/>
  <c r="W27" i="22"/>
  <c r="D23" i="22"/>
  <c r="E23" i="22" s="1"/>
  <c r="F23" i="22" s="1"/>
  <c r="W23" i="22"/>
  <c r="D378" i="22"/>
  <c r="E378" i="22" s="1"/>
  <c r="F378" i="22" s="1"/>
  <c r="W378" i="22"/>
  <c r="D374" i="22"/>
  <c r="E374" i="22" s="1"/>
  <c r="F374" i="22" s="1"/>
  <c r="W374" i="22"/>
  <c r="D370" i="22"/>
  <c r="E370" i="22" s="1"/>
  <c r="F370" i="22" s="1"/>
  <c r="W370" i="22"/>
  <c r="D366" i="22"/>
  <c r="E366" i="22" s="1"/>
  <c r="F366" i="22" s="1"/>
  <c r="W366" i="22"/>
  <c r="D362" i="22"/>
  <c r="E362" i="22" s="1"/>
  <c r="F362" i="22" s="1"/>
  <c r="W362" i="22"/>
  <c r="W358" i="22"/>
  <c r="D358" i="22"/>
  <c r="E358" i="22" s="1"/>
  <c r="F358" i="22" s="1"/>
  <c r="D354" i="22"/>
  <c r="E354" i="22" s="1"/>
  <c r="F354" i="22" s="1"/>
  <c r="W354" i="22"/>
  <c r="W350" i="22"/>
  <c r="D350" i="22"/>
  <c r="E350" i="22" s="1"/>
  <c r="F350" i="22" s="1"/>
  <c r="D346" i="22"/>
  <c r="E346" i="22" s="1"/>
  <c r="F346" i="22" s="1"/>
  <c r="W346" i="22"/>
  <c r="W342" i="22"/>
  <c r="D342" i="22"/>
  <c r="E342" i="22" s="1"/>
  <c r="F342" i="22" s="1"/>
  <c r="D338" i="22"/>
  <c r="E338" i="22" s="1"/>
  <c r="F338" i="22" s="1"/>
  <c r="W338" i="22"/>
  <c r="W334" i="22"/>
  <c r="D334" i="22"/>
  <c r="E334" i="22" s="1"/>
  <c r="F334" i="22" s="1"/>
  <c r="W330" i="22"/>
  <c r="D330" i="22"/>
  <c r="E330" i="22" s="1"/>
  <c r="F330" i="22" s="1"/>
  <c r="W326" i="22"/>
  <c r="D326" i="22"/>
  <c r="E326" i="22" s="1"/>
  <c r="F326" i="22" s="1"/>
  <c r="W322" i="22"/>
  <c r="D322" i="22"/>
  <c r="E322" i="22" s="1"/>
  <c r="F322" i="22" s="1"/>
  <c r="W318" i="22"/>
  <c r="D318" i="22"/>
  <c r="E318" i="22" s="1"/>
  <c r="F318" i="22" s="1"/>
  <c r="D314" i="22"/>
  <c r="E314" i="22" s="1"/>
  <c r="F314" i="22" s="1"/>
  <c r="W314" i="22"/>
  <c r="W310" i="22"/>
  <c r="D310" i="22"/>
  <c r="E310" i="22" s="1"/>
  <c r="F310" i="22" s="1"/>
  <c r="W306" i="22"/>
  <c r="D306" i="22"/>
  <c r="E306" i="22" s="1"/>
  <c r="F306" i="22" s="1"/>
  <c r="AH41" i="7"/>
  <c r="V302" i="22"/>
  <c r="W298" i="22"/>
  <c r="D298" i="22"/>
  <c r="E298" i="22" s="1"/>
  <c r="F298" i="22" s="1"/>
  <c r="D294" i="22"/>
  <c r="E294" i="22" s="1"/>
  <c r="F294" i="22" s="1"/>
  <c r="W294" i="22"/>
  <c r="D290" i="22"/>
  <c r="E290" i="22" s="1"/>
  <c r="F290" i="22" s="1"/>
  <c r="W290" i="22"/>
  <c r="D286" i="22"/>
  <c r="E286" i="22" s="1"/>
  <c r="F286" i="22" s="1"/>
  <c r="W286" i="22"/>
  <c r="D282" i="22"/>
  <c r="E282" i="22" s="1"/>
  <c r="F282" i="22" s="1"/>
  <c r="W282" i="22"/>
  <c r="D278" i="22"/>
  <c r="E278" i="22" s="1"/>
  <c r="F278" i="22" s="1"/>
  <c r="W278" i="22"/>
  <c r="D274" i="22"/>
  <c r="E274" i="22" s="1"/>
  <c r="F274" i="22" s="1"/>
  <c r="W274" i="22"/>
  <c r="D270" i="22"/>
  <c r="E270" i="22" s="1"/>
  <c r="F270" i="22" s="1"/>
  <c r="W270" i="22"/>
  <c r="D266" i="22"/>
  <c r="E266" i="22" s="1"/>
  <c r="F266" i="22" s="1"/>
  <c r="W266" i="22"/>
  <c r="D262" i="22"/>
  <c r="E262" i="22" s="1"/>
  <c r="F262" i="22" s="1"/>
  <c r="W262" i="22"/>
  <c r="D258" i="22"/>
  <c r="E258" i="22" s="1"/>
  <c r="F258" i="22" s="1"/>
  <c r="W258" i="22"/>
  <c r="W254" i="22"/>
  <c r="D254" i="22"/>
  <c r="E254" i="22" s="1"/>
  <c r="F254" i="22" s="1"/>
  <c r="W250" i="22"/>
  <c r="D250" i="22"/>
  <c r="E250" i="22" s="1"/>
  <c r="F250" i="22" s="1"/>
  <c r="D246" i="22"/>
  <c r="E246" i="22" s="1"/>
  <c r="F246" i="22" s="1"/>
  <c r="W246" i="22"/>
  <c r="D242" i="22"/>
  <c r="E242" i="22" s="1"/>
  <c r="F242" i="22" s="1"/>
  <c r="W242" i="22"/>
  <c r="D238" i="22"/>
  <c r="E238" i="22" s="1"/>
  <c r="F238" i="22" s="1"/>
  <c r="W238" i="22"/>
  <c r="D234" i="22"/>
  <c r="E234" i="22" s="1"/>
  <c r="F234" i="22" s="1"/>
  <c r="W234" i="22"/>
  <c r="D230" i="22"/>
  <c r="E230" i="22" s="1"/>
  <c r="F230" i="22" s="1"/>
  <c r="W230" i="22"/>
  <c r="W226" i="22"/>
  <c r="D226" i="22"/>
  <c r="E226" i="22" s="1"/>
  <c r="F226" i="22" s="1"/>
  <c r="W222" i="22"/>
  <c r="D222" i="22"/>
  <c r="E222" i="22" s="1"/>
  <c r="F222" i="22" s="1"/>
  <c r="D218" i="22"/>
  <c r="E218" i="22" s="1"/>
  <c r="F218" i="22" s="1"/>
  <c r="W218" i="22"/>
  <c r="W214" i="22"/>
  <c r="D214" i="22"/>
  <c r="E214" i="22" s="1"/>
  <c r="F214" i="22" s="1"/>
  <c r="AH38" i="7"/>
  <c r="V210" i="22"/>
  <c r="W206" i="22"/>
  <c r="D206" i="22"/>
  <c r="E206" i="22" s="1"/>
  <c r="F206" i="22" s="1"/>
  <c r="W202" i="22"/>
  <c r="D202" i="22"/>
  <c r="E202" i="22" s="1"/>
  <c r="F202" i="22" s="1"/>
  <c r="W198" i="22"/>
  <c r="D198" i="22"/>
  <c r="E198" i="22" s="1"/>
  <c r="F198" i="22" s="1"/>
  <c r="D194" i="22"/>
  <c r="E194" i="22" s="1"/>
  <c r="F194" i="22" s="1"/>
  <c r="W194" i="22"/>
  <c r="D190" i="22"/>
  <c r="E190" i="22" s="1"/>
  <c r="F190" i="22" s="1"/>
  <c r="W190" i="22"/>
  <c r="D186" i="22"/>
  <c r="E186" i="22" s="1"/>
  <c r="F186" i="22" s="1"/>
  <c r="W186" i="22"/>
  <c r="W182" i="22"/>
  <c r="D182" i="22"/>
  <c r="E182" i="22" s="1"/>
  <c r="F182" i="22" s="1"/>
  <c r="D178" i="22"/>
  <c r="E178" i="22" s="1"/>
  <c r="F178" i="22" s="1"/>
  <c r="W178" i="22"/>
  <c r="W174" i="22"/>
  <c r="D174" i="22"/>
  <c r="E174" i="22" s="1"/>
  <c r="F174" i="22" s="1"/>
  <c r="W170" i="22"/>
  <c r="D170" i="22"/>
  <c r="E170" i="22" s="1"/>
  <c r="F170" i="22" s="1"/>
  <c r="W166" i="22"/>
  <c r="D166" i="22"/>
  <c r="E166" i="22" s="1"/>
  <c r="F166" i="22" s="1"/>
  <c r="W162" i="22"/>
  <c r="D162" i="22"/>
  <c r="E162" i="22" s="1"/>
  <c r="F162" i="22" s="1"/>
  <c r="W158" i="22"/>
  <c r="D158" i="22"/>
  <c r="E158" i="22" s="1"/>
  <c r="F158" i="22" s="1"/>
  <c r="D154" i="22"/>
  <c r="E154" i="22" s="1"/>
  <c r="F154" i="22" s="1"/>
  <c r="W154" i="22"/>
  <c r="W150" i="22"/>
  <c r="D150" i="22"/>
  <c r="E150" i="22" s="1"/>
  <c r="F150" i="22" s="1"/>
  <c r="W146" i="22"/>
  <c r="D146" i="22"/>
  <c r="E146" i="22" s="1"/>
  <c r="F146" i="22" s="1"/>
  <c r="D142" i="22"/>
  <c r="E142" i="22" s="1"/>
  <c r="F142" i="22" s="1"/>
  <c r="W142" i="22"/>
  <c r="D138" i="22"/>
  <c r="E138" i="22" s="1"/>
  <c r="F138" i="22" s="1"/>
  <c r="W138" i="22"/>
  <c r="W134" i="22"/>
  <c r="D134" i="22"/>
  <c r="E134" i="22" s="1"/>
  <c r="F134" i="22" s="1"/>
  <c r="W130" i="22"/>
  <c r="D130" i="22"/>
  <c r="E130" i="22" s="1"/>
  <c r="F130" i="22" s="1"/>
  <c r="D126" i="22"/>
  <c r="E126" i="22" s="1"/>
  <c r="F126" i="22" s="1"/>
  <c r="W126" i="22"/>
  <c r="W122" i="22"/>
  <c r="D122" i="22"/>
  <c r="E122" i="22" s="1"/>
  <c r="F122" i="22" s="1"/>
  <c r="W118" i="22"/>
  <c r="D118" i="22"/>
  <c r="E118" i="22" s="1"/>
  <c r="F118" i="22" s="1"/>
  <c r="W114" i="22"/>
  <c r="D114" i="22"/>
  <c r="E114" i="22" s="1"/>
  <c r="F114" i="22" s="1"/>
  <c r="W110" i="22"/>
  <c r="D110" i="22"/>
  <c r="E110" i="22" s="1"/>
  <c r="F110" i="22" s="1"/>
  <c r="W106" i="22"/>
  <c r="D106" i="22"/>
  <c r="E106" i="22" s="1"/>
  <c r="F106" i="22" s="1"/>
  <c r="D102" i="22"/>
  <c r="E102" i="22" s="1"/>
  <c r="F102" i="22" s="1"/>
  <c r="W102" i="22"/>
  <c r="D98" i="22"/>
  <c r="E98" i="22" s="1"/>
  <c r="F98" i="22" s="1"/>
  <c r="W98" i="22"/>
  <c r="D94" i="22"/>
  <c r="E94" i="22" s="1"/>
  <c r="F94" i="22" s="1"/>
  <c r="W94" i="22"/>
  <c r="W90" i="22"/>
  <c r="D90" i="22"/>
  <c r="E90" i="22" s="1"/>
  <c r="F90" i="22" s="1"/>
  <c r="D86" i="22"/>
  <c r="E86" i="22" s="1"/>
  <c r="F86" i="22" s="1"/>
  <c r="W86" i="22"/>
  <c r="W82" i="22"/>
  <c r="D82" i="22"/>
  <c r="E82" i="22" s="1"/>
  <c r="F82" i="22" s="1"/>
  <c r="W78" i="22"/>
  <c r="D78" i="22"/>
  <c r="E78" i="22" s="1"/>
  <c r="F78" i="22" s="1"/>
  <c r="D74" i="22"/>
  <c r="E74" i="22" s="1"/>
  <c r="F74" i="22" s="1"/>
  <c r="W74" i="22"/>
  <c r="D70" i="22"/>
  <c r="E70" i="22" s="1"/>
  <c r="F70" i="22" s="1"/>
  <c r="W70" i="22"/>
  <c r="D66" i="22"/>
  <c r="E66" i="22" s="1"/>
  <c r="F66" i="22" s="1"/>
  <c r="W66" i="22"/>
  <c r="D62" i="22"/>
  <c r="E62" i="22" s="1"/>
  <c r="F62" i="22" s="1"/>
  <c r="W62" i="22"/>
  <c r="W58" i="22"/>
  <c r="D58" i="22"/>
  <c r="E58" i="22" s="1"/>
  <c r="F58" i="22" s="1"/>
  <c r="W54" i="22"/>
  <c r="D54" i="22"/>
  <c r="E54" i="22" s="1"/>
  <c r="F54" i="22" s="1"/>
  <c r="D50" i="22"/>
  <c r="E50" i="22" s="1"/>
  <c r="F50" i="22" s="1"/>
  <c r="W50" i="22"/>
  <c r="W46" i="22"/>
  <c r="D46" i="22"/>
  <c r="E46" i="22" s="1"/>
  <c r="F46" i="22" s="1"/>
  <c r="W42" i="22"/>
  <c r="D42" i="22"/>
  <c r="E42" i="22" s="1"/>
  <c r="F42" i="22" s="1"/>
  <c r="W38" i="22"/>
  <c r="D38" i="22"/>
  <c r="E38" i="22" s="1"/>
  <c r="F38" i="22" s="1"/>
  <c r="W34" i="22"/>
  <c r="D34" i="22"/>
  <c r="E34" i="22" s="1"/>
  <c r="F34" i="22" s="1"/>
  <c r="W30" i="22"/>
  <c r="D30" i="22"/>
  <c r="E30" i="22" s="1"/>
  <c r="F30" i="22" s="1"/>
  <c r="D26" i="22"/>
  <c r="E26" i="22" s="1"/>
  <c r="F26" i="22" s="1"/>
  <c r="W26" i="22"/>
  <c r="W22" i="22"/>
  <c r="D22" i="22"/>
  <c r="E22" i="22" s="1"/>
  <c r="F22" i="22" s="1"/>
  <c r="W17" i="22"/>
  <c r="D17" i="22"/>
  <c r="E17" i="22" s="1"/>
  <c r="F17" i="22" s="1"/>
  <c r="W375" i="22"/>
  <c r="D375" i="22"/>
  <c r="E375" i="22" s="1"/>
  <c r="F375" i="22" s="1"/>
  <c r="W367" i="22"/>
  <c r="D367" i="22"/>
  <c r="E367" i="22" s="1"/>
  <c r="F367" i="22" s="1"/>
  <c r="W359" i="22"/>
  <c r="D359" i="22"/>
  <c r="E359" i="22" s="1"/>
  <c r="F359" i="22" s="1"/>
  <c r="D351" i="22"/>
  <c r="E351" i="22" s="1"/>
  <c r="F351" i="22" s="1"/>
  <c r="W351" i="22"/>
  <c r="D343" i="22"/>
  <c r="E343" i="22" s="1"/>
  <c r="F343" i="22" s="1"/>
  <c r="W343" i="22"/>
  <c r="D335" i="22"/>
  <c r="E335" i="22" s="1"/>
  <c r="F335" i="22" s="1"/>
  <c r="W335" i="22"/>
  <c r="D327" i="22"/>
  <c r="E327" i="22" s="1"/>
  <c r="F327" i="22" s="1"/>
  <c r="W327" i="22"/>
  <c r="W319" i="22"/>
  <c r="D319" i="22"/>
  <c r="E319" i="22" s="1"/>
  <c r="F319" i="22" s="1"/>
  <c r="D311" i="22"/>
  <c r="E311" i="22" s="1"/>
  <c r="F311" i="22" s="1"/>
  <c r="W311" i="22"/>
  <c r="D303" i="22"/>
  <c r="E303" i="22" s="1"/>
  <c r="F303" i="22" s="1"/>
  <c r="W303" i="22"/>
  <c r="W279" i="22"/>
  <c r="D279" i="22"/>
  <c r="E279" i="22" s="1"/>
  <c r="F279" i="22" s="1"/>
  <c r="W377" i="22"/>
  <c r="D377" i="22"/>
  <c r="E377" i="22" s="1"/>
  <c r="F377" i="22" s="1"/>
  <c r="W373" i="22"/>
  <c r="D373" i="22"/>
  <c r="E373" i="22" s="1"/>
  <c r="F373" i="22" s="1"/>
  <c r="W369" i="22"/>
  <c r="D369" i="22"/>
  <c r="E369" i="22" s="1"/>
  <c r="F369" i="22" s="1"/>
  <c r="D365" i="22"/>
  <c r="E365" i="22" s="1"/>
  <c r="F365" i="22" s="1"/>
  <c r="W365" i="22"/>
  <c r="W361" i="22"/>
  <c r="D361" i="22"/>
  <c r="E361" i="22" s="1"/>
  <c r="F361" i="22" s="1"/>
  <c r="D357" i="22"/>
  <c r="E357" i="22" s="1"/>
  <c r="F357" i="22" s="1"/>
  <c r="W357" i="22"/>
  <c r="W353" i="22"/>
  <c r="D353" i="22"/>
  <c r="E353" i="22" s="1"/>
  <c r="F353" i="22" s="1"/>
  <c r="D349" i="22"/>
  <c r="E349" i="22" s="1"/>
  <c r="F349" i="22" s="1"/>
  <c r="W349" i="22"/>
  <c r="D345" i="22"/>
  <c r="E345" i="22" s="1"/>
  <c r="F345" i="22" s="1"/>
  <c r="W345" i="22"/>
  <c r="W341" i="22"/>
  <c r="D341" i="22"/>
  <c r="E341" i="22" s="1"/>
  <c r="F341" i="22" s="1"/>
  <c r="W337" i="22"/>
  <c r="D337" i="22"/>
  <c r="E337" i="22" s="1"/>
  <c r="F337" i="22" s="1"/>
  <c r="AH42" i="7"/>
  <c r="V333" i="22"/>
  <c r="W329" i="22"/>
  <c r="D329" i="22"/>
  <c r="E329" i="22" s="1"/>
  <c r="F329" i="22" s="1"/>
  <c r="D325" i="22"/>
  <c r="E325" i="22" s="1"/>
  <c r="F325" i="22" s="1"/>
  <c r="W325" i="22"/>
  <c r="D321" i="22"/>
  <c r="E321" i="22" s="1"/>
  <c r="F321" i="22" s="1"/>
  <c r="W321" i="22"/>
  <c r="D317" i="22"/>
  <c r="E317" i="22" s="1"/>
  <c r="F317" i="22" s="1"/>
  <c r="W317" i="22"/>
  <c r="W313" i="22"/>
  <c r="D313" i="22"/>
  <c r="E313" i="22" s="1"/>
  <c r="F313" i="22" s="1"/>
  <c r="D309" i="22"/>
  <c r="E309" i="22" s="1"/>
  <c r="F309" i="22" s="1"/>
  <c r="W309" i="22"/>
  <c r="W305" i="22"/>
  <c r="D305" i="22"/>
  <c r="E305" i="22" s="1"/>
  <c r="F305" i="22" s="1"/>
  <c r="D301" i="22"/>
  <c r="E301" i="22" s="1"/>
  <c r="F301" i="22" s="1"/>
  <c r="W301" i="22"/>
  <c r="D297" i="22"/>
  <c r="E297" i="22" s="1"/>
  <c r="F297" i="22" s="1"/>
  <c r="W297" i="22"/>
  <c r="W293" i="22"/>
  <c r="D293" i="22"/>
  <c r="E293" i="22" s="1"/>
  <c r="F293" i="22" s="1"/>
  <c r="D289" i="22"/>
  <c r="E289" i="22" s="1"/>
  <c r="F289" i="22" s="1"/>
  <c r="W289" i="22"/>
  <c r="D285" i="22"/>
  <c r="E285" i="22" s="1"/>
  <c r="F285" i="22" s="1"/>
  <c r="W285" i="22"/>
  <c r="D281" i="22"/>
  <c r="E281" i="22" s="1"/>
  <c r="F281" i="22" s="1"/>
  <c r="W281" i="22"/>
  <c r="W277" i="22"/>
  <c r="D277" i="22"/>
  <c r="E277" i="22" s="1"/>
  <c r="F277" i="22" s="1"/>
  <c r="D273" i="22"/>
  <c r="E273" i="22" s="1"/>
  <c r="F273" i="22" s="1"/>
  <c r="W273" i="22"/>
  <c r="D269" i="22"/>
  <c r="E269" i="22" s="1"/>
  <c r="F269" i="22" s="1"/>
  <c r="W269" i="22"/>
  <c r="D265" i="22"/>
  <c r="E265" i="22" s="1"/>
  <c r="F265" i="22" s="1"/>
  <c r="W265" i="22"/>
  <c r="D261" i="22"/>
  <c r="E261" i="22" s="1"/>
  <c r="F261" i="22" s="1"/>
  <c r="W261" i="22"/>
  <c r="W257" i="22"/>
  <c r="D257" i="22"/>
  <c r="E257" i="22" s="1"/>
  <c r="F257" i="22" s="1"/>
  <c r="W253" i="22"/>
  <c r="D253" i="22"/>
  <c r="E253" i="22" s="1"/>
  <c r="F253" i="22" s="1"/>
  <c r="D249" i="22"/>
  <c r="E249" i="22" s="1"/>
  <c r="F249" i="22" s="1"/>
  <c r="W249" i="22"/>
  <c r="W245" i="22"/>
  <c r="D245" i="22"/>
  <c r="E245" i="22" s="1"/>
  <c r="F245" i="22" s="1"/>
  <c r="AH39" i="7"/>
  <c r="V241" i="22"/>
  <c r="D237" i="22"/>
  <c r="E237" i="22" s="1"/>
  <c r="F237" i="22" s="1"/>
  <c r="W237" i="22"/>
  <c r="W233" i="22"/>
  <c r="D233" i="22"/>
  <c r="E233" i="22" s="1"/>
  <c r="F233" i="22" s="1"/>
  <c r="W229" i="22"/>
  <c r="D229" i="22"/>
  <c r="E229" i="22" s="1"/>
  <c r="F229" i="22" s="1"/>
  <c r="D225" i="22"/>
  <c r="E225" i="22" s="1"/>
  <c r="F225" i="22" s="1"/>
  <c r="W225" i="22"/>
  <c r="D221" i="22"/>
  <c r="E221" i="22" s="1"/>
  <c r="F221" i="22" s="1"/>
  <c r="W221" i="22"/>
  <c r="W217" i="22"/>
  <c r="D217" i="22"/>
  <c r="E217" i="22" s="1"/>
  <c r="F217" i="22" s="1"/>
  <c r="D213" i="22"/>
  <c r="E213" i="22" s="1"/>
  <c r="F213" i="22" s="1"/>
  <c r="W213" i="22"/>
  <c r="D209" i="22"/>
  <c r="E209" i="22" s="1"/>
  <c r="F209" i="22" s="1"/>
  <c r="W209" i="22"/>
  <c r="D205" i="22"/>
  <c r="E205" i="22" s="1"/>
  <c r="F205" i="22" s="1"/>
  <c r="W205" i="22"/>
  <c r="D201" i="22"/>
  <c r="E201" i="22" s="1"/>
  <c r="F201" i="22" s="1"/>
  <c r="W201" i="22"/>
  <c r="W197" i="22"/>
  <c r="D197" i="22"/>
  <c r="E197" i="22" s="1"/>
  <c r="F197" i="22" s="1"/>
  <c r="D193" i="22"/>
  <c r="E193" i="22" s="1"/>
  <c r="F193" i="22" s="1"/>
  <c r="W193" i="22"/>
  <c r="W189" i="22"/>
  <c r="D189" i="22"/>
  <c r="E189" i="22" s="1"/>
  <c r="F189" i="22" s="1"/>
  <c r="W185" i="22"/>
  <c r="D185" i="22"/>
  <c r="E185" i="22" s="1"/>
  <c r="F185" i="22" s="1"/>
  <c r="W181" i="22"/>
  <c r="D181" i="22"/>
  <c r="E181" i="22" s="1"/>
  <c r="F181" i="22" s="1"/>
  <c r="D177" i="22"/>
  <c r="E177" i="22" s="1"/>
  <c r="F177" i="22" s="1"/>
  <c r="W177" i="22"/>
  <c r="D173" i="22"/>
  <c r="E173" i="22" s="1"/>
  <c r="F173" i="22" s="1"/>
  <c r="W173" i="22"/>
  <c r="D169" i="22"/>
  <c r="E169" i="22" s="1"/>
  <c r="F169" i="22" s="1"/>
  <c r="W169" i="22"/>
  <c r="W165" i="22"/>
  <c r="D165" i="22"/>
  <c r="E165" i="22" s="1"/>
  <c r="F165" i="22" s="1"/>
  <c r="W161" i="22"/>
  <c r="D161" i="22"/>
  <c r="E161" i="22" s="1"/>
  <c r="F161" i="22" s="1"/>
  <c r="D157" i="22"/>
  <c r="E157" i="22" s="1"/>
  <c r="F157" i="22" s="1"/>
  <c r="W157" i="22"/>
  <c r="D153" i="22"/>
  <c r="E153" i="22" s="1"/>
  <c r="F153" i="22" s="1"/>
  <c r="W153" i="22"/>
  <c r="AH36" i="7"/>
  <c r="V149" i="22"/>
  <c r="W145" i="22"/>
  <c r="D145" i="22"/>
  <c r="E145" i="22" s="1"/>
  <c r="F145" i="22" s="1"/>
  <c r="W141" i="22"/>
  <c r="D141" i="22"/>
  <c r="E141" i="22" s="1"/>
  <c r="F141" i="22" s="1"/>
  <c r="W137" i="22"/>
  <c r="D137" i="22"/>
  <c r="E137" i="22" s="1"/>
  <c r="F137" i="22" s="1"/>
  <c r="D133" i="22"/>
  <c r="E133" i="22" s="1"/>
  <c r="F133" i="22" s="1"/>
  <c r="W133" i="22"/>
  <c r="W129" i="22"/>
  <c r="D129" i="22"/>
  <c r="E129" i="22" s="1"/>
  <c r="F129" i="22" s="1"/>
  <c r="D125" i="22"/>
  <c r="E125" i="22" s="1"/>
  <c r="F125" i="22" s="1"/>
  <c r="W125" i="22"/>
  <c r="W121" i="22"/>
  <c r="D121" i="22"/>
  <c r="E121" i="22" s="1"/>
  <c r="F121" i="22" s="1"/>
  <c r="D117" i="22"/>
  <c r="E117" i="22" s="1"/>
  <c r="F117" i="22" s="1"/>
  <c r="W117" i="22"/>
  <c r="D113" i="22"/>
  <c r="E113" i="22" s="1"/>
  <c r="F113" i="22" s="1"/>
  <c r="W113" i="22"/>
  <c r="W109" i="22"/>
  <c r="D109" i="22"/>
  <c r="E109" i="22" s="1"/>
  <c r="F109" i="22" s="1"/>
  <c r="D105" i="22"/>
  <c r="E105" i="22" s="1"/>
  <c r="F105" i="22" s="1"/>
  <c r="W105" i="22"/>
  <c r="D101" i="22"/>
  <c r="E101" i="22" s="1"/>
  <c r="F101" i="22" s="1"/>
  <c r="W101" i="22"/>
  <c r="D97" i="22"/>
  <c r="E97" i="22" s="1"/>
  <c r="F97" i="22" s="1"/>
  <c r="W97" i="22"/>
  <c r="W93" i="22"/>
  <c r="D93" i="22"/>
  <c r="E93" i="22" s="1"/>
  <c r="F93" i="22" s="1"/>
  <c r="W89" i="22"/>
  <c r="D89" i="22"/>
  <c r="E89" i="22" s="1"/>
  <c r="F89" i="22" s="1"/>
  <c r="W85" i="22"/>
  <c r="D85" i="22"/>
  <c r="E85" i="22" s="1"/>
  <c r="F85" i="22" s="1"/>
  <c r="D81" i="22"/>
  <c r="E81" i="22" s="1"/>
  <c r="F81" i="22" s="1"/>
  <c r="W81" i="22"/>
  <c r="D77" i="22"/>
  <c r="E77" i="22" s="1"/>
  <c r="F77" i="22" s="1"/>
  <c r="W77" i="22"/>
  <c r="D73" i="22"/>
  <c r="E73" i="22" s="1"/>
  <c r="F73" i="22" s="1"/>
  <c r="W73" i="22"/>
  <c r="W69" i="22"/>
  <c r="D69" i="22"/>
  <c r="E69" i="22" s="1"/>
  <c r="F69" i="22" s="1"/>
  <c r="D65" i="22"/>
  <c r="E65" i="22" s="1"/>
  <c r="F65" i="22" s="1"/>
  <c r="W65" i="22"/>
  <c r="D61" i="22"/>
  <c r="E61" i="22" s="1"/>
  <c r="F61" i="22" s="1"/>
  <c r="W61" i="22"/>
  <c r="D57" i="22"/>
  <c r="E57" i="22" s="1"/>
  <c r="F57" i="22" s="1"/>
  <c r="W57" i="22"/>
  <c r="D53" i="22"/>
  <c r="E53" i="22" s="1"/>
  <c r="F53" i="22" s="1"/>
  <c r="W53" i="22"/>
  <c r="D49" i="22"/>
  <c r="E49" i="22" s="1"/>
  <c r="F49" i="22" s="1"/>
  <c r="W49" i="22"/>
  <c r="D45" i="22"/>
  <c r="E45" i="22" s="1"/>
  <c r="F45" i="22" s="1"/>
  <c r="W45" i="22"/>
  <c r="D41" i="22"/>
  <c r="E41" i="22" s="1"/>
  <c r="F41" i="22" s="1"/>
  <c r="W41" i="22"/>
  <c r="W37" i="22"/>
  <c r="D37" i="22"/>
  <c r="E37" i="22" s="1"/>
  <c r="F37" i="22" s="1"/>
  <c r="W33" i="22"/>
  <c r="D33" i="22"/>
  <c r="E33" i="22" s="1"/>
  <c r="F33" i="22" s="1"/>
  <c r="AH32" i="7"/>
  <c r="V29" i="22"/>
  <c r="B29" i="22" s="1"/>
  <c r="W25" i="22"/>
  <c r="D25" i="22"/>
  <c r="E25" i="22" s="1"/>
  <c r="F25" i="22" s="1"/>
  <c r="D21" i="22"/>
  <c r="E21" i="22" s="1"/>
  <c r="F21" i="22" s="1"/>
  <c r="W21" i="22"/>
  <c r="W376" i="22"/>
  <c r="D376" i="22"/>
  <c r="E376" i="22" s="1"/>
  <c r="F376" i="22" s="1"/>
  <c r="D372" i="22"/>
  <c r="E372" i="22" s="1"/>
  <c r="F372" i="22" s="1"/>
  <c r="W372" i="22"/>
  <c r="D368" i="22"/>
  <c r="E368" i="22" s="1"/>
  <c r="F368" i="22" s="1"/>
  <c r="W368" i="22"/>
  <c r="W364" i="22"/>
  <c r="D364" i="22"/>
  <c r="E364" i="22" s="1"/>
  <c r="F364" i="22" s="1"/>
  <c r="D360" i="22"/>
  <c r="E360" i="22" s="1"/>
  <c r="F360" i="22" s="1"/>
  <c r="W360" i="22"/>
  <c r="W356" i="22"/>
  <c r="D356" i="22"/>
  <c r="E356" i="22" s="1"/>
  <c r="F356" i="22" s="1"/>
  <c r="D352" i="22"/>
  <c r="E352" i="22" s="1"/>
  <c r="F352" i="22" s="1"/>
  <c r="W352" i="22"/>
  <c r="D348" i="22"/>
  <c r="E348" i="22" s="1"/>
  <c r="F348" i="22" s="1"/>
  <c r="W348" i="22"/>
  <c r="W344" i="22"/>
  <c r="D344" i="22"/>
  <c r="E344" i="22" s="1"/>
  <c r="F344" i="22" s="1"/>
  <c r="W340" i="22"/>
  <c r="D340" i="22"/>
  <c r="E340" i="22" s="1"/>
  <c r="F340" i="22" s="1"/>
  <c r="W336" i="22"/>
  <c r="D336" i="22"/>
  <c r="E336" i="22" s="1"/>
  <c r="F336" i="22" s="1"/>
  <c r="D332" i="22"/>
  <c r="E332" i="22" s="1"/>
  <c r="F332" i="22" s="1"/>
  <c r="W332" i="22"/>
  <c r="W328" i="22"/>
  <c r="D328" i="22"/>
  <c r="E328" i="22" s="1"/>
  <c r="F328" i="22" s="1"/>
  <c r="W324" i="22"/>
  <c r="D324" i="22"/>
  <c r="E324" i="22" s="1"/>
  <c r="F324" i="22" s="1"/>
  <c r="D320" i="22"/>
  <c r="E320" i="22" s="1"/>
  <c r="F320" i="22" s="1"/>
  <c r="W320" i="22"/>
  <c r="D316" i="22"/>
  <c r="E316" i="22" s="1"/>
  <c r="F316" i="22" s="1"/>
  <c r="W316" i="22"/>
  <c r="W312" i="22"/>
  <c r="D312" i="22"/>
  <c r="E312" i="22" s="1"/>
  <c r="F312" i="22" s="1"/>
  <c r="W308" i="22"/>
  <c r="D308" i="22"/>
  <c r="E308" i="22" s="1"/>
  <c r="F308" i="22" s="1"/>
  <c r="D304" i="22"/>
  <c r="E304" i="22" s="1"/>
  <c r="F304" i="22" s="1"/>
  <c r="W304" i="22"/>
  <c r="W300" i="22"/>
  <c r="D300" i="22"/>
  <c r="E300" i="22" s="1"/>
  <c r="F300" i="22" s="1"/>
  <c r="D296" i="22"/>
  <c r="E296" i="22" s="1"/>
  <c r="F296" i="22" s="1"/>
  <c r="W296" i="22"/>
  <c r="D292" i="22"/>
  <c r="E292" i="22" s="1"/>
  <c r="F292" i="22" s="1"/>
  <c r="W292" i="22"/>
  <c r="D288" i="22"/>
  <c r="E288" i="22" s="1"/>
  <c r="F288" i="22" s="1"/>
  <c r="W288" i="22"/>
  <c r="D284" i="22"/>
  <c r="E284" i="22" s="1"/>
  <c r="F284" i="22" s="1"/>
  <c r="W284" i="22"/>
  <c r="W280" i="22"/>
  <c r="D280" i="22"/>
  <c r="E280" i="22" s="1"/>
  <c r="F280" i="22" s="1"/>
  <c r="D276" i="22"/>
  <c r="E276" i="22" s="1"/>
  <c r="F276" i="22" s="1"/>
  <c r="W276" i="22"/>
  <c r="AH40" i="7"/>
  <c r="V272" i="22"/>
  <c r="D268" i="22"/>
  <c r="E268" i="22" s="1"/>
  <c r="F268" i="22" s="1"/>
  <c r="W268" i="22"/>
  <c r="D264" i="22"/>
  <c r="E264" i="22" s="1"/>
  <c r="F264" i="22" s="1"/>
  <c r="W264" i="22"/>
  <c r="W260" i="22"/>
  <c r="D260" i="22"/>
  <c r="E260" i="22" s="1"/>
  <c r="F260" i="22" s="1"/>
  <c r="W256" i="22"/>
  <c r="D256" i="22"/>
  <c r="E256" i="22" s="1"/>
  <c r="F256" i="22" s="1"/>
  <c r="W252" i="22"/>
  <c r="D252" i="22"/>
  <c r="E252" i="22" s="1"/>
  <c r="F252" i="22" s="1"/>
  <c r="W248" i="22"/>
  <c r="D248" i="22"/>
  <c r="E248" i="22" s="1"/>
  <c r="F248" i="22" s="1"/>
  <c r="D244" i="22"/>
  <c r="E244" i="22" s="1"/>
  <c r="F244" i="22" s="1"/>
  <c r="W244" i="22"/>
  <c r="D240" i="22"/>
  <c r="E240" i="22" s="1"/>
  <c r="F240" i="22" s="1"/>
  <c r="W240" i="22"/>
  <c r="W236" i="22"/>
  <c r="D236" i="22"/>
  <c r="E236" i="22" s="1"/>
  <c r="F236" i="22" s="1"/>
  <c r="D232" i="22"/>
  <c r="E232" i="22" s="1"/>
  <c r="F232" i="22" s="1"/>
  <c r="W232" i="22"/>
  <c r="D228" i="22"/>
  <c r="E228" i="22" s="1"/>
  <c r="F228" i="22" s="1"/>
  <c r="W228" i="22"/>
  <c r="D224" i="22"/>
  <c r="E224" i="22" s="1"/>
  <c r="F224" i="22" s="1"/>
  <c r="W224" i="22"/>
  <c r="D220" i="22"/>
  <c r="E220" i="22" s="1"/>
  <c r="F220" i="22" s="1"/>
  <c r="W220" i="22"/>
  <c r="D216" i="22"/>
  <c r="E216" i="22" s="1"/>
  <c r="F216" i="22" s="1"/>
  <c r="W216" i="22"/>
  <c r="D212" i="22"/>
  <c r="E212" i="22" s="1"/>
  <c r="F212" i="22" s="1"/>
  <c r="W212" i="22"/>
  <c r="D208" i="22"/>
  <c r="E208" i="22" s="1"/>
  <c r="F208" i="22" s="1"/>
  <c r="W208" i="22"/>
  <c r="D204" i="22"/>
  <c r="E204" i="22" s="1"/>
  <c r="F204" i="22" s="1"/>
  <c r="W204" i="22"/>
  <c r="D200" i="22"/>
  <c r="E200" i="22" s="1"/>
  <c r="F200" i="22" s="1"/>
  <c r="W200" i="22"/>
  <c r="W196" i="22"/>
  <c r="D196" i="22"/>
  <c r="E196" i="22" s="1"/>
  <c r="F196" i="22" s="1"/>
  <c r="W192" i="22"/>
  <c r="D192" i="22"/>
  <c r="E192" i="22" s="1"/>
  <c r="F192" i="22" s="1"/>
  <c r="D188" i="22"/>
  <c r="E188" i="22" s="1"/>
  <c r="F188" i="22" s="1"/>
  <c r="W188" i="22"/>
  <c r="D184" i="22"/>
  <c r="E184" i="22" s="1"/>
  <c r="F184" i="22" s="1"/>
  <c r="W184" i="22"/>
  <c r="AH37" i="7"/>
  <c r="V180" i="22"/>
  <c r="D176" i="22"/>
  <c r="E176" i="22" s="1"/>
  <c r="F176" i="22" s="1"/>
  <c r="W176" i="22"/>
  <c r="W172" i="22"/>
  <c r="D172" i="22"/>
  <c r="E172" i="22" s="1"/>
  <c r="F172" i="22" s="1"/>
  <c r="D168" i="22"/>
  <c r="E168" i="22" s="1"/>
  <c r="F168" i="22" s="1"/>
  <c r="W168" i="22"/>
  <c r="D164" i="22"/>
  <c r="E164" i="22" s="1"/>
  <c r="F164" i="22" s="1"/>
  <c r="W164" i="22"/>
  <c r="W160" i="22"/>
  <c r="D160" i="22"/>
  <c r="E160" i="22" s="1"/>
  <c r="F160" i="22" s="1"/>
  <c r="W156" i="22"/>
  <c r="D156" i="22"/>
  <c r="E156" i="22" s="1"/>
  <c r="F156" i="22" s="1"/>
  <c r="W152" i="22"/>
  <c r="D152" i="22"/>
  <c r="E152" i="22" s="1"/>
  <c r="F152" i="22" s="1"/>
  <c r="D148" i="22"/>
  <c r="E148" i="22" s="1"/>
  <c r="F148" i="22" s="1"/>
  <c r="W148" i="22"/>
  <c r="D144" i="22"/>
  <c r="E144" i="22" s="1"/>
  <c r="F144" i="22" s="1"/>
  <c r="W144" i="22"/>
  <c r="D140" i="22"/>
  <c r="E140" i="22" s="1"/>
  <c r="F140" i="22" s="1"/>
  <c r="W140" i="22"/>
  <c r="W136" i="22"/>
  <c r="D136" i="22"/>
  <c r="E136" i="22" s="1"/>
  <c r="F136" i="22" s="1"/>
  <c r="W132" i="22"/>
  <c r="D132" i="22"/>
  <c r="E132" i="22" s="1"/>
  <c r="F132" i="22" s="1"/>
  <c r="W128" i="22"/>
  <c r="D128" i="22"/>
  <c r="E128" i="22" s="1"/>
  <c r="F128" i="22" s="1"/>
  <c r="D124" i="22"/>
  <c r="E124" i="22" s="1"/>
  <c r="F124" i="22" s="1"/>
  <c r="W124" i="22"/>
  <c r="D120" i="22"/>
  <c r="E120" i="22" s="1"/>
  <c r="F120" i="22" s="1"/>
  <c r="W120" i="22"/>
  <c r="W116" i="22"/>
  <c r="D116" i="22"/>
  <c r="E116" i="22" s="1"/>
  <c r="F116" i="22" s="1"/>
  <c r="W112" i="22"/>
  <c r="D112" i="22"/>
  <c r="E112" i="22" s="1"/>
  <c r="F112" i="22" s="1"/>
  <c r="D108" i="22"/>
  <c r="E108" i="22" s="1"/>
  <c r="F108" i="22" s="1"/>
  <c r="W108" i="22"/>
  <c r="D104" i="22"/>
  <c r="E104" i="22" s="1"/>
  <c r="F104" i="22" s="1"/>
  <c r="W104" i="22"/>
  <c r="D100" i="22"/>
  <c r="E100" i="22" s="1"/>
  <c r="F100" i="22" s="1"/>
  <c r="W100" i="22"/>
  <c r="D96" i="22"/>
  <c r="E96" i="22" s="1"/>
  <c r="F96" i="22" s="1"/>
  <c r="W96" i="22"/>
  <c r="D92" i="22"/>
  <c r="E92" i="22" s="1"/>
  <c r="F92" i="22" s="1"/>
  <c r="W92" i="22"/>
  <c r="AH34" i="7"/>
  <c r="V88" i="22"/>
  <c r="W84" i="22"/>
  <c r="D84" i="22"/>
  <c r="E84" i="22" s="1"/>
  <c r="F84" i="22" s="1"/>
  <c r="D80" i="22"/>
  <c r="E80" i="22" s="1"/>
  <c r="F80" i="22" s="1"/>
  <c r="W80" i="22"/>
  <c r="W76" i="22"/>
  <c r="D76" i="22"/>
  <c r="E76" i="22" s="1"/>
  <c r="F76" i="22" s="1"/>
  <c r="W72" i="22"/>
  <c r="D72" i="22"/>
  <c r="E72" i="22" s="1"/>
  <c r="F72" i="22" s="1"/>
  <c r="W68" i="22"/>
  <c r="D68" i="22"/>
  <c r="E68" i="22" s="1"/>
  <c r="F68" i="22" s="1"/>
  <c r="D64" i="22"/>
  <c r="E64" i="22" s="1"/>
  <c r="F64" i="22" s="1"/>
  <c r="W64" i="22"/>
  <c r="AH33" i="7"/>
  <c r="V60" i="22"/>
  <c r="D56" i="22"/>
  <c r="E56" i="22" s="1"/>
  <c r="F56" i="22" s="1"/>
  <c r="W56" i="22"/>
  <c r="D52" i="22"/>
  <c r="E52" i="22" s="1"/>
  <c r="F52" i="22" s="1"/>
  <c r="W52" i="22"/>
  <c r="D48" i="22"/>
  <c r="E48" i="22" s="1"/>
  <c r="F48" i="22" s="1"/>
  <c r="W48" i="22"/>
  <c r="W44" i="22"/>
  <c r="D44" i="22"/>
  <c r="E44" i="22" s="1"/>
  <c r="F44" i="22" s="1"/>
  <c r="W40" i="22"/>
  <c r="D40" i="22"/>
  <c r="E40" i="22" s="1"/>
  <c r="F40" i="22" s="1"/>
  <c r="W36" i="22"/>
  <c r="D36" i="22"/>
  <c r="E36" i="22" s="1"/>
  <c r="F36" i="22" s="1"/>
  <c r="D32" i="22"/>
  <c r="E32" i="22" s="1"/>
  <c r="F32" i="22" s="1"/>
  <c r="W32" i="22"/>
  <c r="D28" i="22"/>
  <c r="E28" i="22" s="1"/>
  <c r="F28" i="22" s="1"/>
  <c r="W28" i="22"/>
  <c r="W24" i="22"/>
  <c r="D24" i="22"/>
  <c r="E24" i="22" s="1"/>
  <c r="F24" i="22" s="1"/>
  <c r="D20" i="22"/>
  <c r="E20" i="22" s="1"/>
  <c r="F20" i="22" s="1"/>
  <c r="W20" i="22"/>
  <c r="W19" i="22"/>
  <c r="D19" i="22"/>
  <c r="E19" i="22" s="1"/>
  <c r="F19" i="22" s="1"/>
  <c r="J315" i="20"/>
  <c r="I315" i="20"/>
  <c r="I279" i="20"/>
  <c r="J279" i="20"/>
  <c r="J267" i="20"/>
  <c r="I267" i="20"/>
  <c r="J263" i="20"/>
  <c r="I263" i="20"/>
  <c r="I375" i="20"/>
  <c r="J375" i="20"/>
  <c r="I371" i="20"/>
  <c r="J371" i="20"/>
  <c r="I343" i="20"/>
  <c r="H343" i="22" s="1"/>
  <c r="J343" i="20"/>
  <c r="J311" i="20"/>
  <c r="I311" i="20"/>
  <c r="I307" i="20"/>
  <c r="J307" i="20"/>
  <c r="I303" i="20"/>
  <c r="J303" i="20"/>
  <c r="J283" i="20"/>
  <c r="I283" i="20"/>
  <c r="I259" i="20"/>
  <c r="J259" i="20"/>
  <c r="I235" i="20"/>
  <c r="J235" i="20"/>
  <c r="J191" i="20"/>
  <c r="I191" i="20"/>
  <c r="J171" i="20"/>
  <c r="I171" i="20"/>
  <c r="J139" i="20"/>
  <c r="I139" i="20"/>
  <c r="I123" i="20"/>
  <c r="J123" i="20"/>
  <c r="J115" i="20"/>
  <c r="I115" i="20"/>
  <c r="J83" i="20"/>
  <c r="I83" i="20"/>
  <c r="I47" i="20"/>
  <c r="J47" i="20"/>
  <c r="J35" i="20"/>
  <c r="I35" i="20"/>
  <c r="J19" i="20"/>
  <c r="I19" i="20"/>
  <c r="H19" i="22" s="1"/>
  <c r="I370" i="20"/>
  <c r="J370" i="20"/>
  <c r="J358" i="20"/>
  <c r="I358" i="20"/>
  <c r="H358" i="22" s="1"/>
  <c r="J330" i="20"/>
  <c r="I330" i="20"/>
  <c r="H330" i="22" s="1"/>
  <c r="J310" i="20"/>
  <c r="I310" i="20"/>
  <c r="I294" i="20"/>
  <c r="H294" i="22" s="1"/>
  <c r="J294" i="20"/>
  <c r="I286" i="20"/>
  <c r="H286" i="22" s="1"/>
  <c r="J286" i="20"/>
  <c r="I250" i="20"/>
  <c r="J250" i="20"/>
  <c r="J234" i="20"/>
  <c r="I234" i="20"/>
  <c r="I226" i="20"/>
  <c r="J226" i="20"/>
  <c r="J190" i="20"/>
  <c r="I190" i="20"/>
  <c r="I162" i="20"/>
  <c r="J162" i="20"/>
  <c r="J118" i="20"/>
  <c r="I118" i="20"/>
  <c r="J110" i="20"/>
  <c r="I110" i="20"/>
  <c r="H110" i="22" s="1"/>
  <c r="I98" i="20"/>
  <c r="H98" i="22" s="1"/>
  <c r="J98" i="20"/>
  <c r="J82" i="20"/>
  <c r="I82" i="20"/>
  <c r="H82" i="22" s="1"/>
  <c r="J34" i="20"/>
  <c r="I34" i="20"/>
  <c r="H34" i="22" s="1"/>
  <c r="J365" i="20"/>
  <c r="I365" i="20"/>
  <c r="J337" i="20"/>
  <c r="I337" i="20"/>
  <c r="H337" i="22" s="1"/>
  <c r="I309" i="20"/>
  <c r="H309" i="22" s="1"/>
  <c r="J309" i="20"/>
  <c r="I277" i="20"/>
  <c r="J277" i="20"/>
  <c r="J249" i="20"/>
  <c r="I249" i="20"/>
  <c r="I245" i="20"/>
  <c r="J245" i="20"/>
  <c r="I233" i="20"/>
  <c r="J233" i="20"/>
  <c r="J217" i="20"/>
  <c r="I217" i="20"/>
  <c r="I177" i="20"/>
  <c r="H177" i="22" s="1"/>
  <c r="J177" i="20"/>
  <c r="I153" i="20"/>
  <c r="H153" i="22" s="1"/>
  <c r="J153" i="20"/>
  <c r="G105" i="20"/>
  <c r="CB105" i="6" s="1"/>
  <c r="H105" i="20"/>
  <c r="AA105" i="20"/>
  <c r="Z105" i="20" s="1"/>
  <c r="Y105" i="20" s="1"/>
  <c r="I101" i="20"/>
  <c r="J101" i="20"/>
  <c r="J93" i="20"/>
  <c r="I93" i="20"/>
  <c r="J21" i="20"/>
  <c r="I21" i="20"/>
  <c r="H21" i="22" s="1"/>
  <c r="J352" i="20"/>
  <c r="I352" i="20"/>
  <c r="J344" i="20"/>
  <c r="I344" i="20"/>
  <c r="J336" i="20"/>
  <c r="I336" i="20"/>
  <c r="I328" i="20"/>
  <c r="J328" i="20"/>
  <c r="J292" i="20"/>
  <c r="I292" i="20"/>
  <c r="H292" i="22" s="1"/>
  <c r="I260" i="20"/>
  <c r="H260" i="22" s="1"/>
  <c r="J260" i="20"/>
  <c r="I248" i="20"/>
  <c r="H248" i="22" s="1"/>
  <c r="J248" i="20"/>
  <c r="J224" i="20"/>
  <c r="I224" i="20"/>
  <c r="H224" i="22" s="1"/>
  <c r="J208" i="20"/>
  <c r="I208" i="20"/>
  <c r="H208" i="22" s="1"/>
  <c r="H196" i="20"/>
  <c r="G196" i="20"/>
  <c r="CB196" i="6" s="1"/>
  <c r="AA196" i="20"/>
  <c r="Z196" i="20" s="1"/>
  <c r="Y196" i="20" s="1"/>
  <c r="I164" i="20"/>
  <c r="H164" i="22" s="1"/>
  <c r="J164" i="20"/>
  <c r="I132" i="20"/>
  <c r="J132" i="20"/>
  <c r="J128" i="20"/>
  <c r="I128" i="20"/>
  <c r="H128" i="22" s="1"/>
  <c r="J96" i="20"/>
  <c r="I96" i="20"/>
  <c r="J84" i="20"/>
  <c r="I84" i="20"/>
  <c r="H84" i="22" s="1"/>
  <c r="I56" i="20"/>
  <c r="H56" i="22" s="1"/>
  <c r="J56" i="20"/>
  <c r="I48" i="20"/>
  <c r="H48" i="22" s="1"/>
  <c r="J48" i="20"/>
  <c r="J44" i="20"/>
  <c r="I44" i="20"/>
  <c r="H44" i="22" s="1"/>
  <c r="J24" i="20"/>
  <c r="I24" i="20"/>
  <c r="I20" i="20"/>
  <c r="H20" i="22" s="1"/>
  <c r="J20" i="20"/>
  <c r="Z11" i="16"/>
  <c r="Z5" i="16" s="1"/>
  <c r="H13" i="19" s="1"/>
  <c r="J13" i="19"/>
  <c r="AA11" i="16"/>
  <c r="AA5" i="16" s="1"/>
  <c r="I13" i="19" s="1"/>
  <c r="I379" i="18"/>
  <c r="B379" i="6" s="1"/>
  <c r="BA379" i="6" s="1"/>
  <c r="J379" i="18"/>
  <c r="C379" i="6" s="1"/>
  <c r="W15" i="18"/>
  <c r="D15" i="18"/>
  <c r="AJ7" i="18" s="1"/>
  <c r="B382" i="18"/>
  <c r="AK6" i="18"/>
  <c r="B383" i="18"/>
  <c r="H9" i="18"/>
  <c r="B15" i="19" s="1"/>
  <c r="B381" i="18"/>
  <c r="AJ6" i="18"/>
  <c r="D119" i="6"/>
  <c r="U4" i="6"/>
  <c r="AH4" i="6"/>
  <c r="W4" i="6"/>
  <c r="J381" i="17"/>
  <c r="H363" i="20"/>
  <c r="G363" i="20"/>
  <c r="CB363" i="6" s="1"/>
  <c r="AA363" i="20"/>
  <c r="Z363" i="20" s="1"/>
  <c r="Y363" i="20" s="1"/>
  <c r="J359" i="20"/>
  <c r="I359" i="20"/>
  <c r="I347" i="20"/>
  <c r="J347" i="20"/>
  <c r="J335" i="20"/>
  <c r="I335" i="20"/>
  <c r="J327" i="20"/>
  <c r="I327" i="20"/>
  <c r="H327" i="22" s="1"/>
  <c r="J295" i="20"/>
  <c r="I295" i="20"/>
  <c r="I287" i="20"/>
  <c r="J287" i="20"/>
  <c r="I255" i="20"/>
  <c r="J255" i="20"/>
  <c r="I247" i="20"/>
  <c r="J247" i="20"/>
  <c r="J239" i="20"/>
  <c r="I239" i="20"/>
  <c r="H227" i="20"/>
  <c r="AA227" i="20"/>
  <c r="Z227" i="20" s="1"/>
  <c r="Y227" i="20" s="1"/>
  <c r="G227" i="20"/>
  <c r="CB227" i="6" s="1"/>
  <c r="I219" i="20"/>
  <c r="J219" i="20"/>
  <c r="J211" i="20"/>
  <c r="I211" i="20"/>
  <c r="J203" i="20"/>
  <c r="I203" i="20"/>
  <c r="I195" i="20"/>
  <c r="J195" i="20"/>
  <c r="J187" i="20"/>
  <c r="I187" i="20"/>
  <c r="I167" i="20"/>
  <c r="J167" i="20"/>
  <c r="I159" i="20"/>
  <c r="J159" i="20"/>
  <c r="G119" i="20"/>
  <c r="CB119" i="6" s="1"/>
  <c r="H119" i="20"/>
  <c r="AA119" i="20"/>
  <c r="Z119" i="20" s="1"/>
  <c r="Y119" i="20" s="1"/>
  <c r="I107" i="20"/>
  <c r="J107" i="20"/>
  <c r="I67" i="20"/>
  <c r="J67" i="20"/>
  <c r="I63" i="20"/>
  <c r="J63" i="20"/>
  <c r="J59" i="20"/>
  <c r="I59" i="20"/>
  <c r="J43" i="20"/>
  <c r="I43" i="20"/>
  <c r="J31" i="20"/>
  <c r="I31" i="20"/>
  <c r="J366" i="20"/>
  <c r="I366" i="20"/>
  <c r="H366" i="22" s="1"/>
  <c r="J354" i="20"/>
  <c r="I354" i="20"/>
  <c r="J346" i="20"/>
  <c r="I346" i="20"/>
  <c r="I338" i="20"/>
  <c r="J338" i="20"/>
  <c r="I322" i="20"/>
  <c r="H322" i="22" s="1"/>
  <c r="J322" i="20"/>
  <c r="J278" i="20"/>
  <c r="I278" i="20"/>
  <c r="H278" i="22" s="1"/>
  <c r="I270" i="20"/>
  <c r="J270" i="20"/>
  <c r="J266" i="20"/>
  <c r="I266" i="20"/>
  <c r="H266" i="22" s="1"/>
  <c r="J262" i="20"/>
  <c r="I262" i="20"/>
  <c r="G258" i="20"/>
  <c r="CB258" i="6" s="1"/>
  <c r="AA258" i="20"/>
  <c r="Z258" i="20" s="1"/>
  <c r="Y258" i="20" s="1"/>
  <c r="H258" i="20"/>
  <c r="I242" i="20"/>
  <c r="H242" i="22" s="1"/>
  <c r="J242" i="20"/>
  <c r="I218" i="20"/>
  <c r="H218" i="22" s="1"/>
  <c r="J218" i="20"/>
  <c r="G210" i="20"/>
  <c r="CB210" i="6" s="1"/>
  <c r="H210" i="20"/>
  <c r="AA210" i="20"/>
  <c r="Z210" i="20" s="1"/>
  <c r="Y210" i="20" s="1"/>
  <c r="J202" i="20"/>
  <c r="I202" i="20"/>
  <c r="J178" i="20"/>
  <c r="I178" i="20"/>
  <c r="H178" i="22" s="1"/>
  <c r="I142" i="20"/>
  <c r="J142" i="20"/>
  <c r="I130" i="20"/>
  <c r="H130" i="22" s="1"/>
  <c r="J130" i="20"/>
  <c r="I106" i="20"/>
  <c r="H106" i="22" s="1"/>
  <c r="J106" i="20"/>
  <c r="AA74" i="20"/>
  <c r="Z74" i="20" s="1"/>
  <c r="Y74" i="20" s="1"/>
  <c r="G74" i="20"/>
  <c r="CB74" i="6" s="1"/>
  <c r="H74" i="20"/>
  <c r="I58" i="20"/>
  <c r="J58" i="20"/>
  <c r="J30" i="20"/>
  <c r="I30" i="20"/>
  <c r="H30" i="22" s="1"/>
  <c r="I26" i="20"/>
  <c r="H26" i="22" s="1"/>
  <c r="J26" i="20"/>
  <c r="J377" i="20"/>
  <c r="I377" i="20"/>
  <c r="H377" i="22" s="1"/>
  <c r="J361" i="20"/>
  <c r="I361" i="20"/>
  <c r="H361" i="22" s="1"/>
  <c r="J357" i="20"/>
  <c r="I357" i="20"/>
  <c r="H349" i="20"/>
  <c r="AA349" i="20"/>
  <c r="Z349" i="20" s="1"/>
  <c r="Y349" i="20" s="1"/>
  <c r="G349" i="20"/>
  <c r="CB349" i="6" s="1"/>
  <c r="G333" i="20"/>
  <c r="CB333" i="6" s="1"/>
  <c r="H333" i="20"/>
  <c r="AA333" i="20"/>
  <c r="Z333" i="20" s="1"/>
  <c r="Y333" i="20" s="1"/>
  <c r="I313" i="20"/>
  <c r="J313" i="20"/>
  <c r="J281" i="20"/>
  <c r="I281" i="20"/>
  <c r="J273" i="20"/>
  <c r="I273" i="20"/>
  <c r="J269" i="20"/>
  <c r="I269" i="20"/>
  <c r="AA241" i="20"/>
  <c r="Z241" i="20" s="1"/>
  <c r="Y241" i="20" s="1"/>
  <c r="H241" i="20"/>
  <c r="G241" i="20"/>
  <c r="CB241" i="6" s="1"/>
  <c r="J225" i="20"/>
  <c r="I225" i="20"/>
  <c r="H225" i="22" s="1"/>
  <c r="J213" i="20"/>
  <c r="I213" i="20"/>
  <c r="H213" i="22" s="1"/>
  <c r="I205" i="20"/>
  <c r="J205" i="20"/>
  <c r="J193" i="20"/>
  <c r="I193" i="20"/>
  <c r="H193" i="22" s="1"/>
  <c r="I189" i="20"/>
  <c r="H189" i="22" s="1"/>
  <c r="J189" i="20"/>
  <c r="J173" i="20"/>
  <c r="I173" i="20"/>
  <c r="H173" i="22" s="1"/>
  <c r="I145" i="20"/>
  <c r="H145" i="22" s="1"/>
  <c r="J145" i="20"/>
  <c r="J121" i="20"/>
  <c r="I121" i="20"/>
  <c r="J97" i="20"/>
  <c r="I97" i="20"/>
  <c r="H97" i="22" s="1"/>
  <c r="I85" i="20"/>
  <c r="H85" i="22" s="1"/>
  <c r="J85" i="20"/>
  <c r="I81" i="20"/>
  <c r="J81" i="20"/>
  <c r="I73" i="20"/>
  <c r="J73" i="20"/>
  <c r="J65" i="20"/>
  <c r="I65" i="20"/>
  <c r="H65" i="22" s="1"/>
  <c r="J61" i="20"/>
  <c r="I61" i="20"/>
  <c r="H61" i="22" s="1"/>
  <c r="I57" i="20"/>
  <c r="J57" i="20"/>
  <c r="I45" i="20"/>
  <c r="J45" i="20"/>
  <c r="J41" i="20"/>
  <c r="I41" i="20"/>
  <c r="H41" i="22" s="1"/>
  <c r="I37" i="20"/>
  <c r="H37" i="22" s="1"/>
  <c r="J37" i="20"/>
  <c r="G29" i="20"/>
  <c r="CB29" i="6" s="1"/>
  <c r="AA29" i="20"/>
  <c r="Z29" i="20" s="1"/>
  <c r="Y29" i="20" s="1"/>
  <c r="H29" i="20"/>
  <c r="J368" i="20"/>
  <c r="I368" i="20"/>
  <c r="I364" i="20"/>
  <c r="J364" i="20"/>
  <c r="I324" i="20"/>
  <c r="J324" i="20"/>
  <c r="I312" i="20"/>
  <c r="J312" i="20"/>
  <c r="J308" i="20"/>
  <c r="I308" i="20"/>
  <c r="H308" i="22" s="1"/>
  <c r="I304" i="20"/>
  <c r="H304" i="22" s="1"/>
  <c r="J304" i="20"/>
  <c r="I296" i="20"/>
  <c r="H296" i="22" s="1"/>
  <c r="J296" i="20"/>
  <c r="I276" i="20"/>
  <c r="J276" i="20"/>
  <c r="I268" i="20"/>
  <c r="H268" i="22" s="1"/>
  <c r="J268" i="20"/>
  <c r="J240" i="20"/>
  <c r="I240" i="20"/>
  <c r="I228" i="20"/>
  <c r="H228" i="22" s="1"/>
  <c r="J228" i="20"/>
  <c r="J216" i="20"/>
  <c r="I216" i="20"/>
  <c r="I160" i="20"/>
  <c r="J160" i="20"/>
  <c r="I124" i="20"/>
  <c r="H124" i="22" s="1"/>
  <c r="J124" i="20"/>
  <c r="I116" i="20"/>
  <c r="J116" i="20"/>
  <c r="J92" i="20"/>
  <c r="I92" i="20"/>
  <c r="H88" i="20"/>
  <c r="G88" i="20"/>
  <c r="CB88" i="6" s="1"/>
  <c r="AA88" i="20"/>
  <c r="Z88" i="20" s="1"/>
  <c r="Y88" i="20" s="1"/>
  <c r="I80" i="20"/>
  <c r="J80" i="20"/>
  <c r="I68" i="20"/>
  <c r="H68" i="22" s="1"/>
  <c r="J68" i="20"/>
  <c r="G60" i="20"/>
  <c r="CB60" i="6" s="1"/>
  <c r="AA60" i="20"/>
  <c r="Z60" i="20" s="1"/>
  <c r="Y60" i="20" s="1"/>
  <c r="H60" i="20"/>
  <c r="J52" i="20"/>
  <c r="I52" i="20"/>
  <c r="I28" i="20"/>
  <c r="H28" i="22" s="1"/>
  <c r="J28" i="20"/>
  <c r="U12" i="24"/>
  <c r="T379" i="23"/>
  <c r="AT16" i="7"/>
  <c r="AZ11" i="7" s="1"/>
  <c r="U11" i="24" s="1"/>
  <c r="T375" i="23"/>
  <c r="T373" i="23"/>
  <c r="T371" i="23"/>
  <c r="T367" i="23"/>
  <c r="T365" i="23"/>
  <c r="T363" i="23"/>
  <c r="T359" i="23"/>
  <c r="T357" i="23"/>
  <c r="T355" i="23"/>
  <c r="T351" i="23"/>
  <c r="T349" i="23"/>
  <c r="T347" i="23"/>
  <c r="T343" i="23"/>
  <c r="T341" i="23"/>
  <c r="T339" i="23"/>
  <c r="T335" i="23"/>
  <c r="T333" i="23"/>
  <c r="T331" i="23"/>
  <c r="T327" i="23"/>
  <c r="T325" i="23"/>
  <c r="T323" i="23"/>
  <c r="T319" i="23"/>
  <c r="T317" i="23"/>
  <c r="T315" i="23"/>
  <c r="T311" i="23"/>
  <c r="T309" i="23"/>
  <c r="T307" i="23"/>
  <c r="T303" i="23"/>
  <c r="T301" i="23"/>
  <c r="T299" i="23"/>
  <c r="T295" i="23"/>
  <c r="T293" i="23"/>
  <c r="T291" i="23"/>
  <c r="T287" i="23"/>
  <c r="T285" i="23"/>
  <c r="T283" i="23"/>
  <c r="T279" i="23"/>
  <c r="T277" i="23"/>
  <c r="T275" i="23"/>
  <c r="T271" i="23"/>
  <c r="T269" i="23"/>
  <c r="T267" i="23"/>
  <c r="T263" i="23"/>
  <c r="T261" i="23"/>
  <c r="T259" i="23"/>
  <c r="T255" i="23"/>
  <c r="T253" i="23"/>
  <c r="T251" i="23"/>
  <c r="T247" i="23"/>
  <c r="T245" i="23"/>
  <c r="T243" i="23"/>
  <c r="T239" i="23"/>
  <c r="T237" i="23"/>
  <c r="T235" i="23"/>
  <c r="T231" i="23"/>
  <c r="T229" i="23"/>
  <c r="T227" i="23"/>
  <c r="T223" i="23"/>
  <c r="T221" i="23"/>
  <c r="T219" i="23"/>
  <c r="T215" i="23"/>
  <c r="T213" i="23"/>
  <c r="T211" i="23"/>
  <c r="T207" i="23"/>
  <c r="T205" i="23"/>
  <c r="T203" i="23"/>
  <c r="T199" i="23"/>
  <c r="T197" i="23"/>
  <c r="T195" i="23"/>
  <c r="T191" i="23"/>
  <c r="T189" i="23"/>
  <c r="T187" i="23"/>
  <c r="T183" i="23"/>
  <c r="T181" i="23"/>
  <c r="T179" i="23"/>
  <c r="T175" i="23"/>
  <c r="T173" i="23"/>
  <c r="T171" i="23"/>
  <c r="T167" i="23"/>
  <c r="T165" i="23"/>
  <c r="T163" i="23"/>
  <c r="T159" i="23"/>
  <c r="T157" i="23"/>
  <c r="T155" i="23"/>
  <c r="T151" i="23"/>
  <c r="T149" i="23"/>
  <c r="T147" i="23"/>
  <c r="T143" i="23"/>
  <c r="T141" i="23"/>
  <c r="T139" i="23"/>
  <c r="T135" i="23"/>
  <c r="T133" i="23"/>
  <c r="T131" i="23"/>
  <c r="T127" i="23"/>
  <c r="T125" i="23"/>
  <c r="T123" i="23"/>
  <c r="T119" i="23"/>
  <c r="T117" i="23"/>
  <c r="T115" i="23"/>
  <c r="T111" i="23"/>
  <c r="T109" i="23"/>
  <c r="T107" i="23"/>
  <c r="T103" i="23"/>
  <c r="T101" i="23"/>
  <c r="T99" i="23"/>
  <c r="T95" i="23"/>
  <c r="T93" i="23"/>
  <c r="T91" i="23"/>
  <c r="T87" i="23"/>
  <c r="T85" i="23"/>
  <c r="T83" i="23"/>
  <c r="T79" i="23"/>
  <c r="T77" i="23"/>
  <c r="T75" i="23"/>
  <c r="T71" i="23"/>
  <c r="T69" i="23"/>
  <c r="T67" i="23"/>
  <c r="T63" i="23"/>
  <c r="T61" i="23"/>
  <c r="T59" i="23"/>
  <c r="T55" i="23"/>
  <c r="T53" i="23"/>
  <c r="T51" i="23"/>
  <c r="T47" i="23"/>
  <c r="T45" i="23"/>
  <c r="T43" i="23"/>
  <c r="T39" i="23"/>
  <c r="T37" i="23"/>
  <c r="T35" i="23"/>
  <c r="T31" i="23"/>
  <c r="T29" i="23"/>
  <c r="T27" i="23"/>
  <c r="T23" i="23"/>
  <c r="T21" i="23"/>
  <c r="T17" i="23"/>
  <c r="T15" i="23"/>
  <c r="T18" i="23"/>
  <c r="S381" i="22"/>
  <c r="S383" i="22"/>
  <c r="S382" i="22"/>
  <c r="R15" i="22"/>
  <c r="Q12" i="24"/>
  <c r="Q383" i="23"/>
  <c r="AU15" i="7"/>
  <c r="AE18" i="23"/>
  <c r="AE16" i="23"/>
  <c r="AE15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11" i="23"/>
  <c r="AE119" i="23"/>
  <c r="AE127" i="23"/>
  <c r="AE135" i="23"/>
  <c r="AE143" i="23"/>
  <c r="AE151" i="23"/>
  <c r="AE159" i="23"/>
  <c r="AE167" i="23"/>
  <c r="AE175" i="23"/>
  <c r="AE183" i="23"/>
  <c r="AE191" i="23"/>
  <c r="AE199" i="23"/>
  <c r="AE207" i="23"/>
  <c r="AE215" i="23"/>
  <c r="AE223" i="23"/>
  <c r="AE231" i="23"/>
  <c r="AE239" i="23"/>
  <c r="AE247" i="23"/>
  <c r="AE255" i="23"/>
  <c r="AE263" i="23"/>
  <c r="AE271" i="23"/>
  <c r="AE279" i="23"/>
  <c r="AE287" i="23"/>
  <c r="AE295" i="23"/>
  <c r="AE303" i="23"/>
  <c r="AE311" i="23"/>
  <c r="AE319" i="23"/>
  <c r="AE327" i="23"/>
  <c r="AE335" i="23"/>
  <c r="AE343" i="23"/>
  <c r="AE351" i="23"/>
  <c r="AE359" i="23"/>
  <c r="AE367" i="23"/>
  <c r="AE375" i="23"/>
  <c r="AE19" i="23"/>
  <c r="AE17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6" i="23"/>
  <c r="AE114" i="23"/>
  <c r="AE118" i="23"/>
  <c r="AE122" i="23"/>
  <c r="AE126" i="23"/>
  <c r="AE130" i="23"/>
  <c r="AE134" i="23"/>
  <c r="AE138" i="23"/>
  <c r="AE142" i="23"/>
  <c r="AE146" i="23"/>
  <c r="AE150" i="23"/>
  <c r="AE154" i="23"/>
  <c r="AE158" i="23"/>
  <c r="AE162" i="23"/>
  <c r="AE166" i="23"/>
  <c r="AE170" i="23"/>
  <c r="AE174" i="23"/>
  <c r="AE178" i="23"/>
  <c r="AE182" i="23"/>
  <c r="AE186" i="23"/>
  <c r="AE190" i="23"/>
  <c r="AE194" i="23"/>
  <c r="AE198" i="23"/>
  <c r="AE202" i="23"/>
  <c r="AE206" i="23"/>
  <c r="AE210" i="23"/>
  <c r="AE214" i="23"/>
  <c r="AE218" i="23"/>
  <c r="AE222" i="23"/>
  <c r="AE226" i="23"/>
  <c r="AE230" i="23"/>
  <c r="AE234" i="23"/>
  <c r="AE238" i="23"/>
  <c r="AE242" i="23"/>
  <c r="AE246" i="23"/>
  <c r="AE250" i="23"/>
  <c r="AE254" i="23"/>
  <c r="AE258" i="23"/>
  <c r="AE262" i="23"/>
  <c r="AE266" i="23"/>
  <c r="AE270" i="23"/>
  <c r="AE274" i="23"/>
  <c r="AE278" i="23"/>
  <c r="AE282" i="23"/>
  <c r="AE286" i="23"/>
  <c r="AE290" i="23"/>
  <c r="AE294" i="23"/>
  <c r="AE298" i="23"/>
  <c r="AE302" i="23"/>
  <c r="AE306" i="23"/>
  <c r="AE310" i="23"/>
  <c r="AE314" i="23"/>
  <c r="AE318" i="23"/>
  <c r="AE322" i="23"/>
  <c r="AE326" i="23"/>
  <c r="AE330" i="23"/>
  <c r="AE334" i="23"/>
  <c r="AE338" i="23"/>
  <c r="AE342" i="23"/>
  <c r="AE346" i="23"/>
  <c r="AE350" i="23"/>
  <c r="AE354" i="23"/>
  <c r="AE358" i="23"/>
  <c r="AE362" i="23"/>
  <c r="AE366" i="23"/>
  <c r="AE370" i="23"/>
  <c r="AE374" i="23"/>
  <c r="AE378" i="23"/>
  <c r="D241" i="6"/>
  <c r="AD4" i="6"/>
  <c r="D319" i="6"/>
  <c r="AI4" i="6"/>
  <c r="X4" i="6"/>
  <c r="I381" i="17"/>
  <c r="I382" i="17"/>
  <c r="Y383" i="17"/>
  <c r="Y381" i="17"/>
  <c r="X9" i="17"/>
  <c r="AL5" i="17"/>
  <c r="AL11" i="17" s="1"/>
  <c r="Y382" i="17"/>
  <c r="AM6" i="17"/>
  <c r="AM12" i="17" s="1"/>
  <c r="AA379" i="20"/>
  <c r="Z379" i="20" s="1"/>
  <c r="Y379" i="20" s="1"/>
  <c r="G379" i="20"/>
  <c r="CB379" i="6" s="1"/>
  <c r="J367" i="20"/>
  <c r="I367" i="20"/>
  <c r="I355" i="20"/>
  <c r="J355" i="20"/>
  <c r="J323" i="20"/>
  <c r="I323" i="20"/>
  <c r="J299" i="20"/>
  <c r="I299" i="20"/>
  <c r="I271" i="20"/>
  <c r="J271" i="20"/>
  <c r="I251" i="20"/>
  <c r="J251" i="20"/>
  <c r="I243" i="20"/>
  <c r="J243" i="20"/>
  <c r="I155" i="20"/>
  <c r="J155" i="20"/>
  <c r="J111" i="20"/>
  <c r="I111" i="20"/>
  <c r="J103" i="20"/>
  <c r="I103" i="20"/>
  <c r="I99" i="20"/>
  <c r="J99" i="20"/>
  <c r="J95" i="20"/>
  <c r="I95" i="20"/>
  <c r="J91" i="20"/>
  <c r="I91" i="20"/>
  <c r="J87" i="20"/>
  <c r="I87" i="20"/>
  <c r="I75" i="20"/>
  <c r="J75" i="20"/>
  <c r="J71" i="20"/>
  <c r="I71" i="20"/>
  <c r="I51" i="20"/>
  <c r="J51" i="20"/>
  <c r="J39" i="20"/>
  <c r="I39" i="20"/>
  <c r="I27" i="20"/>
  <c r="J27" i="20"/>
  <c r="I23" i="20"/>
  <c r="J23" i="20"/>
  <c r="J362" i="20"/>
  <c r="I362" i="20"/>
  <c r="I326" i="20"/>
  <c r="J326" i="20"/>
  <c r="J298" i="20"/>
  <c r="I298" i="20"/>
  <c r="I290" i="20"/>
  <c r="J290" i="20"/>
  <c r="I274" i="20"/>
  <c r="J274" i="20"/>
  <c r="J254" i="20"/>
  <c r="I254" i="20"/>
  <c r="I238" i="20"/>
  <c r="J238" i="20"/>
  <c r="I230" i="20"/>
  <c r="J230" i="20"/>
  <c r="I194" i="20"/>
  <c r="J194" i="20"/>
  <c r="I170" i="20"/>
  <c r="J170" i="20"/>
  <c r="G166" i="20"/>
  <c r="CB166" i="6" s="1"/>
  <c r="AA166" i="20"/>
  <c r="Z166" i="20" s="1"/>
  <c r="Y166" i="20" s="1"/>
  <c r="H166" i="20"/>
  <c r="I150" i="20"/>
  <c r="J150" i="20"/>
  <c r="J138" i="20"/>
  <c r="I138" i="20"/>
  <c r="I134" i="20"/>
  <c r="J134" i="20"/>
  <c r="J122" i="20"/>
  <c r="I122" i="20"/>
  <c r="J114" i="20"/>
  <c r="I114" i="20"/>
  <c r="I102" i="20"/>
  <c r="J102" i="20"/>
  <c r="J94" i="20"/>
  <c r="I94" i="20"/>
  <c r="I90" i="20"/>
  <c r="J90" i="20"/>
  <c r="I86" i="20"/>
  <c r="J86" i="20"/>
  <c r="I70" i="20"/>
  <c r="J70" i="20"/>
  <c r="J66" i="20"/>
  <c r="I66" i="20"/>
  <c r="I54" i="20"/>
  <c r="J54" i="20"/>
  <c r="I50" i="20"/>
  <c r="J50" i="20"/>
  <c r="AA46" i="20"/>
  <c r="Z46" i="20" s="1"/>
  <c r="Y46" i="20" s="1"/>
  <c r="G46" i="20"/>
  <c r="CB46" i="6" s="1"/>
  <c r="H46" i="20"/>
  <c r="I38" i="20"/>
  <c r="J38" i="20"/>
  <c r="I18" i="20"/>
  <c r="J18" i="20"/>
  <c r="I369" i="20"/>
  <c r="J369" i="20"/>
  <c r="J345" i="20"/>
  <c r="I345" i="20"/>
  <c r="J325" i="20"/>
  <c r="I325" i="20"/>
  <c r="J301" i="20"/>
  <c r="I301" i="20"/>
  <c r="J265" i="20"/>
  <c r="I265" i="20"/>
  <c r="J261" i="20"/>
  <c r="I261" i="20"/>
  <c r="I257" i="20"/>
  <c r="J257" i="20"/>
  <c r="I253" i="20"/>
  <c r="J253" i="20"/>
  <c r="J237" i="20"/>
  <c r="I237" i="20"/>
  <c r="J229" i="20"/>
  <c r="I229" i="20"/>
  <c r="J201" i="20"/>
  <c r="I201" i="20"/>
  <c r="I185" i="20"/>
  <c r="J185" i="20"/>
  <c r="J181" i="20"/>
  <c r="I181" i="20"/>
  <c r="I169" i="20"/>
  <c r="J169" i="20"/>
  <c r="I161" i="20"/>
  <c r="J161" i="20"/>
  <c r="I141" i="20"/>
  <c r="J141" i="20"/>
  <c r="I117" i="20"/>
  <c r="J117" i="20"/>
  <c r="J109" i="20"/>
  <c r="I109" i="20"/>
  <c r="I77" i="20"/>
  <c r="J77" i="20"/>
  <c r="I49" i="20"/>
  <c r="J49" i="20"/>
  <c r="J25" i="20"/>
  <c r="I25" i="20"/>
  <c r="J17" i="20"/>
  <c r="I17" i="20"/>
  <c r="J376" i="20"/>
  <c r="I376" i="20"/>
  <c r="I372" i="20"/>
  <c r="J372" i="20"/>
  <c r="J348" i="20"/>
  <c r="I348" i="20"/>
  <c r="J340" i="20"/>
  <c r="I340" i="20"/>
  <c r="J332" i="20"/>
  <c r="I332" i="20"/>
  <c r="I316" i="20"/>
  <c r="J316" i="20"/>
  <c r="AA288" i="20"/>
  <c r="Z288" i="20" s="1"/>
  <c r="Y288" i="20" s="1"/>
  <c r="G288" i="20"/>
  <c r="CB288" i="6" s="1"/>
  <c r="H288" i="20"/>
  <c r="J280" i="20"/>
  <c r="I280" i="20"/>
  <c r="J256" i="20"/>
  <c r="I256" i="20"/>
  <c r="J236" i="20"/>
  <c r="I236" i="20"/>
  <c r="J212" i="20"/>
  <c r="I212" i="20"/>
  <c r="I204" i="20"/>
  <c r="J204" i="20"/>
  <c r="J192" i="20"/>
  <c r="I192" i="20"/>
  <c r="J184" i="20"/>
  <c r="I184" i="20"/>
  <c r="J176" i="20"/>
  <c r="I176" i="20"/>
  <c r="I156" i="20"/>
  <c r="J156" i="20"/>
  <c r="J152" i="20"/>
  <c r="I152" i="20"/>
  <c r="I148" i="20"/>
  <c r="J148" i="20"/>
  <c r="I140" i="20"/>
  <c r="J140" i="20"/>
  <c r="I120" i="20"/>
  <c r="J120" i="20"/>
  <c r="I112" i="20"/>
  <c r="J112" i="20"/>
  <c r="I108" i="20"/>
  <c r="J108" i="20"/>
  <c r="I104" i="20"/>
  <c r="J104" i="20"/>
  <c r="I100" i="20"/>
  <c r="J100" i="20"/>
  <c r="I76" i="20"/>
  <c r="J76" i="20"/>
  <c r="J72" i="20"/>
  <c r="I72" i="20"/>
  <c r="J64" i="20"/>
  <c r="I64" i="20"/>
  <c r="J40" i="20"/>
  <c r="I40" i="20"/>
  <c r="AJ4" i="6"/>
  <c r="W16" i="22"/>
  <c r="D16" i="22"/>
  <c r="E16" i="22" s="1"/>
  <c r="F16" i="22" s="1"/>
  <c r="D18" i="22"/>
  <c r="E18" i="22" s="1"/>
  <c r="F18" i="22" s="1"/>
  <c r="W18" i="22"/>
  <c r="AJ4" i="16"/>
  <c r="P13" i="19" s="1"/>
  <c r="AL13" i="16"/>
  <c r="AK4" i="16"/>
  <c r="R13" i="19" s="1"/>
  <c r="N14" i="19" s="1"/>
  <c r="AM13" i="16"/>
  <c r="Y11" i="16"/>
  <c r="N65" i="19"/>
  <c r="P383" i="20"/>
  <c r="P382" i="20"/>
  <c r="P381" i="20"/>
  <c r="V15" i="20"/>
  <c r="B15" i="20" s="1"/>
  <c r="R4" i="6"/>
  <c r="D29" i="6"/>
  <c r="O4" i="6"/>
  <c r="J383" i="17"/>
  <c r="J351" i="20"/>
  <c r="I351" i="20"/>
  <c r="I339" i="20"/>
  <c r="J339" i="20"/>
  <c r="I331" i="20"/>
  <c r="J331" i="20"/>
  <c r="H319" i="20"/>
  <c r="G319" i="20"/>
  <c r="CB319" i="6" s="1"/>
  <c r="AA319" i="20"/>
  <c r="Z319" i="20" s="1"/>
  <c r="Y319" i="20" s="1"/>
  <c r="J291" i="20"/>
  <c r="I291" i="20"/>
  <c r="J275" i="20"/>
  <c r="I275" i="20"/>
  <c r="I231" i="20"/>
  <c r="J231" i="20"/>
  <c r="I223" i="20"/>
  <c r="J223" i="20"/>
  <c r="J215" i="20"/>
  <c r="I215" i="20"/>
  <c r="I207" i="20"/>
  <c r="J207" i="20"/>
  <c r="I199" i="20"/>
  <c r="J199" i="20"/>
  <c r="I183" i="20"/>
  <c r="J183" i="20"/>
  <c r="I179" i="20"/>
  <c r="J179" i="20"/>
  <c r="I175" i="20"/>
  <c r="J175" i="20"/>
  <c r="J163" i="20"/>
  <c r="I163" i="20"/>
  <c r="J151" i="20"/>
  <c r="I151" i="20"/>
  <c r="J147" i="20"/>
  <c r="I147" i="20"/>
  <c r="J143" i="20"/>
  <c r="I143" i="20"/>
  <c r="H135" i="20"/>
  <c r="AA135" i="20"/>
  <c r="Z135" i="20" s="1"/>
  <c r="Y135" i="20" s="1"/>
  <c r="G135" i="20"/>
  <c r="CB135" i="6" s="1"/>
  <c r="I131" i="20"/>
  <c r="J131" i="20"/>
  <c r="J127" i="20"/>
  <c r="I127" i="20"/>
  <c r="J79" i="20"/>
  <c r="I79" i="20"/>
  <c r="J55" i="20"/>
  <c r="I55" i="20"/>
  <c r="J378" i="20"/>
  <c r="I378" i="20"/>
  <c r="J374" i="20"/>
  <c r="I374" i="20"/>
  <c r="J350" i="20"/>
  <c r="I350" i="20"/>
  <c r="J342" i="20"/>
  <c r="I342" i="20"/>
  <c r="J334" i="20"/>
  <c r="I334" i="20"/>
  <c r="J318" i="20"/>
  <c r="I318" i="20"/>
  <c r="I314" i="20"/>
  <c r="J314" i="20"/>
  <c r="J306" i="20"/>
  <c r="I306" i="20"/>
  <c r="AA302" i="20"/>
  <c r="Z302" i="20" s="1"/>
  <c r="Y302" i="20" s="1"/>
  <c r="H302" i="20"/>
  <c r="G302" i="20"/>
  <c r="CB302" i="6" s="1"/>
  <c r="I282" i="20"/>
  <c r="J282" i="20"/>
  <c r="I246" i="20"/>
  <c r="J246" i="20"/>
  <c r="I222" i="20"/>
  <c r="J222" i="20"/>
  <c r="J214" i="20"/>
  <c r="I214" i="20"/>
  <c r="J206" i="20"/>
  <c r="I206" i="20"/>
  <c r="J198" i="20"/>
  <c r="I198" i="20"/>
  <c r="I186" i="20"/>
  <c r="J186" i="20"/>
  <c r="I182" i="20"/>
  <c r="J182" i="20"/>
  <c r="J174" i="20"/>
  <c r="I174" i="20"/>
  <c r="J158" i="20"/>
  <c r="I158" i="20"/>
  <c r="J154" i="20"/>
  <c r="I154" i="20"/>
  <c r="J146" i="20"/>
  <c r="I146" i="20"/>
  <c r="J126" i="20"/>
  <c r="I126" i="20"/>
  <c r="I78" i="20"/>
  <c r="J78" i="20"/>
  <c r="J62" i="20"/>
  <c r="I62" i="20"/>
  <c r="J42" i="20"/>
  <c r="I42" i="20"/>
  <c r="I22" i="20"/>
  <c r="J22" i="20"/>
  <c r="I373" i="20"/>
  <c r="J373" i="20"/>
  <c r="J353" i="20"/>
  <c r="I353" i="20"/>
  <c r="I341" i="20"/>
  <c r="J341" i="20"/>
  <c r="I329" i="20"/>
  <c r="J329" i="20"/>
  <c r="J321" i="20"/>
  <c r="I321" i="20"/>
  <c r="I317" i="20"/>
  <c r="J317" i="20"/>
  <c r="I305" i="20"/>
  <c r="J305" i="20"/>
  <c r="J297" i="20"/>
  <c r="I297" i="20"/>
  <c r="I293" i="20"/>
  <c r="J293" i="20"/>
  <c r="J289" i="20"/>
  <c r="I289" i="20"/>
  <c r="J285" i="20"/>
  <c r="I285" i="20"/>
  <c r="I221" i="20"/>
  <c r="J221" i="20"/>
  <c r="J209" i="20"/>
  <c r="I209" i="20"/>
  <c r="J197" i="20"/>
  <c r="I197" i="20"/>
  <c r="J165" i="20"/>
  <c r="I165" i="20"/>
  <c r="I157" i="20"/>
  <c r="J157" i="20"/>
  <c r="H149" i="20"/>
  <c r="G149" i="20"/>
  <c r="CB149" i="6" s="1"/>
  <c r="AA149" i="20"/>
  <c r="Z149" i="20" s="1"/>
  <c r="Y149" i="20" s="1"/>
  <c r="J137" i="20"/>
  <c r="I137" i="20"/>
  <c r="I133" i="20"/>
  <c r="J133" i="20"/>
  <c r="I129" i="20"/>
  <c r="J129" i="20"/>
  <c r="J125" i="20"/>
  <c r="I125" i="20"/>
  <c r="I113" i="20"/>
  <c r="J113" i="20"/>
  <c r="I89" i="20"/>
  <c r="J89" i="20"/>
  <c r="J69" i="20"/>
  <c r="I69" i="20"/>
  <c r="J53" i="20"/>
  <c r="I53" i="20"/>
  <c r="I33" i="20"/>
  <c r="J33" i="20"/>
  <c r="J360" i="20"/>
  <c r="I360" i="20"/>
  <c r="I356" i="20"/>
  <c r="J356" i="20"/>
  <c r="I320" i="20"/>
  <c r="J320" i="20"/>
  <c r="J300" i="20"/>
  <c r="I300" i="20"/>
  <c r="J284" i="20"/>
  <c r="I284" i="20"/>
  <c r="AA272" i="20"/>
  <c r="Z272" i="20" s="1"/>
  <c r="Y272" i="20" s="1"/>
  <c r="H272" i="20"/>
  <c r="G272" i="20"/>
  <c r="CB272" i="6" s="1"/>
  <c r="J264" i="20"/>
  <c r="I264" i="20"/>
  <c r="J252" i="20"/>
  <c r="I252" i="20"/>
  <c r="J244" i="20"/>
  <c r="I244" i="20"/>
  <c r="J232" i="20"/>
  <c r="I232" i="20"/>
  <c r="J220" i="20"/>
  <c r="I220" i="20"/>
  <c r="I200" i="20"/>
  <c r="J200" i="20"/>
  <c r="I188" i="20"/>
  <c r="J188" i="20"/>
  <c r="G180" i="20"/>
  <c r="CB180" i="6" s="1"/>
  <c r="AA180" i="20"/>
  <c r="Z180" i="20" s="1"/>
  <c r="Y180" i="20" s="1"/>
  <c r="H180" i="20"/>
  <c r="J172" i="20"/>
  <c r="I172" i="20"/>
  <c r="I168" i="20"/>
  <c r="J168" i="20"/>
  <c r="I144" i="20"/>
  <c r="J144" i="20"/>
  <c r="I136" i="20"/>
  <c r="J136" i="20"/>
  <c r="J36" i="20"/>
  <c r="I36" i="20"/>
  <c r="J32" i="20"/>
  <c r="I32" i="20"/>
  <c r="J16" i="20"/>
  <c r="I16" i="20"/>
  <c r="H16" i="22" s="1"/>
  <c r="T378" i="23"/>
  <c r="T370" i="23"/>
  <c r="T362" i="23"/>
  <c r="T354" i="23"/>
  <c r="T346" i="23"/>
  <c r="T338" i="23"/>
  <c r="T330" i="23"/>
  <c r="T322" i="23"/>
  <c r="T314" i="23"/>
  <c r="T306" i="23"/>
  <c r="T298" i="23"/>
  <c r="T290" i="23"/>
  <c r="T282" i="23"/>
  <c r="T274" i="23"/>
  <c r="T266" i="23"/>
  <c r="T258" i="23"/>
  <c r="T256" i="23"/>
  <c r="T254" i="23"/>
  <c r="T252" i="23"/>
  <c r="T250" i="23"/>
  <c r="T248" i="23"/>
  <c r="T246" i="23"/>
  <c r="T244" i="23"/>
  <c r="T242" i="23"/>
  <c r="T240" i="23"/>
  <c r="T238" i="23"/>
  <c r="T236" i="23"/>
  <c r="T234" i="23"/>
  <c r="T232" i="23"/>
  <c r="T230" i="23"/>
  <c r="T228" i="23"/>
  <c r="T226" i="23"/>
  <c r="T224" i="23"/>
  <c r="T222" i="23"/>
  <c r="T214" i="23"/>
  <c r="T206" i="23"/>
  <c r="T198" i="23"/>
  <c r="T190" i="23"/>
  <c r="T182" i="23"/>
  <c r="T174" i="23"/>
  <c r="T166" i="23"/>
  <c r="T158" i="23"/>
  <c r="T150" i="23"/>
  <c r="T142" i="23"/>
  <c r="T134" i="23"/>
  <c r="T126" i="23"/>
  <c r="T118" i="23"/>
  <c r="T110" i="23"/>
  <c r="T102" i="23"/>
  <c r="T94" i="23"/>
  <c r="T86" i="23"/>
  <c r="T78" i="23"/>
  <c r="T70" i="23"/>
  <c r="T62" i="23"/>
  <c r="T54" i="23"/>
  <c r="T50" i="23"/>
  <c r="T46" i="23"/>
  <c r="T42" i="23"/>
  <c r="T38" i="23"/>
  <c r="T34" i="23"/>
  <c r="T30" i="23"/>
  <c r="T26" i="23"/>
  <c r="T22" i="23"/>
  <c r="T16" i="23"/>
  <c r="AF15" i="22"/>
  <c r="I383" i="17"/>
  <c r="Q382" i="23" l="1"/>
  <c r="U382" i="23"/>
  <c r="AE105" i="23"/>
  <c r="AE109" i="23"/>
  <c r="AE113" i="23"/>
  <c r="AE117" i="23"/>
  <c r="AE121" i="23"/>
  <c r="AE125" i="23"/>
  <c r="AE129" i="23"/>
  <c r="AE133" i="23"/>
  <c r="AE137" i="23"/>
  <c r="AE141" i="23"/>
  <c r="AE145" i="23"/>
  <c r="AE149" i="23"/>
  <c r="AE153" i="23"/>
  <c r="AE157" i="23"/>
  <c r="AE161" i="23"/>
  <c r="AE165" i="23"/>
  <c r="AE169" i="23"/>
  <c r="AE173" i="23"/>
  <c r="AE177" i="23"/>
  <c r="AE181" i="23"/>
  <c r="AE185" i="23"/>
  <c r="AE189" i="23"/>
  <c r="AE193" i="23"/>
  <c r="AE197" i="23"/>
  <c r="AE201" i="23"/>
  <c r="AE205" i="23"/>
  <c r="AE209" i="23"/>
  <c r="AE213" i="23"/>
  <c r="AE217" i="23"/>
  <c r="AE221" i="23"/>
  <c r="AE225" i="23"/>
  <c r="AE229" i="23"/>
  <c r="AE233" i="23"/>
  <c r="AE237" i="23"/>
  <c r="AE241" i="23"/>
  <c r="AE245" i="23"/>
  <c r="AE249" i="23"/>
  <c r="AE253" i="23"/>
  <c r="AE257" i="23"/>
  <c r="AE261" i="23"/>
  <c r="AE265" i="23"/>
  <c r="AE269" i="23"/>
  <c r="AE273" i="23"/>
  <c r="AE277" i="23"/>
  <c r="AE281" i="23"/>
  <c r="AE285" i="23"/>
  <c r="AE289" i="23"/>
  <c r="AE293" i="23"/>
  <c r="AE297" i="23"/>
  <c r="AE301" i="23"/>
  <c r="AE305" i="23"/>
  <c r="AE309" i="23"/>
  <c r="AE313" i="23"/>
  <c r="AE317" i="23"/>
  <c r="AE321" i="23"/>
  <c r="AE325" i="23"/>
  <c r="AE329" i="23"/>
  <c r="AE333" i="23"/>
  <c r="AE337" i="23"/>
  <c r="AE341" i="23"/>
  <c r="AE345" i="23"/>
  <c r="AE349" i="23"/>
  <c r="AE353" i="23"/>
  <c r="AE357" i="23"/>
  <c r="AE361" i="23"/>
  <c r="AE365" i="23"/>
  <c r="AE369" i="23"/>
  <c r="AE373" i="23"/>
  <c r="AE377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152" i="23"/>
  <c r="AE156" i="23"/>
  <c r="AE160" i="23"/>
  <c r="AE164" i="23"/>
  <c r="AE168" i="23"/>
  <c r="AE172" i="23"/>
  <c r="AE176" i="23"/>
  <c r="AE180" i="23"/>
  <c r="AE184" i="23"/>
  <c r="AE188" i="23"/>
  <c r="AE192" i="23"/>
  <c r="AE196" i="23"/>
  <c r="AE200" i="23"/>
  <c r="AE204" i="23"/>
  <c r="AE208" i="23"/>
  <c r="AE212" i="23"/>
  <c r="AE216" i="23"/>
  <c r="AE220" i="23"/>
  <c r="AE224" i="23"/>
  <c r="AE228" i="23"/>
  <c r="AE232" i="23"/>
  <c r="AE236" i="23"/>
  <c r="AE240" i="23"/>
  <c r="AE244" i="23"/>
  <c r="AE248" i="23"/>
  <c r="AE252" i="23"/>
  <c r="AE256" i="23"/>
  <c r="AE260" i="23"/>
  <c r="AE264" i="23"/>
  <c r="AE268" i="23"/>
  <c r="AE272" i="23"/>
  <c r="AE276" i="23"/>
  <c r="AE280" i="23"/>
  <c r="AE284" i="23"/>
  <c r="AE288" i="23"/>
  <c r="AE292" i="23"/>
  <c r="AE296" i="23"/>
  <c r="AE300" i="23"/>
  <c r="AE304" i="23"/>
  <c r="AE308" i="23"/>
  <c r="AE312" i="23"/>
  <c r="AE316" i="23"/>
  <c r="AE320" i="23"/>
  <c r="AE324" i="23"/>
  <c r="AE328" i="23"/>
  <c r="AE332" i="23"/>
  <c r="AE336" i="23"/>
  <c r="AE340" i="23"/>
  <c r="AE344" i="23"/>
  <c r="AE348" i="23"/>
  <c r="AE352" i="23"/>
  <c r="AE356" i="23"/>
  <c r="AE360" i="23"/>
  <c r="AE364" i="23"/>
  <c r="AE368" i="23"/>
  <c r="AE372" i="23"/>
  <c r="AE376" i="23"/>
  <c r="T19" i="23"/>
  <c r="AE110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31" i="23"/>
  <c r="AE123" i="23"/>
  <c r="AE115" i="23"/>
  <c r="AE107" i="23"/>
  <c r="U381" i="23"/>
  <c r="I37" i="19"/>
  <c r="H37" i="19"/>
  <c r="H276" i="22"/>
  <c r="J276" i="22" s="1"/>
  <c r="H118" i="22"/>
  <c r="J118" i="22" s="1"/>
  <c r="H63" i="22"/>
  <c r="J63" i="22" s="1"/>
  <c r="H107" i="22"/>
  <c r="J107" i="22" s="1"/>
  <c r="H247" i="22"/>
  <c r="I247" i="22" s="1"/>
  <c r="H347" i="22"/>
  <c r="I347" i="22" s="1"/>
  <c r="H83" i="22"/>
  <c r="I83" i="22" s="1"/>
  <c r="H115" i="22"/>
  <c r="J115" i="22" s="1"/>
  <c r="H171" i="22"/>
  <c r="J171" i="22" s="1"/>
  <c r="D379" i="22"/>
  <c r="E379" i="22" s="1"/>
  <c r="F379" i="22" s="1"/>
  <c r="G379" i="22" s="1"/>
  <c r="CC379" i="6" s="1"/>
  <c r="H31" i="22"/>
  <c r="I31" i="22" s="1"/>
  <c r="H159" i="22"/>
  <c r="I159" i="22" s="1"/>
  <c r="H195" i="22"/>
  <c r="J195" i="22" s="1"/>
  <c r="H219" i="22"/>
  <c r="I219" i="22" s="1"/>
  <c r="H239" i="22"/>
  <c r="I239" i="22" s="1"/>
  <c r="H47" i="22"/>
  <c r="I47" i="22" s="1"/>
  <c r="H235" i="22"/>
  <c r="I235" i="22" s="1"/>
  <c r="H259" i="22"/>
  <c r="J259" i="22" s="1"/>
  <c r="W379" i="22"/>
  <c r="H24" i="22"/>
  <c r="I24" i="22" s="1"/>
  <c r="Q381" i="23"/>
  <c r="AJ5" i="20"/>
  <c r="AK5" i="20"/>
  <c r="AH382" i="22"/>
  <c r="AH381" i="22"/>
  <c r="AH383" i="22"/>
  <c r="AG17" i="22"/>
  <c r="AI19" i="23"/>
  <c r="AH19" i="23" s="1"/>
  <c r="AI17" i="23"/>
  <c r="AH17" i="23" s="1"/>
  <c r="AI20" i="23"/>
  <c r="AH20" i="23" s="1"/>
  <c r="AI22" i="23"/>
  <c r="AH22" i="23" s="1"/>
  <c r="AI24" i="23"/>
  <c r="AH24" i="23" s="1"/>
  <c r="AI26" i="23"/>
  <c r="AH26" i="23" s="1"/>
  <c r="AI28" i="23"/>
  <c r="AH28" i="23" s="1"/>
  <c r="AI30" i="23"/>
  <c r="AH30" i="23" s="1"/>
  <c r="AI32" i="23"/>
  <c r="AH32" i="23" s="1"/>
  <c r="AI34" i="23"/>
  <c r="AH34" i="23" s="1"/>
  <c r="AI36" i="23"/>
  <c r="AH36" i="23" s="1"/>
  <c r="AI38" i="23"/>
  <c r="AH38" i="23" s="1"/>
  <c r="AI40" i="23"/>
  <c r="AH40" i="23" s="1"/>
  <c r="AI42" i="23"/>
  <c r="AH42" i="23" s="1"/>
  <c r="AI44" i="23"/>
  <c r="AH44" i="23" s="1"/>
  <c r="AI46" i="23"/>
  <c r="AH46" i="23" s="1"/>
  <c r="AI48" i="23"/>
  <c r="AH48" i="23" s="1"/>
  <c r="AI50" i="23"/>
  <c r="AH50" i="23" s="1"/>
  <c r="AI52" i="23"/>
  <c r="AH52" i="23" s="1"/>
  <c r="AI54" i="23"/>
  <c r="AH54" i="23" s="1"/>
  <c r="AI56" i="23"/>
  <c r="AH56" i="23" s="1"/>
  <c r="AI58" i="23"/>
  <c r="AH58" i="23" s="1"/>
  <c r="AI60" i="23"/>
  <c r="AH60" i="23" s="1"/>
  <c r="AI62" i="23"/>
  <c r="AH62" i="23" s="1"/>
  <c r="AI64" i="23"/>
  <c r="AH64" i="23" s="1"/>
  <c r="AI66" i="23"/>
  <c r="AH66" i="23" s="1"/>
  <c r="AI68" i="23"/>
  <c r="AH68" i="23" s="1"/>
  <c r="AI70" i="23"/>
  <c r="AH70" i="23" s="1"/>
  <c r="AI72" i="23"/>
  <c r="AH72" i="23" s="1"/>
  <c r="AI74" i="23"/>
  <c r="AH74" i="23" s="1"/>
  <c r="AI76" i="23"/>
  <c r="AH76" i="23" s="1"/>
  <c r="AI78" i="23"/>
  <c r="AH78" i="23" s="1"/>
  <c r="AI80" i="23"/>
  <c r="AH80" i="23" s="1"/>
  <c r="AI82" i="23"/>
  <c r="AH82" i="23" s="1"/>
  <c r="AI84" i="23"/>
  <c r="AH84" i="23" s="1"/>
  <c r="AI86" i="23"/>
  <c r="AH86" i="23" s="1"/>
  <c r="AI88" i="23"/>
  <c r="AH88" i="23" s="1"/>
  <c r="AI90" i="23"/>
  <c r="AH90" i="23" s="1"/>
  <c r="AI92" i="23"/>
  <c r="AH92" i="23" s="1"/>
  <c r="AI94" i="23"/>
  <c r="AH94" i="23" s="1"/>
  <c r="AI96" i="23"/>
  <c r="AH96" i="23" s="1"/>
  <c r="AI98" i="23"/>
  <c r="AH98" i="23" s="1"/>
  <c r="AI100" i="23"/>
  <c r="AH100" i="23" s="1"/>
  <c r="AI102" i="23"/>
  <c r="AH102" i="23" s="1"/>
  <c r="AI104" i="23"/>
  <c r="AH104" i="23" s="1"/>
  <c r="AI106" i="23"/>
  <c r="AH106" i="23" s="1"/>
  <c r="AI108" i="23"/>
  <c r="AH108" i="23" s="1"/>
  <c r="AI110" i="23"/>
  <c r="AH110" i="23" s="1"/>
  <c r="AI112" i="23"/>
  <c r="AH112" i="23" s="1"/>
  <c r="AI114" i="23"/>
  <c r="AH114" i="23" s="1"/>
  <c r="AI116" i="23"/>
  <c r="AH116" i="23" s="1"/>
  <c r="AI118" i="23"/>
  <c r="AH118" i="23" s="1"/>
  <c r="AI120" i="23"/>
  <c r="AH120" i="23" s="1"/>
  <c r="AI122" i="23"/>
  <c r="AH122" i="23" s="1"/>
  <c r="AI124" i="23"/>
  <c r="AH124" i="23" s="1"/>
  <c r="AI126" i="23"/>
  <c r="AH126" i="23" s="1"/>
  <c r="AI128" i="23"/>
  <c r="AH128" i="23" s="1"/>
  <c r="AI130" i="23"/>
  <c r="AH130" i="23" s="1"/>
  <c r="AI132" i="23"/>
  <c r="AH132" i="23" s="1"/>
  <c r="AI134" i="23"/>
  <c r="AH134" i="23" s="1"/>
  <c r="AI136" i="23"/>
  <c r="AH136" i="23" s="1"/>
  <c r="AI138" i="23"/>
  <c r="AH138" i="23" s="1"/>
  <c r="AI140" i="23"/>
  <c r="AH140" i="23" s="1"/>
  <c r="AI142" i="23"/>
  <c r="AH142" i="23" s="1"/>
  <c r="AI144" i="23"/>
  <c r="AH144" i="23" s="1"/>
  <c r="AI146" i="23"/>
  <c r="AH146" i="23" s="1"/>
  <c r="AI148" i="23"/>
  <c r="AH148" i="23" s="1"/>
  <c r="AI150" i="23"/>
  <c r="AH150" i="23" s="1"/>
  <c r="AI152" i="23"/>
  <c r="AH152" i="23" s="1"/>
  <c r="AI154" i="23"/>
  <c r="AH154" i="23" s="1"/>
  <c r="AI156" i="23"/>
  <c r="AH156" i="23" s="1"/>
  <c r="AI158" i="23"/>
  <c r="AH158" i="23" s="1"/>
  <c r="AI160" i="23"/>
  <c r="AH160" i="23" s="1"/>
  <c r="AI162" i="23"/>
  <c r="AH162" i="23" s="1"/>
  <c r="AI164" i="23"/>
  <c r="AH164" i="23" s="1"/>
  <c r="AI166" i="23"/>
  <c r="AH166" i="23" s="1"/>
  <c r="AI168" i="23"/>
  <c r="AH168" i="23" s="1"/>
  <c r="AI170" i="23"/>
  <c r="AH170" i="23" s="1"/>
  <c r="AI172" i="23"/>
  <c r="AH172" i="23" s="1"/>
  <c r="AI174" i="23"/>
  <c r="AH174" i="23" s="1"/>
  <c r="AI176" i="23"/>
  <c r="AH176" i="23" s="1"/>
  <c r="AI178" i="23"/>
  <c r="AH178" i="23" s="1"/>
  <c r="AI180" i="23"/>
  <c r="AH180" i="23" s="1"/>
  <c r="AI182" i="23"/>
  <c r="AH182" i="23" s="1"/>
  <c r="AI184" i="23"/>
  <c r="AH184" i="23" s="1"/>
  <c r="AI186" i="23"/>
  <c r="AH186" i="23" s="1"/>
  <c r="AI188" i="23"/>
  <c r="AH188" i="23" s="1"/>
  <c r="AI190" i="23"/>
  <c r="AH190" i="23" s="1"/>
  <c r="AI192" i="23"/>
  <c r="AH192" i="23" s="1"/>
  <c r="AI194" i="23"/>
  <c r="AH194" i="23" s="1"/>
  <c r="AI196" i="23"/>
  <c r="AH196" i="23" s="1"/>
  <c r="AI198" i="23"/>
  <c r="AH198" i="23" s="1"/>
  <c r="AI200" i="23"/>
  <c r="AH200" i="23" s="1"/>
  <c r="AI202" i="23"/>
  <c r="AH202" i="23" s="1"/>
  <c r="AI204" i="23"/>
  <c r="AH204" i="23" s="1"/>
  <c r="AI206" i="23"/>
  <c r="AH206" i="23" s="1"/>
  <c r="AI208" i="23"/>
  <c r="AH208" i="23" s="1"/>
  <c r="AI210" i="23"/>
  <c r="AH210" i="23" s="1"/>
  <c r="AI212" i="23"/>
  <c r="AH212" i="23" s="1"/>
  <c r="AI214" i="23"/>
  <c r="AH214" i="23" s="1"/>
  <c r="AI216" i="23"/>
  <c r="AH216" i="23" s="1"/>
  <c r="AI218" i="23"/>
  <c r="AH218" i="23" s="1"/>
  <c r="AI220" i="23"/>
  <c r="AH220" i="23" s="1"/>
  <c r="AI222" i="23"/>
  <c r="AH222" i="23" s="1"/>
  <c r="AI224" i="23"/>
  <c r="AH224" i="23" s="1"/>
  <c r="AI226" i="23"/>
  <c r="AH226" i="23" s="1"/>
  <c r="AI228" i="23"/>
  <c r="AH228" i="23" s="1"/>
  <c r="AI230" i="23"/>
  <c r="AH230" i="23" s="1"/>
  <c r="AI232" i="23"/>
  <c r="AH232" i="23" s="1"/>
  <c r="AI234" i="23"/>
  <c r="AH234" i="23" s="1"/>
  <c r="AI236" i="23"/>
  <c r="AH236" i="23" s="1"/>
  <c r="AI238" i="23"/>
  <c r="AH238" i="23" s="1"/>
  <c r="AI240" i="23"/>
  <c r="AH240" i="23" s="1"/>
  <c r="AI242" i="23"/>
  <c r="AH242" i="23" s="1"/>
  <c r="AI244" i="23"/>
  <c r="AH244" i="23" s="1"/>
  <c r="AI246" i="23"/>
  <c r="AH246" i="23" s="1"/>
  <c r="AI248" i="23"/>
  <c r="AH248" i="23" s="1"/>
  <c r="AI250" i="23"/>
  <c r="AH250" i="23" s="1"/>
  <c r="AI252" i="23"/>
  <c r="AH252" i="23" s="1"/>
  <c r="AI254" i="23"/>
  <c r="AH254" i="23" s="1"/>
  <c r="AI256" i="23"/>
  <c r="AH256" i="23" s="1"/>
  <c r="AI258" i="23"/>
  <c r="AH258" i="23" s="1"/>
  <c r="AI260" i="23"/>
  <c r="AH260" i="23" s="1"/>
  <c r="AI262" i="23"/>
  <c r="AH262" i="23" s="1"/>
  <c r="AI264" i="23"/>
  <c r="AH264" i="23" s="1"/>
  <c r="AI266" i="23"/>
  <c r="AH266" i="23" s="1"/>
  <c r="AI268" i="23"/>
  <c r="AH268" i="23" s="1"/>
  <c r="AI270" i="23"/>
  <c r="AH270" i="23" s="1"/>
  <c r="AI272" i="23"/>
  <c r="AH272" i="23" s="1"/>
  <c r="AI274" i="23"/>
  <c r="AH274" i="23" s="1"/>
  <c r="AI276" i="23"/>
  <c r="AH276" i="23" s="1"/>
  <c r="AI278" i="23"/>
  <c r="AH278" i="23" s="1"/>
  <c r="AI280" i="23"/>
  <c r="AH280" i="23" s="1"/>
  <c r="AI282" i="23"/>
  <c r="AH282" i="23" s="1"/>
  <c r="AI284" i="23"/>
  <c r="AH284" i="23" s="1"/>
  <c r="AI286" i="23"/>
  <c r="AH286" i="23" s="1"/>
  <c r="AI288" i="23"/>
  <c r="AH288" i="23" s="1"/>
  <c r="AI290" i="23"/>
  <c r="AH290" i="23" s="1"/>
  <c r="AI292" i="23"/>
  <c r="AH292" i="23" s="1"/>
  <c r="AI294" i="23"/>
  <c r="AH294" i="23" s="1"/>
  <c r="AI296" i="23"/>
  <c r="AH296" i="23" s="1"/>
  <c r="AI298" i="23"/>
  <c r="AH298" i="23" s="1"/>
  <c r="AI300" i="23"/>
  <c r="AH300" i="23" s="1"/>
  <c r="AI302" i="23"/>
  <c r="AH302" i="23" s="1"/>
  <c r="AI304" i="23"/>
  <c r="AH304" i="23" s="1"/>
  <c r="AI306" i="23"/>
  <c r="AH306" i="23" s="1"/>
  <c r="AI308" i="23"/>
  <c r="AH308" i="23" s="1"/>
  <c r="AI310" i="23"/>
  <c r="AH310" i="23" s="1"/>
  <c r="AI312" i="23"/>
  <c r="AH312" i="23" s="1"/>
  <c r="AI314" i="23"/>
  <c r="AH314" i="23" s="1"/>
  <c r="AI316" i="23"/>
  <c r="AH316" i="23" s="1"/>
  <c r="AI318" i="23"/>
  <c r="AH318" i="23" s="1"/>
  <c r="AI320" i="23"/>
  <c r="AH320" i="23" s="1"/>
  <c r="AI322" i="23"/>
  <c r="AH322" i="23" s="1"/>
  <c r="AI324" i="23"/>
  <c r="AH324" i="23" s="1"/>
  <c r="AI326" i="23"/>
  <c r="AH326" i="23" s="1"/>
  <c r="AI328" i="23"/>
  <c r="AH328" i="23" s="1"/>
  <c r="AI330" i="23"/>
  <c r="AH330" i="23" s="1"/>
  <c r="AI332" i="23"/>
  <c r="AH332" i="23" s="1"/>
  <c r="AI334" i="23"/>
  <c r="AH334" i="23" s="1"/>
  <c r="AI336" i="23"/>
  <c r="AH336" i="23" s="1"/>
  <c r="AI338" i="23"/>
  <c r="AH338" i="23" s="1"/>
  <c r="AI340" i="23"/>
  <c r="AH340" i="23" s="1"/>
  <c r="AI342" i="23"/>
  <c r="AH342" i="23" s="1"/>
  <c r="AI344" i="23"/>
  <c r="AH344" i="23" s="1"/>
  <c r="AI346" i="23"/>
  <c r="AH346" i="23" s="1"/>
  <c r="AI251" i="23"/>
  <c r="AH251" i="23" s="1"/>
  <c r="AI16" i="23"/>
  <c r="AH16" i="23" s="1"/>
  <c r="AI21" i="23"/>
  <c r="AH21" i="23" s="1"/>
  <c r="AI25" i="23"/>
  <c r="AH25" i="23" s="1"/>
  <c r="AI29" i="23"/>
  <c r="AH29" i="23" s="1"/>
  <c r="AI33" i="23"/>
  <c r="AH33" i="23" s="1"/>
  <c r="AI37" i="23"/>
  <c r="AH37" i="23" s="1"/>
  <c r="AI41" i="23"/>
  <c r="AH41" i="23" s="1"/>
  <c r="AI45" i="23"/>
  <c r="AH45" i="23" s="1"/>
  <c r="AI49" i="23"/>
  <c r="AH49" i="23" s="1"/>
  <c r="AI53" i="23"/>
  <c r="AH53" i="23" s="1"/>
  <c r="AI57" i="23"/>
  <c r="AH57" i="23" s="1"/>
  <c r="AI61" i="23"/>
  <c r="AH61" i="23" s="1"/>
  <c r="AI65" i="23"/>
  <c r="AH65" i="23" s="1"/>
  <c r="AI69" i="23"/>
  <c r="AH69" i="23" s="1"/>
  <c r="AI73" i="23"/>
  <c r="AH73" i="23" s="1"/>
  <c r="AI77" i="23"/>
  <c r="AH77" i="23" s="1"/>
  <c r="AI81" i="23"/>
  <c r="AH81" i="23" s="1"/>
  <c r="AI85" i="23"/>
  <c r="AH85" i="23" s="1"/>
  <c r="AI89" i="23"/>
  <c r="AH89" i="23" s="1"/>
  <c r="AI93" i="23"/>
  <c r="AH93" i="23" s="1"/>
  <c r="AI97" i="23"/>
  <c r="AH97" i="23" s="1"/>
  <c r="AI101" i="23"/>
  <c r="AH101" i="23" s="1"/>
  <c r="AI105" i="23"/>
  <c r="AH105" i="23" s="1"/>
  <c r="AI109" i="23"/>
  <c r="AH109" i="23" s="1"/>
  <c r="AI113" i="23"/>
  <c r="AH113" i="23" s="1"/>
  <c r="AI117" i="23"/>
  <c r="AH117" i="23" s="1"/>
  <c r="AI121" i="23"/>
  <c r="AH121" i="23" s="1"/>
  <c r="AI125" i="23"/>
  <c r="AH125" i="23" s="1"/>
  <c r="AI129" i="23"/>
  <c r="AH129" i="23" s="1"/>
  <c r="AI133" i="23"/>
  <c r="AH133" i="23" s="1"/>
  <c r="AI137" i="23"/>
  <c r="AH137" i="23" s="1"/>
  <c r="AI141" i="23"/>
  <c r="AH141" i="23" s="1"/>
  <c r="AI145" i="23"/>
  <c r="AH145" i="23" s="1"/>
  <c r="AI149" i="23"/>
  <c r="AH149" i="23" s="1"/>
  <c r="AI153" i="23"/>
  <c r="AH153" i="23" s="1"/>
  <c r="AI157" i="23"/>
  <c r="AH157" i="23" s="1"/>
  <c r="AI161" i="23"/>
  <c r="AH161" i="23" s="1"/>
  <c r="AI165" i="23"/>
  <c r="AH165" i="23" s="1"/>
  <c r="AI169" i="23"/>
  <c r="AH169" i="23" s="1"/>
  <c r="AI173" i="23"/>
  <c r="AH173" i="23" s="1"/>
  <c r="AI177" i="23"/>
  <c r="AH177" i="23" s="1"/>
  <c r="AI181" i="23"/>
  <c r="AH181" i="23" s="1"/>
  <c r="AI185" i="23"/>
  <c r="AH185" i="23" s="1"/>
  <c r="AI189" i="23"/>
  <c r="AH189" i="23" s="1"/>
  <c r="AI193" i="23"/>
  <c r="AH193" i="23" s="1"/>
  <c r="AI197" i="23"/>
  <c r="AH197" i="23" s="1"/>
  <c r="AI201" i="23"/>
  <c r="AH201" i="23" s="1"/>
  <c r="AI205" i="23"/>
  <c r="AH205" i="23" s="1"/>
  <c r="AI209" i="23"/>
  <c r="AH209" i="23" s="1"/>
  <c r="AI213" i="23"/>
  <c r="AH213" i="23" s="1"/>
  <c r="AI217" i="23"/>
  <c r="AH217" i="23" s="1"/>
  <c r="AI221" i="23"/>
  <c r="AH221" i="23" s="1"/>
  <c r="AI225" i="23"/>
  <c r="AH225" i="23" s="1"/>
  <c r="AI229" i="23"/>
  <c r="AH229" i="23" s="1"/>
  <c r="AI233" i="23"/>
  <c r="AH233" i="23" s="1"/>
  <c r="AI237" i="23"/>
  <c r="AH237" i="23" s="1"/>
  <c r="AI241" i="23"/>
  <c r="AH241" i="23" s="1"/>
  <c r="AI245" i="23"/>
  <c r="AH245" i="23" s="1"/>
  <c r="AI249" i="23"/>
  <c r="AH249" i="23" s="1"/>
  <c r="AI253" i="23"/>
  <c r="AH253" i="23" s="1"/>
  <c r="AI257" i="23"/>
  <c r="AH257" i="23" s="1"/>
  <c r="AI261" i="23"/>
  <c r="AH261" i="23" s="1"/>
  <c r="AI265" i="23"/>
  <c r="AH265" i="23" s="1"/>
  <c r="AI269" i="23"/>
  <c r="AH269" i="23" s="1"/>
  <c r="AI273" i="23"/>
  <c r="AH273" i="23" s="1"/>
  <c r="AI277" i="23"/>
  <c r="AH277" i="23" s="1"/>
  <c r="AI281" i="23"/>
  <c r="AH281" i="23" s="1"/>
  <c r="AI285" i="23"/>
  <c r="AH285" i="23" s="1"/>
  <c r="AI289" i="23"/>
  <c r="AH289" i="23" s="1"/>
  <c r="AI293" i="23"/>
  <c r="AH293" i="23" s="1"/>
  <c r="AI297" i="23"/>
  <c r="AH297" i="23" s="1"/>
  <c r="AI301" i="23"/>
  <c r="AH301" i="23" s="1"/>
  <c r="AI305" i="23"/>
  <c r="AH305" i="23" s="1"/>
  <c r="AI309" i="23"/>
  <c r="AH309" i="23" s="1"/>
  <c r="AI313" i="23"/>
  <c r="AH313" i="23" s="1"/>
  <c r="AI317" i="23"/>
  <c r="AH317" i="23" s="1"/>
  <c r="AI321" i="23"/>
  <c r="AH321" i="23" s="1"/>
  <c r="AI325" i="23"/>
  <c r="AH325" i="23" s="1"/>
  <c r="AI329" i="23"/>
  <c r="AH329" i="23" s="1"/>
  <c r="AI333" i="23"/>
  <c r="AH333" i="23" s="1"/>
  <c r="AI337" i="23"/>
  <c r="AH337" i="23" s="1"/>
  <c r="AI341" i="23"/>
  <c r="AH341" i="23" s="1"/>
  <c r="AI345" i="23"/>
  <c r="AH345" i="23" s="1"/>
  <c r="AI348" i="23"/>
  <c r="AH348" i="23" s="1"/>
  <c r="AI350" i="23"/>
  <c r="AH350" i="23" s="1"/>
  <c r="AI352" i="23"/>
  <c r="AH352" i="23" s="1"/>
  <c r="AI354" i="23"/>
  <c r="AH354" i="23" s="1"/>
  <c r="AI356" i="23"/>
  <c r="AH356" i="23" s="1"/>
  <c r="AI358" i="23"/>
  <c r="AH358" i="23" s="1"/>
  <c r="AI360" i="23"/>
  <c r="AH360" i="23" s="1"/>
  <c r="AI362" i="23"/>
  <c r="AH362" i="23" s="1"/>
  <c r="AI364" i="23"/>
  <c r="AH364" i="23" s="1"/>
  <c r="AI366" i="23"/>
  <c r="AH366" i="23" s="1"/>
  <c r="AI368" i="23"/>
  <c r="AH368" i="23" s="1"/>
  <c r="AI370" i="23"/>
  <c r="AH370" i="23" s="1"/>
  <c r="AI372" i="23"/>
  <c r="AH372" i="23" s="1"/>
  <c r="AI374" i="23"/>
  <c r="AH374" i="23" s="1"/>
  <c r="AI376" i="23"/>
  <c r="AH376" i="23" s="1"/>
  <c r="AI378" i="23"/>
  <c r="AH378" i="23" s="1"/>
  <c r="AI18" i="23"/>
  <c r="AH18" i="23" s="1"/>
  <c r="AI15" i="23"/>
  <c r="AI23" i="23"/>
  <c r="AH23" i="23" s="1"/>
  <c r="AI27" i="23"/>
  <c r="AH27" i="23" s="1"/>
  <c r="AI31" i="23"/>
  <c r="AH31" i="23" s="1"/>
  <c r="AI35" i="23"/>
  <c r="AH35" i="23" s="1"/>
  <c r="AI39" i="23"/>
  <c r="AH39" i="23" s="1"/>
  <c r="AI43" i="23"/>
  <c r="AH43" i="23" s="1"/>
  <c r="AI47" i="23"/>
  <c r="AH47" i="23" s="1"/>
  <c r="AI51" i="23"/>
  <c r="AH51" i="23" s="1"/>
  <c r="AI55" i="23"/>
  <c r="AH55" i="23" s="1"/>
  <c r="AI59" i="23"/>
  <c r="AH59" i="23" s="1"/>
  <c r="AI63" i="23"/>
  <c r="AH63" i="23" s="1"/>
  <c r="AI67" i="23"/>
  <c r="AH67" i="23" s="1"/>
  <c r="AI71" i="23"/>
  <c r="AH71" i="23" s="1"/>
  <c r="AI75" i="23"/>
  <c r="AH75" i="23" s="1"/>
  <c r="AI79" i="23"/>
  <c r="AH79" i="23" s="1"/>
  <c r="AI83" i="23"/>
  <c r="AH83" i="23" s="1"/>
  <c r="AI87" i="23"/>
  <c r="AH87" i="23" s="1"/>
  <c r="AI91" i="23"/>
  <c r="AH91" i="23" s="1"/>
  <c r="AI95" i="23"/>
  <c r="AH95" i="23" s="1"/>
  <c r="AI99" i="23"/>
  <c r="AH99" i="23" s="1"/>
  <c r="AI103" i="23"/>
  <c r="AH103" i="23" s="1"/>
  <c r="AI107" i="23"/>
  <c r="AH107" i="23" s="1"/>
  <c r="AI111" i="23"/>
  <c r="AH111" i="23" s="1"/>
  <c r="AI115" i="23"/>
  <c r="AH115" i="23" s="1"/>
  <c r="AI119" i="23"/>
  <c r="AH119" i="23" s="1"/>
  <c r="AI123" i="23"/>
  <c r="AH123" i="23" s="1"/>
  <c r="AI127" i="23"/>
  <c r="AH127" i="23" s="1"/>
  <c r="AI131" i="23"/>
  <c r="AH131" i="23" s="1"/>
  <c r="AI135" i="23"/>
  <c r="AH135" i="23" s="1"/>
  <c r="AI139" i="23"/>
  <c r="AH139" i="23" s="1"/>
  <c r="AI143" i="23"/>
  <c r="AH143" i="23" s="1"/>
  <c r="AI147" i="23"/>
  <c r="AH147" i="23" s="1"/>
  <c r="AI151" i="23"/>
  <c r="AH151" i="23" s="1"/>
  <c r="AI155" i="23"/>
  <c r="AH155" i="23" s="1"/>
  <c r="AI159" i="23"/>
  <c r="AH159" i="23" s="1"/>
  <c r="AI163" i="23"/>
  <c r="AH163" i="23" s="1"/>
  <c r="AI167" i="23"/>
  <c r="AH167" i="23" s="1"/>
  <c r="AI171" i="23"/>
  <c r="AH171" i="23" s="1"/>
  <c r="AI175" i="23"/>
  <c r="AH175" i="23" s="1"/>
  <c r="AI179" i="23"/>
  <c r="AH179" i="23" s="1"/>
  <c r="AI183" i="23"/>
  <c r="AH183" i="23" s="1"/>
  <c r="AI187" i="23"/>
  <c r="AH187" i="23" s="1"/>
  <c r="AI191" i="23"/>
  <c r="AH191" i="23" s="1"/>
  <c r="AI195" i="23"/>
  <c r="AH195" i="23" s="1"/>
  <c r="AI199" i="23"/>
  <c r="AH199" i="23" s="1"/>
  <c r="AI203" i="23"/>
  <c r="AH203" i="23" s="1"/>
  <c r="AI207" i="23"/>
  <c r="AH207" i="23" s="1"/>
  <c r="AI211" i="23"/>
  <c r="AH211" i="23" s="1"/>
  <c r="AI215" i="23"/>
  <c r="AH215" i="23" s="1"/>
  <c r="AI219" i="23"/>
  <c r="AH219" i="23" s="1"/>
  <c r="AI223" i="23"/>
  <c r="AH223" i="23" s="1"/>
  <c r="AI227" i="23"/>
  <c r="AH227" i="23" s="1"/>
  <c r="AI231" i="23"/>
  <c r="AH231" i="23" s="1"/>
  <c r="AI235" i="23"/>
  <c r="AH235" i="23" s="1"/>
  <c r="AI239" i="23"/>
  <c r="AH239" i="23" s="1"/>
  <c r="AI243" i="23"/>
  <c r="AH243" i="23" s="1"/>
  <c r="AI247" i="23"/>
  <c r="AH247" i="23" s="1"/>
  <c r="AI255" i="23"/>
  <c r="AH255" i="23" s="1"/>
  <c r="AI259" i="23"/>
  <c r="AH259" i="23" s="1"/>
  <c r="AI263" i="23"/>
  <c r="AH263" i="23" s="1"/>
  <c r="AI267" i="23"/>
  <c r="AH267" i="23" s="1"/>
  <c r="AI271" i="23"/>
  <c r="AH271" i="23" s="1"/>
  <c r="AI275" i="23"/>
  <c r="AH275" i="23" s="1"/>
  <c r="AI279" i="23"/>
  <c r="AH279" i="23" s="1"/>
  <c r="AI283" i="23"/>
  <c r="AH283" i="23" s="1"/>
  <c r="AI287" i="23"/>
  <c r="AH287" i="23" s="1"/>
  <c r="AI291" i="23"/>
  <c r="AH291" i="23" s="1"/>
  <c r="AI295" i="23"/>
  <c r="AH295" i="23" s="1"/>
  <c r="AI299" i="23"/>
  <c r="AH299" i="23" s="1"/>
  <c r="AI303" i="23"/>
  <c r="AH303" i="23" s="1"/>
  <c r="AI307" i="23"/>
  <c r="AH307" i="23" s="1"/>
  <c r="AI311" i="23"/>
  <c r="AH311" i="23" s="1"/>
  <c r="AI315" i="23"/>
  <c r="AH315" i="23" s="1"/>
  <c r="AI319" i="23"/>
  <c r="AH319" i="23" s="1"/>
  <c r="AI323" i="23"/>
  <c r="AH323" i="23" s="1"/>
  <c r="AI327" i="23"/>
  <c r="AH327" i="23" s="1"/>
  <c r="AI331" i="23"/>
  <c r="AH331" i="23" s="1"/>
  <c r="AI335" i="23"/>
  <c r="AH335" i="23" s="1"/>
  <c r="AI339" i="23"/>
  <c r="AH339" i="23" s="1"/>
  <c r="AI343" i="23"/>
  <c r="AH343" i="23" s="1"/>
  <c r="AI347" i="23"/>
  <c r="AH347" i="23" s="1"/>
  <c r="AG347" i="23" s="1"/>
  <c r="AF347" i="23" s="1"/>
  <c r="AI349" i="23"/>
  <c r="AH349" i="23" s="1"/>
  <c r="AI351" i="23"/>
  <c r="AH351" i="23" s="1"/>
  <c r="AG351" i="23" s="1"/>
  <c r="AF351" i="23" s="1"/>
  <c r="AD351" i="23" s="1"/>
  <c r="AI353" i="23"/>
  <c r="AH353" i="23" s="1"/>
  <c r="AI355" i="23"/>
  <c r="AH355" i="23" s="1"/>
  <c r="AG355" i="23" s="1"/>
  <c r="AF355" i="23" s="1"/>
  <c r="AD355" i="23" s="1"/>
  <c r="AI357" i="23"/>
  <c r="AH357" i="23" s="1"/>
  <c r="AI359" i="23"/>
  <c r="AH359" i="23" s="1"/>
  <c r="AG359" i="23" s="1"/>
  <c r="AF359" i="23" s="1"/>
  <c r="AD359" i="23" s="1"/>
  <c r="AI361" i="23"/>
  <c r="AH361" i="23" s="1"/>
  <c r="AI363" i="23"/>
  <c r="AH363" i="23" s="1"/>
  <c r="AG363" i="23" s="1"/>
  <c r="AF363" i="23" s="1"/>
  <c r="AI365" i="23"/>
  <c r="AH365" i="23" s="1"/>
  <c r="AI367" i="23"/>
  <c r="AH367" i="23" s="1"/>
  <c r="AG367" i="23" s="1"/>
  <c r="AF367" i="23" s="1"/>
  <c r="AD367" i="23" s="1"/>
  <c r="AI369" i="23"/>
  <c r="AH369" i="23" s="1"/>
  <c r="AI371" i="23"/>
  <c r="AH371" i="23" s="1"/>
  <c r="AG371" i="23" s="1"/>
  <c r="AF371" i="23" s="1"/>
  <c r="AD371" i="23" s="1"/>
  <c r="AI373" i="23"/>
  <c r="AH373" i="23" s="1"/>
  <c r="AI375" i="23"/>
  <c r="AH375" i="23" s="1"/>
  <c r="AG375" i="23" s="1"/>
  <c r="AF375" i="23" s="1"/>
  <c r="AD375" i="23" s="1"/>
  <c r="AI377" i="23"/>
  <c r="AH377" i="23" s="1"/>
  <c r="AI379" i="23"/>
  <c r="AD104" i="20"/>
  <c r="AF382" i="20"/>
  <c r="AF383" i="20"/>
  <c r="AF381" i="20"/>
  <c r="H262" i="22"/>
  <c r="J262" i="22" s="1"/>
  <c r="H136" i="22"/>
  <c r="J136" i="22" s="1"/>
  <c r="H252" i="22"/>
  <c r="J252" i="22" s="1"/>
  <c r="H356" i="22"/>
  <c r="I356" i="22" s="1"/>
  <c r="H33" i="22"/>
  <c r="J33" i="22" s="1"/>
  <c r="H89" i="22"/>
  <c r="I89" i="22" s="1"/>
  <c r="H129" i="22"/>
  <c r="I129" i="22" s="1"/>
  <c r="H165" i="22"/>
  <c r="I165" i="22" s="1"/>
  <c r="H197" i="22"/>
  <c r="I197" i="22" s="1"/>
  <c r="H353" i="22"/>
  <c r="I353" i="22" s="1"/>
  <c r="H42" i="22"/>
  <c r="I42" i="22" s="1"/>
  <c r="H146" i="22"/>
  <c r="I146" i="22" s="1"/>
  <c r="H158" i="22"/>
  <c r="J158" i="22" s="1"/>
  <c r="H174" i="22"/>
  <c r="I174" i="22" s="1"/>
  <c r="H198" i="22"/>
  <c r="I198" i="22" s="1"/>
  <c r="H131" i="22"/>
  <c r="J131" i="22" s="1"/>
  <c r="H147" i="22"/>
  <c r="J147" i="22" s="1"/>
  <c r="H215" i="22"/>
  <c r="J215" i="22" s="1"/>
  <c r="H291" i="22"/>
  <c r="J291" i="22" s="1"/>
  <c r="H339" i="22"/>
  <c r="I339" i="22" s="1"/>
  <c r="H141" i="22"/>
  <c r="I141" i="22" s="1"/>
  <c r="H161" i="22"/>
  <c r="I161" i="22" s="1"/>
  <c r="H185" i="22"/>
  <c r="J185" i="22" s="1"/>
  <c r="H253" i="22"/>
  <c r="J253" i="22" s="1"/>
  <c r="H257" i="22"/>
  <c r="I257" i="22" s="1"/>
  <c r="H369" i="22"/>
  <c r="J369" i="22" s="1"/>
  <c r="H38" i="22"/>
  <c r="J38" i="22" s="1"/>
  <c r="H114" i="22"/>
  <c r="J114" i="22" s="1"/>
  <c r="H122" i="22"/>
  <c r="J122" i="22" s="1"/>
  <c r="H170" i="22"/>
  <c r="I170" i="22" s="1"/>
  <c r="H326" i="22"/>
  <c r="J326" i="22" s="1"/>
  <c r="H23" i="22"/>
  <c r="J23" i="22" s="1"/>
  <c r="H27" i="22"/>
  <c r="I27" i="22" s="1"/>
  <c r="H271" i="22"/>
  <c r="J271" i="22" s="1"/>
  <c r="H355" i="22"/>
  <c r="I355" i="22" s="1"/>
  <c r="H341" i="22"/>
  <c r="I341" i="22" s="1"/>
  <c r="H373" i="22"/>
  <c r="I373" i="22" s="1"/>
  <c r="H22" i="22"/>
  <c r="J22" i="22" s="1"/>
  <c r="H78" i="22"/>
  <c r="I78" i="22" s="1"/>
  <c r="H182" i="22"/>
  <c r="I182" i="22" s="1"/>
  <c r="H222" i="22"/>
  <c r="I222" i="22" s="1"/>
  <c r="H318" i="22"/>
  <c r="J318" i="22" s="1"/>
  <c r="H350" i="22"/>
  <c r="J350" i="22" s="1"/>
  <c r="H374" i="22"/>
  <c r="I374" i="22" s="1"/>
  <c r="H378" i="22"/>
  <c r="J378" i="22" s="1"/>
  <c r="H55" i="22"/>
  <c r="J55" i="22" s="1"/>
  <c r="H127" i="22"/>
  <c r="I127" i="22" s="1"/>
  <c r="H175" i="22"/>
  <c r="J175" i="22" s="1"/>
  <c r="H207" i="22"/>
  <c r="J207" i="22" s="1"/>
  <c r="H223" i="22"/>
  <c r="J223" i="22" s="1"/>
  <c r="H17" i="22"/>
  <c r="J17" i="22" s="1"/>
  <c r="H54" i="22"/>
  <c r="I54" i="22" s="1"/>
  <c r="H90" i="22"/>
  <c r="J90" i="22" s="1"/>
  <c r="H134" i="22"/>
  <c r="J134" i="22" s="1"/>
  <c r="H150" i="22"/>
  <c r="J150" i="22" s="1"/>
  <c r="H254" i="22"/>
  <c r="J254" i="22" s="1"/>
  <c r="H298" i="22"/>
  <c r="I298" i="22" s="1"/>
  <c r="H39" i="22"/>
  <c r="I39" i="22" s="1"/>
  <c r="H87" i="22"/>
  <c r="J87" i="22" s="1"/>
  <c r="H91" i="22"/>
  <c r="J91" i="22" s="1"/>
  <c r="H111" i="22"/>
  <c r="I111" i="22" s="1"/>
  <c r="H367" i="22"/>
  <c r="J367" i="22" s="1"/>
  <c r="H36" i="22"/>
  <c r="I36" i="22" s="1"/>
  <c r="H172" i="22"/>
  <c r="I172" i="22" s="1"/>
  <c r="H300" i="22"/>
  <c r="I300" i="22" s="1"/>
  <c r="H69" i="22"/>
  <c r="J69" i="22" s="1"/>
  <c r="H137" i="22"/>
  <c r="J137" i="22" s="1"/>
  <c r="H293" i="22"/>
  <c r="J293" i="22" s="1"/>
  <c r="H329" i="22"/>
  <c r="J329" i="22" s="1"/>
  <c r="H76" i="22"/>
  <c r="J76" i="22" s="1"/>
  <c r="H112" i="22"/>
  <c r="J112" i="22" s="1"/>
  <c r="H156" i="22"/>
  <c r="J156" i="22" s="1"/>
  <c r="H340" i="22"/>
  <c r="J340" i="22" s="1"/>
  <c r="H376" i="22"/>
  <c r="I376" i="22" s="1"/>
  <c r="H25" i="22"/>
  <c r="J25" i="22" s="1"/>
  <c r="H109" i="22"/>
  <c r="J109" i="22" s="1"/>
  <c r="H181" i="22"/>
  <c r="J181" i="22" s="1"/>
  <c r="H144" i="22"/>
  <c r="I144" i="22" s="1"/>
  <c r="H168" i="22"/>
  <c r="I168" i="22" s="1"/>
  <c r="H220" i="22"/>
  <c r="J220" i="22" s="1"/>
  <c r="H244" i="22"/>
  <c r="J244" i="22" s="1"/>
  <c r="H264" i="22"/>
  <c r="I264" i="22" s="1"/>
  <c r="H113" i="22"/>
  <c r="J113" i="22" s="1"/>
  <c r="H133" i="22"/>
  <c r="I133" i="22" s="1"/>
  <c r="H285" i="22"/>
  <c r="I285" i="22" s="1"/>
  <c r="H289" i="22"/>
  <c r="J289" i="22" s="1"/>
  <c r="H297" i="22"/>
  <c r="I297" i="22" s="1"/>
  <c r="H321" i="22"/>
  <c r="J321" i="22" s="1"/>
  <c r="H62" i="22"/>
  <c r="J62" i="22" s="1"/>
  <c r="H126" i="22"/>
  <c r="I126" i="22" s="1"/>
  <c r="H154" i="22"/>
  <c r="J154" i="22" s="1"/>
  <c r="H314" i="22"/>
  <c r="I314" i="22" s="1"/>
  <c r="H143" i="22"/>
  <c r="I143" i="22" s="1"/>
  <c r="H151" i="22"/>
  <c r="J151" i="22" s="1"/>
  <c r="H163" i="22"/>
  <c r="I163" i="22" s="1"/>
  <c r="H275" i="22"/>
  <c r="J275" i="22" s="1"/>
  <c r="H331" i="22"/>
  <c r="J331" i="22" s="1"/>
  <c r="H64" i="22"/>
  <c r="J64" i="22" s="1"/>
  <c r="H176" i="22"/>
  <c r="J176" i="22" s="1"/>
  <c r="H184" i="22"/>
  <c r="J184" i="22" s="1"/>
  <c r="H316" i="22"/>
  <c r="J316" i="22" s="1"/>
  <c r="H372" i="22"/>
  <c r="J372" i="22" s="1"/>
  <c r="H49" i="22"/>
  <c r="I49" i="22" s="1"/>
  <c r="H77" i="22"/>
  <c r="J77" i="22" s="1"/>
  <c r="H117" i="22"/>
  <c r="I117" i="22" s="1"/>
  <c r="H169" i="22"/>
  <c r="I169" i="22" s="1"/>
  <c r="H66" i="22"/>
  <c r="J66" i="22" s="1"/>
  <c r="H94" i="22"/>
  <c r="J94" i="22" s="1"/>
  <c r="H138" i="22"/>
  <c r="J138" i="22" s="1"/>
  <c r="H194" i="22"/>
  <c r="J194" i="22" s="1"/>
  <c r="H238" i="22"/>
  <c r="I238" i="22" s="1"/>
  <c r="H274" i="22"/>
  <c r="J274" i="22" s="1"/>
  <c r="H290" i="22"/>
  <c r="J290" i="22" s="1"/>
  <c r="H51" i="22"/>
  <c r="J51" i="22" s="1"/>
  <c r="H75" i="22"/>
  <c r="I75" i="22" s="1"/>
  <c r="H99" i="22"/>
  <c r="I99" i="22" s="1"/>
  <c r="H155" i="22"/>
  <c r="I155" i="22" s="1"/>
  <c r="H243" i="22"/>
  <c r="J243" i="22" s="1"/>
  <c r="H251" i="22"/>
  <c r="J251" i="22" s="1"/>
  <c r="H40" i="22"/>
  <c r="J40" i="22" s="1"/>
  <c r="H72" i="22"/>
  <c r="J72" i="22" s="1"/>
  <c r="H152" i="22"/>
  <c r="J152" i="22" s="1"/>
  <c r="H192" i="22"/>
  <c r="I192" i="22" s="1"/>
  <c r="H236" i="22"/>
  <c r="J236" i="22" s="1"/>
  <c r="H256" i="22"/>
  <c r="I256" i="22" s="1"/>
  <c r="H280" i="22"/>
  <c r="I280" i="22" s="1"/>
  <c r="H379" i="20"/>
  <c r="I379" i="20" s="1"/>
  <c r="H116" i="22"/>
  <c r="I116" i="22" s="1"/>
  <c r="H160" i="22"/>
  <c r="J160" i="22" s="1"/>
  <c r="H312" i="22"/>
  <c r="J312" i="22" s="1"/>
  <c r="H324" i="22"/>
  <c r="J324" i="22" s="1"/>
  <c r="H364" i="22"/>
  <c r="J364" i="22" s="1"/>
  <c r="H121" i="22"/>
  <c r="I121" i="22" s="1"/>
  <c r="H313" i="22"/>
  <c r="J313" i="22" s="1"/>
  <c r="H58" i="22"/>
  <c r="I58" i="22" s="1"/>
  <c r="H43" i="22"/>
  <c r="J43" i="22" s="1"/>
  <c r="H59" i="22"/>
  <c r="I59" i="22" s="1"/>
  <c r="H167" i="22"/>
  <c r="J167" i="22" s="1"/>
  <c r="H295" i="22"/>
  <c r="I295" i="22" s="1"/>
  <c r="H359" i="22"/>
  <c r="I359" i="22" s="1"/>
  <c r="H336" i="22"/>
  <c r="I336" i="22" s="1"/>
  <c r="H93" i="22"/>
  <c r="J93" i="22" s="1"/>
  <c r="H233" i="22"/>
  <c r="J233" i="22" s="1"/>
  <c r="H245" i="22"/>
  <c r="I245" i="22" s="1"/>
  <c r="H277" i="22"/>
  <c r="J277" i="22" s="1"/>
  <c r="H162" i="22"/>
  <c r="J162" i="22" s="1"/>
  <c r="H226" i="22"/>
  <c r="J226" i="22" s="1"/>
  <c r="H250" i="22"/>
  <c r="J250" i="22" s="1"/>
  <c r="H370" i="22"/>
  <c r="J370" i="22" s="1"/>
  <c r="H123" i="22"/>
  <c r="J123" i="22" s="1"/>
  <c r="H307" i="22"/>
  <c r="J307" i="22" s="1"/>
  <c r="H371" i="22"/>
  <c r="J371" i="22" s="1"/>
  <c r="H375" i="22"/>
  <c r="J375" i="22" s="1"/>
  <c r="H279" i="22"/>
  <c r="I279" i="22" s="1"/>
  <c r="H32" i="22"/>
  <c r="J32" i="22" s="1"/>
  <c r="H188" i="22"/>
  <c r="J188" i="22" s="1"/>
  <c r="H200" i="22"/>
  <c r="J200" i="22" s="1"/>
  <c r="H360" i="22"/>
  <c r="I360" i="22" s="1"/>
  <c r="H53" i="22"/>
  <c r="I53" i="22" s="1"/>
  <c r="H125" i="22"/>
  <c r="I125" i="22" s="1"/>
  <c r="H157" i="22"/>
  <c r="I157" i="22" s="1"/>
  <c r="H221" i="22"/>
  <c r="I221" i="22" s="1"/>
  <c r="H317" i="22"/>
  <c r="J317" i="22" s="1"/>
  <c r="H186" i="22"/>
  <c r="J186" i="22" s="1"/>
  <c r="H246" i="22"/>
  <c r="I246" i="22" s="1"/>
  <c r="H282" i="22"/>
  <c r="I282" i="22" s="1"/>
  <c r="H79" i="22"/>
  <c r="I79" i="22" s="1"/>
  <c r="H179" i="22"/>
  <c r="I179" i="22" s="1"/>
  <c r="H183" i="22"/>
  <c r="J183" i="22" s="1"/>
  <c r="H100" i="22"/>
  <c r="J100" i="22" s="1"/>
  <c r="H104" i="22"/>
  <c r="J104" i="22" s="1"/>
  <c r="H108" i="22"/>
  <c r="I108" i="22" s="1"/>
  <c r="H120" i="22"/>
  <c r="I120" i="22" s="1"/>
  <c r="H140" i="22"/>
  <c r="J140" i="22" s="1"/>
  <c r="H148" i="22"/>
  <c r="I148" i="22" s="1"/>
  <c r="H204" i="22"/>
  <c r="I204" i="22" s="1"/>
  <c r="H332" i="22"/>
  <c r="J332" i="22" s="1"/>
  <c r="H348" i="22"/>
  <c r="J348" i="22" s="1"/>
  <c r="H201" i="22"/>
  <c r="J201" i="22" s="1"/>
  <c r="H237" i="22"/>
  <c r="J237" i="22" s="1"/>
  <c r="H261" i="22"/>
  <c r="I261" i="22" s="1"/>
  <c r="H265" i="22"/>
  <c r="I265" i="22" s="1"/>
  <c r="H325" i="22"/>
  <c r="J325" i="22" s="1"/>
  <c r="H345" i="22"/>
  <c r="I345" i="22" s="1"/>
  <c r="H50" i="22"/>
  <c r="J50" i="22" s="1"/>
  <c r="H70" i="22"/>
  <c r="J70" i="22" s="1"/>
  <c r="H86" i="22"/>
  <c r="I86" i="22" s="1"/>
  <c r="H102" i="22"/>
  <c r="I102" i="22" s="1"/>
  <c r="H362" i="22"/>
  <c r="I362" i="22" s="1"/>
  <c r="H71" i="22"/>
  <c r="I71" i="22" s="1"/>
  <c r="H95" i="22"/>
  <c r="J95" i="22" s="1"/>
  <c r="H103" i="22"/>
  <c r="J103" i="22" s="1"/>
  <c r="H323" i="22"/>
  <c r="I323" i="22" s="1"/>
  <c r="H255" i="22"/>
  <c r="I255" i="22" s="1"/>
  <c r="H132" i="22"/>
  <c r="J132" i="22" s="1"/>
  <c r="H52" i="22"/>
  <c r="I52" i="22" s="1"/>
  <c r="H80" i="22"/>
  <c r="I80" i="22" s="1"/>
  <c r="H92" i="22"/>
  <c r="J92" i="22" s="1"/>
  <c r="H368" i="22"/>
  <c r="J368" i="22" s="1"/>
  <c r="H45" i="22"/>
  <c r="J45" i="22" s="1"/>
  <c r="H57" i="22"/>
  <c r="I57" i="22" s="1"/>
  <c r="H73" i="22"/>
  <c r="I73" i="22" s="1"/>
  <c r="H81" i="22"/>
  <c r="J81" i="22" s="1"/>
  <c r="H205" i="22"/>
  <c r="J205" i="22" s="1"/>
  <c r="H269" i="22"/>
  <c r="I269" i="22" s="1"/>
  <c r="H273" i="22"/>
  <c r="I273" i="22" s="1"/>
  <c r="H281" i="22"/>
  <c r="I281" i="22" s="1"/>
  <c r="H142" i="22"/>
  <c r="J142" i="22" s="1"/>
  <c r="H270" i="22"/>
  <c r="J270" i="22" s="1"/>
  <c r="H338" i="22"/>
  <c r="I338" i="22" s="1"/>
  <c r="H67" i="22"/>
  <c r="I67" i="22" s="1"/>
  <c r="H187" i="22"/>
  <c r="I187" i="22" s="1"/>
  <c r="H203" i="22"/>
  <c r="I203" i="22" s="1"/>
  <c r="H211" i="22"/>
  <c r="I211" i="22" s="1"/>
  <c r="H96" i="22"/>
  <c r="I96" i="22" s="1"/>
  <c r="H101" i="22"/>
  <c r="J101" i="22" s="1"/>
  <c r="H249" i="22"/>
  <c r="J249" i="22" s="1"/>
  <c r="H365" i="22"/>
  <c r="J365" i="22" s="1"/>
  <c r="H35" i="22"/>
  <c r="J35" i="22" s="1"/>
  <c r="H139" i="22"/>
  <c r="I139" i="22" s="1"/>
  <c r="H283" i="22"/>
  <c r="J283" i="22" s="1"/>
  <c r="H263" i="22"/>
  <c r="I263" i="22" s="1"/>
  <c r="H267" i="22"/>
  <c r="I267" i="22" s="1"/>
  <c r="H315" i="22"/>
  <c r="J315" i="22" s="1"/>
  <c r="AJ6" i="20"/>
  <c r="B381" i="20"/>
  <c r="B382" i="20"/>
  <c r="H9" i="20"/>
  <c r="B16" i="19" s="1"/>
  <c r="B32" i="19" s="1"/>
  <c r="D15" i="20"/>
  <c r="AJ7" i="20" s="1"/>
  <c r="B383" i="20"/>
  <c r="AK6" i="20"/>
  <c r="W15" i="20"/>
  <c r="S19" i="23"/>
  <c r="R19" i="23" s="1"/>
  <c r="P19" i="23" s="1"/>
  <c r="V19" i="23" s="1"/>
  <c r="B19" i="23" s="1"/>
  <c r="S20" i="23"/>
  <c r="R20" i="23" s="1"/>
  <c r="P20" i="23" s="1"/>
  <c r="V20" i="23" s="1"/>
  <c r="B20" i="23" s="1"/>
  <c r="S24" i="23"/>
  <c r="R24" i="23" s="1"/>
  <c r="P24" i="23" s="1"/>
  <c r="V24" i="23" s="1"/>
  <c r="B24" i="23" s="1"/>
  <c r="S28" i="23"/>
  <c r="R28" i="23" s="1"/>
  <c r="P28" i="23" s="1"/>
  <c r="V28" i="23" s="1"/>
  <c r="B28" i="23" s="1"/>
  <c r="S32" i="23"/>
  <c r="R32" i="23" s="1"/>
  <c r="P32" i="23" s="1"/>
  <c r="V32" i="23" s="1"/>
  <c r="B32" i="23" s="1"/>
  <c r="S36" i="23"/>
  <c r="R36" i="23" s="1"/>
  <c r="P36" i="23" s="1"/>
  <c r="V36" i="23" s="1"/>
  <c r="B36" i="23" s="1"/>
  <c r="S38" i="23"/>
  <c r="R38" i="23" s="1"/>
  <c r="P38" i="23" s="1"/>
  <c r="V38" i="23" s="1"/>
  <c r="B38" i="23" s="1"/>
  <c r="S40" i="23"/>
  <c r="R40" i="23" s="1"/>
  <c r="P40" i="23" s="1"/>
  <c r="V40" i="23" s="1"/>
  <c r="B40" i="23" s="1"/>
  <c r="S42" i="23"/>
  <c r="R42" i="23" s="1"/>
  <c r="P42" i="23" s="1"/>
  <c r="V42" i="23" s="1"/>
  <c r="B42" i="23" s="1"/>
  <c r="S44" i="23"/>
  <c r="R44" i="23" s="1"/>
  <c r="P44" i="23" s="1"/>
  <c r="V44" i="23" s="1"/>
  <c r="B44" i="23" s="1"/>
  <c r="S46" i="23"/>
  <c r="R46" i="23" s="1"/>
  <c r="P46" i="23" s="1"/>
  <c r="V46" i="23" s="1"/>
  <c r="B46" i="23" s="1"/>
  <c r="S48" i="23"/>
  <c r="R48" i="23" s="1"/>
  <c r="P48" i="23" s="1"/>
  <c r="V48" i="23" s="1"/>
  <c r="B48" i="23" s="1"/>
  <c r="S50" i="23"/>
  <c r="R50" i="23" s="1"/>
  <c r="P50" i="23" s="1"/>
  <c r="V50" i="23" s="1"/>
  <c r="B50" i="23" s="1"/>
  <c r="S52" i="23"/>
  <c r="R52" i="23" s="1"/>
  <c r="P52" i="23" s="1"/>
  <c r="V52" i="23" s="1"/>
  <c r="B52" i="23" s="1"/>
  <c r="S54" i="23"/>
  <c r="R54" i="23" s="1"/>
  <c r="P54" i="23" s="1"/>
  <c r="V54" i="23" s="1"/>
  <c r="B54" i="23" s="1"/>
  <c r="S56" i="23"/>
  <c r="R56" i="23" s="1"/>
  <c r="P56" i="23" s="1"/>
  <c r="V56" i="23" s="1"/>
  <c r="B56" i="23" s="1"/>
  <c r="S58" i="23"/>
  <c r="R58" i="23" s="1"/>
  <c r="P58" i="23" s="1"/>
  <c r="V58" i="23" s="1"/>
  <c r="B58" i="23" s="1"/>
  <c r="S60" i="23"/>
  <c r="R60" i="23" s="1"/>
  <c r="P60" i="23" s="1"/>
  <c r="S62" i="23"/>
  <c r="R62" i="23" s="1"/>
  <c r="P62" i="23" s="1"/>
  <c r="V62" i="23" s="1"/>
  <c r="B62" i="23" s="1"/>
  <c r="S64" i="23"/>
  <c r="R64" i="23" s="1"/>
  <c r="P64" i="23" s="1"/>
  <c r="V64" i="23" s="1"/>
  <c r="B64" i="23" s="1"/>
  <c r="S66" i="23"/>
  <c r="R66" i="23" s="1"/>
  <c r="P66" i="23" s="1"/>
  <c r="V66" i="23" s="1"/>
  <c r="B66" i="23" s="1"/>
  <c r="S68" i="23"/>
  <c r="R68" i="23" s="1"/>
  <c r="P68" i="23" s="1"/>
  <c r="V68" i="23" s="1"/>
  <c r="B68" i="23" s="1"/>
  <c r="S70" i="23"/>
  <c r="R70" i="23" s="1"/>
  <c r="P70" i="23" s="1"/>
  <c r="V70" i="23" s="1"/>
  <c r="B70" i="23" s="1"/>
  <c r="S72" i="23"/>
  <c r="R72" i="23" s="1"/>
  <c r="P72" i="23" s="1"/>
  <c r="V72" i="23" s="1"/>
  <c r="B72" i="23" s="1"/>
  <c r="S74" i="23"/>
  <c r="R74" i="23" s="1"/>
  <c r="P74" i="23" s="1"/>
  <c r="V74" i="23" s="1"/>
  <c r="B74" i="23" s="1"/>
  <c r="S76" i="23"/>
  <c r="R76" i="23" s="1"/>
  <c r="P76" i="23" s="1"/>
  <c r="V76" i="23" s="1"/>
  <c r="B76" i="23" s="1"/>
  <c r="S78" i="23"/>
  <c r="R78" i="23" s="1"/>
  <c r="P78" i="23" s="1"/>
  <c r="V78" i="23" s="1"/>
  <c r="B78" i="23" s="1"/>
  <c r="S80" i="23"/>
  <c r="R80" i="23" s="1"/>
  <c r="P80" i="23" s="1"/>
  <c r="V80" i="23" s="1"/>
  <c r="B80" i="23" s="1"/>
  <c r="S82" i="23"/>
  <c r="R82" i="23" s="1"/>
  <c r="P82" i="23" s="1"/>
  <c r="V82" i="23" s="1"/>
  <c r="B82" i="23" s="1"/>
  <c r="S84" i="23"/>
  <c r="R84" i="23" s="1"/>
  <c r="P84" i="23" s="1"/>
  <c r="V84" i="23" s="1"/>
  <c r="B84" i="23" s="1"/>
  <c r="S86" i="23"/>
  <c r="R86" i="23" s="1"/>
  <c r="P86" i="23" s="1"/>
  <c r="V86" i="23" s="1"/>
  <c r="B86" i="23" s="1"/>
  <c r="S88" i="23"/>
  <c r="R88" i="23" s="1"/>
  <c r="P88" i="23" s="1"/>
  <c r="S90" i="23"/>
  <c r="R90" i="23" s="1"/>
  <c r="P90" i="23" s="1"/>
  <c r="V90" i="23" s="1"/>
  <c r="B90" i="23" s="1"/>
  <c r="S92" i="23"/>
  <c r="R92" i="23" s="1"/>
  <c r="P92" i="23" s="1"/>
  <c r="V92" i="23" s="1"/>
  <c r="B92" i="23" s="1"/>
  <c r="S94" i="23"/>
  <c r="R94" i="23" s="1"/>
  <c r="P94" i="23" s="1"/>
  <c r="V94" i="23" s="1"/>
  <c r="B94" i="23" s="1"/>
  <c r="S96" i="23"/>
  <c r="R96" i="23" s="1"/>
  <c r="P96" i="23" s="1"/>
  <c r="V96" i="23" s="1"/>
  <c r="B96" i="23" s="1"/>
  <c r="S98" i="23"/>
  <c r="R98" i="23" s="1"/>
  <c r="P98" i="23" s="1"/>
  <c r="V98" i="23" s="1"/>
  <c r="B98" i="23" s="1"/>
  <c r="S100" i="23"/>
  <c r="R100" i="23" s="1"/>
  <c r="P100" i="23" s="1"/>
  <c r="V100" i="23" s="1"/>
  <c r="B100" i="23" s="1"/>
  <c r="S102" i="23"/>
  <c r="R102" i="23" s="1"/>
  <c r="P102" i="23" s="1"/>
  <c r="V102" i="23" s="1"/>
  <c r="B102" i="23" s="1"/>
  <c r="S104" i="23"/>
  <c r="R104" i="23" s="1"/>
  <c r="P104" i="23" s="1"/>
  <c r="V104" i="23" s="1"/>
  <c r="B104" i="23" s="1"/>
  <c r="S106" i="23"/>
  <c r="R106" i="23" s="1"/>
  <c r="P106" i="23" s="1"/>
  <c r="V106" i="23" s="1"/>
  <c r="B106" i="23" s="1"/>
  <c r="S108" i="23"/>
  <c r="R108" i="23" s="1"/>
  <c r="P108" i="23" s="1"/>
  <c r="V108" i="23" s="1"/>
  <c r="B108" i="23" s="1"/>
  <c r="S110" i="23"/>
  <c r="R110" i="23" s="1"/>
  <c r="P110" i="23" s="1"/>
  <c r="V110" i="23" s="1"/>
  <c r="B110" i="23" s="1"/>
  <c r="S112" i="23"/>
  <c r="R112" i="23" s="1"/>
  <c r="P112" i="23" s="1"/>
  <c r="V112" i="23" s="1"/>
  <c r="B112" i="23" s="1"/>
  <c r="S114" i="23"/>
  <c r="R114" i="23" s="1"/>
  <c r="P114" i="23" s="1"/>
  <c r="V114" i="23" s="1"/>
  <c r="B114" i="23" s="1"/>
  <c r="S116" i="23"/>
  <c r="R116" i="23" s="1"/>
  <c r="P116" i="23" s="1"/>
  <c r="V116" i="23" s="1"/>
  <c r="B116" i="23" s="1"/>
  <c r="S118" i="23"/>
  <c r="R118" i="23" s="1"/>
  <c r="P118" i="23" s="1"/>
  <c r="V118" i="23" s="1"/>
  <c r="B118" i="23" s="1"/>
  <c r="S120" i="23"/>
  <c r="R120" i="23" s="1"/>
  <c r="P120" i="23" s="1"/>
  <c r="V120" i="23" s="1"/>
  <c r="B120" i="23" s="1"/>
  <c r="S122" i="23"/>
  <c r="R122" i="23" s="1"/>
  <c r="P122" i="23" s="1"/>
  <c r="V122" i="23" s="1"/>
  <c r="B122" i="23" s="1"/>
  <c r="S124" i="23"/>
  <c r="R124" i="23" s="1"/>
  <c r="P124" i="23" s="1"/>
  <c r="V124" i="23" s="1"/>
  <c r="B124" i="23" s="1"/>
  <c r="S126" i="23"/>
  <c r="R126" i="23" s="1"/>
  <c r="P126" i="23" s="1"/>
  <c r="V126" i="23" s="1"/>
  <c r="B126" i="23" s="1"/>
  <c r="S128" i="23"/>
  <c r="R128" i="23" s="1"/>
  <c r="P128" i="23" s="1"/>
  <c r="V128" i="23" s="1"/>
  <c r="B128" i="23" s="1"/>
  <c r="S130" i="23"/>
  <c r="R130" i="23" s="1"/>
  <c r="P130" i="23" s="1"/>
  <c r="V130" i="23" s="1"/>
  <c r="B130" i="23" s="1"/>
  <c r="S132" i="23"/>
  <c r="R132" i="23" s="1"/>
  <c r="P132" i="23" s="1"/>
  <c r="V132" i="23" s="1"/>
  <c r="B132" i="23" s="1"/>
  <c r="S134" i="23"/>
  <c r="R134" i="23" s="1"/>
  <c r="P134" i="23" s="1"/>
  <c r="V134" i="23" s="1"/>
  <c r="B134" i="23" s="1"/>
  <c r="S136" i="23"/>
  <c r="R136" i="23" s="1"/>
  <c r="P136" i="23" s="1"/>
  <c r="V136" i="23" s="1"/>
  <c r="B136" i="23" s="1"/>
  <c r="S138" i="23"/>
  <c r="R138" i="23" s="1"/>
  <c r="P138" i="23" s="1"/>
  <c r="V138" i="23" s="1"/>
  <c r="B138" i="23" s="1"/>
  <c r="S140" i="23"/>
  <c r="R140" i="23" s="1"/>
  <c r="P140" i="23" s="1"/>
  <c r="V140" i="23" s="1"/>
  <c r="B140" i="23" s="1"/>
  <c r="S142" i="23"/>
  <c r="R142" i="23" s="1"/>
  <c r="P142" i="23" s="1"/>
  <c r="V142" i="23" s="1"/>
  <c r="B142" i="23" s="1"/>
  <c r="S144" i="23"/>
  <c r="R144" i="23" s="1"/>
  <c r="P144" i="23" s="1"/>
  <c r="V144" i="23" s="1"/>
  <c r="B144" i="23" s="1"/>
  <c r="S146" i="23"/>
  <c r="R146" i="23" s="1"/>
  <c r="P146" i="23" s="1"/>
  <c r="V146" i="23" s="1"/>
  <c r="B146" i="23" s="1"/>
  <c r="S148" i="23"/>
  <c r="R148" i="23" s="1"/>
  <c r="P148" i="23" s="1"/>
  <c r="V148" i="23" s="1"/>
  <c r="B148" i="23" s="1"/>
  <c r="S150" i="23"/>
  <c r="R150" i="23" s="1"/>
  <c r="P150" i="23" s="1"/>
  <c r="V150" i="23" s="1"/>
  <c r="B150" i="23" s="1"/>
  <c r="S152" i="23"/>
  <c r="R152" i="23" s="1"/>
  <c r="P152" i="23" s="1"/>
  <c r="V152" i="23" s="1"/>
  <c r="B152" i="23" s="1"/>
  <c r="S154" i="23"/>
  <c r="R154" i="23" s="1"/>
  <c r="P154" i="23" s="1"/>
  <c r="V154" i="23" s="1"/>
  <c r="B154" i="23" s="1"/>
  <c r="S156" i="23"/>
  <c r="R156" i="23" s="1"/>
  <c r="P156" i="23" s="1"/>
  <c r="V156" i="23" s="1"/>
  <c r="B156" i="23" s="1"/>
  <c r="S158" i="23"/>
  <c r="R158" i="23" s="1"/>
  <c r="P158" i="23" s="1"/>
  <c r="V158" i="23" s="1"/>
  <c r="B158" i="23" s="1"/>
  <c r="S160" i="23"/>
  <c r="R160" i="23" s="1"/>
  <c r="P160" i="23" s="1"/>
  <c r="V160" i="23" s="1"/>
  <c r="B160" i="23" s="1"/>
  <c r="S162" i="23"/>
  <c r="R162" i="23" s="1"/>
  <c r="P162" i="23" s="1"/>
  <c r="V162" i="23" s="1"/>
  <c r="B162" i="23" s="1"/>
  <c r="S164" i="23"/>
  <c r="R164" i="23" s="1"/>
  <c r="P164" i="23" s="1"/>
  <c r="V164" i="23" s="1"/>
  <c r="B164" i="23" s="1"/>
  <c r="S166" i="23"/>
  <c r="R166" i="23" s="1"/>
  <c r="P166" i="23" s="1"/>
  <c r="V166" i="23" s="1"/>
  <c r="B166" i="23" s="1"/>
  <c r="S168" i="23"/>
  <c r="R168" i="23" s="1"/>
  <c r="P168" i="23" s="1"/>
  <c r="V168" i="23" s="1"/>
  <c r="B168" i="23" s="1"/>
  <c r="S170" i="23"/>
  <c r="R170" i="23" s="1"/>
  <c r="P170" i="23" s="1"/>
  <c r="V170" i="23" s="1"/>
  <c r="B170" i="23" s="1"/>
  <c r="S172" i="23"/>
  <c r="R172" i="23" s="1"/>
  <c r="P172" i="23" s="1"/>
  <c r="V172" i="23" s="1"/>
  <c r="B172" i="23" s="1"/>
  <c r="S174" i="23"/>
  <c r="R174" i="23" s="1"/>
  <c r="P174" i="23" s="1"/>
  <c r="V174" i="23" s="1"/>
  <c r="B174" i="23" s="1"/>
  <c r="S176" i="23"/>
  <c r="R176" i="23" s="1"/>
  <c r="P176" i="23" s="1"/>
  <c r="V176" i="23" s="1"/>
  <c r="B176" i="23" s="1"/>
  <c r="S178" i="23"/>
  <c r="R178" i="23" s="1"/>
  <c r="P178" i="23" s="1"/>
  <c r="V178" i="23" s="1"/>
  <c r="B178" i="23" s="1"/>
  <c r="S180" i="23"/>
  <c r="R180" i="23" s="1"/>
  <c r="P180" i="23" s="1"/>
  <c r="S182" i="23"/>
  <c r="R182" i="23" s="1"/>
  <c r="P182" i="23" s="1"/>
  <c r="V182" i="23" s="1"/>
  <c r="B182" i="23" s="1"/>
  <c r="S184" i="23"/>
  <c r="R184" i="23" s="1"/>
  <c r="P184" i="23" s="1"/>
  <c r="V184" i="23" s="1"/>
  <c r="B184" i="23" s="1"/>
  <c r="S186" i="23"/>
  <c r="R186" i="23" s="1"/>
  <c r="P186" i="23" s="1"/>
  <c r="V186" i="23" s="1"/>
  <c r="B186" i="23" s="1"/>
  <c r="S188" i="23"/>
  <c r="R188" i="23" s="1"/>
  <c r="P188" i="23" s="1"/>
  <c r="V188" i="23" s="1"/>
  <c r="B188" i="23" s="1"/>
  <c r="S190" i="23"/>
  <c r="R190" i="23" s="1"/>
  <c r="P190" i="23" s="1"/>
  <c r="V190" i="23" s="1"/>
  <c r="B190" i="23" s="1"/>
  <c r="S192" i="23"/>
  <c r="R192" i="23" s="1"/>
  <c r="P192" i="23" s="1"/>
  <c r="V192" i="23" s="1"/>
  <c r="B192" i="23" s="1"/>
  <c r="S194" i="23"/>
  <c r="R194" i="23" s="1"/>
  <c r="P194" i="23" s="1"/>
  <c r="V194" i="23" s="1"/>
  <c r="B194" i="23" s="1"/>
  <c r="S196" i="23"/>
  <c r="R196" i="23" s="1"/>
  <c r="P196" i="23" s="1"/>
  <c r="V196" i="23" s="1"/>
  <c r="B196" i="23" s="1"/>
  <c r="S198" i="23"/>
  <c r="R198" i="23" s="1"/>
  <c r="P198" i="23" s="1"/>
  <c r="V198" i="23" s="1"/>
  <c r="B198" i="23" s="1"/>
  <c r="S200" i="23"/>
  <c r="R200" i="23" s="1"/>
  <c r="P200" i="23" s="1"/>
  <c r="V200" i="23" s="1"/>
  <c r="B200" i="23" s="1"/>
  <c r="S202" i="23"/>
  <c r="R202" i="23" s="1"/>
  <c r="P202" i="23" s="1"/>
  <c r="V202" i="23" s="1"/>
  <c r="B202" i="23" s="1"/>
  <c r="S204" i="23"/>
  <c r="R204" i="23" s="1"/>
  <c r="P204" i="23" s="1"/>
  <c r="V204" i="23" s="1"/>
  <c r="B204" i="23" s="1"/>
  <c r="S206" i="23"/>
  <c r="R206" i="23" s="1"/>
  <c r="P206" i="23" s="1"/>
  <c r="V206" i="23" s="1"/>
  <c r="B206" i="23" s="1"/>
  <c r="S208" i="23"/>
  <c r="R208" i="23" s="1"/>
  <c r="P208" i="23" s="1"/>
  <c r="V208" i="23" s="1"/>
  <c r="B208" i="23" s="1"/>
  <c r="S210" i="23"/>
  <c r="R210" i="23" s="1"/>
  <c r="P210" i="23" s="1"/>
  <c r="S212" i="23"/>
  <c r="R212" i="23" s="1"/>
  <c r="P212" i="23" s="1"/>
  <c r="V212" i="23" s="1"/>
  <c r="B212" i="23" s="1"/>
  <c r="S214" i="23"/>
  <c r="R214" i="23" s="1"/>
  <c r="P214" i="23" s="1"/>
  <c r="V214" i="23" s="1"/>
  <c r="B214" i="23" s="1"/>
  <c r="S216" i="23"/>
  <c r="R216" i="23" s="1"/>
  <c r="P216" i="23" s="1"/>
  <c r="V216" i="23" s="1"/>
  <c r="B216" i="23" s="1"/>
  <c r="S218" i="23"/>
  <c r="R218" i="23" s="1"/>
  <c r="P218" i="23" s="1"/>
  <c r="V218" i="23" s="1"/>
  <c r="B218" i="23" s="1"/>
  <c r="S220" i="23"/>
  <c r="R220" i="23" s="1"/>
  <c r="P220" i="23" s="1"/>
  <c r="V220" i="23" s="1"/>
  <c r="B220" i="23" s="1"/>
  <c r="S222" i="23"/>
  <c r="R222" i="23" s="1"/>
  <c r="P222" i="23" s="1"/>
  <c r="V222" i="23" s="1"/>
  <c r="B222" i="23" s="1"/>
  <c r="S224" i="23"/>
  <c r="R224" i="23" s="1"/>
  <c r="P224" i="23" s="1"/>
  <c r="V224" i="23" s="1"/>
  <c r="B224" i="23" s="1"/>
  <c r="S226" i="23"/>
  <c r="R226" i="23" s="1"/>
  <c r="P226" i="23" s="1"/>
  <c r="V226" i="23" s="1"/>
  <c r="B226" i="23" s="1"/>
  <c r="S228" i="23"/>
  <c r="R228" i="23" s="1"/>
  <c r="P228" i="23" s="1"/>
  <c r="V228" i="23" s="1"/>
  <c r="B228" i="23" s="1"/>
  <c r="S230" i="23"/>
  <c r="R230" i="23" s="1"/>
  <c r="P230" i="23" s="1"/>
  <c r="V230" i="23" s="1"/>
  <c r="B230" i="23" s="1"/>
  <c r="S232" i="23"/>
  <c r="R232" i="23" s="1"/>
  <c r="P232" i="23" s="1"/>
  <c r="V232" i="23" s="1"/>
  <c r="B232" i="23" s="1"/>
  <c r="S234" i="23"/>
  <c r="R234" i="23" s="1"/>
  <c r="P234" i="23" s="1"/>
  <c r="V234" i="23" s="1"/>
  <c r="B234" i="23" s="1"/>
  <c r="S236" i="23"/>
  <c r="R236" i="23" s="1"/>
  <c r="P236" i="23" s="1"/>
  <c r="V236" i="23" s="1"/>
  <c r="B236" i="23" s="1"/>
  <c r="S238" i="23"/>
  <c r="R238" i="23" s="1"/>
  <c r="P238" i="23" s="1"/>
  <c r="V238" i="23" s="1"/>
  <c r="B238" i="23" s="1"/>
  <c r="S240" i="23"/>
  <c r="R240" i="23" s="1"/>
  <c r="P240" i="23" s="1"/>
  <c r="V240" i="23" s="1"/>
  <c r="B240" i="23" s="1"/>
  <c r="S242" i="23"/>
  <c r="R242" i="23" s="1"/>
  <c r="P242" i="23" s="1"/>
  <c r="V242" i="23" s="1"/>
  <c r="B242" i="23" s="1"/>
  <c r="S244" i="23"/>
  <c r="R244" i="23" s="1"/>
  <c r="P244" i="23" s="1"/>
  <c r="V244" i="23" s="1"/>
  <c r="B244" i="23" s="1"/>
  <c r="S246" i="23"/>
  <c r="R246" i="23" s="1"/>
  <c r="P246" i="23" s="1"/>
  <c r="V246" i="23" s="1"/>
  <c r="B246" i="23" s="1"/>
  <c r="S248" i="23"/>
  <c r="R248" i="23" s="1"/>
  <c r="P248" i="23" s="1"/>
  <c r="V248" i="23" s="1"/>
  <c r="B248" i="23" s="1"/>
  <c r="S250" i="23"/>
  <c r="R250" i="23" s="1"/>
  <c r="P250" i="23" s="1"/>
  <c r="V250" i="23" s="1"/>
  <c r="B250" i="23" s="1"/>
  <c r="S252" i="23"/>
  <c r="R252" i="23" s="1"/>
  <c r="P252" i="23" s="1"/>
  <c r="V252" i="23" s="1"/>
  <c r="B252" i="23" s="1"/>
  <c r="S254" i="23"/>
  <c r="R254" i="23" s="1"/>
  <c r="P254" i="23" s="1"/>
  <c r="V254" i="23" s="1"/>
  <c r="B254" i="23" s="1"/>
  <c r="S256" i="23"/>
  <c r="R256" i="23" s="1"/>
  <c r="P256" i="23" s="1"/>
  <c r="V256" i="23" s="1"/>
  <c r="B256" i="23" s="1"/>
  <c r="S258" i="23"/>
  <c r="R258" i="23" s="1"/>
  <c r="P258" i="23" s="1"/>
  <c r="V258" i="23" s="1"/>
  <c r="B258" i="23" s="1"/>
  <c r="S260" i="23"/>
  <c r="R260" i="23" s="1"/>
  <c r="P260" i="23" s="1"/>
  <c r="V260" i="23" s="1"/>
  <c r="B260" i="23" s="1"/>
  <c r="S262" i="23"/>
  <c r="R262" i="23" s="1"/>
  <c r="P262" i="23" s="1"/>
  <c r="V262" i="23" s="1"/>
  <c r="B262" i="23" s="1"/>
  <c r="S264" i="23"/>
  <c r="R264" i="23" s="1"/>
  <c r="P264" i="23" s="1"/>
  <c r="V264" i="23" s="1"/>
  <c r="B264" i="23" s="1"/>
  <c r="S266" i="23"/>
  <c r="R266" i="23" s="1"/>
  <c r="P266" i="23" s="1"/>
  <c r="V266" i="23" s="1"/>
  <c r="B266" i="23" s="1"/>
  <c r="S268" i="23"/>
  <c r="R268" i="23" s="1"/>
  <c r="P268" i="23" s="1"/>
  <c r="V268" i="23" s="1"/>
  <c r="B268" i="23" s="1"/>
  <c r="S270" i="23"/>
  <c r="R270" i="23" s="1"/>
  <c r="P270" i="23" s="1"/>
  <c r="V270" i="23" s="1"/>
  <c r="B270" i="23" s="1"/>
  <c r="S272" i="23"/>
  <c r="R272" i="23" s="1"/>
  <c r="P272" i="23" s="1"/>
  <c r="S274" i="23"/>
  <c r="R274" i="23" s="1"/>
  <c r="P274" i="23" s="1"/>
  <c r="V274" i="23" s="1"/>
  <c r="B274" i="23" s="1"/>
  <c r="S276" i="23"/>
  <c r="R276" i="23" s="1"/>
  <c r="P276" i="23" s="1"/>
  <c r="V276" i="23" s="1"/>
  <c r="B276" i="23" s="1"/>
  <c r="S278" i="23"/>
  <c r="R278" i="23" s="1"/>
  <c r="P278" i="23" s="1"/>
  <c r="V278" i="23" s="1"/>
  <c r="B278" i="23" s="1"/>
  <c r="S280" i="23"/>
  <c r="R280" i="23" s="1"/>
  <c r="P280" i="23" s="1"/>
  <c r="V280" i="23" s="1"/>
  <c r="B280" i="23" s="1"/>
  <c r="S282" i="23"/>
  <c r="R282" i="23" s="1"/>
  <c r="P282" i="23" s="1"/>
  <c r="V282" i="23" s="1"/>
  <c r="B282" i="23" s="1"/>
  <c r="S284" i="23"/>
  <c r="R284" i="23" s="1"/>
  <c r="P284" i="23" s="1"/>
  <c r="V284" i="23" s="1"/>
  <c r="B284" i="23" s="1"/>
  <c r="S286" i="23"/>
  <c r="R286" i="23" s="1"/>
  <c r="P286" i="23" s="1"/>
  <c r="V286" i="23" s="1"/>
  <c r="B286" i="23" s="1"/>
  <c r="S288" i="23"/>
  <c r="R288" i="23" s="1"/>
  <c r="P288" i="23" s="1"/>
  <c r="V288" i="23" s="1"/>
  <c r="B288" i="23" s="1"/>
  <c r="S290" i="23"/>
  <c r="R290" i="23" s="1"/>
  <c r="P290" i="23" s="1"/>
  <c r="V290" i="23" s="1"/>
  <c r="B290" i="23" s="1"/>
  <c r="S292" i="23"/>
  <c r="R292" i="23" s="1"/>
  <c r="P292" i="23" s="1"/>
  <c r="V292" i="23" s="1"/>
  <c r="B292" i="23" s="1"/>
  <c r="S294" i="23"/>
  <c r="R294" i="23" s="1"/>
  <c r="P294" i="23" s="1"/>
  <c r="V294" i="23" s="1"/>
  <c r="B294" i="23" s="1"/>
  <c r="S296" i="23"/>
  <c r="R296" i="23" s="1"/>
  <c r="P296" i="23" s="1"/>
  <c r="V296" i="23" s="1"/>
  <c r="B296" i="23" s="1"/>
  <c r="S298" i="23"/>
  <c r="R298" i="23" s="1"/>
  <c r="P298" i="23" s="1"/>
  <c r="V298" i="23" s="1"/>
  <c r="B298" i="23" s="1"/>
  <c r="S300" i="23"/>
  <c r="R300" i="23" s="1"/>
  <c r="P300" i="23" s="1"/>
  <c r="V300" i="23" s="1"/>
  <c r="B300" i="23" s="1"/>
  <c r="S302" i="23"/>
  <c r="R302" i="23" s="1"/>
  <c r="P302" i="23" s="1"/>
  <c r="S304" i="23"/>
  <c r="R304" i="23" s="1"/>
  <c r="P304" i="23" s="1"/>
  <c r="V304" i="23" s="1"/>
  <c r="B304" i="23" s="1"/>
  <c r="S306" i="23"/>
  <c r="R306" i="23" s="1"/>
  <c r="P306" i="23" s="1"/>
  <c r="V306" i="23" s="1"/>
  <c r="B306" i="23" s="1"/>
  <c r="S308" i="23"/>
  <c r="R308" i="23" s="1"/>
  <c r="P308" i="23" s="1"/>
  <c r="V308" i="23" s="1"/>
  <c r="B308" i="23" s="1"/>
  <c r="S310" i="23"/>
  <c r="R310" i="23" s="1"/>
  <c r="P310" i="23" s="1"/>
  <c r="V310" i="23" s="1"/>
  <c r="B310" i="23" s="1"/>
  <c r="S312" i="23"/>
  <c r="R312" i="23" s="1"/>
  <c r="P312" i="23" s="1"/>
  <c r="V312" i="23" s="1"/>
  <c r="B312" i="23" s="1"/>
  <c r="S314" i="23"/>
  <c r="R314" i="23" s="1"/>
  <c r="P314" i="23" s="1"/>
  <c r="V314" i="23" s="1"/>
  <c r="B314" i="23" s="1"/>
  <c r="S316" i="23"/>
  <c r="R316" i="23" s="1"/>
  <c r="P316" i="23" s="1"/>
  <c r="V316" i="23" s="1"/>
  <c r="B316" i="23" s="1"/>
  <c r="S318" i="23"/>
  <c r="R318" i="23" s="1"/>
  <c r="P318" i="23" s="1"/>
  <c r="V318" i="23" s="1"/>
  <c r="B318" i="23" s="1"/>
  <c r="S320" i="23"/>
  <c r="R320" i="23" s="1"/>
  <c r="P320" i="23" s="1"/>
  <c r="V320" i="23" s="1"/>
  <c r="B320" i="23" s="1"/>
  <c r="S322" i="23"/>
  <c r="R322" i="23" s="1"/>
  <c r="P322" i="23" s="1"/>
  <c r="V322" i="23" s="1"/>
  <c r="B322" i="23" s="1"/>
  <c r="S324" i="23"/>
  <c r="R324" i="23" s="1"/>
  <c r="P324" i="23" s="1"/>
  <c r="V324" i="23" s="1"/>
  <c r="B324" i="23" s="1"/>
  <c r="S326" i="23"/>
  <c r="R326" i="23" s="1"/>
  <c r="P326" i="23" s="1"/>
  <c r="V326" i="23" s="1"/>
  <c r="B326" i="23" s="1"/>
  <c r="S328" i="23"/>
  <c r="R328" i="23" s="1"/>
  <c r="P328" i="23" s="1"/>
  <c r="V328" i="23" s="1"/>
  <c r="B328" i="23" s="1"/>
  <c r="S330" i="23"/>
  <c r="R330" i="23" s="1"/>
  <c r="P330" i="23" s="1"/>
  <c r="V330" i="23" s="1"/>
  <c r="B330" i="23" s="1"/>
  <c r="S332" i="23"/>
  <c r="R332" i="23" s="1"/>
  <c r="P332" i="23" s="1"/>
  <c r="V332" i="23" s="1"/>
  <c r="B332" i="23" s="1"/>
  <c r="S334" i="23"/>
  <c r="R334" i="23" s="1"/>
  <c r="P334" i="23" s="1"/>
  <c r="V334" i="23" s="1"/>
  <c r="B334" i="23" s="1"/>
  <c r="S336" i="23"/>
  <c r="R336" i="23" s="1"/>
  <c r="P336" i="23" s="1"/>
  <c r="V336" i="23" s="1"/>
  <c r="B336" i="23" s="1"/>
  <c r="S338" i="23"/>
  <c r="R338" i="23" s="1"/>
  <c r="P338" i="23" s="1"/>
  <c r="V338" i="23" s="1"/>
  <c r="B338" i="23" s="1"/>
  <c r="S340" i="23"/>
  <c r="R340" i="23" s="1"/>
  <c r="P340" i="23" s="1"/>
  <c r="V340" i="23" s="1"/>
  <c r="B340" i="23" s="1"/>
  <c r="S342" i="23"/>
  <c r="R342" i="23" s="1"/>
  <c r="P342" i="23" s="1"/>
  <c r="V342" i="23" s="1"/>
  <c r="B342" i="23" s="1"/>
  <c r="S344" i="23"/>
  <c r="R344" i="23" s="1"/>
  <c r="P344" i="23" s="1"/>
  <c r="V344" i="23" s="1"/>
  <c r="B344" i="23" s="1"/>
  <c r="S346" i="23"/>
  <c r="R346" i="23" s="1"/>
  <c r="P346" i="23" s="1"/>
  <c r="V346" i="23" s="1"/>
  <c r="B346" i="23" s="1"/>
  <c r="S348" i="23"/>
  <c r="R348" i="23" s="1"/>
  <c r="P348" i="23" s="1"/>
  <c r="V348" i="23" s="1"/>
  <c r="B348" i="23" s="1"/>
  <c r="S350" i="23"/>
  <c r="R350" i="23" s="1"/>
  <c r="P350" i="23" s="1"/>
  <c r="V350" i="23" s="1"/>
  <c r="B350" i="23" s="1"/>
  <c r="S352" i="23"/>
  <c r="R352" i="23" s="1"/>
  <c r="P352" i="23" s="1"/>
  <c r="V352" i="23" s="1"/>
  <c r="B352" i="23" s="1"/>
  <c r="S354" i="23"/>
  <c r="R354" i="23" s="1"/>
  <c r="P354" i="23" s="1"/>
  <c r="V354" i="23" s="1"/>
  <c r="B354" i="23" s="1"/>
  <c r="S356" i="23"/>
  <c r="R356" i="23" s="1"/>
  <c r="P356" i="23" s="1"/>
  <c r="V356" i="23" s="1"/>
  <c r="B356" i="23" s="1"/>
  <c r="S358" i="23"/>
  <c r="R358" i="23" s="1"/>
  <c r="P358" i="23" s="1"/>
  <c r="V358" i="23" s="1"/>
  <c r="B358" i="23" s="1"/>
  <c r="S360" i="23"/>
  <c r="R360" i="23" s="1"/>
  <c r="P360" i="23" s="1"/>
  <c r="V360" i="23" s="1"/>
  <c r="B360" i="23" s="1"/>
  <c r="S362" i="23"/>
  <c r="R362" i="23" s="1"/>
  <c r="P362" i="23" s="1"/>
  <c r="V362" i="23" s="1"/>
  <c r="B362" i="23" s="1"/>
  <c r="S364" i="23"/>
  <c r="R364" i="23" s="1"/>
  <c r="P364" i="23" s="1"/>
  <c r="V364" i="23" s="1"/>
  <c r="B364" i="23" s="1"/>
  <c r="S366" i="23"/>
  <c r="R366" i="23" s="1"/>
  <c r="P366" i="23" s="1"/>
  <c r="V366" i="23" s="1"/>
  <c r="B366" i="23" s="1"/>
  <c r="S368" i="23"/>
  <c r="R368" i="23" s="1"/>
  <c r="P368" i="23" s="1"/>
  <c r="V368" i="23" s="1"/>
  <c r="B368" i="23" s="1"/>
  <c r="S370" i="23"/>
  <c r="R370" i="23" s="1"/>
  <c r="P370" i="23" s="1"/>
  <c r="V370" i="23" s="1"/>
  <c r="B370" i="23" s="1"/>
  <c r="S372" i="23"/>
  <c r="R372" i="23" s="1"/>
  <c r="P372" i="23" s="1"/>
  <c r="V372" i="23" s="1"/>
  <c r="B372" i="23" s="1"/>
  <c r="S374" i="23"/>
  <c r="R374" i="23" s="1"/>
  <c r="P374" i="23" s="1"/>
  <c r="V374" i="23" s="1"/>
  <c r="B374" i="23" s="1"/>
  <c r="S376" i="23"/>
  <c r="R376" i="23" s="1"/>
  <c r="P376" i="23" s="1"/>
  <c r="V376" i="23" s="1"/>
  <c r="B376" i="23" s="1"/>
  <c r="S378" i="23"/>
  <c r="R378" i="23" s="1"/>
  <c r="P378" i="23" s="1"/>
  <c r="V378" i="23" s="1"/>
  <c r="B378" i="23" s="1"/>
  <c r="AG18" i="23"/>
  <c r="AF18" i="23" s="1"/>
  <c r="AD18" i="23" s="1"/>
  <c r="AG16" i="23"/>
  <c r="AF16" i="23" s="1"/>
  <c r="AD16" i="23" s="1"/>
  <c r="I136" i="22"/>
  <c r="I319" i="20"/>
  <c r="H319" i="22" s="1"/>
  <c r="J319" i="20"/>
  <c r="AA18" i="22"/>
  <c r="Z18" i="22" s="1"/>
  <c r="Y18" i="22" s="1"/>
  <c r="G18" i="22"/>
  <c r="CC18" i="6" s="1"/>
  <c r="I46" i="20"/>
  <c r="H46" i="22" s="1"/>
  <c r="J46" i="20"/>
  <c r="Y11" i="17"/>
  <c r="J14" i="19"/>
  <c r="AA11" i="17"/>
  <c r="AA5" i="17" s="1"/>
  <c r="I14" i="19" s="1"/>
  <c r="Z11" i="17"/>
  <c r="Z5" i="17" s="1"/>
  <c r="H14" i="19" s="1"/>
  <c r="R383" i="22"/>
  <c r="R381" i="22"/>
  <c r="R382" i="22"/>
  <c r="P15" i="22"/>
  <c r="T383" i="23"/>
  <c r="S15" i="23"/>
  <c r="T382" i="23"/>
  <c r="T381" i="23"/>
  <c r="S17" i="23"/>
  <c r="R17" i="23" s="1"/>
  <c r="P17" i="23" s="1"/>
  <c r="V17" i="23" s="1"/>
  <c r="B17" i="23" s="1"/>
  <c r="S21" i="23"/>
  <c r="R21" i="23" s="1"/>
  <c r="P21" i="23" s="1"/>
  <c r="V21" i="23" s="1"/>
  <c r="B21" i="23" s="1"/>
  <c r="S23" i="23"/>
  <c r="R23" i="23" s="1"/>
  <c r="P23" i="23" s="1"/>
  <c r="V23" i="23" s="1"/>
  <c r="B23" i="23" s="1"/>
  <c r="S25" i="23"/>
  <c r="R25" i="23" s="1"/>
  <c r="P25" i="23" s="1"/>
  <c r="V25" i="23" s="1"/>
  <c r="B25" i="23" s="1"/>
  <c r="S27" i="23"/>
  <c r="R27" i="23" s="1"/>
  <c r="P27" i="23" s="1"/>
  <c r="V27" i="23" s="1"/>
  <c r="B27" i="23" s="1"/>
  <c r="S29" i="23"/>
  <c r="R29" i="23" s="1"/>
  <c r="P29" i="23" s="1"/>
  <c r="S31" i="23"/>
  <c r="R31" i="23" s="1"/>
  <c r="P31" i="23" s="1"/>
  <c r="V31" i="23" s="1"/>
  <c r="B31" i="23" s="1"/>
  <c r="S33" i="23"/>
  <c r="R33" i="23" s="1"/>
  <c r="P33" i="23" s="1"/>
  <c r="V33" i="23" s="1"/>
  <c r="B33" i="23" s="1"/>
  <c r="S35" i="23"/>
  <c r="R35" i="23" s="1"/>
  <c r="P35" i="23" s="1"/>
  <c r="V35" i="23" s="1"/>
  <c r="B35" i="23" s="1"/>
  <c r="S37" i="23"/>
  <c r="R37" i="23" s="1"/>
  <c r="P37" i="23" s="1"/>
  <c r="V37" i="23" s="1"/>
  <c r="B37" i="23" s="1"/>
  <c r="S39" i="23"/>
  <c r="R39" i="23" s="1"/>
  <c r="P39" i="23" s="1"/>
  <c r="V39" i="23" s="1"/>
  <c r="B39" i="23" s="1"/>
  <c r="S41" i="23"/>
  <c r="R41" i="23" s="1"/>
  <c r="P41" i="23" s="1"/>
  <c r="V41" i="23" s="1"/>
  <c r="B41" i="23" s="1"/>
  <c r="S43" i="23"/>
  <c r="R43" i="23" s="1"/>
  <c r="P43" i="23" s="1"/>
  <c r="V43" i="23" s="1"/>
  <c r="B43" i="23" s="1"/>
  <c r="S45" i="23"/>
  <c r="R45" i="23" s="1"/>
  <c r="P45" i="23" s="1"/>
  <c r="V45" i="23" s="1"/>
  <c r="B45" i="23" s="1"/>
  <c r="S47" i="23"/>
  <c r="R47" i="23" s="1"/>
  <c r="P47" i="23" s="1"/>
  <c r="V47" i="23" s="1"/>
  <c r="B47" i="23" s="1"/>
  <c r="S49" i="23"/>
  <c r="R49" i="23" s="1"/>
  <c r="P49" i="23" s="1"/>
  <c r="V49" i="23" s="1"/>
  <c r="B49" i="23" s="1"/>
  <c r="S51" i="23"/>
  <c r="R51" i="23" s="1"/>
  <c r="P51" i="23" s="1"/>
  <c r="V51" i="23" s="1"/>
  <c r="B51" i="23" s="1"/>
  <c r="S53" i="23"/>
  <c r="R53" i="23" s="1"/>
  <c r="P53" i="23" s="1"/>
  <c r="V53" i="23" s="1"/>
  <c r="B53" i="23" s="1"/>
  <c r="S55" i="23"/>
  <c r="R55" i="23" s="1"/>
  <c r="P55" i="23" s="1"/>
  <c r="V55" i="23" s="1"/>
  <c r="B55" i="23" s="1"/>
  <c r="S57" i="23"/>
  <c r="R57" i="23" s="1"/>
  <c r="P57" i="23" s="1"/>
  <c r="V57" i="23" s="1"/>
  <c r="B57" i="23" s="1"/>
  <c r="S59" i="23"/>
  <c r="R59" i="23" s="1"/>
  <c r="P59" i="23" s="1"/>
  <c r="V59" i="23" s="1"/>
  <c r="B59" i="23" s="1"/>
  <c r="S61" i="23"/>
  <c r="R61" i="23" s="1"/>
  <c r="P61" i="23" s="1"/>
  <c r="V61" i="23" s="1"/>
  <c r="B61" i="23" s="1"/>
  <c r="S63" i="23"/>
  <c r="R63" i="23" s="1"/>
  <c r="P63" i="23" s="1"/>
  <c r="V63" i="23" s="1"/>
  <c r="B63" i="23" s="1"/>
  <c r="S65" i="23"/>
  <c r="R65" i="23" s="1"/>
  <c r="P65" i="23" s="1"/>
  <c r="V65" i="23" s="1"/>
  <c r="B65" i="23" s="1"/>
  <c r="S67" i="23"/>
  <c r="R67" i="23" s="1"/>
  <c r="P67" i="23" s="1"/>
  <c r="V67" i="23" s="1"/>
  <c r="B67" i="23" s="1"/>
  <c r="S69" i="23"/>
  <c r="R69" i="23" s="1"/>
  <c r="P69" i="23" s="1"/>
  <c r="V69" i="23" s="1"/>
  <c r="B69" i="23" s="1"/>
  <c r="S71" i="23"/>
  <c r="R71" i="23" s="1"/>
  <c r="P71" i="23" s="1"/>
  <c r="V71" i="23" s="1"/>
  <c r="B71" i="23" s="1"/>
  <c r="S73" i="23"/>
  <c r="R73" i="23" s="1"/>
  <c r="P73" i="23" s="1"/>
  <c r="V73" i="23" s="1"/>
  <c r="B73" i="23" s="1"/>
  <c r="S75" i="23"/>
  <c r="R75" i="23" s="1"/>
  <c r="P75" i="23" s="1"/>
  <c r="V75" i="23" s="1"/>
  <c r="B75" i="23" s="1"/>
  <c r="S77" i="23"/>
  <c r="R77" i="23" s="1"/>
  <c r="P77" i="23" s="1"/>
  <c r="V77" i="23" s="1"/>
  <c r="B77" i="23" s="1"/>
  <c r="S79" i="23"/>
  <c r="R79" i="23" s="1"/>
  <c r="P79" i="23" s="1"/>
  <c r="V79" i="23" s="1"/>
  <c r="B79" i="23" s="1"/>
  <c r="S81" i="23"/>
  <c r="R81" i="23" s="1"/>
  <c r="P81" i="23" s="1"/>
  <c r="V81" i="23" s="1"/>
  <c r="B81" i="23" s="1"/>
  <c r="S83" i="23"/>
  <c r="R83" i="23" s="1"/>
  <c r="P83" i="23" s="1"/>
  <c r="V83" i="23" s="1"/>
  <c r="B83" i="23" s="1"/>
  <c r="S85" i="23"/>
  <c r="R85" i="23" s="1"/>
  <c r="P85" i="23" s="1"/>
  <c r="V85" i="23" s="1"/>
  <c r="B85" i="23" s="1"/>
  <c r="S87" i="23"/>
  <c r="R87" i="23" s="1"/>
  <c r="P87" i="23" s="1"/>
  <c r="V87" i="23" s="1"/>
  <c r="B87" i="23" s="1"/>
  <c r="S89" i="23"/>
  <c r="R89" i="23" s="1"/>
  <c r="P89" i="23" s="1"/>
  <c r="V89" i="23" s="1"/>
  <c r="B89" i="23" s="1"/>
  <c r="S91" i="23"/>
  <c r="R91" i="23" s="1"/>
  <c r="P91" i="23" s="1"/>
  <c r="V91" i="23" s="1"/>
  <c r="B91" i="23" s="1"/>
  <c r="S93" i="23"/>
  <c r="R93" i="23" s="1"/>
  <c r="P93" i="23" s="1"/>
  <c r="V93" i="23" s="1"/>
  <c r="B93" i="23" s="1"/>
  <c r="S95" i="23"/>
  <c r="R95" i="23" s="1"/>
  <c r="P95" i="23" s="1"/>
  <c r="V95" i="23" s="1"/>
  <c r="B95" i="23" s="1"/>
  <c r="S97" i="23"/>
  <c r="R97" i="23" s="1"/>
  <c r="P97" i="23" s="1"/>
  <c r="V97" i="23" s="1"/>
  <c r="B97" i="23" s="1"/>
  <c r="S99" i="23"/>
  <c r="R99" i="23" s="1"/>
  <c r="P99" i="23" s="1"/>
  <c r="V99" i="23" s="1"/>
  <c r="B99" i="23" s="1"/>
  <c r="S101" i="23"/>
  <c r="R101" i="23" s="1"/>
  <c r="P101" i="23" s="1"/>
  <c r="V101" i="23" s="1"/>
  <c r="B101" i="23" s="1"/>
  <c r="S103" i="23"/>
  <c r="R103" i="23" s="1"/>
  <c r="P103" i="23" s="1"/>
  <c r="V103" i="23" s="1"/>
  <c r="B103" i="23" s="1"/>
  <c r="S105" i="23"/>
  <c r="R105" i="23" s="1"/>
  <c r="P105" i="23" s="1"/>
  <c r="V105" i="23" s="1"/>
  <c r="B105" i="23" s="1"/>
  <c r="S107" i="23"/>
  <c r="R107" i="23" s="1"/>
  <c r="P107" i="23" s="1"/>
  <c r="V107" i="23" s="1"/>
  <c r="B107" i="23" s="1"/>
  <c r="S109" i="23"/>
  <c r="R109" i="23" s="1"/>
  <c r="P109" i="23" s="1"/>
  <c r="V109" i="23" s="1"/>
  <c r="B109" i="23" s="1"/>
  <c r="S111" i="23"/>
  <c r="R111" i="23" s="1"/>
  <c r="P111" i="23" s="1"/>
  <c r="V111" i="23" s="1"/>
  <c r="B111" i="23" s="1"/>
  <c r="S113" i="23"/>
  <c r="R113" i="23" s="1"/>
  <c r="P113" i="23" s="1"/>
  <c r="V113" i="23" s="1"/>
  <c r="B113" i="23" s="1"/>
  <c r="S115" i="23"/>
  <c r="R115" i="23" s="1"/>
  <c r="P115" i="23" s="1"/>
  <c r="V115" i="23" s="1"/>
  <c r="B115" i="23" s="1"/>
  <c r="S117" i="23"/>
  <c r="R117" i="23" s="1"/>
  <c r="P117" i="23" s="1"/>
  <c r="V117" i="23" s="1"/>
  <c r="B117" i="23" s="1"/>
  <c r="S119" i="23"/>
  <c r="R119" i="23" s="1"/>
  <c r="P119" i="23" s="1"/>
  <c r="S121" i="23"/>
  <c r="R121" i="23" s="1"/>
  <c r="P121" i="23" s="1"/>
  <c r="V121" i="23" s="1"/>
  <c r="B121" i="23" s="1"/>
  <c r="S123" i="23"/>
  <c r="R123" i="23" s="1"/>
  <c r="P123" i="23" s="1"/>
  <c r="V123" i="23" s="1"/>
  <c r="B123" i="23" s="1"/>
  <c r="S125" i="23"/>
  <c r="R125" i="23" s="1"/>
  <c r="P125" i="23" s="1"/>
  <c r="V125" i="23" s="1"/>
  <c r="B125" i="23" s="1"/>
  <c r="S127" i="23"/>
  <c r="R127" i="23" s="1"/>
  <c r="P127" i="23" s="1"/>
  <c r="V127" i="23" s="1"/>
  <c r="B127" i="23" s="1"/>
  <c r="S129" i="23"/>
  <c r="R129" i="23" s="1"/>
  <c r="P129" i="23" s="1"/>
  <c r="V129" i="23" s="1"/>
  <c r="B129" i="23" s="1"/>
  <c r="S131" i="23"/>
  <c r="R131" i="23" s="1"/>
  <c r="P131" i="23" s="1"/>
  <c r="V131" i="23" s="1"/>
  <c r="B131" i="23" s="1"/>
  <c r="S133" i="23"/>
  <c r="R133" i="23" s="1"/>
  <c r="P133" i="23" s="1"/>
  <c r="V133" i="23" s="1"/>
  <c r="B133" i="23" s="1"/>
  <c r="S135" i="23"/>
  <c r="R135" i="23" s="1"/>
  <c r="P135" i="23" s="1"/>
  <c r="V135" i="23" s="1"/>
  <c r="S137" i="23"/>
  <c r="R137" i="23" s="1"/>
  <c r="P137" i="23" s="1"/>
  <c r="V137" i="23" s="1"/>
  <c r="B137" i="23" s="1"/>
  <c r="S139" i="23"/>
  <c r="R139" i="23" s="1"/>
  <c r="P139" i="23" s="1"/>
  <c r="V139" i="23" s="1"/>
  <c r="B139" i="23" s="1"/>
  <c r="S141" i="23"/>
  <c r="R141" i="23" s="1"/>
  <c r="P141" i="23" s="1"/>
  <c r="V141" i="23" s="1"/>
  <c r="B141" i="23" s="1"/>
  <c r="S143" i="23"/>
  <c r="R143" i="23" s="1"/>
  <c r="P143" i="23" s="1"/>
  <c r="V143" i="23" s="1"/>
  <c r="B143" i="23" s="1"/>
  <c r="S145" i="23"/>
  <c r="R145" i="23" s="1"/>
  <c r="P145" i="23" s="1"/>
  <c r="V145" i="23" s="1"/>
  <c r="B145" i="23" s="1"/>
  <c r="S147" i="23"/>
  <c r="R147" i="23" s="1"/>
  <c r="P147" i="23" s="1"/>
  <c r="V147" i="23" s="1"/>
  <c r="B147" i="23" s="1"/>
  <c r="S149" i="23"/>
  <c r="R149" i="23" s="1"/>
  <c r="P149" i="23" s="1"/>
  <c r="S151" i="23"/>
  <c r="R151" i="23" s="1"/>
  <c r="P151" i="23" s="1"/>
  <c r="V151" i="23" s="1"/>
  <c r="B151" i="23" s="1"/>
  <c r="S153" i="23"/>
  <c r="R153" i="23" s="1"/>
  <c r="P153" i="23" s="1"/>
  <c r="V153" i="23" s="1"/>
  <c r="B153" i="23" s="1"/>
  <c r="S155" i="23"/>
  <c r="R155" i="23" s="1"/>
  <c r="P155" i="23" s="1"/>
  <c r="V155" i="23" s="1"/>
  <c r="B155" i="23" s="1"/>
  <c r="S157" i="23"/>
  <c r="R157" i="23" s="1"/>
  <c r="P157" i="23" s="1"/>
  <c r="V157" i="23" s="1"/>
  <c r="B157" i="23" s="1"/>
  <c r="S159" i="23"/>
  <c r="R159" i="23" s="1"/>
  <c r="P159" i="23" s="1"/>
  <c r="V159" i="23" s="1"/>
  <c r="B159" i="23" s="1"/>
  <c r="S161" i="23"/>
  <c r="R161" i="23" s="1"/>
  <c r="P161" i="23" s="1"/>
  <c r="V161" i="23" s="1"/>
  <c r="B161" i="23" s="1"/>
  <c r="S163" i="23"/>
  <c r="R163" i="23" s="1"/>
  <c r="P163" i="23" s="1"/>
  <c r="V163" i="23" s="1"/>
  <c r="B163" i="23" s="1"/>
  <c r="S165" i="23"/>
  <c r="R165" i="23" s="1"/>
  <c r="P165" i="23" s="1"/>
  <c r="V165" i="23" s="1"/>
  <c r="B165" i="23" s="1"/>
  <c r="S167" i="23"/>
  <c r="R167" i="23" s="1"/>
  <c r="P167" i="23" s="1"/>
  <c r="V167" i="23" s="1"/>
  <c r="B167" i="23" s="1"/>
  <c r="S169" i="23"/>
  <c r="R169" i="23" s="1"/>
  <c r="P169" i="23" s="1"/>
  <c r="V169" i="23" s="1"/>
  <c r="B169" i="23" s="1"/>
  <c r="S171" i="23"/>
  <c r="R171" i="23" s="1"/>
  <c r="P171" i="23" s="1"/>
  <c r="V171" i="23" s="1"/>
  <c r="B171" i="23" s="1"/>
  <c r="S173" i="23"/>
  <c r="R173" i="23" s="1"/>
  <c r="P173" i="23" s="1"/>
  <c r="V173" i="23" s="1"/>
  <c r="B173" i="23" s="1"/>
  <c r="S175" i="23"/>
  <c r="R175" i="23" s="1"/>
  <c r="P175" i="23" s="1"/>
  <c r="V175" i="23" s="1"/>
  <c r="B175" i="23" s="1"/>
  <c r="S177" i="23"/>
  <c r="R177" i="23" s="1"/>
  <c r="P177" i="23" s="1"/>
  <c r="V177" i="23" s="1"/>
  <c r="B177" i="23" s="1"/>
  <c r="S179" i="23"/>
  <c r="R179" i="23" s="1"/>
  <c r="P179" i="23" s="1"/>
  <c r="V179" i="23" s="1"/>
  <c r="B179" i="23" s="1"/>
  <c r="S181" i="23"/>
  <c r="R181" i="23" s="1"/>
  <c r="P181" i="23" s="1"/>
  <c r="V181" i="23" s="1"/>
  <c r="B181" i="23" s="1"/>
  <c r="S183" i="23"/>
  <c r="R183" i="23" s="1"/>
  <c r="P183" i="23" s="1"/>
  <c r="V183" i="23" s="1"/>
  <c r="B183" i="23" s="1"/>
  <c r="S185" i="23"/>
  <c r="R185" i="23" s="1"/>
  <c r="P185" i="23" s="1"/>
  <c r="V185" i="23" s="1"/>
  <c r="B185" i="23" s="1"/>
  <c r="S187" i="23"/>
  <c r="R187" i="23" s="1"/>
  <c r="P187" i="23" s="1"/>
  <c r="V187" i="23" s="1"/>
  <c r="B187" i="23" s="1"/>
  <c r="S189" i="23"/>
  <c r="R189" i="23" s="1"/>
  <c r="P189" i="23" s="1"/>
  <c r="V189" i="23" s="1"/>
  <c r="B189" i="23" s="1"/>
  <c r="S191" i="23"/>
  <c r="R191" i="23" s="1"/>
  <c r="P191" i="23" s="1"/>
  <c r="V191" i="23" s="1"/>
  <c r="B191" i="23" s="1"/>
  <c r="S193" i="23"/>
  <c r="R193" i="23" s="1"/>
  <c r="P193" i="23" s="1"/>
  <c r="V193" i="23" s="1"/>
  <c r="B193" i="23" s="1"/>
  <c r="S195" i="23"/>
  <c r="R195" i="23" s="1"/>
  <c r="P195" i="23" s="1"/>
  <c r="V195" i="23" s="1"/>
  <c r="B195" i="23" s="1"/>
  <c r="S197" i="23"/>
  <c r="R197" i="23" s="1"/>
  <c r="P197" i="23" s="1"/>
  <c r="V197" i="23" s="1"/>
  <c r="B197" i="23" s="1"/>
  <c r="S199" i="23"/>
  <c r="R199" i="23" s="1"/>
  <c r="P199" i="23" s="1"/>
  <c r="V199" i="23" s="1"/>
  <c r="B199" i="23" s="1"/>
  <c r="S201" i="23"/>
  <c r="R201" i="23" s="1"/>
  <c r="P201" i="23" s="1"/>
  <c r="V201" i="23" s="1"/>
  <c r="B201" i="23" s="1"/>
  <c r="S203" i="23"/>
  <c r="R203" i="23" s="1"/>
  <c r="P203" i="23" s="1"/>
  <c r="V203" i="23" s="1"/>
  <c r="B203" i="23" s="1"/>
  <c r="S205" i="23"/>
  <c r="R205" i="23" s="1"/>
  <c r="P205" i="23" s="1"/>
  <c r="V205" i="23" s="1"/>
  <c r="B205" i="23" s="1"/>
  <c r="S207" i="23"/>
  <c r="R207" i="23" s="1"/>
  <c r="P207" i="23" s="1"/>
  <c r="V207" i="23" s="1"/>
  <c r="B207" i="23" s="1"/>
  <c r="S209" i="23"/>
  <c r="R209" i="23" s="1"/>
  <c r="P209" i="23" s="1"/>
  <c r="V209" i="23" s="1"/>
  <c r="B209" i="23" s="1"/>
  <c r="S211" i="23"/>
  <c r="R211" i="23" s="1"/>
  <c r="P211" i="23" s="1"/>
  <c r="V211" i="23" s="1"/>
  <c r="B211" i="23" s="1"/>
  <c r="S213" i="23"/>
  <c r="R213" i="23" s="1"/>
  <c r="P213" i="23" s="1"/>
  <c r="V213" i="23" s="1"/>
  <c r="B213" i="23" s="1"/>
  <c r="S215" i="23"/>
  <c r="R215" i="23" s="1"/>
  <c r="P215" i="23" s="1"/>
  <c r="V215" i="23" s="1"/>
  <c r="B215" i="23" s="1"/>
  <c r="S217" i="23"/>
  <c r="R217" i="23" s="1"/>
  <c r="P217" i="23" s="1"/>
  <c r="V217" i="23" s="1"/>
  <c r="B217" i="23" s="1"/>
  <c r="S219" i="23"/>
  <c r="R219" i="23" s="1"/>
  <c r="P219" i="23" s="1"/>
  <c r="V219" i="23" s="1"/>
  <c r="B219" i="23" s="1"/>
  <c r="S221" i="23"/>
  <c r="R221" i="23" s="1"/>
  <c r="P221" i="23" s="1"/>
  <c r="V221" i="23" s="1"/>
  <c r="B221" i="23" s="1"/>
  <c r="S223" i="23"/>
  <c r="R223" i="23" s="1"/>
  <c r="P223" i="23" s="1"/>
  <c r="V223" i="23" s="1"/>
  <c r="B223" i="23" s="1"/>
  <c r="S225" i="23"/>
  <c r="R225" i="23" s="1"/>
  <c r="P225" i="23" s="1"/>
  <c r="V225" i="23" s="1"/>
  <c r="B225" i="23" s="1"/>
  <c r="S227" i="23"/>
  <c r="R227" i="23" s="1"/>
  <c r="P227" i="23" s="1"/>
  <c r="V227" i="23" s="1"/>
  <c r="B227" i="23" s="1"/>
  <c r="S229" i="23"/>
  <c r="R229" i="23" s="1"/>
  <c r="P229" i="23" s="1"/>
  <c r="V229" i="23" s="1"/>
  <c r="B229" i="23" s="1"/>
  <c r="S231" i="23"/>
  <c r="R231" i="23" s="1"/>
  <c r="P231" i="23" s="1"/>
  <c r="V231" i="23" s="1"/>
  <c r="B231" i="23" s="1"/>
  <c r="S233" i="23"/>
  <c r="R233" i="23" s="1"/>
  <c r="P233" i="23" s="1"/>
  <c r="V233" i="23" s="1"/>
  <c r="B233" i="23" s="1"/>
  <c r="S235" i="23"/>
  <c r="R235" i="23" s="1"/>
  <c r="P235" i="23" s="1"/>
  <c r="V235" i="23" s="1"/>
  <c r="B235" i="23" s="1"/>
  <c r="S237" i="23"/>
  <c r="R237" i="23" s="1"/>
  <c r="P237" i="23" s="1"/>
  <c r="V237" i="23" s="1"/>
  <c r="B237" i="23" s="1"/>
  <c r="S239" i="23"/>
  <c r="R239" i="23" s="1"/>
  <c r="P239" i="23" s="1"/>
  <c r="V239" i="23" s="1"/>
  <c r="B239" i="23" s="1"/>
  <c r="S241" i="23"/>
  <c r="R241" i="23" s="1"/>
  <c r="P241" i="23" s="1"/>
  <c r="S243" i="23"/>
  <c r="R243" i="23" s="1"/>
  <c r="P243" i="23" s="1"/>
  <c r="V243" i="23" s="1"/>
  <c r="B243" i="23" s="1"/>
  <c r="S245" i="23"/>
  <c r="R245" i="23" s="1"/>
  <c r="P245" i="23" s="1"/>
  <c r="V245" i="23" s="1"/>
  <c r="B245" i="23" s="1"/>
  <c r="S247" i="23"/>
  <c r="R247" i="23" s="1"/>
  <c r="P247" i="23" s="1"/>
  <c r="V247" i="23" s="1"/>
  <c r="B247" i="23" s="1"/>
  <c r="S249" i="23"/>
  <c r="R249" i="23" s="1"/>
  <c r="P249" i="23" s="1"/>
  <c r="V249" i="23" s="1"/>
  <c r="B249" i="23" s="1"/>
  <c r="S251" i="23"/>
  <c r="R251" i="23" s="1"/>
  <c r="P251" i="23" s="1"/>
  <c r="V251" i="23" s="1"/>
  <c r="B251" i="23" s="1"/>
  <c r="S253" i="23"/>
  <c r="R253" i="23" s="1"/>
  <c r="P253" i="23" s="1"/>
  <c r="V253" i="23" s="1"/>
  <c r="B253" i="23" s="1"/>
  <c r="S255" i="23"/>
  <c r="R255" i="23" s="1"/>
  <c r="P255" i="23" s="1"/>
  <c r="V255" i="23" s="1"/>
  <c r="B255" i="23" s="1"/>
  <c r="S257" i="23"/>
  <c r="R257" i="23" s="1"/>
  <c r="P257" i="23" s="1"/>
  <c r="V257" i="23" s="1"/>
  <c r="B257" i="23" s="1"/>
  <c r="S259" i="23"/>
  <c r="R259" i="23" s="1"/>
  <c r="P259" i="23" s="1"/>
  <c r="V259" i="23" s="1"/>
  <c r="B259" i="23" s="1"/>
  <c r="S261" i="23"/>
  <c r="R261" i="23" s="1"/>
  <c r="P261" i="23" s="1"/>
  <c r="V261" i="23" s="1"/>
  <c r="B261" i="23" s="1"/>
  <c r="S263" i="23"/>
  <c r="R263" i="23" s="1"/>
  <c r="P263" i="23" s="1"/>
  <c r="V263" i="23" s="1"/>
  <c r="B263" i="23" s="1"/>
  <c r="S265" i="23"/>
  <c r="R265" i="23" s="1"/>
  <c r="P265" i="23" s="1"/>
  <c r="V265" i="23" s="1"/>
  <c r="B265" i="23" s="1"/>
  <c r="S267" i="23"/>
  <c r="R267" i="23" s="1"/>
  <c r="P267" i="23" s="1"/>
  <c r="V267" i="23" s="1"/>
  <c r="B267" i="23" s="1"/>
  <c r="S269" i="23"/>
  <c r="R269" i="23" s="1"/>
  <c r="P269" i="23" s="1"/>
  <c r="V269" i="23" s="1"/>
  <c r="B269" i="23" s="1"/>
  <c r="S271" i="23"/>
  <c r="R271" i="23" s="1"/>
  <c r="P271" i="23" s="1"/>
  <c r="V271" i="23" s="1"/>
  <c r="B271" i="23" s="1"/>
  <c r="S273" i="23"/>
  <c r="R273" i="23" s="1"/>
  <c r="P273" i="23" s="1"/>
  <c r="V273" i="23" s="1"/>
  <c r="B273" i="23" s="1"/>
  <c r="S275" i="23"/>
  <c r="R275" i="23" s="1"/>
  <c r="P275" i="23" s="1"/>
  <c r="V275" i="23" s="1"/>
  <c r="B275" i="23" s="1"/>
  <c r="S277" i="23"/>
  <c r="R277" i="23" s="1"/>
  <c r="P277" i="23" s="1"/>
  <c r="V277" i="23" s="1"/>
  <c r="B277" i="23" s="1"/>
  <c r="S279" i="23"/>
  <c r="R279" i="23" s="1"/>
  <c r="P279" i="23" s="1"/>
  <c r="V279" i="23" s="1"/>
  <c r="B279" i="23" s="1"/>
  <c r="S281" i="23"/>
  <c r="R281" i="23" s="1"/>
  <c r="P281" i="23" s="1"/>
  <c r="V281" i="23" s="1"/>
  <c r="B281" i="23" s="1"/>
  <c r="S283" i="23"/>
  <c r="R283" i="23" s="1"/>
  <c r="P283" i="23" s="1"/>
  <c r="V283" i="23" s="1"/>
  <c r="B283" i="23" s="1"/>
  <c r="S285" i="23"/>
  <c r="R285" i="23" s="1"/>
  <c r="P285" i="23" s="1"/>
  <c r="V285" i="23" s="1"/>
  <c r="B285" i="23" s="1"/>
  <c r="S287" i="23"/>
  <c r="R287" i="23" s="1"/>
  <c r="P287" i="23" s="1"/>
  <c r="V287" i="23" s="1"/>
  <c r="B287" i="23" s="1"/>
  <c r="S289" i="23"/>
  <c r="R289" i="23" s="1"/>
  <c r="P289" i="23" s="1"/>
  <c r="V289" i="23" s="1"/>
  <c r="B289" i="23" s="1"/>
  <c r="S291" i="23"/>
  <c r="R291" i="23" s="1"/>
  <c r="P291" i="23" s="1"/>
  <c r="V291" i="23" s="1"/>
  <c r="B291" i="23" s="1"/>
  <c r="S293" i="23"/>
  <c r="R293" i="23" s="1"/>
  <c r="P293" i="23" s="1"/>
  <c r="V293" i="23" s="1"/>
  <c r="B293" i="23" s="1"/>
  <c r="S295" i="23"/>
  <c r="R295" i="23" s="1"/>
  <c r="P295" i="23" s="1"/>
  <c r="V295" i="23" s="1"/>
  <c r="B295" i="23" s="1"/>
  <c r="S297" i="23"/>
  <c r="R297" i="23" s="1"/>
  <c r="P297" i="23" s="1"/>
  <c r="V297" i="23" s="1"/>
  <c r="B297" i="23" s="1"/>
  <c r="S299" i="23"/>
  <c r="R299" i="23" s="1"/>
  <c r="P299" i="23" s="1"/>
  <c r="V299" i="23" s="1"/>
  <c r="B299" i="23" s="1"/>
  <c r="S301" i="23"/>
  <c r="R301" i="23" s="1"/>
  <c r="P301" i="23" s="1"/>
  <c r="V301" i="23" s="1"/>
  <c r="B301" i="23" s="1"/>
  <c r="S303" i="23"/>
  <c r="R303" i="23" s="1"/>
  <c r="P303" i="23" s="1"/>
  <c r="V303" i="23" s="1"/>
  <c r="B303" i="23" s="1"/>
  <c r="S305" i="23"/>
  <c r="R305" i="23" s="1"/>
  <c r="P305" i="23" s="1"/>
  <c r="V305" i="23" s="1"/>
  <c r="B305" i="23" s="1"/>
  <c r="S307" i="23"/>
  <c r="R307" i="23" s="1"/>
  <c r="P307" i="23" s="1"/>
  <c r="V307" i="23" s="1"/>
  <c r="B307" i="23" s="1"/>
  <c r="S309" i="23"/>
  <c r="R309" i="23" s="1"/>
  <c r="P309" i="23" s="1"/>
  <c r="V309" i="23" s="1"/>
  <c r="B309" i="23" s="1"/>
  <c r="S311" i="23"/>
  <c r="R311" i="23" s="1"/>
  <c r="P311" i="23" s="1"/>
  <c r="V311" i="23" s="1"/>
  <c r="B311" i="23" s="1"/>
  <c r="S313" i="23"/>
  <c r="R313" i="23" s="1"/>
  <c r="P313" i="23" s="1"/>
  <c r="V313" i="23" s="1"/>
  <c r="B313" i="23" s="1"/>
  <c r="S315" i="23"/>
  <c r="R315" i="23" s="1"/>
  <c r="P315" i="23" s="1"/>
  <c r="V315" i="23" s="1"/>
  <c r="B315" i="23" s="1"/>
  <c r="S317" i="23"/>
  <c r="R317" i="23" s="1"/>
  <c r="P317" i="23" s="1"/>
  <c r="V317" i="23" s="1"/>
  <c r="B317" i="23" s="1"/>
  <c r="S319" i="23"/>
  <c r="R319" i="23" s="1"/>
  <c r="P319" i="23" s="1"/>
  <c r="V319" i="23" s="1"/>
  <c r="S321" i="23"/>
  <c r="R321" i="23" s="1"/>
  <c r="P321" i="23" s="1"/>
  <c r="V321" i="23" s="1"/>
  <c r="B321" i="23" s="1"/>
  <c r="S323" i="23"/>
  <c r="R323" i="23" s="1"/>
  <c r="P323" i="23" s="1"/>
  <c r="V323" i="23" s="1"/>
  <c r="B323" i="23" s="1"/>
  <c r="S325" i="23"/>
  <c r="R325" i="23" s="1"/>
  <c r="P325" i="23" s="1"/>
  <c r="V325" i="23" s="1"/>
  <c r="B325" i="23" s="1"/>
  <c r="S327" i="23"/>
  <c r="R327" i="23" s="1"/>
  <c r="P327" i="23" s="1"/>
  <c r="V327" i="23" s="1"/>
  <c r="B327" i="23" s="1"/>
  <c r="S329" i="23"/>
  <c r="R329" i="23" s="1"/>
  <c r="P329" i="23" s="1"/>
  <c r="V329" i="23" s="1"/>
  <c r="B329" i="23" s="1"/>
  <c r="S331" i="23"/>
  <c r="R331" i="23" s="1"/>
  <c r="P331" i="23" s="1"/>
  <c r="V331" i="23" s="1"/>
  <c r="B331" i="23" s="1"/>
  <c r="S333" i="23"/>
  <c r="R333" i="23" s="1"/>
  <c r="P333" i="23" s="1"/>
  <c r="S335" i="23"/>
  <c r="R335" i="23" s="1"/>
  <c r="P335" i="23" s="1"/>
  <c r="V335" i="23" s="1"/>
  <c r="B335" i="23" s="1"/>
  <c r="S337" i="23"/>
  <c r="R337" i="23" s="1"/>
  <c r="P337" i="23" s="1"/>
  <c r="V337" i="23" s="1"/>
  <c r="B337" i="23" s="1"/>
  <c r="S339" i="23"/>
  <c r="R339" i="23" s="1"/>
  <c r="P339" i="23" s="1"/>
  <c r="V339" i="23" s="1"/>
  <c r="B339" i="23" s="1"/>
  <c r="S341" i="23"/>
  <c r="R341" i="23" s="1"/>
  <c r="P341" i="23" s="1"/>
  <c r="V341" i="23" s="1"/>
  <c r="B341" i="23" s="1"/>
  <c r="S343" i="23"/>
  <c r="R343" i="23" s="1"/>
  <c r="P343" i="23" s="1"/>
  <c r="V343" i="23" s="1"/>
  <c r="B343" i="23" s="1"/>
  <c r="S345" i="23"/>
  <c r="R345" i="23" s="1"/>
  <c r="P345" i="23" s="1"/>
  <c r="V345" i="23" s="1"/>
  <c r="B345" i="23" s="1"/>
  <c r="S347" i="23"/>
  <c r="R347" i="23" s="1"/>
  <c r="P347" i="23" s="1"/>
  <c r="V347" i="23" s="1"/>
  <c r="B347" i="23" s="1"/>
  <c r="S349" i="23"/>
  <c r="R349" i="23" s="1"/>
  <c r="P349" i="23" s="1"/>
  <c r="V349" i="23" s="1"/>
  <c r="S351" i="23"/>
  <c r="R351" i="23" s="1"/>
  <c r="P351" i="23" s="1"/>
  <c r="V351" i="23" s="1"/>
  <c r="B351" i="23" s="1"/>
  <c r="S353" i="23"/>
  <c r="R353" i="23" s="1"/>
  <c r="P353" i="23" s="1"/>
  <c r="V353" i="23" s="1"/>
  <c r="B353" i="23" s="1"/>
  <c r="S355" i="23"/>
  <c r="R355" i="23" s="1"/>
  <c r="P355" i="23" s="1"/>
  <c r="V355" i="23" s="1"/>
  <c r="B355" i="23" s="1"/>
  <c r="S357" i="23"/>
  <c r="R357" i="23" s="1"/>
  <c r="P357" i="23" s="1"/>
  <c r="V357" i="23" s="1"/>
  <c r="B357" i="23" s="1"/>
  <c r="S359" i="23"/>
  <c r="R359" i="23" s="1"/>
  <c r="P359" i="23" s="1"/>
  <c r="V359" i="23" s="1"/>
  <c r="B359" i="23" s="1"/>
  <c r="S361" i="23"/>
  <c r="R361" i="23" s="1"/>
  <c r="P361" i="23" s="1"/>
  <c r="V361" i="23" s="1"/>
  <c r="B361" i="23" s="1"/>
  <c r="S363" i="23"/>
  <c r="R363" i="23" s="1"/>
  <c r="P363" i="23" s="1"/>
  <c r="S365" i="23"/>
  <c r="R365" i="23" s="1"/>
  <c r="P365" i="23" s="1"/>
  <c r="V365" i="23" s="1"/>
  <c r="B365" i="23" s="1"/>
  <c r="S367" i="23"/>
  <c r="R367" i="23" s="1"/>
  <c r="P367" i="23" s="1"/>
  <c r="V367" i="23" s="1"/>
  <c r="B367" i="23" s="1"/>
  <c r="S369" i="23"/>
  <c r="R369" i="23" s="1"/>
  <c r="P369" i="23" s="1"/>
  <c r="V369" i="23" s="1"/>
  <c r="B369" i="23" s="1"/>
  <c r="S371" i="23"/>
  <c r="R371" i="23" s="1"/>
  <c r="P371" i="23" s="1"/>
  <c r="V371" i="23" s="1"/>
  <c r="B371" i="23" s="1"/>
  <c r="S373" i="23"/>
  <c r="R373" i="23" s="1"/>
  <c r="P373" i="23" s="1"/>
  <c r="V373" i="23" s="1"/>
  <c r="B373" i="23" s="1"/>
  <c r="S375" i="23"/>
  <c r="R375" i="23" s="1"/>
  <c r="P375" i="23" s="1"/>
  <c r="V375" i="23" s="1"/>
  <c r="B375" i="23" s="1"/>
  <c r="S377" i="23"/>
  <c r="R377" i="23" s="1"/>
  <c r="P377" i="23" s="1"/>
  <c r="V377" i="23" s="1"/>
  <c r="B377" i="23" s="1"/>
  <c r="AY16" i="7"/>
  <c r="AA379" i="22"/>
  <c r="Z379" i="22" s="1"/>
  <c r="Y379" i="22" s="1"/>
  <c r="AG19" i="23"/>
  <c r="AF19" i="23" s="1"/>
  <c r="AD19" i="23" s="1"/>
  <c r="AG17" i="23"/>
  <c r="AF17" i="23" s="1"/>
  <c r="AD17" i="23" s="1"/>
  <c r="AG20" i="23"/>
  <c r="AF20" i="23" s="1"/>
  <c r="AD20" i="23" s="1"/>
  <c r="AG22" i="23"/>
  <c r="AF22" i="23" s="1"/>
  <c r="AD22" i="23" s="1"/>
  <c r="AG24" i="23"/>
  <c r="AF24" i="23" s="1"/>
  <c r="AD24" i="23" s="1"/>
  <c r="AG26" i="23"/>
  <c r="AF26" i="23" s="1"/>
  <c r="AD26" i="23" s="1"/>
  <c r="AG28" i="23"/>
  <c r="AF28" i="23" s="1"/>
  <c r="AD28" i="23" s="1"/>
  <c r="AG30" i="23"/>
  <c r="AF30" i="23" s="1"/>
  <c r="AD30" i="23" s="1"/>
  <c r="AG32" i="23"/>
  <c r="AF32" i="23" s="1"/>
  <c r="AD32" i="23" s="1"/>
  <c r="AG34" i="23"/>
  <c r="AF34" i="23" s="1"/>
  <c r="AD34" i="23" s="1"/>
  <c r="AG36" i="23"/>
  <c r="AF36" i="23" s="1"/>
  <c r="AD36" i="23" s="1"/>
  <c r="AG38" i="23"/>
  <c r="AF38" i="23" s="1"/>
  <c r="AD38" i="23" s="1"/>
  <c r="AG40" i="23"/>
  <c r="AF40" i="23" s="1"/>
  <c r="AD40" i="23" s="1"/>
  <c r="AG42" i="23"/>
  <c r="AF42" i="23" s="1"/>
  <c r="AD42" i="23" s="1"/>
  <c r="AG44" i="23"/>
  <c r="AF44" i="23" s="1"/>
  <c r="AD44" i="23" s="1"/>
  <c r="AG46" i="23"/>
  <c r="AF46" i="23" s="1"/>
  <c r="AD46" i="23" s="1"/>
  <c r="AG48" i="23"/>
  <c r="AF48" i="23" s="1"/>
  <c r="AD48" i="23" s="1"/>
  <c r="AG50" i="23"/>
  <c r="AF50" i="23" s="1"/>
  <c r="AD50" i="23" s="1"/>
  <c r="AG52" i="23"/>
  <c r="AF52" i="23" s="1"/>
  <c r="AD52" i="23" s="1"/>
  <c r="AG54" i="23"/>
  <c r="AF54" i="23" s="1"/>
  <c r="AD54" i="23" s="1"/>
  <c r="AG56" i="23"/>
  <c r="AF56" i="23" s="1"/>
  <c r="AD56" i="23" s="1"/>
  <c r="AG58" i="23"/>
  <c r="AF58" i="23" s="1"/>
  <c r="AD58" i="23" s="1"/>
  <c r="AG60" i="23"/>
  <c r="AF60" i="23" s="1"/>
  <c r="AD60" i="23" s="1"/>
  <c r="AG62" i="23"/>
  <c r="AF62" i="23" s="1"/>
  <c r="AD62" i="23" s="1"/>
  <c r="AG64" i="23"/>
  <c r="AF64" i="23" s="1"/>
  <c r="AD64" i="23" s="1"/>
  <c r="AG66" i="23"/>
  <c r="AF66" i="23" s="1"/>
  <c r="AD66" i="23" s="1"/>
  <c r="AG68" i="23"/>
  <c r="AF68" i="23" s="1"/>
  <c r="AD68" i="23" s="1"/>
  <c r="AG70" i="23"/>
  <c r="AF70" i="23" s="1"/>
  <c r="AD70" i="23" s="1"/>
  <c r="AG72" i="23"/>
  <c r="AF72" i="23" s="1"/>
  <c r="AD72" i="23" s="1"/>
  <c r="AG74" i="23"/>
  <c r="AF74" i="23" s="1"/>
  <c r="AD74" i="23" s="1"/>
  <c r="AG76" i="23"/>
  <c r="AF76" i="23" s="1"/>
  <c r="AD76" i="23" s="1"/>
  <c r="AG78" i="23"/>
  <c r="AF78" i="23" s="1"/>
  <c r="AD78" i="23" s="1"/>
  <c r="AG80" i="23"/>
  <c r="AF80" i="23" s="1"/>
  <c r="AD80" i="23" s="1"/>
  <c r="AG82" i="23"/>
  <c r="AF82" i="23" s="1"/>
  <c r="AD82" i="23" s="1"/>
  <c r="AG84" i="23"/>
  <c r="AF84" i="23" s="1"/>
  <c r="AD84" i="23" s="1"/>
  <c r="AG86" i="23"/>
  <c r="AF86" i="23" s="1"/>
  <c r="AD86" i="23" s="1"/>
  <c r="AG88" i="23"/>
  <c r="AF88" i="23" s="1"/>
  <c r="AD88" i="23" s="1"/>
  <c r="AG90" i="23"/>
  <c r="AF90" i="23" s="1"/>
  <c r="AD90" i="23" s="1"/>
  <c r="AG92" i="23"/>
  <c r="AF92" i="23" s="1"/>
  <c r="AD92" i="23" s="1"/>
  <c r="AG94" i="23"/>
  <c r="AF94" i="23" s="1"/>
  <c r="AD94" i="23" s="1"/>
  <c r="AG96" i="23"/>
  <c r="AF96" i="23" s="1"/>
  <c r="AD96" i="23" s="1"/>
  <c r="AG98" i="23"/>
  <c r="AF98" i="23" s="1"/>
  <c r="AD98" i="23" s="1"/>
  <c r="AG100" i="23"/>
  <c r="AF100" i="23" s="1"/>
  <c r="AD100" i="23" s="1"/>
  <c r="AG102" i="23"/>
  <c r="AF102" i="23" s="1"/>
  <c r="AD102" i="23" s="1"/>
  <c r="AG104" i="23"/>
  <c r="AF104" i="23" s="1"/>
  <c r="AD104" i="23" s="1"/>
  <c r="AG106" i="23"/>
  <c r="AF106" i="23" s="1"/>
  <c r="AD106" i="23" s="1"/>
  <c r="AG108" i="23"/>
  <c r="AF108" i="23" s="1"/>
  <c r="AD108" i="23" s="1"/>
  <c r="AG110" i="23"/>
  <c r="AF110" i="23" s="1"/>
  <c r="AD110" i="23" s="1"/>
  <c r="AG112" i="23"/>
  <c r="AF112" i="23" s="1"/>
  <c r="AD112" i="23" s="1"/>
  <c r="AG114" i="23"/>
  <c r="AF114" i="23" s="1"/>
  <c r="AD114" i="23" s="1"/>
  <c r="AG116" i="23"/>
  <c r="AF116" i="23" s="1"/>
  <c r="AD116" i="23" s="1"/>
  <c r="AG118" i="23"/>
  <c r="AF118" i="23" s="1"/>
  <c r="AD118" i="23" s="1"/>
  <c r="AG120" i="23"/>
  <c r="AF120" i="23" s="1"/>
  <c r="AD120" i="23" s="1"/>
  <c r="AG122" i="23"/>
  <c r="AF122" i="23" s="1"/>
  <c r="AD122" i="23" s="1"/>
  <c r="AG124" i="23"/>
  <c r="AF124" i="23" s="1"/>
  <c r="AD124" i="23" s="1"/>
  <c r="AG126" i="23"/>
  <c r="AF126" i="23" s="1"/>
  <c r="AD126" i="23" s="1"/>
  <c r="AG128" i="23"/>
  <c r="AF128" i="23" s="1"/>
  <c r="AD128" i="23" s="1"/>
  <c r="AG130" i="23"/>
  <c r="AF130" i="23" s="1"/>
  <c r="AD130" i="23" s="1"/>
  <c r="AG132" i="23"/>
  <c r="AF132" i="23" s="1"/>
  <c r="AD132" i="23" s="1"/>
  <c r="AG134" i="23"/>
  <c r="AF134" i="23" s="1"/>
  <c r="AD134" i="23" s="1"/>
  <c r="AG136" i="23"/>
  <c r="AF136" i="23" s="1"/>
  <c r="AD136" i="23" s="1"/>
  <c r="AG138" i="23"/>
  <c r="AF138" i="23" s="1"/>
  <c r="AD138" i="23" s="1"/>
  <c r="AG140" i="23"/>
  <c r="AF140" i="23" s="1"/>
  <c r="AD140" i="23" s="1"/>
  <c r="AG142" i="23"/>
  <c r="AF142" i="23" s="1"/>
  <c r="AD142" i="23" s="1"/>
  <c r="AG144" i="23"/>
  <c r="AF144" i="23" s="1"/>
  <c r="AD144" i="23" s="1"/>
  <c r="AG146" i="23"/>
  <c r="AF146" i="23" s="1"/>
  <c r="AD146" i="23" s="1"/>
  <c r="AG148" i="23"/>
  <c r="AF148" i="23" s="1"/>
  <c r="AD148" i="23" s="1"/>
  <c r="AG150" i="23"/>
  <c r="AF150" i="23" s="1"/>
  <c r="AD150" i="23" s="1"/>
  <c r="AG152" i="23"/>
  <c r="AF152" i="23" s="1"/>
  <c r="AD152" i="23" s="1"/>
  <c r="AG154" i="23"/>
  <c r="AF154" i="23" s="1"/>
  <c r="AD154" i="23" s="1"/>
  <c r="AG156" i="23"/>
  <c r="AF156" i="23" s="1"/>
  <c r="AD156" i="23" s="1"/>
  <c r="AG158" i="23"/>
  <c r="AF158" i="23" s="1"/>
  <c r="AD158" i="23" s="1"/>
  <c r="AG160" i="23"/>
  <c r="AF160" i="23" s="1"/>
  <c r="AD160" i="23" s="1"/>
  <c r="AG162" i="23"/>
  <c r="AF162" i="23" s="1"/>
  <c r="AD162" i="23" s="1"/>
  <c r="AG164" i="23"/>
  <c r="AF164" i="23" s="1"/>
  <c r="AD164" i="23" s="1"/>
  <c r="AG166" i="23"/>
  <c r="AF166" i="23" s="1"/>
  <c r="AD166" i="23" s="1"/>
  <c r="AG168" i="23"/>
  <c r="AF168" i="23" s="1"/>
  <c r="AD168" i="23" s="1"/>
  <c r="AG170" i="23"/>
  <c r="AF170" i="23" s="1"/>
  <c r="AD170" i="23" s="1"/>
  <c r="AG172" i="23"/>
  <c r="AF172" i="23" s="1"/>
  <c r="AD172" i="23" s="1"/>
  <c r="AG174" i="23"/>
  <c r="AF174" i="23" s="1"/>
  <c r="AD174" i="23" s="1"/>
  <c r="AG176" i="23"/>
  <c r="AF176" i="23" s="1"/>
  <c r="AD176" i="23" s="1"/>
  <c r="AG178" i="23"/>
  <c r="AF178" i="23" s="1"/>
  <c r="AD178" i="23" s="1"/>
  <c r="AG180" i="23"/>
  <c r="AF180" i="23" s="1"/>
  <c r="AD180" i="23" s="1"/>
  <c r="AG182" i="23"/>
  <c r="AF182" i="23" s="1"/>
  <c r="AD182" i="23" s="1"/>
  <c r="AG184" i="23"/>
  <c r="AF184" i="23" s="1"/>
  <c r="AD184" i="23" s="1"/>
  <c r="AG186" i="23"/>
  <c r="AF186" i="23" s="1"/>
  <c r="AD186" i="23" s="1"/>
  <c r="AG188" i="23"/>
  <c r="AF188" i="23" s="1"/>
  <c r="AD188" i="23" s="1"/>
  <c r="AG190" i="23"/>
  <c r="AF190" i="23" s="1"/>
  <c r="AD190" i="23" s="1"/>
  <c r="AG192" i="23"/>
  <c r="AF192" i="23" s="1"/>
  <c r="AD192" i="23" s="1"/>
  <c r="AG194" i="23"/>
  <c r="AF194" i="23" s="1"/>
  <c r="AD194" i="23" s="1"/>
  <c r="AG196" i="23"/>
  <c r="AF196" i="23" s="1"/>
  <c r="AD196" i="23" s="1"/>
  <c r="AG198" i="23"/>
  <c r="AF198" i="23" s="1"/>
  <c r="AD198" i="23" s="1"/>
  <c r="AG200" i="23"/>
  <c r="AF200" i="23" s="1"/>
  <c r="AD200" i="23" s="1"/>
  <c r="AG202" i="23"/>
  <c r="AF202" i="23" s="1"/>
  <c r="AD202" i="23" s="1"/>
  <c r="AG204" i="23"/>
  <c r="AF204" i="23" s="1"/>
  <c r="AD204" i="23" s="1"/>
  <c r="AG206" i="23"/>
  <c r="AF206" i="23" s="1"/>
  <c r="AD206" i="23" s="1"/>
  <c r="AG208" i="23"/>
  <c r="AF208" i="23" s="1"/>
  <c r="AD208" i="23" s="1"/>
  <c r="AG210" i="23"/>
  <c r="AF210" i="23" s="1"/>
  <c r="AD210" i="23" s="1"/>
  <c r="AG212" i="23"/>
  <c r="AF212" i="23" s="1"/>
  <c r="AD212" i="23" s="1"/>
  <c r="AG214" i="23"/>
  <c r="AF214" i="23" s="1"/>
  <c r="AD214" i="23" s="1"/>
  <c r="AG216" i="23"/>
  <c r="AF216" i="23" s="1"/>
  <c r="AD216" i="23" s="1"/>
  <c r="AG218" i="23"/>
  <c r="AF218" i="23" s="1"/>
  <c r="AD218" i="23" s="1"/>
  <c r="AG220" i="23"/>
  <c r="AF220" i="23" s="1"/>
  <c r="AD220" i="23" s="1"/>
  <c r="AG222" i="23"/>
  <c r="AF222" i="23" s="1"/>
  <c r="AD222" i="23" s="1"/>
  <c r="AG224" i="23"/>
  <c r="AF224" i="23" s="1"/>
  <c r="AD224" i="23" s="1"/>
  <c r="AG226" i="23"/>
  <c r="AF226" i="23" s="1"/>
  <c r="AD226" i="23" s="1"/>
  <c r="AG228" i="23"/>
  <c r="AF228" i="23" s="1"/>
  <c r="AD228" i="23" s="1"/>
  <c r="AG230" i="23"/>
  <c r="AF230" i="23" s="1"/>
  <c r="AD230" i="23" s="1"/>
  <c r="AG232" i="23"/>
  <c r="AF232" i="23" s="1"/>
  <c r="AD232" i="23" s="1"/>
  <c r="AG234" i="23"/>
  <c r="AF234" i="23" s="1"/>
  <c r="AD234" i="23" s="1"/>
  <c r="AG236" i="23"/>
  <c r="AF236" i="23" s="1"/>
  <c r="AD236" i="23" s="1"/>
  <c r="AG238" i="23"/>
  <c r="AF238" i="23" s="1"/>
  <c r="AD238" i="23" s="1"/>
  <c r="AG240" i="23"/>
  <c r="AF240" i="23" s="1"/>
  <c r="AD240" i="23" s="1"/>
  <c r="AG242" i="23"/>
  <c r="AF242" i="23" s="1"/>
  <c r="AD242" i="23" s="1"/>
  <c r="AG244" i="23"/>
  <c r="AF244" i="23" s="1"/>
  <c r="AD244" i="23" s="1"/>
  <c r="AG246" i="23"/>
  <c r="AF246" i="23" s="1"/>
  <c r="AD246" i="23" s="1"/>
  <c r="AG248" i="23"/>
  <c r="AF248" i="23" s="1"/>
  <c r="AD248" i="23" s="1"/>
  <c r="AG250" i="23"/>
  <c r="AF250" i="23" s="1"/>
  <c r="AD250" i="23" s="1"/>
  <c r="AG252" i="23"/>
  <c r="AF252" i="23" s="1"/>
  <c r="AD252" i="23" s="1"/>
  <c r="AG254" i="23"/>
  <c r="AF254" i="23" s="1"/>
  <c r="AD254" i="23" s="1"/>
  <c r="AG256" i="23"/>
  <c r="AF256" i="23" s="1"/>
  <c r="AD256" i="23" s="1"/>
  <c r="AG258" i="23"/>
  <c r="AF258" i="23" s="1"/>
  <c r="AD258" i="23" s="1"/>
  <c r="AG260" i="23"/>
  <c r="AF260" i="23" s="1"/>
  <c r="AD260" i="23" s="1"/>
  <c r="AG262" i="23"/>
  <c r="AF262" i="23" s="1"/>
  <c r="AD262" i="23" s="1"/>
  <c r="AG264" i="23"/>
  <c r="AF264" i="23" s="1"/>
  <c r="AD264" i="23" s="1"/>
  <c r="AG266" i="23"/>
  <c r="AF266" i="23" s="1"/>
  <c r="AD266" i="23" s="1"/>
  <c r="AG268" i="23"/>
  <c r="AF268" i="23" s="1"/>
  <c r="AD268" i="23" s="1"/>
  <c r="AG270" i="23"/>
  <c r="AF270" i="23" s="1"/>
  <c r="AD270" i="23" s="1"/>
  <c r="AG272" i="23"/>
  <c r="AF272" i="23" s="1"/>
  <c r="AD272" i="23" s="1"/>
  <c r="AG274" i="23"/>
  <c r="AF274" i="23" s="1"/>
  <c r="AD274" i="23" s="1"/>
  <c r="AG276" i="23"/>
  <c r="AF276" i="23" s="1"/>
  <c r="AD276" i="23" s="1"/>
  <c r="AG278" i="23"/>
  <c r="AF278" i="23" s="1"/>
  <c r="AD278" i="23" s="1"/>
  <c r="AG280" i="23"/>
  <c r="AF280" i="23" s="1"/>
  <c r="AD280" i="23" s="1"/>
  <c r="AG282" i="23"/>
  <c r="AF282" i="23" s="1"/>
  <c r="AD282" i="23" s="1"/>
  <c r="AG284" i="23"/>
  <c r="AF284" i="23" s="1"/>
  <c r="AD284" i="23" s="1"/>
  <c r="AG286" i="23"/>
  <c r="AF286" i="23" s="1"/>
  <c r="AD286" i="23" s="1"/>
  <c r="AG288" i="23"/>
  <c r="AF288" i="23" s="1"/>
  <c r="AD288" i="23" s="1"/>
  <c r="AG290" i="23"/>
  <c r="AF290" i="23" s="1"/>
  <c r="AD290" i="23" s="1"/>
  <c r="AG292" i="23"/>
  <c r="AF292" i="23" s="1"/>
  <c r="AD292" i="23" s="1"/>
  <c r="AG294" i="23"/>
  <c r="AF294" i="23" s="1"/>
  <c r="AD294" i="23" s="1"/>
  <c r="AG296" i="23"/>
  <c r="AF296" i="23" s="1"/>
  <c r="AD296" i="23" s="1"/>
  <c r="AG298" i="23"/>
  <c r="AF298" i="23" s="1"/>
  <c r="AD298" i="23" s="1"/>
  <c r="AG300" i="23"/>
  <c r="AF300" i="23" s="1"/>
  <c r="AD300" i="23" s="1"/>
  <c r="AG302" i="23"/>
  <c r="AF302" i="23" s="1"/>
  <c r="AD302" i="23" s="1"/>
  <c r="AG304" i="23"/>
  <c r="AF304" i="23" s="1"/>
  <c r="AD304" i="23" s="1"/>
  <c r="AG306" i="23"/>
  <c r="AF306" i="23" s="1"/>
  <c r="AD306" i="23" s="1"/>
  <c r="AG308" i="23"/>
  <c r="AF308" i="23" s="1"/>
  <c r="AD308" i="23" s="1"/>
  <c r="AG310" i="23"/>
  <c r="AF310" i="23" s="1"/>
  <c r="AD310" i="23" s="1"/>
  <c r="AG312" i="23"/>
  <c r="AF312" i="23" s="1"/>
  <c r="AD312" i="23" s="1"/>
  <c r="AG314" i="23"/>
  <c r="AF314" i="23" s="1"/>
  <c r="AD314" i="23" s="1"/>
  <c r="AG316" i="23"/>
  <c r="AF316" i="23" s="1"/>
  <c r="AD316" i="23" s="1"/>
  <c r="AG318" i="23"/>
  <c r="AF318" i="23" s="1"/>
  <c r="AD318" i="23" s="1"/>
  <c r="AG320" i="23"/>
  <c r="AF320" i="23" s="1"/>
  <c r="AD320" i="23" s="1"/>
  <c r="AG322" i="23"/>
  <c r="AF322" i="23" s="1"/>
  <c r="AD322" i="23" s="1"/>
  <c r="AG324" i="23"/>
  <c r="AF324" i="23" s="1"/>
  <c r="AD324" i="23" s="1"/>
  <c r="AG326" i="23"/>
  <c r="AF326" i="23" s="1"/>
  <c r="AD326" i="23" s="1"/>
  <c r="AG328" i="23"/>
  <c r="AF328" i="23" s="1"/>
  <c r="AD328" i="23" s="1"/>
  <c r="AG330" i="23"/>
  <c r="AF330" i="23" s="1"/>
  <c r="AD330" i="23" s="1"/>
  <c r="AG332" i="23"/>
  <c r="AF332" i="23" s="1"/>
  <c r="AD332" i="23" s="1"/>
  <c r="AG334" i="23"/>
  <c r="AF334" i="23" s="1"/>
  <c r="AD334" i="23" s="1"/>
  <c r="AG336" i="23"/>
  <c r="AF336" i="23" s="1"/>
  <c r="AD336" i="23" s="1"/>
  <c r="AG338" i="23"/>
  <c r="AF338" i="23" s="1"/>
  <c r="AD338" i="23" s="1"/>
  <c r="AG340" i="23"/>
  <c r="AF340" i="23" s="1"/>
  <c r="AD340" i="23" s="1"/>
  <c r="AG342" i="23"/>
  <c r="AF342" i="23" s="1"/>
  <c r="AD342" i="23" s="1"/>
  <c r="AG344" i="23"/>
  <c r="AF344" i="23" s="1"/>
  <c r="AD344" i="23" s="1"/>
  <c r="AG346" i="23"/>
  <c r="AF346" i="23" s="1"/>
  <c r="AD346" i="23" s="1"/>
  <c r="AG348" i="23"/>
  <c r="AF348" i="23" s="1"/>
  <c r="AD348" i="23" s="1"/>
  <c r="AG350" i="23"/>
  <c r="AF350" i="23" s="1"/>
  <c r="AD350" i="23" s="1"/>
  <c r="AG352" i="23"/>
  <c r="AF352" i="23" s="1"/>
  <c r="AD352" i="23" s="1"/>
  <c r="AG354" i="23"/>
  <c r="AF354" i="23" s="1"/>
  <c r="AD354" i="23" s="1"/>
  <c r="AG356" i="23"/>
  <c r="AF356" i="23" s="1"/>
  <c r="AD356" i="23" s="1"/>
  <c r="AG358" i="23"/>
  <c r="AF358" i="23" s="1"/>
  <c r="AD358" i="23" s="1"/>
  <c r="AG360" i="23"/>
  <c r="AF360" i="23" s="1"/>
  <c r="AD360" i="23" s="1"/>
  <c r="AG362" i="23"/>
  <c r="AF362" i="23" s="1"/>
  <c r="AD362" i="23" s="1"/>
  <c r="AG364" i="23"/>
  <c r="AF364" i="23" s="1"/>
  <c r="AD364" i="23" s="1"/>
  <c r="AG366" i="23"/>
  <c r="AF366" i="23" s="1"/>
  <c r="AD366" i="23" s="1"/>
  <c r="AG368" i="23"/>
  <c r="AF368" i="23" s="1"/>
  <c r="AD368" i="23" s="1"/>
  <c r="AG370" i="23"/>
  <c r="AF370" i="23" s="1"/>
  <c r="AD370" i="23" s="1"/>
  <c r="AG372" i="23"/>
  <c r="AF372" i="23" s="1"/>
  <c r="AD372" i="23" s="1"/>
  <c r="AG374" i="23"/>
  <c r="AF374" i="23" s="1"/>
  <c r="AD374" i="23" s="1"/>
  <c r="AG376" i="23"/>
  <c r="AF376" i="23" s="1"/>
  <c r="AD376" i="23" s="1"/>
  <c r="AG378" i="23"/>
  <c r="AF378" i="23" s="1"/>
  <c r="AD378" i="23" s="1"/>
  <c r="J28" i="22"/>
  <c r="I28" i="22"/>
  <c r="J88" i="20"/>
  <c r="I88" i="20"/>
  <c r="J124" i="22"/>
  <c r="I124" i="22"/>
  <c r="J228" i="22"/>
  <c r="I228" i="22"/>
  <c r="J268" i="22"/>
  <c r="I268" i="22"/>
  <c r="I276" i="22"/>
  <c r="I296" i="22"/>
  <c r="J296" i="22"/>
  <c r="I304" i="22"/>
  <c r="J304" i="22"/>
  <c r="I41" i="22"/>
  <c r="J41" i="22"/>
  <c r="J61" i="22"/>
  <c r="I61" i="22"/>
  <c r="I65" i="22"/>
  <c r="J65" i="22"/>
  <c r="J97" i="22"/>
  <c r="I97" i="22"/>
  <c r="J173" i="22"/>
  <c r="I173" i="22"/>
  <c r="J193" i="22"/>
  <c r="I193" i="22"/>
  <c r="I213" i="22"/>
  <c r="J213" i="22"/>
  <c r="I225" i="22"/>
  <c r="J225" i="22"/>
  <c r="I333" i="20"/>
  <c r="J333" i="20"/>
  <c r="I349" i="20"/>
  <c r="H349" i="22" s="1"/>
  <c r="J349" i="20"/>
  <c r="I26" i="22"/>
  <c r="J26" i="22"/>
  <c r="I178" i="22"/>
  <c r="J178" i="22"/>
  <c r="J218" i="22"/>
  <c r="I218" i="22"/>
  <c r="J242" i="22"/>
  <c r="I242" i="22"/>
  <c r="J266" i="22"/>
  <c r="I266" i="22"/>
  <c r="J278" i="22"/>
  <c r="I278" i="22"/>
  <c r="J366" i="22"/>
  <c r="I366" i="22"/>
  <c r="I327" i="22"/>
  <c r="J327" i="22"/>
  <c r="I363" i="20"/>
  <c r="J363" i="20"/>
  <c r="D379" i="6"/>
  <c r="AM4" i="6"/>
  <c r="J44" i="22"/>
  <c r="I44" i="22"/>
  <c r="I84" i="22"/>
  <c r="J84" i="22"/>
  <c r="J128" i="22"/>
  <c r="I128" i="22"/>
  <c r="J196" i="20"/>
  <c r="I196" i="20"/>
  <c r="H196" i="22" s="1"/>
  <c r="J248" i="22"/>
  <c r="I248" i="22"/>
  <c r="J260" i="22"/>
  <c r="I260" i="22"/>
  <c r="I105" i="20"/>
  <c r="H105" i="22" s="1"/>
  <c r="J105" i="20"/>
  <c r="I337" i="22"/>
  <c r="J337" i="22"/>
  <c r="I34" i="22"/>
  <c r="J34" i="22"/>
  <c r="I82" i="22"/>
  <c r="J82" i="22"/>
  <c r="I110" i="22"/>
  <c r="J110" i="22"/>
  <c r="J330" i="22"/>
  <c r="I330" i="22"/>
  <c r="J358" i="22"/>
  <c r="I358" i="22"/>
  <c r="J19" i="22"/>
  <c r="I19" i="22"/>
  <c r="AA19" i="22"/>
  <c r="Z19" i="22" s="1"/>
  <c r="Y19" i="22" s="1"/>
  <c r="G19" i="22"/>
  <c r="CC19" i="6" s="1"/>
  <c r="AA24" i="22"/>
  <c r="Z24" i="22" s="1"/>
  <c r="Y24" i="22" s="1"/>
  <c r="G24" i="22"/>
  <c r="CC24" i="6" s="1"/>
  <c r="G28" i="22"/>
  <c r="CC28" i="6" s="1"/>
  <c r="AA28" i="22"/>
  <c r="Z28" i="22" s="1"/>
  <c r="Y28" i="22" s="1"/>
  <c r="G32" i="22"/>
  <c r="CC32" i="6" s="1"/>
  <c r="AA32" i="22"/>
  <c r="Z32" i="22" s="1"/>
  <c r="Y32" i="22" s="1"/>
  <c r="C67" i="19"/>
  <c r="B60" i="22"/>
  <c r="G68" i="22"/>
  <c r="CC68" i="6" s="1"/>
  <c r="AA68" i="22"/>
  <c r="Z68" i="22" s="1"/>
  <c r="Y68" i="22" s="1"/>
  <c r="AA72" i="22"/>
  <c r="Z72" i="22" s="1"/>
  <c r="Y72" i="22" s="1"/>
  <c r="G72" i="22"/>
  <c r="CC72" i="6" s="1"/>
  <c r="G80" i="22"/>
  <c r="CC80" i="6" s="1"/>
  <c r="AA80" i="22"/>
  <c r="Z80" i="22" s="1"/>
  <c r="Y80" i="22" s="1"/>
  <c r="AA92" i="22"/>
  <c r="Z92" i="22" s="1"/>
  <c r="Y92" i="22" s="1"/>
  <c r="G92" i="22"/>
  <c r="CC92" i="6" s="1"/>
  <c r="AA96" i="22"/>
  <c r="Z96" i="22" s="1"/>
  <c r="Y96" i="22" s="1"/>
  <c r="G96" i="22"/>
  <c r="CC96" i="6" s="1"/>
  <c r="AA100" i="22"/>
  <c r="Z100" i="22" s="1"/>
  <c r="Y100" i="22" s="1"/>
  <c r="G100" i="22"/>
  <c r="CC100" i="6" s="1"/>
  <c r="G104" i="22"/>
  <c r="CC104" i="6" s="1"/>
  <c r="AA104" i="22"/>
  <c r="Z104" i="22" s="1"/>
  <c r="Y104" i="22" s="1"/>
  <c r="G108" i="22"/>
  <c r="CC108" i="6" s="1"/>
  <c r="AA108" i="22"/>
  <c r="Z108" i="22" s="1"/>
  <c r="Y108" i="22" s="1"/>
  <c r="AA120" i="22"/>
  <c r="Z120" i="22" s="1"/>
  <c r="Y120" i="22" s="1"/>
  <c r="G120" i="22"/>
  <c r="CC120" i="6" s="1"/>
  <c r="G124" i="22"/>
  <c r="CC124" i="6" s="1"/>
  <c r="AA124" i="22"/>
  <c r="Z124" i="22" s="1"/>
  <c r="Y124" i="22" s="1"/>
  <c r="AA140" i="22"/>
  <c r="Z140" i="22" s="1"/>
  <c r="Y140" i="22" s="1"/>
  <c r="G140" i="22"/>
  <c r="CC140" i="6" s="1"/>
  <c r="G144" i="22"/>
  <c r="CC144" i="6" s="1"/>
  <c r="AA144" i="22"/>
  <c r="Z144" i="22" s="1"/>
  <c r="Y144" i="22" s="1"/>
  <c r="G148" i="22"/>
  <c r="CC148" i="6" s="1"/>
  <c r="AA148" i="22"/>
  <c r="Z148" i="22" s="1"/>
  <c r="Y148" i="22" s="1"/>
  <c r="G160" i="22"/>
  <c r="CC160" i="6" s="1"/>
  <c r="AA160" i="22"/>
  <c r="Z160" i="22" s="1"/>
  <c r="Y160" i="22" s="1"/>
  <c r="AA172" i="22"/>
  <c r="Z172" i="22" s="1"/>
  <c r="Y172" i="22" s="1"/>
  <c r="G172" i="22"/>
  <c r="CC172" i="6" s="1"/>
  <c r="G176" i="22"/>
  <c r="CC176" i="6" s="1"/>
  <c r="AA176" i="22"/>
  <c r="Z176" i="22" s="1"/>
  <c r="Y176" i="22" s="1"/>
  <c r="G184" i="22"/>
  <c r="CC184" i="6" s="1"/>
  <c r="AA184" i="22"/>
  <c r="Z184" i="22" s="1"/>
  <c r="Y184" i="22" s="1"/>
  <c r="AA188" i="22"/>
  <c r="Z188" i="22" s="1"/>
  <c r="Y188" i="22" s="1"/>
  <c r="G188" i="22"/>
  <c r="CC188" i="6" s="1"/>
  <c r="AA236" i="22"/>
  <c r="Z236" i="22" s="1"/>
  <c r="Y236" i="22" s="1"/>
  <c r="G236" i="22"/>
  <c r="CC236" i="6" s="1"/>
  <c r="G248" i="22"/>
  <c r="CC248" i="6" s="1"/>
  <c r="AA248" i="22"/>
  <c r="Z248" i="22" s="1"/>
  <c r="Y248" i="22" s="1"/>
  <c r="AA256" i="22"/>
  <c r="Z256" i="22" s="1"/>
  <c r="Y256" i="22" s="1"/>
  <c r="G256" i="22"/>
  <c r="CC256" i="6" s="1"/>
  <c r="AA260" i="22"/>
  <c r="Z260" i="22" s="1"/>
  <c r="Y260" i="22" s="1"/>
  <c r="G260" i="22"/>
  <c r="CC260" i="6" s="1"/>
  <c r="AA264" i="22"/>
  <c r="Z264" i="22" s="1"/>
  <c r="Y264" i="22" s="1"/>
  <c r="G264" i="22"/>
  <c r="CC264" i="6" s="1"/>
  <c r="G268" i="22"/>
  <c r="CC268" i="6" s="1"/>
  <c r="AA268" i="22"/>
  <c r="Z268" i="22" s="1"/>
  <c r="Y268" i="22" s="1"/>
  <c r="G276" i="22"/>
  <c r="CC276" i="6" s="1"/>
  <c r="AA276" i="22"/>
  <c r="Z276" i="22" s="1"/>
  <c r="Y276" i="22" s="1"/>
  <c r="AA288" i="22"/>
  <c r="Z288" i="22" s="1"/>
  <c r="Y288" i="22" s="1"/>
  <c r="G288" i="22"/>
  <c r="CC288" i="6" s="1"/>
  <c r="G292" i="22"/>
  <c r="CC292" i="6" s="1"/>
  <c r="AA292" i="22"/>
  <c r="Z292" i="22" s="1"/>
  <c r="Y292" i="22" s="1"/>
  <c r="AA296" i="22"/>
  <c r="Z296" i="22" s="1"/>
  <c r="Y296" i="22" s="1"/>
  <c r="G296" i="22"/>
  <c r="CC296" i="6" s="1"/>
  <c r="AA304" i="22"/>
  <c r="Z304" i="22" s="1"/>
  <c r="Y304" i="22" s="1"/>
  <c r="G304" i="22"/>
  <c r="CC304" i="6" s="1"/>
  <c r="H320" i="22"/>
  <c r="G320" i="22"/>
  <c r="CC320" i="6" s="1"/>
  <c r="AA320" i="22"/>
  <c r="Z320" i="22" s="1"/>
  <c r="Y320" i="22" s="1"/>
  <c r="G332" i="22"/>
  <c r="CC332" i="6" s="1"/>
  <c r="AA332" i="22"/>
  <c r="Z332" i="22" s="1"/>
  <c r="Y332" i="22" s="1"/>
  <c r="AA340" i="22"/>
  <c r="Z340" i="22" s="1"/>
  <c r="Y340" i="22" s="1"/>
  <c r="G340" i="22"/>
  <c r="CC340" i="6" s="1"/>
  <c r="H344" i="22"/>
  <c r="AA344" i="22"/>
  <c r="Z344" i="22" s="1"/>
  <c r="Y344" i="22" s="1"/>
  <c r="G344" i="22"/>
  <c r="CC344" i="6" s="1"/>
  <c r="G356" i="22"/>
  <c r="CC356" i="6" s="1"/>
  <c r="AA356" i="22"/>
  <c r="Z356" i="22" s="1"/>
  <c r="Y356" i="22" s="1"/>
  <c r="G364" i="22"/>
  <c r="CC364" i="6" s="1"/>
  <c r="AA364" i="22"/>
  <c r="Z364" i="22" s="1"/>
  <c r="Y364" i="22" s="1"/>
  <c r="G368" i="22"/>
  <c r="CC368" i="6" s="1"/>
  <c r="AA368" i="22"/>
  <c r="Z368" i="22" s="1"/>
  <c r="Y368" i="22" s="1"/>
  <c r="AA372" i="22"/>
  <c r="Z372" i="22" s="1"/>
  <c r="Y372" i="22" s="1"/>
  <c r="G372" i="22"/>
  <c r="CC372" i="6" s="1"/>
  <c r="G21" i="22"/>
  <c r="CC21" i="6" s="1"/>
  <c r="AA21" i="22"/>
  <c r="Z21" i="22" s="1"/>
  <c r="Y21" i="22" s="1"/>
  <c r="AA37" i="22"/>
  <c r="Z37" i="22" s="1"/>
  <c r="Y37" i="22" s="1"/>
  <c r="G37" i="22"/>
  <c r="CC37" i="6" s="1"/>
  <c r="G73" i="22"/>
  <c r="CC73" i="6" s="1"/>
  <c r="AA73" i="22"/>
  <c r="Z73" i="22" s="1"/>
  <c r="Y73" i="22" s="1"/>
  <c r="AA77" i="22"/>
  <c r="Z77" i="22" s="1"/>
  <c r="Y77" i="22" s="1"/>
  <c r="G77" i="22"/>
  <c r="CC77" i="6" s="1"/>
  <c r="G81" i="22"/>
  <c r="CC81" i="6" s="1"/>
  <c r="AA81" i="22"/>
  <c r="Z81" i="22" s="1"/>
  <c r="Y81" i="22" s="1"/>
  <c r="AA97" i="22"/>
  <c r="Z97" i="22" s="1"/>
  <c r="Y97" i="22" s="1"/>
  <c r="G97" i="22"/>
  <c r="CC97" i="6" s="1"/>
  <c r="AA101" i="22"/>
  <c r="Z101" i="22" s="1"/>
  <c r="Y101" i="22" s="1"/>
  <c r="G101" i="22"/>
  <c r="CC101" i="6" s="1"/>
  <c r="AA105" i="22"/>
  <c r="Z105" i="22" s="1"/>
  <c r="Y105" i="22" s="1"/>
  <c r="G105" i="22"/>
  <c r="CC105" i="6" s="1"/>
  <c r="G113" i="22"/>
  <c r="CC113" i="6" s="1"/>
  <c r="AA113" i="22"/>
  <c r="Z113" i="22" s="1"/>
  <c r="Y113" i="22" s="1"/>
  <c r="AA117" i="22"/>
  <c r="Z117" i="22" s="1"/>
  <c r="Y117" i="22" s="1"/>
  <c r="G117" i="22"/>
  <c r="CC117" i="6" s="1"/>
  <c r="G125" i="22"/>
  <c r="CC125" i="6" s="1"/>
  <c r="AA125" i="22"/>
  <c r="Z125" i="22" s="1"/>
  <c r="Y125" i="22" s="1"/>
  <c r="G129" i="22"/>
  <c r="CC129" i="6" s="1"/>
  <c r="AA129" i="22"/>
  <c r="Z129" i="22" s="1"/>
  <c r="Y129" i="22" s="1"/>
  <c r="AA133" i="22"/>
  <c r="Z133" i="22" s="1"/>
  <c r="Y133" i="22" s="1"/>
  <c r="G133" i="22"/>
  <c r="CC133" i="6" s="1"/>
  <c r="G153" i="22"/>
  <c r="CC153" i="6" s="1"/>
  <c r="AA153" i="22"/>
  <c r="Z153" i="22" s="1"/>
  <c r="Y153" i="22" s="1"/>
  <c r="G157" i="22"/>
  <c r="CC157" i="6" s="1"/>
  <c r="AA157" i="22"/>
  <c r="Z157" i="22" s="1"/>
  <c r="Y157" i="22" s="1"/>
  <c r="G169" i="22"/>
  <c r="CC169" i="6" s="1"/>
  <c r="AA169" i="22"/>
  <c r="Z169" i="22" s="1"/>
  <c r="Y169" i="22" s="1"/>
  <c r="AA173" i="22"/>
  <c r="Z173" i="22" s="1"/>
  <c r="Y173" i="22" s="1"/>
  <c r="G173" i="22"/>
  <c r="CC173" i="6" s="1"/>
  <c r="G177" i="22"/>
  <c r="CC177" i="6" s="1"/>
  <c r="AA177" i="22"/>
  <c r="Z177" i="22" s="1"/>
  <c r="Y177" i="22" s="1"/>
  <c r="AA193" i="22"/>
  <c r="Z193" i="22" s="1"/>
  <c r="Y193" i="22" s="1"/>
  <c r="G193" i="22"/>
  <c r="CC193" i="6" s="1"/>
  <c r="AA197" i="22"/>
  <c r="Z197" i="22" s="1"/>
  <c r="Y197" i="22" s="1"/>
  <c r="G197" i="22"/>
  <c r="CC197" i="6" s="1"/>
  <c r="AA217" i="22"/>
  <c r="Z217" i="22" s="1"/>
  <c r="Y217" i="22" s="1"/>
  <c r="H217" i="22"/>
  <c r="G217" i="22"/>
  <c r="CC217" i="6" s="1"/>
  <c r="H229" i="22"/>
  <c r="AA229" i="22"/>
  <c r="Z229" i="22" s="1"/>
  <c r="Y229" i="22" s="1"/>
  <c r="G229" i="22"/>
  <c r="CC229" i="6" s="1"/>
  <c r="AA233" i="22"/>
  <c r="Z233" i="22" s="1"/>
  <c r="Y233" i="22" s="1"/>
  <c r="G233" i="22"/>
  <c r="CC233" i="6" s="1"/>
  <c r="I67" i="19"/>
  <c r="B241" i="22"/>
  <c r="AA245" i="22"/>
  <c r="Z245" i="22" s="1"/>
  <c r="Y245" i="22" s="1"/>
  <c r="G245" i="22"/>
  <c r="CC245" i="6" s="1"/>
  <c r="AA253" i="22"/>
  <c r="Z253" i="22" s="1"/>
  <c r="Y253" i="22" s="1"/>
  <c r="G253" i="22"/>
  <c r="CC253" i="6" s="1"/>
  <c r="G257" i="22"/>
  <c r="CC257" i="6" s="1"/>
  <c r="AA257" i="22"/>
  <c r="Z257" i="22" s="1"/>
  <c r="Y257" i="22" s="1"/>
  <c r="G277" i="22"/>
  <c r="CC277" i="6" s="1"/>
  <c r="AA277" i="22"/>
  <c r="Z277" i="22" s="1"/>
  <c r="Y277" i="22" s="1"/>
  <c r="G293" i="22"/>
  <c r="CC293" i="6" s="1"/>
  <c r="AA293" i="22"/>
  <c r="Z293" i="22" s="1"/>
  <c r="Y293" i="22" s="1"/>
  <c r="H305" i="22"/>
  <c r="G305" i="22"/>
  <c r="CC305" i="6" s="1"/>
  <c r="AA305" i="22"/>
  <c r="Z305" i="22" s="1"/>
  <c r="Y305" i="22" s="1"/>
  <c r="G313" i="22"/>
  <c r="CC313" i="6" s="1"/>
  <c r="AA313" i="22"/>
  <c r="Z313" i="22" s="1"/>
  <c r="Y313" i="22" s="1"/>
  <c r="G329" i="22"/>
  <c r="CC329" i="6" s="1"/>
  <c r="AA329" i="22"/>
  <c r="Z329" i="22" s="1"/>
  <c r="Y329" i="22" s="1"/>
  <c r="L67" i="19"/>
  <c r="B333" i="22"/>
  <c r="AA337" i="22"/>
  <c r="Z337" i="22" s="1"/>
  <c r="Y337" i="22" s="1"/>
  <c r="G337" i="22"/>
  <c r="CC337" i="6" s="1"/>
  <c r="G345" i="22"/>
  <c r="CC345" i="6" s="1"/>
  <c r="AA345" i="22"/>
  <c r="Z345" i="22" s="1"/>
  <c r="Y345" i="22" s="1"/>
  <c r="AA349" i="22"/>
  <c r="Z349" i="22" s="1"/>
  <c r="Y349" i="22" s="1"/>
  <c r="G349" i="22"/>
  <c r="CC349" i="6" s="1"/>
  <c r="G353" i="22"/>
  <c r="CC353" i="6" s="1"/>
  <c r="AA353" i="22"/>
  <c r="Z353" i="22" s="1"/>
  <c r="Y353" i="22" s="1"/>
  <c r="G361" i="22"/>
  <c r="CC361" i="6" s="1"/>
  <c r="AA361" i="22"/>
  <c r="Z361" i="22" s="1"/>
  <c r="Y361" i="22" s="1"/>
  <c r="G365" i="22"/>
  <c r="CC365" i="6" s="1"/>
  <c r="AA365" i="22"/>
  <c r="Z365" i="22" s="1"/>
  <c r="Y365" i="22" s="1"/>
  <c r="AA279" i="22"/>
  <c r="Z279" i="22" s="1"/>
  <c r="Y279" i="22" s="1"/>
  <c r="G279" i="22"/>
  <c r="CC279" i="6" s="1"/>
  <c r="H311" i="22"/>
  <c r="AA311" i="22"/>
  <c r="Z311" i="22" s="1"/>
  <c r="Y311" i="22" s="1"/>
  <c r="G311" i="22"/>
  <c r="CC311" i="6" s="1"/>
  <c r="G359" i="22"/>
  <c r="CC359" i="6" s="1"/>
  <c r="AA359" i="22"/>
  <c r="Z359" i="22" s="1"/>
  <c r="Y359" i="22" s="1"/>
  <c r="G367" i="22"/>
  <c r="CC367" i="6" s="1"/>
  <c r="AA367" i="22"/>
  <c r="Z367" i="22" s="1"/>
  <c r="Y367" i="22" s="1"/>
  <c r="AA375" i="22"/>
  <c r="Z375" i="22" s="1"/>
  <c r="Y375" i="22" s="1"/>
  <c r="G375" i="22"/>
  <c r="CC375" i="6" s="1"/>
  <c r="G17" i="22"/>
  <c r="CC17" i="6" s="1"/>
  <c r="AA22" i="22"/>
  <c r="Z22" i="22" s="1"/>
  <c r="Y22" i="22" s="1"/>
  <c r="G22" i="22"/>
  <c r="CC22" i="6" s="1"/>
  <c r="G30" i="22"/>
  <c r="CC30" i="6" s="1"/>
  <c r="AA30" i="22"/>
  <c r="Z30" i="22" s="1"/>
  <c r="Y30" i="22" s="1"/>
  <c r="AA34" i="22"/>
  <c r="Z34" i="22" s="1"/>
  <c r="Y34" i="22" s="1"/>
  <c r="G34" i="22"/>
  <c r="CC34" i="6" s="1"/>
  <c r="G38" i="22"/>
  <c r="CC38" i="6" s="1"/>
  <c r="AA38" i="22"/>
  <c r="Z38" i="22" s="1"/>
  <c r="Y38" i="22" s="1"/>
  <c r="AA42" i="22"/>
  <c r="Z42" i="22" s="1"/>
  <c r="Y42" i="22" s="1"/>
  <c r="G42" i="22"/>
  <c r="CC42" i="6" s="1"/>
  <c r="AA50" i="22"/>
  <c r="Z50" i="22" s="1"/>
  <c r="Y50" i="22" s="1"/>
  <c r="G50" i="22"/>
  <c r="CC50" i="6" s="1"/>
  <c r="G62" i="22"/>
  <c r="CC62" i="6" s="1"/>
  <c r="AA62" i="22"/>
  <c r="Z62" i="22" s="1"/>
  <c r="Y62" i="22" s="1"/>
  <c r="G66" i="22"/>
  <c r="CC66" i="6" s="1"/>
  <c r="AA66" i="22"/>
  <c r="Z66" i="22" s="1"/>
  <c r="Y66" i="22" s="1"/>
  <c r="G70" i="22"/>
  <c r="CC70" i="6" s="1"/>
  <c r="AA70" i="22"/>
  <c r="Z70" i="22" s="1"/>
  <c r="Y70" i="22" s="1"/>
  <c r="AA78" i="22"/>
  <c r="Z78" i="22" s="1"/>
  <c r="Y78" i="22" s="1"/>
  <c r="G78" i="22"/>
  <c r="CC78" i="6" s="1"/>
  <c r="AA82" i="22"/>
  <c r="Z82" i="22" s="1"/>
  <c r="Y82" i="22" s="1"/>
  <c r="G82" i="22"/>
  <c r="CC82" i="6" s="1"/>
  <c r="AA90" i="22"/>
  <c r="Z90" i="22" s="1"/>
  <c r="Y90" i="22" s="1"/>
  <c r="G90" i="22"/>
  <c r="CC90" i="6" s="1"/>
  <c r="AA106" i="22"/>
  <c r="Z106" i="22" s="1"/>
  <c r="Y106" i="22" s="1"/>
  <c r="G106" i="22"/>
  <c r="CC106" i="6" s="1"/>
  <c r="AA110" i="22"/>
  <c r="Z110" i="22" s="1"/>
  <c r="Y110" i="22" s="1"/>
  <c r="G110" i="22"/>
  <c r="CC110" i="6" s="1"/>
  <c r="G114" i="22"/>
  <c r="CC114" i="6" s="1"/>
  <c r="AA114" i="22"/>
  <c r="Z114" i="22" s="1"/>
  <c r="Y114" i="22" s="1"/>
  <c r="G118" i="22"/>
  <c r="CC118" i="6" s="1"/>
  <c r="AA118" i="22"/>
  <c r="Z118" i="22" s="1"/>
  <c r="Y118" i="22" s="1"/>
  <c r="G122" i="22"/>
  <c r="CC122" i="6" s="1"/>
  <c r="AA122" i="22"/>
  <c r="Z122" i="22" s="1"/>
  <c r="Y122" i="22" s="1"/>
  <c r="AA130" i="22"/>
  <c r="Z130" i="22" s="1"/>
  <c r="Y130" i="22" s="1"/>
  <c r="G130" i="22"/>
  <c r="CC130" i="6" s="1"/>
  <c r="G134" i="22"/>
  <c r="CC134" i="6" s="1"/>
  <c r="AA134" i="22"/>
  <c r="Z134" i="22" s="1"/>
  <c r="Y134" i="22" s="1"/>
  <c r="G146" i="22"/>
  <c r="CC146" i="6" s="1"/>
  <c r="AA146" i="22"/>
  <c r="Z146" i="22" s="1"/>
  <c r="Y146" i="22" s="1"/>
  <c r="G154" i="22"/>
  <c r="CC154" i="6" s="1"/>
  <c r="AA154" i="22"/>
  <c r="Z154" i="22" s="1"/>
  <c r="Y154" i="22" s="1"/>
  <c r="G158" i="22"/>
  <c r="CC158" i="6" s="1"/>
  <c r="AA158" i="22"/>
  <c r="Z158" i="22" s="1"/>
  <c r="Y158" i="22" s="1"/>
  <c r="AA162" i="22"/>
  <c r="Z162" i="22" s="1"/>
  <c r="Y162" i="22" s="1"/>
  <c r="G162" i="22"/>
  <c r="CC162" i="6" s="1"/>
  <c r="AA166" i="22"/>
  <c r="Z166" i="22" s="1"/>
  <c r="Y166" i="22" s="1"/>
  <c r="G166" i="22"/>
  <c r="CC166" i="6" s="1"/>
  <c r="AA170" i="22"/>
  <c r="Z170" i="22" s="1"/>
  <c r="Y170" i="22" s="1"/>
  <c r="G170" i="22"/>
  <c r="CC170" i="6" s="1"/>
  <c r="AA174" i="22"/>
  <c r="Z174" i="22" s="1"/>
  <c r="Y174" i="22" s="1"/>
  <c r="G174" i="22"/>
  <c r="CC174" i="6" s="1"/>
  <c r="AA182" i="22"/>
  <c r="Z182" i="22" s="1"/>
  <c r="Y182" i="22" s="1"/>
  <c r="G182" i="22"/>
  <c r="CC182" i="6" s="1"/>
  <c r="G198" i="22"/>
  <c r="CC198" i="6" s="1"/>
  <c r="AA198" i="22"/>
  <c r="Z198" i="22" s="1"/>
  <c r="Y198" i="22" s="1"/>
  <c r="AA202" i="22"/>
  <c r="Z202" i="22" s="1"/>
  <c r="Y202" i="22" s="1"/>
  <c r="H202" i="22"/>
  <c r="G202" i="22"/>
  <c r="CC202" i="6" s="1"/>
  <c r="AA218" i="22"/>
  <c r="Z218" i="22" s="1"/>
  <c r="Y218" i="22" s="1"/>
  <c r="G218" i="22"/>
  <c r="CC218" i="6" s="1"/>
  <c r="G250" i="22"/>
  <c r="CC250" i="6" s="1"/>
  <c r="AA250" i="22"/>
  <c r="Z250" i="22" s="1"/>
  <c r="Y250" i="22" s="1"/>
  <c r="AA254" i="22"/>
  <c r="Z254" i="22" s="1"/>
  <c r="Y254" i="22" s="1"/>
  <c r="G254" i="22"/>
  <c r="CC254" i="6" s="1"/>
  <c r="G258" i="22"/>
  <c r="CC258" i="6" s="1"/>
  <c r="AA258" i="22"/>
  <c r="Z258" i="22" s="1"/>
  <c r="Y258" i="22" s="1"/>
  <c r="G262" i="22"/>
  <c r="CC262" i="6" s="1"/>
  <c r="AA262" i="22"/>
  <c r="Z262" i="22" s="1"/>
  <c r="Y262" i="22" s="1"/>
  <c r="G298" i="22"/>
  <c r="CC298" i="6" s="1"/>
  <c r="AA298" i="22"/>
  <c r="Z298" i="22" s="1"/>
  <c r="Y298" i="22" s="1"/>
  <c r="K67" i="19"/>
  <c r="B302" i="22"/>
  <c r="H306" i="22"/>
  <c r="G306" i="22"/>
  <c r="CC306" i="6" s="1"/>
  <c r="AA306" i="22"/>
  <c r="Z306" i="22" s="1"/>
  <c r="Y306" i="22" s="1"/>
  <c r="G310" i="22"/>
  <c r="CC310" i="6" s="1"/>
  <c r="H310" i="22"/>
  <c r="AA310" i="22"/>
  <c r="Z310" i="22" s="1"/>
  <c r="Y310" i="22" s="1"/>
  <c r="AA318" i="22"/>
  <c r="Z318" i="22" s="1"/>
  <c r="Y318" i="22" s="1"/>
  <c r="G318" i="22"/>
  <c r="CC318" i="6" s="1"/>
  <c r="AA322" i="22"/>
  <c r="Z322" i="22" s="1"/>
  <c r="Y322" i="22" s="1"/>
  <c r="G322" i="22"/>
  <c r="CC322" i="6" s="1"/>
  <c r="AA326" i="22"/>
  <c r="Z326" i="22" s="1"/>
  <c r="Y326" i="22" s="1"/>
  <c r="G326" i="22"/>
  <c r="CC326" i="6" s="1"/>
  <c r="AA330" i="22"/>
  <c r="Z330" i="22" s="1"/>
  <c r="Y330" i="22" s="1"/>
  <c r="G330" i="22"/>
  <c r="CC330" i="6" s="1"/>
  <c r="G334" i="22"/>
  <c r="CC334" i="6" s="1"/>
  <c r="H334" i="22"/>
  <c r="AA334" i="22"/>
  <c r="Z334" i="22" s="1"/>
  <c r="Y334" i="22" s="1"/>
  <c r="AA338" i="22"/>
  <c r="Z338" i="22" s="1"/>
  <c r="Y338" i="22" s="1"/>
  <c r="G338" i="22"/>
  <c r="CC338" i="6" s="1"/>
  <c r="H342" i="22"/>
  <c r="G342" i="22"/>
  <c r="CC342" i="6" s="1"/>
  <c r="AA342" i="22"/>
  <c r="Z342" i="22" s="1"/>
  <c r="Y342" i="22" s="1"/>
  <c r="AA350" i="22"/>
  <c r="Z350" i="22" s="1"/>
  <c r="Y350" i="22" s="1"/>
  <c r="G350" i="22"/>
  <c r="CC350" i="6" s="1"/>
  <c r="AA358" i="22"/>
  <c r="Z358" i="22" s="1"/>
  <c r="Y358" i="22" s="1"/>
  <c r="G358" i="22"/>
  <c r="CC358" i="6" s="1"/>
  <c r="W380" i="22"/>
  <c r="D380" i="22"/>
  <c r="E380" i="22" s="1"/>
  <c r="F380" i="22" s="1"/>
  <c r="AA370" i="22"/>
  <c r="Z370" i="22" s="1"/>
  <c r="Y370" i="22" s="1"/>
  <c r="G370" i="22"/>
  <c r="CC370" i="6" s="1"/>
  <c r="G374" i="22"/>
  <c r="CC374" i="6" s="1"/>
  <c r="AA374" i="22"/>
  <c r="Z374" i="22" s="1"/>
  <c r="Y374" i="22" s="1"/>
  <c r="AA378" i="22"/>
  <c r="Z378" i="22" s="1"/>
  <c r="Y378" i="22" s="1"/>
  <c r="G378" i="22"/>
  <c r="CC378" i="6" s="1"/>
  <c r="AA23" i="22"/>
  <c r="Z23" i="22" s="1"/>
  <c r="Y23" i="22" s="1"/>
  <c r="G23" i="22"/>
  <c r="CC23" i="6" s="1"/>
  <c r="AA27" i="22"/>
  <c r="Z27" i="22" s="1"/>
  <c r="Y27" i="22" s="1"/>
  <c r="G27" i="22"/>
  <c r="CC27" i="6" s="1"/>
  <c r="G31" i="22"/>
  <c r="CC31" i="6" s="1"/>
  <c r="AA31" i="22"/>
  <c r="Z31" i="22" s="1"/>
  <c r="Y31" i="22" s="1"/>
  <c r="AA35" i="22"/>
  <c r="Z35" i="22" s="1"/>
  <c r="Y35" i="22" s="1"/>
  <c r="G35" i="22"/>
  <c r="CC35" i="6" s="1"/>
  <c r="AA47" i="22"/>
  <c r="Z47" i="22" s="1"/>
  <c r="Y47" i="22" s="1"/>
  <c r="G47" i="22"/>
  <c r="CC47" i="6" s="1"/>
  <c r="G51" i="22"/>
  <c r="CC51" i="6" s="1"/>
  <c r="AA51" i="22"/>
  <c r="Z51" i="22" s="1"/>
  <c r="Y51" i="22" s="1"/>
  <c r="G67" i="22"/>
  <c r="CC67" i="6" s="1"/>
  <c r="AA67" i="22"/>
  <c r="Z67" i="22" s="1"/>
  <c r="Y67" i="22" s="1"/>
  <c r="AA71" i="22"/>
  <c r="Z71" i="22" s="1"/>
  <c r="Y71" i="22" s="1"/>
  <c r="G71" i="22"/>
  <c r="CC71" i="6" s="1"/>
  <c r="G75" i="22"/>
  <c r="CC75" i="6" s="1"/>
  <c r="AA75" i="22"/>
  <c r="Z75" i="22" s="1"/>
  <c r="Y75" i="22" s="1"/>
  <c r="AA79" i="22"/>
  <c r="Z79" i="22" s="1"/>
  <c r="Y79" i="22" s="1"/>
  <c r="G79" i="22"/>
  <c r="CC79" i="6" s="1"/>
  <c r="AA91" i="22"/>
  <c r="Z91" i="22" s="1"/>
  <c r="Y91" i="22" s="1"/>
  <c r="G91" i="22"/>
  <c r="CC91" i="6" s="1"/>
  <c r="AA107" i="22"/>
  <c r="Z107" i="22" s="1"/>
  <c r="Y107" i="22" s="1"/>
  <c r="G107" i="22"/>
  <c r="CC107" i="6" s="1"/>
  <c r="AA111" i="22"/>
  <c r="Z111" i="22" s="1"/>
  <c r="Y111" i="22" s="1"/>
  <c r="G111" i="22"/>
  <c r="CC111" i="6" s="1"/>
  <c r="AA115" i="22"/>
  <c r="Z115" i="22" s="1"/>
  <c r="Y115" i="22" s="1"/>
  <c r="G115" i="22"/>
  <c r="CC115" i="6" s="1"/>
  <c r="G123" i="22"/>
  <c r="CC123" i="6" s="1"/>
  <c r="AA123" i="22"/>
  <c r="Z123" i="22" s="1"/>
  <c r="Y123" i="22" s="1"/>
  <c r="AA127" i="22"/>
  <c r="Z127" i="22" s="1"/>
  <c r="Y127" i="22" s="1"/>
  <c r="G127" i="22"/>
  <c r="CC127" i="6" s="1"/>
  <c r="AA135" i="22"/>
  <c r="Z135" i="22" s="1"/>
  <c r="Y135" i="22" s="1"/>
  <c r="G135" i="22"/>
  <c r="CC135" i="6" s="1"/>
  <c r="G151" i="22"/>
  <c r="CC151" i="6" s="1"/>
  <c r="AA151" i="22"/>
  <c r="Z151" i="22" s="1"/>
  <c r="Y151" i="22" s="1"/>
  <c r="AA155" i="22"/>
  <c r="Z155" i="22" s="1"/>
  <c r="Y155" i="22" s="1"/>
  <c r="G155" i="22"/>
  <c r="CC155" i="6" s="1"/>
  <c r="AA167" i="22"/>
  <c r="Z167" i="22" s="1"/>
  <c r="Y167" i="22" s="1"/>
  <c r="G167" i="22"/>
  <c r="CC167" i="6" s="1"/>
  <c r="AA171" i="22"/>
  <c r="Z171" i="22" s="1"/>
  <c r="Y171" i="22" s="1"/>
  <c r="G171" i="22"/>
  <c r="CC171" i="6" s="1"/>
  <c r="AA175" i="22"/>
  <c r="Z175" i="22" s="1"/>
  <c r="Y175" i="22" s="1"/>
  <c r="G175" i="22"/>
  <c r="CC175" i="6" s="1"/>
  <c r="AA179" i="22"/>
  <c r="Z179" i="22" s="1"/>
  <c r="Y179" i="22" s="1"/>
  <c r="G179" i="22"/>
  <c r="CC179" i="6" s="1"/>
  <c r="AA183" i="22"/>
  <c r="Z183" i="22" s="1"/>
  <c r="Y183" i="22" s="1"/>
  <c r="G183" i="22"/>
  <c r="CC183" i="6" s="1"/>
  <c r="G187" i="22"/>
  <c r="CC187" i="6" s="1"/>
  <c r="AA187" i="22"/>
  <c r="Z187" i="22" s="1"/>
  <c r="Y187" i="22" s="1"/>
  <c r="AA191" i="22"/>
  <c r="Z191" i="22" s="1"/>
  <c r="Y191" i="22" s="1"/>
  <c r="H191" i="22"/>
  <c r="G191" i="22"/>
  <c r="CC191" i="6" s="1"/>
  <c r="AA195" i="22"/>
  <c r="Z195" i="22" s="1"/>
  <c r="Y195" i="22" s="1"/>
  <c r="G195" i="22"/>
  <c r="CC195" i="6" s="1"/>
  <c r="AA199" i="22"/>
  <c r="Z199" i="22" s="1"/>
  <c r="Y199" i="22" s="1"/>
  <c r="H199" i="22"/>
  <c r="G199" i="22"/>
  <c r="CC199" i="6" s="1"/>
  <c r="AA203" i="22"/>
  <c r="Z203" i="22" s="1"/>
  <c r="Y203" i="22" s="1"/>
  <c r="G203" i="22"/>
  <c r="CC203" i="6" s="1"/>
  <c r="G211" i="22"/>
  <c r="CC211" i="6" s="1"/>
  <c r="AA211" i="22"/>
  <c r="Z211" i="22" s="1"/>
  <c r="Y211" i="22" s="1"/>
  <c r="G219" i="22"/>
  <c r="CC219" i="6" s="1"/>
  <c r="AA219" i="22"/>
  <c r="Z219" i="22" s="1"/>
  <c r="Y219" i="22" s="1"/>
  <c r="G227" i="22"/>
  <c r="CC227" i="6" s="1"/>
  <c r="AA227" i="22"/>
  <c r="Z227" i="22" s="1"/>
  <c r="Y227" i="22" s="1"/>
  <c r="AA247" i="22"/>
  <c r="Z247" i="22" s="1"/>
  <c r="Y247" i="22" s="1"/>
  <c r="G247" i="22"/>
  <c r="CC247" i="6" s="1"/>
  <c r="G271" i="22"/>
  <c r="CC271" i="6" s="1"/>
  <c r="AA271" i="22"/>
  <c r="Z271" i="22" s="1"/>
  <c r="Y271" i="22" s="1"/>
  <c r="AA291" i="22"/>
  <c r="Z291" i="22" s="1"/>
  <c r="Y291" i="22" s="1"/>
  <c r="G291" i="22"/>
  <c r="CC291" i="6" s="1"/>
  <c r="AA295" i="22"/>
  <c r="Z295" i="22" s="1"/>
  <c r="Y295" i="22" s="1"/>
  <c r="G295" i="22"/>
  <c r="CC295" i="6" s="1"/>
  <c r="AA307" i="22"/>
  <c r="Z307" i="22" s="1"/>
  <c r="Y307" i="22" s="1"/>
  <c r="G307" i="22"/>
  <c r="CC307" i="6" s="1"/>
  <c r="AA323" i="22"/>
  <c r="Z323" i="22" s="1"/>
  <c r="Y323" i="22" s="1"/>
  <c r="G323" i="22"/>
  <c r="CC323" i="6" s="1"/>
  <c r="AA331" i="22"/>
  <c r="Z331" i="22" s="1"/>
  <c r="Y331" i="22" s="1"/>
  <c r="G331" i="22"/>
  <c r="CC331" i="6" s="1"/>
  <c r="M67" i="19"/>
  <c r="B363" i="22"/>
  <c r="S16" i="23"/>
  <c r="R16" i="23" s="1"/>
  <c r="P16" i="23" s="1"/>
  <c r="V16" i="23" s="1"/>
  <c r="B16" i="23" s="1"/>
  <c r="S22" i="23"/>
  <c r="R22" i="23" s="1"/>
  <c r="P22" i="23" s="1"/>
  <c r="V22" i="23" s="1"/>
  <c r="B22" i="23" s="1"/>
  <c r="S26" i="23"/>
  <c r="R26" i="23" s="1"/>
  <c r="P26" i="23" s="1"/>
  <c r="V26" i="23" s="1"/>
  <c r="B26" i="23" s="1"/>
  <c r="S30" i="23"/>
  <c r="R30" i="23" s="1"/>
  <c r="P30" i="23" s="1"/>
  <c r="V30" i="23" s="1"/>
  <c r="B30" i="23" s="1"/>
  <c r="S34" i="23"/>
  <c r="R34" i="23" s="1"/>
  <c r="P34" i="23" s="1"/>
  <c r="V34" i="23" s="1"/>
  <c r="B34" i="23" s="1"/>
  <c r="AD15" i="22"/>
  <c r="AG21" i="23"/>
  <c r="AF21" i="23" s="1"/>
  <c r="AD21" i="23" s="1"/>
  <c r="AG23" i="23"/>
  <c r="AF23" i="23" s="1"/>
  <c r="AD23" i="23" s="1"/>
  <c r="AG25" i="23"/>
  <c r="AF25" i="23" s="1"/>
  <c r="AD25" i="23" s="1"/>
  <c r="AG27" i="23"/>
  <c r="AF27" i="23" s="1"/>
  <c r="AD27" i="23" s="1"/>
  <c r="AG29" i="23"/>
  <c r="AF29" i="23" s="1"/>
  <c r="AD29" i="23" s="1"/>
  <c r="AG31" i="23"/>
  <c r="AF31" i="23" s="1"/>
  <c r="AD31" i="23" s="1"/>
  <c r="AG33" i="23"/>
  <c r="AF33" i="23" s="1"/>
  <c r="AD33" i="23" s="1"/>
  <c r="AG35" i="23"/>
  <c r="AF35" i="23" s="1"/>
  <c r="AD35" i="23" s="1"/>
  <c r="AG37" i="23"/>
  <c r="AF37" i="23" s="1"/>
  <c r="AD37" i="23" s="1"/>
  <c r="AG39" i="23"/>
  <c r="AF39" i="23" s="1"/>
  <c r="AD39" i="23" s="1"/>
  <c r="AG41" i="23"/>
  <c r="AF41" i="23" s="1"/>
  <c r="AD41" i="23" s="1"/>
  <c r="AG43" i="23"/>
  <c r="AF43" i="23" s="1"/>
  <c r="AD43" i="23" s="1"/>
  <c r="AG45" i="23"/>
  <c r="AF45" i="23" s="1"/>
  <c r="AD45" i="23" s="1"/>
  <c r="AG47" i="23"/>
  <c r="AF47" i="23" s="1"/>
  <c r="AD47" i="23" s="1"/>
  <c r="AG49" i="23"/>
  <c r="AF49" i="23" s="1"/>
  <c r="AD49" i="23" s="1"/>
  <c r="AG51" i="23"/>
  <c r="AF51" i="23" s="1"/>
  <c r="AD51" i="23" s="1"/>
  <c r="AG53" i="23"/>
  <c r="AF53" i="23" s="1"/>
  <c r="AD53" i="23" s="1"/>
  <c r="AG55" i="23"/>
  <c r="AF55" i="23" s="1"/>
  <c r="AD55" i="23" s="1"/>
  <c r="AG57" i="23"/>
  <c r="AF57" i="23" s="1"/>
  <c r="AD57" i="23" s="1"/>
  <c r="AG59" i="23"/>
  <c r="AF59" i="23" s="1"/>
  <c r="AD59" i="23" s="1"/>
  <c r="AG61" i="23"/>
  <c r="AF61" i="23" s="1"/>
  <c r="AD61" i="23" s="1"/>
  <c r="AG63" i="23"/>
  <c r="AF63" i="23" s="1"/>
  <c r="AD63" i="23" s="1"/>
  <c r="AG65" i="23"/>
  <c r="AF65" i="23" s="1"/>
  <c r="AD65" i="23" s="1"/>
  <c r="AG67" i="23"/>
  <c r="AF67" i="23" s="1"/>
  <c r="AD67" i="23" s="1"/>
  <c r="AG69" i="23"/>
  <c r="AF69" i="23" s="1"/>
  <c r="AD69" i="23" s="1"/>
  <c r="AG71" i="23"/>
  <c r="AF71" i="23" s="1"/>
  <c r="AD71" i="23" s="1"/>
  <c r="AG73" i="23"/>
  <c r="AF73" i="23" s="1"/>
  <c r="AD73" i="23" s="1"/>
  <c r="AG75" i="23"/>
  <c r="AF75" i="23" s="1"/>
  <c r="AD75" i="23" s="1"/>
  <c r="AG77" i="23"/>
  <c r="AF77" i="23" s="1"/>
  <c r="AD77" i="23" s="1"/>
  <c r="AG79" i="23"/>
  <c r="AF79" i="23" s="1"/>
  <c r="AD79" i="23" s="1"/>
  <c r="AG81" i="23"/>
  <c r="AF81" i="23" s="1"/>
  <c r="AD81" i="23" s="1"/>
  <c r="AG83" i="23"/>
  <c r="AF83" i="23" s="1"/>
  <c r="AD83" i="23" s="1"/>
  <c r="AG85" i="23"/>
  <c r="AF85" i="23" s="1"/>
  <c r="AD85" i="23" s="1"/>
  <c r="AG87" i="23"/>
  <c r="AF87" i="23" s="1"/>
  <c r="AD87" i="23" s="1"/>
  <c r="AG89" i="23"/>
  <c r="AF89" i="23" s="1"/>
  <c r="AD89" i="23" s="1"/>
  <c r="AG91" i="23"/>
  <c r="AF91" i="23" s="1"/>
  <c r="AD91" i="23" s="1"/>
  <c r="AG93" i="23"/>
  <c r="AF93" i="23" s="1"/>
  <c r="AD93" i="23" s="1"/>
  <c r="AG95" i="23"/>
  <c r="AF95" i="23" s="1"/>
  <c r="AD95" i="23" s="1"/>
  <c r="AG97" i="23"/>
  <c r="AF97" i="23" s="1"/>
  <c r="AD97" i="23" s="1"/>
  <c r="AG99" i="23"/>
  <c r="AF99" i="23" s="1"/>
  <c r="AD99" i="23" s="1"/>
  <c r="AG101" i="23"/>
  <c r="AF101" i="23" s="1"/>
  <c r="AD101" i="23" s="1"/>
  <c r="AG103" i="23"/>
  <c r="AF103" i="23" s="1"/>
  <c r="AD103" i="23" s="1"/>
  <c r="AG105" i="23"/>
  <c r="AF105" i="23" s="1"/>
  <c r="AD105" i="23" s="1"/>
  <c r="AG107" i="23"/>
  <c r="AF107" i="23" s="1"/>
  <c r="AD107" i="23" s="1"/>
  <c r="AG109" i="23"/>
  <c r="AF109" i="23" s="1"/>
  <c r="AD109" i="23" s="1"/>
  <c r="AG111" i="23"/>
  <c r="AF111" i="23" s="1"/>
  <c r="AD111" i="23" s="1"/>
  <c r="AG113" i="23"/>
  <c r="AF113" i="23" s="1"/>
  <c r="AD113" i="23" s="1"/>
  <c r="AG115" i="23"/>
  <c r="AF115" i="23" s="1"/>
  <c r="AD115" i="23" s="1"/>
  <c r="AG117" i="23"/>
  <c r="AF117" i="23" s="1"/>
  <c r="AD117" i="23" s="1"/>
  <c r="AG119" i="23"/>
  <c r="AF119" i="23" s="1"/>
  <c r="AD119" i="23" s="1"/>
  <c r="AG121" i="23"/>
  <c r="AF121" i="23" s="1"/>
  <c r="AD121" i="23" s="1"/>
  <c r="AG123" i="23"/>
  <c r="AF123" i="23" s="1"/>
  <c r="AD123" i="23" s="1"/>
  <c r="AG125" i="23"/>
  <c r="AF125" i="23" s="1"/>
  <c r="AD125" i="23" s="1"/>
  <c r="AG127" i="23"/>
  <c r="AF127" i="23" s="1"/>
  <c r="AD127" i="23" s="1"/>
  <c r="AG129" i="23"/>
  <c r="AF129" i="23" s="1"/>
  <c r="AD129" i="23" s="1"/>
  <c r="AG131" i="23"/>
  <c r="AF131" i="23" s="1"/>
  <c r="AD131" i="23" s="1"/>
  <c r="AG133" i="23"/>
  <c r="AF133" i="23" s="1"/>
  <c r="AD133" i="23" s="1"/>
  <c r="AG135" i="23"/>
  <c r="AF135" i="23" s="1"/>
  <c r="AD135" i="23" s="1"/>
  <c r="AG137" i="23"/>
  <c r="AF137" i="23" s="1"/>
  <c r="AD137" i="23" s="1"/>
  <c r="AG139" i="23"/>
  <c r="AF139" i="23" s="1"/>
  <c r="AD139" i="23" s="1"/>
  <c r="AG141" i="23"/>
  <c r="AF141" i="23" s="1"/>
  <c r="AD141" i="23" s="1"/>
  <c r="AG143" i="23"/>
  <c r="AF143" i="23" s="1"/>
  <c r="AD143" i="23" s="1"/>
  <c r="AG145" i="23"/>
  <c r="AF145" i="23" s="1"/>
  <c r="AD145" i="23" s="1"/>
  <c r="AG147" i="23"/>
  <c r="AF147" i="23" s="1"/>
  <c r="AD147" i="23" s="1"/>
  <c r="AG149" i="23"/>
  <c r="AF149" i="23" s="1"/>
  <c r="AD149" i="23" s="1"/>
  <c r="AG151" i="23"/>
  <c r="AF151" i="23" s="1"/>
  <c r="AD151" i="23" s="1"/>
  <c r="AG153" i="23"/>
  <c r="AF153" i="23" s="1"/>
  <c r="AD153" i="23" s="1"/>
  <c r="AG155" i="23"/>
  <c r="AF155" i="23" s="1"/>
  <c r="AD155" i="23" s="1"/>
  <c r="AG157" i="23"/>
  <c r="AF157" i="23" s="1"/>
  <c r="AD157" i="23" s="1"/>
  <c r="AG159" i="23"/>
  <c r="AF159" i="23" s="1"/>
  <c r="AD159" i="23" s="1"/>
  <c r="AG161" i="23"/>
  <c r="AF161" i="23" s="1"/>
  <c r="AD161" i="23" s="1"/>
  <c r="AG163" i="23"/>
  <c r="AF163" i="23" s="1"/>
  <c r="AD163" i="23" s="1"/>
  <c r="AG165" i="23"/>
  <c r="AF165" i="23" s="1"/>
  <c r="AD165" i="23" s="1"/>
  <c r="AG167" i="23"/>
  <c r="AF167" i="23" s="1"/>
  <c r="AD167" i="23" s="1"/>
  <c r="AG169" i="23"/>
  <c r="AF169" i="23" s="1"/>
  <c r="AD169" i="23" s="1"/>
  <c r="AG171" i="23"/>
  <c r="AF171" i="23" s="1"/>
  <c r="AD171" i="23" s="1"/>
  <c r="AG173" i="23"/>
  <c r="AF173" i="23" s="1"/>
  <c r="AD173" i="23" s="1"/>
  <c r="AG175" i="23"/>
  <c r="AF175" i="23" s="1"/>
  <c r="AD175" i="23" s="1"/>
  <c r="AG177" i="23"/>
  <c r="AF177" i="23" s="1"/>
  <c r="AD177" i="23" s="1"/>
  <c r="AG179" i="23"/>
  <c r="AF179" i="23" s="1"/>
  <c r="AD179" i="23" s="1"/>
  <c r="AG181" i="23"/>
  <c r="AF181" i="23" s="1"/>
  <c r="AD181" i="23" s="1"/>
  <c r="AG183" i="23"/>
  <c r="AF183" i="23" s="1"/>
  <c r="AD183" i="23" s="1"/>
  <c r="AG185" i="23"/>
  <c r="AF185" i="23" s="1"/>
  <c r="AD185" i="23" s="1"/>
  <c r="AG187" i="23"/>
  <c r="AF187" i="23" s="1"/>
  <c r="AD187" i="23" s="1"/>
  <c r="AG189" i="23"/>
  <c r="AF189" i="23" s="1"/>
  <c r="AD189" i="23" s="1"/>
  <c r="AG191" i="23"/>
  <c r="AF191" i="23" s="1"/>
  <c r="AD191" i="23" s="1"/>
  <c r="AG193" i="23"/>
  <c r="AF193" i="23" s="1"/>
  <c r="AD193" i="23" s="1"/>
  <c r="AG195" i="23"/>
  <c r="AF195" i="23" s="1"/>
  <c r="AD195" i="23" s="1"/>
  <c r="AG197" i="23"/>
  <c r="AF197" i="23" s="1"/>
  <c r="AD197" i="23" s="1"/>
  <c r="AG199" i="23"/>
  <c r="AF199" i="23" s="1"/>
  <c r="AD199" i="23" s="1"/>
  <c r="AG201" i="23"/>
  <c r="AF201" i="23" s="1"/>
  <c r="AD201" i="23" s="1"/>
  <c r="AG203" i="23"/>
  <c r="AF203" i="23" s="1"/>
  <c r="AD203" i="23" s="1"/>
  <c r="AG205" i="23"/>
  <c r="AF205" i="23" s="1"/>
  <c r="AD205" i="23" s="1"/>
  <c r="AG207" i="23"/>
  <c r="AF207" i="23" s="1"/>
  <c r="AD207" i="23" s="1"/>
  <c r="AG209" i="23"/>
  <c r="AF209" i="23" s="1"/>
  <c r="AD209" i="23" s="1"/>
  <c r="AG211" i="23"/>
  <c r="AF211" i="23" s="1"/>
  <c r="AD211" i="23" s="1"/>
  <c r="AG213" i="23"/>
  <c r="AF213" i="23" s="1"/>
  <c r="AD213" i="23" s="1"/>
  <c r="AG215" i="23"/>
  <c r="AF215" i="23" s="1"/>
  <c r="AD215" i="23" s="1"/>
  <c r="AG217" i="23"/>
  <c r="AF217" i="23" s="1"/>
  <c r="AD217" i="23" s="1"/>
  <c r="AG219" i="23"/>
  <c r="AF219" i="23" s="1"/>
  <c r="AD219" i="23" s="1"/>
  <c r="AG221" i="23"/>
  <c r="AF221" i="23" s="1"/>
  <c r="AD221" i="23" s="1"/>
  <c r="AG223" i="23"/>
  <c r="AF223" i="23" s="1"/>
  <c r="AD223" i="23" s="1"/>
  <c r="AG225" i="23"/>
  <c r="AF225" i="23" s="1"/>
  <c r="AD225" i="23" s="1"/>
  <c r="AG227" i="23"/>
  <c r="AF227" i="23" s="1"/>
  <c r="AD227" i="23" s="1"/>
  <c r="AG229" i="23"/>
  <c r="AF229" i="23" s="1"/>
  <c r="AD229" i="23" s="1"/>
  <c r="AG231" i="23"/>
  <c r="AF231" i="23" s="1"/>
  <c r="AD231" i="23" s="1"/>
  <c r="AG233" i="23"/>
  <c r="AF233" i="23" s="1"/>
  <c r="AD233" i="23" s="1"/>
  <c r="AG235" i="23"/>
  <c r="AF235" i="23" s="1"/>
  <c r="AD235" i="23" s="1"/>
  <c r="AG237" i="23"/>
  <c r="AF237" i="23" s="1"/>
  <c r="AD237" i="23" s="1"/>
  <c r="AG239" i="23"/>
  <c r="AF239" i="23" s="1"/>
  <c r="AD239" i="23" s="1"/>
  <c r="AG241" i="23"/>
  <c r="AF241" i="23" s="1"/>
  <c r="AD241" i="23" s="1"/>
  <c r="AG243" i="23"/>
  <c r="AF243" i="23" s="1"/>
  <c r="AD243" i="23" s="1"/>
  <c r="AG245" i="23"/>
  <c r="AF245" i="23" s="1"/>
  <c r="AD245" i="23" s="1"/>
  <c r="AG247" i="23"/>
  <c r="AF247" i="23" s="1"/>
  <c r="AD247" i="23" s="1"/>
  <c r="AG249" i="23"/>
  <c r="AF249" i="23" s="1"/>
  <c r="AD249" i="23" s="1"/>
  <c r="AG251" i="23"/>
  <c r="AF251" i="23" s="1"/>
  <c r="AD251" i="23" s="1"/>
  <c r="AG253" i="23"/>
  <c r="AF253" i="23" s="1"/>
  <c r="AD253" i="23" s="1"/>
  <c r="AG255" i="23"/>
  <c r="AF255" i="23" s="1"/>
  <c r="AD255" i="23" s="1"/>
  <c r="AG257" i="23"/>
  <c r="AF257" i="23" s="1"/>
  <c r="AD257" i="23" s="1"/>
  <c r="AG259" i="23"/>
  <c r="AF259" i="23" s="1"/>
  <c r="AD259" i="23" s="1"/>
  <c r="AG261" i="23"/>
  <c r="AF261" i="23" s="1"/>
  <c r="AD261" i="23" s="1"/>
  <c r="AG263" i="23"/>
  <c r="AF263" i="23" s="1"/>
  <c r="AD263" i="23" s="1"/>
  <c r="AG265" i="23"/>
  <c r="AF265" i="23" s="1"/>
  <c r="AD265" i="23" s="1"/>
  <c r="AG267" i="23"/>
  <c r="AF267" i="23" s="1"/>
  <c r="AD267" i="23" s="1"/>
  <c r="AG269" i="23"/>
  <c r="AF269" i="23" s="1"/>
  <c r="AD269" i="23" s="1"/>
  <c r="AG271" i="23"/>
  <c r="AF271" i="23" s="1"/>
  <c r="AD271" i="23" s="1"/>
  <c r="AG273" i="23"/>
  <c r="AF273" i="23" s="1"/>
  <c r="AD273" i="23" s="1"/>
  <c r="AG275" i="23"/>
  <c r="AF275" i="23" s="1"/>
  <c r="AD275" i="23" s="1"/>
  <c r="AG277" i="23"/>
  <c r="AF277" i="23" s="1"/>
  <c r="AD277" i="23" s="1"/>
  <c r="AG279" i="23"/>
  <c r="AF279" i="23" s="1"/>
  <c r="AD279" i="23" s="1"/>
  <c r="AG281" i="23"/>
  <c r="AF281" i="23" s="1"/>
  <c r="AD281" i="23" s="1"/>
  <c r="AG283" i="23"/>
  <c r="AF283" i="23" s="1"/>
  <c r="AD283" i="23" s="1"/>
  <c r="AG285" i="23"/>
  <c r="AF285" i="23" s="1"/>
  <c r="AD285" i="23" s="1"/>
  <c r="AG287" i="23"/>
  <c r="AF287" i="23" s="1"/>
  <c r="AD287" i="23" s="1"/>
  <c r="AG289" i="23"/>
  <c r="AF289" i="23" s="1"/>
  <c r="AD289" i="23" s="1"/>
  <c r="AG291" i="23"/>
  <c r="AF291" i="23" s="1"/>
  <c r="AD291" i="23" s="1"/>
  <c r="AG293" i="23"/>
  <c r="AF293" i="23" s="1"/>
  <c r="AD293" i="23" s="1"/>
  <c r="AG295" i="23"/>
  <c r="AF295" i="23" s="1"/>
  <c r="AD295" i="23" s="1"/>
  <c r="AG297" i="23"/>
  <c r="AF297" i="23" s="1"/>
  <c r="AD297" i="23" s="1"/>
  <c r="AG299" i="23"/>
  <c r="AF299" i="23" s="1"/>
  <c r="AD299" i="23" s="1"/>
  <c r="AG301" i="23"/>
  <c r="AF301" i="23" s="1"/>
  <c r="AD301" i="23" s="1"/>
  <c r="AG303" i="23"/>
  <c r="AF303" i="23" s="1"/>
  <c r="AD303" i="23" s="1"/>
  <c r="AG305" i="23"/>
  <c r="AF305" i="23" s="1"/>
  <c r="AD305" i="23" s="1"/>
  <c r="AG307" i="23"/>
  <c r="AF307" i="23" s="1"/>
  <c r="AD307" i="23" s="1"/>
  <c r="AG309" i="23"/>
  <c r="AF309" i="23" s="1"/>
  <c r="AD309" i="23" s="1"/>
  <c r="AG311" i="23"/>
  <c r="AF311" i="23" s="1"/>
  <c r="AD311" i="23" s="1"/>
  <c r="AG313" i="23"/>
  <c r="AF313" i="23" s="1"/>
  <c r="AD313" i="23" s="1"/>
  <c r="AG315" i="23"/>
  <c r="AF315" i="23" s="1"/>
  <c r="AD315" i="23" s="1"/>
  <c r="AG317" i="23"/>
  <c r="AF317" i="23" s="1"/>
  <c r="AD317" i="23" s="1"/>
  <c r="AG319" i="23"/>
  <c r="AF319" i="23" s="1"/>
  <c r="AD319" i="23" s="1"/>
  <c r="AG321" i="23"/>
  <c r="AF321" i="23" s="1"/>
  <c r="AD321" i="23" s="1"/>
  <c r="AG323" i="23"/>
  <c r="AF323" i="23" s="1"/>
  <c r="AD323" i="23" s="1"/>
  <c r="AG325" i="23"/>
  <c r="AF325" i="23" s="1"/>
  <c r="AD325" i="23" s="1"/>
  <c r="AG327" i="23"/>
  <c r="AF327" i="23" s="1"/>
  <c r="AD327" i="23" s="1"/>
  <c r="AG329" i="23"/>
  <c r="AF329" i="23" s="1"/>
  <c r="AD329" i="23" s="1"/>
  <c r="AG331" i="23"/>
  <c r="AF331" i="23" s="1"/>
  <c r="AD331" i="23" s="1"/>
  <c r="AG333" i="23"/>
  <c r="AF333" i="23" s="1"/>
  <c r="AD333" i="23" s="1"/>
  <c r="AG335" i="23"/>
  <c r="AF335" i="23" s="1"/>
  <c r="AD335" i="23" s="1"/>
  <c r="AG337" i="23"/>
  <c r="AF337" i="23" s="1"/>
  <c r="AD337" i="23" s="1"/>
  <c r="AG339" i="23"/>
  <c r="AF339" i="23" s="1"/>
  <c r="AD339" i="23" s="1"/>
  <c r="AG341" i="23"/>
  <c r="AF341" i="23" s="1"/>
  <c r="AD341" i="23" s="1"/>
  <c r="AG343" i="23"/>
  <c r="AF343" i="23" s="1"/>
  <c r="AD343" i="23" s="1"/>
  <c r="AG345" i="23"/>
  <c r="AF345" i="23" s="1"/>
  <c r="AD345" i="23" s="1"/>
  <c r="AG349" i="23"/>
  <c r="AF349" i="23" s="1"/>
  <c r="AD349" i="23" s="1"/>
  <c r="AG353" i="23"/>
  <c r="AF353" i="23" s="1"/>
  <c r="AD353" i="23" s="1"/>
  <c r="AG357" i="23"/>
  <c r="AF357" i="23" s="1"/>
  <c r="AD357" i="23" s="1"/>
  <c r="AG361" i="23"/>
  <c r="AF361" i="23" s="1"/>
  <c r="AD361" i="23" s="1"/>
  <c r="AG365" i="23"/>
  <c r="AF365" i="23" s="1"/>
  <c r="AD365" i="23" s="1"/>
  <c r="AG369" i="23"/>
  <c r="AF369" i="23" s="1"/>
  <c r="AD369" i="23" s="1"/>
  <c r="AG373" i="23"/>
  <c r="AF373" i="23" s="1"/>
  <c r="AD373" i="23" s="1"/>
  <c r="AG377" i="23"/>
  <c r="AF377" i="23" s="1"/>
  <c r="AD377" i="23" s="1"/>
  <c r="J16" i="22"/>
  <c r="I16" i="22"/>
  <c r="I180" i="20"/>
  <c r="J180" i="20"/>
  <c r="I272" i="20"/>
  <c r="J272" i="20"/>
  <c r="J149" i="20"/>
  <c r="I149" i="20"/>
  <c r="J302" i="20"/>
  <c r="I302" i="20"/>
  <c r="J135" i="20"/>
  <c r="I135" i="20"/>
  <c r="H135" i="22" s="1"/>
  <c r="B66" i="19"/>
  <c r="V380" i="20"/>
  <c r="V383" i="20" s="1"/>
  <c r="AA16" i="22"/>
  <c r="Z16" i="22" s="1"/>
  <c r="Y16" i="22" s="1"/>
  <c r="G16" i="22"/>
  <c r="CC16" i="6" s="1"/>
  <c r="J288" i="20"/>
  <c r="I288" i="20"/>
  <c r="H288" i="22" s="1"/>
  <c r="H18" i="22"/>
  <c r="J166" i="20"/>
  <c r="I166" i="20"/>
  <c r="H166" i="22" s="1"/>
  <c r="AK4" i="17"/>
  <c r="R14" i="19" s="1"/>
  <c r="N15" i="19" s="1"/>
  <c r="AM13" i="17"/>
  <c r="AJ3" i="17"/>
  <c r="O14" i="19" s="1"/>
  <c r="M14" i="19" s="1"/>
  <c r="AL13" i="17"/>
  <c r="AE383" i="23"/>
  <c r="AE382" i="23"/>
  <c r="AE381" i="23"/>
  <c r="AY15" i="7"/>
  <c r="Q10" i="24"/>
  <c r="BA15" i="7" s="1"/>
  <c r="S18" i="23"/>
  <c r="R18" i="23" s="1"/>
  <c r="P18" i="23" s="1"/>
  <c r="V18" i="23" s="1"/>
  <c r="B18" i="23" s="1"/>
  <c r="U10" i="24"/>
  <c r="S379" i="23"/>
  <c r="R379" i="23" s="1"/>
  <c r="P379" i="23" s="1"/>
  <c r="I60" i="20"/>
  <c r="J60" i="20"/>
  <c r="J68" i="22"/>
  <c r="I68" i="22"/>
  <c r="J308" i="22"/>
  <c r="I308" i="22"/>
  <c r="I29" i="20"/>
  <c r="J29" i="20"/>
  <c r="I37" i="22"/>
  <c r="J37" i="22"/>
  <c r="I85" i="22"/>
  <c r="J85" i="22"/>
  <c r="I145" i="22"/>
  <c r="J145" i="22"/>
  <c r="I189" i="22"/>
  <c r="J189" i="22"/>
  <c r="J241" i="20"/>
  <c r="I241" i="20"/>
  <c r="J361" i="22"/>
  <c r="I361" i="22"/>
  <c r="I377" i="22"/>
  <c r="J377" i="22"/>
  <c r="J30" i="22"/>
  <c r="I30" i="22"/>
  <c r="I74" i="20"/>
  <c r="H74" i="22" s="1"/>
  <c r="J74" i="20"/>
  <c r="I106" i="22"/>
  <c r="J106" i="22"/>
  <c r="J130" i="22"/>
  <c r="I130" i="22"/>
  <c r="J210" i="20"/>
  <c r="I210" i="20"/>
  <c r="J258" i="20"/>
  <c r="I258" i="20"/>
  <c r="H258" i="22" s="1"/>
  <c r="J322" i="22"/>
  <c r="I322" i="22"/>
  <c r="I119" i="20"/>
  <c r="J119" i="20"/>
  <c r="I227" i="20"/>
  <c r="H227" i="22" s="1"/>
  <c r="J227" i="20"/>
  <c r="E15" i="18"/>
  <c r="AJ9" i="18" s="1"/>
  <c r="AJ11" i="18" s="1"/>
  <c r="D382" i="18"/>
  <c r="D383" i="18"/>
  <c r="D381" i="18"/>
  <c r="D9" i="18"/>
  <c r="D11" i="18" s="1"/>
  <c r="AJ8" i="18"/>
  <c r="J20" i="22"/>
  <c r="I20" i="22"/>
  <c r="I48" i="22"/>
  <c r="J48" i="22"/>
  <c r="J56" i="22"/>
  <c r="I56" i="22"/>
  <c r="I164" i="22"/>
  <c r="J164" i="22"/>
  <c r="J208" i="22"/>
  <c r="I208" i="22"/>
  <c r="I224" i="22"/>
  <c r="J224" i="22"/>
  <c r="I292" i="22"/>
  <c r="J292" i="22"/>
  <c r="J21" i="22"/>
  <c r="I21" i="22"/>
  <c r="I153" i="22"/>
  <c r="J153" i="22"/>
  <c r="I177" i="22"/>
  <c r="J177" i="22"/>
  <c r="J309" i="22"/>
  <c r="I309" i="22"/>
  <c r="J98" i="22"/>
  <c r="I98" i="22"/>
  <c r="J286" i="22"/>
  <c r="I286" i="22"/>
  <c r="I294" i="22"/>
  <c r="J294" i="22"/>
  <c r="I343" i="22"/>
  <c r="J343" i="22"/>
  <c r="G20" i="22"/>
  <c r="CC20" i="6" s="1"/>
  <c r="AA20" i="22"/>
  <c r="Z20" i="22" s="1"/>
  <c r="Y20" i="22" s="1"/>
  <c r="G36" i="22"/>
  <c r="CC36" i="6" s="1"/>
  <c r="AA36" i="22"/>
  <c r="Z36" i="22" s="1"/>
  <c r="Y36" i="22" s="1"/>
  <c r="AA40" i="22"/>
  <c r="Z40" i="22" s="1"/>
  <c r="Y40" i="22" s="1"/>
  <c r="G40" i="22"/>
  <c r="CC40" i="6" s="1"/>
  <c r="AA44" i="22"/>
  <c r="Z44" i="22" s="1"/>
  <c r="Y44" i="22" s="1"/>
  <c r="G44" i="22"/>
  <c r="CC44" i="6" s="1"/>
  <c r="G48" i="22"/>
  <c r="CC48" i="6" s="1"/>
  <c r="AA48" i="22"/>
  <c r="Z48" i="22" s="1"/>
  <c r="Y48" i="22" s="1"/>
  <c r="AA52" i="22"/>
  <c r="Z52" i="22" s="1"/>
  <c r="Y52" i="22" s="1"/>
  <c r="G52" i="22"/>
  <c r="CC52" i="6" s="1"/>
  <c r="AA56" i="22"/>
  <c r="Z56" i="22" s="1"/>
  <c r="Y56" i="22" s="1"/>
  <c r="G56" i="22"/>
  <c r="CC56" i="6" s="1"/>
  <c r="AA64" i="22"/>
  <c r="Z64" i="22" s="1"/>
  <c r="Y64" i="22" s="1"/>
  <c r="G64" i="22"/>
  <c r="CC64" i="6" s="1"/>
  <c r="AA76" i="22"/>
  <c r="Z76" i="22" s="1"/>
  <c r="Y76" i="22" s="1"/>
  <c r="G76" i="22"/>
  <c r="CC76" i="6" s="1"/>
  <c r="G84" i="22"/>
  <c r="CC84" i="6" s="1"/>
  <c r="AA84" i="22"/>
  <c r="Z84" i="22" s="1"/>
  <c r="Y84" i="22" s="1"/>
  <c r="D67" i="19"/>
  <c r="B88" i="22"/>
  <c r="G112" i="22"/>
  <c r="CC112" i="6" s="1"/>
  <c r="AA112" i="22"/>
  <c r="Z112" i="22" s="1"/>
  <c r="Y112" i="22" s="1"/>
  <c r="AA116" i="22"/>
  <c r="Z116" i="22" s="1"/>
  <c r="Y116" i="22" s="1"/>
  <c r="G116" i="22"/>
  <c r="CC116" i="6" s="1"/>
  <c r="AA128" i="22"/>
  <c r="Z128" i="22" s="1"/>
  <c r="Y128" i="22" s="1"/>
  <c r="G128" i="22"/>
  <c r="CC128" i="6" s="1"/>
  <c r="G132" i="22"/>
  <c r="CC132" i="6" s="1"/>
  <c r="AA132" i="22"/>
  <c r="Z132" i="22" s="1"/>
  <c r="Y132" i="22" s="1"/>
  <c r="G136" i="22"/>
  <c r="CC136" i="6" s="1"/>
  <c r="AA136" i="22"/>
  <c r="Z136" i="22" s="1"/>
  <c r="Y136" i="22" s="1"/>
  <c r="AA152" i="22"/>
  <c r="Z152" i="22" s="1"/>
  <c r="Y152" i="22" s="1"/>
  <c r="G152" i="22"/>
  <c r="CC152" i="6" s="1"/>
  <c r="AA156" i="22"/>
  <c r="Z156" i="22" s="1"/>
  <c r="Y156" i="22" s="1"/>
  <c r="G156" i="22"/>
  <c r="CC156" i="6" s="1"/>
  <c r="AA164" i="22"/>
  <c r="Z164" i="22" s="1"/>
  <c r="Y164" i="22" s="1"/>
  <c r="G164" i="22"/>
  <c r="CC164" i="6" s="1"/>
  <c r="G168" i="22"/>
  <c r="CC168" i="6" s="1"/>
  <c r="AA168" i="22"/>
  <c r="Z168" i="22" s="1"/>
  <c r="Y168" i="22" s="1"/>
  <c r="G67" i="19"/>
  <c r="B180" i="22"/>
  <c r="AA192" i="22"/>
  <c r="Z192" i="22" s="1"/>
  <c r="Y192" i="22" s="1"/>
  <c r="G192" i="22"/>
  <c r="CC192" i="6" s="1"/>
  <c r="AA196" i="22"/>
  <c r="Z196" i="22" s="1"/>
  <c r="Y196" i="22" s="1"/>
  <c r="G196" i="22"/>
  <c r="CC196" i="6" s="1"/>
  <c r="AA200" i="22"/>
  <c r="Z200" i="22" s="1"/>
  <c r="Y200" i="22" s="1"/>
  <c r="G200" i="22"/>
  <c r="CC200" i="6" s="1"/>
  <c r="G204" i="22"/>
  <c r="CC204" i="6" s="1"/>
  <c r="AA204" i="22"/>
  <c r="Z204" i="22" s="1"/>
  <c r="Y204" i="22" s="1"/>
  <c r="AA208" i="22"/>
  <c r="Z208" i="22" s="1"/>
  <c r="Y208" i="22" s="1"/>
  <c r="G208" i="22"/>
  <c r="CC208" i="6" s="1"/>
  <c r="G212" i="22"/>
  <c r="CC212" i="6" s="1"/>
  <c r="H212" i="22"/>
  <c r="AA212" i="22"/>
  <c r="Z212" i="22" s="1"/>
  <c r="Y212" i="22" s="1"/>
  <c r="H216" i="22"/>
  <c r="AA216" i="22"/>
  <c r="Z216" i="22" s="1"/>
  <c r="Y216" i="22" s="1"/>
  <c r="G216" i="22"/>
  <c r="CC216" i="6" s="1"/>
  <c r="G220" i="22"/>
  <c r="CC220" i="6" s="1"/>
  <c r="AA220" i="22"/>
  <c r="Z220" i="22" s="1"/>
  <c r="Y220" i="22" s="1"/>
  <c r="AA224" i="22"/>
  <c r="Z224" i="22" s="1"/>
  <c r="Y224" i="22" s="1"/>
  <c r="G224" i="22"/>
  <c r="CC224" i="6" s="1"/>
  <c r="G228" i="22"/>
  <c r="CC228" i="6" s="1"/>
  <c r="AA228" i="22"/>
  <c r="Z228" i="22" s="1"/>
  <c r="Y228" i="22" s="1"/>
  <c r="AA232" i="22"/>
  <c r="Z232" i="22" s="1"/>
  <c r="Y232" i="22" s="1"/>
  <c r="H232" i="22"/>
  <c r="G232" i="22"/>
  <c r="CC232" i="6" s="1"/>
  <c r="AA240" i="22"/>
  <c r="Z240" i="22" s="1"/>
  <c r="Y240" i="22" s="1"/>
  <c r="H240" i="22"/>
  <c r="G240" i="22"/>
  <c r="CC240" i="6" s="1"/>
  <c r="G244" i="22"/>
  <c r="CC244" i="6" s="1"/>
  <c r="AA244" i="22"/>
  <c r="Z244" i="22" s="1"/>
  <c r="Y244" i="22" s="1"/>
  <c r="AA252" i="22"/>
  <c r="Z252" i="22" s="1"/>
  <c r="Y252" i="22" s="1"/>
  <c r="G252" i="22"/>
  <c r="CC252" i="6" s="1"/>
  <c r="J67" i="19"/>
  <c r="B272" i="22"/>
  <c r="G280" i="22"/>
  <c r="CC280" i="6" s="1"/>
  <c r="AA280" i="22"/>
  <c r="Z280" i="22" s="1"/>
  <c r="Y280" i="22" s="1"/>
  <c r="AA284" i="22"/>
  <c r="Z284" i="22" s="1"/>
  <c r="Y284" i="22" s="1"/>
  <c r="H284" i="22"/>
  <c r="G284" i="22"/>
  <c r="CC284" i="6" s="1"/>
  <c r="G300" i="22"/>
  <c r="CC300" i="6" s="1"/>
  <c r="AA300" i="22"/>
  <c r="Z300" i="22" s="1"/>
  <c r="Y300" i="22" s="1"/>
  <c r="AA308" i="22"/>
  <c r="Z308" i="22" s="1"/>
  <c r="Y308" i="22" s="1"/>
  <c r="G308" i="22"/>
  <c r="CC308" i="6" s="1"/>
  <c r="G312" i="22"/>
  <c r="CC312" i="6" s="1"/>
  <c r="AA312" i="22"/>
  <c r="Z312" i="22" s="1"/>
  <c r="Y312" i="22" s="1"/>
  <c r="AA316" i="22"/>
  <c r="Z316" i="22" s="1"/>
  <c r="Y316" i="22" s="1"/>
  <c r="G316" i="22"/>
  <c r="CC316" i="6" s="1"/>
  <c r="AA324" i="22"/>
  <c r="Z324" i="22" s="1"/>
  <c r="Y324" i="22" s="1"/>
  <c r="G324" i="22"/>
  <c r="CC324" i="6" s="1"/>
  <c r="H328" i="22"/>
  <c r="G328" i="22"/>
  <c r="CC328" i="6" s="1"/>
  <c r="AA328" i="22"/>
  <c r="Z328" i="22" s="1"/>
  <c r="Y328" i="22" s="1"/>
  <c r="G336" i="22"/>
  <c r="CC336" i="6" s="1"/>
  <c r="AA336" i="22"/>
  <c r="Z336" i="22" s="1"/>
  <c r="Y336" i="22" s="1"/>
  <c r="AA348" i="22"/>
  <c r="Z348" i="22" s="1"/>
  <c r="Y348" i="22" s="1"/>
  <c r="G348" i="22"/>
  <c r="CC348" i="6" s="1"/>
  <c r="H352" i="22"/>
  <c r="AA352" i="22"/>
  <c r="Z352" i="22" s="1"/>
  <c r="Y352" i="22" s="1"/>
  <c r="G352" i="22"/>
  <c r="CC352" i="6" s="1"/>
  <c r="AA360" i="22"/>
  <c r="Z360" i="22" s="1"/>
  <c r="Y360" i="22" s="1"/>
  <c r="G360" i="22"/>
  <c r="CC360" i="6" s="1"/>
  <c r="G376" i="22"/>
  <c r="CC376" i="6" s="1"/>
  <c r="AA376" i="22"/>
  <c r="Z376" i="22" s="1"/>
  <c r="Y376" i="22" s="1"/>
  <c r="AA25" i="22"/>
  <c r="Z25" i="22" s="1"/>
  <c r="Y25" i="22" s="1"/>
  <c r="G25" i="22"/>
  <c r="CC25" i="6" s="1"/>
  <c r="D29" i="22"/>
  <c r="E29" i="22" s="1"/>
  <c r="F29" i="22" s="1"/>
  <c r="W29" i="22"/>
  <c r="AA33" i="22"/>
  <c r="Z33" i="22" s="1"/>
  <c r="Y33" i="22" s="1"/>
  <c r="G33" i="22"/>
  <c r="CC33" i="6" s="1"/>
  <c r="AA41" i="22"/>
  <c r="Z41" i="22" s="1"/>
  <c r="Y41" i="22" s="1"/>
  <c r="G41" i="22"/>
  <c r="CC41" i="6" s="1"/>
  <c r="AA45" i="22"/>
  <c r="Z45" i="22" s="1"/>
  <c r="Y45" i="22" s="1"/>
  <c r="G45" i="22"/>
  <c r="CC45" i="6" s="1"/>
  <c r="G49" i="22"/>
  <c r="CC49" i="6" s="1"/>
  <c r="AA49" i="22"/>
  <c r="Z49" i="22" s="1"/>
  <c r="Y49" i="22" s="1"/>
  <c r="AA53" i="22"/>
  <c r="Z53" i="22" s="1"/>
  <c r="Y53" i="22" s="1"/>
  <c r="G53" i="22"/>
  <c r="CC53" i="6" s="1"/>
  <c r="G57" i="22"/>
  <c r="CC57" i="6" s="1"/>
  <c r="AA57" i="22"/>
  <c r="Z57" i="22" s="1"/>
  <c r="Y57" i="22" s="1"/>
  <c r="AA61" i="22"/>
  <c r="Z61" i="22" s="1"/>
  <c r="Y61" i="22" s="1"/>
  <c r="G61" i="22"/>
  <c r="CC61" i="6" s="1"/>
  <c r="AA65" i="22"/>
  <c r="Z65" i="22" s="1"/>
  <c r="Y65" i="22" s="1"/>
  <c r="G65" i="22"/>
  <c r="CC65" i="6" s="1"/>
  <c r="G69" i="22"/>
  <c r="CC69" i="6" s="1"/>
  <c r="AA69" i="22"/>
  <c r="Z69" i="22" s="1"/>
  <c r="Y69" i="22" s="1"/>
  <c r="AA85" i="22"/>
  <c r="Z85" i="22" s="1"/>
  <c r="Y85" i="22" s="1"/>
  <c r="G85" i="22"/>
  <c r="CC85" i="6" s="1"/>
  <c r="AA89" i="22"/>
  <c r="Z89" i="22" s="1"/>
  <c r="Y89" i="22" s="1"/>
  <c r="G89" i="22"/>
  <c r="CC89" i="6" s="1"/>
  <c r="G93" i="22"/>
  <c r="CC93" i="6" s="1"/>
  <c r="AA93" i="22"/>
  <c r="Z93" i="22" s="1"/>
  <c r="Y93" i="22" s="1"/>
  <c r="AA109" i="22"/>
  <c r="Z109" i="22" s="1"/>
  <c r="Y109" i="22" s="1"/>
  <c r="G109" i="22"/>
  <c r="CC109" i="6" s="1"/>
  <c r="G121" i="22"/>
  <c r="CC121" i="6" s="1"/>
  <c r="AA121" i="22"/>
  <c r="Z121" i="22" s="1"/>
  <c r="Y121" i="22" s="1"/>
  <c r="AA137" i="22"/>
  <c r="Z137" i="22" s="1"/>
  <c r="Y137" i="22" s="1"/>
  <c r="G137" i="22"/>
  <c r="CC137" i="6" s="1"/>
  <c r="AA141" i="22"/>
  <c r="Z141" i="22" s="1"/>
  <c r="Y141" i="22" s="1"/>
  <c r="G141" i="22"/>
  <c r="CC141" i="6" s="1"/>
  <c r="AA145" i="22"/>
  <c r="Z145" i="22" s="1"/>
  <c r="Y145" i="22" s="1"/>
  <c r="G145" i="22"/>
  <c r="CC145" i="6" s="1"/>
  <c r="F67" i="19"/>
  <c r="B149" i="22"/>
  <c r="G161" i="22"/>
  <c r="CC161" i="6" s="1"/>
  <c r="AA161" i="22"/>
  <c r="Z161" i="22" s="1"/>
  <c r="Y161" i="22" s="1"/>
  <c r="AA165" i="22"/>
  <c r="Z165" i="22" s="1"/>
  <c r="Y165" i="22" s="1"/>
  <c r="G165" i="22"/>
  <c r="CC165" i="6" s="1"/>
  <c r="AA181" i="22"/>
  <c r="Z181" i="22" s="1"/>
  <c r="Y181" i="22" s="1"/>
  <c r="G181" i="22"/>
  <c r="CC181" i="6" s="1"/>
  <c r="G185" i="22"/>
  <c r="CC185" i="6" s="1"/>
  <c r="AA185" i="22"/>
  <c r="Z185" i="22" s="1"/>
  <c r="Y185" i="22" s="1"/>
  <c r="G189" i="22"/>
  <c r="CC189" i="6" s="1"/>
  <c r="AA189" i="22"/>
  <c r="Z189" i="22" s="1"/>
  <c r="Y189" i="22" s="1"/>
  <c r="G201" i="22"/>
  <c r="CC201" i="6" s="1"/>
  <c r="AA201" i="22"/>
  <c r="Z201" i="22" s="1"/>
  <c r="Y201" i="22" s="1"/>
  <c r="AA205" i="22"/>
  <c r="Z205" i="22" s="1"/>
  <c r="Y205" i="22" s="1"/>
  <c r="G205" i="22"/>
  <c r="CC205" i="6" s="1"/>
  <c r="G209" i="22"/>
  <c r="CC209" i="6" s="1"/>
  <c r="H209" i="22"/>
  <c r="AA209" i="22"/>
  <c r="Z209" i="22" s="1"/>
  <c r="Y209" i="22" s="1"/>
  <c r="G213" i="22"/>
  <c r="CC213" i="6" s="1"/>
  <c r="AA213" i="22"/>
  <c r="Z213" i="22" s="1"/>
  <c r="Y213" i="22" s="1"/>
  <c r="G221" i="22"/>
  <c r="CC221" i="6" s="1"/>
  <c r="AA221" i="22"/>
  <c r="Z221" i="22" s="1"/>
  <c r="Y221" i="22" s="1"/>
  <c r="AA225" i="22"/>
  <c r="Z225" i="22" s="1"/>
  <c r="Y225" i="22" s="1"/>
  <c r="G225" i="22"/>
  <c r="CC225" i="6" s="1"/>
  <c r="G237" i="22"/>
  <c r="CC237" i="6" s="1"/>
  <c r="AA237" i="22"/>
  <c r="Z237" i="22" s="1"/>
  <c r="Y237" i="22" s="1"/>
  <c r="AA249" i="22"/>
  <c r="Z249" i="22" s="1"/>
  <c r="Y249" i="22" s="1"/>
  <c r="G249" i="22"/>
  <c r="CC249" i="6" s="1"/>
  <c r="G261" i="22"/>
  <c r="CC261" i="6" s="1"/>
  <c r="AA261" i="22"/>
  <c r="Z261" i="22" s="1"/>
  <c r="Y261" i="22" s="1"/>
  <c r="G265" i="22"/>
  <c r="CC265" i="6" s="1"/>
  <c r="AA265" i="22"/>
  <c r="Z265" i="22" s="1"/>
  <c r="Y265" i="22" s="1"/>
  <c r="G269" i="22"/>
  <c r="CC269" i="6" s="1"/>
  <c r="AA269" i="22"/>
  <c r="Z269" i="22" s="1"/>
  <c r="Y269" i="22" s="1"/>
  <c r="G273" i="22"/>
  <c r="CC273" i="6" s="1"/>
  <c r="AA273" i="22"/>
  <c r="Z273" i="22" s="1"/>
  <c r="Y273" i="22" s="1"/>
  <c r="G281" i="22"/>
  <c r="CC281" i="6" s="1"/>
  <c r="AA281" i="22"/>
  <c r="Z281" i="22" s="1"/>
  <c r="Y281" i="22" s="1"/>
  <c r="G285" i="22"/>
  <c r="CC285" i="6" s="1"/>
  <c r="AA285" i="22"/>
  <c r="Z285" i="22" s="1"/>
  <c r="Y285" i="22" s="1"/>
  <c r="G289" i="22"/>
  <c r="CC289" i="6" s="1"/>
  <c r="AA289" i="22"/>
  <c r="Z289" i="22" s="1"/>
  <c r="Y289" i="22" s="1"/>
  <c r="G297" i="22"/>
  <c r="CC297" i="6" s="1"/>
  <c r="AA297" i="22"/>
  <c r="Z297" i="22" s="1"/>
  <c r="Y297" i="22" s="1"/>
  <c r="H301" i="22"/>
  <c r="G301" i="22"/>
  <c r="CC301" i="6" s="1"/>
  <c r="AA301" i="22"/>
  <c r="Z301" i="22" s="1"/>
  <c r="Y301" i="22" s="1"/>
  <c r="G309" i="22"/>
  <c r="CC309" i="6" s="1"/>
  <c r="AA309" i="22"/>
  <c r="Z309" i="22" s="1"/>
  <c r="Y309" i="22" s="1"/>
  <c r="G317" i="22"/>
  <c r="CC317" i="6" s="1"/>
  <c r="AA317" i="22"/>
  <c r="Z317" i="22" s="1"/>
  <c r="Y317" i="22" s="1"/>
  <c r="AA321" i="22"/>
  <c r="Z321" i="22" s="1"/>
  <c r="Y321" i="22" s="1"/>
  <c r="G321" i="22"/>
  <c r="CC321" i="6" s="1"/>
  <c r="AA325" i="22"/>
  <c r="Z325" i="22" s="1"/>
  <c r="Y325" i="22" s="1"/>
  <c r="G325" i="22"/>
  <c r="CC325" i="6" s="1"/>
  <c r="G341" i="22"/>
  <c r="CC341" i="6" s="1"/>
  <c r="AA341" i="22"/>
  <c r="Z341" i="22" s="1"/>
  <c r="Y341" i="22" s="1"/>
  <c r="H357" i="22"/>
  <c r="AA357" i="22"/>
  <c r="Z357" i="22" s="1"/>
  <c r="Y357" i="22" s="1"/>
  <c r="G357" i="22"/>
  <c r="CC357" i="6" s="1"/>
  <c r="G369" i="22"/>
  <c r="CC369" i="6" s="1"/>
  <c r="AA369" i="22"/>
  <c r="Z369" i="22" s="1"/>
  <c r="Y369" i="22" s="1"/>
  <c r="G373" i="22"/>
  <c r="CC373" i="6" s="1"/>
  <c r="AA373" i="22"/>
  <c r="Z373" i="22" s="1"/>
  <c r="Y373" i="22" s="1"/>
  <c r="G377" i="22"/>
  <c r="CC377" i="6" s="1"/>
  <c r="AA377" i="22"/>
  <c r="Z377" i="22" s="1"/>
  <c r="Y377" i="22" s="1"/>
  <c r="AA303" i="22"/>
  <c r="Z303" i="22" s="1"/>
  <c r="Y303" i="22" s="1"/>
  <c r="H303" i="22"/>
  <c r="G303" i="22"/>
  <c r="CC303" i="6" s="1"/>
  <c r="G319" i="22"/>
  <c r="CC319" i="6" s="1"/>
  <c r="AA319" i="22"/>
  <c r="Z319" i="22" s="1"/>
  <c r="Y319" i="22" s="1"/>
  <c r="AA327" i="22"/>
  <c r="Z327" i="22" s="1"/>
  <c r="Y327" i="22" s="1"/>
  <c r="G327" i="22"/>
  <c r="CC327" i="6" s="1"/>
  <c r="G335" i="22"/>
  <c r="CC335" i="6" s="1"/>
  <c r="H335" i="22"/>
  <c r="AA335" i="22"/>
  <c r="Z335" i="22" s="1"/>
  <c r="Y335" i="22" s="1"/>
  <c r="AA343" i="22"/>
  <c r="Z343" i="22" s="1"/>
  <c r="Y343" i="22" s="1"/>
  <c r="G343" i="22"/>
  <c r="CC343" i="6" s="1"/>
  <c r="AA351" i="22"/>
  <c r="Z351" i="22" s="1"/>
  <c r="Y351" i="22" s="1"/>
  <c r="H351" i="22"/>
  <c r="G351" i="22"/>
  <c r="CC351" i="6" s="1"/>
  <c r="G26" i="22"/>
  <c r="CC26" i="6" s="1"/>
  <c r="AA26" i="22"/>
  <c r="Z26" i="22" s="1"/>
  <c r="Y26" i="22" s="1"/>
  <c r="G46" i="22"/>
  <c r="CC46" i="6" s="1"/>
  <c r="AA46" i="22"/>
  <c r="Z46" i="22" s="1"/>
  <c r="Y46" i="22" s="1"/>
  <c r="G54" i="22"/>
  <c r="CC54" i="6" s="1"/>
  <c r="AA54" i="22"/>
  <c r="Z54" i="22" s="1"/>
  <c r="Y54" i="22" s="1"/>
  <c r="G58" i="22"/>
  <c r="CC58" i="6" s="1"/>
  <c r="AA58" i="22"/>
  <c r="Z58" i="22" s="1"/>
  <c r="Y58" i="22" s="1"/>
  <c r="AA74" i="22"/>
  <c r="Z74" i="22" s="1"/>
  <c r="Y74" i="22" s="1"/>
  <c r="G74" i="22"/>
  <c r="CC74" i="6" s="1"/>
  <c r="G86" i="22"/>
  <c r="CC86" i="6" s="1"/>
  <c r="AA86" i="22"/>
  <c r="Z86" i="22" s="1"/>
  <c r="Y86" i="22" s="1"/>
  <c r="G94" i="22"/>
  <c r="CC94" i="6" s="1"/>
  <c r="AA94" i="22"/>
  <c r="Z94" i="22" s="1"/>
  <c r="Y94" i="22" s="1"/>
  <c r="AA98" i="22"/>
  <c r="Z98" i="22" s="1"/>
  <c r="Y98" i="22" s="1"/>
  <c r="G98" i="22"/>
  <c r="CC98" i="6" s="1"/>
  <c r="G102" i="22"/>
  <c r="CC102" i="6" s="1"/>
  <c r="AA102" i="22"/>
  <c r="Z102" i="22" s="1"/>
  <c r="Y102" i="22" s="1"/>
  <c r="G126" i="22"/>
  <c r="CC126" i="6" s="1"/>
  <c r="AA126" i="22"/>
  <c r="Z126" i="22" s="1"/>
  <c r="Y126" i="22" s="1"/>
  <c r="AA138" i="22"/>
  <c r="Z138" i="22" s="1"/>
  <c r="Y138" i="22" s="1"/>
  <c r="G138" i="22"/>
  <c r="CC138" i="6" s="1"/>
  <c r="G142" i="22"/>
  <c r="CC142" i="6" s="1"/>
  <c r="AA142" i="22"/>
  <c r="Z142" i="22" s="1"/>
  <c r="Y142" i="22" s="1"/>
  <c r="G150" i="22"/>
  <c r="CC150" i="6" s="1"/>
  <c r="AA150" i="22"/>
  <c r="Z150" i="22" s="1"/>
  <c r="Y150" i="22" s="1"/>
  <c r="G178" i="22"/>
  <c r="CC178" i="6" s="1"/>
  <c r="AA178" i="22"/>
  <c r="Z178" i="22" s="1"/>
  <c r="Y178" i="22" s="1"/>
  <c r="AA186" i="22"/>
  <c r="Z186" i="22" s="1"/>
  <c r="Y186" i="22" s="1"/>
  <c r="G186" i="22"/>
  <c r="CC186" i="6" s="1"/>
  <c r="H190" i="22"/>
  <c r="G190" i="22"/>
  <c r="CC190" i="6" s="1"/>
  <c r="AA190" i="22"/>
  <c r="Z190" i="22" s="1"/>
  <c r="Y190" i="22" s="1"/>
  <c r="G194" i="22"/>
  <c r="CC194" i="6" s="1"/>
  <c r="AA194" i="22"/>
  <c r="Z194" i="22" s="1"/>
  <c r="Y194" i="22" s="1"/>
  <c r="H206" i="22"/>
  <c r="AA206" i="22"/>
  <c r="Z206" i="22" s="1"/>
  <c r="Y206" i="22" s="1"/>
  <c r="G206" i="22"/>
  <c r="CC206" i="6" s="1"/>
  <c r="H67" i="19"/>
  <c r="B210" i="22"/>
  <c r="H214" i="22"/>
  <c r="AA214" i="22"/>
  <c r="Z214" i="22" s="1"/>
  <c r="Y214" i="22" s="1"/>
  <c r="G214" i="22"/>
  <c r="CC214" i="6" s="1"/>
  <c r="G222" i="22"/>
  <c r="CC222" i="6" s="1"/>
  <c r="AA222" i="22"/>
  <c r="Z222" i="22" s="1"/>
  <c r="Y222" i="22" s="1"/>
  <c r="AA226" i="22"/>
  <c r="Z226" i="22" s="1"/>
  <c r="Y226" i="22" s="1"/>
  <c r="G226" i="22"/>
  <c r="CC226" i="6" s="1"/>
  <c r="G230" i="22"/>
  <c r="CC230" i="6" s="1"/>
  <c r="H230" i="22"/>
  <c r="AA230" i="22"/>
  <c r="Z230" i="22" s="1"/>
  <c r="Y230" i="22" s="1"/>
  <c r="H234" i="22"/>
  <c r="G234" i="22"/>
  <c r="CC234" i="6" s="1"/>
  <c r="AA234" i="22"/>
  <c r="Z234" i="22" s="1"/>
  <c r="Y234" i="22" s="1"/>
  <c r="AA238" i="22"/>
  <c r="Z238" i="22" s="1"/>
  <c r="Y238" i="22" s="1"/>
  <c r="G238" i="22"/>
  <c r="CC238" i="6" s="1"/>
  <c r="AA242" i="22"/>
  <c r="Z242" i="22" s="1"/>
  <c r="Y242" i="22" s="1"/>
  <c r="G242" i="22"/>
  <c r="CC242" i="6" s="1"/>
  <c r="G246" i="22"/>
  <c r="CC246" i="6" s="1"/>
  <c r="AA246" i="22"/>
  <c r="Z246" i="22" s="1"/>
  <c r="Y246" i="22" s="1"/>
  <c r="G266" i="22"/>
  <c r="CC266" i="6" s="1"/>
  <c r="AA266" i="22"/>
  <c r="Z266" i="22" s="1"/>
  <c r="Y266" i="22" s="1"/>
  <c r="G270" i="22"/>
  <c r="CC270" i="6" s="1"/>
  <c r="AA270" i="22"/>
  <c r="Z270" i="22" s="1"/>
  <c r="Y270" i="22" s="1"/>
  <c r="AA274" i="22"/>
  <c r="Z274" i="22" s="1"/>
  <c r="Y274" i="22" s="1"/>
  <c r="G274" i="22"/>
  <c r="CC274" i="6" s="1"/>
  <c r="AA278" i="22"/>
  <c r="Z278" i="22" s="1"/>
  <c r="Y278" i="22" s="1"/>
  <c r="G278" i="22"/>
  <c r="CC278" i="6" s="1"/>
  <c r="G282" i="22"/>
  <c r="CC282" i="6" s="1"/>
  <c r="AA282" i="22"/>
  <c r="Z282" i="22" s="1"/>
  <c r="Y282" i="22" s="1"/>
  <c r="G286" i="22"/>
  <c r="CC286" i="6" s="1"/>
  <c r="AA286" i="22"/>
  <c r="Z286" i="22" s="1"/>
  <c r="Y286" i="22" s="1"/>
  <c r="AA290" i="22"/>
  <c r="Z290" i="22" s="1"/>
  <c r="Y290" i="22" s="1"/>
  <c r="G290" i="22"/>
  <c r="CC290" i="6" s="1"/>
  <c r="G294" i="22"/>
  <c r="CC294" i="6" s="1"/>
  <c r="AA294" i="22"/>
  <c r="Z294" i="22" s="1"/>
  <c r="Y294" i="22" s="1"/>
  <c r="G314" i="22"/>
  <c r="CC314" i="6" s="1"/>
  <c r="AA314" i="22"/>
  <c r="Z314" i="22" s="1"/>
  <c r="Y314" i="22" s="1"/>
  <c r="AA346" i="22"/>
  <c r="Z346" i="22" s="1"/>
  <c r="Y346" i="22" s="1"/>
  <c r="H346" i="22"/>
  <c r="G346" i="22"/>
  <c r="CC346" i="6" s="1"/>
  <c r="H354" i="22"/>
  <c r="AA354" i="22"/>
  <c r="Z354" i="22" s="1"/>
  <c r="Y354" i="22" s="1"/>
  <c r="G354" i="22"/>
  <c r="CC354" i="6" s="1"/>
  <c r="G362" i="22"/>
  <c r="CC362" i="6" s="1"/>
  <c r="AA362" i="22"/>
  <c r="Z362" i="22" s="1"/>
  <c r="Y362" i="22" s="1"/>
  <c r="AA366" i="22"/>
  <c r="Z366" i="22" s="1"/>
  <c r="Y366" i="22" s="1"/>
  <c r="G366" i="22"/>
  <c r="CC366" i="6" s="1"/>
  <c r="G39" i="22"/>
  <c r="CC39" i="6" s="1"/>
  <c r="AA39" i="22"/>
  <c r="Z39" i="22" s="1"/>
  <c r="Y39" i="22" s="1"/>
  <c r="AA43" i="22"/>
  <c r="Z43" i="22" s="1"/>
  <c r="Y43" i="22" s="1"/>
  <c r="G43" i="22"/>
  <c r="CC43" i="6" s="1"/>
  <c r="G55" i="22"/>
  <c r="CC55" i="6" s="1"/>
  <c r="AA55" i="22"/>
  <c r="Z55" i="22" s="1"/>
  <c r="Y55" i="22" s="1"/>
  <c r="G59" i="22"/>
  <c r="CC59" i="6" s="1"/>
  <c r="AA59" i="22"/>
  <c r="Z59" i="22" s="1"/>
  <c r="Y59" i="22" s="1"/>
  <c r="AA63" i="22"/>
  <c r="Z63" i="22" s="1"/>
  <c r="Y63" i="22" s="1"/>
  <c r="G63" i="22"/>
  <c r="CC63" i="6" s="1"/>
  <c r="AA83" i="22"/>
  <c r="Z83" i="22" s="1"/>
  <c r="Y83" i="22" s="1"/>
  <c r="G83" i="22"/>
  <c r="CC83" i="6" s="1"/>
  <c r="AA87" i="22"/>
  <c r="Z87" i="22" s="1"/>
  <c r="Y87" i="22" s="1"/>
  <c r="G87" i="22"/>
  <c r="CC87" i="6" s="1"/>
  <c r="G95" i="22"/>
  <c r="CC95" i="6" s="1"/>
  <c r="AA95" i="22"/>
  <c r="Z95" i="22" s="1"/>
  <c r="Y95" i="22" s="1"/>
  <c r="AA99" i="22"/>
  <c r="Z99" i="22" s="1"/>
  <c r="Y99" i="22" s="1"/>
  <c r="G99" i="22"/>
  <c r="CC99" i="6" s="1"/>
  <c r="AA103" i="22"/>
  <c r="Z103" i="22" s="1"/>
  <c r="Y103" i="22" s="1"/>
  <c r="G103" i="22"/>
  <c r="CC103" i="6" s="1"/>
  <c r="E67" i="19"/>
  <c r="B119" i="22"/>
  <c r="AA131" i="22"/>
  <c r="Z131" i="22" s="1"/>
  <c r="Y131" i="22" s="1"/>
  <c r="G131" i="22"/>
  <c r="CC131" i="6" s="1"/>
  <c r="AA139" i="22"/>
  <c r="Z139" i="22" s="1"/>
  <c r="Y139" i="22" s="1"/>
  <c r="G139" i="22"/>
  <c r="CC139" i="6" s="1"/>
  <c r="AA143" i="22"/>
  <c r="Z143" i="22" s="1"/>
  <c r="Y143" i="22" s="1"/>
  <c r="G143" i="22"/>
  <c r="CC143" i="6" s="1"/>
  <c r="AA147" i="22"/>
  <c r="Z147" i="22" s="1"/>
  <c r="Y147" i="22" s="1"/>
  <c r="G147" i="22"/>
  <c r="CC147" i="6" s="1"/>
  <c r="AA159" i="22"/>
  <c r="Z159" i="22" s="1"/>
  <c r="Y159" i="22" s="1"/>
  <c r="G159" i="22"/>
  <c r="CC159" i="6" s="1"/>
  <c r="G163" i="22"/>
  <c r="CC163" i="6" s="1"/>
  <c r="AA163" i="22"/>
  <c r="Z163" i="22" s="1"/>
  <c r="Y163" i="22" s="1"/>
  <c r="G207" i="22"/>
  <c r="CC207" i="6" s="1"/>
  <c r="AA207" i="22"/>
  <c r="Z207" i="22" s="1"/>
  <c r="Y207" i="22" s="1"/>
  <c r="G215" i="22"/>
  <c r="CC215" i="6" s="1"/>
  <c r="AA215" i="22"/>
  <c r="Z215" i="22" s="1"/>
  <c r="Y215" i="22" s="1"/>
  <c r="AA223" i="22"/>
  <c r="Z223" i="22" s="1"/>
  <c r="Y223" i="22" s="1"/>
  <c r="G223" i="22"/>
  <c r="CC223" i="6" s="1"/>
  <c r="H231" i="22"/>
  <c r="AA231" i="22"/>
  <c r="Z231" i="22" s="1"/>
  <c r="Y231" i="22" s="1"/>
  <c r="G231" i="22"/>
  <c r="CC231" i="6" s="1"/>
  <c r="AA235" i="22"/>
  <c r="Z235" i="22" s="1"/>
  <c r="Y235" i="22" s="1"/>
  <c r="G235" i="22"/>
  <c r="CC235" i="6" s="1"/>
  <c r="AA239" i="22"/>
  <c r="Z239" i="22" s="1"/>
  <c r="Y239" i="22" s="1"/>
  <c r="G239" i="22"/>
  <c r="CC239" i="6" s="1"/>
  <c r="AA243" i="22"/>
  <c r="Z243" i="22" s="1"/>
  <c r="Y243" i="22" s="1"/>
  <c r="G243" i="22"/>
  <c r="CC243" i="6" s="1"/>
  <c r="G251" i="22"/>
  <c r="CC251" i="6" s="1"/>
  <c r="AA251" i="22"/>
  <c r="Z251" i="22" s="1"/>
  <c r="Y251" i="22" s="1"/>
  <c r="AA255" i="22"/>
  <c r="Z255" i="22" s="1"/>
  <c r="Y255" i="22" s="1"/>
  <c r="G255" i="22"/>
  <c r="CC255" i="6" s="1"/>
  <c r="AA259" i="22"/>
  <c r="Z259" i="22" s="1"/>
  <c r="Y259" i="22" s="1"/>
  <c r="G259" i="22"/>
  <c r="CC259" i="6" s="1"/>
  <c r="G263" i="22"/>
  <c r="CC263" i="6" s="1"/>
  <c r="AA263" i="22"/>
  <c r="Z263" i="22" s="1"/>
  <c r="Y263" i="22" s="1"/>
  <c r="G267" i="22"/>
  <c r="CC267" i="6" s="1"/>
  <c r="AA267" i="22"/>
  <c r="Z267" i="22" s="1"/>
  <c r="Y267" i="22" s="1"/>
  <c r="G275" i="22"/>
  <c r="CC275" i="6" s="1"/>
  <c r="AA275" i="22"/>
  <c r="Z275" i="22" s="1"/>
  <c r="Y275" i="22" s="1"/>
  <c r="G283" i="22"/>
  <c r="CC283" i="6" s="1"/>
  <c r="AA283" i="22"/>
  <c r="Z283" i="22" s="1"/>
  <c r="Y283" i="22" s="1"/>
  <c r="H287" i="22"/>
  <c r="AA287" i="22"/>
  <c r="Z287" i="22" s="1"/>
  <c r="Y287" i="22" s="1"/>
  <c r="G287" i="22"/>
  <c r="CC287" i="6" s="1"/>
  <c r="AA299" i="22"/>
  <c r="Z299" i="22" s="1"/>
  <c r="Y299" i="22" s="1"/>
  <c r="H299" i="22"/>
  <c r="G299" i="22"/>
  <c r="CC299" i="6" s="1"/>
  <c r="AA315" i="22"/>
  <c r="Z315" i="22" s="1"/>
  <c r="Y315" i="22" s="1"/>
  <c r="G315" i="22"/>
  <c r="CC315" i="6" s="1"/>
  <c r="AA339" i="22"/>
  <c r="Z339" i="22" s="1"/>
  <c r="Y339" i="22" s="1"/>
  <c r="G339" i="22"/>
  <c r="CC339" i="6" s="1"/>
  <c r="G347" i="22"/>
  <c r="CC347" i="6" s="1"/>
  <c r="AA347" i="22"/>
  <c r="Z347" i="22" s="1"/>
  <c r="Y347" i="22" s="1"/>
  <c r="G355" i="22"/>
  <c r="CC355" i="6" s="1"/>
  <c r="AA355" i="22"/>
  <c r="Z355" i="22" s="1"/>
  <c r="Y355" i="22" s="1"/>
  <c r="AA371" i="22"/>
  <c r="Z371" i="22" s="1"/>
  <c r="Y371" i="22" s="1"/>
  <c r="G371" i="22"/>
  <c r="CC371" i="6" s="1"/>
  <c r="AD363" i="23" l="1"/>
  <c r="AD347" i="23"/>
  <c r="BA16" i="7"/>
  <c r="J247" i="22"/>
  <c r="I195" i="22"/>
  <c r="I118" i="22"/>
  <c r="J235" i="22"/>
  <c r="I171" i="22"/>
  <c r="J239" i="22"/>
  <c r="J31" i="22"/>
  <c r="I38" i="19"/>
  <c r="E39" i="19"/>
  <c r="H38" i="19"/>
  <c r="J347" i="22"/>
  <c r="I107" i="22"/>
  <c r="I115" i="22"/>
  <c r="J219" i="22"/>
  <c r="J159" i="22"/>
  <c r="I259" i="22"/>
  <c r="J47" i="22"/>
  <c r="I63" i="22"/>
  <c r="J83" i="22"/>
  <c r="J24" i="22"/>
  <c r="H379" i="22"/>
  <c r="I379" i="22" s="1"/>
  <c r="V379" i="23"/>
  <c r="B379" i="23" s="1"/>
  <c r="D379" i="23" s="1"/>
  <c r="E379" i="23" s="1"/>
  <c r="F379" i="23" s="1"/>
  <c r="D42" i="19"/>
  <c r="AA104" i="20"/>
  <c r="Z104" i="20" s="1"/>
  <c r="Y104" i="20" s="1"/>
  <c r="AD381" i="20"/>
  <c r="AD383" i="20"/>
  <c r="AD382" i="20"/>
  <c r="AI383" i="23"/>
  <c r="AI381" i="23"/>
  <c r="AI382" i="23"/>
  <c r="AH15" i="23"/>
  <c r="AF17" i="22"/>
  <c r="AG382" i="22"/>
  <c r="AG383" i="22"/>
  <c r="AG381" i="22"/>
  <c r="AH379" i="23"/>
  <c r="AG379" i="23" s="1"/>
  <c r="AF379" i="23" s="1"/>
  <c r="AD379" i="23" s="1"/>
  <c r="AI12" i="24"/>
  <c r="AI377" i="24" s="1"/>
  <c r="J27" i="22"/>
  <c r="J373" i="22"/>
  <c r="I122" i="22"/>
  <c r="I185" i="22"/>
  <c r="I262" i="22"/>
  <c r="I131" i="22"/>
  <c r="J355" i="22"/>
  <c r="I326" i="22"/>
  <c r="I38" i="22"/>
  <c r="J257" i="22"/>
  <c r="J141" i="22"/>
  <c r="J165" i="22"/>
  <c r="I369" i="22"/>
  <c r="I253" i="22"/>
  <c r="J161" i="22"/>
  <c r="J339" i="22"/>
  <c r="J146" i="22"/>
  <c r="J356" i="22"/>
  <c r="I271" i="22"/>
  <c r="I23" i="22"/>
  <c r="J170" i="22"/>
  <c r="I114" i="22"/>
  <c r="I215" i="22"/>
  <c r="J174" i="22"/>
  <c r="J353" i="22"/>
  <c r="J89" i="22"/>
  <c r="J144" i="22"/>
  <c r="I291" i="22"/>
  <c r="I147" i="22"/>
  <c r="J198" i="22"/>
  <c r="I158" i="22"/>
  <c r="J42" i="22"/>
  <c r="J197" i="22"/>
  <c r="J129" i="22"/>
  <c r="I33" i="22"/>
  <c r="I252" i="22"/>
  <c r="J168" i="22"/>
  <c r="J222" i="22"/>
  <c r="I137" i="22"/>
  <c r="I17" i="22"/>
  <c r="Q271" i="24"/>
  <c r="J80" i="22"/>
  <c r="J379" i="20"/>
  <c r="I207" i="22"/>
  <c r="J78" i="22"/>
  <c r="I329" i="22"/>
  <c r="I35" i="22"/>
  <c r="J298" i="22"/>
  <c r="I112" i="22"/>
  <c r="I367" i="22"/>
  <c r="I226" i="22"/>
  <c r="J79" i="22"/>
  <c r="J53" i="22"/>
  <c r="I324" i="22"/>
  <c r="J163" i="22"/>
  <c r="J279" i="22"/>
  <c r="J338" i="22"/>
  <c r="J182" i="22"/>
  <c r="I22" i="22"/>
  <c r="J341" i="22"/>
  <c r="I293" i="22"/>
  <c r="I69" i="22"/>
  <c r="Q143" i="24"/>
  <c r="I175" i="22"/>
  <c r="I167" i="22"/>
  <c r="I156" i="22"/>
  <c r="I76" i="22"/>
  <c r="Q335" i="24"/>
  <c r="Q207" i="24"/>
  <c r="Q79" i="24"/>
  <c r="Q367" i="24"/>
  <c r="Q303" i="24"/>
  <c r="Q239" i="24"/>
  <c r="Q175" i="24"/>
  <c r="Q111" i="24"/>
  <c r="Q47" i="24"/>
  <c r="I132" i="22"/>
  <c r="J269" i="22"/>
  <c r="I290" i="22"/>
  <c r="J192" i="22"/>
  <c r="I350" i="22"/>
  <c r="J36" i="22"/>
  <c r="I95" i="22"/>
  <c r="I90" i="22"/>
  <c r="J297" i="22"/>
  <c r="I307" i="22"/>
  <c r="I233" i="22"/>
  <c r="J67" i="22"/>
  <c r="I270" i="22"/>
  <c r="J57" i="22"/>
  <c r="J155" i="22"/>
  <c r="I138" i="22"/>
  <c r="I316" i="22"/>
  <c r="I72" i="22"/>
  <c r="I183" i="22"/>
  <c r="J127" i="22"/>
  <c r="I378" i="22"/>
  <c r="J246" i="22"/>
  <c r="I200" i="22"/>
  <c r="J267" i="22"/>
  <c r="J96" i="22"/>
  <c r="J58" i="22"/>
  <c r="J111" i="22"/>
  <c r="I87" i="22"/>
  <c r="I150" i="22"/>
  <c r="I201" i="22"/>
  <c r="I154" i="22"/>
  <c r="I113" i="22"/>
  <c r="I77" i="22"/>
  <c r="I223" i="22"/>
  <c r="I55" i="22"/>
  <c r="J374" i="22"/>
  <c r="I318" i="22"/>
  <c r="J172" i="22"/>
  <c r="I91" i="22"/>
  <c r="J39" i="22"/>
  <c r="I254" i="22"/>
  <c r="I134" i="22"/>
  <c r="J54" i="22"/>
  <c r="I109" i="22"/>
  <c r="J376" i="22"/>
  <c r="I375" i="22"/>
  <c r="I370" i="22"/>
  <c r="I277" i="22"/>
  <c r="J336" i="22"/>
  <c r="J203" i="22"/>
  <c r="J281" i="22"/>
  <c r="I81" i="22"/>
  <c r="I368" i="22"/>
  <c r="I251" i="22"/>
  <c r="J75" i="22"/>
  <c r="J238" i="22"/>
  <c r="I66" i="22"/>
  <c r="J117" i="22"/>
  <c r="J49" i="22"/>
  <c r="J256" i="22"/>
  <c r="I176" i="22"/>
  <c r="I317" i="22"/>
  <c r="J157" i="22"/>
  <c r="J300" i="22"/>
  <c r="I32" i="22"/>
  <c r="I283" i="22"/>
  <c r="I249" i="22"/>
  <c r="J295" i="22"/>
  <c r="J59" i="22"/>
  <c r="J121" i="22"/>
  <c r="I160" i="22"/>
  <c r="J86" i="22"/>
  <c r="I325" i="22"/>
  <c r="I181" i="22"/>
  <c r="I25" i="22"/>
  <c r="I340" i="22"/>
  <c r="J148" i="22"/>
  <c r="I104" i="22"/>
  <c r="I331" i="22"/>
  <c r="J143" i="22"/>
  <c r="I62" i="22"/>
  <c r="J285" i="22"/>
  <c r="I244" i="22"/>
  <c r="I162" i="22"/>
  <c r="I243" i="22"/>
  <c r="J125" i="22"/>
  <c r="I151" i="22"/>
  <c r="I123" i="22"/>
  <c r="I93" i="22"/>
  <c r="J73" i="22"/>
  <c r="I194" i="22"/>
  <c r="I184" i="22"/>
  <c r="J179" i="22"/>
  <c r="J139" i="22"/>
  <c r="I312" i="22"/>
  <c r="I289" i="22"/>
  <c r="Q351" i="24"/>
  <c r="Q319" i="24"/>
  <c r="Q287" i="24"/>
  <c r="Q255" i="24"/>
  <c r="Q223" i="24"/>
  <c r="Q191" i="24"/>
  <c r="Q159" i="24"/>
  <c r="Q127" i="24"/>
  <c r="Q95" i="24"/>
  <c r="Q63" i="24"/>
  <c r="Q31" i="24"/>
  <c r="J323" i="22"/>
  <c r="J362" i="22"/>
  <c r="I50" i="22"/>
  <c r="J261" i="22"/>
  <c r="I332" i="22"/>
  <c r="J120" i="22"/>
  <c r="I371" i="22"/>
  <c r="I250" i="22"/>
  <c r="J245" i="22"/>
  <c r="J211" i="22"/>
  <c r="J273" i="22"/>
  <c r="I92" i="22"/>
  <c r="I51" i="22"/>
  <c r="J280" i="22"/>
  <c r="I64" i="22"/>
  <c r="I186" i="22"/>
  <c r="I188" i="22"/>
  <c r="I315" i="22"/>
  <c r="I101" i="22"/>
  <c r="I313" i="22"/>
  <c r="I103" i="22"/>
  <c r="J71" i="22"/>
  <c r="J102" i="22"/>
  <c r="I70" i="22"/>
  <c r="J345" i="22"/>
  <c r="J265" i="22"/>
  <c r="I237" i="22"/>
  <c r="I348" i="22"/>
  <c r="J204" i="22"/>
  <c r="I140" i="22"/>
  <c r="J108" i="22"/>
  <c r="I100" i="22"/>
  <c r="J126" i="22"/>
  <c r="J264" i="22"/>
  <c r="J255" i="22"/>
  <c r="J187" i="22"/>
  <c r="I142" i="22"/>
  <c r="I205" i="22"/>
  <c r="I45" i="22"/>
  <c r="J52" i="22"/>
  <c r="J99" i="22"/>
  <c r="I274" i="22"/>
  <c r="I94" i="22"/>
  <c r="J169" i="22"/>
  <c r="I372" i="22"/>
  <c r="I236" i="22"/>
  <c r="I152" i="22"/>
  <c r="I40" i="22"/>
  <c r="J282" i="22"/>
  <c r="J221" i="22"/>
  <c r="J360" i="22"/>
  <c r="J263" i="22"/>
  <c r="I365" i="22"/>
  <c r="J359" i="22"/>
  <c r="I43" i="22"/>
  <c r="I364" i="22"/>
  <c r="J116" i="22"/>
  <c r="I275" i="22"/>
  <c r="J314" i="22"/>
  <c r="I321" i="22"/>
  <c r="J133" i="22"/>
  <c r="I220" i="22"/>
  <c r="Q375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103" i="24"/>
  <c r="Q87" i="24"/>
  <c r="Q71" i="24"/>
  <c r="Q55" i="24"/>
  <c r="Q39" i="24"/>
  <c r="Q23" i="24"/>
  <c r="Q379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107" i="24"/>
  <c r="Q99" i="24"/>
  <c r="Q91" i="24"/>
  <c r="Q83" i="24"/>
  <c r="Q75" i="24"/>
  <c r="Q67" i="24"/>
  <c r="Q59" i="24"/>
  <c r="Q51" i="24"/>
  <c r="Q43" i="24"/>
  <c r="Q35" i="24"/>
  <c r="Q27" i="24"/>
  <c r="Q17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7" i="24"/>
  <c r="Q33" i="24"/>
  <c r="Q29" i="24"/>
  <c r="Q25" i="24"/>
  <c r="Q21" i="24"/>
  <c r="Q15" i="24"/>
  <c r="V381" i="20"/>
  <c r="W379" i="23"/>
  <c r="J227" i="22"/>
  <c r="I227" i="22"/>
  <c r="J231" i="22"/>
  <c r="I231" i="22"/>
  <c r="D210" i="22"/>
  <c r="E210" i="22" s="1"/>
  <c r="F210" i="22" s="1"/>
  <c r="W210" i="22"/>
  <c r="J335" i="22"/>
  <c r="I335" i="22"/>
  <c r="I303" i="22"/>
  <c r="J303" i="22"/>
  <c r="J357" i="22"/>
  <c r="I357" i="22"/>
  <c r="I232" i="22"/>
  <c r="J232" i="22"/>
  <c r="J216" i="22"/>
  <c r="I216" i="22"/>
  <c r="H29" i="22"/>
  <c r="W18" i="23"/>
  <c r="D18" i="23"/>
  <c r="E18" i="23" s="1"/>
  <c r="F18" i="23" s="1"/>
  <c r="AE379" i="24"/>
  <c r="AE12" i="25" s="1"/>
  <c r="AE375" i="24"/>
  <c r="AE371" i="24"/>
  <c r="AE367" i="24"/>
  <c r="AE363" i="24"/>
  <c r="AE361" i="24"/>
  <c r="AE355" i="24"/>
  <c r="AE353" i="24"/>
  <c r="AE349" i="24"/>
  <c r="AE345" i="24"/>
  <c r="AE341" i="24"/>
  <c r="AE337" i="24"/>
  <c r="AE333" i="24"/>
  <c r="AE329" i="24"/>
  <c r="AE325" i="24"/>
  <c r="AE321" i="24"/>
  <c r="AE317" i="24"/>
  <c r="AE313" i="24"/>
  <c r="AE309" i="24"/>
  <c r="AE305" i="24"/>
  <c r="AE301" i="24"/>
  <c r="AE297" i="24"/>
  <c r="AE293" i="24"/>
  <c r="AE289" i="24"/>
  <c r="AE285" i="24"/>
  <c r="AE281" i="24"/>
  <c r="AE277" i="24"/>
  <c r="AE273" i="24"/>
  <c r="AE269" i="24"/>
  <c r="AE265" i="24"/>
  <c r="AE261" i="24"/>
  <c r="AE257" i="24"/>
  <c r="AE253" i="24"/>
  <c r="AE251" i="24"/>
  <c r="AE247" i="24"/>
  <c r="AE243" i="24"/>
  <c r="AE237" i="24"/>
  <c r="AE233" i="24"/>
  <c r="AE229" i="24"/>
  <c r="AE225" i="24"/>
  <c r="AE221" i="24"/>
  <c r="AE217" i="24"/>
  <c r="AE213" i="24"/>
  <c r="AE209" i="24"/>
  <c r="AE205" i="24"/>
  <c r="AE201" i="24"/>
  <c r="AE197" i="24"/>
  <c r="AE193" i="24"/>
  <c r="AE189" i="24"/>
  <c r="AE185" i="24"/>
  <c r="AE181" i="24"/>
  <c r="AE177" i="24"/>
  <c r="AE173" i="24"/>
  <c r="AE169" i="24"/>
  <c r="AE165" i="24"/>
  <c r="AE161" i="24"/>
  <c r="AE157" i="24"/>
  <c r="AE151" i="24"/>
  <c r="AE147" i="24"/>
  <c r="AE143" i="24"/>
  <c r="AE139" i="24"/>
  <c r="AE137" i="24"/>
  <c r="AE133" i="24"/>
  <c r="AE129" i="24"/>
  <c r="AE125" i="24"/>
  <c r="AE121" i="24"/>
  <c r="AE117" i="24"/>
  <c r="AE113" i="24"/>
  <c r="AE109" i="24"/>
  <c r="AE105" i="24"/>
  <c r="AE99" i="24"/>
  <c r="AE95" i="24"/>
  <c r="AE91" i="24"/>
  <c r="AE87" i="24"/>
  <c r="AE83" i="24"/>
  <c r="AE79" i="24"/>
  <c r="AE75" i="24"/>
  <c r="AE71" i="24"/>
  <c r="AE67" i="24"/>
  <c r="AE63" i="24"/>
  <c r="AE59" i="24"/>
  <c r="AE55" i="24"/>
  <c r="AE51" i="24"/>
  <c r="AE47" i="24"/>
  <c r="AE43" i="24"/>
  <c r="AE39" i="24"/>
  <c r="AE35" i="24"/>
  <c r="AE31" i="24"/>
  <c r="AE27" i="24"/>
  <c r="AE23" i="24"/>
  <c r="AE21" i="24"/>
  <c r="AE18" i="24"/>
  <c r="J288" i="22"/>
  <c r="I288" i="22"/>
  <c r="N66" i="19"/>
  <c r="D26" i="23"/>
  <c r="E26" i="23" s="1"/>
  <c r="F26" i="23" s="1"/>
  <c r="H26" i="23" s="1"/>
  <c r="W26" i="23"/>
  <c r="W16" i="23"/>
  <c r="D16" i="23"/>
  <c r="E16" i="23" s="1"/>
  <c r="F16" i="23" s="1"/>
  <c r="H16" i="23" s="1"/>
  <c r="J199" i="22"/>
  <c r="I199" i="22"/>
  <c r="J299" i="22"/>
  <c r="I299" i="22"/>
  <c r="I287" i="22"/>
  <c r="J287" i="22"/>
  <c r="D119" i="22"/>
  <c r="E119" i="22" s="1"/>
  <c r="F119" i="22" s="1"/>
  <c r="W119" i="22"/>
  <c r="I354" i="22"/>
  <c r="J354" i="22"/>
  <c r="J346" i="22"/>
  <c r="I346" i="22"/>
  <c r="J234" i="22"/>
  <c r="I234" i="22"/>
  <c r="J230" i="22"/>
  <c r="I230" i="22"/>
  <c r="I214" i="22"/>
  <c r="J214" i="22"/>
  <c r="J190" i="22"/>
  <c r="I190" i="22"/>
  <c r="I351" i="22"/>
  <c r="J351" i="22"/>
  <c r="I319" i="22"/>
  <c r="J319" i="22"/>
  <c r="J301" i="22"/>
  <c r="I301" i="22"/>
  <c r="J209" i="22"/>
  <c r="I209" i="22"/>
  <c r="W149" i="22"/>
  <c r="D149" i="22"/>
  <c r="E149" i="22" s="1"/>
  <c r="F149" i="22" s="1"/>
  <c r="J352" i="22"/>
  <c r="I352" i="22"/>
  <c r="I240" i="22"/>
  <c r="J240" i="22"/>
  <c r="I196" i="22"/>
  <c r="J196" i="22"/>
  <c r="W180" i="22"/>
  <c r="D180" i="22"/>
  <c r="E180" i="22" s="1"/>
  <c r="F180" i="22" s="1"/>
  <c r="H180" i="22" s="1"/>
  <c r="W88" i="22"/>
  <c r="D88" i="22"/>
  <c r="E88" i="22" s="1"/>
  <c r="F88" i="22" s="1"/>
  <c r="J258" i="22"/>
  <c r="I258" i="22"/>
  <c r="H210" i="22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50" i="24"/>
  <c r="Q48" i="24"/>
  <c r="Q46" i="24"/>
  <c r="Q44" i="24"/>
  <c r="Q42" i="24"/>
  <c r="Q40" i="24"/>
  <c r="Q38" i="24"/>
  <c r="Q36" i="24"/>
  <c r="Q34" i="24"/>
  <c r="Q32" i="24"/>
  <c r="Q30" i="24"/>
  <c r="Q28" i="24"/>
  <c r="Q26" i="24"/>
  <c r="Q24" i="24"/>
  <c r="Q22" i="24"/>
  <c r="Q20" i="24"/>
  <c r="Q19" i="24"/>
  <c r="Q16" i="24"/>
  <c r="Q18" i="24"/>
  <c r="AE378" i="24"/>
  <c r="AE376" i="24"/>
  <c r="AE374" i="24"/>
  <c r="AE372" i="24"/>
  <c r="AE370" i="24"/>
  <c r="AE368" i="24"/>
  <c r="AE366" i="24"/>
  <c r="AE364" i="24"/>
  <c r="AE362" i="24"/>
  <c r="AE360" i="24"/>
  <c r="AE358" i="24"/>
  <c r="AE356" i="24"/>
  <c r="AE354" i="24"/>
  <c r="AE352" i="24"/>
  <c r="AE350" i="24"/>
  <c r="AE348" i="24"/>
  <c r="AE346" i="24"/>
  <c r="AE344" i="24"/>
  <c r="AE342" i="24"/>
  <c r="AE340" i="24"/>
  <c r="AE338" i="24"/>
  <c r="AE336" i="24"/>
  <c r="AE334" i="24"/>
  <c r="AE332" i="24"/>
  <c r="AE330" i="24"/>
  <c r="AE328" i="24"/>
  <c r="AE326" i="24"/>
  <c r="AE324" i="24"/>
  <c r="AE322" i="24"/>
  <c r="AE320" i="24"/>
  <c r="AE318" i="24"/>
  <c r="AE316" i="24"/>
  <c r="AE314" i="24"/>
  <c r="AE312" i="24"/>
  <c r="AE310" i="24"/>
  <c r="AE308" i="24"/>
  <c r="AE306" i="24"/>
  <c r="AE304" i="24"/>
  <c r="AE302" i="24"/>
  <c r="AE300" i="24"/>
  <c r="AE298" i="24"/>
  <c r="AE296" i="24"/>
  <c r="AE294" i="24"/>
  <c r="AE292" i="24"/>
  <c r="AE290" i="24"/>
  <c r="AE288" i="24"/>
  <c r="AE286" i="24"/>
  <c r="AE284" i="24"/>
  <c r="AE282" i="24"/>
  <c r="AE280" i="24"/>
  <c r="AE278" i="24"/>
  <c r="AE276" i="24"/>
  <c r="AE274" i="24"/>
  <c r="AE272" i="24"/>
  <c r="AE270" i="24"/>
  <c r="AE268" i="24"/>
  <c r="AE266" i="24"/>
  <c r="AE264" i="24"/>
  <c r="AE262" i="24"/>
  <c r="AE260" i="24"/>
  <c r="AE258" i="24"/>
  <c r="AE256" i="24"/>
  <c r="AE254" i="24"/>
  <c r="AE252" i="24"/>
  <c r="AE250" i="24"/>
  <c r="AE248" i="24"/>
  <c r="AE246" i="24"/>
  <c r="AE244" i="24"/>
  <c r="AE242" i="24"/>
  <c r="AE240" i="24"/>
  <c r="AE238" i="24"/>
  <c r="AE236" i="24"/>
  <c r="AE234" i="24"/>
  <c r="AE232" i="24"/>
  <c r="AE230" i="24"/>
  <c r="AE228" i="24"/>
  <c r="AE226" i="24"/>
  <c r="AE224" i="24"/>
  <c r="AE222" i="24"/>
  <c r="AE220" i="24"/>
  <c r="AE218" i="24"/>
  <c r="AE216" i="24"/>
  <c r="AE214" i="24"/>
  <c r="AE212" i="24"/>
  <c r="AE210" i="24"/>
  <c r="AE208" i="24"/>
  <c r="AE206" i="24"/>
  <c r="AE204" i="24"/>
  <c r="AE202" i="24"/>
  <c r="AE200" i="24"/>
  <c r="AE198" i="24"/>
  <c r="AE196" i="24"/>
  <c r="AE194" i="24"/>
  <c r="AE192" i="24"/>
  <c r="AE190" i="24"/>
  <c r="AE188" i="24"/>
  <c r="AE186" i="24"/>
  <c r="AE184" i="24"/>
  <c r="AE182" i="24"/>
  <c r="AE180" i="24"/>
  <c r="AE178" i="24"/>
  <c r="AE176" i="24"/>
  <c r="AE174" i="24"/>
  <c r="AE172" i="24"/>
  <c r="AE170" i="24"/>
  <c r="AE168" i="24"/>
  <c r="AE166" i="24"/>
  <c r="AE164" i="24"/>
  <c r="AE162" i="24"/>
  <c r="AE160" i="24"/>
  <c r="AE158" i="24"/>
  <c r="AE156" i="24"/>
  <c r="AE154" i="24"/>
  <c r="AE152" i="24"/>
  <c r="AE150" i="24"/>
  <c r="AE148" i="24"/>
  <c r="AE146" i="24"/>
  <c r="AE144" i="24"/>
  <c r="AE142" i="24"/>
  <c r="AE140" i="24"/>
  <c r="AE138" i="24"/>
  <c r="AE136" i="24"/>
  <c r="AE134" i="24"/>
  <c r="AE132" i="24"/>
  <c r="AE130" i="24"/>
  <c r="AE128" i="24"/>
  <c r="AE126" i="24"/>
  <c r="AE124" i="24"/>
  <c r="AE122" i="24"/>
  <c r="AE120" i="24"/>
  <c r="AE118" i="24"/>
  <c r="AE116" i="24"/>
  <c r="AE114" i="24"/>
  <c r="AE112" i="24"/>
  <c r="AE110" i="24"/>
  <c r="AE108" i="24"/>
  <c r="AE106" i="24"/>
  <c r="AE104" i="24"/>
  <c r="AE102" i="24"/>
  <c r="AE100" i="24"/>
  <c r="AE98" i="24"/>
  <c r="AE96" i="24"/>
  <c r="AE94" i="24"/>
  <c r="AE92" i="24"/>
  <c r="AE90" i="24"/>
  <c r="AE88" i="24"/>
  <c r="AE86" i="24"/>
  <c r="AE84" i="24"/>
  <c r="AE82" i="24"/>
  <c r="AE80" i="24"/>
  <c r="AE78" i="24"/>
  <c r="AE76" i="24"/>
  <c r="AE74" i="24"/>
  <c r="AE72" i="24"/>
  <c r="AE70" i="24"/>
  <c r="AE68" i="24"/>
  <c r="AE66" i="24"/>
  <c r="AE64" i="24"/>
  <c r="AE62" i="24"/>
  <c r="AE60" i="24"/>
  <c r="AE58" i="24"/>
  <c r="AE56" i="24"/>
  <c r="AE54" i="24"/>
  <c r="AE52" i="24"/>
  <c r="AE50" i="24"/>
  <c r="AE48" i="24"/>
  <c r="AE46" i="24"/>
  <c r="AE44" i="24"/>
  <c r="AE42" i="24"/>
  <c r="AE40" i="24"/>
  <c r="AE38" i="24"/>
  <c r="AE36" i="24"/>
  <c r="AE34" i="24"/>
  <c r="AE32" i="24"/>
  <c r="AE30" i="24"/>
  <c r="AE28" i="24"/>
  <c r="AE26" i="24"/>
  <c r="AE24" i="24"/>
  <c r="AE22" i="24"/>
  <c r="AE20" i="24"/>
  <c r="AE15" i="24"/>
  <c r="AE19" i="24"/>
  <c r="I166" i="22"/>
  <c r="J166" i="22"/>
  <c r="J18" i="22"/>
  <c r="I18" i="22"/>
  <c r="V382" i="20"/>
  <c r="I135" i="22"/>
  <c r="J135" i="22"/>
  <c r="I191" i="22"/>
  <c r="J191" i="22"/>
  <c r="AA380" i="22"/>
  <c r="Z380" i="22" s="1"/>
  <c r="Y380" i="22" s="1"/>
  <c r="G380" i="22"/>
  <c r="CC380" i="6" s="1"/>
  <c r="H380" i="22"/>
  <c r="I342" i="22"/>
  <c r="J342" i="22"/>
  <c r="I334" i="22"/>
  <c r="J334" i="22"/>
  <c r="W302" i="22"/>
  <c r="D302" i="22"/>
  <c r="E302" i="22" s="1"/>
  <c r="F302" i="22" s="1"/>
  <c r="H302" i="22" s="1"/>
  <c r="W241" i="22"/>
  <c r="D241" i="22"/>
  <c r="E241" i="22" s="1"/>
  <c r="F241" i="22" s="1"/>
  <c r="J229" i="22"/>
  <c r="I229" i="22"/>
  <c r="J217" i="22"/>
  <c r="I217" i="22"/>
  <c r="J344" i="22"/>
  <c r="I344" i="22"/>
  <c r="W60" i="22"/>
  <c r="D60" i="22"/>
  <c r="E60" i="22" s="1"/>
  <c r="F60" i="22" s="1"/>
  <c r="H60" i="22" s="1"/>
  <c r="U378" i="24"/>
  <c r="U376" i="24"/>
  <c r="U374" i="24"/>
  <c r="U372" i="24"/>
  <c r="U370" i="24"/>
  <c r="U368" i="24"/>
  <c r="U366" i="24"/>
  <c r="U364" i="24"/>
  <c r="U362" i="24"/>
  <c r="U360" i="24"/>
  <c r="U358" i="24"/>
  <c r="U356" i="24"/>
  <c r="U354" i="24"/>
  <c r="U352" i="24"/>
  <c r="U350" i="24"/>
  <c r="U348" i="24"/>
  <c r="U346" i="24"/>
  <c r="U344" i="24"/>
  <c r="U342" i="24"/>
  <c r="U340" i="24"/>
  <c r="U338" i="24"/>
  <c r="U336" i="24"/>
  <c r="U334" i="24"/>
  <c r="U332" i="24"/>
  <c r="U330" i="24"/>
  <c r="U328" i="24"/>
  <c r="U326" i="24"/>
  <c r="U324" i="24"/>
  <c r="U322" i="24"/>
  <c r="U320" i="24"/>
  <c r="U318" i="24"/>
  <c r="U316" i="24"/>
  <c r="U314" i="24"/>
  <c r="U312" i="24"/>
  <c r="U310" i="24"/>
  <c r="U308" i="24"/>
  <c r="U306" i="24"/>
  <c r="U304" i="24"/>
  <c r="U302" i="24"/>
  <c r="U300" i="24"/>
  <c r="U298" i="24"/>
  <c r="U296" i="24"/>
  <c r="U294" i="24"/>
  <c r="U292" i="24"/>
  <c r="U290" i="24"/>
  <c r="U288" i="24"/>
  <c r="U286" i="24"/>
  <c r="U284" i="24"/>
  <c r="U282" i="24"/>
  <c r="U280" i="24"/>
  <c r="U278" i="24"/>
  <c r="U276" i="24"/>
  <c r="U274" i="24"/>
  <c r="U272" i="24"/>
  <c r="U270" i="24"/>
  <c r="U268" i="24"/>
  <c r="U266" i="24"/>
  <c r="U264" i="24"/>
  <c r="U262" i="24"/>
  <c r="U260" i="24"/>
  <c r="U258" i="24"/>
  <c r="U256" i="24"/>
  <c r="U254" i="24"/>
  <c r="U252" i="24"/>
  <c r="U250" i="24"/>
  <c r="U248" i="24"/>
  <c r="U246" i="24"/>
  <c r="U244" i="24"/>
  <c r="U242" i="24"/>
  <c r="U240" i="24"/>
  <c r="U238" i="24"/>
  <c r="U236" i="24"/>
  <c r="U234" i="24"/>
  <c r="U232" i="24"/>
  <c r="U230" i="24"/>
  <c r="U228" i="24"/>
  <c r="U226" i="24"/>
  <c r="U224" i="24"/>
  <c r="U222" i="24"/>
  <c r="U220" i="24"/>
  <c r="U218" i="24"/>
  <c r="U216" i="24"/>
  <c r="U214" i="24"/>
  <c r="U212" i="24"/>
  <c r="U210" i="24"/>
  <c r="U208" i="24"/>
  <c r="U206" i="24"/>
  <c r="U204" i="24"/>
  <c r="U202" i="24"/>
  <c r="U200" i="24"/>
  <c r="U198" i="24"/>
  <c r="U196" i="24"/>
  <c r="U194" i="24"/>
  <c r="U192" i="24"/>
  <c r="U190" i="24"/>
  <c r="U188" i="24"/>
  <c r="U186" i="24"/>
  <c r="U184" i="24"/>
  <c r="U182" i="24"/>
  <c r="U180" i="24"/>
  <c r="U178" i="24"/>
  <c r="U176" i="24"/>
  <c r="U174" i="24"/>
  <c r="U172" i="24"/>
  <c r="U170" i="24"/>
  <c r="U168" i="24"/>
  <c r="U166" i="24"/>
  <c r="U164" i="24"/>
  <c r="U162" i="24"/>
  <c r="U160" i="24"/>
  <c r="U158" i="24"/>
  <c r="U156" i="24"/>
  <c r="U154" i="24"/>
  <c r="U152" i="24"/>
  <c r="U150" i="24"/>
  <c r="U148" i="24"/>
  <c r="U146" i="24"/>
  <c r="U144" i="24"/>
  <c r="U142" i="24"/>
  <c r="U140" i="24"/>
  <c r="U138" i="24"/>
  <c r="U136" i="24"/>
  <c r="U134" i="24"/>
  <c r="U132" i="24"/>
  <c r="U130" i="24"/>
  <c r="U128" i="24"/>
  <c r="U126" i="24"/>
  <c r="U124" i="24"/>
  <c r="U122" i="24"/>
  <c r="U120" i="24"/>
  <c r="U118" i="24"/>
  <c r="U116" i="24"/>
  <c r="U114" i="24"/>
  <c r="U112" i="24"/>
  <c r="U110" i="24"/>
  <c r="U108" i="24"/>
  <c r="U106" i="24"/>
  <c r="U104" i="24"/>
  <c r="U102" i="24"/>
  <c r="U100" i="24"/>
  <c r="U98" i="24"/>
  <c r="U96" i="24"/>
  <c r="U94" i="24"/>
  <c r="U92" i="24"/>
  <c r="U90" i="24"/>
  <c r="U88" i="24"/>
  <c r="U86" i="24"/>
  <c r="U84" i="24"/>
  <c r="U82" i="24"/>
  <c r="U80" i="24"/>
  <c r="U78" i="24"/>
  <c r="U76" i="24"/>
  <c r="U74" i="24"/>
  <c r="U72" i="24"/>
  <c r="U70" i="24"/>
  <c r="U68" i="24"/>
  <c r="U66" i="24"/>
  <c r="U64" i="24"/>
  <c r="U62" i="24"/>
  <c r="U60" i="24"/>
  <c r="U58" i="24"/>
  <c r="U56" i="24"/>
  <c r="U54" i="24"/>
  <c r="U52" i="24"/>
  <c r="U50" i="24"/>
  <c r="U48" i="24"/>
  <c r="U46" i="24"/>
  <c r="U44" i="24"/>
  <c r="U42" i="24"/>
  <c r="U40" i="24"/>
  <c r="U38" i="24"/>
  <c r="U36" i="24"/>
  <c r="U34" i="24"/>
  <c r="U32" i="24"/>
  <c r="U30" i="24"/>
  <c r="U28" i="24"/>
  <c r="U26" i="24"/>
  <c r="U24" i="24"/>
  <c r="U22" i="24"/>
  <c r="U20" i="24"/>
  <c r="U17" i="24"/>
  <c r="U19" i="24"/>
  <c r="S383" i="23"/>
  <c r="S381" i="23"/>
  <c r="S382" i="23"/>
  <c r="R15" i="23"/>
  <c r="P381" i="22"/>
  <c r="P382" i="22"/>
  <c r="P383" i="22"/>
  <c r="V15" i="22"/>
  <c r="AI379" i="24"/>
  <c r="AI375" i="24"/>
  <c r="AI371" i="24"/>
  <c r="AI367" i="24"/>
  <c r="AI363" i="24"/>
  <c r="AI359" i="24"/>
  <c r="AI355" i="24"/>
  <c r="AI351" i="24"/>
  <c r="AI347" i="24"/>
  <c r="AI343" i="24"/>
  <c r="AI339" i="24"/>
  <c r="AI335" i="24"/>
  <c r="AI331" i="24"/>
  <c r="AI327" i="24"/>
  <c r="AI323" i="24"/>
  <c r="AI319" i="24"/>
  <c r="AI315" i="24"/>
  <c r="AI311" i="24"/>
  <c r="AI307" i="24"/>
  <c r="AI303" i="24"/>
  <c r="AI299" i="24"/>
  <c r="AI295" i="24"/>
  <c r="AI291" i="24"/>
  <c r="AI287" i="24"/>
  <c r="AI283" i="24"/>
  <c r="AI279" i="24"/>
  <c r="AI275" i="24"/>
  <c r="AI271" i="24"/>
  <c r="AI267" i="24"/>
  <c r="AI263" i="24"/>
  <c r="AI259" i="24"/>
  <c r="AI255" i="24"/>
  <c r="AI251" i="24"/>
  <c r="AI247" i="24"/>
  <c r="AI243" i="24"/>
  <c r="AI239" i="24"/>
  <c r="AI235" i="24"/>
  <c r="AI231" i="24"/>
  <c r="AI227" i="24"/>
  <c r="AI223" i="24"/>
  <c r="AI219" i="24"/>
  <c r="AI215" i="24"/>
  <c r="AI211" i="24"/>
  <c r="AI207" i="24"/>
  <c r="AI203" i="24"/>
  <c r="AI199" i="24"/>
  <c r="AI195" i="24"/>
  <c r="AI191" i="24"/>
  <c r="AI187" i="24"/>
  <c r="AI183" i="24"/>
  <c r="AI179" i="24"/>
  <c r="AI175" i="24"/>
  <c r="AI171" i="24"/>
  <c r="AI167" i="24"/>
  <c r="AI163" i="24"/>
  <c r="AI159" i="24"/>
  <c r="AI155" i="24"/>
  <c r="AI151" i="24"/>
  <c r="AI147" i="24"/>
  <c r="AI143" i="24"/>
  <c r="AI139" i="24"/>
  <c r="AI135" i="24"/>
  <c r="AI131" i="24"/>
  <c r="AI127" i="24"/>
  <c r="AI123" i="24"/>
  <c r="AI119" i="24"/>
  <c r="AI115" i="24"/>
  <c r="AI111" i="24"/>
  <c r="AI107" i="24"/>
  <c r="AI103" i="24"/>
  <c r="AI99" i="24"/>
  <c r="AI95" i="24"/>
  <c r="AI91" i="24"/>
  <c r="AI87" i="24"/>
  <c r="AI83" i="24"/>
  <c r="AI79" i="24"/>
  <c r="AI75" i="24"/>
  <c r="AI71" i="24"/>
  <c r="AI67" i="24"/>
  <c r="AI63" i="24"/>
  <c r="AI59" i="24"/>
  <c r="AI55" i="24"/>
  <c r="AI51" i="24"/>
  <c r="AI47" i="24"/>
  <c r="AI43" i="24"/>
  <c r="AI39" i="24"/>
  <c r="AI35" i="24"/>
  <c r="AI31" i="24"/>
  <c r="AI29" i="24"/>
  <c r="AI27" i="24"/>
  <c r="AI25" i="24"/>
  <c r="AI23" i="24"/>
  <c r="AI21" i="24"/>
  <c r="AI15" i="24"/>
  <c r="AI16" i="24"/>
  <c r="AI18" i="24"/>
  <c r="E15" i="20"/>
  <c r="D9" i="20"/>
  <c r="D11" i="20" s="1"/>
  <c r="D383" i="20"/>
  <c r="AJ8" i="20"/>
  <c r="D382" i="20"/>
  <c r="D381" i="20"/>
  <c r="I206" i="22"/>
  <c r="J206" i="22"/>
  <c r="G29" i="22"/>
  <c r="CC29" i="6" s="1"/>
  <c r="AA29" i="22"/>
  <c r="Z29" i="22" s="1"/>
  <c r="Y29" i="22" s="1"/>
  <c r="J328" i="22"/>
  <c r="I328" i="22"/>
  <c r="J284" i="22"/>
  <c r="I284" i="22"/>
  <c r="D272" i="22"/>
  <c r="E272" i="22" s="1"/>
  <c r="F272" i="22" s="1"/>
  <c r="W272" i="22"/>
  <c r="I212" i="22"/>
  <c r="J212" i="22"/>
  <c r="F15" i="18"/>
  <c r="E383" i="18"/>
  <c r="AJ10" i="18"/>
  <c r="AJ12" i="18" s="1"/>
  <c r="AJ13" i="18" s="1"/>
  <c r="E381" i="18"/>
  <c r="AK8" i="18"/>
  <c r="E382" i="18"/>
  <c r="E9" i="18"/>
  <c r="E11" i="18" s="1"/>
  <c r="J74" i="22"/>
  <c r="I74" i="22"/>
  <c r="AZ15" i="7"/>
  <c r="Q12" i="25"/>
  <c r="AE377" i="24"/>
  <c r="AE373" i="24"/>
  <c r="AE369" i="24"/>
  <c r="AE365" i="24"/>
  <c r="AE359" i="24"/>
  <c r="AE357" i="24"/>
  <c r="AE351" i="24"/>
  <c r="AE347" i="24"/>
  <c r="AE343" i="24"/>
  <c r="AE339" i="24"/>
  <c r="AE335" i="24"/>
  <c r="AE331" i="24"/>
  <c r="AE327" i="24"/>
  <c r="AE323" i="24"/>
  <c r="AE319" i="24"/>
  <c r="AE315" i="24"/>
  <c r="AE311" i="24"/>
  <c r="AE307" i="24"/>
  <c r="AE303" i="24"/>
  <c r="AE299" i="24"/>
  <c r="AE295" i="24"/>
  <c r="AE291" i="24"/>
  <c r="AE287" i="24"/>
  <c r="AE283" i="24"/>
  <c r="AE279" i="24"/>
  <c r="AE275" i="24"/>
  <c r="AE271" i="24"/>
  <c r="AE267" i="24"/>
  <c r="AE263" i="24"/>
  <c r="AE259" i="24"/>
  <c r="AE255" i="24"/>
  <c r="AE249" i="24"/>
  <c r="AE245" i="24"/>
  <c r="AE241" i="24"/>
  <c r="AE239" i="24"/>
  <c r="AE235" i="24"/>
  <c r="AE231" i="24"/>
  <c r="AE227" i="24"/>
  <c r="AE223" i="24"/>
  <c r="AE219" i="24"/>
  <c r="AE215" i="24"/>
  <c r="AE211" i="24"/>
  <c r="AE207" i="24"/>
  <c r="AE203" i="24"/>
  <c r="AE199" i="24"/>
  <c r="AE195" i="24"/>
  <c r="AE191" i="24"/>
  <c r="AE187" i="24"/>
  <c r="AE183" i="24"/>
  <c r="AE179" i="24"/>
  <c r="AE175" i="24"/>
  <c r="AE171" i="24"/>
  <c r="AE167" i="24"/>
  <c r="AE163" i="24"/>
  <c r="AE159" i="24"/>
  <c r="AE155" i="24"/>
  <c r="AE153" i="24"/>
  <c r="AE149" i="24"/>
  <c r="AE145" i="24"/>
  <c r="AE141" i="24"/>
  <c r="AE135" i="24"/>
  <c r="AE131" i="24"/>
  <c r="AE127" i="24"/>
  <c r="AE123" i="24"/>
  <c r="AE119" i="24"/>
  <c r="AE115" i="24"/>
  <c r="AE111" i="24"/>
  <c r="AE107" i="24"/>
  <c r="AE103" i="24"/>
  <c r="AE101" i="24"/>
  <c r="AE97" i="24"/>
  <c r="AE93" i="24"/>
  <c r="AE89" i="24"/>
  <c r="AE85" i="24"/>
  <c r="AE81" i="24"/>
  <c r="AE77" i="24"/>
  <c r="AE73" i="24"/>
  <c r="AE69" i="24"/>
  <c r="AE65" i="24"/>
  <c r="AE61" i="24"/>
  <c r="AE57" i="24"/>
  <c r="AE53" i="24"/>
  <c r="AE49" i="24"/>
  <c r="AE45" i="24"/>
  <c r="AE41" i="24"/>
  <c r="AE37" i="24"/>
  <c r="AE33" i="24"/>
  <c r="AE29" i="24"/>
  <c r="AE25" i="24"/>
  <c r="AE16" i="24"/>
  <c r="AE17" i="24"/>
  <c r="W34" i="23"/>
  <c r="D34" i="23"/>
  <c r="E34" i="23" s="1"/>
  <c r="F34" i="23" s="1"/>
  <c r="H34" i="23" s="1"/>
  <c r="W30" i="23"/>
  <c r="D30" i="23"/>
  <c r="E30" i="23" s="1"/>
  <c r="F30" i="23" s="1"/>
  <c r="H30" i="23" s="1"/>
  <c r="D22" i="23"/>
  <c r="E22" i="23" s="1"/>
  <c r="F22" i="23" s="1"/>
  <c r="W22" i="23"/>
  <c r="W363" i="22"/>
  <c r="D363" i="22"/>
  <c r="E363" i="22" s="1"/>
  <c r="F363" i="22" s="1"/>
  <c r="I310" i="22"/>
  <c r="J310" i="22"/>
  <c r="J306" i="22"/>
  <c r="I306" i="22"/>
  <c r="I202" i="22"/>
  <c r="J202" i="22"/>
  <c r="I311" i="22"/>
  <c r="J311" i="22"/>
  <c r="J349" i="22"/>
  <c r="I349" i="22"/>
  <c r="D333" i="22"/>
  <c r="E333" i="22" s="1"/>
  <c r="F333" i="22" s="1"/>
  <c r="W333" i="22"/>
  <c r="J305" i="22"/>
  <c r="I305" i="22"/>
  <c r="I320" i="22"/>
  <c r="J320" i="22"/>
  <c r="I105" i="22"/>
  <c r="J105" i="22"/>
  <c r="U379" i="24"/>
  <c r="U377" i="24"/>
  <c r="U375" i="24"/>
  <c r="U373" i="24"/>
  <c r="U371" i="24"/>
  <c r="U369" i="24"/>
  <c r="U367" i="24"/>
  <c r="U365" i="24"/>
  <c r="U363" i="24"/>
  <c r="U361" i="24"/>
  <c r="U359" i="24"/>
  <c r="U357" i="24"/>
  <c r="U355" i="24"/>
  <c r="U353" i="24"/>
  <c r="U351" i="24"/>
  <c r="U349" i="24"/>
  <c r="U347" i="24"/>
  <c r="U345" i="24"/>
  <c r="U343" i="24"/>
  <c r="U341" i="24"/>
  <c r="U339" i="24"/>
  <c r="U337" i="24"/>
  <c r="U335" i="24"/>
  <c r="U333" i="24"/>
  <c r="U331" i="24"/>
  <c r="U329" i="24"/>
  <c r="U327" i="24"/>
  <c r="U325" i="24"/>
  <c r="U323" i="24"/>
  <c r="U321" i="24"/>
  <c r="U319" i="24"/>
  <c r="U317" i="24"/>
  <c r="U315" i="24"/>
  <c r="U313" i="24"/>
  <c r="U311" i="24"/>
  <c r="U309" i="24"/>
  <c r="U307" i="24"/>
  <c r="U305" i="24"/>
  <c r="U303" i="24"/>
  <c r="U301" i="24"/>
  <c r="U299" i="24"/>
  <c r="U297" i="24"/>
  <c r="U295" i="24"/>
  <c r="U293" i="24"/>
  <c r="U291" i="24"/>
  <c r="U289" i="24"/>
  <c r="U287" i="24"/>
  <c r="U285" i="24"/>
  <c r="U283" i="24"/>
  <c r="U281" i="24"/>
  <c r="U279" i="24"/>
  <c r="U277" i="24"/>
  <c r="U275" i="24"/>
  <c r="U273" i="24"/>
  <c r="U271" i="24"/>
  <c r="U269" i="24"/>
  <c r="U267" i="24"/>
  <c r="U265" i="24"/>
  <c r="U263" i="24"/>
  <c r="U261" i="24"/>
  <c r="U259" i="24"/>
  <c r="U257" i="24"/>
  <c r="U255" i="24"/>
  <c r="U253" i="24"/>
  <c r="U251" i="24"/>
  <c r="U249" i="24"/>
  <c r="U247" i="24"/>
  <c r="U245" i="24"/>
  <c r="U243" i="24"/>
  <c r="U241" i="24"/>
  <c r="U239" i="24"/>
  <c r="U237" i="24"/>
  <c r="U235" i="24"/>
  <c r="U233" i="24"/>
  <c r="U231" i="24"/>
  <c r="U229" i="24"/>
  <c r="U227" i="24"/>
  <c r="U225" i="24"/>
  <c r="U223" i="24"/>
  <c r="U221" i="24"/>
  <c r="U219" i="24"/>
  <c r="U217" i="24"/>
  <c r="U215" i="24"/>
  <c r="U213" i="24"/>
  <c r="U211" i="24"/>
  <c r="U209" i="24"/>
  <c r="U207" i="24"/>
  <c r="U205" i="24"/>
  <c r="U203" i="24"/>
  <c r="U201" i="24"/>
  <c r="U199" i="24"/>
  <c r="U197" i="24"/>
  <c r="U195" i="24"/>
  <c r="U193" i="24"/>
  <c r="U191" i="24"/>
  <c r="U189" i="24"/>
  <c r="U187" i="24"/>
  <c r="U185" i="24"/>
  <c r="U183" i="24"/>
  <c r="U181" i="24"/>
  <c r="U179" i="24"/>
  <c r="U177" i="24"/>
  <c r="U175" i="24"/>
  <c r="U173" i="24"/>
  <c r="U171" i="24"/>
  <c r="U169" i="24"/>
  <c r="U167" i="24"/>
  <c r="U165" i="24"/>
  <c r="U163" i="24"/>
  <c r="U161" i="24"/>
  <c r="U159" i="24"/>
  <c r="U157" i="24"/>
  <c r="U155" i="24"/>
  <c r="U153" i="24"/>
  <c r="U151" i="24"/>
  <c r="U149" i="24"/>
  <c r="U147" i="24"/>
  <c r="U145" i="24"/>
  <c r="U143" i="24"/>
  <c r="U141" i="24"/>
  <c r="U139" i="24"/>
  <c r="U137" i="24"/>
  <c r="U135" i="24"/>
  <c r="U133" i="24"/>
  <c r="U131" i="24"/>
  <c r="U129" i="24"/>
  <c r="U127" i="24"/>
  <c r="U125" i="24"/>
  <c r="U123" i="24"/>
  <c r="U121" i="24"/>
  <c r="U119" i="24"/>
  <c r="U117" i="24"/>
  <c r="U115" i="24"/>
  <c r="U113" i="24"/>
  <c r="U111" i="24"/>
  <c r="U109" i="24"/>
  <c r="U107" i="24"/>
  <c r="U105" i="24"/>
  <c r="U103" i="24"/>
  <c r="U101" i="24"/>
  <c r="U99" i="24"/>
  <c r="U97" i="24"/>
  <c r="U95" i="24"/>
  <c r="U93" i="24"/>
  <c r="U91" i="24"/>
  <c r="U89" i="24"/>
  <c r="U87" i="24"/>
  <c r="U85" i="24"/>
  <c r="U83" i="24"/>
  <c r="U81" i="24"/>
  <c r="U79" i="24"/>
  <c r="U77" i="24"/>
  <c r="U75" i="24"/>
  <c r="U73" i="24"/>
  <c r="U71" i="24"/>
  <c r="U69" i="24"/>
  <c r="U67" i="24"/>
  <c r="U65" i="24"/>
  <c r="U63" i="24"/>
  <c r="U61" i="24"/>
  <c r="U59" i="24"/>
  <c r="U57" i="24"/>
  <c r="U55" i="24"/>
  <c r="U53" i="24"/>
  <c r="U51" i="24"/>
  <c r="U49" i="24"/>
  <c r="U47" i="24"/>
  <c r="U45" i="24"/>
  <c r="U43" i="24"/>
  <c r="U41" i="24"/>
  <c r="U39" i="24"/>
  <c r="U37" i="24"/>
  <c r="U35" i="24"/>
  <c r="U33" i="24"/>
  <c r="U31" i="24"/>
  <c r="U29" i="24"/>
  <c r="U27" i="24"/>
  <c r="U25" i="24"/>
  <c r="U23" i="24"/>
  <c r="U21" i="24"/>
  <c r="U16" i="24"/>
  <c r="U15" i="24"/>
  <c r="U18" i="24"/>
  <c r="W377" i="23"/>
  <c r="D377" i="23"/>
  <c r="E377" i="23" s="1"/>
  <c r="F377" i="23" s="1"/>
  <c r="W375" i="23"/>
  <c r="D375" i="23"/>
  <c r="E375" i="23" s="1"/>
  <c r="F375" i="23" s="1"/>
  <c r="W373" i="23"/>
  <c r="D373" i="23"/>
  <c r="E373" i="23" s="1"/>
  <c r="F373" i="23" s="1"/>
  <c r="W371" i="23"/>
  <c r="D371" i="23"/>
  <c r="E371" i="23" s="1"/>
  <c r="F371" i="23" s="1"/>
  <c r="W369" i="23"/>
  <c r="D369" i="23"/>
  <c r="E369" i="23" s="1"/>
  <c r="F369" i="23" s="1"/>
  <c r="W367" i="23"/>
  <c r="D367" i="23"/>
  <c r="E367" i="23" s="1"/>
  <c r="F367" i="23" s="1"/>
  <c r="W365" i="23"/>
  <c r="D365" i="23"/>
  <c r="E365" i="23" s="1"/>
  <c r="F365" i="23" s="1"/>
  <c r="AH55" i="7"/>
  <c r="V363" i="23"/>
  <c r="B363" i="23" s="1"/>
  <c r="D361" i="23"/>
  <c r="E361" i="23" s="1"/>
  <c r="F361" i="23" s="1"/>
  <c r="W361" i="23"/>
  <c r="W359" i="23"/>
  <c r="D359" i="23"/>
  <c r="E359" i="23" s="1"/>
  <c r="F359" i="23" s="1"/>
  <c r="D357" i="23"/>
  <c r="E357" i="23" s="1"/>
  <c r="F357" i="23" s="1"/>
  <c r="W357" i="23"/>
  <c r="W355" i="23"/>
  <c r="D355" i="23"/>
  <c r="E355" i="23" s="1"/>
  <c r="F355" i="23" s="1"/>
  <c r="W353" i="23"/>
  <c r="D353" i="23"/>
  <c r="E353" i="23" s="1"/>
  <c r="F353" i="23" s="1"/>
  <c r="W351" i="23"/>
  <c r="D351" i="23"/>
  <c r="E351" i="23" s="1"/>
  <c r="F351" i="23" s="1"/>
  <c r="B349" i="23"/>
  <c r="D347" i="23"/>
  <c r="E347" i="23" s="1"/>
  <c r="F347" i="23" s="1"/>
  <c r="H347" i="23" s="1"/>
  <c r="W347" i="23"/>
  <c r="D345" i="23"/>
  <c r="E345" i="23" s="1"/>
  <c r="F345" i="23" s="1"/>
  <c r="H345" i="23" s="1"/>
  <c r="W345" i="23"/>
  <c r="D343" i="23"/>
  <c r="E343" i="23" s="1"/>
  <c r="F343" i="23" s="1"/>
  <c r="H343" i="23" s="1"/>
  <c r="W343" i="23"/>
  <c r="D341" i="23"/>
  <c r="E341" i="23" s="1"/>
  <c r="F341" i="23" s="1"/>
  <c r="H341" i="23" s="1"/>
  <c r="W341" i="23"/>
  <c r="W339" i="23"/>
  <c r="D339" i="23"/>
  <c r="E339" i="23" s="1"/>
  <c r="F339" i="23" s="1"/>
  <c r="W337" i="23"/>
  <c r="D337" i="23"/>
  <c r="E337" i="23" s="1"/>
  <c r="F337" i="23" s="1"/>
  <c r="W335" i="23"/>
  <c r="D335" i="23"/>
  <c r="E335" i="23" s="1"/>
  <c r="F335" i="23" s="1"/>
  <c r="AH54" i="7"/>
  <c r="V333" i="23"/>
  <c r="B333" i="23" s="1"/>
  <c r="D331" i="23"/>
  <c r="E331" i="23" s="1"/>
  <c r="F331" i="23" s="1"/>
  <c r="W331" i="23"/>
  <c r="W329" i="23"/>
  <c r="D329" i="23"/>
  <c r="E329" i="23" s="1"/>
  <c r="F329" i="23" s="1"/>
  <c r="W327" i="23"/>
  <c r="D327" i="23"/>
  <c r="E327" i="23" s="1"/>
  <c r="F327" i="23" s="1"/>
  <c r="W325" i="23"/>
  <c r="D325" i="23"/>
  <c r="E325" i="23" s="1"/>
  <c r="F325" i="23" s="1"/>
  <c r="W323" i="23"/>
  <c r="D323" i="23"/>
  <c r="E323" i="23" s="1"/>
  <c r="F323" i="23" s="1"/>
  <c r="H323" i="23" s="1"/>
  <c r="D321" i="23"/>
  <c r="E321" i="23" s="1"/>
  <c r="F321" i="23" s="1"/>
  <c r="W321" i="23"/>
  <c r="B319" i="23"/>
  <c r="D317" i="23"/>
  <c r="E317" i="23" s="1"/>
  <c r="F317" i="23" s="1"/>
  <c r="W317" i="23"/>
  <c r="W315" i="23"/>
  <c r="D315" i="23"/>
  <c r="E315" i="23" s="1"/>
  <c r="F315" i="23" s="1"/>
  <c r="W313" i="23"/>
  <c r="D313" i="23"/>
  <c r="E313" i="23" s="1"/>
  <c r="F313" i="23" s="1"/>
  <c r="D311" i="23"/>
  <c r="E311" i="23" s="1"/>
  <c r="F311" i="23" s="1"/>
  <c r="W311" i="23"/>
  <c r="W309" i="23"/>
  <c r="D309" i="23"/>
  <c r="E309" i="23" s="1"/>
  <c r="F309" i="23" s="1"/>
  <c r="D307" i="23"/>
  <c r="E307" i="23" s="1"/>
  <c r="F307" i="23" s="1"/>
  <c r="W307" i="23"/>
  <c r="W305" i="23"/>
  <c r="D305" i="23"/>
  <c r="E305" i="23" s="1"/>
  <c r="F305" i="23" s="1"/>
  <c r="W303" i="23"/>
  <c r="D303" i="23"/>
  <c r="E303" i="23" s="1"/>
  <c r="F303" i="23" s="1"/>
  <c r="D301" i="23"/>
  <c r="E301" i="23" s="1"/>
  <c r="F301" i="23" s="1"/>
  <c r="W301" i="23"/>
  <c r="D299" i="23"/>
  <c r="E299" i="23" s="1"/>
  <c r="F299" i="23" s="1"/>
  <c r="W299" i="23"/>
  <c r="W297" i="23"/>
  <c r="D297" i="23"/>
  <c r="E297" i="23" s="1"/>
  <c r="F297" i="23" s="1"/>
  <c r="H297" i="23" s="1"/>
  <c r="D295" i="23"/>
  <c r="E295" i="23" s="1"/>
  <c r="F295" i="23" s="1"/>
  <c r="H295" i="23" s="1"/>
  <c r="W295" i="23"/>
  <c r="D293" i="23"/>
  <c r="E293" i="23" s="1"/>
  <c r="F293" i="23" s="1"/>
  <c r="W293" i="23"/>
  <c r="W291" i="23"/>
  <c r="D291" i="23"/>
  <c r="E291" i="23" s="1"/>
  <c r="F291" i="23" s="1"/>
  <c r="W289" i="23"/>
  <c r="D289" i="23"/>
  <c r="E289" i="23" s="1"/>
  <c r="F289" i="23" s="1"/>
  <c r="W287" i="23"/>
  <c r="D287" i="23"/>
  <c r="E287" i="23" s="1"/>
  <c r="F287" i="23" s="1"/>
  <c r="D285" i="23"/>
  <c r="E285" i="23" s="1"/>
  <c r="F285" i="23" s="1"/>
  <c r="W285" i="23"/>
  <c r="W283" i="23"/>
  <c r="D283" i="23"/>
  <c r="E283" i="23" s="1"/>
  <c r="F283" i="23" s="1"/>
  <c r="D281" i="23"/>
  <c r="E281" i="23" s="1"/>
  <c r="F281" i="23" s="1"/>
  <c r="W281" i="23"/>
  <c r="D279" i="23"/>
  <c r="E279" i="23" s="1"/>
  <c r="F279" i="23" s="1"/>
  <c r="H279" i="23" s="1"/>
  <c r="W279" i="23"/>
  <c r="D277" i="23"/>
  <c r="E277" i="23" s="1"/>
  <c r="F277" i="23" s="1"/>
  <c r="W277" i="23"/>
  <c r="D275" i="23"/>
  <c r="E275" i="23" s="1"/>
  <c r="F275" i="23" s="1"/>
  <c r="W275" i="23"/>
  <c r="D273" i="23"/>
  <c r="E273" i="23" s="1"/>
  <c r="F273" i="23" s="1"/>
  <c r="W273" i="23"/>
  <c r="D271" i="23"/>
  <c r="E271" i="23" s="1"/>
  <c r="F271" i="23" s="1"/>
  <c r="W271" i="23"/>
  <c r="D269" i="23"/>
  <c r="E269" i="23" s="1"/>
  <c r="F269" i="23" s="1"/>
  <c r="W269" i="23"/>
  <c r="D267" i="23"/>
  <c r="E267" i="23" s="1"/>
  <c r="F267" i="23" s="1"/>
  <c r="W267" i="23"/>
  <c r="D265" i="23"/>
  <c r="E265" i="23" s="1"/>
  <c r="F265" i="23" s="1"/>
  <c r="W265" i="23"/>
  <c r="D263" i="23"/>
  <c r="E263" i="23" s="1"/>
  <c r="F263" i="23" s="1"/>
  <c r="W263" i="23"/>
  <c r="D261" i="23"/>
  <c r="E261" i="23" s="1"/>
  <c r="F261" i="23" s="1"/>
  <c r="H261" i="23" s="1"/>
  <c r="W261" i="23"/>
  <c r="D259" i="23"/>
  <c r="E259" i="23" s="1"/>
  <c r="F259" i="23" s="1"/>
  <c r="W259" i="23"/>
  <c r="W257" i="23"/>
  <c r="D257" i="23"/>
  <c r="E257" i="23" s="1"/>
  <c r="F257" i="23" s="1"/>
  <c r="W255" i="23"/>
  <c r="D255" i="23"/>
  <c r="E255" i="23" s="1"/>
  <c r="F255" i="23" s="1"/>
  <c r="W253" i="23"/>
  <c r="D253" i="23"/>
  <c r="E253" i="23" s="1"/>
  <c r="F253" i="23" s="1"/>
  <c r="W251" i="23"/>
  <c r="D251" i="23"/>
  <c r="E251" i="23" s="1"/>
  <c r="F251" i="23" s="1"/>
  <c r="D249" i="23"/>
  <c r="E249" i="23" s="1"/>
  <c r="F249" i="23" s="1"/>
  <c r="W249" i="23"/>
  <c r="D247" i="23"/>
  <c r="E247" i="23" s="1"/>
  <c r="F247" i="23" s="1"/>
  <c r="W247" i="23"/>
  <c r="W245" i="23"/>
  <c r="D245" i="23"/>
  <c r="E245" i="23" s="1"/>
  <c r="F245" i="23" s="1"/>
  <c r="W243" i="23"/>
  <c r="D243" i="23"/>
  <c r="E243" i="23" s="1"/>
  <c r="F243" i="23" s="1"/>
  <c r="AH51" i="7"/>
  <c r="V241" i="23"/>
  <c r="I68" i="19" s="1"/>
  <c r="D239" i="23"/>
  <c r="E239" i="23" s="1"/>
  <c r="F239" i="23" s="1"/>
  <c r="W239" i="23"/>
  <c r="D237" i="23"/>
  <c r="E237" i="23" s="1"/>
  <c r="F237" i="23" s="1"/>
  <c r="W237" i="23"/>
  <c r="D235" i="23"/>
  <c r="E235" i="23" s="1"/>
  <c r="F235" i="23" s="1"/>
  <c r="W235" i="23"/>
  <c r="D233" i="23"/>
  <c r="E233" i="23" s="1"/>
  <c r="F233" i="23" s="1"/>
  <c r="W233" i="23"/>
  <c r="W231" i="23"/>
  <c r="D231" i="23"/>
  <c r="E231" i="23" s="1"/>
  <c r="F231" i="23" s="1"/>
  <c r="W229" i="23"/>
  <c r="D229" i="23"/>
  <c r="E229" i="23" s="1"/>
  <c r="F229" i="23" s="1"/>
  <c r="D227" i="23"/>
  <c r="E227" i="23" s="1"/>
  <c r="F227" i="23" s="1"/>
  <c r="W227" i="23"/>
  <c r="W225" i="23"/>
  <c r="D225" i="23"/>
  <c r="E225" i="23" s="1"/>
  <c r="F225" i="23" s="1"/>
  <c r="W223" i="23"/>
  <c r="D223" i="23"/>
  <c r="E223" i="23" s="1"/>
  <c r="F223" i="23" s="1"/>
  <c r="D221" i="23"/>
  <c r="E221" i="23" s="1"/>
  <c r="F221" i="23" s="1"/>
  <c r="H221" i="23" s="1"/>
  <c r="W221" i="23"/>
  <c r="W219" i="23"/>
  <c r="D219" i="23"/>
  <c r="E219" i="23" s="1"/>
  <c r="F219" i="23" s="1"/>
  <c r="W217" i="23"/>
  <c r="D217" i="23"/>
  <c r="E217" i="23" s="1"/>
  <c r="F217" i="23" s="1"/>
  <c r="W215" i="23"/>
  <c r="D215" i="23"/>
  <c r="E215" i="23" s="1"/>
  <c r="F215" i="23" s="1"/>
  <c r="D213" i="23"/>
  <c r="E213" i="23" s="1"/>
  <c r="F213" i="23" s="1"/>
  <c r="W213" i="23"/>
  <c r="W211" i="23"/>
  <c r="D211" i="23"/>
  <c r="E211" i="23" s="1"/>
  <c r="F211" i="23" s="1"/>
  <c r="D209" i="23"/>
  <c r="E209" i="23" s="1"/>
  <c r="F209" i="23" s="1"/>
  <c r="W209" i="23"/>
  <c r="W207" i="23"/>
  <c r="D207" i="23"/>
  <c r="E207" i="23" s="1"/>
  <c r="F207" i="23" s="1"/>
  <c r="D205" i="23"/>
  <c r="E205" i="23" s="1"/>
  <c r="F205" i="23" s="1"/>
  <c r="W205" i="23"/>
  <c r="D203" i="23"/>
  <c r="E203" i="23" s="1"/>
  <c r="F203" i="23" s="1"/>
  <c r="W203" i="23"/>
  <c r="W201" i="23"/>
  <c r="D201" i="23"/>
  <c r="E201" i="23" s="1"/>
  <c r="F201" i="23" s="1"/>
  <c r="W199" i="23"/>
  <c r="D199" i="23"/>
  <c r="E199" i="23" s="1"/>
  <c r="F199" i="23" s="1"/>
  <c r="W197" i="23"/>
  <c r="D197" i="23"/>
  <c r="E197" i="23" s="1"/>
  <c r="F197" i="23" s="1"/>
  <c r="H197" i="23" s="1"/>
  <c r="D195" i="23"/>
  <c r="E195" i="23" s="1"/>
  <c r="F195" i="23" s="1"/>
  <c r="W195" i="23"/>
  <c r="W193" i="23"/>
  <c r="D193" i="23"/>
  <c r="E193" i="23" s="1"/>
  <c r="F193" i="23" s="1"/>
  <c r="W191" i="23"/>
  <c r="D191" i="23"/>
  <c r="E191" i="23" s="1"/>
  <c r="F191" i="23" s="1"/>
  <c r="D189" i="23"/>
  <c r="E189" i="23" s="1"/>
  <c r="F189" i="23" s="1"/>
  <c r="H189" i="23" s="1"/>
  <c r="W189" i="23"/>
  <c r="D187" i="23"/>
  <c r="E187" i="23" s="1"/>
  <c r="F187" i="23" s="1"/>
  <c r="H187" i="23" s="1"/>
  <c r="W187" i="23"/>
  <c r="W185" i="23"/>
  <c r="D185" i="23"/>
  <c r="E185" i="23" s="1"/>
  <c r="F185" i="23" s="1"/>
  <c r="D183" i="23"/>
  <c r="E183" i="23" s="1"/>
  <c r="F183" i="23" s="1"/>
  <c r="W183" i="23"/>
  <c r="W181" i="23"/>
  <c r="D181" i="23"/>
  <c r="E181" i="23" s="1"/>
  <c r="F181" i="23" s="1"/>
  <c r="W179" i="23"/>
  <c r="D179" i="23"/>
  <c r="E179" i="23" s="1"/>
  <c r="F179" i="23" s="1"/>
  <c r="D177" i="23"/>
  <c r="E177" i="23" s="1"/>
  <c r="F177" i="23" s="1"/>
  <c r="H177" i="23" s="1"/>
  <c r="W177" i="23"/>
  <c r="D175" i="23"/>
  <c r="E175" i="23" s="1"/>
  <c r="F175" i="23" s="1"/>
  <c r="W175" i="23"/>
  <c r="D173" i="23"/>
  <c r="E173" i="23" s="1"/>
  <c r="F173" i="23" s="1"/>
  <c r="W173" i="23"/>
  <c r="W171" i="23"/>
  <c r="D171" i="23"/>
  <c r="E171" i="23" s="1"/>
  <c r="F171" i="23" s="1"/>
  <c r="D169" i="23"/>
  <c r="E169" i="23" s="1"/>
  <c r="F169" i="23" s="1"/>
  <c r="W169" i="23"/>
  <c r="D167" i="23"/>
  <c r="E167" i="23" s="1"/>
  <c r="F167" i="23" s="1"/>
  <c r="W167" i="23"/>
  <c r="W165" i="23"/>
  <c r="D165" i="23"/>
  <c r="E165" i="23" s="1"/>
  <c r="F165" i="23" s="1"/>
  <c r="D163" i="23"/>
  <c r="E163" i="23" s="1"/>
  <c r="F163" i="23" s="1"/>
  <c r="W163" i="23"/>
  <c r="D161" i="23"/>
  <c r="E161" i="23" s="1"/>
  <c r="F161" i="23" s="1"/>
  <c r="H161" i="23" s="1"/>
  <c r="W161" i="23"/>
  <c r="D159" i="23"/>
  <c r="E159" i="23" s="1"/>
  <c r="F159" i="23" s="1"/>
  <c r="H159" i="23" s="1"/>
  <c r="W159" i="23"/>
  <c r="D157" i="23"/>
  <c r="E157" i="23" s="1"/>
  <c r="F157" i="23" s="1"/>
  <c r="W157" i="23"/>
  <c r="W155" i="23"/>
  <c r="D155" i="23"/>
  <c r="E155" i="23" s="1"/>
  <c r="F155" i="23" s="1"/>
  <c r="W153" i="23"/>
  <c r="D153" i="23"/>
  <c r="E153" i="23" s="1"/>
  <c r="F153" i="23" s="1"/>
  <c r="W151" i="23"/>
  <c r="D151" i="23"/>
  <c r="E151" i="23" s="1"/>
  <c r="F151" i="23" s="1"/>
  <c r="AH48" i="7"/>
  <c r="V149" i="23"/>
  <c r="B149" i="23" s="1"/>
  <c r="W147" i="23"/>
  <c r="D147" i="23"/>
  <c r="E147" i="23" s="1"/>
  <c r="F147" i="23" s="1"/>
  <c r="D145" i="23"/>
  <c r="E145" i="23" s="1"/>
  <c r="F145" i="23" s="1"/>
  <c r="H145" i="23" s="1"/>
  <c r="W145" i="23"/>
  <c r="D143" i="23"/>
  <c r="E143" i="23" s="1"/>
  <c r="F143" i="23" s="1"/>
  <c r="H143" i="23" s="1"/>
  <c r="W143" i="23"/>
  <c r="D141" i="23"/>
  <c r="E141" i="23" s="1"/>
  <c r="F141" i="23" s="1"/>
  <c r="H141" i="23" s="1"/>
  <c r="W141" i="23"/>
  <c r="W139" i="23"/>
  <c r="D139" i="23"/>
  <c r="E139" i="23" s="1"/>
  <c r="F139" i="23" s="1"/>
  <c r="W137" i="23"/>
  <c r="D137" i="23"/>
  <c r="E137" i="23" s="1"/>
  <c r="F137" i="23" s="1"/>
  <c r="B135" i="23"/>
  <c r="D133" i="23"/>
  <c r="E133" i="23" s="1"/>
  <c r="F133" i="23" s="1"/>
  <c r="W133" i="23"/>
  <c r="D131" i="23"/>
  <c r="E131" i="23" s="1"/>
  <c r="F131" i="23" s="1"/>
  <c r="W131" i="23"/>
  <c r="D129" i="23"/>
  <c r="E129" i="23" s="1"/>
  <c r="F129" i="23" s="1"/>
  <c r="H129" i="23" s="1"/>
  <c r="W129" i="23"/>
  <c r="D127" i="23"/>
  <c r="E127" i="23" s="1"/>
  <c r="F127" i="23" s="1"/>
  <c r="H127" i="23" s="1"/>
  <c r="W127" i="23"/>
  <c r="W125" i="23"/>
  <c r="D125" i="23"/>
  <c r="E125" i="23" s="1"/>
  <c r="F125" i="23" s="1"/>
  <c r="W123" i="23"/>
  <c r="D123" i="23"/>
  <c r="E123" i="23" s="1"/>
  <c r="F123" i="23" s="1"/>
  <c r="W121" i="23"/>
  <c r="D121" i="23"/>
  <c r="E121" i="23" s="1"/>
  <c r="F121" i="23" s="1"/>
  <c r="AH47" i="7"/>
  <c r="V119" i="23"/>
  <c r="E68" i="19" s="1"/>
  <c r="W117" i="23"/>
  <c r="D117" i="23"/>
  <c r="E117" i="23" s="1"/>
  <c r="F117" i="23" s="1"/>
  <c r="W115" i="23"/>
  <c r="D115" i="23"/>
  <c r="E115" i="23" s="1"/>
  <c r="F115" i="23" s="1"/>
  <c r="D113" i="23"/>
  <c r="E113" i="23" s="1"/>
  <c r="F113" i="23" s="1"/>
  <c r="W113" i="23"/>
  <c r="W111" i="23"/>
  <c r="D111" i="23"/>
  <c r="E111" i="23" s="1"/>
  <c r="F111" i="23" s="1"/>
  <c r="H111" i="23" s="1"/>
  <c r="W109" i="23"/>
  <c r="D109" i="23"/>
  <c r="E109" i="23" s="1"/>
  <c r="F109" i="23" s="1"/>
  <c r="D107" i="23"/>
  <c r="E107" i="23" s="1"/>
  <c r="F107" i="23" s="1"/>
  <c r="W107" i="23"/>
  <c r="W105" i="23"/>
  <c r="D105" i="23"/>
  <c r="E105" i="23" s="1"/>
  <c r="F105" i="23" s="1"/>
  <c r="D103" i="23"/>
  <c r="E103" i="23" s="1"/>
  <c r="F103" i="23" s="1"/>
  <c r="W103" i="23"/>
  <c r="W101" i="23"/>
  <c r="D101" i="23"/>
  <c r="E101" i="23" s="1"/>
  <c r="F101" i="23" s="1"/>
  <c r="D99" i="23"/>
  <c r="E99" i="23" s="1"/>
  <c r="F99" i="23" s="1"/>
  <c r="W99" i="23"/>
  <c r="W97" i="23"/>
  <c r="D97" i="23"/>
  <c r="E97" i="23" s="1"/>
  <c r="F97" i="23" s="1"/>
  <c r="D95" i="23"/>
  <c r="E95" i="23" s="1"/>
  <c r="F95" i="23" s="1"/>
  <c r="W95" i="23"/>
  <c r="W93" i="23"/>
  <c r="D93" i="23"/>
  <c r="E93" i="23" s="1"/>
  <c r="F93" i="23" s="1"/>
  <c r="W91" i="23"/>
  <c r="D91" i="23"/>
  <c r="E91" i="23" s="1"/>
  <c r="F91" i="23" s="1"/>
  <c r="D89" i="23"/>
  <c r="E89" i="23" s="1"/>
  <c r="F89" i="23" s="1"/>
  <c r="W89" i="23"/>
  <c r="D87" i="23"/>
  <c r="E87" i="23" s="1"/>
  <c r="F87" i="23" s="1"/>
  <c r="W87" i="23"/>
  <c r="D85" i="23"/>
  <c r="E85" i="23" s="1"/>
  <c r="F85" i="23" s="1"/>
  <c r="W85" i="23"/>
  <c r="W83" i="23"/>
  <c r="D83" i="23"/>
  <c r="E83" i="23" s="1"/>
  <c r="F83" i="23" s="1"/>
  <c r="H83" i="23" s="1"/>
  <c r="D81" i="23"/>
  <c r="E81" i="23" s="1"/>
  <c r="F81" i="23" s="1"/>
  <c r="W81" i="23"/>
  <c r="W79" i="23"/>
  <c r="D79" i="23"/>
  <c r="E79" i="23" s="1"/>
  <c r="F79" i="23" s="1"/>
  <c r="H79" i="23" s="1"/>
  <c r="D77" i="23"/>
  <c r="E77" i="23" s="1"/>
  <c r="F77" i="23" s="1"/>
  <c r="W77" i="23"/>
  <c r="D75" i="23"/>
  <c r="E75" i="23" s="1"/>
  <c r="F75" i="23" s="1"/>
  <c r="W75" i="23"/>
  <c r="D73" i="23"/>
  <c r="E73" i="23" s="1"/>
  <c r="F73" i="23" s="1"/>
  <c r="W73" i="23"/>
  <c r="W71" i="23"/>
  <c r="D71" i="23"/>
  <c r="E71" i="23" s="1"/>
  <c r="F71" i="23" s="1"/>
  <c r="H71" i="23" s="1"/>
  <c r="W69" i="23"/>
  <c r="D69" i="23"/>
  <c r="E69" i="23" s="1"/>
  <c r="F69" i="23" s="1"/>
  <c r="W67" i="23"/>
  <c r="D67" i="23"/>
  <c r="E67" i="23" s="1"/>
  <c r="F67" i="23" s="1"/>
  <c r="H67" i="23" s="1"/>
  <c r="W65" i="23"/>
  <c r="D65" i="23"/>
  <c r="E65" i="23" s="1"/>
  <c r="F65" i="23" s="1"/>
  <c r="H65" i="23" s="1"/>
  <c r="W63" i="23"/>
  <c r="D63" i="23"/>
  <c r="E63" i="23" s="1"/>
  <c r="F63" i="23" s="1"/>
  <c r="W61" i="23"/>
  <c r="D61" i="23"/>
  <c r="E61" i="23" s="1"/>
  <c r="F61" i="23" s="1"/>
  <c r="H61" i="23" s="1"/>
  <c r="D59" i="23"/>
  <c r="E59" i="23" s="1"/>
  <c r="F59" i="23" s="1"/>
  <c r="W59" i="23"/>
  <c r="W57" i="23"/>
  <c r="D57" i="23"/>
  <c r="E57" i="23" s="1"/>
  <c r="F57" i="23" s="1"/>
  <c r="D55" i="23"/>
  <c r="E55" i="23" s="1"/>
  <c r="F55" i="23" s="1"/>
  <c r="W55" i="23"/>
  <c r="W53" i="23"/>
  <c r="D53" i="23"/>
  <c r="E53" i="23" s="1"/>
  <c r="F53" i="23" s="1"/>
  <c r="H53" i="23" s="1"/>
  <c r="W51" i="23"/>
  <c r="D51" i="23"/>
  <c r="E51" i="23" s="1"/>
  <c r="F51" i="23" s="1"/>
  <c r="W49" i="23"/>
  <c r="D49" i="23"/>
  <c r="E49" i="23" s="1"/>
  <c r="F49" i="23" s="1"/>
  <c r="H49" i="23" s="1"/>
  <c r="D47" i="23"/>
  <c r="E47" i="23" s="1"/>
  <c r="F47" i="23" s="1"/>
  <c r="W47" i="23"/>
  <c r="D45" i="23"/>
  <c r="E45" i="23" s="1"/>
  <c r="F45" i="23" s="1"/>
  <c r="W45" i="23"/>
  <c r="W43" i="23"/>
  <c r="D43" i="23"/>
  <c r="E43" i="23" s="1"/>
  <c r="F43" i="23" s="1"/>
  <c r="D41" i="23"/>
  <c r="E41" i="23" s="1"/>
  <c r="F41" i="23" s="1"/>
  <c r="W41" i="23"/>
  <c r="D39" i="23"/>
  <c r="E39" i="23" s="1"/>
  <c r="F39" i="23" s="1"/>
  <c r="H39" i="23" s="1"/>
  <c r="W39" i="23"/>
  <c r="W37" i="23"/>
  <c r="D37" i="23"/>
  <c r="E37" i="23" s="1"/>
  <c r="F37" i="23" s="1"/>
  <c r="H37" i="23" s="1"/>
  <c r="W35" i="23"/>
  <c r="D35" i="23"/>
  <c r="E35" i="23" s="1"/>
  <c r="F35" i="23" s="1"/>
  <c r="D33" i="23"/>
  <c r="E33" i="23" s="1"/>
  <c r="F33" i="23" s="1"/>
  <c r="W33" i="23"/>
  <c r="W31" i="23"/>
  <c r="D31" i="23"/>
  <c r="E31" i="23" s="1"/>
  <c r="F31" i="23" s="1"/>
  <c r="AH44" i="7"/>
  <c r="V29" i="23"/>
  <c r="B29" i="23" s="1"/>
  <c r="W27" i="23"/>
  <c r="D27" i="23"/>
  <c r="E27" i="23" s="1"/>
  <c r="F27" i="23" s="1"/>
  <c r="H27" i="23" s="1"/>
  <c r="D25" i="23"/>
  <c r="E25" i="23" s="1"/>
  <c r="F25" i="23" s="1"/>
  <c r="W25" i="23"/>
  <c r="W23" i="23"/>
  <c r="D23" i="23"/>
  <c r="E23" i="23" s="1"/>
  <c r="F23" i="23" s="1"/>
  <c r="W21" i="23"/>
  <c r="D21" i="23"/>
  <c r="E21" i="23" s="1"/>
  <c r="F21" i="23" s="1"/>
  <c r="W17" i="23"/>
  <c r="D17" i="23"/>
  <c r="E17" i="23" s="1"/>
  <c r="F17" i="23" s="1"/>
  <c r="I46" i="22"/>
  <c r="J46" i="22"/>
  <c r="AI378" i="24"/>
  <c r="AI376" i="24"/>
  <c r="AI374" i="24"/>
  <c r="AI372" i="24"/>
  <c r="AI370" i="24"/>
  <c r="AI368" i="24"/>
  <c r="AI366" i="24"/>
  <c r="AI364" i="24"/>
  <c r="AI362" i="24"/>
  <c r="AI360" i="24"/>
  <c r="AI358" i="24"/>
  <c r="AI356" i="24"/>
  <c r="AI354" i="24"/>
  <c r="AI352" i="24"/>
  <c r="AI350" i="24"/>
  <c r="AI348" i="24"/>
  <c r="AI346" i="24"/>
  <c r="AI344" i="24"/>
  <c r="AI342" i="24"/>
  <c r="AI340" i="24"/>
  <c r="AI338" i="24"/>
  <c r="AI336" i="24"/>
  <c r="AI334" i="24"/>
  <c r="AI332" i="24"/>
  <c r="AI330" i="24"/>
  <c r="AI328" i="24"/>
  <c r="AI326" i="24"/>
  <c r="AI324" i="24"/>
  <c r="AI322" i="24"/>
  <c r="AI320" i="24"/>
  <c r="AI318" i="24"/>
  <c r="AI316" i="24"/>
  <c r="AI314" i="24"/>
  <c r="AI312" i="24"/>
  <c r="AI310" i="24"/>
  <c r="AI308" i="24"/>
  <c r="AI306" i="24"/>
  <c r="AI304" i="24"/>
  <c r="AI302" i="24"/>
  <c r="AI300" i="24"/>
  <c r="AI298" i="24"/>
  <c r="AI296" i="24"/>
  <c r="AI294" i="24"/>
  <c r="AI292" i="24"/>
  <c r="AI290" i="24"/>
  <c r="AI288" i="24"/>
  <c r="AI286" i="24"/>
  <c r="AI284" i="24"/>
  <c r="AI282" i="24"/>
  <c r="AI280" i="24"/>
  <c r="AI278" i="24"/>
  <c r="AI276" i="24"/>
  <c r="AI274" i="24"/>
  <c r="AI272" i="24"/>
  <c r="AI270" i="24"/>
  <c r="AI268" i="24"/>
  <c r="AI266" i="24"/>
  <c r="AI264" i="24"/>
  <c r="AI262" i="24"/>
  <c r="AI260" i="24"/>
  <c r="AI258" i="24"/>
  <c r="AI256" i="24"/>
  <c r="AI254" i="24"/>
  <c r="AI252" i="24"/>
  <c r="AI250" i="24"/>
  <c r="AI248" i="24"/>
  <c r="AI246" i="24"/>
  <c r="AI244" i="24"/>
  <c r="AI242" i="24"/>
  <c r="AI240" i="24"/>
  <c r="AI238" i="24"/>
  <c r="AI236" i="24"/>
  <c r="AI234" i="24"/>
  <c r="AI232" i="24"/>
  <c r="AI230" i="24"/>
  <c r="AI228" i="24"/>
  <c r="AI226" i="24"/>
  <c r="AI224" i="24"/>
  <c r="AI222" i="24"/>
  <c r="AI220" i="24"/>
  <c r="AI218" i="24"/>
  <c r="AI216" i="24"/>
  <c r="AI214" i="24"/>
  <c r="AI212" i="24"/>
  <c r="AI210" i="24"/>
  <c r="AI208" i="24"/>
  <c r="AI206" i="24"/>
  <c r="AI204" i="24"/>
  <c r="AI202" i="24"/>
  <c r="AI200" i="24"/>
  <c r="AI198" i="24"/>
  <c r="AI196" i="24"/>
  <c r="AI194" i="24"/>
  <c r="AI192" i="24"/>
  <c r="AI190" i="24"/>
  <c r="AI188" i="24"/>
  <c r="AI186" i="24"/>
  <c r="AI184" i="24"/>
  <c r="AI182" i="24"/>
  <c r="AI180" i="24"/>
  <c r="AI178" i="24"/>
  <c r="AI176" i="24"/>
  <c r="AI174" i="24"/>
  <c r="AI172" i="24"/>
  <c r="AI170" i="24"/>
  <c r="AI168" i="24"/>
  <c r="AI166" i="24"/>
  <c r="AI164" i="24"/>
  <c r="AI162" i="24"/>
  <c r="AI160" i="24"/>
  <c r="AI158" i="24"/>
  <c r="AI156" i="24"/>
  <c r="AI154" i="24"/>
  <c r="AI152" i="24"/>
  <c r="AI150" i="24"/>
  <c r="AI148" i="24"/>
  <c r="AI146" i="24"/>
  <c r="AI144" i="24"/>
  <c r="AI142" i="24"/>
  <c r="AI140" i="24"/>
  <c r="AI138" i="24"/>
  <c r="AI136" i="24"/>
  <c r="AI134" i="24"/>
  <c r="AI132" i="24"/>
  <c r="AI130" i="24"/>
  <c r="AI128" i="24"/>
  <c r="AI126" i="24"/>
  <c r="AI124" i="24"/>
  <c r="AI122" i="24"/>
  <c r="AI120" i="24"/>
  <c r="AI118" i="24"/>
  <c r="AI116" i="24"/>
  <c r="AI114" i="24"/>
  <c r="AI112" i="24"/>
  <c r="AI110" i="24"/>
  <c r="AI108" i="24"/>
  <c r="AI106" i="24"/>
  <c r="AI104" i="24"/>
  <c r="AI102" i="24"/>
  <c r="AI100" i="24"/>
  <c r="AI98" i="24"/>
  <c r="AI96" i="24"/>
  <c r="AI94" i="24"/>
  <c r="AI92" i="24"/>
  <c r="AI90" i="24"/>
  <c r="AI88" i="24"/>
  <c r="AI86" i="24"/>
  <c r="AI84" i="24"/>
  <c r="AI82" i="24"/>
  <c r="AI80" i="24"/>
  <c r="AI78" i="24"/>
  <c r="AI76" i="24"/>
  <c r="AI74" i="24"/>
  <c r="AI72" i="24"/>
  <c r="AI70" i="24"/>
  <c r="AI68" i="24"/>
  <c r="AI66" i="24"/>
  <c r="AI64" i="24"/>
  <c r="AI62" i="24"/>
  <c r="AI60" i="24"/>
  <c r="AI58" i="24"/>
  <c r="AI56" i="24"/>
  <c r="AI54" i="24"/>
  <c r="AI52" i="24"/>
  <c r="AI50" i="24"/>
  <c r="AI48" i="24"/>
  <c r="AI46" i="24"/>
  <c r="AI44" i="24"/>
  <c r="AI42" i="24"/>
  <c r="AI40" i="24"/>
  <c r="AI38" i="24"/>
  <c r="AI36" i="24"/>
  <c r="AI34" i="24"/>
  <c r="AI32" i="24"/>
  <c r="AI30" i="24"/>
  <c r="AI28" i="24"/>
  <c r="AI26" i="24"/>
  <c r="AI24" i="24"/>
  <c r="AI22" i="24"/>
  <c r="AI20" i="24"/>
  <c r="AI19" i="24"/>
  <c r="AI17" i="24"/>
  <c r="D378" i="23"/>
  <c r="E378" i="23" s="1"/>
  <c r="F378" i="23" s="1"/>
  <c r="W378" i="23"/>
  <c r="D376" i="23"/>
  <c r="E376" i="23" s="1"/>
  <c r="F376" i="23" s="1"/>
  <c r="W376" i="23"/>
  <c r="D374" i="23"/>
  <c r="E374" i="23" s="1"/>
  <c r="F374" i="23" s="1"/>
  <c r="W374" i="23"/>
  <c r="D372" i="23"/>
  <c r="E372" i="23" s="1"/>
  <c r="F372" i="23" s="1"/>
  <c r="W372" i="23"/>
  <c r="W370" i="23"/>
  <c r="D370" i="23"/>
  <c r="E370" i="23" s="1"/>
  <c r="F370" i="23" s="1"/>
  <c r="W368" i="23"/>
  <c r="D368" i="23"/>
  <c r="E368" i="23" s="1"/>
  <c r="F368" i="23" s="1"/>
  <c r="W366" i="23"/>
  <c r="D366" i="23"/>
  <c r="E366" i="23" s="1"/>
  <c r="F366" i="23" s="1"/>
  <c r="W364" i="23"/>
  <c r="D364" i="23"/>
  <c r="E364" i="23" s="1"/>
  <c r="F364" i="23" s="1"/>
  <c r="D362" i="23"/>
  <c r="E362" i="23" s="1"/>
  <c r="F362" i="23" s="1"/>
  <c r="W362" i="23"/>
  <c r="W360" i="23"/>
  <c r="D360" i="23"/>
  <c r="E360" i="23" s="1"/>
  <c r="F360" i="23" s="1"/>
  <c r="D358" i="23"/>
  <c r="E358" i="23" s="1"/>
  <c r="F358" i="23" s="1"/>
  <c r="W358" i="23"/>
  <c r="W356" i="23"/>
  <c r="D356" i="23"/>
  <c r="E356" i="23" s="1"/>
  <c r="F356" i="23" s="1"/>
  <c r="D354" i="23"/>
  <c r="E354" i="23" s="1"/>
  <c r="F354" i="23" s="1"/>
  <c r="W354" i="23"/>
  <c r="D352" i="23"/>
  <c r="E352" i="23" s="1"/>
  <c r="F352" i="23" s="1"/>
  <c r="W352" i="23"/>
  <c r="D350" i="23"/>
  <c r="E350" i="23" s="1"/>
  <c r="F350" i="23" s="1"/>
  <c r="W350" i="23"/>
  <c r="W348" i="23"/>
  <c r="D348" i="23"/>
  <c r="E348" i="23" s="1"/>
  <c r="F348" i="23" s="1"/>
  <c r="W346" i="23"/>
  <c r="D346" i="23"/>
  <c r="E346" i="23" s="1"/>
  <c r="F346" i="23" s="1"/>
  <c r="W344" i="23"/>
  <c r="D344" i="23"/>
  <c r="E344" i="23" s="1"/>
  <c r="F344" i="23" s="1"/>
  <c r="W342" i="23"/>
  <c r="D342" i="23"/>
  <c r="E342" i="23" s="1"/>
  <c r="F342" i="23" s="1"/>
  <c r="W340" i="23"/>
  <c r="D340" i="23"/>
  <c r="E340" i="23" s="1"/>
  <c r="F340" i="23" s="1"/>
  <c r="W338" i="23"/>
  <c r="D338" i="23"/>
  <c r="E338" i="23" s="1"/>
  <c r="F338" i="23" s="1"/>
  <c r="D336" i="23"/>
  <c r="E336" i="23" s="1"/>
  <c r="F336" i="23" s="1"/>
  <c r="W336" i="23"/>
  <c r="D334" i="23"/>
  <c r="E334" i="23" s="1"/>
  <c r="F334" i="23" s="1"/>
  <c r="W334" i="23"/>
  <c r="W332" i="23"/>
  <c r="D332" i="23"/>
  <c r="E332" i="23" s="1"/>
  <c r="F332" i="23" s="1"/>
  <c r="D330" i="23"/>
  <c r="E330" i="23" s="1"/>
  <c r="F330" i="23" s="1"/>
  <c r="W330" i="23"/>
  <c r="W328" i="23"/>
  <c r="D328" i="23"/>
  <c r="E328" i="23" s="1"/>
  <c r="F328" i="23" s="1"/>
  <c r="D326" i="23"/>
  <c r="E326" i="23" s="1"/>
  <c r="F326" i="23" s="1"/>
  <c r="W326" i="23"/>
  <c r="D324" i="23"/>
  <c r="E324" i="23" s="1"/>
  <c r="F324" i="23" s="1"/>
  <c r="W324" i="23"/>
  <c r="D322" i="23"/>
  <c r="E322" i="23" s="1"/>
  <c r="F322" i="23" s="1"/>
  <c r="W322" i="23"/>
  <c r="D320" i="23"/>
  <c r="E320" i="23" s="1"/>
  <c r="F320" i="23" s="1"/>
  <c r="W320" i="23"/>
  <c r="D318" i="23"/>
  <c r="E318" i="23" s="1"/>
  <c r="F318" i="23" s="1"/>
  <c r="W318" i="23"/>
  <c r="D316" i="23"/>
  <c r="E316" i="23" s="1"/>
  <c r="F316" i="23" s="1"/>
  <c r="W316" i="23"/>
  <c r="W314" i="23"/>
  <c r="D314" i="23"/>
  <c r="E314" i="23" s="1"/>
  <c r="F314" i="23" s="1"/>
  <c r="D312" i="23"/>
  <c r="E312" i="23" s="1"/>
  <c r="F312" i="23" s="1"/>
  <c r="W312" i="23"/>
  <c r="W310" i="23"/>
  <c r="D310" i="23"/>
  <c r="E310" i="23" s="1"/>
  <c r="F310" i="23" s="1"/>
  <c r="D308" i="23"/>
  <c r="E308" i="23" s="1"/>
  <c r="F308" i="23" s="1"/>
  <c r="W308" i="23"/>
  <c r="D306" i="23"/>
  <c r="E306" i="23" s="1"/>
  <c r="F306" i="23" s="1"/>
  <c r="W306" i="23"/>
  <c r="W304" i="23"/>
  <c r="D304" i="23"/>
  <c r="E304" i="23" s="1"/>
  <c r="F304" i="23" s="1"/>
  <c r="H304" i="23" s="1"/>
  <c r="AH53" i="7"/>
  <c r="V302" i="23"/>
  <c r="K68" i="19" s="1"/>
  <c r="W300" i="23"/>
  <c r="D300" i="23"/>
  <c r="E300" i="23" s="1"/>
  <c r="F300" i="23" s="1"/>
  <c r="W298" i="23"/>
  <c r="D298" i="23"/>
  <c r="E298" i="23" s="1"/>
  <c r="F298" i="23" s="1"/>
  <c r="D296" i="23"/>
  <c r="E296" i="23" s="1"/>
  <c r="F296" i="23" s="1"/>
  <c r="W296" i="23"/>
  <c r="D294" i="23"/>
  <c r="E294" i="23" s="1"/>
  <c r="F294" i="23" s="1"/>
  <c r="W294" i="23"/>
  <c r="D292" i="23"/>
  <c r="E292" i="23" s="1"/>
  <c r="F292" i="23" s="1"/>
  <c r="W292" i="23"/>
  <c r="W290" i="23"/>
  <c r="D290" i="23"/>
  <c r="E290" i="23" s="1"/>
  <c r="F290" i="23" s="1"/>
  <c r="D288" i="23"/>
  <c r="E288" i="23" s="1"/>
  <c r="F288" i="23" s="1"/>
  <c r="W288" i="23"/>
  <c r="W286" i="23"/>
  <c r="D286" i="23"/>
  <c r="E286" i="23" s="1"/>
  <c r="F286" i="23" s="1"/>
  <c r="D284" i="23"/>
  <c r="E284" i="23" s="1"/>
  <c r="F284" i="23" s="1"/>
  <c r="W284" i="23"/>
  <c r="D282" i="23"/>
  <c r="E282" i="23" s="1"/>
  <c r="F282" i="23" s="1"/>
  <c r="H282" i="23" s="1"/>
  <c r="W282" i="23"/>
  <c r="W280" i="23"/>
  <c r="D280" i="23"/>
  <c r="E280" i="23" s="1"/>
  <c r="F280" i="23" s="1"/>
  <c r="D278" i="23"/>
  <c r="E278" i="23" s="1"/>
  <c r="F278" i="23" s="1"/>
  <c r="H278" i="23" s="1"/>
  <c r="W278" i="23"/>
  <c r="W276" i="23"/>
  <c r="D276" i="23"/>
  <c r="E276" i="23" s="1"/>
  <c r="F276" i="23" s="1"/>
  <c r="W274" i="23"/>
  <c r="D274" i="23"/>
  <c r="E274" i="23" s="1"/>
  <c r="F274" i="23" s="1"/>
  <c r="AH52" i="7"/>
  <c r="V272" i="23"/>
  <c r="J68" i="19" s="1"/>
  <c r="W270" i="23"/>
  <c r="D270" i="23"/>
  <c r="E270" i="23" s="1"/>
  <c r="F270" i="23" s="1"/>
  <c r="W268" i="23"/>
  <c r="D268" i="23"/>
  <c r="E268" i="23" s="1"/>
  <c r="F268" i="23" s="1"/>
  <c r="D266" i="23"/>
  <c r="E266" i="23" s="1"/>
  <c r="F266" i="23" s="1"/>
  <c r="W266" i="23"/>
  <c r="W264" i="23"/>
  <c r="D264" i="23"/>
  <c r="E264" i="23" s="1"/>
  <c r="F264" i="23" s="1"/>
  <c r="D262" i="23"/>
  <c r="E262" i="23" s="1"/>
  <c r="F262" i="23" s="1"/>
  <c r="W262" i="23"/>
  <c r="W260" i="23"/>
  <c r="D260" i="23"/>
  <c r="E260" i="23" s="1"/>
  <c r="F260" i="23" s="1"/>
  <c r="W258" i="23"/>
  <c r="D258" i="23"/>
  <c r="E258" i="23" s="1"/>
  <c r="F258" i="23" s="1"/>
  <c r="W256" i="23"/>
  <c r="D256" i="23"/>
  <c r="E256" i="23" s="1"/>
  <c r="F256" i="23" s="1"/>
  <c r="H256" i="23" s="1"/>
  <c r="D254" i="23"/>
  <c r="E254" i="23" s="1"/>
  <c r="F254" i="23" s="1"/>
  <c r="W254" i="23"/>
  <c r="W252" i="23"/>
  <c r="D252" i="23"/>
  <c r="E252" i="23" s="1"/>
  <c r="F252" i="23" s="1"/>
  <c r="W250" i="23"/>
  <c r="D250" i="23"/>
  <c r="E250" i="23" s="1"/>
  <c r="F250" i="23" s="1"/>
  <c r="D248" i="23"/>
  <c r="E248" i="23" s="1"/>
  <c r="F248" i="23" s="1"/>
  <c r="W248" i="23"/>
  <c r="W246" i="23"/>
  <c r="D246" i="23"/>
  <c r="E246" i="23" s="1"/>
  <c r="F246" i="23" s="1"/>
  <c r="W244" i="23"/>
  <c r="D244" i="23"/>
  <c r="E244" i="23" s="1"/>
  <c r="F244" i="23" s="1"/>
  <c r="D242" i="23"/>
  <c r="E242" i="23" s="1"/>
  <c r="F242" i="23" s="1"/>
  <c r="W242" i="23"/>
  <c r="W240" i="23"/>
  <c r="D240" i="23"/>
  <c r="E240" i="23" s="1"/>
  <c r="F240" i="23" s="1"/>
  <c r="W238" i="23"/>
  <c r="D238" i="23"/>
  <c r="E238" i="23" s="1"/>
  <c r="F238" i="23" s="1"/>
  <c r="D236" i="23"/>
  <c r="E236" i="23" s="1"/>
  <c r="F236" i="23" s="1"/>
  <c r="W236" i="23"/>
  <c r="D234" i="23"/>
  <c r="E234" i="23" s="1"/>
  <c r="F234" i="23" s="1"/>
  <c r="W234" i="23"/>
  <c r="W232" i="23"/>
  <c r="D232" i="23"/>
  <c r="E232" i="23" s="1"/>
  <c r="F232" i="23" s="1"/>
  <c r="W230" i="23"/>
  <c r="D230" i="23"/>
  <c r="E230" i="23" s="1"/>
  <c r="F230" i="23" s="1"/>
  <c r="W228" i="23"/>
  <c r="D228" i="23"/>
  <c r="E228" i="23" s="1"/>
  <c r="F228" i="23" s="1"/>
  <c r="H228" i="23" s="1"/>
  <c r="W226" i="23"/>
  <c r="D226" i="23"/>
  <c r="E226" i="23" s="1"/>
  <c r="F226" i="23" s="1"/>
  <c r="D224" i="23"/>
  <c r="E224" i="23" s="1"/>
  <c r="F224" i="23" s="1"/>
  <c r="W224" i="23"/>
  <c r="W222" i="23"/>
  <c r="D222" i="23"/>
  <c r="E222" i="23" s="1"/>
  <c r="F222" i="23" s="1"/>
  <c r="H222" i="23" s="1"/>
  <c r="W220" i="23"/>
  <c r="D220" i="23"/>
  <c r="E220" i="23" s="1"/>
  <c r="F220" i="23" s="1"/>
  <c r="D218" i="23"/>
  <c r="E218" i="23" s="1"/>
  <c r="F218" i="23" s="1"/>
  <c r="W218" i="23"/>
  <c r="D216" i="23"/>
  <c r="E216" i="23" s="1"/>
  <c r="F216" i="23" s="1"/>
  <c r="W216" i="23"/>
  <c r="W214" i="23"/>
  <c r="D214" i="23"/>
  <c r="E214" i="23" s="1"/>
  <c r="F214" i="23" s="1"/>
  <c r="W212" i="23"/>
  <c r="D212" i="23"/>
  <c r="E212" i="23" s="1"/>
  <c r="F212" i="23" s="1"/>
  <c r="AH50" i="7"/>
  <c r="V210" i="23"/>
  <c r="H68" i="19" s="1"/>
  <c r="D208" i="23"/>
  <c r="E208" i="23" s="1"/>
  <c r="F208" i="23" s="1"/>
  <c r="W208" i="23"/>
  <c r="D206" i="23"/>
  <c r="E206" i="23" s="1"/>
  <c r="F206" i="23" s="1"/>
  <c r="W206" i="23"/>
  <c r="W204" i="23"/>
  <c r="D204" i="23"/>
  <c r="E204" i="23" s="1"/>
  <c r="F204" i="23" s="1"/>
  <c r="D202" i="23"/>
  <c r="E202" i="23" s="1"/>
  <c r="F202" i="23" s="1"/>
  <c r="W202" i="23"/>
  <c r="W200" i="23"/>
  <c r="D200" i="23"/>
  <c r="E200" i="23" s="1"/>
  <c r="F200" i="23" s="1"/>
  <c r="D198" i="23"/>
  <c r="E198" i="23" s="1"/>
  <c r="F198" i="23" s="1"/>
  <c r="W198" i="23"/>
  <c r="W196" i="23"/>
  <c r="D196" i="23"/>
  <c r="E196" i="23" s="1"/>
  <c r="F196" i="23" s="1"/>
  <c r="D194" i="23"/>
  <c r="E194" i="23" s="1"/>
  <c r="F194" i="23" s="1"/>
  <c r="W194" i="23"/>
  <c r="D192" i="23"/>
  <c r="E192" i="23" s="1"/>
  <c r="F192" i="23" s="1"/>
  <c r="W192" i="23"/>
  <c r="D190" i="23"/>
  <c r="E190" i="23" s="1"/>
  <c r="F190" i="23" s="1"/>
  <c r="W190" i="23"/>
  <c r="W188" i="23"/>
  <c r="D188" i="23"/>
  <c r="E188" i="23" s="1"/>
  <c r="F188" i="23" s="1"/>
  <c r="W186" i="23"/>
  <c r="D186" i="23"/>
  <c r="E186" i="23" s="1"/>
  <c r="F186" i="23" s="1"/>
  <c r="D184" i="23"/>
  <c r="E184" i="23" s="1"/>
  <c r="F184" i="23" s="1"/>
  <c r="W184" i="23"/>
  <c r="D182" i="23"/>
  <c r="E182" i="23" s="1"/>
  <c r="F182" i="23" s="1"/>
  <c r="H182" i="23" s="1"/>
  <c r="W182" i="23"/>
  <c r="AH49" i="7"/>
  <c r="V180" i="23"/>
  <c r="G68" i="19" s="1"/>
  <c r="D178" i="23"/>
  <c r="E178" i="23" s="1"/>
  <c r="F178" i="23" s="1"/>
  <c r="W178" i="23"/>
  <c r="W176" i="23"/>
  <c r="D176" i="23"/>
  <c r="E176" i="23" s="1"/>
  <c r="F176" i="23" s="1"/>
  <c r="D174" i="23"/>
  <c r="E174" i="23" s="1"/>
  <c r="F174" i="23" s="1"/>
  <c r="W174" i="23"/>
  <c r="D172" i="23"/>
  <c r="E172" i="23" s="1"/>
  <c r="F172" i="23" s="1"/>
  <c r="W172" i="23"/>
  <c r="D170" i="23"/>
  <c r="E170" i="23" s="1"/>
  <c r="F170" i="23" s="1"/>
  <c r="H170" i="23" s="1"/>
  <c r="W170" i="23"/>
  <c r="D168" i="23"/>
  <c r="E168" i="23" s="1"/>
  <c r="F168" i="23" s="1"/>
  <c r="H168" i="23" s="1"/>
  <c r="W168" i="23"/>
  <c r="W166" i="23"/>
  <c r="D166" i="23"/>
  <c r="E166" i="23" s="1"/>
  <c r="F166" i="23" s="1"/>
  <c r="D164" i="23"/>
  <c r="E164" i="23" s="1"/>
  <c r="F164" i="23" s="1"/>
  <c r="W164" i="23"/>
  <c r="W162" i="23"/>
  <c r="D162" i="23"/>
  <c r="E162" i="23" s="1"/>
  <c r="F162" i="23" s="1"/>
  <c r="D160" i="23"/>
  <c r="E160" i="23" s="1"/>
  <c r="F160" i="23" s="1"/>
  <c r="W160" i="23"/>
  <c r="W158" i="23"/>
  <c r="D158" i="23"/>
  <c r="E158" i="23" s="1"/>
  <c r="F158" i="23" s="1"/>
  <c r="W156" i="23"/>
  <c r="D156" i="23"/>
  <c r="E156" i="23" s="1"/>
  <c r="F156" i="23" s="1"/>
  <c r="D154" i="23"/>
  <c r="E154" i="23" s="1"/>
  <c r="F154" i="23" s="1"/>
  <c r="W154" i="23"/>
  <c r="D152" i="23"/>
  <c r="E152" i="23" s="1"/>
  <c r="F152" i="23" s="1"/>
  <c r="W152" i="23"/>
  <c r="W150" i="23"/>
  <c r="D150" i="23"/>
  <c r="E150" i="23" s="1"/>
  <c r="F150" i="23" s="1"/>
  <c r="D148" i="23"/>
  <c r="E148" i="23" s="1"/>
  <c r="F148" i="23" s="1"/>
  <c r="W148" i="23"/>
  <c r="W146" i="23"/>
  <c r="D146" i="23"/>
  <c r="E146" i="23" s="1"/>
  <c r="F146" i="23" s="1"/>
  <c r="H146" i="23" s="1"/>
  <c r="D144" i="23"/>
  <c r="E144" i="23" s="1"/>
  <c r="F144" i="23" s="1"/>
  <c r="W144" i="23"/>
  <c r="D142" i="23"/>
  <c r="E142" i="23" s="1"/>
  <c r="F142" i="23" s="1"/>
  <c r="W142" i="23"/>
  <c r="D140" i="23"/>
  <c r="E140" i="23" s="1"/>
  <c r="F140" i="23" s="1"/>
  <c r="W140" i="23"/>
  <c r="D138" i="23"/>
  <c r="E138" i="23" s="1"/>
  <c r="F138" i="23" s="1"/>
  <c r="W138" i="23"/>
  <c r="W136" i="23"/>
  <c r="D136" i="23"/>
  <c r="E136" i="23" s="1"/>
  <c r="F136" i="23" s="1"/>
  <c r="W134" i="23"/>
  <c r="D134" i="23"/>
  <c r="E134" i="23" s="1"/>
  <c r="F134" i="23" s="1"/>
  <c r="D132" i="23"/>
  <c r="E132" i="23" s="1"/>
  <c r="F132" i="23" s="1"/>
  <c r="W132" i="23"/>
  <c r="D130" i="23"/>
  <c r="E130" i="23" s="1"/>
  <c r="F130" i="23" s="1"/>
  <c r="W130" i="23"/>
  <c r="W128" i="23"/>
  <c r="D128" i="23"/>
  <c r="E128" i="23" s="1"/>
  <c r="F128" i="23" s="1"/>
  <c r="W126" i="23"/>
  <c r="D126" i="23"/>
  <c r="E126" i="23" s="1"/>
  <c r="F126" i="23" s="1"/>
  <c r="D124" i="23"/>
  <c r="E124" i="23" s="1"/>
  <c r="F124" i="23" s="1"/>
  <c r="W124" i="23"/>
  <c r="W122" i="23"/>
  <c r="D122" i="23"/>
  <c r="E122" i="23" s="1"/>
  <c r="F122" i="23" s="1"/>
  <c r="W120" i="23"/>
  <c r="D120" i="23"/>
  <c r="E120" i="23" s="1"/>
  <c r="F120" i="23" s="1"/>
  <c r="D118" i="23"/>
  <c r="E118" i="23" s="1"/>
  <c r="F118" i="23" s="1"/>
  <c r="W118" i="23"/>
  <c r="D116" i="23"/>
  <c r="E116" i="23" s="1"/>
  <c r="F116" i="23" s="1"/>
  <c r="W116" i="23"/>
  <c r="D114" i="23"/>
  <c r="E114" i="23" s="1"/>
  <c r="F114" i="23" s="1"/>
  <c r="W114" i="23"/>
  <c r="W112" i="23"/>
  <c r="D112" i="23"/>
  <c r="E112" i="23" s="1"/>
  <c r="F112" i="23" s="1"/>
  <c r="W110" i="23"/>
  <c r="D110" i="23"/>
  <c r="E110" i="23" s="1"/>
  <c r="F110" i="23" s="1"/>
  <c r="D108" i="23"/>
  <c r="E108" i="23" s="1"/>
  <c r="F108" i="23" s="1"/>
  <c r="W108" i="23"/>
  <c r="D106" i="23"/>
  <c r="E106" i="23" s="1"/>
  <c r="F106" i="23" s="1"/>
  <c r="W106" i="23"/>
  <c r="D104" i="23"/>
  <c r="E104" i="23" s="1"/>
  <c r="F104" i="23" s="1"/>
  <c r="W104" i="23"/>
  <c r="W102" i="23"/>
  <c r="D102" i="23"/>
  <c r="E102" i="23" s="1"/>
  <c r="F102" i="23" s="1"/>
  <c r="D100" i="23"/>
  <c r="E100" i="23" s="1"/>
  <c r="F100" i="23" s="1"/>
  <c r="W100" i="23"/>
  <c r="D98" i="23"/>
  <c r="E98" i="23" s="1"/>
  <c r="F98" i="23" s="1"/>
  <c r="W98" i="23"/>
  <c r="W96" i="23"/>
  <c r="D96" i="23"/>
  <c r="E96" i="23" s="1"/>
  <c r="F96" i="23" s="1"/>
  <c r="H96" i="23" s="1"/>
  <c r="D94" i="23"/>
  <c r="E94" i="23" s="1"/>
  <c r="F94" i="23" s="1"/>
  <c r="W94" i="23"/>
  <c r="D92" i="23"/>
  <c r="E92" i="23" s="1"/>
  <c r="F92" i="23" s="1"/>
  <c r="W92" i="23"/>
  <c r="W90" i="23"/>
  <c r="D90" i="23"/>
  <c r="E90" i="23" s="1"/>
  <c r="F90" i="23" s="1"/>
  <c r="AH46" i="7"/>
  <c r="V88" i="23"/>
  <c r="D68" i="19" s="1"/>
  <c r="D86" i="23"/>
  <c r="E86" i="23" s="1"/>
  <c r="F86" i="23" s="1"/>
  <c r="W86" i="23"/>
  <c r="W84" i="23"/>
  <c r="D84" i="23"/>
  <c r="E84" i="23" s="1"/>
  <c r="F84" i="23" s="1"/>
  <c r="W82" i="23"/>
  <c r="D82" i="23"/>
  <c r="E82" i="23" s="1"/>
  <c r="F82" i="23" s="1"/>
  <c r="H82" i="23" s="1"/>
  <c r="W80" i="23"/>
  <c r="D80" i="23"/>
  <c r="E80" i="23" s="1"/>
  <c r="F80" i="23" s="1"/>
  <c r="W78" i="23"/>
  <c r="D78" i="23"/>
  <c r="E78" i="23" s="1"/>
  <c r="F78" i="23" s="1"/>
  <c r="D76" i="23"/>
  <c r="E76" i="23" s="1"/>
  <c r="F76" i="23" s="1"/>
  <c r="W76" i="23"/>
  <c r="D74" i="23"/>
  <c r="E74" i="23" s="1"/>
  <c r="F74" i="23" s="1"/>
  <c r="W74" i="23"/>
  <c r="W72" i="23"/>
  <c r="D72" i="23"/>
  <c r="E72" i="23" s="1"/>
  <c r="F72" i="23" s="1"/>
  <c r="D70" i="23"/>
  <c r="E70" i="23" s="1"/>
  <c r="F70" i="23" s="1"/>
  <c r="W70" i="23"/>
  <c r="W68" i="23"/>
  <c r="D68" i="23"/>
  <c r="E68" i="23" s="1"/>
  <c r="F68" i="23" s="1"/>
  <c r="W66" i="23"/>
  <c r="D66" i="23"/>
  <c r="E66" i="23" s="1"/>
  <c r="F66" i="23" s="1"/>
  <c r="D64" i="23"/>
  <c r="E64" i="23" s="1"/>
  <c r="F64" i="23" s="1"/>
  <c r="W64" i="23"/>
  <c r="D62" i="23"/>
  <c r="E62" i="23" s="1"/>
  <c r="F62" i="23" s="1"/>
  <c r="W62" i="23"/>
  <c r="AH45" i="7"/>
  <c r="V60" i="23"/>
  <c r="C68" i="19" s="1"/>
  <c r="W58" i="23"/>
  <c r="D58" i="23"/>
  <c r="E58" i="23" s="1"/>
  <c r="F58" i="23" s="1"/>
  <c r="D56" i="23"/>
  <c r="E56" i="23" s="1"/>
  <c r="F56" i="23" s="1"/>
  <c r="H56" i="23" s="1"/>
  <c r="W56" i="23"/>
  <c r="D54" i="23"/>
  <c r="E54" i="23" s="1"/>
  <c r="F54" i="23" s="1"/>
  <c r="W54" i="23"/>
  <c r="D52" i="23"/>
  <c r="E52" i="23" s="1"/>
  <c r="F52" i="23" s="1"/>
  <c r="W52" i="23"/>
  <c r="W50" i="23"/>
  <c r="D50" i="23"/>
  <c r="E50" i="23" s="1"/>
  <c r="F50" i="23" s="1"/>
  <c r="D48" i="23"/>
  <c r="E48" i="23" s="1"/>
  <c r="F48" i="23" s="1"/>
  <c r="H48" i="23" s="1"/>
  <c r="W48" i="23"/>
  <c r="W46" i="23"/>
  <c r="D46" i="23"/>
  <c r="E46" i="23" s="1"/>
  <c r="F46" i="23" s="1"/>
  <c r="D44" i="23"/>
  <c r="E44" i="23" s="1"/>
  <c r="F44" i="23" s="1"/>
  <c r="W44" i="23"/>
  <c r="W42" i="23"/>
  <c r="D42" i="23"/>
  <c r="E42" i="23" s="1"/>
  <c r="F42" i="23" s="1"/>
  <c r="D40" i="23"/>
  <c r="E40" i="23" s="1"/>
  <c r="F40" i="23" s="1"/>
  <c r="W40" i="23"/>
  <c r="D38" i="23"/>
  <c r="E38" i="23" s="1"/>
  <c r="F38" i="23" s="1"/>
  <c r="W38" i="23"/>
  <c r="W36" i="23"/>
  <c r="D36" i="23"/>
  <c r="E36" i="23" s="1"/>
  <c r="F36" i="23" s="1"/>
  <c r="W32" i="23"/>
  <c r="D32" i="23"/>
  <c r="E32" i="23" s="1"/>
  <c r="F32" i="23" s="1"/>
  <c r="W28" i="23"/>
  <c r="D28" i="23"/>
  <c r="E28" i="23" s="1"/>
  <c r="F28" i="23" s="1"/>
  <c r="W24" i="23"/>
  <c r="D24" i="23"/>
  <c r="E24" i="23" s="1"/>
  <c r="F24" i="23" s="1"/>
  <c r="D20" i="23"/>
  <c r="E20" i="23" s="1"/>
  <c r="F20" i="23" s="1"/>
  <c r="W20" i="23"/>
  <c r="W19" i="23"/>
  <c r="D19" i="23"/>
  <c r="E19" i="23" s="1"/>
  <c r="F19" i="23" s="1"/>
  <c r="AI33" i="24" l="1"/>
  <c r="AI37" i="24"/>
  <c r="AI41" i="24"/>
  <c r="AI45" i="24"/>
  <c r="AI49" i="24"/>
  <c r="AI53" i="24"/>
  <c r="AI57" i="24"/>
  <c r="AI61" i="24"/>
  <c r="AI65" i="24"/>
  <c r="AI69" i="24"/>
  <c r="AI73" i="24"/>
  <c r="AI77" i="24"/>
  <c r="AI81" i="24"/>
  <c r="AI85" i="24"/>
  <c r="AI89" i="24"/>
  <c r="AI93" i="24"/>
  <c r="AI97" i="24"/>
  <c r="AI101" i="24"/>
  <c r="AI105" i="24"/>
  <c r="AI109" i="24"/>
  <c r="AI113" i="24"/>
  <c r="AI117" i="24"/>
  <c r="AI121" i="24"/>
  <c r="AI125" i="24"/>
  <c r="AI129" i="24"/>
  <c r="AI133" i="24"/>
  <c r="AI137" i="24"/>
  <c r="AI141" i="24"/>
  <c r="AI145" i="24"/>
  <c r="AI149" i="24"/>
  <c r="AI153" i="24"/>
  <c r="AI157" i="24"/>
  <c r="AI161" i="24"/>
  <c r="AI165" i="24"/>
  <c r="AI169" i="24"/>
  <c r="AI173" i="24"/>
  <c r="AI177" i="24"/>
  <c r="AI181" i="24"/>
  <c r="AI185" i="24"/>
  <c r="AI189" i="24"/>
  <c r="AI193" i="24"/>
  <c r="AI197" i="24"/>
  <c r="AI201" i="24"/>
  <c r="AI205" i="24"/>
  <c r="AI209" i="24"/>
  <c r="AI213" i="24"/>
  <c r="AI217" i="24"/>
  <c r="AI221" i="24"/>
  <c r="AI225" i="24"/>
  <c r="AI229" i="24"/>
  <c r="AI233" i="24"/>
  <c r="AI237" i="24"/>
  <c r="AI241" i="24"/>
  <c r="AI245" i="24"/>
  <c r="AI249" i="24"/>
  <c r="AI253" i="24"/>
  <c r="AI257" i="24"/>
  <c r="AI261" i="24"/>
  <c r="AI265" i="24"/>
  <c r="AI269" i="24"/>
  <c r="AI273" i="24"/>
  <c r="AI277" i="24"/>
  <c r="AI281" i="24"/>
  <c r="AI285" i="24"/>
  <c r="AI289" i="24"/>
  <c r="AI293" i="24"/>
  <c r="AI297" i="24"/>
  <c r="AI301" i="24"/>
  <c r="AI305" i="24"/>
  <c r="AI309" i="24"/>
  <c r="AI313" i="24"/>
  <c r="AI317" i="24"/>
  <c r="AI321" i="24"/>
  <c r="AI325" i="24"/>
  <c r="AI329" i="24"/>
  <c r="AI333" i="24"/>
  <c r="AI337" i="24"/>
  <c r="AI341" i="24"/>
  <c r="AI345" i="24"/>
  <c r="AI349" i="24"/>
  <c r="AI353" i="24"/>
  <c r="AI357" i="24"/>
  <c r="AI361" i="24"/>
  <c r="AI365" i="24"/>
  <c r="AI369" i="24"/>
  <c r="AI373" i="24"/>
  <c r="E40" i="19"/>
  <c r="J379" i="22"/>
  <c r="H158" i="23"/>
  <c r="J158" i="23" s="1"/>
  <c r="H226" i="23"/>
  <c r="I226" i="23" s="1"/>
  <c r="H35" i="23"/>
  <c r="J35" i="23" s="1"/>
  <c r="H91" i="23"/>
  <c r="J91" i="23" s="1"/>
  <c r="H167" i="23"/>
  <c r="J167" i="23" s="1"/>
  <c r="H131" i="23"/>
  <c r="J131" i="23" s="1"/>
  <c r="H253" i="23"/>
  <c r="J253" i="23" s="1"/>
  <c r="H291" i="23"/>
  <c r="I291" i="23" s="1"/>
  <c r="C15" i="19"/>
  <c r="F39" i="19"/>
  <c r="AH381" i="23"/>
  <c r="AH383" i="23"/>
  <c r="AG15" i="23"/>
  <c r="AH382" i="23"/>
  <c r="AJ9" i="20"/>
  <c r="AJ11" i="20" s="1"/>
  <c r="AK7" i="20"/>
  <c r="AD17" i="22"/>
  <c r="AF382" i="22"/>
  <c r="AF381" i="22"/>
  <c r="AF383" i="22"/>
  <c r="H262" i="23"/>
  <c r="J262" i="23" s="1"/>
  <c r="H252" i="23"/>
  <c r="J252" i="23" s="1"/>
  <c r="H215" i="23"/>
  <c r="J215" i="23" s="1"/>
  <c r="H113" i="23"/>
  <c r="I113" i="23" s="1"/>
  <c r="H181" i="23"/>
  <c r="J181" i="23" s="1"/>
  <c r="H289" i="23"/>
  <c r="J289" i="23" s="1"/>
  <c r="H367" i="23"/>
  <c r="I367" i="23" s="1"/>
  <c r="H156" i="23"/>
  <c r="J156" i="23" s="1"/>
  <c r="H62" i="23"/>
  <c r="J62" i="23" s="1"/>
  <c r="H194" i="23"/>
  <c r="J194" i="23" s="1"/>
  <c r="H307" i="23"/>
  <c r="J307" i="23" s="1"/>
  <c r="H200" i="23"/>
  <c r="I200" i="23" s="1"/>
  <c r="H134" i="23"/>
  <c r="J134" i="23" s="1"/>
  <c r="H332" i="23"/>
  <c r="J332" i="23" s="1"/>
  <c r="H340" i="23"/>
  <c r="J340" i="23" s="1"/>
  <c r="H109" i="23"/>
  <c r="J109" i="23" s="1"/>
  <c r="H25" i="23"/>
  <c r="J25" i="23" s="1"/>
  <c r="H220" i="23"/>
  <c r="J220" i="23" s="1"/>
  <c r="H250" i="23"/>
  <c r="I250" i="23" s="1"/>
  <c r="H151" i="23"/>
  <c r="J151" i="23" s="1"/>
  <c r="H243" i="23"/>
  <c r="I243" i="23" s="1"/>
  <c r="H321" i="23"/>
  <c r="J321" i="23" s="1"/>
  <c r="H331" i="23"/>
  <c r="J331" i="23" s="1"/>
  <c r="H184" i="23"/>
  <c r="I184" i="23" s="1"/>
  <c r="H43" i="23"/>
  <c r="J43" i="23" s="1"/>
  <c r="H70" i="23"/>
  <c r="J70" i="23" s="1"/>
  <c r="H275" i="23"/>
  <c r="J275" i="23" s="1"/>
  <c r="H18" i="23"/>
  <c r="J18" i="23" s="1"/>
  <c r="F68" i="19"/>
  <c r="H379" i="23"/>
  <c r="J379" i="23" s="1"/>
  <c r="Q381" i="24"/>
  <c r="L68" i="19"/>
  <c r="M68" i="19"/>
  <c r="J48" i="23"/>
  <c r="I48" i="23"/>
  <c r="J168" i="23"/>
  <c r="I168" i="23"/>
  <c r="J182" i="23"/>
  <c r="I182" i="23"/>
  <c r="I278" i="23"/>
  <c r="J278" i="23"/>
  <c r="J37" i="23"/>
  <c r="I37" i="23"/>
  <c r="I49" i="23"/>
  <c r="J49" i="23"/>
  <c r="I61" i="23"/>
  <c r="J61" i="23"/>
  <c r="I67" i="23"/>
  <c r="J67" i="23"/>
  <c r="I79" i="23"/>
  <c r="J79" i="23"/>
  <c r="I82" i="23"/>
  <c r="J82" i="23"/>
  <c r="I96" i="23"/>
  <c r="J96" i="23"/>
  <c r="I146" i="23"/>
  <c r="J146" i="23"/>
  <c r="J222" i="23"/>
  <c r="I222" i="23"/>
  <c r="I228" i="23"/>
  <c r="J228" i="23"/>
  <c r="J256" i="23"/>
  <c r="I256" i="23"/>
  <c r="J304" i="23"/>
  <c r="I304" i="23"/>
  <c r="J127" i="23"/>
  <c r="I127" i="23"/>
  <c r="J129" i="23"/>
  <c r="I129" i="23"/>
  <c r="J141" i="23"/>
  <c r="I141" i="23"/>
  <c r="I145" i="23"/>
  <c r="J145" i="23"/>
  <c r="I159" i="23"/>
  <c r="J159" i="23"/>
  <c r="J161" i="23"/>
  <c r="I161" i="23"/>
  <c r="I177" i="23"/>
  <c r="J177" i="23"/>
  <c r="J187" i="23"/>
  <c r="I187" i="23"/>
  <c r="J189" i="23"/>
  <c r="I189" i="23"/>
  <c r="I221" i="23"/>
  <c r="J221" i="23"/>
  <c r="J279" i="23"/>
  <c r="I279" i="23"/>
  <c r="J295" i="23"/>
  <c r="I295" i="23"/>
  <c r="J341" i="23"/>
  <c r="I341" i="23"/>
  <c r="I343" i="23"/>
  <c r="J343" i="23"/>
  <c r="I347" i="23"/>
  <c r="J347" i="23"/>
  <c r="J56" i="23"/>
  <c r="I56" i="23"/>
  <c r="J170" i="23"/>
  <c r="I170" i="23"/>
  <c r="J282" i="23"/>
  <c r="I282" i="23"/>
  <c r="J27" i="23"/>
  <c r="I27" i="23"/>
  <c r="J53" i="23"/>
  <c r="I53" i="23"/>
  <c r="I65" i="23"/>
  <c r="J65" i="23"/>
  <c r="J71" i="23"/>
  <c r="I71" i="23"/>
  <c r="I83" i="23"/>
  <c r="J83" i="23"/>
  <c r="W149" i="23"/>
  <c r="D149" i="23"/>
  <c r="E149" i="23" s="1"/>
  <c r="F149" i="23" s="1"/>
  <c r="I30" i="23"/>
  <c r="J30" i="23"/>
  <c r="AA28" i="23"/>
  <c r="Z28" i="23" s="1"/>
  <c r="Y28" i="23" s="1"/>
  <c r="G28" i="23"/>
  <c r="CD28" i="6" s="1"/>
  <c r="AA36" i="23"/>
  <c r="Z36" i="23" s="1"/>
  <c r="Y36" i="23" s="1"/>
  <c r="G36" i="23"/>
  <c r="CD36" i="6" s="1"/>
  <c r="G42" i="23"/>
  <c r="CD42" i="6" s="1"/>
  <c r="AA42" i="23"/>
  <c r="Z42" i="23" s="1"/>
  <c r="Y42" i="23" s="1"/>
  <c r="AA52" i="23"/>
  <c r="Z52" i="23" s="1"/>
  <c r="Y52" i="23" s="1"/>
  <c r="G52" i="23"/>
  <c r="CD52" i="6" s="1"/>
  <c r="AA54" i="23"/>
  <c r="Z54" i="23" s="1"/>
  <c r="Y54" i="23" s="1"/>
  <c r="G54" i="23"/>
  <c r="CD54" i="6" s="1"/>
  <c r="AA64" i="23"/>
  <c r="Z64" i="23" s="1"/>
  <c r="Y64" i="23" s="1"/>
  <c r="G64" i="23"/>
  <c r="CD64" i="6" s="1"/>
  <c r="AA80" i="23"/>
  <c r="Z80" i="23" s="1"/>
  <c r="Y80" i="23" s="1"/>
  <c r="G80" i="23"/>
  <c r="CD80" i="6" s="1"/>
  <c r="G84" i="23"/>
  <c r="CD84" i="6" s="1"/>
  <c r="AA84" i="23"/>
  <c r="Z84" i="23" s="1"/>
  <c r="Y84" i="23" s="1"/>
  <c r="AA90" i="23"/>
  <c r="Z90" i="23" s="1"/>
  <c r="Y90" i="23" s="1"/>
  <c r="G90" i="23"/>
  <c r="CD90" i="6" s="1"/>
  <c r="G102" i="23"/>
  <c r="CD102" i="6" s="1"/>
  <c r="AA102" i="23"/>
  <c r="Z102" i="23" s="1"/>
  <c r="Y102" i="23" s="1"/>
  <c r="AA112" i="23"/>
  <c r="Z112" i="23" s="1"/>
  <c r="Y112" i="23" s="1"/>
  <c r="G112" i="23"/>
  <c r="CD112" i="6" s="1"/>
  <c r="G20" i="23"/>
  <c r="CD20" i="6" s="1"/>
  <c r="AA20" i="23"/>
  <c r="Z20" i="23" s="1"/>
  <c r="Y20" i="23" s="1"/>
  <c r="G38" i="23"/>
  <c r="CD38" i="6" s="1"/>
  <c r="AA38" i="23"/>
  <c r="Z38" i="23" s="1"/>
  <c r="Y38" i="23" s="1"/>
  <c r="G40" i="23"/>
  <c r="CD40" i="6" s="1"/>
  <c r="AA40" i="23"/>
  <c r="Z40" i="23" s="1"/>
  <c r="Y40" i="23" s="1"/>
  <c r="G44" i="23"/>
  <c r="CD44" i="6" s="1"/>
  <c r="AA44" i="23"/>
  <c r="Z44" i="23" s="1"/>
  <c r="Y44" i="23" s="1"/>
  <c r="AA50" i="23"/>
  <c r="Z50" i="23" s="1"/>
  <c r="Y50" i="23" s="1"/>
  <c r="G50" i="23"/>
  <c r="CD50" i="6" s="1"/>
  <c r="G58" i="23"/>
  <c r="CD58" i="6" s="1"/>
  <c r="AA58" i="23"/>
  <c r="Z58" i="23" s="1"/>
  <c r="Y58" i="23" s="1"/>
  <c r="AA66" i="23"/>
  <c r="Z66" i="23" s="1"/>
  <c r="Y66" i="23" s="1"/>
  <c r="G66" i="23"/>
  <c r="CD66" i="6" s="1"/>
  <c r="G68" i="23"/>
  <c r="CD68" i="6" s="1"/>
  <c r="AA68" i="23"/>
  <c r="Z68" i="23" s="1"/>
  <c r="Y68" i="23" s="1"/>
  <c r="G72" i="23"/>
  <c r="CD72" i="6" s="1"/>
  <c r="AA72" i="23"/>
  <c r="Z72" i="23" s="1"/>
  <c r="Y72" i="23" s="1"/>
  <c r="AA74" i="23"/>
  <c r="Z74" i="23" s="1"/>
  <c r="Y74" i="23" s="1"/>
  <c r="G74" i="23"/>
  <c r="CD74" i="6" s="1"/>
  <c r="AA76" i="23"/>
  <c r="Z76" i="23" s="1"/>
  <c r="Y76" i="23" s="1"/>
  <c r="G76" i="23"/>
  <c r="CD76" i="6" s="1"/>
  <c r="AA86" i="23"/>
  <c r="Z86" i="23" s="1"/>
  <c r="Y86" i="23" s="1"/>
  <c r="G86" i="23"/>
  <c r="CD86" i="6" s="1"/>
  <c r="AA92" i="23"/>
  <c r="Z92" i="23" s="1"/>
  <c r="Y92" i="23" s="1"/>
  <c r="G92" i="23"/>
  <c r="CD92" i="6" s="1"/>
  <c r="G94" i="23"/>
  <c r="CD94" i="6" s="1"/>
  <c r="AA94" i="23"/>
  <c r="Z94" i="23" s="1"/>
  <c r="Y94" i="23" s="1"/>
  <c r="AA98" i="23"/>
  <c r="Z98" i="23" s="1"/>
  <c r="Y98" i="23" s="1"/>
  <c r="G98" i="23"/>
  <c r="CD98" i="6" s="1"/>
  <c r="G100" i="23"/>
  <c r="CD100" i="6" s="1"/>
  <c r="AA100" i="23"/>
  <c r="Z100" i="23" s="1"/>
  <c r="Y100" i="23" s="1"/>
  <c r="AA104" i="23"/>
  <c r="Z104" i="23" s="1"/>
  <c r="Y104" i="23" s="1"/>
  <c r="G104" i="23"/>
  <c r="CD104" i="6" s="1"/>
  <c r="AA106" i="23"/>
  <c r="Z106" i="23" s="1"/>
  <c r="Y106" i="23" s="1"/>
  <c r="G106" i="23"/>
  <c r="CD106" i="6" s="1"/>
  <c r="AA108" i="23"/>
  <c r="Z108" i="23" s="1"/>
  <c r="Y108" i="23" s="1"/>
  <c r="G108" i="23"/>
  <c r="CD108" i="6" s="1"/>
  <c r="G114" i="23"/>
  <c r="CD114" i="6" s="1"/>
  <c r="AA114" i="23"/>
  <c r="Z114" i="23" s="1"/>
  <c r="Y114" i="23" s="1"/>
  <c r="AA116" i="23"/>
  <c r="Z116" i="23" s="1"/>
  <c r="Y116" i="23" s="1"/>
  <c r="G116" i="23"/>
  <c r="CD116" i="6" s="1"/>
  <c r="G118" i="23"/>
  <c r="CD118" i="6" s="1"/>
  <c r="AA118" i="23"/>
  <c r="Z118" i="23" s="1"/>
  <c r="Y118" i="23" s="1"/>
  <c r="G124" i="23"/>
  <c r="CD124" i="6" s="1"/>
  <c r="AA124" i="23"/>
  <c r="Z124" i="23" s="1"/>
  <c r="Y124" i="23" s="1"/>
  <c r="AA130" i="23"/>
  <c r="Z130" i="23" s="1"/>
  <c r="Y130" i="23" s="1"/>
  <c r="G130" i="23"/>
  <c r="CD130" i="6" s="1"/>
  <c r="G132" i="23"/>
  <c r="CD132" i="6" s="1"/>
  <c r="AA132" i="23"/>
  <c r="Z132" i="23" s="1"/>
  <c r="Y132" i="23" s="1"/>
  <c r="AA138" i="23"/>
  <c r="Z138" i="23" s="1"/>
  <c r="Y138" i="23" s="1"/>
  <c r="G138" i="23"/>
  <c r="CD138" i="6" s="1"/>
  <c r="AA140" i="23"/>
  <c r="Z140" i="23" s="1"/>
  <c r="Y140" i="23" s="1"/>
  <c r="G140" i="23"/>
  <c r="CD140" i="6" s="1"/>
  <c r="G142" i="23"/>
  <c r="CD142" i="6" s="1"/>
  <c r="AA142" i="23"/>
  <c r="Z142" i="23" s="1"/>
  <c r="Y142" i="23" s="1"/>
  <c r="AA144" i="23"/>
  <c r="Z144" i="23" s="1"/>
  <c r="Y144" i="23" s="1"/>
  <c r="G144" i="23"/>
  <c r="CD144" i="6" s="1"/>
  <c r="G148" i="23"/>
  <c r="CD148" i="6" s="1"/>
  <c r="AA148" i="23"/>
  <c r="Z148" i="23" s="1"/>
  <c r="Y148" i="23" s="1"/>
  <c r="AA152" i="23"/>
  <c r="Z152" i="23" s="1"/>
  <c r="Y152" i="23" s="1"/>
  <c r="G152" i="23"/>
  <c r="CD152" i="6" s="1"/>
  <c r="G154" i="23"/>
  <c r="CD154" i="6" s="1"/>
  <c r="AA154" i="23"/>
  <c r="Z154" i="23" s="1"/>
  <c r="Y154" i="23" s="1"/>
  <c r="G160" i="23"/>
  <c r="CD160" i="6" s="1"/>
  <c r="AA160" i="23"/>
  <c r="Z160" i="23" s="1"/>
  <c r="Y160" i="23" s="1"/>
  <c r="G164" i="23"/>
  <c r="CD164" i="6" s="1"/>
  <c r="AA164" i="23"/>
  <c r="Z164" i="23" s="1"/>
  <c r="Y164" i="23" s="1"/>
  <c r="G166" i="23"/>
  <c r="CD166" i="6" s="1"/>
  <c r="AA166" i="23"/>
  <c r="Z166" i="23" s="1"/>
  <c r="Y166" i="23" s="1"/>
  <c r="AA176" i="23"/>
  <c r="Z176" i="23" s="1"/>
  <c r="Y176" i="23" s="1"/>
  <c r="G176" i="23"/>
  <c r="CD176" i="6" s="1"/>
  <c r="AA186" i="23"/>
  <c r="Z186" i="23" s="1"/>
  <c r="Y186" i="23" s="1"/>
  <c r="G186" i="23"/>
  <c r="CD186" i="6" s="1"/>
  <c r="G188" i="23"/>
  <c r="CD188" i="6" s="1"/>
  <c r="AA188" i="23"/>
  <c r="Z188" i="23" s="1"/>
  <c r="Y188" i="23" s="1"/>
  <c r="AA196" i="23"/>
  <c r="Z196" i="23" s="1"/>
  <c r="Y196" i="23" s="1"/>
  <c r="G196" i="23"/>
  <c r="CD196" i="6" s="1"/>
  <c r="G198" i="23"/>
  <c r="CD198" i="6" s="1"/>
  <c r="AA198" i="23"/>
  <c r="Z198" i="23" s="1"/>
  <c r="Y198" i="23" s="1"/>
  <c r="G202" i="23"/>
  <c r="CD202" i="6" s="1"/>
  <c r="AA202" i="23"/>
  <c r="Z202" i="23" s="1"/>
  <c r="Y202" i="23" s="1"/>
  <c r="G206" i="23"/>
  <c r="CD206" i="6" s="1"/>
  <c r="H206" i="23"/>
  <c r="AA206" i="23"/>
  <c r="Z206" i="23" s="1"/>
  <c r="Y206" i="23" s="1"/>
  <c r="AA208" i="23"/>
  <c r="Z208" i="23" s="1"/>
  <c r="Y208" i="23" s="1"/>
  <c r="G208" i="23"/>
  <c r="CD208" i="6" s="1"/>
  <c r="AA216" i="23"/>
  <c r="Z216" i="23" s="1"/>
  <c r="Y216" i="23" s="1"/>
  <c r="G216" i="23"/>
  <c r="CD216" i="6" s="1"/>
  <c r="AA218" i="23"/>
  <c r="Z218" i="23" s="1"/>
  <c r="Y218" i="23" s="1"/>
  <c r="G218" i="23"/>
  <c r="CD218" i="6" s="1"/>
  <c r="G224" i="23"/>
  <c r="CD224" i="6" s="1"/>
  <c r="AA224" i="23"/>
  <c r="Z224" i="23" s="1"/>
  <c r="Y224" i="23" s="1"/>
  <c r="AA234" i="23"/>
  <c r="Z234" i="23" s="1"/>
  <c r="Y234" i="23" s="1"/>
  <c r="G234" i="23"/>
  <c r="CD234" i="6" s="1"/>
  <c r="G236" i="23"/>
  <c r="CD236" i="6" s="1"/>
  <c r="AA236" i="23"/>
  <c r="Z236" i="23" s="1"/>
  <c r="Y236" i="23" s="1"/>
  <c r="G242" i="23"/>
  <c r="CD242" i="6" s="1"/>
  <c r="AA242" i="23"/>
  <c r="Z242" i="23" s="1"/>
  <c r="Y242" i="23" s="1"/>
  <c r="G248" i="23"/>
  <c r="CD248" i="6" s="1"/>
  <c r="AA248" i="23"/>
  <c r="Z248" i="23" s="1"/>
  <c r="Y248" i="23" s="1"/>
  <c r="G254" i="23"/>
  <c r="CD254" i="6" s="1"/>
  <c r="AA254" i="23"/>
  <c r="Z254" i="23" s="1"/>
  <c r="Y254" i="23" s="1"/>
  <c r="AA260" i="23"/>
  <c r="Z260" i="23" s="1"/>
  <c r="Y260" i="23" s="1"/>
  <c r="H260" i="23"/>
  <c r="G260" i="23"/>
  <c r="CD260" i="6" s="1"/>
  <c r="AA264" i="23"/>
  <c r="Z264" i="23" s="1"/>
  <c r="Y264" i="23" s="1"/>
  <c r="G264" i="23"/>
  <c r="CD264" i="6" s="1"/>
  <c r="G268" i="23"/>
  <c r="CD268" i="6" s="1"/>
  <c r="AA268" i="23"/>
  <c r="Z268" i="23" s="1"/>
  <c r="Y268" i="23" s="1"/>
  <c r="AA270" i="23"/>
  <c r="Z270" i="23" s="1"/>
  <c r="Y270" i="23" s="1"/>
  <c r="G270" i="23"/>
  <c r="CD270" i="6" s="1"/>
  <c r="AA274" i="23"/>
  <c r="Z274" i="23" s="1"/>
  <c r="Y274" i="23" s="1"/>
  <c r="G274" i="23"/>
  <c r="CD274" i="6" s="1"/>
  <c r="AA276" i="23"/>
  <c r="Z276" i="23" s="1"/>
  <c r="Y276" i="23" s="1"/>
  <c r="G276" i="23"/>
  <c r="CD276" i="6" s="1"/>
  <c r="AA280" i="23"/>
  <c r="Z280" i="23" s="1"/>
  <c r="Y280" i="23" s="1"/>
  <c r="G280" i="23"/>
  <c r="CD280" i="6" s="1"/>
  <c r="H286" i="23"/>
  <c r="G286" i="23"/>
  <c r="CD286" i="6" s="1"/>
  <c r="AA286" i="23"/>
  <c r="Z286" i="23" s="1"/>
  <c r="Y286" i="23" s="1"/>
  <c r="G288" i="23"/>
  <c r="CD288" i="6" s="1"/>
  <c r="H288" i="23"/>
  <c r="AA288" i="23"/>
  <c r="Z288" i="23" s="1"/>
  <c r="Y288" i="23" s="1"/>
  <c r="AA292" i="23"/>
  <c r="Z292" i="23" s="1"/>
  <c r="Y292" i="23" s="1"/>
  <c r="G292" i="23"/>
  <c r="CD292" i="6" s="1"/>
  <c r="AA294" i="23"/>
  <c r="Z294" i="23" s="1"/>
  <c r="Y294" i="23" s="1"/>
  <c r="G294" i="23"/>
  <c r="CD294" i="6" s="1"/>
  <c r="G296" i="23"/>
  <c r="CD296" i="6" s="1"/>
  <c r="AA296" i="23"/>
  <c r="Z296" i="23" s="1"/>
  <c r="Y296" i="23" s="1"/>
  <c r="AA306" i="23"/>
  <c r="Z306" i="23" s="1"/>
  <c r="Y306" i="23" s="1"/>
  <c r="G306" i="23"/>
  <c r="CD306" i="6" s="1"/>
  <c r="AA308" i="23"/>
  <c r="Z308" i="23" s="1"/>
  <c r="Y308" i="23" s="1"/>
  <c r="G308" i="23"/>
  <c r="CD308" i="6" s="1"/>
  <c r="G312" i="23"/>
  <c r="CD312" i="6" s="1"/>
  <c r="AA312" i="23"/>
  <c r="Z312" i="23" s="1"/>
  <c r="Y312" i="23" s="1"/>
  <c r="AA316" i="23"/>
  <c r="Z316" i="23" s="1"/>
  <c r="Y316" i="23" s="1"/>
  <c r="G316" i="23"/>
  <c r="CD316" i="6" s="1"/>
  <c r="G318" i="23"/>
  <c r="CD318" i="6" s="1"/>
  <c r="AA318" i="23"/>
  <c r="Z318" i="23" s="1"/>
  <c r="Y318" i="23" s="1"/>
  <c r="G320" i="23"/>
  <c r="CD320" i="6" s="1"/>
  <c r="H320" i="23"/>
  <c r="AA320" i="23"/>
  <c r="Z320" i="23" s="1"/>
  <c r="Y320" i="23" s="1"/>
  <c r="AA322" i="23"/>
  <c r="Z322" i="23" s="1"/>
  <c r="Y322" i="23" s="1"/>
  <c r="G322" i="23"/>
  <c r="CD322" i="6" s="1"/>
  <c r="G324" i="23"/>
  <c r="CD324" i="6" s="1"/>
  <c r="H324" i="23"/>
  <c r="AA324" i="23"/>
  <c r="Z324" i="23" s="1"/>
  <c r="Y324" i="23" s="1"/>
  <c r="G326" i="23"/>
  <c r="CD326" i="6" s="1"/>
  <c r="AA326" i="23"/>
  <c r="Z326" i="23" s="1"/>
  <c r="Y326" i="23" s="1"/>
  <c r="AA330" i="23"/>
  <c r="Z330" i="23" s="1"/>
  <c r="Y330" i="23" s="1"/>
  <c r="G330" i="23"/>
  <c r="CD330" i="6" s="1"/>
  <c r="AA334" i="23"/>
  <c r="Z334" i="23" s="1"/>
  <c r="Y334" i="23" s="1"/>
  <c r="G334" i="23"/>
  <c r="CD334" i="6" s="1"/>
  <c r="G336" i="23"/>
  <c r="CD336" i="6" s="1"/>
  <c r="AA336" i="23"/>
  <c r="Z336" i="23" s="1"/>
  <c r="Y336" i="23" s="1"/>
  <c r="AA350" i="23"/>
  <c r="Z350" i="23" s="1"/>
  <c r="Y350" i="23" s="1"/>
  <c r="G350" i="23"/>
  <c r="CD350" i="6" s="1"/>
  <c r="AA352" i="23"/>
  <c r="Z352" i="23" s="1"/>
  <c r="Y352" i="23" s="1"/>
  <c r="G352" i="23"/>
  <c r="CD352" i="6" s="1"/>
  <c r="H354" i="23"/>
  <c r="AA354" i="23"/>
  <c r="Z354" i="23" s="1"/>
  <c r="Y354" i="23" s="1"/>
  <c r="G354" i="23"/>
  <c r="CD354" i="6" s="1"/>
  <c r="AA358" i="23"/>
  <c r="Z358" i="23" s="1"/>
  <c r="Y358" i="23" s="1"/>
  <c r="G358" i="23"/>
  <c r="CD358" i="6" s="1"/>
  <c r="G362" i="23"/>
  <c r="CD362" i="6" s="1"/>
  <c r="AA362" i="23"/>
  <c r="Z362" i="23" s="1"/>
  <c r="Y362" i="23" s="1"/>
  <c r="G372" i="23"/>
  <c r="CD372" i="6" s="1"/>
  <c r="AA372" i="23"/>
  <c r="Z372" i="23" s="1"/>
  <c r="Y372" i="23" s="1"/>
  <c r="AA374" i="23"/>
  <c r="Z374" i="23" s="1"/>
  <c r="Y374" i="23" s="1"/>
  <c r="G374" i="23"/>
  <c r="CD374" i="6" s="1"/>
  <c r="AA376" i="23"/>
  <c r="Z376" i="23" s="1"/>
  <c r="Y376" i="23" s="1"/>
  <c r="G376" i="23"/>
  <c r="CD376" i="6" s="1"/>
  <c r="G378" i="23"/>
  <c r="CD378" i="6" s="1"/>
  <c r="AA378" i="23"/>
  <c r="Z378" i="23" s="1"/>
  <c r="Y378" i="23" s="1"/>
  <c r="AH19" i="24"/>
  <c r="AH22" i="24"/>
  <c r="AH26" i="24"/>
  <c r="AH30" i="24"/>
  <c r="AH34" i="24"/>
  <c r="AH38" i="24"/>
  <c r="AH42" i="24"/>
  <c r="AH46" i="24"/>
  <c r="AH50" i="24"/>
  <c r="AH54" i="24"/>
  <c r="AH58" i="24"/>
  <c r="AH62" i="24"/>
  <c r="AH66" i="24"/>
  <c r="AH70" i="24"/>
  <c r="AH74" i="24"/>
  <c r="AH78" i="24"/>
  <c r="AH82" i="24"/>
  <c r="AH86" i="24"/>
  <c r="AH90" i="24"/>
  <c r="AH94" i="24"/>
  <c r="AH98" i="24"/>
  <c r="AH102" i="24"/>
  <c r="AH106" i="24"/>
  <c r="AH110" i="24"/>
  <c r="AH114" i="24"/>
  <c r="AH118" i="24"/>
  <c r="AH122" i="24"/>
  <c r="AH126" i="24"/>
  <c r="AH130" i="24"/>
  <c r="AH134" i="24"/>
  <c r="AH138" i="24"/>
  <c r="AH142" i="24"/>
  <c r="AH146" i="24"/>
  <c r="AH150" i="24"/>
  <c r="AH154" i="24"/>
  <c r="AH158" i="24"/>
  <c r="AH162" i="24"/>
  <c r="AH166" i="24"/>
  <c r="AH170" i="24"/>
  <c r="AH174" i="24"/>
  <c r="AH178" i="24"/>
  <c r="AH182" i="24"/>
  <c r="AH186" i="24"/>
  <c r="AH190" i="24"/>
  <c r="AH194" i="24"/>
  <c r="AH198" i="24"/>
  <c r="AH202" i="24"/>
  <c r="AH206" i="24"/>
  <c r="AH210" i="24"/>
  <c r="AH214" i="24"/>
  <c r="AH218" i="24"/>
  <c r="AH222" i="24"/>
  <c r="AH226" i="24"/>
  <c r="AH230" i="24"/>
  <c r="AH234" i="24"/>
  <c r="AH238" i="24"/>
  <c r="AH242" i="24"/>
  <c r="AH246" i="24"/>
  <c r="AH250" i="24"/>
  <c r="AH254" i="24"/>
  <c r="AH258" i="24"/>
  <c r="AH262" i="24"/>
  <c r="AH266" i="24"/>
  <c r="AH270" i="24"/>
  <c r="AH274" i="24"/>
  <c r="AH278" i="24"/>
  <c r="AH282" i="24"/>
  <c r="AH286" i="24"/>
  <c r="AH290" i="24"/>
  <c r="AH294" i="24"/>
  <c r="AH298" i="24"/>
  <c r="AH302" i="24"/>
  <c r="AH306" i="24"/>
  <c r="AH310" i="24"/>
  <c r="AH314" i="24"/>
  <c r="AH318" i="24"/>
  <c r="AH322" i="24"/>
  <c r="AH326" i="24"/>
  <c r="AH330" i="24"/>
  <c r="AH334" i="24"/>
  <c r="AH338" i="24"/>
  <c r="AH342" i="24"/>
  <c r="AH346" i="24"/>
  <c r="AH350" i="24"/>
  <c r="AH354" i="24"/>
  <c r="AH358" i="24"/>
  <c r="AH362" i="24"/>
  <c r="AH366" i="24"/>
  <c r="AH370" i="24"/>
  <c r="AH374" i="24"/>
  <c r="AH378" i="24"/>
  <c r="J197" i="23"/>
  <c r="I197" i="23"/>
  <c r="J297" i="23"/>
  <c r="I297" i="23"/>
  <c r="H108" i="23"/>
  <c r="H140" i="23"/>
  <c r="H376" i="23"/>
  <c r="I261" i="23"/>
  <c r="J261" i="23"/>
  <c r="H90" i="23"/>
  <c r="H362" i="23"/>
  <c r="J111" i="23"/>
  <c r="I111" i="23"/>
  <c r="G25" i="23"/>
  <c r="CD25" i="6" s="1"/>
  <c r="AA25" i="23"/>
  <c r="Z25" i="23" s="1"/>
  <c r="Y25" i="23" s="1"/>
  <c r="G33" i="23"/>
  <c r="CD33" i="6" s="1"/>
  <c r="AA33" i="23"/>
  <c r="Z33" i="23" s="1"/>
  <c r="Y33" i="23" s="1"/>
  <c r="G39" i="23"/>
  <c r="CD39" i="6" s="1"/>
  <c r="AA39" i="23"/>
  <c r="Z39" i="23" s="1"/>
  <c r="Y39" i="23" s="1"/>
  <c r="G41" i="23"/>
  <c r="CD41" i="6" s="1"/>
  <c r="AA41" i="23"/>
  <c r="Z41" i="23" s="1"/>
  <c r="Y41" i="23" s="1"/>
  <c r="G45" i="23"/>
  <c r="CD45" i="6" s="1"/>
  <c r="AA45" i="23"/>
  <c r="Z45" i="23" s="1"/>
  <c r="Y45" i="23" s="1"/>
  <c r="AA47" i="23"/>
  <c r="Z47" i="23" s="1"/>
  <c r="Y47" i="23" s="1"/>
  <c r="G47" i="23"/>
  <c r="CD47" i="6" s="1"/>
  <c r="AA55" i="23"/>
  <c r="Z55" i="23" s="1"/>
  <c r="Y55" i="23" s="1"/>
  <c r="G55" i="23"/>
  <c r="CD55" i="6" s="1"/>
  <c r="G59" i="23"/>
  <c r="CD59" i="6" s="1"/>
  <c r="AA59" i="23"/>
  <c r="Z59" i="23" s="1"/>
  <c r="Y59" i="23" s="1"/>
  <c r="AA73" i="23"/>
  <c r="Z73" i="23" s="1"/>
  <c r="Y73" i="23" s="1"/>
  <c r="G73" i="23"/>
  <c r="CD73" i="6" s="1"/>
  <c r="G75" i="23"/>
  <c r="CD75" i="6" s="1"/>
  <c r="AA75" i="23"/>
  <c r="Z75" i="23" s="1"/>
  <c r="Y75" i="23" s="1"/>
  <c r="G77" i="23"/>
  <c r="CD77" i="6" s="1"/>
  <c r="AA77" i="23"/>
  <c r="Z77" i="23" s="1"/>
  <c r="Y77" i="23" s="1"/>
  <c r="AA81" i="23"/>
  <c r="Z81" i="23" s="1"/>
  <c r="Y81" i="23" s="1"/>
  <c r="G81" i="23"/>
  <c r="CD81" i="6" s="1"/>
  <c r="AA85" i="23"/>
  <c r="Z85" i="23" s="1"/>
  <c r="Y85" i="23" s="1"/>
  <c r="G85" i="23"/>
  <c r="CD85" i="6" s="1"/>
  <c r="AA87" i="23"/>
  <c r="Z87" i="23" s="1"/>
  <c r="Y87" i="23" s="1"/>
  <c r="G87" i="23"/>
  <c r="CD87" i="6" s="1"/>
  <c r="G89" i="23"/>
  <c r="CD89" i="6" s="1"/>
  <c r="AA89" i="23"/>
  <c r="Z89" i="23" s="1"/>
  <c r="Y89" i="23" s="1"/>
  <c r="AA95" i="23"/>
  <c r="Z95" i="23" s="1"/>
  <c r="Y95" i="23" s="1"/>
  <c r="G95" i="23"/>
  <c r="CD95" i="6" s="1"/>
  <c r="AA99" i="23"/>
  <c r="Z99" i="23" s="1"/>
  <c r="Y99" i="23" s="1"/>
  <c r="G99" i="23"/>
  <c r="CD99" i="6" s="1"/>
  <c r="G103" i="23"/>
  <c r="CD103" i="6" s="1"/>
  <c r="AA103" i="23"/>
  <c r="Z103" i="23" s="1"/>
  <c r="Y103" i="23" s="1"/>
  <c r="G105" i="23"/>
  <c r="CD105" i="6" s="1"/>
  <c r="AA105" i="23"/>
  <c r="Z105" i="23" s="1"/>
  <c r="Y105" i="23" s="1"/>
  <c r="AA109" i="23"/>
  <c r="Z109" i="23" s="1"/>
  <c r="Y109" i="23" s="1"/>
  <c r="G109" i="23"/>
  <c r="CD109" i="6" s="1"/>
  <c r="AA111" i="23"/>
  <c r="Z111" i="23" s="1"/>
  <c r="Y111" i="23" s="1"/>
  <c r="G111" i="23"/>
  <c r="CD111" i="6" s="1"/>
  <c r="G115" i="23"/>
  <c r="CD115" i="6" s="1"/>
  <c r="AA115" i="23"/>
  <c r="Z115" i="23" s="1"/>
  <c r="Y115" i="23" s="1"/>
  <c r="AA117" i="23"/>
  <c r="Z117" i="23" s="1"/>
  <c r="Y117" i="23" s="1"/>
  <c r="G117" i="23"/>
  <c r="CD117" i="6" s="1"/>
  <c r="G121" i="23"/>
  <c r="CD121" i="6" s="1"/>
  <c r="AA121" i="23"/>
  <c r="Z121" i="23" s="1"/>
  <c r="Y121" i="23" s="1"/>
  <c r="AA123" i="23"/>
  <c r="Z123" i="23" s="1"/>
  <c r="Y123" i="23" s="1"/>
  <c r="G123" i="23"/>
  <c r="CD123" i="6" s="1"/>
  <c r="AA125" i="23"/>
  <c r="Z125" i="23" s="1"/>
  <c r="Y125" i="23" s="1"/>
  <c r="G125" i="23"/>
  <c r="CD125" i="6" s="1"/>
  <c r="D135" i="23"/>
  <c r="E135" i="23" s="1"/>
  <c r="F135" i="23" s="1"/>
  <c r="W135" i="23"/>
  <c r="AA137" i="23"/>
  <c r="Z137" i="23" s="1"/>
  <c r="Y137" i="23" s="1"/>
  <c r="G137" i="23"/>
  <c r="CD137" i="6" s="1"/>
  <c r="AA139" i="23"/>
  <c r="Z139" i="23" s="1"/>
  <c r="Y139" i="23" s="1"/>
  <c r="G139" i="23"/>
  <c r="CD139" i="6" s="1"/>
  <c r="G147" i="23"/>
  <c r="CD147" i="6" s="1"/>
  <c r="AA147" i="23"/>
  <c r="Z147" i="23" s="1"/>
  <c r="Y147" i="23" s="1"/>
  <c r="G151" i="23"/>
  <c r="CD151" i="6" s="1"/>
  <c r="AA151" i="23"/>
  <c r="Z151" i="23" s="1"/>
  <c r="Y151" i="23" s="1"/>
  <c r="AA153" i="23"/>
  <c r="Z153" i="23" s="1"/>
  <c r="Y153" i="23" s="1"/>
  <c r="G153" i="23"/>
  <c r="CD153" i="6" s="1"/>
  <c r="AA155" i="23"/>
  <c r="Z155" i="23" s="1"/>
  <c r="Y155" i="23" s="1"/>
  <c r="G155" i="23"/>
  <c r="CD155" i="6" s="1"/>
  <c r="G165" i="23"/>
  <c r="CD165" i="6" s="1"/>
  <c r="AA165" i="23"/>
  <c r="Z165" i="23" s="1"/>
  <c r="Y165" i="23" s="1"/>
  <c r="G171" i="23"/>
  <c r="CD171" i="6" s="1"/>
  <c r="AA171" i="23"/>
  <c r="Z171" i="23" s="1"/>
  <c r="Y171" i="23" s="1"/>
  <c r="AA179" i="23"/>
  <c r="Z179" i="23" s="1"/>
  <c r="Y179" i="23" s="1"/>
  <c r="G179" i="23"/>
  <c r="CD179" i="6" s="1"/>
  <c r="AA181" i="23"/>
  <c r="Z181" i="23" s="1"/>
  <c r="Y181" i="23" s="1"/>
  <c r="G181" i="23"/>
  <c r="CD181" i="6" s="1"/>
  <c r="G185" i="23"/>
  <c r="CD185" i="6" s="1"/>
  <c r="AA185" i="23"/>
  <c r="Z185" i="23" s="1"/>
  <c r="Y185" i="23" s="1"/>
  <c r="H191" i="23"/>
  <c r="AA191" i="23"/>
  <c r="Z191" i="23" s="1"/>
  <c r="Y191" i="23" s="1"/>
  <c r="G191" i="23"/>
  <c r="CD191" i="6" s="1"/>
  <c r="G193" i="23"/>
  <c r="CD193" i="6" s="1"/>
  <c r="H193" i="23"/>
  <c r="AA193" i="23"/>
  <c r="Z193" i="23" s="1"/>
  <c r="Y193" i="23" s="1"/>
  <c r="G197" i="23"/>
  <c r="CD197" i="6" s="1"/>
  <c r="AA197" i="23"/>
  <c r="Z197" i="23" s="1"/>
  <c r="Y197" i="23" s="1"/>
  <c r="H199" i="23"/>
  <c r="AA199" i="23"/>
  <c r="Z199" i="23" s="1"/>
  <c r="Y199" i="23" s="1"/>
  <c r="G199" i="23"/>
  <c r="CD199" i="6" s="1"/>
  <c r="AA201" i="23"/>
  <c r="Z201" i="23" s="1"/>
  <c r="Y201" i="23" s="1"/>
  <c r="G201" i="23"/>
  <c r="CD201" i="6" s="1"/>
  <c r="H207" i="23"/>
  <c r="AA207" i="23"/>
  <c r="Z207" i="23" s="1"/>
  <c r="Y207" i="23" s="1"/>
  <c r="G207" i="23"/>
  <c r="CD207" i="6" s="1"/>
  <c r="AA211" i="23"/>
  <c r="Z211" i="23" s="1"/>
  <c r="Y211" i="23" s="1"/>
  <c r="G211" i="23"/>
  <c r="CD211" i="6" s="1"/>
  <c r="AA215" i="23"/>
  <c r="Z215" i="23" s="1"/>
  <c r="Y215" i="23" s="1"/>
  <c r="G215" i="23"/>
  <c r="CD215" i="6" s="1"/>
  <c r="H217" i="23"/>
  <c r="G217" i="23"/>
  <c r="CD217" i="6" s="1"/>
  <c r="AA217" i="23"/>
  <c r="Z217" i="23" s="1"/>
  <c r="Y217" i="23" s="1"/>
  <c r="AA219" i="23"/>
  <c r="Z219" i="23" s="1"/>
  <c r="Y219" i="23" s="1"/>
  <c r="G219" i="23"/>
  <c r="CD219" i="6" s="1"/>
  <c r="G223" i="23"/>
  <c r="CD223" i="6" s="1"/>
  <c r="AA223" i="23"/>
  <c r="Z223" i="23" s="1"/>
  <c r="Y223" i="23" s="1"/>
  <c r="G225" i="23"/>
  <c r="CD225" i="6" s="1"/>
  <c r="AA225" i="23"/>
  <c r="Z225" i="23" s="1"/>
  <c r="Y225" i="23" s="1"/>
  <c r="AA227" i="23"/>
  <c r="Z227" i="23" s="1"/>
  <c r="Y227" i="23" s="1"/>
  <c r="G227" i="23"/>
  <c r="CD227" i="6" s="1"/>
  <c r="G233" i="23"/>
  <c r="CD233" i="6" s="1"/>
  <c r="AA233" i="23"/>
  <c r="Z233" i="23" s="1"/>
  <c r="Y233" i="23" s="1"/>
  <c r="G235" i="23"/>
  <c r="CD235" i="6" s="1"/>
  <c r="AA235" i="23"/>
  <c r="Z235" i="23" s="1"/>
  <c r="Y235" i="23" s="1"/>
  <c r="G237" i="23"/>
  <c r="CD237" i="6" s="1"/>
  <c r="AA237" i="23"/>
  <c r="Z237" i="23" s="1"/>
  <c r="Y237" i="23" s="1"/>
  <c r="G239" i="23"/>
  <c r="CD239" i="6" s="1"/>
  <c r="AA239" i="23"/>
  <c r="Z239" i="23" s="1"/>
  <c r="Y239" i="23" s="1"/>
  <c r="AA247" i="23"/>
  <c r="Z247" i="23" s="1"/>
  <c r="Y247" i="23" s="1"/>
  <c r="G247" i="23"/>
  <c r="CD247" i="6" s="1"/>
  <c r="AA249" i="23"/>
  <c r="Z249" i="23" s="1"/>
  <c r="Y249" i="23" s="1"/>
  <c r="G249" i="23"/>
  <c r="CD249" i="6" s="1"/>
  <c r="AA259" i="23"/>
  <c r="Z259" i="23" s="1"/>
  <c r="Y259" i="23" s="1"/>
  <c r="G259" i="23"/>
  <c r="CD259" i="6" s="1"/>
  <c r="AA261" i="23"/>
  <c r="Z261" i="23" s="1"/>
  <c r="Y261" i="23" s="1"/>
  <c r="G261" i="23"/>
  <c r="CD261" i="6" s="1"/>
  <c r="G263" i="23"/>
  <c r="CD263" i="6" s="1"/>
  <c r="AA263" i="23"/>
  <c r="Z263" i="23" s="1"/>
  <c r="Y263" i="23" s="1"/>
  <c r="G265" i="23"/>
  <c r="CD265" i="6" s="1"/>
  <c r="AA265" i="23"/>
  <c r="Z265" i="23" s="1"/>
  <c r="Y265" i="23" s="1"/>
  <c r="AA267" i="23"/>
  <c r="Z267" i="23" s="1"/>
  <c r="Y267" i="23" s="1"/>
  <c r="G267" i="23"/>
  <c r="CD267" i="6" s="1"/>
  <c r="AA269" i="23"/>
  <c r="Z269" i="23" s="1"/>
  <c r="Y269" i="23" s="1"/>
  <c r="G269" i="23"/>
  <c r="CD269" i="6" s="1"/>
  <c r="AA271" i="23"/>
  <c r="Z271" i="23" s="1"/>
  <c r="Y271" i="23" s="1"/>
  <c r="G271" i="23"/>
  <c r="CD271" i="6" s="1"/>
  <c r="G273" i="23"/>
  <c r="CD273" i="6" s="1"/>
  <c r="AA273" i="23"/>
  <c r="Z273" i="23" s="1"/>
  <c r="Y273" i="23" s="1"/>
  <c r="G283" i="23"/>
  <c r="CD283" i="6" s="1"/>
  <c r="AA283" i="23"/>
  <c r="Z283" i="23" s="1"/>
  <c r="Y283" i="23" s="1"/>
  <c r="H287" i="23"/>
  <c r="G287" i="23"/>
  <c r="CD287" i="6" s="1"/>
  <c r="AA287" i="23"/>
  <c r="Z287" i="23" s="1"/>
  <c r="Y287" i="23" s="1"/>
  <c r="AA289" i="23"/>
  <c r="Z289" i="23" s="1"/>
  <c r="Y289" i="23" s="1"/>
  <c r="G289" i="23"/>
  <c r="CD289" i="6" s="1"/>
  <c r="G291" i="23"/>
  <c r="CD291" i="6" s="1"/>
  <c r="AA291" i="23"/>
  <c r="Z291" i="23" s="1"/>
  <c r="Y291" i="23" s="1"/>
  <c r="G297" i="23"/>
  <c r="CD297" i="6" s="1"/>
  <c r="AA297" i="23"/>
  <c r="Z297" i="23" s="1"/>
  <c r="Y297" i="23" s="1"/>
  <c r="H303" i="23"/>
  <c r="AA303" i="23"/>
  <c r="Z303" i="23" s="1"/>
  <c r="Y303" i="23" s="1"/>
  <c r="G303" i="23"/>
  <c r="CD303" i="6" s="1"/>
  <c r="G305" i="23"/>
  <c r="CD305" i="6" s="1"/>
  <c r="H305" i="23"/>
  <c r="AA305" i="23"/>
  <c r="Z305" i="23" s="1"/>
  <c r="Y305" i="23" s="1"/>
  <c r="G309" i="23"/>
  <c r="CD309" i="6" s="1"/>
  <c r="H309" i="23"/>
  <c r="AA309" i="23"/>
  <c r="Z309" i="23" s="1"/>
  <c r="Y309" i="23" s="1"/>
  <c r="H313" i="23"/>
  <c r="G313" i="23"/>
  <c r="CD313" i="6" s="1"/>
  <c r="AA313" i="23"/>
  <c r="Z313" i="23" s="1"/>
  <c r="Y313" i="23" s="1"/>
  <c r="G315" i="23"/>
  <c r="CD315" i="6" s="1"/>
  <c r="AA315" i="23"/>
  <c r="Z315" i="23" s="1"/>
  <c r="Y315" i="23" s="1"/>
  <c r="D319" i="23"/>
  <c r="E319" i="23" s="1"/>
  <c r="F319" i="23" s="1"/>
  <c r="W319" i="23"/>
  <c r="G323" i="23"/>
  <c r="CD323" i="6" s="1"/>
  <c r="AA323" i="23"/>
  <c r="Z323" i="23" s="1"/>
  <c r="Y323" i="23" s="1"/>
  <c r="G325" i="23"/>
  <c r="CD325" i="6" s="1"/>
  <c r="AA325" i="23"/>
  <c r="Z325" i="23" s="1"/>
  <c r="Y325" i="23" s="1"/>
  <c r="AA327" i="23"/>
  <c r="Z327" i="23" s="1"/>
  <c r="Y327" i="23" s="1"/>
  <c r="G327" i="23"/>
  <c r="CD327" i="6" s="1"/>
  <c r="G329" i="23"/>
  <c r="CD329" i="6" s="1"/>
  <c r="AA329" i="23"/>
  <c r="Z329" i="23" s="1"/>
  <c r="Y329" i="23" s="1"/>
  <c r="D333" i="23"/>
  <c r="E333" i="23" s="1"/>
  <c r="F333" i="23" s="1"/>
  <c r="W333" i="23"/>
  <c r="AA335" i="23"/>
  <c r="Z335" i="23" s="1"/>
  <c r="Y335" i="23" s="1"/>
  <c r="G335" i="23"/>
  <c r="CD335" i="6" s="1"/>
  <c r="AA337" i="23"/>
  <c r="Z337" i="23" s="1"/>
  <c r="Y337" i="23" s="1"/>
  <c r="H337" i="23"/>
  <c r="G337" i="23"/>
  <c r="CD337" i="6" s="1"/>
  <c r="AA339" i="23"/>
  <c r="Z339" i="23" s="1"/>
  <c r="Y339" i="23" s="1"/>
  <c r="G339" i="23"/>
  <c r="CD339" i="6" s="1"/>
  <c r="W349" i="23"/>
  <c r="D349" i="23"/>
  <c r="E349" i="23" s="1"/>
  <c r="F349" i="23" s="1"/>
  <c r="H349" i="23" s="1"/>
  <c r="G351" i="23"/>
  <c r="CD351" i="6" s="1"/>
  <c r="H351" i="23"/>
  <c r="AA351" i="23"/>
  <c r="Z351" i="23" s="1"/>
  <c r="Y351" i="23" s="1"/>
  <c r="G353" i="23"/>
  <c r="CD353" i="6" s="1"/>
  <c r="AA353" i="23"/>
  <c r="Z353" i="23" s="1"/>
  <c r="Y353" i="23" s="1"/>
  <c r="H355" i="23"/>
  <c r="G355" i="23"/>
  <c r="CD355" i="6" s="1"/>
  <c r="AA355" i="23"/>
  <c r="Z355" i="23" s="1"/>
  <c r="Y355" i="23" s="1"/>
  <c r="AA359" i="23"/>
  <c r="Z359" i="23" s="1"/>
  <c r="Y359" i="23" s="1"/>
  <c r="G359" i="23"/>
  <c r="CD359" i="6" s="1"/>
  <c r="D363" i="23"/>
  <c r="E363" i="23" s="1"/>
  <c r="F363" i="23" s="1"/>
  <c r="W363" i="23"/>
  <c r="AA365" i="23"/>
  <c r="Z365" i="23" s="1"/>
  <c r="Y365" i="23" s="1"/>
  <c r="G365" i="23"/>
  <c r="CD365" i="6" s="1"/>
  <c r="AA367" i="23"/>
  <c r="Z367" i="23" s="1"/>
  <c r="Y367" i="23" s="1"/>
  <c r="G367" i="23"/>
  <c r="CD367" i="6" s="1"/>
  <c r="G369" i="23"/>
  <c r="CD369" i="6" s="1"/>
  <c r="AA369" i="23"/>
  <c r="Z369" i="23" s="1"/>
  <c r="Y369" i="23" s="1"/>
  <c r="AA371" i="23"/>
  <c r="Z371" i="23" s="1"/>
  <c r="Y371" i="23" s="1"/>
  <c r="G371" i="23"/>
  <c r="CD371" i="6" s="1"/>
  <c r="AA373" i="23"/>
  <c r="Z373" i="23" s="1"/>
  <c r="Y373" i="23" s="1"/>
  <c r="G373" i="23"/>
  <c r="CD373" i="6" s="1"/>
  <c r="AA375" i="23"/>
  <c r="Z375" i="23" s="1"/>
  <c r="Y375" i="23" s="1"/>
  <c r="G375" i="23"/>
  <c r="CD375" i="6" s="1"/>
  <c r="G377" i="23"/>
  <c r="CD377" i="6" s="1"/>
  <c r="AA377" i="23"/>
  <c r="Z377" i="23" s="1"/>
  <c r="Y377" i="23" s="1"/>
  <c r="T18" i="24"/>
  <c r="T16" i="24"/>
  <c r="T23" i="24"/>
  <c r="T27" i="24"/>
  <c r="T31" i="24"/>
  <c r="T35" i="24"/>
  <c r="T39" i="24"/>
  <c r="T43" i="24"/>
  <c r="T47" i="24"/>
  <c r="T51" i="24"/>
  <c r="T55" i="24"/>
  <c r="T59" i="24"/>
  <c r="T63" i="24"/>
  <c r="T67" i="24"/>
  <c r="T71" i="24"/>
  <c r="T75" i="24"/>
  <c r="T79" i="24"/>
  <c r="T83" i="24"/>
  <c r="T87" i="24"/>
  <c r="T91" i="24"/>
  <c r="T95" i="24"/>
  <c r="T99" i="24"/>
  <c r="T103" i="24"/>
  <c r="T107" i="24"/>
  <c r="T111" i="24"/>
  <c r="T115" i="24"/>
  <c r="T119" i="24"/>
  <c r="T123" i="24"/>
  <c r="T127" i="24"/>
  <c r="T131" i="24"/>
  <c r="T135" i="24"/>
  <c r="T139" i="24"/>
  <c r="T143" i="24"/>
  <c r="T147" i="24"/>
  <c r="T151" i="24"/>
  <c r="T155" i="24"/>
  <c r="T159" i="24"/>
  <c r="T163" i="24"/>
  <c r="T167" i="24"/>
  <c r="T171" i="24"/>
  <c r="T175" i="24"/>
  <c r="T179" i="24"/>
  <c r="T183" i="24"/>
  <c r="T187" i="24"/>
  <c r="T191" i="24"/>
  <c r="T195" i="24"/>
  <c r="T199" i="24"/>
  <c r="T203" i="24"/>
  <c r="T207" i="24"/>
  <c r="T211" i="24"/>
  <c r="T215" i="24"/>
  <c r="T219" i="24"/>
  <c r="T223" i="24"/>
  <c r="T227" i="24"/>
  <c r="T231" i="24"/>
  <c r="T235" i="24"/>
  <c r="T239" i="24"/>
  <c r="T243" i="24"/>
  <c r="T247" i="24"/>
  <c r="T251" i="24"/>
  <c r="T255" i="24"/>
  <c r="T259" i="24"/>
  <c r="T263" i="24"/>
  <c r="T267" i="24"/>
  <c r="T271" i="24"/>
  <c r="T275" i="24"/>
  <c r="T279" i="24"/>
  <c r="T283" i="24"/>
  <c r="T287" i="24"/>
  <c r="T291" i="24"/>
  <c r="T295" i="24"/>
  <c r="T299" i="24"/>
  <c r="T303" i="24"/>
  <c r="T307" i="24"/>
  <c r="T311" i="24"/>
  <c r="T315" i="24"/>
  <c r="T319" i="24"/>
  <c r="T323" i="24"/>
  <c r="T327" i="24"/>
  <c r="T331" i="24"/>
  <c r="T335" i="24"/>
  <c r="T339" i="24"/>
  <c r="T343" i="24"/>
  <c r="T347" i="24"/>
  <c r="T351" i="24"/>
  <c r="T355" i="24"/>
  <c r="T359" i="24"/>
  <c r="T363" i="24"/>
  <c r="T367" i="24"/>
  <c r="T371" i="24"/>
  <c r="T375" i="24"/>
  <c r="T379" i="24"/>
  <c r="U12" i="25"/>
  <c r="AZ16" i="7"/>
  <c r="BF11" i="7" s="1"/>
  <c r="U11" i="25" s="1"/>
  <c r="H124" i="23"/>
  <c r="H312" i="23"/>
  <c r="H121" i="23"/>
  <c r="H58" i="23"/>
  <c r="H242" i="23"/>
  <c r="H219" i="23"/>
  <c r="H105" i="23"/>
  <c r="H139" i="23"/>
  <c r="H263" i="23"/>
  <c r="AA333" i="22"/>
  <c r="Z333" i="22" s="1"/>
  <c r="Y333" i="22" s="1"/>
  <c r="G333" i="22"/>
  <c r="CC333" i="6" s="1"/>
  <c r="H202" i="23"/>
  <c r="G22" i="23"/>
  <c r="CD22" i="6" s="1"/>
  <c r="AA22" i="23"/>
  <c r="Z22" i="23" s="1"/>
  <c r="Y22" i="23" s="1"/>
  <c r="H36" i="23"/>
  <c r="H186" i="23"/>
  <c r="H350" i="23"/>
  <c r="H155" i="23"/>
  <c r="BE15" i="7"/>
  <c r="Q10" i="25"/>
  <c r="BG15" i="7" s="1"/>
  <c r="J60" i="22"/>
  <c r="I60" i="22"/>
  <c r="H74" i="23"/>
  <c r="H142" i="23"/>
  <c r="H224" i="23"/>
  <c r="B272" i="23"/>
  <c r="H284" i="23"/>
  <c r="AH18" i="24"/>
  <c r="AI383" i="24"/>
  <c r="AI381" i="24"/>
  <c r="AI382" i="24"/>
  <c r="AH15" i="24"/>
  <c r="AH23" i="24"/>
  <c r="AH27" i="24"/>
  <c r="AH31" i="24"/>
  <c r="AH35" i="24"/>
  <c r="AH39" i="24"/>
  <c r="AH43" i="24"/>
  <c r="AH47" i="24"/>
  <c r="AH51" i="24"/>
  <c r="AH55" i="24"/>
  <c r="AH59" i="24"/>
  <c r="AH63" i="24"/>
  <c r="AH67" i="24"/>
  <c r="AH71" i="24"/>
  <c r="AH75" i="24"/>
  <c r="AH79" i="24"/>
  <c r="AH83" i="24"/>
  <c r="AH87" i="24"/>
  <c r="AH91" i="24"/>
  <c r="AH95" i="24"/>
  <c r="AH99" i="24"/>
  <c r="AH103" i="24"/>
  <c r="AH107" i="24"/>
  <c r="AH111" i="24"/>
  <c r="AH115" i="24"/>
  <c r="AH119" i="24"/>
  <c r="AH123" i="24"/>
  <c r="AH127" i="24"/>
  <c r="AH131" i="24"/>
  <c r="AH135" i="24"/>
  <c r="AH139" i="24"/>
  <c r="AH143" i="24"/>
  <c r="AH147" i="24"/>
  <c r="AH151" i="24"/>
  <c r="AH155" i="24"/>
  <c r="AH159" i="24"/>
  <c r="AH163" i="24"/>
  <c r="AH167" i="24"/>
  <c r="AH171" i="24"/>
  <c r="AH175" i="24"/>
  <c r="AH179" i="24"/>
  <c r="AH183" i="24"/>
  <c r="AH187" i="24"/>
  <c r="AH191" i="24"/>
  <c r="AH195" i="24"/>
  <c r="AH199" i="24"/>
  <c r="AH203" i="24"/>
  <c r="AH207" i="24"/>
  <c r="AH211" i="24"/>
  <c r="AH215" i="24"/>
  <c r="AH219" i="24"/>
  <c r="AH223" i="24"/>
  <c r="AH227" i="24"/>
  <c r="AH231" i="24"/>
  <c r="AH235" i="24"/>
  <c r="AH239" i="24"/>
  <c r="AH243" i="24"/>
  <c r="AH247" i="24"/>
  <c r="AH251" i="24"/>
  <c r="AH255" i="24"/>
  <c r="AH259" i="24"/>
  <c r="AH263" i="24"/>
  <c r="AH267" i="24"/>
  <c r="AH271" i="24"/>
  <c r="AH275" i="24"/>
  <c r="AH279" i="24"/>
  <c r="AH283" i="24"/>
  <c r="AH287" i="24"/>
  <c r="AH291" i="24"/>
  <c r="AH295" i="24"/>
  <c r="AH299" i="24"/>
  <c r="AH303" i="24"/>
  <c r="AH307" i="24"/>
  <c r="AH311" i="24"/>
  <c r="AH315" i="24"/>
  <c r="AH319" i="24"/>
  <c r="AH323" i="24"/>
  <c r="AH327" i="24"/>
  <c r="AH331" i="24"/>
  <c r="AH335" i="24"/>
  <c r="AH339" i="24"/>
  <c r="AH343" i="24"/>
  <c r="AH347" i="24"/>
  <c r="AH351" i="24"/>
  <c r="AH355" i="24"/>
  <c r="AH359" i="24"/>
  <c r="AH363" i="24"/>
  <c r="AH367" i="24"/>
  <c r="AH371" i="24"/>
  <c r="AH375" i="24"/>
  <c r="AI12" i="25"/>
  <c r="AH379" i="24"/>
  <c r="H33" i="23"/>
  <c r="H165" i="23"/>
  <c r="H353" i="23"/>
  <c r="H198" i="23"/>
  <c r="H147" i="23"/>
  <c r="H339" i="23"/>
  <c r="H104" i="23"/>
  <c r="H201" i="23"/>
  <c r="H265" i="23"/>
  <c r="H50" i="23"/>
  <c r="H254" i="23"/>
  <c r="H103" i="23"/>
  <c r="T17" i="24"/>
  <c r="T22" i="24"/>
  <c r="T26" i="24"/>
  <c r="T30" i="24"/>
  <c r="T34" i="24"/>
  <c r="T38" i="24"/>
  <c r="T42" i="24"/>
  <c r="T46" i="24"/>
  <c r="T50" i="24"/>
  <c r="T54" i="24"/>
  <c r="T58" i="24"/>
  <c r="T62" i="24"/>
  <c r="T66" i="24"/>
  <c r="T70" i="24"/>
  <c r="T74" i="24"/>
  <c r="T78" i="24"/>
  <c r="T82" i="24"/>
  <c r="T86" i="24"/>
  <c r="T90" i="24"/>
  <c r="T94" i="24"/>
  <c r="T98" i="24"/>
  <c r="T102" i="24"/>
  <c r="T106" i="24"/>
  <c r="T110" i="24"/>
  <c r="T114" i="24"/>
  <c r="T118" i="24"/>
  <c r="T122" i="24"/>
  <c r="T126" i="24"/>
  <c r="T130" i="24"/>
  <c r="T134" i="24"/>
  <c r="T138" i="24"/>
  <c r="T142" i="24"/>
  <c r="T146" i="24"/>
  <c r="T150" i="24"/>
  <c r="T154" i="24"/>
  <c r="T158" i="24"/>
  <c r="T162" i="24"/>
  <c r="T166" i="24"/>
  <c r="T170" i="24"/>
  <c r="T174" i="24"/>
  <c r="T178" i="24"/>
  <c r="T182" i="24"/>
  <c r="T186" i="24"/>
  <c r="T190" i="24"/>
  <c r="T194" i="24"/>
  <c r="T198" i="24"/>
  <c r="T202" i="24"/>
  <c r="T206" i="24"/>
  <c r="T210" i="24"/>
  <c r="T214" i="24"/>
  <c r="T218" i="24"/>
  <c r="T222" i="24"/>
  <c r="T226" i="24"/>
  <c r="T230" i="24"/>
  <c r="T234" i="24"/>
  <c r="T238" i="24"/>
  <c r="T242" i="24"/>
  <c r="T246" i="24"/>
  <c r="T250" i="24"/>
  <c r="T254" i="24"/>
  <c r="T258" i="24"/>
  <c r="T262" i="24"/>
  <c r="T266" i="24"/>
  <c r="T270" i="24"/>
  <c r="T274" i="24"/>
  <c r="T278" i="24"/>
  <c r="T282" i="24"/>
  <c r="T286" i="24"/>
  <c r="T290" i="24"/>
  <c r="T294" i="24"/>
  <c r="T298" i="24"/>
  <c r="T302" i="24"/>
  <c r="T306" i="24"/>
  <c r="T310" i="24"/>
  <c r="T314" i="24"/>
  <c r="T318" i="24"/>
  <c r="T322" i="24"/>
  <c r="T326" i="24"/>
  <c r="T330" i="24"/>
  <c r="T334" i="24"/>
  <c r="T338" i="24"/>
  <c r="T342" i="24"/>
  <c r="T346" i="24"/>
  <c r="T350" i="24"/>
  <c r="T354" i="24"/>
  <c r="T358" i="24"/>
  <c r="T362" i="24"/>
  <c r="T366" i="24"/>
  <c r="T370" i="24"/>
  <c r="T374" i="24"/>
  <c r="T378" i="24"/>
  <c r="H276" i="23"/>
  <c r="H225" i="23"/>
  <c r="I26" i="23"/>
  <c r="J26" i="23"/>
  <c r="H359" i="23"/>
  <c r="H44" i="23"/>
  <c r="H248" i="23"/>
  <c r="H249" i="23"/>
  <c r="H118" i="23"/>
  <c r="H358" i="23"/>
  <c r="H267" i="23"/>
  <c r="G60" i="22"/>
  <c r="CC60" i="6" s="1"/>
  <c r="AA60" i="22"/>
  <c r="Z60" i="22" s="1"/>
  <c r="Y60" i="22" s="1"/>
  <c r="B60" i="23"/>
  <c r="G302" i="22"/>
  <c r="CC302" i="6" s="1"/>
  <c r="AA302" i="22"/>
  <c r="Z302" i="22" s="1"/>
  <c r="Y302" i="22" s="1"/>
  <c r="H334" i="23"/>
  <c r="J16" i="23"/>
  <c r="I16" i="23"/>
  <c r="H125" i="23"/>
  <c r="H373" i="23"/>
  <c r="H374" i="23"/>
  <c r="H179" i="23"/>
  <c r="H64" i="23"/>
  <c r="H316" i="23"/>
  <c r="H77" i="23"/>
  <c r="H369" i="23"/>
  <c r="H94" i="23"/>
  <c r="H326" i="23"/>
  <c r="H68" i="23"/>
  <c r="H308" i="23"/>
  <c r="H73" i="23"/>
  <c r="H273" i="23"/>
  <c r="I210" i="22"/>
  <c r="J210" i="22"/>
  <c r="H322" i="23"/>
  <c r="H211" i="23"/>
  <c r="H336" i="23"/>
  <c r="H233" i="23"/>
  <c r="H98" i="23"/>
  <c r="H235" i="23"/>
  <c r="H88" i="22"/>
  <c r="G88" i="22"/>
  <c r="CC88" i="6" s="1"/>
  <c r="AA88" i="22"/>
  <c r="Z88" i="22" s="1"/>
  <c r="Y88" i="22" s="1"/>
  <c r="G180" i="22"/>
  <c r="CC180" i="6" s="1"/>
  <c r="AA180" i="22"/>
  <c r="Z180" i="22" s="1"/>
  <c r="Y180" i="22" s="1"/>
  <c r="H196" i="23"/>
  <c r="H149" i="22"/>
  <c r="G149" i="22"/>
  <c r="CC149" i="6" s="1"/>
  <c r="AA149" i="22"/>
  <c r="Z149" i="22" s="1"/>
  <c r="Y149" i="22" s="1"/>
  <c r="H209" i="23"/>
  <c r="H301" i="23"/>
  <c r="H190" i="23"/>
  <c r="H234" i="23"/>
  <c r="G119" i="22"/>
  <c r="CC119" i="6" s="1"/>
  <c r="AA119" i="22"/>
  <c r="Z119" i="22" s="1"/>
  <c r="Y119" i="22" s="1"/>
  <c r="G26" i="23"/>
  <c r="CD26" i="6" s="1"/>
  <c r="AA26" i="23"/>
  <c r="Z26" i="23" s="1"/>
  <c r="Y26" i="23" s="1"/>
  <c r="H188" i="23"/>
  <c r="H137" i="23"/>
  <c r="H176" i="23"/>
  <c r="H66" i="23"/>
  <c r="H99" i="23"/>
  <c r="Q382" i="24"/>
  <c r="Q383" i="24"/>
  <c r="I29" i="22"/>
  <c r="J29" i="22"/>
  <c r="H269" i="23"/>
  <c r="H106" i="23"/>
  <c r="H247" i="23"/>
  <c r="H292" i="23"/>
  <c r="H123" i="23"/>
  <c r="H216" i="23"/>
  <c r="H357" i="23"/>
  <c r="H335" i="23"/>
  <c r="AA210" i="22"/>
  <c r="Z210" i="22" s="1"/>
  <c r="Y210" i="22" s="1"/>
  <c r="G210" i="22"/>
  <c r="CC210" i="6" s="1"/>
  <c r="H227" i="23"/>
  <c r="AA379" i="23"/>
  <c r="Z379" i="23" s="1"/>
  <c r="Y379" i="23" s="1"/>
  <c r="G379" i="23"/>
  <c r="CD379" i="6" s="1"/>
  <c r="AA19" i="23"/>
  <c r="Z19" i="23" s="1"/>
  <c r="Y19" i="23" s="1"/>
  <c r="G19" i="23"/>
  <c r="CD19" i="6" s="1"/>
  <c r="AA24" i="23"/>
  <c r="Z24" i="23" s="1"/>
  <c r="Y24" i="23" s="1"/>
  <c r="G24" i="23"/>
  <c r="CD24" i="6" s="1"/>
  <c r="AA32" i="23"/>
  <c r="Z32" i="23" s="1"/>
  <c r="Y32" i="23" s="1"/>
  <c r="G32" i="23"/>
  <c r="CD32" i="6" s="1"/>
  <c r="G46" i="23"/>
  <c r="CD46" i="6" s="1"/>
  <c r="AA46" i="23"/>
  <c r="Z46" i="23" s="1"/>
  <c r="Y46" i="23" s="1"/>
  <c r="G48" i="23"/>
  <c r="CD48" i="6" s="1"/>
  <c r="AA48" i="23"/>
  <c r="Z48" i="23" s="1"/>
  <c r="Y48" i="23" s="1"/>
  <c r="AA56" i="23"/>
  <c r="Z56" i="23" s="1"/>
  <c r="Y56" i="23" s="1"/>
  <c r="G56" i="23"/>
  <c r="CD56" i="6" s="1"/>
  <c r="G62" i="23"/>
  <c r="CD62" i="6" s="1"/>
  <c r="AA62" i="23"/>
  <c r="Z62" i="23" s="1"/>
  <c r="Y62" i="23" s="1"/>
  <c r="G70" i="23"/>
  <c r="CD70" i="6" s="1"/>
  <c r="AA70" i="23"/>
  <c r="Z70" i="23" s="1"/>
  <c r="Y70" i="23" s="1"/>
  <c r="G78" i="23"/>
  <c r="CD78" i="6" s="1"/>
  <c r="AA78" i="23"/>
  <c r="Z78" i="23" s="1"/>
  <c r="Y78" i="23" s="1"/>
  <c r="AA82" i="23"/>
  <c r="Z82" i="23" s="1"/>
  <c r="Y82" i="23" s="1"/>
  <c r="G82" i="23"/>
  <c r="CD82" i="6" s="1"/>
  <c r="AA96" i="23"/>
  <c r="Z96" i="23" s="1"/>
  <c r="Y96" i="23" s="1"/>
  <c r="G96" i="23"/>
  <c r="CD96" i="6" s="1"/>
  <c r="AA110" i="23"/>
  <c r="Z110" i="23" s="1"/>
  <c r="Y110" i="23" s="1"/>
  <c r="G110" i="23"/>
  <c r="CD110" i="6" s="1"/>
  <c r="AA120" i="23"/>
  <c r="Z120" i="23" s="1"/>
  <c r="Y120" i="23" s="1"/>
  <c r="G120" i="23"/>
  <c r="CD120" i="6" s="1"/>
  <c r="AA122" i="23"/>
  <c r="Z122" i="23" s="1"/>
  <c r="Y122" i="23" s="1"/>
  <c r="G122" i="23"/>
  <c r="CD122" i="6" s="1"/>
  <c r="G126" i="23"/>
  <c r="CD126" i="6" s="1"/>
  <c r="AA126" i="23"/>
  <c r="Z126" i="23" s="1"/>
  <c r="Y126" i="23" s="1"/>
  <c r="AA128" i="23"/>
  <c r="Z128" i="23" s="1"/>
  <c r="Y128" i="23" s="1"/>
  <c r="G128" i="23"/>
  <c r="CD128" i="6" s="1"/>
  <c r="AA134" i="23"/>
  <c r="Z134" i="23" s="1"/>
  <c r="Y134" i="23" s="1"/>
  <c r="G134" i="23"/>
  <c r="CD134" i="6" s="1"/>
  <c r="G136" i="23"/>
  <c r="CD136" i="6" s="1"/>
  <c r="AA136" i="23"/>
  <c r="Z136" i="23" s="1"/>
  <c r="Y136" i="23" s="1"/>
  <c r="G146" i="23"/>
  <c r="CD146" i="6" s="1"/>
  <c r="AA146" i="23"/>
  <c r="Z146" i="23" s="1"/>
  <c r="Y146" i="23" s="1"/>
  <c r="G150" i="23"/>
  <c r="CD150" i="6" s="1"/>
  <c r="AA150" i="23"/>
  <c r="Z150" i="23" s="1"/>
  <c r="Y150" i="23" s="1"/>
  <c r="AA156" i="23"/>
  <c r="Z156" i="23" s="1"/>
  <c r="Y156" i="23" s="1"/>
  <c r="G156" i="23"/>
  <c r="CD156" i="6" s="1"/>
  <c r="G158" i="23"/>
  <c r="CD158" i="6" s="1"/>
  <c r="AA158" i="23"/>
  <c r="Z158" i="23" s="1"/>
  <c r="Y158" i="23" s="1"/>
  <c r="G162" i="23"/>
  <c r="CD162" i="6" s="1"/>
  <c r="AA162" i="23"/>
  <c r="Z162" i="23" s="1"/>
  <c r="Y162" i="23" s="1"/>
  <c r="AA168" i="23"/>
  <c r="Z168" i="23" s="1"/>
  <c r="Y168" i="23" s="1"/>
  <c r="G168" i="23"/>
  <c r="CD168" i="6" s="1"/>
  <c r="AA170" i="23"/>
  <c r="Z170" i="23" s="1"/>
  <c r="Y170" i="23" s="1"/>
  <c r="G170" i="23"/>
  <c r="CD170" i="6" s="1"/>
  <c r="AA172" i="23"/>
  <c r="Z172" i="23" s="1"/>
  <c r="Y172" i="23" s="1"/>
  <c r="G172" i="23"/>
  <c r="CD172" i="6" s="1"/>
  <c r="AA174" i="23"/>
  <c r="Z174" i="23" s="1"/>
  <c r="Y174" i="23" s="1"/>
  <c r="G174" i="23"/>
  <c r="CD174" i="6" s="1"/>
  <c r="G178" i="23"/>
  <c r="CD178" i="6" s="1"/>
  <c r="AA178" i="23"/>
  <c r="Z178" i="23" s="1"/>
  <c r="Y178" i="23" s="1"/>
  <c r="G182" i="23"/>
  <c r="CD182" i="6" s="1"/>
  <c r="AA182" i="23"/>
  <c r="Z182" i="23" s="1"/>
  <c r="Y182" i="23" s="1"/>
  <c r="AA184" i="23"/>
  <c r="Z184" i="23" s="1"/>
  <c r="Y184" i="23" s="1"/>
  <c r="G184" i="23"/>
  <c r="CD184" i="6" s="1"/>
  <c r="AA190" i="23"/>
  <c r="Z190" i="23" s="1"/>
  <c r="Y190" i="23" s="1"/>
  <c r="G190" i="23"/>
  <c r="CD190" i="6" s="1"/>
  <c r="G192" i="23"/>
  <c r="CD192" i="6" s="1"/>
  <c r="AA192" i="23"/>
  <c r="Z192" i="23" s="1"/>
  <c r="Y192" i="23" s="1"/>
  <c r="AA194" i="23"/>
  <c r="Z194" i="23" s="1"/>
  <c r="Y194" i="23" s="1"/>
  <c r="G194" i="23"/>
  <c r="CD194" i="6" s="1"/>
  <c r="G200" i="23"/>
  <c r="CD200" i="6" s="1"/>
  <c r="AA200" i="23"/>
  <c r="Z200" i="23" s="1"/>
  <c r="Y200" i="23" s="1"/>
  <c r="G204" i="23"/>
  <c r="CD204" i="6" s="1"/>
  <c r="AA204" i="23"/>
  <c r="Z204" i="23" s="1"/>
  <c r="Y204" i="23" s="1"/>
  <c r="H212" i="23"/>
  <c r="AA212" i="23"/>
  <c r="Z212" i="23" s="1"/>
  <c r="Y212" i="23" s="1"/>
  <c r="G212" i="23"/>
  <c r="CD212" i="6" s="1"/>
  <c r="G214" i="23"/>
  <c r="CD214" i="6" s="1"/>
  <c r="H214" i="23"/>
  <c r="AA214" i="23"/>
  <c r="Z214" i="23" s="1"/>
  <c r="Y214" i="23" s="1"/>
  <c r="AA220" i="23"/>
  <c r="Z220" i="23" s="1"/>
  <c r="Y220" i="23" s="1"/>
  <c r="G220" i="23"/>
  <c r="CD220" i="6" s="1"/>
  <c r="AA222" i="23"/>
  <c r="Z222" i="23" s="1"/>
  <c r="Y222" i="23" s="1"/>
  <c r="G222" i="23"/>
  <c r="CD222" i="6" s="1"/>
  <c r="G226" i="23"/>
  <c r="CD226" i="6" s="1"/>
  <c r="AA226" i="23"/>
  <c r="Z226" i="23" s="1"/>
  <c r="Y226" i="23" s="1"/>
  <c r="AA228" i="23"/>
  <c r="Z228" i="23" s="1"/>
  <c r="Y228" i="23" s="1"/>
  <c r="G228" i="23"/>
  <c r="CD228" i="6" s="1"/>
  <c r="H230" i="23"/>
  <c r="G230" i="23"/>
  <c r="CD230" i="6" s="1"/>
  <c r="AA230" i="23"/>
  <c r="Z230" i="23" s="1"/>
  <c r="Y230" i="23" s="1"/>
  <c r="H232" i="23"/>
  <c r="AA232" i="23"/>
  <c r="Z232" i="23" s="1"/>
  <c r="Y232" i="23" s="1"/>
  <c r="G232" i="23"/>
  <c r="CD232" i="6" s="1"/>
  <c r="H238" i="23"/>
  <c r="G238" i="23"/>
  <c r="CD238" i="6" s="1"/>
  <c r="AA238" i="23"/>
  <c r="Z238" i="23" s="1"/>
  <c r="Y238" i="23" s="1"/>
  <c r="G240" i="23"/>
  <c r="CD240" i="6" s="1"/>
  <c r="H240" i="23"/>
  <c r="AA240" i="23"/>
  <c r="Z240" i="23" s="1"/>
  <c r="Y240" i="23" s="1"/>
  <c r="AA244" i="23"/>
  <c r="Z244" i="23" s="1"/>
  <c r="Y244" i="23" s="1"/>
  <c r="G244" i="23"/>
  <c r="CD244" i="6" s="1"/>
  <c r="G246" i="23"/>
  <c r="CD246" i="6" s="1"/>
  <c r="AA246" i="23"/>
  <c r="Z246" i="23" s="1"/>
  <c r="Y246" i="23" s="1"/>
  <c r="AA250" i="23"/>
  <c r="Z250" i="23" s="1"/>
  <c r="Y250" i="23" s="1"/>
  <c r="G250" i="23"/>
  <c r="CD250" i="6" s="1"/>
  <c r="G252" i="23"/>
  <c r="CD252" i="6" s="1"/>
  <c r="AA252" i="23"/>
  <c r="Z252" i="23" s="1"/>
  <c r="Y252" i="23" s="1"/>
  <c r="AA256" i="23"/>
  <c r="Z256" i="23" s="1"/>
  <c r="Y256" i="23" s="1"/>
  <c r="G256" i="23"/>
  <c r="CD256" i="6" s="1"/>
  <c r="G258" i="23"/>
  <c r="CD258" i="6" s="1"/>
  <c r="AA258" i="23"/>
  <c r="Z258" i="23" s="1"/>
  <c r="Y258" i="23" s="1"/>
  <c r="AA262" i="23"/>
  <c r="Z262" i="23" s="1"/>
  <c r="Y262" i="23" s="1"/>
  <c r="G262" i="23"/>
  <c r="CD262" i="6" s="1"/>
  <c r="AA266" i="23"/>
  <c r="Z266" i="23" s="1"/>
  <c r="Y266" i="23" s="1"/>
  <c r="G266" i="23"/>
  <c r="CD266" i="6" s="1"/>
  <c r="G278" i="23"/>
  <c r="CD278" i="6" s="1"/>
  <c r="AA278" i="23"/>
  <c r="Z278" i="23" s="1"/>
  <c r="Y278" i="23" s="1"/>
  <c r="AA282" i="23"/>
  <c r="Z282" i="23" s="1"/>
  <c r="Y282" i="23" s="1"/>
  <c r="G282" i="23"/>
  <c r="CD282" i="6" s="1"/>
  <c r="AA284" i="23"/>
  <c r="Z284" i="23" s="1"/>
  <c r="Y284" i="23" s="1"/>
  <c r="G284" i="23"/>
  <c r="CD284" i="6" s="1"/>
  <c r="AA290" i="23"/>
  <c r="Z290" i="23" s="1"/>
  <c r="Y290" i="23" s="1"/>
  <c r="H290" i="23"/>
  <c r="G290" i="23"/>
  <c r="CD290" i="6" s="1"/>
  <c r="AA298" i="23"/>
  <c r="Z298" i="23" s="1"/>
  <c r="Y298" i="23" s="1"/>
  <c r="G298" i="23"/>
  <c r="CD298" i="6" s="1"/>
  <c r="H300" i="23"/>
  <c r="G300" i="23"/>
  <c r="CD300" i="6" s="1"/>
  <c r="AA300" i="23"/>
  <c r="Z300" i="23" s="1"/>
  <c r="Y300" i="23" s="1"/>
  <c r="AA304" i="23"/>
  <c r="Z304" i="23" s="1"/>
  <c r="Y304" i="23" s="1"/>
  <c r="G304" i="23"/>
  <c r="CD304" i="6" s="1"/>
  <c r="AA310" i="23"/>
  <c r="Z310" i="23" s="1"/>
  <c r="Y310" i="23" s="1"/>
  <c r="H310" i="23"/>
  <c r="G310" i="23"/>
  <c r="CD310" i="6" s="1"/>
  <c r="AA314" i="23"/>
  <c r="Z314" i="23" s="1"/>
  <c r="Y314" i="23" s="1"/>
  <c r="G314" i="23"/>
  <c r="CD314" i="6" s="1"/>
  <c r="H328" i="23"/>
  <c r="G328" i="23"/>
  <c r="CD328" i="6" s="1"/>
  <c r="AA328" i="23"/>
  <c r="Z328" i="23" s="1"/>
  <c r="Y328" i="23" s="1"/>
  <c r="AA332" i="23"/>
  <c r="Z332" i="23" s="1"/>
  <c r="Y332" i="23" s="1"/>
  <c r="G332" i="23"/>
  <c r="CD332" i="6" s="1"/>
  <c r="H338" i="23"/>
  <c r="AA338" i="23"/>
  <c r="Z338" i="23" s="1"/>
  <c r="Y338" i="23" s="1"/>
  <c r="G338" i="23"/>
  <c r="CD338" i="6" s="1"/>
  <c r="G340" i="23"/>
  <c r="CD340" i="6" s="1"/>
  <c r="AA340" i="23"/>
  <c r="Z340" i="23" s="1"/>
  <c r="Y340" i="23" s="1"/>
  <c r="H342" i="23"/>
  <c r="AA342" i="23"/>
  <c r="Z342" i="23" s="1"/>
  <c r="Y342" i="23" s="1"/>
  <c r="G342" i="23"/>
  <c r="CD342" i="6" s="1"/>
  <c r="G344" i="23"/>
  <c r="CD344" i="6" s="1"/>
  <c r="AA344" i="23"/>
  <c r="Z344" i="23" s="1"/>
  <c r="Y344" i="23" s="1"/>
  <c r="G346" i="23"/>
  <c r="CD346" i="6" s="1"/>
  <c r="H346" i="23"/>
  <c r="AA346" i="23"/>
  <c r="Z346" i="23" s="1"/>
  <c r="Y346" i="23" s="1"/>
  <c r="AA348" i="23"/>
  <c r="Z348" i="23" s="1"/>
  <c r="Y348" i="23" s="1"/>
  <c r="G348" i="23"/>
  <c r="CD348" i="6" s="1"/>
  <c r="H356" i="23"/>
  <c r="AA356" i="23"/>
  <c r="Z356" i="23" s="1"/>
  <c r="Y356" i="23" s="1"/>
  <c r="G356" i="23"/>
  <c r="CD356" i="6" s="1"/>
  <c r="AA360" i="23"/>
  <c r="Z360" i="23" s="1"/>
  <c r="Y360" i="23" s="1"/>
  <c r="G360" i="23"/>
  <c r="CD360" i="6" s="1"/>
  <c r="G364" i="23"/>
  <c r="CD364" i="6" s="1"/>
  <c r="AA364" i="23"/>
  <c r="Z364" i="23" s="1"/>
  <c r="Y364" i="23" s="1"/>
  <c r="AA366" i="23"/>
  <c r="Z366" i="23" s="1"/>
  <c r="Y366" i="23" s="1"/>
  <c r="G366" i="23"/>
  <c r="CD366" i="6" s="1"/>
  <c r="G368" i="23"/>
  <c r="CD368" i="6" s="1"/>
  <c r="AA368" i="23"/>
  <c r="Z368" i="23" s="1"/>
  <c r="Y368" i="23" s="1"/>
  <c r="G370" i="23"/>
  <c r="CD370" i="6" s="1"/>
  <c r="AA370" i="23"/>
  <c r="Z370" i="23" s="1"/>
  <c r="Y370" i="23" s="1"/>
  <c r="AH17" i="24"/>
  <c r="AH20" i="24"/>
  <c r="AH24" i="24"/>
  <c r="AH28" i="24"/>
  <c r="AH32" i="24"/>
  <c r="AH36" i="24"/>
  <c r="AH40" i="24"/>
  <c r="AH44" i="24"/>
  <c r="AH48" i="24"/>
  <c r="AH52" i="24"/>
  <c r="AH56" i="24"/>
  <c r="AH60" i="24"/>
  <c r="AH64" i="24"/>
  <c r="AH68" i="24"/>
  <c r="AH72" i="24"/>
  <c r="AH76" i="24"/>
  <c r="AH80" i="24"/>
  <c r="AH84" i="24"/>
  <c r="AH88" i="24"/>
  <c r="AH92" i="24"/>
  <c r="AH96" i="24"/>
  <c r="AH100" i="24"/>
  <c r="AH104" i="24"/>
  <c r="AH108" i="24"/>
  <c r="AH112" i="24"/>
  <c r="AH116" i="24"/>
  <c r="AH120" i="24"/>
  <c r="AH124" i="24"/>
  <c r="AH128" i="24"/>
  <c r="AH132" i="24"/>
  <c r="AH136" i="24"/>
  <c r="AH140" i="24"/>
  <c r="AH144" i="24"/>
  <c r="AH148" i="24"/>
  <c r="AH152" i="24"/>
  <c r="AH156" i="24"/>
  <c r="AH160" i="24"/>
  <c r="AH164" i="24"/>
  <c r="AH168" i="24"/>
  <c r="AH172" i="24"/>
  <c r="AH176" i="24"/>
  <c r="AH180" i="24"/>
  <c r="AH184" i="24"/>
  <c r="AH188" i="24"/>
  <c r="AH192" i="24"/>
  <c r="AH196" i="24"/>
  <c r="AH200" i="24"/>
  <c r="AH204" i="24"/>
  <c r="AH208" i="24"/>
  <c r="AH212" i="24"/>
  <c r="AH216" i="24"/>
  <c r="AH220" i="24"/>
  <c r="AH224" i="24"/>
  <c r="AH228" i="24"/>
  <c r="AH232" i="24"/>
  <c r="AH236" i="24"/>
  <c r="AH240" i="24"/>
  <c r="AH244" i="24"/>
  <c r="AH248" i="24"/>
  <c r="AH252" i="24"/>
  <c r="AH256" i="24"/>
  <c r="AH260" i="24"/>
  <c r="AH264" i="24"/>
  <c r="AH268" i="24"/>
  <c r="AH272" i="24"/>
  <c r="AH276" i="24"/>
  <c r="AH280" i="24"/>
  <c r="AH284" i="24"/>
  <c r="AH288" i="24"/>
  <c r="AH292" i="24"/>
  <c r="AH296" i="24"/>
  <c r="AH300" i="24"/>
  <c r="AH304" i="24"/>
  <c r="AH308" i="24"/>
  <c r="AH312" i="24"/>
  <c r="AH316" i="24"/>
  <c r="AH320" i="24"/>
  <c r="AH324" i="24"/>
  <c r="AH328" i="24"/>
  <c r="AH332" i="24"/>
  <c r="AH336" i="24"/>
  <c r="AH340" i="24"/>
  <c r="AH344" i="24"/>
  <c r="AH348" i="24"/>
  <c r="AH352" i="24"/>
  <c r="AH356" i="24"/>
  <c r="AH360" i="24"/>
  <c r="AH364" i="24"/>
  <c r="AH368" i="24"/>
  <c r="AH372" i="24"/>
  <c r="AH376" i="24"/>
  <c r="H136" i="23"/>
  <c r="H244" i="23"/>
  <c r="J143" i="23"/>
  <c r="I143" i="23"/>
  <c r="H100" i="23"/>
  <c r="H120" i="23"/>
  <c r="H148" i="23"/>
  <c r="H204" i="23"/>
  <c r="H348" i="23"/>
  <c r="I345" i="23"/>
  <c r="J345" i="23"/>
  <c r="H46" i="23"/>
  <c r="H86" i="23"/>
  <c r="H102" i="23"/>
  <c r="I39" i="23"/>
  <c r="J39" i="23"/>
  <c r="I323" i="23"/>
  <c r="J323" i="23"/>
  <c r="AA17" i="23"/>
  <c r="Z17" i="23" s="1"/>
  <c r="Y17" i="23" s="1"/>
  <c r="G17" i="23"/>
  <c r="CD17" i="6" s="1"/>
  <c r="G21" i="23"/>
  <c r="CD21" i="6" s="1"/>
  <c r="AA21" i="23"/>
  <c r="Z21" i="23" s="1"/>
  <c r="Y21" i="23" s="1"/>
  <c r="AA23" i="23"/>
  <c r="Z23" i="23" s="1"/>
  <c r="Y23" i="23" s="1"/>
  <c r="G23" i="23"/>
  <c r="CD23" i="6" s="1"/>
  <c r="AA27" i="23"/>
  <c r="Z27" i="23" s="1"/>
  <c r="Y27" i="23" s="1"/>
  <c r="G27" i="23"/>
  <c r="CD27" i="6" s="1"/>
  <c r="D29" i="23"/>
  <c r="E29" i="23" s="1"/>
  <c r="F29" i="23" s="1"/>
  <c r="W29" i="23"/>
  <c r="G31" i="23"/>
  <c r="CD31" i="6" s="1"/>
  <c r="AA31" i="23"/>
  <c r="Z31" i="23" s="1"/>
  <c r="Y31" i="23" s="1"/>
  <c r="G35" i="23"/>
  <c r="CD35" i="6" s="1"/>
  <c r="AA35" i="23"/>
  <c r="Z35" i="23" s="1"/>
  <c r="Y35" i="23" s="1"/>
  <c r="AA37" i="23"/>
  <c r="Z37" i="23" s="1"/>
  <c r="Y37" i="23" s="1"/>
  <c r="G37" i="23"/>
  <c r="CD37" i="6" s="1"/>
  <c r="AA43" i="23"/>
  <c r="Z43" i="23" s="1"/>
  <c r="Y43" i="23" s="1"/>
  <c r="G43" i="23"/>
  <c r="CD43" i="6" s="1"/>
  <c r="AA49" i="23"/>
  <c r="Z49" i="23" s="1"/>
  <c r="Y49" i="23" s="1"/>
  <c r="G49" i="23"/>
  <c r="CD49" i="6" s="1"/>
  <c r="AA51" i="23"/>
  <c r="Z51" i="23" s="1"/>
  <c r="Y51" i="23" s="1"/>
  <c r="G51" i="23"/>
  <c r="CD51" i="6" s="1"/>
  <c r="G53" i="23"/>
  <c r="CD53" i="6" s="1"/>
  <c r="AA53" i="23"/>
  <c r="Z53" i="23" s="1"/>
  <c r="Y53" i="23" s="1"/>
  <c r="G57" i="23"/>
  <c r="CD57" i="6" s="1"/>
  <c r="AA57" i="23"/>
  <c r="Z57" i="23" s="1"/>
  <c r="Y57" i="23" s="1"/>
  <c r="G61" i="23"/>
  <c r="CD61" i="6" s="1"/>
  <c r="AA61" i="23"/>
  <c r="Z61" i="23" s="1"/>
  <c r="Y61" i="23" s="1"/>
  <c r="G63" i="23"/>
  <c r="CD63" i="6" s="1"/>
  <c r="AA63" i="23"/>
  <c r="Z63" i="23" s="1"/>
  <c r="Y63" i="23" s="1"/>
  <c r="G65" i="23"/>
  <c r="CD65" i="6" s="1"/>
  <c r="AA65" i="23"/>
  <c r="Z65" i="23" s="1"/>
  <c r="Y65" i="23" s="1"/>
  <c r="G67" i="23"/>
  <c r="CD67" i="6" s="1"/>
  <c r="AA67" i="23"/>
  <c r="Z67" i="23" s="1"/>
  <c r="Y67" i="23" s="1"/>
  <c r="AA69" i="23"/>
  <c r="Z69" i="23" s="1"/>
  <c r="Y69" i="23" s="1"/>
  <c r="G69" i="23"/>
  <c r="CD69" i="6" s="1"/>
  <c r="AA71" i="23"/>
  <c r="Z71" i="23" s="1"/>
  <c r="Y71" i="23" s="1"/>
  <c r="G71" i="23"/>
  <c r="CD71" i="6" s="1"/>
  <c r="G79" i="23"/>
  <c r="CD79" i="6" s="1"/>
  <c r="AA79" i="23"/>
  <c r="Z79" i="23" s="1"/>
  <c r="Y79" i="23" s="1"/>
  <c r="AA83" i="23"/>
  <c r="Z83" i="23" s="1"/>
  <c r="Y83" i="23" s="1"/>
  <c r="G83" i="23"/>
  <c r="CD83" i="6" s="1"/>
  <c r="G91" i="23"/>
  <c r="CD91" i="6" s="1"/>
  <c r="AA91" i="23"/>
  <c r="Z91" i="23" s="1"/>
  <c r="Y91" i="23" s="1"/>
  <c r="G93" i="23"/>
  <c r="CD93" i="6" s="1"/>
  <c r="AA93" i="23"/>
  <c r="Z93" i="23" s="1"/>
  <c r="Y93" i="23" s="1"/>
  <c r="G97" i="23"/>
  <c r="CD97" i="6" s="1"/>
  <c r="AA97" i="23"/>
  <c r="Z97" i="23" s="1"/>
  <c r="Y97" i="23" s="1"/>
  <c r="G101" i="23"/>
  <c r="CD101" i="6" s="1"/>
  <c r="AA101" i="23"/>
  <c r="Z101" i="23" s="1"/>
  <c r="Y101" i="23" s="1"/>
  <c r="AA107" i="23"/>
  <c r="Z107" i="23" s="1"/>
  <c r="Y107" i="23" s="1"/>
  <c r="G107" i="23"/>
  <c r="CD107" i="6" s="1"/>
  <c r="G113" i="23"/>
  <c r="CD113" i="6" s="1"/>
  <c r="AA113" i="23"/>
  <c r="Z113" i="23" s="1"/>
  <c r="Y113" i="23" s="1"/>
  <c r="AA127" i="23"/>
  <c r="Z127" i="23" s="1"/>
  <c r="Y127" i="23" s="1"/>
  <c r="G127" i="23"/>
  <c r="CD127" i="6" s="1"/>
  <c r="G129" i="23"/>
  <c r="CD129" i="6" s="1"/>
  <c r="AA129" i="23"/>
  <c r="Z129" i="23" s="1"/>
  <c r="Y129" i="23" s="1"/>
  <c r="G131" i="23"/>
  <c r="CD131" i="6" s="1"/>
  <c r="AA131" i="23"/>
  <c r="Z131" i="23" s="1"/>
  <c r="Y131" i="23" s="1"/>
  <c r="G133" i="23"/>
  <c r="CD133" i="6" s="1"/>
  <c r="AA133" i="23"/>
  <c r="Z133" i="23" s="1"/>
  <c r="Y133" i="23" s="1"/>
  <c r="G141" i="23"/>
  <c r="CD141" i="6" s="1"/>
  <c r="AA141" i="23"/>
  <c r="Z141" i="23" s="1"/>
  <c r="Y141" i="23" s="1"/>
  <c r="AA143" i="23"/>
  <c r="Z143" i="23" s="1"/>
  <c r="Y143" i="23" s="1"/>
  <c r="G143" i="23"/>
  <c r="CD143" i="6" s="1"/>
  <c r="AA145" i="23"/>
  <c r="Z145" i="23" s="1"/>
  <c r="Y145" i="23" s="1"/>
  <c r="G145" i="23"/>
  <c r="CD145" i="6" s="1"/>
  <c r="G157" i="23"/>
  <c r="CD157" i="6" s="1"/>
  <c r="AA157" i="23"/>
  <c r="Z157" i="23" s="1"/>
  <c r="Y157" i="23" s="1"/>
  <c r="G159" i="23"/>
  <c r="CD159" i="6" s="1"/>
  <c r="AA159" i="23"/>
  <c r="Z159" i="23" s="1"/>
  <c r="Y159" i="23" s="1"/>
  <c r="AA161" i="23"/>
  <c r="Z161" i="23" s="1"/>
  <c r="Y161" i="23" s="1"/>
  <c r="G161" i="23"/>
  <c r="CD161" i="6" s="1"/>
  <c r="AA163" i="23"/>
  <c r="Z163" i="23" s="1"/>
  <c r="Y163" i="23" s="1"/>
  <c r="G163" i="23"/>
  <c r="CD163" i="6" s="1"/>
  <c r="G167" i="23"/>
  <c r="CD167" i="6" s="1"/>
  <c r="AA167" i="23"/>
  <c r="Z167" i="23" s="1"/>
  <c r="Y167" i="23" s="1"/>
  <c r="G169" i="23"/>
  <c r="CD169" i="6" s="1"/>
  <c r="AA169" i="23"/>
  <c r="Z169" i="23" s="1"/>
  <c r="Y169" i="23" s="1"/>
  <c r="AA173" i="23"/>
  <c r="Z173" i="23" s="1"/>
  <c r="Y173" i="23" s="1"/>
  <c r="G173" i="23"/>
  <c r="CD173" i="6" s="1"/>
  <c r="AA175" i="23"/>
  <c r="Z175" i="23" s="1"/>
  <c r="Y175" i="23" s="1"/>
  <c r="G175" i="23"/>
  <c r="CD175" i="6" s="1"/>
  <c r="AA177" i="23"/>
  <c r="Z177" i="23" s="1"/>
  <c r="Y177" i="23" s="1"/>
  <c r="G177" i="23"/>
  <c r="CD177" i="6" s="1"/>
  <c r="AA183" i="23"/>
  <c r="Z183" i="23" s="1"/>
  <c r="Y183" i="23" s="1"/>
  <c r="G183" i="23"/>
  <c r="CD183" i="6" s="1"/>
  <c r="AA187" i="23"/>
  <c r="Z187" i="23" s="1"/>
  <c r="Y187" i="23" s="1"/>
  <c r="G187" i="23"/>
  <c r="CD187" i="6" s="1"/>
  <c r="G189" i="23"/>
  <c r="CD189" i="6" s="1"/>
  <c r="AA189" i="23"/>
  <c r="Z189" i="23" s="1"/>
  <c r="Y189" i="23" s="1"/>
  <c r="G195" i="23"/>
  <c r="CD195" i="6" s="1"/>
  <c r="AA195" i="23"/>
  <c r="Z195" i="23" s="1"/>
  <c r="Y195" i="23" s="1"/>
  <c r="AA203" i="23"/>
  <c r="Z203" i="23" s="1"/>
  <c r="Y203" i="23" s="1"/>
  <c r="G203" i="23"/>
  <c r="CD203" i="6" s="1"/>
  <c r="AA205" i="23"/>
  <c r="Z205" i="23" s="1"/>
  <c r="Y205" i="23" s="1"/>
  <c r="G205" i="23"/>
  <c r="CD205" i="6" s="1"/>
  <c r="AA209" i="23"/>
  <c r="Z209" i="23" s="1"/>
  <c r="Y209" i="23" s="1"/>
  <c r="G209" i="23"/>
  <c r="CD209" i="6" s="1"/>
  <c r="AA213" i="23"/>
  <c r="Z213" i="23" s="1"/>
  <c r="Y213" i="23" s="1"/>
  <c r="G213" i="23"/>
  <c r="CD213" i="6" s="1"/>
  <c r="G221" i="23"/>
  <c r="CD221" i="6" s="1"/>
  <c r="AA221" i="23"/>
  <c r="Z221" i="23" s="1"/>
  <c r="Y221" i="23" s="1"/>
  <c r="G229" i="23"/>
  <c r="CD229" i="6" s="1"/>
  <c r="AA229" i="23"/>
  <c r="Z229" i="23" s="1"/>
  <c r="Y229" i="23" s="1"/>
  <c r="G231" i="23"/>
  <c r="CD231" i="6" s="1"/>
  <c r="H231" i="23"/>
  <c r="AA231" i="23"/>
  <c r="Z231" i="23" s="1"/>
  <c r="Y231" i="23" s="1"/>
  <c r="AA243" i="23"/>
  <c r="Z243" i="23" s="1"/>
  <c r="Y243" i="23" s="1"/>
  <c r="G243" i="23"/>
  <c r="CD243" i="6" s="1"/>
  <c r="G245" i="23"/>
  <c r="CD245" i="6" s="1"/>
  <c r="H245" i="23"/>
  <c r="AA245" i="23"/>
  <c r="Z245" i="23" s="1"/>
  <c r="Y245" i="23" s="1"/>
  <c r="AA251" i="23"/>
  <c r="Z251" i="23" s="1"/>
  <c r="Y251" i="23" s="1"/>
  <c r="G251" i="23"/>
  <c r="CD251" i="6" s="1"/>
  <c r="G253" i="23"/>
  <c r="CD253" i="6" s="1"/>
  <c r="AA253" i="23"/>
  <c r="Z253" i="23" s="1"/>
  <c r="Y253" i="23" s="1"/>
  <c r="G255" i="23"/>
  <c r="CD255" i="6" s="1"/>
  <c r="AA255" i="23"/>
  <c r="Z255" i="23" s="1"/>
  <c r="Y255" i="23" s="1"/>
  <c r="AA257" i="23"/>
  <c r="Z257" i="23" s="1"/>
  <c r="Y257" i="23" s="1"/>
  <c r="G257" i="23"/>
  <c r="CD257" i="6" s="1"/>
  <c r="G275" i="23"/>
  <c r="CD275" i="6" s="1"/>
  <c r="AA275" i="23"/>
  <c r="Z275" i="23" s="1"/>
  <c r="Y275" i="23" s="1"/>
  <c r="AA277" i="23"/>
  <c r="Z277" i="23" s="1"/>
  <c r="Y277" i="23" s="1"/>
  <c r="G277" i="23"/>
  <c r="CD277" i="6" s="1"/>
  <c r="G279" i="23"/>
  <c r="CD279" i="6" s="1"/>
  <c r="AA279" i="23"/>
  <c r="Z279" i="23" s="1"/>
  <c r="Y279" i="23" s="1"/>
  <c r="G281" i="23"/>
  <c r="CD281" i="6" s="1"/>
  <c r="AA281" i="23"/>
  <c r="Z281" i="23" s="1"/>
  <c r="Y281" i="23" s="1"/>
  <c r="AA285" i="23"/>
  <c r="Z285" i="23" s="1"/>
  <c r="Y285" i="23" s="1"/>
  <c r="G285" i="23"/>
  <c r="CD285" i="6" s="1"/>
  <c r="G293" i="23"/>
  <c r="CD293" i="6" s="1"/>
  <c r="AA293" i="23"/>
  <c r="Z293" i="23" s="1"/>
  <c r="Y293" i="23" s="1"/>
  <c r="AA295" i="23"/>
  <c r="Z295" i="23" s="1"/>
  <c r="Y295" i="23" s="1"/>
  <c r="G295" i="23"/>
  <c r="CD295" i="6" s="1"/>
  <c r="G299" i="23"/>
  <c r="CD299" i="6" s="1"/>
  <c r="AA299" i="23"/>
  <c r="Z299" i="23" s="1"/>
  <c r="Y299" i="23" s="1"/>
  <c r="G301" i="23"/>
  <c r="CD301" i="6" s="1"/>
  <c r="AA301" i="23"/>
  <c r="Z301" i="23" s="1"/>
  <c r="Y301" i="23" s="1"/>
  <c r="AA307" i="23"/>
  <c r="Z307" i="23" s="1"/>
  <c r="Y307" i="23" s="1"/>
  <c r="G307" i="23"/>
  <c r="CD307" i="6" s="1"/>
  <c r="AA311" i="23"/>
  <c r="Z311" i="23" s="1"/>
  <c r="Y311" i="23" s="1"/>
  <c r="H311" i="23"/>
  <c r="G311" i="23"/>
  <c r="CD311" i="6" s="1"/>
  <c r="G317" i="23"/>
  <c r="CD317" i="6" s="1"/>
  <c r="AA317" i="23"/>
  <c r="Z317" i="23" s="1"/>
  <c r="Y317" i="23" s="1"/>
  <c r="G321" i="23"/>
  <c r="CD321" i="6" s="1"/>
  <c r="AA321" i="23"/>
  <c r="Z321" i="23" s="1"/>
  <c r="Y321" i="23" s="1"/>
  <c r="AA331" i="23"/>
  <c r="Z331" i="23" s="1"/>
  <c r="Y331" i="23" s="1"/>
  <c r="G331" i="23"/>
  <c r="CD331" i="6" s="1"/>
  <c r="G341" i="23"/>
  <c r="CD341" i="6" s="1"/>
  <c r="AA341" i="23"/>
  <c r="Z341" i="23" s="1"/>
  <c r="Y341" i="23" s="1"/>
  <c r="AA343" i="23"/>
  <c r="Z343" i="23" s="1"/>
  <c r="Y343" i="23" s="1"/>
  <c r="G343" i="23"/>
  <c r="CD343" i="6" s="1"/>
  <c r="G345" i="23"/>
  <c r="CD345" i="6" s="1"/>
  <c r="AA345" i="23"/>
  <c r="Z345" i="23" s="1"/>
  <c r="Y345" i="23" s="1"/>
  <c r="AA347" i="23"/>
  <c r="Z347" i="23" s="1"/>
  <c r="Y347" i="23" s="1"/>
  <c r="G347" i="23"/>
  <c r="CD347" i="6" s="1"/>
  <c r="G357" i="23"/>
  <c r="CD357" i="6" s="1"/>
  <c r="AA357" i="23"/>
  <c r="Z357" i="23" s="1"/>
  <c r="Y357" i="23" s="1"/>
  <c r="AA361" i="23"/>
  <c r="Z361" i="23" s="1"/>
  <c r="Y361" i="23" s="1"/>
  <c r="G361" i="23"/>
  <c r="CD361" i="6" s="1"/>
  <c r="U382" i="24"/>
  <c r="U381" i="24"/>
  <c r="U383" i="24"/>
  <c r="T15" i="24"/>
  <c r="T21" i="24"/>
  <c r="T25" i="24"/>
  <c r="T29" i="24"/>
  <c r="T33" i="24"/>
  <c r="T37" i="24"/>
  <c r="T41" i="24"/>
  <c r="T45" i="24"/>
  <c r="T49" i="24"/>
  <c r="T53" i="24"/>
  <c r="T57" i="24"/>
  <c r="T61" i="24"/>
  <c r="T65" i="24"/>
  <c r="T69" i="24"/>
  <c r="T73" i="24"/>
  <c r="T77" i="24"/>
  <c r="T81" i="24"/>
  <c r="T85" i="24"/>
  <c r="T89" i="24"/>
  <c r="T93" i="24"/>
  <c r="T97" i="24"/>
  <c r="T101" i="24"/>
  <c r="T105" i="24"/>
  <c r="T109" i="24"/>
  <c r="T113" i="24"/>
  <c r="T117" i="24"/>
  <c r="T121" i="24"/>
  <c r="T125" i="24"/>
  <c r="T129" i="24"/>
  <c r="T133" i="24"/>
  <c r="T137" i="24"/>
  <c r="T141" i="24"/>
  <c r="T145" i="24"/>
  <c r="T149" i="24"/>
  <c r="T153" i="24"/>
  <c r="T157" i="24"/>
  <c r="T161" i="24"/>
  <c r="T165" i="24"/>
  <c r="T169" i="24"/>
  <c r="T173" i="24"/>
  <c r="T177" i="24"/>
  <c r="T181" i="24"/>
  <c r="T185" i="24"/>
  <c r="T189" i="24"/>
  <c r="T193" i="24"/>
  <c r="T197" i="24"/>
  <c r="T201" i="24"/>
  <c r="T205" i="24"/>
  <c r="T209" i="24"/>
  <c r="T213" i="24"/>
  <c r="T217" i="24"/>
  <c r="T221" i="24"/>
  <c r="T225" i="24"/>
  <c r="T229" i="24"/>
  <c r="T233" i="24"/>
  <c r="T237" i="24"/>
  <c r="T241" i="24"/>
  <c r="T245" i="24"/>
  <c r="T249" i="24"/>
  <c r="T253" i="24"/>
  <c r="T257" i="24"/>
  <c r="T261" i="24"/>
  <c r="T265" i="24"/>
  <c r="T269" i="24"/>
  <c r="T273" i="24"/>
  <c r="T277" i="24"/>
  <c r="T281" i="24"/>
  <c r="T285" i="24"/>
  <c r="T289" i="24"/>
  <c r="T293" i="24"/>
  <c r="T297" i="24"/>
  <c r="T301" i="24"/>
  <c r="T305" i="24"/>
  <c r="T309" i="24"/>
  <c r="T313" i="24"/>
  <c r="T317" i="24"/>
  <c r="T321" i="24"/>
  <c r="T325" i="24"/>
  <c r="T329" i="24"/>
  <c r="T333" i="24"/>
  <c r="T337" i="24"/>
  <c r="T341" i="24"/>
  <c r="T345" i="24"/>
  <c r="T349" i="24"/>
  <c r="T353" i="24"/>
  <c r="T357" i="24"/>
  <c r="T361" i="24"/>
  <c r="T365" i="24"/>
  <c r="T369" i="24"/>
  <c r="T373" i="24"/>
  <c r="T377" i="24"/>
  <c r="H28" i="23"/>
  <c r="H160" i="23"/>
  <c r="H268" i="23"/>
  <c r="H364" i="23"/>
  <c r="H97" i="23"/>
  <c r="H173" i="23"/>
  <c r="H218" i="23"/>
  <c r="H266" i="23"/>
  <c r="H366" i="23"/>
  <c r="H59" i="23"/>
  <c r="H195" i="23"/>
  <c r="H84" i="23"/>
  <c r="J34" i="23"/>
  <c r="I34" i="23"/>
  <c r="H110" i="23"/>
  <c r="H115" i="23"/>
  <c r="H283" i="23"/>
  <c r="H306" i="23"/>
  <c r="H363" i="22"/>
  <c r="G363" i="22"/>
  <c r="CC363" i="6" s="1"/>
  <c r="AA363" i="22"/>
  <c r="Z363" i="22" s="1"/>
  <c r="Y363" i="22" s="1"/>
  <c r="G30" i="23"/>
  <c r="CD30" i="6" s="1"/>
  <c r="AA30" i="23"/>
  <c r="Z30" i="23" s="1"/>
  <c r="Y30" i="23" s="1"/>
  <c r="G34" i="23"/>
  <c r="CD34" i="6" s="1"/>
  <c r="AA34" i="23"/>
  <c r="Z34" i="23" s="1"/>
  <c r="Y34" i="23" s="1"/>
  <c r="I180" i="22"/>
  <c r="J180" i="22"/>
  <c r="H317" i="23"/>
  <c r="H78" i="23"/>
  <c r="H318" i="23"/>
  <c r="H55" i="23"/>
  <c r="H223" i="23"/>
  <c r="H138" i="23"/>
  <c r="H75" i="23"/>
  <c r="H368" i="23"/>
  <c r="H85" i="23"/>
  <c r="H281" i="23"/>
  <c r="AM10" i="18"/>
  <c r="F9" i="18"/>
  <c r="F382" i="18"/>
  <c r="AK10" i="18"/>
  <c r="AK12" i="18" s="1"/>
  <c r="AK13" i="18" s="1"/>
  <c r="G15" i="18"/>
  <c r="CA15" i="6" s="1"/>
  <c r="F381" i="18"/>
  <c r="AA15" i="18"/>
  <c r="AL9" i="18" s="1"/>
  <c r="F383" i="18"/>
  <c r="H15" i="18"/>
  <c r="H132" i="23"/>
  <c r="H93" i="23"/>
  <c r="H162" i="23"/>
  <c r="H370" i="23"/>
  <c r="AA272" i="22"/>
  <c r="Z272" i="22" s="1"/>
  <c r="Y272" i="22" s="1"/>
  <c r="G272" i="22"/>
  <c r="CC272" i="6" s="1"/>
  <c r="H272" i="22"/>
  <c r="E381" i="20"/>
  <c r="E383" i="20"/>
  <c r="E9" i="20"/>
  <c r="E11" i="20" s="1"/>
  <c r="AJ10" i="20"/>
  <c r="AJ12" i="20" s="1"/>
  <c r="F15" i="20"/>
  <c r="AK8" i="20"/>
  <c r="E382" i="20"/>
  <c r="AH16" i="24"/>
  <c r="AH21" i="24"/>
  <c r="AH25" i="24"/>
  <c r="AH29" i="24"/>
  <c r="AH33" i="24"/>
  <c r="AH37" i="24"/>
  <c r="AH41" i="24"/>
  <c r="AH45" i="24"/>
  <c r="AH49" i="24"/>
  <c r="AH53" i="24"/>
  <c r="AH57" i="24"/>
  <c r="AH61" i="24"/>
  <c r="AH65" i="24"/>
  <c r="AH69" i="24"/>
  <c r="AH73" i="24"/>
  <c r="AH77" i="24"/>
  <c r="AH81" i="24"/>
  <c r="AH85" i="24"/>
  <c r="AH89" i="24"/>
  <c r="AH93" i="24"/>
  <c r="AH97" i="24"/>
  <c r="AH101" i="24"/>
  <c r="AH105" i="24"/>
  <c r="AH109" i="24"/>
  <c r="AH113" i="24"/>
  <c r="AH117" i="24"/>
  <c r="AH121" i="24"/>
  <c r="AH125" i="24"/>
  <c r="AH129" i="24"/>
  <c r="AH133" i="24"/>
  <c r="AH137" i="24"/>
  <c r="AH141" i="24"/>
  <c r="AH145" i="24"/>
  <c r="AH149" i="24"/>
  <c r="AH153" i="24"/>
  <c r="AH157" i="24"/>
  <c r="AH161" i="24"/>
  <c r="AH165" i="24"/>
  <c r="AH169" i="24"/>
  <c r="AH173" i="24"/>
  <c r="AH177" i="24"/>
  <c r="AH181" i="24"/>
  <c r="AH185" i="24"/>
  <c r="AH189" i="24"/>
  <c r="AH193" i="24"/>
  <c r="AH197" i="24"/>
  <c r="AH201" i="24"/>
  <c r="AH205" i="24"/>
  <c r="AH209" i="24"/>
  <c r="AH213" i="24"/>
  <c r="AH217" i="24"/>
  <c r="AH221" i="24"/>
  <c r="AH225" i="24"/>
  <c r="AH229" i="24"/>
  <c r="AH233" i="24"/>
  <c r="AH237" i="24"/>
  <c r="AH241" i="24"/>
  <c r="AH245" i="24"/>
  <c r="AH249" i="24"/>
  <c r="AH253" i="24"/>
  <c r="AH257" i="24"/>
  <c r="AH261" i="24"/>
  <c r="AH265" i="24"/>
  <c r="AH269" i="24"/>
  <c r="AH273" i="24"/>
  <c r="AH277" i="24"/>
  <c r="AH281" i="24"/>
  <c r="AH285" i="24"/>
  <c r="AH289" i="24"/>
  <c r="AH293" i="24"/>
  <c r="AH297" i="24"/>
  <c r="AH301" i="24"/>
  <c r="AH305" i="24"/>
  <c r="AH309" i="24"/>
  <c r="AH313" i="24"/>
  <c r="AH317" i="24"/>
  <c r="AH321" i="24"/>
  <c r="AH325" i="24"/>
  <c r="AH329" i="24"/>
  <c r="AH333" i="24"/>
  <c r="AH337" i="24"/>
  <c r="AH341" i="24"/>
  <c r="AH345" i="24"/>
  <c r="AH349" i="24"/>
  <c r="AH353" i="24"/>
  <c r="AH357" i="24"/>
  <c r="AH361" i="24"/>
  <c r="AH365" i="24"/>
  <c r="AH369" i="24"/>
  <c r="AH373" i="24"/>
  <c r="AH377" i="24"/>
  <c r="H144" i="23"/>
  <c r="H264" i="23"/>
  <c r="H89" i="23"/>
  <c r="H133" i="23"/>
  <c r="H285" i="23"/>
  <c r="H42" i="23"/>
  <c r="H126" i="23"/>
  <c r="H154" i="23"/>
  <c r="H174" i="23"/>
  <c r="H314" i="23"/>
  <c r="H163" i="23"/>
  <c r="H76" i="23"/>
  <c r="H112" i="23"/>
  <c r="H17" i="23"/>
  <c r="H237" i="23"/>
  <c r="H325" i="23"/>
  <c r="H54" i="23"/>
  <c r="H150" i="23"/>
  <c r="H298" i="23"/>
  <c r="H87" i="23"/>
  <c r="H95" i="23"/>
  <c r="V381" i="22"/>
  <c r="V382" i="22"/>
  <c r="B67" i="19"/>
  <c r="N67" i="19" s="1"/>
  <c r="V383" i="22"/>
  <c r="B15" i="22"/>
  <c r="AJ5" i="22" s="1"/>
  <c r="R381" i="23"/>
  <c r="R382" i="23"/>
  <c r="R383" i="23"/>
  <c r="P15" i="23"/>
  <c r="T19" i="24"/>
  <c r="T20" i="24"/>
  <c r="T24" i="24"/>
  <c r="T28" i="24"/>
  <c r="T32" i="24"/>
  <c r="T36" i="24"/>
  <c r="T40" i="24"/>
  <c r="T44" i="24"/>
  <c r="T48" i="24"/>
  <c r="T52" i="24"/>
  <c r="T56" i="24"/>
  <c r="T60" i="24"/>
  <c r="T64" i="24"/>
  <c r="T68" i="24"/>
  <c r="T72" i="24"/>
  <c r="T76" i="24"/>
  <c r="T80" i="24"/>
  <c r="T84" i="24"/>
  <c r="T88" i="24"/>
  <c r="T92" i="24"/>
  <c r="T96" i="24"/>
  <c r="T100" i="24"/>
  <c r="T104" i="24"/>
  <c r="T108" i="24"/>
  <c r="T112" i="24"/>
  <c r="T116" i="24"/>
  <c r="T120" i="24"/>
  <c r="T124" i="24"/>
  <c r="T128" i="24"/>
  <c r="T132" i="24"/>
  <c r="T136" i="24"/>
  <c r="T140" i="24"/>
  <c r="T144" i="24"/>
  <c r="T148" i="24"/>
  <c r="T152" i="24"/>
  <c r="T156" i="24"/>
  <c r="T160" i="24"/>
  <c r="T164" i="24"/>
  <c r="T168" i="24"/>
  <c r="T172" i="24"/>
  <c r="T176" i="24"/>
  <c r="T180" i="24"/>
  <c r="T184" i="24"/>
  <c r="T188" i="24"/>
  <c r="T192" i="24"/>
  <c r="T196" i="24"/>
  <c r="T200" i="24"/>
  <c r="T204" i="24"/>
  <c r="T208" i="24"/>
  <c r="T212" i="24"/>
  <c r="T216" i="24"/>
  <c r="T220" i="24"/>
  <c r="T224" i="24"/>
  <c r="T228" i="24"/>
  <c r="T232" i="24"/>
  <c r="T236" i="24"/>
  <c r="T240" i="24"/>
  <c r="T244" i="24"/>
  <c r="T248" i="24"/>
  <c r="T252" i="24"/>
  <c r="T256" i="24"/>
  <c r="T260" i="24"/>
  <c r="T264" i="24"/>
  <c r="T268" i="24"/>
  <c r="T272" i="24"/>
  <c r="T276" i="24"/>
  <c r="T280" i="24"/>
  <c r="T284" i="24"/>
  <c r="T288" i="24"/>
  <c r="T292" i="24"/>
  <c r="T296" i="24"/>
  <c r="T300" i="24"/>
  <c r="T304" i="24"/>
  <c r="T308" i="24"/>
  <c r="T312" i="24"/>
  <c r="T316" i="24"/>
  <c r="T320" i="24"/>
  <c r="T324" i="24"/>
  <c r="T328" i="24"/>
  <c r="T332" i="24"/>
  <c r="T336" i="24"/>
  <c r="T340" i="24"/>
  <c r="T344" i="24"/>
  <c r="T348" i="24"/>
  <c r="T352" i="24"/>
  <c r="T356" i="24"/>
  <c r="T360" i="24"/>
  <c r="T364" i="24"/>
  <c r="T368" i="24"/>
  <c r="T372" i="24"/>
  <c r="T376" i="24"/>
  <c r="H116" i="23"/>
  <c r="H296" i="23"/>
  <c r="H41" i="23"/>
  <c r="H213" i="23"/>
  <c r="H333" i="22"/>
  <c r="H178" i="23"/>
  <c r="H31" i="23"/>
  <c r="H239" i="23"/>
  <c r="H327" i="23"/>
  <c r="H24" i="23"/>
  <c r="H128" i="23"/>
  <c r="H101" i="23"/>
  <c r="H365" i="23"/>
  <c r="H330" i="23"/>
  <c r="H19" i="23"/>
  <c r="H171" i="23"/>
  <c r="H315" i="23"/>
  <c r="H344" i="23"/>
  <c r="H229" i="23"/>
  <c r="G241" i="22"/>
  <c r="CC241" i="6" s="1"/>
  <c r="H241" i="22"/>
  <c r="AA241" i="22"/>
  <c r="Z241" i="22" s="1"/>
  <c r="Y241" i="22" s="1"/>
  <c r="B241" i="23"/>
  <c r="B302" i="23"/>
  <c r="J380" i="22"/>
  <c r="I380" i="22"/>
  <c r="H380" i="23" s="1"/>
  <c r="H32" i="23"/>
  <c r="H360" i="23"/>
  <c r="H157" i="23"/>
  <c r="H293" i="23"/>
  <c r="H22" i="23"/>
  <c r="H246" i="23"/>
  <c r="J302" i="22"/>
  <c r="I302" i="22"/>
  <c r="H378" i="23"/>
  <c r="H175" i="23"/>
  <c r="H183" i="23"/>
  <c r="H40" i="23"/>
  <c r="H152" i="23"/>
  <c r="H236" i="23"/>
  <c r="H372" i="23"/>
  <c r="H117" i="23"/>
  <c r="H185" i="23"/>
  <c r="H257" i="23"/>
  <c r="H38" i="23"/>
  <c r="H114" i="23"/>
  <c r="H166" i="23"/>
  <c r="H274" i="23"/>
  <c r="H23" i="23"/>
  <c r="H51" i="23"/>
  <c r="H271" i="23"/>
  <c r="AE381" i="24"/>
  <c r="AE383" i="24"/>
  <c r="AE382" i="24"/>
  <c r="H52" i="23"/>
  <c r="H80" i="23"/>
  <c r="H57" i="23"/>
  <c r="H81" i="23"/>
  <c r="H361" i="23"/>
  <c r="H130" i="23"/>
  <c r="H258" i="23"/>
  <c r="H270" i="23"/>
  <c r="H63" i="23"/>
  <c r="H107" i="23"/>
  <c r="H203" i="23"/>
  <c r="H255" i="23"/>
  <c r="H20" i="23"/>
  <c r="H208" i="23"/>
  <c r="H21" i="23"/>
  <c r="H277" i="23"/>
  <c r="H47" i="23"/>
  <c r="H259" i="23"/>
  <c r="H375" i="23"/>
  <c r="B88" i="23"/>
  <c r="B180" i="23"/>
  <c r="H352" i="23"/>
  <c r="B119" i="23"/>
  <c r="H299" i="23"/>
  <c r="G16" i="23"/>
  <c r="CD16" i="6" s="1"/>
  <c r="AA16" i="23"/>
  <c r="Z16" i="23" s="1"/>
  <c r="Y16" i="23" s="1"/>
  <c r="H172" i="23"/>
  <c r="H69" i="23"/>
  <c r="H329" i="23"/>
  <c r="H72" i="23"/>
  <c r="H192" i="23"/>
  <c r="H280" i="23"/>
  <c r="H169" i="23"/>
  <c r="H122" i="23"/>
  <c r="H251" i="23"/>
  <c r="AE18" i="25"/>
  <c r="AE19" i="25"/>
  <c r="AE17" i="25"/>
  <c r="AE15" i="25"/>
  <c r="AE16" i="25"/>
  <c r="AE20" i="25"/>
  <c r="AE21" i="25"/>
  <c r="AE22" i="25"/>
  <c r="AE23" i="25"/>
  <c r="AE24" i="25"/>
  <c r="AE25" i="25"/>
  <c r="AE26" i="25"/>
  <c r="AE27" i="25"/>
  <c r="AE28" i="25"/>
  <c r="AE29" i="25"/>
  <c r="AE30" i="25"/>
  <c r="AE31" i="25"/>
  <c r="AE32" i="25"/>
  <c r="AE33" i="25"/>
  <c r="AE34" i="25"/>
  <c r="AE35" i="25"/>
  <c r="AE36" i="25"/>
  <c r="AE37" i="25"/>
  <c r="AE38" i="25"/>
  <c r="AE39" i="25"/>
  <c r="AE40" i="25"/>
  <c r="AE41" i="25"/>
  <c r="AE42" i="25"/>
  <c r="AE43" i="25"/>
  <c r="AE44" i="25"/>
  <c r="AE45" i="25"/>
  <c r="AE46" i="25"/>
  <c r="AE47" i="25"/>
  <c r="AE48" i="25"/>
  <c r="AE49" i="25"/>
  <c r="AE50" i="25"/>
  <c r="AE51" i="25"/>
  <c r="AE52" i="25"/>
  <c r="AE53" i="25"/>
  <c r="AE54" i="25"/>
  <c r="AE55" i="25"/>
  <c r="AE56" i="25"/>
  <c r="AE57" i="25"/>
  <c r="AE58" i="25"/>
  <c r="AE59" i="25"/>
  <c r="AE60" i="25"/>
  <c r="AE61" i="25"/>
  <c r="AE62" i="25"/>
  <c r="AE63" i="25"/>
  <c r="AE64" i="25"/>
  <c r="AE65" i="25"/>
  <c r="AE66" i="25"/>
  <c r="AE67" i="25"/>
  <c r="AE68" i="25"/>
  <c r="AE69" i="25"/>
  <c r="AE70" i="25"/>
  <c r="AE71" i="25"/>
  <c r="AE72" i="25"/>
  <c r="AE73" i="25"/>
  <c r="AE74" i="25"/>
  <c r="AE75" i="25"/>
  <c r="AE76" i="25"/>
  <c r="AE77" i="25"/>
  <c r="AE78" i="25"/>
  <c r="AE79" i="25"/>
  <c r="AE80" i="25"/>
  <c r="AE81" i="25"/>
  <c r="AE82" i="25"/>
  <c r="AE83" i="25"/>
  <c r="AE84" i="25"/>
  <c r="AE85" i="25"/>
  <c r="AE86" i="25"/>
  <c r="AE87" i="25"/>
  <c r="AE88" i="25"/>
  <c r="AE89" i="25"/>
  <c r="AE90" i="25"/>
  <c r="AE91" i="25"/>
  <c r="AE92" i="25"/>
  <c r="AE93" i="25"/>
  <c r="AE94" i="25"/>
  <c r="AE95" i="25"/>
  <c r="AE96" i="25"/>
  <c r="AE97" i="25"/>
  <c r="AE98" i="25"/>
  <c r="AE99" i="25"/>
  <c r="AE100" i="25"/>
  <c r="AE101" i="25"/>
  <c r="AE102" i="25"/>
  <c r="AE103" i="25"/>
  <c r="AA18" i="23"/>
  <c r="Z18" i="23" s="1"/>
  <c r="Y18" i="23" s="1"/>
  <c r="G18" i="23"/>
  <c r="CD18" i="6" s="1"/>
  <c r="H92" i="23"/>
  <c r="H45" i="23"/>
  <c r="H205" i="23"/>
  <c r="H377" i="23"/>
  <c r="H119" i="22"/>
  <c r="H164" i="23"/>
  <c r="H153" i="23"/>
  <c r="H294" i="23"/>
  <c r="H371" i="23"/>
  <c r="B210" i="23"/>
  <c r="Q374" i="25" l="1"/>
  <c r="Q378" i="25"/>
  <c r="Q358" i="25"/>
  <c r="Q366" i="25"/>
  <c r="Q350" i="25"/>
  <c r="Q370" i="25"/>
  <c r="Q362" i="25"/>
  <c r="Q354" i="25"/>
  <c r="Q334" i="25"/>
  <c r="Q318" i="25"/>
  <c r="Q342" i="25"/>
  <c r="Q326" i="25"/>
  <c r="Q310" i="25"/>
  <c r="Q294" i="25"/>
  <c r="Q278" i="25"/>
  <c r="Q262" i="25"/>
  <c r="C31" i="19"/>
  <c r="Q302" i="25"/>
  <c r="Q286" i="25"/>
  <c r="Q270" i="25"/>
  <c r="Q230" i="25"/>
  <c r="Q246" i="25"/>
  <c r="Q212" i="25"/>
  <c r="Q254" i="25"/>
  <c r="Q238" i="25"/>
  <c r="Q222" i="25"/>
  <c r="Q188" i="25"/>
  <c r="Q376" i="25"/>
  <c r="Q372" i="25"/>
  <c r="Q368" i="25"/>
  <c r="Q364" i="25"/>
  <c r="Q360" i="25"/>
  <c r="Q356" i="25"/>
  <c r="Q352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04" i="25"/>
  <c r="Q172" i="25"/>
  <c r="Q196" i="25"/>
  <c r="Q180" i="25"/>
  <c r="Q156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08" i="25"/>
  <c r="Q200" i="25"/>
  <c r="Q192" i="25"/>
  <c r="Q184" i="25"/>
  <c r="Q176" i="25"/>
  <c r="Q164" i="25"/>
  <c r="Q144" i="25"/>
  <c r="Q168" i="25"/>
  <c r="Q160" i="25"/>
  <c r="Q152" i="25"/>
  <c r="Q131" i="25"/>
  <c r="Q148" i="25"/>
  <c r="Q140" i="25"/>
  <c r="Q107" i="25"/>
  <c r="Q75" i="25"/>
  <c r="Q214" i="25"/>
  <c r="Q210" i="25"/>
  <c r="Q206" i="25"/>
  <c r="Q202" i="25"/>
  <c r="Q198" i="25"/>
  <c r="Q194" i="25"/>
  <c r="Q190" i="25"/>
  <c r="Q186" i="25"/>
  <c r="Q182" i="25"/>
  <c r="Q178" i="25"/>
  <c r="Q174" i="25"/>
  <c r="Q170" i="25"/>
  <c r="Q166" i="25"/>
  <c r="Q162" i="25"/>
  <c r="Q158" i="25"/>
  <c r="Q154" i="25"/>
  <c r="Q150" i="25"/>
  <c r="Q146" i="25"/>
  <c r="Q142" i="25"/>
  <c r="Q138" i="25"/>
  <c r="Q123" i="25"/>
  <c r="Q91" i="25"/>
  <c r="Q59" i="25"/>
  <c r="Q115" i="25"/>
  <c r="Q99" i="25"/>
  <c r="Q83" i="25"/>
  <c r="Q67" i="25"/>
  <c r="Q43" i="25"/>
  <c r="J291" i="23"/>
  <c r="I262" i="23"/>
  <c r="I158" i="23"/>
  <c r="I167" i="23"/>
  <c r="I35" i="23"/>
  <c r="J226" i="23"/>
  <c r="I91" i="23"/>
  <c r="I131" i="23"/>
  <c r="I156" i="23"/>
  <c r="Q135" i="25"/>
  <c r="Q127" i="25"/>
  <c r="Q119" i="25"/>
  <c r="Q111" i="25"/>
  <c r="Q103" i="25"/>
  <c r="Q95" i="25"/>
  <c r="Q87" i="25"/>
  <c r="Q79" i="25"/>
  <c r="Q71" i="25"/>
  <c r="Q63" i="25"/>
  <c r="Q51" i="25"/>
  <c r="Q31" i="25"/>
  <c r="I253" i="23"/>
  <c r="C16" i="19"/>
  <c r="F40" i="19"/>
  <c r="AJ13" i="20"/>
  <c r="J367" i="23"/>
  <c r="I331" i="23"/>
  <c r="Q55" i="25"/>
  <c r="Q47" i="25"/>
  <c r="Q39" i="25"/>
  <c r="Q23" i="25"/>
  <c r="AM9" i="20"/>
  <c r="AK9" i="20"/>
  <c r="AK11" i="20" s="1"/>
  <c r="Q35" i="25"/>
  <c r="Q27" i="25"/>
  <c r="Q15" i="25"/>
  <c r="AA17" i="22"/>
  <c r="Z17" i="22" s="1"/>
  <c r="Y17" i="22" s="1"/>
  <c r="AD381" i="22"/>
  <c r="AD383" i="22"/>
  <c r="AD382" i="22"/>
  <c r="AG381" i="23"/>
  <c r="AG382" i="23"/>
  <c r="AG383" i="23"/>
  <c r="AF15" i="23"/>
  <c r="AE11" i="25"/>
  <c r="I289" i="23"/>
  <c r="I252" i="23"/>
  <c r="I215" i="23"/>
  <c r="J113" i="23"/>
  <c r="I181" i="23"/>
  <c r="I25" i="23"/>
  <c r="I321" i="23"/>
  <c r="I109" i="23"/>
  <c r="I307" i="23"/>
  <c r="I62" i="23"/>
  <c r="I194" i="23"/>
  <c r="J243" i="23"/>
  <c r="J250" i="23"/>
  <c r="I340" i="23"/>
  <c r="I134" i="23"/>
  <c r="J200" i="23"/>
  <c r="I151" i="23"/>
  <c r="J184" i="23"/>
  <c r="I332" i="23"/>
  <c r="I220" i="23"/>
  <c r="I43" i="23"/>
  <c r="I70" i="23"/>
  <c r="I275" i="23"/>
  <c r="I379" i="23"/>
  <c r="I18" i="23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5" i="25"/>
  <c r="Q183" i="25"/>
  <c r="Q181" i="25"/>
  <c r="Q179" i="25"/>
  <c r="Q177" i="25"/>
  <c r="Q175" i="25"/>
  <c r="Q173" i="25"/>
  <c r="Q171" i="25"/>
  <c r="Q169" i="25"/>
  <c r="Q167" i="25"/>
  <c r="Q165" i="25"/>
  <c r="Q163" i="25"/>
  <c r="Q161" i="25"/>
  <c r="Q159" i="25"/>
  <c r="Q157" i="25"/>
  <c r="Q155" i="25"/>
  <c r="Q153" i="25"/>
  <c r="Q151" i="25"/>
  <c r="Q149" i="25"/>
  <c r="Q147" i="25"/>
  <c r="Q145" i="25"/>
  <c r="Q143" i="25"/>
  <c r="Q141" i="25"/>
  <c r="Q139" i="25"/>
  <c r="Q137" i="25"/>
  <c r="Q133" i="25"/>
  <c r="Q129" i="25"/>
  <c r="Q125" i="25"/>
  <c r="Q121" i="25"/>
  <c r="Q117" i="25"/>
  <c r="Q113" i="25"/>
  <c r="Q109" i="25"/>
  <c r="Q105" i="25"/>
  <c r="Q101" i="25"/>
  <c r="Q97" i="25"/>
  <c r="Q93" i="25"/>
  <c r="Q89" i="25"/>
  <c r="Q85" i="25"/>
  <c r="Q81" i="25"/>
  <c r="Q77" i="25"/>
  <c r="Q73" i="25"/>
  <c r="Q69" i="25"/>
  <c r="Q65" i="25"/>
  <c r="Q61" i="25"/>
  <c r="Q57" i="25"/>
  <c r="Q53" i="25"/>
  <c r="Q49" i="25"/>
  <c r="Q45" i="25"/>
  <c r="Q41" i="25"/>
  <c r="Q37" i="25"/>
  <c r="Q33" i="25"/>
  <c r="Q29" i="25"/>
  <c r="Q25" i="25"/>
  <c r="Q21" i="25"/>
  <c r="Q17" i="25"/>
  <c r="J153" i="23"/>
  <c r="I153" i="23"/>
  <c r="I119" i="22"/>
  <c r="J119" i="22"/>
  <c r="J205" i="23"/>
  <c r="I205" i="23"/>
  <c r="I92" i="23"/>
  <c r="J92" i="23"/>
  <c r="J251" i="23"/>
  <c r="I251" i="23"/>
  <c r="J169" i="23"/>
  <c r="I169" i="23"/>
  <c r="J192" i="23"/>
  <c r="I192" i="23"/>
  <c r="I329" i="23"/>
  <c r="J329" i="23"/>
  <c r="I172" i="23"/>
  <c r="J172" i="23"/>
  <c r="D119" i="23"/>
  <c r="E119" i="23" s="1"/>
  <c r="F119" i="23" s="1"/>
  <c r="W119" i="23"/>
  <c r="D180" i="23"/>
  <c r="E180" i="23" s="1"/>
  <c r="F180" i="23" s="1"/>
  <c r="H180" i="23" s="1"/>
  <c r="W180" i="23"/>
  <c r="I375" i="23"/>
  <c r="J375" i="23"/>
  <c r="I47" i="23"/>
  <c r="J47" i="23"/>
  <c r="J21" i="23"/>
  <c r="I21" i="23"/>
  <c r="I20" i="23"/>
  <c r="J20" i="23"/>
  <c r="J203" i="23"/>
  <c r="I203" i="23"/>
  <c r="J63" i="23"/>
  <c r="I63" i="23"/>
  <c r="I258" i="23"/>
  <c r="J258" i="23"/>
  <c r="J361" i="23"/>
  <c r="I361" i="23"/>
  <c r="I57" i="23"/>
  <c r="J57" i="23"/>
  <c r="I52" i="23"/>
  <c r="J52" i="23"/>
  <c r="J271" i="23"/>
  <c r="I271" i="23"/>
  <c r="I23" i="23"/>
  <c r="J23" i="23"/>
  <c r="J166" i="23"/>
  <c r="I166" i="23"/>
  <c r="I38" i="23"/>
  <c r="J38" i="23"/>
  <c r="I185" i="23"/>
  <c r="J185" i="23"/>
  <c r="I372" i="23"/>
  <c r="J372" i="23"/>
  <c r="J152" i="23"/>
  <c r="I152" i="23"/>
  <c r="I183" i="23"/>
  <c r="J183" i="23"/>
  <c r="I378" i="23"/>
  <c r="J378" i="23"/>
  <c r="I22" i="23"/>
  <c r="J22" i="23"/>
  <c r="J157" i="23"/>
  <c r="I157" i="23"/>
  <c r="J32" i="23"/>
  <c r="I32" i="23"/>
  <c r="D241" i="23"/>
  <c r="E241" i="23" s="1"/>
  <c r="F241" i="23" s="1"/>
  <c r="W241" i="23"/>
  <c r="I241" i="22"/>
  <c r="H241" i="23" s="1"/>
  <c r="J241" i="22"/>
  <c r="I229" i="23"/>
  <c r="J229" i="23"/>
  <c r="I315" i="23"/>
  <c r="J315" i="23"/>
  <c r="I19" i="23"/>
  <c r="J19" i="23"/>
  <c r="J365" i="23"/>
  <c r="I365" i="23"/>
  <c r="J128" i="23"/>
  <c r="I128" i="23"/>
  <c r="J327" i="23"/>
  <c r="I327" i="23"/>
  <c r="J31" i="23"/>
  <c r="I31" i="23"/>
  <c r="I333" i="22"/>
  <c r="H333" i="23" s="1"/>
  <c r="J333" i="22"/>
  <c r="J41" i="23"/>
  <c r="I41" i="23"/>
  <c r="I116" i="23"/>
  <c r="J116" i="23"/>
  <c r="S376" i="24"/>
  <c r="R376" i="24" s="1"/>
  <c r="P376" i="24" s="1"/>
  <c r="V376" i="24" s="1"/>
  <c r="B376" i="24" s="1"/>
  <c r="S372" i="24"/>
  <c r="R372" i="24" s="1"/>
  <c r="P372" i="24" s="1"/>
  <c r="V372" i="24" s="1"/>
  <c r="B372" i="24" s="1"/>
  <c r="S368" i="24"/>
  <c r="R368" i="24" s="1"/>
  <c r="P368" i="24" s="1"/>
  <c r="V368" i="24" s="1"/>
  <c r="B368" i="24" s="1"/>
  <c r="S364" i="24"/>
  <c r="R364" i="24" s="1"/>
  <c r="P364" i="24" s="1"/>
  <c r="V364" i="24" s="1"/>
  <c r="B364" i="24" s="1"/>
  <c r="S360" i="24"/>
  <c r="R360" i="24" s="1"/>
  <c r="P360" i="24" s="1"/>
  <c r="V360" i="24" s="1"/>
  <c r="B360" i="24" s="1"/>
  <c r="S356" i="24"/>
  <c r="R356" i="24" s="1"/>
  <c r="P356" i="24" s="1"/>
  <c r="V356" i="24" s="1"/>
  <c r="B356" i="24" s="1"/>
  <c r="S352" i="24"/>
  <c r="R352" i="24" s="1"/>
  <c r="P352" i="24" s="1"/>
  <c r="V352" i="24" s="1"/>
  <c r="B352" i="24" s="1"/>
  <c r="S348" i="24"/>
  <c r="R348" i="24" s="1"/>
  <c r="P348" i="24" s="1"/>
  <c r="V348" i="24" s="1"/>
  <c r="B348" i="24" s="1"/>
  <c r="S344" i="24"/>
  <c r="R344" i="24" s="1"/>
  <c r="P344" i="24" s="1"/>
  <c r="V344" i="24" s="1"/>
  <c r="B344" i="24" s="1"/>
  <c r="S340" i="24"/>
  <c r="R340" i="24" s="1"/>
  <c r="P340" i="24" s="1"/>
  <c r="V340" i="24" s="1"/>
  <c r="B340" i="24" s="1"/>
  <c r="S336" i="24"/>
  <c r="R336" i="24" s="1"/>
  <c r="P336" i="24" s="1"/>
  <c r="V336" i="24" s="1"/>
  <c r="B336" i="24" s="1"/>
  <c r="S332" i="24"/>
  <c r="R332" i="24" s="1"/>
  <c r="P332" i="24" s="1"/>
  <c r="V332" i="24" s="1"/>
  <c r="B332" i="24" s="1"/>
  <c r="S328" i="24"/>
  <c r="R328" i="24" s="1"/>
  <c r="P328" i="24" s="1"/>
  <c r="V328" i="24" s="1"/>
  <c r="B328" i="24" s="1"/>
  <c r="S324" i="24"/>
  <c r="R324" i="24" s="1"/>
  <c r="P324" i="24" s="1"/>
  <c r="V324" i="24" s="1"/>
  <c r="B324" i="24" s="1"/>
  <c r="S320" i="24"/>
  <c r="R320" i="24" s="1"/>
  <c r="P320" i="24" s="1"/>
  <c r="V320" i="24" s="1"/>
  <c r="B320" i="24" s="1"/>
  <c r="S316" i="24"/>
  <c r="R316" i="24" s="1"/>
  <c r="P316" i="24" s="1"/>
  <c r="V316" i="24" s="1"/>
  <c r="B316" i="24" s="1"/>
  <c r="S312" i="24"/>
  <c r="R312" i="24" s="1"/>
  <c r="P312" i="24" s="1"/>
  <c r="V312" i="24" s="1"/>
  <c r="B312" i="24" s="1"/>
  <c r="S308" i="24"/>
  <c r="R308" i="24" s="1"/>
  <c r="P308" i="24" s="1"/>
  <c r="V308" i="24" s="1"/>
  <c r="B308" i="24" s="1"/>
  <c r="S304" i="24"/>
  <c r="R304" i="24" s="1"/>
  <c r="P304" i="24" s="1"/>
  <c r="V304" i="24" s="1"/>
  <c r="B304" i="24" s="1"/>
  <c r="S300" i="24"/>
  <c r="R300" i="24" s="1"/>
  <c r="P300" i="24" s="1"/>
  <c r="V300" i="24" s="1"/>
  <c r="B300" i="24" s="1"/>
  <c r="S296" i="24"/>
  <c r="R296" i="24" s="1"/>
  <c r="P296" i="24" s="1"/>
  <c r="V296" i="24" s="1"/>
  <c r="B296" i="24" s="1"/>
  <c r="S292" i="24"/>
  <c r="R292" i="24" s="1"/>
  <c r="P292" i="24" s="1"/>
  <c r="V292" i="24" s="1"/>
  <c r="B292" i="24" s="1"/>
  <c r="S288" i="24"/>
  <c r="R288" i="24" s="1"/>
  <c r="P288" i="24" s="1"/>
  <c r="V288" i="24" s="1"/>
  <c r="B288" i="24" s="1"/>
  <c r="S284" i="24"/>
  <c r="R284" i="24" s="1"/>
  <c r="P284" i="24" s="1"/>
  <c r="V284" i="24" s="1"/>
  <c r="B284" i="24" s="1"/>
  <c r="S280" i="24"/>
  <c r="R280" i="24" s="1"/>
  <c r="P280" i="24" s="1"/>
  <c r="V280" i="24" s="1"/>
  <c r="B280" i="24" s="1"/>
  <c r="S276" i="24"/>
  <c r="R276" i="24" s="1"/>
  <c r="P276" i="24" s="1"/>
  <c r="V276" i="24" s="1"/>
  <c r="B276" i="24" s="1"/>
  <c r="S272" i="24"/>
  <c r="R272" i="24" s="1"/>
  <c r="P272" i="24" s="1"/>
  <c r="S268" i="24"/>
  <c r="R268" i="24" s="1"/>
  <c r="P268" i="24" s="1"/>
  <c r="V268" i="24" s="1"/>
  <c r="B268" i="24" s="1"/>
  <c r="S264" i="24"/>
  <c r="R264" i="24" s="1"/>
  <c r="P264" i="24" s="1"/>
  <c r="V264" i="24" s="1"/>
  <c r="B264" i="24" s="1"/>
  <c r="S260" i="24"/>
  <c r="R260" i="24" s="1"/>
  <c r="P260" i="24" s="1"/>
  <c r="V260" i="24" s="1"/>
  <c r="B260" i="24" s="1"/>
  <c r="S256" i="24"/>
  <c r="R256" i="24" s="1"/>
  <c r="P256" i="24" s="1"/>
  <c r="V256" i="24" s="1"/>
  <c r="B256" i="24" s="1"/>
  <c r="S252" i="24"/>
  <c r="R252" i="24" s="1"/>
  <c r="P252" i="24" s="1"/>
  <c r="V252" i="24" s="1"/>
  <c r="B252" i="24" s="1"/>
  <c r="S248" i="24"/>
  <c r="R248" i="24" s="1"/>
  <c r="P248" i="24" s="1"/>
  <c r="V248" i="24" s="1"/>
  <c r="B248" i="24" s="1"/>
  <c r="S244" i="24"/>
  <c r="R244" i="24" s="1"/>
  <c r="P244" i="24" s="1"/>
  <c r="V244" i="24" s="1"/>
  <c r="B244" i="24" s="1"/>
  <c r="S240" i="24"/>
  <c r="R240" i="24" s="1"/>
  <c r="P240" i="24" s="1"/>
  <c r="V240" i="24" s="1"/>
  <c r="B240" i="24" s="1"/>
  <c r="S236" i="24"/>
  <c r="R236" i="24" s="1"/>
  <c r="P236" i="24" s="1"/>
  <c r="V236" i="24" s="1"/>
  <c r="B236" i="24" s="1"/>
  <c r="S232" i="24"/>
  <c r="R232" i="24" s="1"/>
  <c r="P232" i="24" s="1"/>
  <c r="V232" i="24" s="1"/>
  <c r="B232" i="24" s="1"/>
  <c r="S228" i="24"/>
  <c r="R228" i="24" s="1"/>
  <c r="P228" i="24" s="1"/>
  <c r="V228" i="24" s="1"/>
  <c r="B228" i="24" s="1"/>
  <c r="S224" i="24"/>
  <c r="R224" i="24" s="1"/>
  <c r="P224" i="24" s="1"/>
  <c r="V224" i="24" s="1"/>
  <c r="B224" i="24" s="1"/>
  <c r="S220" i="24"/>
  <c r="R220" i="24" s="1"/>
  <c r="P220" i="24" s="1"/>
  <c r="V220" i="24" s="1"/>
  <c r="B220" i="24" s="1"/>
  <c r="S216" i="24"/>
  <c r="R216" i="24" s="1"/>
  <c r="P216" i="24" s="1"/>
  <c r="V216" i="24" s="1"/>
  <c r="B216" i="24" s="1"/>
  <c r="S212" i="24"/>
  <c r="R212" i="24" s="1"/>
  <c r="P212" i="24" s="1"/>
  <c r="V212" i="24" s="1"/>
  <c r="B212" i="24" s="1"/>
  <c r="S208" i="24"/>
  <c r="R208" i="24" s="1"/>
  <c r="P208" i="24" s="1"/>
  <c r="V208" i="24" s="1"/>
  <c r="B208" i="24" s="1"/>
  <c r="S204" i="24"/>
  <c r="R204" i="24" s="1"/>
  <c r="P204" i="24" s="1"/>
  <c r="V204" i="24" s="1"/>
  <c r="B204" i="24" s="1"/>
  <c r="S200" i="24"/>
  <c r="R200" i="24" s="1"/>
  <c r="P200" i="24" s="1"/>
  <c r="V200" i="24" s="1"/>
  <c r="B200" i="24" s="1"/>
  <c r="S196" i="24"/>
  <c r="R196" i="24" s="1"/>
  <c r="P196" i="24" s="1"/>
  <c r="V196" i="24" s="1"/>
  <c r="S192" i="24"/>
  <c r="R192" i="24" s="1"/>
  <c r="P192" i="24" s="1"/>
  <c r="V192" i="24" s="1"/>
  <c r="B192" i="24" s="1"/>
  <c r="S188" i="24"/>
  <c r="R188" i="24" s="1"/>
  <c r="P188" i="24" s="1"/>
  <c r="V188" i="24" s="1"/>
  <c r="B188" i="24" s="1"/>
  <c r="S184" i="24"/>
  <c r="R184" i="24" s="1"/>
  <c r="P184" i="24" s="1"/>
  <c r="V184" i="24" s="1"/>
  <c r="B184" i="24" s="1"/>
  <c r="S180" i="24"/>
  <c r="R180" i="24" s="1"/>
  <c r="P180" i="24" s="1"/>
  <c r="S176" i="24"/>
  <c r="R176" i="24" s="1"/>
  <c r="P176" i="24" s="1"/>
  <c r="V176" i="24" s="1"/>
  <c r="B176" i="24" s="1"/>
  <c r="S172" i="24"/>
  <c r="R172" i="24" s="1"/>
  <c r="P172" i="24" s="1"/>
  <c r="V172" i="24" s="1"/>
  <c r="B172" i="24" s="1"/>
  <c r="S168" i="24"/>
  <c r="R168" i="24" s="1"/>
  <c r="P168" i="24" s="1"/>
  <c r="V168" i="24" s="1"/>
  <c r="B168" i="24" s="1"/>
  <c r="S164" i="24"/>
  <c r="R164" i="24" s="1"/>
  <c r="P164" i="24" s="1"/>
  <c r="V164" i="24" s="1"/>
  <c r="B164" i="24" s="1"/>
  <c r="S160" i="24"/>
  <c r="R160" i="24" s="1"/>
  <c r="P160" i="24" s="1"/>
  <c r="V160" i="24" s="1"/>
  <c r="B160" i="24" s="1"/>
  <c r="S156" i="24"/>
  <c r="R156" i="24" s="1"/>
  <c r="P156" i="24" s="1"/>
  <c r="V156" i="24" s="1"/>
  <c r="B156" i="24" s="1"/>
  <c r="S152" i="24"/>
  <c r="R152" i="24" s="1"/>
  <c r="P152" i="24" s="1"/>
  <c r="V152" i="24" s="1"/>
  <c r="B152" i="24" s="1"/>
  <c r="S148" i="24"/>
  <c r="R148" i="24" s="1"/>
  <c r="P148" i="24" s="1"/>
  <c r="V148" i="24" s="1"/>
  <c r="B148" i="24" s="1"/>
  <c r="S144" i="24"/>
  <c r="R144" i="24" s="1"/>
  <c r="P144" i="24" s="1"/>
  <c r="V144" i="24" s="1"/>
  <c r="B144" i="24" s="1"/>
  <c r="S140" i="24"/>
  <c r="R140" i="24" s="1"/>
  <c r="P140" i="24" s="1"/>
  <c r="V140" i="24" s="1"/>
  <c r="B140" i="24" s="1"/>
  <c r="S136" i="24"/>
  <c r="R136" i="24" s="1"/>
  <c r="P136" i="24" s="1"/>
  <c r="V136" i="24" s="1"/>
  <c r="B136" i="24" s="1"/>
  <c r="S132" i="24"/>
  <c r="R132" i="24" s="1"/>
  <c r="P132" i="24" s="1"/>
  <c r="V132" i="24" s="1"/>
  <c r="B132" i="24" s="1"/>
  <c r="S128" i="24"/>
  <c r="R128" i="24" s="1"/>
  <c r="P128" i="24" s="1"/>
  <c r="V128" i="24" s="1"/>
  <c r="B128" i="24" s="1"/>
  <c r="S124" i="24"/>
  <c r="R124" i="24" s="1"/>
  <c r="P124" i="24" s="1"/>
  <c r="V124" i="24" s="1"/>
  <c r="B124" i="24" s="1"/>
  <c r="S120" i="24"/>
  <c r="R120" i="24" s="1"/>
  <c r="P120" i="24" s="1"/>
  <c r="V120" i="24" s="1"/>
  <c r="B120" i="24" s="1"/>
  <c r="S116" i="24"/>
  <c r="R116" i="24" s="1"/>
  <c r="P116" i="24" s="1"/>
  <c r="V116" i="24" s="1"/>
  <c r="B116" i="24" s="1"/>
  <c r="S112" i="24"/>
  <c r="R112" i="24" s="1"/>
  <c r="P112" i="24" s="1"/>
  <c r="V112" i="24" s="1"/>
  <c r="B112" i="24" s="1"/>
  <c r="S108" i="24"/>
  <c r="R108" i="24" s="1"/>
  <c r="P108" i="24" s="1"/>
  <c r="V108" i="24" s="1"/>
  <c r="B108" i="24" s="1"/>
  <c r="S104" i="24"/>
  <c r="R104" i="24" s="1"/>
  <c r="P104" i="24" s="1"/>
  <c r="V104" i="24" s="1"/>
  <c r="B104" i="24" s="1"/>
  <c r="S100" i="24"/>
  <c r="R100" i="24" s="1"/>
  <c r="P100" i="24" s="1"/>
  <c r="V100" i="24" s="1"/>
  <c r="B100" i="24" s="1"/>
  <c r="S96" i="24"/>
  <c r="R96" i="24" s="1"/>
  <c r="P96" i="24" s="1"/>
  <c r="V96" i="24" s="1"/>
  <c r="B96" i="24" s="1"/>
  <c r="S92" i="24"/>
  <c r="R92" i="24" s="1"/>
  <c r="P92" i="24" s="1"/>
  <c r="V92" i="24" s="1"/>
  <c r="B92" i="24" s="1"/>
  <c r="S88" i="24"/>
  <c r="R88" i="24" s="1"/>
  <c r="P88" i="24" s="1"/>
  <c r="S84" i="24"/>
  <c r="R84" i="24" s="1"/>
  <c r="P84" i="24" s="1"/>
  <c r="V84" i="24" s="1"/>
  <c r="B84" i="24" s="1"/>
  <c r="S80" i="24"/>
  <c r="R80" i="24" s="1"/>
  <c r="P80" i="24" s="1"/>
  <c r="V80" i="24" s="1"/>
  <c r="B80" i="24" s="1"/>
  <c r="S76" i="24"/>
  <c r="R76" i="24" s="1"/>
  <c r="P76" i="24" s="1"/>
  <c r="V76" i="24" s="1"/>
  <c r="B76" i="24" s="1"/>
  <c r="S72" i="24"/>
  <c r="R72" i="24" s="1"/>
  <c r="P72" i="24" s="1"/>
  <c r="V72" i="24" s="1"/>
  <c r="B72" i="24" s="1"/>
  <c r="S68" i="24"/>
  <c r="R68" i="24" s="1"/>
  <c r="P68" i="24" s="1"/>
  <c r="V68" i="24" s="1"/>
  <c r="B68" i="24" s="1"/>
  <c r="S64" i="24"/>
  <c r="R64" i="24" s="1"/>
  <c r="P64" i="24" s="1"/>
  <c r="V64" i="24" s="1"/>
  <c r="B64" i="24" s="1"/>
  <c r="S60" i="24"/>
  <c r="R60" i="24" s="1"/>
  <c r="P60" i="24" s="1"/>
  <c r="S56" i="24"/>
  <c r="R56" i="24" s="1"/>
  <c r="P56" i="24" s="1"/>
  <c r="V56" i="24" s="1"/>
  <c r="B56" i="24" s="1"/>
  <c r="S52" i="24"/>
  <c r="R52" i="24" s="1"/>
  <c r="P52" i="24" s="1"/>
  <c r="V52" i="24" s="1"/>
  <c r="B52" i="24" s="1"/>
  <c r="S48" i="24"/>
  <c r="R48" i="24" s="1"/>
  <c r="P48" i="24" s="1"/>
  <c r="V48" i="24" s="1"/>
  <c r="B48" i="24" s="1"/>
  <c r="S44" i="24"/>
  <c r="R44" i="24" s="1"/>
  <c r="P44" i="24" s="1"/>
  <c r="V44" i="24" s="1"/>
  <c r="B44" i="24" s="1"/>
  <c r="S40" i="24"/>
  <c r="R40" i="24" s="1"/>
  <c r="P40" i="24" s="1"/>
  <c r="V40" i="24" s="1"/>
  <c r="B40" i="24" s="1"/>
  <c r="S36" i="24"/>
  <c r="R36" i="24" s="1"/>
  <c r="P36" i="24" s="1"/>
  <c r="V36" i="24" s="1"/>
  <c r="B36" i="24" s="1"/>
  <c r="S32" i="24"/>
  <c r="R32" i="24" s="1"/>
  <c r="P32" i="24" s="1"/>
  <c r="V32" i="24" s="1"/>
  <c r="B32" i="24" s="1"/>
  <c r="S28" i="24"/>
  <c r="R28" i="24" s="1"/>
  <c r="P28" i="24" s="1"/>
  <c r="V28" i="24" s="1"/>
  <c r="B28" i="24" s="1"/>
  <c r="S24" i="24"/>
  <c r="R24" i="24" s="1"/>
  <c r="P24" i="24" s="1"/>
  <c r="V24" i="24" s="1"/>
  <c r="B24" i="24" s="1"/>
  <c r="S20" i="24"/>
  <c r="R20" i="24" s="1"/>
  <c r="P20" i="24" s="1"/>
  <c r="V20" i="24" s="1"/>
  <c r="B20" i="24" s="1"/>
  <c r="S19" i="24"/>
  <c r="R19" i="24" s="1"/>
  <c r="P19" i="24" s="1"/>
  <c r="V19" i="24" s="1"/>
  <c r="B19" i="24" s="1"/>
  <c r="I95" i="23"/>
  <c r="J95" i="23"/>
  <c r="J298" i="23"/>
  <c r="I298" i="23"/>
  <c r="J54" i="23"/>
  <c r="I54" i="23"/>
  <c r="I237" i="23"/>
  <c r="J237" i="23"/>
  <c r="I112" i="23"/>
  <c r="J112" i="23"/>
  <c r="J163" i="23"/>
  <c r="I163" i="23"/>
  <c r="J174" i="23"/>
  <c r="I174" i="23"/>
  <c r="J126" i="23"/>
  <c r="I126" i="23"/>
  <c r="J285" i="23"/>
  <c r="I285" i="23"/>
  <c r="J89" i="23"/>
  <c r="I89" i="23"/>
  <c r="I144" i="23"/>
  <c r="J144" i="23"/>
  <c r="AG377" i="24"/>
  <c r="AF377" i="24" s="1"/>
  <c r="AD377" i="24" s="1"/>
  <c r="AG373" i="24"/>
  <c r="AF373" i="24" s="1"/>
  <c r="AD373" i="24" s="1"/>
  <c r="AG369" i="24"/>
  <c r="AF369" i="24" s="1"/>
  <c r="AD369" i="24" s="1"/>
  <c r="AG365" i="24"/>
  <c r="AF365" i="24" s="1"/>
  <c r="AD365" i="24" s="1"/>
  <c r="AG361" i="24"/>
  <c r="AF361" i="24" s="1"/>
  <c r="AD361" i="24" s="1"/>
  <c r="AG357" i="24"/>
  <c r="AF357" i="24" s="1"/>
  <c r="AD357" i="24" s="1"/>
  <c r="AG353" i="24"/>
  <c r="AF353" i="24" s="1"/>
  <c r="AD353" i="24" s="1"/>
  <c r="AG349" i="24"/>
  <c r="AF349" i="24" s="1"/>
  <c r="AD349" i="24" s="1"/>
  <c r="AG345" i="24"/>
  <c r="AF345" i="24" s="1"/>
  <c r="AD345" i="24" s="1"/>
  <c r="AG341" i="24"/>
  <c r="AF341" i="24" s="1"/>
  <c r="AD341" i="24" s="1"/>
  <c r="AG337" i="24"/>
  <c r="AF337" i="24" s="1"/>
  <c r="AD337" i="24" s="1"/>
  <c r="AG333" i="24"/>
  <c r="AF333" i="24" s="1"/>
  <c r="AD333" i="24" s="1"/>
  <c r="AG329" i="24"/>
  <c r="AF329" i="24" s="1"/>
  <c r="AD329" i="24" s="1"/>
  <c r="AG325" i="24"/>
  <c r="AF325" i="24" s="1"/>
  <c r="AD325" i="24" s="1"/>
  <c r="AG321" i="24"/>
  <c r="AF321" i="24" s="1"/>
  <c r="AD321" i="24" s="1"/>
  <c r="AG317" i="24"/>
  <c r="AF317" i="24" s="1"/>
  <c r="AD317" i="24" s="1"/>
  <c r="AG313" i="24"/>
  <c r="AF313" i="24" s="1"/>
  <c r="AD313" i="24" s="1"/>
  <c r="AG309" i="24"/>
  <c r="AF309" i="24" s="1"/>
  <c r="AD309" i="24" s="1"/>
  <c r="AG305" i="24"/>
  <c r="AF305" i="24" s="1"/>
  <c r="AD305" i="24" s="1"/>
  <c r="AG301" i="24"/>
  <c r="AF301" i="24" s="1"/>
  <c r="AD301" i="24" s="1"/>
  <c r="AG297" i="24"/>
  <c r="AF297" i="24" s="1"/>
  <c r="AD297" i="24" s="1"/>
  <c r="AG293" i="24"/>
  <c r="AF293" i="24" s="1"/>
  <c r="AD293" i="24" s="1"/>
  <c r="AG289" i="24"/>
  <c r="AF289" i="24" s="1"/>
  <c r="AD289" i="24" s="1"/>
  <c r="AG285" i="24"/>
  <c r="AF285" i="24" s="1"/>
  <c r="AD285" i="24" s="1"/>
  <c r="AG281" i="24"/>
  <c r="AF281" i="24" s="1"/>
  <c r="AD281" i="24" s="1"/>
  <c r="AG277" i="24"/>
  <c r="AF277" i="24" s="1"/>
  <c r="AD277" i="24" s="1"/>
  <c r="AG273" i="24"/>
  <c r="AF273" i="24" s="1"/>
  <c r="AD273" i="24" s="1"/>
  <c r="AG269" i="24"/>
  <c r="AF269" i="24" s="1"/>
  <c r="AD269" i="24" s="1"/>
  <c r="AG265" i="24"/>
  <c r="AF265" i="24" s="1"/>
  <c r="AD265" i="24" s="1"/>
  <c r="AG261" i="24"/>
  <c r="AF261" i="24" s="1"/>
  <c r="AD261" i="24" s="1"/>
  <c r="AG257" i="24"/>
  <c r="AF257" i="24" s="1"/>
  <c r="AD257" i="24" s="1"/>
  <c r="AG253" i="24"/>
  <c r="AF253" i="24" s="1"/>
  <c r="AD253" i="24" s="1"/>
  <c r="AG249" i="24"/>
  <c r="AF249" i="24" s="1"/>
  <c r="AD249" i="24" s="1"/>
  <c r="AG245" i="24"/>
  <c r="AF245" i="24" s="1"/>
  <c r="AD245" i="24" s="1"/>
  <c r="AG241" i="24"/>
  <c r="AF241" i="24" s="1"/>
  <c r="AD241" i="24" s="1"/>
  <c r="AG237" i="24"/>
  <c r="AF237" i="24" s="1"/>
  <c r="AD237" i="24" s="1"/>
  <c r="AG233" i="24"/>
  <c r="AF233" i="24" s="1"/>
  <c r="AD233" i="24" s="1"/>
  <c r="AG229" i="24"/>
  <c r="AF229" i="24" s="1"/>
  <c r="AD229" i="24" s="1"/>
  <c r="AG225" i="24"/>
  <c r="AF225" i="24" s="1"/>
  <c r="AD225" i="24" s="1"/>
  <c r="AG221" i="24"/>
  <c r="AF221" i="24" s="1"/>
  <c r="AD221" i="24" s="1"/>
  <c r="AG217" i="24"/>
  <c r="AF217" i="24" s="1"/>
  <c r="AD217" i="24" s="1"/>
  <c r="AG213" i="24"/>
  <c r="AF213" i="24" s="1"/>
  <c r="AD213" i="24" s="1"/>
  <c r="AG209" i="24"/>
  <c r="AF209" i="24" s="1"/>
  <c r="AD209" i="24" s="1"/>
  <c r="AG205" i="24"/>
  <c r="AF205" i="24" s="1"/>
  <c r="AD205" i="24" s="1"/>
  <c r="AG201" i="24"/>
  <c r="AF201" i="24" s="1"/>
  <c r="AD201" i="24" s="1"/>
  <c r="AG197" i="24"/>
  <c r="AF197" i="24" s="1"/>
  <c r="AD197" i="24" s="1"/>
  <c r="AG193" i="24"/>
  <c r="AF193" i="24" s="1"/>
  <c r="AD193" i="24" s="1"/>
  <c r="AG189" i="24"/>
  <c r="AF189" i="24" s="1"/>
  <c r="AD189" i="24" s="1"/>
  <c r="AG185" i="24"/>
  <c r="AF185" i="24" s="1"/>
  <c r="AD185" i="24" s="1"/>
  <c r="AG181" i="24"/>
  <c r="AF181" i="24" s="1"/>
  <c r="AD181" i="24" s="1"/>
  <c r="AG177" i="24"/>
  <c r="AF177" i="24" s="1"/>
  <c r="AD177" i="24" s="1"/>
  <c r="AG173" i="24"/>
  <c r="AF173" i="24" s="1"/>
  <c r="AD173" i="24" s="1"/>
  <c r="AG169" i="24"/>
  <c r="AF169" i="24" s="1"/>
  <c r="AD169" i="24" s="1"/>
  <c r="AG165" i="24"/>
  <c r="AF165" i="24" s="1"/>
  <c r="AD165" i="24" s="1"/>
  <c r="AG161" i="24"/>
  <c r="AF161" i="24" s="1"/>
  <c r="AD161" i="24" s="1"/>
  <c r="AG157" i="24"/>
  <c r="AF157" i="24" s="1"/>
  <c r="AD157" i="24" s="1"/>
  <c r="AG153" i="24"/>
  <c r="AF153" i="24" s="1"/>
  <c r="AD153" i="24" s="1"/>
  <c r="AG149" i="24"/>
  <c r="AF149" i="24" s="1"/>
  <c r="AD149" i="24" s="1"/>
  <c r="AG145" i="24"/>
  <c r="AF145" i="24" s="1"/>
  <c r="AD145" i="24" s="1"/>
  <c r="AG141" i="24"/>
  <c r="AF141" i="24" s="1"/>
  <c r="AD141" i="24" s="1"/>
  <c r="AG137" i="24"/>
  <c r="AF137" i="24" s="1"/>
  <c r="AD137" i="24" s="1"/>
  <c r="AG133" i="24"/>
  <c r="AF133" i="24" s="1"/>
  <c r="AD133" i="24" s="1"/>
  <c r="AG129" i="24"/>
  <c r="AF129" i="24" s="1"/>
  <c r="AD129" i="24" s="1"/>
  <c r="AG125" i="24"/>
  <c r="AF125" i="24" s="1"/>
  <c r="AD125" i="24" s="1"/>
  <c r="AG121" i="24"/>
  <c r="AF121" i="24" s="1"/>
  <c r="AD121" i="24" s="1"/>
  <c r="AG117" i="24"/>
  <c r="AF117" i="24" s="1"/>
  <c r="AD117" i="24" s="1"/>
  <c r="AG113" i="24"/>
  <c r="AF113" i="24" s="1"/>
  <c r="AD113" i="24" s="1"/>
  <c r="AG109" i="24"/>
  <c r="AF109" i="24" s="1"/>
  <c r="AD109" i="24" s="1"/>
  <c r="AG105" i="24"/>
  <c r="AF105" i="24" s="1"/>
  <c r="AD105" i="24" s="1"/>
  <c r="AG101" i="24"/>
  <c r="AF101" i="24" s="1"/>
  <c r="AD101" i="24" s="1"/>
  <c r="AG97" i="24"/>
  <c r="AF97" i="24" s="1"/>
  <c r="AD97" i="24" s="1"/>
  <c r="AG93" i="24"/>
  <c r="AF93" i="24" s="1"/>
  <c r="AD93" i="24" s="1"/>
  <c r="AG89" i="24"/>
  <c r="AF89" i="24" s="1"/>
  <c r="AD89" i="24" s="1"/>
  <c r="AG85" i="24"/>
  <c r="AF85" i="24" s="1"/>
  <c r="AD85" i="24" s="1"/>
  <c r="AG81" i="24"/>
  <c r="AF81" i="24" s="1"/>
  <c r="AD81" i="24" s="1"/>
  <c r="AG77" i="24"/>
  <c r="AF77" i="24" s="1"/>
  <c r="AD77" i="24" s="1"/>
  <c r="AG73" i="24"/>
  <c r="AF73" i="24" s="1"/>
  <c r="AD73" i="24" s="1"/>
  <c r="AG69" i="24"/>
  <c r="AF69" i="24" s="1"/>
  <c r="AD69" i="24" s="1"/>
  <c r="AG65" i="24"/>
  <c r="AF65" i="24" s="1"/>
  <c r="AD65" i="24" s="1"/>
  <c r="AG61" i="24"/>
  <c r="AF61" i="24" s="1"/>
  <c r="AD61" i="24" s="1"/>
  <c r="AG57" i="24"/>
  <c r="AF57" i="24" s="1"/>
  <c r="AD57" i="24" s="1"/>
  <c r="AG53" i="24"/>
  <c r="AF53" i="24" s="1"/>
  <c r="AD53" i="24" s="1"/>
  <c r="AG49" i="24"/>
  <c r="AF49" i="24" s="1"/>
  <c r="AD49" i="24" s="1"/>
  <c r="AG45" i="24"/>
  <c r="AF45" i="24" s="1"/>
  <c r="AD45" i="24" s="1"/>
  <c r="AG41" i="24"/>
  <c r="AF41" i="24" s="1"/>
  <c r="AD41" i="24" s="1"/>
  <c r="AG37" i="24"/>
  <c r="AF37" i="24" s="1"/>
  <c r="AD37" i="24" s="1"/>
  <c r="AG33" i="24"/>
  <c r="AF33" i="24" s="1"/>
  <c r="AD33" i="24" s="1"/>
  <c r="AG29" i="24"/>
  <c r="AF29" i="24" s="1"/>
  <c r="AD29" i="24" s="1"/>
  <c r="AG25" i="24"/>
  <c r="AF25" i="24" s="1"/>
  <c r="AD25" i="24" s="1"/>
  <c r="AG21" i="24"/>
  <c r="AF21" i="24" s="1"/>
  <c r="AD21" i="24" s="1"/>
  <c r="AG16" i="24"/>
  <c r="AF16" i="24" s="1"/>
  <c r="AD16" i="24" s="1"/>
  <c r="J272" i="22"/>
  <c r="I272" i="22"/>
  <c r="I162" i="23"/>
  <c r="J162" i="23"/>
  <c r="J132" i="23"/>
  <c r="I132" i="23"/>
  <c r="F11" i="18"/>
  <c r="AB9" i="18"/>
  <c r="G15" i="19"/>
  <c r="I281" i="23"/>
  <c r="J281" i="23"/>
  <c r="I368" i="23"/>
  <c r="J368" i="23"/>
  <c r="I138" i="23"/>
  <c r="J138" i="23"/>
  <c r="J55" i="23"/>
  <c r="I55" i="23"/>
  <c r="J78" i="23"/>
  <c r="I78" i="23"/>
  <c r="J363" i="22"/>
  <c r="I363" i="22"/>
  <c r="H363" i="23" s="1"/>
  <c r="J349" i="23"/>
  <c r="I349" i="23"/>
  <c r="I115" i="23"/>
  <c r="J115" i="23"/>
  <c r="I84" i="23"/>
  <c r="J84" i="23"/>
  <c r="I59" i="23"/>
  <c r="J59" i="23"/>
  <c r="I266" i="23"/>
  <c r="J266" i="23"/>
  <c r="J173" i="23"/>
  <c r="I173" i="23"/>
  <c r="I364" i="23"/>
  <c r="J364" i="23"/>
  <c r="J160" i="23"/>
  <c r="I160" i="23"/>
  <c r="T381" i="24"/>
  <c r="T382" i="24"/>
  <c r="S15" i="24"/>
  <c r="T383" i="24"/>
  <c r="J311" i="23"/>
  <c r="I311" i="23"/>
  <c r="J231" i="23"/>
  <c r="I231" i="23"/>
  <c r="J102" i="23"/>
  <c r="I102" i="23"/>
  <c r="I46" i="23"/>
  <c r="J46" i="23"/>
  <c r="I204" i="23"/>
  <c r="J204" i="23"/>
  <c r="I120" i="23"/>
  <c r="J120" i="23"/>
  <c r="J244" i="23"/>
  <c r="I244" i="23"/>
  <c r="I356" i="23"/>
  <c r="J356" i="23"/>
  <c r="J346" i="23"/>
  <c r="I346" i="23"/>
  <c r="I342" i="23"/>
  <c r="J342" i="23"/>
  <c r="I328" i="23"/>
  <c r="J328" i="23"/>
  <c r="I310" i="23"/>
  <c r="J310" i="23"/>
  <c r="I300" i="23"/>
  <c r="J300" i="23"/>
  <c r="J290" i="23"/>
  <c r="I290" i="23"/>
  <c r="J232" i="23"/>
  <c r="I232" i="23"/>
  <c r="I227" i="23"/>
  <c r="J227" i="23"/>
  <c r="J335" i="23"/>
  <c r="I335" i="23"/>
  <c r="J216" i="23"/>
  <c r="I216" i="23"/>
  <c r="I292" i="23"/>
  <c r="J292" i="23"/>
  <c r="J106" i="23"/>
  <c r="I106" i="23"/>
  <c r="I99" i="23"/>
  <c r="J99" i="23"/>
  <c r="J176" i="23"/>
  <c r="I176" i="23"/>
  <c r="I188" i="23"/>
  <c r="J188" i="23"/>
  <c r="J190" i="23"/>
  <c r="I190" i="23"/>
  <c r="J209" i="23"/>
  <c r="I209" i="23"/>
  <c r="J196" i="23"/>
  <c r="I196" i="23"/>
  <c r="I235" i="23"/>
  <c r="J235" i="23"/>
  <c r="I233" i="23"/>
  <c r="J233" i="23"/>
  <c r="J211" i="23"/>
  <c r="I211" i="23"/>
  <c r="I273" i="23"/>
  <c r="J273" i="23"/>
  <c r="J308" i="23"/>
  <c r="I308" i="23"/>
  <c r="I326" i="23"/>
  <c r="J326" i="23"/>
  <c r="I369" i="23"/>
  <c r="J369" i="23"/>
  <c r="I316" i="23"/>
  <c r="J316" i="23"/>
  <c r="J179" i="23"/>
  <c r="I179" i="23"/>
  <c r="I373" i="23"/>
  <c r="J373" i="23"/>
  <c r="J334" i="23"/>
  <c r="I334" i="23"/>
  <c r="J267" i="23"/>
  <c r="I267" i="23"/>
  <c r="J118" i="23"/>
  <c r="I118" i="23"/>
  <c r="I248" i="23"/>
  <c r="J248" i="23"/>
  <c r="I359" i="23"/>
  <c r="J359" i="23"/>
  <c r="I276" i="23"/>
  <c r="J276" i="23"/>
  <c r="S378" i="24"/>
  <c r="R378" i="24" s="1"/>
  <c r="P378" i="24" s="1"/>
  <c r="V378" i="24" s="1"/>
  <c r="B378" i="24" s="1"/>
  <c r="S374" i="24"/>
  <c r="R374" i="24" s="1"/>
  <c r="P374" i="24" s="1"/>
  <c r="V374" i="24" s="1"/>
  <c r="B374" i="24" s="1"/>
  <c r="S370" i="24"/>
  <c r="R370" i="24" s="1"/>
  <c r="P370" i="24" s="1"/>
  <c r="V370" i="24" s="1"/>
  <c r="B370" i="24" s="1"/>
  <c r="S366" i="24"/>
  <c r="R366" i="24" s="1"/>
  <c r="P366" i="24" s="1"/>
  <c r="V366" i="24" s="1"/>
  <c r="B366" i="24" s="1"/>
  <c r="S362" i="24"/>
  <c r="R362" i="24" s="1"/>
  <c r="P362" i="24" s="1"/>
  <c r="V362" i="24" s="1"/>
  <c r="B362" i="24" s="1"/>
  <c r="S358" i="24"/>
  <c r="R358" i="24" s="1"/>
  <c r="P358" i="24" s="1"/>
  <c r="V358" i="24" s="1"/>
  <c r="B358" i="24" s="1"/>
  <c r="S354" i="24"/>
  <c r="R354" i="24" s="1"/>
  <c r="P354" i="24" s="1"/>
  <c r="V354" i="24" s="1"/>
  <c r="B354" i="24" s="1"/>
  <c r="S350" i="24"/>
  <c r="R350" i="24" s="1"/>
  <c r="P350" i="24" s="1"/>
  <c r="V350" i="24" s="1"/>
  <c r="B350" i="24" s="1"/>
  <c r="S346" i="24"/>
  <c r="R346" i="24" s="1"/>
  <c r="P346" i="24" s="1"/>
  <c r="V346" i="24" s="1"/>
  <c r="B346" i="24" s="1"/>
  <c r="S342" i="24"/>
  <c r="R342" i="24" s="1"/>
  <c r="P342" i="24" s="1"/>
  <c r="V342" i="24" s="1"/>
  <c r="B342" i="24" s="1"/>
  <c r="S338" i="24"/>
  <c r="R338" i="24" s="1"/>
  <c r="P338" i="24" s="1"/>
  <c r="V338" i="24" s="1"/>
  <c r="B338" i="24" s="1"/>
  <c r="S334" i="24"/>
  <c r="R334" i="24" s="1"/>
  <c r="P334" i="24" s="1"/>
  <c r="V334" i="24" s="1"/>
  <c r="B334" i="24" s="1"/>
  <c r="S330" i="24"/>
  <c r="R330" i="24" s="1"/>
  <c r="P330" i="24" s="1"/>
  <c r="V330" i="24" s="1"/>
  <c r="B330" i="24" s="1"/>
  <c r="S326" i="24"/>
  <c r="R326" i="24" s="1"/>
  <c r="P326" i="24" s="1"/>
  <c r="V326" i="24" s="1"/>
  <c r="B326" i="24" s="1"/>
  <c r="S322" i="24"/>
  <c r="R322" i="24" s="1"/>
  <c r="P322" i="24" s="1"/>
  <c r="V322" i="24" s="1"/>
  <c r="B322" i="24" s="1"/>
  <c r="S318" i="24"/>
  <c r="R318" i="24" s="1"/>
  <c r="P318" i="24" s="1"/>
  <c r="V318" i="24" s="1"/>
  <c r="B318" i="24" s="1"/>
  <c r="S314" i="24"/>
  <c r="R314" i="24" s="1"/>
  <c r="P314" i="24" s="1"/>
  <c r="V314" i="24" s="1"/>
  <c r="B314" i="24" s="1"/>
  <c r="S310" i="24"/>
  <c r="R310" i="24" s="1"/>
  <c r="P310" i="24" s="1"/>
  <c r="V310" i="24" s="1"/>
  <c r="B310" i="24" s="1"/>
  <c r="S306" i="24"/>
  <c r="R306" i="24" s="1"/>
  <c r="P306" i="24" s="1"/>
  <c r="V306" i="24" s="1"/>
  <c r="B306" i="24" s="1"/>
  <c r="S302" i="24"/>
  <c r="R302" i="24" s="1"/>
  <c r="P302" i="24" s="1"/>
  <c r="S298" i="24"/>
  <c r="R298" i="24" s="1"/>
  <c r="P298" i="24" s="1"/>
  <c r="V298" i="24" s="1"/>
  <c r="B298" i="24" s="1"/>
  <c r="S294" i="24"/>
  <c r="R294" i="24" s="1"/>
  <c r="P294" i="24" s="1"/>
  <c r="V294" i="24" s="1"/>
  <c r="B294" i="24" s="1"/>
  <c r="S290" i="24"/>
  <c r="R290" i="24" s="1"/>
  <c r="P290" i="24" s="1"/>
  <c r="V290" i="24" s="1"/>
  <c r="B290" i="24" s="1"/>
  <c r="S286" i="24"/>
  <c r="R286" i="24" s="1"/>
  <c r="P286" i="24" s="1"/>
  <c r="V286" i="24" s="1"/>
  <c r="B286" i="24" s="1"/>
  <c r="S282" i="24"/>
  <c r="R282" i="24" s="1"/>
  <c r="P282" i="24" s="1"/>
  <c r="V282" i="24" s="1"/>
  <c r="B282" i="24" s="1"/>
  <c r="S278" i="24"/>
  <c r="R278" i="24" s="1"/>
  <c r="P278" i="24" s="1"/>
  <c r="V278" i="24" s="1"/>
  <c r="B278" i="24" s="1"/>
  <c r="S274" i="24"/>
  <c r="R274" i="24" s="1"/>
  <c r="P274" i="24" s="1"/>
  <c r="V274" i="24" s="1"/>
  <c r="B274" i="24" s="1"/>
  <c r="S270" i="24"/>
  <c r="R270" i="24" s="1"/>
  <c r="P270" i="24" s="1"/>
  <c r="V270" i="24" s="1"/>
  <c r="B270" i="24" s="1"/>
  <c r="S266" i="24"/>
  <c r="R266" i="24" s="1"/>
  <c r="P266" i="24" s="1"/>
  <c r="V266" i="24" s="1"/>
  <c r="B266" i="24" s="1"/>
  <c r="S262" i="24"/>
  <c r="R262" i="24" s="1"/>
  <c r="P262" i="24" s="1"/>
  <c r="V262" i="24" s="1"/>
  <c r="B262" i="24" s="1"/>
  <c r="S258" i="24"/>
  <c r="R258" i="24" s="1"/>
  <c r="P258" i="24" s="1"/>
  <c r="V258" i="24" s="1"/>
  <c r="B258" i="24" s="1"/>
  <c r="S254" i="24"/>
  <c r="R254" i="24" s="1"/>
  <c r="P254" i="24" s="1"/>
  <c r="V254" i="24" s="1"/>
  <c r="B254" i="24" s="1"/>
  <c r="S250" i="24"/>
  <c r="R250" i="24" s="1"/>
  <c r="P250" i="24" s="1"/>
  <c r="V250" i="24" s="1"/>
  <c r="B250" i="24" s="1"/>
  <c r="S246" i="24"/>
  <c r="R246" i="24" s="1"/>
  <c r="P246" i="24" s="1"/>
  <c r="V246" i="24" s="1"/>
  <c r="B246" i="24" s="1"/>
  <c r="S242" i="24"/>
  <c r="R242" i="24" s="1"/>
  <c r="P242" i="24" s="1"/>
  <c r="V242" i="24" s="1"/>
  <c r="B242" i="24" s="1"/>
  <c r="S238" i="24"/>
  <c r="R238" i="24" s="1"/>
  <c r="P238" i="24" s="1"/>
  <c r="V238" i="24" s="1"/>
  <c r="B238" i="24" s="1"/>
  <c r="S234" i="24"/>
  <c r="R234" i="24" s="1"/>
  <c r="P234" i="24" s="1"/>
  <c r="V234" i="24" s="1"/>
  <c r="B234" i="24" s="1"/>
  <c r="S230" i="24"/>
  <c r="R230" i="24" s="1"/>
  <c r="P230" i="24" s="1"/>
  <c r="V230" i="24" s="1"/>
  <c r="B230" i="24" s="1"/>
  <c r="S226" i="24"/>
  <c r="R226" i="24" s="1"/>
  <c r="P226" i="24" s="1"/>
  <c r="V226" i="24" s="1"/>
  <c r="B226" i="24" s="1"/>
  <c r="S222" i="24"/>
  <c r="R222" i="24" s="1"/>
  <c r="P222" i="24" s="1"/>
  <c r="V222" i="24" s="1"/>
  <c r="B222" i="24" s="1"/>
  <c r="S218" i="24"/>
  <c r="R218" i="24" s="1"/>
  <c r="P218" i="24" s="1"/>
  <c r="V218" i="24" s="1"/>
  <c r="B218" i="24" s="1"/>
  <c r="S214" i="24"/>
  <c r="R214" i="24" s="1"/>
  <c r="P214" i="24" s="1"/>
  <c r="V214" i="24" s="1"/>
  <c r="B214" i="24" s="1"/>
  <c r="S210" i="24"/>
  <c r="R210" i="24" s="1"/>
  <c r="P210" i="24" s="1"/>
  <c r="S206" i="24"/>
  <c r="R206" i="24" s="1"/>
  <c r="P206" i="24" s="1"/>
  <c r="V206" i="24" s="1"/>
  <c r="B206" i="24" s="1"/>
  <c r="S202" i="24"/>
  <c r="R202" i="24" s="1"/>
  <c r="P202" i="24" s="1"/>
  <c r="V202" i="24" s="1"/>
  <c r="B202" i="24" s="1"/>
  <c r="S198" i="24"/>
  <c r="R198" i="24" s="1"/>
  <c r="P198" i="24" s="1"/>
  <c r="V198" i="24" s="1"/>
  <c r="B198" i="24" s="1"/>
  <c r="S194" i="24"/>
  <c r="R194" i="24" s="1"/>
  <c r="P194" i="24" s="1"/>
  <c r="V194" i="24" s="1"/>
  <c r="B194" i="24" s="1"/>
  <c r="S190" i="24"/>
  <c r="R190" i="24" s="1"/>
  <c r="P190" i="24" s="1"/>
  <c r="V190" i="24" s="1"/>
  <c r="B190" i="24" s="1"/>
  <c r="S186" i="24"/>
  <c r="R186" i="24" s="1"/>
  <c r="P186" i="24" s="1"/>
  <c r="V186" i="24" s="1"/>
  <c r="B186" i="24" s="1"/>
  <c r="S182" i="24"/>
  <c r="R182" i="24" s="1"/>
  <c r="P182" i="24" s="1"/>
  <c r="V182" i="24" s="1"/>
  <c r="B182" i="24" s="1"/>
  <c r="S178" i="24"/>
  <c r="R178" i="24" s="1"/>
  <c r="P178" i="24" s="1"/>
  <c r="V178" i="24" s="1"/>
  <c r="B178" i="24" s="1"/>
  <c r="S174" i="24"/>
  <c r="R174" i="24" s="1"/>
  <c r="P174" i="24" s="1"/>
  <c r="V174" i="24" s="1"/>
  <c r="B174" i="24" s="1"/>
  <c r="S170" i="24"/>
  <c r="R170" i="24" s="1"/>
  <c r="P170" i="24" s="1"/>
  <c r="V170" i="24" s="1"/>
  <c r="B170" i="24" s="1"/>
  <c r="S166" i="24"/>
  <c r="R166" i="24" s="1"/>
  <c r="P166" i="24" s="1"/>
  <c r="V166" i="24" s="1"/>
  <c r="B166" i="24" s="1"/>
  <c r="S162" i="24"/>
  <c r="R162" i="24" s="1"/>
  <c r="P162" i="24" s="1"/>
  <c r="V162" i="24" s="1"/>
  <c r="B162" i="24" s="1"/>
  <c r="S158" i="24"/>
  <c r="R158" i="24" s="1"/>
  <c r="P158" i="24" s="1"/>
  <c r="V158" i="24" s="1"/>
  <c r="B158" i="24" s="1"/>
  <c r="S154" i="24"/>
  <c r="R154" i="24" s="1"/>
  <c r="P154" i="24" s="1"/>
  <c r="V154" i="24" s="1"/>
  <c r="B154" i="24" s="1"/>
  <c r="S150" i="24"/>
  <c r="R150" i="24" s="1"/>
  <c r="P150" i="24" s="1"/>
  <c r="V150" i="24" s="1"/>
  <c r="B150" i="24" s="1"/>
  <c r="S146" i="24"/>
  <c r="R146" i="24" s="1"/>
  <c r="P146" i="24" s="1"/>
  <c r="V146" i="24" s="1"/>
  <c r="B146" i="24" s="1"/>
  <c r="S142" i="24"/>
  <c r="R142" i="24" s="1"/>
  <c r="P142" i="24" s="1"/>
  <c r="V142" i="24" s="1"/>
  <c r="B142" i="24" s="1"/>
  <c r="S138" i="24"/>
  <c r="R138" i="24" s="1"/>
  <c r="P138" i="24" s="1"/>
  <c r="V138" i="24" s="1"/>
  <c r="B138" i="24" s="1"/>
  <c r="S134" i="24"/>
  <c r="R134" i="24" s="1"/>
  <c r="P134" i="24" s="1"/>
  <c r="V134" i="24" s="1"/>
  <c r="B134" i="24" s="1"/>
  <c r="S130" i="24"/>
  <c r="R130" i="24" s="1"/>
  <c r="P130" i="24" s="1"/>
  <c r="V130" i="24" s="1"/>
  <c r="B130" i="24" s="1"/>
  <c r="S126" i="24"/>
  <c r="R126" i="24" s="1"/>
  <c r="P126" i="24" s="1"/>
  <c r="V126" i="24" s="1"/>
  <c r="B126" i="24" s="1"/>
  <c r="S122" i="24"/>
  <c r="R122" i="24" s="1"/>
  <c r="P122" i="24" s="1"/>
  <c r="V122" i="24" s="1"/>
  <c r="B122" i="24" s="1"/>
  <c r="S118" i="24"/>
  <c r="R118" i="24" s="1"/>
  <c r="P118" i="24" s="1"/>
  <c r="V118" i="24" s="1"/>
  <c r="B118" i="24" s="1"/>
  <c r="S114" i="24"/>
  <c r="R114" i="24" s="1"/>
  <c r="P114" i="24" s="1"/>
  <c r="V114" i="24" s="1"/>
  <c r="B114" i="24" s="1"/>
  <c r="S110" i="24"/>
  <c r="R110" i="24" s="1"/>
  <c r="P110" i="24" s="1"/>
  <c r="V110" i="24" s="1"/>
  <c r="B110" i="24" s="1"/>
  <c r="S106" i="24"/>
  <c r="R106" i="24" s="1"/>
  <c r="P106" i="24" s="1"/>
  <c r="V106" i="24" s="1"/>
  <c r="B106" i="24" s="1"/>
  <c r="S102" i="24"/>
  <c r="R102" i="24" s="1"/>
  <c r="P102" i="24" s="1"/>
  <c r="V102" i="24" s="1"/>
  <c r="B102" i="24" s="1"/>
  <c r="S98" i="24"/>
  <c r="R98" i="24" s="1"/>
  <c r="P98" i="24" s="1"/>
  <c r="V98" i="24" s="1"/>
  <c r="B98" i="24" s="1"/>
  <c r="S94" i="24"/>
  <c r="R94" i="24" s="1"/>
  <c r="P94" i="24" s="1"/>
  <c r="V94" i="24" s="1"/>
  <c r="B94" i="24" s="1"/>
  <c r="S90" i="24"/>
  <c r="R90" i="24" s="1"/>
  <c r="P90" i="24" s="1"/>
  <c r="V90" i="24" s="1"/>
  <c r="B90" i="24" s="1"/>
  <c r="S86" i="24"/>
  <c r="R86" i="24" s="1"/>
  <c r="P86" i="24" s="1"/>
  <c r="V86" i="24" s="1"/>
  <c r="B86" i="24" s="1"/>
  <c r="S82" i="24"/>
  <c r="R82" i="24" s="1"/>
  <c r="P82" i="24" s="1"/>
  <c r="V82" i="24" s="1"/>
  <c r="B82" i="24" s="1"/>
  <c r="S78" i="24"/>
  <c r="R78" i="24" s="1"/>
  <c r="P78" i="24" s="1"/>
  <c r="V78" i="24" s="1"/>
  <c r="B78" i="24" s="1"/>
  <c r="S74" i="24"/>
  <c r="R74" i="24" s="1"/>
  <c r="P74" i="24" s="1"/>
  <c r="V74" i="24" s="1"/>
  <c r="B74" i="24" s="1"/>
  <c r="S70" i="24"/>
  <c r="R70" i="24" s="1"/>
  <c r="P70" i="24" s="1"/>
  <c r="V70" i="24" s="1"/>
  <c r="B70" i="24" s="1"/>
  <c r="S66" i="24"/>
  <c r="R66" i="24" s="1"/>
  <c r="P66" i="24" s="1"/>
  <c r="V66" i="24" s="1"/>
  <c r="B66" i="24" s="1"/>
  <c r="S62" i="24"/>
  <c r="R62" i="24" s="1"/>
  <c r="P62" i="24" s="1"/>
  <c r="V62" i="24" s="1"/>
  <c r="B62" i="24" s="1"/>
  <c r="S58" i="24"/>
  <c r="R58" i="24" s="1"/>
  <c r="P58" i="24" s="1"/>
  <c r="V58" i="24" s="1"/>
  <c r="B58" i="24" s="1"/>
  <c r="S54" i="24"/>
  <c r="R54" i="24" s="1"/>
  <c r="P54" i="24" s="1"/>
  <c r="V54" i="24" s="1"/>
  <c r="B54" i="24" s="1"/>
  <c r="S50" i="24"/>
  <c r="R50" i="24" s="1"/>
  <c r="P50" i="24" s="1"/>
  <c r="V50" i="24" s="1"/>
  <c r="B50" i="24" s="1"/>
  <c r="S46" i="24"/>
  <c r="R46" i="24" s="1"/>
  <c r="P46" i="24" s="1"/>
  <c r="V46" i="24" s="1"/>
  <c r="B46" i="24" s="1"/>
  <c r="S42" i="24"/>
  <c r="R42" i="24" s="1"/>
  <c r="P42" i="24" s="1"/>
  <c r="V42" i="24" s="1"/>
  <c r="B42" i="24" s="1"/>
  <c r="S38" i="24"/>
  <c r="R38" i="24" s="1"/>
  <c r="P38" i="24" s="1"/>
  <c r="V38" i="24" s="1"/>
  <c r="B38" i="24" s="1"/>
  <c r="S34" i="24"/>
  <c r="R34" i="24" s="1"/>
  <c r="P34" i="24" s="1"/>
  <c r="V34" i="24" s="1"/>
  <c r="B34" i="24" s="1"/>
  <c r="S30" i="24"/>
  <c r="R30" i="24" s="1"/>
  <c r="P30" i="24" s="1"/>
  <c r="V30" i="24" s="1"/>
  <c r="B30" i="24" s="1"/>
  <c r="S26" i="24"/>
  <c r="R26" i="24" s="1"/>
  <c r="P26" i="24" s="1"/>
  <c r="V26" i="24" s="1"/>
  <c r="B26" i="24" s="1"/>
  <c r="S22" i="24"/>
  <c r="R22" i="24" s="1"/>
  <c r="P22" i="24" s="1"/>
  <c r="V22" i="24" s="1"/>
  <c r="B22" i="24" s="1"/>
  <c r="S17" i="24"/>
  <c r="R17" i="24" s="1"/>
  <c r="P17" i="24" s="1"/>
  <c r="V17" i="24" s="1"/>
  <c r="B17" i="24" s="1"/>
  <c r="I254" i="23"/>
  <c r="J254" i="23"/>
  <c r="I265" i="23"/>
  <c r="J265" i="23"/>
  <c r="I104" i="23"/>
  <c r="J104" i="23"/>
  <c r="I147" i="23"/>
  <c r="J147" i="23"/>
  <c r="J353" i="23"/>
  <c r="I353" i="23"/>
  <c r="I33" i="23"/>
  <c r="J33" i="23"/>
  <c r="AG379" i="24"/>
  <c r="AF379" i="24" s="1"/>
  <c r="AD379" i="24" s="1"/>
  <c r="AG18" i="24"/>
  <c r="AF18" i="24" s="1"/>
  <c r="AD18" i="24" s="1"/>
  <c r="D272" i="23"/>
  <c r="E272" i="23" s="1"/>
  <c r="F272" i="23" s="1"/>
  <c r="W272" i="23"/>
  <c r="J142" i="23"/>
  <c r="I142" i="23"/>
  <c r="J350" i="23"/>
  <c r="I350" i="23"/>
  <c r="I36" i="23"/>
  <c r="J36" i="23"/>
  <c r="J263" i="23"/>
  <c r="I263" i="23"/>
  <c r="I105" i="23"/>
  <c r="J105" i="23"/>
  <c r="I242" i="23"/>
  <c r="J242" i="23"/>
  <c r="J121" i="23"/>
  <c r="I121" i="23"/>
  <c r="I124" i="23"/>
  <c r="J124" i="23"/>
  <c r="BE16" i="7"/>
  <c r="S379" i="24"/>
  <c r="R379" i="24" s="1"/>
  <c r="P379" i="24" s="1"/>
  <c r="S375" i="24"/>
  <c r="R375" i="24" s="1"/>
  <c r="P375" i="24" s="1"/>
  <c r="V375" i="24" s="1"/>
  <c r="B375" i="24" s="1"/>
  <c r="S371" i="24"/>
  <c r="R371" i="24" s="1"/>
  <c r="P371" i="24" s="1"/>
  <c r="V371" i="24" s="1"/>
  <c r="B371" i="24" s="1"/>
  <c r="S367" i="24"/>
  <c r="R367" i="24" s="1"/>
  <c r="P367" i="24" s="1"/>
  <c r="V367" i="24" s="1"/>
  <c r="B367" i="24" s="1"/>
  <c r="S363" i="24"/>
  <c r="R363" i="24" s="1"/>
  <c r="P363" i="24" s="1"/>
  <c r="S359" i="24"/>
  <c r="R359" i="24" s="1"/>
  <c r="P359" i="24" s="1"/>
  <c r="V359" i="24" s="1"/>
  <c r="B359" i="24" s="1"/>
  <c r="S355" i="24"/>
  <c r="R355" i="24" s="1"/>
  <c r="P355" i="24" s="1"/>
  <c r="V355" i="24" s="1"/>
  <c r="B355" i="24" s="1"/>
  <c r="S351" i="24"/>
  <c r="R351" i="24" s="1"/>
  <c r="P351" i="24" s="1"/>
  <c r="V351" i="24" s="1"/>
  <c r="B351" i="24" s="1"/>
  <c r="S347" i="24"/>
  <c r="R347" i="24" s="1"/>
  <c r="P347" i="24" s="1"/>
  <c r="V347" i="24" s="1"/>
  <c r="B347" i="24" s="1"/>
  <c r="S343" i="24"/>
  <c r="R343" i="24" s="1"/>
  <c r="P343" i="24" s="1"/>
  <c r="V343" i="24" s="1"/>
  <c r="B343" i="24" s="1"/>
  <c r="S339" i="24"/>
  <c r="R339" i="24" s="1"/>
  <c r="P339" i="24" s="1"/>
  <c r="V339" i="24" s="1"/>
  <c r="B339" i="24" s="1"/>
  <c r="S335" i="24"/>
  <c r="R335" i="24" s="1"/>
  <c r="P335" i="24" s="1"/>
  <c r="V335" i="24" s="1"/>
  <c r="B335" i="24" s="1"/>
  <c r="S331" i="24"/>
  <c r="R331" i="24" s="1"/>
  <c r="P331" i="24" s="1"/>
  <c r="V331" i="24" s="1"/>
  <c r="B331" i="24" s="1"/>
  <c r="S327" i="24"/>
  <c r="R327" i="24" s="1"/>
  <c r="P327" i="24" s="1"/>
  <c r="V327" i="24" s="1"/>
  <c r="B327" i="24" s="1"/>
  <c r="S323" i="24"/>
  <c r="R323" i="24" s="1"/>
  <c r="P323" i="24" s="1"/>
  <c r="V323" i="24" s="1"/>
  <c r="B323" i="24" s="1"/>
  <c r="S319" i="24"/>
  <c r="R319" i="24" s="1"/>
  <c r="P319" i="24" s="1"/>
  <c r="V319" i="24" s="1"/>
  <c r="S315" i="24"/>
  <c r="R315" i="24" s="1"/>
  <c r="P315" i="24" s="1"/>
  <c r="V315" i="24" s="1"/>
  <c r="B315" i="24" s="1"/>
  <c r="S311" i="24"/>
  <c r="R311" i="24" s="1"/>
  <c r="P311" i="24" s="1"/>
  <c r="V311" i="24" s="1"/>
  <c r="B311" i="24" s="1"/>
  <c r="S307" i="24"/>
  <c r="R307" i="24" s="1"/>
  <c r="P307" i="24" s="1"/>
  <c r="V307" i="24" s="1"/>
  <c r="B307" i="24" s="1"/>
  <c r="S303" i="24"/>
  <c r="R303" i="24" s="1"/>
  <c r="P303" i="24" s="1"/>
  <c r="V303" i="24" s="1"/>
  <c r="B303" i="24" s="1"/>
  <c r="S299" i="24"/>
  <c r="R299" i="24" s="1"/>
  <c r="P299" i="24" s="1"/>
  <c r="V299" i="24" s="1"/>
  <c r="B299" i="24" s="1"/>
  <c r="S295" i="24"/>
  <c r="R295" i="24" s="1"/>
  <c r="P295" i="24" s="1"/>
  <c r="V295" i="24" s="1"/>
  <c r="B295" i="24" s="1"/>
  <c r="S291" i="24"/>
  <c r="R291" i="24" s="1"/>
  <c r="P291" i="24" s="1"/>
  <c r="V291" i="24" s="1"/>
  <c r="B291" i="24" s="1"/>
  <c r="S287" i="24"/>
  <c r="R287" i="24" s="1"/>
  <c r="P287" i="24" s="1"/>
  <c r="V287" i="24" s="1"/>
  <c r="B287" i="24" s="1"/>
  <c r="S283" i="24"/>
  <c r="R283" i="24" s="1"/>
  <c r="P283" i="24" s="1"/>
  <c r="V283" i="24" s="1"/>
  <c r="B283" i="24" s="1"/>
  <c r="S279" i="24"/>
  <c r="R279" i="24" s="1"/>
  <c r="P279" i="24" s="1"/>
  <c r="V279" i="24" s="1"/>
  <c r="B279" i="24" s="1"/>
  <c r="S275" i="24"/>
  <c r="R275" i="24" s="1"/>
  <c r="P275" i="24" s="1"/>
  <c r="V275" i="24" s="1"/>
  <c r="B275" i="24" s="1"/>
  <c r="S271" i="24"/>
  <c r="R271" i="24" s="1"/>
  <c r="P271" i="24" s="1"/>
  <c r="V271" i="24" s="1"/>
  <c r="B271" i="24" s="1"/>
  <c r="S267" i="24"/>
  <c r="R267" i="24" s="1"/>
  <c r="P267" i="24" s="1"/>
  <c r="V267" i="24" s="1"/>
  <c r="B267" i="24" s="1"/>
  <c r="S263" i="24"/>
  <c r="R263" i="24" s="1"/>
  <c r="P263" i="24" s="1"/>
  <c r="V263" i="24" s="1"/>
  <c r="B263" i="24" s="1"/>
  <c r="S259" i="24"/>
  <c r="R259" i="24" s="1"/>
  <c r="P259" i="24" s="1"/>
  <c r="V259" i="24" s="1"/>
  <c r="B259" i="24" s="1"/>
  <c r="S255" i="24"/>
  <c r="R255" i="24" s="1"/>
  <c r="P255" i="24" s="1"/>
  <c r="V255" i="24" s="1"/>
  <c r="B255" i="24" s="1"/>
  <c r="S251" i="24"/>
  <c r="R251" i="24" s="1"/>
  <c r="P251" i="24" s="1"/>
  <c r="V251" i="24" s="1"/>
  <c r="B251" i="24" s="1"/>
  <c r="S247" i="24"/>
  <c r="R247" i="24" s="1"/>
  <c r="P247" i="24" s="1"/>
  <c r="V247" i="24" s="1"/>
  <c r="B247" i="24" s="1"/>
  <c r="S243" i="24"/>
  <c r="R243" i="24" s="1"/>
  <c r="P243" i="24" s="1"/>
  <c r="V243" i="24" s="1"/>
  <c r="B243" i="24" s="1"/>
  <c r="S239" i="24"/>
  <c r="R239" i="24" s="1"/>
  <c r="P239" i="24" s="1"/>
  <c r="V239" i="24" s="1"/>
  <c r="B239" i="24" s="1"/>
  <c r="S235" i="24"/>
  <c r="R235" i="24" s="1"/>
  <c r="P235" i="24" s="1"/>
  <c r="V235" i="24" s="1"/>
  <c r="B235" i="24" s="1"/>
  <c r="S231" i="24"/>
  <c r="R231" i="24" s="1"/>
  <c r="P231" i="24" s="1"/>
  <c r="V231" i="24" s="1"/>
  <c r="B231" i="24" s="1"/>
  <c r="S227" i="24"/>
  <c r="R227" i="24" s="1"/>
  <c r="P227" i="24" s="1"/>
  <c r="V227" i="24" s="1"/>
  <c r="B227" i="24" s="1"/>
  <c r="S223" i="24"/>
  <c r="R223" i="24" s="1"/>
  <c r="P223" i="24" s="1"/>
  <c r="V223" i="24" s="1"/>
  <c r="B223" i="24" s="1"/>
  <c r="S219" i="24"/>
  <c r="R219" i="24" s="1"/>
  <c r="P219" i="24" s="1"/>
  <c r="V219" i="24" s="1"/>
  <c r="B219" i="24" s="1"/>
  <c r="S215" i="24"/>
  <c r="R215" i="24" s="1"/>
  <c r="P215" i="24" s="1"/>
  <c r="V215" i="24" s="1"/>
  <c r="B215" i="24" s="1"/>
  <c r="S211" i="24"/>
  <c r="R211" i="24" s="1"/>
  <c r="P211" i="24" s="1"/>
  <c r="V211" i="24" s="1"/>
  <c r="B211" i="24" s="1"/>
  <c r="S207" i="24"/>
  <c r="R207" i="24" s="1"/>
  <c r="P207" i="24" s="1"/>
  <c r="V207" i="24" s="1"/>
  <c r="B207" i="24" s="1"/>
  <c r="S203" i="24"/>
  <c r="R203" i="24" s="1"/>
  <c r="P203" i="24" s="1"/>
  <c r="V203" i="24" s="1"/>
  <c r="B203" i="24" s="1"/>
  <c r="S199" i="24"/>
  <c r="R199" i="24" s="1"/>
  <c r="P199" i="24" s="1"/>
  <c r="V199" i="24" s="1"/>
  <c r="B199" i="24" s="1"/>
  <c r="S195" i="24"/>
  <c r="R195" i="24" s="1"/>
  <c r="P195" i="24" s="1"/>
  <c r="V195" i="24" s="1"/>
  <c r="B195" i="24" s="1"/>
  <c r="S191" i="24"/>
  <c r="R191" i="24" s="1"/>
  <c r="P191" i="24" s="1"/>
  <c r="V191" i="24" s="1"/>
  <c r="B191" i="24" s="1"/>
  <c r="S187" i="24"/>
  <c r="R187" i="24" s="1"/>
  <c r="P187" i="24" s="1"/>
  <c r="V187" i="24" s="1"/>
  <c r="B187" i="24" s="1"/>
  <c r="S183" i="24"/>
  <c r="R183" i="24" s="1"/>
  <c r="P183" i="24" s="1"/>
  <c r="V183" i="24" s="1"/>
  <c r="B183" i="24" s="1"/>
  <c r="S179" i="24"/>
  <c r="R179" i="24" s="1"/>
  <c r="P179" i="24" s="1"/>
  <c r="V179" i="24" s="1"/>
  <c r="B179" i="24" s="1"/>
  <c r="S175" i="24"/>
  <c r="R175" i="24" s="1"/>
  <c r="P175" i="24" s="1"/>
  <c r="V175" i="24" s="1"/>
  <c r="B175" i="24" s="1"/>
  <c r="S171" i="24"/>
  <c r="R171" i="24" s="1"/>
  <c r="P171" i="24" s="1"/>
  <c r="V171" i="24" s="1"/>
  <c r="B171" i="24" s="1"/>
  <c r="S167" i="24"/>
  <c r="R167" i="24" s="1"/>
  <c r="P167" i="24" s="1"/>
  <c r="V167" i="24" s="1"/>
  <c r="B167" i="24" s="1"/>
  <c r="S163" i="24"/>
  <c r="R163" i="24" s="1"/>
  <c r="P163" i="24" s="1"/>
  <c r="V163" i="24" s="1"/>
  <c r="B163" i="24" s="1"/>
  <c r="S159" i="24"/>
  <c r="R159" i="24" s="1"/>
  <c r="P159" i="24" s="1"/>
  <c r="V159" i="24" s="1"/>
  <c r="B159" i="24" s="1"/>
  <c r="S155" i="24"/>
  <c r="R155" i="24" s="1"/>
  <c r="P155" i="24" s="1"/>
  <c r="V155" i="24" s="1"/>
  <c r="B155" i="24" s="1"/>
  <c r="S151" i="24"/>
  <c r="R151" i="24" s="1"/>
  <c r="P151" i="24" s="1"/>
  <c r="V151" i="24" s="1"/>
  <c r="B151" i="24" s="1"/>
  <c r="S147" i="24"/>
  <c r="R147" i="24" s="1"/>
  <c r="P147" i="24" s="1"/>
  <c r="V147" i="24" s="1"/>
  <c r="B147" i="24" s="1"/>
  <c r="S143" i="24"/>
  <c r="R143" i="24" s="1"/>
  <c r="P143" i="24" s="1"/>
  <c r="V143" i="24" s="1"/>
  <c r="B143" i="24" s="1"/>
  <c r="S139" i="24"/>
  <c r="R139" i="24" s="1"/>
  <c r="P139" i="24" s="1"/>
  <c r="V139" i="24" s="1"/>
  <c r="B139" i="24" s="1"/>
  <c r="S135" i="24"/>
  <c r="R135" i="24" s="1"/>
  <c r="P135" i="24" s="1"/>
  <c r="V135" i="24" s="1"/>
  <c r="B135" i="24" s="1"/>
  <c r="S131" i="24"/>
  <c r="R131" i="24" s="1"/>
  <c r="P131" i="24" s="1"/>
  <c r="V131" i="24" s="1"/>
  <c r="B131" i="24" s="1"/>
  <c r="S127" i="24"/>
  <c r="R127" i="24" s="1"/>
  <c r="P127" i="24" s="1"/>
  <c r="V127" i="24" s="1"/>
  <c r="B127" i="24" s="1"/>
  <c r="S123" i="24"/>
  <c r="R123" i="24" s="1"/>
  <c r="P123" i="24" s="1"/>
  <c r="V123" i="24" s="1"/>
  <c r="B123" i="24" s="1"/>
  <c r="S119" i="24"/>
  <c r="R119" i="24" s="1"/>
  <c r="P119" i="24" s="1"/>
  <c r="S115" i="24"/>
  <c r="R115" i="24" s="1"/>
  <c r="P115" i="24" s="1"/>
  <c r="V115" i="24" s="1"/>
  <c r="B115" i="24" s="1"/>
  <c r="S111" i="24"/>
  <c r="R111" i="24" s="1"/>
  <c r="P111" i="24" s="1"/>
  <c r="V111" i="24" s="1"/>
  <c r="B111" i="24" s="1"/>
  <c r="S107" i="24"/>
  <c r="R107" i="24" s="1"/>
  <c r="P107" i="24" s="1"/>
  <c r="V107" i="24" s="1"/>
  <c r="B107" i="24" s="1"/>
  <c r="S103" i="24"/>
  <c r="R103" i="24" s="1"/>
  <c r="P103" i="24" s="1"/>
  <c r="V103" i="24" s="1"/>
  <c r="B103" i="24" s="1"/>
  <c r="S99" i="24"/>
  <c r="R99" i="24" s="1"/>
  <c r="P99" i="24" s="1"/>
  <c r="V99" i="24" s="1"/>
  <c r="B99" i="24" s="1"/>
  <c r="S95" i="24"/>
  <c r="R95" i="24" s="1"/>
  <c r="P95" i="24" s="1"/>
  <c r="V95" i="24" s="1"/>
  <c r="B95" i="24" s="1"/>
  <c r="S91" i="24"/>
  <c r="R91" i="24" s="1"/>
  <c r="P91" i="24" s="1"/>
  <c r="V91" i="24" s="1"/>
  <c r="B91" i="24" s="1"/>
  <c r="S87" i="24"/>
  <c r="R87" i="24" s="1"/>
  <c r="P87" i="24" s="1"/>
  <c r="V87" i="24" s="1"/>
  <c r="B87" i="24" s="1"/>
  <c r="S83" i="24"/>
  <c r="R83" i="24" s="1"/>
  <c r="P83" i="24" s="1"/>
  <c r="V83" i="24" s="1"/>
  <c r="B83" i="24" s="1"/>
  <c r="S79" i="24"/>
  <c r="R79" i="24" s="1"/>
  <c r="P79" i="24" s="1"/>
  <c r="V79" i="24" s="1"/>
  <c r="B79" i="24" s="1"/>
  <c r="S75" i="24"/>
  <c r="R75" i="24" s="1"/>
  <c r="P75" i="24" s="1"/>
  <c r="V75" i="24" s="1"/>
  <c r="B75" i="24" s="1"/>
  <c r="S71" i="24"/>
  <c r="R71" i="24" s="1"/>
  <c r="P71" i="24" s="1"/>
  <c r="V71" i="24" s="1"/>
  <c r="B71" i="24" s="1"/>
  <c r="S67" i="24"/>
  <c r="R67" i="24" s="1"/>
  <c r="P67" i="24" s="1"/>
  <c r="V67" i="24" s="1"/>
  <c r="B67" i="24" s="1"/>
  <c r="S63" i="24"/>
  <c r="R63" i="24" s="1"/>
  <c r="P63" i="24" s="1"/>
  <c r="V63" i="24" s="1"/>
  <c r="B63" i="24" s="1"/>
  <c r="S59" i="24"/>
  <c r="R59" i="24" s="1"/>
  <c r="P59" i="24" s="1"/>
  <c r="V59" i="24" s="1"/>
  <c r="B59" i="24" s="1"/>
  <c r="S55" i="24"/>
  <c r="R55" i="24" s="1"/>
  <c r="P55" i="24" s="1"/>
  <c r="V55" i="24" s="1"/>
  <c r="B55" i="24" s="1"/>
  <c r="S51" i="24"/>
  <c r="R51" i="24" s="1"/>
  <c r="P51" i="24" s="1"/>
  <c r="V51" i="24" s="1"/>
  <c r="B51" i="24" s="1"/>
  <c r="S47" i="24"/>
  <c r="R47" i="24" s="1"/>
  <c r="P47" i="24" s="1"/>
  <c r="V47" i="24" s="1"/>
  <c r="B47" i="24" s="1"/>
  <c r="S43" i="24"/>
  <c r="R43" i="24" s="1"/>
  <c r="P43" i="24" s="1"/>
  <c r="V43" i="24" s="1"/>
  <c r="B43" i="24" s="1"/>
  <c r="S39" i="24"/>
  <c r="R39" i="24" s="1"/>
  <c r="P39" i="24" s="1"/>
  <c r="V39" i="24" s="1"/>
  <c r="B39" i="24" s="1"/>
  <c r="S35" i="24"/>
  <c r="R35" i="24" s="1"/>
  <c r="P35" i="24" s="1"/>
  <c r="V35" i="24" s="1"/>
  <c r="B35" i="24" s="1"/>
  <c r="S31" i="24"/>
  <c r="R31" i="24" s="1"/>
  <c r="P31" i="24" s="1"/>
  <c r="V31" i="24" s="1"/>
  <c r="B31" i="24" s="1"/>
  <c r="S27" i="24"/>
  <c r="R27" i="24" s="1"/>
  <c r="P27" i="24" s="1"/>
  <c r="V27" i="24" s="1"/>
  <c r="B27" i="24" s="1"/>
  <c r="S23" i="24"/>
  <c r="R23" i="24" s="1"/>
  <c r="P23" i="24" s="1"/>
  <c r="V23" i="24" s="1"/>
  <c r="B23" i="24" s="1"/>
  <c r="S16" i="24"/>
  <c r="R16" i="24" s="1"/>
  <c r="P16" i="24" s="1"/>
  <c r="V16" i="24" s="1"/>
  <c r="B16" i="24" s="1"/>
  <c r="S18" i="24"/>
  <c r="R18" i="24" s="1"/>
  <c r="P18" i="24" s="1"/>
  <c r="V18" i="24" s="1"/>
  <c r="B18" i="24" s="1"/>
  <c r="I355" i="23"/>
  <c r="J355" i="23"/>
  <c r="J351" i="23"/>
  <c r="I351" i="23"/>
  <c r="G349" i="23"/>
  <c r="CD349" i="6" s="1"/>
  <c r="AA349" i="23"/>
  <c r="Z349" i="23" s="1"/>
  <c r="Y349" i="23" s="1"/>
  <c r="J337" i="23"/>
  <c r="I337" i="23"/>
  <c r="H319" i="23"/>
  <c r="G319" i="23"/>
  <c r="CD319" i="6" s="1"/>
  <c r="AA319" i="23"/>
  <c r="Z319" i="23" s="1"/>
  <c r="Y319" i="23" s="1"/>
  <c r="J305" i="23"/>
  <c r="I305" i="23"/>
  <c r="I303" i="23"/>
  <c r="J303" i="23"/>
  <c r="J217" i="23"/>
  <c r="I217" i="23"/>
  <c r="I199" i="23"/>
  <c r="J199" i="23"/>
  <c r="J193" i="23"/>
  <c r="I193" i="23"/>
  <c r="J191" i="23"/>
  <c r="I191" i="23"/>
  <c r="J362" i="23"/>
  <c r="I362" i="23"/>
  <c r="I376" i="23"/>
  <c r="J376" i="23"/>
  <c r="I108" i="23"/>
  <c r="J108" i="23"/>
  <c r="AG378" i="24"/>
  <c r="AF378" i="24" s="1"/>
  <c r="AD378" i="24" s="1"/>
  <c r="AG374" i="24"/>
  <c r="AF374" i="24" s="1"/>
  <c r="AD374" i="24" s="1"/>
  <c r="AG370" i="24"/>
  <c r="AF370" i="24" s="1"/>
  <c r="AD370" i="24" s="1"/>
  <c r="AG366" i="24"/>
  <c r="AF366" i="24" s="1"/>
  <c r="AD366" i="24" s="1"/>
  <c r="AG362" i="24"/>
  <c r="AF362" i="24" s="1"/>
  <c r="AD362" i="24" s="1"/>
  <c r="AG358" i="24"/>
  <c r="AF358" i="24" s="1"/>
  <c r="AD358" i="24" s="1"/>
  <c r="AG354" i="24"/>
  <c r="AF354" i="24" s="1"/>
  <c r="AD354" i="24" s="1"/>
  <c r="AG350" i="24"/>
  <c r="AF350" i="24" s="1"/>
  <c r="AD350" i="24" s="1"/>
  <c r="AG346" i="24"/>
  <c r="AF346" i="24" s="1"/>
  <c r="AD346" i="24" s="1"/>
  <c r="AG342" i="24"/>
  <c r="AF342" i="24" s="1"/>
  <c r="AD342" i="24" s="1"/>
  <c r="AG338" i="24"/>
  <c r="AF338" i="24" s="1"/>
  <c r="AD338" i="24" s="1"/>
  <c r="AG334" i="24"/>
  <c r="AF334" i="24" s="1"/>
  <c r="AD334" i="24" s="1"/>
  <c r="AG330" i="24"/>
  <c r="AF330" i="24" s="1"/>
  <c r="AD330" i="24" s="1"/>
  <c r="AG326" i="24"/>
  <c r="AF326" i="24" s="1"/>
  <c r="AD326" i="24" s="1"/>
  <c r="AG322" i="24"/>
  <c r="AF322" i="24" s="1"/>
  <c r="AD322" i="24" s="1"/>
  <c r="AG318" i="24"/>
  <c r="AF318" i="24" s="1"/>
  <c r="AD318" i="24" s="1"/>
  <c r="AG314" i="24"/>
  <c r="AF314" i="24" s="1"/>
  <c r="AD314" i="24" s="1"/>
  <c r="AG310" i="24"/>
  <c r="AF310" i="24" s="1"/>
  <c r="AD310" i="24" s="1"/>
  <c r="AG306" i="24"/>
  <c r="AF306" i="24" s="1"/>
  <c r="AD306" i="24" s="1"/>
  <c r="AG302" i="24"/>
  <c r="AF302" i="24" s="1"/>
  <c r="AD302" i="24" s="1"/>
  <c r="AG298" i="24"/>
  <c r="AF298" i="24" s="1"/>
  <c r="AD298" i="24" s="1"/>
  <c r="AG294" i="24"/>
  <c r="AF294" i="24" s="1"/>
  <c r="AD294" i="24" s="1"/>
  <c r="AG290" i="24"/>
  <c r="AF290" i="24" s="1"/>
  <c r="AD290" i="24" s="1"/>
  <c r="AG286" i="24"/>
  <c r="AF286" i="24" s="1"/>
  <c r="AD286" i="24" s="1"/>
  <c r="AG282" i="24"/>
  <c r="AF282" i="24" s="1"/>
  <c r="AD282" i="24" s="1"/>
  <c r="AG278" i="24"/>
  <c r="AF278" i="24" s="1"/>
  <c r="AD278" i="24" s="1"/>
  <c r="AG274" i="24"/>
  <c r="AF274" i="24" s="1"/>
  <c r="AD274" i="24" s="1"/>
  <c r="AG270" i="24"/>
  <c r="AF270" i="24" s="1"/>
  <c r="AD270" i="24" s="1"/>
  <c r="AG266" i="24"/>
  <c r="AF266" i="24" s="1"/>
  <c r="AD266" i="24" s="1"/>
  <c r="AG262" i="24"/>
  <c r="AF262" i="24" s="1"/>
  <c r="AD262" i="24" s="1"/>
  <c r="AG258" i="24"/>
  <c r="AF258" i="24" s="1"/>
  <c r="AD258" i="24" s="1"/>
  <c r="AG254" i="24"/>
  <c r="AF254" i="24" s="1"/>
  <c r="AD254" i="24" s="1"/>
  <c r="AG250" i="24"/>
  <c r="AF250" i="24" s="1"/>
  <c r="AD250" i="24" s="1"/>
  <c r="AG246" i="24"/>
  <c r="AF246" i="24" s="1"/>
  <c r="AD246" i="24" s="1"/>
  <c r="AG242" i="24"/>
  <c r="AF242" i="24" s="1"/>
  <c r="AD242" i="24" s="1"/>
  <c r="AG238" i="24"/>
  <c r="AF238" i="24" s="1"/>
  <c r="AD238" i="24" s="1"/>
  <c r="AG234" i="24"/>
  <c r="AF234" i="24" s="1"/>
  <c r="AD234" i="24" s="1"/>
  <c r="AG230" i="24"/>
  <c r="AF230" i="24" s="1"/>
  <c r="AD230" i="24" s="1"/>
  <c r="AG226" i="24"/>
  <c r="AF226" i="24" s="1"/>
  <c r="AD226" i="24" s="1"/>
  <c r="AG222" i="24"/>
  <c r="AF222" i="24" s="1"/>
  <c r="AD222" i="24" s="1"/>
  <c r="AG218" i="24"/>
  <c r="AF218" i="24" s="1"/>
  <c r="AD218" i="24" s="1"/>
  <c r="AG214" i="24"/>
  <c r="AF214" i="24" s="1"/>
  <c r="AD214" i="24" s="1"/>
  <c r="AG210" i="24"/>
  <c r="AF210" i="24" s="1"/>
  <c r="AD210" i="24" s="1"/>
  <c r="AG206" i="24"/>
  <c r="AF206" i="24" s="1"/>
  <c r="AD206" i="24" s="1"/>
  <c r="AG202" i="24"/>
  <c r="AF202" i="24" s="1"/>
  <c r="AD202" i="24" s="1"/>
  <c r="AG198" i="24"/>
  <c r="AF198" i="24" s="1"/>
  <c r="AD198" i="24" s="1"/>
  <c r="AG194" i="24"/>
  <c r="AF194" i="24" s="1"/>
  <c r="AD194" i="24" s="1"/>
  <c r="AG190" i="24"/>
  <c r="AF190" i="24" s="1"/>
  <c r="AD190" i="24" s="1"/>
  <c r="AG186" i="24"/>
  <c r="AF186" i="24" s="1"/>
  <c r="AD186" i="24" s="1"/>
  <c r="AG182" i="24"/>
  <c r="AF182" i="24" s="1"/>
  <c r="AD182" i="24" s="1"/>
  <c r="AG178" i="24"/>
  <c r="AF178" i="24" s="1"/>
  <c r="AD178" i="24" s="1"/>
  <c r="AG174" i="24"/>
  <c r="AF174" i="24" s="1"/>
  <c r="AD174" i="24" s="1"/>
  <c r="AG170" i="24"/>
  <c r="AF170" i="24" s="1"/>
  <c r="AD170" i="24" s="1"/>
  <c r="AG166" i="24"/>
  <c r="AF166" i="24" s="1"/>
  <c r="AD166" i="24" s="1"/>
  <c r="AG162" i="24"/>
  <c r="AF162" i="24" s="1"/>
  <c r="AD162" i="24" s="1"/>
  <c r="AG158" i="24"/>
  <c r="AF158" i="24" s="1"/>
  <c r="AD158" i="24" s="1"/>
  <c r="AG154" i="24"/>
  <c r="AF154" i="24" s="1"/>
  <c r="AD154" i="24" s="1"/>
  <c r="AG150" i="24"/>
  <c r="AF150" i="24" s="1"/>
  <c r="AD150" i="24" s="1"/>
  <c r="AG146" i="24"/>
  <c r="AF146" i="24" s="1"/>
  <c r="AD146" i="24" s="1"/>
  <c r="AG142" i="24"/>
  <c r="AF142" i="24" s="1"/>
  <c r="AD142" i="24" s="1"/>
  <c r="AG138" i="24"/>
  <c r="AF138" i="24" s="1"/>
  <c r="AD138" i="24" s="1"/>
  <c r="AG134" i="24"/>
  <c r="AF134" i="24" s="1"/>
  <c r="AD134" i="24" s="1"/>
  <c r="AG130" i="24"/>
  <c r="AF130" i="24" s="1"/>
  <c r="AD130" i="24" s="1"/>
  <c r="AG126" i="24"/>
  <c r="AF126" i="24" s="1"/>
  <c r="AD126" i="24" s="1"/>
  <c r="AG122" i="24"/>
  <c r="AF122" i="24" s="1"/>
  <c r="AD122" i="24" s="1"/>
  <c r="AG118" i="24"/>
  <c r="AF118" i="24" s="1"/>
  <c r="AD118" i="24" s="1"/>
  <c r="AG114" i="24"/>
  <c r="AF114" i="24" s="1"/>
  <c r="AD114" i="24" s="1"/>
  <c r="AG110" i="24"/>
  <c r="AF110" i="24" s="1"/>
  <c r="AD110" i="24" s="1"/>
  <c r="AG106" i="24"/>
  <c r="AF106" i="24" s="1"/>
  <c r="AD106" i="24" s="1"/>
  <c r="AG102" i="24"/>
  <c r="AF102" i="24" s="1"/>
  <c r="AD102" i="24" s="1"/>
  <c r="AG98" i="24"/>
  <c r="AF98" i="24" s="1"/>
  <c r="AD98" i="24" s="1"/>
  <c r="AG94" i="24"/>
  <c r="AF94" i="24" s="1"/>
  <c r="AD94" i="24" s="1"/>
  <c r="AG90" i="24"/>
  <c r="AF90" i="24" s="1"/>
  <c r="AD90" i="24" s="1"/>
  <c r="AG86" i="24"/>
  <c r="AF86" i="24" s="1"/>
  <c r="AD86" i="24" s="1"/>
  <c r="AG82" i="24"/>
  <c r="AF82" i="24" s="1"/>
  <c r="AD82" i="24" s="1"/>
  <c r="AG78" i="24"/>
  <c r="AF78" i="24" s="1"/>
  <c r="AD78" i="24" s="1"/>
  <c r="AG74" i="24"/>
  <c r="AF74" i="24" s="1"/>
  <c r="AD74" i="24" s="1"/>
  <c r="AG70" i="24"/>
  <c r="AF70" i="24" s="1"/>
  <c r="AD70" i="24" s="1"/>
  <c r="AG66" i="24"/>
  <c r="AF66" i="24" s="1"/>
  <c r="AD66" i="24" s="1"/>
  <c r="AG62" i="24"/>
  <c r="AF62" i="24" s="1"/>
  <c r="AD62" i="24" s="1"/>
  <c r="AG58" i="24"/>
  <c r="AF58" i="24" s="1"/>
  <c r="AD58" i="24" s="1"/>
  <c r="AG54" i="24"/>
  <c r="AF54" i="24" s="1"/>
  <c r="AD54" i="24" s="1"/>
  <c r="AG50" i="24"/>
  <c r="AF50" i="24" s="1"/>
  <c r="AD50" i="24" s="1"/>
  <c r="AG46" i="24"/>
  <c r="AF46" i="24" s="1"/>
  <c r="AD46" i="24" s="1"/>
  <c r="AG42" i="24"/>
  <c r="AF42" i="24" s="1"/>
  <c r="AD42" i="24" s="1"/>
  <c r="AG38" i="24"/>
  <c r="AF38" i="24" s="1"/>
  <c r="AD38" i="24" s="1"/>
  <c r="AG34" i="24"/>
  <c r="AF34" i="24" s="1"/>
  <c r="AD34" i="24" s="1"/>
  <c r="AG30" i="24"/>
  <c r="AF30" i="24" s="1"/>
  <c r="AD30" i="24" s="1"/>
  <c r="AG26" i="24"/>
  <c r="AF26" i="24" s="1"/>
  <c r="AD26" i="24" s="1"/>
  <c r="AG22" i="24"/>
  <c r="AF22" i="24" s="1"/>
  <c r="AD22" i="24" s="1"/>
  <c r="AG19" i="24"/>
  <c r="AF19" i="24" s="1"/>
  <c r="AD19" i="24" s="1"/>
  <c r="I320" i="23"/>
  <c r="J320" i="23"/>
  <c r="J206" i="23"/>
  <c r="I206" i="23"/>
  <c r="AA149" i="23"/>
  <c r="Z149" i="23" s="1"/>
  <c r="Y149" i="23" s="1"/>
  <c r="G149" i="23"/>
  <c r="CD149" i="6" s="1"/>
  <c r="I371" i="23"/>
  <c r="J371" i="23"/>
  <c r="W210" i="23"/>
  <c r="D210" i="23"/>
  <c r="E210" i="23" s="1"/>
  <c r="F210" i="23" s="1"/>
  <c r="H210" i="23" s="1"/>
  <c r="I294" i="23"/>
  <c r="J294" i="23"/>
  <c r="J164" i="23"/>
  <c r="I164" i="23"/>
  <c r="J377" i="23"/>
  <c r="I377" i="23"/>
  <c r="I45" i="23"/>
  <c r="J45" i="23"/>
  <c r="J122" i="23"/>
  <c r="I122" i="23"/>
  <c r="I280" i="23"/>
  <c r="J280" i="23"/>
  <c r="J72" i="23"/>
  <c r="I72" i="23"/>
  <c r="J69" i="23"/>
  <c r="I69" i="23"/>
  <c r="J299" i="23"/>
  <c r="I299" i="23"/>
  <c r="J352" i="23"/>
  <c r="I352" i="23"/>
  <c r="W88" i="23"/>
  <c r="D88" i="23"/>
  <c r="E88" i="23" s="1"/>
  <c r="F88" i="23" s="1"/>
  <c r="I259" i="23"/>
  <c r="J259" i="23"/>
  <c r="I277" i="23"/>
  <c r="J277" i="23"/>
  <c r="I208" i="23"/>
  <c r="J208" i="23"/>
  <c r="J255" i="23"/>
  <c r="I255" i="23"/>
  <c r="I107" i="23"/>
  <c r="J107" i="23"/>
  <c r="I270" i="23"/>
  <c r="J270" i="23"/>
  <c r="I130" i="23"/>
  <c r="J130" i="23"/>
  <c r="I81" i="23"/>
  <c r="J81" i="23"/>
  <c r="I80" i="23"/>
  <c r="J80" i="23"/>
  <c r="I51" i="23"/>
  <c r="J51" i="23"/>
  <c r="J274" i="23"/>
  <c r="I274" i="23"/>
  <c r="I114" i="23"/>
  <c r="J114" i="23"/>
  <c r="J257" i="23"/>
  <c r="I257" i="23"/>
  <c r="J117" i="23"/>
  <c r="I117" i="23"/>
  <c r="I236" i="23"/>
  <c r="J236" i="23"/>
  <c r="J40" i="23"/>
  <c r="I40" i="23"/>
  <c r="I175" i="23"/>
  <c r="J175" i="23"/>
  <c r="I246" i="23"/>
  <c r="J246" i="23"/>
  <c r="J293" i="23"/>
  <c r="I293" i="23"/>
  <c r="J360" i="23"/>
  <c r="I360" i="23"/>
  <c r="I380" i="23"/>
  <c r="H380" i="24" s="1"/>
  <c r="J380" i="23"/>
  <c r="D302" i="23"/>
  <c r="E302" i="23" s="1"/>
  <c r="F302" i="23" s="1"/>
  <c r="H302" i="23" s="1"/>
  <c r="W302" i="23"/>
  <c r="I344" i="23"/>
  <c r="J344" i="23"/>
  <c r="I171" i="23"/>
  <c r="J171" i="23"/>
  <c r="I330" i="23"/>
  <c r="J330" i="23"/>
  <c r="J101" i="23"/>
  <c r="I101" i="23"/>
  <c r="I24" i="23"/>
  <c r="J24" i="23"/>
  <c r="I239" i="23"/>
  <c r="J239" i="23"/>
  <c r="I178" i="23"/>
  <c r="J178" i="23"/>
  <c r="J213" i="23"/>
  <c r="I213" i="23"/>
  <c r="J296" i="23"/>
  <c r="I296" i="23"/>
  <c r="P383" i="23"/>
  <c r="P381" i="23"/>
  <c r="P382" i="23"/>
  <c r="V15" i="23"/>
  <c r="B15" i="23" s="1"/>
  <c r="D15" i="22"/>
  <c r="AJ7" i="22" s="1"/>
  <c r="AK6" i="22"/>
  <c r="B383" i="22"/>
  <c r="W15" i="22"/>
  <c r="B381" i="22"/>
  <c r="B382" i="22"/>
  <c r="AJ6" i="22"/>
  <c r="H9" i="22"/>
  <c r="B17" i="19" s="1"/>
  <c r="I87" i="23"/>
  <c r="J87" i="23"/>
  <c r="J150" i="23"/>
  <c r="I150" i="23"/>
  <c r="I325" i="23"/>
  <c r="J325" i="23"/>
  <c r="I17" i="23"/>
  <c r="J17" i="23"/>
  <c r="J76" i="23"/>
  <c r="I76" i="23"/>
  <c r="J314" i="23"/>
  <c r="I314" i="23"/>
  <c r="I154" i="23"/>
  <c r="J154" i="23"/>
  <c r="I42" i="23"/>
  <c r="J42" i="23"/>
  <c r="J133" i="23"/>
  <c r="I133" i="23"/>
  <c r="I264" i="23"/>
  <c r="J264" i="23"/>
  <c r="F9" i="20"/>
  <c r="G15" i="20"/>
  <c r="CB15" i="6" s="1"/>
  <c r="AK10" i="20"/>
  <c r="AK12" i="20" s="1"/>
  <c r="F381" i="20"/>
  <c r="F383" i="20"/>
  <c r="F382" i="20"/>
  <c r="AM10" i="20"/>
  <c r="AA15" i="20"/>
  <c r="I370" i="23"/>
  <c r="J370" i="23"/>
  <c r="I93" i="23"/>
  <c r="J93" i="23"/>
  <c r="I15" i="18"/>
  <c r="H15" i="20" s="1"/>
  <c r="J15" i="18"/>
  <c r="AM8" i="18"/>
  <c r="AA382" i="18"/>
  <c r="AA381" i="18"/>
  <c r="Z15" i="18"/>
  <c r="AL7" i="18" s="1"/>
  <c r="AA383" i="18"/>
  <c r="AL10" i="18"/>
  <c r="AA9" i="18"/>
  <c r="G381" i="18"/>
  <c r="G383" i="18"/>
  <c r="G12" i="18" s="1"/>
  <c r="G382" i="18"/>
  <c r="I85" i="23"/>
  <c r="J85" i="23"/>
  <c r="J75" i="23"/>
  <c r="I75" i="23"/>
  <c r="J223" i="23"/>
  <c r="I223" i="23"/>
  <c r="I318" i="23"/>
  <c r="J318" i="23"/>
  <c r="I317" i="23"/>
  <c r="J317" i="23"/>
  <c r="I306" i="23"/>
  <c r="J306" i="23"/>
  <c r="I283" i="23"/>
  <c r="J283" i="23"/>
  <c r="J110" i="23"/>
  <c r="I110" i="23"/>
  <c r="J195" i="23"/>
  <c r="I195" i="23"/>
  <c r="I366" i="23"/>
  <c r="J366" i="23"/>
  <c r="J218" i="23"/>
  <c r="I218" i="23"/>
  <c r="I97" i="23"/>
  <c r="J97" i="23"/>
  <c r="I268" i="23"/>
  <c r="J268" i="23"/>
  <c r="J28" i="23"/>
  <c r="I28" i="23"/>
  <c r="S377" i="24"/>
  <c r="R377" i="24" s="1"/>
  <c r="P377" i="24" s="1"/>
  <c r="V377" i="24" s="1"/>
  <c r="B377" i="24" s="1"/>
  <c r="S373" i="24"/>
  <c r="R373" i="24" s="1"/>
  <c r="P373" i="24" s="1"/>
  <c r="V373" i="24" s="1"/>
  <c r="B373" i="24" s="1"/>
  <c r="S369" i="24"/>
  <c r="R369" i="24" s="1"/>
  <c r="P369" i="24" s="1"/>
  <c r="V369" i="24" s="1"/>
  <c r="B369" i="24" s="1"/>
  <c r="S365" i="24"/>
  <c r="R365" i="24" s="1"/>
  <c r="P365" i="24" s="1"/>
  <c r="V365" i="24" s="1"/>
  <c r="B365" i="24" s="1"/>
  <c r="S361" i="24"/>
  <c r="R361" i="24" s="1"/>
  <c r="P361" i="24" s="1"/>
  <c r="V361" i="24" s="1"/>
  <c r="B361" i="24" s="1"/>
  <c r="S357" i="24"/>
  <c r="R357" i="24" s="1"/>
  <c r="P357" i="24" s="1"/>
  <c r="V357" i="24" s="1"/>
  <c r="B357" i="24" s="1"/>
  <c r="S353" i="24"/>
  <c r="R353" i="24" s="1"/>
  <c r="P353" i="24" s="1"/>
  <c r="V353" i="24" s="1"/>
  <c r="B353" i="24" s="1"/>
  <c r="S349" i="24"/>
  <c r="R349" i="24" s="1"/>
  <c r="P349" i="24" s="1"/>
  <c r="V349" i="24" s="1"/>
  <c r="B349" i="24" s="1"/>
  <c r="S345" i="24"/>
  <c r="R345" i="24" s="1"/>
  <c r="P345" i="24" s="1"/>
  <c r="V345" i="24" s="1"/>
  <c r="B345" i="24" s="1"/>
  <c r="S341" i="24"/>
  <c r="R341" i="24" s="1"/>
  <c r="P341" i="24" s="1"/>
  <c r="V341" i="24" s="1"/>
  <c r="B341" i="24" s="1"/>
  <c r="S337" i="24"/>
  <c r="R337" i="24" s="1"/>
  <c r="P337" i="24" s="1"/>
  <c r="V337" i="24" s="1"/>
  <c r="B337" i="24" s="1"/>
  <c r="S333" i="24"/>
  <c r="R333" i="24" s="1"/>
  <c r="P333" i="24" s="1"/>
  <c r="S329" i="24"/>
  <c r="R329" i="24" s="1"/>
  <c r="P329" i="24" s="1"/>
  <c r="V329" i="24" s="1"/>
  <c r="B329" i="24" s="1"/>
  <c r="S325" i="24"/>
  <c r="R325" i="24" s="1"/>
  <c r="P325" i="24" s="1"/>
  <c r="V325" i="24" s="1"/>
  <c r="B325" i="24" s="1"/>
  <c r="S321" i="24"/>
  <c r="R321" i="24" s="1"/>
  <c r="P321" i="24" s="1"/>
  <c r="V321" i="24" s="1"/>
  <c r="B321" i="24" s="1"/>
  <c r="S317" i="24"/>
  <c r="R317" i="24" s="1"/>
  <c r="P317" i="24" s="1"/>
  <c r="V317" i="24" s="1"/>
  <c r="B317" i="24" s="1"/>
  <c r="S313" i="24"/>
  <c r="R313" i="24" s="1"/>
  <c r="P313" i="24" s="1"/>
  <c r="V313" i="24" s="1"/>
  <c r="B313" i="24" s="1"/>
  <c r="S309" i="24"/>
  <c r="R309" i="24" s="1"/>
  <c r="P309" i="24" s="1"/>
  <c r="V309" i="24" s="1"/>
  <c r="B309" i="24" s="1"/>
  <c r="S305" i="24"/>
  <c r="R305" i="24" s="1"/>
  <c r="P305" i="24" s="1"/>
  <c r="V305" i="24" s="1"/>
  <c r="B305" i="24" s="1"/>
  <c r="S301" i="24"/>
  <c r="R301" i="24" s="1"/>
  <c r="P301" i="24" s="1"/>
  <c r="V301" i="24" s="1"/>
  <c r="B301" i="24" s="1"/>
  <c r="S297" i="24"/>
  <c r="R297" i="24" s="1"/>
  <c r="P297" i="24" s="1"/>
  <c r="V297" i="24" s="1"/>
  <c r="B297" i="24" s="1"/>
  <c r="S293" i="24"/>
  <c r="R293" i="24" s="1"/>
  <c r="P293" i="24" s="1"/>
  <c r="V293" i="24" s="1"/>
  <c r="B293" i="24" s="1"/>
  <c r="S289" i="24"/>
  <c r="R289" i="24" s="1"/>
  <c r="P289" i="24" s="1"/>
  <c r="V289" i="24" s="1"/>
  <c r="B289" i="24" s="1"/>
  <c r="S285" i="24"/>
  <c r="R285" i="24" s="1"/>
  <c r="P285" i="24" s="1"/>
  <c r="V285" i="24" s="1"/>
  <c r="B285" i="24" s="1"/>
  <c r="S281" i="24"/>
  <c r="R281" i="24" s="1"/>
  <c r="P281" i="24" s="1"/>
  <c r="V281" i="24" s="1"/>
  <c r="B281" i="24" s="1"/>
  <c r="S277" i="24"/>
  <c r="R277" i="24" s="1"/>
  <c r="P277" i="24" s="1"/>
  <c r="V277" i="24" s="1"/>
  <c r="B277" i="24" s="1"/>
  <c r="S273" i="24"/>
  <c r="R273" i="24" s="1"/>
  <c r="P273" i="24" s="1"/>
  <c r="V273" i="24" s="1"/>
  <c r="B273" i="24" s="1"/>
  <c r="S269" i="24"/>
  <c r="R269" i="24" s="1"/>
  <c r="P269" i="24" s="1"/>
  <c r="V269" i="24" s="1"/>
  <c r="B269" i="24" s="1"/>
  <c r="S265" i="24"/>
  <c r="R265" i="24" s="1"/>
  <c r="P265" i="24" s="1"/>
  <c r="V265" i="24" s="1"/>
  <c r="B265" i="24" s="1"/>
  <c r="S261" i="24"/>
  <c r="R261" i="24" s="1"/>
  <c r="P261" i="24" s="1"/>
  <c r="V261" i="24" s="1"/>
  <c r="B261" i="24" s="1"/>
  <c r="S257" i="24"/>
  <c r="R257" i="24" s="1"/>
  <c r="P257" i="24" s="1"/>
  <c r="V257" i="24" s="1"/>
  <c r="B257" i="24" s="1"/>
  <c r="S253" i="24"/>
  <c r="R253" i="24" s="1"/>
  <c r="P253" i="24" s="1"/>
  <c r="V253" i="24" s="1"/>
  <c r="B253" i="24" s="1"/>
  <c r="S249" i="24"/>
  <c r="R249" i="24" s="1"/>
  <c r="P249" i="24" s="1"/>
  <c r="V249" i="24" s="1"/>
  <c r="B249" i="24" s="1"/>
  <c r="S245" i="24"/>
  <c r="R245" i="24" s="1"/>
  <c r="P245" i="24" s="1"/>
  <c r="V245" i="24" s="1"/>
  <c r="B245" i="24" s="1"/>
  <c r="S241" i="24"/>
  <c r="R241" i="24" s="1"/>
  <c r="P241" i="24" s="1"/>
  <c r="S237" i="24"/>
  <c r="R237" i="24" s="1"/>
  <c r="P237" i="24" s="1"/>
  <c r="V237" i="24" s="1"/>
  <c r="B237" i="24" s="1"/>
  <c r="S233" i="24"/>
  <c r="R233" i="24" s="1"/>
  <c r="P233" i="24" s="1"/>
  <c r="V233" i="24" s="1"/>
  <c r="B233" i="24" s="1"/>
  <c r="S229" i="24"/>
  <c r="R229" i="24" s="1"/>
  <c r="P229" i="24" s="1"/>
  <c r="V229" i="24" s="1"/>
  <c r="B229" i="24" s="1"/>
  <c r="S225" i="24"/>
  <c r="R225" i="24" s="1"/>
  <c r="P225" i="24" s="1"/>
  <c r="V225" i="24" s="1"/>
  <c r="B225" i="24" s="1"/>
  <c r="S221" i="24"/>
  <c r="R221" i="24" s="1"/>
  <c r="P221" i="24" s="1"/>
  <c r="V221" i="24" s="1"/>
  <c r="B221" i="24" s="1"/>
  <c r="S217" i="24"/>
  <c r="R217" i="24" s="1"/>
  <c r="P217" i="24" s="1"/>
  <c r="V217" i="24" s="1"/>
  <c r="B217" i="24" s="1"/>
  <c r="S213" i="24"/>
  <c r="R213" i="24" s="1"/>
  <c r="P213" i="24" s="1"/>
  <c r="V213" i="24" s="1"/>
  <c r="B213" i="24" s="1"/>
  <c r="S209" i="24"/>
  <c r="R209" i="24" s="1"/>
  <c r="P209" i="24" s="1"/>
  <c r="V209" i="24" s="1"/>
  <c r="B209" i="24" s="1"/>
  <c r="S205" i="24"/>
  <c r="R205" i="24" s="1"/>
  <c r="P205" i="24" s="1"/>
  <c r="V205" i="24" s="1"/>
  <c r="B205" i="24" s="1"/>
  <c r="S201" i="24"/>
  <c r="R201" i="24" s="1"/>
  <c r="P201" i="24" s="1"/>
  <c r="V201" i="24" s="1"/>
  <c r="B201" i="24" s="1"/>
  <c r="S197" i="24"/>
  <c r="R197" i="24" s="1"/>
  <c r="P197" i="24" s="1"/>
  <c r="V197" i="24" s="1"/>
  <c r="B197" i="24" s="1"/>
  <c r="S193" i="24"/>
  <c r="R193" i="24" s="1"/>
  <c r="P193" i="24" s="1"/>
  <c r="V193" i="24" s="1"/>
  <c r="B193" i="24" s="1"/>
  <c r="S189" i="24"/>
  <c r="R189" i="24" s="1"/>
  <c r="P189" i="24" s="1"/>
  <c r="V189" i="24" s="1"/>
  <c r="B189" i="24" s="1"/>
  <c r="S185" i="24"/>
  <c r="R185" i="24" s="1"/>
  <c r="P185" i="24" s="1"/>
  <c r="V185" i="24" s="1"/>
  <c r="B185" i="24" s="1"/>
  <c r="S181" i="24"/>
  <c r="R181" i="24" s="1"/>
  <c r="P181" i="24" s="1"/>
  <c r="V181" i="24" s="1"/>
  <c r="B181" i="24" s="1"/>
  <c r="S177" i="24"/>
  <c r="R177" i="24" s="1"/>
  <c r="P177" i="24" s="1"/>
  <c r="V177" i="24" s="1"/>
  <c r="B177" i="24" s="1"/>
  <c r="S173" i="24"/>
  <c r="R173" i="24" s="1"/>
  <c r="P173" i="24" s="1"/>
  <c r="V173" i="24" s="1"/>
  <c r="B173" i="24" s="1"/>
  <c r="S169" i="24"/>
  <c r="R169" i="24" s="1"/>
  <c r="P169" i="24" s="1"/>
  <c r="V169" i="24" s="1"/>
  <c r="B169" i="24" s="1"/>
  <c r="S165" i="24"/>
  <c r="R165" i="24" s="1"/>
  <c r="P165" i="24" s="1"/>
  <c r="V165" i="24" s="1"/>
  <c r="B165" i="24" s="1"/>
  <c r="S161" i="24"/>
  <c r="R161" i="24" s="1"/>
  <c r="P161" i="24" s="1"/>
  <c r="V161" i="24" s="1"/>
  <c r="B161" i="24" s="1"/>
  <c r="S157" i="24"/>
  <c r="R157" i="24" s="1"/>
  <c r="P157" i="24" s="1"/>
  <c r="V157" i="24" s="1"/>
  <c r="B157" i="24" s="1"/>
  <c r="S153" i="24"/>
  <c r="R153" i="24" s="1"/>
  <c r="P153" i="24" s="1"/>
  <c r="V153" i="24" s="1"/>
  <c r="B153" i="24" s="1"/>
  <c r="S149" i="24"/>
  <c r="R149" i="24" s="1"/>
  <c r="P149" i="24" s="1"/>
  <c r="S145" i="24"/>
  <c r="R145" i="24" s="1"/>
  <c r="P145" i="24" s="1"/>
  <c r="V145" i="24" s="1"/>
  <c r="B145" i="24" s="1"/>
  <c r="S141" i="24"/>
  <c r="R141" i="24" s="1"/>
  <c r="P141" i="24" s="1"/>
  <c r="V141" i="24" s="1"/>
  <c r="B141" i="24" s="1"/>
  <c r="S137" i="24"/>
  <c r="R137" i="24" s="1"/>
  <c r="P137" i="24" s="1"/>
  <c r="V137" i="24" s="1"/>
  <c r="B137" i="24" s="1"/>
  <c r="S133" i="24"/>
  <c r="R133" i="24" s="1"/>
  <c r="P133" i="24" s="1"/>
  <c r="V133" i="24" s="1"/>
  <c r="B133" i="24" s="1"/>
  <c r="S129" i="24"/>
  <c r="R129" i="24" s="1"/>
  <c r="P129" i="24" s="1"/>
  <c r="V129" i="24" s="1"/>
  <c r="B129" i="24" s="1"/>
  <c r="S125" i="24"/>
  <c r="R125" i="24" s="1"/>
  <c r="P125" i="24" s="1"/>
  <c r="V125" i="24" s="1"/>
  <c r="B125" i="24" s="1"/>
  <c r="S121" i="24"/>
  <c r="R121" i="24" s="1"/>
  <c r="P121" i="24" s="1"/>
  <c r="V121" i="24" s="1"/>
  <c r="B121" i="24" s="1"/>
  <c r="S117" i="24"/>
  <c r="R117" i="24" s="1"/>
  <c r="P117" i="24" s="1"/>
  <c r="V117" i="24" s="1"/>
  <c r="B117" i="24" s="1"/>
  <c r="S113" i="24"/>
  <c r="R113" i="24" s="1"/>
  <c r="P113" i="24" s="1"/>
  <c r="V113" i="24" s="1"/>
  <c r="B113" i="24" s="1"/>
  <c r="S109" i="24"/>
  <c r="R109" i="24" s="1"/>
  <c r="P109" i="24" s="1"/>
  <c r="V109" i="24" s="1"/>
  <c r="B109" i="24" s="1"/>
  <c r="S105" i="24"/>
  <c r="R105" i="24" s="1"/>
  <c r="P105" i="24" s="1"/>
  <c r="V105" i="24" s="1"/>
  <c r="B105" i="24" s="1"/>
  <c r="S101" i="24"/>
  <c r="R101" i="24" s="1"/>
  <c r="P101" i="24" s="1"/>
  <c r="V101" i="24" s="1"/>
  <c r="B101" i="24" s="1"/>
  <c r="S97" i="24"/>
  <c r="R97" i="24" s="1"/>
  <c r="P97" i="24" s="1"/>
  <c r="V97" i="24" s="1"/>
  <c r="B97" i="24" s="1"/>
  <c r="S93" i="24"/>
  <c r="R93" i="24" s="1"/>
  <c r="P93" i="24" s="1"/>
  <c r="V93" i="24" s="1"/>
  <c r="B93" i="24" s="1"/>
  <c r="S89" i="24"/>
  <c r="R89" i="24" s="1"/>
  <c r="P89" i="24" s="1"/>
  <c r="V89" i="24" s="1"/>
  <c r="B89" i="24" s="1"/>
  <c r="S85" i="24"/>
  <c r="R85" i="24" s="1"/>
  <c r="P85" i="24" s="1"/>
  <c r="V85" i="24" s="1"/>
  <c r="B85" i="24" s="1"/>
  <c r="S81" i="24"/>
  <c r="R81" i="24" s="1"/>
  <c r="P81" i="24" s="1"/>
  <c r="V81" i="24" s="1"/>
  <c r="B81" i="24" s="1"/>
  <c r="S77" i="24"/>
  <c r="R77" i="24" s="1"/>
  <c r="P77" i="24" s="1"/>
  <c r="V77" i="24" s="1"/>
  <c r="B77" i="24" s="1"/>
  <c r="S73" i="24"/>
  <c r="R73" i="24" s="1"/>
  <c r="P73" i="24" s="1"/>
  <c r="V73" i="24" s="1"/>
  <c r="B73" i="24" s="1"/>
  <c r="S69" i="24"/>
  <c r="R69" i="24" s="1"/>
  <c r="P69" i="24" s="1"/>
  <c r="V69" i="24" s="1"/>
  <c r="B69" i="24" s="1"/>
  <c r="S65" i="24"/>
  <c r="R65" i="24" s="1"/>
  <c r="P65" i="24" s="1"/>
  <c r="V65" i="24" s="1"/>
  <c r="B65" i="24" s="1"/>
  <c r="S61" i="24"/>
  <c r="R61" i="24" s="1"/>
  <c r="P61" i="24" s="1"/>
  <c r="V61" i="24" s="1"/>
  <c r="B61" i="24" s="1"/>
  <c r="S57" i="24"/>
  <c r="R57" i="24" s="1"/>
  <c r="P57" i="24" s="1"/>
  <c r="V57" i="24" s="1"/>
  <c r="B57" i="24" s="1"/>
  <c r="S53" i="24"/>
  <c r="R53" i="24" s="1"/>
  <c r="P53" i="24" s="1"/>
  <c r="V53" i="24" s="1"/>
  <c r="B53" i="24" s="1"/>
  <c r="S49" i="24"/>
  <c r="R49" i="24" s="1"/>
  <c r="P49" i="24" s="1"/>
  <c r="V49" i="24" s="1"/>
  <c r="B49" i="24" s="1"/>
  <c r="S45" i="24"/>
  <c r="R45" i="24" s="1"/>
  <c r="P45" i="24" s="1"/>
  <c r="V45" i="24" s="1"/>
  <c r="B45" i="24" s="1"/>
  <c r="S41" i="24"/>
  <c r="R41" i="24" s="1"/>
  <c r="P41" i="24" s="1"/>
  <c r="V41" i="24" s="1"/>
  <c r="B41" i="24" s="1"/>
  <c r="S37" i="24"/>
  <c r="R37" i="24" s="1"/>
  <c r="P37" i="24" s="1"/>
  <c r="V37" i="24" s="1"/>
  <c r="B37" i="24" s="1"/>
  <c r="S33" i="24"/>
  <c r="R33" i="24" s="1"/>
  <c r="P33" i="24" s="1"/>
  <c r="V33" i="24" s="1"/>
  <c r="B33" i="24" s="1"/>
  <c r="S29" i="24"/>
  <c r="R29" i="24" s="1"/>
  <c r="P29" i="24" s="1"/>
  <c r="S25" i="24"/>
  <c r="R25" i="24" s="1"/>
  <c r="P25" i="24" s="1"/>
  <c r="V25" i="24" s="1"/>
  <c r="B25" i="24" s="1"/>
  <c r="S21" i="24"/>
  <c r="R21" i="24" s="1"/>
  <c r="P21" i="24" s="1"/>
  <c r="V21" i="24" s="1"/>
  <c r="B21" i="24" s="1"/>
  <c r="J245" i="23"/>
  <c r="I245" i="23"/>
  <c r="AA29" i="23"/>
  <c r="Z29" i="23" s="1"/>
  <c r="Y29" i="23" s="1"/>
  <c r="G29" i="23"/>
  <c r="CD29" i="6" s="1"/>
  <c r="I86" i="23"/>
  <c r="J86" i="23"/>
  <c r="J348" i="23"/>
  <c r="I348" i="23"/>
  <c r="J148" i="23"/>
  <c r="I148" i="23"/>
  <c r="J100" i="23"/>
  <c r="I100" i="23"/>
  <c r="I136" i="23"/>
  <c r="J136" i="23"/>
  <c r="AG376" i="24"/>
  <c r="AF376" i="24" s="1"/>
  <c r="AD376" i="24" s="1"/>
  <c r="AG372" i="24"/>
  <c r="AF372" i="24" s="1"/>
  <c r="AD372" i="24" s="1"/>
  <c r="AG368" i="24"/>
  <c r="AF368" i="24" s="1"/>
  <c r="AD368" i="24" s="1"/>
  <c r="AG364" i="24"/>
  <c r="AF364" i="24" s="1"/>
  <c r="AD364" i="24" s="1"/>
  <c r="AG360" i="24"/>
  <c r="AF360" i="24" s="1"/>
  <c r="AD360" i="24" s="1"/>
  <c r="AG356" i="24"/>
  <c r="AF356" i="24" s="1"/>
  <c r="AD356" i="24" s="1"/>
  <c r="AG352" i="24"/>
  <c r="AF352" i="24" s="1"/>
  <c r="AD352" i="24" s="1"/>
  <c r="AG348" i="24"/>
  <c r="AF348" i="24" s="1"/>
  <c r="AD348" i="24" s="1"/>
  <c r="AG344" i="24"/>
  <c r="AF344" i="24" s="1"/>
  <c r="AD344" i="24" s="1"/>
  <c r="AG340" i="24"/>
  <c r="AF340" i="24" s="1"/>
  <c r="AD340" i="24" s="1"/>
  <c r="AG336" i="24"/>
  <c r="AF336" i="24" s="1"/>
  <c r="AD336" i="24" s="1"/>
  <c r="AG332" i="24"/>
  <c r="AF332" i="24" s="1"/>
  <c r="AD332" i="24" s="1"/>
  <c r="AG328" i="24"/>
  <c r="AF328" i="24" s="1"/>
  <c r="AD328" i="24" s="1"/>
  <c r="AG324" i="24"/>
  <c r="AF324" i="24" s="1"/>
  <c r="AD324" i="24" s="1"/>
  <c r="AG320" i="24"/>
  <c r="AF320" i="24" s="1"/>
  <c r="AD320" i="24" s="1"/>
  <c r="AG316" i="24"/>
  <c r="AF316" i="24" s="1"/>
  <c r="AD316" i="24" s="1"/>
  <c r="AG312" i="24"/>
  <c r="AF312" i="24" s="1"/>
  <c r="AD312" i="24" s="1"/>
  <c r="AG308" i="24"/>
  <c r="AF308" i="24" s="1"/>
  <c r="AD308" i="24" s="1"/>
  <c r="AG304" i="24"/>
  <c r="AF304" i="24" s="1"/>
  <c r="AD304" i="24" s="1"/>
  <c r="AG300" i="24"/>
  <c r="AF300" i="24" s="1"/>
  <c r="AD300" i="24" s="1"/>
  <c r="AG296" i="24"/>
  <c r="AF296" i="24" s="1"/>
  <c r="AD296" i="24" s="1"/>
  <c r="AG292" i="24"/>
  <c r="AF292" i="24" s="1"/>
  <c r="AD292" i="24" s="1"/>
  <c r="AG288" i="24"/>
  <c r="AF288" i="24" s="1"/>
  <c r="AD288" i="24" s="1"/>
  <c r="AG284" i="24"/>
  <c r="AF284" i="24" s="1"/>
  <c r="AD284" i="24" s="1"/>
  <c r="AG280" i="24"/>
  <c r="AF280" i="24" s="1"/>
  <c r="AD280" i="24" s="1"/>
  <c r="AG276" i="24"/>
  <c r="AF276" i="24" s="1"/>
  <c r="AD276" i="24" s="1"/>
  <c r="AG272" i="24"/>
  <c r="AF272" i="24" s="1"/>
  <c r="AD272" i="24" s="1"/>
  <c r="AG268" i="24"/>
  <c r="AF268" i="24" s="1"/>
  <c r="AD268" i="24" s="1"/>
  <c r="AG264" i="24"/>
  <c r="AF264" i="24" s="1"/>
  <c r="AD264" i="24" s="1"/>
  <c r="AG260" i="24"/>
  <c r="AF260" i="24" s="1"/>
  <c r="AD260" i="24" s="1"/>
  <c r="AG256" i="24"/>
  <c r="AF256" i="24" s="1"/>
  <c r="AD256" i="24" s="1"/>
  <c r="AG252" i="24"/>
  <c r="AF252" i="24" s="1"/>
  <c r="AD252" i="24" s="1"/>
  <c r="AG248" i="24"/>
  <c r="AF248" i="24" s="1"/>
  <c r="AD248" i="24" s="1"/>
  <c r="AG244" i="24"/>
  <c r="AF244" i="24" s="1"/>
  <c r="AD244" i="24" s="1"/>
  <c r="AG240" i="24"/>
  <c r="AF240" i="24" s="1"/>
  <c r="AD240" i="24" s="1"/>
  <c r="AG236" i="24"/>
  <c r="AF236" i="24" s="1"/>
  <c r="AD236" i="24" s="1"/>
  <c r="AG232" i="24"/>
  <c r="AF232" i="24" s="1"/>
  <c r="AD232" i="24" s="1"/>
  <c r="AG228" i="24"/>
  <c r="AF228" i="24" s="1"/>
  <c r="AD228" i="24" s="1"/>
  <c r="AG224" i="24"/>
  <c r="AF224" i="24" s="1"/>
  <c r="AD224" i="24" s="1"/>
  <c r="AG220" i="24"/>
  <c r="AF220" i="24" s="1"/>
  <c r="AD220" i="24" s="1"/>
  <c r="AG216" i="24"/>
  <c r="AF216" i="24" s="1"/>
  <c r="AD216" i="24" s="1"/>
  <c r="AG212" i="24"/>
  <c r="AF212" i="24" s="1"/>
  <c r="AD212" i="24" s="1"/>
  <c r="AG208" i="24"/>
  <c r="AF208" i="24" s="1"/>
  <c r="AD208" i="24" s="1"/>
  <c r="AG204" i="24"/>
  <c r="AF204" i="24" s="1"/>
  <c r="AD204" i="24" s="1"/>
  <c r="AG200" i="24"/>
  <c r="AF200" i="24" s="1"/>
  <c r="AD200" i="24" s="1"/>
  <c r="AG196" i="24"/>
  <c r="AF196" i="24" s="1"/>
  <c r="AD196" i="24" s="1"/>
  <c r="AG192" i="24"/>
  <c r="AF192" i="24" s="1"/>
  <c r="AD192" i="24" s="1"/>
  <c r="AG188" i="24"/>
  <c r="AF188" i="24" s="1"/>
  <c r="AD188" i="24" s="1"/>
  <c r="AG184" i="24"/>
  <c r="AF184" i="24" s="1"/>
  <c r="AD184" i="24" s="1"/>
  <c r="AG180" i="24"/>
  <c r="AF180" i="24" s="1"/>
  <c r="AD180" i="24" s="1"/>
  <c r="AG176" i="24"/>
  <c r="AF176" i="24" s="1"/>
  <c r="AD176" i="24" s="1"/>
  <c r="AG172" i="24"/>
  <c r="AF172" i="24" s="1"/>
  <c r="AD172" i="24" s="1"/>
  <c r="AG168" i="24"/>
  <c r="AF168" i="24" s="1"/>
  <c r="AD168" i="24" s="1"/>
  <c r="AG164" i="24"/>
  <c r="AF164" i="24" s="1"/>
  <c r="AD164" i="24" s="1"/>
  <c r="AG160" i="24"/>
  <c r="AF160" i="24" s="1"/>
  <c r="AD160" i="24" s="1"/>
  <c r="AG156" i="24"/>
  <c r="AF156" i="24" s="1"/>
  <c r="AD156" i="24" s="1"/>
  <c r="AG152" i="24"/>
  <c r="AF152" i="24" s="1"/>
  <c r="AD152" i="24" s="1"/>
  <c r="AG148" i="24"/>
  <c r="AF148" i="24" s="1"/>
  <c r="AD148" i="24" s="1"/>
  <c r="AG144" i="24"/>
  <c r="AF144" i="24" s="1"/>
  <c r="AD144" i="24" s="1"/>
  <c r="AG140" i="24"/>
  <c r="AF140" i="24" s="1"/>
  <c r="AD140" i="24" s="1"/>
  <c r="AG136" i="24"/>
  <c r="AF136" i="24" s="1"/>
  <c r="AD136" i="24" s="1"/>
  <c r="AG132" i="24"/>
  <c r="AF132" i="24" s="1"/>
  <c r="AD132" i="24" s="1"/>
  <c r="AG128" i="24"/>
  <c r="AF128" i="24" s="1"/>
  <c r="AD128" i="24" s="1"/>
  <c r="AG124" i="24"/>
  <c r="AF124" i="24" s="1"/>
  <c r="AD124" i="24" s="1"/>
  <c r="AG120" i="24"/>
  <c r="AF120" i="24" s="1"/>
  <c r="AD120" i="24" s="1"/>
  <c r="AG116" i="24"/>
  <c r="AF116" i="24" s="1"/>
  <c r="AD116" i="24" s="1"/>
  <c r="AG112" i="24"/>
  <c r="AF112" i="24" s="1"/>
  <c r="AD112" i="24" s="1"/>
  <c r="AG108" i="24"/>
  <c r="AF108" i="24" s="1"/>
  <c r="AD108" i="24" s="1"/>
  <c r="AG104" i="24"/>
  <c r="AF104" i="24" s="1"/>
  <c r="AD104" i="24" s="1"/>
  <c r="AG100" i="24"/>
  <c r="AF100" i="24" s="1"/>
  <c r="AD100" i="24" s="1"/>
  <c r="AG96" i="24"/>
  <c r="AF96" i="24" s="1"/>
  <c r="AD96" i="24" s="1"/>
  <c r="AG92" i="24"/>
  <c r="AF92" i="24" s="1"/>
  <c r="AD92" i="24" s="1"/>
  <c r="AG88" i="24"/>
  <c r="AF88" i="24" s="1"/>
  <c r="AD88" i="24" s="1"/>
  <c r="AG84" i="24"/>
  <c r="AF84" i="24" s="1"/>
  <c r="AD84" i="24" s="1"/>
  <c r="AG80" i="24"/>
  <c r="AF80" i="24" s="1"/>
  <c r="AD80" i="24" s="1"/>
  <c r="AG76" i="24"/>
  <c r="AF76" i="24" s="1"/>
  <c r="AD76" i="24" s="1"/>
  <c r="AG72" i="24"/>
  <c r="AF72" i="24" s="1"/>
  <c r="AD72" i="24" s="1"/>
  <c r="AG68" i="24"/>
  <c r="AF68" i="24" s="1"/>
  <c r="AD68" i="24" s="1"/>
  <c r="AG64" i="24"/>
  <c r="AF64" i="24" s="1"/>
  <c r="AD64" i="24" s="1"/>
  <c r="AG60" i="24"/>
  <c r="AF60" i="24" s="1"/>
  <c r="AD60" i="24" s="1"/>
  <c r="AG56" i="24"/>
  <c r="AF56" i="24" s="1"/>
  <c r="AD56" i="24" s="1"/>
  <c r="AG52" i="24"/>
  <c r="AF52" i="24" s="1"/>
  <c r="AD52" i="24" s="1"/>
  <c r="AG48" i="24"/>
  <c r="AF48" i="24" s="1"/>
  <c r="AD48" i="24" s="1"/>
  <c r="AG44" i="24"/>
  <c r="AF44" i="24" s="1"/>
  <c r="AD44" i="24" s="1"/>
  <c r="AG40" i="24"/>
  <c r="AF40" i="24" s="1"/>
  <c r="AD40" i="24" s="1"/>
  <c r="AG36" i="24"/>
  <c r="AF36" i="24" s="1"/>
  <c r="AD36" i="24" s="1"/>
  <c r="AG32" i="24"/>
  <c r="AF32" i="24" s="1"/>
  <c r="AD32" i="24" s="1"/>
  <c r="AG28" i="24"/>
  <c r="AF28" i="24" s="1"/>
  <c r="AD28" i="24" s="1"/>
  <c r="AG24" i="24"/>
  <c r="AF24" i="24" s="1"/>
  <c r="AD24" i="24" s="1"/>
  <c r="AG20" i="24"/>
  <c r="AF20" i="24" s="1"/>
  <c r="AD20" i="24" s="1"/>
  <c r="AG17" i="24"/>
  <c r="AF17" i="24" s="1"/>
  <c r="AD17" i="24" s="1"/>
  <c r="J338" i="23"/>
  <c r="I338" i="23"/>
  <c r="J240" i="23"/>
  <c r="I240" i="23"/>
  <c r="J238" i="23"/>
  <c r="I238" i="23"/>
  <c r="I230" i="23"/>
  <c r="J230" i="23"/>
  <c r="I214" i="23"/>
  <c r="J214" i="23"/>
  <c r="I212" i="23"/>
  <c r="J212" i="23"/>
  <c r="I357" i="23"/>
  <c r="J357" i="23"/>
  <c r="J123" i="23"/>
  <c r="I123" i="23"/>
  <c r="I247" i="23"/>
  <c r="J247" i="23"/>
  <c r="I269" i="23"/>
  <c r="J269" i="23"/>
  <c r="H29" i="23"/>
  <c r="I66" i="23"/>
  <c r="J66" i="23"/>
  <c r="I137" i="23"/>
  <c r="J137" i="23"/>
  <c r="I234" i="23"/>
  <c r="J234" i="23"/>
  <c r="I301" i="23"/>
  <c r="J301" i="23"/>
  <c r="J149" i="22"/>
  <c r="I149" i="22"/>
  <c r="H149" i="23" s="1"/>
  <c r="J88" i="22"/>
  <c r="I88" i="22"/>
  <c r="I98" i="23"/>
  <c r="J98" i="23"/>
  <c r="I336" i="23"/>
  <c r="J336" i="23"/>
  <c r="J322" i="23"/>
  <c r="I322" i="23"/>
  <c r="J73" i="23"/>
  <c r="I73" i="23"/>
  <c r="I68" i="23"/>
  <c r="J68" i="23"/>
  <c r="J94" i="23"/>
  <c r="I94" i="23"/>
  <c r="I77" i="23"/>
  <c r="J77" i="23"/>
  <c r="J64" i="23"/>
  <c r="I64" i="23"/>
  <c r="I374" i="23"/>
  <c r="J374" i="23"/>
  <c r="J125" i="23"/>
  <c r="I125" i="23"/>
  <c r="W60" i="23"/>
  <c r="D60" i="23"/>
  <c r="E60" i="23" s="1"/>
  <c r="F60" i="23" s="1"/>
  <c r="I358" i="23"/>
  <c r="J358" i="23"/>
  <c r="J249" i="23"/>
  <c r="I249" i="23"/>
  <c r="J44" i="23"/>
  <c r="I44" i="23"/>
  <c r="J225" i="23"/>
  <c r="I225" i="23"/>
  <c r="I103" i="23"/>
  <c r="J103" i="23"/>
  <c r="J50" i="23"/>
  <c r="I50" i="23"/>
  <c r="J201" i="23"/>
  <c r="I201" i="23"/>
  <c r="J339" i="23"/>
  <c r="I339" i="23"/>
  <c r="J198" i="23"/>
  <c r="I198" i="23"/>
  <c r="J165" i="23"/>
  <c r="I165" i="23"/>
  <c r="AG375" i="24"/>
  <c r="AF375" i="24" s="1"/>
  <c r="AD375" i="24" s="1"/>
  <c r="AG371" i="24"/>
  <c r="AF371" i="24" s="1"/>
  <c r="AD371" i="24" s="1"/>
  <c r="AG367" i="24"/>
  <c r="AF367" i="24" s="1"/>
  <c r="AD367" i="24" s="1"/>
  <c r="AG363" i="24"/>
  <c r="AF363" i="24" s="1"/>
  <c r="AD363" i="24" s="1"/>
  <c r="AG359" i="24"/>
  <c r="AF359" i="24" s="1"/>
  <c r="AD359" i="24" s="1"/>
  <c r="AG355" i="24"/>
  <c r="AF355" i="24" s="1"/>
  <c r="AD355" i="24" s="1"/>
  <c r="AG351" i="24"/>
  <c r="AF351" i="24" s="1"/>
  <c r="AD351" i="24" s="1"/>
  <c r="AG347" i="24"/>
  <c r="AF347" i="24" s="1"/>
  <c r="AD347" i="24" s="1"/>
  <c r="AG343" i="24"/>
  <c r="AF343" i="24" s="1"/>
  <c r="AD343" i="24" s="1"/>
  <c r="AG339" i="24"/>
  <c r="AF339" i="24" s="1"/>
  <c r="AD339" i="24" s="1"/>
  <c r="AG335" i="24"/>
  <c r="AF335" i="24" s="1"/>
  <c r="AD335" i="24" s="1"/>
  <c r="AG331" i="24"/>
  <c r="AF331" i="24" s="1"/>
  <c r="AD331" i="24" s="1"/>
  <c r="AG327" i="24"/>
  <c r="AF327" i="24" s="1"/>
  <c r="AD327" i="24" s="1"/>
  <c r="AG323" i="24"/>
  <c r="AF323" i="24" s="1"/>
  <c r="AD323" i="24" s="1"/>
  <c r="AG319" i="24"/>
  <c r="AF319" i="24" s="1"/>
  <c r="AD319" i="24" s="1"/>
  <c r="AG315" i="24"/>
  <c r="AF315" i="24" s="1"/>
  <c r="AD315" i="24" s="1"/>
  <c r="AG311" i="24"/>
  <c r="AF311" i="24" s="1"/>
  <c r="AD311" i="24" s="1"/>
  <c r="AG307" i="24"/>
  <c r="AF307" i="24" s="1"/>
  <c r="AD307" i="24" s="1"/>
  <c r="AG303" i="24"/>
  <c r="AF303" i="24" s="1"/>
  <c r="AD303" i="24" s="1"/>
  <c r="AG299" i="24"/>
  <c r="AF299" i="24" s="1"/>
  <c r="AD299" i="24" s="1"/>
  <c r="AG295" i="24"/>
  <c r="AF295" i="24" s="1"/>
  <c r="AD295" i="24" s="1"/>
  <c r="AG291" i="24"/>
  <c r="AF291" i="24" s="1"/>
  <c r="AD291" i="24" s="1"/>
  <c r="AG287" i="24"/>
  <c r="AF287" i="24" s="1"/>
  <c r="AD287" i="24" s="1"/>
  <c r="AG283" i="24"/>
  <c r="AF283" i="24" s="1"/>
  <c r="AD283" i="24" s="1"/>
  <c r="AG279" i="24"/>
  <c r="AF279" i="24" s="1"/>
  <c r="AD279" i="24" s="1"/>
  <c r="AG275" i="24"/>
  <c r="AF275" i="24" s="1"/>
  <c r="AD275" i="24" s="1"/>
  <c r="AG271" i="24"/>
  <c r="AF271" i="24" s="1"/>
  <c r="AD271" i="24" s="1"/>
  <c r="AG267" i="24"/>
  <c r="AF267" i="24" s="1"/>
  <c r="AD267" i="24" s="1"/>
  <c r="AG263" i="24"/>
  <c r="AF263" i="24" s="1"/>
  <c r="AD263" i="24" s="1"/>
  <c r="AG259" i="24"/>
  <c r="AF259" i="24" s="1"/>
  <c r="AD259" i="24" s="1"/>
  <c r="AG255" i="24"/>
  <c r="AF255" i="24" s="1"/>
  <c r="AD255" i="24" s="1"/>
  <c r="AG251" i="24"/>
  <c r="AF251" i="24" s="1"/>
  <c r="AD251" i="24" s="1"/>
  <c r="AG247" i="24"/>
  <c r="AF247" i="24" s="1"/>
  <c r="AD247" i="24" s="1"/>
  <c r="AG243" i="24"/>
  <c r="AF243" i="24" s="1"/>
  <c r="AD243" i="24" s="1"/>
  <c r="AG239" i="24"/>
  <c r="AF239" i="24" s="1"/>
  <c r="AD239" i="24" s="1"/>
  <c r="AG235" i="24"/>
  <c r="AF235" i="24" s="1"/>
  <c r="AD235" i="24" s="1"/>
  <c r="AG231" i="24"/>
  <c r="AF231" i="24" s="1"/>
  <c r="AD231" i="24" s="1"/>
  <c r="AG227" i="24"/>
  <c r="AF227" i="24" s="1"/>
  <c r="AD227" i="24" s="1"/>
  <c r="AG223" i="24"/>
  <c r="AF223" i="24" s="1"/>
  <c r="AD223" i="24" s="1"/>
  <c r="AG219" i="24"/>
  <c r="AF219" i="24" s="1"/>
  <c r="AD219" i="24" s="1"/>
  <c r="AG215" i="24"/>
  <c r="AF215" i="24" s="1"/>
  <c r="AD215" i="24" s="1"/>
  <c r="AG211" i="24"/>
  <c r="AF211" i="24" s="1"/>
  <c r="AD211" i="24" s="1"/>
  <c r="AG207" i="24"/>
  <c r="AF207" i="24" s="1"/>
  <c r="AD207" i="24" s="1"/>
  <c r="AG203" i="24"/>
  <c r="AF203" i="24" s="1"/>
  <c r="AD203" i="24" s="1"/>
  <c r="AG199" i="24"/>
  <c r="AF199" i="24" s="1"/>
  <c r="AD199" i="24" s="1"/>
  <c r="AG195" i="24"/>
  <c r="AF195" i="24" s="1"/>
  <c r="AD195" i="24" s="1"/>
  <c r="AG191" i="24"/>
  <c r="AF191" i="24" s="1"/>
  <c r="AD191" i="24" s="1"/>
  <c r="AG187" i="24"/>
  <c r="AF187" i="24" s="1"/>
  <c r="AD187" i="24" s="1"/>
  <c r="AG183" i="24"/>
  <c r="AF183" i="24" s="1"/>
  <c r="AD183" i="24" s="1"/>
  <c r="AG179" i="24"/>
  <c r="AF179" i="24" s="1"/>
  <c r="AD179" i="24" s="1"/>
  <c r="AG175" i="24"/>
  <c r="AF175" i="24" s="1"/>
  <c r="AD175" i="24" s="1"/>
  <c r="AG171" i="24"/>
  <c r="AF171" i="24" s="1"/>
  <c r="AD171" i="24" s="1"/>
  <c r="AG167" i="24"/>
  <c r="AF167" i="24" s="1"/>
  <c r="AD167" i="24" s="1"/>
  <c r="AG163" i="24"/>
  <c r="AF163" i="24" s="1"/>
  <c r="AD163" i="24" s="1"/>
  <c r="AG159" i="24"/>
  <c r="AF159" i="24" s="1"/>
  <c r="AD159" i="24" s="1"/>
  <c r="AG155" i="24"/>
  <c r="AF155" i="24" s="1"/>
  <c r="AD155" i="24" s="1"/>
  <c r="AG151" i="24"/>
  <c r="AF151" i="24" s="1"/>
  <c r="AD151" i="24" s="1"/>
  <c r="AG147" i="24"/>
  <c r="AF147" i="24" s="1"/>
  <c r="AD147" i="24" s="1"/>
  <c r="AG143" i="24"/>
  <c r="AF143" i="24" s="1"/>
  <c r="AD143" i="24" s="1"/>
  <c r="AG139" i="24"/>
  <c r="AF139" i="24" s="1"/>
  <c r="AD139" i="24" s="1"/>
  <c r="AG135" i="24"/>
  <c r="AF135" i="24" s="1"/>
  <c r="AD135" i="24" s="1"/>
  <c r="AG131" i="24"/>
  <c r="AF131" i="24" s="1"/>
  <c r="AD131" i="24" s="1"/>
  <c r="AG127" i="24"/>
  <c r="AF127" i="24" s="1"/>
  <c r="AD127" i="24" s="1"/>
  <c r="AG123" i="24"/>
  <c r="AF123" i="24" s="1"/>
  <c r="AD123" i="24" s="1"/>
  <c r="AG119" i="24"/>
  <c r="AF119" i="24" s="1"/>
  <c r="AD119" i="24" s="1"/>
  <c r="AG115" i="24"/>
  <c r="AF115" i="24" s="1"/>
  <c r="AD115" i="24" s="1"/>
  <c r="AG111" i="24"/>
  <c r="AF111" i="24" s="1"/>
  <c r="AD111" i="24" s="1"/>
  <c r="AG107" i="24"/>
  <c r="AF107" i="24" s="1"/>
  <c r="AD107" i="24" s="1"/>
  <c r="AG103" i="24"/>
  <c r="AF103" i="24" s="1"/>
  <c r="AD103" i="24" s="1"/>
  <c r="AG99" i="24"/>
  <c r="AF99" i="24" s="1"/>
  <c r="AD99" i="24" s="1"/>
  <c r="AG95" i="24"/>
  <c r="AF95" i="24" s="1"/>
  <c r="AD95" i="24" s="1"/>
  <c r="AG91" i="24"/>
  <c r="AF91" i="24" s="1"/>
  <c r="AD91" i="24" s="1"/>
  <c r="AG87" i="24"/>
  <c r="AF87" i="24" s="1"/>
  <c r="AD87" i="24" s="1"/>
  <c r="AG83" i="24"/>
  <c r="AF83" i="24" s="1"/>
  <c r="AD83" i="24" s="1"/>
  <c r="AG79" i="24"/>
  <c r="AF79" i="24" s="1"/>
  <c r="AD79" i="24" s="1"/>
  <c r="AG75" i="24"/>
  <c r="AF75" i="24" s="1"/>
  <c r="AD75" i="24" s="1"/>
  <c r="AG71" i="24"/>
  <c r="AF71" i="24" s="1"/>
  <c r="AD71" i="24" s="1"/>
  <c r="AG67" i="24"/>
  <c r="AF67" i="24" s="1"/>
  <c r="AD67" i="24" s="1"/>
  <c r="AG63" i="24"/>
  <c r="AF63" i="24" s="1"/>
  <c r="AD63" i="24" s="1"/>
  <c r="AG59" i="24"/>
  <c r="AF59" i="24" s="1"/>
  <c r="AD59" i="24" s="1"/>
  <c r="AG55" i="24"/>
  <c r="AF55" i="24" s="1"/>
  <c r="AD55" i="24" s="1"/>
  <c r="AG51" i="24"/>
  <c r="AF51" i="24" s="1"/>
  <c r="AD51" i="24" s="1"/>
  <c r="AG47" i="24"/>
  <c r="AF47" i="24" s="1"/>
  <c r="AD47" i="24" s="1"/>
  <c r="AG43" i="24"/>
  <c r="AF43" i="24" s="1"/>
  <c r="AD43" i="24" s="1"/>
  <c r="AG39" i="24"/>
  <c r="AF39" i="24" s="1"/>
  <c r="AD39" i="24" s="1"/>
  <c r="AG35" i="24"/>
  <c r="AF35" i="24" s="1"/>
  <c r="AD35" i="24" s="1"/>
  <c r="AG31" i="24"/>
  <c r="AF31" i="24" s="1"/>
  <c r="AD31" i="24" s="1"/>
  <c r="AG27" i="24"/>
  <c r="AF27" i="24" s="1"/>
  <c r="AD27" i="24" s="1"/>
  <c r="AG23" i="24"/>
  <c r="AF23" i="24" s="1"/>
  <c r="AD23" i="24" s="1"/>
  <c r="AH383" i="24"/>
  <c r="AG15" i="24"/>
  <c r="AH382" i="24"/>
  <c r="AH381" i="24"/>
  <c r="I284" i="23"/>
  <c r="J284" i="23"/>
  <c r="J224" i="23"/>
  <c r="I224" i="23"/>
  <c r="J74" i="23"/>
  <c r="I74" i="23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20" i="25"/>
  <c r="Q19" i="25"/>
  <c r="Q16" i="25"/>
  <c r="Q18" i="25"/>
  <c r="J155" i="23"/>
  <c r="I155" i="23"/>
  <c r="I186" i="23"/>
  <c r="J186" i="23"/>
  <c r="I202" i="23"/>
  <c r="J202" i="23"/>
  <c r="J139" i="23"/>
  <c r="I139" i="23"/>
  <c r="J219" i="23"/>
  <c r="I219" i="23"/>
  <c r="J58" i="23"/>
  <c r="I58" i="23"/>
  <c r="I312" i="23"/>
  <c r="J312" i="23"/>
  <c r="U10" i="25"/>
  <c r="G363" i="23"/>
  <c r="CD363" i="6" s="1"/>
  <c r="AA363" i="23"/>
  <c r="Z363" i="23" s="1"/>
  <c r="Y363" i="23" s="1"/>
  <c r="G333" i="23"/>
  <c r="CD333" i="6" s="1"/>
  <c r="AA333" i="23"/>
  <c r="Z333" i="23" s="1"/>
  <c r="Y333" i="23" s="1"/>
  <c r="J313" i="23"/>
  <c r="I313" i="23"/>
  <c r="I309" i="23"/>
  <c r="J309" i="23"/>
  <c r="I287" i="23"/>
  <c r="J287" i="23"/>
  <c r="J207" i="23"/>
  <c r="I207" i="23"/>
  <c r="H135" i="23"/>
  <c r="AA135" i="23"/>
  <c r="Z135" i="23" s="1"/>
  <c r="Y135" i="23" s="1"/>
  <c r="G135" i="23"/>
  <c r="CD135" i="6" s="1"/>
  <c r="J90" i="23"/>
  <c r="I90" i="23"/>
  <c r="J140" i="23"/>
  <c r="I140" i="23"/>
  <c r="I354" i="23"/>
  <c r="J354" i="23"/>
  <c r="I324" i="23"/>
  <c r="J324" i="23"/>
  <c r="J288" i="23"/>
  <c r="I288" i="23"/>
  <c r="J286" i="23"/>
  <c r="I286" i="23"/>
  <c r="I260" i="23"/>
  <c r="J260" i="23"/>
  <c r="AJ5" i="23" l="1"/>
  <c r="AK5" i="23"/>
  <c r="BG16" i="7"/>
  <c r="BF15" i="7"/>
  <c r="J39" i="19"/>
  <c r="G31" i="19"/>
  <c r="V379" i="24"/>
  <c r="B379" i="24" s="1"/>
  <c r="D379" i="24" s="1"/>
  <c r="E379" i="24" s="1"/>
  <c r="F379" i="24" s="1"/>
  <c r="D43" i="19"/>
  <c r="AK13" i="20"/>
  <c r="D15" i="19"/>
  <c r="G39" i="19"/>
  <c r="AF383" i="23"/>
  <c r="AD15" i="23"/>
  <c r="AF382" i="23"/>
  <c r="AF381" i="23"/>
  <c r="AL9" i="20"/>
  <c r="AM7" i="20"/>
  <c r="AE104" i="25"/>
  <c r="AE106" i="25"/>
  <c r="AE108" i="25"/>
  <c r="AE110" i="25"/>
  <c r="AE112" i="25"/>
  <c r="AE114" i="25"/>
  <c r="AE116" i="25"/>
  <c r="AE118" i="25"/>
  <c r="AE120" i="25"/>
  <c r="AE122" i="25"/>
  <c r="AE124" i="25"/>
  <c r="AE126" i="25"/>
  <c r="AE128" i="25"/>
  <c r="AE130" i="25"/>
  <c r="AE132" i="25"/>
  <c r="AE134" i="25"/>
  <c r="AE136" i="25"/>
  <c r="AE138" i="25"/>
  <c r="AE140" i="25"/>
  <c r="AE142" i="25"/>
  <c r="AE144" i="25"/>
  <c r="AE146" i="25"/>
  <c r="AE148" i="25"/>
  <c r="AE150" i="25"/>
  <c r="AE152" i="25"/>
  <c r="AE154" i="25"/>
  <c r="AE156" i="25"/>
  <c r="AE158" i="25"/>
  <c r="AE160" i="25"/>
  <c r="AE162" i="25"/>
  <c r="AE164" i="25"/>
  <c r="AE166" i="25"/>
  <c r="AE168" i="25"/>
  <c r="AE170" i="25"/>
  <c r="AE172" i="25"/>
  <c r="AE174" i="25"/>
  <c r="AE176" i="25"/>
  <c r="AE178" i="25"/>
  <c r="AE180" i="25"/>
  <c r="AE182" i="25"/>
  <c r="AE184" i="25"/>
  <c r="AE186" i="25"/>
  <c r="AE188" i="25"/>
  <c r="AE190" i="25"/>
  <c r="AE192" i="25"/>
  <c r="AE194" i="25"/>
  <c r="AE196" i="25"/>
  <c r="AE198" i="25"/>
  <c r="AE200" i="25"/>
  <c r="AE202" i="25"/>
  <c r="AE204" i="25"/>
  <c r="AE206" i="25"/>
  <c r="AE208" i="25"/>
  <c r="AE210" i="25"/>
  <c r="AE212" i="25"/>
  <c r="AE214" i="25"/>
  <c r="AE216" i="25"/>
  <c r="AE218" i="25"/>
  <c r="AE220" i="25"/>
  <c r="AE222" i="25"/>
  <c r="AE224" i="25"/>
  <c r="AE226" i="25"/>
  <c r="AE228" i="25"/>
  <c r="AE230" i="25"/>
  <c r="AE232" i="25"/>
  <c r="AE234" i="25"/>
  <c r="AE236" i="25"/>
  <c r="AE238" i="25"/>
  <c r="AE240" i="25"/>
  <c r="AE242" i="25"/>
  <c r="AE244" i="25"/>
  <c r="AE246" i="25"/>
  <c r="AE248" i="25"/>
  <c r="AE250" i="25"/>
  <c r="AE252" i="25"/>
  <c r="AE254" i="25"/>
  <c r="AE256" i="25"/>
  <c r="AE258" i="25"/>
  <c r="AE260" i="25"/>
  <c r="AE262" i="25"/>
  <c r="AE264" i="25"/>
  <c r="AE266" i="25"/>
  <c r="AE268" i="25"/>
  <c r="AE270" i="25"/>
  <c r="AE272" i="25"/>
  <c r="AE274" i="25"/>
  <c r="AE276" i="25"/>
  <c r="AE278" i="25"/>
  <c r="AE280" i="25"/>
  <c r="AE282" i="25"/>
  <c r="AE284" i="25"/>
  <c r="AE286" i="25"/>
  <c r="AE288" i="25"/>
  <c r="AE290" i="25"/>
  <c r="AE292" i="25"/>
  <c r="AE294" i="25"/>
  <c r="AE296" i="25"/>
  <c r="AE298" i="25"/>
  <c r="AE300" i="25"/>
  <c r="AE302" i="25"/>
  <c r="AE304" i="25"/>
  <c r="AE306" i="25"/>
  <c r="AE308" i="25"/>
  <c r="AE310" i="25"/>
  <c r="AE312" i="25"/>
  <c r="AE314" i="25"/>
  <c r="AE316" i="25"/>
  <c r="AE318" i="25"/>
  <c r="AE320" i="25"/>
  <c r="AE322" i="25"/>
  <c r="AE324" i="25"/>
  <c r="AE326" i="25"/>
  <c r="AE328" i="25"/>
  <c r="AE330" i="25"/>
  <c r="AE332" i="25"/>
  <c r="AE334" i="25"/>
  <c r="AE336" i="25"/>
  <c r="AE338" i="25"/>
  <c r="AE340" i="25"/>
  <c r="AE342" i="25"/>
  <c r="AE344" i="25"/>
  <c r="AE346" i="25"/>
  <c r="AE348" i="25"/>
  <c r="AE350" i="25"/>
  <c r="AE352" i="25"/>
  <c r="AE354" i="25"/>
  <c r="AE356" i="25"/>
  <c r="AE358" i="25"/>
  <c r="AE360" i="25"/>
  <c r="AE362" i="25"/>
  <c r="AE364" i="25"/>
  <c r="AE366" i="25"/>
  <c r="AE368" i="25"/>
  <c r="AE370" i="25"/>
  <c r="AE372" i="25"/>
  <c r="AE374" i="25"/>
  <c r="AE376" i="25"/>
  <c r="AE378" i="25"/>
  <c r="AE257" i="25"/>
  <c r="AE259" i="25"/>
  <c r="AE261" i="25"/>
  <c r="AE263" i="25"/>
  <c r="AE265" i="25"/>
  <c r="AE267" i="25"/>
  <c r="AE269" i="25"/>
  <c r="AE271" i="25"/>
  <c r="AE273" i="25"/>
  <c r="AE275" i="25"/>
  <c r="AE277" i="25"/>
  <c r="AE279" i="25"/>
  <c r="AE281" i="25"/>
  <c r="AE283" i="25"/>
  <c r="AE285" i="25"/>
  <c r="AE287" i="25"/>
  <c r="AE289" i="25"/>
  <c r="AE291" i="25"/>
  <c r="AE293" i="25"/>
  <c r="AE295" i="25"/>
  <c r="AE297" i="25"/>
  <c r="AE299" i="25"/>
  <c r="AE301" i="25"/>
  <c r="AE303" i="25"/>
  <c r="AE305" i="25"/>
  <c r="AE307" i="25"/>
  <c r="AE309" i="25"/>
  <c r="AE311" i="25"/>
  <c r="AE313" i="25"/>
  <c r="AE315" i="25"/>
  <c r="AE317" i="25"/>
  <c r="AE105" i="25"/>
  <c r="AE107" i="25"/>
  <c r="AE109" i="25"/>
  <c r="AE111" i="25"/>
  <c r="AE113" i="25"/>
  <c r="AE115" i="25"/>
  <c r="AE117" i="25"/>
  <c r="AE119" i="25"/>
  <c r="AE121" i="25"/>
  <c r="AE123" i="25"/>
  <c r="AE125" i="25"/>
  <c r="AE127" i="25"/>
  <c r="AE129" i="25"/>
  <c r="AE131" i="25"/>
  <c r="AE133" i="25"/>
  <c r="AE135" i="25"/>
  <c r="AE137" i="25"/>
  <c r="AE139" i="25"/>
  <c r="AE141" i="25"/>
  <c r="AE143" i="25"/>
  <c r="AE145" i="25"/>
  <c r="AE147" i="25"/>
  <c r="AE149" i="25"/>
  <c r="AE151" i="25"/>
  <c r="AE153" i="25"/>
  <c r="AE155" i="25"/>
  <c r="AE157" i="25"/>
  <c r="AE159" i="25"/>
  <c r="AE161" i="25"/>
  <c r="AE163" i="25"/>
  <c r="AE165" i="25"/>
  <c r="AE167" i="25"/>
  <c r="AE169" i="25"/>
  <c r="AE171" i="25"/>
  <c r="AE173" i="25"/>
  <c r="AE175" i="25"/>
  <c r="AE177" i="25"/>
  <c r="AE179" i="25"/>
  <c r="AE181" i="25"/>
  <c r="AE183" i="25"/>
  <c r="AE185" i="25"/>
  <c r="AE187" i="25"/>
  <c r="AE189" i="25"/>
  <c r="AE191" i="25"/>
  <c r="AE193" i="25"/>
  <c r="AE195" i="25"/>
  <c r="AE197" i="25"/>
  <c r="AE199" i="25"/>
  <c r="AE201" i="25"/>
  <c r="AE203" i="25"/>
  <c r="AE205" i="25"/>
  <c r="AE207" i="25"/>
  <c r="AE209" i="25"/>
  <c r="AE211" i="25"/>
  <c r="AE213" i="25"/>
  <c r="AE215" i="25"/>
  <c r="AE217" i="25"/>
  <c r="AE219" i="25"/>
  <c r="AE221" i="25"/>
  <c r="AE223" i="25"/>
  <c r="AE225" i="25"/>
  <c r="AE227" i="25"/>
  <c r="AE229" i="25"/>
  <c r="AE231" i="25"/>
  <c r="AE233" i="25"/>
  <c r="AE235" i="25"/>
  <c r="AE237" i="25"/>
  <c r="AE239" i="25"/>
  <c r="AE241" i="25"/>
  <c r="AE243" i="25"/>
  <c r="AE245" i="25"/>
  <c r="AE247" i="25"/>
  <c r="AE249" i="25"/>
  <c r="AE251" i="25"/>
  <c r="AE253" i="25"/>
  <c r="AE255" i="25"/>
  <c r="AE321" i="25"/>
  <c r="AE325" i="25"/>
  <c r="AE329" i="25"/>
  <c r="AE333" i="25"/>
  <c r="AE337" i="25"/>
  <c r="AE341" i="25"/>
  <c r="AE345" i="25"/>
  <c r="AE349" i="25"/>
  <c r="AE353" i="25"/>
  <c r="AE357" i="25"/>
  <c r="AE361" i="25"/>
  <c r="AE365" i="25"/>
  <c r="AE369" i="25"/>
  <c r="AE373" i="25"/>
  <c r="AE377" i="25"/>
  <c r="AE319" i="25"/>
  <c r="AE323" i="25"/>
  <c r="AE327" i="25"/>
  <c r="AE331" i="25"/>
  <c r="AE335" i="25"/>
  <c r="AE339" i="25"/>
  <c r="AE343" i="25"/>
  <c r="AE347" i="25"/>
  <c r="AE351" i="25"/>
  <c r="AE355" i="25"/>
  <c r="AE359" i="25"/>
  <c r="AE363" i="25"/>
  <c r="AE367" i="25"/>
  <c r="AE371" i="25"/>
  <c r="AE375" i="25"/>
  <c r="AE379" i="25"/>
  <c r="AI11" i="25"/>
  <c r="Q381" i="25"/>
  <c r="I149" i="23"/>
  <c r="J149" i="23"/>
  <c r="D21" i="24"/>
  <c r="E21" i="24" s="1"/>
  <c r="F21" i="24" s="1"/>
  <c r="H21" i="24" s="1"/>
  <c r="W21" i="24"/>
  <c r="AH56" i="7"/>
  <c r="V29" i="24"/>
  <c r="B29" i="24" s="1"/>
  <c r="D37" i="24"/>
  <c r="E37" i="24" s="1"/>
  <c r="F37" i="24" s="1"/>
  <c r="W37" i="24"/>
  <c r="D45" i="24"/>
  <c r="E45" i="24" s="1"/>
  <c r="F45" i="24" s="1"/>
  <c r="H45" i="24" s="1"/>
  <c r="W45" i="24"/>
  <c r="W53" i="24"/>
  <c r="D53" i="24"/>
  <c r="E53" i="24" s="1"/>
  <c r="F53" i="24" s="1"/>
  <c r="D61" i="24"/>
  <c r="E61" i="24" s="1"/>
  <c r="F61" i="24" s="1"/>
  <c r="W61" i="24"/>
  <c r="W69" i="24"/>
  <c r="D69" i="24"/>
  <c r="E69" i="24" s="1"/>
  <c r="F69" i="24" s="1"/>
  <c r="W77" i="24"/>
  <c r="D77" i="24"/>
  <c r="E77" i="24" s="1"/>
  <c r="F77" i="24" s="1"/>
  <c r="H77" i="24" s="1"/>
  <c r="D85" i="24"/>
  <c r="E85" i="24" s="1"/>
  <c r="F85" i="24" s="1"/>
  <c r="H85" i="24" s="1"/>
  <c r="W85" i="24"/>
  <c r="D93" i="24"/>
  <c r="E93" i="24" s="1"/>
  <c r="F93" i="24" s="1"/>
  <c r="W93" i="24"/>
  <c r="W101" i="24"/>
  <c r="D101" i="24"/>
  <c r="E101" i="24" s="1"/>
  <c r="F101" i="24" s="1"/>
  <c r="H101" i="24" s="1"/>
  <c r="D109" i="24"/>
  <c r="E109" i="24" s="1"/>
  <c r="F109" i="24" s="1"/>
  <c r="W109" i="24"/>
  <c r="W117" i="24"/>
  <c r="D117" i="24"/>
  <c r="E117" i="24" s="1"/>
  <c r="F117" i="24" s="1"/>
  <c r="H117" i="24" s="1"/>
  <c r="W125" i="24"/>
  <c r="D125" i="24"/>
  <c r="E125" i="24" s="1"/>
  <c r="F125" i="24" s="1"/>
  <c r="H125" i="24" s="1"/>
  <c r="W133" i="24"/>
  <c r="D133" i="24"/>
  <c r="E133" i="24" s="1"/>
  <c r="F133" i="24" s="1"/>
  <c r="H133" i="24" s="1"/>
  <c r="D141" i="24"/>
  <c r="E141" i="24" s="1"/>
  <c r="F141" i="24" s="1"/>
  <c r="W141" i="24"/>
  <c r="AH60" i="7"/>
  <c r="V149" i="24"/>
  <c r="W157" i="24"/>
  <c r="D157" i="24"/>
  <c r="E157" i="24" s="1"/>
  <c r="F157" i="24" s="1"/>
  <c r="H157" i="24" s="1"/>
  <c r="D165" i="24"/>
  <c r="E165" i="24" s="1"/>
  <c r="F165" i="24" s="1"/>
  <c r="H165" i="24" s="1"/>
  <c r="W165" i="24"/>
  <c r="W173" i="24"/>
  <c r="D173" i="24"/>
  <c r="E173" i="24" s="1"/>
  <c r="F173" i="24" s="1"/>
  <c r="H173" i="24" s="1"/>
  <c r="W181" i="24"/>
  <c r="D181" i="24"/>
  <c r="E181" i="24" s="1"/>
  <c r="F181" i="24" s="1"/>
  <c r="W189" i="24"/>
  <c r="D189" i="24"/>
  <c r="E189" i="24" s="1"/>
  <c r="F189" i="24" s="1"/>
  <c r="D197" i="24"/>
  <c r="E197" i="24" s="1"/>
  <c r="F197" i="24" s="1"/>
  <c r="W197" i="24"/>
  <c r="W205" i="24"/>
  <c r="D205" i="24"/>
  <c r="E205" i="24" s="1"/>
  <c r="F205" i="24" s="1"/>
  <c r="W213" i="24"/>
  <c r="D213" i="24"/>
  <c r="E213" i="24" s="1"/>
  <c r="F213" i="24" s="1"/>
  <c r="H213" i="24" s="1"/>
  <c r="W221" i="24"/>
  <c r="D221" i="24"/>
  <c r="E221" i="24" s="1"/>
  <c r="F221" i="24" s="1"/>
  <c r="D229" i="24"/>
  <c r="E229" i="24" s="1"/>
  <c r="F229" i="24" s="1"/>
  <c r="H229" i="24" s="1"/>
  <c r="W229" i="24"/>
  <c r="W237" i="24"/>
  <c r="D237" i="24"/>
  <c r="E237" i="24" s="1"/>
  <c r="F237" i="24" s="1"/>
  <c r="H237" i="24" s="1"/>
  <c r="W245" i="24"/>
  <c r="D245" i="24"/>
  <c r="E245" i="24" s="1"/>
  <c r="F245" i="24" s="1"/>
  <c r="H245" i="24" s="1"/>
  <c r="W253" i="24"/>
  <c r="D253" i="24"/>
  <c r="E253" i="24" s="1"/>
  <c r="F253" i="24" s="1"/>
  <c r="D261" i="24"/>
  <c r="E261" i="24" s="1"/>
  <c r="F261" i="24" s="1"/>
  <c r="W261" i="24"/>
  <c r="W269" i="24"/>
  <c r="D269" i="24"/>
  <c r="E269" i="24" s="1"/>
  <c r="F269" i="24" s="1"/>
  <c r="H269" i="24" s="1"/>
  <c r="D277" i="24"/>
  <c r="E277" i="24" s="1"/>
  <c r="F277" i="24" s="1"/>
  <c r="H277" i="24" s="1"/>
  <c r="W277" i="24"/>
  <c r="D285" i="24"/>
  <c r="E285" i="24" s="1"/>
  <c r="F285" i="24" s="1"/>
  <c r="H285" i="24" s="1"/>
  <c r="W285" i="24"/>
  <c r="W293" i="24"/>
  <c r="D293" i="24"/>
  <c r="E293" i="24" s="1"/>
  <c r="F293" i="24" s="1"/>
  <c r="D301" i="24"/>
  <c r="E301" i="24" s="1"/>
  <c r="F301" i="24" s="1"/>
  <c r="H301" i="24" s="1"/>
  <c r="W301" i="24"/>
  <c r="W309" i="24"/>
  <c r="D309" i="24"/>
  <c r="E309" i="24" s="1"/>
  <c r="F309" i="24" s="1"/>
  <c r="D317" i="24"/>
  <c r="E317" i="24" s="1"/>
  <c r="F317" i="24" s="1"/>
  <c r="H317" i="24" s="1"/>
  <c r="W317" i="24"/>
  <c r="W325" i="24"/>
  <c r="D325" i="24"/>
  <c r="E325" i="24" s="1"/>
  <c r="F325" i="24" s="1"/>
  <c r="H325" i="24" s="1"/>
  <c r="AH66" i="7"/>
  <c r="V333" i="24"/>
  <c r="B333" i="24" s="1"/>
  <c r="W341" i="24"/>
  <c r="D341" i="24"/>
  <c r="E341" i="24" s="1"/>
  <c r="F341" i="24" s="1"/>
  <c r="W349" i="24"/>
  <c r="D349" i="24"/>
  <c r="E349" i="24" s="1"/>
  <c r="F349" i="24" s="1"/>
  <c r="W357" i="24"/>
  <c r="D357" i="24"/>
  <c r="E357" i="24" s="1"/>
  <c r="F357" i="24" s="1"/>
  <c r="H357" i="24" s="1"/>
  <c r="D365" i="24"/>
  <c r="E365" i="24" s="1"/>
  <c r="F365" i="24" s="1"/>
  <c r="W365" i="24"/>
  <c r="D373" i="24"/>
  <c r="E373" i="24" s="1"/>
  <c r="F373" i="24" s="1"/>
  <c r="H373" i="24" s="1"/>
  <c r="W373" i="24"/>
  <c r="AK6" i="23"/>
  <c r="W15" i="23"/>
  <c r="D15" i="23"/>
  <c r="AJ7" i="23" s="1"/>
  <c r="B383" i="23"/>
  <c r="H9" i="23"/>
  <c r="B18" i="19" s="1"/>
  <c r="B382" i="23"/>
  <c r="AJ6" i="23"/>
  <c r="B381" i="23"/>
  <c r="W22" i="24"/>
  <c r="D22" i="24"/>
  <c r="E22" i="24" s="1"/>
  <c r="F22" i="24" s="1"/>
  <c r="H22" i="24" s="1"/>
  <c r="D30" i="24"/>
  <c r="E30" i="24" s="1"/>
  <c r="F30" i="24" s="1"/>
  <c r="W30" i="24"/>
  <c r="W38" i="24"/>
  <c r="D38" i="24"/>
  <c r="E38" i="24" s="1"/>
  <c r="F38" i="24" s="1"/>
  <c r="H38" i="24" s="1"/>
  <c r="D46" i="24"/>
  <c r="E46" i="24" s="1"/>
  <c r="F46" i="24" s="1"/>
  <c r="H46" i="24" s="1"/>
  <c r="W46" i="24"/>
  <c r="W54" i="24"/>
  <c r="D54" i="24"/>
  <c r="E54" i="24" s="1"/>
  <c r="F54" i="24" s="1"/>
  <c r="H54" i="24" s="1"/>
  <c r="D62" i="24"/>
  <c r="E62" i="24" s="1"/>
  <c r="F62" i="24" s="1"/>
  <c r="W62" i="24"/>
  <c r="W70" i="24"/>
  <c r="D70" i="24"/>
  <c r="E70" i="24" s="1"/>
  <c r="F70" i="24" s="1"/>
  <c r="W78" i="24"/>
  <c r="D78" i="24"/>
  <c r="E78" i="24" s="1"/>
  <c r="F78" i="24" s="1"/>
  <c r="H78" i="24" s="1"/>
  <c r="D86" i="24"/>
  <c r="E86" i="24" s="1"/>
  <c r="F86" i="24" s="1"/>
  <c r="H86" i="24" s="1"/>
  <c r="W86" i="24"/>
  <c r="D94" i="24"/>
  <c r="E94" i="24" s="1"/>
  <c r="F94" i="24" s="1"/>
  <c r="H94" i="24" s="1"/>
  <c r="W94" i="24"/>
  <c r="D102" i="24"/>
  <c r="E102" i="24" s="1"/>
  <c r="F102" i="24" s="1"/>
  <c r="H102" i="24" s="1"/>
  <c r="W102" i="24"/>
  <c r="W110" i="24"/>
  <c r="D110" i="24"/>
  <c r="E110" i="24" s="1"/>
  <c r="F110" i="24" s="1"/>
  <c r="W118" i="24"/>
  <c r="D118" i="24"/>
  <c r="E118" i="24" s="1"/>
  <c r="F118" i="24" s="1"/>
  <c r="H118" i="24" s="1"/>
  <c r="D126" i="24"/>
  <c r="E126" i="24" s="1"/>
  <c r="F126" i="24" s="1"/>
  <c r="H126" i="24" s="1"/>
  <c r="W126" i="24"/>
  <c r="W134" i="24"/>
  <c r="D134" i="24"/>
  <c r="E134" i="24" s="1"/>
  <c r="F134" i="24" s="1"/>
  <c r="W142" i="24"/>
  <c r="D142" i="24"/>
  <c r="E142" i="24" s="1"/>
  <c r="F142" i="24" s="1"/>
  <c r="H142" i="24" s="1"/>
  <c r="W150" i="24"/>
  <c r="D150" i="24"/>
  <c r="E150" i="24" s="1"/>
  <c r="F150" i="24" s="1"/>
  <c r="H150" i="24" s="1"/>
  <c r="W158" i="24"/>
  <c r="D158" i="24"/>
  <c r="E158" i="24" s="1"/>
  <c r="F158" i="24" s="1"/>
  <c r="D166" i="24"/>
  <c r="E166" i="24" s="1"/>
  <c r="F166" i="24" s="1"/>
  <c r="W166" i="24"/>
  <c r="W174" i="24"/>
  <c r="D174" i="24"/>
  <c r="E174" i="24" s="1"/>
  <c r="F174" i="24" s="1"/>
  <c r="H174" i="24" s="1"/>
  <c r="W182" i="24"/>
  <c r="D182" i="24"/>
  <c r="E182" i="24" s="1"/>
  <c r="F182" i="24" s="1"/>
  <c r="D190" i="24"/>
  <c r="E190" i="24" s="1"/>
  <c r="F190" i="24" s="1"/>
  <c r="H190" i="24" s="1"/>
  <c r="W190" i="24"/>
  <c r="D198" i="24"/>
  <c r="E198" i="24" s="1"/>
  <c r="F198" i="24" s="1"/>
  <c r="H198" i="24" s="1"/>
  <c r="W198" i="24"/>
  <c r="D206" i="24"/>
  <c r="E206" i="24" s="1"/>
  <c r="F206" i="24" s="1"/>
  <c r="H206" i="24" s="1"/>
  <c r="W206" i="24"/>
  <c r="D214" i="24"/>
  <c r="E214" i="24" s="1"/>
  <c r="F214" i="24" s="1"/>
  <c r="W214" i="24"/>
  <c r="W222" i="24"/>
  <c r="D222" i="24"/>
  <c r="E222" i="24" s="1"/>
  <c r="F222" i="24" s="1"/>
  <c r="D230" i="24"/>
  <c r="E230" i="24" s="1"/>
  <c r="F230" i="24" s="1"/>
  <c r="H230" i="24" s="1"/>
  <c r="W230" i="24"/>
  <c r="D238" i="24"/>
  <c r="E238" i="24" s="1"/>
  <c r="F238" i="24" s="1"/>
  <c r="H238" i="24" s="1"/>
  <c r="W238" i="24"/>
  <c r="W246" i="24"/>
  <c r="D246" i="24"/>
  <c r="E246" i="24" s="1"/>
  <c r="F246" i="24" s="1"/>
  <c r="H246" i="24" s="1"/>
  <c r="D254" i="24"/>
  <c r="E254" i="24" s="1"/>
  <c r="F254" i="24" s="1"/>
  <c r="H254" i="24" s="1"/>
  <c r="W254" i="24"/>
  <c r="W262" i="24"/>
  <c r="D262" i="24"/>
  <c r="E262" i="24" s="1"/>
  <c r="F262" i="24" s="1"/>
  <c r="D270" i="24"/>
  <c r="E270" i="24" s="1"/>
  <c r="F270" i="24" s="1"/>
  <c r="W270" i="24"/>
  <c r="D278" i="24"/>
  <c r="E278" i="24" s="1"/>
  <c r="F278" i="24" s="1"/>
  <c r="W278" i="24"/>
  <c r="W286" i="24"/>
  <c r="D286" i="24"/>
  <c r="E286" i="24" s="1"/>
  <c r="F286" i="24" s="1"/>
  <c r="D294" i="24"/>
  <c r="E294" i="24" s="1"/>
  <c r="F294" i="24" s="1"/>
  <c r="H294" i="24" s="1"/>
  <c r="W294" i="24"/>
  <c r="AH65" i="7"/>
  <c r="V302" i="24"/>
  <c r="W310" i="24"/>
  <c r="D310" i="24"/>
  <c r="E310" i="24" s="1"/>
  <c r="F310" i="24" s="1"/>
  <c r="W318" i="24"/>
  <c r="D318" i="24"/>
  <c r="E318" i="24" s="1"/>
  <c r="F318" i="24" s="1"/>
  <c r="H318" i="24" s="1"/>
  <c r="D326" i="24"/>
  <c r="E326" i="24" s="1"/>
  <c r="F326" i="24" s="1"/>
  <c r="H326" i="24" s="1"/>
  <c r="W326" i="24"/>
  <c r="D334" i="24"/>
  <c r="E334" i="24" s="1"/>
  <c r="F334" i="24" s="1"/>
  <c r="H334" i="24" s="1"/>
  <c r="W334" i="24"/>
  <c r="W342" i="24"/>
  <c r="D342" i="24"/>
  <c r="E342" i="24" s="1"/>
  <c r="F342" i="24" s="1"/>
  <c r="W350" i="24"/>
  <c r="D350" i="24"/>
  <c r="E350" i="24" s="1"/>
  <c r="F350" i="24" s="1"/>
  <c r="W358" i="24"/>
  <c r="D358" i="24"/>
  <c r="E358" i="24" s="1"/>
  <c r="F358" i="24" s="1"/>
  <c r="H358" i="24" s="1"/>
  <c r="D366" i="24"/>
  <c r="E366" i="24" s="1"/>
  <c r="F366" i="24" s="1"/>
  <c r="H366" i="24" s="1"/>
  <c r="W366" i="24"/>
  <c r="W374" i="24"/>
  <c r="D374" i="24"/>
  <c r="E374" i="24" s="1"/>
  <c r="F374" i="24" s="1"/>
  <c r="H374" i="24" s="1"/>
  <c r="D19" i="24"/>
  <c r="E19" i="24" s="1"/>
  <c r="F19" i="24" s="1"/>
  <c r="H19" i="24" s="1"/>
  <c r="W19" i="24"/>
  <c r="D24" i="24"/>
  <c r="E24" i="24" s="1"/>
  <c r="F24" i="24" s="1"/>
  <c r="H24" i="24" s="1"/>
  <c r="W24" i="24"/>
  <c r="D32" i="24"/>
  <c r="E32" i="24" s="1"/>
  <c r="F32" i="24" s="1"/>
  <c r="H32" i="24" s="1"/>
  <c r="W32" i="24"/>
  <c r="W40" i="24"/>
  <c r="D40" i="24"/>
  <c r="E40" i="24" s="1"/>
  <c r="F40" i="24" s="1"/>
  <c r="H40" i="24" s="1"/>
  <c r="W48" i="24"/>
  <c r="D48" i="24"/>
  <c r="E48" i="24" s="1"/>
  <c r="F48" i="24" s="1"/>
  <c r="D56" i="24"/>
  <c r="E56" i="24" s="1"/>
  <c r="F56" i="24" s="1"/>
  <c r="W56" i="24"/>
  <c r="D64" i="24"/>
  <c r="E64" i="24" s="1"/>
  <c r="F64" i="24" s="1"/>
  <c r="H64" i="24" s="1"/>
  <c r="W64" i="24"/>
  <c r="D72" i="24"/>
  <c r="E72" i="24" s="1"/>
  <c r="F72" i="24" s="1"/>
  <c r="H72" i="24" s="1"/>
  <c r="W72" i="24"/>
  <c r="D80" i="24"/>
  <c r="E80" i="24" s="1"/>
  <c r="F80" i="24" s="1"/>
  <c r="H80" i="24" s="1"/>
  <c r="W80" i="24"/>
  <c r="AH58" i="7"/>
  <c r="V88" i="24"/>
  <c r="W96" i="24"/>
  <c r="D96" i="24"/>
  <c r="E96" i="24" s="1"/>
  <c r="F96" i="24" s="1"/>
  <c r="D104" i="24"/>
  <c r="E104" i="24" s="1"/>
  <c r="F104" i="24" s="1"/>
  <c r="H104" i="24" s="1"/>
  <c r="W104" i="24"/>
  <c r="W112" i="24"/>
  <c r="D112" i="24"/>
  <c r="E112" i="24" s="1"/>
  <c r="F112" i="24" s="1"/>
  <c r="H112" i="24" s="1"/>
  <c r="D120" i="24"/>
  <c r="E120" i="24" s="1"/>
  <c r="F120" i="24" s="1"/>
  <c r="H120" i="24" s="1"/>
  <c r="W120" i="24"/>
  <c r="D128" i="24"/>
  <c r="E128" i="24" s="1"/>
  <c r="F128" i="24" s="1"/>
  <c r="H128" i="24" s="1"/>
  <c r="W128" i="24"/>
  <c r="D136" i="24"/>
  <c r="E136" i="24" s="1"/>
  <c r="F136" i="24" s="1"/>
  <c r="H136" i="24" s="1"/>
  <c r="W136" i="24"/>
  <c r="W144" i="24"/>
  <c r="D144" i="24"/>
  <c r="E144" i="24" s="1"/>
  <c r="F144" i="24" s="1"/>
  <c r="H144" i="24" s="1"/>
  <c r="D152" i="24"/>
  <c r="E152" i="24" s="1"/>
  <c r="F152" i="24" s="1"/>
  <c r="H152" i="24" s="1"/>
  <c r="W152" i="24"/>
  <c r="W160" i="24"/>
  <c r="D160" i="24"/>
  <c r="E160" i="24" s="1"/>
  <c r="F160" i="24" s="1"/>
  <c r="H160" i="24" s="1"/>
  <c r="W168" i="24"/>
  <c r="D168" i="24"/>
  <c r="E168" i="24" s="1"/>
  <c r="F168" i="24" s="1"/>
  <c r="W176" i="24"/>
  <c r="D176" i="24"/>
  <c r="E176" i="24" s="1"/>
  <c r="F176" i="24" s="1"/>
  <c r="H176" i="24" s="1"/>
  <c r="W184" i="24"/>
  <c r="D184" i="24"/>
  <c r="E184" i="24" s="1"/>
  <c r="F184" i="24" s="1"/>
  <c r="D192" i="24"/>
  <c r="E192" i="24" s="1"/>
  <c r="F192" i="24" s="1"/>
  <c r="H192" i="24" s="1"/>
  <c r="W192" i="24"/>
  <c r="W200" i="24"/>
  <c r="D200" i="24"/>
  <c r="E200" i="24" s="1"/>
  <c r="F200" i="24" s="1"/>
  <c r="D208" i="24"/>
  <c r="E208" i="24" s="1"/>
  <c r="F208" i="24" s="1"/>
  <c r="H208" i="24" s="1"/>
  <c r="W208" i="24"/>
  <c r="W216" i="24"/>
  <c r="D216" i="24"/>
  <c r="E216" i="24" s="1"/>
  <c r="F216" i="24" s="1"/>
  <c r="W224" i="24"/>
  <c r="D224" i="24"/>
  <c r="E224" i="24" s="1"/>
  <c r="F224" i="24" s="1"/>
  <c r="H224" i="24" s="1"/>
  <c r="W232" i="24"/>
  <c r="D232" i="24"/>
  <c r="E232" i="24" s="1"/>
  <c r="F232" i="24" s="1"/>
  <c r="W240" i="24"/>
  <c r="D240" i="24"/>
  <c r="E240" i="24" s="1"/>
  <c r="F240" i="24" s="1"/>
  <c r="D248" i="24"/>
  <c r="E248" i="24" s="1"/>
  <c r="F248" i="24" s="1"/>
  <c r="W248" i="24"/>
  <c r="W256" i="24"/>
  <c r="D256" i="24"/>
  <c r="E256" i="24" s="1"/>
  <c r="F256" i="24" s="1"/>
  <c r="D264" i="24"/>
  <c r="E264" i="24" s="1"/>
  <c r="F264" i="24" s="1"/>
  <c r="H264" i="24" s="1"/>
  <c r="W264" i="24"/>
  <c r="AH64" i="7"/>
  <c r="V272" i="24"/>
  <c r="W280" i="24"/>
  <c r="D280" i="24"/>
  <c r="E280" i="24" s="1"/>
  <c r="F280" i="24" s="1"/>
  <c r="H280" i="24" s="1"/>
  <c r="W288" i="24"/>
  <c r="D288" i="24"/>
  <c r="E288" i="24" s="1"/>
  <c r="F288" i="24" s="1"/>
  <c r="W296" i="24"/>
  <c r="D296" i="24"/>
  <c r="E296" i="24" s="1"/>
  <c r="F296" i="24" s="1"/>
  <c r="D304" i="24"/>
  <c r="E304" i="24" s="1"/>
  <c r="F304" i="24" s="1"/>
  <c r="W304" i="24"/>
  <c r="W312" i="24"/>
  <c r="D312" i="24"/>
  <c r="E312" i="24" s="1"/>
  <c r="F312" i="24" s="1"/>
  <c r="W320" i="24"/>
  <c r="D320" i="24"/>
  <c r="E320" i="24" s="1"/>
  <c r="F320" i="24" s="1"/>
  <c r="W328" i="24"/>
  <c r="D328" i="24"/>
  <c r="E328" i="24" s="1"/>
  <c r="F328" i="24" s="1"/>
  <c r="H328" i="24" s="1"/>
  <c r="W336" i="24"/>
  <c r="D336" i="24"/>
  <c r="E336" i="24" s="1"/>
  <c r="F336" i="24" s="1"/>
  <c r="H336" i="24" s="1"/>
  <c r="D344" i="24"/>
  <c r="E344" i="24" s="1"/>
  <c r="F344" i="24" s="1"/>
  <c r="H344" i="24" s="1"/>
  <c r="W344" i="24"/>
  <c r="D352" i="24"/>
  <c r="E352" i="24" s="1"/>
  <c r="F352" i="24" s="1"/>
  <c r="H352" i="24" s="1"/>
  <c r="W352" i="24"/>
  <c r="D360" i="24"/>
  <c r="E360" i="24" s="1"/>
  <c r="F360" i="24" s="1"/>
  <c r="H360" i="24" s="1"/>
  <c r="W360" i="24"/>
  <c r="D368" i="24"/>
  <c r="E368" i="24" s="1"/>
  <c r="F368" i="24" s="1"/>
  <c r="H368" i="24" s="1"/>
  <c r="W368" i="24"/>
  <c r="D376" i="24"/>
  <c r="E376" i="24" s="1"/>
  <c r="F376" i="24" s="1"/>
  <c r="H376" i="24" s="1"/>
  <c r="W376" i="24"/>
  <c r="D25" i="24"/>
  <c r="E25" i="24" s="1"/>
  <c r="F25" i="24" s="1"/>
  <c r="W25" i="24"/>
  <c r="W33" i="24"/>
  <c r="D33" i="24"/>
  <c r="E33" i="24" s="1"/>
  <c r="F33" i="24" s="1"/>
  <c r="H33" i="24" s="1"/>
  <c r="W41" i="24"/>
  <c r="D41" i="24"/>
  <c r="E41" i="24" s="1"/>
  <c r="F41" i="24" s="1"/>
  <c r="H41" i="24" s="1"/>
  <c r="D49" i="24"/>
  <c r="E49" i="24" s="1"/>
  <c r="F49" i="24" s="1"/>
  <c r="W49" i="24"/>
  <c r="D57" i="24"/>
  <c r="E57" i="24" s="1"/>
  <c r="F57" i="24" s="1"/>
  <c r="H57" i="24" s="1"/>
  <c r="W57" i="24"/>
  <c r="D65" i="24"/>
  <c r="E65" i="24" s="1"/>
  <c r="F65" i="24" s="1"/>
  <c r="W65" i="24"/>
  <c r="W73" i="24"/>
  <c r="D73" i="24"/>
  <c r="E73" i="24" s="1"/>
  <c r="F73" i="24" s="1"/>
  <c r="H73" i="24" s="1"/>
  <c r="D81" i="24"/>
  <c r="E81" i="24" s="1"/>
  <c r="F81" i="24" s="1"/>
  <c r="H81" i="24" s="1"/>
  <c r="W81" i="24"/>
  <c r="W89" i="24"/>
  <c r="D89" i="24"/>
  <c r="E89" i="24" s="1"/>
  <c r="F89" i="24" s="1"/>
  <c r="H89" i="24" s="1"/>
  <c r="W97" i="24"/>
  <c r="D97" i="24"/>
  <c r="E97" i="24" s="1"/>
  <c r="F97" i="24" s="1"/>
  <c r="H97" i="24" s="1"/>
  <c r="D105" i="24"/>
  <c r="E105" i="24" s="1"/>
  <c r="F105" i="24" s="1"/>
  <c r="W105" i="24"/>
  <c r="W113" i="24"/>
  <c r="D113" i="24"/>
  <c r="E113" i="24" s="1"/>
  <c r="F113" i="24" s="1"/>
  <c r="W121" i="24"/>
  <c r="D121" i="24"/>
  <c r="E121" i="24" s="1"/>
  <c r="F121" i="24" s="1"/>
  <c r="H121" i="24" s="1"/>
  <c r="D129" i="24"/>
  <c r="E129" i="24" s="1"/>
  <c r="F129" i="24" s="1"/>
  <c r="W129" i="24"/>
  <c r="D137" i="24"/>
  <c r="E137" i="24" s="1"/>
  <c r="F137" i="24" s="1"/>
  <c r="H137" i="24" s="1"/>
  <c r="W137" i="24"/>
  <c r="D145" i="24"/>
  <c r="E145" i="24" s="1"/>
  <c r="F145" i="24" s="1"/>
  <c r="W145" i="24"/>
  <c r="D153" i="24"/>
  <c r="E153" i="24" s="1"/>
  <c r="F153" i="24" s="1"/>
  <c r="H153" i="24" s="1"/>
  <c r="W153" i="24"/>
  <c r="W161" i="24"/>
  <c r="D161" i="24"/>
  <c r="E161" i="24" s="1"/>
  <c r="F161" i="24" s="1"/>
  <c r="W169" i="24"/>
  <c r="D169" i="24"/>
  <c r="E169" i="24" s="1"/>
  <c r="F169" i="24" s="1"/>
  <c r="H169" i="24" s="1"/>
  <c r="D177" i="24"/>
  <c r="E177" i="24" s="1"/>
  <c r="F177" i="24" s="1"/>
  <c r="W177" i="24"/>
  <c r="W185" i="24"/>
  <c r="D185" i="24"/>
  <c r="E185" i="24" s="1"/>
  <c r="F185" i="24" s="1"/>
  <c r="H185" i="24" s="1"/>
  <c r="D193" i="24"/>
  <c r="E193" i="24" s="1"/>
  <c r="F193" i="24" s="1"/>
  <c r="H193" i="24" s="1"/>
  <c r="W193" i="24"/>
  <c r="W201" i="24"/>
  <c r="D201" i="24"/>
  <c r="E201" i="24" s="1"/>
  <c r="F201" i="24" s="1"/>
  <c r="H201" i="24" s="1"/>
  <c r="W209" i="24"/>
  <c r="D209" i="24"/>
  <c r="E209" i="24" s="1"/>
  <c r="F209" i="24" s="1"/>
  <c r="H209" i="24" s="1"/>
  <c r="D217" i="24"/>
  <c r="E217" i="24" s="1"/>
  <c r="F217" i="24" s="1"/>
  <c r="H217" i="24" s="1"/>
  <c r="W217" i="24"/>
  <c r="W225" i="24"/>
  <c r="D225" i="24"/>
  <c r="E225" i="24" s="1"/>
  <c r="F225" i="24" s="1"/>
  <c r="D233" i="24"/>
  <c r="E233" i="24" s="1"/>
  <c r="F233" i="24" s="1"/>
  <c r="H233" i="24" s="1"/>
  <c r="W233" i="24"/>
  <c r="AH63" i="7"/>
  <c r="V241" i="24"/>
  <c r="D249" i="24"/>
  <c r="E249" i="24" s="1"/>
  <c r="F249" i="24" s="1"/>
  <c r="H249" i="24" s="1"/>
  <c r="W249" i="24"/>
  <c r="D257" i="24"/>
  <c r="E257" i="24" s="1"/>
  <c r="F257" i="24" s="1"/>
  <c r="H257" i="24" s="1"/>
  <c r="W257" i="24"/>
  <c r="W265" i="24"/>
  <c r="D265" i="24"/>
  <c r="E265" i="24" s="1"/>
  <c r="F265" i="24" s="1"/>
  <c r="H265" i="24" s="1"/>
  <c r="W273" i="24"/>
  <c r="D273" i="24"/>
  <c r="E273" i="24" s="1"/>
  <c r="F273" i="24" s="1"/>
  <c r="H273" i="24" s="1"/>
  <c r="D281" i="24"/>
  <c r="E281" i="24" s="1"/>
  <c r="F281" i="24" s="1"/>
  <c r="H281" i="24" s="1"/>
  <c r="W281" i="24"/>
  <c r="D289" i="24"/>
  <c r="E289" i="24" s="1"/>
  <c r="F289" i="24" s="1"/>
  <c r="W289" i="24"/>
  <c r="D297" i="24"/>
  <c r="E297" i="24" s="1"/>
  <c r="F297" i="24" s="1"/>
  <c r="W297" i="24"/>
  <c r="W305" i="24"/>
  <c r="D305" i="24"/>
  <c r="E305" i="24" s="1"/>
  <c r="F305" i="24" s="1"/>
  <c r="H305" i="24" s="1"/>
  <c r="W313" i="24"/>
  <c r="D313" i="24"/>
  <c r="E313" i="24" s="1"/>
  <c r="F313" i="24" s="1"/>
  <c r="D321" i="24"/>
  <c r="E321" i="24" s="1"/>
  <c r="F321" i="24" s="1"/>
  <c r="W321" i="24"/>
  <c r="W329" i="24"/>
  <c r="D329" i="24"/>
  <c r="E329" i="24" s="1"/>
  <c r="F329" i="24" s="1"/>
  <c r="H329" i="24" s="1"/>
  <c r="W337" i="24"/>
  <c r="D337" i="24"/>
  <c r="E337" i="24" s="1"/>
  <c r="F337" i="24" s="1"/>
  <c r="H337" i="24" s="1"/>
  <c r="D345" i="24"/>
  <c r="E345" i="24" s="1"/>
  <c r="F345" i="24" s="1"/>
  <c r="W345" i="24"/>
  <c r="D353" i="24"/>
  <c r="E353" i="24" s="1"/>
  <c r="F353" i="24" s="1"/>
  <c r="H353" i="24" s="1"/>
  <c r="W353" i="24"/>
  <c r="D361" i="24"/>
  <c r="E361" i="24" s="1"/>
  <c r="F361" i="24" s="1"/>
  <c r="H361" i="24" s="1"/>
  <c r="W361" i="24"/>
  <c r="D369" i="24"/>
  <c r="E369" i="24" s="1"/>
  <c r="F369" i="24" s="1"/>
  <c r="H369" i="24" s="1"/>
  <c r="W369" i="24"/>
  <c r="D377" i="24"/>
  <c r="E377" i="24" s="1"/>
  <c r="F377" i="24" s="1"/>
  <c r="H377" i="24" s="1"/>
  <c r="W377" i="24"/>
  <c r="J302" i="23"/>
  <c r="I302" i="23"/>
  <c r="W17" i="24"/>
  <c r="D17" i="24"/>
  <c r="E17" i="24" s="1"/>
  <c r="F17" i="24" s="1"/>
  <c r="H17" i="24" s="1"/>
  <c r="D26" i="24"/>
  <c r="E26" i="24" s="1"/>
  <c r="F26" i="24" s="1"/>
  <c r="W26" i="24"/>
  <c r="W34" i="24"/>
  <c r="D34" i="24"/>
  <c r="E34" i="24" s="1"/>
  <c r="F34" i="24" s="1"/>
  <c r="W42" i="24"/>
  <c r="D42" i="24"/>
  <c r="E42" i="24" s="1"/>
  <c r="F42" i="24" s="1"/>
  <c r="H42" i="24" s="1"/>
  <c r="W50" i="24"/>
  <c r="D50" i="24"/>
  <c r="E50" i="24" s="1"/>
  <c r="F50" i="24" s="1"/>
  <c r="H50" i="24" s="1"/>
  <c r="D58" i="24"/>
  <c r="E58" i="24" s="1"/>
  <c r="F58" i="24" s="1"/>
  <c r="H58" i="24" s="1"/>
  <c r="W58" i="24"/>
  <c r="D66" i="24"/>
  <c r="E66" i="24" s="1"/>
  <c r="F66" i="24" s="1"/>
  <c r="H66" i="24" s="1"/>
  <c r="W66" i="24"/>
  <c r="W74" i="24"/>
  <c r="D74" i="24"/>
  <c r="E74" i="24" s="1"/>
  <c r="F74" i="24" s="1"/>
  <c r="H74" i="24" s="1"/>
  <c r="W82" i="24"/>
  <c r="D82" i="24"/>
  <c r="E82" i="24" s="1"/>
  <c r="F82" i="24" s="1"/>
  <c r="D90" i="24"/>
  <c r="E90" i="24" s="1"/>
  <c r="F90" i="24" s="1"/>
  <c r="H90" i="24" s="1"/>
  <c r="W90" i="24"/>
  <c r="D98" i="24"/>
  <c r="E98" i="24" s="1"/>
  <c r="F98" i="24" s="1"/>
  <c r="H98" i="24" s="1"/>
  <c r="W98" i="24"/>
  <c r="W106" i="24"/>
  <c r="D106" i="24"/>
  <c r="E106" i="24" s="1"/>
  <c r="F106" i="24" s="1"/>
  <c r="H106" i="24" s="1"/>
  <c r="D114" i="24"/>
  <c r="E114" i="24" s="1"/>
  <c r="F114" i="24" s="1"/>
  <c r="H114" i="24" s="1"/>
  <c r="W114" i="24"/>
  <c r="D122" i="24"/>
  <c r="E122" i="24" s="1"/>
  <c r="F122" i="24" s="1"/>
  <c r="H122" i="24" s="1"/>
  <c r="W122" i="24"/>
  <c r="W130" i="24"/>
  <c r="D130" i="24"/>
  <c r="E130" i="24" s="1"/>
  <c r="F130" i="24" s="1"/>
  <c r="H130" i="24" s="1"/>
  <c r="W138" i="24"/>
  <c r="D138" i="24"/>
  <c r="E138" i="24" s="1"/>
  <c r="F138" i="24" s="1"/>
  <c r="H138" i="24" s="1"/>
  <c r="D146" i="24"/>
  <c r="E146" i="24" s="1"/>
  <c r="F146" i="24" s="1"/>
  <c r="W146" i="24"/>
  <c r="W154" i="24"/>
  <c r="D154" i="24"/>
  <c r="E154" i="24" s="1"/>
  <c r="F154" i="24" s="1"/>
  <c r="H154" i="24" s="1"/>
  <c r="D162" i="24"/>
  <c r="E162" i="24" s="1"/>
  <c r="F162" i="24" s="1"/>
  <c r="H162" i="24" s="1"/>
  <c r="W162" i="24"/>
  <c r="W170" i="24"/>
  <c r="D170" i="24"/>
  <c r="E170" i="24" s="1"/>
  <c r="F170" i="24" s="1"/>
  <c r="D178" i="24"/>
  <c r="E178" i="24" s="1"/>
  <c r="F178" i="24" s="1"/>
  <c r="H178" i="24" s="1"/>
  <c r="W178" i="24"/>
  <c r="W186" i="24"/>
  <c r="D186" i="24"/>
  <c r="E186" i="24" s="1"/>
  <c r="F186" i="24" s="1"/>
  <c r="H186" i="24" s="1"/>
  <c r="D194" i="24"/>
  <c r="E194" i="24" s="1"/>
  <c r="F194" i="24" s="1"/>
  <c r="W194" i="24"/>
  <c r="W202" i="24"/>
  <c r="D202" i="24"/>
  <c r="E202" i="24" s="1"/>
  <c r="F202" i="24" s="1"/>
  <c r="H202" i="24" s="1"/>
  <c r="AH62" i="7"/>
  <c r="V210" i="24"/>
  <c r="B210" i="24" s="1"/>
  <c r="D218" i="24"/>
  <c r="E218" i="24" s="1"/>
  <c r="F218" i="24" s="1"/>
  <c r="H218" i="24" s="1"/>
  <c r="W218" i="24"/>
  <c r="D226" i="24"/>
  <c r="E226" i="24" s="1"/>
  <c r="F226" i="24" s="1"/>
  <c r="W226" i="24"/>
  <c r="D234" i="24"/>
  <c r="E234" i="24" s="1"/>
  <c r="F234" i="24" s="1"/>
  <c r="H234" i="24" s="1"/>
  <c r="W234" i="24"/>
  <c r="D242" i="24"/>
  <c r="E242" i="24" s="1"/>
  <c r="F242" i="24" s="1"/>
  <c r="H242" i="24" s="1"/>
  <c r="W242" i="24"/>
  <c r="D250" i="24"/>
  <c r="E250" i="24" s="1"/>
  <c r="F250" i="24" s="1"/>
  <c r="W250" i="24"/>
  <c r="D258" i="24"/>
  <c r="E258" i="24" s="1"/>
  <c r="F258" i="24" s="1"/>
  <c r="H258" i="24" s="1"/>
  <c r="W258" i="24"/>
  <c r="D266" i="24"/>
  <c r="E266" i="24" s="1"/>
  <c r="F266" i="24" s="1"/>
  <c r="H266" i="24" s="1"/>
  <c r="W266" i="24"/>
  <c r="D274" i="24"/>
  <c r="E274" i="24" s="1"/>
  <c r="F274" i="24" s="1"/>
  <c r="H274" i="24" s="1"/>
  <c r="W274" i="24"/>
  <c r="W282" i="24"/>
  <c r="D282" i="24"/>
  <c r="E282" i="24" s="1"/>
  <c r="F282" i="24" s="1"/>
  <c r="W290" i="24"/>
  <c r="D290" i="24"/>
  <c r="E290" i="24" s="1"/>
  <c r="F290" i="24" s="1"/>
  <c r="H290" i="24" s="1"/>
  <c r="W298" i="24"/>
  <c r="D298" i="24"/>
  <c r="E298" i="24" s="1"/>
  <c r="F298" i="24" s="1"/>
  <c r="H298" i="24" s="1"/>
  <c r="D306" i="24"/>
  <c r="E306" i="24" s="1"/>
  <c r="F306" i="24" s="1"/>
  <c r="H306" i="24" s="1"/>
  <c r="W306" i="24"/>
  <c r="W314" i="24"/>
  <c r="D314" i="24"/>
  <c r="E314" i="24" s="1"/>
  <c r="F314" i="24" s="1"/>
  <c r="H314" i="24" s="1"/>
  <c r="W322" i="24"/>
  <c r="D322" i="24"/>
  <c r="E322" i="24" s="1"/>
  <c r="F322" i="24" s="1"/>
  <c r="H322" i="24" s="1"/>
  <c r="W330" i="24"/>
  <c r="D330" i="24"/>
  <c r="E330" i="24" s="1"/>
  <c r="F330" i="24" s="1"/>
  <c r="H330" i="24" s="1"/>
  <c r="W338" i="24"/>
  <c r="D338" i="24"/>
  <c r="E338" i="24" s="1"/>
  <c r="F338" i="24" s="1"/>
  <c r="W346" i="24"/>
  <c r="D346" i="24"/>
  <c r="E346" i="24" s="1"/>
  <c r="F346" i="24" s="1"/>
  <c r="H346" i="24" s="1"/>
  <c r="W354" i="24"/>
  <c r="D354" i="24"/>
  <c r="E354" i="24" s="1"/>
  <c r="F354" i="24" s="1"/>
  <c r="W362" i="24"/>
  <c r="D362" i="24"/>
  <c r="E362" i="24" s="1"/>
  <c r="F362" i="24" s="1"/>
  <c r="H362" i="24" s="1"/>
  <c r="D370" i="24"/>
  <c r="E370" i="24" s="1"/>
  <c r="F370" i="24" s="1"/>
  <c r="H370" i="24" s="1"/>
  <c r="W370" i="24"/>
  <c r="D378" i="24"/>
  <c r="E378" i="24" s="1"/>
  <c r="F378" i="24" s="1"/>
  <c r="H378" i="24" s="1"/>
  <c r="W378" i="24"/>
  <c r="D20" i="24"/>
  <c r="E20" i="24" s="1"/>
  <c r="F20" i="24" s="1"/>
  <c r="H20" i="24" s="1"/>
  <c r="W20" i="24"/>
  <c r="W28" i="24"/>
  <c r="D28" i="24"/>
  <c r="E28" i="24" s="1"/>
  <c r="F28" i="24" s="1"/>
  <c r="H28" i="24" s="1"/>
  <c r="D36" i="24"/>
  <c r="E36" i="24" s="1"/>
  <c r="F36" i="24" s="1"/>
  <c r="H36" i="24" s="1"/>
  <c r="W36" i="24"/>
  <c r="D44" i="24"/>
  <c r="E44" i="24" s="1"/>
  <c r="F44" i="24" s="1"/>
  <c r="H44" i="24" s="1"/>
  <c r="W44" i="24"/>
  <c r="D52" i="24"/>
  <c r="E52" i="24" s="1"/>
  <c r="F52" i="24" s="1"/>
  <c r="H52" i="24" s="1"/>
  <c r="W52" i="24"/>
  <c r="AH57" i="7"/>
  <c r="V60" i="24"/>
  <c r="D68" i="24"/>
  <c r="E68" i="24" s="1"/>
  <c r="F68" i="24" s="1"/>
  <c r="H68" i="24" s="1"/>
  <c r="W68" i="24"/>
  <c r="W76" i="24"/>
  <c r="D76" i="24"/>
  <c r="E76" i="24" s="1"/>
  <c r="F76" i="24" s="1"/>
  <c r="H76" i="24" s="1"/>
  <c r="W84" i="24"/>
  <c r="D84" i="24"/>
  <c r="E84" i="24" s="1"/>
  <c r="F84" i="24" s="1"/>
  <c r="H84" i="24" s="1"/>
  <c r="W92" i="24"/>
  <c r="D92" i="24"/>
  <c r="E92" i="24" s="1"/>
  <c r="F92" i="24" s="1"/>
  <c r="H92" i="24" s="1"/>
  <c r="W100" i="24"/>
  <c r="D100" i="24"/>
  <c r="E100" i="24" s="1"/>
  <c r="F100" i="24" s="1"/>
  <c r="H100" i="24" s="1"/>
  <c r="D108" i="24"/>
  <c r="E108" i="24" s="1"/>
  <c r="F108" i="24" s="1"/>
  <c r="H108" i="24" s="1"/>
  <c r="W108" i="24"/>
  <c r="W116" i="24"/>
  <c r="D116" i="24"/>
  <c r="E116" i="24" s="1"/>
  <c r="F116" i="24" s="1"/>
  <c r="H116" i="24" s="1"/>
  <c r="W124" i="24"/>
  <c r="D124" i="24"/>
  <c r="E124" i="24" s="1"/>
  <c r="F124" i="24" s="1"/>
  <c r="H124" i="24" s="1"/>
  <c r="D132" i="24"/>
  <c r="E132" i="24" s="1"/>
  <c r="F132" i="24" s="1"/>
  <c r="H132" i="24" s="1"/>
  <c r="W132" i="24"/>
  <c r="W140" i="24"/>
  <c r="D140" i="24"/>
  <c r="E140" i="24" s="1"/>
  <c r="F140" i="24" s="1"/>
  <c r="H140" i="24" s="1"/>
  <c r="D148" i="24"/>
  <c r="E148" i="24" s="1"/>
  <c r="F148" i="24" s="1"/>
  <c r="H148" i="24" s="1"/>
  <c r="W148" i="24"/>
  <c r="D156" i="24"/>
  <c r="E156" i="24" s="1"/>
  <c r="F156" i="24" s="1"/>
  <c r="W156" i="24"/>
  <c r="W164" i="24"/>
  <c r="D164" i="24"/>
  <c r="E164" i="24" s="1"/>
  <c r="F164" i="24" s="1"/>
  <c r="H164" i="24" s="1"/>
  <c r="D172" i="24"/>
  <c r="E172" i="24" s="1"/>
  <c r="F172" i="24" s="1"/>
  <c r="H172" i="24" s="1"/>
  <c r="W172" i="24"/>
  <c r="AH61" i="7"/>
  <c r="V180" i="24"/>
  <c r="W188" i="24"/>
  <c r="D188" i="24"/>
  <c r="E188" i="24" s="1"/>
  <c r="F188" i="24" s="1"/>
  <c r="H188" i="24" s="1"/>
  <c r="B196" i="24"/>
  <c r="W204" i="24"/>
  <c r="D204" i="24"/>
  <c r="E204" i="24" s="1"/>
  <c r="F204" i="24" s="1"/>
  <c r="H204" i="24" s="1"/>
  <c r="W212" i="24"/>
  <c r="D212" i="24"/>
  <c r="E212" i="24" s="1"/>
  <c r="F212" i="24" s="1"/>
  <c r="H212" i="24" s="1"/>
  <c r="D220" i="24"/>
  <c r="E220" i="24" s="1"/>
  <c r="F220" i="24" s="1"/>
  <c r="W220" i="24"/>
  <c r="D228" i="24"/>
  <c r="E228" i="24" s="1"/>
  <c r="F228" i="24" s="1"/>
  <c r="W228" i="24"/>
  <c r="D236" i="24"/>
  <c r="E236" i="24" s="1"/>
  <c r="F236" i="24" s="1"/>
  <c r="W236" i="24"/>
  <c r="D244" i="24"/>
  <c r="E244" i="24" s="1"/>
  <c r="F244" i="24" s="1"/>
  <c r="H244" i="24" s="1"/>
  <c r="W244" i="24"/>
  <c r="D252" i="24"/>
  <c r="E252" i="24" s="1"/>
  <c r="F252" i="24" s="1"/>
  <c r="W252" i="24"/>
  <c r="W260" i="24"/>
  <c r="D260" i="24"/>
  <c r="E260" i="24" s="1"/>
  <c r="F260" i="24" s="1"/>
  <c r="W268" i="24"/>
  <c r="D268" i="24"/>
  <c r="E268" i="24" s="1"/>
  <c r="F268" i="24" s="1"/>
  <c r="H268" i="24" s="1"/>
  <c r="D276" i="24"/>
  <c r="E276" i="24" s="1"/>
  <c r="F276" i="24" s="1"/>
  <c r="H276" i="24" s="1"/>
  <c r="W276" i="24"/>
  <c r="D284" i="24"/>
  <c r="E284" i="24" s="1"/>
  <c r="F284" i="24" s="1"/>
  <c r="H284" i="24" s="1"/>
  <c r="W284" i="24"/>
  <c r="W292" i="24"/>
  <c r="D292" i="24"/>
  <c r="E292" i="24" s="1"/>
  <c r="F292" i="24" s="1"/>
  <c r="H292" i="24" s="1"/>
  <c r="D300" i="24"/>
  <c r="E300" i="24" s="1"/>
  <c r="F300" i="24" s="1"/>
  <c r="H300" i="24" s="1"/>
  <c r="W300" i="24"/>
  <c r="W308" i="24"/>
  <c r="D308" i="24"/>
  <c r="E308" i="24" s="1"/>
  <c r="F308" i="24" s="1"/>
  <c r="H308" i="24" s="1"/>
  <c r="W316" i="24"/>
  <c r="D316" i="24"/>
  <c r="E316" i="24" s="1"/>
  <c r="F316" i="24" s="1"/>
  <c r="H316" i="24" s="1"/>
  <c r="W324" i="24"/>
  <c r="D324" i="24"/>
  <c r="E324" i="24" s="1"/>
  <c r="F324" i="24" s="1"/>
  <c r="D332" i="24"/>
  <c r="E332" i="24" s="1"/>
  <c r="F332" i="24" s="1"/>
  <c r="W332" i="24"/>
  <c r="W340" i="24"/>
  <c r="D340" i="24"/>
  <c r="E340" i="24" s="1"/>
  <c r="F340" i="24" s="1"/>
  <c r="W348" i="24"/>
  <c r="D348" i="24"/>
  <c r="E348" i="24" s="1"/>
  <c r="F348" i="24" s="1"/>
  <c r="H348" i="24" s="1"/>
  <c r="W356" i="24"/>
  <c r="D356" i="24"/>
  <c r="E356" i="24" s="1"/>
  <c r="F356" i="24" s="1"/>
  <c r="D364" i="24"/>
  <c r="E364" i="24" s="1"/>
  <c r="F364" i="24" s="1"/>
  <c r="H364" i="24" s="1"/>
  <c r="W364" i="24"/>
  <c r="W372" i="24"/>
  <c r="D372" i="24"/>
  <c r="E372" i="24" s="1"/>
  <c r="F372" i="24" s="1"/>
  <c r="H372" i="24" s="1"/>
  <c r="AI378" i="25"/>
  <c r="AI374" i="25"/>
  <c r="AI370" i="25"/>
  <c r="AI366" i="25"/>
  <c r="AI362" i="25"/>
  <c r="AI358" i="25"/>
  <c r="AI354" i="25"/>
  <c r="AI350" i="25"/>
  <c r="AI346" i="25"/>
  <c r="AI342" i="25"/>
  <c r="AI338" i="25"/>
  <c r="AI334" i="25"/>
  <c r="AI330" i="25"/>
  <c r="AI326" i="25"/>
  <c r="AI322" i="25"/>
  <c r="AI318" i="25"/>
  <c r="AI314" i="25"/>
  <c r="AI310" i="25"/>
  <c r="AI306" i="25"/>
  <c r="AI304" i="25"/>
  <c r="AI300" i="25"/>
  <c r="AI296" i="25"/>
  <c r="AI292" i="25"/>
  <c r="AI288" i="25"/>
  <c r="AI282" i="25"/>
  <c r="AI280" i="25"/>
  <c r="AI276" i="25"/>
  <c r="AI272" i="25"/>
  <c r="AI268" i="25"/>
  <c r="AI264" i="25"/>
  <c r="AI260" i="25"/>
  <c r="AI256" i="25"/>
  <c r="AI252" i="25"/>
  <c r="AI248" i="25"/>
  <c r="AI244" i="25"/>
  <c r="AI240" i="25"/>
  <c r="AI236" i="25"/>
  <c r="AI232" i="25"/>
  <c r="AI228" i="25"/>
  <c r="AI224" i="25"/>
  <c r="AI220" i="25"/>
  <c r="AI216" i="25"/>
  <c r="AI212" i="25"/>
  <c r="AI208" i="25"/>
  <c r="AI204" i="25"/>
  <c r="AI200" i="25"/>
  <c r="AI196" i="25"/>
  <c r="AI192" i="25"/>
  <c r="AI188" i="25"/>
  <c r="AI184" i="25"/>
  <c r="AI180" i="25"/>
  <c r="AI176" i="25"/>
  <c r="AI172" i="25"/>
  <c r="AI166" i="25"/>
  <c r="AI162" i="25"/>
  <c r="AI158" i="25"/>
  <c r="AI154" i="25"/>
  <c r="AI152" i="25"/>
  <c r="AI148" i="25"/>
  <c r="AI144" i="25"/>
  <c r="AI138" i="25"/>
  <c r="AI134" i="25"/>
  <c r="AI130" i="25"/>
  <c r="AI128" i="25"/>
  <c r="AI124" i="25"/>
  <c r="AI120" i="25"/>
  <c r="AI114" i="25"/>
  <c r="AI112" i="25"/>
  <c r="AI108" i="25"/>
  <c r="AI104" i="25"/>
  <c r="AI98" i="25"/>
  <c r="AI94" i="25"/>
  <c r="AI92" i="25"/>
  <c r="AI88" i="25"/>
  <c r="AI82" i="25"/>
  <c r="AI78" i="25"/>
  <c r="AI74" i="25"/>
  <c r="AI70" i="25"/>
  <c r="AI66" i="25"/>
  <c r="AI64" i="25"/>
  <c r="AI58" i="25"/>
  <c r="AI54" i="25"/>
  <c r="AI50" i="25"/>
  <c r="AI46" i="25"/>
  <c r="AI44" i="25"/>
  <c r="AI38" i="25"/>
  <c r="AI34" i="25"/>
  <c r="AI30" i="25"/>
  <c r="AI26" i="25"/>
  <c r="AI24" i="25"/>
  <c r="AI20" i="25"/>
  <c r="AI19" i="25"/>
  <c r="H225" i="24"/>
  <c r="I135" i="23"/>
  <c r="J135" i="23"/>
  <c r="AG383" i="24"/>
  <c r="AG381" i="24"/>
  <c r="AG382" i="24"/>
  <c r="AF15" i="24"/>
  <c r="AI379" i="25"/>
  <c r="AI377" i="25"/>
  <c r="AI375" i="25"/>
  <c r="AI373" i="25"/>
  <c r="AI371" i="25"/>
  <c r="AI369" i="25"/>
  <c r="AI367" i="25"/>
  <c r="AI365" i="25"/>
  <c r="AI363" i="25"/>
  <c r="AI361" i="25"/>
  <c r="AI359" i="25"/>
  <c r="AI357" i="25"/>
  <c r="AI355" i="25"/>
  <c r="AI353" i="25"/>
  <c r="AI351" i="25"/>
  <c r="AI349" i="25"/>
  <c r="AI347" i="25"/>
  <c r="AI345" i="25"/>
  <c r="AI343" i="25"/>
  <c r="AI341" i="25"/>
  <c r="AI339" i="25"/>
  <c r="AI337" i="25"/>
  <c r="AI335" i="25"/>
  <c r="AI333" i="25"/>
  <c r="AI331" i="25"/>
  <c r="AI329" i="25"/>
  <c r="AI327" i="25"/>
  <c r="AI325" i="25"/>
  <c r="AI323" i="25"/>
  <c r="AI321" i="25"/>
  <c r="AI319" i="25"/>
  <c r="AI317" i="25"/>
  <c r="AI315" i="25"/>
  <c r="AI313" i="25"/>
  <c r="AI311" i="25"/>
  <c r="AI309" i="25"/>
  <c r="AI307" i="25"/>
  <c r="AI305" i="25"/>
  <c r="AI303" i="25"/>
  <c r="AI301" i="25"/>
  <c r="AI299" i="25"/>
  <c r="AI297" i="25"/>
  <c r="AI295" i="25"/>
  <c r="AI293" i="25"/>
  <c r="AI291" i="25"/>
  <c r="AI289" i="25"/>
  <c r="AI287" i="25"/>
  <c r="AI285" i="25"/>
  <c r="AI283" i="25"/>
  <c r="AI281" i="25"/>
  <c r="AI279" i="25"/>
  <c r="AI277" i="25"/>
  <c r="AI275" i="25"/>
  <c r="AI273" i="25"/>
  <c r="AI271" i="25"/>
  <c r="AI269" i="25"/>
  <c r="AI267" i="25"/>
  <c r="AI265" i="25"/>
  <c r="AI263" i="25"/>
  <c r="AI261" i="25"/>
  <c r="AI259" i="25"/>
  <c r="AI257" i="25"/>
  <c r="AI255" i="25"/>
  <c r="AI253" i="25"/>
  <c r="AI251" i="25"/>
  <c r="AI249" i="25"/>
  <c r="AI247" i="25"/>
  <c r="AI245" i="25"/>
  <c r="AI243" i="25"/>
  <c r="AI241" i="25"/>
  <c r="AI239" i="25"/>
  <c r="AI237" i="25"/>
  <c r="AI235" i="25"/>
  <c r="AI233" i="25"/>
  <c r="AI231" i="25"/>
  <c r="AI229" i="25"/>
  <c r="AI227" i="25"/>
  <c r="AI225" i="25"/>
  <c r="AI223" i="25"/>
  <c r="AI221" i="25"/>
  <c r="AI219" i="25"/>
  <c r="AI217" i="25"/>
  <c r="AI215" i="25"/>
  <c r="AI213" i="25"/>
  <c r="AI211" i="25"/>
  <c r="AI209" i="25"/>
  <c r="AI207" i="25"/>
  <c r="AI205" i="25"/>
  <c r="AI203" i="25"/>
  <c r="AI201" i="25"/>
  <c r="AI199" i="25"/>
  <c r="AI197" i="25"/>
  <c r="AI195" i="25"/>
  <c r="AI193" i="25"/>
  <c r="AI191" i="25"/>
  <c r="AI189" i="25"/>
  <c r="AI187" i="25"/>
  <c r="AI185" i="25"/>
  <c r="AI183" i="25"/>
  <c r="AI181" i="25"/>
  <c r="AI179" i="25"/>
  <c r="AI177" i="25"/>
  <c r="AI175" i="25"/>
  <c r="AI173" i="25"/>
  <c r="AI171" i="25"/>
  <c r="AI169" i="25"/>
  <c r="AI167" i="25"/>
  <c r="AI165" i="25"/>
  <c r="AI163" i="25"/>
  <c r="AI161" i="25"/>
  <c r="AI159" i="25"/>
  <c r="AI157" i="25"/>
  <c r="AI155" i="25"/>
  <c r="AI153" i="25"/>
  <c r="AI151" i="25"/>
  <c r="AI149" i="25"/>
  <c r="AI147" i="25"/>
  <c r="AI145" i="25"/>
  <c r="AI143" i="25"/>
  <c r="AI141" i="25"/>
  <c r="AI139" i="25"/>
  <c r="AI137" i="25"/>
  <c r="AI135" i="25"/>
  <c r="AI133" i="25"/>
  <c r="AI131" i="25"/>
  <c r="AI129" i="25"/>
  <c r="AI127" i="25"/>
  <c r="AI125" i="25"/>
  <c r="AI123" i="25"/>
  <c r="AI121" i="25"/>
  <c r="AI119" i="25"/>
  <c r="AI117" i="25"/>
  <c r="AI115" i="25"/>
  <c r="AI113" i="25"/>
  <c r="AI111" i="25"/>
  <c r="AI109" i="25"/>
  <c r="AI107" i="25"/>
  <c r="AI105" i="25"/>
  <c r="AI103" i="25"/>
  <c r="AI101" i="25"/>
  <c r="AI99" i="25"/>
  <c r="AI97" i="25"/>
  <c r="AI95" i="25"/>
  <c r="AI93" i="25"/>
  <c r="AI91" i="25"/>
  <c r="AI89" i="25"/>
  <c r="AI87" i="25"/>
  <c r="AI85" i="25"/>
  <c r="AI83" i="25"/>
  <c r="AI81" i="25"/>
  <c r="AI79" i="25"/>
  <c r="AI77" i="25"/>
  <c r="AI75" i="25"/>
  <c r="AI73" i="25"/>
  <c r="AI71" i="25"/>
  <c r="AI69" i="25"/>
  <c r="AI67" i="25"/>
  <c r="AI65" i="25"/>
  <c r="AI63" i="25"/>
  <c r="AI61" i="25"/>
  <c r="AI59" i="25"/>
  <c r="AI57" i="25"/>
  <c r="AI55" i="25"/>
  <c r="AI53" i="25"/>
  <c r="AI51" i="25"/>
  <c r="AI49" i="25"/>
  <c r="AI47" i="25"/>
  <c r="AI45" i="25"/>
  <c r="AI43" i="25"/>
  <c r="AI41" i="25"/>
  <c r="AI39" i="25"/>
  <c r="AI37" i="25"/>
  <c r="AI35" i="25"/>
  <c r="AI33" i="25"/>
  <c r="AI31" i="25"/>
  <c r="AI29" i="25"/>
  <c r="AI27" i="25"/>
  <c r="AI25" i="25"/>
  <c r="AI23" i="25"/>
  <c r="AI21" i="25"/>
  <c r="AI16" i="25"/>
  <c r="AI15" i="25"/>
  <c r="AI18" i="25"/>
  <c r="G60" i="23"/>
  <c r="CD60" i="6" s="1"/>
  <c r="AA60" i="23"/>
  <c r="Z60" i="23" s="1"/>
  <c r="Y60" i="23" s="1"/>
  <c r="J210" i="23"/>
  <c r="I210" i="23"/>
  <c r="H110" i="24"/>
  <c r="J180" i="23"/>
  <c r="I180" i="23"/>
  <c r="AC7" i="7"/>
  <c r="E7" i="6"/>
  <c r="I381" i="18"/>
  <c r="I383" i="18"/>
  <c r="I382" i="18"/>
  <c r="B15" i="6"/>
  <c r="H93" i="24"/>
  <c r="AA383" i="20"/>
  <c r="AA381" i="20"/>
  <c r="AL10" i="20"/>
  <c r="AA9" i="20"/>
  <c r="AA382" i="20"/>
  <c r="Z15" i="20"/>
  <c r="AL7" i="20" s="1"/>
  <c r="AM8" i="20"/>
  <c r="G382" i="20"/>
  <c r="G381" i="20"/>
  <c r="G383" i="20"/>
  <c r="G12" i="20" s="1"/>
  <c r="D382" i="22"/>
  <c r="D383" i="22"/>
  <c r="AJ8" i="22"/>
  <c r="D381" i="22"/>
  <c r="E15" i="22"/>
  <c r="AJ9" i="22" s="1"/>
  <c r="AJ11" i="22" s="1"/>
  <c r="D9" i="22"/>
  <c r="D11" i="22" s="1"/>
  <c r="H236" i="24"/>
  <c r="H270" i="24"/>
  <c r="H69" i="24"/>
  <c r="AA210" i="23"/>
  <c r="Z210" i="23" s="1"/>
  <c r="Y210" i="23" s="1"/>
  <c r="G210" i="23"/>
  <c r="CD210" i="6" s="1"/>
  <c r="I319" i="23"/>
  <c r="J319" i="23"/>
  <c r="U378" i="25"/>
  <c r="U376" i="25"/>
  <c r="U374" i="25"/>
  <c r="U372" i="25"/>
  <c r="U370" i="25"/>
  <c r="U368" i="25"/>
  <c r="U366" i="25"/>
  <c r="U364" i="25"/>
  <c r="U362" i="25"/>
  <c r="U360" i="25"/>
  <c r="U358" i="25"/>
  <c r="U356" i="25"/>
  <c r="U354" i="25"/>
  <c r="U352" i="25"/>
  <c r="U350" i="25"/>
  <c r="U348" i="25"/>
  <c r="U346" i="25"/>
  <c r="U344" i="25"/>
  <c r="U342" i="25"/>
  <c r="U340" i="25"/>
  <c r="U338" i="25"/>
  <c r="U336" i="25"/>
  <c r="U334" i="25"/>
  <c r="U332" i="25"/>
  <c r="U330" i="25"/>
  <c r="U328" i="25"/>
  <c r="U326" i="25"/>
  <c r="U324" i="25"/>
  <c r="U322" i="25"/>
  <c r="U320" i="25"/>
  <c r="U318" i="25"/>
  <c r="U316" i="25"/>
  <c r="U314" i="25"/>
  <c r="U312" i="25"/>
  <c r="U310" i="25"/>
  <c r="U308" i="25"/>
  <c r="U306" i="25"/>
  <c r="U304" i="25"/>
  <c r="U302" i="25"/>
  <c r="U300" i="25"/>
  <c r="U298" i="25"/>
  <c r="U296" i="25"/>
  <c r="U294" i="25"/>
  <c r="U292" i="25"/>
  <c r="U290" i="25"/>
  <c r="U288" i="25"/>
  <c r="U286" i="25"/>
  <c r="U284" i="25"/>
  <c r="U282" i="25"/>
  <c r="U280" i="25"/>
  <c r="U278" i="25"/>
  <c r="U276" i="25"/>
  <c r="U274" i="25"/>
  <c r="U272" i="25"/>
  <c r="U270" i="25"/>
  <c r="U268" i="25"/>
  <c r="U266" i="25"/>
  <c r="U264" i="25"/>
  <c r="U262" i="25"/>
  <c r="U260" i="25"/>
  <c r="U258" i="25"/>
  <c r="U256" i="25"/>
  <c r="U254" i="25"/>
  <c r="U252" i="25"/>
  <c r="U250" i="25"/>
  <c r="U248" i="25"/>
  <c r="U246" i="25"/>
  <c r="U244" i="25"/>
  <c r="U242" i="25"/>
  <c r="U240" i="25"/>
  <c r="U238" i="25"/>
  <c r="U236" i="25"/>
  <c r="U234" i="25"/>
  <c r="U232" i="25"/>
  <c r="U230" i="25"/>
  <c r="U228" i="25"/>
  <c r="U226" i="25"/>
  <c r="U224" i="25"/>
  <c r="U222" i="25"/>
  <c r="U220" i="25"/>
  <c r="U218" i="25"/>
  <c r="U216" i="25"/>
  <c r="U214" i="25"/>
  <c r="U212" i="25"/>
  <c r="U210" i="25"/>
  <c r="U208" i="25"/>
  <c r="U206" i="25"/>
  <c r="U204" i="25"/>
  <c r="U202" i="25"/>
  <c r="U200" i="25"/>
  <c r="U198" i="25"/>
  <c r="U196" i="25"/>
  <c r="U194" i="25"/>
  <c r="U192" i="25"/>
  <c r="U190" i="25"/>
  <c r="U188" i="25"/>
  <c r="U186" i="25"/>
  <c r="U184" i="25"/>
  <c r="U182" i="25"/>
  <c r="U180" i="25"/>
  <c r="U178" i="25"/>
  <c r="U176" i="25"/>
  <c r="U174" i="25"/>
  <c r="U172" i="25"/>
  <c r="U170" i="25"/>
  <c r="U168" i="25"/>
  <c r="U166" i="25"/>
  <c r="U164" i="25"/>
  <c r="U162" i="25"/>
  <c r="U160" i="25"/>
  <c r="U158" i="25"/>
  <c r="U156" i="25"/>
  <c r="U154" i="25"/>
  <c r="U152" i="25"/>
  <c r="U150" i="25"/>
  <c r="U148" i="25"/>
  <c r="U146" i="25"/>
  <c r="U144" i="25"/>
  <c r="U142" i="25"/>
  <c r="U140" i="25"/>
  <c r="U138" i="25"/>
  <c r="U136" i="25"/>
  <c r="U134" i="25"/>
  <c r="U132" i="25"/>
  <c r="U130" i="25"/>
  <c r="U128" i="25"/>
  <c r="U126" i="25"/>
  <c r="U124" i="25"/>
  <c r="U122" i="25"/>
  <c r="U120" i="25"/>
  <c r="U118" i="25"/>
  <c r="U116" i="25"/>
  <c r="U114" i="25"/>
  <c r="U112" i="25"/>
  <c r="U110" i="25"/>
  <c r="U108" i="25"/>
  <c r="U106" i="25"/>
  <c r="U104" i="25"/>
  <c r="U102" i="25"/>
  <c r="U100" i="25"/>
  <c r="U98" i="25"/>
  <c r="U96" i="25"/>
  <c r="U94" i="25"/>
  <c r="U92" i="25"/>
  <c r="U90" i="25"/>
  <c r="U88" i="25"/>
  <c r="U86" i="25"/>
  <c r="U84" i="25"/>
  <c r="U82" i="25"/>
  <c r="U80" i="25"/>
  <c r="U78" i="25"/>
  <c r="U76" i="25"/>
  <c r="U74" i="25"/>
  <c r="U72" i="25"/>
  <c r="U70" i="25"/>
  <c r="U68" i="25"/>
  <c r="U66" i="25"/>
  <c r="U64" i="25"/>
  <c r="U62" i="25"/>
  <c r="U60" i="25"/>
  <c r="U58" i="25"/>
  <c r="U56" i="25"/>
  <c r="U54" i="25"/>
  <c r="U52" i="25"/>
  <c r="U50" i="25"/>
  <c r="U48" i="25"/>
  <c r="U46" i="25"/>
  <c r="U44" i="25"/>
  <c r="U42" i="25"/>
  <c r="U40" i="25"/>
  <c r="U38" i="25"/>
  <c r="U36" i="25"/>
  <c r="U34" i="25"/>
  <c r="U32" i="25"/>
  <c r="U30" i="25"/>
  <c r="U28" i="25"/>
  <c r="U26" i="25"/>
  <c r="U24" i="25"/>
  <c r="U22" i="25"/>
  <c r="U20" i="25"/>
  <c r="U15" i="25"/>
  <c r="U16" i="25"/>
  <c r="Q383" i="25"/>
  <c r="H60" i="23"/>
  <c r="AA272" i="23"/>
  <c r="Z272" i="23" s="1"/>
  <c r="Y272" i="23" s="1"/>
  <c r="G272" i="23"/>
  <c r="CD272" i="6" s="1"/>
  <c r="H248" i="24"/>
  <c r="H272" i="23"/>
  <c r="H365" i="24"/>
  <c r="AA241" i="23"/>
  <c r="Z241" i="23" s="1"/>
  <c r="Y241" i="23" s="1"/>
  <c r="G241" i="23"/>
  <c r="CD241" i="6" s="1"/>
  <c r="AA119" i="23"/>
  <c r="Z119" i="23" s="1"/>
  <c r="Y119" i="23" s="1"/>
  <c r="G119" i="23"/>
  <c r="CD119" i="6" s="1"/>
  <c r="AI376" i="25"/>
  <c r="AI372" i="25"/>
  <c r="AI368" i="25"/>
  <c r="AI364" i="25"/>
  <c r="AI360" i="25"/>
  <c r="AI356" i="25"/>
  <c r="AI352" i="25"/>
  <c r="AI348" i="25"/>
  <c r="AI344" i="25"/>
  <c r="AI340" i="25"/>
  <c r="AI336" i="25"/>
  <c r="AI332" i="25"/>
  <c r="AI328" i="25"/>
  <c r="AI324" i="25"/>
  <c r="AI320" i="25"/>
  <c r="AI316" i="25"/>
  <c r="AI312" i="25"/>
  <c r="AI308" i="25"/>
  <c r="AI302" i="25"/>
  <c r="AI298" i="25"/>
  <c r="AI294" i="25"/>
  <c r="AI290" i="25"/>
  <c r="AI286" i="25"/>
  <c r="AI284" i="25"/>
  <c r="AI278" i="25"/>
  <c r="AI274" i="25"/>
  <c r="AI270" i="25"/>
  <c r="AI266" i="25"/>
  <c r="AI262" i="25"/>
  <c r="AI258" i="25"/>
  <c r="AI254" i="25"/>
  <c r="AI250" i="25"/>
  <c r="AI246" i="25"/>
  <c r="AI242" i="25"/>
  <c r="AI238" i="25"/>
  <c r="AI234" i="25"/>
  <c r="AI230" i="25"/>
  <c r="AI226" i="25"/>
  <c r="AI222" i="25"/>
  <c r="AI218" i="25"/>
  <c r="AI214" i="25"/>
  <c r="AI210" i="25"/>
  <c r="AI206" i="25"/>
  <c r="AI202" i="25"/>
  <c r="AI198" i="25"/>
  <c r="AI194" i="25"/>
  <c r="AI190" i="25"/>
  <c r="AI186" i="25"/>
  <c r="AI182" i="25"/>
  <c r="AI178" i="25"/>
  <c r="AI174" i="25"/>
  <c r="AI170" i="25"/>
  <c r="AI168" i="25"/>
  <c r="AI164" i="25"/>
  <c r="AI160" i="25"/>
  <c r="AI156" i="25"/>
  <c r="AI150" i="25"/>
  <c r="AI146" i="25"/>
  <c r="AI142" i="25"/>
  <c r="AI140" i="25"/>
  <c r="AI136" i="25"/>
  <c r="AI132" i="25"/>
  <c r="AI126" i="25"/>
  <c r="AI122" i="25"/>
  <c r="AI118" i="25"/>
  <c r="AI116" i="25"/>
  <c r="AI110" i="25"/>
  <c r="AI106" i="25"/>
  <c r="AI102" i="25"/>
  <c r="AI100" i="25"/>
  <c r="AI96" i="25"/>
  <c r="AI90" i="25"/>
  <c r="AI86" i="25"/>
  <c r="AI84" i="25"/>
  <c r="AI80" i="25"/>
  <c r="AI76" i="25"/>
  <c r="AI72" i="25"/>
  <c r="AI68" i="25"/>
  <c r="AI62" i="25"/>
  <c r="AI60" i="25"/>
  <c r="AI56" i="25"/>
  <c r="AI52" i="25"/>
  <c r="AI48" i="25"/>
  <c r="AI42" i="25"/>
  <c r="AI40" i="25"/>
  <c r="AI36" i="25"/>
  <c r="AI32" i="25"/>
  <c r="AI28" i="25"/>
  <c r="AI22" i="25"/>
  <c r="AI17" i="25"/>
  <c r="J29" i="23"/>
  <c r="I29" i="23"/>
  <c r="Z9" i="18"/>
  <c r="Z381" i="18"/>
  <c r="AL8" i="18"/>
  <c r="Z383" i="18"/>
  <c r="Z382" i="18"/>
  <c r="Y15" i="18"/>
  <c r="AL5" i="18" s="1"/>
  <c r="AL11" i="18" s="1"/>
  <c r="AJ3" i="18" s="1"/>
  <c r="O15" i="19" s="1"/>
  <c r="M15" i="19" s="1"/>
  <c r="J383" i="18"/>
  <c r="J381" i="18"/>
  <c r="J382" i="18"/>
  <c r="C15" i="6"/>
  <c r="I15" i="20"/>
  <c r="J15" i="20"/>
  <c r="AB9" i="20"/>
  <c r="G16" i="19"/>
  <c r="J40" i="19" s="1"/>
  <c r="F11" i="20"/>
  <c r="V382" i="23"/>
  <c r="B68" i="19"/>
  <c r="N68" i="19" s="1"/>
  <c r="V383" i="23"/>
  <c r="V381" i="23"/>
  <c r="G302" i="23"/>
  <c r="CD302" i="6" s="1"/>
  <c r="AA302" i="23"/>
  <c r="Z302" i="23" s="1"/>
  <c r="Y302" i="23" s="1"/>
  <c r="I380" i="24"/>
  <c r="H380" i="25" s="1"/>
  <c r="J380" i="24"/>
  <c r="H88" i="23"/>
  <c r="AA88" i="23"/>
  <c r="Z88" i="23" s="1"/>
  <c r="Y88" i="23" s="1"/>
  <c r="G88" i="23"/>
  <c r="CD88" i="6" s="1"/>
  <c r="W18" i="24"/>
  <c r="D18" i="24"/>
  <c r="E18" i="24" s="1"/>
  <c r="F18" i="24" s="1"/>
  <c r="D16" i="24"/>
  <c r="E16" i="24" s="1"/>
  <c r="F16" i="24" s="1"/>
  <c r="W16" i="24"/>
  <c r="W23" i="24"/>
  <c r="D23" i="24"/>
  <c r="E23" i="24" s="1"/>
  <c r="F23" i="24" s="1"/>
  <c r="D27" i="24"/>
  <c r="E27" i="24" s="1"/>
  <c r="F27" i="24" s="1"/>
  <c r="W27" i="24"/>
  <c r="D31" i="24"/>
  <c r="E31" i="24" s="1"/>
  <c r="F31" i="24" s="1"/>
  <c r="W31" i="24"/>
  <c r="D35" i="24"/>
  <c r="E35" i="24" s="1"/>
  <c r="F35" i="24" s="1"/>
  <c r="W35" i="24"/>
  <c r="D39" i="24"/>
  <c r="E39" i="24" s="1"/>
  <c r="F39" i="24" s="1"/>
  <c r="W39" i="24"/>
  <c r="W43" i="24"/>
  <c r="D43" i="24"/>
  <c r="E43" i="24" s="1"/>
  <c r="F43" i="24" s="1"/>
  <c r="W47" i="24"/>
  <c r="D47" i="24"/>
  <c r="E47" i="24" s="1"/>
  <c r="F47" i="24" s="1"/>
  <c r="H47" i="24" s="1"/>
  <c r="D51" i="24"/>
  <c r="E51" i="24" s="1"/>
  <c r="F51" i="24" s="1"/>
  <c r="W51" i="24"/>
  <c r="D55" i="24"/>
  <c r="E55" i="24" s="1"/>
  <c r="F55" i="24" s="1"/>
  <c r="W55" i="24"/>
  <c r="W59" i="24"/>
  <c r="D59" i="24"/>
  <c r="E59" i="24" s="1"/>
  <c r="F59" i="24" s="1"/>
  <c r="H59" i="24" s="1"/>
  <c r="D63" i="24"/>
  <c r="E63" i="24" s="1"/>
  <c r="F63" i="24" s="1"/>
  <c r="W63" i="24"/>
  <c r="W67" i="24"/>
  <c r="D67" i="24"/>
  <c r="E67" i="24" s="1"/>
  <c r="F67" i="24" s="1"/>
  <c r="D71" i="24"/>
  <c r="E71" i="24" s="1"/>
  <c r="F71" i="24" s="1"/>
  <c r="W71" i="24"/>
  <c r="D75" i="24"/>
  <c r="E75" i="24" s="1"/>
  <c r="F75" i="24" s="1"/>
  <c r="H75" i="24" s="1"/>
  <c r="W75" i="24"/>
  <c r="W79" i="24"/>
  <c r="D79" i="24"/>
  <c r="E79" i="24" s="1"/>
  <c r="F79" i="24" s="1"/>
  <c r="D83" i="24"/>
  <c r="E83" i="24" s="1"/>
  <c r="F83" i="24" s="1"/>
  <c r="W83" i="24"/>
  <c r="W87" i="24"/>
  <c r="D87" i="24"/>
  <c r="E87" i="24" s="1"/>
  <c r="F87" i="24" s="1"/>
  <c r="D91" i="24"/>
  <c r="E91" i="24" s="1"/>
  <c r="F91" i="24" s="1"/>
  <c r="W91" i="24"/>
  <c r="W95" i="24"/>
  <c r="D95" i="24"/>
  <c r="E95" i="24" s="1"/>
  <c r="F95" i="24" s="1"/>
  <c r="H95" i="24" s="1"/>
  <c r="D99" i="24"/>
  <c r="E99" i="24" s="1"/>
  <c r="F99" i="24" s="1"/>
  <c r="W99" i="24"/>
  <c r="D103" i="24"/>
  <c r="E103" i="24" s="1"/>
  <c r="F103" i="24" s="1"/>
  <c r="H103" i="24" s="1"/>
  <c r="W103" i="24"/>
  <c r="D107" i="24"/>
  <c r="E107" i="24" s="1"/>
  <c r="F107" i="24" s="1"/>
  <c r="W107" i="24"/>
  <c r="W111" i="24"/>
  <c r="D111" i="24"/>
  <c r="E111" i="24" s="1"/>
  <c r="F111" i="24" s="1"/>
  <c r="W115" i="24"/>
  <c r="D115" i="24"/>
  <c r="E115" i="24" s="1"/>
  <c r="F115" i="24" s="1"/>
  <c r="H115" i="24" s="1"/>
  <c r="AH59" i="7"/>
  <c r="V119" i="24"/>
  <c r="D123" i="24"/>
  <c r="E123" i="24" s="1"/>
  <c r="F123" i="24" s="1"/>
  <c r="H123" i="24" s="1"/>
  <c r="W123" i="24"/>
  <c r="D127" i="24"/>
  <c r="E127" i="24" s="1"/>
  <c r="F127" i="24" s="1"/>
  <c r="W127" i="24"/>
  <c r="W131" i="24"/>
  <c r="D131" i="24"/>
  <c r="E131" i="24" s="1"/>
  <c r="F131" i="24" s="1"/>
  <c r="D135" i="24"/>
  <c r="E135" i="24" s="1"/>
  <c r="F135" i="24" s="1"/>
  <c r="W135" i="24"/>
  <c r="D139" i="24"/>
  <c r="E139" i="24" s="1"/>
  <c r="F139" i="24" s="1"/>
  <c r="H139" i="24" s="1"/>
  <c r="W139" i="24"/>
  <c r="W143" i="24"/>
  <c r="D143" i="24"/>
  <c r="E143" i="24" s="1"/>
  <c r="F143" i="24" s="1"/>
  <c r="W147" i="24"/>
  <c r="D147" i="24"/>
  <c r="E147" i="24" s="1"/>
  <c r="F147" i="24" s="1"/>
  <c r="D151" i="24"/>
  <c r="E151" i="24" s="1"/>
  <c r="F151" i="24" s="1"/>
  <c r="W151" i="24"/>
  <c r="W155" i="24"/>
  <c r="D155" i="24"/>
  <c r="E155" i="24" s="1"/>
  <c r="F155" i="24" s="1"/>
  <c r="D159" i="24"/>
  <c r="E159" i="24" s="1"/>
  <c r="F159" i="24" s="1"/>
  <c r="W159" i="24"/>
  <c r="W163" i="24"/>
  <c r="D163" i="24"/>
  <c r="E163" i="24" s="1"/>
  <c r="F163" i="24" s="1"/>
  <c r="W167" i="24"/>
  <c r="D167" i="24"/>
  <c r="E167" i="24" s="1"/>
  <c r="F167" i="24" s="1"/>
  <c r="D171" i="24"/>
  <c r="E171" i="24" s="1"/>
  <c r="F171" i="24" s="1"/>
  <c r="H171" i="24" s="1"/>
  <c r="W171" i="24"/>
  <c r="W175" i="24"/>
  <c r="D175" i="24"/>
  <c r="E175" i="24" s="1"/>
  <c r="F175" i="24" s="1"/>
  <c r="D179" i="24"/>
  <c r="E179" i="24" s="1"/>
  <c r="F179" i="24" s="1"/>
  <c r="H179" i="24" s="1"/>
  <c r="W179" i="24"/>
  <c r="D183" i="24"/>
  <c r="E183" i="24" s="1"/>
  <c r="F183" i="24" s="1"/>
  <c r="W183" i="24"/>
  <c r="D187" i="24"/>
  <c r="E187" i="24" s="1"/>
  <c r="F187" i="24" s="1"/>
  <c r="W187" i="24"/>
  <c r="D191" i="24"/>
  <c r="E191" i="24" s="1"/>
  <c r="F191" i="24" s="1"/>
  <c r="W191" i="24"/>
  <c r="D195" i="24"/>
  <c r="E195" i="24" s="1"/>
  <c r="F195" i="24" s="1"/>
  <c r="H195" i="24" s="1"/>
  <c r="W195" i="24"/>
  <c r="D199" i="24"/>
  <c r="E199" i="24" s="1"/>
  <c r="F199" i="24" s="1"/>
  <c r="H199" i="24" s="1"/>
  <c r="W199" i="24"/>
  <c r="D203" i="24"/>
  <c r="E203" i="24" s="1"/>
  <c r="F203" i="24" s="1"/>
  <c r="H203" i="24" s="1"/>
  <c r="W203" i="24"/>
  <c r="W207" i="24"/>
  <c r="D207" i="24"/>
  <c r="E207" i="24" s="1"/>
  <c r="F207" i="24" s="1"/>
  <c r="D211" i="24"/>
  <c r="E211" i="24" s="1"/>
  <c r="F211" i="24" s="1"/>
  <c r="H211" i="24" s="1"/>
  <c r="W211" i="24"/>
  <c r="W215" i="24"/>
  <c r="D215" i="24"/>
  <c r="E215" i="24" s="1"/>
  <c r="F215" i="24" s="1"/>
  <c r="W219" i="24"/>
  <c r="D219" i="24"/>
  <c r="E219" i="24" s="1"/>
  <c r="F219" i="24" s="1"/>
  <c r="D223" i="24"/>
  <c r="E223" i="24" s="1"/>
  <c r="F223" i="24" s="1"/>
  <c r="W223" i="24"/>
  <c r="D227" i="24"/>
  <c r="E227" i="24" s="1"/>
  <c r="F227" i="24" s="1"/>
  <c r="W227" i="24"/>
  <c r="W231" i="24"/>
  <c r="D231" i="24"/>
  <c r="E231" i="24" s="1"/>
  <c r="F231" i="24" s="1"/>
  <c r="H231" i="24" s="1"/>
  <c r="W235" i="24"/>
  <c r="D235" i="24"/>
  <c r="E235" i="24" s="1"/>
  <c r="F235" i="24" s="1"/>
  <c r="H235" i="24" s="1"/>
  <c r="D239" i="24"/>
  <c r="E239" i="24" s="1"/>
  <c r="F239" i="24" s="1"/>
  <c r="W239" i="24"/>
  <c r="W243" i="24"/>
  <c r="D243" i="24"/>
  <c r="E243" i="24" s="1"/>
  <c r="F243" i="24" s="1"/>
  <c r="W247" i="24"/>
  <c r="D247" i="24"/>
  <c r="E247" i="24" s="1"/>
  <c r="F247" i="24" s="1"/>
  <c r="D251" i="24"/>
  <c r="E251" i="24" s="1"/>
  <c r="F251" i="24" s="1"/>
  <c r="H251" i="24" s="1"/>
  <c r="W251" i="24"/>
  <c r="W255" i="24"/>
  <c r="D255" i="24"/>
  <c r="E255" i="24" s="1"/>
  <c r="F255" i="24" s="1"/>
  <c r="D259" i="24"/>
  <c r="E259" i="24" s="1"/>
  <c r="F259" i="24" s="1"/>
  <c r="W259" i="24"/>
  <c r="W263" i="24"/>
  <c r="D263" i="24"/>
  <c r="E263" i="24" s="1"/>
  <c r="F263" i="24" s="1"/>
  <c r="H263" i="24" s="1"/>
  <c r="D267" i="24"/>
  <c r="E267" i="24" s="1"/>
  <c r="F267" i="24" s="1"/>
  <c r="W267" i="24"/>
  <c r="W271" i="24"/>
  <c r="D271" i="24"/>
  <c r="E271" i="24" s="1"/>
  <c r="F271" i="24" s="1"/>
  <c r="H271" i="24" s="1"/>
  <c r="W275" i="24"/>
  <c r="D275" i="24"/>
  <c r="E275" i="24" s="1"/>
  <c r="F275" i="24" s="1"/>
  <c r="D279" i="24"/>
  <c r="E279" i="24" s="1"/>
  <c r="F279" i="24" s="1"/>
  <c r="W279" i="24"/>
  <c r="W283" i="24"/>
  <c r="D283" i="24"/>
  <c r="E283" i="24" s="1"/>
  <c r="F283" i="24" s="1"/>
  <c r="W287" i="24"/>
  <c r="D287" i="24"/>
  <c r="E287" i="24" s="1"/>
  <c r="F287" i="24" s="1"/>
  <c r="D291" i="24"/>
  <c r="E291" i="24" s="1"/>
  <c r="F291" i="24" s="1"/>
  <c r="W291" i="24"/>
  <c r="D295" i="24"/>
  <c r="E295" i="24" s="1"/>
  <c r="F295" i="24" s="1"/>
  <c r="W295" i="24"/>
  <c r="W299" i="24"/>
  <c r="D299" i="24"/>
  <c r="E299" i="24" s="1"/>
  <c r="F299" i="24" s="1"/>
  <c r="D303" i="24"/>
  <c r="E303" i="24" s="1"/>
  <c r="F303" i="24" s="1"/>
  <c r="W303" i="24"/>
  <c r="W307" i="24"/>
  <c r="D307" i="24"/>
  <c r="E307" i="24" s="1"/>
  <c r="F307" i="24" s="1"/>
  <c r="D311" i="24"/>
  <c r="E311" i="24" s="1"/>
  <c r="F311" i="24" s="1"/>
  <c r="H311" i="24" s="1"/>
  <c r="W311" i="24"/>
  <c r="W315" i="24"/>
  <c r="D315" i="24"/>
  <c r="E315" i="24" s="1"/>
  <c r="F315" i="24" s="1"/>
  <c r="H315" i="24" s="1"/>
  <c r="B319" i="24"/>
  <c r="W323" i="24"/>
  <c r="D323" i="24"/>
  <c r="E323" i="24" s="1"/>
  <c r="F323" i="24" s="1"/>
  <c r="D327" i="24"/>
  <c r="E327" i="24" s="1"/>
  <c r="F327" i="24" s="1"/>
  <c r="H327" i="24" s="1"/>
  <c r="W327" i="24"/>
  <c r="D331" i="24"/>
  <c r="E331" i="24" s="1"/>
  <c r="F331" i="24" s="1"/>
  <c r="W331" i="24"/>
  <c r="W335" i="24"/>
  <c r="D335" i="24"/>
  <c r="E335" i="24" s="1"/>
  <c r="F335" i="24" s="1"/>
  <c r="D339" i="24"/>
  <c r="E339" i="24" s="1"/>
  <c r="F339" i="24" s="1"/>
  <c r="W339" i="24"/>
  <c r="W343" i="24"/>
  <c r="D343" i="24"/>
  <c r="E343" i="24" s="1"/>
  <c r="F343" i="24" s="1"/>
  <c r="W347" i="24"/>
  <c r="D347" i="24"/>
  <c r="E347" i="24" s="1"/>
  <c r="F347" i="24" s="1"/>
  <c r="W351" i="24"/>
  <c r="D351" i="24"/>
  <c r="E351" i="24" s="1"/>
  <c r="F351" i="24" s="1"/>
  <c r="D355" i="24"/>
  <c r="E355" i="24" s="1"/>
  <c r="F355" i="24" s="1"/>
  <c r="W355" i="24"/>
  <c r="D359" i="24"/>
  <c r="E359" i="24" s="1"/>
  <c r="F359" i="24" s="1"/>
  <c r="H359" i="24" s="1"/>
  <c r="W359" i="24"/>
  <c r="AH67" i="7"/>
  <c r="V363" i="24"/>
  <c r="D367" i="24"/>
  <c r="E367" i="24" s="1"/>
  <c r="F367" i="24" s="1"/>
  <c r="W367" i="24"/>
  <c r="W371" i="24"/>
  <c r="D371" i="24"/>
  <c r="E371" i="24" s="1"/>
  <c r="F371" i="24" s="1"/>
  <c r="D375" i="24"/>
  <c r="E375" i="24" s="1"/>
  <c r="F375" i="24" s="1"/>
  <c r="W375" i="24"/>
  <c r="U379" i="25"/>
  <c r="U377" i="25"/>
  <c r="U375" i="25"/>
  <c r="U373" i="25"/>
  <c r="U371" i="25"/>
  <c r="U369" i="25"/>
  <c r="U367" i="25"/>
  <c r="U365" i="25"/>
  <c r="U363" i="25"/>
  <c r="U361" i="25"/>
  <c r="U359" i="25"/>
  <c r="U357" i="25"/>
  <c r="U355" i="25"/>
  <c r="U353" i="25"/>
  <c r="U351" i="25"/>
  <c r="U349" i="25"/>
  <c r="U347" i="25"/>
  <c r="U345" i="25"/>
  <c r="U343" i="25"/>
  <c r="U341" i="25"/>
  <c r="U339" i="25"/>
  <c r="U337" i="25"/>
  <c r="U335" i="25"/>
  <c r="U333" i="25"/>
  <c r="U331" i="25"/>
  <c r="U329" i="25"/>
  <c r="U327" i="25"/>
  <c r="U325" i="25"/>
  <c r="U323" i="25"/>
  <c r="U321" i="25"/>
  <c r="U319" i="25"/>
  <c r="U317" i="25"/>
  <c r="U315" i="25"/>
  <c r="U313" i="25"/>
  <c r="U311" i="25"/>
  <c r="U309" i="25"/>
  <c r="U307" i="25"/>
  <c r="U305" i="25"/>
  <c r="U303" i="25"/>
  <c r="U301" i="25"/>
  <c r="U299" i="25"/>
  <c r="U297" i="25"/>
  <c r="U295" i="25"/>
  <c r="U293" i="25"/>
  <c r="U291" i="25"/>
  <c r="U289" i="25"/>
  <c r="U287" i="25"/>
  <c r="U285" i="25"/>
  <c r="U283" i="25"/>
  <c r="U281" i="25"/>
  <c r="U279" i="25"/>
  <c r="U277" i="25"/>
  <c r="U275" i="25"/>
  <c r="U273" i="25"/>
  <c r="U271" i="25"/>
  <c r="U269" i="25"/>
  <c r="U267" i="25"/>
  <c r="U265" i="25"/>
  <c r="U263" i="25"/>
  <c r="U261" i="25"/>
  <c r="U259" i="25"/>
  <c r="U257" i="25"/>
  <c r="U255" i="25"/>
  <c r="U253" i="25"/>
  <c r="U251" i="25"/>
  <c r="U249" i="25"/>
  <c r="U247" i="25"/>
  <c r="U245" i="25"/>
  <c r="U243" i="25"/>
  <c r="U241" i="25"/>
  <c r="U239" i="25"/>
  <c r="U237" i="25"/>
  <c r="U235" i="25"/>
  <c r="U233" i="25"/>
  <c r="U231" i="25"/>
  <c r="U229" i="25"/>
  <c r="U227" i="25"/>
  <c r="U225" i="25"/>
  <c r="U223" i="25"/>
  <c r="U221" i="25"/>
  <c r="U219" i="25"/>
  <c r="U217" i="25"/>
  <c r="U215" i="25"/>
  <c r="U213" i="25"/>
  <c r="U211" i="25"/>
  <c r="U209" i="25"/>
  <c r="U207" i="25"/>
  <c r="U205" i="25"/>
  <c r="U203" i="25"/>
  <c r="U201" i="25"/>
  <c r="U199" i="25"/>
  <c r="U197" i="25"/>
  <c r="U195" i="25"/>
  <c r="U193" i="25"/>
  <c r="U191" i="25"/>
  <c r="U189" i="25"/>
  <c r="U187" i="25"/>
  <c r="U185" i="25"/>
  <c r="U183" i="25"/>
  <c r="U181" i="25"/>
  <c r="U179" i="25"/>
  <c r="U177" i="25"/>
  <c r="U175" i="25"/>
  <c r="U173" i="25"/>
  <c r="U171" i="25"/>
  <c r="U169" i="25"/>
  <c r="U167" i="25"/>
  <c r="U165" i="25"/>
  <c r="U163" i="25"/>
  <c r="U161" i="25"/>
  <c r="U159" i="25"/>
  <c r="U157" i="25"/>
  <c r="U155" i="25"/>
  <c r="U153" i="25"/>
  <c r="U151" i="25"/>
  <c r="U149" i="25"/>
  <c r="U147" i="25"/>
  <c r="U145" i="25"/>
  <c r="U143" i="25"/>
  <c r="U141" i="25"/>
  <c r="U139" i="25"/>
  <c r="U137" i="25"/>
  <c r="U135" i="25"/>
  <c r="U133" i="25"/>
  <c r="U131" i="25"/>
  <c r="U129" i="25"/>
  <c r="U127" i="25"/>
  <c r="U125" i="25"/>
  <c r="U123" i="25"/>
  <c r="U121" i="25"/>
  <c r="U119" i="25"/>
  <c r="U117" i="25"/>
  <c r="U115" i="25"/>
  <c r="U113" i="25"/>
  <c r="U111" i="25"/>
  <c r="U109" i="25"/>
  <c r="U107" i="25"/>
  <c r="U105" i="25"/>
  <c r="U103" i="25"/>
  <c r="U101" i="25"/>
  <c r="U99" i="25"/>
  <c r="U97" i="25"/>
  <c r="U95" i="25"/>
  <c r="U93" i="25"/>
  <c r="U91" i="25"/>
  <c r="U89" i="25"/>
  <c r="U87" i="25"/>
  <c r="U85" i="25"/>
  <c r="U83" i="25"/>
  <c r="U81" i="25"/>
  <c r="U79" i="25"/>
  <c r="U77" i="25"/>
  <c r="U75" i="25"/>
  <c r="U73" i="25"/>
  <c r="U71" i="25"/>
  <c r="U69" i="25"/>
  <c r="U67" i="25"/>
  <c r="U65" i="25"/>
  <c r="U63" i="25"/>
  <c r="U61" i="25"/>
  <c r="U59" i="25"/>
  <c r="U57" i="25"/>
  <c r="U55" i="25"/>
  <c r="U53" i="25"/>
  <c r="U51" i="25"/>
  <c r="U49" i="25"/>
  <c r="U47" i="25"/>
  <c r="U45" i="25"/>
  <c r="U43" i="25"/>
  <c r="U41" i="25"/>
  <c r="U39" i="25"/>
  <c r="U37" i="25"/>
  <c r="U35" i="25"/>
  <c r="U33" i="25"/>
  <c r="U31" i="25"/>
  <c r="U29" i="25"/>
  <c r="U27" i="25"/>
  <c r="U25" i="25"/>
  <c r="U23" i="25"/>
  <c r="U21" i="25"/>
  <c r="U17" i="25"/>
  <c r="U19" i="25"/>
  <c r="U18" i="25"/>
  <c r="Q382" i="25"/>
  <c r="S383" i="24"/>
  <c r="S382" i="24"/>
  <c r="S381" i="24"/>
  <c r="R15" i="24"/>
  <c r="I363" i="23"/>
  <c r="J363" i="23"/>
  <c r="J333" i="23"/>
  <c r="I333" i="23"/>
  <c r="I241" i="23"/>
  <c r="J241" i="23"/>
  <c r="AA180" i="23"/>
  <c r="Z180" i="23" s="1"/>
  <c r="Y180" i="23" s="1"/>
  <c r="G180" i="23"/>
  <c r="CD180" i="6" s="1"/>
  <c r="H119" i="23"/>
  <c r="D31" i="19" l="1"/>
  <c r="E41" i="19"/>
  <c r="E15" i="19"/>
  <c r="W379" i="24"/>
  <c r="D16" i="19"/>
  <c r="G40" i="19"/>
  <c r="AD382" i="23"/>
  <c r="AD381" i="23"/>
  <c r="AD383" i="23"/>
  <c r="AE381" i="25"/>
  <c r="AE382" i="25"/>
  <c r="AE383" i="25"/>
  <c r="L69" i="19"/>
  <c r="H69" i="19"/>
  <c r="J195" i="24"/>
  <c r="I195" i="24"/>
  <c r="J139" i="24"/>
  <c r="I139" i="24"/>
  <c r="I123" i="24"/>
  <c r="J123" i="24"/>
  <c r="J103" i="24"/>
  <c r="I103" i="24"/>
  <c r="I75" i="24"/>
  <c r="J75" i="24"/>
  <c r="I119" i="23"/>
  <c r="J119" i="23"/>
  <c r="J251" i="24"/>
  <c r="I251" i="24"/>
  <c r="I192" i="24"/>
  <c r="J192" i="24"/>
  <c r="I203" i="24"/>
  <c r="J203" i="24"/>
  <c r="I152" i="24"/>
  <c r="J152" i="24"/>
  <c r="J237" i="24"/>
  <c r="I237" i="24"/>
  <c r="J144" i="24"/>
  <c r="I144" i="24"/>
  <c r="I78" i="24"/>
  <c r="J78" i="24"/>
  <c r="I59" i="24"/>
  <c r="J59" i="24"/>
  <c r="I364" i="24"/>
  <c r="J364" i="24"/>
  <c r="T19" i="25"/>
  <c r="T25" i="25"/>
  <c r="T33" i="25"/>
  <c r="T41" i="25"/>
  <c r="T49" i="25"/>
  <c r="T57" i="25"/>
  <c r="T65" i="25"/>
  <c r="T73" i="25"/>
  <c r="T81" i="25"/>
  <c r="T89" i="25"/>
  <c r="T97" i="25"/>
  <c r="T105" i="25"/>
  <c r="T113" i="25"/>
  <c r="T121" i="25"/>
  <c r="T129" i="25"/>
  <c r="T137" i="25"/>
  <c r="T145" i="25"/>
  <c r="T153" i="25"/>
  <c r="T165" i="25"/>
  <c r="T173" i="25"/>
  <c r="T181" i="25"/>
  <c r="T189" i="25"/>
  <c r="T193" i="25"/>
  <c r="T201" i="25"/>
  <c r="T213" i="25"/>
  <c r="T221" i="25"/>
  <c r="T229" i="25"/>
  <c r="T237" i="25"/>
  <c r="T245" i="25"/>
  <c r="T253" i="25"/>
  <c r="T257" i="25"/>
  <c r="T265" i="25"/>
  <c r="T273" i="25"/>
  <c r="T281" i="25"/>
  <c r="T289" i="25"/>
  <c r="T297" i="25"/>
  <c r="T305" i="25"/>
  <c r="T313" i="25"/>
  <c r="T321" i="25"/>
  <c r="T329" i="25"/>
  <c r="T341" i="25"/>
  <c r="T349" i="25"/>
  <c r="T357" i="25"/>
  <c r="T365" i="25"/>
  <c r="T373" i="25"/>
  <c r="G371" i="24"/>
  <c r="CE371" i="6" s="1"/>
  <c r="AA371" i="24"/>
  <c r="Z371" i="24" s="1"/>
  <c r="Y371" i="24" s="1"/>
  <c r="AA351" i="24"/>
  <c r="Z351" i="24" s="1"/>
  <c r="Y351" i="24" s="1"/>
  <c r="G351" i="24"/>
  <c r="CE351" i="6" s="1"/>
  <c r="AA343" i="24"/>
  <c r="Z343" i="24" s="1"/>
  <c r="Y343" i="24" s="1"/>
  <c r="G343" i="24"/>
  <c r="CE343" i="6" s="1"/>
  <c r="H343" i="24"/>
  <c r="AA323" i="24"/>
  <c r="Z323" i="24" s="1"/>
  <c r="Y323" i="24" s="1"/>
  <c r="G323" i="24"/>
  <c r="CE323" i="6" s="1"/>
  <c r="H323" i="24"/>
  <c r="D319" i="24"/>
  <c r="E319" i="24" s="1"/>
  <c r="F319" i="24" s="1"/>
  <c r="W319" i="24"/>
  <c r="AA307" i="24"/>
  <c r="Z307" i="24" s="1"/>
  <c r="Y307" i="24" s="1"/>
  <c r="G307" i="24"/>
  <c r="CE307" i="6" s="1"/>
  <c r="H307" i="24"/>
  <c r="AA287" i="24"/>
  <c r="Z287" i="24" s="1"/>
  <c r="Y287" i="24" s="1"/>
  <c r="H287" i="24"/>
  <c r="G287" i="24"/>
  <c r="CE287" i="6" s="1"/>
  <c r="AA275" i="24"/>
  <c r="Z275" i="24" s="1"/>
  <c r="Y275" i="24" s="1"/>
  <c r="H275" i="24"/>
  <c r="G275" i="24"/>
  <c r="CE275" i="6" s="1"/>
  <c r="G267" i="24"/>
  <c r="CE267" i="6" s="1"/>
  <c r="AA267" i="24"/>
  <c r="Z267" i="24" s="1"/>
  <c r="Y267" i="24" s="1"/>
  <c r="G251" i="24"/>
  <c r="CE251" i="6" s="1"/>
  <c r="AA251" i="24"/>
  <c r="Z251" i="24" s="1"/>
  <c r="Y251" i="24" s="1"/>
  <c r="G219" i="24"/>
  <c r="CE219" i="6" s="1"/>
  <c r="AA219" i="24"/>
  <c r="Z219" i="24" s="1"/>
  <c r="Y219" i="24" s="1"/>
  <c r="G207" i="24"/>
  <c r="CE207" i="6" s="1"/>
  <c r="AA207" i="24"/>
  <c r="Z207" i="24" s="1"/>
  <c r="Y207" i="24" s="1"/>
  <c r="AA167" i="24"/>
  <c r="Z167" i="24" s="1"/>
  <c r="Y167" i="24" s="1"/>
  <c r="G167" i="24"/>
  <c r="CE167" i="6" s="1"/>
  <c r="H167" i="24"/>
  <c r="AA155" i="24"/>
  <c r="Z155" i="24" s="1"/>
  <c r="Y155" i="24" s="1"/>
  <c r="G155" i="24"/>
  <c r="CE155" i="6" s="1"/>
  <c r="AA147" i="24"/>
  <c r="Z147" i="24" s="1"/>
  <c r="Y147" i="24" s="1"/>
  <c r="G147" i="24"/>
  <c r="CE147" i="6" s="1"/>
  <c r="G127" i="24"/>
  <c r="CE127" i="6" s="1"/>
  <c r="AA127" i="24"/>
  <c r="Z127" i="24" s="1"/>
  <c r="Y127" i="24" s="1"/>
  <c r="H127" i="24"/>
  <c r="AA107" i="24"/>
  <c r="Z107" i="24" s="1"/>
  <c r="Y107" i="24" s="1"/>
  <c r="G107" i="24"/>
  <c r="CE107" i="6" s="1"/>
  <c r="G99" i="24"/>
  <c r="CE99" i="6" s="1"/>
  <c r="AA99" i="24"/>
  <c r="Z99" i="24" s="1"/>
  <c r="Y99" i="24" s="1"/>
  <c r="G91" i="24"/>
  <c r="CE91" i="6" s="1"/>
  <c r="AA91" i="24"/>
  <c r="Z91" i="24" s="1"/>
  <c r="Y91" i="24" s="1"/>
  <c r="H91" i="24"/>
  <c r="G71" i="24"/>
  <c r="CE71" i="6" s="1"/>
  <c r="AA71" i="24"/>
  <c r="Z71" i="24" s="1"/>
  <c r="Y71" i="24" s="1"/>
  <c r="H71" i="24"/>
  <c r="G51" i="24"/>
  <c r="CE51" i="6" s="1"/>
  <c r="AA51" i="24"/>
  <c r="Z51" i="24" s="1"/>
  <c r="Y51" i="24" s="1"/>
  <c r="AA35" i="24"/>
  <c r="Z35" i="24" s="1"/>
  <c r="Y35" i="24" s="1"/>
  <c r="G35" i="24"/>
  <c r="CE35" i="6" s="1"/>
  <c r="H35" i="24"/>
  <c r="AA27" i="24"/>
  <c r="Z27" i="24" s="1"/>
  <c r="Y27" i="24" s="1"/>
  <c r="G27" i="24"/>
  <c r="CE27" i="6" s="1"/>
  <c r="H27" i="24"/>
  <c r="J199" i="24"/>
  <c r="I199" i="24"/>
  <c r="J108" i="24"/>
  <c r="I108" i="24"/>
  <c r="J88" i="23"/>
  <c r="I88" i="23"/>
  <c r="H51" i="24"/>
  <c r="J257" i="24"/>
  <c r="I257" i="24"/>
  <c r="I40" i="24"/>
  <c r="J40" i="24"/>
  <c r="I101" i="24"/>
  <c r="J101" i="24"/>
  <c r="AL6" i="18"/>
  <c r="AL12" i="18" s="1"/>
  <c r="X9" i="18"/>
  <c r="Y381" i="18"/>
  <c r="Y382" i="18"/>
  <c r="Y383" i="18"/>
  <c r="AM6" i="18"/>
  <c r="AM12" i="18" s="1"/>
  <c r="J306" i="24"/>
  <c r="I306" i="24"/>
  <c r="J366" i="24"/>
  <c r="I366" i="24"/>
  <c r="J268" i="24"/>
  <c r="I268" i="24"/>
  <c r="I136" i="24"/>
  <c r="J136" i="24"/>
  <c r="I269" i="24"/>
  <c r="J269" i="24"/>
  <c r="J374" i="24"/>
  <c r="I374" i="24"/>
  <c r="I50" i="24"/>
  <c r="J50" i="24"/>
  <c r="J165" i="24"/>
  <c r="I165" i="24"/>
  <c r="AH22" i="25"/>
  <c r="AH32" i="25"/>
  <c r="AH40" i="25"/>
  <c r="AH48" i="25"/>
  <c r="AH56" i="25"/>
  <c r="AH62" i="25"/>
  <c r="AH72" i="25"/>
  <c r="AH80" i="25"/>
  <c r="AH86" i="25"/>
  <c r="AH96" i="25"/>
  <c r="AH102" i="25"/>
  <c r="AH110" i="25"/>
  <c r="AH118" i="25"/>
  <c r="AH126" i="25"/>
  <c r="AH136" i="25"/>
  <c r="AH142" i="25"/>
  <c r="AH150" i="25"/>
  <c r="AH160" i="25"/>
  <c r="AH168" i="25"/>
  <c r="AH174" i="25"/>
  <c r="AH182" i="25"/>
  <c r="AH190" i="25"/>
  <c r="AH198" i="25"/>
  <c r="AH206" i="25"/>
  <c r="AH214" i="25"/>
  <c r="AH222" i="25"/>
  <c r="AH230" i="25"/>
  <c r="AH238" i="25"/>
  <c r="AH246" i="25"/>
  <c r="AH254" i="25"/>
  <c r="AH262" i="25"/>
  <c r="AH270" i="25"/>
  <c r="AH278" i="25"/>
  <c r="AH286" i="25"/>
  <c r="AH294" i="25"/>
  <c r="AH302" i="25"/>
  <c r="AH312" i="25"/>
  <c r="AH320" i="25"/>
  <c r="AH328" i="25"/>
  <c r="AH336" i="25"/>
  <c r="AH344" i="25"/>
  <c r="AH352" i="25"/>
  <c r="AH360" i="25"/>
  <c r="AH368" i="25"/>
  <c r="AH376" i="25"/>
  <c r="I202" i="24"/>
  <c r="J202" i="24"/>
  <c r="I153" i="24"/>
  <c r="J153" i="24"/>
  <c r="J172" i="24"/>
  <c r="I172" i="24"/>
  <c r="J47" i="24"/>
  <c r="I47" i="24"/>
  <c r="J258" i="24"/>
  <c r="I258" i="24"/>
  <c r="J52" i="24"/>
  <c r="I52" i="24"/>
  <c r="I38" i="24"/>
  <c r="J38" i="24"/>
  <c r="J372" i="24"/>
  <c r="I372" i="24"/>
  <c r="I378" i="24"/>
  <c r="J378" i="24"/>
  <c r="I365" i="24"/>
  <c r="J365" i="24"/>
  <c r="I327" i="24"/>
  <c r="J327" i="24"/>
  <c r="I41" i="24"/>
  <c r="J41" i="24"/>
  <c r="I54" i="24"/>
  <c r="J54" i="24"/>
  <c r="I174" i="24"/>
  <c r="J174" i="24"/>
  <c r="J285" i="24"/>
  <c r="I285" i="24"/>
  <c r="J272" i="23"/>
  <c r="I272" i="23"/>
  <c r="J368" i="24"/>
  <c r="I368" i="24"/>
  <c r="I115" i="24"/>
  <c r="J115" i="24"/>
  <c r="J160" i="24"/>
  <c r="I160" i="24"/>
  <c r="J244" i="24"/>
  <c r="I244" i="24"/>
  <c r="I290" i="24"/>
  <c r="J290" i="24"/>
  <c r="I176" i="24"/>
  <c r="J176" i="24"/>
  <c r="I209" i="24"/>
  <c r="J209" i="24"/>
  <c r="I211" i="24"/>
  <c r="J211" i="24"/>
  <c r="J179" i="24"/>
  <c r="I179" i="24"/>
  <c r="I359" i="24"/>
  <c r="J359" i="24"/>
  <c r="I60" i="23"/>
  <c r="J60" i="23"/>
  <c r="J36" i="24"/>
  <c r="I36" i="24"/>
  <c r="J124" i="24"/>
  <c r="I124" i="24"/>
  <c r="T15" i="25"/>
  <c r="U383" i="25"/>
  <c r="U381" i="25"/>
  <c r="U382" i="25"/>
  <c r="T22" i="25"/>
  <c r="T26" i="25"/>
  <c r="T30" i="25"/>
  <c r="T34" i="25"/>
  <c r="T38" i="25"/>
  <c r="T42" i="25"/>
  <c r="T46" i="25"/>
  <c r="T50" i="25"/>
  <c r="T54" i="25"/>
  <c r="T58" i="25"/>
  <c r="T62" i="25"/>
  <c r="T66" i="25"/>
  <c r="T70" i="25"/>
  <c r="T74" i="25"/>
  <c r="T78" i="25"/>
  <c r="T82" i="25"/>
  <c r="T86" i="25"/>
  <c r="T90" i="25"/>
  <c r="T94" i="25"/>
  <c r="T98" i="25"/>
  <c r="T102" i="25"/>
  <c r="T106" i="25"/>
  <c r="T110" i="25"/>
  <c r="T114" i="25"/>
  <c r="T118" i="25"/>
  <c r="T122" i="25"/>
  <c r="T126" i="25"/>
  <c r="T130" i="25"/>
  <c r="T134" i="25"/>
  <c r="T138" i="25"/>
  <c r="T142" i="25"/>
  <c r="T146" i="25"/>
  <c r="T150" i="25"/>
  <c r="T154" i="25"/>
  <c r="T158" i="25"/>
  <c r="T162" i="25"/>
  <c r="T166" i="25"/>
  <c r="T170" i="25"/>
  <c r="T174" i="25"/>
  <c r="T178" i="25"/>
  <c r="T182" i="25"/>
  <c r="T186" i="25"/>
  <c r="T190" i="25"/>
  <c r="T194" i="25"/>
  <c r="T198" i="25"/>
  <c r="T202" i="25"/>
  <c r="T206" i="25"/>
  <c r="T210" i="25"/>
  <c r="T214" i="25"/>
  <c r="T218" i="25"/>
  <c r="T222" i="25"/>
  <c r="T226" i="25"/>
  <c r="T230" i="25"/>
  <c r="T234" i="25"/>
  <c r="T238" i="25"/>
  <c r="T242" i="25"/>
  <c r="T246" i="25"/>
  <c r="T250" i="25"/>
  <c r="T254" i="25"/>
  <c r="T258" i="25"/>
  <c r="T262" i="25"/>
  <c r="T266" i="25"/>
  <c r="T270" i="25"/>
  <c r="T274" i="25"/>
  <c r="T278" i="25"/>
  <c r="T282" i="25"/>
  <c r="T286" i="25"/>
  <c r="T290" i="25"/>
  <c r="T294" i="25"/>
  <c r="T298" i="25"/>
  <c r="T302" i="25"/>
  <c r="T306" i="25"/>
  <c r="T310" i="25"/>
  <c r="T314" i="25"/>
  <c r="T318" i="25"/>
  <c r="T322" i="25"/>
  <c r="T326" i="25"/>
  <c r="T330" i="25"/>
  <c r="T334" i="25"/>
  <c r="T338" i="25"/>
  <c r="T342" i="25"/>
  <c r="T346" i="25"/>
  <c r="T350" i="25"/>
  <c r="T354" i="25"/>
  <c r="T358" i="25"/>
  <c r="T362" i="25"/>
  <c r="T366" i="25"/>
  <c r="T370" i="25"/>
  <c r="T374" i="25"/>
  <c r="T378" i="25"/>
  <c r="J305" i="24"/>
  <c r="I305" i="24"/>
  <c r="I193" i="24"/>
  <c r="J193" i="24"/>
  <c r="J362" i="24"/>
  <c r="I362" i="24"/>
  <c r="H371" i="24"/>
  <c r="J377" i="24"/>
  <c r="I377" i="24"/>
  <c r="J72" i="24"/>
  <c r="I72" i="24"/>
  <c r="J352" i="24"/>
  <c r="I352" i="24"/>
  <c r="I277" i="24"/>
  <c r="J277" i="24"/>
  <c r="H107" i="24"/>
  <c r="J130" i="24"/>
  <c r="I130" i="24"/>
  <c r="J80" i="24"/>
  <c r="I80" i="24"/>
  <c r="I236" i="24"/>
  <c r="J236" i="24"/>
  <c r="J360" i="24"/>
  <c r="I360" i="24"/>
  <c r="I171" i="24"/>
  <c r="J171" i="24"/>
  <c r="I24" i="24"/>
  <c r="J24" i="24"/>
  <c r="I178" i="24"/>
  <c r="J178" i="24"/>
  <c r="E382" i="22"/>
  <c r="AJ10" i="22"/>
  <c r="AJ12" i="22" s="1"/>
  <c r="AJ13" i="22" s="1"/>
  <c r="AK8" i="22"/>
  <c r="F15" i="22"/>
  <c r="E9" i="22"/>
  <c r="E11" i="22" s="1"/>
  <c r="E383" i="22"/>
  <c r="E381" i="22"/>
  <c r="I76" i="24"/>
  <c r="J76" i="24"/>
  <c r="I133" i="24"/>
  <c r="J133" i="24"/>
  <c r="J93" i="24"/>
  <c r="I93" i="24"/>
  <c r="I85" i="24"/>
  <c r="J85" i="24"/>
  <c r="I317" i="24"/>
  <c r="J317" i="24"/>
  <c r="I28" i="24"/>
  <c r="J28" i="24"/>
  <c r="J348" i="24"/>
  <c r="I348" i="24"/>
  <c r="I100" i="24"/>
  <c r="J100" i="24"/>
  <c r="J137" i="24"/>
  <c r="I137" i="24"/>
  <c r="I301" i="24"/>
  <c r="J301" i="24"/>
  <c r="J336" i="24"/>
  <c r="I336" i="24"/>
  <c r="J94" i="24"/>
  <c r="I94" i="24"/>
  <c r="J125" i="24"/>
  <c r="I125" i="24"/>
  <c r="AI383" i="25"/>
  <c r="AI382" i="25"/>
  <c r="AI381" i="25"/>
  <c r="AH15" i="25"/>
  <c r="AH21" i="25"/>
  <c r="AH25" i="25"/>
  <c r="AH29" i="25"/>
  <c r="AH33" i="25"/>
  <c r="AH37" i="25"/>
  <c r="AH41" i="25"/>
  <c r="AH45" i="25"/>
  <c r="AH49" i="25"/>
  <c r="AH53" i="25"/>
  <c r="AH57" i="25"/>
  <c r="AH61" i="25"/>
  <c r="AH65" i="25"/>
  <c r="AH69" i="25"/>
  <c r="AH73" i="25"/>
  <c r="AH77" i="25"/>
  <c r="AH81" i="25"/>
  <c r="AH85" i="25"/>
  <c r="AH89" i="25"/>
  <c r="AH93" i="25"/>
  <c r="AH97" i="25"/>
  <c r="AH101" i="25"/>
  <c r="AH105" i="25"/>
  <c r="AH109" i="25"/>
  <c r="AH113" i="25"/>
  <c r="AH117" i="25"/>
  <c r="AH121" i="25"/>
  <c r="AH125" i="25"/>
  <c r="AH129" i="25"/>
  <c r="AH133" i="25"/>
  <c r="AH137" i="25"/>
  <c r="AH141" i="25"/>
  <c r="AH145" i="25"/>
  <c r="AH149" i="25"/>
  <c r="AH153" i="25"/>
  <c r="AH157" i="25"/>
  <c r="AH161" i="25"/>
  <c r="AH165" i="25"/>
  <c r="AH169" i="25"/>
  <c r="AH173" i="25"/>
  <c r="AH177" i="25"/>
  <c r="AH181" i="25"/>
  <c r="AH185" i="25"/>
  <c r="AH189" i="25"/>
  <c r="AH193" i="25"/>
  <c r="AH197" i="25"/>
  <c r="AH201" i="25"/>
  <c r="AH205" i="25"/>
  <c r="AH209" i="25"/>
  <c r="AH213" i="25"/>
  <c r="AH217" i="25"/>
  <c r="AH221" i="25"/>
  <c r="AH225" i="25"/>
  <c r="AH229" i="25"/>
  <c r="AH233" i="25"/>
  <c r="AH237" i="25"/>
  <c r="AH241" i="25"/>
  <c r="AH245" i="25"/>
  <c r="AH249" i="25"/>
  <c r="AH253" i="25"/>
  <c r="AH257" i="25"/>
  <c r="AH261" i="25"/>
  <c r="AH265" i="25"/>
  <c r="AH269" i="25"/>
  <c r="AH273" i="25"/>
  <c r="AH277" i="25"/>
  <c r="AH281" i="25"/>
  <c r="AH285" i="25"/>
  <c r="AH289" i="25"/>
  <c r="AH293" i="25"/>
  <c r="AH297" i="25"/>
  <c r="AH301" i="25"/>
  <c r="AH305" i="25"/>
  <c r="AH309" i="25"/>
  <c r="AH313" i="25"/>
  <c r="AH317" i="25"/>
  <c r="AH321" i="25"/>
  <c r="AH325" i="25"/>
  <c r="AH329" i="25"/>
  <c r="AH333" i="25"/>
  <c r="AH337" i="25"/>
  <c r="AH341" i="25"/>
  <c r="AH345" i="25"/>
  <c r="AH349" i="25"/>
  <c r="AH353" i="25"/>
  <c r="AH357" i="25"/>
  <c r="AH361" i="25"/>
  <c r="AH365" i="25"/>
  <c r="AH369" i="25"/>
  <c r="AH373" i="25"/>
  <c r="AH377" i="25"/>
  <c r="AF382" i="24"/>
  <c r="AF383" i="24"/>
  <c r="AF381" i="24"/>
  <c r="AD15" i="24"/>
  <c r="I284" i="24"/>
  <c r="J284" i="24"/>
  <c r="I58" i="24"/>
  <c r="J58" i="24"/>
  <c r="J140" i="24"/>
  <c r="I140" i="24"/>
  <c r="J357" i="24"/>
  <c r="I357" i="24"/>
  <c r="J68" i="24"/>
  <c r="I68" i="24"/>
  <c r="I249" i="24"/>
  <c r="J249" i="24"/>
  <c r="I201" i="24"/>
  <c r="J201" i="24"/>
  <c r="AH19" i="25"/>
  <c r="AH24" i="25"/>
  <c r="AH30" i="25"/>
  <c r="AH38" i="25"/>
  <c r="AH46" i="25"/>
  <c r="AH54" i="25"/>
  <c r="AH64" i="25"/>
  <c r="AH70" i="25"/>
  <c r="AH78" i="25"/>
  <c r="AH88" i="25"/>
  <c r="AH94" i="25"/>
  <c r="AH104" i="25"/>
  <c r="AH112" i="25"/>
  <c r="AH120" i="25"/>
  <c r="AH128" i="25"/>
  <c r="AH134" i="25"/>
  <c r="AH144" i="25"/>
  <c r="AH152" i="25"/>
  <c r="AH158" i="25"/>
  <c r="AH166" i="25"/>
  <c r="AH176" i="25"/>
  <c r="AH184" i="25"/>
  <c r="AH192" i="25"/>
  <c r="AH200" i="25"/>
  <c r="AH208" i="25"/>
  <c r="AH216" i="25"/>
  <c r="AH224" i="25"/>
  <c r="AH232" i="25"/>
  <c r="AH240" i="25"/>
  <c r="AH248" i="25"/>
  <c r="AH256" i="25"/>
  <c r="AH264" i="25"/>
  <c r="AH272" i="25"/>
  <c r="AH280" i="25"/>
  <c r="AH288" i="25"/>
  <c r="AH296" i="25"/>
  <c r="AH304" i="25"/>
  <c r="AH310" i="25"/>
  <c r="AH318" i="25"/>
  <c r="AH326" i="25"/>
  <c r="AH334" i="25"/>
  <c r="AH342" i="25"/>
  <c r="AH350" i="25"/>
  <c r="AH358" i="25"/>
  <c r="AH366" i="25"/>
  <c r="AH374" i="25"/>
  <c r="I74" i="24"/>
  <c r="J74" i="24"/>
  <c r="G372" i="24"/>
  <c r="CE372" i="6" s="1"/>
  <c r="AA372" i="24"/>
  <c r="Z372" i="24" s="1"/>
  <c r="Y372" i="24" s="1"/>
  <c r="G356" i="24"/>
  <c r="CE356" i="6" s="1"/>
  <c r="H356" i="24"/>
  <c r="AA356" i="24"/>
  <c r="Z356" i="24" s="1"/>
  <c r="Y356" i="24" s="1"/>
  <c r="AA348" i="24"/>
  <c r="Z348" i="24" s="1"/>
  <c r="Y348" i="24" s="1"/>
  <c r="G348" i="24"/>
  <c r="CE348" i="6" s="1"/>
  <c r="G340" i="24"/>
  <c r="CE340" i="6" s="1"/>
  <c r="AA340" i="24"/>
  <c r="Z340" i="24" s="1"/>
  <c r="Y340" i="24" s="1"/>
  <c r="H340" i="24"/>
  <c r="AA324" i="24"/>
  <c r="Z324" i="24" s="1"/>
  <c r="Y324" i="24" s="1"/>
  <c r="H324" i="24"/>
  <c r="G324" i="24"/>
  <c r="CE324" i="6" s="1"/>
  <c r="G316" i="24"/>
  <c r="CE316" i="6" s="1"/>
  <c r="AA316" i="24"/>
  <c r="Z316" i="24" s="1"/>
  <c r="Y316" i="24" s="1"/>
  <c r="G308" i="24"/>
  <c r="CE308" i="6" s="1"/>
  <c r="AA308" i="24"/>
  <c r="Z308" i="24" s="1"/>
  <c r="Y308" i="24" s="1"/>
  <c r="G292" i="24"/>
  <c r="CE292" i="6" s="1"/>
  <c r="AA292" i="24"/>
  <c r="Z292" i="24" s="1"/>
  <c r="Y292" i="24" s="1"/>
  <c r="AA268" i="24"/>
  <c r="Z268" i="24" s="1"/>
  <c r="Y268" i="24" s="1"/>
  <c r="G268" i="24"/>
  <c r="CE268" i="6" s="1"/>
  <c r="AA260" i="24"/>
  <c r="Z260" i="24" s="1"/>
  <c r="Y260" i="24" s="1"/>
  <c r="H260" i="24"/>
  <c r="G260" i="24"/>
  <c r="CE260" i="6" s="1"/>
  <c r="G212" i="24"/>
  <c r="CE212" i="6" s="1"/>
  <c r="AA212" i="24"/>
  <c r="Z212" i="24" s="1"/>
  <c r="Y212" i="24" s="1"/>
  <c r="G204" i="24"/>
  <c r="CE204" i="6" s="1"/>
  <c r="AA204" i="24"/>
  <c r="Z204" i="24" s="1"/>
  <c r="Y204" i="24" s="1"/>
  <c r="W196" i="24"/>
  <c r="D196" i="24"/>
  <c r="E196" i="24" s="1"/>
  <c r="F196" i="24" s="1"/>
  <c r="AA188" i="24"/>
  <c r="Z188" i="24" s="1"/>
  <c r="Y188" i="24" s="1"/>
  <c r="G188" i="24"/>
  <c r="CE188" i="6" s="1"/>
  <c r="G69" i="19"/>
  <c r="B180" i="24"/>
  <c r="AA164" i="24"/>
  <c r="Z164" i="24" s="1"/>
  <c r="Y164" i="24" s="1"/>
  <c r="G164" i="24"/>
  <c r="CE164" i="6" s="1"/>
  <c r="G140" i="24"/>
  <c r="CE140" i="6" s="1"/>
  <c r="AA140" i="24"/>
  <c r="Z140" i="24" s="1"/>
  <c r="Y140" i="24" s="1"/>
  <c r="G124" i="24"/>
  <c r="CE124" i="6" s="1"/>
  <c r="AA124" i="24"/>
  <c r="Z124" i="24" s="1"/>
  <c r="Y124" i="24" s="1"/>
  <c r="G116" i="24"/>
  <c r="CE116" i="6" s="1"/>
  <c r="AA116" i="24"/>
  <c r="Z116" i="24" s="1"/>
  <c r="Y116" i="24" s="1"/>
  <c r="G100" i="24"/>
  <c r="CE100" i="6" s="1"/>
  <c r="AA100" i="24"/>
  <c r="Z100" i="24" s="1"/>
  <c r="Y100" i="24" s="1"/>
  <c r="G92" i="24"/>
  <c r="CE92" i="6" s="1"/>
  <c r="AA92" i="24"/>
  <c r="Z92" i="24" s="1"/>
  <c r="Y92" i="24" s="1"/>
  <c r="G84" i="24"/>
  <c r="CE84" i="6" s="1"/>
  <c r="AA84" i="24"/>
  <c r="Z84" i="24" s="1"/>
  <c r="Y84" i="24" s="1"/>
  <c r="G76" i="24"/>
  <c r="CE76" i="6" s="1"/>
  <c r="AA76" i="24"/>
  <c r="Z76" i="24" s="1"/>
  <c r="Y76" i="24" s="1"/>
  <c r="C69" i="19"/>
  <c r="B60" i="24"/>
  <c r="AA28" i="24"/>
  <c r="Z28" i="24" s="1"/>
  <c r="Y28" i="24" s="1"/>
  <c r="G28" i="24"/>
  <c r="CE28" i="6" s="1"/>
  <c r="AA362" i="24"/>
  <c r="Z362" i="24" s="1"/>
  <c r="Y362" i="24" s="1"/>
  <c r="G362" i="24"/>
  <c r="CE362" i="6" s="1"/>
  <c r="H354" i="24"/>
  <c r="AA354" i="24"/>
  <c r="Z354" i="24" s="1"/>
  <c r="Y354" i="24" s="1"/>
  <c r="G354" i="24"/>
  <c r="CE354" i="6" s="1"/>
  <c r="AA346" i="24"/>
  <c r="Z346" i="24" s="1"/>
  <c r="Y346" i="24" s="1"/>
  <c r="G346" i="24"/>
  <c r="CE346" i="6" s="1"/>
  <c r="H338" i="24"/>
  <c r="G338" i="24"/>
  <c r="CE338" i="6" s="1"/>
  <c r="AA338" i="24"/>
  <c r="Z338" i="24" s="1"/>
  <c r="Y338" i="24" s="1"/>
  <c r="G330" i="24"/>
  <c r="CE330" i="6" s="1"/>
  <c r="AA330" i="24"/>
  <c r="Z330" i="24" s="1"/>
  <c r="Y330" i="24" s="1"/>
  <c r="AA322" i="24"/>
  <c r="Z322" i="24" s="1"/>
  <c r="Y322" i="24" s="1"/>
  <c r="G322" i="24"/>
  <c r="CE322" i="6" s="1"/>
  <c r="G314" i="24"/>
  <c r="CE314" i="6" s="1"/>
  <c r="AA314" i="24"/>
  <c r="Z314" i="24" s="1"/>
  <c r="Y314" i="24" s="1"/>
  <c r="AA298" i="24"/>
  <c r="Z298" i="24" s="1"/>
  <c r="Y298" i="24" s="1"/>
  <c r="G298" i="24"/>
  <c r="CE298" i="6" s="1"/>
  <c r="G290" i="24"/>
  <c r="CE290" i="6" s="1"/>
  <c r="AA290" i="24"/>
  <c r="Z290" i="24" s="1"/>
  <c r="Y290" i="24" s="1"/>
  <c r="AA282" i="24"/>
  <c r="Z282" i="24" s="1"/>
  <c r="Y282" i="24" s="1"/>
  <c r="G282" i="24"/>
  <c r="CE282" i="6" s="1"/>
  <c r="H282" i="24"/>
  <c r="AA258" i="24"/>
  <c r="Z258" i="24" s="1"/>
  <c r="Y258" i="24" s="1"/>
  <c r="G258" i="24"/>
  <c r="CE258" i="6" s="1"/>
  <c r="G250" i="24"/>
  <c r="CE250" i="6" s="1"/>
  <c r="AA250" i="24"/>
  <c r="Z250" i="24" s="1"/>
  <c r="Y250" i="24" s="1"/>
  <c r="H250" i="24"/>
  <c r="G242" i="24"/>
  <c r="CE242" i="6" s="1"/>
  <c r="AA242" i="24"/>
  <c r="Z242" i="24" s="1"/>
  <c r="Y242" i="24" s="1"/>
  <c r="G234" i="24"/>
  <c r="CE234" i="6" s="1"/>
  <c r="AA234" i="24"/>
  <c r="Z234" i="24" s="1"/>
  <c r="Y234" i="24" s="1"/>
  <c r="AA226" i="24"/>
  <c r="Z226" i="24" s="1"/>
  <c r="Y226" i="24" s="1"/>
  <c r="G226" i="24"/>
  <c r="CE226" i="6" s="1"/>
  <c r="H226" i="24"/>
  <c r="AA218" i="24"/>
  <c r="Z218" i="24" s="1"/>
  <c r="Y218" i="24" s="1"/>
  <c r="G218" i="24"/>
  <c r="CE218" i="6" s="1"/>
  <c r="AA194" i="24"/>
  <c r="Z194" i="24" s="1"/>
  <c r="Y194" i="24" s="1"/>
  <c r="G194" i="24"/>
  <c r="CE194" i="6" s="1"/>
  <c r="H194" i="24"/>
  <c r="AA178" i="24"/>
  <c r="Z178" i="24" s="1"/>
  <c r="Y178" i="24" s="1"/>
  <c r="G178" i="24"/>
  <c r="CE178" i="6" s="1"/>
  <c r="AA162" i="24"/>
  <c r="Z162" i="24" s="1"/>
  <c r="Y162" i="24" s="1"/>
  <c r="G162" i="24"/>
  <c r="CE162" i="6" s="1"/>
  <c r="G146" i="24"/>
  <c r="CE146" i="6" s="1"/>
  <c r="AA146" i="24"/>
  <c r="Z146" i="24" s="1"/>
  <c r="Y146" i="24" s="1"/>
  <c r="H146" i="24"/>
  <c r="G122" i="24"/>
  <c r="CE122" i="6" s="1"/>
  <c r="AA122" i="24"/>
  <c r="Z122" i="24" s="1"/>
  <c r="Y122" i="24" s="1"/>
  <c r="G114" i="24"/>
  <c r="CE114" i="6" s="1"/>
  <c r="AA114" i="24"/>
  <c r="Z114" i="24" s="1"/>
  <c r="Y114" i="24" s="1"/>
  <c r="G98" i="24"/>
  <c r="CE98" i="6" s="1"/>
  <c r="AA98" i="24"/>
  <c r="Z98" i="24" s="1"/>
  <c r="Y98" i="24" s="1"/>
  <c r="G90" i="24"/>
  <c r="CE90" i="6" s="1"/>
  <c r="AA90" i="24"/>
  <c r="Z90" i="24" s="1"/>
  <c r="Y90" i="24" s="1"/>
  <c r="AA50" i="24"/>
  <c r="Z50" i="24" s="1"/>
  <c r="Y50" i="24" s="1"/>
  <c r="G50" i="24"/>
  <c r="CE50" i="6" s="1"/>
  <c r="G42" i="24"/>
  <c r="CE42" i="6" s="1"/>
  <c r="AA42" i="24"/>
  <c r="Z42" i="24" s="1"/>
  <c r="Y42" i="24" s="1"/>
  <c r="AA34" i="24"/>
  <c r="Z34" i="24" s="1"/>
  <c r="Y34" i="24" s="1"/>
  <c r="G34" i="24"/>
  <c r="CE34" i="6" s="1"/>
  <c r="H34" i="24"/>
  <c r="G17" i="24"/>
  <c r="CE17" i="6" s="1"/>
  <c r="AA17" i="24"/>
  <c r="Z17" i="24" s="1"/>
  <c r="Y17" i="24" s="1"/>
  <c r="G337" i="24"/>
  <c r="CE337" i="6" s="1"/>
  <c r="AA337" i="24"/>
  <c r="Z337" i="24" s="1"/>
  <c r="Y337" i="24" s="1"/>
  <c r="G329" i="24"/>
  <c r="CE329" i="6" s="1"/>
  <c r="AA329" i="24"/>
  <c r="Z329" i="24" s="1"/>
  <c r="Y329" i="24" s="1"/>
  <c r="G313" i="24"/>
  <c r="CE313" i="6" s="1"/>
  <c r="H313" i="24"/>
  <c r="AA313" i="24"/>
  <c r="Z313" i="24" s="1"/>
  <c r="Y313" i="24" s="1"/>
  <c r="AA305" i="24"/>
  <c r="Z305" i="24" s="1"/>
  <c r="Y305" i="24" s="1"/>
  <c r="G305" i="24"/>
  <c r="CE305" i="6" s="1"/>
  <c r="AA273" i="24"/>
  <c r="Z273" i="24" s="1"/>
  <c r="Y273" i="24" s="1"/>
  <c r="G273" i="24"/>
  <c r="CE273" i="6" s="1"/>
  <c r="G265" i="24"/>
  <c r="CE265" i="6" s="1"/>
  <c r="AA265" i="24"/>
  <c r="Z265" i="24" s="1"/>
  <c r="Y265" i="24" s="1"/>
  <c r="I69" i="19"/>
  <c r="B241" i="24"/>
  <c r="G225" i="24"/>
  <c r="CE225" i="6" s="1"/>
  <c r="AA225" i="24"/>
  <c r="Z225" i="24" s="1"/>
  <c r="Y225" i="24" s="1"/>
  <c r="G209" i="24"/>
  <c r="CE209" i="6" s="1"/>
  <c r="AA209" i="24"/>
  <c r="Z209" i="24" s="1"/>
  <c r="Y209" i="24" s="1"/>
  <c r="G201" i="24"/>
  <c r="CE201" i="6" s="1"/>
  <c r="AA201" i="24"/>
  <c r="Z201" i="24" s="1"/>
  <c r="Y201" i="24" s="1"/>
  <c r="AA185" i="24"/>
  <c r="Z185" i="24" s="1"/>
  <c r="Y185" i="24" s="1"/>
  <c r="G185" i="24"/>
  <c r="CE185" i="6" s="1"/>
  <c r="G169" i="24"/>
  <c r="CE169" i="6" s="1"/>
  <c r="AA169" i="24"/>
  <c r="Z169" i="24" s="1"/>
  <c r="Y169" i="24" s="1"/>
  <c r="AA161" i="24"/>
  <c r="Z161" i="24" s="1"/>
  <c r="Y161" i="24" s="1"/>
  <c r="G161" i="24"/>
  <c r="CE161" i="6" s="1"/>
  <c r="H161" i="24"/>
  <c r="G121" i="24"/>
  <c r="CE121" i="6" s="1"/>
  <c r="AA121" i="24"/>
  <c r="Z121" i="24" s="1"/>
  <c r="Y121" i="24" s="1"/>
  <c r="AA113" i="24"/>
  <c r="Z113" i="24" s="1"/>
  <c r="Y113" i="24" s="1"/>
  <c r="G113" i="24"/>
  <c r="CE113" i="6" s="1"/>
  <c r="H113" i="24"/>
  <c r="AA81" i="24"/>
  <c r="Z81" i="24" s="1"/>
  <c r="Y81" i="24" s="1"/>
  <c r="G81" i="24"/>
  <c r="CE81" i="6" s="1"/>
  <c r="AA65" i="24"/>
  <c r="Z65" i="24" s="1"/>
  <c r="Y65" i="24" s="1"/>
  <c r="G65" i="24"/>
  <c r="CE65" i="6" s="1"/>
  <c r="H65" i="24"/>
  <c r="AA57" i="24"/>
  <c r="Z57" i="24" s="1"/>
  <c r="Y57" i="24" s="1"/>
  <c r="G57" i="24"/>
  <c r="CE57" i="6" s="1"/>
  <c r="G49" i="24"/>
  <c r="CE49" i="6" s="1"/>
  <c r="AA49" i="24"/>
  <c r="Z49" i="24" s="1"/>
  <c r="Y49" i="24" s="1"/>
  <c r="H49" i="24"/>
  <c r="G25" i="24"/>
  <c r="CE25" i="6" s="1"/>
  <c r="AA25" i="24"/>
  <c r="Z25" i="24" s="1"/>
  <c r="Y25" i="24" s="1"/>
  <c r="H25" i="24"/>
  <c r="G376" i="24"/>
  <c r="CE376" i="6" s="1"/>
  <c r="AA376" i="24"/>
  <c r="Z376" i="24" s="1"/>
  <c r="Y376" i="24" s="1"/>
  <c r="G368" i="24"/>
  <c r="CE368" i="6" s="1"/>
  <c r="AA368" i="24"/>
  <c r="Z368" i="24" s="1"/>
  <c r="Y368" i="24" s="1"/>
  <c r="G360" i="24"/>
  <c r="CE360" i="6" s="1"/>
  <c r="AA360" i="24"/>
  <c r="Z360" i="24" s="1"/>
  <c r="Y360" i="24" s="1"/>
  <c r="G352" i="24"/>
  <c r="CE352" i="6" s="1"/>
  <c r="AA352" i="24"/>
  <c r="Z352" i="24" s="1"/>
  <c r="Y352" i="24" s="1"/>
  <c r="AA344" i="24"/>
  <c r="Z344" i="24" s="1"/>
  <c r="Y344" i="24" s="1"/>
  <c r="G344" i="24"/>
  <c r="CE344" i="6" s="1"/>
  <c r="AA304" i="24"/>
  <c r="Z304" i="24" s="1"/>
  <c r="Y304" i="24" s="1"/>
  <c r="G304" i="24"/>
  <c r="CE304" i="6" s="1"/>
  <c r="H304" i="24"/>
  <c r="AA280" i="24"/>
  <c r="Z280" i="24" s="1"/>
  <c r="Y280" i="24" s="1"/>
  <c r="G280" i="24"/>
  <c r="CE280" i="6" s="1"/>
  <c r="J69" i="19"/>
  <c r="B272" i="24"/>
  <c r="G256" i="24"/>
  <c r="CE256" i="6" s="1"/>
  <c r="AA256" i="24"/>
  <c r="Z256" i="24" s="1"/>
  <c r="Y256" i="24" s="1"/>
  <c r="H256" i="24"/>
  <c r="G240" i="24"/>
  <c r="CE240" i="6" s="1"/>
  <c r="H240" i="24"/>
  <c r="AA240" i="24"/>
  <c r="Z240" i="24" s="1"/>
  <c r="Y240" i="24" s="1"/>
  <c r="AA232" i="24"/>
  <c r="Z232" i="24" s="1"/>
  <c r="Y232" i="24" s="1"/>
  <c r="H232" i="24"/>
  <c r="G232" i="24"/>
  <c r="CE232" i="6" s="1"/>
  <c r="G224" i="24"/>
  <c r="CE224" i="6" s="1"/>
  <c r="AA224" i="24"/>
  <c r="Z224" i="24" s="1"/>
  <c r="Y224" i="24" s="1"/>
  <c r="H216" i="24"/>
  <c r="G216" i="24"/>
  <c r="CE216" i="6" s="1"/>
  <c r="AA216" i="24"/>
  <c r="Z216" i="24" s="1"/>
  <c r="Y216" i="24" s="1"/>
  <c r="AA200" i="24"/>
  <c r="Z200" i="24" s="1"/>
  <c r="Y200" i="24" s="1"/>
  <c r="G200" i="24"/>
  <c r="CE200" i="6" s="1"/>
  <c r="H200" i="24"/>
  <c r="AA184" i="24"/>
  <c r="Z184" i="24" s="1"/>
  <c r="Y184" i="24" s="1"/>
  <c r="G184" i="24"/>
  <c r="CE184" i="6" s="1"/>
  <c r="H184" i="24"/>
  <c r="G176" i="24"/>
  <c r="CE176" i="6" s="1"/>
  <c r="AA176" i="24"/>
  <c r="Z176" i="24" s="1"/>
  <c r="Y176" i="24" s="1"/>
  <c r="AA168" i="24"/>
  <c r="Z168" i="24" s="1"/>
  <c r="Y168" i="24" s="1"/>
  <c r="G168" i="24"/>
  <c r="CE168" i="6" s="1"/>
  <c r="H168" i="24"/>
  <c r="G160" i="24"/>
  <c r="CE160" i="6" s="1"/>
  <c r="AA160" i="24"/>
  <c r="Z160" i="24" s="1"/>
  <c r="Y160" i="24" s="1"/>
  <c r="G144" i="24"/>
  <c r="CE144" i="6" s="1"/>
  <c r="AA144" i="24"/>
  <c r="Z144" i="24" s="1"/>
  <c r="Y144" i="24" s="1"/>
  <c r="G112" i="24"/>
  <c r="CE112" i="6" s="1"/>
  <c r="AA112" i="24"/>
  <c r="Z112" i="24" s="1"/>
  <c r="Y112" i="24" s="1"/>
  <c r="AA96" i="24"/>
  <c r="Z96" i="24" s="1"/>
  <c r="Y96" i="24" s="1"/>
  <c r="G96" i="24"/>
  <c r="CE96" i="6" s="1"/>
  <c r="H96" i="24"/>
  <c r="D69" i="19"/>
  <c r="B88" i="24"/>
  <c r="G48" i="24"/>
  <c r="CE48" i="6" s="1"/>
  <c r="AA48" i="24"/>
  <c r="Z48" i="24" s="1"/>
  <c r="Y48" i="24" s="1"/>
  <c r="H48" i="24"/>
  <c r="G40" i="24"/>
  <c r="CE40" i="6" s="1"/>
  <c r="AA40" i="24"/>
  <c r="Z40" i="24" s="1"/>
  <c r="Y40" i="24" s="1"/>
  <c r="AA374" i="24"/>
  <c r="Z374" i="24" s="1"/>
  <c r="Y374" i="24" s="1"/>
  <c r="G374" i="24"/>
  <c r="CE374" i="6" s="1"/>
  <c r="G358" i="24"/>
  <c r="CE358" i="6" s="1"/>
  <c r="AA358" i="24"/>
  <c r="Z358" i="24" s="1"/>
  <c r="Y358" i="24" s="1"/>
  <c r="G350" i="24"/>
  <c r="CE350" i="6" s="1"/>
  <c r="H350" i="24"/>
  <c r="AA350" i="24"/>
  <c r="Z350" i="24" s="1"/>
  <c r="Y350" i="24" s="1"/>
  <c r="H342" i="24"/>
  <c r="G342" i="24"/>
  <c r="CE342" i="6" s="1"/>
  <c r="AA342" i="24"/>
  <c r="Z342" i="24" s="1"/>
  <c r="Y342" i="24" s="1"/>
  <c r="G318" i="24"/>
  <c r="CE318" i="6" s="1"/>
  <c r="AA318" i="24"/>
  <c r="Z318" i="24" s="1"/>
  <c r="Y318" i="24" s="1"/>
  <c r="H310" i="24"/>
  <c r="AA310" i="24"/>
  <c r="Z310" i="24" s="1"/>
  <c r="Y310" i="24" s="1"/>
  <c r="G310" i="24"/>
  <c r="CE310" i="6" s="1"/>
  <c r="K69" i="19"/>
  <c r="B302" i="24"/>
  <c r="G286" i="24"/>
  <c r="CE286" i="6" s="1"/>
  <c r="H286" i="24"/>
  <c r="AA286" i="24"/>
  <c r="Z286" i="24" s="1"/>
  <c r="Y286" i="24" s="1"/>
  <c r="G262" i="24"/>
  <c r="CE262" i="6" s="1"/>
  <c r="AA262" i="24"/>
  <c r="Z262" i="24" s="1"/>
  <c r="Y262" i="24" s="1"/>
  <c r="H262" i="24"/>
  <c r="AA246" i="24"/>
  <c r="Z246" i="24" s="1"/>
  <c r="Y246" i="24" s="1"/>
  <c r="G246" i="24"/>
  <c r="CE246" i="6" s="1"/>
  <c r="G222" i="24"/>
  <c r="CE222" i="6" s="1"/>
  <c r="AA222" i="24"/>
  <c r="Z222" i="24" s="1"/>
  <c r="Y222" i="24" s="1"/>
  <c r="H222" i="24"/>
  <c r="AA182" i="24"/>
  <c r="Z182" i="24" s="1"/>
  <c r="Y182" i="24" s="1"/>
  <c r="G182" i="24"/>
  <c r="CE182" i="6" s="1"/>
  <c r="H182" i="24"/>
  <c r="AA174" i="24"/>
  <c r="Z174" i="24" s="1"/>
  <c r="Y174" i="24" s="1"/>
  <c r="G174" i="24"/>
  <c r="CE174" i="6" s="1"/>
  <c r="H166" i="24"/>
  <c r="AA166" i="24"/>
  <c r="Z166" i="24" s="1"/>
  <c r="Y166" i="24" s="1"/>
  <c r="G166" i="24"/>
  <c r="CE166" i="6" s="1"/>
  <c r="AA126" i="24"/>
  <c r="Z126" i="24" s="1"/>
  <c r="Y126" i="24" s="1"/>
  <c r="G126" i="24"/>
  <c r="CE126" i="6" s="1"/>
  <c r="G102" i="24"/>
  <c r="CE102" i="6" s="1"/>
  <c r="AA102" i="24"/>
  <c r="Z102" i="24" s="1"/>
  <c r="Y102" i="24" s="1"/>
  <c r="G94" i="24"/>
  <c r="CE94" i="6" s="1"/>
  <c r="AA94" i="24"/>
  <c r="Z94" i="24" s="1"/>
  <c r="Y94" i="24" s="1"/>
  <c r="AA86" i="24"/>
  <c r="Z86" i="24" s="1"/>
  <c r="Y86" i="24" s="1"/>
  <c r="G86" i="24"/>
  <c r="CE86" i="6" s="1"/>
  <c r="AA62" i="24"/>
  <c r="Z62" i="24" s="1"/>
  <c r="Y62" i="24" s="1"/>
  <c r="G62" i="24"/>
  <c r="CE62" i="6" s="1"/>
  <c r="H62" i="24"/>
  <c r="AA46" i="24"/>
  <c r="Z46" i="24" s="1"/>
  <c r="Y46" i="24" s="1"/>
  <c r="G46" i="24"/>
  <c r="CE46" i="6" s="1"/>
  <c r="AA38" i="24"/>
  <c r="Z38" i="24" s="1"/>
  <c r="Y38" i="24" s="1"/>
  <c r="G38" i="24"/>
  <c r="CE38" i="6" s="1"/>
  <c r="AA22" i="24"/>
  <c r="Z22" i="24" s="1"/>
  <c r="Y22" i="24" s="1"/>
  <c r="G22" i="24"/>
  <c r="CE22" i="6" s="1"/>
  <c r="D383" i="23"/>
  <c r="E15" i="23"/>
  <c r="AJ8" i="23"/>
  <c r="D382" i="23"/>
  <c r="D9" i="23"/>
  <c r="D11" i="23" s="1"/>
  <c r="D381" i="23"/>
  <c r="G373" i="24"/>
  <c r="CE373" i="6" s="1"/>
  <c r="AA373" i="24"/>
  <c r="Z373" i="24" s="1"/>
  <c r="Y373" i="24" s="1"/>
  <c r="G365" i="24"/>
  <c r="CE365" i="6" s="1"/>
  <c r="AA365" i="24"/>
  <c r="Z365" i="24" s="1"/>
  <c r="Y365" i="24" s="1"/>
  <c r="AA349" i="24"/>
  <c r="Z349" i="24" s="1"/>
  <c r="Y349" i="24" s="1"/>
  <c r="H349" i="24"/>
  <c r="G349" i="24"/>
  <c r="CE349" i="6" s="1"/>
  <c r="AA341" i="24"/>
  <c r="Z341" i="24" s="1"/>
  <c r="Y341" i="24" s="1"/>
  <c r="G341" i="24"/>
  <c r="CE341" i="6" s="1"/>
  <c r="H341" i="24"/>
  <c r="D333" i="24"/>
  <c r="E333" i="24" s="1"/>
  <c r="F333" i="24" s="1"/>
  <c r="W333" i="24"/>
  <c r="AA325" i="24"/>
  <c r="Z325" i="24" s="1"/>
  <c r="Y325" i="24" s="1"/>
  <c r="G325" i="24"/>
  <c r="CE325" i="6" s="1"/>
  <c r="G309" i="24"/>
  <c r="CE309" i="6" s="1"/>
  <c r="H309" i="24"/>
  <c r="AA309" i="24"/>
  <c r="Z309" i="24" s="1"/>
  <c r="Y309" i="24" s="1"/>
  <c r="AA293" i="24"/>
  <c r="Z293" i="24" s="1"/>
  <c r="Y293" i="24" s="1"/>
  <c r="H293" i="24"/>
  <c r="G293" i="24"/>
  <c r="CE293" i="6" s="1"/>
  <c r="AA269" i="24"/>
  <c r="Z269" i="24" s="1"/>
  <c r="Y269" i="24" s="1"/>
  <c r="G269" i="24"/>
  <c r="CE269" i="6" s="1"/>
  <c r="AA253" i="24"/>
  <c r="Z253" i="24" s="1"/>
  <c r="Y253" i="24" s="1"/>
  <c r="G253" i="24"/>
  <c r="CE253" i="6" s="1"/>
  <c r="H253" i="24"/>
  <c r="AA245" i="24"/>
  <c r="Z245" i="24" s="1"/>
  <c r="Y245" i="24" s="1"/>
  <c r="G245" i="24"/>
  <c r="CE245" i="6" s="1"/>
  <c r="AA237" i="24"/>
  <c r="Z237" i="24" s="1"/>
  <c r="Y237" i="24" s="1"/>
  <c r="G237" i="24"/>
  <c r="CE237" i="6" s="1"/>
  <c r="H221" i="24"/>
  <c r="G221" i="24"/>
  <c r="CE221" i="6" s="1"/>
  <c r="AA221" i="24"/>
  <c r="Z221" i="24" s="1"/>
  <c r="Y221" i="24" s="1"/>
  <c r="AA213" i="24"/>
  <c r="Z213" i="24" s="1"/>
  <c r="Y213" i="24" s="1"/>
  <c r="G213" i="24"/>
  <c r="CE213" i="6" s="1"/>
  <c r="H205" i="24"/>
  <c r="G205" i="24"/>
  <c r="CE205" i="6" s="1"/>
  <c r="AA205" i="24"/>
  <c r="Z205" i="24" s="1"/>
  <c r="Y205" i="24" s="1"/>
  <c r="G189" i="24"/>
  <c r="CE189" i="6" s="1"/>
  <c r="AA189" i="24"/>
  <c r="Z189" i="24" s="1"/>
  <c r="Y189" i="24" s="1"/>
  <c r="H189" i="24"/>
  <c r="G181" i="24"/>
  <c r="CE181" i="6" s="1"/>
  <c r="AA181" i="24"/>
  <c r="Z181" i="24" s="1"/>
  <c r="Y181" i="24" s="1"/>
  <c r="H181" i="24"/>
  <c r="AA173" i="24"/>
  <c r="Z173" i="24" s="1"/>
  <c r="Y173" i="24" s="1"/>
  <c r="G173" i="24"/>
  <c r="CE173" i="6" s="1"/>
  <c r="G157" i="24"/>
  <c r="CE157" i="6" s="1"/>
  <c r="AA157" i="24"/>
  <c r="Z157" i="24" s="1"/>
  <c r="Y157" i="24" s="1"/>
  <c r="F69" i="19"/>
  <c r="B149" i="24"/>
  <c r="AA133" i="24"/>
  <c r="Z133" i="24" s="1"/>
  <c r="Y133" i="24" s="1"/>
  <c r="G133" i="24"/>
  <c r="CE133" i="6" s="1"/>
  <c r="G125" i="24"/>
  <c r="CE125" i="6" s="1"/>
  <c r="AA125" i="24"/>
  <c r="Z125" i="24" s="1"/>
  <c r="Y125" i="24" s="1"/>
  <c r="AA117" i="24"/>
  <c r="Z117" i="24" s="1"/>
  <c r="Y117" i="24" s="1"/>
  <c r="G117" i="24"/>
  <c r="CE117" i="6" s="1"/>
  <c r="AA101" i="24"/>
  <c r="Z101" i="24" s="1"/>
  <c r="Y101" i="24" s="1"/>
  <c r="G101" i="24"/>
  <c r="CE101" i="6" s="1"/>
  <c r="AA77" i="24"/>
  <c r="Z77" i="24" s="1"/>
  <c r="Y77" i="24" s="1"/>
  <c r="G77" i="24"/>
  <c r="CE77" i="6" s="1"/>
  <c r="G69" i="24"/>
  <c r="CE69" i="6" s="1"/>
  <c r="AA69" i="24"/>
  <c r="Z69" i="24" s="1"/>
  <c r="Y69" i="24" s="1"/>
  <c r="G53" i="24"/>
  <c r="CE53" i="6" s="1"/>
  <c r="AA53" i="24"/>
  <c r="Z53" i="24" s="1"/>
  <c r="Y53" i="24" s="1"/>
  <c r="H53" i="24"/>
  <c r="D29" i="24"/>
  <c r="E29" i="24" s="1"/>
  <c r="F29" i="24" s="1"/>
  <c r="W29" i="24"/>
  <c r="I361" i="24"/>
  <c r="J361" i="24"/>
  <c r="J32" i="24"/>
  <c r="I32" i="24"/>
  <c r="J315" i="24"/>
  <c r="I315" i="24"/>
  <c r="I116" i="24"/>
  <c r="J116" i="24"/>
  <c r="J231" i="24"/>
  <c r="I231" i="24"/>
  <c r="J204" i="24"/>
  <c r="I204" i="24"/>
  <c r="J328" i="24"/>
  <c r="I328" i="24"/>
  <c r="J292" i="24"/>
  <c r="I292" i="24"/>
  <c r="J188" i="24"/>
  <c r="I188" i="24"/>
  <c r="I233" i="24"/>
  <c r="J233" i="24"/>
  <c r="I326" i="24"/>
  <c r="J326" i="24"/>
  <c r="I316" i="24"/>
  <c r="J316" i="24"/>
  <c r="J334" i="24"/>
  <c r="I334" i="24"/>
  <c r="I118" i="24"/>
  <c r="J118" i="24"/>
  <c r="I254" i="24"/>
  <c r="J254" i="24"/>
  <c r="I104" i="24"/>
  <c r="J104" i="24"/>
  <c r="J33" i="24"/>
  <c r="I33" i="24"/>
  <c r="J121" i="24"/>
  <c r="I121" i="24"/>
  <c r="T21" i="25"/>
  <c r="T29" i="25"/>
  <c r="T37" i="25"/>
  <c r="T45" i="25"/>
  <c r="T53" i="25"/>
  <c r="T61" i="25"/>
  <c r="T69" i="25"/>
  <c r="T77" i="25"/>
  <c r="T85" i="25"/>
  <c r="T93" i="25"/>
  <c r="T101" i="25"/>
  <c r="T109" i="25"/>
  <c r="T117" i="25"/>
  <c r="T125" i="25"/>
  <c r="T133" i="25"/>
  <c r="T141" i="25"/>
  <c r="T149" i="25"/>
  <c r="T157" i="25"/>
  <c r="T161" i="25"/>
  <c r="T169" i="25"/>
  <c r="T177" i="25"/>
  <c r="T185" i="25"/>
  <c r="T197" i="25"/>
  <c r="T205" i="25"/>
  <c r="T209" i="25"/>
  <c r="T217" i="25"/>
  <c r="T225" i="25"/>
  <c r="T233" i="25"/>
  <c r="T241" i="25"/>
  <c r="T249" i="25"/>
  <c r="T261" i="25"/>
  <c r="T269" i="25"/>
  <c r="T277" i="25"/>
  <c r="T285" i="25"/>
  <c r="T293" i="25"/>
  <c r="T301" i="25"/>
  <c r="T309" i="25"/>
  <c r="T317" i="25"/>
  <c r="T325" i="25"/>
  <c r="T333" i="25"/>
  <c r="T337" i="25"/>
  <c r="T345" i="25"/>
  <c r="T353" i="25"/>
  <c r="T361" i="25"/>
  <c r="T369" i="25"/>
  <c r="T377" i="25"/>
  <c r="M69" i="19"/>
  <c r="B363" i="24"/>
  <c r="H347" i="24"/>
  <c r="AA347" i="24"/>
  <c r="Z347" i="24" s="1"/>
  <c r="Y347" i="24" s="1"/>
  <c r="G347" i="24"/>
  <c r="CE347" i="6" s="1"/>
  <c r="H335" i="24"/>
  <c r="G335" i="24"/>
  <c r="CE335" i="6" s="1"/>
  <c r="AA335" i="24"/>
  <c r="Z335" i="24" s="1"/>
  <c r="Y335" i="24" s="1"/>
  <c r="AA315" i="24"/>
  <c r="Z315" i="24" s="1"/>
  <c r="Y315" i="24" s="1"/>
  <c r="G315" i="24"/>
  <c r="CE315" i="6" s="1"/>
  <c r="AA299" i="24"/>
  <c r="Z299" i="24" s="1"/>
  <c r="Y299" i="24" s="1"/>
  <c r="H299" i="24"/>
  <c r="G299" i="24"/>
  <c r="CE299" i="6" s="1"/>
  <c r="G283" i="24"/>
  <c r="CE283" i="6" s="1"/>
  <c r="AA283" i="24"/>
  <c r="Z283" i="24" s="1"/>
  <c r="Y283" i="24" s="1"/>
  <c r="G259" i="24"/>
  <c r="CE259" i="6" s="1"/>
  <c r="AA259" i="24"/>
  <c r="Z259" i="24" s="1"/>
  <c r="Y259" i="24" s="1"/>
  <c r="AA239" i="24"/>
  <c r="Z239" i="24" s="1"/>
  <c r="Y239" i="24" s="1"/>
  <c r="G239" i="24"/>
  <c r="CE239" i="6" s="1"/>
  <c r="AA215" i="24"/>
  <c r="Z215" i="24" s="1"/>
  <c r="Y215" i="24" s="1"/>
  <c r="G215" i="24"/>
  <c r="CE215" i="6" s="1"/>
  <c r="H215" i="24"/>
  <c r="G175" i="24"/>
  <c r="CE175" i="6" s="1"/>
  <c r="AA175" i="24"/>
  <c r="Z175" i="24" s="1"/>
  <c r="Y175" i="24" s="1"/>
  <c r="G163" i="24"/>
  <c r="CE163" i="6" s="1"/>
  <c r="AA163" i="24"/>
  <c r="Z163" i="24" s="1"/>
  <c r="Y163" i="24" s="1"/>
  <c r="G143" i="24"/>
  <c r="CE143" i="6" s="1"/>
  <c r="AA143" i="24"/>
  <c r="Z143" i="24" s="1"/>
  <c r="Y143" i="24" s="1"/>
  <c r="H143" i="24"/>
  <c r="G123" i="24"/>
  <c r="CE123" i="6" s="1"/>
  <c r="AA123" i="24"/>
  <c r="Z123" i="24" s="1"/>
  <c r="Y123" i="24" s="1"/>
  <c r="AA103" i="24"/>
  <c r="Z103" i="24" s="1"/>
  <c r="Y103" i="24" s="1"/>
  <c r="G103" i="24"/>
  <c r="CE103" i="6" s="1"/>
  <c r="G83" i="24"/>
  <c r="CE83" i="6" s="1"/>
  <c r="AA83" i="24"/>
  <c r="Z83" i="24" s="1"/>
  <c r="Y83" i="24" s="1"/>
  <c r="H83" i="24"/>
  <c r="G75" i="24"/>
  <c r="CE75" i="6" s="1"/>
  <c r="AA75" i="24"/>
  <c r="Z75" i="24" s="1"/>
  <c r="Y75" i="24" s="1"/>
  <c r="AA63" i="24"/>
  <c r="Z63" i="24" s="1"/>
  <c r="Y63" i="24" s="1"/>
  <c r="G63" i="24"/>
  <c r="CE63" i="6" s="1"/>
  <c r="G55" i="24"/>
  <c r="CE55" i="6" s="1"/>
  <c r="AA55" i="24"/>
  <c r="Z55" i="24" s="1"/>
  <c r="Y55" i="24" s="1"/>
  <c r="G39" i="24"/>
  <c r="CE39" i="6" s="1"/>
  <c r="AA39" i="24"/>
  <c r="Z39" i="24" s="1"/>
  <c r="Y39" i="24" s="1"/>
  <c r="H39" i="24"/>
  <c r="G31" i="24"/>
  <c r="CE31" i="6" s="1"/>
  <c r="AA31" i="24"/>
  <c r="Z31" i="24" s="1"/>
  <c r="Y31" i="24" s="1"/>
  <c r="AA16" i="24"/>
  <c r="Z16" i="24" s="1"/>
  <c r="Y16" i="24" s="1"/>
  <c r="G16" i="24"/>
  <c r="CE16" i="6" s="1"/>
  <c r="H16" i="24"/>
  <c r="J337" i="24"/>
  <c r="I337" i="24"/>
  <c r="J45" i="24"/>
  <c r="I45" i="24"/>
  <c r="J325" i="24"/>
  <c r="I325" i="24"/>
  <c r="J154" i="24"/>
  <c r="I154" i="24"/>
  <c r="I264" i="24"/>
  <c r="J264" i="24"/>
  <c r="J381" i="20"/>
  <c r="J382" i="20"/>
  <c r="J383" i="20"/>
  <c r="C12" i="6"/>
  <c r="C13" i="6"/>
  <c r="J92" i="24"/>
  <c r="I92" i="24"/>
  <c r="I169" i="24"/>
  <c r="J169" i="24"/>
  <c r="I21" i="24"/>
  <c r="J21" i="24"/>
  <c r="H63" i="24"/>
  <c r="I271" i="24"/>
  <c r="J271" i="24"/>
  <c r="J157" i="24"/>
  <c r="I157" i="24"/>
  <c r="I229" i="24"/>
  <c r="J229" i="24"/>
  <c r="J19" i="24"/>
  <c r="I19" i="24"/>
  <c r="I95" i="24"/>
  <c r="J95" i="24"/>
  <c r="I112" i="24"/>
  <c r="J112" i="24"/>
  <c r="I162" i="24"/>
  <c r="J162" i="24"/>
  <c r="H55" i="24"/>
  <c r="I84" i="24"/>
  <c r="J84" i="24"/>
  <c r="J266" i="24"/>
  <c r="I266" i="24"/>
  <c r="R382" i="24"/>
  <c r="R381" i="24"/>
  <c r="R383" i="24"/>
  <c r="P15" i="24"/>
  <c r="J311" i="24"/>
  <c r="I311" i="24"/>
  <c r="J102" i="24"/>
  <c r="I102" i="24"/>
  <c r="J120" i="24"/>
  <c r="I120" i="24"/>
  <c r="J300" i="24"/>
  <c r="I300" i="24"/>
  <c r="H99" i="24"/>
  <c r="I235" i="24"/>
  <c r="J235" i="24"/>
  <c r="J273" i="24"/>
  <c r="I273" i="24"/>
  <c r="I369" i="24"/>
  <c r="J369" i="24"/>
  <c r="I373" i="24"/>
  <c r="J373" i="24"/>
  <c r="H267" i="24"/>
  <c r="J276" i="24"/>
  <c r="I276" i="24"/>
  <c r="J265" i="24"/>
  <c r="I265" i="24"/>
  <c r="H147" i="24"/>
  <c r="J142" i="24"/>
  <c r="I142" i="24"/>
  <c r="I263" i="24"/>
  <c r="J263" i="24"/>
  <c r="T18" i="25"/>
  <c r="T17" i="25"/>
  <c r="T23" i="25"/>
  <c r="T27" i="25"/>
  <c r="T31" i="25"/>
  <c r="T35" i="25"/>
  <c r="T39" i="25"/>
  <c r="T43" i="25"/>
  <c r="T47" i="25"/>
  <c r="T51" i="25"/>
  <c r="T55" i="25"/>
  <c r="T59" i="25"/>
  <c r="T63" i="25"/>
  <c r="T67" i="25"/>
  <c r="T71" i="25"/>
  <c r="T75" i="25"/>
  <c r="T79" i="25"/>
  <c r="T83" i="25"/>
  <c r="T87" i="25"/>
  <c r="T91" i="25"/>
  <c r="T95" i="25"/>
  <c r="T99" i="25"/>
  <c r="T103" i="25"/>
  <c r="T107" i="25"/>
  <c r="T111" i="25"/>
  <c r="T115" i="25"/>
  <c r="T119" i="25"/>
  <c r="T123" i="25"/>
  <c r="T127" i="25"/>
  <c r="T131" i="25"/>
  <c r="T135" i="25"/>
  <c r="T139" i="25"/>
  <c r="T143" i="25"/>
  <c r="T147" i="25"/>
  <c r="T151" i="25"/>
  <c r="T155" i="25"/>
  <c r="T159" i="25"/>
  <c r="T163" i="25"/>
  <c r="T167" i="25"/>
  <c r="T171" i="25"/>
  <c r="T175" i="25"/>
  <c r="T179" i="25"/>
  <c r="T183" i="25"/>
  <c r="T187" i="25"/>
  <c r="T191" i="25"/>
  <c r="T195" i="25"/>
  <c r="T199" i="25"/>
  <c r="T203" i="25"/>
  <c r="T207" i="25"/>
  <c r="T211" i="25"/>
  <c r="T215" i="25"/>
  <c r="T219" i="25"/>
  <c r="T223" i="25"/>
  <c r="T227" i="25"/>
  <c r="T231" i="25"/>
  <c r="T235" i="25"/>
  <c r="T239" i="25"/>
  <c r="T243" i="25"/>
  <c r="T247" i="25"/>
  <c r="T251" i="25"/>
  <c r="T255" i="25"/>
  <c r="T259" i="25"/>
  <c r="T263" i="25"/>
  <c r="T267" i="25"/>
  <c r="T271" i="25"/>
  <c r="T275" i="25"/>
  <c r="T279" i="25"/>
  <c r="T283" i="25"/>
  <c r="T287" i="25"/>
  <c r="T291" i="25"/>
  <c r="T295" i="25"/>
  <c r="T299" i="25"/>
  <c r="T303" i="25"/>
  <c r="T307" i="25"/>
  <c r="T311" i="25"/>
  <c r="T315" i="25"/>
  <c r="T319" i="25"/>
  <c r="T323" i="25"/>
  <c r="T327" i="25"/>
  <c r="T331" i="25"/>
  <c r="T335" i="25"/>
  <c r="T339" i="25"/>
  <c r="T343" i="25"/>
  <c r="T347" i="25"/>
  <c r="T351" i="25"/>
  <c r="T355" i="25"/>
  <c r="T359" i="25"/>
  <c r="T363" i="25"/>
  <c r="T367" i="25"/>
  <c r="T371" i="25"/>
  <c r="T375" i="25"/>
  <c r="T379" i="25"/>
  <c r="BF16" i="7"/>
  <c r="AA379" i="24"/>
  <c r="Z379" i="24" s="1"/>
  <c r="Y379" i="24" s="1"/>
  <c r="G379" i="24"/>
  <c r="CE379" i="6" s="1"/>
  <c r="H379" i="24"/>
  <c r="G375" i="24"/>
  <c r="CE375" i="6" s="1"/>
  <c r="AA375" i="24"/>
  <c r="Z375" i="24" s="1"/>
  <c r="Y375" i="24" s="1"/>
  <c r="AA367" i="24"/>
  <c r="Z367" i="24" s="1"/>
  <c r="Y367" i="24" s="1"/>
  <c r="G367" i="24"/>
  <c r="CE367" i="6" s="1"/>
  <c r="H367" i="24"/>
  <c r="AA359" i="24"/>
  <c r="Z359" i="24" s="1"/>
  <c r="Y359" i="24" s="1"/>
  <c r="G359" i="24"/>
  <c r="CE359" i="6" s="1"/>
  <c r="G355" i="24"/>
  <c r="CE355" i="6" s="1"/>
  <c r="AA355" i="24"/>
  <c r="Z355" i="24" s="1"/>
  <c r="Y355" i="24" s="1"/>
  <c r="G339" i="24"/>
  <c r="CE339" i="6" s="1"/>
  <c r="AA339" i="24"/>
  <c r="Z339" i="24" s="1"/>
  <c r="Y339" i="24" s="1"/>
  <c r="AA331" i="24"/>
  <c r="Z331" i="24" s="1"/>
  <c r="Y331" i="24" s="1"/>
  <c r="G331" i="24"/>
  <c r="CE331" i="6" s="1"/>
  <c r="H331" i="24"/>
  <c r="G327" i="24"/>
  <c r="CE327" i="6" s="1"/>
  <c r="AA327" i="24"/>
  <c r="Z327" i="24" s="1"/>
  <c r="Y327" i="24" s="1"/>
  <c r="G311" i="24"/>
  <c r="CE311" i="6" s="1"/>
  <c r="AA311" i="24"/>
  <c r="Z311" i="24" s="1"/>
  <c r="Y311" i="24" s="1"/>
  <c r="G303" i="24"/>
  <c r="CE303" i="6" s="1"/>
  <c r="AA303" i="24"/>
  <c r="Z303" i="24" s="1"/>
  <c r="Y303" i="24" s="1"/>
  <c r="G295" i="24"/>
  <c r="CE295" i="6" s="1"/>
  <c r="AA295" i="24"/>
  <c r="Z295" i="24" s="1"/>
  <c r="Y295" i="24" s="1"/>
  <c r="H295" i="24"/>
  <c r="G291" i="24"/>
  <c r="CE291" i="6" s="1"/>
  <c r="AA291" i="24"/>
  <c r="Z291" i="24" s="1"/>
  <c r="Y291" i="24" s="1"/>
  <c r="H291" i="24"/>
  <c r="AA279" i="24"/>
  <c r="Z279" i="24" s="1"/>
  <c r="Y279" i="24" s="1"/>
  <c r="G279" i="24"/>
  <c r="CE279" i="6" s="1"/>
  <c r="H279" i="24"/>
  <c r="G271" i="24"/>
  <c r="CE271" i="6" s="1"/>
  <c r="AA271" i="24"/>
  <c r="Z271" i="24" s="1"/>
  <c r="Y271" i="24" s="1"/>
  <c r="AA263" i="24"/>
  <c r="Z263" i="24" s="1"/>
  <c r="Y263" i="24" s="1"/>
  <c r="G263" i="24"/>
  <c r="CE263" i="6" s="1"/>
  <c r="AA255" i="24"/>
  <c r="Z255" i="24" s="1"/>
  <c r="Y255" i="24" s="1"/>
  <c r="G255" i="24"/>
  <c r="CE255" i="6" s="1"/>
  <c r="AA247" i="24"/>
  <c r="Z247" i="24" s="1"/>
  <c r="Y247" i="24" s="1"/>
  <c r="G247" i="24"/>
  <c r="CE247" i="6" s="1"/>
  <c r="G243" i="24"/>
  <c r="CE243" i="6" s="1"/>
  <c r="AA243" i="24"/>
  <c r="Z243" i="24" s="1"/>
  <c r="Y243" i="24" s="1"/>
  <c r="H243" i="24"/>
  <c r="AA235" i="24"/>
  <c r="Z235" i="24" s="1"/>
  <c r="Y235" i="24" s="1"/>
  <c r="G235" i="24"/>
  <c r="CE235" i="6" s="1"/>
  <c r="AA231" i="24"/>
  <c r="Z231" i="24" s="1"/>
  <c r="Y231" i="24" s="1"/>
  <c r="G231" i="24"/>
  <c r="CE231" i="6" s="1"/>
  <c r="AA227" i="24"/>
  <c r="Z227" i="24" s="1"/>
  <c r="Y227" i="24" s="1"/>
  <c r="H227" i="24"/>
  <c r="G227" i="24"/>
  <c r="CE227" i="6" s="1"/>
  <c r="AA223" i="24"/>
  <c r="Z223" i="24" s="1"/>
  <c r="Y223" i="24" s="1"/>
  <c r="G223" i="24"/>
  <c r="CE223" i="6" s="1"/>
  <c r="AA211" i="24"/>
  <c r="Z211" i="24" s="1"/>
  <c r="Y211" i="24" s="1"/>
  <c r="G211" i="24"/>
  <c r="CE211" i="6" s="1"/>
  <c r="G203" i="24"/>
  <c r="CE203" i="6" s="1"/>
  <c r="AA203" i="24"/>
  <c r="Z203" i="24" s="1"/>
  <c r="Y203" i="24" s="1"/>
  <c r="G199" i="24"/>
  <c r="CE199" i="6" s="1"/>
  <c r="AA199" i="24"/>
  <c r="Z199" i="24" s="1"/>
  <c r="Y199" i="24" s="1"/>
  <c r="G195" i="24"/>
  <c r="CE195" i="6" s="1"/>
  <c r="AA195" i="24"/>
  <c r="Z195" i="24" s="1"/>
  <c r="Y195" i="24" s="1"/>
  <c r="G191" i="24"/>
  <c r="CE191" i="6" s="1"/>
  <c r="AA191" i="24"/>
  <c r="Z191" i="24" s="1"/>
  <c r="Y191" i="24" s="1"/>
  <c r="AA187" i="24"/>
  <c r="Z187" i="24" s="1"/>
  <c r="Y187" i="24" s="1"/>
  <c r="G187" i="24"/>
  <c r="CE187" i="6" s="1"/>
  <c r="H187" i="24"/>
  <c r="AA183" i="24"/>
  <c r="Z183" i="24" s="1"/>
  <c r="Y183" i="24" s="1"/>
  <c r="G183" i="24"/>
  <c r="CE183" i="6" s="1"/>
  <c r="AA179" i="24"/>
  <c r="Z179" i="24" s="1"/>
  <c r="Y179" i="24" s="1"/>
  <c r="G179" i="24"/>
  <c r="CE179" i="6" s="1"/>
  <c r="G171" i="24"/>
  <c r="CE171" i="6" s="1"/>
  <c r="AA171" i="24"/>
  <c r="Z171" i="24" s="1"/>
  <c r="Y171" i="24" s="1"/>
  <c r="AA159" i="24"/>
  <c r="Z159" i="24" s="1"/>
  <c r="Y159" i="24" s="1"/>
  <c r="G159" i="24"/>
  <c r="CE159" i="6" s="1"/>
  <c r="H159" i="24"/>
  <c r="AA151" i="24"/>
  <c r="Z151" i="24" s="1"/>
  <c r="Y151" i="24" s="1"/>
  <c r="G151" i="24"/>
  <c r="CE151" i="6" s="1"/>
  <c r="H151" i="24"/>
  <c r="G139" i="24"/>
  <c r="CE139" i="6" s="1"/>
  <c r="AA139" i="24"/>
  <c r="Z139" i="24" s="1"/>
  <c r="Y139" i="24" s="1"/>
  <c r="AA135" i="24"/>
  <c r="Z135" i="24" s="1"/>
  <c r="Y135" i="24" s="1"/>
  <c r="H135" i="24"/>
  <c r="G135" i="24"/>
  <c r="CE135" i="6" s="1"/>
  <c r="AA131" i="24"/>
  <c r="Z131" i="24" s="1"/>
  <c r="Y131" i="24" s="1"/>
  <c r="G131" i="24"/>
  <c r="CE131" i="6" s="1"/>
  <c r="H131" i="24"/>
  <c r="E69" i="19"/>
  <c r="B119" i="24"/>
  <c r="G115" i="24"/>
  <c r="CE115" i="6" s="1"/>
  <c r="AA115" i="24"/>
  <c r="Z115" i="24" s="1"/>
  <c r="Y115" i="24" s="1"/>
  <c r="AA111" i="24"/>
  <c r="Z111" i="24" s="1"/>
  <c r="Y111" i="24" s="1"/>
  <c r="G111" i="24"/>
  <c r="CE111" i="6" s="1"/>
  <c r="H111" i="24"/>
  <c r="AA95" i="24"/>
  <c r="Z95" i="24" s="1"/>
  <c r="Y95" i="24" s="1"/>
  <c r="G95" i="24"/>
  <c r="CE95" i="6" s="1"/>
  <c r="AA87" i="24"/>
  <c r="Z87" i="24" s="1"/>
  <c r="Y87" i="24" s="1"/>
  <c r="G87" i="24"/>
  <c r="CE87" i="6" s="1"/>
  <c r="G79" i="24"/>
  <c r="CE79" i="6" s="1"/>
  <c r="AA79" i="24"/>
  <c r="Z79" i="24" s="1"/>
  <c r="Y79" i="24" s="1"/>
  <c r="H79" i="24"/>
  <c r="AA67" i="24"/>
  <c r="Z67" i="24" s="1"/>
  <c r="Y67" i="24" s="1"/>
  <c r="G67" i="24"/>
  <c r="CE67" i="6" s="1"/>
  <c r="H67" i="24"/>
  <c r="G59" i="24"/>
  <c r="CE59" i="6" s="1"/>
  <c r="AA59" i="24"/>
  <c r="Z59" i="24" s="1"/>
  <c r="Y59" i="24" s="1"/>
  <c r="G47" i="24"/>
  <c r="CE47" i="6" s="1"/>
  <c r="AA47" i="24"/>
  <c r="Z47" i="24" s="1"/>
  <c r="Y47" i="24" s="1"/>
  <c r="G43" i="24"/>
  <c r="CE43" i="6" s="1"/>
  <c r="AA43" i="24"/>
  <c r="Z43" i="24" s="1"/>
  <c r="Y43" i="24" s="1"/>
  <c r="H43" i="24"/>
  <c r="AA23" i="24"/>
  <c r="Z23" i="24" s="1"/>
  <c r="Y23" i="24" s="1"/>
  <c r="G23" i="24"/>
  <c r="CE23" i="6" s="1"/>
  <c r="AA18" i="24"/>
  <c r="Z18" i="24" s="1"/>
  <c r="Y18" i="24" s="1"/>
  <c r="G18" i="24"/>
  <c r="CE18" i="6" s="1"/>
  <c r="H18" i="24"/>
  <c r="H351" i="24"/>
  <c r="H303" i="24"/>
  <c r="I376" i="24"/>
  <c r="J376" i="24"/>
  <c r="J294" i="24"/>
  <c r="I294" i="24"/>
  <c r="J280" i="24"/>
  <c r="I280" i="24"/>
  <c r="H255" i="24"/>
  <c r="J114" i="24"/>
  <c r="I114" i="24"/>
  <c r="I117" i="24"/>
  <c r="J117" i="24"/>
  <c r="J246" i="24"/>
  <c r="I246" i="24"/>
  <c r="I380" i="25"/>
  <c r="J380" i="25"/>
  <c r="J213" i="24"/>
  <c r="I213" i="24"/>
  <c r="H87" i="24"/>
  <c r="I17" i="24"/>
  <c r="J17" i="24"/>
  <c r="J42" i="24"/>
  <c r="I42" i="24"/>
  <c r="I382" i="20"/>
  <c r="I381" i="20"/>
  <c r="I383" i="20"/>
  <c r="H223" i="24"/>
  <c r="H283" i="24"/>
  <c r="J97" i="24"/>
  <c r="I97" i="24"/>
  <c r="J86" i="24"/>
  <c r="I86" i="24"/>
  <c r="J212" i="24"/>
  <c r="I212" i="24"/>
  <c r="H29" i="24"/>
  <c r="J322" i="24"/>
  <c r="I322" i="24"/>
  <c r="I44" i="24"/>
  <c r="J44" i="24"/>
  <c r="H339" i="24"/>
  <c r="AH17" i="25"/>
  <c r="AH28" i="25"/>
  <c r="AH36" i="25"/>
  <c r="AH42" i="25"/>
  <c r="AH52" i="25"/>
  <c r="AH60" i="25"/>
  <c r="AH68" i="25"/>
  <c r="AH76" i="25"/>
  <c r="AH84" i="25"/>
  <c r="AH90" i="25"/>
  <c r="AH100" i="25"/>
  <c r="AH106" i="25"/>
  <c r="AH116" i="25"/>
  <c r="AH122" i="25"/>
  <c r="AH132" i="25"/>
  <c r="AH140" i="25"/>
  <c r="AH146" i="25"/>
  <c r="AH156" i="25"/>
  <c r="AH164" i="25"/>
  <c r="AH170" i="25"/>
  <c r="AH178" i="25"/>
  <c r="AH186" i="25"/>
  <c r="AH194" i="25"/>
  <c r="AH202" i="25"/>
  <c r="AH210" i="25"/>
  <c r="AH218" i="25"/>
  <c r="AH226" i="25"/>
  <c r="AH234" i="25"/>
  <c r="AH242" i="25"/>
  <c r="AH250" i="25"/>
  <c r="AH258" i="25"/>
  <c r="AH266" i="25"/>
  <c r="AH274" i="25"/>
  <c r="AH284" i="25"/>
  <c r="AH290" i="25"/>
  <c r="AH298" i="25"/>
  <c r="AH308" i="25"/>
  <c r="AH316" i="25"/>
  <c r="AH324" i="25"/>
  <c r="AH332" i="25"/>
  <c r="AH340" i="25"/>
  <c r="AH348" i="25"/>
  <c r="AH356" i="25"/>
  <c r="AH364" i="25"/>
  <c r="AH372" i="25"/>
  <c r="J224" i="24"/>
  <c r="I224" i="24"/>
  <c r="H207" i="24"/>
  <c r="J329" i="24"/>
  <c r="I329" i="24"/>
  <c r="H375" i="24"/>
  <c r="I20" i="24"/>
  <c r="J20" i="24"/>
  <c r="J57" i="24"/>
  <c r="I57" i="24"/>
  <c r="H23" i="24"/>
  <c r="I185" i="24"/>
  <c r="J185" i="24"/>
  <c r="H183" i="24"/>
  <c r="I22" i="24"/>
  <c r="J22" i="24"/>
  <c r="I128" i="24"/>
  <c r="J128" i="24"/>
  <c r="H31" i="24"/>
  <c r="J298" i="24"/>
  <c r="I298" i="24"/>
  <c r="H163" i="24"/>
  <c r="I126" i="24"/>
  <c r="J126" i="24"/>
  <c r="I89" i="24"/>
  <c r="J89" i="24"/>
  <c r="I132" i="24"/>
  <c r="J132" i="24"/>
  <c r="I281" i="24"/>
  <c r="J281" i="24"/>
  <c r="I138" i="24"/>
  <c r="J138" i="24"/>
  <c r="I173" i="24"/>
  <c r="J173" i="24"/>
  <c r="J46" i="24"/>
  <c r="I46" i="24"/>
  <c r="J346" i="24"/>
  <c r="I346" i="24"/>
  <c r="I106" i="24"/>
  <c r="J106" i="24"/>
  <c r="I190" i="24"/>
  <c r="J190" i="24"/>
  <c r="J308" i="24"/>
  <c r="I308" i="24"/>
  <c r="I248" i="24"/>
  <c r="J248" i="24"/>
  <c r="J353" i="24"/>
  <c r="I353" i="24"/>
  <c r="J242" i="24"/>
  <c r="I242" i="24"/>
  <c r="T16" i="25"/>
  <c r="T20" i="25"/>
  <c r="T24" i="25"/>
  <c r="T28" i="25"/>
  <c r="T32" i="25"/>
  <c r="T36" i="25"/>
  <c r="T40" i="25"/>
  <c r="T44" i="25"/>
  <c r="T48" i="25"/>
  <c r="T52" i="25"/>
  <c r="T56" i="25"/>
  <c r="T60" i="25"/>
  <c r="T64" i="25"/>
  <c r="T68" i="25"/>
  <c r="T72" i="25"/>
  <c r="T76" i="25"/>
  <c r="T80" i="25"/>
  <c r="T84" i="25"/>
  <c r="T88" i="25"/>
  <c r="T92" i="25"/>
  <c r="T96" i="25"/>
  <c r="T100" i="25"/>
  <c r="T104" i="25"/>
  <c r="T108" i="25"/>
  <c r="T112" i="25"/>
  <c r="T116" i="25"/>
  <c r="T120" i="25"/>
  <c r="T124" i="25"/>
  <c r="T128" i="25"/>
  <c r="T132" i="25"/>
  <c r="T136" i="25"/>
  <c r="T140" i="25"/>
  <c r="T144" i="25"/>
  <c r="T148" i="25"/>
  <c r="T152" i="25"/>
  <c r="T156" i="25"/>
  <c r="T160" i="25"/>
  <c r="T164" i="25"/>
  <c r="T168" i="25"/>
  <c r="T172" i="25"/>
  <c r="T176" i="25"/>
  <c r="T180" i="25"/>
  <c r="T184" i="25"/>
  <c r="T188" i="25"/>
  <c r="T192" i="25"/>
  <c r="T196" i="25"/>
  <c r="T200" i="25"/>
  <c r="T204" i="25"/>
  <c r="T208" i="25"/>
  <c r="T212" i="25"/>
  <c r="T216" i="25"/>
  <c r="T220" i="25"/>
  <c r="T224" i="25"/>
  <c r="T228" i="25"/>
  <c r="T232" i="25"/>
  <c r="T236" i="25"/>
  <c r="T240" i="25"/>
  <c r="T244" i="25"/>
  <c r="T248" i="25"/>
  <c r="T252" i="25"/>
  <c r="T256" i="25"/>
  <c r="T260" i="25"/>
  <c r="T264" i="25"/>
  <c r="T268" i="25"/>
  <c r="T272" i="25"/>
  <c r="T276" i="25"/>
  <c r="T280" i="25"/>
  <c r="T284" i="25"/>
  <c r="T288" i="25"/>
  <c r="T292" i="25"/>
  <c r="T296" i="25"/>
  <c r="T300" i="25"/>
  <c r="T304" i="25"/>
  <c r="T308" i="25"/>
  <c r="T312" i="25"/>
  <c r="T316" i="25"/>
  <c r="T320" i="25"/>
  <c r="T324" i="25"/>
  <c r="T328" i="25"/>
  <c r="T332" i="25"/>
  <c r="T336" i="25"/>
  <c r="T340" i="25"/>
  <c r="T344" i="25"/>
  <c r="T348" i="25"/>
  <c r="T352" i="25"/>
  <c r="T356" i="25"/>
  <c r="T360" i="25"/>
  <c r="T364" i="25"/>
  <c r="T368" i="25"/>
  <c r="T372" i="25"/>
  <c r="T376" i="25"/>
  <c r="H355" i="24"/>
  <c r="J217" i="24"/>
  <c r="I217" i="24"/>
  <c r="H191" i="24"/>
  <c r="J206" i="24"/>
  <c r="I206" i="24"/>
  <c r="J164" i="24"/>
  <c r="I164" i="24"/>
  <c r="J122" i="24"/>
  <c r="I122" i="24"/>
  <c r="I69" i="24"/>
  <c r="J69" i="24"/>
  <c r="H259" i="24"/>
  <c r="I208" i="24"/>
  <c r="J208" i="24"/>
  <c r="I270" i="24"/>
  <c r="J270" i="24"/>
  <c r="I81" i="24"/>
  <c r="J81" i="24"/>
  <c r="J274" i="24"/>
  <c r="I274" i="24"/>
  <c r="H175" i="24"/>
  <c r="I344" i="24"/>
  <c r="J344" i="24"/>
  <c r="J330" i="24"/>
  <c r="I330" i="24"/>
  <c r="H239" i="24"/>
  <c r="J150" i="24"/>
  <c r="I150" i="24"/>
  <c r="J314" i="24"/>
  <c r="I314" i="24"/>
  <c r="F7" i="6"/>
  <c r="AI7" i="7"/>
  <c r="Z9" i="20"/>
  <c r="Y15" i="20"/>
  <c r="Z381" i="20"/>
  <c r="AL8" i="20"/>
  <c r="Z382" i="20"/>
  <c r="Z383" i="20"/>
  <c r="J370" i="24"/>
  <c r="I370" i="24"/>
  <c r="B13" i="6"/>
  <c r="BA15" i="6"/>
  <c r="B12" i="6"/>
  <c r="J318" i="24"/>
  <c r="I318" i="24"/>
  <c r="J110" i="24"/>
  <c r="I110" i="24"/>
  <c r="I218" i="24"/>
  <c r="J218" i="24"/>
  <c r="I245" i="24"/>
  <c r="J245" i="24"/>
  <c r="J148" i="24"/>
  <c r="I148" i="24"/>
  <c r="I238" i="24"/>
  <c r="J238" i="24"/>
  <c r="I66" i="24"/>
  <c r="J66" i="24"/>
  <c r="J234" i="24"/>
  <c r="I234" i="24"/>
  <c r="J98" i="24"/>
  <c r="I98" i="24"/>
  <c r="J73" i="24"/>
  <c r="I73" i="24"/>
  <c r="J64" i="24"/>
  <c r="I64" i="24"/>
  <c r="I358" i="24"/>
  <c r="J358" i="24"/>
  <c r="AH18" i="25"/>
  <c r="AH16" i="25"/>
  <c r="AH23" i="25"/>
  <c r="AH27" i="25"/>
  <c r="AH31" i="25"/>
  <c r="AH35" i="25"/>
  <c r="AH39" i="25"/>
  <c r="AH43" i="25"/>
  <c r="AH47" i="25"/>
  <c r="AH51" i="25"/>
  <c r="AH55" i="25"/>
  <c r="AH59" i="25"/>
  <c r="AH63" i="25"/>
  <c r="AH67" i="25"/>
  <c r="AH71" i="25"/>
  <c r="AH75" i="25"/>
  <c r="AH79" i="25"/>
  <c r="AH83" i="25"/>
  <c r="AH87" i="25"/>
  <c r="AH91" i="25"/>
  <c r="AH95" i="25"/>
  <c r="AH99" i="25"/>
  <c r="AH103" i="25"/>
  <c r="AH107" i="25"/>
  <c r="AH111" i="25"/>
  <c r="AH115" i="25"/>
  <c r="AH119" i="25"/>
  <c r="AH123" i="25"/>
  <c r="AH127" i="25"/>
  <c r="AH131" i="25"/>
  <c r="AH135" i="25"/>
  <c r="AH139" i="25"/>
  <c r="AH143" i="25"/>
  <c r="AH147" i="25"/>
  <c r="AH151" i="25"/>
  <c r="AH155" i="25"/>
  <c r="AH159" i="25"/>
  <c r="AH163" i="25"/>
  <c r="AH167" i="25"/>
  <c r="AH171" i="25"/>
  <c r="AH175" i="25"/>
  <c r="AH179" i="25"/>
  <c r="AH183" i="25"/>
  <c r="AH187" i="25"/>
  <c r="AH191" i="25"/>
  <c r="AH195" i="25"/>
  <c r="AH199" i="25"/>
  <c r="AH203" i="25"/>
  <c r="AH207" i="25"/>
  <c r="AH211" i="25"/>
  <c r="AH215" i="25"/>
  <c r="AH219" i="25"/>
  <c r="AH223" i="25"/>
  <c r="AH227" i="25"/>
  <c r="AH231" i="25"/>
  <c r="AH235" i="25"/>
  <c r="AH239" i="25"/>
  <c r="AH243" i="25"/>
  <c r="AH247" i="25"/>
  <c r="AH251" i="25"/>
  <c r="AH255" i="25"/>
  <c r="AH259" i="25"/>
  <c r="AH263" i="25"/>
  <c r="AH267" i="25"/>
  <c r="AH271" i="25"/>
  <c r="AH275" i="25"/>
  <c r="AH279" i="25"/>
  <c r="AH283" i="25"/>
  <c r="AH287" i="25"/>
  <c r="AH291" i="25"/>
  <c r="AH295" i="25"/>
  <c r="AH299" i="25"/>
  <c r="AH303" i="25"/>
  <c r="AH307" i="25"/>
  <c r="AH311" i="25"/>
  <c r="AH315" i="25"/>
  <c r="AH319" i="25"/>
  <c r="AH323" i="25"/>
  <c r="AH327" i="25"/>
  <c r="AH331" i="25"/>
  <c r="AH335" i="25"/>
  <c r="AH339" i="25"/>
  <c r="AH343" i="25"/>
  <c r="AH347" i="25"/>
  <c r="AH351" i="25"/>
  <c r="AH355" i="25"/>
  <c r="AH359" i="25"/>
  <c r="AH363" i="25"/>
  <c r="AH367" i="25"/>
  <c r="AH371" i="25"/>
  <c r="AH375" i="25"/>
  <c r="AH379" i="25"/>
  <c r="J186" i="24"/>
  <c r="I186" i="24"/>
  <c r="H219" i="24"/>
  <c r="I90" i="24"/>
  <c r="J90" i="24"/>
  <c r="J230" i="24"/>
  <c r="I230" i="24"/>
  <c r="H247" i="24"/>
  <c r="J77" i="24"/>
  <c r="I77" i="24"/>
  <c r="I225" i="24"/>
  <c r="J225" i="24"/>
  <c r="I198" i="24"/>
  <c r="J198" i="24"/>
  <c r="AH20" i="25"/>
  <c r="AH26" i="25"/>
  <c r="AH34" i="25"/>
  <c r="AH44" i="25"/>
  <c r="AH50" i="25"/>
  <c r="AH58" i="25"/>
  <c r="AH66" i="25"/>
  <c r="AH74" i="25"/>
  <c r="AH82" i="25"/>
  <c r="AH92" i="25"/>
  <c r="AH98" i="25"/>
  <c r="AH108" i="25"/>
  <c r="AH114" i="25"/>
  <c r="AH124" i="25"/>
  <c r="AH130" i="25"/>
  <c r="AH138" i="25"/>
  <c r="AH148" i="25"/>
  <c r="AH154" i="25"/>
  <c r="AH162" i="25"/>
  <c r="AH172" i="25"/>
  <c r="AH180" i="25"/>
  <c r="AH188" i="25"/>
  <c r="AH196" i="25"/>
  <c r="AH204" i="25"/>
  <c r="AH212" i="25"/>
  <c r="AH220" i="25"/>
  <c r="AH228" i="25"/>
  <c r="AH236" i="25"/>
  <c r="AH244" i="25"/>
  <c r="AH252" i="25"/>
  <c r="AH260" i="25"/>
  <c r="AH268" i="25"/>
  <c r="AH276" i="25"/>
  <c r="AH282" i="25"/>
  <c r="AH292" i="25"/>
  <c r="AH300" i="25"/>
  <c r="AH306" i="25"/>
  <c r="AH314" i="25"/>
  <c r="AH322" i="25"/>
  <c r="AH330" i="25"/>
  <c r="AH338" i="25"/>
  <c r="AH346" i="25"/>
  <c r="AH354" i="25"/>
  <c r="AH362" i="25"/>
  <c r="AH370" i="25"/>
  <c r="AH378" i="25"/>
  <c r="H155" i="24"/>
  <c r="G364" i="24"/>
  <c r="CE364" i="6" s="1"/>
  <c r="AA364" i="24"/>
  <c r="Z364" i="24" s="1"/>
  <c r="Y364" i="24" s="1"/>
  <c r="AA332" i="24"/>
  <c r="Z332" i="24" s="1"/>
  <c r="Y332" i="24" s="1"/>
  <c r="G332" i="24"/>
  <c r="CE332" i="6" s="1"/>
  <c r="H332" i="24"/>
  <c r="G300" i="24"/>
  <c r="CE300" i="6" s="1"/>
  <c r="AA300" i="24"/>
  <c r="Z300" i="24" s="1"/>
  <c r="Y300" i="24" s="1"/>
  <c r="G284" i="24"/>
  <c r="CE284" i="6" s="1"/>
  <c r="AA284" i="24"/>
  <c r="Z284" i="24" s="1"/>
  <c r="Y284" i="24" s="1"/>
  <c r="AA276" i="24"/>
  <c r="Z276" i="24" s="1"/>
  <c r="Y276" i="24" s="1"/>
  <c r="G276" i="24"/>
  <c r="CE276" i="6" s="1"/>
  <c r="AA252" i="24"/>
  <c r="Z252" i="24" s="1"/>
  <c r="Y252" i="24" s="1"/>
  <c r="G252" i="24"/>
  <c r="CE252" i="6" s="1"/>
  <c r="H252" i="24"/>
  <c r="G244" i="24"/>
  <c r="CE244" i="6" s="1"/>
  <c r="AA244" i="24"/>
  <c r="Z244" i="24" s="1"/>
  <c r="Y244" i="24" s="1"/>
  <c r="G236" i="24"/>
  <c r="CE236" i="6" s="1"/>
  <c r="AA236" i="24"/>
  <c r="Z236" i="24" s="1"/>
  <c r="Y236" i="24" s="1"/>
  <c r="AA228" i="24"/>
  <c r="Z228" i="24" s="1"/>
  <c r="Y228" i="24" s="1"/>
  <c r="G228" i="24"/>
  <c r="CE228" i="6" s="1"/>
  <c r="H228" i="24"/>
  <c r="G220" i="24"/>
  <c r="CE220" i="6" s="1"/>
  <c r="AA220" i="24"/>
  <c r="Z220" i="24" s="1"/>
  <c r="Y220" i="24" s="1"/>
  <c r="H220" i="24"/>
  <c r="AA172" i="24"/>
  <c r="Z172" i="24" s="1"/>
  <c r="Y172" i="24" s="1"/>
  <c r="G172" i="24"/>
  <c r="CE172" i="6" s="1"/>
  <c r="AA156" i="24"/>
  <c r="Z156" i="24" s="1"/>
  <c r="Y156" i="24" s="1"/>
  <c r="G156" i="24"/>
  <c r="CE156" i="6" s="1"/>
  <c r="H156" i="24"/>
  <c r="G148" i="24"/>
  <c r="CE148" i="6" s="1"/>
  <c r="AA148" i="24"/>
  <c r="Z148" i="24" s="1"/>
  <c r="Y148" i="24" s="1"/>
  <c r="AA132" i="24"/>
  <c r="Z132" i="24" s="1"/>
  <c r="Y132" i="24" s="1"/>
  <c r="G132" i="24"/>
  <c r="CE132" i="6" s="1"/>
  <c r="G108" i="24"/>
  <c r="CE108" i="6" s="1"/>
  <c r="AA108" i="24"/>
  <c r="Z108" i="24" s="1"/>
  <c r="Y108" i="24" s="1"/>
  <c r="G68" i="24"/>
  <c r="CE68" i="6" s="1"/>
  <c r="AA68" i="24"/>
  <c r="Z68" i="24" s="1"/>
  <c r="Y68" i="24" s="1"/>
  <c r="AA52" i="24"/>
  <c r="Z52" i="24" s="1"/>
  <c r="Y52" i="24" s="1"/>
  <c r="G52" i="24"/>
  <c r="CE52" i="6" s="1"/>
  <c r="AA44" i="24"/>
  <c r="Z44" i="24" s="1"/>
  <c r="Y44" i="24" s="1"/>
  <c r="G44" i="24"/>
  <c r="CE44" i="6" s="1"/>
  <c r="AA36" i="24"/>
  <c r="Z36" i="24" s="1"/>
  <c r="Y36" i="24" s="1"/>
  <c r="G36" i="24"/>
  <c r="CE36" i="6" s="1"/>
  <c r="G20" i="24"/>
  <c r="CE20" i="6" s="1"/>
  <c r="AA20" i="24"/>
  <c r="Z20" i="24" s="1"/>
  <c r="Y20" i="24" s="1"/>
  <c r="AA378" i="24"/>
  <c r="Z378" i="24" s="1"/>
  <c r="Y378" i="24" s="1"/>
  <c r="G378" i="24"/>
  <c r="CE378" i="6" s="1"/>
  <c r="AA370" i="24"/>
  <c r="Z370" i="24" s="1"/>
  <c r="Y370" i="24" s="1"/>
  <c r="G370" i="24"/>
  <c r="CE370" i="6" s="1"/>
  <c r="G306" i="24"/>
  <c r="CE306" i="6" s="1"/>
  <c r="AA306" i="24"/>
  <c r="Z306" i="24" s="1"/>
  <c r="Y306" i="24" s="1"/>
  <c r="G274" i="24"/>
  <c r="CE274" i="6" s="1"/>
  <c r="AA274" i="24"/>
  <c r="Z274" i="24" s="1"/>
  <c r="Y274" i="24" s="1"/>
  <c r="AA266" i="24"/>
  <c r="Z266" i="24" s="1"/>
  <c r="Y266" i="24" s="1"/>
  <c r="G266" i="24"/>
  <c r="CE266" i="6" s="1"/>
  <c r="D210" i="24"/>
  <c r="E210" i="24" s="1"/>
  <c r="F210" i="24" s="1"/>
  <c r="W210" i="24"/>
  <c r="AA202" i="24"/>
  <c r="Z202" i="24" s="1"/>
  <c r="Y202" i="24" s="1"/>
  <c r="G202" i="24"/>
  <c r="CE202" i="6" s="1"/>
  <c r="AA186" i="24"/>
  <c r="Z186" i="24" s="1"/>
  <c r="Y186" i="24" s="1"/>
  <c r="G186" i="24"/>
  <c r="CE186" i="6" s="1"/>
  <c r="AA170" i="24"/>
  <c r="Z170" i="24" s="1"/>
  <c r="Y170" i="24" s="1"/>
  <c r="G170" i="24"/>
  <c r="CE170" i="6" s="1"/>
  <c r="H170" i="24"/>
  <c r="AA154" i="24"/>
  <c r="Z154" i="24" s="1"/>
  <c r="Y154" i="24" s="1"/>
  <c r="G154" i="24"/>
  <c r="CE154" i="6" s="1"/>
  <c r="AA138" i="24"/>
  <c r="Z138" i="24" s="1"/>
  <c r="Y138" i="24" s="1"/>
  <c r="G138" i="24"/>
  <c r="CE138" i="6" s="1"/>
  <c r="AA130" i="24"/>
  <c r="Z130" i="24" s="1"/>
  <c r="Y130" i="24" s="1"/>
  <c r="G130" i="24"/>
  <c r="CE130" i="6" s="1"/>
  <c r="AA106" i="24"/>
  <c r="Z106" i="24" s="1"/>
  <c r="Y106" i="24" s="1"/>
  <c r="G106" i="24"/>
  <c r="CE106" i="6" s="1"/>
  <c r="AA82" i="24"/>
  <c r="Z82" i="24" s="1"/>
  <c r="Y82" i="24" s="1"/>
  <c r="G82" i="24"/>
  <c r="CE82" i="6" s="1"/>
  <c r="H82" i="24"/>
  <c r="G74" i="24"/>
  <c r="CE74" i="6" s="1"/>
  <c r="AA74" i="24"/>
  <c r="Z74" i="24" s="1"/>
  <c r="Y74" i="24" s="1"/>
  <c r="AA66" i="24"/>
  <c r="Z66" i="24" s="1"/>
  <c r="Y66" i="24" s="1"/>
  <c r="G66" i="24"/>
  <c r="CE66" i="6" s="1"/>
  <c r="G58" i="24"/>
  <c r="CE58" i="6" s="1"/>
  <c r="AA58" i="24"/>
  <c r="Z58" i="24" s="1"/>
  <c r="Y58" i="24" s="1"/>
  <c r="G26" i="24"/>
  <c r="CE26" i="6" s="1"/>
  <c r="AA26" i="24"/>
  <c r="Z26" i="24" s="1"/>
  <c r="Y26" i="24" s="1"/>
  <c r="H26" i="24"/>
  <c r="AA377" i="24"/>
  <c r="Z377" i="24" s="1"/>
  <c r="Y377" i="24" s="1"/>
  <c r="G377" i="24"/>
  <c r="CE377" i="6" s="1"/>
  <c r="AA369" i="24"/>
  <c r="Z369" i="24" s="1"/>
  <c r="Y369" i="24" s="1"/>
  <c r="G369" i="24"/>
  <c r="CE369" i="6" s="1"/>
  <c r="AA361" i="24"/>
  <c r="Z361" i="24" s="1"/>
  <c r="Y361" i="24" s="1"/>
  <c r="G361" i="24"/>
  <c r="CE361" i="6" s="1"/>
  <c r="AA353" i="24"/>
  <c r="Z353" i="24" s="1"/>
  <c r="Y353" i="24" s="1"/>
  <c r="G353" i="24"/>
  <c r="CE353" i="6" s="1"/>
  <c r="AA345" i="24"/>
  <c r="Z345" i="24" s="1"/>
  <c r="Y345" i="24" s="1"/>
  <c r="G345" i="24"/>
  <c r="CE345" i="6" s="1"/>
  <c r="H345" i="24"/>
  <c r="G321" i="24"/>
  <c r="CE321" i="6" s="1"/>
  <c r="AA321" i="24"/>
  <c r="Z321" i="24" s="1"/>
  <c r="Y321" i="24" s="1"/>
  <c r="H321" i="24"/>
  <c r="G297" i="24"/>
  <c r="CE297" i="6" s="1"/>
  <c r="AA297" i="24"/>
  <c r="Z297" i="24" s="1"/>
  <c r="Y297" i="24" s="1"/>
  <c r="H297" i="24"/>
  <c r="AA289" i="24"/>
  <c r="Z289" i="24" s="1"/>
  <c r="Y289" i="24" s="1"/>
  <c r="G289" i="24"/>
  <c r="CE289" i="6" s="1"/>
  <c r="H289" i="24"/>
  <c r="G281" i="24"/>
  <c r="CE281" i="6" s="1"/>
  <c r="AA281" i="24"/>
  <c r="Z281" i="24" s="1"/>
  <c r="Y281" i="24" s="1"/>
  <c r="G257" i="24"/>
  <c r="CE257" i="6" s="1"/>
  <c r="AA257" i="24"/>
  <c r="Z257" i="24" s="1"/>
  <c r="Y257" i="24" s="1"/>
  <c r="G249" i="24"/>
  <c r="CE249" i="6" s="1"/>
  <c r="AA249" i="24"/>
  <c r="Z249" i="24" s="1"/>
  <c r="Y249" i="24" s="1"/>
  <c r="AA233" i="24"/>
  <c r="Z233" i="24" s="1"/>
  <c r="Y233" i="24" s="1"/>
  <c r="G233" i="24"/>
  <c r="CE233" i="6" s="1"/>
  <c r="G217" i="24"/>
  <c r="CE217" i="6" s="1"/>
  <c r="AA217" i="24"/>
  <c r="Z217" i="24" s="1"/>
  <c r="Y217" i="24" s="1"/>
  <c r="G193" i="24"/>
  <c r="CE193" i="6" s="1"/>
  <c r="AA193" i="24"/>
  <c r="Z193" i="24" s="1"/>
  <c r="Y193" i="24" s="1"/>
  <c r="AA177" i="24"/>
  <c r="Z177" i="24" s="1"/>
  <c r="Y177" i="24" s="1"/>
  <c r="G177" i="24"/>
  <c r="CE177" i="6" s="1"/>
  <c r="H177" i="24"/>
  <c r="AA153" i="24"/>
  <c r="Z153" i="24" s="1"/>
  <c r="Y153" i="24" s="1"/>
  <c r="G153" i="24"/>
  <c r="CE153" i="6" s="1"/>
  <c r="AA145" i="24"/>
  <c r="Z145" i="24" s="1"/>
  <c r="Y145" i="24" s="1"/>
  <c r="G145" i="24"/>
  <c r="CE145" i="6" s="1"/>
  <c r="H145" i="24"/>
  <c r="AA137" i="24"/>
  <c r="Z137" i="24" s="1"/>
  <c r="Y137" i="24" s="1"/>
  <c r="G137" i="24"/>
  <c r="CE137" i="6" s="1"/>
  <c r="AA129" i="24"/>
  <c r="Z129" i="24" s="1"/>
  <c r="Y129" i="24" s="1"/>
  <c r="G129" i="24"/>
  <c r="CE129" i="6" s="1"/>
  <c r="H129" i="24"/>
  <c r="H105" i="24"/>
  <c r="G105" i="24"/>
  <c r="CE105" i="6" s="1"/>
  <c r="AA105" i="24"/>
  <c r="Z105" i="24" s="1"/>
  <c r="Y105" i="24" s="1"/>
  <c r="G97" i="24"/>
  <c r="CE97" i="6" s="1"/>
  <c r="AA97" i="24"/>
  <c r="Z97" i="24" s="1"/>
  <c r="Y97" i="24" s="1"/>
  <c r="G89" i="24"/>
  <c r="CE89" i="6" s="1"/>
  <c r="AA89" i="24"/>
  <c r="Z89" i="24" s="1"/>
  <c r="Y89" i="24" s="1"/>
  <c r="AA73" i="24"/>
  <c r="Z73" i="24" s="1"/>
  <c r="Y73" i="24" s="1"/>
  <c r="G73" i="24"/>
  <c r="CE73" i="6" s="1"/>
  <c r="G41" i="24"/>
  <c r="CE41" i="6" s="1"/>
  <c r="AA41" i="24"/>
  <c r="Z41" i="24" s="1"/>
  <c r="Y41" i="24" s="1"/>
  <c r="G33" i="24"/>
  <c r="CE33" i="6" s="1"/>
  <c r="AA33" i="24"/>
  <c r="Z33" i="24" s="1"/>
  <c r="Y33" i="24" s="1"/>
  <c r="G336" i="24"/>
  <c r="CE336" i="6" s="1"/>
  <c r="AA336" i="24"/>
  <c r="Z336" i="24" s="1"/>
  <c r="Y336" i="24" s="1"/>
  <c r="G328" i="24"/>
  <c r="CE328" i="6" s="1"/>
  <c r="AA328" i="24"/>
  <c r="Z328" i="24" s="1"/>
  <c r="Y328" i="24" s="1"/>
  <c r="G320" i="24"/>
  <c r="CE320" i="6" s="1"/>
  <c r="H320" i="24"/>
  <c r="AA320" i="24"/>
  <c r="Z320" i="24" s="1"/>
  <c r="Y320" i="24" s="1"/>
  <c r="AA312" i="24"/>
  <c r="Z312" i="24" s="1"/>
  <c r="Y312" i="24" s="1"/>
  <c r="H312" i="24"/>
  <c r="G312" i="24"/>
  <c r="CE312" i="6" s="1"/>
  <c r="H296" i="24"/>
  <c r="G296" i="24"/>
  <c r="CE296" i="6" s="1"/>
  <c r="AA296" i="24"/>
  <c r="Z296" i="24" s="1"/>
  <c r="Y296" i="24" s="1"/>
  <c r="AA288" i="24"/>
  <c r="Z288" i="24" s="1"/>
  <c r="Y288" i="24" s="1"/>
  <c r="H288" i="24"/>
  <c r="G288" i="24"/>
  <c r="CE288" i="6" s="1"/>
  <c r="G264" i="24"/>
  <c r="CE264" i="6" s="1"/>
  <c r="AA264" i="24"/>
  <c r="Z264" i="24" s="1"/>
  <c r="Y264" i="24" s="1"/>
  <c r="AA248" i="24"/>
  <c r="Z248" i="24" s="1"/>
  <c r="Y248" i="24" s="1"/>
  <c r="G248" i="24"/>
  <c r="CE248" i="6" s="1"/>
  <c r="AA208" i="24"/>
  <c r="Z208" i="24" s="1"/>
  <c r="Y208" i="24" s="1"/>
  <c r="G208" i="24"/>
  <c r="CE208" i="6" s="1"/>
  <c r="G192" i="24"/>
  <c r="CE192" i="6" s="1"/>
  <c r="AA192" i="24"/>
  <c r="Z192" i="24" s="1"/>
  <c r="Y192" i="24" s="1"/>
  <c r="AA152" i="24"/>
  <c r="Z152" i="24" s="1"/>
  <c r="Y152" i="24" s="1"/>
  <c r="G152" i="24"/>
  <c r="CE152" i="6" s="1"/>
  <c r="AA136" i="24"/>
  <c r="Z136" i="24" s="1"/>
  <c r="Y136" i="24" s="1"/>
  <c r="G136" i="24"/>
  <c r="CE136" i="6" s="1"/>
  <c r="AA128" i="24"/>
  <c r="Z128" i="24" s="1"/>
  <c r="Y128" i="24" s="1"/>
  <c r="G128" i="24"/>
  <c r="CE128" i="6" s="1"/>
  <c r="G120" i="24"/>
  <c r="CE120" i="6" s="1"/>
  <c r="AA120" i="24"/>
  <c r="Z120" i="24" s="1"/>
  <c r="Y120" i="24" s="1"/>
  <c r="G104" i="24"/>
  <c r="CE104" i="6" s="1"/>
  <c r="AA104" i="24"/>
  <c r="Z104" i="24" s="1"/>
  <c r="Y104" i="24" s="1"/>
  <c r="G80" i="24"/>
  <c r="CE80" i="6" s="1"/>
  <c r="AA80" i="24"/>
  <c r="Z80" i="24" s="1"/>
  <c r="Y80" i="24" s="1"/>
  <c r="AA72" i="24"/>
  <c r="Z72" i="24" s="1"/>
  <c r="Y72" i="24" s="1"/>
  <c r="G72" i="24"/>
  <c r="CE72" i="6" s="1"/>
  <c r="AA64" i="24"/>
  <c r="Z64" i="24" s="1"/>
  <c r="Y64" i="24" s="1"/>
  <c r="G64" i="24"/>
  <c r="CE64" i="6" s="1"/>
  <c r="AA56" i="24"/>
  <c r="Z56" i="24" s="1"/>
  <c r="Y56" i="24" s="1"/>
  <c r="G56" i="24"/>
  <c r="CE56" i="6" s="1"/>
  <c r="H56" i="24"/>
  <c r="G32" i="24"/>
  <c r="CE32" i="6" s="1"/>
  <c r="AA32" i="24"/>
  <c r="Z32" i="24" s="1"/>
  <c r="Y32" i="24" s="1"/>
  <c r="G24" i="24"/>
  <c r="CE24" i="6" s="1"/>
  <c r="AA24" i="24"/>
  <c r="Z24" i="24" s="1"/>
  <c r="Y24" i="24" s="1"/>
  <c r="G19" i="24"/>
  <c r="CE19" i="6" s="1"/>
  <c r="AA19" i="24"/>
  <c r="Z19" i="24" s="1"/>
  <c r="Y19" i="24" s="1"/>
  <c r="AA366" i="24"/>
  <c r="Z366" i="24" s="1"/>
  <c r="Y366" i="24" s="1"/>
  <c r="G366" i="24"/>
  <c r="CE366" i="6" s="1"/>
  <c r="AA334" i="24"/>
  <c r="Z334" i="24" s="1"/>
  <c r="Y334" i="24" s="1"/>
  <c r="G334" i="24"/>
  <c r="CE334" i="6" s="1"/>
  <c r="G326" i="24"/>
  <c r="CE326" i="6" s="1"/>
  <c r="AA326" i="24"/>
  <c r="Z326" i="24" s="1"/>
  <c r="Y326" i="24" s="1"/>
  <c r="AA294" i="24"/>
  <c r="Z294" i="24" s="1"/>
  <c r="Y294" i="24" s="1"/>
  <c r="G294" i="24"/>
  <c r="CE294" i="6" s="1"/>
  <c r="G278" i="24"/>
  <c r="CE278" i="6" s="1"/>
  <c r="AA278" i="24"/>
  <c r="Z278" i="24" s="1"/>
  <c r="Y278" i="24" s="1"/>
  <c r="H278" i="24"/>
  <c r="AA270" i="24"/>
  <c r="Z270" i="24" s="1"/>
  <c r="Y270" i="24" s="1"/>
  <c r="G270" i="24"/>
  <c r="CE270" i="6" s="1"/>
  <c r="AA254" i="24"/>
  <c r="Z254" i="24" s="1"/>
  <c r="Y254" i="24" s="1"/>
  <c r="G254" i="24"/>
  <c r="CE254" i="6" s="1"/>
  <c r="AA238" i="24"/>
  <c r="Z238" i="24" s="1"/>
  <c r="Y238" i="24" s="1"/>
  <c r="G238" i="24"/>
  <c r="CE238" i="6" s="1"/>
  <c r="G230" i="24"/>
  <c r="CE230" i="6" s="1"/>
  <c r="AA230" i="24"/>
  <c r="Z230" i="24" s="1"/>
  <c r="Y230" i="24" s="1"/>
  <c r="H214" i="24"/>
  <c r="G214" i="24"/>
  <c r="CE214" i="6" s="1"/>
  <c r="AA214" i="24"/>
  <c r="Z214" i="24" s="1"/>
  <c r="Y214" i="24" s="1"/>
  <c r="AA206" i="24"/>
  <c r="Z206" i="24" s="1"/>
  <c r="Y206" i="24" s="1"/>
  <c r="G206" i="24"/>
  <c r="CE206" i="6" s="1"/>
  <c r="AA198" i="24"/>
  <c r="Z198" i="24" s="1"/>
  <c r="Y198" i="24" s="1"/>
  <c r="G198" i="24"/>
  <c r="CE198" i="6" s="1"/>
  <c r="AA190" i="24"/>
  <c r="Z190" i="24" s="1"/>
  <c r="Y190" i="24" s="1"/>
  <c r="G190" i="24"/>
  <c r="CE190" i="6" s="1"/>
  <c r="G158" i="24"/>
  <c r="CE158" i="6" s="1"/>
  <c r="AA158" i="24"/>
  <c r="Z158" i="24" s="1"/>
  <c r="Y158" i="24" s="1"/>
  <c r="H158" i="24"/>
  <c r="AA150" i="24"/>
  <c r="Z150" i="24" s="1"/>
  <c r="Y150" i="24" s="1"/>
  <c r="G150" i="24"/>
  <c r="CE150" i="6" s="1"/>
  <c r="G142" i="24"/>
  <c r="CE142" i="6" s="1"/>
  <c r="AA142" i="24"/>
  <c r="Z142" i="24" s="1"/>
  <c r="Y142" i="24" s="1"/>
  <c r="AA134" i="24"/>
  <c r="Z134" i="24" s="1"/>
  <c r="Y134" i="24" s="1"/>
  <c r="G134" i="24"/>
  <c r="CE134" i="6" s="1"/>
  <c r="H134" i="24"/>
  <c r="AA118" i="24"/>
  <c r="Z118" i="24" s="1"/>
  <c r="Y118" i="24" s="1"/>
  <c r="G118" i="24"/>
  <c r="CE118" i="6" s="1"/>
  <c r="G110" i="24"/>
  <c r="CE110" i="6" s="1"/>
  <c r="AA110" i="24"/>
  <c r="Z110" i="24" s="1"/>
  <c r="Y110" i="24" s="1"/>
  <c r="AA78" i="24"/>
  <c r="Z78" i="24" s="1"/>
  <c r="Y78" i="24" s="1"/>
  <c r="G78" i="24"/>
  <c r="CE78" i="6" s="1"/>
  <c r="AA70" i="24"/>
  <c r="Z70" i="24" s="1"/>
  <c r="Y70" i="24" s="1"/>
  <c r="G70" i="24"/>
  <c r="CE70" i="6" s="1"/>
  <c r="H70" i="24"/>
  <c r="G54" i="24"/>
  <c r="CE54" i="6" s="1"/>
  <c r="AA54" i="24"/>
  <c r="Z54" i="24" s="1"/>
  <c r="Y54" i="24" s="1"/>
  <c r="AA30" i="24"/>
  <c r="Z30" i="24" s="1"/>
  <c r="Y30" i="24" s="1"/>
  <c r="G30" i="24"/>
  <c r="CE30" i="6" s="1"/>
  <c r="H30" i="24"/>
  <c r="G357" i="24"/>
  <c r="CE357" i="6" s="1"/>
  <c r="AA357" i="24"/>
  <c r="Z357" i="24" s="1"/>
  <c r="Y357" i="24" s="1"/>
  <c r="AA317" i="24"/>
  <c r="Z317" i="24" s="1"/>
  <c r="Y317" i="24" s="1"/>
  <c r="G317" i="24"/>
  <c r="CE317" i="6" s="1"/>
  <c r="AA301" i="24"/>
  <c r="Z301" i="24" s="1"/>
  <c r="Y301" i="24" s="1"/>
  <c r="G301" i="24"/>
  <c r="CE301" i="6" s="1"/>
  <c r="AA285" i="24"/>
  <c r="Z285" i="24" s="1"/>
  <c r="Y285" i="24" s="1"/>
  <c r="G285" i="24"/>
  <c r="CE285" i="6" s="1"/>
  <c r="G277" i="24"/>
  <c r="CE277" i="6" s="1"/>
  <c r="AA277" i="24"/>
  <c r="Z277" i="24" s="1"/>
  <c r="Y277" i="24" s="1"/>
  <c r="G261" i="24"/>
  <c r="CE261" i="6" s="1"/>
  <c r="AA261" i="24"/>
  <c r="Z261" i="24" s="1"/>
  <c r="Y261" i="24" s="1"/>
  <c r="H261" i="24"/>
  <c r="G229" i="24"/>
  <c r="CE229" i="6" s="1"/>
  <c r="AA229" i="24"/>
  <c r="Z229" i="24" s="1"/>
  <c r="Y229" i="24" s="1"/>
  <c r="AA197" i="24"/>
  <c r="Z197" i="24" s="1"/>
  <c r="Y197" i="24" s="1"/>
  <c r="G197" i="24"/>
  <c r="CE197" i="6" s="1"/>
  <c r="H197" i="24"/>
  <c r="G165" i="24"/>
  <c r="CE165" i="6" s="1"/>
  <c r="AA165" i="24"/>
  <c r="Z165" i="24" s="1"/>
  <c r="Y165" i="24" s="1"/>
  <c r="G141" i="24"/>
  <c r="CE141" i="6" s="1"/>
  <c r="AA141" i="24"/>
  <c r="Z141" i="24" s="1"/>
  <c r="Y141" i="24" s="1"/>
  <c r="H141" i="24"/>
  <c r="AA109" i="24"/>
  <c r="Z109" i="24" s="1"/>
  <c r="Y109" i="24" s="1"/>
  <c r="G109" i="24"/>
  <c r="CE109" i="6" s="1"/>
  <c r="H109" i="24"/>
  <c r="G93" i="24"/>
  <c r="CE93" i="6" s="1"/>
  <c r="AA93" i="24"/>
  <c r="Z93" i="24" s="1"/>
  <c r="Y93" i="24" s="1"/>
  <c r="G85" i="24"/>
  <c r="CE85" i="6" s="1"/>
  <c r="AA85" i="24"/>
  <c r="Z85" i="24" s="1"/>
  <c r="Y85" i="24" s="1"/>
  <c r="AA61" i="24"/>
  <c r="Z61" i="24" s="1"/>
  <c r="Y61" i="24" s="1"/>
  <c r="G61" i="24"/>
  <c r="CE61" i="6" s="1"/>
  <c r="H61" i="24"/>
  <c r="G45" i="24"/>
  <c r="CE45" i="6" s="1"/>
  <c r="AA45" i="24"/>
  <c r="Z45" i="24" s="1"/>
  <c r="Y45" i="24" s="1"/>
  <c r="G37" i="24"/>
  <c r="CE37" i="6" s="1"/>
  <c r="AA37" i="24"/>
  <c r="Z37" i="24" s="1"/>
  <c r="Y37" i="24" s="1"/>
  <c r="H37" i="24"/>
  <c r="G21" i="24"/>
  <c r="CE21" i="6" s="1"/>
  <c r="AA21" i="24"/>
  <c r="Z21" i="24" s="1"/>
  <c r="Y21" i="24" s="1"/>
  <c r="AJ9" i="23" l="1"/>
  <c r="AJ11" i="23" s="1"/>
  <c r="AK7" i="23"/>
  <c r="F15" i="19"/>
  <c r="F31" i="19" s="1"/>
  <c r="E31" i="19"/>
  <c r="E16" i="19"/>
  <c r="F16" i="19" s="1"/>
  <c r="E42" i="19"/>
  <c r="C17" i="19"/>
  <c r="F41" i="19"/>
  <c r="AL5" i="20"/>
  <c r="AL11" i="20" s="1"/>
  <c r="AJ3" i="20" s="1"/>
  <c r="O16" i="19" s="1"/>
  <c r="AM5" i="20"/>
  <c r="AM11" i="20" s="1"/>
  <c r="AK3" i="20" s="1"/>
  <c r="Q16" i="19" s="1"/>
  <c r="I37" i="24"/>
  <c r="J37" i="24"/>
  <c r="I109" i="24"/>
  <c r="J109" i="24"/>
  <c r="J197" i="24"/>
  <c r="I197" i="24"/>
  <c r="J30" i="24"/>
  <c r="I30" i="24"/>
  <c r="J134" i="24"/>
  <c r="I134" i="24"/>
  <c r="J214" i="24"/>
  <c r="I214" i="24"/>
  <c r="J56" i="24"/>
  <c r="I56" i="24"/>
  <c r="J288" i="24"/>
  <c r="I288" i="24"/>
  <c r="I296" i="24"/>
  <c r="J296" i="24"/>
  <c r="J312" i="24"/>
  <c r="I312" i="24"/>
  <c r="I129" i="24"/>
  <c r="J129" i="24"/>
  <c r="I177" i="24"/>
  <c r="J177" i="24"/>
  <c r="J297" i="24"/>
  <c r="I297" i="24"/>
  <c r="J345" i="24"/>
  <c r="I345" i="24"/>
  <c r="I82" i="24"/>
  <c r="J82" i="24"/>
  <c r="G210" i="24"/>
  <c r="CE210" i="6" s="1"/>
  <c r="AA210" i="24"/>
  <c r="Z210" i="24" s="1"/>
  <c r="Y210" i="24" s="1"/>
  <c r="I220" i="24"/>
  <c r="J220" i="24"/>
  <c r="I252" i="24"/>
  <c r="J252" i="24"/>
  <c r="J155" i="24"/>
  <c r="I155" i="24"/>
  <c r="AG378" i="25"/>
  <c r="AF378" i="25" s="1"/>
  <c r="AD378" i="25" s="1"/>
  <c r="AG370" i="25"/>
  <c r="AF370" i="25" s="1"/>
  <c r="AD370" i="25" s="1"/>
  <c r="AG362" i="25"/>
  <c r="AF362" i="25" s="1"/>
  <c r="AD362" i="25" s="1"/>
  <c r="AG354" i="25"/>
  <c r="AF354" i="25" s="1"/>
  <c r="AD354" i="25" s="1"/>
  <c r="AG346" i="25"/>
  <c r="AF346" i="25" s="1"/>
  <c r="AD346" i="25" s="1"/>
  <c r="AG338" i="25"/>
  <c r="AF338" i="25" s="1"/>
  <c r="AD338" i="25" s="1"/>
  <c r="AG330" i="25"/>
  <c r="AF330" i="25" s="1"/>
  <c r="AD330" i="25" s="1"/>
  <c r="AG322" i="25"/>
  <c r="AF322" i="25" s="1"/>
  <c r="AD322" i="25" s="1"/>
  <c r="AG314" i="25"/>
  <c r="AF314" i="25" s="1"/>
  <c r="AD314" i="25" s="1"/>
  <c r="AG306" i="25"/>
  <c r="AF306" i="25" s="1"/>
  <c r="AD306" i="25" s="1"/>
  <c r="AG300" i="25"/>
  <c r="AF300" i="25" s="1"/>
  <c r="AD300" i="25" s="1"/>
  <c r="AG292" i="25"/>
  <c r="AF292" i="25" s="1"/>
  <c r="AD292" i="25" s="1"/>
  <c r="AG282" i="25"/>
  <c r="AF282" i="25" s="1"/>
  <c r="AD282" i="25" s="1"/>
  <c r="AG276" i="25"/>
  <c r="AF276" i="25" s="1"/>
  <c r="AD276" i="25" s="1"/>
  <c r="AG268" i="25"/>
  <c r="AF268" i="25" s="1"/>
  <c r="AD268" i="25" s="1"/>
  <c r="AG260" i="25"/>
  <c r="AF260" i="25" s="1"/>
  <c r="AD260" i="25" s="1"/>
  <c r="AG252" i="25"/>
  <c r="AF252" i="25" s="1"/>
  <c r="AD252" i="25" s="1"/>
  <c r="AG244" i="25"/>
  <c r="AF244" i="25" s="1"/>
  <c r="AD244" i="25" s="1"/>
  <c r="AG236" i="25"/>
  <c r="AF236" i="25" s="1"/>
  <c r="AD236" i="25" s="1"/>
  <c r="AG228" i="25"/>
  <c r="AF228" i="25" s="1"/>
  <c r="AD228" i="25" s="1"/>
  <c r="AG220" i="25"/>
  <c r="AF220" i="25" s="1"/>
  <c r="AD220" i="25" s="1"/>
  <c r="AG212" i="25"/>
  <c r="AF212" i="25" s="1"/>
  <c r="AD212" i="25" s="1"/>
  <c r="AG204" i="25"/>
  <c r="AF204" i="25" s="1"/>
  <c r="AD204" i="25" s="1"/>
  <c r="AG196" i="25"/>
  <c r="AF196" i="25" s="1"/>
  <c r="AD196" i="25" s="1"/>
  <c r="AG188" i="25"/>
  <c r="AF188" i="25" s="1"/>
  <c r="AD188" i="25" s="1"/>
  <c r="AG180" i="25"/>
  <c r="AF180" i="25" s="1"/>
  <c r="AD180" i="25" s="1"/>
  <c r="AG172" i="25"/>
  <c r="AF172" i="25" s="1"/>
  <c r="AD172" i="25" s="1"/>
  <c r="AG162" i="25"/>
  <c r="AF162" i="25" s="1"/>
  <c r="AD162" i="25" s="1"/>
  <c r="AG154" i="25"/>
  <c r="AF154" i="25" s="1"/>
  <c r="AD154" i="25" s="1"/>
  <c r="AG148" i="25"/>
  <c r="AF148" i="25" s="1"/>
  <c r="AD148" i="25" s="1"/>
  <c r="AG138" i="25"/>
  <c r="AF138" i="25" s="1"/>
  <c r="AD138" i="25" s="1"/>
  <c r="AG130" i="25"/>
  <c r="AF130" i="25" s="1"/>
  <c r="AD130" i="25" s="1"/>
  <c r="AG124" i="25"/>
  <c r="AF124" i="25" s="1"/>
  <c r="AD124" i="25" s="1"/>
  <c r="AG114" i="25"/>
  <c r="AF114" i="25" s="1"/>
  <c r="AD114" i="25" s="1"/>
  <c r="AG108" i="25"/>
  <c r="AF108" i="25" s="1"/>
  <c r="AD108" i="25" s="1"/>
  <c r="AG98" i="25"/>
  <c r="AF98" i="25" s="1"/>
  <c r="AD98" i="25" s="1"/>
  <c r="AG92" i="25"/>
  <c r="AF92" i="25" s="1"/>
  <c r="AD92" i="25" s="1"/>
  <c r="AG82" i="25"/>
  <c r="AF82" i="25" s="1"/>
  <c r="AD82" i="25" s="1"/>
  <c r="AG74" i="25"/>
  <c r="AF74" i="25" s="1"/>
  <c r="AD74" i="25" s="1"/>
  <c r="AG66" i="25"/>
  <c r="AF66" i="25" s="1"/>
  <c r="AD66" i="25" s="1"/>
  <c r="AG58" i="25"/>
  <c r="AF58" i="25" s="1"/>
  <c r="AD58" i="25" s="1"/>
  <c r="AG50" i="25"/>
  <c r="AF50" i="25" s="1"/>
  <c r="AD50" i="25" s="1"/>
  <c r="AG44" i="25"/>
  <c r="AF44" i="25" s="1"/>
  <c r="AD44" i="25" s="1"/>
  <c r="AG34" i="25"/>
  <c r="AF34" i="25" s="1"/>
  <c r="AD34" i="25" s="1"/>
  <c r="AG26" i="25"/>
  <c r="AF26" i="25" s="1"/>
  <c r="AD26" i="25" s="1"/>
  <c r="AG20" i="25"/>
  <c r="AF20" i="25" s="1"/>
  <c r="AD20" i="25" s="1"/>
  <c r="J219" i="24"/>
  <c r="I219" i="24"/>
  <c r="AG379" i="25"/>
  <c r="AF379" i="25" s="1"/>
  <c r="AD379" i="25" s="1"/>
  <c r="AG375" i="25"/>
  <c r="AF375" i="25" s="1"/>
  <c r="AD375" i="25" s="1"/>
  <c r="AG371" i="25"/>
  <c r="AF371" i="25" s="1"/>
  <c r="AD371" i="25" s="1"/>
  <c r="AG367" i="25"/>
  <c r="AF367" i="25" s="1"/>
  <c r="AD367" i="25" s="1"/>
  <c r="AG363" i="25"/>
  <c r="AF363" i="25" s="1"/>
  <c r="AD363" i="25" s="1"/>
  <c r="AG359" i="25"/>
  <c r="AF359" i="25" s="1"/>
  <c r="AD359" i="25" s="1"/>
  <c r="AG355" i="25"/>
  <c r="AF355" i="25" s="1"/>
  <c r="AD355" i="25" s="1"/>
  <c r="AG351" i="25"/>
  <c r="AF351" i="25" s="1"/>
  <c r="AD351" i="25" s="1"/>
  <c r="AG347" i="25"/>
  <c r="AF347" i="25" s="1"/>
  <c r="AD347" i="25" s="1"/>
  <c r="AG343" i="25"/>
  <c r="AF343" i="25" s="1"/>
  <c r="AD343" i="25" s="1"/>
  <c r="AG339" i="25"/>
  <c r="AF339" i="25" s="1"/>
  <c r="AD339" i="25" s="1"/>
  <c r="AG335" i="25"/>
  <c r="AF335" i="25" s="1"/>
  <c r="AD335" i="25" s="1"/>
  <c r="AG331" i="25"/>
  <c r="AF331" i="25" s="1"/>
  <c r="AD331" i="25" s="1"/>
  <c r="AG327" i="25"/>
  <c r="AF327" i="25" s="1"/>
  <c r="AD327" i="25" s="1"/>
  <c r="AG323" i="25"/>
  <c r="AF323" i="25" s="1"/>
  <c r="AD323" i="25" s="1"/>
  <c r="AG319" i="25"/>
  <c r="AF319" i="25" s="1"/>
  <c r="AD319" i="25" s="1"/>
  <c r="AG315" i="25"/>
  <c r="AF315" i="25" s="1"/>
  <c r="AD315" i="25" s="1"/>
  <c r="AG311" i="25"/>
  <c r="AF311" i="25" s="1"/>
  <c r="AD311" i="25" s="1"/>
  <c r="AG307" i="25"/>
  <c r="AF307" i="25" s="1"/>
  <c r="AD307" i="25" s="1"/>
  <c r="AG303" i="25"/>
  <c r="AF303" i="25" s="1"/>
  <c r="AD303" i="25" s="1"/>
  <c r="AG299" i="25"/>
  <c r="AF299" i="25" s="1"/>
  <c r="AD299" i="25" s="1"/>
  <c r="AG295" i="25"/>
  <c r="AF295" i="25" s="1"/>
  <c r="AD295" i="25" s="1"/>
  <c r="AG291" i="25"/>
  <c r="AF291" i="25" s="1"/>
  <c r="AD291" i="25" s="1"/>
  <c r="AG287" i="25"/>
  <c r="AF287" i="25" s="1"/>
  <c r="AD287" i="25" s="1"/>
  <c r="AG283" i="25"/>
  <c r="AF283" i="25" s="1"/>
  <c r="AD283" i="25" s="1"/>
  <c r="AG279" i="25"/>
  <c r="AF279" i="25" s="1"/>
  <c r="AD279" i="25" s="1"/>
  <c r="AG275" i="25"/>
  <c r="AF275" i="25" s="1"/>
  <c r="AD275" i="25" s="1"/>
  <c r="AG271" i="25"/>
  <c r="AF271" i="25" s="1"/>
  <c r="AD271" i="25" s="1"/>
  <c r="AG267" i="25"/>
  <c r="AF267" i="25" s="1"/>
  <c r="AD267" i="25" s="1"/>
  <c r="AG263" i="25"/>
  <c r="AF263" i="25" s="1"/>
  <c r="AD263" i="25" s="1"/>
  <c r="AG259" i="25"/>
  <c r="AF259" i="25" s="1"/>
  <c r="AD259" i="25" s="1"/>
  <c r="AG255" i="25"/>
  <c r="AF255" i="25" s="1"/>
  <c r="AD255" i="25" s="1"/>
  <c r="AG251" i="25"/>
  <c r="AF251" i="25" s="1"/>
  <c r="AD251" i="25" s="1"/>
  <c r="AG247" i="25"/>
  <c r="AF247" i="25" s="1"/>
  <c r="AD247" i="25" s="1"/>
  <c r="AG243" i="25"/>
  <c r="AF243" i="25" s="1"/>
  <c r="AD243" i="25" s="1"/>
  <c r="AG239" i="25"/>
  <c r="AF239" i="25" s="1"/>
  <c r="AD239" i="25" s="1"/>
  <c r="AG235" i="25"/>
  <c r="AF235" i="25" s="1"/>
  <c r="AD235" i="25" s="1"/>
  <c r="AG231" i="25"/>
  <c r="AF231" i="25" s="1"/>
  <c r="AD231" i="25" s="1"/>
  <c r="AG227" i="25"/>
  <c r="AF227" i="25" s="1"/>
  <c r="AD227" i="25" s="1"/>
  <c r="AG223" i="25"/>
  <c r="AF223" i="25" s="1"/>
  <c r="AD223" i="25" s="1"/>
  <c r="AG219" i="25"/>
  <c r="AF219" i="25" s="1"/>
  <c r="AD219" i="25" s="1"/>
  <c r="AG215" i="25"/>
  <c r="AF215" i="25" s="1"/>
  <c r="AD215" i="25" s="1"/>
  <c r="AG211" i="25"/>
  <c r="AF211" i="25" s="1"/>
  <c r="AD211" i="25" s="1"/>
  <c r="AG207" i="25"/>
  <c r="AF207" i="25" s="1"/>
  <c r="AD207" i="25" s="1"/>
  <c r="AG203" i="25"/>
  <c r="AF203" i="25" s="1"/>
  <c r="AD203" i="25" s="1"/>
  <c r="AG199" i="25"/>
  <c r="AF199" i="25" s="1"/>
  <c r="AD199" i="25" s="1"/>
  <c r="AG195" i="25"/>
  <c r="AF195" i="25" s="1"/>
  <c r="AD195" i="25" s="1"/>
  <c r="AG191" i="25"/>
  <c r="AF191" i="25" s="1"/>
  <c r="AD191" i="25" s="1"/>
  <c r="AG187" i="25"/>
  <c r="AF187" i="25" s="1"/>
  <c r="AD187" i="25" s="1"/>
  <c r="AG183" i="25"/>
  <c r="AF183" i="25" s="1"/>
  <c r="AD183" i="25" s="1"/>
  <c r="AG179" i="25"/>
  <c r="AF179" i="25" s="1"/>
  <c r="AD179" i="25" s="1"/>
  <c r="AG175" i="25"/>
  <c r="AF175" i="25" s="1"/>
  <c r="AD175" i="25" s="1"/>
  <c r="AG171" i="25"/>
  <c r="AF171" i="25" s="1"/>
  <c r="AD171" i="25" s="1"/>
  <c r="AG167" i="25"/>
  <c r="AF167" i="25" s="1"/>
  <c r="AD167" i="25" s="1"/>
  <c r="AG163" i="25"/>
  <c r="AF163" i="25" s="1"/>
  <c r="AD163" i="25" s="1"/>
  <c r="AG159" i="25"/>
  <c r="AF159" i="25" s="1"/>
  <c r="AD159" i="25" s="1"/>
  <c r="AG155" i="25"/>
  <c r="AF155" i="25" s="1"/>
  <c r="AD155" i="25" s="1"/>
  <c r="AG151" i="25"/>
  <c r="AF151" i="25" s="1"/>
  <c r="AD151" i="25" s="1"/>
  <c r="AG147" i="25"/>
  <c r="AF147" i="25" s="1"/>
  <c r="AD147" i="25" s="1"/>
  <c r="AG143" i="25"/>
  <c r="AF143" i="25" s="1"/>
  <c r="AD143" i="25" s="1"/>
  <c r="AG139" i="25"/>
  <c r="AF139" i="25" s="1"/>
  <c r="AD139" i="25" s="1"/>
  <c r="AG135" i="25"/>
  <c r="AF135" i="25" s="1"/>
  <c r="AD135" i="25" s="1"/>
  <c r="AG131" i="25"/>
  <c r="AF131" i="25" s="1"/>
  <c r="AD131" i="25" s="1"/>
  <c r="AG127" i="25"/>
  <c r="AF127" i="25" s="1"/>
  <c r="AD127" i="25" s="1"/>
  <c r="AG123" i="25"/>
  <c r="AF123" i="25" s="1"/>
  <c r="AD123" i="25" s="1"/>
  <c r="AG119" i="25"/>
  <c r="AF119" i="25" s="1"/>
  <c r="AD119" i="25" s="1"/>
  <c r="AG115" i="25"/>
  <c r="AF115" i="25" s="1"/>
  <c r="AD115" i="25" s="1"/>
  <c r="AG111" i="25"/>
  <c r="AF111" i="25" s="1"/>
  <c r="AD111" i="25" s="1"/>
  <c r="AG107" i="25"/>
  <c r="AF107" i="25" s="1"/>
  <c r="AD107" i="25" s="1"/>
  <c r="AG103" i="25"/>
  <c r="AF103" i="25" s="1"/>
  <c r="AD103" i="25" s="1"/>
  <c r="AG99" i="25"/>
  <c r="AF99" i="25" s="1"/>
  <c r="AD99" i="25" s="1"/>
  <c r="AG95" i="25"/>
  <c r="AF95" i="25" s="1"/>
  <c r="AD95" i="25" s="1"/>
  <c r="AG91" i="25"/>
  <c r="AF91" i="25" s="1"/>
  <c r="AD91" i="25" s="1"/>
  <c r="AG87" i="25"/>
  <c r="AF87" i="25" s="1"/>
  <c r="AD87" i="25" s="1"/>
  <c r="AG83" i="25"/>
  <c r="AF83" i="25" s="1"/>
  <c r="AD83" i="25" s="1"/>
  <c r="AG79" i="25"/>
  <c r="AF79" i="25" s="1"/>
  <c r="AD79" i="25" s="1"/>
  <c r="AG75" i="25"/>
  <c r="AF75" i="25" s="1"/>
  <c r="AD75" i="25" s="1"/>
  <c r="AG71" i="25"/>
  <c r="AF71" i="25" s="1"/>
  <c r="AD71" i="25" s="1"/>
  <c r="AG67" i="25"/>
  <c r="AF67" i="25" s="1"/>
  <c r="AD67" i="25" s="1"/>
  <c r="AG63" i="25"/>
  <c r="AF63" i="25" s="1"/>
  <c r="AD63" i="25" s="1"/>
  <c r="AG59" i="25"/>
  <c r="AF59" i="25" s="1"/>
  <c r="AD59" i="25" s="1"/>
  <c r="AG55" i="25"/>
  <c r="AF55" i="25" s="1"/>
  <c r="AD55" i="25" s="1"/>
  <c r="AG51" i="25"/>
  <c r="AF51" i="25" s="1"/>
  <c r="AD51" i="25" s="1"/>
  <c r="AG47" i="25"/>
  <c r="AF47" i="25" s="1"/>
  <c r="AD47" i="25" s="1"/>
  <c r="AG43" i="25"/>
  <c r="AF43" i="25" s="1"/>
  <c r="AD43" i="25" s="1"/>
  <c r="AG39" i="25"/>
  <c r="AF39" i="25" s="1"/>
  <c r="AD39" i="25" s="1"/>
  <c r="AG35" i="25"/>
  <c r="AF35" i="25" s="1"/>
  <c r="AD35" i="25" s="1"/>
  <c r="AG31" i="25"/>
  <c r="AF31" i="25" s="1"/>
  <c r="AD31" i="25" s="1"/>
  <c r="AG27" i="25"/>
  <c r="AF27" i="25" s="1"/>
  <c r="AD27" i="25" s="1"/>
  <c r="AG23" i="25"/>
  <c r="AF23" i="25" s="1"/>
  <c r="AD23" i="25" s="1"/>
  <c r="AG16" i="25"/>
  <c r="AF16" i="25" s="1"/>
  <c r="AD16" i="25" s="1"/>
  <c r="AG18" i="25"/>
  <c r="AF18" i="25" s="1"/>
  <c r="AD18" i="25" s="1"/>
  <c r="N4" i="6"/>
  <c r="D15" i="6"/>
  <c r="I175" i="24"/>
  <c r="J175" i="24"/>
  <c r="I191" i="24"/>
  <c r="J191" i="24"/>
  <c r="J163" i="24"/>
  <c r="I163" i="24"/>
  <c r="J183" i="24"/>
  <c r="I183" i="24"/>
  <c r="J375" i="24"/>
  <c r="I375" i="24"/>
  <c r="J339" i="24"/>
  <c r="I339" i="24"/>
  <c r="J283" i="24"/>
  <c r="I283" i="24"/>
  <c r="J87" i="24"/>
  <c r="I87" i="24"/>
  <c r="I303" i="24"/>
  <c r="J303" i="24"/>
  <c r="J18" i="24"/>
  <c r="I18" i="24"/>
  <c r="J67" i="24"/>
  <c r="I67" i="24"/>
  <c r="J111" i="24"/>
  <c r="I111" i="24"/>
  <c r="J159" i="24"/>
  <c r="I159" i="24"/>
  <c r="J279" i="24"/>
  <c r="I279" i="24"/>
  <c r="J295" i="24"/>
  <c r="I295" i="24"/>
  <c r="J367" i="24"/>
  <c r="I367" i="24"/>
  <c r="S379" i="25"/>
  <c r="R379" i="25" s="1"/>
  <c r="P379" i="25" s="1"/>
  <c r="S375" i="25"/>
  <c r="R375" i="25" s="1"/>
  <c r="P375" i="25" s="1"/>
  <c r="V375" i="25" s="1"/>
  <c r="B375" i="25" s="1"/>
  <c r="S371" i="25"/>
  <c r="R371" i="25" s="1"/>
  <c r="P371" i="25" s="1"/>
  <c r="V371" i="25" s="1"/>
  <c r="B371" i="25" s="1"/>
  <c r="S367" i="25"/>
  <c r="R367" i="25" s="1"/>
  <c r="P367" i="25" s="1"/>
  <c r="V367" i="25" s="1"/>
  <c r="B367" i="25" s="1"/>
  <c r="S363" i="25"/>
  <c r="R363" i="25" s="1"/>
  <c r="P363" i="25" s="1"/>
  <c r="S359" i="25"/>
  <c r="R359" i="25" s="1"/>
  <c r="P359" i="25" s="1"/>
  <c r="V359" i="25" s="1"/>
  <c r="B359" i="25" s="1"/>
  <c r="S355" i="25"/>
  <c r="R355" i="25" s="1"/>
  <c r="P355" i="25" s="1"/>
  <c r="V355" i="25" s="1"/>
  <c r="B355" i="25" s="1"/>
  <c r="S351" i="25"/>
  <c r="R351" i="25" s="1"/>
  <c r="P351" i="25" s="1"/>
  <c r="V351" i="25" s="1"/>
  <c r="B351" i="25" s="1"/>
  <c r="S347" i="25"/>
  <c r="R347" i="25" s="1"/>
  <c r="P347" i="25" s="1"/>
  <c r="V347" i="25" s="1"/>
  <c r="B347" i="25" s="1"/>
  <c r="S343" i="25"/>
  <c r="R343" i="25" s="1"/>
  <c r="P343" i="25" s="1"/>
  <c r="V343" i="25" s="1"/>
  <c r="B343" i="25" s="1"/>
  <c r="S339" i="25"/>
  <c r="R339" i="25" s="1"/>
  <c r="P339" i="25" s="1"/>
  <c r="V339" i="25" s="1"/>
  <c r="B339" i="25" s="1"/>
  <c r="S335" i="25"/>
  <c r="R335" i="25" s="1"/>
  <c r="P335" i="25" s="1"/>
  <c r="V335" i="25" s="1"/>
  <c r="B335" i="25" s="1"/>
  <c r="S331" i="25"/>
  <c r="R331" i="25" s="1"/>
  <c r="P331" i="25" s="1"/>
  <c r="V331" i="25" s="1"/>
  <c r="B331" i="25" s="1"/>
  <c r="S327" i="25"/>
  <c r="R327" i="25" s="1"/>
  <c r="P327" i="25" s="1"/>
  <c r="V327" i="25" s="1"/>
  <c r="B327" i="25" s="1"/>
  <c r="S323" i="25"/>
  <c r="R323" i="25" s="1"/>
  <c r="P323" i="25" s="1"/>
  <c r="V323" i="25" s="1"/>
  <c r="B323" i="25" s="1"/>
  <c r="S319" i="25"/>
  <c r="R319" i="25" s="1"/>
  <c r="P319" i="25" s="1"/>
  <c r="V319" i="25" s="1"/>
  <c r="S315" i="25"/>
  <c r="R315" i="25" s="1"/>
  <c r="P315" i="25" s="1"/>
  <c r="V315" i="25" s="1"/>
  <c r="B315" i="25" s="1"/>
  <c r="S311" i="25"/>
  <c r="R311" i="25" s="1"/>
  <c r="P311" i="25" s="1"/>
  <c r="V311" i="25" s="1"/>
  <c r="B311" i="25" s="1"/>
  <c r="S307" i="25"/>
  <c r="R307" i="25" s="1"/>
  <c r="P307" i="25" s="1"/>
  <c r="V307" i="25" s="1"/>
  <c r="B307" i="25" s="1"/>
  <c r="S303" i="25"/>
  <c r="R303" i="25" s="1"/>
  <c r="P303" i="25" s="1"/>
  <c r="V303" i="25" s="1"/>
  <c r="B303" i="25" s="1"/>
  <c r="S299" i="25"/>
  <c r="R299" i="25" s="1"/>
  <c r="P299" i="25" s="1"/>
  <c r="V299" i="25" s="1"/>
  <c r="B299" i="25" s="1"/>
  <c r="S295" i="25"/>
  <c r="R295" i="25" s="1"/>
  <c r="P295" i="25" s="1"/>
  <c r="V295" i="25" s="1"/>
  <c r="B295" i="25" s="1"/>
  <c r="S291" i="25"/>
  <c r="R291" i="25" s="1"/>
  <c r="P291" i="25" s="1"/>
  <c r="V291" i="25" s="1"/>
  <c r="B291" i="25" s="1"/>
  <c r="S287" i="25"/>
  <c r="R287" i="25" s="1"/>
  <c r="P287" i="25" s="1"/>
  <c r="V287" i="25" s="1"/>
  <c r="B287" i="25" s="1"/>
  <c r="S283" i="25"/>
  <c r="R283" i="25" s="1"/>
  <c r="P283" i="25" s="1"/>
  <c r="V283" i="25" s="1"/>
  <c r="B283" i="25" s="1"/>
  <c r="S279" i="25"/>
  <c r="R279" i="25" s="1"/>
  <c r="P279" i="25" s="1"/>
  <c r="V279" i="25" s="1"/>
  <c r="B279" i="25" s="1"/>
  <c r="S275" i="25"/>
  <c r="R275" i="25" s="1"/>
  <c r="P275" i="25" s="1"/>
  <c r="V275" i="25" s="1"/>
  <c r="B275" i="25" s="1"/>
  <c r="S271" i="25"/>
  <c r="R271" i="25" s="1"/>
  <c r="P271" i="25" s="1"/>
  <c r="V271" i="25" s="1"/>
  <c r="B271" i="25" s="1"/>
  <c r="S267" i="25"/>
  <c r="R267" i="25" s="1"/>
  <c r="P267" i="25" s="1"/>
  <c r="V267" i="25" s="1"/>
  <c r="B267" i="25" s="1"/>
  <c r="S263" i="25"/>
  <c r="R263" i="25" s="1"/>
  <c r="P263" i="25" s="1"/>
  <c r="V263" i="25" s="1"/>
  <c r="B263" i="25" s="1"/>
  <c r="S259" i="25"/>
  <c r="R259" i="25" s="1"/>
  <c r="P259" i="25" s="1"/>
  <c r="V259" i="25" s="1"/>
  <c r="B259" i="25" s="1"/>
  <c r="S255" i="25"/>
  <c r="R255" i="25" s="1"/>
  <c r="P255" i="25" s="1"/>
  <c r="V255" i="25" s="1"/>
  <c r="B255" i="25" s="1"/>
  <c r="S251" i="25"/>
  <c r="R251" i="25" s="1"/>
  <c r="P251" i="25" s="1"/>
  <c r="V251" i="25" s="1"/>
  <c r="B251" i="25" s="1"/>
  <c r="S247" i="25"/>
  <c r="R247" i="25" s="1"/>
  <c r="P247" i="25" s="1"/>
  <c r="V247" i="25" s="1"/>
  <c r="B247" i="25" s="1"/>
  <c r="S243" i="25"/>
  <c r="R243" i="25" s="1"/>
  <c r="P243" i="25" s="1"/>
  <c r="V243" i="25" s="1"/>
  <c r="B243" i="25" s="1"/>
  <c r="S239" i="25"/>
  <c r="R239" i="25" s="1"/>
  <c r="P239" i="25" s="1"/>
  <c r="V239" i="25" s="1"/>
  <c r="B239" i="25" s="1"/>
  <c r="S235" i="25"/>
  <c r="R235" i="25" s="1"/>
  <c r="P235" i="25" s="1"/>
  <c r="V235" i="25" s="1"/>
  <c r="B235" i="25" s="1"/>
  <c r="S231" i="25"/>
  <c r="R231" i="25" s="1"/>
  <c r="P231" i="25" s="1"/>
  <c r="V231" i="25" s="1"/>
  <c r="B231" i="25" s="1"/>
  <c r="S227" i="25"/>
  <c r="R227" i="25" s="1"/>
  <c r="P227" i="25" s="1"/>
  <c r="V227" i="25" s="1"/>
  <c r="B227" i="25" s="1"/>
  <c r="S223" i="25"/>
  <c r="R223" i="25" s="1"/>
  <c r="P223" i="25" s="1"/>
  <c r="V223" i="25" s="1"/>
  <c r="B223" i="25" s="1"/>
  <c r="S219" i="25"/>
  <c r="R219" i="25" s="1"/>
  <c r="P219" i="25" s="1"/>
  <c r="V219" i="25" s="1"/>
  <c r="B219" i="25" s="1"/>
  <c r="S215" i="25"/>
  <c r="R215" i="25" s="1"/>
  <c r="P215" i="25" s="1"/>
  <c r="V215" i="25" s="1"/>
  <c r="B215" i="25" s="1"/>
  <c r="S211" i="25"/>
  <c r="R211" i="25" s="1"/>
  <c r="P211" i="25" s="1"/>
  <c r="V211" i="25" s="1"/>
  <c r="B211" i="25" s="1"/>
  <c r="S207" i="25"/>
  <c r="R207" i="25" s="1"/>
  <c r="P207" i="25" s="1"/>
  <c r="V207" i="25" s="1"/>
  <c r="B207" i="25" s="1"/>
  <c r="S203" i="25"/>
  <c r="R203" i="25" s="1"/>
  <c r="P203" i="25" s="1"/>
  <c r="V203" i="25" s="1"/>
  <c r="B203" i="25" s="1"/>
  <c r="S199" i="25"/>
  <c r="R199" i="25" s="1"/>
  <c r="P199" i="25" s="1"/>
  <c r="V199" i="25" s="1"/>
  <c r="B199" i="25" s="1"/>
  <c r="S195" i="25"/>
  <c r="R195" i="25" s="1"/>
  <c r="P195" i="25" s="1"/>
  <c r="V195" i="25" s="1"/>
  <c r="B195" i="25" s="1"/>
  <c r="S191" i="25"/>
  <c r="R191" i="25" s="1"/>
  <c r="P191" i="25" s="1"/>
  <c r="V191" i="25" s="1"/>
  <c r="B191" i="25" s="1"/>
  <c r="S187" i="25"/>
  <c r="R187" i="25" s="1"/>
  <c r="P187" i="25" s="1"/>
  <c r="V187" i="25" s="1"/>
  <c r="B187" i="25" s="1"/>
  <c r="S183" i="25"/>
  <c r="R183" i="25" s="1"/>
  <c r="P183" i="25" s="1"/>
  <c r="V183" i="25" s="1"/>
  <c r="B183" i="25" s="1"/>
  <c r="S179" i="25"/>
  <c r="R179" i="25" s="1"/>
  <c r="P179" i="25" s="1"/>
  <c r="V179" i="25" s="1"/>
  <c r="B179" i="25" s="1"/>
  <c r="S175" i="25"/>
  <c r="R175" i="25" s="1"/>
  <c r="P175" i="25" s="1"/>
  <c r="V175" i="25" s="1"/>
  <c r="B175" i="25" s="1"/>
  <c r="S171" i="25"/>
  <c r="R171" i="25" s="1"/>
  <c r="P171" i="25" s="1"/>
  <c r="V171" i="25" s="1"/>
  <c r="B171" i="25" s="1"/>
  <c r="S167" i="25"/>
  <c r="R167" i="25" s="1"/>
  <c r="P167" i="25" s="1"/>
  <c r="V167" i="25" s="1"/>
  <c r="B167" i="25" s="1"/>
  <c r="S163" i="25"/>
  <c r="R163" i="25" s="1"/>
  <c r="P163" i="25" s="1"/>
  <c r="V163" i="25" s="1"/>
  <c r="B163" i="25" s="1"/>
  <c r="S159" i="25"/>
  <c r="R159" i="25" s="1"/>
  <c r="P159" i="25" s="1"/>
  <c r="V159" i="25" s="1"/>
  <c r="B159" i="25" s="1"/>
  <c r="S155" i="25"/>
  <c r="R155" i="25" s="1"/>
  <c r="P155" i="25" s="1"/>
  <c r="V155" i="25" s="1"/>
  <c r="B155" i="25" s="1"/>
  <c r="S151" i="25"/>
  <c r="R151" i="25" s="1"/>
  <c r="P151" i="25" s="1"/>
  <c r="V151" i="25" s="1"/>
  <c r="B151" i="25" s="1"/>
  <c r="S147" i="25"/>
  <c r="R147" i="25" s="1"/>
  <c r="P147" i="25" s="1"/>
  <c r="V147" i="25" s="1"/>
  <c r="B147" i="25" s="1"/>
  <c r="S143" i="25"/>
  <c r="R143" i="25" s="1"/>
  <c r="P143" i="25" s="1"/>
  <c r="V143" i="25" s="1"/>
  <c r="B143" i="25" s="1"/>
  <c r="S139" i="25"/>
  <c r="R139" i="25" s="1"/>
  <c r="P139" i="25" s="1"/>
  <c r="V139" i="25" s="1"/>
  <c r="B139" i="25" s="1"/>
  <c r="S135" i="25"/>
  <c r="R135" i="25" s="1"/>
  <c r="P135" i="25" s="1"/>
  <c r="V135" i="25" s="1"/>
  <c r="B135" i="25" s="1"/>
  <c r="S131" i="25"/>
  <c r="R131" i="25" s="1"/>
  <c r="P131" i="25" s="1"/>
  <c r="V131" i="25" s="1"/>
  <c r="B131" i="25" s="1"/>
  <c r="S127" i="25"/>
  <c r="R127" i="25" s="1"/>
  <c r="P127" i="25" s="1"/>
  <c r="V127" i="25" s="1"/>
  <c r="B127" i="25" s="1"/>
  <c r="S123" i="25"/>
  <c r="R123" i="25" s="1"/>
  <c r="P123" i="25" s="1"/>
  <c r="V123" i="25" s="1"/>
  <c r="B123" i="25" s="1"/>
  <c r="S119" i="25"/>
  <c r="R119" i="25" s="1"/>
  <c r="P119" i="25" s="1"/>
  <c r="S115" i="25"/>
  <c r="R115" i="25" s="1"/>
  <c r="P115" i="25" s="1"/>
  <c r="V115" i="25" s="1"/>
  <c r="B115" i="25" s="1"/>
  <c r="S111" i="25"/>
  <c r="R111" i="25" s="1"/>
  <c r="P111" i="25" s="1"/>
  <c r="V111" i="25" s="1"/>
  <c r="B111" i="25" s="1"/>
  <c r="S107" i="25"/>
  <c r="R107" i="25" s="1"/>
  <c r="P107" i="25" s="1"/>
  <c r="V107" i="25" s="1"/>
  <c r="B107" i="25" s="1"/>
  <c r="S103" i="25"/>
  <c r="R103" i="25" s="1"/>
  <c r="P103" i="25" s="1"/>
  <c r="V103" i="25" s="1"/>
  <c r="B103" i="25" s="1"/>
  <c r="S99" i="25"/>
  <c r="R99" i="25" s="1"/>
  <c r="P99" i="25" s="1"/>
  <c r="V99" i="25" s="1"/>
  <c r="B99" i="25" s="1"/>
  <c r="S95" i="25"/>
  <c r="R95" i="25" s="1"/>
  <c r="P95" i="25" s="1"/>
  <c r="V95" i="25" s="1"/>
  <c r="B95" i="25" s="1"/>
  <c r="S91" i="25"/>
  <c r="R91" i="25" s="1"/>
  <c r="P91" i="25" s="1"/>
  <c r="V91" i="25" s="1"/>
  <c r="B91" i="25" s="1"/>
  <c r="S87" i="25"/>
  <c r="R87" i="25" s="1"/>
  <c r="P87" i="25" s="1"/>
  <c r="V87" i="25" s="1"/>
  <c r="B87" i="25" s="1"/>
  <c r="S83" i="25"/>
  <c r="R83" i="25" s="1"/>
  <c r="P83" i="25" s="1"/>
  <c r="V83" i="25" s="1"/>
  <c r="B83" i="25" s="1"/>
  <c r="S79" i="25"/>
  <c r="R79" i="25" s="1"/>
  <c r="P79" i="25" s="1"/>
  <c r="V79" i="25" s="1"/>
  <c r="B79" i="25" s="1"/>
  <c r="S75" i="25"/>
  <c r="R75" i="25" s="1"/>
  <c r="P75" i="25" s="1"/>
  <c r="V75" i="25" s="1"/>
  <c r="B75" i="25" s="1"/>
  <c r="S71" i="25"/>
  <c r="R71" i="25" s="1"/>
  <c r="P71" i="25" s="1"/>
  <c r="V71" i="25" s="1"/>
  <c r="B71" i="25" s="1"/>
  <c r="S67" i="25"/>
  <c r="R67" i="25" s="1"/>
  <c r="P67" i="25" s="1"/>
  <c r="V67" i="25" s="1"/>
  <c r="B67" i="25" s="1"/>
  <c r="S63" i="25"/>
  <c r="R63" i="25" s="1"/>
  <c r="P63" i="25" s="1"/>
  <c r="V63" i="25" s="1"/>
  <c r="B63" i="25" s="1"/>
  <c r="S59" i="25"/>
  <c r="R59" i="25" s="1"/>
  <c r="P59" i="25" s="1"/>
  <c r="V59" i="25" s="1"/>
  <c r="B59" i="25" s="1"/>
  <c r="S55" i="25"/>
  <c r="R55" i="25" s="1"/>
  <c r="P55" i="25" s="1"/>
  <c r="V55" i="25" s="1"/>
  <c r="B55" i="25" s="1"/>
  <c r="S51" i="25"/>
  <c r="R51" i="25" s="1"/>
  <c r="P51" i="25" s="1"/>
  <c r="V51" i="25" s="1"/>
  <c r="B51" i="25" s="1"/>
  <c r="S47" i="25"/>
  <c r="R47" i="25" s="1"/>
  <c r="P47" i="25" s="1"/>
  <c r="V47" i="25" s="1"/>
  <c r="B47" i="25" s="1"/>
  <c r="S43" i="25"/>
  <c r="R43" i="25" s="1"/>
  <c r="P43" i="25" s="1"/>
  <c r="V43" i="25" s="1"/>
  <c r="B43" i="25" s="1"/>
  <c r="S39" i="25"/>
  <c r="R39" i="25" s="1"/>
  <c r="P39" i="25" s="1"/>
  <c r="V39" i="25" s="1"/>
  <c r="B39" i="25" s="1"/>
  <c r="S35" i="25"/>
  <c r="R35" i="25" s="1"/>
  <c r="P35" i="25" s="1"/>
  <c r="V35" i="25" s="1"/>
  <c r="B35" i="25" s="1"/>
  <c r="S31" i="25"/>
  <c r="R31" i="25" s="1"/>
  <c r="P31" i="25" s="1"/>
  <c r="V31" i="25" s="1"/>
  <c r="B31" i="25" s="1"/>
  <c r="S27" i="25"/>
  <c r="R27" i="25" s="1"/>
  <c r="P27" i="25" s="1"/>
  <c r="V27" i="25" s="1"/>
  <c r="B27" i="25" s="1"/>
  <c r="S23" i="25"/>
  <c r="R23" i="25" s="1"/>
  <c r="P23" i="25" s="1"/>
  <c r="V23" i="25" s="1"/>
  <c r="B23" i="25" s="1"/>
  <c r="S17" i="25"/>
  <c r="R17" i="25" s="1"/>
  <c r="P17" i="25" s="1"/>
  <c r="V17" i="25" s="1"/>
  <c r="B17" i="25" s="1"/>
  <c r="S18" i="25"/>
  <c r="R18" i="25" s="1"/>
  <c r="P18" i="25" s="1"/>
  <c r="V18" i="25" s="1"/>
  <c r="B18" i="25" s="1"/>
  <c r="I267" i="24"/>
  <c r="J267" i="24"/>
  <c r="P382" i="24"/>
  <c r="P383" i="24"/>
  <c r="P381" i="24"/>
  <c r="V15" i="24"/>
  <c r="I55" i="24"/>
  <c r="J55" i="24"/>
  <c r="I39" i="24"/>
  <c r="J39" i="24"/>
  <c r="J143" i="24"/>
  <c r="I143" i="24"/>
  <c r="I347" i="24"/>
  <c r="J347" i="24"/>
  <c r="S377" i="25"/>
  <c r="R377" i="25" s="1"/>
  <c r="P377" i="25" s="1"/>
  <c r="V377" i="25" s="1"/>
  <c r="B377" i="25" s="1"/>
  <c r="S369" i="25"/>
  <c r="R369" i="25" s="1"/>
  <c r="P369" i="25" s="1"/>
  <c r="V369" i="25" s="1"/>
  <c r="B369" i="25" s="1"/>
  <c r="S361" i="25"/>
  <c r="R361" i="25" s="1"/>
  <c r="P361" i="25" s="1"/>
  <c r="V361" i="25" s="1"/>
  <c r="B361" i="25" s="1"/>
  <c r="S353" i="25"/>
  <c r="R353" i="25" s="1"/>
  <c r="P353" i="25" s="1"/>
  <c r="V353" i="25" s="1"/>
  <c r="B353" i="25" s="1"/>
  <c r="S345" i="25"/>
  <c r="R345" i="25" s="1"/>
  <c r="P345" i="25" s="1"/>
  <c r="V345" i="25" s="1"/>
  <c r="B345" i="25" s="1"/>
  <c r="S337" i="25"/>
  <c r="R337" i="25" s="1"/>
  <c r="P337" i="25" s="1"/>
  <c r="V337" i="25" s="1"/>
  <c r="B337" i="25" s="1"/>
  <c r="S333" i="25"/>
  <c r="R333" i="25" s="1"/>
  <c r="P333" i="25" s="1"/>
  <c r="S325" i="25"/>
  <c r="R325" i="25" s="1"/>
  <c r="P325" i="25" s="1"/>
  <c r="V325" i="25" s="1"/>
  <c r="B325" i="25" s="1"/>
  <c r="S317" i="25"/>
  <c r="R317" i="25" s="1"/>
  <c r="P317" i="25" s="1"/>
  <c r="V317" i="25" s="1"/>
  <c r="B317" i="25" s="1"/>
  <c r="S309" i="25"/>
  <c r="R309" i="25" s="1"/>
  <c r="P309" i="25" s="1"/>
  <c r="V309" i="25" s="1"/>
  <c r="B309" i="25" s="1"/>
  <c r="S301" i="25"/>
  <c r="R301" i="25" s="1"/>
  <c r="P301" i="25" s="1"/>
  <c r="V301" i="25" s="1"/>
  <c r="B301" i="25" s="1"/>
  <c r="S293" i="25"/>
  <c r="R293" i="25" s="1"/>
  <c r="P293" i="25" s="1"/>
  <c r="V293" i="25" s="1"/>
  <c r="B293" i="25" s="1"/>
  <c r="S285" i="25"/>
  <c r="R285" i="25" s="1"/>
  <c r="P285" i="25" s="1"/>
  <c r="V285" i="25" s="1"/>
  <c r="B285" i="25" s="1"/>
  <c r="S277" i="25"/>
  <c r="R277" i="25" s="1"/>
  <c r="P277" i="25" s="1"/>
  <c r="V277" i="25" s="1"/>
  <c r="B277" i="25" s="1"/>
  <c r="S269" i="25"/>
  <c r="R269" i="25" s="1"/>
  <c r="P269" i="25" s="1"/>
  <c r="V269" i="25" s="1"/>
  <c r="B269" i="25" s="1"/>
  <c r="S261" i="25"/>
  <c r="R261" i="25" s="1"/>
  <c r="P261" i="25" s="1"/>
  <c r="V261" i="25" s="1"/>
  <c r="B261" i="25" s="1"/>
  <c r="S249" i="25"/>
  <c r="R249" i="25" s="1"/>
  <c r="P249" i="25" s="1"/>
  <c r="V249" i="25" s="1"/>
  <c r="B249" i="25" s="1"/>
  <c r="S241" i="25"/>
  <c r="R241" i="25" s="1"/>
  <c r="P241" i="25" s="1"/>
  <c r="S233" i="25"/>
  <c r="R233" i="25" s="1"/>
  <c r="P233" i="25" s="1"/>
  <c r="V233" i="25" s="1"/>
  <c r="B233" i="25" s="1"/>
  <c r="S225" i="25"/>
  <c r="R225" i="25" s="1"/>
  <c r="P225" i="25" s="1"/>
  <c r="V225" i="25" s="1"/>
  <c r="B225" i="25" s="1"/>
  <c r="S217" i="25"/>
  <c r="R217" i="25" s="1"/>
  <c r="P217" i="25" s="1"/>
  <c r="V217" i="25" s="1"/>
  <c r="B217" i="25" s="1"/>
  <c r="S209" i="25"/>
  <c r="R209" i="25" s="1"/>
  <c r="P209" i="25" s="1"/>
  <c r="V209" i="25" s="1"/>
  <c r="B209" i="25" s="1"/>
  <c r="S205" i="25"/>
  <c r="R205" i="25" s="1"/>
  <c r="P205" i="25" s="1"/>
  <c r="V205" i="25" s="1"/>
  <c r="B205" i="25" s="1"/>
  <c r="S197" i="25"/>
  <c r="R197" i="25" s="1"/>
  <c r="P197" i="25" s="1"/>
  <c r="V197" i="25" s="1"/>
  <c r="B197" i="25" s="1"/>
  <c r="S185" i="25"/>
  <c r="R185" i="25" s="1"/>
  <c r="P185" i="25" s="1"/>
  <c r="V185" i="25" s="1"/>
  <c r="B185" i="25" s="1"/>
  <c r="S177" i="25"/>
  <c r="R177" i="25" s="1"/>
  <c r="P177" i="25" s="1"/>
  <c r="V177" i="25" s="1"/>
  <c r="B177" i="25" s="1"/>
  <c r="S169" i="25"/>
  <c r="R169" i="25" s="1"/>
  <c r="P169" i="25" s="1"/>
  <c r="V169" i="25" s="1"/>
  <c r="B169" i="25" s="1"/>
  <c r="S161" i="25"/>
  <c r="R161" i="25" s="1"/>
  <c r="P161" i="25" s="1"/>
  <c r="V161" i="25" s="1"/>
  <c r="B161" i="25" s="1"/>
  <c r="S157" i="25"/>
  <c r="R157" i="25" s="1"/>
  <c r="P157" i="25" s="1"/>
  <c r="V157" i="25" s="1"/>
  <c r="B157" i="25" s="1"/>
  <c r="S149" i="25"/>
  <c r="R149" i="25" s="1"/>
  <c r="P149" i="25" s="1"/>
  <c r="S141" i="25"/>
  <c r="R141" i="25" s="1"/>
  <c r="P141" i="25" s="1"/>
  <c r="V141" i="25" s="1"/>
  <c r="B141" i="25" s="1"/>
  <c r="S133" i="25"/>
  <c r="R133" i="25" s="1"/>
  <c r="P133" i="25" s="1"/>
  <c r="V133" i="25" s="1"/>
  <c r="B133" i="25" s="1"/>
  <c r="S125" i="25"/>
  <c r="R125" i="25" s="1"/>
  <c r="P125" i="25" s="1"/>
  <c r="V125" i="25" s="1"/>
  <c r="B125" i="25" s="1"/>
  <c r="S117" i="25"/>
  <c r="R117" i="25" s="1"/>
  <c r="P117" i="25" s="1"/>
  <c r="V117" i="25" s="1"/>
  <c r="B117" i="25" s="1"/>
  <c r="S109" i="25"/>
  <c r="R109" i="25" s="1"/>
  <c r="P109" i="25" s="1"/>
  <c r="V109" i="25" s="1"/>
  <c r="B109" i="25" s="1"/>
  <c r="S101" i="25"/>
  <c r="R101" i="25" s="1"/>
  <c r="P101" i="25" s="1"/>
  <c r="V101" i="25" s="1"/>
  <c r="B101" i="25" s="1"/>
  <c r="S93" i="25"/>
  <c r="R93" i="25" s="1"/>
  <c r="P93" i="25" s="1"/>
  <c r="V93" i="25" s="1"/>
  <c r="B93" i="25" s="1"/>
  <c r="S85" i="25"/>
  <c r="R85" i="25" s="1"/>
  <c r="P85" i="25" s="1"/>
  <c r="V85" i="25" s="1"/>
  <c r="B85" i="25" s="1"/>
  <c r="S77" i="25"/>
  <c r="R77" i="25" s="1"/>
  <c r="P77" i="25" s="1"/>
  <c r="V77" i="25" s="1"/>
  <c r="B77" i="25" s="1"/>
  <c r="S69" i="25"/>
  <c r="R69" i="25" s="1"/>
  <c r="P69" i="25" s="1"/>
  <c r="V69" i="25" s="1"/>
  <c r="B69" i="25" s="1"/>
  <c r="S61" i="25"/>
  <c r="R61" i="25" s="1"/>
  <c r="P61" i="25" s="1"/>
  <c r="V61" i="25" s="1"/>
  <c r="B61" i="25" s="1"/>
  <c r="S53" i="25"/>
  <c r="R53" i="25" s="1"/>
  <c r="P53" i="25" s="1"/>
  <c r="V53" i="25" s="1"/>
  <c r="B53" i="25" s="1"/>
  <c r="S45" i="25"/>
  <c r="R45" i="25" s="1"/>
  <c r="P45" i="25" s="1"/>
  <c r="V45" i="25" s="1"/>
  <c r="B45" i="25" s="1"/>
  <c r="S37" i="25"/>
  <c r="R37" i="25" s="1"/>
  <c r="P37" i="25" s="1"/>
  <c r="V37" i="25" s="1"/>
  <c r="B37" i="25" s="1"/>
  <c r="S29" i="25"/>
  <c r="R29" i="25" s="1"/>
  <c r="P29" i="25" s="1"/>
  <c r="S21" i="25"/>
  <c r="R21" i="25" s="1"/>
  <c r="P21" i="25" s="1"/>
  <c r="V21" i="25" s="1"/>
  <c r="B21" i="25" s="1"/>
  <c r="AA29" i="24"/>
  <c r="Z29" i="24" s="1"/>
  <c r="Y29" i="24" s="1"/>
  <c r="G29" i="24"/>
  <c r="CE29" i="6" s="1"/>
  <c r="W149" i="24"/>
  <c r="D149" i="24"/>
  <c r="E149" i="24" s="1"/>
  <c r="F149" i="24" s="1"/>
  <c r="I181" i="24"/>
  <c r="J181" i="24"/>
  <c r="J205" i="24"/>
  <c r="I205" i="24"/>
  <c r="J253" i="24"/>
  <c r="I253" i="24"/>
  <c r="J293" i="24"/>
  <c r="I293" i="24"/>
  <c r="G333" i="24"/>
  <c r="CE333" i="6" s="1"/>
  <c r="AA333" i="24"/>
  <c r="Z333" i="24" s="1"/>
  <c r="Y333" i="24" s="1"/>
  <c r="I166" i="24"/>
  <c r="J166" i="24"/>
  <c r="I222" i="24"/>
  <c r="J222" i="24"/>
  <c r="I342" i="24"/>
  <c r="J342" i="24"/>
  <c r="J350" i="24"/>
  <c r="I350" i="24"/>
  <c r="I48" i="24"/>
  <c r="J48" i="24"/>
  <c r="J168" i="24"/>
  <c r="I168" i="24"/>
  <c r="J200" i="24"/>
  <c r="I200" i="24"/>
  <c r="J240" i="24"/>
  <c r="I240" i="24"/>
  <c r="I256" i="24"/>
  <c r="J256" i="24"/>
  <c r="I25" i="24"/>
  <c r="J25" i="24"/>
  <c r="I65" i="24"/>
  <c r="J65" i="24"/>
  <c r="J161" i="24"/>
  <c r="I161" i="24"/>
  <c r="I313" i="24"/>
  <c r="J313" i="24"/>
  <c r="I146" i="24"/>
  <c r="J146" i="24"/>
  <c r="J226" i="24"/>
  <c r="I226" i="24"/>
  <c r="J282" i="24"/>
  <c r="I282" i="24"/>
  <c r="I354" i="24"/>
  <c r="J354" i="24"/>
  <c r="J324" i="24"/>
  <c r="I324" i="24"/>
  <c r="I340" i="24"/>
  <c r="J340" i="24"/>
  <c r="J356" i="24"/>
  <c r="I356" i="24"/>
  <c r="AD381" i="24"/>
  <c r="AD383" i="24"/>
  <c r="AD382" i="24"/>
  <c r="F381" i="22"/>
  <c r="F9" i="22"/>
  <c r="AA15" i="22"/>
  <c r="AL9" i="22" s="1"/>
  <c r="G15" i="22"/>
  <c r="CC15" i="6" s="1"/>
  <c r="F383" i="22"/>
  <c r="AM10" i="22"/>
  <c r="AK10" i="22"/>
  <c r="AK12" i="22" s="1"/>
  <c r="AK13" i="22" s="1"/>
  <c r="F382" i="22"/>
  <c r="H15" i="22"/>
  <c r="I107" i="24"/>
  <c r="J107" i="24"/>
  <c r="S15" i="25"/>
  <c r="T381" i="25"/>
  <c r="T383" i="25"/>
  <c r="T382" i="25"/>
  <c r="AG376" i="25"/>
  <c r="AF376" i="25" s="1"/>
  <c r="AD376" i="25" s="1"/>
  <c r="AG368" i="25"/>
  <c r="AF368" i="25" s="1"/>
  <c r="AD368" i="25" s="1"/>
  <c r="AG360" i="25"/>
  <c r="AF360" i="25" s="1"/>
  <c r="AD360" i="25" s="1"/>
  <c r="AG352" i="25"/>
  <c r="AF352" i="25" s="1"/>
  <c r="AD352" i="25" s="1"/>
  <c r="AG344" i="25"/>
  <c r="AF344" i="25" s="1"/>
  <c r="AD344" i="25" s="1"/>
  <c r="AG336" i="25"/>
  <c r="AF336" i="25" s="1"/>
  <c r="AD336" i="25" s="1"/>
  <c r="AG328" i="25"/>
  <c r="AF328" i="25" s="1"/>
  <c r="AD328" i="25" s="1"/>
  <c r="AG320" i="25"/>
  <c r="AF320" i="25" s="1"/>
  <c r="AD320" i="25" s="1"/>
  <c r="AG312" i="25"/>
  <c r="AF312" i="25" s="1"/>
  <c r="AD312" i="25" s="1"/>
  <c r="AG302" i="25"/>
  <c r="AF302" i="25" s="1"/>
  <c r="AD302" i="25" s="1"/>
  <c r="AG294" i="25"/>
  <c r="AF294" i="25" s="1"/>
  <c r="AD294" i="25" s="1"/>
  <c r="AG286" i="25"/>
  <c r="AF286" i="25" s="1"/>
  <c r="AD286" i="25" s="1"/>
  <c r="AG278" i="25"/>
  <c r="AF278" i="25" s="1"/>
  <c r="AD278" i="25" s="1"/>
  <c r="AG270" i="25"/>
  <c r="AF270" i="25" s="1"/>
  <c r="AD270" i="25" s="1"/>
  <c r="AG262" i="25"/>
  <c r="AF262" i="25" s="1"/>
  <c r="AD262" i="25" s="1"/>
  <c r="AG254" i="25"/>
  <c r="AF254" i="25" s="1"/>
  <c r="AD254" i="25" s="1"/>
  <c r="AG246" i="25"/>
  <c r="AF246" i="25" s="1"/>
  <c r="AD246" i="25" s="1"/>
  <c r="AG238" i="25"/>
  <c r="AF238" i="25" s="1"/>
  <c r="AD238" i="25" s="1"/>
  <c r="AG230" i="25"/>
  <c r="AF230" i="25" s="1"/>
  <c r="AD230" i="25" s="1"/>
  <c r="AG222" i="25"/>
  <c r="AF222" i="25" s="1"/>
  <c r="AD222" i="25" s="1"/>
  <c r="AG214" i="25"/>
  <c r="AF214" i="25" s="1"/>
  <c r="AD214" i="25" s="1"/>
  <c r="AG206" i="25"/>
  <c r="AF206" i="25" s="1"/>
  <c r="AD206" i="25" s="1"/>
  <c r="AG198" i="25"/>
  <c r="AF198" i="25" s="1"/>
  <c r="AD198" i="25" s="1"/>
  <c r="AG190" i="25"/>
  <c r="AF190" i="25" s="1"/>
  <c r="AD190" i="25" s="1"/>
  <c r="AG182" i="25"/>
  <c r="AF182" i="25" s="1"/>
  <c r="AD182" i="25" s="1"/>
  <c r="AG174" i="25"/>
  <c r="AF174" i="25" s="1"/>
  <c r="AD174" i="25" s="1"/>
  <c r="AG168" i="25"/>
  <c r="AF168" i="25" s="1"/>
  <c r="AD168" i="25" s="1"/>
  <c r="AG160" i="25"/>
  <c r="AF160" i="25" s="1"/>
  <c r="AD160" i="25" s="1"/>
  <c r="AG150" i="25"/>
  <c r="AF150" i="25" s="1"/>
  <c r="AD150" i="25" s="1"/>
  <c r="AG142" i="25"/>
  <c r="AF142" i="25" s="1"/>
  <c r="AD142" i="25" s="1"/>
  <c r="AG136" i="25"/>
  <c r="AF136" i="25" s="1"/>
  <c r="AD136" i="25" s="1"/>
  <c r="AG126" i="25"/>
  <c r="AF126" i="25" s="1"/>
  <c r="AD126" i="25" s="1"/>
  <c r="AG118" i="25"/>
  <c r="AF118" i="25" s="1"/>
  <c r="AD118" i="25" s="1"/>
  <c r="AG110" i="25"/>
  <c r="AF110" i="25" s="1"/>
  <c r="AD110" i="25" s="1"/>
  <c r="AG102" i="25"/>
  <c r="AF102" i="25" s="1"/>
  <c r="AD102" i="25" s="1"/>
  <c r="AG96" i="25"/>
  <c r="AF96" i="25" s="1"/>
  <c r="AD96" i="25" s="1"/>
  <c r="AG86" i="25"/>
  <c r="AF86" i="25" s="1"/>
  <c r="AD86" i="25" s="1"/>
  <c r="AG80" i="25"/>
  <c r="AF80" i="25" s="1"/>
  <c r="AD80" i="25" s="1"/>
  <c r="AG72" i="25"/>
  <c r="AF72" i="25" s="1"/>
  <c r="AD72" i="25" s="1"/>
  <c r="AG62" i="25"/>
  <c r="AF62" i="25" s="1"/>
  <c r="AD62" i="25" s="1"/>
  <c r="AG56" i="25"/>
  <c r="AF56" i="25" s="1"/>
  <c r="AD56" i="25" s="1"/>
  <c r="AG48" i="25"/>
  <c r="AF48" i="25" s="1"/>
  <c r="AD48" i="25" s="1"/>
  <c r="AG40" i="25"/>
  <c r="AF40" i="25" s="1"/>
  <c r="AD40" i="25" s="1"/>
  <c r="AG32" i="25"/>
  <c r="AF32" i="25" s="1"/>
  <c r="AD32" i="25" s="1"/>
  <c r="AG22" i="25"/>
  <c r="AF22" i="25" s="1"/>
  <c r="AD22" i="25" s="1"/>
  <c r="AJ4" i="18"/>
  <c r="P15" i="19" s="1"/>
  <c r="AL13" i="18"/>
  <c r="I27" i="24"/>
  <c r="J27" i="24"/>
  <c r="I71" i="24"/>
  <c r="J71" i="24"/>
  <c r="I127" i="24"/>
  <c r="J127" i="24"/>
  <c r="J287" i="24"/>
  <c r="I287" i="24"/>
  <c r="I307" i="24"/>
  <c r="J307" i="24"/>
  <c r="I323" i="24"/>
  <c r="J323" i="24"/>
  <c r="J61" i="24"/>
  <c r="I61" i="24"/>
  <c r="J141" i="24"/>
  <c r="I141" i="24"/>
  <c r="I261" i="24"/>
  <c r="J261" i="24"/>
  <c r="J70" i="24"/>
  <c r="I70" i="24"/>
  <c r="I158" i="24"/>
  <c r="J158" i="24"/>
  <c r="J278" i="24"/>
  <c r="I278" i="24"/>
  <c r="I320" i="24"/>
  <c r="J320" i="24"/>
  <c r="J105" i="24"/>
  <c r="I105" i="24"/>
  <c r="I145" i="24"/>
  <c r="J145" i="24"/>
  <c r="I289" i="24"/>
  <c r="J289" i="24"/>
  <c r="J321" i="24"/>
  <c r="I321" i="24"/>
  <c r="J26" i="24"/>
  <c r="I26" i="24"/>
  <c r="I170" i="24"/>
  <c r="J170" i="24"/>
  <c r="J156" i="24"/>
  <c r="I156" i="24"/>
  <c r="I228" i="24"/>
  <c r="J228" i="24"/>
  <c r="J332" i="24"/>
  <c r="I332" i="24"/>
  <c r="J247" i="24"/>
  <c r="I247" i="24"/>
  <c r="H210" i="24"/>
  <c r="AL6" i="20"/>
  <c r="AL12" i="20" s="1"/>
  <c r="Y381" i="20"/>
  <c r="Y383" i="20"/>
  <c r="X9" i="20"/>
  <c r="Y382" i="20"/>
  <c r="AM6" i="20"/>
  <c r="AM12" i="20" s="1"/>
  <c r="I239" i="24"/>
  <c r="J239" i="24"/>
  <c r="I259" i="24"/>
  <c r="J259" i="24"/>
  <c r="I355" i="24"/>
  <c r="J355" i="24"/>
  <c r="S376" i="25"/>
  <c r="R376" i="25" s="1"/>
  <c r="P376" i="25" s="1"/>
  <c r="V376" i="25" s="1"/>
  <c r="B376" i="25" s="1"/>
  <c r="S372" i="25"/>
  <c r="R372" i="25" s="1"/>
  <c r="P372" i="25" s="1"/>
  <c r="V372" i="25" s="1"/>
  <c r="B372" i="25" s="1"/>
  <c r="S368" i="25"/>
  <c r="R368" i="25" s="1"/>
  <c r="P368" i="25" s="1"/>
  <c r="V368" i="25" s="1"/>
  <c r="B368" i="25" s="1"/>
  <c r="S364" i="25"/>
  <c r="R364" i="25" s="1"/>
  <c r="P364" i="25" s="1"/>
  <c r="V364" i="25" s="1"/>
  <c r="B364" i="25" s="1"/>
  <c r="S360" i="25"/>
  <c r="R360" i="25" s="1"/>
  <c r="P360" i="25" s="1"/>
  <c r="V360" i="25" s="1"/>
  <c r="B360" i="25" s="1"/>
  <c r="S356" i="25"/>
  <c r="R356" i="25" s="1"/>
  <c r="P356" i="25" s="1"/>
  <c r="V356" i="25" s="1"/>
  <c r="B356" i="25" s="1"/>
  <c r="S352" i="25"/>
  <c r="R352" i="25" s="1"/>
  <c r="P352" i="25" s="1"/>
  <c r="V352" i="25" s="1"/>
  <c r="B352" i="25" s="1"/>
  <c r="S348" i="25"/>
  <c r="R348" i="25" s="1"/>
  <c r="P348" i="25" s="1"/>
  <c r="V348" i="25" s="1"/>
  <c r="B348" i="25" s="1"/>
  <c r="S344" i="25"/>
  <c r="R344" i="25" s="1"/>
  <c r="P344" i="25" s="1"/>
  <c r="V344" i="25" s="1"/>
  <c r="B344" i="25" s="1"/>
  <c r="S340" i="25"/>
  <c r="R340" i="25" s="1"/>
  <c r="P340" i="25" s="1"/>
  <c r="V340" i="25" s="1"/>
  <c r="B340" i="25" s="1"/>
  <c r="S336" i="25"/>
  <c r="R336" i="25" s="1"/>
  <c r="P336" i="25" s="1"/>
  <c r="V336" i="25" s="1"/>
  <c r="B336" i="25" s="1"/>
  <c r="S332" i="25"/>
  <c r="R332" i="25" s="1"/>
  <c r="P332" i="25" s="1"/>
  <c r="V332" i="25" s="1"/>
  <c r="B332" i="25" s="1"/>
  <c r="S328" i="25"/>
  <c r="R328" i="25" s="1"/>
  <c r="P328" i="25" s="1"/>
  <c r="V328" i="25" s="1"/>
  <c r="B328" i="25" s="1"/>
  <c r="S324" i="25"/>
  <c r="R324" i="25" s="1"/>
  <c r="P324" i="25" s="1"/>
  <c r="V324" i="25" s="1"/>
  <c r="B324" i="25" s="1"/>
  <c r="S320" i="25"/>
  <c r="R320" i="25" s="1"/>
  <c r="P320" i="25" s="1"/>
  <c r="V320" i="25" s="1"/>
  <c r="B320" i="25" s="1"/>
  <c r="S316" i="25"/>
  <c r="R316" i="25" s="1"/>
  <c r="P316" i="25" s="1"/>
  <c r="V316" i="25" s="1"/>
  <c r="B316" i="25" s="1"/>
  <c r="S312" i="25"/>
  <c r="R312" i="25" s="1"/>
  <c r="P312" i="25" s="1"/>
  <c r="V312" i="25" s="1"/>
  <c r="B312" i="25" s="1"/>
  <c r="S308" i="25"/>
  <c r="R308" i="25" s="1"/>
  <c r="P308" i="25" s="1"/>
  <c r="V308" i="25" s="1"/>
  <c r="B308" i="25" s="1"/>
  <c r="S304" i="25"/>
  <c r="R304" i="25" s="1"/>
  <c r="P304" i="25" s="1"/>
  <c r="V304" i="25" s="1"/>
  <c r="B304" i="25" s="1"/>
  <c r="S300" i="25"/>
  <c r="R300" i="25" s="1"/>
  <c r="P300" i="25" s="1"/>
  <c r="V300" i="25" s="1"/>
  <c r="B300" i="25" s="1"/>
  <c r="S296" i="25"/>
  <c r="R296" i="25" s="1"/>
  <c r="P296" i="25" s="1"/>
  <c r="V296" i="25" s="1"/>
  <c r="B296" i="25" s="1"/>
  <c r="S292" i="25"/>
  <c r="R292" i="25" s="1"/>
  <c r="P292" i="25" s="1"/>
  <c r="V292" i="25" s="1"/>
  <c r="B292" i="25" s="1"/>
  <c r="S288" i="25"/>
  <c r="R288" i="25" s="1"/>
  <c r="P288" i="25" s="1"/>
  <c r="V288" i="25" s="1"/>
  <c r="B288" i="25" s="1"/>
  <c r="S284" i="25"/>
  <c r="R284" i="25" s="1"/>
  <c r="P284" i="25" s="1"/>
  <c r="V284" i="25" s="1"/>
  <c r="B284" i="25" s="1"/>
  <c r="S280" i="25"/>
  <c r="R280" i="25" s="1"/>
  <c r="P280" i="25" s="1"/>
  <c r="V280" i="25" s="1"/>
  <c r="B280" i="25" s="1"/>
  <c r="S276" i="25"/>
  <c r="R276" i="25" s="1"/>
  <c r="P276" i="25" s="1"/>
  <c r="V276" i="25" s="1"/>
  <c r="B276" i="25" s="1"/>
  <c r="S272" i="25"/>
  <c r="R272" i="25" s="1"/>
  <c r="P272" i="25" s="1"/>
  <c r="S268" i="25"/>
  <c r="R268" i="25" s="1"/>
  <c r="P268" i="25" s="1"/>
  <c r="V268" i="25" s="1"/>
  <c r="B268" i="25" s="1"/>
  <c r="S264" i="25"/>
  <c r="R264" i="25" s="1"/>
  <c r="P264" i="25" s="1"/>
  <c r="V264" i="25" s="1"/>
  <c r="B264" i="25" s="1"/>
  <c r="S260" i="25"/>
  <c r="R260" i="25" s="1"/>
  <c r="P260" i="25" s="1"/>
  <c r="V260" i="25" s="1"/>
  <c r="B260" i="25" s="1"/>
  <c r="S256" i="25"/>
  <c r="R256" i="25" s="1"/>
  <c r="P256" i="25" s="1"/>
  <c r="V256" i="25" s="1"/>
  <c r="B256" i="25" s="1"/>
  <c r="S252" i="25"/>
  <c r="R252" i="25" s="1"/>
  <c r="P252" i="25" s="1"/>
  <c r="V252" i="25" s="1"/>
  <c r="B252" i="25" s="1"/>
  <c r="S248" i="25"/>
  <c r="R248" i="25" s="1"/>
  <c r="P248" i="25" s="1"/>
  <c r="V248" i="25" s="1"/>
  <c r="B248" i="25" s="1"/>
  <c r="S244" i="25"/>
  <c r="R244" i="25" s="1"/>
  <c r="P244" i="25" s="1"/>
  <c r="V244" i="25" s="1"/>
  <c r="B244" i="25" s="1"/>
  <c r="S240" i="25"/>
  <c r="R240" i="25" s="1"/>
  <c r="P240" i="25" s="1"/>
  <c r="V240" i="25" s="1"/>
  <c r="B240" i="25" s="1"/>
  <c r="S236" i="25"/>
  <c r="R236" i="25" s="1"/>
  <c r="P236" i="25" s="1"/>
  <c r="V236" i="25" s="1"/>
  <c r="B236" i="25" s="1"/>
  <c r="S232" i="25"/>
  <c r="R232" i="25" s="1"/>
  <c r="P232" i="25" s="1"/>
  <c r="V232" i="25" s="1"/>
  <c r="B232" i="25" s="1"/>
  <c r="S228" i="25"/>
  <c r="R228" i="25" s="1"/>
  <c r="P228" i="25" s="1"/>
  <c r="V228" i="25" s="1"/>
  <c r="B228" i="25" s="1"/>
  <c r="S224" i="25"/>
  <c r="R224" i="25" s="1"/>
  <c r="P224" i="25" s="1"/>
  <c r="V224" i="25" s="1"/>
  <c r="B224" i="25" s="1"/>
  <c r="S220" i="25"/>
  <c r="R220" i="25" s="1"/>
  <c r="P220" i="25" s="1"/>
  <c r="V220" i="25" s="1"/>
  <c r="B220" i="25" s="1"/>
  <c r="S216" i="25"/>
  <c r="R216" i="25" s="1"/>
  <c r="P216" i="25" s="1"/>
  <c r="V216" i="25" s="1"/>
  <c r="B216" i="25" s="1"/>
  <c r="S212" i="25"/>
  <c r="R212" i="25" s="1"/>
  <c r="P212" i="25" s="1"/>
  <c r="V212" i="25" s="1"/>
  <c r="B212" i="25" s="1"/>
  <c r="S208" i="25"/>
  <c r="R208" i="25" s="1"/>
  <c r="P208" i="25" s="1"/>
  <c r="V208" i="25" s="1"/>
  <c r="B208" i="25" s="1"/>
  <c r="S204" i="25"/>
  <c r="R204" i="25" s="1"/>
  <c r="P204" i="25" s="1"/>
  <c r="V204" i="25" s="1"/>
  <c r="B204" i="25" s="1"/>
  <c r="S200" i="25"/>
  <c r="R200" i="25" s="1"/>
  <c r="P200" i="25" s="1"/>
  <c r="V200" i="25" s="1"/>
  <c r="B200" i="25" s="1"/>
  <c r="S196" i="25"/>
  <c r="R196" i="25" s="1"/>
  <c r="P196" i="25" s="1"/>
  <c r="V196" i="25" s="1"/>
  <c r="B196" i="25" s="1"/>
  <c r="S192" i="25"/>
  <c r="R192" i="25" s="1"/>
  <c r="P192" i="25" s="1"/>
  <c r="V192" i="25" s="1"/>
  <c r="B192" i="25" s="1"/>
  <c r="S188" i="25"/>
  <c r="R188" i="25" s="1"/>
  <c r="P188" i="25" s="1"/>
  <c r="V188" i="25" s="1"/>
  <c r="B188" i="25" s="1"/>
  <c r="S184" i="25"/>
  <c r="R184" i="25" s="1"/>
  <c r="P184" i="25" s="1"/>
  <c r="V184" i="25" s="1"/>
  <c r="B184" i="25" s="1"/>
  <c r="S180" i="25"/>
  <c r="R180" i="25" s="1"/>
  <c r="P180" i="25" s="1"/>
  <c r="S176" i="25"/>
  <c r="R176" i="25" s="1"/>
  <c r="P176" i="25" s="1"/>
  <c r="V176" i="25" s="1"/>
  <c r="B176" i="25" s="1"/>
  <c r="S172" i="25"/>
  <c r="R172" i="25" s="1"/>
  <c r="P172" i="25" s="1"/>
  <c r="V172" i="25" s="1"/>
  <c r="B172" i="25" s="1"/>
  <c r="S168" i="25"/>
  <c r="R168" i="25" s="1"/>
  <c r="P168" i="25" s="1"/>
  <c r="V168" i="25" s="1"/>
  <c r="B168" i="25" s="1"/>
  <c r="S164" i="25"/>
  <c r="R164" i="25" s="1"/>
  <c r="P164" i="25" s="1"/>
  <c r="V164" i="25" s="1"/>
  <c r="B164" i="25" s="1"/>
  <c r="S160" i="25"/>
  <c r="R160" i="25" s="1"/>
  <c r="P160" i="25" s="1"/>
  <c r="V160" i="25" s="1"/>
  <c r="B160" i="25" s="1"/>
  <c r="S156" i="25"/>
  <c r="R156" i="25" s="1"/>
  <c r="P156" i="25" s="1"/>
  <c r="V156" i="25" s="1"/>
  <c r="B156" i="25" s="1"/>
  <c r="S152" i="25"/>
  <c r="R152" i="25" s="1"/>
  <c r="P152" i="25" s="1"/>
  <c r="V152" i="25" s="1"/>
  <c r="B152" i="25" s="1"/>
  <c r="S148" i="25"/>
  <c r="R148" i="25" s="1"/>
  <c r="P148" i="25" s="1"/>
  <c r="V148" i="25" s="1"/>
  <c r="B148" i="25" s="1"/>
  <c r="S144" i="25"/>
  <c r="R144" i="25" s="1"/>
  <c r="P144" i="25" s="1"/>
  <c r="V144" i="25" s="1"/>
  <c r="B144" i="25" s="1"/>
  <c r="S140" i="25"/>
  <c r="R140" i="25" s="1"/>
  <c r="P140" i="25" s="1"/>
  <c r="V140" i="25" s="1"/>
  <c r="B140" i="25" s="1"/>
  <c r="S136" i="25"/>
  <c r="R136" i="25" s="1"/>
  <c r="P136" i="25" s="1"/>
  <c r="V136" i="25" s="1"/>
  <c r="B136" i="25" s="1"/>
  <c r="S132" i="25"/>
  <c r="R132" i="25" s="1"/>
  <c r="P132" i="25" s="1"/>
  <c r="V132" i="25" s="1"/>
  <c r="B132" i="25" s="1"/>
  <c r="S128" i="25"/>
  <c r="R128" i="25" s="1"/>
  <c r="P128" i="25" s="1"/>
  <c r="V128" i="25" s="1"/>
  <c r="B128" i="25" s="1"/>
  <c r="S124" i="25"/>
  <c r="R124" i="25" s="1"/>
  <c r="P124" i="25" s="1"/>
  <c r="V124" i="25" s="1"/>
  <c r="B124" i="25" s="1"/>
  <c r="S120" i="25"/>
  <c r="R120" i="25" s="1"/>
  <c r="P120" i="25" s="1"/>
  <c r="V120" i="25" s="1"/>
  <c r="B120" i="25" s="1"/>
  <c r="S116" i="25"/>
  <c r="R116" i="25" s="1"/>
  <c r="P116" i="25" s="1"/>
  <c r="V116" i="25" s="1"/>
  <c r="B116" i="25" s="1"/>
  <c r="S112" i="25"/>
  <c r="R112" i="25" s="1"/>
  <c r="P112" i="25" s="1"/>
  <c r="V112" i="25" s="1"/>
  <c r="B112" i="25" s="1"/>
  <c r="S108" i="25"/>
  <c r="R108" i="25" s="1"/>
  <c r="P108" i="25" s="1"/>
  <c r="V108" i="25" s="1"/>
  <c r="B108" i="25" s="1"/>
  <c r="S104" i="25"/>
  <c r="R104" i="25" s="1"/>
  <c r="P104" i="25" s="1"/>
  <c r="V104" i="25" s="1"/>
  <c r="B104" i="25" s="1"/>
  <c r="S100" i="25"/>
  <c r="R100" i="25" s="1"/>
  <c r="P100" i="25" s="1"/>
  <c r="V100" i="25" s="1"/>
  <c r="B100" i="25" s="1"/>
  <c r="S96" i="25"/>
  <c r="R96" i="25" s="1"/>
  <c r="P96" i="25" s="1"/>
  <c r="V96" i="25" s="1"/>
  <c r="B96" i="25" s="1"/>
  <c r="S92" i="25"/>
  <c r="R92" i="25" s="1"/>
  <c r="P92" i="25" s="1"/>
  <c r="V92" i="25" s="1"/>
  <c r="B92" i="25" s="1"/>
  <c r="S88" i="25"/>
  <c r="R88" i="25" s="1"/>
  <c r="P88" i="25" s="1"/>
  <c r="S84" i="25"/>
  <c r="R84" i="25" s="1"/>
  <c r="P84" i="25" s="1"/>
  <c r="V84" i="25" s="1"/>
  <c r="B84" i="25" s="1"/>
  <c r="S80" i="25"/>
  <c r="R80" i="25" s="1"/>
  <c r="P80" i="25" s="1"/>
  <c r="V80" i="25" s="1"/>
  <c r="B80" i="25" s="1"/>
  <c r="S76" i="25"/>
  <c r="R76" i="25" s="1"/>
  <c r="P76" i="25" s="1"/>
  <c r="V76" i="25" s="1"/>
  <c r="B76" i="25" s="1"/>
  <c r="S72" i="25"/>
  <c r="R72" i="25" s="1"/>
  <c r="P72" i="25" s="1"/>
  <c r="V72" i="25" s="1"/>
  <c r="B72" i="25" s="1"/>
  <c r="S68" i="25"/>
  <c r="R68" i="25" s="1"/>
  <c r="P68" i="25" s="1"/>
  <c r="V68" i="25" s="1"/>
  <c r="B68" i="25" s="1"/>
  <c r="S64" i="25"/>
  <c r="R64" i="25" s="1"/>
  <c r="P64" i="25" s="1"/>
  <c r="V64" i="25" s="1"/>
  <c r="B64" i="25" s="1"/>
  <c r="S60" i="25"/>
  <c r="R60" i="25" s="1"/>
  <c r="P60" i="25" s="1"/>
  <c r="S56" i="25"/>
  <c r="R56" i="25" s="1"/>
  <c r="P56" i="25" s="1"/>
  <c r="V56" i="25" s="1"/>
  <c r="B56" i="25" s="1"/>
  <c r="S52" i="25"/>
  <c r="R52" i="25" s="1"/>
  <c r="P52" i="25" s="1"/>
  <c r="V52" i="25" s="1"/>
  <c r="B52" i="25" s="1"/>
  <c r="S48" i="25"/>
  <c r="R48" i="25" s="1"/>
  <c r="P48" i="25" s="1"/>
  <c r="V48" i="25" s="1"/>
  <c r="B48" i="25" s="1"/>
  <c r="S44" i="25"/>
  <c r="R44" i="25" s="1"/>
  <c r="P44" i="25" s="1"/>
  <c r="V44" i="25" s="1"/>
  <c r="B44" i="25" s="1"/>
  <c r="S40" i="25"/>
  <c r="R40" i="25" s="1"/>
  <c r="P40" i="25" s="1"/>
  <c r="V40" i="25" s="1"/>
  <c r="B40" i="25" s="1"/>
  <c r="S36" i="25"/>
  <c r="R36" i="25" s="1"/>
  <c r="P36" i="25" s="1"/>
  <c r="V36" i="25" s="1"/>
  <c r="B36" i="25" s="1"/>
  <c r="S32" i="25"/>
  <c r="R32" i="25" s="1"/>
  <c r="P32" i="25" s="1"/>
  <c r="V32" i="25" s="1"/>
  <c r="B32" i="25" s="1"/>
  <c r="S28" i="25"/>
  <c r="R28" i="25" s="1"/>
  <c r="P28" i="25" s="1"/>
  <c r="V28" i="25" s="1"/>
  <c r="B28" i="25" s="1"/>
  <c r="S24" i="25"/>
  <c r="R24" i="25" s="1"/>
  <c r="P24" i="25" s="1"/>
  <c r="V24" i="25" s="1"/>
  <c r="B24" i="25" s="1"/>
  <c r="S20" i="25"/>
  <c r="R20" i="25" s="1"/>
  <c r="P20" i="25" s="1"/>
  <c r="V20" i="25" s="1"/>
  <c r="B20" i="25" s="1"/>
  <c r="S16" i="25"/>
  <c r="R16" i="25" s="1"/>
  <c r="P16" i="25" s="1"/>
  <c r="V16" i="25" s="1"/>
  <c r="B16" i="25" s="1"/>
  <c r="J31" i="24"/>
  <c r="I31" i="24"/>
  <c r="J23" i="24"/>
  <c r="I23" i="24"/>
  <c r="J207" i="24"/>
  <c r="I207" i="24"/>
  <c r="AG372" i="25"/>
  <c r="AF372" i="25" s="1"/>
  <c r="AD372" i="25" s="1"/>
  <c r="AG364" i="25"/>
  <c r="AF364" i="25" s="1"/>
  <c r="AD364" i="25" s="1"/>
  <c r="AG356" i="25"/>
  <c r="AF356" i="25" s="1"/>
  <c r="AD356" i="25" s="1"/>
  <c r="AG348" i="25"/>
  <c r="AF348" i="25" s="1"/>
  <c r="AD348" i="25" s="1"/>
  <c r="AG340" i="25"/>
  <c r="AF340" i="25" s="1"/>
  <c r="AD340" i="25" s="1"/>
  <c r="AG332" i="25"/>
  <c r="AF332" i="25" s="1"/>
  <c r="AD332" i="25" s="1"/>
  <c r="AG324" i="25"/>
  <c r="AF324" i="25" s="1"/>
  <c r="AD324" i="25" s="1"/>
  <c r="AG316" i="25"/>
  <c r="AF316" i="25" s="1"/>
  <c r="AD316" i="25" s="1"/>
  <c r="AG308" i="25"/>
  <c r="AF308" i="25" s="1"/>
  <c r="AD308" i="25" s="1"/>
  <c r="AG298" i="25"/>
  <c r="AF298" i="25" s="1"/>
  <c r="AD298" i="25" s="1"/>
  <c r="AG290" i="25"/>
  <c r="AF290" i="25" s="1"/>
  <c r="AD290" i="25" s="1"/>
  <c r="AG284" i="25"/>
  <c r="AF284" i="25" s="1"/>
  <c r="AD284" i="25" s="1"/>
  <c r="AG274" i="25"/>
  <c r="AF274" i="25" s="1"/>
  <c r="AD274" i="25" s="1"/>
  <c r="AG266" i="25"/>
  <c r="AF266" i="25" s="1"/>
  <c r="AD266" i="25" s="1"/>
  <c r="AG258" i="25"/>
  <c r="AF258" i="25" s="1"/>
  <c r="AD258" i="25" s="1"/>
  <c r="AG250" i="25"/>
  <c r="AF250" i="25" s="1"/>
  <c r="AD250" i="25" s="1"/>
  <c r="AG242" i="25"/>
  <c r="AF242" i="25" s="1"/>
  <c r="AD242" i="25" s="1"/>
  <c r="AG234" i="25"/>
  <c r="AF234" i="25" s="1"/>
  <c r="AD234" i="25" s="1"/>
  <c r="AG226" i="25"/>
  <c r="AF226" i="25" s="1"/>
  <c r="AD226" i="25" s="1"/>
  <c r="AG218" i="25"/>
  <c r="AF218" i="25" s="1"/>
  <c r="AD218" i="25" s="1"/>
  <c r="AG210" i="25"/>
  <c r="AF210" i="25" s="1"/>
  <c r="AD210" i="25" s="1"/>
  <c r="AG202" i="25"/>
  <c r="AF202" i="25" s="1"/>
  <c r="AD202" i="25" s="1"/>
  <c r="AG194" i="25"/>
  <c r="AF194" i="25" s="1"/>
  <c r="AD194" i="25" s="1"/>
  <c r="AG186" i="25"/>
  <c r="AF186" i="25" s="1"/>
  <c r="AD186" i="25" s="1"/>
  <c r="AG178" i="25"/>
  <c r="AF178" i="25" s="1"/>
  <c r="AD178" i="25" s="1"/>
  <c r="AG170" i="25"/>
  <c r="AF170" i="25" s="1"/>
  <c r="AD170" i="25" s="1"/>
  <c r="AG164" i="25"/>
  <c r="AF164" i="25" s="1"/>
  <c r="AD164" i="25" s="1"/>
  <c r="AG156" i="25"/>
  <c r="AF156" i="25" s="1"/>
  <c r="AD156" i="25" s="1"/>
  <c r="AG146" i="25"/>
  <c r="AF146" i="25" s="1"/>
  <c r="AD146" i="25" s="1"/>
  <c r="AG140" i="25"/>
  <c r="AF140" i="25" s="1"/>
  <c r="AD140" i="25" s="1"/>
  <c r="AG132" i="25"/>
  <c r="AF132" i="25" s="1"/>
  <c r="AD132" i="25" s="1"/>
  <c r="AG122" i="25"/>
  <c r="AF122" i="25" s="1"/>
  <c r="AD122" i="25" s="1"/>
  <c r="AG116" i="25"/>
  <c r="AF116" i="25" s="1"/>
  <c r="AD116" i="25" s="1"/>
  <c r="AG106" i="25"/>
  <c r="AF106" i="25" s="1"/>
  <c r="AD106" i="25" s="1"/>
  <c r="AG100" i="25"/>
  <c r="AF100" i="25" s="1"/>
  <c r="AD100" i="25" s="1"/>
  <c r="AG90" i="25"/>
  <c r="AF90" i="25" s="1"/>
  <c r="AD90" i="25" s="1"/>
  <c r="AG84" i="25"/>
  <c r="AF84" i="25" s="1"/>
  <c r="AD84" i="25" s="1"/>
  <c r="AG76" i="25"/>
  <c r="AF76" i="25" s="1"/>
  <c r="AD76" i="25" s="1"/>
  <c r="AG68" i="25"/>
  <c r="AF68" i="25" s="1"/>
  <c r="AD68" i="25" s="1"/>
  <c r="AG60" i="25"/>
  <c r="AF60" i="25" s="1"/>
  <c r="AD60" i="25" s="1"/>
  <c r="AG52" i="25"/>
  <c r="AF52" i="25" s="1"/>
  <c r="AD52" i="25" s="1"/>
  <c r="AG42" i="25"/>
  <c r="AF42" i="25" s="1"/>
  <c r="AD42" i="25" s="1"/>
  <c r="AG36" i="25"/>
  <c r="AF36" i="25" s="1"/>
  <c r="AD36" i="25" s="1"/>
  <c r="AG28" i="25"/>
  <c r="AF28" i="25" s="1"/>
  <c r="AD28" i="25" s="1"/>
  <c r="AG17" i="25"/>
  <c r="AF17" i="25" s="1"/>
  <c r="AD17" i="25" s="1"/>
  <c r="J29" i="24"/>
  <c r="I29" i="24"/>
  <c r="I223" i="24"/>
  <c r="J223" i="24"/>
  <c r="I255" i="24"/>
  <c r="J255" i="24"/>
  <c r="J351" i="24"/>
  <c r="I351" i="24"/>
  <c r="I43" i="24"/>
  <c r="J43" i="24"/>
  <c r="I79" i="24"/>
  <c r="J79" i="24"/>
  <c r="D119" i="24"/>
  <c r="E119" i="24" s="1"/>
  <c r="F119" i="24" s="1"/>
  <c r="H119" i="24" s="1"/>
  <c r="W119" i="24"/>
  <c r="J131" i="24"/>
  <c r="I131" i="24"/>
  <c r="J135" i="24"/>
  <c r="I135" i="24"/>
  <c r="I151" i="24"/>
  <c r="J151" i="24"/>
  <c r="J187" i="24"/>
  <c r="I187" i="24"/>
  <c r="I227" i="24"/>
  <c r="J227" i="24"/>
  <c r="J243" i="24"/>
  <c r="I243" i="24"/>
  <c r="J291" i="24"/>
  <c r="I291" i="24"/>
  <c r="I331" i="24"/>
  <c r="J331" i="24"/>
  <c r="I379" i="24"/>
  <c r="J379" i="24"/>
  <c r="J147" i="24"/>
  <c r="I147" i="24"/>
  <c r="J99" i="24"/>
  <c r="I99" i="24"/>
  <c r="I63" i="24"/>
  <c r="J63" i="24"/>
  <c r="J16" i="24"/>
  <c r="I16" i="24"/>
  <c r="J83" i="24"/>
  <c r="I83" i="24"/>
  <c r="J215" i="24"/>
  <c r="I215" i="24"/>
  <c r="J299" i="24"/>
  <c r="I299" i="24"/>
  <c r="I335" i="24"/>
  <c r="J335" i="24"/>
  <c r="W363" i="24"/>
  <c r="D363" i="24"/>
  <c r="E363" i="24" s="1"/>
  <c r="F363" i="24" s="1"/>
  <c r="I53" i="24"/>
  <c r="J53" i="24"/>
  <c r="I189" i="24"/>
  <c r="J189" i="24"/>
  <c r="J221" i="24"/>
  <c r="I221" i="24"/>
  <c r="I309" i="24"/>
  <c r="J309" i="24"/>
  <c r="J341" i="24"/>
  <c r="I341" i="24"/>
  <c r="J349" i="24"/>
  <c r="I349" i="24"/>
  <c r="E9" i="23"/>
  <c r="E11" i="23" s="1"/>
  <c r="E381" i="23"/>
  <c r="E382" i="23"/>
  <c r="AK8" i="23"/>
  <c r="E383" i="23"/>
  <c r="AJ10" i="23"/>
  <c r="AJ12" i="23" s="1"/>
  <c r="F15" i="23"/>
  <c r="J62" i="24"/>
  <c r="I62" i="24"/>
  <c r="I182" i="24"/>
  <c r="J182" i="24"/>
  <c r="J262" i="24"/>
  <c r="I262" i="24"/>
  <c r="I286" i="24"/>
  <c r="J286" i="24"/>
  <c r="W302" i="24"/>
  <c r="D302" i="24"/>
  <c r="E302" i="24" s="1"/>
  <c r="F302" i="24" s="1"/>
  <c r="I310" i="24"/>
  <c r="J310" i="24"/>
  <c r="D88" i="24"/>
  <c r="E88" i="24" s="1"/>
  <c r="F88" i="24" s="1"/>
  <c r="W88" i="24"/>
  <c r="J96" i="24"/>
  <c r="I96" i="24"/>
  <c r="J184" i="24"/>
  <c r="I184" i="24"/>
  <c r="J216" i="24"/>
  <c r="I216" i="24"/>
  <c r="I232" i="24"/>
  <c r="J232" i="24"/>
  <c r="D272" i="24"/>
  <c r="E272" i="24" s="1"/>
  <c r="F272" i="24" s="1"/>
  <c r="H272" i="24" s="1"/>
  <c r="W272" i="24"/>
  <c r="I304" i="24"/>
  <c r="J304" i="24"/>
  <c r="I49" i="24"/>
  <c r="J49" i="24"/>
  <c r="I113" i="24"/>
  <c r="J113" i="24"/>
  <c r="D241" i="24"/>
  <c r="E241" i="24" s="1"/>
  <c r="F241" i="24" s="1"/>
  <c r="W241" i="24"/>
  <c r="I34" i="24"/>
  <c r="J34" i="24"/>
  <c r="J194" i="24"/>
  <c r="I194" i="24"/>
  <c r="I250" i="24"/>
  <c r="J250" i="24"/>
  <c r="J338" i="24"/>
  <c r="I338" i="24"/>
  <c r="W60" i="24"/>
  <c r="D60" i="24"/>
  <c r="E60" i="24" s="1"/>
  <c r="F60" i="24" s="1"/>
  <c r="H60" i="24" s="1"/>
  <c r="W180" i="24"/>
  <c r="D180" i="24"/>
  <c r="E180" i="24" s="1"/>
  <c r="F180" i="24" s="1"/>
  <c r="AA196" i="24"/>
  <c r="Z196" i="24" s="1"/>
  <c r="Y196" i="24" s="1"/>
  <c r="G196" i="24"/>
  <c r="CE196" i="6" s="1"/>
  <c r="H196" i="24"/>
  <c r="I260" i="24"/>
  <c r="J260" i="24"/>
  <c r="AG374" i="25"/>
  <c r="AF374" i="25" s="1"/>
  <c r="AD374" i="25" s="1"/>
  <c r="AG366" i="25"/>
  <c r="AF366" i="25" s="1"/>
  <c r="AD366" i="25" s="1"/>
  <c r="AG358" i="25"/>
  <c r="AF358" i="25" s="1"/>
  <c r="AD358" i="25" s="1"/>
  <c r="AG350" i="25"/>
  <c r="AF350" i="25" s="1"/>
  <c r="AD350" i="25" s="1"/>
  <c r="AG342" i="25"/>
  <c r="AF342" i="25" s="1"/>
  <c r="AD342" i="25" s="1"/>
  <c r="AG334" i="25"/>
  <c r="AF334" i="25" s="1"/>
  <c r="AD334" i="25" s="1"/>
  <c r="AG326" i="25"/>
  <c r="AF326" i="25" s="1"/>
  <c r="AD326" i="25" s="1"/>
  <c r="AG318" i="25"/>
  <c r="AF318" i="25" s="1"/>
  <c r="AD318" i="25" s="1"/>
  <c r="AG310" i="25"/>
  <c r="AF310" i="25" s="1"/>
  <c r="AD310" i="25" s="1"/>
  <c r="AG304" i="25"/>
  <c r="AF304" i="25" s="1"/>
  <c r="AD304" i="25" s="1"/>
  <c r="AG296" i="25"/>
  <c r="AF296" i="25" s="1"/>
  <c r="AD296" i="25" s="1"/>
  <c r="AG288" i="25"/>
  <c r="AF288" i="25" s="1"/>
  <c r="AD288" i="25" s="1"/>
  <c r="AG280" i="25"/>
  <c r="AF280" i="25" s="1"/>
  <c r="AD280" i="25" s="1"/>
  <c r="AG272" i="25"/>
  <c r="AF272" i="25" s="1"/>
  <c r="AD272" i="25" s="1"/>
  <c r="AG264" i="25"/>
  <c r="AF264" i="25" s="1"/>
  <c r="AD264" i="25" s="1"/>
  <c r="AG256" i="25"/>
  <c r="AF256" i="25" s="1"/>
  <c r="AD256" i="25" s="1"/>
  <c r="AG248" i="25"/>
  <c r="AF248" i="25" s="1"/>
  <c r="AD248" i="25" s="1"/>
  <c r="AG240" i="25"/>
  <c r="AF240" i="25" s="1"/>
  <c r="AD240" i="25" s="1"/>
  <c r="AG232" i="25"/>
  <c r="AF232" i="25" s="1"/>
  <c r="AD232" i="25" s="1"/>
  <c r="AG224" i="25"/>
  <c r="AF224" i="25" s="1"/>
  <c r="AD224" i="25" s="1"/>
  <c r="AG216" i="25"/>
  <c r="AF216" i="25" s="1"/>
  <c r="AD216" i="25" s="1"/>
  <c r="AG208" i="25"/>
  <c r="AF208" i="25" s="1"/>
  <c r="AD208" i="25" s="1"/>
  <c r="AG200" i="25"/>
  <c r="AF200" i="25" s="1"/>
  <c r="AD200" i="25" s="1"/>
  <c r="AG192" i="25"/>
  <c r="AF192" i="25" s="1"/>
  <c r="AD192" i="25" s="1"/>
  <c r="AG184" i="25"/>
  <c r="AF184" i="25" s="1"/>
  <c r="AD184" i="25" s="1"/>
  <c r="AG176" i="25"/>
  <c r="AF176" i="25" s="1"/>
  <c r="AD176" i="25" s="1"/>
  <c r="AG166" i="25"/>
  <c r="AF166" i="25" s="1"/>
  <c r="AD166" i="25" s="1"/>
  <c r="AG158" i="25"/>
  <c r="AF158" i="25" s="1"/>
  <c r="AD158" i="25" s="1"/>
  <c r="AG152" i="25"/>
  <c r="AF152" i="25" s="1"/>
  <c r="AD152" i="25" s="1"/>
  <c r="AG144" i="25"/>
  <c r="AF144" i="25" s="1"/>
  <c r="AD144" i="25" s="1"/>
  <c r="AG134" i="25"/>
  <c r="AF134" i="25" s="1"/>
  <c r="AD134" i="25" s="1"/>
  <c r="AG128" i="25"/>
  <c r="AF128" i="25" s="1"/>
  <c r="AD128" i="25" s="1"/>
  <c r="AG120" i="25"/>
  <c r="AF120" i="25" s="1"/>
  <c r="AD120" i="25" s="1"/>
  <c r="AG112" i="25"/>
  <c r="AF112" i="25" s="1"/>
  <c r="AD112" i="25" s="1"/>
  <c r="AG104" i="25"/>
  <c r="AF104" i="25" s="1"/>
  <c r="AD104" i="25" s="1"/>
  <c r="AG94" i="25"/>
  <c r="AF94" i="25" s="1"/>
  <c r="AD94" i="25" s="1"/>
  <c r="AG88" i="25"/>
  <c r="AF88" i="25" s="1"/>
  <c r="AD88" i="25" s="1"/>
  <c r="AG78" i="25"/>
  <c r="AF78" i="25" s="1"/>
  <c r="AD78" i="25" s="1"/>
  <c r="AG70" i="25"/>
  <c r="AF70" i="25" s="1"/>
  <c r="AD70" i="25" s="1"/>
  <c r="AG64" i="25"/>
  <c r="AF64" i="25" s="1"/>
  <c r="AD64" i="25" s="1"/>
  <c r="AG54" i="25"/>
  <c r="AF54" i="25" s="1"/>
  <c r="AD54" i="25" s="1"/>
  <c r="AG46" i="25"/>
  <c r="AF46" i="25" s="1"/>
  <c r="AD46" i="25" s="1"/>
  <c r="AG38" i="25"/>
  <c r="AF38" i="25" s="1"/>
  <c r="AD38" i="25" s="1"/>
  <c r="AG30" i="25"/>
  <c r="AF30" i="25" s="1"/>
  <c r="AD30" i="25" s="1"/>
  <c r="AG24" i="25"/>
  <c r="AF24" i="25" s="1"/>
  <c r="AD24" i="25" s="1"/>
  <c r="AG19" i="25"/>
  <c r="AF19" i="25" s="1"/>
  <c r="AD19" i="25" s="1"/>
  <c r="AG377" i="25"/>
  <c r="AF377" i="25" s="1"/>
  <c r="AD377" i="25" s="1"/>
  <c r="AG373" i="25"/>
  <c r="AF373" i="25" s="1"/>
  <c r="AD373" i="25" s="1"/>
  <c r="AG369" i="25"/>
  <c r="AF369" i="25" s="1"/>
  <c r="AD369" i="25" s="1"/>
  <c r="AG365" i="25"/>
  <c r="AF365" i="25" s="1"/>
  <c r="AD365" i="25" s="1"/>
  <c r="AG361" i="25"/>
  <c r="AF361" i="25" s="1"/>
  <c r="AD361" i="25" s="1"/>
  <c r="AG357" i="25"/>
  <c r="AF357" i="25" s="1"/>
  <c r="AD357" i="25" s="1"/>
  <c r="AG353" i="25"/>
  <c r="AF353" i="25" s="1"/>
  <c r="AD353" i="25" s="1"/>
  <c r="AG349" i="25"/>
  <c r="AF349" i="25" s="1"/>
  <c r="AD349" i="25" s="1"/>
  <c r="AG345" i="25"/>
  <c r="AF345" i="25" s="1"/>
  <c r="AD345" i="25" s="1"/>
  <c r="AG341" i="25"/>
  <c r="AF341" i="25" s="1"/>
  <c r="AD341" i="25" s="1"/>
  <c r="AG337" i="25"/>
  <c r="AF337" i="25" s="1"/>
  <c r="AD337" i="25" s="1"/>
  <c r="AG333" i="25"/>
  <c r="AF333" i="25" s="1"/>
  <c r="AD333" i="25" s="1"/>
  <c r="AG329" i="25"/>
  <c r="AF329" i="25" s="1"/>
  <c r="AD329" i="25" s="1"/>
  <c r="AG325" i="25"/>
  <c r="AF325" i="25" s="1"/>
  <c r="AD325" i="25" s="1"/>
  <c r="AG321" i="25"/>
  <c r="AF321" i="25" s="1"/>
  <c r="AD321" i="25" s="1"/>
  <c r="AG317" i="25"/>
  <c r="AF317" i="25" s="1"/>
  <c r="AD317" i="25" s="1"/>
  <c r="AG313" i="25"/>
  <c r="AF313" i="25" s="1"/>
  <c r="AD313" i="25" s="1"/>
  <c r="AG309" i="25"/>
  <c r="AF309" i="25" s="1"/>
  <c r="AD309" i="25" s="1"/>
  <c r="AG305" i="25"/>
  <c r="AF305" i="25" s="1"/>
  <c r="AD305" i="25" s="1"/>
  <c r="AG301" i="25"/>
  <c r="AF301" i="25" s="1"/>
  <c r="AD301" i="25" s="1"/>
  <c r="AG297" i="25"/>
  <c r="AF297" i="25" s="1"/>
  <c r="AD297" i="25" s="1"/>
  <c r="AG293" i="25"/>
  <c r="AF293" i="25" s="1"/>
  <c r="AD293" i="25" s="1"/>
  <c r="AG289" i="25"/>
  <c r="AF289" i="25" s="1"/>
  <c r="AD289" i="25" s="1"/>
  <c r="AG285" i="25"/>
  <c r="AF285" i="25" s="1"/>
  <c r="AD285" i="25" s="1"/>
  <c r="AG281" i="25"/>
  <c r="AF281" i="25" s="1"/>
  <c r="AD281" i="25" s="1"/>
  <c r="AG277" i="25"/>
  <c r="AF277" i="25" s="1"/>
  <c r="AD277" i="25" s="1"/>
  <c r="AG273" i="25"/>
  <c r="AF273" i="25" s="1"/>
  <c r="AD273" i="25" s="1"/>
  <c r="AG269" i="25"/>
  <c r="AF269" i="25" s="1"/>
  <c r="AD269" i="25" s="1"/>
  <c r="AG265" i="25"/>
  <c r="AF265" i="25" s="1"/>
  <c r="AD265" i="25" s="1"/>
  <c r="AG261" i="25"/>
  <c r="AF261" i="25" s="1"/>
  <c r="AD261" i="25" s="1"/>
  <c r="AG257" i="25"/>
  <c r="AF257" i="25" s="1"/>
  <c r="AD257" i="25" s="1"/>
  <c r="AG253" i="25"/>
  <c r="AF253" i="25" s="1"/>
  <c r="AD253" i="25" s="1"/>
  <c r="AG249" i="25"/>
  <c r="AF249" i="25" s="1"/>
  <c r="AD249" i="25" s="1"/>
  <c r="AG245" i="25"/>
  <c r="AF245" i="25" s="1"/>
  <c r="AD245" i="25" s="1"/>
  <c r="AG241" i="25"/>
  <c r="AF241" i="25" s="1"/>
  <c r="AD241" i="25" s="1"/>
  <c r="AG237" i="25"/>
  <c r="AF237" i="25" s="1"/>
  <c r="AD237" i="25" s="1"/>
  <c r="AG233" i="25"/>
  <c r="AF233" i="25" s="1"/>
  <c r="AD233" i="25" s="1"/>
  <c r="AG229" i="25"/>
  <c r="AF229" i="25" s="1"/>
  <c r="AD229" i="25" s="1"/>
  <c r="AG225" i="25"/>
  <c r="AF225" i="25" s="1"/>
  <c r="AD225" i="25" s="1"/>
  <c r="AG221" i="25"/>
  <c r="AF221" i="25" s="1"/>
  <c r="AD221" i="25" s="1"/>
  <c r="AG217" i="25"/>
  <c r="AF217" i="25" s="1"/>
  <c r="AD217" i="25" s="1"/>
  <c r="AG213" i="25"/>
  <c r="AF213" i="25" s="1"/>
  <c r="AD213" i="25" s="1"/>
  <c r="AG209" i="25"/>
  <c r="AF209" i="25" s="1"/>
  <c r="AD209" i="25" s="1"/>
  <c r="AG205" i="25"/>
  <c r="AF205" i="25" s="1"/>
  <c r="AD205" i="25" s="1"/>
  <c r="AG201" i="25"/>
  <c r="AF201" i="25" s="1"/>
  <c r="AD201" i="25" s="1"/>
  <c r="AG197" i="25"/>
  <c r="AF197" i="25" s="1"/>
  <c r="AD197" i="25" s="1"/>
  <c r="AG193" i="25"/>
  <c r="AF193" i="25" s="1"/>
  <c r="AD193" i="25" s="1"/>
  <c r="AG189" i="25"/>
  <c r="AF189" i="25" s="1"/>
  <c r="AD189" i="25" s="1"/>
  <c r="AG185" i="25"/>
  <c r="AF185" i="25" s="1"/>
  <c r="AD185" i="25" s="1"/>
  <c r="AG181" i="25"/>
  <c r="AF181" i="25" s="1"/>
  <c r="AD181" i="25" s="1"/>
  <c r="AG177" i="25"/>
  <c r="AF177" i="25" s="1"/>
  <c r="AD177" i="25" s="1"/>
  <c r="AG173" i="25"/>
  <c r="AF173" i="25" s="1"/>
  <c r="AD173" i="25" s="1"/>
  <c r="AG169" i="25"/>
  <c r="AF169" i="25" s="1"/>
  <c r="AD169" i="25" s="1"/>
  <c r="AG165" i="25"/>
  <c r="AF165" i="25" s="1"/>
  <c r="AD165" i="25" s="1"/>
  <c r="AG161" i="25"/>
  <c r="AF161" i="25" s="1"/>
  <c r="AD161" i="25" s="1"/>
  <c r="AG157" i="25"/>
  <c r="AF157" i="25" s="1"/>
  <c r="AD157" i="25" s="1"/>
  <c r="AG153" i="25"/>
  <c r="AF153" i="25" s="1"/>
  <c r="AD153" i="25" s="1"/>
  <c r="AG149" i="25"/>
  <c r="AF149" i="25" s="1"/>
  <c r="AD149" i="25" s="1"/>
  <c r="AG145" i="25"/>
  <c r="AF145" i="25" s="1"/>
  <c r="AD145" i="25" s="1"/>
  <c r="AG141" i="25"/>
  <c r="AF141" i="25" s="1"/>
  <c r="AD141" i="25" s="1"/>
  <c r="AG137" i="25"/>
  <c r="AF137" i="25" s="1"/>
  <c r="AD137" i="25" s="1"/>
  <c r="AG133" i="25"/>
  <c r="AF133" i="25" s="1"/>
  <c r="AD133" i="25" s="1"/>
  <c r="AG129" i="25"/>
  <c r="AF129" i="25" s="1"/>
  <c r="AD129" i="25" s="1"/>
  <c r="AG125" i="25"/>
  <c r="AF125" i="25" s="1"/>
  <c r="AD125" i="25" s="1"/>
  <c r="AG121" i="25"/>
  <c r="AF121" i="25" s="1"/>
  <c r="AD121" i="25" s="1"/>
  <c r="AG117" i="25"/>
  <c r="AF117" i="25" s="1"/>
  <c r="AD117" i="25" s="1"/>
  <c r="AG113" i="25"/>
  <c r="AF113" i="25" s="1"/>
  <c r="AD113" i="25" s="1"/>
  <c r="AG109" i="25"/>
  <c r="AF109" i="25" s="1"/>
  <c r="AD109" i="25" s="1"/>
  <c r="AG105" i="25"/>
  <c r="AF105" i="25" s="1"/>
  <c r="AD105" i="25" s="1"/>
  <c r="AG101" i="25"/>
  <c r="AF101" i="25" s="1"/>
  <c r="AD101" i="25" s="1"/>
  <c r="AG97" i="25"/>
  <c r="AF97" i="25" s="1"/>
  <c r="AD97" i="25" s="1"/>
  <c r="AG93" i="25"/>
  <c r="AF93" i="25" s="1"/>
  <c r="AD93" i="25" s="1"/>
  <c r="AG89" i="25"/>
  <c r="AF89" i="25" s="1"/>
  <c r="AD89" i="25" s="1"/>
  <c r="AG85" i="25"/>
  <c r="AF85" i="25" s="1"/>
  <c r="AD85" i="25" s="1"/>
  <c r="AG81" i="25"/>
  <c r="AF81" i="25" s="1"/>
  <c r="AD81" i="25" s="1"/>
  <c r="AG77" i="25"/>
  <c r="AF77" i="25" s="1"/>
  <c r="AD77" i="25" s="1"/>
  <c r="AG73" i="25"/>
  <c r="AF73" i="25" s="1"/>
  <c r="AD73" i="25" s="1"/>
  <c r="AG69" i="25"/>
  <c r="AF69" i="25" s="1"/>
  <c r="AD69" i="25" s="1"/>
  <c r="AG65" i="25"/>
  <c r="AF65" i="25" s="1"/>
  <c r="AD65" i="25" s="1"/>
  <c r="AG61" i="25"/>
  <c r="AF61" i="25" s="1"/>
  <c r="AD61" i="25" s="1"/>
  <c r="AG57" i="25"/>
  <c r="AF57" i="25" s="1"/>
  <c r="AD57" i="25" s="1"/>
  <c r="AG53" i="25"/>
  <c r="AF53" i="25" s="1"/>
  <c r="AD53" i="25" s="1"/>
  <c r="AG49" i="25"/>
  <c r="AF49" i="25" s="1"/>
  <c r="AD49" i="25" s="1"/>
  <c r="AG45" i="25"/>
  <c r="AF45" i="25" s="1"/>
  <c r="AD45" i="25" s="1"/>
  <c r="AG41" i="25"/>
  <c r="AF41" i="25" s="1"/>
  <c r="AD41" i="25" s="1"/>
  <c r="AG37" i="25"/>
  <c r="AF37" i="25" s="1"/>
  <c r="AD37" i="25" s="1"/>
  <c r="AG33" i="25"/>
  <c r="AF33" i="25" s="1"/>
  <c r="AD33" i="25" s="1"/>
  <c r="AG29" i="25"/>
  <c r="AF29" i="25" s="1"/>
  <c r="AD29" i="25" s="1"/>
  <c r="AG25" i="25"/>
  <c r="AF25" i="25" s="1"/>
  <c r="AD25" i="25" s="1"/>
  <c r="AG21" i="25"/>
  <c r="AF21" i="25" s="1"/>
  <c r="AD21" i="25" s="1"/>
  <c r="AG15" i="25"/>
  <c r="AH383" i="25"/>
  <c r="AH382" i="25"/>
  <c r="AH381" i="25"/>
  <c r="I371" i="24"/>
  <c r="J371" i="24"/>
  <c r="S378" i="25"/>
  <c r="R378" i="25" s="1"/>
  <c r="P378" i="25" s="1"/>
  <c r="V378" i="25" s="1"/>
  <c r="B378" i="25" s="1"/>
  <c r="S374" i="25"/>
  <c r="R374" i="25" s="1"/>
  <c r="P374" i="25" s="1"/>
  <c r="V374" i="25" s="1"/>
  <c r="B374" i="25" s="1"/>
  <c r="S370" i="25"/>
  <c r="R370" i="25" s="1"/>
  <c r="P370" i="25" s="1"/>
  <c r="V370" i="25" s="1"/>
  <c r="B370" i="25" s="1"/>
  <c r="S366" i="25"/>
  <c r="R366" i="25" s="1"/>
  <c r="P366" i="25" s="1"/>
  <c r="V366" i="25" s="1"/>
  <c r="B366" i="25" s="1"/>
  <c r="S362" i="25"/>
  <c r="R362" i="25" s="1"/>
  <c r="P362" i="25" s="1"/>
  <c r="V362" i="25" s="1"/>
  <c r="B362" i="25" s="1"/>
  <c r="S358" i="25"/>
  <c r="R358" i="25" s="1"/>
  <c r="P358" i="25" s="1"/>
  <c r="V358" i="25" s="1"/>
  <c r="B358" i="25" s="1"/>
  <c r="S354" i="25"/>
  <c r="R354" i="25" s="1"/>
  <c r="P354" i="25" s="1"/>
  <c r="V354" i="25" s="1"/>
  <c r="B354" i="25" s="1"/>
  <c r="S350" i="25"/>
  <c r="R350" i="25" s="1"/>
  <c r="P350" i="25" s="1"/>
  <c r="V350" i="25" s="1"/>
  <c r="B350" i="25" s="1"/>
  <c r="S346" i="25"/>
  <c r="R346" i="25" s="1"/>
  <c r="P346" i="25" s="1"/>
  <c r="V346" i="25" s="1"/>
  <c r="B346" i="25" s="1"/>
  <c r="S342" i="25"/>
  <c r="R342" i="25" s="1"/>
  <c r="P342" i="25" s="1"/>
  <c r="V342" i="25" s="1"/>
  <c r="B342" i="25" s="1"/>
  <c r="S338" i="25"/>
  <c r="R338" i="25" s="1"/>
  <c r="P338" i="25" s="1"/>
  <c r="V338" i="25" s="1"/>
  <c r="B338" i="25" s="1"/>
  <c r="S334" i="25"/>
  <c r="R334" i="25" s="1"/>
  <c r="P334" i="25" s="1"/>
  <c r="V334" i="25" s="1"/>
  <c r="B334" i="25" s="1"/>
  <c r="S330" i="25"/>
  <c r="R330" i="25" s="1"/>
  <c r="P330" i="25" s="1"/>
  <c r="V330" i="25" s="1"/>
  <c r="B330" i="25" s="1"/>
  <c r="S326" i="25"/>
  <c r="R326" i="25" s="1"/>
  <c r="P326" i="25" s="1"/>
  <c r="V326" i="25" s="1"/>
  <c r="B326" i="25" s="1"/>
  <c r="S322" i="25"/>
  <c r="R322" i="25" s="1"/>
  <c r="P322" i="25" s="1"/>
  <c r="V322" i="25" s="1"/>
  <c r="B322" i="25" s="1"/>
  <c r="S318" i="25"/>
  <c r="R318" i="25" s="1"/>
  <c r="P318" i="25" s="1"/>
  <c r="V318" i="25" s="1"/>
  <c r="B318" i="25" s="1"/>
  <c r="S314" i="25"/>
  <c r="R314" i="25" s="1"/>
  <c r="P314" i="25" s="1"/>
  <c r="V314" i="25" s="1"/>
  <c r="B314" i="25" s="1"/>
  <c r="S310" i="25"/>
  <c r="R310" i="25" s="1"/>
  <c r="P310" i="25" s="1"/>
  <c r="V310" i="25" s="1"/>
  <c r="B310" i="25" s="1"/>
  <c r="S306" i="25"/>
  <c r="R306" i="25" s="1"/>
  <c r="P306" i="25" s="1"/>
  <c r="V306" i="25" s="1"/>
  <c r="B306" i="25" s="1"/>
  <c r="S302" i="25"/>
  <c r="R302" i="25" s="1"/>
  <c r="P302" i="25" s="1"/>
  <c r="S298" i="25"/>
  <c r="R298" i="25" s="1"/>
  <c r="P298" i="25" s="1"/>
  <c r="V298" i="25" s="1"/>
  <c r="B298" i="25" s="1"/>
  <c r="S294" i="25"/>
  <c r="R294" i="25" s="1"/>
  <c r="P294" i="25" s="1"/>
  <c r="V294" i="25" s="1"/>
  <c r="B294" i="25" s="1"/>
  <c r="S290" i="25"/>
  <c r="R290" i="25" s="1"/>
  <c r="P290" i="25" s="1"/>
  <c r="V290" i="25" s="1"/>
  <c r="B290" i="25" s="1"/>
  <c r="S286" i="25"/>
  <c r="R286" i="25" s="1"/>
  <c r="P286" i="25" s="1"/>
  <c r="V286" i="25" s="1"/>
  <c r="B286" i="25" s="1"/>
  <c r="S282" i="25"/>
  <c r="R282" i="25" s="1"/>
  <c r="P282" i="25" s="1"/>
  <c r="V282" i="25" s="1"/>
  <c r="B282" i="25" s="1"/>
  <c r="S278" i="25"/>
  <c r="R278" i="25" s="1"/>
  <c r="P278" i="25" s="1"/>
  <c r="V278" i="25" s="1"/>
  <c r="B278" i="25" s="1"/>
  <c r="S274" i="25"/>
  <c r="R274" i="25" s="1"/>
  <c r="P274" i="25" s="1"/>
  <c r="V274" i="25" s="1"/>
  <c r="B274" i="25" s="1"/>
  <c r="S270" i="25"/>
  <c r="R270" i="25" s="1"/>
  <c r="P270" i="25" s="1"/>
  <c r="V270" i="25" s="1"/>
  <c r="B270" i="25" s="1"/>
  <c r="S266" i="25"/>
  <c r="R266" i="25" s="1"/>
  <c r="P266" i="25" s="1"/>
  <c r="V266" i="25" s="1"/>
  <c r="B266" i="25" s="1"/>
  <c r="S262" i="25"/>
  <c r="R262" i="25" s="1"/>
  <c r="P262" i="25" s="1"/>
  <c r="V262" i="25" s="1"/>
  <c r="B262" i="25" s="1"/>
  <c r="S258" i="25"/>
  <c r="R258" i="25" s="1"/>
  <c r="P258" i="25" s="1"/>
  <c r="V258" i="25" s="1"/>
  <c r="B258" i="25" s="1"/>
  <c r="S254" i="25"/>
  <c r="R254" i="25" s="1"/>
  <c r="P254" i="25" s="1"/>
  <c r="V254" i="25" s="1"/>
  <c r="B254" i="25" s="1"/>
  <c r="S250" i="25"/>
  <c r="R250" i="25" s="1"/>
  <c r="P250" i="25" s="1"/>
  <c r="V250" i="25" s="1"/>
  <c r="B250" i="25" s="1"/>
  <c r="S246" i="25"/>
  <c r="R246" i="25" s="1"/>
  <c r="P246" i="25" s="1"/>
  <c r="V246" i="25" s="1"/>
  <c r="B246" i="25" s="1"/>
  <c r="S242" i="25"/>
  <c r="R242" i="25" s="1"/>
  <c r="P242" i="25" s="1"/>
  <c r="V242" i="25" s="1"/>
  <c r="B242" i="25" s="1"/>
  <c r="S238" i="25"/>
  <c r="R238" i="25" s="1"/>
  <c r="P238" i="25" s="1"/>
  <c r="V238" i="25" s="1"/>
  <c r="B238" i="25" s="1"/>
  <c r="S234" i="25"/>
  <c r="R234" i="25" s="1"/>
  <c r="P234" i="25" s="1"/>
  <c r="V234" i="25" s="1"/>
  <c r="B234" i="25" s="1"/>
  <c r="S230" i="25"/>
  <c r="R230" i="25" s="1"/>
  <c r="P230" i="25" s="1"/>
  <c r="V230" i="25" s="1"/>
  <c r="B230" i="25" s="1"/>
  <c r="S226" i="25"/>
  <c r="R226" i="25" s="1"/>
  <c r="P226" i="25" s="1"/>
  <c r="V226" i="25" s="1"/>
  <c r="B226" i="25" s="1"/>
  <c r="S222" i="25"/>
  <c r="R222" i="25" s="1"/>
  <c r="P222" i="25" s="1"/>
  <c r="V222" i="25" s="1"/>
  <c r="B222" i="25" s="1"/>
  <c r="S218" i="25"/>
  <c r="R218" i="25" s="1"/>
  <c r="P218" i="25" s="1"/>
  <c r="V218" i="25" s="1"/>
  <c r="B218" i="25" s="1"/>
  <c r="S214" i="25"/>
  <c r="R214" i="25" s="1"/>
  <c r="P214" i="25" s="1"/>
  <c r="V214" i="25" s="1"/>
  <c r="B214" i="25" s="1"/>
  <c r="S210" i="25"/>
  <c r="R210" i="25" s="1"/>
  <c r="P210" i="25" s="1"/>
  <c r="S206" i="25"/>
  <c r="R206" i="25" s="1"/>
  <c r="P206" i="25" s="1"/>
  <c r="V206" i="25" s="1"/>
  <c r="B206" i="25" s="1"/>
  <c r="S202" i="25"/>
  <c r="R202" i="25" s="1"/>
  <c r="P202" i="25" s="1"/>
  <c r="V202" i="25" s="1"/>
  <c r="B202" i="25" s="1"/>
  <c r="S198" i="25"/>
  <c r="R198" i="25" s="1"/>
  <c r="P198" i="25" s="1"/>
  <c r="V198" i="25" s="1"/>
  <c r="B198" i="25" s="1"/>
  <c r="S194" i="25"/>
  <c r="R194" i="25" s="1"/>
  <c r="P194" i="25" s="1"/>
  <c r="V194" i="25" s="1"/>
  <c r="B194" i="25" s="1"/>
  <c r="S190" i="25"/>
  <c r="R190" i="25" s="1"/>
  <c r="P190" i="25" s="1"/>
  <c r="V190" i="25" s="1"/>
  <c r="B190" i="25" s="1"/>
  <c r="S186" i="25"/>
  <c r="R186" i="25" s="1"/>
  <c r="P186" i="25" s="1"/>
  <c r="V186" i="25" s="1"/>
  <c r="B186" i="25" s="1"/>
  <c r="S182" i="25"/>
  <c r="R182" i="25" s="1"/>
  <c r="P182" i="25" s="1"/>
  <c r="V182" i="25" s="1"/>
  <c r="B182" i="25" s="1"/>
  <c r="S178" i="25"/>
  <c r="R178" i="25" s="1"/>
  <c r="P178" i="25" s="1"/>
  <c r="V178" i="25" s="1"/>
  <c r="B178" i="25" s="1"/>
  <c r="S174" i="25"/>
  <c r="R174" i="25" s="1"/>
  <c r="P174" i="25" s="1"/>
  <c r="V174" i="25" s="1"/>
  <c r="B174" i="25" s="1"/>
  <c r="S170" i="25"/>
  <c r="R170" i="25" s="1"/>
  <c r="P170" i="25" s="1"/>
  <c r="V170" i="25" s="1"/>
  <c r="B170" i="25" s="1"/>
  <c r="S166" i="25"/>
  <c r="R166" i="25" s="1"/>
  <c r="P166" i="25" s="1"/>
  <c r="V166" i="25" s="1"/>
  <c r="B166" i="25" s="1"/>
  <c r="S162" i="25"/>
  <c r="R162" i="25" s="1"/>
  <c r="P162" i="25" s="1"/>
  <c r="V162" i="25" s="1"/>
  <c r="B162" i="25" s="1"/>
  <c r="S158" i="25"/>
  <c r="R158" i="25" s="1"/>
  <c r="P158" i="25" s="1"/>
  <c r="V158" i="25" s="1"/>
  <c r="B158" i="25" s="1"/>
  <c r="S154" i="25"/>
  <c r="R154" i="25" s="1"/>
  <c r="P154" i="25" s="1"/>
  <c r="V154" i="25" s="1"/>
  <c r="B154" i="25" s="1"/>
  <c r="S150" i="25"/>
  <c r="R150" i="25" s="1"/>
  <c r="P150" i="25" s="1"/>
  <c r="V150" i="25" s="1"/>
  <c r="B150" i="25" s="1"/>
  <c r="S146" i="25"/>
  <c r="R146" i="25" s="1"/>
  <c r="P146" i="25" s="1"/>
  <c r="V146" i="25" s="1"/>
  <c r="B146" i="25" s="1"/>
  <c r="S142" i="25"/>
  <c r="R142" i="25" s="1"/>
  <c r="P142" i="25" s="1"/>
  <c r="V142" i="25" s="1"/>
  <c r="B142" i="25" s="1"/>
  <c r="S138" i="25"/>
  <c r="R138" i="25" s="1"/>
  <c r="P138" i="25" s="1"/>
  <c r="V138" i="25" s="1"/>
  <c r="B138" i="25" s="1"/>
  <c r="S134" i="25"/>
  <c r="R134" i="25" s="1"/>
  <c r="P134" i="25" s="1"/>
  <c r="V134" i="25" s="1"/>
  <c r="B134" i="25" s="1"/>
  <c r="S130" i="25"/>
  <c r="R130" i="25" s="1"/>
  <c r="P130" i="25" s="1"/>
  <c r="V130" i="25" s="1"/>
  <c r="B130" i="25" s="1"/>
  <c r="S126" i="25"/>
  <c r="R126" i="25" s="1"/>
  <c r="P126" i="25" s="1"/>
  <c r="V126" i="25" s="1"/>
  <c r="B126" i="25" s="1"/>
  <c r="S122" i="25"/>
  <c r="R122" i="25" s="1"/>
  <c r="P122" i="25" s="1"/>
  <c r="V122" i="25" s="1"/>
  <c r="B122" i="25" s="1"/>
  <c r="S118" i="25"/>
  <c r="R118" i="25" s="1"/>
  <c r="P118" i="25" s="1"/>
  <c r="V118" i="25" s="1"/>
  <c r="B118" i="25" s="1"/>
  <c r="S114" i="25"/>
  <c r="R114" i="25" s="1"/>
  <c r="P114" i="25" s="1"/>
  <c r="V114" i="25" s="1"/>
  <c r="B114" i="25" s="1"/>
  <c r="S110" i="25"/>
  <c r="R110" i="25" s="1"/>
  <c r="P110" i="25" s="1"/>
  <c r="V110" i="25" s="1"/>
  <c r="B110" i="25" s="1"/>
  <c r="S106" i="25"/>
  <c r="R106" i="25" s="1"/>
  <c r="P106" i="25" s="1"/>
  <c r="V106" i="25" s="1"/>
  <c r="B106" i="25" s="1"/>
  <c r="S102" i="25"/>
  <c r="R102" i="25" s="1"/>
  <c r="P102" i="25" s="1"/>
  <c r="V102" i="25" s="1"/>
  <c r="B102" i="25" s="1"/>
  <c r="S98" i="25"/>
  <c r="R98" i="25" s="1"/>
  <c r="P98" i="25" s="1"/>
  <c r="V98" i="25" s="1"/>
  <c r="B98" i="25" s="1"/>
  <c r="S94" i="25"/>
  <c r="R94" i="25" s="1"/>
  <c r="P94" i="25" s="1"/>
  <c r="V94" i="25" s="1"/>
  <c r="B94" i="25" s="1"/>
  <c r="S90" i="25"/>
  <c r="R90" i="25" s="1"/>
  <c r="P90" i="25" s="1"/>
  <c r="V90" i="25" s="1"/>
  <c r="B90" i="25" s="1"/>
  <c r="S86" i="25"/>
  <c r="R86" i="25" s="1"/>
  <c r="P86" i="25" s="1"/>
  <c r="V86" i="25" s="1"/>
  <c r="B86" i="25" s="1"/>
  <c r="S82" i="25"/>
  <c r="R82" i="25" s="1"/>
  <c r="P82" i="25" s="1"/>
  <c r="V82" i="25" s="1"/>
  <c r="B82" i="25" s="1"/>
  <c r="S78" i="25"/>
  <c r="R78" i="25" s="1"/>
  <c r="P78" i="25" s="1"/>
  <c r="V78" i="25" s="1"/>
  <c r="B78" i="25" s="1"/>
  <c r="S74" i="25"/>
  <c r="R74" i="25" s="1"/>
  <c r="P74" i="25" s="1"/>
  <c r="V74" i="25" s="1"/>
  <c r="B74" i="25" s="1"/>
  <c r="S70" i="25"/>
  <c r="R70" i="25" s="1"/>
  <c r="P70" i="25" s="1"/>
  <c r="V70" i="25" s="1"/>
  <c r="B70" i="25" s="1"/>
  <c r="S66" i="25"/>
  <c r="R66" i="25" s="1"/>
  <c r="P66" i="25" s="1"/>
  <c r="V66" i="25" s="1"/>
  <c r="B66" i="25" s="1"/>
  <c r="S62" i="25"/>
  <c r="R62" i="25" s="1"/>
  <c r="P62" i="25" s="1"/>
  <c r="V62" i="25" s="1"/>
  <c r="B62" i="25" s="1"/>
  <c r="S58" i="25"/>
  <c r="R58" i="25" s="1"/>
  <c r="P58" i="25" s="1"/>
  <c r="V58" i="25" s="1"/>
  <c r="B58" i="25" s="1"/>
  <c r="S54" i="25"/>
  <c r="R54" i="25" s="1"/>
  <c r="P54" i="25" s="1"/>
  <c r="V54" i="25" s="1"/>
  <c r="B54" i="25" s="1"/>
  <c r="S50" i="25"/>
  <c r="R50" i="25" s="1"/>
  <c r="P50" i="25" s="1"/>
  <c r="V50" i="25" s="1"/>
  <c r="B50" i="25" s="1"/>
  <c r="S46" i="25"/>
  <c r="R46" i="25" s="1"/>
  <c r="P46" i="25" s="1"/>
  <c r="V46" i="25" s="1"/>
  <c r="B46" i="25" s="1"/>
  <c r="S42" i="25"/>
  <c r="R42" i="25" s="1"/>
  <c r="P42" i="25" s="1"/>
  <c r="V42" i="25" s="1"/>
  <c r="B42" i="25" s="1"/>
  <c r="S38" i="25"/>
  <c r="R38" i="25" s="1"/>
  <c r="P38" i="25" s="1"/>
  <c r="V38" i="25" s="1"/>
  <c r="B38" i="25" s="1"/>
  <c r="S34" i="25"/>
  <c r="R34" i="25" s="1"/>
  <c r="P34" i="25" s="1"/>
  <c r="V34" i="25" s="1"/>
  <c r="B34" i="25" s="1"/>
  <c r="S30" i="25"/>
  <c r="R30" i="25" s="1"/>
  <c r="P30" i="25" s="1"/>
  <c r="V30" i="25" s="1"/>
  <c r="B30" i="25" s="1"/>
  <c r="S26" i="25"/>
  <c r="R26" i="25" s="1"/>
  <c r="P26" i="25" s="1"/>
  <c r="V26" i="25" s="1"/>
  <c r="B26" i="25" s="1"/>
  <c r="S22" i="25"/>
  <c r="R22" i="25" s="1"/>
  <c r="P22" i="25" s="1"/>
  <c r="V22" i="25" s="1"/>
  <c r="B22" i="25" s="1"/>
  <c r="AK4" i="18"/>
  <c r="R15" i="19" s="1"/>
  <c r="AM13" i="18"/>
  <c r="Y11" i="18"/>
  <c r="J15" i="19"/>
  <c r="J31" i="19" s="1"/>
  <c r="AA11" i="18"/>
  <c r="AA5" i="18" s="1"/>
  <c r="I15" i="19" s="1"/>
  <c r="I51" i="24"/>
  <c r="J51" i="24"/>
  <c r="I35" i="24"/>
  <c r="J35" i="24"/>
  <c r="J91" i="24"/>
  <c r="I91" i="24"/>
  <c r="I167" i="24"/>
  <c r="J167" i="24"/>
  <c r="J275" i="24"/>
  <c r="I275" i="24"/>
  <c r="H319" i="24"/>
  <c r="G319" i="24"/>
  <c r="CE319" i="6" s="1"/>
  <c r="AA319" i="24"/>
  <c r="Z319" i="24" s="1"/>
  <c r="Y319" i="24" s="1"/>
  <c r="I343" i="24"/>
  <c r="J343" i="24"/>
  <c r="S373" i="25"/>
  <c r="R373" i="25" s="1"/>
  <c r="P373" i="25" s="1"/>
  <c r="V373" i="25" s="1"/>
  <c r="B373" i="25" s="1"/>
  <c r="S365" i="25"/>
  <c r="R365" i="25" s="1"/>
  <c r="P365" i="25" s="1"/>
  <c r="V365" i="25" s="1"/>
  <c r="B365" i="25" s="1"/>
  <c r="S357" i="25"/>
  <c r="R357" i="25" s="1"/>
  <c r="P357" i="25" s="1"/>
  <c r="V357" i="25" s="1"/>
  <c r="B357" i="25" s="1"/>
  <c r="S349" i="25"/>
  <c r="R349" i="25" s="1"/>
  <c r="P349" i="25" s="1"/>
  <c r="V349" i="25" s="1"/>
  <c r="B349" i="25" s="1"/>
  <c r="S341" i="25"/>
  <c r="R341" i="25" s="1"/>
  <c r="P341" i="25" s="1"/>
  <c r="V341" i="25" s="1"/>
  <c r="B341" i="25" s="1"/>
  <c r="S329" i="25"/>
  <c r="R329" i="25" s="1"/>
  <c r="P329" i="25" s="1"/>
  <c r="V329" i="25" s="1"/>
  <c r="B329" i="25" s="1"/>
  <c r="S321" i="25"/>
  <c r="R321" i="25" s="1"/>
  <c r="P321" i="25" s="1"/>
  <c r="V321" i="25" s="1"/>
  <c r="B321" i="25" s="1"/>
  <c r="S313" i="25"/>
  <c r="R313" i="25" s="1"/>
  <c r="P313" i="25" s="1"/>
  <c r="V313" i="25" s="1"/>
  <c r="B313" i="25" s="1"/>
  <c r="S305" i="25"/>
  <c r="R305" i="25" s="1"/>
  <c r="P305" i="25" s="1"/>
  <c r="V305" i="25" s="1"/>
  <c r="B305" i="25" s="1"/>
  <c r="S297" i="25"/>
  <c r="R297" i="25" s="1"/>
  <c r="P297" i="25" s="1"/>
  <c r="V297" i="25" s="1"/>
  <c r="B297" i="25" s="1"/>
  <c r="S289" i="25"/>
  <c r="R289" i="25" s="1"/>
  <c r="P289" i="25" s="1"/>
  <c r="V289" i="25" s="1"/>
  <c r="B289" i="25" s="1"/>
  <c r="S281" i="25"/>
  <c r="R281" i="25" s="1"/>
  <c r="P281" i="25" s="1"/>
  <c r="V281" i="25" s="1"/>
  <c r="B281" i="25" s="1"/>
  <c r="S273" i="25"/>
  <c r="R273" i="25" s="1"/>
  <c r="P273" i="25" s="1"/>
  <c r="V273" i="25" s="1"/>
  <c r="B273" i="25" s="1"/>
  <c r="S265" i="25"/>
  <c r="R265" i="25" s="1"/>
  <c r="P265" i="25" s="1"/>
  <c r="V265" i="25" s="1"/>
  <c r="B265" i="25" s="1"/>
  <c r="S257" i="25"/>
  <c r="R257" i="25" s="1"/>
  <c r="P257" i="25" s="1"/>
  <c r="V257" i="25" s="1"/>
  <c r="B257" i="25" s="1"/>
  <c r="S253" i="25"/>
  <c r="R253" i="25" s="1"/>
  <c r="P253" i="25" s="1"/>
  <c r="V253" i="25" s="1"/>
  <c r="B253" i="25" s="1"/>
  <c r="S245" i="25"/>
  <c r="R245" i="25" s="1"/>
  <c r="P245" i="25" s="1"/>
  <c r="V245" i="25" s="1"/>
  <c r="B245" i="25" s="1"/>
  <c r="S237" i="25"/>
  <c r="R237" i="25" s="1"/>
  <c r="P237" i="25" s="1"/>
  <c r="V237" i="25" s="1"/>
  <c r="B237" i="25" s="1"/>
  <c r="S229" i="25"/>
  <c r="R229" i="25" s="1"/>
  <c r="P229" i="25" s="1"/>
  <c r="V229" i="25" s="1"/>
  <c r="B229" i="25" s="1"/>
  <c r="S221" i="25"/>
  <c r="R221" i="25" s="1"/>
  <c r="P221" i="25" s="1"/>
  <c r="V221" i="25" s="1"/>
  <c r="B221" i="25" s="1"/>
  <c r="S213" i="25"/>
  <c r="R213" i="25" s="1"/>
  <c r="P213" i="25" s="1"/>
  <c r="V213" i="25" s="1"/>
  <c r="B213" i="25" s="1"/>
  <c r="S201" i="25"/>
  <c r="R201" i="25" s="1"/>
  <c r="P201" i="25" s="1"/>
  <c r="V201" i="25" s="1"/>
  <c r="B201" i="25" s="1"/>
  <c r="S193" i="25"/>
  <c r="R193" i="25" s="1"/>
  <c r="P193" i="25" s="1"/>
  <c r="V193" i="25" s="1"/>
  <c r="B193" i="25" s="1"/>
  <c r="S189" i="25"/>
  <c r="R189" i="25" s="1"/>
  <c r="P189" i="25" s="1"/>
  <c r="V189" i="25" s="1"/>
  <c r="B189" i="25" s="1"/>
  <c r="S181" i="25"/>
  <c r="R181" i="25" s="1"/>
  <c r="P181" i="25" s="1"/>
  <c r="V181" i="25" s="1"/>
  <c r="B181" i="25" s="1"/>
  <c r="S173" i="25"/>
  <c r="R173" i="25" s="1"/>
  <c r="P173" i="25" s="1"/>
  <c r="V173" i="25" s="1"/>
  <c r="B173" i="25" s="1"/>
  <c r="S165" i="25"/>
  <c r="R165" i="25" s="1"/>
  <c r="P165" i="25" s="1"/>
  <c r="V165" i="25" s="1"/>
  <c r="B165" i="25" s="1"/>
  <c r="S153" i="25"/>
  <c r="R153" i="25" s="1"/>
  <c r="P153" i="25" s="1"/>
  <c r="V153" i="25" s="1"/>
  <c r="B153" i="25" s="1"/>
  <c r="S145" i="25"/>
  <c r="R145" i="25" s="1"/>
  <c r="P145" i="25" s="1"/>
  <c r="V145" i="25" s="1"/>
  <c r="B145" i="25" s="1"/>
  <c r="S137" i="25"/>
  <c r="R137" i="25" s="1"/>
  <c r="P137" i="25" s="1"/>
  <c r="V137" i="25" s="1"/>
  <c r="B137" i="25" s="1"/>
  <c r="S129" i="25"/>
  <c r="R129" i="25" s="1"/>
  <c r="P129" i="25" s="1"/>
  <c r="V129" i="25" s="1"/>
  <c r="B129" i="25" s="1"/>
  <c r="S121" i="25"/>
  <c r="R121" i="25" s="1"/>
  <c r="P121" i="25" s="1"/>
  <c r="V121" i="25" s="1"/>
  <c r="B121" i="25" s="1"/>
  <c r="S113" i="25"/>
  <c r="R113" i="25" s="1"/>
  <c r="P113" i="25" s="1"/>
  <c r="V113" i="25" s="1"/>
  <c r="B113" i="25" s="1"/>
  <c r="S105" i="25"/>
  <c r="R105" i="25" s="1"/>
  <c r="P105" i="25" s="1"/>
  <c r="V105" i="25" s="1"/>
  <c r="B105" i="25" s="1"/>
  <c r="S97" i="25"/>
  <c r="R97" i="25" s="1"/>
  <c r="P97" i="25" s="1"/>
  <c r="V97" i="25" s="1"/>
  <c r="B97" i="25" s="1"/>
  <c r="S89" i="25"/>
  <c r="R89" i="25" s="1"/>
  <c r="P89" i="25" s="1"/>
  <c r="V89" i="25" s="1"/>
  <c r="B89" i="25" s="1"/>
  <c r="S81" i="25"/>
  <c r="R81" i="25" s="1"/>
  <c r="P81" i="25" s="1"/>
  <c r="V81" i="25" s="1"/>
  <c r="B81" i="25" s="1"/>
  <c r="S73" i="25"/>
  <c r="R73" i="25" s="1"/>
  <c r="P73" i="25" s="1"/>
  <c r="V73" i="25" s="1"/>
  <c r="B73" i="25" s="1"/>
  <c r="S65" i="25"/>
  <c r="R65" i="25" s="1"/>
  <c r="P65" i="25" s="1"/>
  <c r="V65" i="25" s="1"/>
  <c r="B65" i="25" s="1"/>
  <c r="S57" i="25"/>
  <c r="R57" i="25" s="1"/>
  <c r="P57" i="25" s="1"/>
  <c r="V57" i="25" s="1"/>
  <c r="B57" i="25" s="1"/>
  <c r="S49" i="25"/>
  <c r="R49" i="25" s="1"/>
  <c r="P49" i="25" s="1"/>
  <c r="V49" i="25" s="1"/>
  <c r="B49" i="25" s="1"/>
  <c r="S41" i="25"/>
  <c r="R41" i="25" s="1"/>
  <c r="P41" i="25" s="1"/>
  <c r="V41" i="25" s="1"/>
  <c r="B41" i="25" s="1"/>
  <c r="S33" i="25"/>
  <c r="R33" i="25" s="1"/>
  <c r="P33" i="25" s="1"/>
  <c r="V33" i="25" s="1"/>
  <c r="B33" i="25" s="1"/>
  <c r="S25" i="25"/>
  <c r="R25" i="25" s="1"/>
  <c r="P25" i="25" s="1"/>
  <c r="V25" i="25" s="1"/>
  <c r="B25" i="25" s="1"/>
  <c r="S19" i="25"/>
  <c r="R19" i="25" s="1"/>
  <c r="P19" i="25" s="1"/>
  <c r="V19" i="25" s="1"/>
  <c r="B19" i="25" s="1"/>
  <c r="H333" i="24"/>
  <c r="Z11" i="18"/>
  <c r="Z5" i="18" s="1"/>
  <c r="H15" i="19" s="1"/>
  <c r="AJ13" i="23" l="1"/>
  <c r="AM9" i="23"/>
  <c r="AK9" i="23"/>
  <c r="AK11" i="23" s="1"/>
  <c r="H31" i="19"/>
  <c r="I31" i="19"/>
  <c r="H39" i="19"/>
  <c r="I39" i="19"/>
  <c r="N16" i="19"/>
  <c r="V379" i="25"/>
  <c r="D44" i="19"/>
  <c r="D33" i="19" s="1"/>
  <c r="C18" i="19"/>
  <c r="F42" i="19"/>
  <c r="M16" i="19"/>
  <c r="W33" i="25"/>
  <c r="D33" i="25"/>
  <c r="E33" i="25" s="1"/>
  <c r="F33" i="25" s="1"/>
  <c r="D49" i="25"/>
  <c r="E49" i="25" s="1"/>
  <c r="F49" i="25" s="1"/>
  <c r="H49" i="25" s="1"/>
  <c r="W49" i="25"/>
  <c r="W65" i="25"/>
  <c r="D65" i="25"/>
  <c r="E65" i="25" s="1"/>
  <c r="F65" i="25" s="1"/>
  <c r="H65" i="25" s="1"/>
  <c r="W81" i="25"/>
  <c r="D81" i="25"/>
  <c r="E81" i="25" s="1"/>
  <c r="F81" i="25" s="1"/>
  <c r="D97" i="25"/>
  <c r="E97" i="25" s="1"/>
  <c r="F97" i="25" s="1"/>
  <c r="W97" i="25"/>
  <c r="D113" i="25"/>
  <c r="E113" i="25" s="1"/>
  <c r="F113" i="25" s="1"/>
  <c r="H113" i="25" s="1"/>
  <c r="W113" i="25"/>
  <c r="W129" i="25"/>
  <c r="D129" i="25"/>
  <c r="E129" i="25" s="1"/>
  <c r="F129" i="25" s="1"/>
  <c r="H129" i="25" s="1"/>
  <c r="W145" i="25"/>
  <c r="D145" i="25"/>
  <c r="E145" i="25" s="1"/>
  <c r="F145" i="25" s="1"/>
  <c r="H145" i="25" s="1"/>
  <c r="D165" i="25"/>
  <c r="E165" i="25" s="1"/>
  <c r="F165" i="25" s="1"/>
  <c r="W165" i="25"/>
  <c r="W181" i="25"/>
  <c r="D181" i="25"/>
  <c r="E181" i="25" s="1"/>
  <c r="F181" i="25" s="1"/>
  <c r="H181" i="25" s="1"/>
  <c r="W193" i="25"/>
  <c r="D193" i="25"/>
  <c r="E193" i="25" s="1"/>
  <c r="F193" i="25" s="1"/>
  <c r="W213" i="25"/>
  <c r="D213" i="25"/>
  <c r="E213" i="25" s="1"/>
  <c r="F213" i="25" s="1"/>
  <c r="W229" i="25"/>
  <c r="D229" i="25"/>
  <c r="E229" i="25" s="1"/>
  <c r="F229" i="25" s="1"/>
  <c r="W245" i="25"/>
  <c r="D245" i="25"/>
  <c r="E245" i="25" s="1"/>
  <c r="F245" i="25" s="1"/>
  <c r="W257" i="25"/>
  <c r="D257" i="25"/>
  <c r="E257" i="25" s="1"/>
  <c r="F257" i="25" s="1"/>
  <c r="W273" i="25"/>
  <c r="D273" i="25"/>
  <c r="E273" i="25" s="1"/>
  <c r="F273" i="25" s="1"/>
  <c r="W289" i="25"/>
  <c r="D289" i="25"/>
  <c r="E289" i="25" s="1"/>
  <c r="F289" i="25" s="1"/>
  <c r="H289" i="25" s="1"/>
  <c r="D305" i="25"/>
  <c r="E305" i="25" s="1"/>
  <c r="F305" i="25" s="1"/>
  <c r="W305" i="25"/>
  <c r="W321" i="25"/>
  <c r="D321" i="25"/>
  <c r="E321" i="25" s="1"/>
  <c r="F321" i="25" s="1"/>
  <c r="H321" i="25" s="1"/>
  <c r="D341" i="25"/>
  <c r="E341" i="25" s="1"/>
  <c r="F341" i="25" s="1"/>
  <c r="H341" i="25" s="1"/>
  <c r="W341" i="25"/>
  <c r="D357" i="25"/>
  <c r="E357" i="25" s="1"/>
  <c r="F357" i="25" s="1"/>
  <c r="W357" i="25"/>
  <c r="D373" i="25"/>
  <c r="E373" i="25" s="1"/>
  <c r="F373" i="25" s="1"/>
  <c r="W373" i="25"/>
  <c r="D22" i="25"/>
  <c r="E22" i="25" s="1"/>
  <c r="F22" i="25" s="1"/>
  <c r="W22" i="25"/>
  <c r="W30" i="25"/>
  <c r="D30" i="25"/>
  <c r="E30" i="25" s="1"/>
  <c r="F30" i="25" s="1"/>
  <c r="H30" i="25" s="1"/>
  <c r="W38" i="25"/>
  <c r="D38" i="25"/>
  <c r="E38" i="25" s="1"/>
  <c r="F38" i="25" s="1"/>
  <c r="D46" i="25"/>
  <c r="E46" i="25" s="1"/>
  <c r="F46" i="25" s="1"/>
  <c r="W46" i="25"/>
  <c r="W54" i="25"/>
  <c r="D54" i="25"/>
  <c r="E54" i="25" s="1"/>
  <c r="F54" i="25" s="1"/>
  <c r="W62" i="25"/>
  <c r="D62" i="25"/>
  <c r="E62" i="25" s="1"/>
  <c r="F62" i="25" s="1"/>
  <c r="H62" i="25" s="1"/>
  <c r="W70" i="25"/>
  <c r="D70" i="25"/>
  <c r="E70" i="25" s="1"/>
  <c r="F70" i="25" s="1"/>
  <c r="H70" i="25" s="1"/>
  <c r="W78" i="25"/>
  <c r="D78" i="25"/>
  <c r="E78" i="25" s="1"/>
  <c r="F78" i="25" s="1"/>
  <c r="D86" i="25"/>
  <c r="E86" i="25" s="1"/>
  <c r="F86" i="25" s="1"/>
  <c r="W86" i="25"/>
  <c r="D94" i="25"/>
  <c r="E94" i="25" s="1"/>
  <c r="F94" i="25" s="1"/>
  <c r="W94" i="25"/>
  <c r="D102" i="25"/>
  <c r="E102" i="25" s="1"/>
  <c r="F102" i="25" s="1"/>
  <c r="W102" i="25"/>
  <c r="D110" i="25"/>
  <c r="E110" i="25" s="1"/>
  <c r="F110" i="25" s="1"/>
  <c r="W110" i="25"/>
  <c r="D118" i="25"/>
  <c r="E118" i="25" s="1"/>
  <c r="F118" i="25" s="1"/>
  <c r="W118" i="25"/>
  <c r="W126" i="25"/>
  <c r="D126" i="25"/>
  <c r="E126" i="25" s="1"/>
  <c r="F126" i="25" s="1"/>
  <c r="D134" i="25"/>
  <c r="E134" i="25" s="1"/>
  <c r="F134" i="25" s="1"/>
  <c r="H134" i="25" s="1"/>
  <c r="W134" i="25"/>
  <c r="D142" i="25"/>
  <c r="E142" i="25" s="1"/>
  <c r="F142" i="25" s="1"/>
  <c r="W142" i="25"/>
  <c r="W150" i="25"/>
  <c r="D150" i="25"/>
  <c r="E150" i="25" s="1"/>
  <c r="F150" i="25" s="1"/>
  <c r="W158" i="25"/>
  <c r="D158" i="25"/>
  <c r="E158" i="25" s="1"/>
  <c r="F158" i="25" s="1"/>
  <c r="H158" i="25" s="1"/>
  <c r="W166" i="25"/>
  <c r="D166" i="25"/>
  <c r="E166" i="25" s="1"/>
  <c r="F166" i="25" s="1"/>
  <c r="H166" i="25" s="1"/>
  <c r="D174" i="25"/>
  <c r="E174" i="25" s="1"/>
  <c r="F174" i="25" s="1"/>
  <c r="W174" i="25"/>
  <c r="D182" i="25"/>
  <c r="E182" i="25" s="1"/>
  <c r="F182" i="25" s="1"/>
  <c r="H182" i="25" s="1"/>
  <c r="W182" i="25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D214" i="25"/>
  <c r="E214" i="25" s="1"/>
  <c r="F214" i="25" s="1"/>
  <c r="W214" i="25"/>
  <c r="W222" i="25"/>
  <c r="D222" i="25"/>
  <c r="E222" i="25" s="1"/>
  <c r="F222" i="25" s="1"/>
  <c r="H222" i="25" s="1"/>
  <c r="W230" i="25"/>
  <c r="D230" i="25"/>
  <c r="E230" i="25" s="1"/>
  <c r="F230" i="25" s="1"/>
  <c r="D238" i="25"/>
  <c r="E238" i="25" s="1"/>
  <c r="F238" i="25" s="1"/>
  <c r="W238" i="25"/>
  <c r="D246" i="25"/>
  <c r="E246" i="25" s="1"/>
  <c r="F246" i="25" s="1"/>
  <c r="W246" i="25"/>
  <c r="W254" i="25"/>
  <c r="D254" i="25"/>
  <c r="E254" i="25" s="1"/>
  <c r="F254" i="25" s="1"/>
  <c r="W262" i="25"/>
  <c r="D262" i="25"/>
  <c r="E262" i="25" s="1"/>
  <c r="F262" i="25" s="1"/>
  <c r="D270" i="25"/>
  <c r="E270" i="25" s="1"/>
  <c r="F270" i="25" s="1"/>
  <c r="W270" i="25"/>
  <c r="W278" i="25"/>
  <c r="D278" i="25"/>
  <c r="E278" i="25" s="1"/>
  <c r="F278" i="25" s="1"/>
  <c r="H278" i="25" s="1"/>
  <c r="D286" i="25"/>
  <c r="E286" i="25" s="1"/>
  <c r="F286" i="25" s="1"/>
  <c r="W286" i="25"/>
  <c r="D294" i="25"/>
  <c r="E294" i="25" s="1"/>
  <c r="F294" i="25" s="1"/>
  <c r="W294" i="25"/>
  <c r="AH77" i="7"/>
  <c r="V302" i="25"/>
  <c r="W310" i="25"/>
  <c r="D310" i="25"/>
  <c r="E310" i="25" s="1"/>
  <c r="F310" i="25" s="1"/>
  <c r="D318" i="25"/>
  <c r="E318" i="25" s="1"/>
  <c r="F318" i="25" s="1"/>
  <c r="W318" i="25"/>
  <c r="W326" i="25"/>
  <c r="D326" i="25"/>
  <c r="E326" i="25" s="1"/>
  <c r="F326" i="25" s="1"/>
  <c r="W334" i="25"/>
  <c r="D334" i="25"/>
  <c r="E334" i="25" s="1"/>
  <c r="F334" i="25" s="1"/>
  <c r="W342" i="25"/>
  <c r="D342" i="25"/>
  <c r="E342" i="25" s="1"/>
  <c r="F342" i="25" s="1"/>
  <c r="H342" i="25" s="1"/>
  <c r="D350" i="25"/>
  <c r="E350" i="25" s="1"/>
  <c r="F350" i="25" s="1"/>
  <c r="H350" i="25" s="1"/>
  <c r="W350" i="25"/>
  <c r="W358" i="25"/>
  <c r="D358" i="25"/>
  <c r="E358" i="25" s="1"/>
  <c r="F358" i="25" s="1"/>
  <c r="D366" i="25"/>
  <c r="E366" i="25" s="1"/>
  <c r="F366" i="25" s="1"/>
  <c r="W366" i="25"/>
  <c r="D374" i="25"/>
  <c r="E374" i="25" s="1"/>
  <c r="F374" i="25" s="1"/>
  <c r="W374" i="25"/>
  <c r="D20" i="25"/>
  <c r="E20" i="25" s="1"/>
  <c r="F20" i="25" s="1"/>
  <c r="W20" i="25"/>
  <c r="D28" i="25"/>
  <c r="E28" i="25" s="1"/>
  <c r="F28" i="25" s="1"/>
  <c r="W28" i="25"/>
  <c r="W36" i="25"/>
  <c r="D36" i="25"/>
  <c r="E36" i="25" s="1"/>
  <c r="F36" i="25" s="1"/>
  <c r="W44" i="25"/>
  <c r="D44" i="25"/>
  <c r="E44" i="25" s="1"/>
  <c r="F44" i="25" s="1"/>
  <c r="D52" i="25"/>
  <c r="E52" i="25" s="1"/>
  <c r="F52" i="25" s="1"/>
  <c r="W52" i="25"/>
  <c r="AH69" i="7"/>
  <c r="V60" i="25"/>
  <c r="D68" i="25"/>
  <c r="E68" i="25" s="1"/>
  <c r="F68" i="25" s="1"/>
  <c r="W68" i="25"/>
  <c r="W76" i="25"/>
  <c r="D76" i="25"/>
  <c r="E76" i="25" s="1"/>
  <c r="F76" i="25" s="1"/>
  <c r="D84" i="25"/>
  <c r="E84" i="25" s="1"/>
  <c r="F84" i="25" s="1"/>
  <c r="W84" i="25"/>
  <c r="D92" i="25"/>
  <c r="E92" i="25" s="1"/>
  <c r="F92" i="25" s="1"/>
  <c r="W92" i="25"/>
  <c r="W100" i="25"/>
  <c r="D100" i="25"/>
  <c r="E100" i="25" s="1"/>
  <c r="F100" i="25" s="1"/>
  <c r="D108" i="25"/>
  <c r="E108" i="25" s="1"/>
  <c r="F108" i="25" s="1"/>
  <c r="W108" i="25"/>
  <c r="D116" i="25"/>
  <c r="E116" i="25" s="1"/>
  <c r="F116" i="25" s="1"/>
  <c r="W116" i="25"/>
  <c r="W124" i="25"/>
  <c r="D124" i="25"/>
  <c r="E124" i="25" s="1"/>
  <c r="F124" i="25" s="1"/>
  <c r="D132" i="25"/>
  <c r="E132" i="25" s="1"/>
  <c r="F132" i="25" s="1"/>
  <c r="W132" i="25"/>
  <c r="D140" i="25"/>
  <c r="E140" i="25" s="1"/>
  <c r="F140" i="25" s="1"/>
  <c r="W140" i="25"/>
  <c r="D148" i="25"/>
  <c r="E148" i="25" s="1"/>
  <c r="F148" i="25" s="1"/>
  <c r="W148" i="25"/>
  <c r="W156" i="25"/>
  <c r="D156" i="25"/>
  <c r="E156" i="25" s="1"/>
  <c r="F156" i="25" s="1"/>
  <c r="H156" i="25" s="1"/>
  <c r="D164" i="25"/>
  <c r="E164" i="25" s="1"/>
  <c r="F164" i="25" s="1"/>
  <c r="W164" i="25"/>
  <c r="W172" i="25"/>
  <c r="D172" i="25"/>
  <c r="E172" i="25" s="1"/>
  <c r="F172" i="25" s="1"/>
  <c r="AH73" i="7"/>
  <c r="V180" i="25"/>
  <c r="D188" i="25"/>
  <c r="E188" i="25" s="1"/>
  <c r="F188" i="25" s="1"/>
  <c r="W188" i="25"/>
  <c r="D196" i="25"/>
  <c r="E196" i="25" s="1"/>
  <c r="F196" i="25" s="1"/>
  <c r="W196" i="25"/>
  <c r="D204" i="25"/>
  <c r="E204" i="25" s="1"/>
  <c r="F204" i="25" s="1"/>
  <c r="W204" i="25"/>
  <c r="D212" i="25"/>
  <c r="E212" i="25" s="1"/>
  <c r="F212" i="25" s="1"/>
  <c r="W212" i="25"/>
  <c r="D220" i="25"/>
  <c r="E220" i="25" s="1"/>
  <c r="F220" i="25" s="1"/>
  <c r="H220" i="25" s="1"/>
  <c r="W220" i="25"/>
  <c r="W228" i="25"/>
  <c r="D228" i="25"/>
  <c r="E228" i="25" s="1"/>
  <c r="F228" i="25" s="1"/>
  <c r="H228" i="25" s="1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H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W284" i="25"/>
  <c r="D284" i="25"/>
  <c r="E284" i="25" s="1"/>
  <c r="F284" i="25" s="1"/>
  <c r="W292" i="25"/>
  <c r="D292" i="25"/>
  <c r="E292" i="25" s="1"/>
  <c r="F292" i="25" s="1"/>
  <c r="D300" i="25"/>
  <c r="E300" i="25" s="1"/>
  <c r="F300" i="25" s="1"/>
  <c r="W300" i="25"/>
  <c r="D308" i="25"/>
  <c r="E308" i="25" s="1"/>
  <c r="F308" i="25" s="1"/>
  <c r="W308" i="25"/>
  <c r="D316" i="25"/>
  <c r="E316" i="25" s="1"/>
  <c r="F316" i="25" s="1"/>
  <c r="W316" i="25"/>
  <c r="W324" i="25"/>
  <c r="D324" i="25"/>
  <c r="E324" i="25" s="1"/>
  <c r="F324" i="25" s="1"/>
  <c r="H324" i="25" s="1"/>
  <c r="W332" i="25"/>
  <c r="D332" i="25"/>
  <c r="E332" i="25" s="1"/>
  <c r="F332" i="25" s="1"/>
  <c r="H332" i="25" s="1"/>
  <c r="W340" i="25"/>
  <c r="D340" i="25"/>
  <c r="E340" i="25" s="1"/>
  <c r="F340" i="25" s="1"/>
  <c r="H340" i="25" s="1"/>
  <c r="W348" i="25"/>
  <c r="D348" i="25"/>
  <c r="E348" i="25" s="1"/>
  <c r="F348" i="25" s="1"/>
  <c r="D356" i="25"/>
  <c r="E356" i="25" s="1"/>
  <c r="F356" i="25" s="1"/>
  <c r="H356" i="25" s="1"/>
  <c r="W356" i="25"/>
  <c r="D364" i="25"/>
  <c r="E364" i="25" s="1"/>
  <c r="F364" i="25" s="1"/>
  <c r="W364" i="25"/>
  <c r="W372" i="25"/>
  <c r="D372" i="25"/>
  <c r="E372" i="25" s="1"/>
  <c r="F372" i="25" s="1"/>
  <c r="W21" i="25"/>
  <c r="D21" i="25"/>
  <c r="E21" i="25" s="1"/>
  <c r="F21" i="25" s="1"/>
  <c r="W37" i="25"/>
  <c r="D37" i="25"/>
  <c r="E37" i="25" s="1"/>
  <c r="F37" i="25" s="1"/>
  <c r="H37" i="25" s="1"/>
  <c r="W53" i="25"/>
  <c r="D53" i="25"/>
  <c r="E53" i="25" s="1"/>
  <c r="F53" i="25" s="1"/>
  <c r="H53" i="25" s="1"/>
  <c r="W69" i="25"/>
  <c r="D69" i="25"/>
  <c r="E69" i="25" s="1"/>
  <c r="F69" i="25" s="1"/>
  <c r="D85" i="25"/>
  <c r="E85" i="25" s="1"/>
  <c r="F85" i="25" s="1"/>
  <c r="W85" i="25"/>
  <c r="W101" i="25"/>
  <c r="D101" i="25"/>
  <c r="E101" i="25" s="1"/>
  <c r="F101" i="25" s="1"/>
  <c r="D117" i="25"/>
  <c r="E117" i="25" s="1"/>
  <c r="F117" i="25" s="1"/>
  <c r="W117" i="25"/>
  <c r="W133" i="25"/>
  <c r="D133" i="25"/>
  <c r="E133" i="25" s="1"/>
  <c r="F133" i="25" s="1"/>
  <c r="AH72" i="7"/>
  <c r="V149" i="25"/>
  <c r="D161" i="25"/>
  <c r="E161" i="25" s="1"/>
  <c r="F161" i="25" s="1"/>
  <c r="H161" i="25" s="1"/>
  <c r="W161" i="25"/>
  <c r="D177" i="25"/>
  <c r="E177" i="25" s="1"/>
  <c r="F177" i="25" s="1"/>
  <c r="H177" i="25" s="1"/>
  <c r="W177" i="25"/>
  <c r="W197" i="25"/>
  <c r="D197" i="25"/>
  <c r="E197" i="25" s="1"/>
  <c r="F197" i="25" s="1"/>
  <c r="H197" i="25" s="1"/>
  <c r="W209" i="25"/>
  <c r="D209" i="25"/>
  <c r="E209" i="25" s="1"/>
  <c r="F209" i="25" s="1"/>
  <c r="D225" i="25"/>
  <c r="E225" i="25" s="1"/>
  <c r="F225" i="25" s="1"/>
  <c r="W225" i="25"/>
  <c r="AH75" i="7"/>
  <c r="V241" i="25"/>
  <c r="W261" i="25"/>
  <c r="D261" i="25"/>
  <c r="E261" i="25" s="1"/>
  <c r="F261" i="25" s="1"/>
  <c r="H261" i="25" s="1"/>
  <c r="W277" i="25"/>
  <c r="D277" i="25"/>
  <c r="E277" i="25" s="1"/>
  <c r="F277" i="25" s="1"/>
  <c r="W293" i="25"/>
  <c r="D293" i="25"/>
  <c r="E293" i="25" s="1"/>
  <c r="F293" i="25" s="1"/>
  <c r="H293" i="25" s="1"/>
  <c r="W309" i="25"/>
  <c r="D309" i="25"/>
  <c r="E309" i="25" s="1"/>
  <c r="F309" i="25" s="1"/>
  <c r="D325" i="25"/>
  <c r="E325" i="25" s="1"/>
  <c r="F325" i="25" s="1"/>
  <c r="W325" i="25"/>
  <c r="W337" i="25"/>
  <c r="D337" i="25"/>
  <c r="E337" i="25" s="1"/>
  <c r="F337" i="25" s="1"/>
  <c r="W353" i="25"/>
  <c r="D353" i="25"/>
  <c r="E353" i="25" s="1"/>
  <c r="F353" i="25" s="1"/>
  <c r="W369" i="25"/>
  <c r="D369" i="25"/>
  <c r="E369" i="25" s="1"/>
  <c r="F369" i="25" s="1"/>
  <c r="W19" i="25"/>
  <c r="D19" i="25"/>
  <c r="E19" i="25" s="1"/>
  <c r="F19" i="25" s="1"/>
  <c r="D25" i="25"/>
  <c r="E25" i="25" s="1"/>
  <c r="F25" i="25" s="1"/>
  <c r="H25" i="25" s="1"/>
  <c r="W25" i="25"/>
  <c r="W41" i="25"/>
  <c r="D41" i="25"/>
  <c r="E41" i="25" s="1"/>
  <c r="F41" i="25" s="1"/>
  <c r="D57" i="25"/>
  <c r="E57" i="25" s="1"/>
  <c r="F57" i="25" s="1"/>
  <c r="W57" i="25"/>
  <c r="W73" i="25"/>
  <c r="D73" i="25"/>
  <c r="E73" i="25" s="1"/>
  <c r="F73" i="25" s="1"/>
  <c r="D89" i="25"/>
  <c r="E89" i="25" s="1"/>
  <c r="F89" i="25" s="1"/>
  <c r="W89" i="25"/>
  <c r="D105" i="25"/>
  <c r="E105" i="25" s="1"/>
  <c r="F105" i="25" s="1"/>
  <c r="W105" i="25"/>
  <c r="D121" i="25"/>
  <c r="E121" i="25" s="1"/>
  <c r="F121" i="25" s="1"/>
  <c r="W121" i="25"/>
  <c r="D137" i="25"/>
  <c r="E137" i="25" s="1"/>
  <c r="F137" i="25" s="1"/>
  <c r="W137" i="25"/>
  <c r="W153" i="25"/>
  <c r="D153" i="25"/>
  <c r="E153" i="25" s="1"/>
  <c r="F153" i="25" s="1"/>
  <c r="D173" i="25"/>
  <c r="E173" i="25" s="1"/>
  <c r="F173" i="25" s="1"/>
  <c r="W173" i="25"/>
  <c r="D189" i="25"/>
  <c r="E189" i="25" s="1"/>
  <c r="F189" i="25" s="1"/>
  <c r="H189" i="25" s="1"/>
  <c r="W189" i="25"/>
  <c r="W201" i="25"/>
  <c r="D201" i="25"/>
  <c r="E201" i="25" s="1"/>
  <c r="F201" i="25" s="1"/>
  <c r="W221" i="25"/>
  <c r="D221" i="25"/>
  <c r="E221" i="25" s="1"/>
  <c r="F221" i="25" s="1"/>
  <c r="W237" i="25"/>
  <c r="D237" i="25"/>
  <c r="E237" i="25" s="1"/>
  <c r="F237" i="25" s="1"/>
  <c r="W253" i="25"/>
  <c r="D253" i="25"/>
  <c r="E253" i="25" s="1"/>
  <c r="F253" i="25" s="1"/>
  <c r="H253" i="25" s="1"/>
  <c r="D265" i="25"/>
  <c r="E265" i="25" s="1"/>
  <c r="F265" i="25" s="1"/>
  <c r="W265" i="25"/>
  <c r="D281" i="25"/>
  <c r="E281" i="25" s="1"/>
  <c r="F281" i="25" s="1"/>
  <c r="W281" i="25"/>
  <c r="W297" i="25"/>
  <c r="D297" i="25"/>
  <c r="E297" i="25" s="1"/>
  <c r="F297" i="25" s="1"/>
  <c r="H297" i="25" s="1"/>
  <c r="D313" i="25"/>
  <c r="E313" i="25" s="1"/>
  <c r="F313" i="25" s="1"/>
  <c r="W313" i="25"/>
  <c r="D329" i="25"/>
  <c r="E329" i="25" s="1"/>
  <c r="F329" i="25" s="1"/>
  <c r="W329" i="25"/>
  <c r="D349" i="25"/>
  <c r="E349" i="25" s="1"/>
  <c r="F349" i="25" s="1"/>
  <c r="H349" i="25" s="1"/>
  <c r="W349" i="25"/>
  <c r="W365" i="25"/>
  <c r="D365" i="25"/>
  <c r="E365" i="25" s="1"/>
  <c r="F365" i="25" s="1"/>
  <c r="W26" i="25"/>
  <c r="D26" i="25"/>
  <c r="E26" i="25" s="1"/>
  <c r="F26" i="25" s="1"/>
  <c r="H26" i="25" s="1"/>
  <c r="D34" i="25"/>
  <c r="E34" i="25" s="1"/>
  <c r="F34" i="25" s="1"/>
  <c r="H34" i="25" s="1"/>
  <c r="W34" i="25"/>
  <c r="D42" i="25"/>
  <c r="E42" i="25" s="1"/>
  <c r="F42" i="25" s="1"/>
  <c r="W42" i="25"/>
  <c r="D50" i="25"/>
  <c r="E50" i="25" s="1"/>
  <c r="F50" i="25" s="1"/>
  <c r="W50" i="25"/>
  <c r="D58" i="25"/>
  <c r="E58" i="25" s="1"/>
  <c r="F58" i="25" s="1"/>
  <c r="W58" i="25"/>
  <c r="D66" i="25"/>
  <c r="E66" i="25" s="1"/>
  <c r="F66" i="25" s="1"/>
  <c r="W66" i="25"/>
  <c r="W74" i="25"/>
  <c r="D74" i="25"/>
  <c r="E74" i="25" s="1"/>
  <c r="F74" i="25" s="1"/>
  <c r="W82" i="25"/>
  <c r="D82" i="25"/>
  <c r="E82" i="25" s="1"/>
  <c r="F82" i="25" s="1"/>
  <c r="H82" i="25" s="1"/>
  <c r="W90" i="25"/>
  <c r="D90" i="25"/>
  <c r="E90" i="25" s="1"/>
  <c r="F90" i="25" s="1"/>
  <c r="D98" i="25"/>
  <c r="E98" i="25" s="1"/>
  <c r="F98" i="25" s="1"/>
  <c r="W98" i="25"/>
  <c r="D106" i="25"/>
  <c r="E106" i="25" s="1"/>
  <c r="F106" i="25" s="1"/>
  <c r="W106" i="25"/>
  <c r="D114" i="25"/>
  <c r="E114" i="25" s="1"/>
  <c r="F114" i="25" s="1"/>
  <c r="W114" i="25"/>
  <c r="W122" i="25"/>
  <c r="D122" i="25"/>
  <c r="E122" i="25" s="1"/>
  <c r="F122" i="25" s="1"/>
  <c r="W130" i="25"/>
  <c r="D130" i="25"/>
  <c r="E130" i="25" s="1"/>
  <c r="F130" i="25" s="1"/>
  <c r="D138" i="25"/>
  <c r="E138" i="25" s="1"/>
  <c r="F138" i="25" s="1"/>
  <c r="W138" i="25"/>
  <c r="D146" i="25"/>
  <c r="E146" i="25" s="1"/>
  <c r="F146" i="25" s="1"/>
  <c r="H146" i="25" s="1"/>
  <c r="W146" i="25"/>
  <c r="W154" i="25"/>
  <c r="D154" i="25"/>
  <c r="E154" i="25" s="1"/>
  <c r="F154" i="25" s="1"/>
  <c r="D162" i="25"/>
  <c r="E162" i="25" s="1"/>
  <c r="F162" i="25" s="1"/>
  <c r="W162" i="25"/>
  <c r="D170" i="25"/>
  <c r="E170" i="25" s="1"/>
  <c r="F170" i="25" s="1"/>
  <c r="H170" i="25" s="1"/>
  <c r="W170" i="25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H194" i="25" s="1"/>
  <c r="W202" i="25"/>
  <c r="D202" i="25"/>
  <c r="E202" i="25" s="1"/>
  <c r="F202" i="25" s="1"/>
  <c r="AH74" i="7"/>
  <c r="V210" i="25"/>
  <c r="W218" i="25"/>
  <c r="D218" i="25"/>
  <c r="E218" i="25" s="1"/>
  <c r="F218" i="25" s="1"/>
  <c r="D226" i="25"/>
  <c r="E226" i="25" s="1"/>
  <c r="F226" i="25" s="1"/>
  <c r="H226" i="25" s="1"/>
  <c r="W226" i="25"/>
  <c r="W234" i="25"/>
  <c r="D234" i="25"/>
  <c r="E234" i="25" s="1"/>
  <c r="F234" i="25" s="1"/>
  <c r="W242" i="25"/>
  <c r="D242" i="25"/>
  <c r="E242" i="25" s="1"/>
  <c r="F242" i="25" s="1"/>
  <c r="W250" i="25"/>
  <c r="D250" i="25"/>
  <c r="E250" i="25" s="1"/>
  <c r="F250" i="25" s="1"/>
  <c r="H250" i="25" s="1"/>
  <c r="D258" i="25"/>
  <c r="E258" i="25" s="1"/>
  <c r="F258" i="25" s="1"/>
  <c r="W258" i="25"/>
  <c r="D266" i="25"/>
  <c r="E266" i="25" s="1"/>
  <c r="F266" i="25" s="1"/>
  <c r="W266" i="25"/>
  <c r="D274" i="25"/>
  <c r="E274" i="25" s="1"/>
  <c r="F274" i="25" s="1"/>
  <c r="W274" i="25"/>
  <c r="W282" i="25"/>
  <c r="D282" i="25"/>
  <c r="E282" i="25" s="1"/>
  <c r="F282" i="25" s="1"/>
  <c r="H282" i="25" s="1"/>
  <c r="D290" i="25"/>
  <c r="E290" i="25" s="1"/>
  <c r="F290" i="25" s="1"/>
  <c r="W290" i="25"/>
  <c r="D298" i="25"/>
  <c r="E298" i="25" s="1"/>
  <c r="F298" i="25" s="1"/>
  <c r="W298" i="25"/>
  <c r="W306" i="25"/>
  <c r="D306" i="25"/>
  <c r="E306" i="25" s="1"/>
  <c r="F306" i="25" s="1"/>
  <c r="W314" i="25"/>
  <c r="D314" i="25"/>
  <c r="E314" i="25" s="1"/>
  <c r="F314" i="25" s="1"/>
  <c r="D322" i="25"/>
  <c r="E322" i="25" s="1"/>
  <c r="F322" i="25" s="1"/>
  <c r="W322" i="25"/>
  <c r="D330" i="25"/>
  <c r="E330" i="25" s="1"/>
  <c r="F330" i="25" s="1"/>
  <c r="W330" i="25"/>
  <c r="W338" i="25"/>
  <c r="D338" i="25"/>
  <c r="E338" i="25" s="1"/>
  <c r="F338" i="25" s="1"/>
  <c r="H338" i="25" s="1"/>
  <c r="W346" i="25"/>
  <c r="D346" i="25"/>
  <c r="E346" i="25" s="1"/>
  <c r="F346" i="25" s="1"/>
  <c r="D354" i="25"/>
  <c r="E354" i="25" s="1"/>
  <c r="F354" i="25" s="1"/>
  <c r="W354" i="25"/>
  <c r="D362" i="25"/>
  <c r="E362" i="25" s="1"/>
  <c r="F362" i="25" s="1"/>
  <c r="W362" i="25"/>
  <c r="W370" i="25"/>
  <c r="D370" i="25"/>
  <c r="E370" i="25" s="1"/>
  <c r="F370" i="25" s="1"/>
  <c r="W378" i="25"/>
  <c r="D378" i="25"/>
  <c r="E378" i="25" s="1"/>
  <c r="F378" i="25" s="1"/>
  <c r="I119" i="24"/>
  <c r="J119" i="24"/>
  <c r="D16" i="25"/>
  <c r="E16" i="25" s="1"/>
  <c r="F16" i="25" s="1"/>
  <c r="H16" i="25" s="1"/>
  <c r="W16" i="25"/>
  <c r="W24" i="25"/>
  <c r="D24" i="25"/>
  <c r="E24" i="25" s="1"/>
  <c r="F24" i="25" s="1"/>
  <c r="W32" i="25"/>
  <c r="D32" i="25"/>
  <c r="E32" i="25" s="1"/>
  <c r="F32" i="25" s="1"/>
  <c r="W40" i="25"/>
  <c r="D40" i="25"/>
  <c r="E40" i="25" s="1"/>
  <c r="F40" i="25" s="1"/>
  <c r="D48" i="25"/>
  <c r="E48" i="25" s="1"/>
  <c r="F48" i="25" s="1"/>
  <c r="H48" i="25" s="1"/>
  <c r="W48" i="25"/>
  <c r="W56" i="25"/>
  <c r="D56" i="25"/>
  <c r="E56" i="25" s="1"/>
  <c r="F56" i="25" s="1"/>
  <c r="H56" i="25" s="1"/>
  <c r="W64" i="25"/>
  <c r="D64" i="25"/>
  <c r="E64" i="25" s="1"/>
  <c r="F64" i="25" s="1"/>
  <c r="D72" i="25"/>
  <c r="E72" i="25" s="1"/>
  <c r="F72" i="25" s="1"/>
  <c r="W72" i="25"/>
  <c r="D80" i="25"/>
  <c r="E80" i="25" s="1"/>
  <c r="F80" i="25" s="1"/>
  <c r="W80" i="25"/>
  <c r="AH70" i="7"/>
  <c r="V88" i="25"/>
  <c r="D96" i="25"/>
  <c r="E96" i="25" s="1"/>
  <c r="F96" i="25" s="1"/>
  <c r="H96" i="25" s="1"/>
  <c r="W96" i="25"/>
  <c r="W104" i="25"/>
  <c r="D104" i="25"/>
  <c r="E104" i="25" s="1"/>
  <c r="F104" i="25" s="1"/>
  <c r="D112" i="25"/>
  <c r="E112" i="25" s="1"/>
  <c r="F112" i="25" s="1"/>
  <c r="W112" i="25"/>
  <c r="W120" i="25"/>
  <c r="D120" i="25"/>
  <c r="E120" i="25" s="1"/>
  <c r="F120" i="25" s="1"/>
  <c r="W128" i="25"/>
  <c r="D128" i="25"/>
  <c r="E128" i="25" s="1"/>
  <c r="F128" i="25" s="1"/>
  <c r="D136" i="25"/>
  <c r="E136" i="25" s="1"/>
  <c r="F136" i="25" s="1"/>
  <c r="W136" i="25"/>
  <c r="D144" i="25"/>
  <c r="E144" i="25" s="1"/>
  <c r="F144" i="25" s="1"/>
  <c r="W144" i="25"/>
  <c r="D152" i="25"/>
  <c r="E152" i="25" s="1"/>
  <c r="F152" i="25" s="1"/>
  <c r="W152" i="25"/>
  <c r="D160" i="25"/>
  <c r="E160" i="25" s="1"/>
  <c r="F160" i="25" s="1"/>
  <c r="W160" i="25"/>
  <c r="W168" i="25"/>
  <c r="D168" i="25"/>
  <c r="E168" i="25" s="1"/>
  <c r="F168" i="25" s="1"/>
  <c r="H168" i="25" s="1"/>
  <c r="D176" i="25"/>
  <c r="E176" i="25" s="1"/>
  <c r="F176" i="25" s="1"/>
  <c r="W176" i="25"/>
  <c r="D184" i="25"/>
  <c r="E184" i="25" s="1"/>
  <c r="F184" i="25" s="1"/>
  <c r="H184" i="25" s="1"/>
  <c r="W184" i="25"/>
  <c r="D192" i="25"/>
  <c r="E192" i="25" s="1"/>
  <c r="F192" i="25" s="1"/>
  <c r="W192" i="25"/>
  <c r="W200" i="25"/>
  <c r="D200" i="25"/>
  <c r="E200" i="25" s="1"/>
  <c r="F200" i="25" s="1"/>
  <c r="H200" i="25" s="1"/>
  <c r="W208" i="25"/>
  <c r="D208" i="25"/>
  <c r="E208" i="25" s="1"/>
  <c r="F208" i="25" s="1"/>
  <c r="W216" i="25"/>
  <c r="D216" i="25"/>
  <c r="E216" i="25" s="1"/>
  <c r="F216" i="25" s="1"/>
  <c r="H216" i="25" s="1"/>
  <c r="W224" i="25"/>
  <c r="D224" i="25"/>
  <c r="E224" i="25" s="1"/>
  <c r="F224" i="25" s="1"/>
  <c r="D232" i="25"/>
  <c r="E232" i="25" s="1"/>
  <c r="F232" i="25" s="1"/>
  <c r="W232" i="25"/>
  <c r="D240" i="25"/>
  <c r="E240" i="25" s="1"/>
  <c r="F240" i="25" s="1"/>
  <c r="H240" i="25" s="1"/>
  <c r="W240" i="25"/>
  <c r="D248" i="25"/>
  <c r="E248" i="25" s="1"/>
  <c r="F248" i="25" s="1"/>
  <c r="W248" i="25"/>
  <c r="D256" i="25"/>
  <c r="E256" i="25" s="1"/>
  <c r="F256" i="25" s="1"/>
  <c r="H256" i="25" s="1"/>
  <c r="W256" i="25"/>
  <c r="W264" i="25"/>
  <c r="D264" i="25"/>
  <c r="E264" i="25" s="1"/>
  <c r="F264" i="25" s="1"/>
  <c r="AH76" i="7"/>
  <c r="V272" i="25"/>
  <c r="W280" i="25"/>
  <c r="D280" i="25"/>
  <c r="E280" i="25" s="1"/>
  <c r="F280" i="25" s="1"/>
  <c r="W288" i="25"/>
  <c r="D288" i="25"/>
  <c r="E288" i="25" s="1"/>
  <c r="F288" i="25" s="1"/>
  <c r="H288" i="25" s="1"/>
  <c r="W296" i="25"/>
  <c r="D296" i="25"/>
  <c r="E296" i="25" s="1"/>
  <c r="F296" i="25" s="1"/>
  <c r="D304" i="25"/>
  <c r="E304" i="25" s="1"/>
  <c r="F304" i="25" s="1"/>
  <c r="H304" i="25" s="1"/>
  <c r="W304" i="25"/>
  <c r="D312" i="25"/>
  <c r="E312" i="25" s="1"/>
  <c r="F312" i="25" s="1"/>
  <c r="H312" i="25" s="1"/>
  <c r="W312" i="25"/>
  <c r="D320" i="25"/>
  <c r="E320" i="25" s="1"/>
  <c r="F320" i="25" s="1"/>
  <c r="H320" i="25" s="1"/>
  <c r="W320" i="25"/>
  <c r="D328" i="25"/>
  <c r="E328" i="25" s="1"/>
  <c r="F328" i="25" s="1"/>
  <c r="W328" i="25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AH68" i="7"/>
  <c r="V29" i="25"/>
  <c r="B29" i="25" s="1"/>
  <c r="W45" i="25"/>
  <c r="D45" i="25"/>
  <c r="E45" i="25" s="1"/>
  <c r="F45" i="25" s="1"/>
  <c r="D61" i="25"/>
  <c r="E61" i="25" s="1"/>
  <c r="F61" i="25" s="1"/>
  <c r="H61" i="25" s="1"/>
  <c r="W61" i="25"/>
  <c r="D77" i="25"/>
  <c r="E77" i="25" s="1"/>
  <c r="F77" i="25" s="1"/>
  <c r="W77" i="25"/>
  <c r="W93" i="25"/>
  <c r="D93" i="25"/>
  <c r="E93" i="25" s="1"/>
  <c r="F93" i="25" s="1"/>
  <c r="W109" i="25"/>
  <c r="D109" i="25"/>
  <c r="E109" i="25" s="1"/>
  <c r="F109" i="25" s="1"/>
  <c r="H109" i="25" s="1"/>
  <c r="D125" i="25"/>
  <c r="E125" i="25" s="1"/>
  <c r="F125" i="25" s="1"/>
  <c r="W125" i="25"/>
  <c r="W141" i="25"/>
  <c r="D141" i="25"/>
  <c r="E141" i="25" s="1"/>
  <c r="F141" i="25" s="1"/>
  <c r="H141" i="25" s="1"/>
  <c r="D157" i="25"/>
  <c r="E157" i="25" s="1"/>
  <c r="F157" i="25" s="1"/>
  <c r="W157" i="25"/>
  <c r="W169" i="25"/>
  <c r="D169" i="25"/>
  <c r="E169" i="25" s="1"/>
  <c r="F169" i="25" s="1"/>
  <c r="W185" i="25"/>
  <c r="D185" i="25"/>
  <c r="E185" i="25" s="1"/>
  <c r="F185" i="25" s="1"/>
  <c r="D205" i="25"/>
  <c r="E205" i="25" s="1"/>
  <c r="F205" i="25" s="1"/>
  <c r="H205" i="25" s="1"/>
  <c r="W205" i="25"/>
  <c r="W217" i="25"/>
  <c r="D217" i="25"/>
  <c r="E217" i="25" s="1"/>
  <c r="F217" i="25" s="1"/>
  <c r="D233" i="25"/>
  <c r="E233" i="25" s="1"/>
  <c r="F233" i="25" s="1"/>
  <c r="W233" i="25"/>
  <c r="D249" i="25"/>
  <c r="E249" i="25" s="1"/>
  <c r="F249" i="25" s="1"/>
  <c r="W249" i="25"/>
  <c r="W269" i="25"/>
  <c r="D269" i="25"/>
  <c r="E269" i="25" s="1"/>
  <c r="F269" i="25" s="1"/>
  <c r="W285" i="25"/>
  <c r="D285" i="25"/>
  <c r="E285" i="25" s="1"/>
  <c r="F285" i="25" s="1"/>
  <c r="D301" i="25"/>
  <c r="E301" i="25" s="1"/>
  <c r="F301" i="25" s="1"/>
  <c r="W301" i="25"/>
  <c r="W317" i="25"/>
  <c r="D317" i="25"/>
  <c r="E317" i="25" s="1"/>
  <c r="F317" i="25" s="1"/>
  <c r="AH78" i="7"/>
  <c r="V333" i="25"/>
  <c r="B333" i="25" s="1"/>
  <c r="D345" i="25"/>
  <c r="E345" i="25" s="1"/>
  <c r="F345" i="25" s="1"/>
  <c r="H345" i="25" s="1"/>
  <c r="W345" i="25"/>
  <c r="W361" i="25"/>
  <c r="D361" i="25"/>
  <c r="E361" i="25" s="1"/>
  <c r="F361" i="25" s="1"/>
  <c r="W377" i="25"/>
  <c r="D377" i="25"/>
  <c r="E377" i="25" s="1"/>
  <c r="F377" i="25" s="1"/>
  <c r="I272" i="24"/>
  <c r="J272" i="24"/>
  <c r="AG382" i="25"/>
  <c r="AG381" i="25"/>
  <c r="AG383" i="25"/>
  <c r="AF15" i="25"/>
  <c r="AA241" i="24"/>
  <c r="Z241" i="24" s="1"/>
  <c r="Y241" i="24" s="1"/>
  <c r="G241" i="24"/>
  <c r="CE241" i="6" s="1"/>
  <c r="H241" i="24"/>
  <c r="H262" i="25"/>
  <c r="AA15" i="23"/>
  <c r="F382" i="23"/>
  <c r="F383" i="23"/>
  <c r="AK10" i="23"/>
  <c r="AK12" i="23" s="1"/>
  <c r="F9" i="23"/>
  <c r="AM10" i="23"/>
  <c r="G15" i="23"/>
  <c r="CD15" i="6" s="1"/>
  <c r="F381" i="23"/>
  <c r="AJ4" i="20"/>
  <c r="P16" i="19" s="1"/>
  <c r="AL13" i="20"/>
  <c r="J60" i="24"/>
  <c r="I60" i="24"/>
  <c r="I15" i="22"/>
  <c r="H15" i="23" s="1"/>
  <c r="J15" i="22"/>
  <c r="AA383" i="22"/>
  <c r="AA381" i="22"/>
  <c r="AL10" i="22"/>
  <c r="AA382" i="22"/>
  <c r="Z15" i="22"/>
  <c r="AL7" i="22" s="1"/>
  <c r="AA9" i="22"/>
  <c r="AM8" i="22"/>
  <c r="AA149" i="24"/>
  <c r="Z149" i="24" s="1"/>
  <c r="Y149" i="24" s="1"/>
  <c r="H149" i="24"/>
  <c r="G149" i="24"/>
  <c r="CE149" i="6" s="1"/>
  <c r="W18" i="25"/>
  <c r="D18" i="25"/>
  <c r="E18" i="25" s="1"/>
  <c r="F18" i="25" s="1"/>
  <c r="H18" i="25" s="1"/>
  <c r="W17" i="25"/>
  <c r="D17" i="25"/>
  <c r="E17" i="25" s="1"/>
  <c r="F17" i="25" s="1"/>
  <c r="D23" i="25"/>
  <c r="E23" i="25" s="1"/>
  <c r="F23" i="25" s="1"/>
  <c r="H23" i="25" s="1"/>
  <c r="W23" i="25"/>
  <c r="W27" i="25"/>
  <c r="D27" i="25"/>
  <c r="E27" i="25" s="1"/>
  <c r="F27" i="25" s="1"/>
  <c r="H27" i="25" s="1"/>
  <c r="D31" i="25"/>
  <c r="E31" i="25" s="1"/>
  <c r="F31" i="25" s="1"/>
  <c r="H31" i="25" s="1"/>
  <c r="W31" i="25"/>
  <c r="W35" i="25"/>
  <c r="D35" i="25"/>
  <c r="E35" i="25" s="1"/>
  <c r="F35" i="25" s="1"/>
  <c r="H35" i="25" s="1"/>
  <c r="D39" i="25"/>
  <c r="E39" i="25" s="1"/>
  <c r="F39" i="25" s="1"/>
  <c r="W39" i="25"/>
  <c r="D43" i="25"/>
  <c r="E43" i="25" s="1"/>
  <c r="F43" i="25" s="1"/>
  <c r="W43" i="25"/>
  <c r="D47" i="25"/>
  <c r="E47" i="25" s="1"/>
  <c r="F47" i="25" s="1"/>
  <c r="W47" i="25"/>
  <c r="W51" i="25"/>
  <c r="D51" i="25"/>
  <c r="E51" i="25" s="1"/>
  <c r="F51" i="25" s="1"/>
  <c r="H51" i="25" s="1"/>
  <c r="D55" i="25"/>
  <c r="E55" i="25" s="1"/>
  <c r="F55" i="25" s="1"/>
  <c r="H55" i="25" s="1"/>
  <c r="W55" i="25"/>
  <c r="D59" i="25"/>
  <c r="E59" i="25" s="1"/>
  <c r="F59" i="25" s="1"/>
  <c r="W59" i="25"/>
  <c r="D63" i="25"/>
  <c r="E63" i="25" s="1"/>
  <c r="F63" i="25" s="1"/>
  <c r="H63" i="25" s="1"/>
  <c r="W63" i="25"/>
  <c r="D67" i="25"/>
  <c r="E67" i="25" s="1"/>
  <c r="F67" i="25" s="1"/>
  <c r="H67" i="25" s="1"/>
  <c r="W67" i="25"/>
  <c r="D71" i="25"/>
  <c r="E71" i="25" s="1"/>
  <c r="F71" i="25" s="1"/>
  <c r="H71" i="25" s="1"/>
  <c r="W71" i="25"/>
  <c r="D75" i="25"/>
  <c r="E75" i="25" s="1"/>
  <c r="F75" i="25" s="1"/>
  <c r="W75" i="25"/>
  <c r="W79" i="25"/>
  <c r="D79" i="25"/>
  <c r="E79" i="25" s="1"/>
  <c r="F79" i="25" s="1"/>
  <c r="H79" i="25" s="1"/>
  <c r="W83" i="25"/>
  <c r="D83" i="25"/>
  <c r="E83" i="25" s="1"/>
  <c r="F83" i="25" s="1"/>
  <c r="H83" i="25" s="1"/>
  <c r="W87" i="25"/>
  <c r="D87" i="25"/>
  <c r="E87" i="25" s="1"/>
  <c r="F87" i="25" s="1"/>
  <c r="H87" i="25" s="1"/>
  <c r="D91" i="25"/>
  <c r="E91" i="25" s="1"/>
  <c r="F91" i="25" s="1"/>
  <c r="W91" i="25"/>
  <c r="W95" i="25"/>
  <c r="D95" i="25"/>
  <c r="E95" i="25" s="1"/>
  <c r="F95" i="25" s="1"/>
  <c r="W99" i="25"/>
  <c r="D99" i="25"/>
  <c r="E99" i="25" s="1"/>
  <c r="F99" i="25" s="1"/>
  <c r="H99" i="25" s="1"/>
  <c r="W103" i="25"/>
  <c r="D103" i="25"/>
  <c r="E103" i="25" s="1"/>
  <c r="F103" i="25" s="1"/>
  <c r="W107" i="25"/>
  <c r="D107" i="25"/>
  <c r="E107" i="25" s="1"/>
  <c r="F107" i="25" s="1"/>
  <c r="W111" i="25"/>
  <c r="D111" i="25"/>
  <c r="E111" i="25" s="1"/>
  <c r="F111" i="25" s="1"/>
  <c r="H111" i="25" s="1"/>
  <c r="D115" i="25"/>
  <c r="E115" i="25" s="1"/>
  <c r="F115" i="25" s="1"/>
  <c r="W115" i="25"/>
  <c r="AH71" i="7"/>
  <c r="V119" i="25"/>
  <c r="D123" i="25"/>
  <c r="E123" i="25" s="1"/>
  <c r="F123" i="25" s="1"/>
  <c r="W123" i="25"/>
  <c r="W127" i="25"/>
  <c r="D127" i="25"/>
  <c r="E127" i="25" s="1"/>
  <c r="F127" i="25" s="1"/>
  <c r="H127" i="25" s="1"/>
  <c r="D131" i="25"/>
  <c r="E131" i="25" s="1"/>
  <c r="F131" i="25" s="1"/>
  <c r="H131" i="25" s="1"/>
  <c r="W131" i="25"/>
  <c r="D135" i="25"/>
  <c r="E135" i="25" s="1"/>
  <c r="F135" i="25" s="1"/>
  <c r="W135" i="25"/>
  <c r="W139" i="25"/>
  <c r="D139" i="25"/>
  <c r="E139" i="25" s="1"/>
  <c r="F139" i="25" s="1"/>
  <c r="D143" i="25"/>
  <c r="E143" i="25" s="1"/>
  <c r="F143" i="25" s="1"/>
  <c r="H143" i="25" s="1"/>
  <c r="W143" i="25"/>
  <c r="D147" i="25"/>
  <c r="E147" i="25" s="1"/>
  <c r="F147" i="25" s="1"/>
  <c r="H147" i="25" s="1"/>
  <c r="W147" i="25"/>
  <c r="D151" i="25"/>
  <c r="E151" i="25" s="1"/>
  <c r="F151" i="25" s="1"/>
  <c r="H151" i="25" s="1"/>
  <c r="W151" i="25"/>
  <c r="W155" i="25"/>
  <c r="D155" i="25"/>
  <c r="E155" i="25" s="1"/>
  <c r="F155" i="25" s="1"/>
  <c r="H155" i="25" s="1"/>
  <c r="D159" i="25"/>
  <c r="E159" i="25" s="1"/>
  <c r="F159" i="25" s="1"/>
  <c r="H159" i="25" s="1"/>
  <c r="W159" i="25"/>
  <c r="W163" i="25"/>
  <c r="D163" i="25"/>
  <c r="E163" i="25" s="1"/>
  <c r="F163" i="25" s="1"/>
  <c r="H163" i="25" s="1"/>
  <c r="D167" i="25"/>
  <c r="E167" i="25" s="1"/>
  <c r="F167" i="25" s="1"/>
  <c r="H167" i="25" s="1"/>
  <c r="W167" i="25"/>
  <c r="D171" i="25"/>
  <c r="E171" i="25" s="1"/>
  <c r="F171" i="25" s="1"/>
  <c r="W171" i="25"/>
  <c r="D175" i="25"/>
  <c r="E175" i="25" s="1"/>
  <c r="F175" i="25" s="1"/>
  <c r="H175" i="25" s="1"/>
  <c r="W175" i="25"/>
  <c r="W179" i="25"/>
  <c r="D179" i="25"/>
  <c r="E179" i="25" s="1"/>
  <c r="F179" i="25" s="1"/>
  <c r="W183" i="25"/>
  <c r="D183" i="25"/>
  <c r="E183" i="25" s="1"/>
  <c r="F183" i="25" s="1"/>
  <c r="H183" i="25" s="1"/>
  <c r="D187" i="25"/>
  <c r="E187" i="25" s="1"/>
  <c r="F187" i="25" s="1"/>
  <c r="H187" i="25" s="1"/>
  <c r="W187" i="25"/>
  <c r="W191" i="25"/>
  <c r="D191" i="25"/>
  <c r="E191" i="25" s="1"/>
  <c r="F191" i="25" s="1"/>
  <c r="W195" i="25"/>
  <c r="D195" i="25"/>
  <c r="E195" i="25" s="1"/>
  <c r="F195" i="25" s="1"/>
  <c r="D199" i="25"/>
  <c r="E199" i="25" s="1"/>
  <c r="F199" i="25" s="1"/>
  <c r="W199" i="25"/>
  <c r="W203" i="25"/>
  <c r="D203" i="25"/>
  <c r="E203" i="25" s="1"/>
  <c r="F203" i="25" s="1"/>
  <c r="W207" i="25"/>
  <c r="D207" i="25"/>
  <c r="E207" i="25" s="1"/>
  <c r="F207" i="25" s="1"/>
  <c r="D211" i="25"/>
  <c r="E211" i="25" s="1"/>
  <c r="F211" i="25" s="1"/>
  <c r="W211" i="25"/>
  <c r="W215" i="25"/>
  <c r="D215" i="25"/>
  <c r="E215" i="25" s="1"/>
  <c r="F215" i="25" s="1"/>
  <c r="W219" i="25"/>
  <c r="D219" i="25"/>
  <c r="E219" i="25" s="1"/>
  <c r="F219" i="25" s="1"/>
  <c r="H219" i="25" s="1"/>
  <c r="D223" i="25"/>
  <c r="E223" i="25" s="1"/>
  <c r="F223" i="25" s="1"/>
  <c r="H223" i="25" s="1"/>
  <c r="W223" i="25"/>
  <c r="W227" i="25"/>
  <c r="D227" i="25"/>
  <c r="E227" i="25" s="1"/>
  <c r="F227" i="25" s="1"/>
  <c r="W231" i="25"/>
  <c r="D231" i="25"/>
  <c r="E231" i="25" s="1"/>
  <c r="F231" i="25" s="1"/>
  <c r="W235" i="25"/>
  <c r="D235" i="25"/>
  <c r="E235" i="25" s="1"/>
  <c r="F235" i="25" s="1"/>
  <c r="D239" i="25"/>
  <c r="E239" i="25" s="1"/>
  <c r="F239" i="25" s="1"/>
  <c r="H239" i="25" s="1"/>
  <c r="W239" i="25"/>
  <c r="W243" i="25"/>
  <c r="D243" i="25"/>
  <c r="E243" i="25" s="1"/>
  <c r="F243" i="25" s="1"/>
  <c r="D247" i="25"/>
  <c r="E247" i="25" s="1"/>
  <c r="F247" i="25" s="1"/>
  <c r="H247" i="25" s="1"/>
  <c r="W247" i="25"/>
  <c r="W251" i="25"/>
  <c r="D251" i="25"/>
  <c r="E251" i="25" s="1"/>
  <c r="F251" i="25" s="1"/>
  <c r="D255" i="25"/>
  <c r="E255" i="25" s="1"/>
  <c r="F255" i="25" s="1"/>
  <c r="H255" i="25" s="1"/>
  <c r="W255" i="25"/>
  <c r="W259" i="25"/>
  <c r="D259" i="25"/>
  <c r="E259" i="25" s="1"/>
  <c r="F259" i="25" s="1"/>
  <c r="H259" i="25" s="1"/>
  <c r="W263" i="25"/>
  <c r="D263" i="25"/>
  <c r="E263" i="25" s="1"/>
  <c r="F263" i="25" s="1"/>
  <c r="D267" i="25"/>
  <c r="E267" i="25" s="1"/>
  <c r="F267" i="25" s="1"/>
  <c r="H267" i="25" s="1"/>
  <c r="W267" i="25"/>
  <c r="W271" i="25"/>
  <c r="D271" i="25"/>
  <c r="E271" i="25" s="1"/>
  <c r="F271" i="25" s="1"/>
  <c r="W275" i="25"/>
  <c r="D275" i="25"/>
  <c r="E275" i="25" s="1"/>
  <c r="F275" i="25" s="1"/>
  <c r="H275" i="25" s="1"/>
  <c r="D279" i="25"/>
  <c r="E279" i="25" s="1"/>
  <c r="F279" i="25" s="1"/>
  <c r="H279" i="25" s="1"/>
  <c r="W279" i="25"/>
  <c r="D283" i="25"/>
  <c r="E283" i="25" s="1"/>
  <c r="F283" i="25" s="1"/>
  <c r="H283" i="25" s="1"/>
  <c r="W283" i="25"/>
  <c r="W287" i="25"/>
  <c r="D287" i="25"/>
  <c r="E287" i="25" s="1"/>
  <c r="F287" i="25" s="1"/>
  <c r="W291" i="25"/>
  <c r="D291" i="25"/>
  <c r="E291" i="25" s="1"/>
  <c r="F291" i="25" s="1"/>
  <c r="H291" i="25" s="1"/>
  <c r="D295" i="25"/>
  <c r="E295" i="25" s="1"/>
  <c r="F295" i="25" s="1"/>
  <c r="H295" i="25" s="1"/>
  <c r="W295" i="25"/>
  <c r="D299" i="25"/>
  <c r="E299" i="25" s="1"/>
  <c r="F299" i="25" s="1"/>
  <c r="H299" i="25" s="1"/>
  <c r="W299" i="25"/>
  <c r="W303" i="25"/>
  <c r="D303" i="25"/>
  <c r="E303" i="25" s="1"/>
  <c r="F303" i="25" s="1"/>
  <c r="W307" i="25"/>
  <c r="D307" i="25"/>
  <c r="E307" i="25" s="1"/>
  <c r="F307" i="25" s="1"/>
  <c r="H307" i="25" s="1"/>
  <c r="W311" i="25"/>
  <c r="D311" i="25"/>
  <c r="E311" i="25" s="1"/>
  <c r="F311" i="25" s="1"/>
  <c r="D315" i="25"/>
  <c r="E315" i="25" s="1"/>
  <c r="F315" i="25" s="1"/>
  <c r="W315" i="25"/>
  <c r="B319" i="25"/>
  <c r="W323" i="25"/>
  <c r="D323" i="25"/>
  <c r="E323" i="25" s="1"/>
  <c r="F323" i="25" s="1"/>
  <c r="H323" i="25" s="1"/>
  <c r="D327" i="25"/>
  <c r="E327" i="25" s="1"/>
  <c r="F327" i="25" s="1"/>
  <c r="W327" i="25"/>
  <c r="D331" i="25"/>
  <c r="E331" i="25" s="1"/>
  <c r="F331" i="25" s="1"/>
  <c r="H331" i="25" s="1"/>
  <c r="W331" i="25"/>
  <c r="W335" i="25"/>
  <c r="D335" i="25"/>
  <c r="E335" i="25" s="1"/>
  <c r="F335" i="25" s="1"/>
  <c r="D339" i="25"/>
  <c r="E339" i="25" s="1"/>
  <c r="F339" i="25" s="1"/>
  <c r="H339" i="25" s="1"/>
  <c r="W339" i="25"/>
  <c r="W343" i="25"/>
  <c r="D343" i="25"/>
  <c r="E343" i="25" s="1"/>
  <c r="F343" i="25" s="1"/>
  <c r="H343" i="25" s="1"/>
  <c r="D347" i="25"/>
  <c r="E347" i="25" s="1"/>
  <c r="F347" i="25" s="1"/>
  <c r="W347" i="25"/>
  <c r="D351" i="25"/>
  <c r="E351" i="25" s="1"/>
  <c r="F351" i="25" s="1"/>
  <c r="W351" i="25"/>
  <c r="W355" i="25"/>
  <c r="D355" i="25"/>
  <c r="E355" i="25" s="1"/>
  <c r="F355" i="25" s="1"/>
  <c r="W359" i="25"/>
  <c r="D359" i="25"/>
  <c r="E359" i="25" s="1"/>
  <c r="F359" i="25" s="1"/>
  <c r="AH79" i="7"/>
  <c r="V363" i="25"/>
  <c r="D367" i="25"/>
  <c r="E367" i="25" s="1"/>
  <c r="F367" i="25" s="1"/>
  <c r="H367" i="25" s="1"/>
  <c r="W367" i="25"/>
  <c r="W371" i="25"/>
  <c r="D371" i="25"/>
  <c r="E371" i="25" s="1"/>
  <c r="F371" i="25" s="1"/>
  <c r="H371" i="25" s="1"/>
  <c r="W375" i="25"/>
  <c r="D375" i="25"/>
  <c r="E375" i="25" s="1"/>
  <c r="F375" i="25" s="1"/>
  <c r="H375" i="25" s="1"/>
  <c r="B379" i="25"/>
  <c r="D13" i="6"/>
  <c r="D12" i="6"/>
  <c r="AA88" i="24"/>
  <c r="Z88" i="24" s="1"/>
  <c r="Y88" i="24" s="1"/>
  <c r="G88" i="24"/>
  <c r="CE88" i="6" s="1"/>
  <c r="G363" i="24"/>
  <c r="CE363" i="6" s="1"/>
  <c r="AA363" i="24"/>
  <c r="Z363" i="24" s="1"/>
  <c r="Y363" i="24" s="1"/>
  <c r="H363" i="24"/>
  <c r="G119" i="24"/>
  <c r="CE119" i="6" s="1"/>
  <c r="AA119" i="24"/>
  <c r="Z119" i="24" s="1"/>
  <c r="Y119" i="24" s="1"/>
  <c r="J210" i="24"/>
  <c r="I210" i="24"/>
  <c r="H88" i="24"/>
  <c r="I333" i="24"/>
  <c r="J333" i="24"/>
  <c r="J319" i="24"/>
  <c r="I319" i="24"/>
  <c r="I196" i="24"/>
  <c r="J196" i="24"/>
  <c r="G180" i="24"/>
  <c r="CE180" i="6" s="1"/>
  <c r="AA180" i="24"/>
  <c r="Z180" i="24" s="1"/>
  <c r="Y180" i="24" s="1"/>
  <c r="H180" i="24"/>
  <c r="AA60" i="24"/>
  <c r="Z60" i="24" s="1"/>
  <c r="Y60" i="24" s="1"/>
  <c r="G60" i="24"/>
  <c r="CE60" i="6" s="1"/>
  <c r="G272" i="24"/>
  <c r="CE272" i="6" s="1"/>
  <c r="AA272" i="24"/>
  <c r="Z272" i="24" s="1"/>
  <c r="Y272" i="24" s="1"/>
  <c r="AA302" i="24"/>
  <c r="Z302" i="24" s="1"/>
  <c r="Y302" i="24" s="1"/>
  <c r="G302" i="24"/>
  <c r="CE302" i="6" s="1"/>
  <c r="H302" i="24"/>
  <c r="AK4" i="20"/>
  <c r="R16" i="19" s="1"/>
  <c r="AM13" i="20"/>
  <c r="Y11" i="20"/>
  <c r="J16" i="19"/>
  <c r="AA11" i="20"/>
  <c r="AA5" i="20" s="1"/>
  <c r="I16" i="19" s="1"/>
  <c r="Z11" i="20"/>
  <c r="Z5" i="20" s="1"/>
  <c r="H16" i="19" s="1"/>
  <c r="S383" i="25"/>
  <c r="S381" i="25"/>
  <c r="S382" i="25"/>
  <c r="R15" i="25"/>
  <c r="G383" i="22"/>
  <c r="G12" i="22" s="1"/>
  <c r="G381" i="22"/>
  <c r="G382" i="22"/>
  <c r="F11" i="22"/>
  <c r="G17" i="19"/>
  <c r="J41" i="19" s="1"/>
  <c r="AB9" i="22"/>
  <c r="V382" i="24"/>
  <c r="V383" i="24"/>
  <c r="B69" i="19"/>
  <c r="N69" i="19" s="1"/>
  <c r="V381" i="24"/>
  <c r="B15" i="24"/>
  <c r="AJ5" i="24" s="1"/>
  <c r="AL9" i="23" l="1"/>
  <c r="AM7" i="23"/>
  <c r="AK13" i="23"/>
  <c r="H40" i="19"/>
  <c r="I40" i="19"/>
  <c r="N17" i="19"/>
  <c r="D17" i="19"/>
  <c r="G41" i="19"/>
  <c r="H196" i="25"/>
  <c r="I196" i="25" s="1"/>
  <c r="L70" i="19"/>
  <c r="L58" i="19" s="1"/>
  <c r="I295" i="25"/>
  <c r="J295" i="25"/>
  <c r="I267" i="25"/>
  <c r="J267" i="25"/>
  <c r="I131" i="25"/>
  <c r="J131" i="25"/>
  <c r="I63" i="25"/>
  <c r="J63" i="25"/>
  <c r="J15" i="23"/>
  <c r="I15" i="23"/>
  <c r="J37" i="25"/>
  <c r="I37" i="25"/>
  <c r="I166" i="25"/>
  <c r="J166" i="25"/>
  <c r="I256" i="25"/>
  <c r="J256" i="25"/>
  <c r="I340" i="25"/>
  <c r="J340" i="25"/>
  <c r="I109" i="25"/>
  <c r="J109" i="25"/>
  <c r="J177" i="25"/>
  <c r="I177" i="25"/>
  <c r="J220" i="25"/>
  <c r="I220" i="25"/>
  <c r="I175" i="25"/>
  <c r="J175" i="25"/>
  <c r="J283" i="25"/>
  <c r="I283" i="25"/>
  <c r="J55" i="25"/>
  <c r="I55" i="25"/>
  <c r="J181" i="25"/>
  <c r="I181" i="25"/>
  <c r="I222" i="25"/>
  <c r="J222" i="25"/>
  <c r="J48" i="25"/>
  <c r="I48" i="25"/>
  <c r="I25" i="25"/>
  <c r="J25" i="25"/>
  <c r="J146" i="25"/>
  <c r="I146" i="25"/>
  <c r="R383" i="25"/>
  <c r="R381" i="25"/>
  <c r="R382" i="25"/>
  <c r="P15" i="25"/>
  <c r="I27" i="25"/>
  <c r="J27" i="25"/>
  <c r="J127" i="25"/>
  <c r="I127" i="25"/>
  <c r="J323" i="25"/>
  <c r="I323" i="25"/>
  <c r="J158" i="25"/>
  <c r="I158" i="25"/>
  <c r="J145" i="25"/>
  <c r="I145" i="25"/>
  <c r="J170" i="25"/>
  <c r="I170" i="25"/>
  <c r="I247" i="25"/>
  <c r="J247" i="25"/>
  <c r="I31" i="25"/>
  <c r="J31" i="25"/>
  <c r="J223" i="25"/>
  <c r="I223" i="25"/>
  <c r="I151" i="25"/>
  <c r="J151" i="25"/>
  <c r="I341" i="25"/>
  <c r="J341" i="25"/>
  <c r="I182" i="25"/>
  <c r="J182" i="25"/>
  <c r="I34" i="25"/>
  <c r="J34" i="25"/>
  <c r="J180" i="24"/>
  <c r="I180" i="24"/>
  <c r="J35" i="25"/>
  <c r="I35" i="25"/>
  <c r="I88" i="24"/>
  <c r="J88" i="24"/>
  <c r="J26" i="25"/>
  <c r="I26" i="25"/>
  <c r="J239" i="25"/>
  <c r="I239" i="25"/>
  <c r="J79" i="25"/>
  <c r="I79" i="25"/>
  <c r="J291" i="25"/>
  <c r="I291" i="25"/>
  <c r="I83" i="25"/>
  <c r="J83" i="25"/>
  <c r="I363" i="24"/>
  <c r="J363" i="24"/>
  <c r="I184" i="25"/>
  <c r="J184" i="25"/>
  <c r="I113" i="25"/>
  <c r="J113" i="25"/>
  <c r="J338" i="25"/>
  <c r="I338" i="25"/>
  <c r="I275" i="25"/>
  <c r="J275" i="25"/>
  <c r="I197" i="25"/>
  <c r="J197" i="25"/>
  <c r="J134" i="25"/>
  <c r="I134" i="25"/>
  <c r="J288" i="25"/>
  <c r="I288" i="25"/>
  <c r="I297" i="25"/>
  <c r="J297" i="25"/>
  <c r="J155" i="25"/>
  <c r="I155" i="25"/>
  <c r="J183" i="25"/>
  <c r="I183" i="25"/>
  <c r="I87" i="25"/>
  <c r="J87" i="25"/>
  <c r="J67" i="25"/>
  <c r="I67" i="25"/>
  <c r="I159" i="25"/>
  <c r="J159" i="25"/>
  <c r="G375" i="25"/>
  <c r="CF375" i="6" s="1"/>
  <c r="AA375" i="25"/>
  <c r="Z375" i="25" s="1"/>
  <c r="Y375" i="25" s="1"/>
  <c r="AA371" i="25"/>
  <c r="Z371" i="25" s="1"/>
  <c r="Y371" i="25" s="1"/>
  <c r="G371" i="25"/>
  <c r="CF371" i="6" s="1"/>
  <c r="M70" i="19"/>
  <c r="B363" i="25"/>
  <c r="AA359" i="25"/>
  <c r="Z359" i="25" s="1"/>
  <c r="Y359" i="25" s="1"/>
  <c r="G359" i="25"/>
  <c r="CF359" i="6" s="1"/>
  <c r="H359" i="25"/>
  <c r="G355" i="25"/>
  <c r="CF355" i="6" s="1"/>
  <c r="H355" i="25"/>
  <c r="AA355" i="25"/>
  <c r="Z355" i="25" s="1"/>
  <c r="Y355" i="25" s="1"/>
  <c r="AA343" i="25"/>
  <c r="Z343" i="25" s="1"/>
  <c r="Y343" i="25" s="1"/>
  <c r="G343" i="25"/>
  <c r="CF343" i="6" s="1"/>
  <c r="G335" i="25"/>
  <c r="CF335" i="6" s="1"/>
  <c r="H335" i="25"/>
  <c r="AA335" i="25"/>
  <c r="Z335" i="25" s="1"/>
  <c r="Y335" i="25" s="1"/>
  <c r="G323" i="25"/>
  <c r="CF323" i="6" s="1"/>
  <c r="AA323" i="25"/>
  <c r="Z323" i="25" s="1"/>
  <c r="Y323" i="25" s="1"/>
  <c r="D319" i="25"/>
  <c r="E319" i="25" s="1"/>
  <c r="F319" i="25" s="1"/>
  <c r="W319" i="25"/>
  <c r="AA311" i="25"/>
  <c r="Z311" i="25" s="1"/>
  <c r="Y311" i="25" s="1"/>
  <c r="H311" i="25"/>
  <c r="G311" i="25"/>
  <c r="CF311" i="6" s="1"/>
  <c r="AA307" i="25"/>
  <c r="Z307" i="25" s="1"/>
  <c r="Y307" i="25" s="1"/>
  <c r="G307" i="25"/>
  <c r="CF307" i="6" s="1"/>
  <c r="H303" i="25"/>
  <c r="AA303" i="25"/>
  <c r="Z303" i="25" s="1"/>
  <c r="Y303" i="25" s="1"/>
  <c r="G303" i="25"/>
  <c r="CF303" i="6" s="1"/>
  <c r="G291" i="25"/>
  <c r="CF291" i="6" s="1"/>
  <c r="AA291" i="25"/>
  <c r="Z291" i="25" s="1"/>
  <c r="Y291" i="25" s="1"/>
  <c r="AA287" i="25"/>
  <c r="Z287" i="25" s="1"/>
  <c r="Y287" i="25" s="1"/>
  <c r="G287" i="25"/>
  <c r="CF287" i="6" s="1"/>
  <c r="AA275" i="25"/>
  <c r="Z275" i="25" s="1"/>
  <c r="Y275" i="25" s="1"/>
  <c r="G275" i="25"/>
  <c r="CF275" i="6" s="1"/>
  <c r="AA271" i="25"/>
  <c r="Z271" i="25" s="1"/>
  <c r="Y271" i="25" s="1"/>
  <c r="G271" i="25"/>
  <c r="CF271" i="6" s="1"/>
  <c r="H271" i="25"/>
  <c r="G263" i="25"/>
  <c r="CF263" i="6" s="1"/>
  <c r="AA263" i="25"/>
  <c r="Z263" i="25" s="1"/>
  <c r="Y263" i="25" s="1"/>
  <c r="H263" i="25"/>
  <c r="AA259" i="25"/>
  <c r="Z259" i="25" s="1"/>
  <c r="Y259" i="25" s="1"/>
  <c r="G259" i="25"/>
  <c r="CF259" i="6" s="1"/>
  <c r="AA251" i="25"/>
  <c r="Z251" i="25" s="1"/>
  <c r="Y251" i="25" s="1"/>
  <c r="G251" i="25"/>
  <c r="CF251" i="6" s="1"/>
  <c r="H251" i="25"/>
  <c r="AA243" i="25"/>
  <c r="Z243" i="25" s="1"/>
  <c r="Y243" i="25" s="1"/>
  <c r="G243" i="25"/>
  <c r="CF243" i="6" s="1"/>
  <c r="G235" i="25"/>
  <c r="CF235" i="6" s="1"/>
  <c r="AA235" i="25"/>
  <c r="Z235" i="25" s="1"/>
  <c r="Y235" i="25" s="1"/>
  <c r="H235" i="25"/>
  <c r="H231" i="25"/>
  <c r="AA231" i="25"/>
  <c r="Z231" i="25" s="1"/>
  <c r="Y231" i="25" s="1"/>
  <c r="G231" i="25"/>
  <c r="CF231" i="6" s="1"/>
  <c r="AA227" i="25"/>
  <c r="Z227" i="25" s="1"/>
  <c r="Y227" i="25" s="1"/>
  <c r="H227" i="25"/>
  <c r="G227" i="25"/>
  <c r="CF227" i="6" s="1"/>
  <c r="AA219" i="25"/>
  <c r="Z219" i="25" s="1"/>
  <c r="Y219" i="25" s="1"/>
  <c r="G219" i="25"/>
  <c r="CF219" i="6" s="1"/>
  <c r="G215" i="25"/>
  <c r="CF215" i="6" s="1"/>
  <c r="AA215" i="25"/>
  <c r="Z215" i="25" s="1"/>
  <c r="Y215" i="25" s="1"/>
  <c r="H207" i="25"/>
  <c r="G207" i="25"/>
  <c r="CF207" i="6" s="1"/>
  <c r="AA207" i="25"/>
  <c r="Z207" i="25" s="1"/>
  <c r="Y207" i="25" s="1"/>
  <c r="G203" i="25"/>
  <c r="CF203" i="6" s="1"/>
  <c r="AA203" i="25"/>
  <c r="Z203" i="25" s="1"/>
  <c r="Y203" i="25" s="1"/>
  <c r="H203" i="25"/>
  <c r="AA195" i="25"/>
  <c r="Z195" i="25" s="1"/>
  <c r="Y195" i="25" s="1"/>
  <c r="H195" i="25"/>
  <c r="G195" i="25"/>
  <c r="CF195" i="6" s="1"/>
  <c r="G191" i="25"/>
  <c r="CF191" i="6" s="1"/>
  <c r="H191" i="25"/>
  <c r="AA191" i="25"/>
  <c r="Z191" i="25" s="1"/>
  <c r="Y191" i="25" s="1"/>
  <c r="AA183" i="25"/>
  <c r="Z183" i="25" s="1"/>
  <c r="Y183" i="25" s="1"/>
  <c r="G183" i="25"/>
  <c r="CF183" i="6" s="1"/>
  <c r="AA179" i="25"/>
  <c r="Z179" i="25" s="1"/>
  <c r="Y179" i="25" s="1"/>
  <c r="G179" i="25"/>
  <c r="CF179" i="6" s="1"/>
  <c r="H179" i="25"/>
  <c r="AA163" i="25"/>
  <c r="Z163" i="25" s="1"/>
  <c r="Y163" i="25" s="1"/>
  <c r="G163" i="25"/>
  <c r="CF163" i="6" s="1"/>
  <c r="G155" i="25"/>
  <c r="CF155" i="6" s="1"/>
  <c r="AA155" i="25"/>
  <c r="Z155" i="25" s="1"/>
  <c r="Y155" i="25" s="1"/>
  <c r="G139" i="25"/>
  <c r="CF139" i="6" s="1"/>
  <c r="AA139" i="25"/>
  <c r="Z139" i="25" s="1"/>
  <c r="Y139" i="25" s="1"/>
  <c r="H139" i="25"/>
  <c r="G127" i="25"/>
  <c r="CF127" i="6" s="1"/>
  <c r="AA127" i="25"/>
  <c r="Z127" i="25" s="1"/>
  <c r="Y127" i="25" s="1"/>
  <c r="E70" i="19"/>
  <c r="B119" i="25"/>
  <c r="G111" i="25"/>
  <c r="CF111" i="6" s="1"/>
  <c r="AA111" i="25"/>
  <c r="Z111" i="25" s="1"/>
  <c r="Y111" i="25" s="1"/>
  <c r="G107" i="25"/>
  <c r="CF107" i="6" s="1"/>
  <c r="AA107" i="25"/>
  <c r="Z107" i="25" s="1"/>
  <c r="Y107" i="25" s="1"/>
  <c r="G103" i="25"/>
  <c r="CF103" i="6" s="1"/>
  <c r="AA103" i="25"/>
  <c r="Z103" i="25" s="1"/>
  <c r="Y103" i="25" s="1"/>
  <c r="H103" i="25"/>
  <c r="G99" i="25"/>
  <c r="CF99" i="6" s="1"/>
  <c r="AA99" i="25"/>
  <c r="Z99" i="25" s="1"/>
  <c r="Y99" i="25" s="1"/>
  <c r="AA95" i="25"/>
  <c r="Z95" i="25" s="1"/>
  <c r="Y95" i="25" s="1"/>
  <c r="G95" i="25"/>
  <c r="CF95" i="6" s="1"/>
  <c r="H95" i="25"/>
  <c r="G87" i="25"/>
  <c r="CF87" i="6" s="1"/>
  <c r="AA87" i="25"/>
  <c r="Z87" i="25" s="1"/>
  <c r="Y87" i="25" s="1"/>
  <c r="AA83" i="25"/>
  <c r="Z83" i="25" s="1"/>
  <c r="Y83" i="25" s="1"/>
  <c r="G83" i="25"/>
  <c r="CF83" i="6" s="1"/>
  <c r="G79" i="25"/>
  <c r="CF79" i="6" s="1"/>
  <c r="AA79" i="25"/>
  <c r="Z79" i="25" s="1"/>
  <c r="Y79" i="25" s="1"/>
  <c r="AA51" i="25"/>
  <c r="Z51" i="25" s="1"/>
  <c r="Y51" i="25" s="1"/>
  <c r="G51" i="25"/>
  <c r="CF51" i="6" s="1"/>
  <c r="AA35" i="25"/>
  <c r="Z35" i="25" s="1"/>
  <c r="Y35" i="25" s="1"/>
  <c r="G35" i="25"/>
  <c r="CF35" i="6" s="1"/>
  <c r="AA27" i="25"/>
  <c r="Z27" i="25" s="1"/>
  <c r="Y27" i="25" s="1"/>
  <c r="G27" i="25"/>
  <c r="CF27" i="6" s="1"/>
  <c r="AA17" i="25"/>
  <c r="Z17" i="25" s="1"/>
  <c r="Y17" i="25" s="1"/>
  <c r="G17" i="25"/>
  <c r="CF17" i="6" s="1"/>
  <c r="H17" i="25"/>
  <c r="G18" i="25"/>
  <c r="CF18" i="6" s="1"/>
  <c r="AA18" i="25"/>
  <c r="Z18" i="25" s="1"/>
  <c r="Y18" i="25" s="1"/>
  <c r="J253" i="25"/>
  <c r="I253" i="25"/>
  <c r="J350" i="25"/>
  <c r="I350" i="25"/>
  <c r="I200" i="25"/>
  <c r="J200" i="25"/>
  <c r="I161" i="25"/>
  <c r="J161" i="25"/>
  <c r="I282" i="25"/>
  <c r="J282" i="25"/>
  <c r="J356" i="25"/>
  <c r="I356" i="25"/>
  <c r="J382" i="22"/>
  <c r="J381" i="22"/>
  <c r="J383" i="22"/>
  <c r="H107" i="25"/>
  <c r="I61" i="25"/>
  <c r="J61" i="25"/>
  <c r="J278" i="25"/>
  <c r="I278" i="25"/>
  <c r="J332" i="25"/>
  <c r="I332" i="25"/>
  <c r="H215" i="25"/>
  <c r="G382" i="23"/>
  <c r="G381" i="23"/>
  <c r="G383" i="23"/>
  <c r="G12" i="23" s="1"/>
  <c r="AB9" i="23"/>
  <c r="F11" i="23"/>
  <c r="G18" i="19"/>
  <c r="J42" i="19" s="1"/>
  <c r="AL10" i="23"/>
  <c r="AM8" i="23"/>
  <c r="AA381" i="23"/>
  <c r="Z15" i="23"/>
  <c r="AL7" i="23" s="1"/>
  <c r="AA9" i="23"/>
  <c r="AA383" i="23"/>
  <c r="AA382" i="23"/>
  <c r="J262" i="25"/>
  <c r="I262" i="25"/>
  <c r="J216" i="25"/>
  <c r="I216" i="25"/>
  <c r="J241" i="24"/>
  <c r="I241" i="24"/>
  <c r="AA377" i="25"/>
  <c r="Z377" i="25" s="1"/>
  <c r="Y377" i="25" s="1"/>
  <c r="G377" i="25"/>
  <c r="CF377" i="6" s="1"/>
  <c r="H377" i="25"/>
  <c r="AA361" i="25"/>
  <c r="Z361" i="25" s="1"/>
  <c r="Y361" i="25" s="1"/>
  <c r="G361" i="25"/>
  <c r="CF361" i="6" s="1"/>
  <c r="H361" i="25"/>
  <c r="D333" i="25"/>
  <c r="E333" i="25" s="1"/>
  <c r="F333" i="25" s="1"/>
  <c r="H333" i="25" s="1"/>
  <c r="W333" i="25"/>
  <c r="G317" i="25"/>
  <c r="CF317" i="6" s="1"/>
  <c r="AA317" i="25"/>
  <c r="Z317" i="25" s="1"/>
  <c r="Y317" i="25" s="1"/>
  <c r="H317" i="25"/>
  <c r="G285" i="25"/>
  <c r="CF285" i="6" s="1"/>
  <c r="AA285" i="25"/>
  <c r="Z285" i="25" s="1"/>
  <c r="Y285" i="25" s="1"/>
  <c r="H285" i="25"/>
  <c r="G269" i="25"/>
  <c r="CF269" i="6" s="1"/>
  <c r="AA269" i="25"/>
  <c r="Z269" i="25" s="1"/>
  <c r="Y269" i="25" s="1"/>
  <c r="H269" i="25"/>
  <c r="H217" i="25"/>
  <c r="G217" i="25"/>
  <c r="CF217" i="6" s="1"/>
  <c r="AA217" i="25"/>
  <c r="Z217" i="25" s="1"/>
  <c r="Y217" i="25" s="1"/>
  <c r="G185" i="25"/>
  <c r="CF185" i="6" s="1"/>
  <c r="AA185" i="25"/>
  <c r="Z185" i="25" s="1"/>
  <c r="Y185" i="25" s="1"/>
  <c r="H185" i="25"/>
  <c r="AA169" i="25"/>
  <c r="Z169" i="25" s="1"/>
  <c r="Y169" i="25" s="1"/>
  <c r="G169" i="25"/>
  <c r="CF169" i="6" s="1"/>
  <c r="H169" i="25"/>
  <c r="AA141" i="25"/>
  <c r="Z141" i="25" s="1"/>
  <c r="Y141" i="25" s="1"/>
  <c r="G141" i="25"/>
  <c r="CF141" i="6" s="1"/>
  <c r="G109" i="25"/>
  <c r="CF109" i="6" s="1"/>
  <c r="AA109" i="25"/>
  <c r="Z109" i="25" s="1"/>
  <c r="Y109" i="25" s="1"/>
  <c r="G93" i="25"/>
  <c r="CF93" i="6" s="1"/>
  <c r="AA93" i="25"/>
  <c r="Z93" i="25" s="1"/>
  <c r="Y93" i="25" s="1"/>
  <c r="H93" i="25"/>
  <c r="AA45" i="25"/>
  <c r="Z45" i="25" s="1"/>
  <c r="Y45" i="25" s="1"/>
  <c r="G45" i="25"/>
  <c r="CF45" i="6" s="1"/>
  <c r="H45" i="25"/>
  <c r="D29" i="25"/>
  <c r="E29" i="25" s="1"/>
  <c r="F29" i="25" s="1"/>
  <c r="W29" i="25"/>
  <c r="AA376" i="25"/>
  <c r="Z376" i="25" s="1"/>
  <c r="Y376" i="25" s="1"/>
  <c r="G376" i="25"/>
  <c r="CF376" i="6" s="1"/>
  <c r="H376" i="25"/>
  <c r="G368" i="25"/>
  <c r="CF368" i="6" s="1"/>
  <c r="AA368" i="25"/>
  <c r="Z368" i="25" s="1"/>
  <c r="Y368" i="25" s="1"/>
  <c r="H368" i="25"/>
  <c r="G360" i="25"/>
  <c r="CF360" i="6" s="1"/>
  <c r="AA360" i="25"/>
  <c r="Z360" i="25" s="1"/>
  <c r="Y360" i="25" s="1"/>
  <c r="H360" i="25"/>
  <c r="H344" i="25"/>
  <c r="AA344" i="25"/>
  <c r="Z344" i="25" s="1"/>
  <c r="Y344" i="25" s="1"/>
  <c r="G344" i="25"/>
  <c r="CF344" i="6" s="1"/>
  <c r="G336" i="25"/>
  <c r="CF336" i="6" s="1"/>
  <c r="AA336" i="25"/>
  <c r="Z336" i="25" s="1"/>
  <c r="Y336" i="25" s="1"/>
  <c r="H336" i="25"/>
  <c r="G296" i="25"/>
  <c r="CF296" i="6" s="1"/>
  <c r="H296" i="25"/>
  <c r="AA296" i="25"/>
  <c r="Z296" i="25" s="1"/>
  <c r="Y296" i="25" s="1"/>
  <c r="G288" i="25"/>
  <c r="CF288" i="6" s="1"/>
  <c r="AA288" i="25"/>
  <c r="Z288" i="25" s="1"/>
  <c r="Y288" i="25" s="1"/>
  <c r="AA280" i="25"/>
  <c r="Z280" i="25" s="1"/>
  <c r="Y280" i="25" s="1"/>
  <c r="G280" i="25"/>
  <c r="CF280" i="6" s="1"/>
  <c r="H280" i="25"/>
  <c r="J70" i="19"/>
  <c r="B272" i="25"/>
  <c r="AA264" i="25"/>
  <c r="Z264" i="25" s="1"/>
  <c r="Y264" i="25" s="1"/>
  <c r="G264" i="25"/>
  <c r="CF264" i="6" s="1"/>
  <c r="H264" i="25"/>
  <c r="AA224" i="25"/>
  <c r="Z224" i="25" s="1"/>
  <c r="Y224" i="25" s="1"/>
  <c r="G224" i="25"/>
  <c r="CF224" i="6" s="1"/>
  <c r="H224" i="25"/>
  <c r="AA216" i="25"/>
  <c r="Z216" i="25" s="1"/>
  <c r="Y216" i="25" s="1"/>
  <c r="G216" i="25"/>
  <c r="CF216" i="6" s="1"/>
  <c r="AA208" i="25"/>
  <c r="Z208" i="25" s="1"/>
  <c r="Y208" i="25" s="1"/>
  <c r="H208" i="25"/>
  <c r="G208" i="25"/>
  <c r="CF208" i="6" s="1"/>
  <c r="AA200" i="25"/>
  <c r="Z200" i="25" s="1"/>
  <c r="Y200" i="25" s="1"/>
  <c r="G200" i="25"/>
  <c r="CF200" i="6" s="1"/>
  <c r="G168" i="25"/>
  <c r="CF168" i="6" s="1"/>
  <c r="AA168" i="25"/>
  <c r="Z168" i="25" s="1"/>
  <c r="Y168" i="25" s="1"/>
  <c r="AA128" i="25"/>
  <c r="Z128" i="25" s="1"/>
  <c r="Y128" i="25" s="1"/>
  <c r="G128" i="25"/>
  <c r="CF128" i="6" s="1"/>
  <c r="H128" i="25"/>
  <c r="AA120" i="25"/>
  <c r="Z120" i="25" s="1"/>
  <c r="Y120" i="25" s="1"/>
  <c r="G120" i="25"/>
  <c r="CF120" i="6" s="1"/>
  <c r="H120" i="25"/>
  <c r="AA104" i="25"/>
  <c r="Z104" i="25" s="1"/>
  <c r="Y104" i="25" s="1"/>
  <c r="G104" i="25"/>
  <c r="CF104" i="6" s="1"/>
  <c r="H104" i="25"/>
  <c r="D70" i="19"/>
  <c r="B88" i="25"/>
  <c r="G64" i="25"/>
  <c r="CF64" i="6" s="1"/>
  <c r="AA64" i="25"/>
  <c r="Z64" i="25" s="1"/>
  <c r="Y64" i="25" s="1"/>
  <c r="H64" i="25"/>
  <c r="G56" i="25"/>
  <c r="CF56" i="6" s="1"/>
  <c r="AA56" i="25"/>
  <c r="Z56" i="25" s="1"/>
  <c r="Y56" i="25" s="1"/>
  <c r="G40" i="25"/>
  <c r="CF40" i="6" s="1"/>
  <c r="AA40" i="25"/>
  <c r="Z40" i="25" s="1"/>
  <c r="Y40" i="25" s="1"/>
  <c r="H40" i="25"/>
  <c r="AA32" i="25"/>
  <c r="Z32" i="25" s="1"/>
  <c r="Y32" i="25" s="1"/>
  <c r="G32" i="25"/>
  <c r="CF32" i="6" s="1"/>
  <c r="H32" i="25"/>
  <c r="G24" i="25"/>
  <c r="CF24" i="6" s="1"/>
  <c r="AA24" i="25"/>
  <c r="Z24" i="25" s="1"/>
  <c r="Y24" i="25" s="1"/>
  <c r="H24" i="25"/>
  <c r="G378" i="25"/>
  <c r="CF378" i="6" s="1"/>
  <c r="AA378" i="25"/>
  <c r="Z378" i="25" s="1"/>
  <c r="Y378" i="25" s="1"/>
  <c r="H378" i="25"/>
  <c r="AA370" i="25"/>
  <c r="Z370" i="25" s="1"/>
  <c r="Y370" i="25" s="1"/>
  <c r="G370" i="25"/>
  <c r="CF370" i="6" s="1"/>
  <c r="H370" i="25"/>
  <c r="AA346" i="25"/>
  <c r="Z346" i="25" s="1"/>
  <c r="Y346" i="25" s="1"/>
  <c r="H346" i="25"/>
  <c r="G346" i="25"/>
  <c r="CF346" i="6" s="1"/>
  <c r="G338" i="25"/>
  <c r="CF338" i="6" s="1"/>
  <c r="AA338" i="25"/>
  <c r="Z338" i="25" s="1"/>
  <c r="Y338" i="25" s="1"/>
  <c r="AA314" i="25"/>
  <c r="Z314" i="25" s="1"/>
  <c r="Y314" i="25" s="1"/>
  <c r="G314" i="25"/>
  <c r="CF314" i="6" s="1"/>
  <c r="H314" i="25"/>
  <c r="H306" i="25"/>
  <c r="G306" i="25"/>
  <c r="CF306" i="6" s="1"/>
  <c r="AA306" i="25"/>
  <c r="Z306" i="25" s="1"/>
  <c r="Y306" i="25" s="1"/>
  <c r="G282" i="25"/>
  <c r="CF282" i="6" s="1"/>
  <c r="AA282" i="25"/>
  <c r="Z282" i="25" s="1"/>
  <c r="Y282" i="25" s="1"/>
  <c r="AA250" i="25"/>
  <c r="Z250" i="25" s="1"/>
  <c r="Y250" i="25" s="1"/>
  <c r="G250" i="25"/>
  <c r="CF250" i="6" s="1"/>
  <c r="AA242" i="25"/>
  <c r="Z242" i="25" s="1"/>
  <c r="Y242" i="25" s="1"/>
  <c r="G242" i="25"/>
  <c r="CF242" i="6" s="1"/>
  <c r="H242" i="25"/>
  <c r="G234" i="25"/>
  <c r="CF234" i="6" s="1"/>
  <c r="H234" i="25"/>
  <c r="AA234" i="25"/>
  <c r="Z234" i="25" s="1"/>
  <c r="Y234" i="25" s="1"/>
  <c r="H218" i="25"/>
  <c r="G218" i="25"/>
  <c r="CF218" i="6" s="1"/>
  <c r="AA218" i="25"/>
  <c r="Z218" i="25" s="1"/>
  <c r="Y218" i="25" s="1"/>
  <c r="H70" i="19"/>
  <c r="B210" i="25"/>
  <c r="H202" i="25"/>
  <c r="AA202" i="25"/>
  <c r="Z202" i="25" s="1"/>
  <c r="Y202" i="25" s="1"/>
  <c r="G202" i="25"/>
  <c r="CF202" i="6" s="1"/>
  <c r="G194" i="25"/>
  <c r="CF194" i="6" s="1"/>
  <c r="AA194" i="25"/>
  <c r="Z194" i="25" s="1"/>
  <c r="Y194" i="25" s="1"/>
  <c r="G186" i="25"/>
  <c r="CF186" i="6" s="1"/>
  <c r="AA186" i="25"/>
  <c r="Z186" i="25" s="1"/>
  <c r="Y186" i="25" s="1"/>
  <c r="H186" i="25"/>
  <c r="AA178" i="25"/>
  <c r="Z178" i="25" s="1"/>
  <c r="Y178" i="25" s="1"/>
  <c r="G178" i="25"/>
  <c r="CF178" i="6" s="1"/>
  <c r="H178" i="25"/>
  <c r="G154" i="25"/>
  <c r="CF154" i="6" s="1"/>
  <c r="AA154" i="25"/>
  <c r="Z154" i="25" s="1"/>
  <c r="Y154" i="25" s="1"/>
  <c r="H154" i="25"/>
  <c r="G130" i="25"/>
  <c r="CF130" i="6" s="1"/>
  <c r="AA130" i="25"/>
  <c r="Z130" i="25" s="1"/>
  <c r="Y130" i="25" s="1"/>
  <c r="H130" i="25"/>
  <c r="G122" i="25"/>
  <c r="CF122" i="6" s="1"/>
  <c r="AA122" i="25"/>
  <c r="Z122" i="25" s="1"/>
  <c r="Y122" i="25" s="1"/>
  <c r="H122" i="25"/>
  <c r="G90" i="25"/>
  <c r="CF90" i="6" s="1"/>
  <c r="AA90" i="25"/>
  <c r="Z90" i="25" s="1"/>
  <c r="Y90" i="25" s="1"/>
  <c r="H90" i="25"/>
  <c r="AA82" i="25"/>
  <c r="Z82" i="25" s="1"/>
  <c r="Y82" i="25" s="1"/>
  <c r="G82" i="25"/>
  <c r="CF82" i="6" s="1"/>
  <c r="AA74" i="25"/>
  <c r="Z74" i="25" s="1"/>
  <c r="Y74" i="25" s="1"/>
  <c r="G74" i="25"/>
  <c r="CF74" i="6" s="1"/>
  <c r="H74" i="25"/>
  <c r="AA26" i="25"/>
  <c r="Z26" i="25" s="1"/>
  <c r="Y26" i="25" s="1"/>
  <c r="G26" i="25"/>
  <c r="CF26" i="6" s="1"/>
  <c r="AA365" i="25"/>
  <c r="Z365" i="25" s="1"/>
  <c r="Y365" i="25" s="1"/>
  <c r="G365" i="25"/>
  <c r="CF365" i="6" s="1"/>
  <c r="H365" i="25"/>
  <c r="AA297" i="25"/>
  <c r="Z297" i="25" s="1"/>
  <c r="Y297" i="25" s="1"/>
  <c r="G297" i="25"/>
  <c r="CF297" i="6" s="1"/>
  <c r="AA253" i="25"/>
  <c r="Z253" i="25" s="1"/>
  <c r="Y253" i="25" s="1"/>
  <c r="G253" i="25"/>
  <c r="CF253" i="6" s="1"/>
  <c r="AA237" i="25"/>
  <c r="Z237" i="25" s="1"/>
  <c r="Y237" i="25" s="1"/>
  <c r="G237" i="25"/>
  <c r="CF237" i="6" s="1"/>
  <c r="H237" i="25"/>
  <c r="H221" i="25"/>
  <c r="G221" i="25"/>
  <c r="CF221" i="6" s="1"/>
  <c r="AA221" i="25"/>
  <c r="Z221" i="25" s="1"/>
  <c r="Y221" i="25" s="1"/>
  <c r="AA201" i="25"/>
  <c r="Z201" i="25" s="1"/>
  <c r="Y201" i="25" s="1"/>
  <c r="G201" i="25"/>
  <c r="CF201" i="6" s="1"/>
  <c r="H201" i="25"/>
  <c r="G153" i="25"/>
  <c r="CF153" i="6" s="1"/>
  <c r="AA153" i="25"/>
  <c r="Z153" i="25" s="1"/>
  <c r="Y153" i="25" s="1"/>
  <c r="H153" i="25"/>
  <c r="AA73" i="25"/>
  <c r="Z73" i="25" s="1"/>
  <c r="Y73" i="25" s="1"/>
  <c r="G73" i="25"/>
  <c r="CF73" i="6" s="1"/>
  <c r="H73" i="25"/>
  <c r="AA41" i="25"/>
  <c r="Z41" i="25" s="1"/>
  <c r="Y41" i="25" s="1"/>
  <c r="G41" i="25"/>
  <c r="CF41" i="6" s="1"/>
  <c r="H41" i="25"/>
  <c r="AA19" i="25"/>
  <c r="Z19" i="25" s="1"/>
  <c r="Y19" i="25" s="1"/>
  <c r="G19" i="25"/>
  <c r="CF19" i="6" s="1"/>
  <c r="H19" i="25"/>
  <c r="AA369" i="25"/>
  <c r="Z369" i="25" s="1"/>
  <c r="Y369" i="25" s="1"/>
  <c r="G369" i="25"/>
  <c r="CF369" i="6" s="1"/>
  <c r="H369" i="25"/>
  <c r="AA353" i="25"/>
  <c r="Z353" i="25" s="1"/>
  <c r="Y353" i="25" s="1"/>
  <c r="G353" i="25"/>
  <c r="CF353" i="6" s="1"/>
  <c r="H353" i="25"/>
  <c r="H337" i="25"/>
  <c r="AA337" i="25"/>
  <c r="Z337" i="25" s="1"/>
  <c r="Y337" i="25" s="1"/>
  <c r="G337" i="25"/>
  <c r="CF337" i="6" s="1"/>
  <c r="G309" i="25"/>
  <c r="CF309" i="6" s="1"/>
  <c r="H309" i="25"/>
  <c r="AA309" i="25"/>
  <c r="Z309" i="25" s="1"/>
  <c r="Y309" i="25" s="1"/>
  <c r="AA293" i="25"/>
  <c r="Z293" i="25" s="1"/>
  <c r="Y293" i="25" s="1"/>
  <c r="G293" i="25"/>
  <c r="CF293" i="6" s="1"/>
  <c r="G277" i="25"/>
  <c r="CF277" i="6" s="1"/>
  <c r="AA277" i="25"/>
  <c r="Z277" i="25" s="1"/>
  <c r="Y277" i="25" s="1"/>
  <c r="H277" i="25"/>
  <c r="G261" i="25"/>
  <c r="CF261" i="6" s="1"/>
  <c r="AA261" i="25"/>
  <c r="Z261" i="25" s="1"/>
  <c r="Y261" i="25" s="1"/>
  <c r="I70" i="19"/>
  <c r="B241" i="25"/>
  <c r="G209" i="25"/>
  <c r="CF209" i="6" s="1"/>
  <c r="H209" i="25"/>
  <c r="AA209" i="25"/>
  <c r="Z209" i="25" s="1"/>
  <c r="Y209" i="25" s="1"/>
  <c r="G197" i="25"/>
  <c r="CF197" i="6" s="1"/>
  <c r="AA197" i="25"/>
  <c r="Z197" i="25" s="1"/>
  <c r="Y197" i="25" s="1"/>
  <c r="F70" i="19"/>
  <c r="B149" i="25"/>
  <c r="AA133" i="25"/>
  <c r="Z133" i="25" s="1"/>
  <c r="Y133" i="25" s="1"/>
  <c r="G133" i="25"/>
  <c r="CF133" i="6" s="1"/>
  <c r="H133" i="25"/>
  <c r="AA101" i="25"/>
  <c r="Z101" i="25" s="1"/>
  <c r="Y101" i="25" s="1"/>
  <c r="G101" i="25"/>
  <c r="CF101" i="6" s="1"/>
  <c r="H101" i="25"/>
  <c r="G69" i="25"/>
  <c r="CF69" i="6" s="1"/>
  <c r="AA69" i="25"/>
  <c r="Z69" i="25" s="1"/>
  <c r="Y69" i="25" s="1"/>
  <c r="H69" i="25"/>
  <c r="AA53" i="25"/>
  <c r="Z53" i="25" s="1"/>
  <c r="Y53" i="25" s="1"/>
  <c r="G53" i="25"/>
  <c r="CF53" i="6" s="1"/>
  <c r="G37" i="25"/>
  <c r="CF37" i="6" s="1"/>
  <c r="AA37" i="25"/>
  <c r="Z37" i="25" s="1"/>
  <c r="Y37" i="25" s="1"/>
  <c r="G21" i="25"/>
  <c r="CF21" i="6" s="1"/>
  <c r="AA21" i="25"/>
  <c r="Z21" i="25" s="1"/>
  <c r="Y21" i="25" s="1"/>
  <c r="H21" i="25"/>
  <c r="G372" i="25"/>
  <c r="CF372" i="6" s="1"/>
  <c r="AA372" i="25"/>
  <c r="Z372" i="25" s="1"/>
  <c r="Y372" i="25" s="1"/>
  <c r="H372" i="25"/>
  <c r="AA348" i="25"/>
  <c r="Z348" i="25" s="1"/>
  <c r="Y348" i="25" s="1"/>
  <c r="G348" i="25"/>
  <c r="CF348" i="6" s="1"/>
  <c r="H348" i="25"/>
  <c r="G340" i="25"/>
  <c r="CF340" i="6" s="1"/>
  <c r="AA340" i="25"/>
  <c r="Z340" i="25" s="1"/>
  <c r="Y340" i="25" s="1"/>
  <c r="G332" i="25"/>
  <c r="CF332" i="6" s="1"/>
  <c r="AA332" i="25"/>
  <c r="Z332" i="25" s="1"/>
  <c r="Y332" i="25" s="1"/>
  <c r="AA324" i="25"/>
  <c r="Z324" i="25" s="1"/>
  <c r="Y324" i="25" s="1"/>
  <c r="G324" i="25"/>
  <c r="CF324" i="6" s="1"/>
  <c r="G292" i="25"/>
  <c r="CF292" i="6" s="1"/>
  <c r="AA292" i="25"/>
  <c r="Z292" i="25" s="1"/>
  <c r="Y292" i="25" s="1"/>
  <c r="H292" i="25"/>
  <c r="H284" i="25"/>
  <c r="AA284" i="25"/>
  <c r="Z284" i="25" s="1"/>
  <c r="Y284" i="25" s="1"/>
  <c r="G284" i="25"/>
  <c r="CF284" i="6" s="1"/>
  <c r="G276" i="25"/>
  <c r="CF276" i="6" s="1"/>
  <c r="AA276" i="25"/>
  <c r="Z276" i="25" s="1"/>
  <c r="Y276" i="25" s="1"/>
  <c r="H276" i="25"/>
  <c r="AA268" i="25"/>
  <c r="Z268" i="25" s="1"/>
  <c r="Y268" i="25" s="1"/>
  <c r="G268" i="25"/>
  <c r="CF268" i="6" s="1"/>
  <c r="H268" i="25"/>
  <c r="H260" i="25"/>
  <c r="AA260" i="25"/>
  <c r="Z260" i="25" s="1"/>
  <c r="Y260" i="25" s="1"/>
  <c r="G260" i="25"/>
  <c r="CF260" i="6" s="1"/>
  <c r="G252" i="25"/>
  <c r="CF252" i="6" s="1"/>
  <c r="AA252" i="25"/>
  <c r="Z252" i="25" s="1"/>
  <c r="Y252" i="25" s="1"/>
  <c r="G236" i="25"/>
  <c r="CF236" i="6" s="1"/>
  <c r="AA236" i="25"/>
  <c r="Z236" i="25" s="1"/>
  <c r="Y236" i="25" s="1"/>
  <c r="H236" i="25"/>
  <c r="AA228" i="25"/>
  <c r="Z228" i="25" s="1"/>
  <c r="Y228" i="25" s="1"/>
  <c r="G228" i="25"/>
  <c r="CF228" i="6" s="1"/>
  <c r="G70" i="19"/>
  <c r="B180" i="25"/>
  <c r="G172" i="25"/>
  <c r="CF172" i="6" s="1"/>
  <c r="AA172" i="25"/>
  <c r="Z172" i="25" s="1"/>
  <c r="Y172" i="25" s="1"/>
  <c r="H172" i="25"/>
  <c r="AA156" i="25"/>
  <c r="Z156" i="25" s="1"/>
  <c r="Y156" i="25" s="1"/>
  <c r="G156" i="25"/>
  <c r="CF156" i="6" s="1"/>
  <c r="AA124" i="25"/>
  <c r="Z124" i="25" s="1"/>
  <c r="Y124" i="25" s="1"/>
  <c r="G124" i="25"/>
  <c r="CF124" i="6" s="1"/>
  <c r="H124" i="25"/>
  <c r="AA100" i="25"/>
  <c r="Z100" i="25" s="1"/>
  <c r="Y100" i="25" s="1"/>
  <c r="G100" i="25"/>
  <c r="CF100" i="6" s="1"/>
  <c r="H100" i="25"/>
  <c r="AA76" i="25"/>
  <c r="Z76" i="25" s="1"/>
  <c r="Y76" i="25" s="1"/>
  <c r="G76" i="25"/>
  <c r="CF76" i="6" s="1"/>
  <c r="H76" i="25"/>
  <c r="C70" i="19"/>
  <c r="B60" i="25"/>
  <c r="AA44" i="25"/>
  <c r="Z44" i="25" s="1"/>
  <c r="Y44" i="25" s="1"/>
  <c r="G44" i="25"/>
  <c r="CF44" i="6" s="1"/>
  <c r="H44" i="25"/>
  <c r="G36" i="25"/>
  <c r="CF36" i="6" s="1"/>
  <c r="AA36" i="25"/>
  <c r="Z36" i="25" s="1"/>
  <c r="Y36" i="25" s="1"/>
  <c r="H36" i="25"/>
  <c r="AA358" i="25"/>
  <c r="Z358" i="25" s="1"/>
  <c r="Y358" i="25" s="1"/>
  <c r="G358" i="25"/>
  <c r="CF358" i="6" s="1"/>
  <c r="H358" i="25"/>
  <c r="G342" i="25"/>
  <c r="CF342" i="6" s="1"/>
  <c r="AA342" i="25"/>
  <c r="Z342" i="25" s="1"/>
  <c r="Y342" i="25" s="1"/>
  <c r="H334" i="25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H326" i="25"/>
  <c r="H310" i="25"/>
  <c r="G310" i="25"/>
  <c r="CF310" i="6" s="1"/>
  <c r="AA310" i="25"/>
  <c r="Z310" i="25" s="1"/>
  <c r="Y310" i="25" s="1"/>
  <c r="K70" i="19"/>
  <c r="B302" i="25"/>
  <c r="G278" i="25"/>
  <c r="CF278" i="6" s="1"/>
  <c r="AA278" i="25"/>
  <c r="Z278" i="25" s="1"/>
  <c r="Y278" i="25" s="1"/>
  <c r="G262" i="25"/>
  <c r="CF262" i="6" s="1"/>
  <c r="AA262" i="25"/>
  <c r="Z262" i="25" s="1"/>
  <c r="Y262" i="25" s="1"/>
  <c r="G254" i="25"/>
  <c r="CF254" i="6" s="1"/>
  <c r="AA254" i="25"/>
  <c r="Z254" i="25" s="1"/>
  <c r="Y254" i="25" s="1"/>
  <c r="H254" i="25"/>
  <c r="H230" i="25"/>
  <c r="AA230" i="25"/>
  <c r="Z230" i="25" s="1"/>
  <c r="Y230" i="25" s="1"/>
  <c r="G230" i="25"/>
  <c r="CF230" i="6" s="1"/>
  <c r="G222" i="25"/>
  <c r="CF222" i="6" s="1"/>
  <c r="AA222" i="25"/>
  <c r="Z222" i="25" s="1"/>
  <c r="Y222" i="25" s="1"/>
  <c r="H206" i="25"/>
  <c r="AA206" i="25"/>
  <c r="Z206" i="25" s="1"/>
  <c r="Y206" i="25" s="1"/>
  <c r="G206" i="25"/>
  <c r="CF206" i="6" s="1"/>
  <c r="G166" i="25"/>
  <c r="CF166" i="6" s="1"/>
  <c r="AA166" i="25"/>
  <c r="Z166" i="25" s="1"/>
  <c r="Y166" i="25" s="1"/>
  <c r="G158" i="25"/>
  <c r="CF158" i="6" s="1"/>
  <c r="AA158" i="25"/>
  <c r="Z158" i="25" s="1"/>
  <c r="Y158" i="25" s="1"/>
  <c r="AA150" i="25"/>
  <c r="Z150" i="25" s="1"/>
  <c r="Y150" i="25" s="1"/>
  <c r="G150" i="25"/>
  <c r="CF150" i="6" s="1"/>
  <c r="H150" i="25"/>
  <c r="AA126" i="25"/>
  <c r="Z126" i="25" s="1"/>
  <c r="Y126" i="25" s="1"/>
  <c r="G126" i="25"/>
  <c r="CF126" i="6" s="1"/>
  <c r="H126" i="25"/>
  <c r="G78" i="25"/>
  <c r="CF78" i="6" s="1"/>
  <c r="AA78" i="25"/>
  <c r="Z78" i="25" s="1"/>
  <c r="Y78" i="25" s="1"/>
  <c r="H78" i="25"/>
  <c r="AA70" i="25"/>
  <c r="Z70" i="25" s="1"/>
  <c r="Y70" i="25" s="1"/>
  <c r="G70" i="25"/>
  <c r="CF70" i="6" s="1"/>
  <c r="G62" i="25"/>
  <c r="CF62" i="6" s="1"/>
  <c r="AA62" i="25"/>
  <c r="Z62" i="25" s="1"/>
  <c r="Y62" i="25" s="1"/>
  <c r="G54" i="25"/>
  <c r="CF54" i="6" s="1"/>
  <c r="AA54" i="25"/>
  <c r="Z54" i="25" s="1"/>
  <c r="Y54" i="25" s="1"/>
  <c r="H54" i="25"/>
  <c r="AA38" i="25"/>
  <c r="Z38" i="25" s="1"/>
  <c r="Y38" i="25" s="1"/>
  <c r="G38" i="25"/>
  <c r="CF38" i="6" s="1"/>
  <c r="H38" i="25"/>
  <c r="AA30" i="25"/>
  <c r="Z30" i="25" s="1"/>
  <c r="Y30" i="25" s="1"/>
  <c r="G30" i="25"/>
  <c r="CF30" i="6" s="1"/>
  <c r="G321" i="25"/>
  <c r="CF321" i="6" s="1"/>
  <c r="AA321" i="25"/>
  <c r="Z321" i="25" s="1"/>
  <c r="Y321" i="25" s="1"/>
  <c r="G289" i="25"/>
  <c r="CF289" i="6" s="1"/>
  <c r="AA289" i="25"/>
  <c r="Z289" i="25" s="1"/>
  <c r="Y289" i="25" s="1"/>
  <c r="AA273" i="25"/>
  <c r="Z273" i="25" s="1"/>
  <c r="Y273" i="25" s="1"/>
  <c r="G273" i="25"/>
  <c r="CF273" i="6" s="1"/>
  <c r="H273" i="25"/>
  <c r="AA257" i="25"/>
  <c r="Z257" i="25" s="1"/>
  <c r="Y257" i="25" s="1"/>
  <c r="G257" i="25"/>
  <c r="CF257" i="6" s="1"/>
  <c r="H257" i="25"/>
  <c r="H245" i="25"/>
  <c r="AA245" i="25"/>
  <c r="Z245" i="25" s="1"/>
  <c r="Y245" i="25" s="1"/>
  <c r="G245" i="25"/>
  <c r="CF245" i="6" s="1"/>
  <c r="G229" i="25"/>
  <c r="CF229" i="6" s="1"/>
  <c r="AA229" i="25"/>
  <c r="Z229" i="25" s="1"/>
  <c r="Y229" i="25" s="1"/>
  <c r="H229" i="25"/>
  <c r="G213" i="25"/>
  <c r="CF213" i="6" s="1"/>
  <c r="AA213" i="25"/>
  <c r="Z213" i="25" s="1"/>
  <c r="Y213" i="25" s="1"/>
  <c r="H213" i="25"/>
  <c r="AA193" i="25"/>
  <c r="Z193" i="25" s="1"/>
  <c r="Y193" i="25" s="1"/>
  <c r="H193" i="25"/>
  <c r="G193" i="25"/>
  <c r="CF193" i="6" s="1"/>
  <c r="G181" i="25"/>
  <c r="CF181" i="6" s="1"/>
  <c r="AA181" i="25"/>
  <c r="Z181" i="25" s="1"/>
  <c r="Y181" i="25" s="1"/>
  <c r="G145" i="25"/>
  <c r="CF145" i="6" s="1"/>
  <c r="AA145" i="25"/>
  <c r="Z145" i="25" s="1"/>
  <c r="Y145" i="25" s="1"/>
  <c r="AA129" i="25"/>
  <c r="Z129" i="25" s="1"/>
  <c r="Y129" i="25" s="1"/>
  <c r="G129" i="25"/>
  <c r="CF129" i="6" s="1"/>
  <c r="AA81" i="25"/>
  <c r="Z81" i="25" s="1"/>
  <c r="Y81" i="25" s="1"/>
  <c r="G81" i="25"/>
  <c r="CF81" i="6" s="1"/>
  <c r="H81" i="25"/>
  <c r="G65" i="25"/>
  <c r="CF65" i="6" s="1"/>
  <c r="AA65" i="25"/>
  <c r="Z65" i="25" s="1"/>
  <c r="Y65" i="25" s="1"/>
  <c r="AA33" i="25"/>
  <c r="Z33" i="25" s="1"/>
  <c r="Y33" i="25" s="1"/>
  <c r="G33" i="25"/>
  <c r="CF33" i="6" s="1"/>
  <c r="H33" i="25"/>
  <c r="I129" i="25"/>
  <c r="J129" i="25"/>
  <c r="J82" i="25"/>
  <c r="I82" i="25"/>
  <c r="J252" i="25"/>
  <c r="I252" i="25"/>
  <c r="J339" i="25"/>
  <c r="I339" i="25"/>
  <c r="H9" i="24"/>
  <c r="B19" i="19" s="1"/>
  <c r="AJ6" i="24"/>
  <c r="AK6" i="24"/>
  <c r="B383" i="24"/>
  <c r="B381" i="24"/>
  <c r="D15" i="24"/>
  <c r="AJ7" i="24" s="1"/>
  <c r="B382" i="24"/>
  <c r="W15" i="24"/>
  <c r="J143" i="25"/>
  <c r="I143" i="25"/>
  <c r="J342" i="25"/>
  <c r="I342" i="25"/>
  <c r="J65" i="25"/>
  <c r="I65" i="25"/>
  <c r="AO7" i="7"/>
  <c r="G7" i="6"/>
  <c r="J71" i="25"/>
  <c r="I71" i="25"/>
  <c r="J307" i="25"/>
  <c r="I307" i="25"/>
  <c r="J261" i="25"/>
  <c r="I261" i="25"/>
  <c r="J320" i="25"/>
  <c r="I320" i="25"/>
  <c r="J289" i="25"/>
  <c r="I289" i="25"/>
  <c r="I228" i="25"/>
  <c r="J228" i="25"/>
  <c r="J259" i="25"/>
  <c r="I259" i="25"/>
  <c r="I23" i="25"/>
  <c r="J23" i="25"/>
  <c r="J255" i="25"/>
  <c r="I255" i="25"/>
  <c r="I331" i="25"/>
  <c r="J331" i="25"/>
  <c r="I147" i="25"/>
  <c r="J147" i="25"/>
  <c r="J349" i="25"/>
  <c r="I349" i="25"/>
  <c r="J302" i="24"/>
  <c r="I302" i="24"/>
  <c r="J250" i="25"/>
  <c r="I250" i="25"/>
  <c r="J51" i="25"/>
  <c r="I51" i="25"/>
  <c r="J167" i="25"/>
  <c r="I167" i="25"/>
  <c r="J141" i="25"/>
  <c r="I141" i="25"/>
  <c r="J156" i="25"/>
  <c r="I156" i="25"/>
  <c r="J187" i="25"/>
  <c r="I187" i="25"/>
  <c r="J99" i="25"/>
  <c r="I99" i="25"/>
  <c r="I299" i="25"/>
  <c r="J299" i="25"/>
  <c r="J189" i="25"/>
  <c r="I189" i="25"/>
  <c r="J304" i="25"/>
  <c r="I304" i="25"/>
  <c r="I194" i="25"/>
  <c r="J194" i="25"/>
  <c r="I371" i="25"/>
  <c r="J371" i="25"/>
  <c r="I343" i="25"/>
  <c r="J343" i="25"/>
  <c r="I30" i="25"/>
  <c r="J30" i="25"/>
  <c r="I56" i="25"/>
  <c r="J56" i="25"/>
  <c r="I312" i="25"/>
  <c r="J312" i="25"/>
  <c r="J345" i="25"/>
  <c r="I345" i="25"/>
  <c r="I219" i="25"/>
  <c r="J219" i="25"/>
  <c r="I163" i="25"/>
  <c r="J163" i="25"/>
  <c r="I375" i="25"/>
  <c r="J375" i="25"/>
  <c r="I18" i="25"/>
  <c r="J18" i="25"/>
  <c r="I111" i="25"/>
  <c r="J111" i="25"/>
  <c r="J279" i="25"/>
  <c r="I279" i="25"/>
  <c r="J367" i="25"/>
  <c r="I367" i="25"/>
  <c r="W379" i="25"/>
  <c r="D379" i="25"/>
  <c r="E379" i="25" s="1"/>
  <c r="F379" i="25" s="1"/>
  <c r="AA367" i="25"/>
  <c r="Z367" i="25" s="1"/>
  <c r="Y367" i="25" s="1"/>
  <c r="G367" i="25"/>
  <c r="CF367" i="6" s="1"/>
  <c r="H351" i="25"/>
  <c r="AA351" i="25"/>
  <c r="Z351" i="25" s="1"/>
  <c r="Y351" i="25" s="1"/>
  <c r="G351" i="25"/>
  <c r="CF351" i="6" s="1"/>
  <c r="AA347" i="25"/>
  <c r="Z347" i="25" s="1"/>
  <c r="Y347" i="25" s="1"/>
  <c r="H347" i="25"/>
  <c r="G347" i="25"/>
  <c r="CF347" i="6" s="1"/>
  <c r="G339" i="25"/>
  <c r="CF339" i="6" s="1"/>
  <c r="AA339" i="25"/>
  <c r="Z339" i="25" s="1"/>
  <c r="Y339" i="25" s="1"/>
  <c r="G331" i="25"/>
  <c r="CF331" i="6" s="1"/>
  <c r="AA331" i="25"/>
  <c r="Z331" i="25" s="1"/>
  <c r="Y331" i="25" s="1"/>
  <c r="AA327" i="25"/>
  <c r="Z327" i="25" s="1"/>
  <c r="Y327" i="25" s="1"/>
  <c r="G327" i="25"/>
  <c r="CF327" i="6" s="1"/>
  <c r="H327" i="25"/>
  <c r="G315" i="25"/>
  <c r="CF315" i="6" s="1"/>
  <c r="AA315" i="25"/>
  <c r="Z315" i="25" s="1"/>
  <c r="Y315" i="25" s="1"/>
  <c r="H315" i="25"/>
  <c r="G299" i="25"/>
  <c r="CF299" i="6" s="1"/>
  <c r="AA299" i="25"/>
  <c r="Z299" i="25" s="1"/>
  <c r="Y299" i="25" s="1"/>
  <c r="AA295" i="25"/>
  <c r="Z295" i="25" s="1"/>
  <c r="Y295" i="25" s="1"/>
  <c r="G295" i="25"/>
  <c r="CF295" i="6" s="1"/>
  <c r="AA283" i="25"/>
  <c r="Z283" i="25" s="1"/>
  <c r="Y283" i="25" s="1"/>
  <c r="G283" i="25"/>
  <c r="CF283" i="6" s="1"/>
  <c r="AA279" i="25"/>
  <c r="Z279" i="25" s="1"/>
  <c r="Y279" i="25" s="1"/>
  <c r="G279" i="25"/>
  <c r="CF279" i="6" s="1"/>
  <c r="G267" i="25"/>
  <c r="CF267" i="6" s="1"/>
  <c r="AA267" i="25"/>
  <c r="Z267" i="25" s="1"/>
  <c r="Y267" i="25" s="1"/>
  <c r="G255" i="25"/>
  <c r="CF255" i="6" s="1"/>
  <c r="AA255" i="25"/>
  <c r="Z255" i="25" s="1"/>
  <c r="Y255" i="25" s="1"/>
  <c r="AA247" i="25"/>
  <c r="Z247" i="25" s="1"/>
  <c r="Y247" i="25" s="1"/>
  <c r="G247" i="25"/>
  <c r="CF247" i="6" s="1"/>
  <c r="G239" i="25"/>
  <c r="CF239" i="6" s="1"/>
  <c r="AA239" i="25"/>
  <c r="Z239" i="25" s="1"/>
  <c r="Y239" i="25" s="1"/>
  <c r="AA223" i="25"/>
  <c r="Z223" i="25" s="1"/>
  <c r="Y223" i="25" s="1"/>
  <c r="G223" i="25"/>
  <c r="CF223" i="6" s="1"/>
  <c r="G211" i="25"/>
  <c r="CF211" i="6" s="1"/>
  <c r="AA211" i="25"/>
  <c r="Z211" i="25" s="1"/>
  <c r="Y211" i="25" s="1"/>
  <c r="H211" i="25"/>
  <c r="G199" i="25"/>
  <c r="CF199" i="6" s="1"/>
  <c r="AA199" i="25"/>
  <c r="Z199" i="25" s="1"/>
  <c r="Y199" i="25" s="1"/>
  <c r="H199" i="25"/>
  <c r="G187" i="25"/>
  <c r="CF187" i="6" s="1"/>
  <c r="AA187" i="25"/>
  <c r="Z187" i="25" s="1"/>
  <c r="Y187" i="25" s="1"/>
  <c r="AA175" i="25"/>
  <c r="Z175" i="25" s="1"/>
  <c r="Y175" i="25" s="1"/>
  <c r="G175" i="25"/>
  <c r="CF175" i="6" s="1"/>
  <c r="G171" i="25"/>
  <c r="CF171" i="6" s="1"/>
  <c r="AA171" i="25"/>
  <c r="Z171" i="25" s="1"/>
  <c r="Y171" i="25" s="1"/>
  <c r="H171" i="25"/>
  <c r="G167" i="25"/>
  <c r="CF167" i="6" s="1"/>
  <c r="AA167" i="25"/>
  <c r="Z167" i="25" s="1"/>
  <c r="Y167" i="25" s="1"/>
  <c r="AA159" i="25"/>
  <c r="Z159" i="25" s="1"/>
  <c r="Y159" i="25" s="1"/>
  <c r="G159" i="25"/>
  <c r="CF159" i="6" s="1"/>
  <c r="AA151" i="25"/>
  <c r="Z151" i="25" s="1"/>
  <c r="Y151" i="25" s="1"/>
  <c r="G151" i="25"/>
  <c r="CF151" i="6" s="1"/>
  <c r="AA147" i="25"/>
  <c r="Z147" i="25" s="1"/>
  <c r="Y147" i="25" s="1"/>
  <c r="G147" i="25"/>
  <c r="CF147" i="6" s="1"/>
  <c r="G143" i="25"/>
  <c r="CF143" i="6" s="1"/>
  <c r="AA143" i="25"/>
  <c r="Z143" i="25" s="1"/>
  <c r="Y143" i="25" s="1"/>
  <c r="AA135" i="25"/>
  <c r="Z135" i="25" s="1"/>
  <c r="Y135" i="25" s="1"/>
  <c r="H135" i="25"/>
  <c r="G135" i="25"/>
  <c r="CF135" i="6" s="1"/>
  <c r="G131" i="25"/>
  <c r="CF131" i="6" s="1"/>
  <c r="AA131" i="25"/>
  <c r="Z131" i="25" s="1"/>
  <c r="Y131" i="25" s="1"/>
  <c r="G123" i="25"/>
  <c r="CF123" i="6" s="1"/>
  <c r="AA123" i="25"/>
  <c r="Z123" i="25" s="1"/>
  <c r="Y123" i="25" s="1"/>
  <c r="H123" i="25"/>
  <c r="AA115" i="25"/>
  <c r="Z115" i="25" s="1"/>
  <c r="Y115" i="25" s="1"/>
  <c r="G115" i="25"/>
  <c r="CF115" i="6" s="1"/>
  <c r="H115" i="25"/>
  <c r="G91" i="25"/>
  <c r="CF91" i="6" s="1"/>
  <c r="AA91" i="25"/>
  <c r="Z91" i="25" s="1"/>
  <c r="Y91" i="25" s="1"/>
  <c r="AA75" i="25"/>
  <c r="Z75" i="25" s="1"/>
  <c r="Y75" i="25" s="1"/>
  <c r="G75" i="25"/>
  <c r="CF75" i="6" s="1"/>
  <c r="H75" i="25"/>
  <c r="AA71" i="25"/>
  <c r="Z71" i="25" s="1"/>
  <c r="Y71" i="25" s="1"/>
  <c r="G71" i="25"/>
  <c r="CF71" i="6" s="1"/>
  <c r="G67" i="25"/>
  <c r="CF67" i="6" s="1"/>
  <c r="AA67" i="25"/>
  <c r="Z67" i="25" s="1"/>
  <c r="Y67" i="25" s="1"/>
  <c r="G63" i="25"/>
  <c r="CF63" i="6" s="1"/>
  <c r="AA63" i="25"/>
  <c r="Z63" i="25" s="1"/>
  <c r="Y63" i="25" s="1"/>
  <c r="AA59" i="25"/>
  <c r="Z59" i="25" s="1"/>
  <c r="Y59" i="25" s="1"/>
  <c r="G59" i="25"/>
  <c r="CF59" i="6" s="1"/>
  <c r="H59" i="25"/>
  <c r="AA55" i="25"/>
  <c r="Z55" i="25" s="1"/>
  <c r="Y55" i="25" s="1"/>
  <c r="G55" i="25"/>
  <c r="CF55" i="6" s="1"/>
  <c r="AA47" i="25"/>
  <c r="Z47" i="25" s="1"/>
  <c r="Y47" i="25" s="1"/>
  <c r="G47" i="25"/>
  <c r="CF47" i="6" s="1"/>
  <c r="H47" i="25"/>
  <c r="G43" i="25"/>
  <c r="CF43" i="6" s="1"/>
  <c r="AA43" i="25"/>
  <c r="Z43" i="25" s="1"/>
  <c r="Y43" i="25" s="1"/>
  <c r="AA39" i="25"/>
  <c r="Z39" i="25" s="1"/>
  <c r="Y39" i="25" s="1"/>
  <c r="G39" i="25"/>
  <c r="CF39" i="6" s="1"/>
  <c r="AA31" i="25"/>
  <c r="Z31" i="25" s="1"/>
  <c r="Y31" i="25" s="1"/>
  <c r="G31" i="25"/>
  <c r="CF31" i="6" s="1"/>
  <c r="G23" i="25"/>
  <c r="CF23" i="6" s="1"/>
  <c r="AA23" i="25"/>
  <c r="Z23" i="25" s="1"/>
  <c r="Y23" i="25" s="1"/>
  <c r="H39" i="25"/>
  <c r="I149" i="24"/>
  <c r="J149" i="24"/>
  <c r="I205" i="25"/>
  <c r="J205" i="25"/>
  <c r="J293" i="25"/>
  <c r="I293" i="25"/>
  <c r="I168" i="25"/>
  <c r="J168" i="25"/>
  <c r="J240" i="25"/>
  <c r="I240" i="25"/>
  <c r="I226" i="25"/>
  <c r="J226" i="25"/>
  <c r="I324" i="25"/>
  <c r="J324" i="25"/>
  <c r="Z383" i="22"/>
  <c r="Z382" i="22"/>
  <c r="Z9" i="22"/>
  <c r="Y15" i="22"/>
  <c r="AL5" i="22" s="1"/>
  <c r="AL11" i="22" s="1"/>
  <c r="AJ3" i="22" s="1"/>
  <c r="O17" i="19" s="1"/>
  <c r="M17" i="19" s="1"/>
  <c r="Z381" i="22"/>
  <c r="AL8" i="22"/>
  <c r="I381" i="22"/>
  <c r="I383" i="22"/>
  <c r="I382" i="22"/>
  <c r="H287" i="25"/>
  <c r="I70" i="25"/>
  <c r="J70" i="25"/>
  <c r="I321" i="25"/>
  <c r="J321" i="25"/>
  <c r="H43" i="25"/>
  <c r="H243" i="25"/>
  <c r="J16" i="25"/>
  <c r="I16" i="25"/>
  <c r="I53" i="25"/>
  <c r="J53" i="25"/>
  <c r="J62" i="25"/>
  <c r="I62" i="25"/>
  <c r="J96" i="25"/>
  <c r="I96" i="25"/>
  <c r="J49" i="25"/>
  <c r="I49" i="25"/>
  <c r="AF383" i="25"/>
  <c r="AF382" i="25"/>
  <c r="AF381" i="25"/>
  <c r="AD15" i="25"/>
  <c r="H91" i="25"/>
  <c r="AA345" i="25"/>
  <c r="Z345" i="25" s="1"/>
  <c r="Y345" i="25" s="1"/>
  <c r="G345" i="25"/>
  <c r="CF345" i="6" s="1"/>
  <c r="G301" i="25"/>
  <c r="CF301" i="6" s="1"/>
  <c r="AA301" i="25"/>
  <c r="Z301" i="25" s="1"/>
  <c r="Y301" i="25" s="1"/>
  <c r="H301" i="25"/>
  <c r="G249" i="25"/>
  <c r="CF249" i="6" s="1"/>
  <c r="AA249" i="25"/>
  <c r="Z249" i="25" s="1"/>
  <c r="Y249" i="25" s="1"/>
  <c r="H249" i="25"/>
  <c r="AA233" i="25"/>
  <c r="Z233" i="25" s="1"/>
  <c r="Y233" i="25" s="1"/>
  <c r="G233" i="25"/>
  <c r="CF233" i="6" s="1"/>
  <c r="H233" i="25"/>
  <c r="G205" i="25"/>
  <c r="CF205" i="6" s="1"/>
  <c r="AA205" i="25"/>
  <c r="Z205" i="25" s="1"/>
  <c r="Y205" i="25" s="1"/>
  <c r="G157" i="25"/>
  <c r="CF157" i="6" s="1"/>
  <c r="AA157" i="25"/>
  <c r="Z157" i="25" s="1"/>
  <c r="Y157" i="25" s="1"/>
  <c r="H157" i="25"/>
  <c r="G125" i="25"/>
  <c r="CF125" i="6" s="1"/>
  <c r="AA125" i="25"/>
  <c r="Z125" i="25" s="1"/>
  <c r="Y125" i="25" s="1"/>
  <c r="H125" i="25"/>
  <c r="AA77" i="25"/>
  <c r="Z77" i="25" s="1"/>
  <c r="Y77" i="25" s="1"/>
  <c r="G77" i="25"/>
  <c r="CF77" i="6" s="1"/>
  <c r="H77" i="25"/>
  <c r="AA61" i="25"/>
  <c r="Z61" i="25" s="1"/>
  <c r="Y61" i="25" s="1"/>
  <c r="G61" i="25"/>
  <c r="CF61" i="6" s="1"/>
  <c r="AA352" i="25"/>
  <c r="Z352" i="25" s="1"/>
  <c r="Y352" i="25" s="1"/>
  <c r="G352" i="25"/>
  <c r="CF352" i="6" s="1"/>
  <c r="H352" i="25"/>
  <c r="G328" i="25"/>
  <c r="CF328" i="6" s="1"/>
  <c r="AA328" i="25"/>
  <c r="Z328" i="25" s="1"/>
  <c r="Y328" i="25" s="1"/>
  <c r="H328" i="25"/>
  <c r="AA320" i="25"/>
  <c r="Z320" i="25" s="1"/>
  <c r="Y320" i="25" s="1"/>
  <c r="G320" i="25"/>
  <c r="CF320" i="6" s="1"/>
  <c r="AA312" i="25"/>
  <c r="Z312" i="25" s="1"/>
  <c r="Y312" i="25" s="1"/>
  <c r="G312" i="25"/>
  <c r="CF312" i="6" s="1"/>
  <c r="G304" i="25"/>
  <c r="CF304" i="6" s="1"/>
  <c r="AA304" i="25"/>
  <c r="Z304" i="25" s="1"/>
  <c r="Y304" i="25" s="1"/>
  <c r="G256" i="25"/>
  <c r="CF256" i="6" s="1"/>
  <c r="AA256" i="25"/>
  <c r="Z256" i="25" s="1"/>
  <c r="Y256" i="25" s="1"/>
  <c r="AA248" i="25"/>
  <c r="Z248" i="25" s="1"/>
  <c r="Y248" i="25" s="1"/>
  <c r="G248" i="25"/>
  <c r="CF248" i="6" s="1"/>
  <c r="H248" i="25"/>
  <c r="AA240" i="25"/>
  <c r="Z240" i="25" s="1"/>
  <c r="Y240" i="25" s="1"/>
  <c r="G240" i="25"/>
  <c r="CF240" i="6" s="1"/>
  <c r="H232" i="25"/>
  <c r="AA232" i="25"/>
  <c r="Z232" i="25" s="1"/>
  <c r="Y232" i="25" s="1"/>
  <c r="G232" i="25"/>
  <c r="CF232" i="6" s="1"/>
  <c r="AA192" i="25"/>
  <c r="Z192" i="25" s="1"/>
  <c r="Y192" i="25" s="1"/>
  <c r="G192" i="25"/>
  <c r="CF192" i="6" s="1"/>
  <c r="H192" i="25"/>
  <c r="G184" i="25"/>
  <c r="CF184" i="6" s="1"/>
  <c r="AA184" i="25"/>
  <c r="Z184" i="25" s="1"/>
  <c r="Y184" i="25" s="1"/>
  <c r="G176" i="25"/>
  <c r="CF176" i="6" s="1"/>
  <c r="AA176" i="25"/>
  <c r="Z176" i="25" s="1"/>
  <c r="Y176" i="25" s="1"/>
  <c r="H176" i="25"/>
  <c r="G160" i="25"/>
  <c r="CF160" i="6" s="1"/>
  <c r="AA160" i="25"/>
  <c r="Z160" i="25" s="1"/>
  <c r="Y160" i="25" s="1"/>
  <c r="H160" i="25"/>
  <c r="AA152" i="25"/>
  <c r="Z152" i="25" s="1"/>
  <c r="Y152" i="25" s="1"/>
  <c r="G152" i="25"/>
  <c r="CF152" i="6" s="1"/>
  <c r="H152" i="25"/>
  <c r="AA144" i="25"/>
  <c r="Z144" i="25" s="1"/>
  <c r="Y144" i="25" s="1"/>
  <c r="G144" i="25"/>
  <c r="CF144" i="6" s="1"/>
  <c r="H144" i="25"/>
  <c r="AA136" i="25"/>
  <c r="Z136" i="25" s="1"/>
  <c r="Y136" i="25" s="1"/>
  <c r="G136" i="25"/>
  <c r="CF136" i="6" s="1"/>
  <c r="H136" i="25"/>
  <c r="G112" i="25"/>
  <c r="CF112" i="6" s="1"/>
  <c r="AA112" i="25"/>
  <c r="Z112" i="25" s="1"/>
  <c r="Y112" i="25" s="1"/>
  <c r="H112" i="25"/>
  <c r="G96" i="25"/>
  <c r="CF96" i="6" s="1"/>
  <c r="AA96" i="25"/>
  <c r="Z96" i="25" s="1"/>
  <c r="Y96" i="25" s="1"/>
  <c r="G80" i="25"/>
  <c r="CF80" i="6" s="1"/>
  <c r="AA80" i="25"/>
  <c r="Z80" i="25" s="1"/>
  <c r="Y80" i="25" s="1"/>
  <c r="H80" i="25"/>
  <c r="AA72" i="25"/>
  <c r="Z72" i="25" s="1"/>
  <c r="Y72" i="25" s="1"/>
  <c r="G72" i="25"/>
  <c r="CF72" i="6" s="1"/>
  <c r="H72" i="25"/>
  <c r="G48" i="25"/>
  <c r="CF48" i="6" s="1"/>
  <c r="AA48" i="25"/>
  <c r="Z48" i="25" s="1"/>
  <c r="Y48" i="25" s="1"/>
  <c r="G16" i="25"/>
  <c r="CF16" i="6" s="1"/>
  <c r="AA16" i="25"/>
  <c r="Z16" i="25" s="1"/>
  <c r="Y16" i="25" s="1"/>
  <c r="AA362" i="25"/>
  <c r="Z362" i="25" s="1"/>
  <c r="Y362" i="25" s="1"/>
  <c r="G362" i="25"/>
  <c r="CF362" i="6" s="1"/>
  <c r="H362" i="25"/>
  <c r="H354" i="25"/>
  <c r="AA354" i="25"/>
  <c r="Z354" i="25" s="1"/>
  <c r="Y354" i="25" s="1"/>
  <c r="G354" i="25"/>
  <c r="CF354" i="6" s="1"/>
  <c r="G330" i="25"/>
  <c r="CF330" i="6" s="1"/>
  <c r="AA330" i="25"/>
  <c r="Z330" i="25" s="1"/>
  <c r="Y330" i="25" s="1"/>
  <c r="H330" i="25"/>
  <c r="G322" i="25"/>
  <c r="CF322" i="6" s="1"/>
  <c r="AA322" i="25"/>
  <c r="Z322" i="25" s="1"/>
  <c r="Y322" i="25" s="1"/>
  <c r="H322" i="25"/>
  <c r="AA298" i="25"/>
  <c r="Z298" i="25" s="1"/>
  <c r="Y298" i="25" s="1"/>
  <c r="G298" i="25"/>
  <c r="CF298" i="6" s="1"/>
  <c r="H298" i="25"/>
  <c r="AA290" i="25"/>
  <c r="Z290" i="25" s="1"/>
  <c r="Y290" i="25" s="1"/>
  <c r="H290" i="25"/>
  <c r="G290" i="25"/>
  <c r="CF290" i="6" s="1"/>
  <c r="AA274" i="25"/>
  <c r="Z274" i="25" s="1"/>
  <c r="Y274" i="25" s="1"/>
  <c r="G274" i="25"/>
  <c r="CF274" i="6" s="1"/>
  <c r="H274" i="25"/>
  <c r="G266" i="25"/>
  <c r="CF266" i="6" s="1"/>
  <c r="AA266" i="25"/>
  <c r="Z266" i="25" s="1"/>
  <c r="Y266" i="25" s="1"/>
  <c r="H266" i="25"/>
  <c r="G258" i="25"/>
  <c r="CF258" i="6" s="1"/>
  <c r="AA258" i="25"/>
  <c r="Z258" i="25" s="1"/>
  <c r="Y258" i="25" s="1"/>
  <c r="H258" i="25"/>
  <c r="AA226" i="25"/>
  <c r="Z226" i="25" s="1"/>
  <c r="Y226" i="25" s="1"/>
  <c r="G226" i="25"/>
  <c r="CF226" i="6" s="1"/>
  <c r="G170" i="25"/>
  <c r="CF170" i="6" s="1"/>
  <c r="AA170" i="25"/>
  <c r="Z170" i="25" s="1"/>
  <c r="Y170" i="25" s="1"/>
  <c r="G162" i="25"/>
  <c r="CF162" i="6" s="1"/>
  <c r="AA162" i="25"/>
  <c r="Z162" i="25" s="1"/>
  <c r="Y162" i="25" s="1"/>
  <c r="H162" i="25"/>
  <c r="AA146" i="25"/>
  <c r="Z146" i="25" s="1"/>
  <c r="Y146" i="25" s="1"/>
  <c r="G146" i="25"/>
  <c r="CF146" i="6" s="1"/>
  <c r="AA138" i="25"/>
  <c r="Z138" i="25" s="1"/>
  <c r="Y138" i="25" s="1"/>
  <c r="G138" i="25"/>
  <c r="CF138" i="6" s="1"/>
  <c r="H138" i="25"/>
  <c r="G114" i="25"/>
  <c r="CF114" i="6" s="1"/>
  <c r="AA114" i="25"/>
  <c r="Z114" i="25" s="1"/>
  <c r="Y114" i="25" s="1"/>
  <c r="H114" i="25"/>
  <c r="AA106" i="25"/>
  <c r="Z106" i="25" s="1"/>
  <c r="Y106" i="25" s="1"/>
  <c r="G106" i="25"/>
  <c r="CF106" i="6" s="1"/>
  <c r="H106" i="25"/>
  <c r="G98" i="25"/>
  <c r="CF98" i="6" s="1"/>
  <c r="AA98" i="25"/>
  <c r="Z98" i="25" s="1"/>
  <c r="Y98" i="25" s="1"/>
  <c r="H98" i="25"/>
  <c r="AA66" i="25"/>
  <c r="Z66" i="25" s="1"/>
  <c r="Y66" i="25" s="1"/>
  <c r="G66" i="25"/>
  <c r="CF66" i="6" s="1"/>
  <c r="H66" i="25"/>
  <c r="G58" i="25"/>
  <c r="CF58" i="6" s="1"/>
  <c r="AA58" i="25"/>
  <c r="Z58" i="25" s="1"/>
  <c r="Y58" i="25" s="1"/>
  <c r="H58" i="25"/>
  <c r="AA50" i="25"/>
  <c r="Z50" i="25" s="1"/>
  <c r="Y50" i="25" s="1"/>
  <c r="G50" i="25"/>
  <c r="CF50" i="6" s="1"/>
  <c r="H50" i="25"/>
  <c r="AA42" i="25"/>
  <c r="Z42" i="25" s="1"/>
  <c r="Y42" i="25" s="1"/>
  <c r="G42" i="25"/>
  <c r="CF42" i="6" s="1"/>
  <c r="H42" i="25"/>
  <c r="AA34" i="25"/>
  <c r="Z34" i="25" s="1"/>
  <c r="Y34" i="25" s="1"/>
  <c r="G34" i="25"/>
  <c r="CF34" i="6" s="1"/>
  <c r="AA349" i="25"/>
  <c r="Z349" i="25" s="1"/>
  <c r="Y349" i="25" s="1"/>
  <c r="G349" i="25"/>
  <c r="CF349" i="6" s="1"/>
  <c r="G329" i="25"/>
  <c r="CF329" i="6" s="1"/>
  <c r="AA329" i="25"/>
  <c r="Z329" i="25" s="1"/>
  <c r="Y329" i="25" s="1"/>
  <c r="H329" i="25"/>
  <c r="AA313" i="25"/>
  <c r="Z313" i="25" s="1"/>
  <c r="Y313" i="25" s="1"/>
  <c r="H313" i="25"/>
  <c r="G313" i="25"/>
  <c r="CF313" i="6" s="1"/>
  <c r="AA281" i="25"/>
  <c r="Z281" i="25" s="1"/>
  <c r="Y281" i="25" s="1"/>
  <c r="G281" i="25"/>
  <c r="CF281" i="6" s="1"/>
  <c r="H281" i="25"/>
  <c r="G265" i="25"/>
  <c r="CF265" i="6" s="1"/>
  <c r="AA265" i="25"/>
  <c r="Z265" i="25" s="1"/>
  <c r="Y265" i="25" s="1"/>
  <c r="H265" i="25"/>
  <c r="AA189" i="25"/>
  <c r="Z189" i="25" s="1"/>
  <c r="Y189" i="25" s="1"/>
  <c r="G189" i="25"/>
  <c r="CF189" i="6" s="1"/>
  <c r="G173" i="25"/>
  <c r="CF173" i="6" s="1"/>
  <c r="AA173" i="25"/>
  <c r="Z173" i="25" s="1"/>
  <c r="Y173" i="25" s="1"/>
  <c r="H173" i="25"/>
  <c r="AA137" i="25"/>
  <c r="Z137" i="25" s="1"/>
  <c r="Y137" i="25" s="1"/>
  <c r="G137" i="25"/>
  <c r="CF137" i="6" s="1"/>
  <c r="H137" i="25"/>
  <c r="AA121" i="25"/>
  <c r="Z121" i="25" s="1"/>
  <c r="Y121" i="25" s="1"/>
  <c r="G121" i="25"/>
  <c r="CF121" i="6" s="1"/>
  <c r="H121" i="25"/>
  <c r="G105" i="25"/>
  <c r="CF105" i="6" s="1"/>
  <c r="H105" i="25"/>
  <c r="AA105" i="25"/>
  <c r="Z105" i="25" s="1"/>
  <c r="Y105" i="25" s="1"/>
  <c r="G89" i="25"/>
  <c r="CF89" i="6" s="1"/>
  <c r="AA89" i="25"/>
  <c r="Z89" i="25" s="1"/>
  <c r="Y89" i="25" s="1"/>
  <c r="H89" i="25"/>
  <c r="G57" i="25"/>
  <c r="CF57" i="6" s="1"/>
  <c r="AA57" i="25"/>
  <c r="Z57" i="25" s="1"/>
  <c r="Y57" i="25" s="1"/>
  <c r="H57" i="25"/>
  <c r="G25" i="25"/>
  <c r="CF25" i="6" s="1"/>
  <c r="AA25" i="25"/>
  <c r="Z25" i="25" s="1"/>
  <c r="Y25" i="25" s="1"/>
  <c r="G325" i="25"/>
  <c r="CF325" i="6" s="1"/>
  <c r="AA325" i="25"/>
  <c r="Z325" i="25" s="1"/>
  <c r="Y325" i="25" s="1"/>
  <c r="H325" i="25"/>
  <c r="G225" i="25"/>
  <c r="CF225" i="6" s="1"/>
  <c r="AA225" i="25"/>
  <c r="Z225" i="25" s="1"/>
  <c r="Y225" i="25" s="1"/>
  <c r="H225" i="25"/>
  <c r="G177" i="25"/>
  <c r="CF177" i="6" s="1"/>
  <c r="AA177" i="25"/>
  <c r="Z177" i="25" s="1"/>
  <c r="Y177" i="25" s="1"/>
  <c r="G161" i="25"/>
  <c r="CF161" i="6" s="1"/>
  <c r="AA161" i="25"/>
  <c r="Z161" i="25" s="1"/>
  <c r="Y161" i="25" s="1"/>
  <c r="AA117" i="25"/>
  <c r="Z117" i="25" s="1"/>
  <c r="Y117" i="25" s="1"/>
  <c r="G117" i="25"/>
  <c r="CF117" i="6" s="1"/>
  <c r="H117" i="25"/>
  <c r="AA85" i="25"/>
  <c r="Z85" i="25" s="1"/>
  <c r="Y85" i="25" s="1"/>
  <c r="G85" i="25"/>
  <c r="CF85" i="6" s="1"/>
  <c r="H85" i="25"/>
  <c r="AA364" i="25"/>
  <c r="Z364" i="25" s="1"/>
  <c r="Y364" i="25" s="1"/>
  <c r="G364" i="25"/>
  <c r="CF364" i="6" s="1"/>
  <c r="H364" i="25"/>
  <c r="AA356" i="25"/>
  <c r="Z356" i="25" s="1"/>
  <c r="Y356" i="25" s="1"/>
  <c r="G356" i="25"/>
  <c r="CF356" i="6" s="1"/>
  <c r="AA316" i="25"/>
  <c r="Z316" i="25" s="1"/>
  <c r="Y316" i="25" s="1"/>
  <c r="G316" i="25"/>
  <c r="CF316" i="6" s="1"/>
  <c r="H316" i="25"/>
  <c r="G308" i="25"/>
  <c r="CF308" i="6" s="1"/>
  <c r="AA308" i="25"/>
  <c r="Z308" i="25" s="1"/>
  <c r="Y308" i="25" s="1"/>
  <c r="H308" i="25"/>
  <c r="G300" i="25"/>
  <c r="CF300" i="6" s="1"/>
  <c r="AA300" i="25"/>
  <c r="Z300" i="25" s="1"/>
  <c r="Y300" i="25" s="1"/>
  <c r="H300" i="25"/>
  <c r="G244" i="25"/>
  <c r="CF244" i="6" s="1"/>
  <c r="AA244" i="25"/>
  <c r="Z244" i="25" s="1"/>
  <c r="Y244" i="25" s="1"/>
  <c r="H244" i="25"/>
  <c r="G220" i="25"/>
  <c r="CF220" i="6" s="1"/>
  <c r="AA220" i="25"/>
  <c r="Z220" i="25" s="1"/>
  <c r="Y220" i="25" s="1"/>
  <c r="AA212" i="25"/>
  <c r="Z212" i="25" s="1"/>
  <c r="Y212" i="25" s="1"/>
  <c r="G212" i="25"/>
  <c r="CF212" i="6" s="1"/>
  <c r="H212" i="25"/>
  <c r="G204" i="25"/>
  <c r="CF204" i="6" s="1"/>
  <c r="AA204" i="25"/>
  <c r="Z204" i="25" s="1"/>
  <c r="Y204" i="25" s="1"/>
  <c r="H204" i="25"/>
  <c r="AA196" i="25"/>
  <c r="Z196" i="25" s="1"/>
  <c r="Y196" i="25" s="1"/>
  <c r="G196" i="25"/>
  <c r="CF196" i="6" s="1"/>
  <c r="G188" i="25"/>
  <c r="CF188" i="6" s="1"/>
  <c r="AA188" i="25"/>
  <c r="Z188" i="25" s="1"/>
  <c r="Y188" i="25" s="1"/>
  <c r="H188" i="25"/>
  <c r="AA164" i="25"/>
  <c r="Z164" i="25" s="1"/>
  <c r="Y164" i="25" s="1"/>
  <c r="G164" i="25"/>
  <c r="CF164" i="6" s="1"/>
  <c r="H164" i="25"/>
  <c r="AA148" i="25"/>
  <c r="Z148" i="25" s="1"/>
  <c r="Y148" i="25" s="1"/>
  <c r="G148" i="25"/>
  <c r="CF148" i="6" s="1"/>
  <c r="H148" i="25"/>
  <c r="G140" i="25"/>
  <c r="CF140" i="6" s="1"/>
  <c r="AA140" i="25"/>
  <c r="Z140" i="25" s="1"/>
  <c r="Y140" i="25" s="1"/>
  <c r="H140" i="25"/>
  <c r="AA132" i="25"/>
  <c r="Z132" i="25" s="1"/>
  <c r="Y132" i="25" s="1"/>
  <c r="G132" i="25"/>
  <c r="CF132" i="6" s="1"/>
  <c r="H132" i="25"/>
  <c r="G116" i="25"/>
  <c r="CF116" i="6" s="1"/>
  <c r="AA116" i="25"/>
  <c r="Z116" i="25" s="1"/>
  <c r="Y116" i="25" s="1"/>
  <c r="H116" i="25"/>
  <c r="G108" i="25"/>
  <c r="CF108" i="6" s="1"/>
  <c r="AA108" i="25"/>
  <c r="Z108" i="25" s="1"/>
  <c r="Y108" i="25" s="1"/>
  <c r="H108" i="25"/>
  <c r="G92" i="25"/>
  <c r="CF92" i="6" s="1"/>
  <c r="AA92" i="25"/>
  <c r="Z92" i="25" s="1"/>
  <c r="Y92" i="25" s="1"/>
  <c r="H92" i="25"/>
  <c r="AA84" i="25"/>
  <c r="Z84" i="25" s="1"/>
  <c r="Y84" i="25" s="1"/>
  <c r="G84" i="25"/>
  <c r="CF84" i="6" s="1"/>
  <c r="H84" i="25"/>
  <c r="G68" i="25"/>
  <c r="CF68" i="6" s="1"/>
  <c r="AA68" i="25"/>
  <c r="Z68" i="25" s="1"/>
  <c r="Y68" i="25" s="1"/>
  <c r="H68" i="25"/>
  <c r="AA52" i="25"/>
  <c r="Z52" i="25" s="1"/>
  <c r="Y52" i="25" s="1"/>
  <c r="G52" i="25"/>
  <c r="CF52" i="6" s="1"/>
  <c r="H52" i="25"/>
  <c r="AA28" i="25"/>
  <c r="Z28" i="25" s="1"/>
  <c r="Y28" i="25" s="1"/>
  <c r="G28" i="25"/>
  <c r="CF28" i="6" s="1"/>
  <c r="H28" i="25"/>
  <c r="AA20" i="25"/>
  <c r="Z20" i="25" s="1"/>
  <c r="Y20" i="25" s="1"/>
  <c r="G20" i="25"/>
  <c r="CF20" i="6" s="1"/>
  <c r="H20" i="25"/>
  <c r="G374" i="25"/>
  <c r="CF374" i="6" s="1"/>
  <c r="AA374" i="25"/>
  <c r="Z374" i="25" s="1"/>
  <c r="Y374" i="25" s="1"/>
  <c r="H374" i="25"/>
  <c r="AA366" i="25"/>
  <c r="Z366" i="25" s="1"/>
  <c r="Y366" i="25" s="1"/>
  <c r="G366" i="25"/>
  <c r="CF366" i="6" s="1"/>
  <c r="H366" i="25"/>
  <c r="AA350" i="25"/>
  <c r="Z350" i="25" s="1"/>
  <c r="Y350" i="25" s="1"/>
  <c r="G350" i="25"/>
  <c r="CF350" i="6" s="1"/>
  <c r="H318" i="25"/>
  <c r="G318" i="25"/>
  <c r="CF318" i="6" s="1"/>
  <c r="AA318" i="25"/>
  <c r="Z318" i="25" s="1"/>
  <c r="Y318" i="25" s="1"/>
  <c r="H294" i="25"/>
  <c r="G294" i="25"/>
  <c r="CF294" i="6" s="1"/>
  <c r="AA294" i="25"/>
  <c r="Z294" i="25" s="1"/>
  <c r="Y294" i="25" s="1"/>
  <c r="AA286" i="25"/>
  <c r="Z286" i="25" s="1"/>
  <c r="Y286" i="25" s="1"/>
  <c r="H286" i="25"/>
  <c r="G286" i="25"/>
  <c r="CF286" i="6" s="1"/>
  <c r="AA270" i="25"/>
  <c r="Z270" i="25" s="1"/>
  <c r="Y270" i="25" s="1"/>
  <c r="G270" i="25"/>
  <c r="CF270" i="6" s="1"/>
  <c r="H270" i="25"/>
  <c r="G246" i="25"/>
  <c r="CF246" i="6" s="1"/>
  <c r="AA246" i="25"/>
  <c r="Z246" i="25" s="1"/>
  <c r="Y246" i="25" s="1"/>
  <c r="H246" i="25"/>
  <c r="AA238" i="25"/>
  <c r="Z238" i="25" s="1"/>
  <c r="Y238" i="25" s="1"/>
  <c r="H238" i="25"/>
  <c r="G238" i="25"/>
  <c r="CF238" i="6" s="1"/>
  <c r="G214" i="25"/>
  <c r="CF214" i="6" s="1"/>
  <c r="H214" i="25"/>
  <c r="AA214" i="25"/>
  <c r="Z214" i="25" s="1"/>
  <c r="Y214" i="25" s="1"/>
  <c r="G198" i="25"/>
  <c r="CF198" i="6" s="1"/>
  <c r="AA198" i="25"/>
  <c r="Z198" i="25" s="1"/>
  <c r="Y198" i="25" s="1"/>
  <c r="H198" i="25"/>
  <c r="AA190" i="25"/>
  <c r="Z190" i="25" s="1"/>
  <c r="Y190" i="25" s="1"/>
  <c r="G190" i="25"/>
  <c r="CF190" i="6" s="1"/>
  <c r="H190" i="25"/>
  <c r="G182" i="25"/>
  <c r="CF182" i="6" s="1"/>
  <c r="AA182" i="25"/>
  <c r="Z182" i="25" s="1"/>
  <c r="Y182" i="25" s="1"/>
  <c r="AA174" i="25"/>
  <c r="Z174" i="25" s="1"/>
  <c r="Y174" i="25" s="1"/>
  <c r="G174" i="25"/>
  <c r="CF174" i="6" s="1"/>
  <c r="H174" i="25"/>
  <c r="AA142" i="25"/>
  <c r="Z142" i="25" s="1"/>
  <c r="Y142" i="25" s="1"/>
  <c r="G142" i="25"/>
  <c r="CF142" i="6" s="1"/>
  <c r="H142" i="25"/>
  <c r="AA134" i="25"/>
  <c r="Z134" i="25" s="1"/>
  <c r="Y134" i="25" s="1"/>
  <c r="G134" i="25"/>
  <c r="CF134" i="6" s="1"/>
  <c r="AA118" i="25"/>
  <c r="Z118" i="25" s="1"/>
  <c r="Y118" i="25" s="1"/>
  <c r="G118" i="25"/>
  <c r="CF118" i="6" s="1"/>
  <c r="H118" i="25"/>
  <c r="AA110" i="25"/>
  <c r="Z110" i="25" s="1"/>
  <c r="Y110" i="25" s="1"/>
  <c r="G110" i="25"/>
  <c r="CF110" i="6" s="1"/>
  <c r="H110" i="25"/>
  <c r="AA102" i="25"/>
  <c r="Z102" i="25" s="1"/>
  <c r="Y102" i="25" s="1"/>
  <c r="G102" i="25"/>
  <c r="CF102" i="6" s="1"/>
  <c r="H102" i="25"/>
  <c r="AA94" i="25"/>
  <c r="Z94" i="25" s="1"/>
  <c r="Y94" i="25" s="1"/>
  <c r="G94" i="25"/>
  <c r="CF94" i="6" s="1"/>
  <c r="H94" i="25"/>
  <c r="AA86" i="25"/>
  <c r="Z86" i="25" s="1"/>
  <c r="Y86" i="25" s="1"/>
  <c r="G86" i="25"/>
  <c r="CF86" i="6" s="1"/>
  <c r="H86" i="25"/>
  <c r="G46" i="25"/>
  <c r="CF46" i="6" s="1"/>
  <c r="AA46" i="25"/>
  <c r="Z46" i="25" s="1"/>
  <c r="Y46" i="25" s="1"/>
  <c r="H46" i="25"/>
  <c r="AA22" i="25"/>
  <c r="Z22" i="25" s="1"/>
  <c r="Y22" i="25" s="1"/>
  <c r="G22" i="25"/>
  <c r="CF22" i="6" s="1"/>
  <c r="H22" i="25"/>
  <c r="G373" i="25"/>
  <c r="CF373" i="6" s="1"/>
  <c r="AA373" i="25"/>
  <c r="Z373" i="25" s="1"/>
  <c r="Y373" i="25" s="1"/>
  <c r="H373" i="25"/>
  <c r="AA357" i="25"/>
  <c r="Z357" i="25" s="1"/>
  <c r="Y357" i="25" s="1"/>
  <c r="G357" i="25"/>
  <c r="CF357" i="6" s="1"/>
  <c r="H357" i="25"/>
  <c r="AA341" i="25"/>
  <c r="Z341" i="25" s="1"/>
  <c r="Y341" i="25" s="1"/>
  <c r="G341" i="25"/>
  <c r="CF341" i="6" s="1"/>
  <c r="G305" i="25"/>
  <c r="CF305" i="6" s="1"/>
  <c r="AA305" i="25"/>
  <c r="Z305" i="25" s="1"/>
  <c r="Y305" i="25" s="1"/>
  <c r="H305" i="25"/>
  <c r="AA165" i="25"/>
  <c r="Z165" i="25" s="1"/>
  <c r="Y165" i="25" s="1"/>
  <c r="G165" i="25"/>
  <c r="CF165" i="6" s="1"/>
  <c r="H165" i="25"/>
  <c r="AA113" i="25"/>
  <c r="Z113" i="25" s="1"/>
  <c r="Y113" i="25" s="1"/>
  <c r="G113" i="25"/>
  <c r="CF113" i="6" s="1"/>
  <c r="AA97" i="25"/>
  <c r="Z97" i="25" s="1"/>
  <c r="Y97" i="25" s="1"/>
  <c r="G97" i="25"/>
  <c r="CF97" i="6" s="1"/>
  <c r="H97" i="25"/>
  <c r="AA49" i="25"/>
  <c r="Z49" i="25" s="1"/>
  <c r="Y49" i="25" s="1"/>
  <c r="G49" i="25"/>
  <c r="CF49" i="6" s="1"/>
  <c r="E17" i="19" l="1"/>
  <c r="F17" i="19" s="1"/>
  <c r="D18" i="19"/>
  <c r="G42" i="19"/>
  <c r="J196" i="25"/>
  <c r="L57" i="19"/>
  <c r="L59" i="19"/>
  <c r="J97" i="25"/>
  <c r="I97" i="25"/>
  <c r="I305" i="25"/>
  <c r="J305" i="25"/>
  <c r="J373" i="25"/>
  <c r="I373" i="25"/>
  <c r="I46" i="25"/>
  <c r="J46" i="25"/>
  <c r="I94" i="25"/>
  <c r="J94" i="25"/>
  <c r="J110" i="25"/>
  <c r="I110" i="25"/>
  <c r="J142" i="25"/>
  <c r="I142" i="25"/>
  <c r="I190" i="25"/>
  <c r="J190" i="25"/>
  <c r="J238" i="25"/>
  <c r="I238" i="25"/>
  <c r="J246" i="25"/>
  <c r="I246" i="25"/>
  <c r="I318" i="25"/>
  <c r="J318" i="25"/>
  <c r="I374" i="25"/>
  <c r="J374" i="25"/>
  <c r="J28" i="25"/>
  <c r="I28" i="25"/>
  <c r="I68" i="25"/>
  <c r="J68" i="25"/>
  <c r="I92" i="25"/>
  <c r="J92" i="25"/>
  <c r="I116" i="25"/>
  <c r="J116" i="25"/>
  <c r="I140" i="25"/>
  <c r="J140" i="25"/>
  <c r="J164" i="25"/>
  <c r="I164" i="25"/>
  <c r="I204" i="25"/>
  <c r="J204" i="25"/>
  <c r="I244" i="25"/>
  <c r="J244" i="25"/>
  <c r="I308" i="25"/>
  <c r="J308" i="25"/>
  <c r="J364" i="25"/>
  <c r="I364" i="25"/>
  <c r="I117" i="25"/>
  <c r="J117" i="25"/>
  <c r="I325" i="25"/>
  <c r="J325" i="25"/>
  <c r="J89" i="25"/>
  <c r="I89" i="25"/>
  <c r="J105" i="25"/>
  <c r="I105" i="25"/>
  <c r="I121" i="25"/>
  <c r="J121" i="25"/>
  <c r="J173" i="25"/>
  <c r="I173" i="25"/>
  <c r="J281" i="25"/>
  <c r="I281" i="25"/>
  <c r="J313" i="25"/>
  <c r="I313" i="25"/>
  <c r="J329" i="25"/>
  <c r="I329" i="25"/>
  <c r="I50" i="25"/>
  <c r="J50" i="25"/>
  <c r="I66" i="25"/>
  <c r="J66" i="25"/>
  <c r="I106" i="25"/>
  <c r="J106" i="25"/>
  <c r="I138" i="25"/>
  <c r="J138" i="25"/>
  <c r="J258" i="25"/>
  <c r="I258" i="25"/>
  <c r="J274" i="25"/>
  <c r="I274" i="25"/>
  <c r="J290" i="25"/>
  <c r="I290" i="25"/>
  <c r="I298" i="25"/>
  <c r="J298" i="25"/>
  <c r="J330" i="25"/>
  <c r="I330" i="25"/>
  <c r="J362" i="25"/>
  <c r="I362" i="25"/>
  <c r="I72" i="25"/>
  <c r="J72" i="25"/>
  <c r="I112" i="25"/>
  <c r="J112" i="25"/>
  <c r="I144" i="25"/>
  <c r="J144" i="25"/>
  <c r="J160" i="25"/>
  <c r="I160" i="25"/>
  <c r="I192" i="25"/>
  <c r="J192" i="25"/>
  <c r="J248" i="25"/>
  <c r="I248" i="25"/>
  <c r="J352" i="25"/>
  <c r="I352" i="25"/>
  <c r="I125" i="25"/>
  <c r="J125" i="25"/>
  <c r="J233" i="25"/>
  <c r="I233" i="25"/>
  <c r="J301" i="25"/>
  <c r="I301" i="25"/>
  <c r="AD382" i="25"/>
  <c r="AD381" i="25"/>
  <c r="AD383" i="25"/>
  <c r="J243" i="25"/>
  <c r="I243" i="25"/>
  <c r="J287" i="25"/>
  <c r="I287" i="25"/>
  <c r="J47" i="25"/>
  <c r="I47" i="25"/>
  <c r="J75" i="25"/>
  <c r="I75" i="25"/>
  <c r="I123" i="25"/>
  <c r="J123" i="25"/>
  <c r="I135" i="25"/>
  <c r="J135" i="25"/>
  <c r="I171" i="25"/>
  <c r="J171" i="25"/>
  <c r="I211" i="25"/>
  <c r="J211" i="25"/>
  <c r="AA379" i="25"/>
  <c r="Z379" i="25" s="1"/>
  <c r="Y379" i="25" s="1"/>
  <c r="G379" i="25"/>
  <c r="CF379" i="6" s="1"/>
  <c r="H379" i="25"/>
  <c r="I333" i="25"/>
  <c r="J333" i="25"/>
  <c r="I33" i="25"/>
  <c r="J33" i="25"/>
  <c r="J229" i="25"/>
  <c r="I229" i="25"/>
  <c r="I257" i="25"/>
  <c r="J257" i="25"/>
  <c r="J38" i="25"/>
  <c r="I38" i="25"/>
  <c r="I78" i="25"/>
  <c r="J78" i="25"/>
  <c r="I150" i="25"/>
  <c r="J150" i="25"/>
  <c r="I230" i="25"/>
  <c r="J230" i="25"/>
  <c r="W302" i="25"/>
  <c r="D302" i="25"/>
  <c r="E302" i="25" s="1"/>
  <c r="F302" i="25" s="1"/>
  <c r="H302" i="25" s="1"/>
  <c r="I310" i="25"/>
  <c r="J310" i="25"/>
  <c r="J334" i="25"/>
  <c r="I334" i="25"/>
  <c r="I36" i="25"/>
  <c r="J36" i="25"/>
  <c r="D60" i="25"/>
  <c r="E60" i="25" s="1"/>
  <c r="F60" i="25" s="1"/>
  <c r="W60" i="25"/>
  <c r="J76" i="25"/>
  <c r="I76" i="25"/>
  <c r="I124" i="25"/>
  <c r="J124" i="25"/>
  <c r="D180" i="25"/>
  <c r="E180" i="25" s="1"/>
  <c r="F180" i="25" s="1"/>
  <c r="H180" i="25" s="1"/>
  <c r="W180" i="25"/>
  <c r="J236" i="25"/>
  <c r="I236" i="25"/>
  <c r="J268" i="25"/>
  <c r="I268" i="25"/>
  <c r="I284" i="25"/>
  <c r="J284" i="25"/>
  <c r="I348" i="25"/>
  <c r="J348" i="25"/>
  <c r="J21" i="25"/>
  <c r="I21" i="25"/>
  <c r="J101" i="25"/>
  <c r="I101" i="25"/>
  <c r="D149" i="25"/>
  <c r="E149" i="25" s="1"/>
  <c r="F149" i="25" s="1"/>
  <c r="W149" i="25"/>
  <c r="I59" i="19"/>
  <c r="I58" i="19"/>
  <c r="I57" i="19"/>
  <c r="I353" i="25"/>
  <c r="J353" i="25"/>
  <c r="J19" i="25"/>
  <c r="I19" i="25"/>
  <c r="J73" i="25"/>
  <c r="I73" i="25"/>
  <c r="J201" i="25"/>
  <c r="I201" i="25"/>
  <c r="J237" i="25"/>
  <c r="I237" i="25"/>
  <c r="I74" i="25"/>
  <c r="J74" i="25"/>
  <c r="I122" i="25"/>
  <c r="J122" i="25"/>
  <c r="J154" i="25"/>
  <c r="I154" i="25"/>
  <c r="I186" i="25"/>
  <c r="J186" i="25"/>
  <c r="D210" i="25"/>
  <c r="E210" i="25" s="1"/>
  <c r="F210" i="25" s="1"/>
  <c r="W210" i="25"/>
  <c r="I218" i="25"/>
  <c r="J218" i="25"/>
  <c r="J234" i="25"/>
  <c r="I234" i="25"/>
  <c r="I242" i="25"/>
  <c r="J242" i="25"/>
  <c r="J314" i="25"/>
  <c r="I314" i="25"/>
  <c r="I346" i="25"/>
  <c r="J346" i="25"/>
  <c r="J370" i="25"/>
  <c r="I370" i="25"/>
  <c r="I24" i="25"/>
  <c r="J24" i="25"/>
  <c r="I40" i="25"/>
  <c r="J40" i="25"/>
  <c r="W88" i="25"/>
  <c r="D88" i="25"/>
  <c r="E88" i="25" s="1"/>
  <c r="F88" i="25" s="1"/>
  <c r="I104" i="25"/>
  <c r="J104" i="25"/>
  <c r="J128" i="25"/>
  <c r="I128" i="25"/>
  <c r="J208" i="25"/>
  <c r="I208" i="25"/>
  <c r="J224" i="25"/>
  <c r="I224" i="25"/>
  <c r="D272" i="25"/>
  <c r="E272" i="25" s="1"/>
  <c r="F272" i="25" s="1"/>
  <c r="W272" i="25"/>
  <c r="J280" i="25"/>
  <c r="I280" i="25"/>
  <c r="I296" i="25"/>
  <c r="J296" i="25"/>
  <c r="I336" i="25"/>
  <c r="J336" i="25"/>
  <c r="J360" i="25"/>
  <c r="I360" i="25"/>
  <c r="J376" i="25"/>
  <c r="I376" i="25"/>
  <c r="AA29" i="25"/>
  <c r="Z29" i="25" s="1"/>
  <c r="Y29" i="25" s="1"/>
  <c r="G29" i="25"/>
  <c r="CF29" i="6" s="1"/>
  <c r="H29" i="25"/>
  <c r="J93" i="25"/>
  <c r="I93" i="25"/>
  <c r="I185" i="25"/>
  <c r="J185" i="25"/>
  <c r="I269" i="25"/>
  <c r="J269" i="25"/>
  <c r="I317" i="25"/>
  <c r="J317" i="25"/>
  <c r="G333" i="25"/>
  <c r="CF333" i="6" s="1"/>
  <c r="AA333" i="25"/>
  <c r="Z333" i="25" s="1"/>
  <c r="Y333" i="25" s="1"/>
  <c r="I377" i="25"/>
  <c r="J377" i="25"/>
  <c r="H7" i="6"/>
  <c r="AU7" i="7"/>
  <c r="J107" i="25"/>
  <c r="I107" i="25"/>
  <c r="I95" i="25"/>
  <c r="J95" i="25"/>
  <c r="D119" i="25"/>
  <c r="E119" i="25" s="1"/>
  <c r="F119" i="25" s="1"/>
  <c r="W119" i="25"/>
  <c r="I139" i="25"/>
  <c r="J139" i="25"/>
  <c r="I195" i="25"/>
  <c r="J195" i="25"/>
  <c r="I203" i="25"/>
  <c r="J203" i="25"/>
  <c r="J235" i="25"/>
  <c r="I235" i="25"/>
  <c r="J263" i="25"/>
  <c r="I263" i="25"/>
  <c r="J303" i="25"/>
  <c r="I303" i="25"/>
  <c r="J311" i="25"/>
  <c r="I311" i="25"/>
  <c r="I355" i="25"/>
  <c r="J355" i="25"/>
  <c r="J359" i="25"/>
  <c r="I359" i="25"/>
  <c r="M57" i="19"/>
  <c r="M58" i="19"/>
  <c r="M59" i="19"/>
  <c r="P383" i="25"/>
  <c r="P382" i="25"/>
  <c r="P381" i="25"/>
  <c r="V15" i="25"/>
  <c r="I381" i="23"/>
  <c r="I382" i="23"/>
  <c r="I383" i="23"/>
  <c r="I165" i="25"/>
  <c r="J165" i="25"/>
  <c r="J357" i="25"/>
  <c r="I357" i="25"/>
  <c r="I22" i="25"/>
  <c r="J22" i="25"/>
  <c r="J86" i="25"/>
  <c r="I86" i="25"/>
  <c r="J102" i="25"/>
  <c r="I102" i="25"/>
  <c r="I118" i="25"/>
  <c r="J118" i="25"/>
  <c r="J174" i="25"/>
  <c r="I174" i="25"/>
  <c r="I198" i="25"/>
  <c r="J198" i="25"/>
  <c r="I214" i="25"/>
  <c r="J214" i="25"/>
  <c r="I270" i="25"/>
  <c r="J270" i="25"/>
  <c r="I286" i="25"/>
  <c r="J286" i="25"/>
  <c r="J294" i="25"/>
  <c r="I294" i="25"/>
  <c r="J366" i="25"/>
  <c r="I366" i="25"/>
  <c r="J20" i="25"/>
  <c r="I20" i="25"/>
  <c r="J52" i="25"/>
  <c r="I52" i="25"/>
  <c r="I84" i="25"/>
  <c r="J84" i="25"/>
  <c r="I108" i="25"/>
  <c r="J108" i="25"/>
  <c r="I132" i="25"/>
  <c r="J132" i="25"/>
  <c r="J148" i="25"/>
  <c r="I148" i="25"/>
  <c r="I188" i="25"/>
  <c r="J188" i="25"/>
  <c r="J212" i="25"/>
  <c r="I212" i="25"/>
  <c r="J300" i="25"/>
  <c r="I300" i="25"/>
  <c r="J316" i="25"/>
  <c r="I316" i="25"/>
  <c r="I85" i="25"/>
  <c r="J85" i="25"/>
  <c r="I225" i="25"/>
  <c r="J225" i="25"/>
  <c r="J57" i="25"/>
  <c r="I57" i="25"/>
  <c r="J137" i="25"/>
  <c r="I137" i="25"/>
  <c r="J265" i="25"/>
  <c r="I265" i="25"/>
  <c r="I42" i="25"/>
  <c r="J42" i="25"/>
  <c r="I58" i="25"/>
  <c r="J58" i="25"/>
  <c r="J98" i="25"/>
  <c r="I98" i="25"/>
  <c r="I114" i="25"/>
  <c r="J114" i="25"/>
  <c r="J162" i="25"/>
  <c r="I162" i="25"/>
  <c r="I266" i="25"/>
  <c r="J266" i="25"/>
  <c r="J322" i="25"/>
  <c r="I322" i="25"/>
  <c r="I354" i="25"/>
  <c r="J354" i="25"/>
  <c r="J80" i="25"/>
  <c r="I80" i="25"/>
  <c r="J136" i="25"/>
  <c r="I136" i="25"/>
  <c r="J152" i="25"/>
  <c r="I152" i="25"/>
  <c r="J176" i="25"/>
  <c r="I176" i="25"/>
  <c r="J232" i="25"/>
  <c r="I232" i="25"/>
  <c r="I328" i="25"/>
  <c r="J328" i="25"/>
  <c r="I77" i="25"/>
  <c r="J77" i="25"/>
  <c r="J157" i="25"/>
  <c r="I157" i="25"/>
  <c r="J249" i="25"/>
  <c r="I249" i="25"/>
  <c r="J91" i="25"/>
  <c r="I91" i="25"/>
  <c r="J43" i="25"/>
  <c r="I43" i="25"/>
  <c r="AM6" i="22"/>
  <c r="AM12" i="22" s="1"/>
  <c r="X9" i="22"/>
  <c r="Y383" i="22"/>
  <c r="AL6" i="22"/>
  <c r="AL12" i="22" s="1"/>
  <c r="Y382" i="22"/>
  <c r="Y381" i="22"/>
  <c r="J39" i="25"/>
  <c r="I39" i="25"/>
  <c r="I59" i="25"/>
  <c r="J59" i="25"/>
  <c r="J115" i="25"/>
  <c r="I115" i="25"/>
  <c r="I199" i="25"/>
  <c r="J199" i="25"/>
  <c r="I315" i="25"/>
  <c r="J315" i="25"/>
  <c r="J327" i="25"/>
  <c r="I327" i="25"/>
  <c r="J347" i="25"/>
  <c r="I347" i="25"/>
  <c r="I351" i="25"/>
  <c r="J351" i="25"/>
  <c r="D9" i="24"/>
  <c r="D11" i="24" s="1"/>
  <c r="D382" i="24"/>
  <c r="AJ8" i="24"/>
  <c r="D383" i="24"/>
  <c r="D381" i="24"/>
  <c r="E15" i="24"/>
  <c r="AJ9" i="24" s="1"/>
  <c r="AJ11" i="24" s="1"/>
  <c r="J81" i="25"/>
  <c r="I81" i="25"/>
  <c r="I193" i="25"/>
  <c r="J193" i="25"/>
  <c r="I213" i="25"/>
  <c r="J213" i="25"/>
  <c r="J245" i="25"/>
  <c r="I245" i="25"/>
  <c r="I273" i="25"/>
  <c r="J273" i="25"/>
  <c r="J54" i="25"/>
  <c r="I54" i="25"/>
  <c r="I126" i="25"/>
  <c r="J126" i="25"/>
  <c r="I206" i="25"/>
  <c r="J206" i="25"/>
  <c r="I254" i="25"/>
  <c r="J254" i="25"/>
  <c r="K59" i="19"/>
  <c r="K57" i="19"/>
  <c r="K58" i="19"/>
  <c r="I326" i="25"/>
  <c r="J326" i="25"/>
  <c r="I358" i="25"/>
  <c r="J358" i="25"/>
  <c r="J44" i="25"/>
  <c r="I44" i="25"/>
  <c r="C58" i="19"/>
  <c r="C59" i="19"/>
  <c r="C57" i="19"/>
  <c r="J100" i="25"/>
  <c r="I100" i="25"/>
  <c r="J172" i="25"/>
  <c r="I172" i="25"/>
  <c r="G59" i="19"/>
  <c r="G58" i="19"/>
  <c r="G57" i="19"/>
  <c r="J260" i="25"/>
  <c r="I260" i="25"/>
  <c r="J276" i="25"/>
  <c r="I276" i="25"/>
  <c r="J292" i="25"/>
  <c r="I292" i="25"/>
  <c r="I372" i="25"/>
  <c r="J372" i="25"/>
  <c r="I69" i="25"/>
  <c r="J69" i="25"/>
  <c r="J133" i="25"/>
  <c r="I133" i="25"/>
  <c r="F58" i="19"/>
  <c r="F57" i="19"/>
  <c r="F59" i="19"/>
  <c r="J209" i="25"/>
  <c r="I209" i="25"/>
  <c r="W241" i="25"/>
  <c r="D241" i="25"/>
  <c r="E241" i="25" s="1"/>
  <c r="F241" i="25" s="1"/>
  <c r="J277" i="25"/>
  <c r="I277" i="25"/>
  <c r="J309" i="25"/>
  <c r="I309" i="25"/>
  <c r="J337" i="25"/>
  <c r="I337" i="25"/>
  <c r="I369" i="25"/>
  <c r="J369" i="25"/>
  <c r="I41" i="25"/>
  <c r="J41" i="25"/>
  <c r="I153" i="25"/>
  <c r="J153" i="25"/>
  <c r="I221" i="25"/>
  <c r="J221" i="25"/>
  <c r="J365" i="25"/>
  <c r="I365" i="25"/>
  <c r="I90" i="25"/>
  <c r="J90" i="25"/>
  <c r="I130" i="25"/>
  <c r="J130" i="25"/>
  <c r="J178" i="25"/>
  <c r="I178" i="25"/>
  <c r="J202" i="25"/>
  <c r="I202" i="25"/>
  <c r="H59" i="19"/>
  <c r="H57" i="19"/>
  <c r="H58" i="19"/>
  <c r="J306" i="25"/>
  <c r="I306" i="25"/>
  <c r="I378" i="25"/>
  <c r="J378" i="25"/>
  <c r="I32" i="25"/>
  <c r="J32" i="25"/>
  <c r="J64" i="25"/>
  <c r="I64" i="25"/>
  <c r="D58" i="19"/>
  <c r="D59" i="19"/>
  <c r="D57" i="19"/>
  <c r="I120" i="25"/>
  <c r="J120" i="25"/>
  <c r="J264" i="25"/>
  <c r="I264" i="25"/>
  <c r="J57" i="19"/>
  <c r="J58" i="19"/>
  <c r="J59" i="19"/>
  <c r="J344" i="25"/>
  <c r="I344" i="25"/>
  <c r="J368" i="25"/>
  <c r="I368" i="25"/>
  <c r="I45" i="25"/>
  <c r="J45" i="25"/>
  <c r="J169" i="25"/>
  <c r="I169" i="25"/>
  <c r="I217" i="25"/>
  <c r="J217" i="25"/>
  <c r="J285" i="25"/>
  <c r="I285" i="25"/>
  <c r="I361" i="25"/>
  <c r="J361" i="25"/>
  <c r="Z383" i="23"/>
  <c r="Z9" i="23"/>
  <c r="AL8" i="23"/>
  <c r="Y15" i="23"/>
  <c r="Z382" i="23"/>
  <c r="Z381" i="23"/>
  <c r="J215" i="25"/>
  <c r="I215" i="25"/>
  <c r="I17" i="25"/>
  <c r="J17" i="25"/>
  <c r="I103" i="25"/>
  <c r="J103" i="25"/>
  <c r="E59" i="19"/>
  <c r="E58" i="19"/>
  <c r="E57" i="19"/>
  <c r="I179" i="25"/>
  <c r="J179" i="25"/>
  <c r="J191" i="25"/>
  <c r="I191" i="25"/>
  <c r="I207" i="25"/>
  <c r="J207" i="25"/>
  <c r="I227" i="25"/>
  <c r="J227" i="25"/>
  <c r="J231" i="25"/>
  <c r="I231" i="25"/>
  <c r="I251" i="25"/>
  <c r="J251" i="25"/>
  <c r="J271" i="25"/>
  <c r="I271" i="25"/>
  <c r="H319" i="25"/>
  <c r="AA319" i="25"/>
  <c r="Z319" i="25" s="1"/>
  <c r="Y319" i="25" s="1"/>
  <c r="G319" i="25"/>
  <c r="CF319" i="6" s="1"/>
  <c r="J335" i="25"/>
  <c r="I335" i="25"/>
  <c r="W363" i="25"/>
  <c r="D363" i="25"/>
  <c r="E363" i="25" s="1"/>
  <c r="F363" i="25" s="1"/>
  <c r="J382" i="23"/>
  <c r="J383" i="23"/>
  <c r="J381" i="23"/>
  <c r="AL5" i="23" l="1"/>
  <c r="AL11" i="23" s="1"/>
  <c r="AJ3" i="23" s="1"/>
  <c r="O18" i="19" s="1"/>
  <c r="AM5" i="23"/>
  <c r="AM11" i="23" s="1"/>
  <c r="AK3" i="23" s="1"/>
  <c r="Q18" i="19" s="1"/>
  <c r="E43" i="19"/>
  <c r="E18" i="19"/>
  <c r="F18" i="19" s="1"/>
  <c r="J319" i="25"/>
  <c r="I319" i="25"/>
  <c r="G241" i="25"/>
  <c r="CF241" i="6" s="1"/>
  <c r="AA241" i="25"/>
  <c r="Z241" i="25" s="1"/>
  <c r="Y241" i="25" s="1"/>
  <c r="E382" i="24"/>
  <c r="AJ10" i="24"/>
  <c r="AJ12" i="24" s="1"/>
  <c r="AJ13" i="24" s="1"/>
  <c r="E9" i="24"/>
  <c r="E11" i="24" s="1"/>
  <c r="AK8" i="24"/>
  <c r="F15" i="24"/>
  <c r="E383" i="24"/>
  <c r="E381" i="24"/>
  <c r="I302" i="25"/>
  <c r="J302" i="25"/>
  <c r="AK4" i="22"/>
  <c r="R17" i="19" s="1"/>
  <c r="N18" i="19" s="1"/>
  <c r="AM13" i="22"/>
  <c r="B70" i="19"/>
  <c r="V380" i="25"/>
  <c r="V381" i="25" s="1"/>
  <c r="B15" i="25"/>
  <c r="I180" i="25"/>
  <c r="J180" i="25"/>
  <c r="AA119" i="25"/>
  <c r="Z119" i="25" s="1"/>
  <c r="Y119" i="25" s="1"/>
  <c r="G119" i="25"/>
  <c r="CF119" i="6" s="1"/>
  <c r="H119" i="25"/>
  <c r="I29" i="25"/>
  <c r="J29" i="25"/>
  <c r="AA272" i="25"/>
  <c r="Z272" i="25" s="1"/>
  <c r="Y272" i="25" s="1"/>
  <c r="G272" i="25"/>
  <c r="CF272" i="6" s="1"/>
  <c r="H272" i="25"/>
  <c r="G210" i="25"/>
  <c r="CF210" i="6" s="1"/>
  <c r="AA210" i="25"/>
  <c r="Z210" i="25" s="1"/>
  <c r="Y210" i="25" s="1"/>
  <c r="H210" i="25"/>
  <c r="AA302" i="25"/>
  <c r="Z302" i="25" s="1"/>
  <c r="Y302" i="25" s="1"/>
  <c r="G302" i="25"/>
  <c r="CF302" i="6" s="1"/>
  <c r="I379" i="25"/>
  <c r="J379" i="25"/>
  <c r="AA363" i="25"/>
  <c r="Z363" i="25" s="1"/>
  <c r="Y363" i="25" s="1"/>
  <c r="G363" i="25"/>
  <c r="CF363" i="6" s="1"/>
  <c r="X9" i="23"/>
  <c r="Y11" i="23" s="1"/>
  <c r="Y382" i="23"/>
  <c r="Y383" i="23"/>
  <c r="Y381" i="23"/>
  <c r="AL6" i="23"/>
  <c r="AL12" i="23" s="1"/>
  <c r="AM6" i="23"/>
  <c r="AM12" i="23" s="1"/>
  <c r="AJ4" i="22"/>
  <c r="P17" i="19" s="1"/>
  <c r="AL13" i="22"/>
  <c r="Y11" i="22"/>
  <c r="J17" i="19"/>
  <c r="AA11" i="22"/>
  <c r="AA5" i="22" s="1"/>
  <c r="I17" i="19" s="1"/>
  <c r="H363" i="25"/>
  <c r="H241" i="25"/>
  <c r="H88" i="25"/>
  <c r="G88" i="25"/>
  <c r="CF88" i="6" s="1"/>
  <c r="AA88" i="25"/>
  <c r="Z88" i="25" s="1"/>
  <c r="Y88" i="25" s="1"/>
  <c r="AA149" i="25"/>
  <c r="Z149" i="25" s="1"/>
  <c r="Y149" i="25" s="1"/>
  <c r="G149" i="25"/>
  <c r="CF149" i="6" s="1"/>
  <c r="AA180" i="25"/>
  <c r="Z180" i="25" s="1"/>
  <c r="Y180" i="25" s="1"/>
  <c r="G180" i="25"/>
  <c r="CF180" i="6" s="1"/>
  <c r="AA60" i="25"/>
  <c r="Z60" i="25" s="1"/>
  <c r="Y60" i="25" s="1"/>
  <c r="G60" i="25"/>
  <c r="CF60" i="6" s="1"/>
  <c r="H60" i="25"/>
  <c r="H149" i="25"/>
  <c r="Z11" i="22"/>
  <c r="Z5" i="22" s="1"/>
  <c r="H17" i="19" s="1"/>
  <c r="M18" i="19" l="1"/>
  <c r="H41" i="19"/>
  <c r="I41" i="19"/>
  <c r="C19" i="19"/>
  <c r="F43" i="19"/>
  <c r="AJ5" i="25"/>
  <c r="AK5" i="25"/>
  <c r="V382" i="25"/>
  <c r="V383" i="25"/>
  <c r="AJ4" i="23"/>
  <c r="P18" i="19" s="1"/>
  <c r="AL13" i="23"/>
  <c r="Z11" i="23"/>
  <c r="Z5" i="23" s="1"/>
  <c r="H18" i="19" s="1"/>
  <c r="J18" i="19"/>
  <c r="AA11" i="23"/>
  <c r="AA5" i="23" s="1"/>
  <c r="I18" i="19" s="1"/>
  <c r="J272" i="25"/>
  <c r="I272" i="25"/>
  <c r="B381" i="25"/>
  <c r="B382" i="25"/>
  <c r="W15" i="25"/>
  <c r="H9" i="25"/>
  <c r="B20" i="19" s="1"/>
  <c r="D15" i="25"/>
  <c r="AJ7" i="25" s="1"/>
  <c r="AK6" i="25"/>
  <c r="B383" i="25"/>
  <c r="AJ6" i="25"/>
  <c r="I149" i="25"/>
  <c r="J149" i="25"/>
  <c r="I88" i="25"/>
  <c r="J88" i="25"/>
  <c r="J363" i="25"/>
  <c r="I363" i="25"/>
  <c r="J60" i="25"/>
  <c r="I60" i="25"/>
  <c r="I241" i="25"/>
  <c r="J241" i="25"/>
  <c r="AK4" i="23"/>
  <c r="R18" i="19" s="1"/>
  <c r="N19" i="19" s="1"/>
  <c r="AM13" i="23"/>
  <c r="I210" i="25"/>
  <c r="J210" i="25"/>
  <c r="I119" i="25"/>
  <c r="J119" i="25"/>
  <c r="B58" i="19"/>
  <c r="N70" i="19"/>
  <c r="B57" i="19"/>
  <c r="B59" i="19"/>
  <c r="G15" i="24"/>
  <c r="CE15" i="6" s="1"/>
  <c r="F382" i="24"/>
  <c r="F381" i="24"/>
  <c r="AM10" i="24"/>
  <c r="F383" i="24"/>
  <c r="F9" i="24"/>
  <c r="AK10" i="24"/>
  <c r="AK12" i="24" s="1"/>
  <c r="AK13" i="24" s="1"/>
  <c r="AA15" i="24"/>
  <c r="AL9" i="24" s="1"/>
  <c r="H15" i="24"/>
  <c r="I42" i="19" l="1"/>
  <c r="H42" i="19"/>
  <c r="AL10" i="24"/>
  <c r="Z15" i="24"/>
  <c r="AL7" i="24" s="1"/>
  <c r="AA9" i="24"/>
  <c r="AA382" i="24"/>
  <c r="AA383" i="24"/>
  <c r="AA381" i="24"/>
  <c r="AM8" i="24"/>
  <c r="G19" i="19"/>
  <c r="J43" i="19" s="1"/>
  <c r="F11" i="24"/>
  <c r="AB9" i="24"/>
  <c r="N59" i="19"/>
  <c r="N57" i="19"/>
  <c r="N58" i="19"/>
  <c r="J15" i="24"/>
  <c r="I15" i="24"/>
  <c r="G382" i="24"/>
  <c r="G381" i="24"/>
  <c r="G383" i="24"/>
  <c r="G12" i="24" s="1"/>
  <c r="D9" i="25"/>
  <c r="D11" i="25" s="1"/>
  <c r="D383" i="25"/>
  <c r="D382" i="25"/>
  <c r="D381" i="25"/>
  <c r="E15" i="25"/>
  <c r="AJ8" i="25"/>
  <c r="B9" i="19"/>
  <c r="E44" i="19" l="1"/>
  <c r="D19" i="19"/>
  <c r="G43" i="19"/>
  <c r="AJ9" i="25"/>
  <c r="AJ11" i="25" s="1"/>
  <c r="AK7" i="25"/>
  <c r="I7" i="6"/>
  <c r="BA7" i="7"/>
  <c r="J383" i="24"/>
  <c r="J382" i="24"/>
  <c r="J381" i="24"/>
  <c r="Z383" i="24"/>
  <c r="Y15" i="24"/>
  <c r="AL5" i="24" s="1"/>
  <c r="AL11" i="24" s="1"/>
  <c r="AJ3" i="24" s="1"/>
  <c r="O19" i="19" s="1"/>
  <c r="M19" i="19" s="1"/>
  <c r="Z381" i="24"/>
  <c r="Z9" i="24"/>
  <c r="Z382" i="24"/>
  <c r="AL8" i="24"/>
  <c r="E382" i="25"/>
  <c r="AJ10" i="25"/>
  <c r="AJ12" i="25" s="1"/>
  <c r="AJ13" i="25" s="1"/>
  <c r="E9" i="25"/>
  <c r="E11" i="25" s="1"/>
  <c r="F15" i="25"/>
  <c r="AK8" i="25"/>
  <c r="E383" i="25"/>
  <c r="E381" i="25"/>
  <c r="I383" i="24"/>
  <c r="I382" i="24"/>
  <c r="I381" i="24"/>
  <c r="E19" i="19" l="1"/>
  <c r="F19" i="19" s="1"/>
  <c r="E33" i="19"/>
  <c r="C20" i="19"/>
  <c r="F44" i="19"/>
  <c r="AM9" i="25"/>
  <c r="AK9" i="25"/>
  <c r="AK11" i="25" s="1"/>
  <c r="F9" i="25"/>
  <c r="G15" i="25"/>
  <c r="CF15" i="6" s="1"/>
  <c r="J2" i="6" s="1"/>
  <c r="AA15" i="25"/>
  <c r="F382" i="25"/>
  <c r="F381" i="25"/>
  <c r="AM10" i="25"/>
  <c r="F383" i="25"/>
  <c r="AK10" i="25"/>
  <c r="AK12" i="25" s="1"/>
  <c r="H15" i="25"/>
  <c r="Y382" i="24"/>
  <c r="Y383" i="24"/>
  <c r="Y381" i="24"/>
  <c r="X9" i="24"/>
  <c r="AL6" i="24"/>
  <c r="AL12" i="24" s="1"/>
  <c r="AM6" i="24"/>
  <c r="AM12" i="24" s="1"/>
  <c r="F33" i="19" l="1"/>
  <c r="C9" i="19"/>
  <c r="AL9" i="25"/>
  <c r="AM7" i="25"/>
  <c r="AK13" i="25"/>
  <c r="AK4" i="24"/>
  <c r="R19" i="19" s="1"/>
  <c r="AM13" i="24"/>
  <c r="J19" i="19"/>
  <c r="Z11" i="24"/>
  <c r="Z5" i="24" s="1"/>
  <c r="H19" i="19" s="1"/>
  <c r="AA11" i="24"/>
  <c r="AA5" i="24" s="1"/>
  <c r="I19" i="19" s="1"/>
  <c r="Y11" i="24"/>
  <c r="G381" i="25"/>
  <c r="G383" i="25"/>
  <c r="G12" i="25" s="1"/>
  <c r="G382" i="25"/>
  <c r="AJ4" i="24"/>
  <c r="P19" i="19" s="1"/>
  <c r="AL13" i="24"/>
  <c r="I15" i="25"/>
  <c r="J15" i="25"/>
  <c r="AA383" i="25"/>
  <c r="AA381" i="25"/>
  <c r="AM8" i="25"/>
  <c r="AA382" i="25"/>
  <c r="Z15" i="25"/>
  <c r="AL7" i="25" s="1"/>
  <c r="AA9" i="25"/>
  <c r="AL10" i="25"/>
  <c r="AB9" i="25"/>
  <c r="G20" i="19"/>
  <c r="J44" i="19" s="1"/>
  <c r="J33" i="19" s="1"/>
  <c r="F11" i="25"/>
  <c r="H43" i="19" l="1"/>
  <c r="I43" i="19"/>
  <c r="D20" i="19"/>
  <c r="G44" i="19"/>
  <c r="G9" i="19"/>
  <c r="I383" i="25"/>
  <c r="I382" i="25"/>
  <c r="I381" i="25"/>
  <c r="BG7" i="7"/>
  <c r="J7" i="6"/>
  <c r="Y15" i="25"/>
  <c r="Z382" i="25"/>
  <c r="AL8" i="25"/>
  <c r="Z381" i="25"/>
  <c r="Z383" i="25"/>
  <c r="Z9" i="25"/>
  <c r="J381" i="25"/>
  <c r="J382" i="25"/>
  <c r="J383" i="25"/>
  <c r="G33" i="19" l="1"/>
  <c r="E20" i="19"/>
  <c r="F20" i="19" s="1"/>
  <c r="D9" i="19"/>
  <c r="AL5" i="25"/>
  <c r="AL11" i="25" s="1"/>
  <c r="AJ3" i="25" s="1"/>
  <c r="O20" i="19" s="1"/>
  <c r="M20" i="19" s="1"/>
  <c r="AM5" i="25"/>
  <c r="AM11" i="25" s="1"/>
  <c r="AK3" i="25" s="1"/>
  <c r="Q20" i="19" s="1"/>
  <c r="N20" i="19" s="1"/>
  <c r="AM6" i="25"/>
  <c r="AM12" i="25" s="1"/>
  <c r="Y383" i="25"/>
  <c r="AL6" i="25"/>
  <c r="AL12" i="25" s="1"/>
  <c r="Y381" i="25"/>
  <c r="X9" i="25"/>
  <c r="Y11" i="25" s="1"/>
  <c r="Y382" i="25"/>
  <c r="E9" i="19" l="1"/>
  <c r="Z11" i="25"/>
  <c r="Z5" i="25" s="1"/>
  <c r="H20" i="19" s="1"/>
  <c r="J20" i="19"/>
  <c r="AA11" i="25"/>
  <c r="AA5" i="25" s="1"/>
  <c r="I20" i="19" s="1"/>
  <c r="AK4" i="25"/>
  <c r="R20" i="19" s="1"/>
  <c r="AM13" i="25"/>
  <c r="AJ4" i="25"/>
  <c r="P20" i="19" s="1"/>
  <c r="AL13" i="25"/>
  <c r="F9" i="19"/>
  <c r="O33" i="19" l="1"/>
  <c r="O35" i="19"/>
  <c r="N35" i="19" s="1"/>
  <c r="O34" i="19"/>
  <c r="O36" i="19"/>
  <c r="N36" i="19" s="1"/>
  <c r="N33" i="19"/>
  <c r="I44" i="19"/>
  <c r="I33" i="19" s="1"/>
  <c r="H44" i="19"/>
  <c r="H33" i="19" s="1"/>
  <c r="J9" i="19"/>
  <c r="I9" i="19"/>
  <c r="H9" i="19"/>
  <c r="N34" i="19" l="1"/>
  <c r="N32" i="19" s="1"/>
  <c r="O32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I1" authorId="0" shapeId="0">
      <text>
        <r>
          <rPr>
            <sz val="9"/>
            <color indexed="81"/>
            <rFont val="Tahoma"/>
            <family val="2"/>
          </rPr>
          <t>Clichés Google Street view</t>
        </r>
      </text>
    </commen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64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1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5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W26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coeff correcteur</t>
        </r>
      </text>
    </comment>
    <comment ref="B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1,10 cause écart constaté</t>
        </r>
      </text>
    </comment>
    <comment ref="W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</t>
        </r>
      </text>
    </comment>
    <comment ref="B26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Févr.</t>
        </r>
      </text>
    </comment>
  </commentList>
</comments>
</file>

<file path=xl/sharedStrings.xml><?xml version="1.0" encoding="utf-8"?>
<sst xmlns="http://schemas.openxmlformats.org/spreadsheetml/2006/main" count="2251" uniqueCount="397">
  <si>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</si>
  <si>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</si>
  <si>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</si>
  <si>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</si>
  <si>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</si>
  <si>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</si>
  <si>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</si>
  <si>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</si>
  <si>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</si>
  <si>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</si>
  <si>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</si>
  <si>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</si>
  <si>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</si>
  <si>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</si>
  <si>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</si>
  <si>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</si>
  <si>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</si>
  <si>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</si>
  <si>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</si>
  <si>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</si>
  <si>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</si>
  <si>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</si>
  <si>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</si>
  <si>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</si>
  <si>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</si>
  <si>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</si>
  <si>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</si>
  <si>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</si>
  <si>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</si>
  <si>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</si>
  <si>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</si>
  <si>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</si>
  <si>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</si>
  <si>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</si>
  <si>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</si>
  <si>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</si>
  <si>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</si>
  <si>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</si>
  <si>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</si>
  <si>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</si>
  <si>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</si>
  <si>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</si>
  <si>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</si>
  <si>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</si>
  <si>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</si>
  <si>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</si>
  <si>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</si>
  <si>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</si>
  <si>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</si>
  <si>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</si>
  <si>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</si>
  <si>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</si>
  <si>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</si>
  <si>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</si>
  <si>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</si>
  <si>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</si>
  <si>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</si>
  <si>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</si>
  <si>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</si>
  <si>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</si>
  <si>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</si>
  <si>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</si>
  <si>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</si>
  <si>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</si>
  <si>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</si>
  <si>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</si>
  <si>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</si>
  <si>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</si>
  <si>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</si>
  <si>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</si>
  <si>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</si>
  <si>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</si>
  <si>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</si>
  <si>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</si>
  <si>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</si>
  <si>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</si>
  <si>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</si>
  <si>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</si>
  <si>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</si>
  <si>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</si>
  <si>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</si>
  <si>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</si>
  <si>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</si>
  <si>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</si>
  <si>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</si>
  <si>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</si>
  <si>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</si>
  <si>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</si>
  <si>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</si>
  <si>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</si>
  <si>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</si>
  <si>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</si>
  <si>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</si>
  <si>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</si>
  <si>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</si>
  <si>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</si>
  <si>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</si>
  <si>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</si>
  <si>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</si>
  <si>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</si>
  <si>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</si>
  <si>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</si>
  <si>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</si>
  <si>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</si>
  <si>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</si>
  <si>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</si>
  <si>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</si>
  <si>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</si>
  <si>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</si>
  <si>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</si>
  <si>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</si>
  <si>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</si>
  <si>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</si>
  <si>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</si>
  <si>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</si>
  <si>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</si>
  <si>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</si>
  <si>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</si>
  <si>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</si>
  <si>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</si>
  <si>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</si>
  <si>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</si>
  <si>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</si>
  <si>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</si>
  <si>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</si>
  <si>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</si>
  <si>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</si>
  <si>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</si>
  <si>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</si>
  <si>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</si>
  <si>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</si>
  <si>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</si>
  <si>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</si>
  <si>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</si>
  <si>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</si>
  <si>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</si>
  <si>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</si>
  <si>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</si>
  <si>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</si>
  <si>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</si>
  <si>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</si>
  <si>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</si>
  <si>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</si>
  <si>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</si>
  <si>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</si>
  <si>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</si>
  <si>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</si>
  <si>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</si>
  <si>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</si>
  <si>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</si>
  <si>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</si>
  <si>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</si>
  <si>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</si>
  <si>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</si>
  <si>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</si>
  <si>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</si>
  <si>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</si>
  <si>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</si>
  <si>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</si>
  <si>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</si>
  <si>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</si>
  <si>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</si>
  <si>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</si>
  <si>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</si>
  <si>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</si>
  <si>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</si>
  <si>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</si>
  <si>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</si>
  <si>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</si>
  <si>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</si>
  <si>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</si>
  <si>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</si>
  <si>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</si>
  <si>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</si>
  <si>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</si>
  <si>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</si>
  <si>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</si>
  <si>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</si>
  <si>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</si>
  <si>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</si>
  <si>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</si>
  <si>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</si>
  <si>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</si>
  <si>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</si>
  <si>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</si>
  <si>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</si>
  <si>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</si>
  <si>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</si>
  <si>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</si>
  <si>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</si>
  <si>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</si>
  <si>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</si>
  <si>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</si>
  <si>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</si>
  <si>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</si>
  <si>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</si>
  <si>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</si>
  <si>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</si>
  <si>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</si>
  <si>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</si>
  <si>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</si>
  <si>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</si>
  <si>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</si>
  <si>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</si>
  <si>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</si>
  <si>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</si>
  <si>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</si>
  <si>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</si>
  <si>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</si>
  <si>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</si>
  <si>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</si>
  <si>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</si>
  <si>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</si>
  <si>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</si>
  <si>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</si>
  <si>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</si>
  <si>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</si>
  <si>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</si>
  <si>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</si>
  <si>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</si>
  <si>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</si>
  <si>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</si>
  <si>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</si>
  <si>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</si>
  <si>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</si>
  <si>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</si>
  <si>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</si>
  <si>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</si>
  <si>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</si>
  <si>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</si>
  <si>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</si>
  <si>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</si>
  <si>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</si>
  <si>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</si>
  <si>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</si>
  <si>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</si>
  <si>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</si>
  <si>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</si>
  <si>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</si>
  <si>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</si>
  <si>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</si>
  <si>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</si>
  <si>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</si>
  <si>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</si>
  <si>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</si>
  <si>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</si>
  <si>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</si>
  <si>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</si>
  <si>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</si>
  <si>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</si>
  <si>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</si>
  <si>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</si>
  <si>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</si>
  <si>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</si>
  <si>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</si>
  <si>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</si>
  <si>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</si>
  <si>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</si>
  <si>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</si>
  <si>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</si>
  <si>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</si>
  <si>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</si>
  <si>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</si>
  <si>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</si>
  <si>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</si>
  <si>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</si>
  <si>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</si>
  <si>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</si>
  <si>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</si>
  <si>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</si>
  <si>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</si>
  <si>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</si>
  <si>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</si>
  <si>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</si>
  <si>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</si>
  <si>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</si>
  <si>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</si>
  <si>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</si>
  <si>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</si>
  <si>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</si>
  <si>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</si>
  <si>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</si>
  <si>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</si>
  <si>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</si>
  <si>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</si>
  <si>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</si>
  <si>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</si>
  <si>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</si>
  <si>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</si>
  <si>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</si>
  <si>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</si>
  <si>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</si>
  <si>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</si>
  <si>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</si>
  <si>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</si>
  <si>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</si>
  <si>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</si>
  <si>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</si>
  <si>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</si>
  <si>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</si>
  <si>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</si>
  <si>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</si>
  <si>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</si>
  <si>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</si>
  <si>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</si>
  <si>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</si>
  <si>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</si>
  <si>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</si>
  <si>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</si>
  <si>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</si>
  <si>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</si>
  <si>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</si>
  <si>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</si>
  <si>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</si>
  <si>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</si>
  <si>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</si>
  <si>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</si>
  <si>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</si>
  <si>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Ayguesvives M.J.C.</t>
  </si>
  <si>
    <t>Observ 1: Ch. d'en Mauran</t>
  </si>
  <si>
    <t>Faîtage 1</t>
  </si>
  <si>
    <t>Faîtage 2</t>
  </si>
  <si>
    <t>Faîtage 3</t>
  </si>
  <si>
    <t>Faîtage 4</t>
  </si>
  <si>
    <t>Faîtage 5</t>
  </si>
  <si>
    <t>Faîtage 6</t>
  </si>
  <si>
    <t>Faîtage 7</t>
  </si>
  <si>
    <t>Rive 4</t>
  </si>
  <si>
    <t>Rive 5</t>
  </si>
  <si>
    <t>Faîtage 0</t>
  </si>
  <si>
    <t>Actif</t>
  </si>
  <si>
    <t>Rive 6 (h -0,902)</t>
  </si>
  <si>
    <t>Rive 1 h-2,49</t>
  </si>
  <si>
    <t>Zone1</t>
  </si>
  <si>
    <t>Zone 2</t>
  </si>
  <si>
    <t>Zone 3</t>
  </si>
  <si>
    <t>Zone 4</t>
  </si>
  <si>
    <t>Choisi</t>
  </si>
  <si>
    <t>Rive 3 H-1,27</t>
  </si>
  <si>
    <t>Rive 7 H-0,9</t>
  </si>
  <si>
    <t>Configu. Masque fixe zone 1</t>
  </si>
  <si>
    <t>Configu. Masque fixe zone 2</t>
  </si>
  <si>
    <t>Configu. Masque fixe zone 3</t>
  </si>
  <si>
    <t>Ratio angle /Hphoto</t>
  </si>
  <si>
    <t>Lampadaire escalier bas mairie</t>
  </si>
  <si>
    <t>Formule de division linéaire de la mesure (angles &lt; 10°)</t>
  </si>
  <si>
    <t>2019-06 Ayguesviv MJC street E.jpg</t>
  </si>
  <si>
    <t>2019-06 Ayguesviv MJC street S.jpg</t>
  </si>
  <si>
    <t>2019-06 Ayguesviv MJC street N</t>
  </si>
  <si>
    <t>Hauteur 0= carrefour Pl du Fort Ch de TLS</t>
  </si>
  <si>
    <t>carrefour Pl du Fort Ch de TLS</t>
  </si>
  <si>
    <t>Pl du Fort SdF</t>
  </si>
  <si>
    <t>Arbre 1</t>
  </si>
  <si>
    <t>Arbre 2</t>
  </si>
  <si>
    <t>Arbre 3</t>
  </si>
  <si>
    <t>Arbre 4</t>
  </si>
  <si>
    <t>Arbre 5</t>
  </si>
  <si>
    <t>Arbre 6</t>
  </si>
  <si>
    <t>Arbre 7</t>
  </si>
  <si>
    <t>Arbre 8</t>
  </si>
  <si>
    <t>Arbre 9</t>
  </si>
  <si>
    <t>Arbre 10</t>
  </si>
  <si>
    <t>Arbre 11</t>
  </si>
  <si>
    <t>Arbre 12</t>
  </si>
  <si>
    <t>Arbre 13</t>
  </si>
  <si>
    <t>Arbre 14</t>
  </si>
  <si>
    <t>Arbre 15</t>
  </si>
  <si>
    <t>Creux 1</t>
  </si>
  <si>
    <t>Arbre 0</t>
  </si>
  <si>
    <t>Creux 12</t>
  </si>
  <si>
    <t>Creux 11</t>
  </si>
  <si>
    <t>Arbre 16g</t>
  </si>
  <si>
    <t>Arbre 16d</t>
  </si>
  <si>
    <t>Descente pluivial maison centre</t>
  </si>
  <si>
    <t>Points laissés de coté</t>
  </si>
  <si>
    <t>Date de relevés hauteurs (Ref. 0m):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</si>
  <si>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</si>
  <si>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</si>
  <si>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</si>
  <si>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</si>
  <si>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</si>
  <si>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</si>
  <si>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</si>
  <si>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</si>
  <si>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</si>
  <si>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</si>
  <si>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</si>
  <si>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Moyenne ratios forte prod. &gt;0,97 :</t>
  </si>
  <si>
    <t>Compilation Ratios /MaxiM</t>
  </si>
  <si>
    <t>I</t>
  </si>
  <si>
    <t>Cumul 22</t>
  </si>
  <si>
    <t>periode net</t>
  </si>
  <si>
    <t>moyennes annuelles</t>
  </si>
  <si>
    <t>action</t>
  </si>
  <si>
    <t>23 hors net</t>
  </si>
  <si>
    <t>gain/an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</si>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</sst>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rgb="FF7030A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307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0" fontId="108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117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117" fillId="0" borderId="34" xfId="0" applyNumberFormat="1" applyFont="1" applyBorder="1" applyAlignment="1" applyProtection="1">
      <alignment horizontal="center"/>
      <protection locked="0"/>
    </xf>
    <xf numFmtId="179" fontId="117" fillId="0" borderId="24" xfId="0" applyNumberFormat="1" applyFont="1" applyBorder="1" applyAlignment="1" applyProtection="1">
      <alignment horizontal="center"/>
      <protection locked="0"/>
    </xf>
    <xf numFmtId="179" fontId="117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117" fillId="0" borderId="38" xfId="0" applyNumberFormat="1" applyFont="1" applyBorder="1" applyAlignment="1" applyProtection="1">
      <alignment horizontal="center"/>
      <protection locked="0"/>
    </xf>
    <xf numFmtId="179" fontId="117" fillId="0" borderId="40" xfId="0" applyNumberFormat="1" applyFont="1" applyBorder="1" applyAlignment="1" applyProtection="1">
      <alignment horizontal="center"/>
      <protection locked="0"/>
    </xf>
    <xf numFmtId="179" fontId="117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117" fillId="0" borderId="41" xfId="0" applyFont="1" applyBorder="1" applyAlignment="1" applyProtection="1">
      <alignment horizontal="center"/>
      <protection locked="0"/>
    </xf>
    <xf numFmtId="179" fontId="117" fillId="0" borderId="41" xfId="0" applyNumberFormat="1" applyFont="1" applyBorder="1" applyAlignment="1" applyProtection="1">
      <alignment horizontal="center"/>
      <protection locked="0"/>
    </xf>
    <xf numFmtId="0" fontId="117" fillId="0" borderId="0" xfId="0" applyFont="1" applyBorder="1" applyAlignment="1" applyProtection="1">
      <alignment horizontal="center"/>
      <protection locked="0"/>
    </xf>
    <xf numFmtId="179" fontId="117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117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117" fillId="0" borderId="1" xfId="0" applyNumberFormat="1" applyFont="1" applyBorder="1" applyAlignment="1" applyProtection="1">
      <alignment horizontal="center"/>
      <protection locked="0"/>
    </xf>
    <xf numFmtId="179" fontId="117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117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117" fillId="0" borderId="47" xfId="0" applyNumberFormat="1" applyFont="1" applyBorder="1" applyAlignment="1" applyProtection="1">
      <alignment horizontal="right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" fontId="117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117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117" fillId="0" borderId="5" xfId="0" applyNumberFormat="1" applyFont="1" applyBorder="1" applyAlignment="1" applyProtection="1">
      <alignment horizontal="center"/>
      <protection locked="0"/>
    </xf>
    <xf numFmtId="1" fontId="117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186" fontId="52" fillId="0" borderId="3" xfId="0" applyNumberFormat="1" applyFont="1" applyBorder="1" applyAlignment="1" applyProtection="1">
      <alignment horizontal="center"/>
    </xf>
    <xf numFmtId="9" fontId="117" fillId="0" borderId="20" xfId="33" applyFont="1" applyBorder="1" applyAlignment="1" applyProtection="1">
      <alignment horizontal="center"/>
      <protection locked="0"/>
    </xf>
    <xf numFmtId="9" fontId="117" fillId="0" borderId="21" xfId="33" applyFont="1" applyBorder="1" applyAlignment="1" applyProtection="1">
      <alignment horizontal="center"/>
      <protection locked="0"/>
    </xf>
    <xf numFmtId="9" fontId="117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113" fillId="0" borderId="25" xfId="0" applyNumberFormat="1" applyFont="1" applyBorder="1" applyAlignment="1" applyProtection="1">
      <alignment horizontal="right"/>
      <protection locked="0"/>
    </xf>
    <xf numFmtId="2" fontId="117" fillId="0" borderId="0" xfId="0" applyNumberFormat="1" applyFont="1" applyBorder="1" applyProtection="1"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/>
    </xf>
    <xf numFmtId="0" fontId="38" fillId="33" borderId="2" xfId="0" applyFont="1" applyFill="1" applyBorder="1" applyAlignment="1" applyProtection="1">
      <alignment horizontal="right" vertical="center"/>
    </xf>
    <xf numFmtId="0" fontId="38" fillId="33" borderId="0" xfId="0" applyFont="1" applyFill="1" applyBorder="1" applyAlignment="1" applyProtection="1">
      <alignment horizontal="center" vertical="center"/>
    </xf>
    <xf numFmtId="0" fontId="26" fillId="0" borderId="0" xfId="0" applyFont="1" applyBorder="1" applyProtection="1"/>
    <xf numFmtId="179" fontId="37" fillId="33" borderId="6" xfId="0" applyNumberFormat="1" applyFont="1" applyFill="1" applyBorder="1" applyAlignment="1" applyProtection="1">
      <alignment horizontal="center"/>
    </xf>
    <xf numFmtId="2" fontId="63" fillId="0" borderId="13" xfId="0" applyNumberFormat="1" applyFont="1" applyBorder="1" applyProtection="1"/>
    <xf numFmtId="179" fontId="63" fillId="0" borderId="5" xfId="0" applyNumberFormat="1" applyFont="1" applyBorder="1" applyProtection="1"/>
    <xf numFmtId="179" fontId="63" fillId="33" borderId="5" xfId="0" applyNumberFormat="1" applyFont="1" applyFill="1" applyBorder="1" applyProtection="1"/>
    <xf numFmtId="179" fontId="37" fillId="33" borderId="7" xfId="0" applyNumberFormat="1" applyFont="1" applyFill="1" applyBorder="1" applyAlignment="1" applyProtection="1">
      <alignment horizontal="center"/>
    </xf>
    <xf numFmtId="2" fontId="63" fillId="0" borderId="2" xfId="0" applyNumberFormat="1" applyFont="1" applyBorder="1" applyProtection="1"/>
    <xf numFmtId="179" fontId="63" fillId="0" borderId="0" xfId="0" applyNumberFormat="1" applyFont="1" applyBorder="1" applyProtection="1"/>
    <xf numFmtId="179" fontId="63" fillId="33" borderId="0" xfId="0" applyNumberFormat="1" applyFont="1" applyFill="1" applyBorder="1" applyProtection="1"/>
    <xf numFmtId="179" fontId="38" fillId="33" borderId="7" xfId="0" applyNumberFormat="1" applyFont="1" applyFill="1" applyBorder="1" applyAlignment="1" applyProtection="1">
      <alignment horizontal="center"/>
    </xf>
    <xf numFmtId="179" fontId="38" fillId="33" borderId="8" xfId="0" applyNumberFormat="1" applyFont="1" applyFill="1" applyBorder="1" applyAlignment="1" applyProtection="1">
      <alignment horizontal="center"/>
    </xf>
    <xf numFmtId="2" fontId="63" fillId="0" borderId="4" xfId="0" applyNumberFormat="1" applyFont="1" applyBorder="1" applyProtection="1"/>
    <xf numFmtId="179" fontId="63" fillId="0" borderId="1" xfId="0" applyNumberFormat="1" applyFont="1" applyBorder="1" applyProtection="1"/>
    <xf numFmtId="179" fontId="63" fillId="33" borderId="1" xfId="0" applyNumberFormat="1" applyFont="1" applyFill="1" applyBorder="1" applyProtection="1"/>
    <xf numFmtId="183" fontId="52" fillId="0" borderId="3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2" fontId="118" fillId="0" borderId="34" xfId="0" applyNumberFormat="1" applyFont="1" applyFill="1" applyBorder="1" applyProtection="1">
      <protection locked="0"/>
    </xf>
    <xf numFmtId="2" fontId="118" fillId="0" borderId="35" xfId="0" applyNumberFormat="1" applyFont="1" applyFill="1" applyBorder="1" applyProtection="1">
      <protection locked="0"/>
    </xf>
    <xf numFmtId="179" fontId="117" fillId="0" borderId="45" xfId="0" applyNumberFormat="1" applyFont="1" applyBorder="1" applyAlignment="1" applyProtection="1">
      <alignment horizontal="center"/>
      <protection locked="0"/>
    </xf>
    <xf numFmtId="2" fontId="118" fillId="0" borderId="36" xfId="0" applyNumberFormat="1" applyFont="1" applyFill="1" applyBorder="1" applyProtection="1">
      <protection locked="0"/>
    </xf>
    <xf numFmtId="2" fontId="118" fillId="0" borderId="37" xfId="0" applyNumberFormat="1" applyFont="1" applyFill="1" applyBorder="1" applyProtection="1">
      <protection locked="0"/>
    </xf>
    <xf numFmtId="2" fontId="118" fillId="0" borderId="38" xfId="0" applyNumberFormat="1" applyFont="1" applyFill="1" applyBorder="1" applyProtection="1">
      <protection locked="0"/>
    </xf>
    <xf numFmtId="2" fontId="118" fillId="0" borderId="39" xfId="0" applyNumberFormat="1" applyFont="1" applyFill="1" applyBorder="1" applyProtection="1"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79" fontId="108" fillId="0" borderId="46" xfId="0" applyNumberFormat="1" applyFont="1" applyBorder="1" applyAlignment="1" applyProtection="1">
      <alignment horizontal="center"/>
      <protection locked="0"/>
    </xf>
    <xf numFmtId="2" fontId="118" fillId="0" borderId="43" xfId="0" applyNumberFormat="1" applyFont="1" applyBorder="1" applyAlignment="1" applyProtection="1">
      <alignment horizontal="center"/>
      <protection locked="0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166" fontId="38" fillId="0" borderId="0" xfId="0" applyNumberFormat="1" applyFont="1" applyProtection="1"/>
    <xf numFmtId="2" fontId="34" fillId="0" borderId="0" xfId="0" applyNumberFormat="1" applyFont="1" applyBorder="1" applyAlignment="1" applyProtection="1"/>
    <xf numFmtId="2" fontId="0" fillId="0" borderId="0" xfId="0" applyNumberFormat="1" applyFont="1" applyProtection="1"/>
    <xf numFmtId="15" fontId="0" fillId="0" borderId="0" xfId="0" applyNumberFormat="1" applyFont="1" applyProtection="1"/>
    <xf numFmtId="183" fontId="86" fillId="0" borderId="1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183" fontId="49" fillId="0" borderId="3" xfId="33" applyNumberFormat="1" applyFont="1" applyFill="1" applyBorder="1" applyAlignment="1" applyProtection="1">
      <alignment horizontal="center"/>
    </xf>
    <xf numFmtId="0" fontId="31" fillId="0" borderId="0" xfId="0" applyFont="1" applyBorder="1"/>
    <xf numFmtId="1" fontId="124" fillId="0" borderId="0" xfId="0" applyNumberFormat="1" applyFont="1" applyBorder="1"/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2" fontId="99" fillId="0" borderId="0" xfId="0" applyNumberFormat="1" applyFont="1" applyFill="1" applyBorder="1" applyProtection="1">
      <protection locked="0"/>
    </xf>
    <xf numFmtId="9" fontId="66" fillId="0" borderId="19" xfId="33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34" borderId="22" xfId="0" applyNumberFormat="1" applyFont="1" applyFill="1" applyBorder="1" applyProtection="1">
      <protection locked="0"/>
    </xf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2" xfId="0" applyFont="1" applyFill="1" applyBorder="1" applyAlignment="1" applyProtection="1">
      <alignment horizontal="center" vertical="center"/>
    </xf>
    <xf numFmtId="0" fontId="29" fillId="33" borderId="0" xfId="0" applyFont="1" applyFill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/>
    </xf>
    <xf numFmtId="0" fontId="38" fillId="0" borderId="0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6.6100909577380964</c:v>
                </c:pt>
                <c:pt idx="6">
                  <c:v>6.361801430243248</c:v>
                </c:pt>
                <c:pt idx="7">
                  <c:v>6.0242458213247794</c:v>
                </c:pt>
                <c:pt idx="8">
                  <c:v>5.4360181991092098</c:v>
                </c:pt>
                <c:pt idx="9">
                  <c:v>4.4707817314676301</c:v>
                </c:pt>
                <c:pt idx="10">
                  <c:v>3.4255679867194826</c:v>
                </c:pt>
                <c:pt idx="11">
                  <c:v>2.8009916369636083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3.2347423209425838</c:v>
                </c:pt>
                <c:pt idx="1">
                  <c:v>4.318860203115289</c:v>
                </c:pt>
                <c:pt idx="2">
                  <c:v>5.4187461946312663</c:v>
                </c:pt>
                <c:pt idx="3">
                  <c:v>6.2606216283891509</c:v>
                </c:pt>
                <c:pt idx="4">
                  <c:v>6.5091507292970938</c:v>
                </c:pt>
                <c:pt idx="5">
                  <c:v>6.4066190327216033</c:v>
                </c:pt>
                <c:pt idx="6">
                  <c:v>6.1691055444217424</c:v>
                </c:pt>
                <c:pt idx="7">
                  <c:v>5.8460746404030228</c:v>
                </c:pt>
                <c:pt idx="8">
                  <c:v>5.2789352941811769</c:v>
                </c:pt>
                <c:pt idx="9">
                  <c:v>4.3453379170795143</c:v>
                </c:pt>
                <c:pt idx="10">
                  <c:v>3.3326820989824584</c:v>
                </c:pt>
                <c:pt idx="11">
                  <c:v>2.7272880361567498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3.1515833752697433</c:v>
                </c:pt>
                <c:pt idx="1">
                  <c:v>4.2292645689462924</c:v>
                </c:pt>
                <c:pt idx="2">
                  <c:v>5.318918884688518</c:v>
                </c:pt>
                <c:pt idx="3">
                  <c:v>6.1256998093261634</c:v>
                </c:pt>
                <c:pt idx="4">
                  <c:v>6.3535926788811476</c:v>
                </c:pt>
                <c:pt idx="5">
                  <c:v>6.247077025697763</c:v>
                </c:pt>
                <c:pt idx="6">
                  <c:v>6.0153379346100895</c:v>
                </c:pt>
                <c:pt idx="7">
                  <c:v>5.6987051266873046</c:v>
                </c:pt>
                <c:pt idx="8">
                  <c:v>5.134657451390261</c:v>
                </c:pt>
                <c:pt idx="9">
                  <c:v>4.2166008594591515</c:v>
                </c:pt>
                <c:pt idx="10">
                  <c:v>3.232978589263495</c:v>
                </c:pt>
                <c:pt idx="11">
                  <c:v>2.6664147044511108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3.0874112780256358</c:v>
                </c:pt>
                <c:pt idx="1">
                  <c:v>4.1262360090190624</c:v>
                </c:pt>
                <c:pt idx="2">
                  <c:v>5.1815500417565055</c:v>
                </c:pt>
                <c:pt idx="3">
                  <c:v>6.0893840487123949</c:v>
                </c:pt>
                <c:pt idx="4">
                  <c:v>6.4993969658669171</c:v>
                </c:pt>
                <c:pt idx="5">
                  <c:v>6.3937925193528784</c:v>
                </c:pt>
                <c:pt idx="6">
                  <c:v>6.1598061590494622</c:v>
                </c:pt>
                <c:pt idx="7">
                  <c:v>5.8335226082884244</c:v>
                </c:pt>
                <c:pt idx="8">
                  <c:v>5.2633065477090533</c:v>
                </c:pt>
                <c:pt idx="9">
                  <c:v>4.3289137514448708</c:v>
                </c:pt>
                <c:pt idx="10">
                  <c:v>3.3168802357528913</c:v>
                </c:pt>
                <c:pt idx="11">
                  <c:v>2.7123901893180893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3.1301363355645386</c:v>
                </c:pt>
                <c:pt idx="1">
                  <c:v>4.1745023168473807</c:v>
                </c:pt>
                <c:pt idx="2">
                  <c:v>5.2311982356880868</c:v>
                </c:pt>
                <c:pt idx="3">
                  <c:v>6.0362162680530416</c:v>
                </c:pt>
                <c:pt idx="4">
                  <c:v>6.2662319768368828</c:v>
                </c:pt>
                <c:pt idx="5">
                  <c:v>6.1568096293611685</c:v>
                </c:pt>
                <c:pt idx="6">
                  <c:v>5.9207192473753425</c:v>
                </c:pt>
                <c:pt idx="7">
                  <c:v>5.6048214553816695</c:v>
                </c:pt>
                <c:pt idx="8">
                  <c:v>5.0552038489685449</c:v>
                </c:pt>
                <c:pt idx="9">
                  <c:v>4.1576005432148433</c:v>
                </c:pt>
                <c:pt idx="10">
                  <c:v>3.1862420245183412</c:v>
                </c:pt>
                <c:pt idx="11">
                  <c:v>2.6056088428202466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3.0089978327683808</c:v>
                </c:pt>
                <c:pt idx="1">
                  <c:v>4.0193008542475201</c:v>
                </c:pt>
                <c:pt idx="2">
                  <c:v>5.044168285396335</c:v>
                </c:pt>
                <c:pt idx="3">
                  <c:v>5.8283414894560872</c:v>
                </c:pt>
                <c:pt idx="4">
                  <c:v>6.0566399917306768</c:v>
                </c:pt>
                <c:pt idx="5">
                  <c:v>5.9561135568221912</c:v>
                </c:pt>
                <c:pt idx="6">
                  <c:v>5.7348031749275039</c:v>
                </c:pt>
                <c:pt idx="7">
                  <c:v>5.436855996901226</c:v>
                </c:pt>
                <c:pt idx="8">
                  <c:v>4.910607107023746</c:v>
                </c:pt>
                <c:pt idx="9">
                  <c:v>4.0449433484864983</c:v>
                </c:pt>
                <c:pt idx="10">
                  <c:v>3.1047450061676964</c:v>
                </c:pt>
                <c:pt idx="11">
                  <c:v>2.5427401639462475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2.9389985427194976</c:v>
                </c:pt>
                <c:pt idx="1">
                  <c:v>3.9278396340842585</c:v>
                </c:pt>
                <c:pt idx="2">
                  <c:v>4.9316357504883177</c:v>
                </c:pt>
                <c:pt idx="3">
                  <c:v>5.7004521370308598</c:v>
                </c:pt>
                <c:pt idx="4">
                  <c:v>6.3554637691900453</c:v>
                </c:pt>
                <c:pt idx="5">
                  <c:v>6.2459677111084453</c:v>
                </c:pt>
                <c:pt idx="6">
                  <c:v>6.0069497963327798</c:v>
                </c:pt>
                <c:pt idx="7">
                  <c:v>5.6859175615964839</c:v>
                </c:pt>
                <c:pt idx="8">
                  <c:v>5.1264477712953243</c:v>
                </c:pt>
                <c:pt idx="9">
                  <c:v>4.2139173332929456</c:v>
                </c:pt>
                <c:pt idx="10">
                  <c:v>3.226369407334992</c:v>
                </c:pt>
                <c:pt idx="11">
                  <c:v>2.6372927790739631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3.0433793990040683</c:v>
                </c:pt>
                <c:pt idx="1">
                  <c:v>4.0625643287385556</c:v>
                </c:pt>
                <c:pt idx="2">
                  <c:v>5.0949741934101889</c:v>
                </c:pt>
                <c:pt idx="3">
                  <c:v>5.8852325137883499</c:v>
                </c:pt>
                <c:pt idx="4">
                  <c:v>6.1142792009511808</c:v>
                </c:pt>
                <c:pt idx="5">
                  <c:v>6.013259122106053</c:v>
                </c:pt>
                <c:pt idx="6">
                  <c:v>5.7863854214192454</c:v>
                </c:pt>
                <c:pt idx="7">
                  <c:v>5.4802296673772908</c:v>
                </c:pt>
                <c:pt idx="8">
                  <c:v>4.9466183722183068</c:v>
                </c:pt>
                <c:pt idx="9">
                  <c:v>4.0707781612472713</c:v>
                </c:pt>
                <c:pt idx="10">
                  <c:v>3.121951201599499</c:v>
                </c:pt>
                <c:pt idx="11">
                  <c:v>2.5542610988962005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2.9504709731324992</c:v>
                </c:pt>
                <c:pt idx="1">
                  <c:v>3.9398204067053775</c:v>
                </c:pt>
                <c:pt idx="2">
                  <c:v>4.9436753397869628</c:v>
                </c:pt>
                <c:pt idx="3">
                  <c:v>5.7220793806919827</c:v>
                </c:pt>
                <c:pt idx="4">
                  <c:v>6.2562055560635406</c:v>
                </c:pt>
                <c:pt idx="5">
                  <c:v>6.1505510898201514</c:v>
                </c:pt>
                <c:pt idx="6">
                  <c:v>5.9148000523385047</c:v>
                </c:pt>
                <c:pt idx="7">
                  <c:v>5.5971916080811992</c:v>
                </c:pt>
                <c:pt idx="8">
                  <c:v>5.0472483041498863</c:v>
                </c:pt>
                <c:pt idx="9">
                  <c:v>4.1488323985889499</c:v>
                </c:pt>
                <c:pt idx="10">
                  <c:v>3.1775291754152009</c:v>
                </c:pt>
                <c:pt idx="11">
                  <c:v>2.5969647294689491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2.9973444395591868</c:v>
                </c:pt>
                <c:pt idx="1">
                  <c:v>3.9998556757188797</c:v>
                </c:pt>
                <c:pt idx="2">
                  <c:v>5.0157925406855899</c:v>
                </c:pt>
                <c:pt idx="3">
                  <c:v>5.7915914226467962</c:v>
                </c:pt>
                <c:pt idx="4">
                  <c:v>6.016684549007179</c:v>
                </c:pt>
                <c:pt idx="5">
                  <c:v>5.9165103449461531</c:v>
                </c:pt>
                <c:pt idx="6">
                  <c:v>5.6934262933254063</c:v>
                </c:pt>
                <c:pt idx="7">
                  <c:v>5.392772830653783</c:v>
                </c:pt>
                <c:pt idx="8">
                  <c:v>4.8673992991461397</c:v>
                </c:pt>
                <c:pt idx="9">
                  <c:v>4.0055637399037129</c:v>
                </c:pt>
                <c:pt idx="10">
                  <c:v>3.0717163756883048</c:v>
                </c:pt>
                <c:pt idx="11">
                  <c:v>2.5132315116078798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72352"/>
        <c:axId val="585972744"/>
      </c:lineChart>
      <c:dateAx>
        <c:axId val="585972352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274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8597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235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24.727084410096271</c:v>
                </c:pt>
                <c:pt idx="1">
                  <c:v>24.877389660666704</c:v>
                </c:pt>
                <c:pt idx="2">
                  <c:v>25.037231706345015</c:v>
                </c:pt>
                <c:pt idx="3">
                  <c:v>25.206044429460899</c:v>
                </c:pt>
                <c:pt idx="4">
                  <c:v>25.383261985520043</c:v>
                </c:pt>
                <c:pt idx="5">
                  <c:v>25.568318796302947</c:v>
                </c:pt>
                <c:pt idx="6">
                  <c:v>25.760649556627953</c:v>
                </c:pt>
                <c:pt idx="7">
                  <c:v>25.959689225263112</c:v>
                </c:pt>
                <c:pt idx="8">
                  <c:v>26.168555823312186</c:v>
                </c:pt>
                <c:pt idx="9">
                  <c:v>26.390074071472494</c:v>
                </c:pt>
                <c:pt idx="10">
                  <c:v>26.623237585153344</c:v>
                </c:pt>
                <c:pt idx="11">
                  <c:v>26.867034854386798</c:v>
                </c:pt>
                <c:pt idx="12">
                  <c:v>27.120454869858818</c:v>
                </c:pt>
                <c:pt idx="13">
                  <c:v>27.382487117626841</c:v>
                </c:pt>
                <c:pt idx="14">
                  <c:v>27.652121584309103</c:v>
                </c:pt>
                <c:pt idx="15">
                  <c:v>27.928388412593399</c:v>
                </c:pt>
                <c:pt idx="16">
                  <c:v>28.210291122335143</c:v>
                </c:pt>
                <c:pt idx="17">
                  <c:v>28.496821181821826</c:v>
                </c:pt>
                <c:pt idx="18">
                  <c:v>28.786970555208836</c:v>
                </c:pt>
                <c:pt idx="19">
                  <c:v>29.079731618774307</c:v>
                </c:pt>
                <c:pt idx="20">
                  <c:v>29.374097207283057</c:v>
                </c:pt>
                <c:pt idx="21">
                  <c:v>29.669060712680665</c:v>
                </c:pt>
                <c:pt idx="22">
                  <c:v>29.96702061044277</c:v>
                </c:pt>
                <c:pt idx="23">
                  <c:v>30.270784786520966</c:v>
                </c:pt>
                <c:pt idx="24">
                  <c:v>30.57993535343217</c:v>
                </c:pt>
                <c:pt idx="25">
                  <c:v>30.894059701221327</c:v>
                </c:pt>
                <c:pt idx="26">
                  <c:v>31.212745433220093</c:v>
                </c:pt>
                <c:pt idx="27">
                  <c:v>31.535580370220064</c:v>
                </c:pt>
                <c:pt idx="28">
                  <c:v>31.86215255024549</c:v>
                </c:pt>
                <c:pt idx="29">
                  <c:v>32.192022684863211</c:v>
                </c:pt>
                <c:pt idx="30">
                  <c:v>32.52473964524048</c:v>
                </c:pt>
                <c:pt idx="31">
                  <c:v>32.859892139814079</c:v>
                </c:pt>
                <c:pt idx="32">
                  <c:v>33.197069091927077</c:v>
                </c:pt>
                <c:pt idx="33">
                  <c:v>33.535859643610422</c:v>
                </c:pt>
                <c:pt idx="34">
                  <c:v>33.87585315195043</c:v>
                </c:pt>
                <c:pt idx="35">
                  <c:v>34.216639188969026</c:v>
                </c:pt>
                <c:pt idx="36">
                  <c:v>34.561053656503077</c:v>
                </c:pt>
                <c:pt idx="37">
                  <c:v>34.91150267537067</c:v>
                </c:pt>
                <c:pt idx="38">
                  <c:v>35.266945415016878</c:v>
                </c:pt>
                <c:pt idx="39">
                  <c:v>35.626355453500587</c:v>
                </c:pt>
                <c:pt idx="40">
                  <c:v>35.988706884727705</c:v>
                </c:pt>
                <c:pt idx="41">
                  <c:v>36.352974310214584</c:v>
                </c:pt>
                <c:pt idx="42">
                  <c:v>36.718132840966142</c:v>
                </c:pt>
                <c:pt idx="43">
                  <c:v>37.083162475354825</c:v>
                </c:pt>
                <c:pt idx="44">
                  <c:v>37.447066884173623</c:v>
                </c:pt>
                <c:pt idx="45">
                  <c:v>37.808822697643521</c:v>
                </c:pt>
                <c:pt idx="46">
                  <c:v>38.167407047687988</c:v>
                </c:pt>
                <c:pt idx="47">
                  <c:v>38.52179756102025</c:v>
                </c:pt>
                <c:pt idx="48">
                  <c:v>38.870972357559928</c:v>
                </c:pt>
                <c:pt idx="49">
                  <c:v>39.213910046983386</c:v>
                </c:pt>
                <c:pt idx="50">
                  <c:v>39.551482885405242</c:v>
                </c:pt>
                <c:pt idx="51">
                  <c:v>39.88545765767342</c:v>
                </c:pt>
                <c:pt idx="52">
                  <c:v>40.216161220654165</c:v>
                </c:pt>
                <c:pt idx="53">
                  <c:v>40.543901840831111</c:v>
                </c:pt>
                <c:pt idx="54">
                  <c:v>40.868987565527782</c:v>
                </c:pt>
                <c:pt idx="55">
                  <c:v>41.191726272341946</c:v>
                </c:pt>
                <c:pt idx="56">
                  <c:v>41.512425660863677</c:v>
                </c:pt>
                <c:pt idx="57">
                  <c:v>41.831391242371609</c:v>
                </c:pt>
                <c:pt idx="58">
                  <c:v>42.148925976876725</c:v>
                </c:pt>
                <c:pt idx="59">
                  <c:v>42.465337028822525</c:v>
                </c:pt>
                <c:pt idx="60">
                  <c:v>42.780931380886116</c:v>
                </c:pt>
                <c:pt idx="61">
                  <c:v>43.096015833075043</c:v>
                </c:pt>
                <c:pt idx="62">
                  <c:v>43.41089700217681</c:v>
                </c:pt>
                <c:pt idx="63">
                  <c:v>43.725881319807691</c:v>
                </c:pt>
                <c:pt idx="64">
                  <c:v>44.04095152801888</c:v>
                </c:pt>
                <c:pt idx="65">
                  <c:v>44.355740914206571</c:v>
                </c:pt>
                <c:pt idx="66">
                  <c:v>44.6700368106127</c:v>
                </c:pt>
                <c:pt idx="67">
                  <c:v>44.983634816713455</c:v>
                </c:pt>
                <c:pt idx="68">
                  <c:v>45.296330588551413</c:v>
                </c:pt>
                <c:pt idx="69">
                  <c:v>45.60791983766206</c:v>
                </c:pt>
                <c:pt idx="70">
                  <c:v>45.918198331550592</c:v>
                </c:pt>
                <c:pt idx="71">
                  <c:v>46.226964865571155</c:v>
                </c:pt>
                <c:pt idx="72">
                  <c:v>46.534017335969175</c:v>
                </c:pt>
                <c:pt idx="73">
                  <c:v>46.839151680484669</c:v>
                </c:pt>
                <c:pt idx="74">
                  <c:v>47.142163893913668</c:v>
                </c:pt>
                <c:pt idx="75">
                  <c:v>47.442850028441704</c:v>
                </c:pt>
                <c:pt idx="76">
                  <c:v>47.741006195221694</c:v>
                </c:pt>
                <c:pt idx="77">
                  <c:v>48.036428564731885</c:v>
                </c:pt>
                <c:pt idx="78">
                  <c:v>48.331412056908931</c:v>
                </c:pt>
                <c:pt idx="79">
                  <c:v>48.627789626889012</c:v>
                </c:pt>
                <c:pt idx="80">
                  <c:v>48.924651284848338</c:v>
                </c:pt>
                <c:pt idx="81">
                  <c:v>49.221078504383691</c:v>
                </c:pt>
                <c:pt idx="82">
                  <c:v>49.516153181091177</c:v>
                </c:pt>
                <c:pt idx="83">
                  <c:v>49.808957642135148</c:v>
                </c:pt>
                <c:pt idx="84">
                  <c:v>50.098574644767396</c:v>
                </c:pt>
                <c:pt idx="85">
                  <c:v>50.384083905653881</c:v>
                </c:pt>
                <c:pt idx="86">
                  <c:v>50.664566034264475</c:v>
                </c:pt>
                <c:pt idx="87">
                  <c:v>50.939105076852783</c:v>
                </c:pt>
                <c:pt idx="88">
                  <c:v>51.206785524392139</c:v>
                </c:pt>
                <c:pt idx="89">
                  <c:v>51.46669231837155</c:v>
                </c:pt>
                <c:pt idx="90">
                  <c:v>51.717910854243051</c:v>
                </c:pt>
                <c:pt idx="91">
                  <c:v>51.959526995816631</c:v>
                </c:pt>
                <c:pt idx="92">
                  <c:v>52.193138474024373</c:v>
                </c:pt>
                <c:pt idx="93">
                  <c:v>52.420890954554793</c:v>
                </c:pt>
                <c:pt idx="94">
                  <c:v>52.642668479599074</c:v>
                </c:pt>
                <c:pt idx="95">
                  <c:v>52.858370557853519</c:v>
                </c:pt>
                <c:pt idx="96">
                  <c:v>53.067896762743793</c:v>
                </c:pt>
                <c:pt idx="97">
                  <c:v>53.271146735693158</c:v>
                </c:pt>
                <c:pt idx="98">
                  <c:v>53.468020190805305</c:v>
                </c:pt>
                <c:pt idx="99">
                  <c:v>53.658430619144575</c:v>
                </c:pt>
                <c:pt idx="100">
                  <c:v>53.842281702299672</c:v>
                </c:pt>
                <c:pt idx="101">
                  <c:v>54.019473625229267</c:v>
                </c:pt>
                <c:pt idx="102">
                  <c:v>54.189906678466549</c:v>
                </c:pt>
                <c:pt idx="103">
                  <c:v>54.353481263964142</c:v>
                </c:pt>
                <c:pt idx="104">
                  <c:v>54.510097894955948</c:v>
                </c:pt>
                <c:pt idx="105">
                  <c:v>54.659657202422856</c:v>
                </c:pt>
                <c:pt idx="106">
                  <c:v>54.801433188631897</c:v>
                </c:pt>
                <c:pt idx="107">
                  <c:v>54.935014586404932</c:v>
                </c:pt>
                <c:pt idx="108">
                  <c:v>55.060804374236504</c:v>
                </c:pt>
                <c:pt idx="109">
                  <c:v>55.179211348228343</c:v>
                </c:pt>
                <c:pt idx="110">
                  <c:v>55.290644123324455</c:v>
                </c:pt>
                <c:pt idx="111">
                  <c:v>55.395511154452983</c:v>
                </c:pt>
                <c:pt idx="112">
                  <c:v>55.494220758262252</c:v>
                </c:pt>
                <c:pt idx="113">
                  <c:v>55.587153918323821</c:v>
                </c:pt>
                <c:pt idx="114">
                  <c:v>55.674703225523515</c:v>
                </c:pt>
                <c:pt idx="115">
                  <c:v>55.75727564925073</c:v>
                </c:pt>
                <c:pt idx="116">
                  <c:v>55.835277944014599</c:v>
                </c:pt>
                <c:pt idx="117">
                  <c:v>55.909116648029652</c:v>
                </c:pt>
                <c:pt idx="118">
                  <c:v>55.979198087173721</c:v>
                </c:pt>
                <c:pt idx="119">
                  <c:v>56.045928376647453</c:v>
                </c:pt>
                <c:pt idx="120">
                  <c:v>56.10781972198042</c:v>
                </c:pt>
                <c:pt idx="121">
                  <c:v>56.163380326203907</c:v>
                </c:pt>
                <c:pt idx="122">
                  <c:v>56.213043923307119</c:v>
                </c:pt>
                <c:pt idx="123">
                  <c:v>56.257217830021503</c:v>
                </c:pt>
                <c:pt idx="124">
                  <c:v>56.296309190128476</c:v>
                </c:pt>
                <c:pt idx="125">
                  <c:v>56.330724981786659</c:v>
                </c:pt>
                <c:pt idx="126">
                  <c:v>56.360872011311635</c:v>
                </c:pt>
                <c:pt idx="127">
                  <c:v>56.387158231188884</c:v>
                </c:pt>
                <c:pt idx="128">
                  <c:v>56.410020541361774</c:v>
                </c:pt>
                <c:pt idx="129">
                  <c:v>56.429866075385426</c:v>
                </c:pt>
                <c:pt idx="130">
                  <c:v>56.447101839825166</c:v>
                </c:pt>
                <c:pt idx="131">
                  <c:v>56.462134712020848</c:v>
                </c:pt>
                <c:pt idx="132">
                  <c:v>56.475371440847482</c:v>
                </c:pt>
                <c:pt idx="133">
                  <c:v>56.487218649067223</c:v>
                </c:pt>
                <c:pt idx="134">
                  <c:v>56.497070307518413</c:v>
                </c:pt>
                <c:pt idx="135">
                  <c:v>56.504051972335006</c:v>
                </c:pt>
                <c:pt idx="136">
                  <c:v>56.508171417954316</c:v>
                </c:pt>
                <c:pt idx="137">
                  <c:v>56.509431224161119</c:v>
                </c:pt>
                <c:pt idx="138">
                  <c:v>56.507834075160289</c:v>
                </c:pt>
                <c:pt idx="139">
                  <c:v>56.503382752389136</c:v>
                </c:pt>
                <c:pt idx="140">
                  <c:v>56.496080132589491</c:v>
                </c:pt>
                <c:pt idx="141">
                  <c:v>56.485934916178451</c:v>
                </c:pt>
                <c:pt idx="142">
                  <c:v>56.472948925785275</c:v>
                </c:pt>
                <c:pt idx="143">
                  <c:v>56.457125518934603</c:v>
                </c:pt>
                <c:pt idx="144">
                  <c:v>56.438468013256639</c:v>
                </c:pt>
                <c:pt idx="145">
                  <c:v>56.416979795964806</c:v>
                </c:pt>
                <c:pt idx="146">
                  <c:v>56.392664313630526</c:v>
                </c:pt>
                <c:pt idx="147">
                  <c:v>56.365525064262926</c:v>
                </c:pt>
                <c:pt idx="148">
                  <c:v>56.334689825452926</c:v>
                </c:pt>
                <c:pt idx="149">
                  <c:v>56.299565233650995</c:v>
                </c:pt>
                <c:pt idx="150">
                  <c:v>56.260558573829087</c:v>
                </c:pt>
                <c:pt idx="151">
                  <c:v>56.218078139287428</c:v>
                </c:pt>
                <c:pt idx="152">
                  <c:v>56.172531997763222</c:v>
                </c:pt>
                <c:pt idx="153">
                  <c:v>56.124327982567046</c:v>
                </c:pt>
                <c:pt idx="154">
                  <c:v>56.073873677342455</c:v>
                </c:pt>
                <c:pt idx="155">
                  <c:v>56.021586935708513</c:v>
                </c:pt>
                <c:pt idx="156">
                  <c:v>55.967868557126472</c:v>
                </c:pt>
                <c:pt idx="157">
                  <c:v>55.913125413081389</c:v>
                </c:pt>
                <c:pt idx="158">
                  <c:v>55.857764089878813</c:v>
                </c:pt>
                <c:pt idx="159">
                  <c:v>55.802190878843902</c:v>
                </c:pt>
                <c:pt idx="160">
                  <c:v>55.746811768760146</c:v>
                </c:pt>
                <c:pt idx="161">
                  <c:v>55.692032438958321</c:v>
                </c:pt>
                <c:pt idx="162">
                  <c:v>55.637249744164876</c:v>
                </c:pt>
                <c:pt idx="163">
                  <c:v>55.581603964619276</c:v>
                </c:pt>
                <c:pt idx="164">
                  <c:v>55.525087758211058</c:v>
                </c:pt>
                <c:pt idx="165">
                  <c:v>55.467703399157301</c:v>
                </c:pt>
                <c:pt idx="166">
                  <c:v>55.409453032030086</c:v>
                </c:pt>
                <c:pt idx="167">
                  <c:v>55.350338663847104</c:v>
                </c:pt>
                <c:pt idx="168">
                  <c:v>55.2903621593506</c:v>
                </c:pt>
                <c:pt idx="169">
                  <c:v>55.2295377700408</c:v>
                </c:pt>
                <c:pt idx="170">
                  <c:v>55.167855678358094</c:v>
                </c:pt>
                <c:pt idx="171">
                  <c:v>55.105317311776496</c:v>
                </c:pt>
                <c:pt idx="172">
                  <c:v>55.041923940637624</c:v>
                </c:pt>
                <c:pt idx="173">
                  <c:v>54.977677040289926</c:v>
                </c:pt>
                <c:pt idx="174">
                  <c:v>54.912577953687617</c:v>
                </c:pt>
                <c:pt idx="175">
                  <c:v>54.846627514033791</c:v>
                </c:pt>
                <c:pt idx="176">
                  <c:v>54.779608293918535</c:v>
                </c:pt>
                <c:pt idx="177">
                  <c:v>54.711381890715664</c:v>
                </c:pt>
                <c:pt idx="178">
                  <c:v>54.64203651423967</c:v>
                </c:pt>
                <c:pt idx="179">
                  <c:v>54.571673085868646</c:v>
                </c:pt>
                <c:pt idx="180">
                  <c:v>54.500392333250645</c:v>
                </c:pt>
                <c:pt idx="181">
                  <c:v>54.428294796950233</c:v>
                </c:pt>
                <c:pt idx="182">
                  <c:v>54.355480837387326</c:v>
                </c:pt>
                <c:pt idx="183">
                  <c:v>54.282061495201177</c:v>
                </c:pt>
                <c:pt idx="184">
                  <c:v>54.208123548913242</c:v>
                </c:pt>
                <c:pt idx="185">
                  <c:v>54.133766844000391</c:v>
                </c:pt>
                <c:pt idx="186">
                  <c:v>54.05909108416197</c:v>
                </c:pt>
                <c:pt idx="187">
                  <c:v>53.984195840754673</c:v>
                </c:pt>
                <c:pt idx="188">
                  <c:v>53.90918056356454</c:v>
                </c:pt>
                <c:pt idx="189">
                  <c:v>53.834144590112032</c:v>
                </c:pt>
                <c:pt idx="190">
                  <c:v>53.758935936622905</c:v>
                </c:pt>
                <c:pt idx="191">
                  <c:v>53.683343370384492</c:v>
                </c:pt>
                <c:pt idx="192">
                  <c:v>53.607353255203421</c:v>
                </c:pt>
                <c:pt idx="193">
                  <c:v>53.530964344441003</c:v>
                </c:pt>
                <c:pt idx="194">
                  <c:v>53.454175378977737</c:v>
                </c:pt>
                <c:pt idx="195">
                  <c:v>53.376985095772021</c:v>
                </c:pt>
                <c:pt idx="196">
                  <c:v>53.299392236983536</c:v>
                </c:pt>
                <c:pt idx="197">
                  <c:v>53.221397133403848</c:v>
                </c:pt>
                <c:pt idx="198">
                  <c:v>53.142987379825158</c:v>
                </c:pt>
                <c:pt idx="199">
                  <c:v>53.064161746245752</c:v>
                </c:pt>
                <c:pt idx="200">
                  <c:v>52.984919041977896</c:v>
                </c:pt>
                <c:pt idx="201">
                  <c:v>52.905258122114994</c:v>
                </c:pt>
                <c:pt idx="202">
                  <c:v>52.825177891612313</c:v>
                </c:pt>
                <c:pt idx="203">
                  <c:v>52.744677310585566</c:v>
                </c:pt>
                <c:pt idx="204">
                  <c:v>52.664407554338602</c:v>
                </c:pt>
                <c:pt idx="205">
                  <c:v>52.584821016367528</c:v>
                </c:pt>
                <c:pt idx="206">
                  <c:v>52.505607716188798</c:v>
                </c:pt>
                <c:pt idx="207">
                  <c:v>52.426465721266531</c:v>
                </c:pt>
                <c:pt idx="208">
                  <c:v>52.347093302583673</c:v>
                </c:pt>
                <c:pt idx="209">
                  <c:v>52.267188934022599</c:v>
                </c:pt>
                <c:pt idx="210">
                  <c:v>52.186449927313156</c:v>
                </c:pt>
                <c:pt idx="211">
                  <c:v>52.104568000443592</c:v>
                </c:pt>
                <c:pt idx="212">
                  <c:v>52.021241570147808</c:v>
                </c:pt>
                <c:pt idx="213">
                  <c:v>51.936169877660504</c:v>
                </c:pt>
                <c:pt idx="214">
                  <c:v>51.849052360774927</c:v>
                </c:pt>
                <c:pt idx="215">
                  <c:v>51.759588654069248</c:v>
                </c:pt>
                <c:pt idx="216">
                  <c:v>51.667478583994779</c:v>
                </c:pt>
                <c:pt idx="217">
                  <c:v>51.572422167864879</c:v>
                </c:pt>
                <c:pt idx="218">
                  <c:v>51.474870875985303</c:v>
                </c:pt>
                <c:pt idx="219">
                  <c:v>51.375428215394287</c:v>
                </c:pt>
                <c:pt idx="220">
                  <c:v>51.274092490002126</c:v>
                </c:pt>
                <c:pt idx="221">
                  <c:v>51.170864139556485</c:v>
                </c:pt>
                <c:pt idx="222">
                  <c:v>51.06574365531813</c:v>
                </c:pt>
                <c:pt idx="223">
                  <c:v>50.958731579775289</c:v>
                </c:pt>
                <c:pt idx="224">
                  <c:v>50.84982849710498</c:v>
                </c:pt>
                <c:pt idx="225">
                  <c:v>50.738992352105356</c:v>
                </c:pt>
                <c:pt idx="226">
                  <c:v>50.626231643710263</c:v>
                </c:pt>
                <c:pt idx="227">
                  <c:v>50.511547087351282</c:v>
                </c:pt>
                <c:pt idx="228">
                  <c:v>50.394939434783119</c:v>
                </c:pt>
                <c:pt idx="229">
                  <c:v>50.276409476894237</c:v>
                </c:pt>
                <c:pt idx="230">
                  <c:v>50.155958039687341</c:v>
                </c:pt>
                <c:pt idx="231">
                  <c:v>50.033585984621929</c:v>
                </c:pt>
                <c:pt idx="232">
                  <c:v>49.910594432682842</c:v>
                </c:pt>
                <c:pt idx="233">
                  <c:v>49.787912345292227</c:v>
                </c:pt>
                <c:pt idx="234">
                  <c:v>49.66498821925039</c:v>
                </c:pt>
                <c:pt idx="235">
                  <c:v>49.541222568429596</c:v>
                </c:pt>
                <c:pt idx="236">
                  <c:v>49.416016168884596</c:v>
                </c:pt>
                <c:pt idx="237">
                  <c:v>49.288770072799814</c:v>
                </c:pt>
                <c:pt idx="238">
                  <c:v>49.158885594452002</c:v>
                </c:pt>
                <c:pt idx="239">
                  <c:v>49.025774511992317</c:v>
                </c:pt>
                <c:pt idx="240">
                  <c:v>48.88888122834998</c:v>
                </c:pt>
                <c:pt idx="241">
                  <c:v>48.747607778080585</c:v>
                </c:pt>
                <c:pt idx="242">
                  <c:v>48.601356444468998</c:v>
                </c:pt>
                <c:pt idx="243">
                  <c:v>48.449529749410338</c:v>
                </c:pt>
                <c:pt idx="244">
                  <c:v>48.291530461616524</c:v>
                </c:pt>
                <c:pt idx="245">
                  <c:v>48.126761587026238</c:v>
                </c:pt>
                <c:pt idx="246">
                  <c:v>47.955908040611718</c:v>
                </c:pt>
                <c:pt idx="247">
                  <c:v>47.780113232688556</c:v>
                </c:pt>
                <c:pt idx="248">
                  <c:v>47.599450730763394</c:v>
                </c:pt>
                <c:pt idx="249">
                  <c:v>47.41402233033925</c:v>
                </c:pt>
                <c:pt idx="250">
                  <c:v>47.223929790309327</c:v>
                </c:pt>
                <c:pt idx="251">
                  <c:v>47.029274833621557</c:v>
                </c:pt>
                <c:pt idx="252">
                  <c:v>46.830159149172104</c:v>
                </c:pt>
                <c:pt idx="253">
                  <c:v>46.626713169388808</c:v>
                </c:pt>
                <c:pt idx="254">
                  <c:v>46.419028245055308</c:v>
                </c:pt>
                <c:pt idx="255">
                  <c:v>46.207205868304513</c:v>
                </c:pt>
                <c:pt idx="256">
                  <c:v>45.991347481179538</c:v>
                </c:pt>
                <c:pt idx="257">
                  <c:v>45.771554485104318</c:v>
                </c:pt>
                <c:pt idx="258">
                  <c:v>45.547928230434934</c:v>
                </c:pt>
                <c:pt idx="259">
                  <c:v>45.320570019708427</c:v>
                </c:pt>
                <c:pt idx="260">
                  <c:v>45.088035254826842</c:v>
                </c:pt>
                <c:pt idx="261">
                  <c:v>44.849216664410633</c:v>
                </c:pt>
                <c:pt idx="262">
                  <c:v>44.604721757170623</c:v>
                </c:pt>
                <c:pt idx="263">
                  <c:v>44.355150665756646</c:v>
                </c:pt>
                <c:pt idx="264">
                  <c:v>44.101103254853335</c:v>
                </c:pt>
                <c:pt idx="265">
                  <c:v>43.843179006648853</c:v>
                </c:pt>
                <c:pt idx="266">
                  <c:v>43.581977180248956</c:v>
                </c:pt>
                <c:pt idx="267">
                  <c:v>43.318080161138049</c:v>
                </c:pt>
                <c:pt idx="268">
                  <c:v>43.05205882129561</c:v>
                </c:pt>
                <c:pt idx="269">
                  <c:v>42.784511991010838</c:v>
                </c:pt>
                <c:pt idx="270">
                  <c:v>42.516038240157606</c:v>
                </c:pt>
                <c:pt idx="271">
                  <c:v>42.247235875433077</c:v>
                </c:pt>
                <c:pt idx="272">
                  <c:v>41.978702943821389</c:v>
                </c:pt>
                <c:pt idx="273">
                  <c:v>41.711037228444646</c:v>
                </c:pt>
                <c:pt idx="274">
                  <c:v>41.443989608520873</c:v>
                </c:pt>
                <c:pt idx="275">
                  <c:v>41.176710671501439</c:v>
                </c:pt>
                <c:pt idx="276">
                  <c:v>40.908897522720046</c:v>
                </c:pt>
                <c:pt idx="277">
                  <c:v>40.640251546926102</c:v>
                </c:pt>
                <c:pt idx="278">
                  <c:v>40.370474153073388</c:v>
                </c:pt>
                <c:pt idx="279">
                  <c:v>40.099266768785839</c:v>
                </c:pt>
                <c:pt idx="280">
                  <c:v>39.826330832977966</c:v>
                </c:pt>
                <c:pt idx="281">
                  <c:v>39.551382339840451</c:v>
                </c:pt>
                <c:pt idx="282">
                  <c:v>39.274138488981748</c:v>
                </c:pt>
                <c:pt idx="283">
                  <c:v>38.994300336021304</c:v>
                </c:pt>
                <c:pt idx="284">
                  <c:v>38.711568903815675</c:v>
                </c:pt>
                <c:pt idx="285">
                  <c:v>38.425645179510767</c:v>
                </c:pt>
                <c:pt idx="286">
                  <c:v>38.13623011110019</c:v>
                </c:pt>
                <c:pt idx="287">
                  <c:v>37.843024606970765</c:v>
                </c:pt>
                <c:pt idx="288">
                  <c:v>37.544104460147132</c:v>
                </c:pt>
                <c:pt idx="289">
                  <c:v>37.238479792168228</c:v>
                </c:pt>
                <c:pt idx="290">
                  <c:v>36.927247081746067</c:v>
                </c:pt>
                <c:pt idx="291">
                  <c:v>36.611499755541558</c:v>
                </c:pt>
                <c:pt idx="292">
                  <c:v>36.292330805903227</c:v>
                </c:pt>
                <c:pt idx="293">
                  <c:v>35.970832810727288</c:v>
                </c:pt>
                <c:pt idx="294">
                  <c:v>35.648097945676426</c:v>
                </c:pt>
                <c:pt idx="295">
                  <c:v>35.325185574095165</c:v>
                </c:pt>
                <c:pt idx="296">
                  <c:v>35.003174046615747</c:v>
                </c:pt>
                <c:pt idx="297">
                  <c:v>34.683155184577892</c:v>
                </c:pt>
                <c:pt idx="298">
                  <c:v>34.366220628455892</c:v>
                </c:pt>
                <c:pt idx="299">
                  <c:v>34.053461719971949</c:v>
                </c:pt>
                <c:pt idx="300">
                  <c:v>33.745969511224096</c:v>
                </c:pt>
                <c:pt idx="301">
                  <c:v>33.444834777577938</c:v>
                </c:pt>
                <c:pt idx="302">
                  <c:v>33.148414540086442</c:v>
                </c:pt>
                <c:pt idx="303">
                  <c:v>32.854294623235148</c:v>
                </c:pt>
                <c:pt idx="304">
                  <c:v>32.562468984976817</c:v>
                </c:pt>
                <c:pt idx="305">
                  <c:v>32.272936571419699</c:v>
                </c:pt>
                <c:pt idx="306">
                  <c:v>31.985696356864445</c:v>
                </c:pt>
                <c:pt idx="307">
                  <c:v>31.7007473451817</c:v>
                </c:pt>
                <c:pt idx="308">
                  <c:v>31.418088571516353</c:v>
                </c:pt>
                <c:pt idx="309">
                  <c:v>31.137743105314467</c:v>
                </c:pt>
                <c:pt idx="310">
                  <c:v>30.859738851731631</c:v>
                </c:pt>
                <c:pt idx="311">
                  <c:v>30.584073816823839</c:v>
                </c:pt>
                <c:pt idx="312">
                  <c:v>30.310746057016726</c:v>
                </c:pt>
                <c:pt idx="313">
                  <c:v>30.039753687434896</c:v>
                </c:pt>
                <c:pt idx="314">
                  <c:v>29.771094883037705</c:v>
                </c:pt>
                <c:pt idx="315">
                  <c:v>29.504767888757478</c:v>
                </c:pt>
                <c:pt idx="316">
                  <c:v>29.239695153563328</c:v>
                </c:pt>
                <c:pt idx="317">
                  <c:v>28.975189760075725</c:v>
                </c:pt>
                <c:pt idx="318">
                  <c:v>28.711784281174406</c:v>
                </c:pt>
                <c:pt idx="319">
                  <c:v>28.44997204744158</c:v>
                </c:pt>
                <c:pt idx="320">
                  <c:v>28.190246431507294</c:v>
                </c:pt>
                <c:pt idx="321">
                  <c:v>27.933100852925698</c:v>
                </c:pt>
                <c:pt idx="322">
                  <c:v>27.679028784476518</c:v>
                </c:pt>
                <c:pt idx="323">
                  <c:v>27.428529250566697</c:v>
                </c:pt>
                <c:pt idx="324">
                  <c:v>27.182074049670991</c:v>
                </c:pt>
                <c:pt idx="325">
                  <c:v>26.940157117497645</c:v>
                </c:pt>
                <c:pt idx="326">
                  <c:v>26.70327255001861</c:v>
                </c:pt>
                <c:pt idx="327">
                  <c:v>26.471914389047747</c:v>
                </c:pt>
                <c:pt idx="328">
                  <c:v>26.246576598400818</c:v>
                </c:pt>
                <c:pt idx="329">
                  <c:v>26.027753168204853</c:v>
                </c:pt>
                <c:pt idx="330">
                  <c:v>25.811903412887713</c:v>
                </c:pt>
                <c:pt idx="331">
                  <c:v>25.595998562884162</c:v>
                </c:pt>
                <c:pt idx="332">
                  <c:v>25.381274057344992</c:v>
                </c:pt>
                <c:pt idx="333">
                  <c:v>25.16902003218771</c:v>
                </c:pt>
                <c:pt idx="334">
                  <c:v>24.960526299323966</c:v>
                </c:pt>
                <c:pt idx="335">
                  <c:v>24.757082328819099</c:v>
                </c:pt>
                <c:pt idx="336">
                  <c:v>24.559977223497889</c:v>
                </c:pt>
                <c:pt idx="337">
                  <c:v>24.370492784679964</c:v>
                </c:pt>
                <c:pt idx="338">
                  <c:v>24.189912324435543</c:v>
                </c:pt>
                <c:pt idx="339">
                  <c:v>24.019523873571558</c:v>
                </c:pt>
                <c:pt idx="340">
                  <c:v>23.86061502084474</c:v>
                </c:pt>
                <c:pt idx="341">
                  <c:v>23.714472889343977</c:v>
                </c:pt>
                <c:pt idx="342">
                  <c:v>23.582384121966008</c:v>
                </c:pt>
                <c:pt idx="343">
                  <c:v>23.465634883557907</c:v>
                </c:pt>
                <c:pt idx="344">
                  <c:v>23.361935118341062</c:v>
                </c:pt>
                <c:pt idx="345">
                  <c:v>23.268245899273243</c:v>
                </c:pt>
                <c:pt idx="346">
                  <c:v>23.18474163156985</c:v>
                </c:pt>
                <c:pt idx="347">
                  <c:v>23.111584503899504</c:v>
                </c:pt>
                <c:pt idx="348">
                  <c:v>23.048936606677426</c:v>
                </c:pt>
                <c:pt idx="349">
                  <c:v>22.996959926568302</c:v>
                </c:pt>
                <c:pt idx="350">
                  <c:v>22.955816348611734</c:v>
                </c:pt>
                <c:pt idx="351">
                  <c:v>22.925662304448778</c:v>
                </c:pt>
                <c:pt idx="352">
                  <c:v>22.906666151038316</c:v>
                </c:pt>
                <c:pt idx="353">
                  <c:v>22.898989440878399</c:v>
                </c:pt>
                <c:pt idx="354">
                  <c:v>22.902793621837542</c:v>
                </c:pt>
                <c:pt idx="355">
                  <c:v>22.918240028606199</c:v>
                </c:pt>
                <c:pt idx="356">
                  <c:v>22.945489923065221</c:v>
                </c:pt>
                <c:pt idx="357">
                  <c:v>22.984704403298714</c:v>
                </c:pt>
                <c:pt idx="358">
                  <c:v>23.036898112571819</c:v>
                </c:pt>
                <c:pt idx="359">
                  <c:v>23.102615519277602</c:v>
                </c:pt>
                <c:pt idx="360">
                  <c:v>23.181305929105825</c:v>
                </c:pt>
                <c:pt idx="361">
                  <c:v>23.27243072771962</c:v>
                </c:pt>
                <c:pt idx="362">
                  <c:v>23.375446143807075</c:v>
                </c:pt>
                <c:pt idx="363">
                  <c:v>23.489808555604299</c:v>
                </c:pt>
                <c:pt idx="364">
                  <c:v>23.614974500607438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24.528000000000002</c:v>
                </c:pt>
                <c:pt idx="1">
                  <c:v>17.365000000000002</c:v>
                </c:pt>
                <c:pt idx="2">
                  <c:v>18.626999999999999</c:v>
                </c:pt>
                <c:pt idx="3">
                  <c:v>20.071000000000002</c:v>
                </c:pt>
                <c:pt idx="4">
                  <c:v>14.673</c:v>
                </c:pt>
                <c:pt idx="5">
                  <c:v>26.547000000000001</c:v>
                </c:pt>
                <c:pt idx="6">
                  <c:v>10.067</c:v>
                </c:pt>
                <c:pt idx="7">
                  <c:v>6.8620000000000001</c:v>
                </c:pt>
                <c:pt idx="8">
                  <c:v>1.9040000000000001</c:v>
                </c:pt>
                <c:pt idx="9">
                  <c:v>1.528</c:v>
                </c:pt>
                <c:pt idx="10">
                  <c:v>27.298999999999999</c:v>
                </c:pt>
                <c:pt idx="11">
                  <c:v>24.997</c:v>
                </c:pt>
                <c:pt idx="12">
                  <c:v>5.41</c:v>
                </c:pt>
                <c:pt idx="13">
                  <c:v>28.306000000000001</c:v>
                </c:pt>
                <c:pt idx="14">
                  <c:v>28.664000000000001</c:v>
                </c:pt>
                <c:pt idx="15">
                  <c:v>28.214000000000002</c:v>
                </c:pt>
                <c:pt idx="16">
                  <c:v>18.257999999999999</c:v>
                </c:pt>
                <c:pt idx="17">
                  <c:v>3.863</c:v>
                </c:pt>
                <c:pt idx="18">
                  <c:v>12.076000000000001</c:v>
                </c:pt>
                <c:pt idx="19">
                  <c:v>5.6240000000000006</c:v>
                </c:pt>
                <c:pt idx="20">
                  <c:v>19.282</c:v>
                </c:pt>
                <c:pt idx="21">
                  <c:v>29.79</c:v>
                </c:pt>
                <c:pt idx="22">
                  <c:v>29.584</c:v>
                </c:pt>
                <c:pt idx="23">
                  <c:v>30.265000000000001</c:v>
                </c:pt>
                <c:pt idx="24">
                  <c:v>29.375</c:v>
                </c:pt>
                <c:pt idx="25">
                  <c:v>30.269000000000002</c:v>
                </c:pt>
                <c:pt idx="26">
                  <c:v>26.536000000000001</c:v>
                </c:pt>
                <c:pt idx="27">
                  <c:v>3.9239999999999999</c:v>
                </c:pt>
                <c:pt idx="28">
                  <c:v>6.3079999999999998</c:v>
                </c:pt>
                <c:pt idx="29">
                  <c:v>4.4889999999999999</c:v>
                </c:pt>
                <c:pt idx="30">
                  <c:v>11.168000000000001</c:v>
                </c:pt>
                <c:pt idx="31">
                  <c:v>14.166</c:v>
                </c:pt>
                <c:pt idx="32">
                  <c:v>5.2350000000000003</c:v>
                </c:pt>
                <c:pt idx="33">
                  <c:v>14.628</c:v>
                </c:pt>
                <c:pt idx="34">
                  <c:v>12.170999999999999</c:v>
                </c:pt>
                <c:pt idx="35">
                  <c:v>10.085000000000001</c:v>
                </c:pt>
                <c:pt idx="36">
                  <c:v>22.835000000000001</c:v>
                </c:pt>
                <c:pt idx="37">
                  <c:v>14.132</c:v>
                </c:pt>
                <c:pt idx="38">
                  <c:v>35.658999999999999</c:v>
                </c:pt>
                <c:pt idx="39">
                  <c:v>35.752000000000002</c:v>
                </c:pt>
                <c:pt idx="40">
                  <c:v>33.46</c:v>
                </c:pt>
                <c:pt idx="41">
                  <c:v>15.57</c:v>
                </c:pt>
                <c:pt idx="42">
                  <c:v>27.475000000000001</c:v>
                </c:pt>
                <c:pt idx="43">
                  <c:v>33.073</c:v>
                </c:pt>
                <c:pt idx="44">
                  <c:v>18.192</c:v>
                </c:pt>
                <c:pt idx="45">
                  <c:v>21.61</c:v>
                </c:pt>
                <c:pt idx="46">
                  <c:v>9.4450000000000003</c:v>
                </c:pt>
                <c:pt idx="47">
                  <c:v>11.459</c:v>
                </c:pt>
                <c:pt idx="48">
                  <c:v>32.085999999999999</c:v>
                </c:pt>
                <c:pt idx="49">
                  <c:v>17.446000000000002</c:v>
                </c:pt>
                <c:pt idx="50">
                  <c:v>21.696999999999999</c:v>
                </c:pt>
                <c:pt idx="51">
                  <c:v>21.998000000000001</c:v>
                </c:pt>
                <c:pt idx="52">
                  <c:v>36.411999999999999</c:v>
                </c:pt>
                <c:pt idx="53">
                  <c:v>37.44</c:v>
                </c:pt>
                <c:pt idx="54">
                  <c:v>22.341999999999999</c:v>
                </c:pt>
                <c:pt idx="55">
                  <c:v>31.766000000000002</c:v>
                </c:pt>
                <c:pt idx="56">
                  <c:v>42.170499999999997</c:v>
                </c:pt>
                <c:pt idx="57">
                  <c:v>27.762</c:v>
                </c:pt>
                <c:pt idx="58">
                  <c:v>37.231999999999999</c:v>
                </c:pt>
                <c:pt idx="59">
                  <c:v>40.840000000000003</c:v>
                </c:pt>
                <c:pt idx="60">
                  <c:v>16.161999999999999</c:v>
                </c:pt>
                <c:pt idx="61">
                  <c:v>37.651000000000003</c:v>
                </c:pt>
                <c:pt idx="62">
                  <c:v>5.6139999999999999</c:v>
                </c:pt>
                <c:pt idx="63">
                  <c:v>13.116</c:v>
                </c:pt>
                <c:pt idx="64">
                  <c:v>20.72</c:v>
                </c:pt>
                <c:pt idx="65">
                  <c:v>40.277000000000001</c:v>
                </c:pt>
                <c:pt idx="66">
                  <c:v>31.704000000000001</c:v>
                </c:pt>
                <c:pt idx="67">
                  <c:v>30.11</c:v>
                </c:pt>
                <c:pt idx="68">
                  <c:v>23.623999999999999</c:v>
                </c:pt>
                <c:pt idx="69">
                  <c:v>14.994</c:v>
                </c:pt>
                <c:pt idx="70">
                  <c:v>14.343999999999999</c:v>
                </c:pt>
                <c:pt idx="71">
                  <c:v>8.7219999999999995</c:v>
                </c:pt>
                <c:pt idx="72">
                  <c:v>11.691000000000001</c:v>
                </c:pt>
                <c:pt idx="73">
                  <c:v>13.9</c:v>
                </c:pt>
                <c:pt idx="74">
                  <c:v>11.653</c:v>
                </c:pt>
                <c:pt idx="75">
                  <c:v>10.284000000000001</c:v>
                </c:pt>
                <c:pt idx="76">
                  <c:v>13.164</c:v>
                </c:pt>
                <c:pt idx="77">
                  <c:v>29.574999999999999</c:v>
                </c:pt>
                <c:pt idx="78">
                  <c:v>32.852000000000004</c:v>
                </c:pt>
                <c:pt idx="79">
                  <c:v>47.271000000000001</c:v>
                </c:pt>
                <c:pt idx="80">
                  <c:v>44.353999999999999</c:v>
                </c:pt>
                <c:pt idx="81">
                  <c:v>49.323999999999998</c:v>
                </c:pt>
                <c:pt idx="82">
                  <c:v>48.42</c:v>
                </c:pt>
                <c:pt idx="83">
                  <c:v>41.558</c:v>
                </c:pt>
                <c:pt idx="84">
                  <c:v>46.109000000000002</c:v>
                </c:pt>
                <c:pt idx="85">
                  <c:v>46.070999999999998</c:v>
                </c:pt>
                <c:pt idx="86">
                  <c:v>35.575000000000003</c:v>
                </c:pt>
                <c:pt idx="87">
                  <c:v>27.459</c:v>
                </c:pt>
                <c:pt idx="88">
                  <c:v>6.97</c:v>
                </c:pt>
                <c:pt idx="89">
                  <c:v>27.733000000000001</c:v>
                </c:pt>
                <c:pt idx="90">
                  <c:v>30.245000000000001</c:v>
                </c:pt>
                <c:pt idx="91">
                  <c:v>19.936</c:v>
                </c:pt>
                <c:pt idx="92">
                  <c:v>25.087</c:v>
                </c:pt>
                <c:pt idx="93">
                  <c:v>44.477000000000004</c:v>
                </c:pt>
                <c:pt idx="94">
                  <c:v>52.743000000000002</c:v>
                </c:pt>
                <c:pt idx="95">
                  <c:v>11.785</c:v>
                </c:pt>
                <c:pt idx="96">
                  <c:v>40.295000000000002</c:v>
                </c:pt>
                <c:pt idx="97">
                  <c:v>31.975000000000001</c:v>
                </c:pt>
                <c:pt idx="98">
                  <c:v>36.224000000000004</c:v>
                </c:pt>
                <c:pt idx="99">
                  <c:v>53.911999999999999</c:v>
                </c:pt>
                <c:pt idx="100">
                  <c:v>40.913000000000004</c:v>
                </c:pt>
                <c:pt idx="101">
                  <c:v>36.474000000000004</c:v>
                </c:pt>
                <c:pt idx="102">
                  <c:v>7.1790000000000003</c:v>
                </c:pt>
                <c:pt idx="103">
                  <c:v>40.011000000000003</c:v>
                </c:pt>
                <c:pt idx="104">
                  <c:v>44.067999999999998</c:v>
                </c:pt>
                <c:pt idx="105">
                  <c:v>45.304000000000002</c:v>
                </c:pt>
                <c:pt idx="106">
                  <c:v>53.634999999999998</c:v>
                </c:pt>
                <c:pt idx="107">
                  <c:v>40.340000000000003</c:v>
                </c:pt>
                <c:pt idx="108">
                  <c:v>10.736000000000001</c:v>
                </c:pt>
                <c:pt idx="109">
                  <c:v>10.097</c:v>
                </c:pt>
                <c:pt idx="110">
                  <c:v>9.5329999999999995</c:v>
                </c:pt>
                <c:pt idx="111">
                  <c:v>30.269000000000002</c:v>
                </c:pt>
                <c:pt idx="112">
                  <c:v>8.4039999999999999</c:v>
                </c:pt>
                <c:pt idx="113">
                  <c:v>37.872999999999998</c:v>
                </c:pt>
                <c:pt idx="114">
                  <c:v>47.640999999999998</c:v>
                </c:pt>
                <c:pt idx="115">
                  <c:v>53.923999999999999</c:v>
                </c:pt>
                <c:pt idx="116">
                  <c:v>38.724000000000004</c:v>
                </c:pt>
                <c:pt idx="117">
                  <c:v>23.064</c:v>
                </c:pt>
                <c:pt idx="118">
                  <c:v>43.448</c:v>
                </c:pt>
                <c:pt idx="119">
                  <c:v>44.06</c:v>
                </c:pt>
                <c:pt idx="120">
                  <c:v>44.853999999999999</c:v>
                </c:pt>
                <c:pt idx="121">
                  <c:v>27.17</c:v>
                </c:pt>
                <c:pt idx="122">
                  <c:v>10.997</c:v>
                </c:pt>
                <c:pt idx="123">
                  <c:v>17.260000000000002</c:v>
                </c:pt>
                <c:pt idx="124">
                  <c:v>37.228999999999999</c:v>
                </c:pt>
                <c:pt idx="125">
                  <c:v>36.256999999999998</c:v>
                </c:pt>
                <c:pt idx="126">
                  <c:v>47.865000000000002</c:v>
                </c:pt>
                <c:pt idx="127">
                  <c:v>49.323999999999998</c:v>
                </c:pt>
                <c:pt idx="128">
                  <c:v>54.188000000000002</c:v>
                </c:pt>
                <c:pt idx="129">
                  <c:v>50.064</c:v>
                </c:pt>
                <c:pt idx="130">
                  <c:v>54.475000000000001</c:v>
                </c:pt>
                <c:pt idx="131">
                  <c:v>42.704999999999998</c:v>
                </c:pt>
                <c:pt idx="132">
                  <c:v>44.795000000000002</c:v>
                </c:pt>
                <c:pt idx="133">
                  <c:v>47.300000000000004</c:v>
                </c:pt>
                <c:pt idx="134">
                  <c:v>51.140999999999998</c:v>
                </c:pt>
                <c:pt idx="135">
                  <c:v>49.170999999999999</c:v>
                </c:pt>
                <c:pt idx="136">
                  <c:v>52.825000000000003</c:v>
                </c:pt>
                <c:pt idx="137">
                  <c:v>51.370000000000005</c:v>
                </c:pt>
                <c:pt idx="138">
                  <c:v>52.864000000000004</c:v>
                </c:pt>
                <c:pt idx="139">
                  <c:v>47.09</c:v>
                </c:pt>
                <c:pt idx="140">
                  <c:v>48.192</c:v>
                </c:pt>
                <c:pt idx="141">
                  <c:v>34.86</c:v>
                </c:pt>
                <c:pt idx="142">
                  <c:v>16.866</c:v>
                </c:pt>
                <c:pt idx="143">
                  <c:v>13.815</c:v>
                </c:pt>
                <c:pt idx="144">
                  <c:v>39.436</c:v>
                </c:pt>
                <c:pt idx="145">
                  <c:v>21.177</c:v>
                </c:pt>
                <c:pt idx="146">
                  <c:v>39.599000000000004</c:v>
                </c:pt>
                <c:pt idx="147">
                  <c:v>51.249000000000002</c:v>
                </c:pt>
                <c:pt idx="148">
                  <c:v>55.942</c:v>
                </c:pt>
                <c:pt idx="149">
                  <c:v>47.747</c:v>
                </c:pt>
                <c:pt idx="150">
                  <c:v>53.170999999999999</c:v>
                </c:pt>
                <c:pt idx="151">
                  <c:v>53.576999999999998</c:v>
                </c:pt>
                <c:pt idx="152">
                  <c:v>42.133000000000003</c:v>
                </c:pt>
                <c:pt idx="153">
                  <c:v>52.326999999999998</c:v>
                </c:pt>
                <c:pt idx="154">
                  <c:v>28.859000000000002</c:v>
                </c:pt>
                <c:pt idx="155">
                  <c:v>29.760999999999999</c:v>
                </c:pt>
                <c:pt idx="156">
                  <c:v>42.210999999999999</c:v>
                </c:pt>
                <c:pt idx="157">
                  <c:v>28.344000000000001</c:v>
                </c:pt>
                <c:pt idx="158">
                  <c:v>21.298000000000002</c:v>
                </c:pt>
                <c:pt idx="159">
                  <c:v>43.048000000000002</c:v>
                </c:pt>
                <c:pt idx="160">
                  <c:v>54.536999999999999</c:v>
                </c:pt>
                <c:pt idx="161">
                  <c:v>52.072000000000003</c:v>
                </c:pt>
                <c:pt idx="162">
                  <c:v>41.462000000000003</c:v>
                </c:pt>
                <c:pt idx="163">
                  <c:v>49.82</c:v>
                </c:pt>
                <c:pt idx="164">
                  <c:v>45.555</c:v>
                </c:pt>
                <c:pt idx="165">
                  <c:v>51.195</c:v>
                </c:pt>
                <c:pt idx="166">
                  <c:v>48.594000000000001</c:v>
                </c:pt>
                <c:pt idx="167">
                  <c:v>49.133000000000003</c:v>
                </c:pt>
                <c:pt idx="168">
                  <c:v>51.68</c:v>
                </c:pt>
                <c:pt idx="169">
                  <c:v>52.965000000000003</c:v>
                </c:pt>
                <c:pt idx="170">
                  <c:v>30.426000000000002</c:v>
                </c:pt>
                <c:pt idx="171">
                  <c:v>18.620999999999999</c:v>
                </c:pt>
                <c:pt idx="172">
                  <c:v>44.463000000000001</c:v>
                </c:pt>
                <c:pt idx="173">
                  <c:v>39.917000000000002</c:v>
                </c:pt>
                <c:pt idx="174">
                  <c:v>43.300000000000004</c:v>
                </c:pt>
                <c:pt idx="175">
                  <c:v>30.439</c:v>
                </c:pt>
                <c:pt idx="176">
                  <c:v>11.038</c:v>
                </c:pt>
                <c:pt idx="177">
                  <c:v>16.463999999999999</c:v>
                </c:pt>
                <c:pt idx="178">
                  <c:v>54.465000000000003</c:v>
                </c:pt>
                <c:pt idx="179">
                  <c:v>52.268000000000001</c:v>
                </c:pt>
                <c:pt idx="180">
                  <c:v>12.622</c:v>
                </c:pt>
                <c:pt idx="181">
                  <c:v>49.521000000000001</c:v>
                </c:pt>
                <c:pt idx="182">
                  <c:v>47.465000000000003</c:v>
                </c:pt>
                <c:pt idx="183">
                  <c:v>43.1</c:v>
                </c:pt>
                <c:pt idx="184">
                  <c:v>44.157000000000004</c:v>
                </c:pt>
                <c:pt idx="185">
                  <c:v>51.917999999999999</c:v>
                </c:pt>
                <c:pt idx="186">
                  <c:v>40.017000000000003</c:v>
                </c:pt>
                <c:pt idx="187">
                  <c:v>49.244</c:v>
                </c:pt>
                <c:pt idx="188">
                  <c:v>53.661000000000001</c:v>
                </c:pt>
                <c:pt idx="189">
                  <c:v>52.849000000000004</c:v>
                </c:pt>
                <c:pt idx="190">
                  <c:v>52.643999999999998</c:v>
                </c:pt>
                <c:pt idx="191">
                  <c:v>51.410000000000004</c:v>
                </c:pt>
                <c:pt idx="192">
                  <c:v>51.011000000000003</c:v>
                </c:pt>
                <c:pt idx="193">
                  <c:v>51.015000000000001</c:v>
                </c:pt>
                <c:pt idx="194">
                  <c:v>50.419000000000004</c:v>
                </c:pt>
                <c:pt idx="195">
                  <c:v>48.858000000000004</c:v>
                </c:pt>
                <c:pt idx="196">
                  <c:v>50.367000000000004</c:v>
                </c:pt>
                <c:pt idx="197">
                  <c:v>50.032000000000004</c:v>
                </c:pt>
                <c:pt idx="198">
                  <c:v>50.783999999999999</c:v>
                </c:pt>
                <c:pt idx="199">
                  <c:v>40.14</c:v>
                </c:pt>
                <c:pt idx="200">
                  <c:v>39.128</c:v>
                </c:pt>
                <c:pt idx="201">
                  <c:v>49.606000000000002</c:v>
                </c:pt>
                <c:pt idx="202">
                  <c:v>38.738</c:v>
                </c:pt>
                <c:pt idx="203">
                  <c:v>45.533999999999999</c:v>
                </c:pt>
                <c:pt idx="204">
                  <c:v>49.931000000000004</c:v>
                </c:pt>
                <c:pt idx="205">
                  <c:v>28.917999999999999</c:v>
                </c:pt>
                <c:pt idx="206">
                  <c:v>50.17</c:v>
                </c:pt>
                <c:pt idx="207">
                  <c:v>53.006</c:v>
                </c:pt>
                <c:pt idx="208">
                  <c:v>44.62</c:v>
                </c:pt>
                <c:pt idx="209">
                  <c:v>26.119</c:v>
                </c:pt>
                <c:pt idx="210">
                  <c:v>45.072000000000003</c:v>
                </c:pt>
                <c:pt idx="211">
                  <c:v>51.550000000000004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37.063000000000002</c:v>
                </c:pt>
                <c:pt idx="274">
                  <c:v>39.838000000000001</c:v>
                </c:pt>
                <c:pt idx="275">
                  <c:v>36.887999999999998</c:v>
                </c:pt>
                <c:pt idx="276">
                  <c:v>41.234999999999999</c:v>
                </c:pt>
                <c:pt idx="277">
                  <c:v>41.826000000000001</c:v>
                </c:pt>
                <c:pt idx="278">
                  <c:v>14.973000000000001</c:v>
                </c:pt>
                <c:pt idx="279">
                  <c:v>28.817</c:v>
                </c:pt>
                <c:pt idx="280">
                  <c:v>16.123999999999999</c:v>
                </c:pt>
                <c:pt idx="281">
                  <c:v>38.625</c:v>
                </c:pt>
                <c:pt idx="282">
                  <c:v>31.173999999999999</c:v>
                </c:pt>
                <c:pt idx="283">
                  <c:v>24.600999999999999</c:v>
                </c:pt>
                <c:pt idx="284">
                  <c:v>27.645</c:v>
                </c:pt>
                <c:pt idx="285">
                  <c:v>22.38</c:v>
                </c:pt>
                <c:pt idx="286">
                  <c:v>17.591000000000001</c:v>
                </c:pt>
                <c:pt idx="287">
                  <c:v>37.545000000000002</c:v>
                </c:pt>
                <c:pt idx="288">
                  <c:v>33.78</c:v>
                </c:pt>
                <c:pt idx="289">
                  <c:v>20.237000000000002</c:v>
                </c:pt>
                <c:pt idx="290">
                  <c:v>34.276000000000003</c:v>
                </c:pt>
                <c:pt idx="291">
                  <c:v>15.417</c:v>
                </c:pt>
                <c:pt idx="292">
                  <c:v>9.0250000000000004</c:v>
                </c:pt>
                <c:pt idx="293">
                  <c:v>15.315</c:v>
                </c:pt>
                <c:pt idx="294">
                  <c:v>33.744999999999997</c:v>
                </c:pt>
                <c:pt idx="295">
                  <c:v>18.881</c:v>
                </c:pt>
                <c:pt idx="296">
                  <c:v>25.913</c:v>
                </c:pt>
                <c:pt idx="297">
                  <c:v>22.058</c:v>
                </c:pt>
                <c:pt idx="298">
                  <c:v>17.648</c:v>
                </c:pt>
                <c:pt idx="299">
                  <c:v>13.825000000000001</c:v>
                </c:pt>
                <c:pt idx="300">
                  <c:v>18.215</c:v>
                </c:pt>
                <c:pt idx="301">
                  <c:v>26.894000000000002</c:v>
                </c:pt>
                <c:pt idx="302">
                  <c:v>22.583000000000002</c:v>
                </c:pt>
                <c:pt idx="303">
                  <c:v>21.705000000000002</c:v>
                </c:pt>
                <c:pt idx="304">
                  <c:v>20.623000000000001</c:v>
                </c:pt>
                <c:pt idx="305">
                  <c:v>29.757000000000001</c:v>
                </c:pt>
                <c:pt idx="306">
                  <c:v>9.6020000000000003</c:v>
                </c:pt>
                <c:pt idx="307">
                  <c:v>14.173</c:v>
                </c:pt>
                <c:pt idx="308">
                  <c:v>30.185000000000002</c:v>
                </c:pt>
                <c:pt idx="309">
                  <c:v>31.074999999999999</c:v>
                </c:pt>
                <c:pt idx="310">
                  <c:v>30.004999999999999</c:v>
                </c:pt>
                <c:pt idx="311">
                  <c:v>18.190999999999999</c:v>
                </c:pt>
                <c:pt idx="312">
                  <c:v>9.0630000000000006</c:v>
                </c:pt>
                <c:pt idx="313">
                  <c:v>24.369</c:v>
                </c:pt>
                <c:pt idx="314">
                  <c:v>28.416</c:v>
                </c:pt>
                <c:pt idx="315">
                  <c:v>28.28</c:v>
                </c:pt>
                <c:pt idx="316">
                  <c:v>24.795000000000002</c:v>
                </c:pt>
                <c:pt idx="317">
                  <c:v>11.641</c:v>
                </c:pt>
                <c:pt idx="318">
                  <c:v>12.608000000000001</c:v>
                </c:pt>
                <c:pt idx="319">
                  <c:v>28.007999999999999</c:v>
                </c:pt>
                <c:pt idx="320">
                  <c:v>14.43</c:v>
                </c:pt>
                <c:pt idx="321">
                  <c:v>12.875999999999999</c:v>
                </c:pt>
                <c:pt idx="322">
                  <c:v>8.5630000000000006</c:v>
                </c:pt>
                <c:pt idx="323">
                  <c:v>17.609000000000002</c:v>
                </c:pt>
                <c:pt idx="324">
                  <c:v>3.0140000000000002</c:v>
                </c:pt>
                <c:pt idx="325">
                  <c:v>9.4150000000000009</c:v>
                </c:pt>
                <c:pt idx="326">
                  <c:v>15.413</c:v>
                </c:pt>
                <c:pt idx="327">
                  <c:v>13.790000000000001</c:v>
                </c:pt>
                <c:pt idx="328">
                  <c:v>4.532</c:v>
                </c:pt>
                <c:pt idx="329">
                  <c:v>10.579000000000001</c:v>
                </c:pt>
                <c:pt idx="330">
                  <c:v>14.553000000000001</c:v>
                </c:pt>
                <c:pt idx="331">
                  <c:v>10.282999999999999</c:v>
                </c:pt>
                <c:pt idx="332">
                  <c:v>12.548999999999999</c:v>
                </c:pt>
                <c:pt idx="333">
                  <c:v>3.9130000000000003</c:v>
                </c:pt>
                <c:pt idx="334">
                  <c:v>3.4620000000000002</c:v>
                </c:pt>
                <c:pt idx="335">
                  <c:v>5.0110000000000001</c:v>
                </c:pt>
                <c:pt idx="336">
                  <c:v>9.8759999999999994</c:v>
                </c:pt>
                <c:pt idx="337">
                  <c:v>17.923999999999999</c:v>
                </c:pt>
                <c:pt idx="338">
                  <c:v>25.27</c:v>
                </c:pt>
                <c:pt idx="339">
                  <c:v>14.125999999999999</c:v>
                </c:pt>
                <c:pt idx="340">
                  <c:v>19.962</c:v>
                </c:pt>
                <c:pt idx="341">
                  <c:v>3.6790000000000003</c:v>
                </c:pt>
                <c:pt idx="342">
                  <c:v>8.3070000000000004</c:v>
                </c:pt>
                <c:pt idx="343">
                  <c:v>15.362</c:v>
                </c:pt>
                <c:pt idx="344">
                  <c:v>16.481999999999999</c:v>
                </c:pt>
                <c:pt idx="345">
                  <c:v>5.298</c:v>
                </c:pt>
                <c:pt idx="346">
                  <c:v>4.9590000000000005</c:v>
                </c:pt>
                <c:pt idx="347">
                  <c:v>16.100999999999999</c:v>
                </c:pt>
                <c:pt idx="348">
                  <c:v>5.8760000000000003</c:v>
                </c:pt>
                <c:pt idx="349">
                  <c:v>4.8630000000000004</c:v>
                </c:pt>
                <c:pt idx="350">
                  <c:v>2.8740000000000001</c:v>
                </c:pt>
                <c:pt idx="351">
                  <c:v>19.042999999999999</c:v>
                </c:pt>
                <c:pt idx="352">
                  <c:v>17.902000000000001</c:v>
                </c:pt>
                <c:pt idx="353">
                  <c:v>3.5529999999999999</c:v>
                </c:pt>
                <c:pt idx="354">
                  <c:v>21.161999999999999</c:v>
                </c:pt>
                <c:pt idx="355">
                  <c:v>18.478999999999999</c:v>
                </c:pt>
                <c:pt idx="356">
                  <c:v>19.3</c:v>
                </c:pt>
                <c:pt idx="357">
                  <c:v>22.039000000000001</c:v>
                </c:pt>
                <c:pt idx="358">
                  <c:v>10.763999999999999</c:v>
                </c:pt>
                <c:pt idx="359">
                  <c:v>19.801000000000002</c:v>
                </c:pt>
                <c:pt idx="360">
                  <c:v>6.3330000000000002</c:v>
                </c:pt>
                <c:pt idx="361">
                  <c:v>19.34</c:v>
                </c:pt>
                <c:pt idx="362">
                  <c:v>10.596</c:v>
                </c:pt>
                <c:pt idx="363">
                  <c:v>14.968</c:v>
                </c:pt>
                <c:pt idx="364">
                  <c:v>12.058</c:v>
                </c:pt>
                <c:pt idx="365">
                  <c:v>2.2195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6288"/>
        <c:axId val="591166680"/>
      </c:lineChart>
      <c:dateAx>
        <c:axId val="59116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6680"/>
        <c:crosses val="autoZero"/>
        <c:auto val="1"/>
        <c:lblOffset val="100"/>
        <c:baseTimeUnit val="days"/>
        <c:majorUnit val="1"/>
        <c:majorTimeUnit val="months"/>
      </c:dateAx>
      <c:valAx>
        <c:axId val="5911666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62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24.360093658877719</c:v>
                </c:pt>
                <c:pt idx="1">
                  <c:v>24.510065620981109</c:v>
                </c:pt>
                <c:pt idx="2">
                  <c:v>24.669459493274701</c:v>
                </c:pt>
                <c:pt idx="3">
                  <c:v>24.83771973334516</c:v>
                </c:pt>
                <c:pt idx="4">
                  <c:v>25.014290877203521</c:v>
                </c:pt>
                <c:pt idx="5">
                  <c:v>25.198617533578908</c:v>
                </c:pt>
                <c:pt idx="6">
                  <c:v>25.390144391705011</c:v>
                </c:pt>
                <c:pt idx="7">
                  <c:v>25.588316213525701</c:v>
                </c:pt>
                <c:pt idx="8">
                  <c:v>25.796207781237563</c:v>
                </c:pt>
                <c:pt idx="9">
                  <c:v>26.016605122507364</c:v>
                </c:pt>
                <c:pt idx="10">
                  <c:v>26.248517685631882</c:v>
                </c:pt>
                <c:pt idx="11">
                  <c:v>26.490950817568709</c:v>
                </c:pt>
                <c:pt idx="12">
                  <c:v>26.742910040708956</c:v>
                </c:pt>
                <c:pt idx="13">
                  <c:v>27.003401049668696</c:v>
                </c:pt>
                <c:pt idx="14">
                  <c:v>27.271429718417874</c:v>
                </c:pt>
                <c:pt idx="15">
                  <c:v>27.54602797234012</c:v>
                </c:pt>
                <c:pt idx="16">
                  <c:v>27.826209302077739</c:v>
                </c:pt>
                <c:pt idx="17">
                  <c:v>28.110980125825133</c:v>
                </c:pt>
                <c:pt idx="18">
                  <c:v>28.399347046745373</c:v>
                </c:pt>
                <c:pt idx="19">
                  <c:v>28.690316795510782</c:v>
                </c:pt>
                <c:pt idx="20">
                  <c:v>28.98289626656041</c:v>
                </c:pt>
                <c:pt idx="21">
                  <c:v>29.276092589100788</c:v>
                </c:pt>
                <c:pt idx="22">
                  <c:v>29.572272358744591</c:v>
                </c:pt>
                <c:pt idx="23">
                  <c:v>29.874201935317583</c:v>
                </c:pt>
                <c:pt idx="24">
                  <c:v>30.18147069095534</c:v>
                </c:pt>
                <c:pt idx="25">
                  <c:v>30.493672523566516</c:v>
                </c:pt>
                <c:pt idx="26">
                  <c:v>30.810401421853729</c:v>
                </c:pt>
                <c:pt idx="27">
                  <c:v>31.131251470365665</c:v>
                </c:pt>
                <c:pt idx="28">
                  <c:v>31.455816850161526</c:v>
                </c:pt>
                <c:pt idx="29">
                  <c:v>31.783672516250025</c:v>
                </c:pt>
                <c:pt idx="30">
                  <c:v>32.114386965544092</c:v>
                </c:pt>
                <c:pt idx="31">
                  <c:v>32.447554674524625</c:v>
                </c:pt>
                <c:pt idx="32">
                  <c:v>32.782770217957022</c:v>
                </c:pt>
                <c:pt idx="33">
                  <c:v>33.119628273258535</c:v>
                </c:pt>
                <c:pt idx="34">
                  <c:v>33.457723617405343</c:v>
                </c:pt>
                <c:pt idx="35">
                  <c:v>33.796651127162882</c:v>
                </c:pt>
                <c:pt idx="36">
                  <c:v>34.139212009442126</c:v>
                </c:pt>
                <c:pt idx="37">
                  <c:v>34.487789250949731</c:v>
                </c:pt>
                <c:pt idx="38">
                  <c:v>34.841360891850059</c:v>
                </c:pt>
                <c:pt idx="39">
                  <c:v>35.198913976418382</c:v>
                </c:pt>
                <c:pt idx="40">
                  <c:v>35.559435765744126</c:v>
                </c:pt>
                <c:pt idx="41">
                  <c:v>35.921913729762757</c:v>
                </c:pt>
                <c:pt idx="42">
                  <c:v>36.285335549129705</c:v>
                </c:pt>
                <c:pt idx="43">
                  <c:v>36.648693154547189</c:v>
                </c:pt>
                <c:pt idx="44">
                  <c:v>37.010993997703757</c:v>
                </c:pt>
                <c:pt idx="45">
                  <c:v>37.371226385944126</c:v>
                </c:pt>
                <c:pt idx="46">
                  <c:v>37.728378828119666</c:v>
                </c:pt>
                <c:pt idx="47">
                  <c:v>38.081440027286483</c:v>
                </c:pt>
                <c:pt idx="48">
                  <c:v>38.4293988786265</c:v>
                </c:pt>
                <c:pt idx="49">
                  <c:v>38.771244465503393</c:v>
                </c:pt>
                <c:pt idx="50">
                  <c:v>39.107837861388759</c:v>
                </c:pt>
                <c:pt idx="51">
                  <c:v>39.44092287103917</c:v>
                </c:pt>
                <c:pt idx="52">
                  <c:v>39.770816416137976</c:v>
                </c:pt>
                <c:pt idx="53">
                  <c:v>40.097822603035041</c:v>
                </c:pt>
                <c:pt idx="54">
                  <c:v>40.422245411719004</c:v>
                </c:pt>
                <c:pt idx="55">
                  <c:v>40.744388731239923</c:v>
                </c:pt>
                <c:pt idx="56">
                  <c:v>41.064556350459632</c:v>
                </c:pt>
                <c:pt idx="57">
                  <c:v>41.383049997647035</c:v>
                </c:pt>
                <c:pt idx="58">
                  <c:v>41.700169208800638</c:v>
                </c:pt>
                <c:pt idx="59">
                  <c:v>42.016217464424088</c:v>
                </c:pt>
                <c:pt idx="60">
                  <c:v>42.331498137807429</c:v>
                </c:pt>
                <c:pt idx="61">
                  <c:v>42.646314493548367</c:v>
                </c:pt>
                <c:pt idx="62">
                  <c:v>42.960969686517259</c:v>
                </c:pt>
                <c:pt idx="63">
                  <c:v>43.275766759528416</c:v>
                </c:pt>
                <c:pt idx="64">
                  <c:v>43.590688465521993</c:v>
                </c:pt>
                <c:pt idx="65">
                  <c:v>43.905374120356534</c:v>
                </c:pt>
                <c:pt idx="66">
                  <c:v>44.219614954660024</c:v>
                </c:pt>
                <c:pt idx="67">
                  <c:v>44.53320828929192</c:v>
                </c:pt>
                <c:pt idx="68">
                  <c:v>44.845951429154411</c:v>
                </c:pt>
                <c:pt idx="69">
                  <c:v>45.157641662920824</c:v>
                </c:pt>
                <c:pt idx="70">
                  <c:v>45.468076264413376</c:v>
                </c:pt>
                <c:pt idx="71">
                  <c:v>45.777055235057354</c:v>
                </c:pt>
                <c:pt idx="72">
                  <c:v>46.084377790493505</c:v>
                </c:pt>
                <c:pt idx="73">
                  <c:v>46.389841169585708</c:v>
                </c:pt>
                <c:pt idx="74">
                  <c:v>46.693242602002435</c:v>
                </c:pt>
                <c:pt idx="75">
                  <c:v>46.994379309909711</c:v>
                </c:pt>
                <c:pt idx="76">
                  <c:v>47.293048510962919</c:v>
                </c:pt>
                <c:pt idx="77">
                  <c:v>47.589047420147743</c:v>
                </c:pt>
                <c:pt idx="78">
                  <c:v>47.884648696348094</c:v>
                </c:pt>
                <c:pt idx="79">
                  <c:v>48.181663438066259</c:v>
                </c:pt>
                <c:pt idx="80">
                  <c:v>48.479187451816024</c:v>
                </c:pt>
                <c:pt idx="81">
                  <c:v>48.776310298724809</c:v>
                </c:pt>
                <c:pt idx="82">
                  <c:v>49.072121700973433</c:v>
                </c:pt>
                <c:pt idx="83">
                  <c:v>49.365711553642235</c:v>
                </c:pt>
                <c:pt idx="84">
                  <c:v>49.656169925679677</c:v>
                </c:pt>
                <c:pt idx="85">
                  <c:v>49.942585332099178</c:v>
                </c:pt>
                <c:pt idx="86">
                  <c:v>50.224045424368732</c:v>
                </c:pt>
                <c:pt idx="87">
                  <c:v>50.499640813728689</c:v>
                </c:pt>
                <c:pt idx="88">
                  <c:v>50.768462311368893</c:v>
                </c:pt>
                <c:pt idx="89">
                  <c:v>51.029600936944483</c:v>
                </c:pt>
                <c:pt idx="90">
                  <c:v>51.282147924790131</c:v>
                </c:pt>
                <c:pt idx="91">
                  <c:v>51.52519474100955</c:v>
                </c:pt>
                <c:pt idx="92">
                  <c:v>51.760323518204231</c:v>
                </c:pt>
                <c:pt idx="93">
                  <c:v>51.989659397109314</c:v>
                </c:pt>
                <c:pt idx="94">
                  <c:v>52.213090487681512</c:v>
                </c:pt>
                <c:pt idx="95">
                  <c:v>52.430515656437812</c:v>
                </c:pt>
                <c:pt idx="96">
                  <c:v>52.641833825576768</c:v>
                </c:pt>
                <c:pt idx="97">
                  <c:v>52.846943977200091</c:v>
                </c:pt>
                <c:pt idx="98">
                  <c:v>53.04574515890107</c:v>
                </c:pt>
                <c:pt idx="99">
                  <c:v>53.238143874654696</c:v>
                </c:pt>
                <c:pt idx="100">
                  <c:v>53.424041283446499</c:v>
                </c:pt>
                <c:pt idx="101">
                  <c:v>53.603336812284859</c:v>
                </c:pt>
                <c:pt idx="102">
                  <c:v>53.775929982395624</c:v>
                </c:pt>
                <c:pt idx="103">
                  <c:v>53.941720415646486</c:v>
                </c:pt>
                <c:pt idx="104">
                  <c:v>54.100607835035106</c:v>
                </c:pt>
                <c:pt idx="105">
                  <c:v>54.252492071732945</c:v>
                </c:pt>
                <c:pt idx="106">
                  <c:v>54.39665097744264</c:v>
                </c:pt>
                <c:pt idx="107">
                  <c:v>54.532680494907225</c:v>
                </c:pt>
                <c:pt idx="108">
                  <c:v>54.660979876049488</c:v>
                </c:pt>
                <c:pt idx="109">
                  <c:v>57.18380185709114</c:v>
                </c:pt>
                <c:pt idx="110">
                  <c:v>57.300719762026063</c:v>
                </c:pt>
                <c:pt idx="111">
                  <c:v>57.410862332854762</c:v>
                </c:pt>
                <c:pt idx="112">
                  <c:v>57.514652405615593</c:v>
                </c:pt>
                <c:pt idx="113">
                  <c:v>57.612493299391367</c:v>
                </c:pt>
                <c:pt idx="114">
                  <c:v>57.704798533685256</c:v>
                </c:pt>
                <c:pt idx="115">
                  <c:v>57.79198976140794</c:v>
                </c:pt>
                <c:pt idx="116">
                  <c:v>57.874488418701226</c:v>
                </c:pt>
                <c:pt idx="117">
                  <c:v>57.952715723122459</c:v>
                </c:pt>
                <c:pt idx="118">
                  <c:v>58.02709267736644</c:v>
                </c:pt>
                <c:pt idx="119">
                  <c:v>58.098040070577916</c:v>
                </c:pt>
                <c:pt idx="120">
                  <c:v>58.164015450683571</c:v>
                </c:pt>
                <c:pt idx="121">
                  <c:v>58.223473207707748</c:v>
                </c:pt>
                <c:pt idx="122">
                  <c:v>58.276855843611713</c:v>
                </c:pt>
                <c:pt idx="123">
                  <c:v>58.324584933625779</c:v>
                </c:pt>
                <c:pt idx="124">
                  <c:v>58.367081863413716</c:v>
                </c:pt>
                <c:pt idx="125">
                  <c:v>58.404767836794839</c:v>
                </c:pt>
                <c:pt idx="126">
                  <c:v>58.438063869525052</c:v>
                </c:pt>
                <c:pt idx="127">
                  <c:v>58.467391739527798</c:v>
                </c:pt>
                <c:pt idx="128">
                  <c:v>58.493194028777872</c:v>
                </c:pt>
                <c:pt idx="129">
                  <c:v>58.515891873250268</c:v>
                </c:pt>
                <c:pt idx="130">
                  <c:v>58.535906263701335</c:v>
                </c:pt>
                <c:pt idx="131">
                  <c:v>58.553658044840297</c:v>
                </c:pt>
                <c:pt idx="132">
                  <c:v>58.569567917808619</c:v>
                </c:pt>
                <c:pt idx="133">
                  <c:v>58.584056444511937</c:v>
                </c:pt>
                <c:pt idx="134">
                  <c:v>58.596493965449689</c:v>
                </c:pt>
                <c:pt idx="135">
                  <c:v>58.605971999846716</c:v>
                </c:pt>
                <c:pt idx="136">
                  <c:v>58.612495808354531</c:v>
                </c:pt>
                <c:pt idx="137">
                  <c:v>58.616066529826497</c:v>
                </c:pt>
                <c:pt idx="138">
                  <c:v>58.616685351870622</c:v>
                </c:pt>
                <c:pt idx="139">
                  <c:v>58.614353506618507</c:v>
                </c:pt>
                <c:pt idx="140">
                  <c:v>58.609072272343596</c:v>
                </c:pt>
                <c:pt idx="141">
                  <c:v>58.600847379072178</c:v>
                </c:pt>
                <c:pt idx="142">
                  <c:v>58.589679321411637</c:v>
                </c:pt>
                <c:pt idx="143">
                  <c:v>58.575569697345543</c:v>
                </c:pt>
                <c:pt idx="144">
                  <c:v>58.558520058172604</c:v>
                </c:pt>
                <c:pt idx="145">
                  <c:v>58.538531999560028</c:v>
                </c:pt>
                <c:pt idx="146">
                  <c:v>58.515607156755621</c:v>
                </c:pt>
                <c:pt idx="147">
                  <c:v>58.489747202460634</c:v>
                </c:pt>
                <c:pt idx="148">
                  <c:v>58.460045132427545</c:v>
                </c:pt>
                <c:pt idx="149">
                  <c:v>58.425881047086875</c:v>
                </c:pt>
                <c:pt idx="150">
                  <c:v>58.387675730486293</c:v>
                </c:pt>
                <c:pt idx="151">
                  <c:v>58.345850776501159</c:v>
                </c:pt>
                <c:pt idx="152">
                  <c:v>58.300827625172005</c:v>
                </c:pt>
                <c:pt idx="153">
                  <c:v>58.253027559945018</c:v>
                </c:pt>
                <c:pt idx="154">
                  <c:v>58.202871698057201</c:v>
                </c:pt>
                <c:pt idx="155">
                  <c:v>58.150789494782067</c:v>
                </c:pt>
                <c:pt idx="156">
                  <c:v>58.097196877909205</c:v>
                </c:pt>
                <c:pt idx="157">
                  <c:v>58.042514528269102</c:v>
                </c:pt>
                <c:pt idx="158">
                  <c:v>57.987162945790431</c:v>
                </c:pt>
                <c:pt idx="159">
                  <c:v>57.931562443779143</c:v>
                </c:pt>
                <c:pt idx="160">
                  <c:v>57.876133145060855</c:v>
                </c:pt>
                <c:pt idx="161">
                  <c:v>57.82129497831091</c:v>
                </c:pt>
                <c:pt idx="162">
                  <c:v>57.766420709882951</c:v>
                </c:pt>
                <c:pt idx="163">
                  <c:v>57.710613895814895</c:v>
                </c:pt>
                <c:pt idx="164">
                  <c:v>57.653868091522618</c:v>
                </c:pt>
                <c:pt idx="165">
                  <c:v>57.59618466629319</c:v>
                </c:pt>
                <c:pt idx="166">
                  <c:v>57.537564948207489</c:v>
                </c:pt>
                <c:pt idx="167">
                  <c:v>57.478010218572798</c:v>
                </c:pt>
                <c:pt idx="168">
                  <c:v>57.417521709133439</c:v>
                </c:pt>
                <c:pt idx="169">
                  <c:v>57.356110708642255</c:v>
                </c:pt>
                <c:pt idx="170">
                  <c:v>57.293769070415294</c:v>
                </c:pt>
                <c:pt idx="171">
                  <c:v>57.230497871957695</c:v>
                </c:pt>
                <c:pt idx="172">
                  <c:v>57.166298128911073</c:v>
                </c:pt>
                <c:pt idx="173">
                  <c:v>57.101171086023001</c:v>
                </c:pt>
                <c:pt idx="174">
                  <c:v>57.035117944905593</c:v>
                </c:pt>
                <c:pt idx="175">
                  <c:v>56.968139557837574</c:v>
                </c:pt>
                <c:pt idx="176">
                  <c:v>56.900010197059153</c:v>
                </c:pt>
                <c:pt idx="177">
                  <c:v>56.830583652191471</c:v>
                </c:pt>
                <c:pt idx="178">
                  <c:v>56.829765852731221</c:v>
                </c:pt>
                <c:pt idx="179">
                  <c:v>56.757953029007773</c:v>
                </c:pt>
                <c:pt idx="180">
                  <c:v>56.685146812590851</c:v>
                </c:pt>
                <c:pt idx="181">
                  <c:v>56.611452272490894</c:v>
                </c:pt>
                <c:pt idx="182">
                  <c:v>56.536974372087435</c:v>
                </c:pt>
                <c:pt idx="183">
                  <c:v>56.461826849907858</c:v>
                </c:pt>
                <c:pt idx="184">
                  <c:v>56.386103686672698</c:v>
                </c:pt>
                <c:pt idx="185">
                  <c:v>56.309909521853129</c:v>
                </c:pt>
                <c:pt idx="186">
                  <c:v>56.233348903938364</c:v>
                </c:pt>
                <c:pt idx="187">
                  <c:v>56.156526293662395</c:v>
                </c:pt>
                <c:pt idx="188">
                  <c:v>56.079546068559054</c:v>
                </c:pt>
                <c:pt idx="189">
                  <c:v>56.002512525977956</c:v>
                </c:pt>
                <c:pt idx="190">
                  <c:v>55.925268579441003</c:v>
                </c:pt>
                <c:pt idx="191">
                  <c:v>55.847593663283121</c:v>
                </c:pt>
                <c:pt idx="192">
                  <c:v>55.769477271399161</c:v>
                </c:pt>
                <c:pt idx="193">
                  <c:v>55.690919116774715</c:v>
                </c:pt>
                <c:pt idx="194">
                  <c:v>55.611918897568977</c:v>
                </c:pt>
                <c:pt idx="195">
                  <c:v>55.53247630048169</c:v>
                </c:pt>
                <c:pt idx="196">
                  <c:v>55.452591004957746</c:v>
                </c:pt>
                <c:pt idx="197">
                  <c:v>55.372263966083324</c:v>
                </c:pt>
                <c:pt idx="198">
                  <c:v>55.2914856550072</c:v>
                </c:pt>
                <c:pt idx="199">
                  <c:v>55.210255712904328</c:v>
                </c:pt>
                <c:pt idx="200">
                  <c:v>55.128573790625943</c:v>
                </c:pt>
                <c:pt idx="201">
                  <c:v>55.046439551909693</c:v>
                </c:pt>
                <c:pt idx="202">
                  <c:v>54.963852674497936</c:v>
                </c:pt>
                <c:pt idx="203">
                  <c:v>54.880812852924279</c:v>
                </c:pt>
                <c:pt idx="204">
                  <c:v>54.797998298168444</c:v>
                </c:pt>
                <c:pt idx="205">
                  <c:v>54.715879848442924</c:v>
                </c:pt>
                <c:pt idx="206">
                  <c:v>54.634137534487415</c:v>
                </c:pt>
                <c:pt idx="207">
                  <c:v>54.552457837793767</c:v>
                </c:pt>
                <c:pt idx="208">
                  <c:v>54.470527384694755</c:v>
                </c:pt>
                <c:pt idx="209">
                  <c:v>54.388032945928813</c:v>
                </c:pt>
                <c:pt idx="210">
                  <c:v>54.304661437550919</c:v>
                </c:pt>
                <c:pt idx="211">
                  <c:v>54.220093554723448</c:v>
                </c:pt>
                <c:pt idx="212">
                  <c:v>54.134015183449527</c:v>
                </c:pt>
                <c:pt idx="213">
                  <c:v>54.046113656746748</c:v>
                </c:pt>
                <c:pt idx="214">
                  <c:v>53.95607644931745</c:v>
                </c:pt>
                <c:pt idx="215">
                  <c:v>53.863591179655728</c:v>
                </c:pt>
                <c:pt idx="216">
                  <c:v>53.768345607008058</c:v>
                </c:pt>
                <c:pt idx="217">
                  <c:v>53.670027632569081</c:v>
                </c:pt>
                <c:pt idx="218">
                  <c:v>53.569107078020338</c:v>
                </c:pt>
                <c:pt idx="219">
                  <c:v>53.466224562419072</c:v>
                </c:pt>
                <c:pt idx="220">
                  <c:v>53.361378850308341</c:v>
                </c:pt>
                <c:pt idx="221">
                  <c:v>53.254570352095705</c:v>
                </c:pt>
                <c:pt idx="222">
                  <c:v>53.145799502395533</c:v>
                </c:pt>
                <c:pt idx="223">
                  <c:v>53.035066762107071</c:v>
                </c:pt>
                <c:pt idx="224">
                  <c:v>52.922372610806285</c:v>
                </c:pt>
                <c:pt idx="225">
                  <c:v>52.80768207282339</c:v>
                </c:pt>
                <c:pt idx="226">
                  <c:v>52.691002060256913</c:v>
                </c:pt>
                <c:pt idx="227">
                  <c:v>52.572333111142413</c:v>
                </c:pt>
                <c:pt idx="228">
                  <c:v>52.451675784516198</c:v>
                </c:pt>
                <c:pt idx="229">
                  <c:v>52.329030664937342</c:v>
                </c:pt>
                <c:pt idx="230">
                  <c:v>52.204398359718859</c:v>
                </c:pt>
                <c:pt idx="231">
                  <c:v>52.077779500506907</c:v>
                </c:pt>
                <c:pt idx="232">
                  <c:v>51.950528028129447</c:v>
                </c:pt>
                <c:pt idx="233">
                  <c:v>51.82360103862252</c:v>
                </c:pt>
                <c:pt idx="234">
                  <c:v>51.696411785959263</c:v>
                </c:pt>
                <c:pt idx="235">
                  <c:v>51.568336101053568</c:v>
                </c:pt>
                <c:pt idx="236">
                  <c:v>51.438750051645791</c:v>
                </c:pt>
                <c:pt idx="237">
                  <c:v>51.307029954500798</c:v>
                </c:pt>
                <c:pt idx="238">
                  <c:v>51.172552363962176</c:v>
                </c:pt>
                <c:pt idx="239">
                  <c:v>51.034702937648035</c:v>
                </c:pt>
                <c:pt idx="240">
                  <c:v>50.892894107168907</c:v>
                </c:pt>
                <c:pt idx="241">
                  <c:v>50.746503077662759</c:v>
                </c:pt>
                <c:pt idx="242">
                  <c:v>50.594907285316474</c:v>
                </c:pt>
                <c:pt idx="243">
                  <c:v>50.437484387627478</c:v>
                </c:pt>
                <c:pt idx="244">
                  <c:v>50.273612272780795</c:v>
                </c:pt>
                <c:pt idx="245">
                  <c:v>50.102669050573731</c:v>
                </c:pt>
                <c:pt idx="246">
                  <c:v>49.925367240724604</c:v>
                </c:pt>
                <c:pt idx="247">
                  <c:v>49.74289894770866</c:v>
                </c:pt>
                <c:pt idx="248">
                  <c:v>49.555349730147647</c:v>
                </c:pt>
                <c:pt idx="249">
                  <c:v>49.362825102317096</c:v>
                </c:pt>
                <c:pt idx="250">
                  <c:v>49.165430542791306</c:v>
                </c:pt>
                <c:pt idx="251">
                  <c:v>48.96327149489931</c:v>
                </c:pt>
                <c:pt idx="252">
                  <c:v>48.756453368622957</c:v>
                </c:pt>
                <c:pt idx="253">
                  <c:v>48.545104802677102</c:v>
                </c:pt>
                <c:pt idx="254">
                  <c:v>48.329322309351333</c:v>
                </c:pt>
                <c:pt idx="255">
                  <c:v>48.109211147391036</c:v>
                </c:pt>
                <c:pt idx="256">
                  <c:v>47.884876526871487</c:v>
                </c:pt>
                <c:pt idx="257">
                  <c:v>47.656423620290937</c:v>
                </c:pt>
                <c:pt idx="258">
                  <c:v>47.423957553170347</c:v>
                </c:pt>
                <c:pt idx="259">
                  <c:v>47.187583409158314</c:v>
                </c:pt>
                <c:pt idx="260">
                  <c:v>46.94579684620296</c:v>
                </c:pt>
                <c:pt idx="261">
                  <c:v>46.697444716011375</c:v>
                </c:pt>
                <c:pt idx="262">
                  <c:v>46.443156951725399</c:v>
                </c:pt>
                <c:pt idx="263">
                  <c:v>46.183558022832571</c:v>
                </c:pt>
                <c:pt idx="264">
                  <c:v>45.91927215627809</c:v>
                </c:pt>
                <c:pt idx="265">
                  <c:v>45.650923242702873</c:v>
                </c:pt>
                <c:pt idx="266">
                  <c:v>45.379134966715597</c:v>
                </c:pt>
                <c:pt idx="267">
                  <c:v>45.104517257981222</c:v>
                </c:pt>
                <c:pt idx="268">
                  <c:v>44.827670756798923</c:v>
                </c:pt>
                <c:pt idx="269">
                  <c:v>44.549218724920706</c:v>
                </c:pt>
                <c:pt idx="270">
                  <c:v>44.269784192575791</c:v>
                </c:pt>
                <c:pt idx="271">
                  <c:v>43.989989956328479</c:v>
                </c:pt>
                <c:pt idx="272">
                  <c:v>43.710458583266671</c:v>
                </c:pt>
                <c:pt idx="273">
                  <c:v>43.431812407089978</c:v>
                </c:pt>
                <c:pt idx="274">
                  <c:v>43.153792043888565</c:v>
                </c:pt>
                <c:pt idx="275">
                  <c:v>42.875512981993012</c:v>
                </c:pt>
                <c:pt idx="276">
                  <c:v>42.596659879670035</c:v>
                </c:pt>
                <c:pt idx="277">
                  <c:v>42.316921950018646</c:v>
                </c:pt>
                <c:pt idx="278">
                  <c:v>42.035988485140564</c:v>
                </c:pt>
                <c:pt idx="279">
                  <c:v>41.753548854130656</c:v>
                </c:pt>
                <c:pt idx="280">
                  <c:v>41.469292498874694</c:v>
                </c:pt>
                <c:pt idx="281">
                  <c:v>41.182920914975881</c:v>
                </c:pt>
                <c:pt idx="282">
                  <c:v>40.894136508972174</c:v>
                </c:pt>
                <c:pt idx="283">
                  <c:v>40.602628610348191</c:v>
                </c:pt>
                <c:pt idx="284">
                  <c:v>40.308086591249342</c:v>
                </c:pt>
                <c:pt idx="285">
                  <c:v>40.010199864885529</c:v>
                </c:pt>
                <c:pt idx="286">
                  <c:v>39.708657882867932</c:v>
                </c:pt>
                <c:pt idx="287">
                  <c:v>39.403150135071485</c:v>
                </c:pt>
                <c:pt idx="288">
                  <c:v>39.091674252603056</c:v>
                </c:pt>
                <c:pt idx="289">
                  <c:v>38.773201353685508</c:v>
                </c:pt>
                <c:pt idx="290">
                  <c:v>38.448874310144539</c:v>
                </c:pt>
                <c:pt idx="291">
                  <c:v>38.119832686985383</c:v>
                </c:pt>
                <c:pt idx="292">
                  <c:v>37.78721562631867</c:v>
                </c:pt>
                <c:pt idx="293">
                  <c:v>37.452161858740332</c:v>
                </c:pt>
                <c:pt idx="294">
                  <c:v>37.115809706673538</c:v>
                </c:pt>
                <c:pt idx="295">
                  <c:v>36.779271967386919</c:v>
                </c:pt>
                <c:pt idx="296">
                  <c:v>36.443675383548999</c:v>
                </c:pt>
                <c:pt idx="297">
                  <c:v>36.110157697196371</c:v>
                </c:pt>
                <c:pt idx="298">
                  <c:v>35.779856401914579</c:v>
                </c:pt>
                <c:pt idx="299">
                  <c:v>35.453908641770241</c:v>
                </c:pt>
                <c:pt idx="300">
                  <c:v>35.133451213933256</c:v>
                </c:pt>
                <c:pt idx="301">
                  <c:v>34.819620575857762</c:v>
                </c:pt>
                <c:pt idx="302">
                  <c:v>34.510707304135586</c:v>
                </c:pt>
                <c:pt idx="303">
                  <c:v>34.204208063047453</c:v>
                </c:pt>
                <c:pt idx="304">
                  <c:v>33.90011679361514</c:v>
                </c:pt>
                <c:pt idx="305">
                  <c:v>33.598433208608299</c:v>
                </c:pt>
                <c:pt idx="306">
                  <c:v>33.299157027012676</c:v>
                </c:pt>
                <c:pt idx="307">
                  <c:v>33.0022879721338</c:v>
                </c:pt>
                <c:pt idx="308">
                  <c:v>32.70782577020222</c:v>
                </c:pt>
                <c:pt idx="309">
                  <c:v>32.41578739583187</c:v>
                </c:pt>
                <c:pt idx="310">
                  <c:v>32.126194908649346</c:v>
                </c:pt>
                <c:pt idx="311">
                  <c:v>31.83904718110287</c:v>
                </c:pt>
                <c:pt idx="312">
                  <c:v>31.554343092377394</c:v>
                </c:pt>
                <c:pt idx="313">
                  <c:v>31.272081533337303</c:v>
                </c:pt>
                <c:pt idx="314">
                  <c:v>30.992261404274267</c:v>
                </c:pt>
                <c:pt idx="315">
                  <c:v>30.714881622340503</c:v>
                </c:pt>
                <c:pt idx="316">
                  <c:v>30.438821304100323</c:v>
                </c:pt>
                <c:pt idx="317">
                  <c:v>30.163350925165744</c:v>
                </c:pt>
                <c:pt idx="318">
                  <c:v>29.889017788060706</c:v>
                </c:pt>
                <c:pt idx="319">
                  <c:v>29.616336347680861</c:v>
                </c:pt>
                <c:pt idx="320">
                  <c:v>29.345820997944454</c:v>
                </c:pt>
                <c:pt idx="321">
                  <c:v>29.077986076401981</c:v>
                </c:pt>
                <c:pt idx="322">
                  <c:v>28.81334587118749</c:v>
                </c:pt>
                <c:pt idx="323">
                  <c:v>28.552420330618538</c:v>
                </c:pt>
                <c:pt idx="324">
                  <c:v>28.295707975426172</c:v>
                </c:pt>
                <c:pt idx="325">
                  <c:v>28.043723147665656</c:v>
                </c:pt>
                <c:pt idx="326">
                  <c:v>27.796980239371035</c:v>
                </c:pt>
                <c:pt idx="327">
                  <c:v>27.55599352418119</c:v>
                </c:pt>
                <c:pt idx="328">
                  <c:v>27.321277140550055</c:v>
                </c:pt>
                <c:pt idx="329">
                  <c:v>27.093345180824347</c:v>
                </c:pt>
                <c:pt idx="330">
                  <c:v>26.868512492435574</c:v>
                </c:pt>
                <c:pt idx="331">
                  <c:v>26.643632330928835</c:v>
                </c:pt>
                <c:pt idx="332">
                  <c:v>26.420004100331084</c:v>
                </c:pt>
                <c:pt idx="333">
                  <c:v>26.198969970920917</c:v>
                </c:pt>
                <c:pt idx="334">
                  <c:v>25.981871735161693</c:v>
                </c:pt>
                <c:pt idx="335">
                  <c:v>25.770050801169802</c:v>
                </c:pt>
                <c:pt idx="336">
                  <c:v>25.564848178218124</c:v>
                </c:pt>
                <c:pt idx="337">
                  <c:v>25.36759858558456</c:v>
                </c:pt>
                <c:pt idx="338">
                  <c:v>25.179637002625714</c:v>
                </c:pt>
                <c:pt idx="339">
                  <c:v>25.002303327896719</c:v>
                </c:pt>
                <c:pt idx="340">
                  <c:v>24.836937029387755</c:v>
                </c:pt>
                <c:pt idx="341">
                  <c:v>24.684877129765564</c:v>
                </c:pt>
                <c:pt idx="342">
                  <c:v>24.547462200419368</c:v>
                </c:pt>
                <c:pt idx="343">
                  <c:v>24.426030372141589</c:v>
                </c:pt>
                <c:pt idx="344">
                  <c:v>24.318197691352609</c:v>
                </c:pt>
                <c:pt idx="345">
                  <c:v>24.220800752348776</c:v>
                </c:pt>
                <c:pt idx="346">
                  <c:v>24.134016289068438</c:v>
                </c:pt>
                <c:pt idx="347">
                  <c:v>24.058012687562051</c:v>
                </c:pt>
                <c:pt idx="348">
                  <c:v>23.992958261064732</c:v>
                </c:pt>
                <c:pt idx="349">
                  <c:v>23.939021246131965</c:v>
                </c:pt>
                <c:pt idx="350">
                  <c:v>23.896369806465867</c:v>
                </c:pt>
                <c:pt idx="351">
                  <c:v>23.865167508861074</c:v>
                </c:pt>
                <c:pt idx="352">
                  <c:v>23.84558805371681</c:v>
                </c:pt>
                <c:pt idx="353">
                  <c:v>23.837799366096998</c:v>
                </c:pt>
                <c:pt idx="354">
                  <c:v>23.841969299120532</c:v>
                </c:pt>
                <c:pt idx="355">
                  <c:v>23.858265625643746</c:v>
                </c:pt>
                <c:pt idx="356">
                  <c:v>23.886856073846236</c:v>
                </c:pt>
                <c:pt idx="357">
                  <c:v>23.927908249383577</c:v>
                </c:pt>
                <c:pt idx="358">
                  <c:v>23.982478256686893</c:v>
                </c:pt>
                <c:pt idx="359">
                  <c:v>24.051132852418956</c:v>
                </c:pt>
                <c:pt idx="360">
                  <c:v>24.13330009953043</c:v>
                </c:pt>
                <c:pt idx="361">
                  <c:v>24.228418349890145</c:v>
                </c:pt>
                <c:pt idx="362">
                  <c:v>24.335921631936863</c:v>
                </c:pt>
                <c:pt idx="363">
                  <c:v>24.455244135504437</c:v>
                </c:pt>
                <c:pt idx="364">
                  <c:v>24.585820220744566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12.318</c:v>
                </c:pt>
                <c:pt idx="1">
                  <c:v>3.7370000000000001</c:v>
                </c:pt>
                <c:pt idx="2">
                  <c:v>24.373000000000001</c:v>
                </c:pt>
                <c:pt idx="3">
                  <c:v>22.827999999999999</c:v>
                </c:pt>
                <c:pt idx="4">
                  <c:v>2.9569999999999999</c:v>
                </c:pt>
                <c:pt idx="5">
                  <c:v>7.9130000000000003</c:v>
                </c:pt>
                <c:pt idx="6">
                  <c:v>13.131</c:v>
                </c:pt>
                <c:pt idx="7">
                  <c:v>18.773</c:v>
                </c:pt>
                <c:pt idx="8">
                  <c:v>4.7690000000000001</c:v>
                </c:pt>
                <c:pt idx="9">
                  <c:v>4.4270000000000005</c:v>
                </c:pt>
                <c:pt idx="10">
                  <c:v>6.8040000000000003</c:v>
                </c:pt>
                <c:pt idx="11">
                  <c:v>16.144000000000002</c:v>
                </c:pt>
                <c:pt idx="12">
                  <c:v>15.061</c:v>
                </c:pt>
                <c:pt idx="13">
                  <c:v>11.704000000000001</c:v>
                </c:pt>
                <c:pt idx="14">
                  <c:v>18.591999999999999</c:v>
                </c:pt>
                <c:pt idx="15">
                  <c:v>18.196999999999999</c:v>
                </c:pt>
                <c:pt idx="16">
                  <c:v>6.2540000000000004</c:v>
                </c:pt>
                <c:pt idx="17">
                  <c:v>27.948</c:v>
                </c:pt>
                <c:pt idx="18">
                  <c:v>29.195</c:v>
                </c:pt>
                <c:pt idx="19">
                  <c:v>6.351</c:v>
                </c:pt>
                <c:pt idx="20">
                  <c:v>12.749000000000001</c:v>
                </c:pt>
                <c:pt idx="21">
                  <c:v>5.7480000000000002</c:v>
                </c:pt>
                <c:pt idx="22">
                  <c:v>9.8350000000000009</c:v>
                </c:pt>
                <c:pt idx="23">
                  <c:v>17.440999999999999</c:v>
                </c:pt>
                <c:pt idx="24">
                  <c:v>6.7250000000000005</c:v>
                </c:pt>
                <c:pt idx="25">
                  <c:v>19.064</c:v>
                </c:pt>
                <c:pt idx="26">
                  <c:v>6.0209999999999999</c:v>
                </c:pt>
                <c:pt idx="27">
                  <c:v>17.704000000000001</c:v>
                </c:pt>
                <c:pt idx="28">
                  <c:v>13.557</c:v>
                </c:pt>
                <c:pt idx="29">
                  <c:v>7.5070000000000006</c:v>
                </c:pt>
                <c:pt idx="30">
                  <c:v>8.7460000000000004</c:v>
                </c:pt>
                <c:pt idx="31">
                  <c:v>9.9060000000000006</c:v>
                </c:pt>
                <c:pt idx="32">
                  <c:v>29.009</c:v>
                </c:pt>
                <c:pt idx="33">
                  <c:v>22.745000000000001</c:v>
                </c:pt>
                <c:pt idx="34">
                  <c:v>15.762</c:v>
                </c:pt>
                <c:pt idx="35">
                  <c:v>9.423</c:v>
                </c:pt>
                <c:pt idx="36">
                  <c:v>7.5949999999999998</c:v>
                </c:pt>
                <c:pt idx="37">
                  <c:v>23.13</c:v>
                </c:pt>
                <c:pt idx="38">
                  <c:v>3.7</c:v>
                </c:pt>
                <c:pt idx="39">
                  <c:v>13.684000000000001</c:v>
                </c:pt>
                <c:pt idx="40">
                  <c:v>13.57</c:v>
                </c:pt>
                <c:pt idx="41">
                  <c:v>31.314</c:v>
                </c:pt>
                <c:pt idx="42">
                  <c:v>3.9940000000000002</c:v>
                </c:pt>
                <c:pt idx="43">
                  <c:v>7.6370000000000005</c:v>
                </c:pt>
                <c:pt idx="44">
                  <c:v>32.637</c:v>
                </c:pt>
                <c:pt idx="45">
                  <c:v>34.954999999999998</c:v>
                </c:pt>
                <c:pt idx="46">
                  <c:v>32.048000000000002</c:v>
                </c:pt>
                <c:pt idx="47">
                  <c:v>35.331000000000003</c:v>
                </c:pt>
                <c:pt idx="48">
                  <c:v>13.891</c:v>
                </c:pt>
                <c:pt idx="49">
                  <c:v>37.012999999999998</c:v>
                </c:pt>
                <c:pt idx="50">
                  <c:v>31.161000000000001</c:v>
                </c:pt>
                <c:pt idx="51">
                  <c:v>10.353</c:v>
                </c:pt>
                <c:pt idx="52">
                  <c:v>8.3930000000000007</c:v>
                </c:pt>
                <c:pt idx="53">
                  <c:v>31.088000000000001</c:v>
                </c:pt>
                <c:pt idx="54">
                  <c:v>38.128</c:v>
                </c:pt>
                <c:pt idx="55">
                  <c:v>35.197000000000003</c:v>
                </c:pt>
                <c:pt idx="56">
                  <c:v>8.1810000000000009</c:v>
                </c:pt>
                <c:pt idx="57">
                  <c:v>39.966000000000001</c:v>
                </c:pt>
                <c:pt idx="58">
                  <c:v>32.33</c:v>
                </c:pt>
                <c:pt idx="59">
                  <c:v>36.582000000000001</c:v>
                </c:pt>
                <c:pt idx="60">
                  <c:v>15.38</c:v>
                </c:pt>
                <c:pt idx="61">
                  <c:v>16.695</c:v>
                </c:pt>
                <c:pt idx="62">
                  <c:v>30.138000000000002</c:v>
                </c:pt>
                <c:pt idx="63">
                  <c:v>31.829000000000001</c:v>
                </c:pt>
                <c:pt idx="64">
                  <c:v>10.117000000000001</c:v>
                </c:pt>
                <c:pt idx="65">
                  <c:v>10.271000000000001</c:v>
                </c:pt>
                <c:pt idx="66">
                  <c:v>23.283999999999999</c:v>
                </c:pt>
                <c:pt idx="67">
                  <c:v>41.762</c:v>
                </c:pt>
                <c:pt idx="68">
                  <c:v>42.216000000000001</c:v>
                </c:pt>
                <c:pt idx="69">
                  <c:v>33.368000000000002</c:v>
                </c:pt>
                <c:pt idx="70">
                  <c:v>27.564</c:v>
                </c:pt>
                <c:pt idx="71">
                  <c:v>42.611000000000004</c:v>
                </c:pt>
                <c:pt idx="72">
                  <c:v>24.942</c:v>
                </c:pt>
                <c:pt idx="73">
                  <c:v>16.705000000000002</c:v>
                </c:pt>
                <c:pt idx="74">
                  <c:v>33.1</c:v>
                </c:pt>
                <c:pt idx="75">
                  <c:v>24.01</c:v>
                </c:pt>
                <c:pt idx="76">
                  <c:v>19.977</c:v>
                </c:pt>
                <c:pt idx="77">
                  <c:v>11.512</c:v>
                </c:pt>
                <c:pt idx="78">
                  <c:v>39.587000000000003</c:v>
                </c:pt>
                <c:pt idx="79">
                  <c:v>41.884999999999998</c:v>
                </c:pt>
                <c:pt idx="80">
                  <c:v>36.011000000000003</c:v>
                </c:pt>
                <c:pt idx="81">
                  <c:v>48.725000000000001</c:v>
                </c:pt>
                <c:pt idx="82">
                  <c:v>48.201999999999998</c:v>
                </c:pt>
                <c:pt idx="83">
                  <c:v>33.236000000000004</c:v>
                </c:pt>
                <c:pt idx="84">
                  <c:v>39.971000000000004</c:v>
                </c:pt>
                <c:pt idx="85">
                  <c:v>41.962000000000003</c:v>
                </c:pt>
                <c:pt idx="86">
                  <c:v>48.889000000000003</c:v>
                </c:pt>
                <c:pt idx="87">
                  <c:v>50.789000000000001</c:v>
                </c:pt>
                <c:pt idx="88">
                  <c:v>47.252000000000002</c:v>
                </c:pt>
                <c:pt idx="89">
                  <c:v>45.695999999999998</c:v>
                </c:pt>
                <c:pt idx="90">
                  <c:v>46.709000000000003</c:v>
                </c:pt>
                <c:pt idx="91">
                  <c:v>39.82</c:v>
                </c:pt>
                <c:pt idx="92">
                  <c:v>47.578000000000003</c:v>
                </c:pt>
                <c:pt idx="93">
                  <c:v>49.487000000000002</c:v>
                </c:pt>
                <c:pt idx="94">
                  <c:v>48.038000000000004</c:v>
                </c:pt>
                <c:pt idx="95">
                  <c:v>30.384</c:v>
                </c:pt>
                <c:pt idx="96">
                  <c:v>52.920999999999999</c:v>
                </c:pt>
                <c:pt idx="97">
                  <c:v>51.06</c:v>
                </c:pt>
                <c:pt idx="98">
                  <c:v>30.943999999999999</c:v>
                </c:pt>
                <c:pt idx="99">
                  <c:v>29.45</c:v>
                </c:pt>
                <c:pt idx="100">
                  <c:v>6.8109999999999999</c:v>
                </c:pt>
                <c:pt idx="101">
                  <c:v>42.923999999999999</c:v>
                </c:pt>
                <c:pt idx="102">
                  <c:v>47.614000000000004</c:v>
                </c:pt>
                <c:pt idx="103">
                  <c:v>53.371000000000002</c:v>
                </c:pt>
                <c:pt idx="104">
                  <c:v>53.621000000000002</c:v>
                </c:pt>
                <c:pt idx="105">
                  <c:v>44.728999999999999</c:v>
                </c:pt>
                <c:pt idx="106">
                  <c:v>50.551000000000002</c:v>
                </c:pt>
                <c:pt idx="107">
                  <c:v>34.558999999999997</c:v>
                </c:pt>
                <c:pt idx="108">
                  <c:v>53.556000000000004</c:v>
                </c:pt>
                <c:pt idx="109">
                  <c:v>40.917000000000002</c:v>
                </c:pt>
                <c:pt idx="110">
                  <c:v>55.329000000000001</c:v>
                </c:pt>
                <c:pt idx="111">
                  <c:v>59.761000000000003</c:v>
                </c:pt>
                <c:pt idx="112">
                  <c:v>58.84</c:v>
                </c:pt>
                <c:pt idx="113">
                  <c:v>55.628999999999998</c:v>
                </c:pt>
                <c:pt idx="114">
                  <c:v>26.945</c:v>
                </c:pt>
                <c:pt idx="115">
                  <c:v>5.9910000000000005</c:v>
                </c:pt>
                <c:pt idx="116">
                  <c:v>19.994</c:v>
                </c:pt>
                <c:pt idx="117">
                  <c:v>15.09</c:v>
                </c:pt>
                <c:pt idx="118">
                  <c:v>23.574999999999999</c:v>
                </c:pt>
                <c:pt idx="119">
                  <c:v>17.080000000000002</c:v>
                </c:pt>
                <c:pt idx="120">
                  <c:v>20.321000000000002</c:v>
                </c:pt>
                <c:pt idx="121">
                  <c:v>39.25</c:v>
                </c:pt>
                <c:pt idx="122">
                  <c:v>58.057000000000002</c:v>
                </c:pt>
                <c:pt idx="123">
                  <c:v>50.186</c:v>
                </c:pt>
                <c:pt idx="124">
                  <c:v>34.502000000000002</c:v>
                </c:pt>
                <c:pt idx="125">
                  <c:v>38.265999999999998</c:v>
                </c:pt>
                <c:pt idx="126">
                  <c:v>31.202000000000002</c:v>
                </c:pt>
                <c:pt idx="127">
                  <c:v>55.974000000000004</c:v>
                </c:pt>
                <c:pt idx="128">
                  <c:v>20.667999999999999</c:v>
                </c:pt>
                <c:pt idx="129">
                  <c:v>40.858000000000004</c:v>
                </c:pt>
                <c:pt idx="130">
                  <c:v>33.491999999999997</c:v>
                </c:pt>
                <c:pt idx="131">
                  <c:v>36.863</c:v>
                </c:pt>
                <c:pt idx="132">
                  <c:v>48.139000000000003</c:v>
                </c:pt>
                <c:pt idx="133">
                  <c:v>43.487000000000002</c:v>
                </c:pt>
                <c:pt idx="134">
                  <c:v>19.646000000000001</c:v>
                </c:pt>
                <c:pt idx="135">
                  <c:v>12.745000000000001</c:v>
                </c:pt>
                <c:pt idx="136">
                  <c:v>55.145000000000003</c:v>
                </c:pt>
                <c:pt idx="137">
                  <c:v>35.927</c:v>
                </c:pt>
                <c:pt idx="138">
                  <c:v>49.905000000000001</c:v>
                </c:pt>
                <c:pt idx="139">
                  <c:v>59.231000000000002</c:v>
                </c:pt>
                <c:pt idx="140">
                  <c:v>39.966999999999999</c:v>
                </c:pt>
                <c:pt idx="141">
                  <c:v>34.75</c:v>
                </c:pt>
                <c:pt idx="142">
                  <c:v>35.417999999999999</c:v>
                </c:pt>
                <c:pt idx="143">
                  <c:v>25.175000000000001</c:v>
                </c:pt>
                <c:pt idx="144">
                  <c:v>49.529000000000003</c:v>
                </c:pt>
                <c:pt idx="145">
                  <c:v>50.353999999999999</c:v>
                </c:pt>
                <c:pt idx="146">
                  <c:v>57.937000000000005</c:v>
                </c:pt>
                <c:pt idx="147">
                  <c:v>41.038000000000004</c:v>
                </c:pt>
                <c:pt idx="148">
                  <c:v>35.959000000000003</c:v>
                </c:pt>
                <c:pt idx="149">
                  <c:v>49.366</c:v>
                </c:pt>
                <c:pt idx="150">
                  <c:v>55.073</c:v>
                </c:pt>
                <c:pt idx="151">
                  <c:v>34.133000000000003</c:v>
                </c:pt>
                <c:pt idx="152">
                  <c:v>36.346000000000004</c:v>
                </c:pt>
                <c:pt idx="153">
                  <c:v>48.703000000000003</c:v>
                </c:pt>
                <c:pt idx="154">
                  <c:v>9.8109999999999999</c:v>
                </c:pt>
                <c:pt idx="155">
                  <c:v>42.177</c:v>
                </c:pt>
                <c:pt idx="156">
                  <c:v>44.408999999999999</c:v>
                </c:pt>
                <c:pt idx="157">
                  <c:v>52.082999999999998</c:v>
                </c:pt>
                <c:pt idx="158">
                  <c:v>56.853000000000002</c:v>
                </c:pt>
                <c:pt idx="159">
                  <c:v>55.944000000000003</c:v>
                </c:pt>
                <c:pt idx="160">
                  <c:v>55.131</c:v>
                </c:pt>
                <c:pt idx="161">
                  <c:v>44.305999999999997</c:v>
                </c:pt>
                <c:pt idx="162">
                  <c:v>45.163000000000004</c:v>
                </c:pt>
                <c:pt idx="163">
                  <c:v>54.661000000000001</c:v>
                </c:pt>
                <c:pt idx="164">
                  <c:v>51.029000000000003</c:v>
                </c:pt>
                <c:pt idx="165">
                  <c:v>50.015999999999998</c:v>
                </c:pt>
                <c:pt idx="166">
                  <c:v>48.944000000000003</c:v>
                </c:pt>
                <c:pt idx="167">
                  <c:v>15.338000000000001</c:v>
                </c:pt>
                <c:pt idx="168">
                  <c:v>39.677999999999997</c:v>
                </c:pt>
                <c:pt idx="169">
                  <c:v>32.222999999999999</c:v>
                </c:pt>
                <c:pt idx="170">
                  <c:v>33.816000000000003</c:v>
                </c:pt>
                <c:pt idx="171">
                  <c:v>34.782000000000004</c:v>
                </c:pt>
                <c:pt idx="172">
                  <c:v>39.236000000000004</c:v>
                </c:pt>
                <c:pt idx="173">
                  <c:v>24.397000000000002</c:v>
                </c:pt>
                <c:pt idx="174">
                  <c:v>36.619999999999997</c:v>
                </c:pt>
                <c:pt idx="175">
                  <c:v>52.405000000000001</c:v>
                </c:pt>
                <c:pt idx="176">
                  <c:v>54.678000000000004</c:v>
                </c:pt>
                <c:pt idx="177">
                  <c:v>7.8029999999999999</c:v>
                </c:pt>
                <c:pt idx="178">
                  <c:v>24.439</c:v>
                </c:pt>
                <c:pt idx="179">
                  <c:v>37.145000000000003</c:v>
                </c:pt>
                <c:pt idx="180">
                  <c:v>46.722000000000001</c:v>
                </c:pt>
                <c:pt idx="181">
                  <c:v>53.350999999999999</c:v>
                </c:pt>
                <c:pt idx="182">
                  <c:v>51.992000000000004</c:v>
                </c:pt>
                <c:pt idx="183">
                  <c:v>31.981999999999999</c:v>
                </c:pt>
                <c:pt idx="184">
                  <c:v>33.411999999999999</c:v>
                </c:pt>
                <c:pt idx="185">
                  <c:v>55.834000000000003</c:v>
                </c:pt>
                <c:pt idx="186">
                  <c:v>21.100999999999999</c:v>
                </c:pt>
                <c:pt idx="187">
                  <c:v>34.914999999999999</c:v>
                </c:pt>
                <c:pt idx="188">
                  <c:v>51.136000000000003</c:v>
                </c:pt>
                <c:pt idx="189">
                  <c:v>56.344000000000001</c:v>
                </c:pt>
                <c:pt idx="190">
                  <c:v>48.957000000000001</c:v>
                </c:pt>
                <c:pt idx="191">
                  <c:v>49.518999999999998</c:v>
                </c:pt>
                <c:pt idx="192">
                  <c:v>13.056000000000001</c:v>
                </c:pt>
                <c:pt idx="193">
                  <c:v>29.678000000000001</c:v>
                </c:pt>
                <c:pt idx="194">
                  <c:v>30.536999999999999</c:v>
                </c:pt>
                <c:pt idx="195">
                  <c:v>34.570999999999998</c:v>
                </c:pt>
                <c:pt idx="196">
                  <c:v>41.052</c:v>
                </c:pt>
                <c:pt idx="197">
                  <c:v>55.783000000000001</c:v>
                </c:pt>
                <c:pt idx="198">
                  <c:v>50.186</c:v>
                </c:pt>
                <c:pt idx="199">
                  <c:v>55.381999999999998</c:v>
                </c:pt>
                <c:pt idx="200">
                  <c:v>46.127000000000002</c:v>
                </c:pt>
                <c:pt idx="201">
                  <c:v>45.012</c:v>
                </c:pt>
                <c:pt idx="202">
                  <c:v>52.375999999999998</c:v>
                </c:pt>
                <c:pt idx="203">
                  <c:v>43.557000000000002</c:v>
                </c:pt>
                <c:pt idx="204">
                  <c:v>32.731999999999999</c:v>
                </c:pt>
                <c:pt idx="205">
                  <c:v>36.186999999999998</c:v>
                </c:pt>
                <c:pt idx="206">
                  <c:v>31.919</c:v>
                </c:pt>
                <c:pt idx="207">
                  <c:v>48.087000000000003</c:v>
                </c:pt>
                <c:pt idx="208">
                  <c:v>26.516000000000002</c:v>
                </c:pt>
                <c:pt idx="209">
                  <c:v>52.902000000000001</c:v>
                </c:pt>
                <c:pt idx="210">
                  <c:v>17.483000000000001</c:v>
                </c:pt>
                <c:pt idx="211">
                  <c:v>12.393000000000001</c:v>
                </c:pt>
                <c:pt idx="212">
                  <c:v>45.047000000000004</c:v>
                </c:pt>
                <c:pt idx="213">
                  <c:v>52.929000000000002</c:v>
                </c:pt>
                <c:pt idx="214">
                  <c:v>35.661999999999999</c:v>
                </c:pt>
                <c:pt idx="215">
                  <c:v>31.269000000000002</c:v>
                </c:pt>
                <c:pt idx="216">
                  <c:v>47.258000000000003</c:v>
                </c:pt>
                <c:pt idx="217">
                  <c:v>19.253</c:v>
                </c:pt>
                <c:pt idx="218">
                  <c:v>23.314</c:v>
                </c:pt>
                <c:pt idx="219">
                  <c:v>35.923000000000002</c:v>
                </c:pt>
                <c:pt idx="220">
                  <c:v>53.353999999999999</c:v>
                </c:pt>
                <c:pt idx="221">
                  <c:v>49.481000000000002</c:v>
                </c:pt>
                <c:pt idx="222">
                  <c:v>49.133000000000003</c:v>
                </c:pt>
                <c:pt idx="223">
                  <c:v>47.423999999999999</c:v>
                </c:pt>
                <c:pt idx="224">
                  <c:v>30.151</c:v>
                </c:pt>
                <c:pt idx="225">
                  <c:v>48.164999999999999</c:v>
                </c:pt>
                <c:pt idx="226">
                  <c:v>20.164999999999999</c:v>
                </c:pt>
                <c:pt idx="227">
                  <c:v>31.664000000000001</c:v>
                </c:pt>
                <c:pt idx="228">
                  <c:v>41.774000000000001</c:v>
                </c:pt>
                <c:pt idx="229">
                  <c:v>50.478999999999999</c:v>
                </c:pt>
                <c:pt idx="230">
                  <c:v>46.716999999999999</c:v>
                </c:pt>
                <c:pt idx="231">
                  <c:v>50.893999999999998</c:v>
                </c:pt>
                <c:pt idx="232">
                  <c:v>47.791000000000004</c:v>
                </c:pt>
                <c:pt idx="233">
                  <c:v>18.762</c:v>
                </c:pt>
                <c:pt idx="234">
                  <c:v>46.919000000000004</c:v>
                </c:pt>
                <c:pt idx="235">
                  <c:v>45.497</c:v>
                </c:pt>
                <c:pt idx="236">
                  <c:v>47.905000000000001</c:v>
                </c:pt>
                <c:pt idx="237">
                  <c:v>50.039000000000001</c:v>
                </c:pt>
                <c:pt idx="238">
                  <c:v>45.731000000000002</c:v>
                </c:pt>
                <c:pt idx="239">
                  <c:v>51.667999999999999</c:v>
                </c:pt>
                <c:pt idx="240">
                  <c:v>51.247999999999998</c:v>
                </c:pt>
                <c:pt idx="241">
                  <c:v>49.806000000000004</c:v>
                </c:pt>
                <c:pt idx="242">
                  <c:v>49.74</c:v>
                </c:pt>
                <c:pt idx="243">
                  <c:v>31.655000000000001</c:v>
                </c:pt>
                <c:pt idx="244">
                  <c:v>20.018000000000001</c:v>
                </c:pt>
                <c:pt idx="245">
                  <c:v>28.414999999999999</c:v>
                </c:pt>
                <c:pt idx="246">
                  <c:v>41.801000000000002</c:v>
                </c:pt>
                <c:pt idx="247">
                  <c:v>44.980000000000004</c:v>
                </c:pt>
                <c:pt idx="248">
                  <c:v>48.737000000000002</c:v>
                </c:pt>
                <c:pt idx="249">
                  <c:v>37.676000000000002</c:v>
                </c:pt>
                <c:pt idx="250">
                  <c:v>31.346</c:v>
                </c:pt>
                <c:pt idx="251">
                  <c:v>18.021000000000001</c:v>
                </c:pt>
                <c:pt idx="252">
                  <c:v>39.835999999999999</c:v>
                </c:pt>
                <c:pt idx="253">
                  <c:v>40.49</c:v>
                </c:pt>
                <c:pt idx="254">
                  <c:v>46.282000000000004</c:v>
                </c:pt>
                <c:pt idx="255">
                  <c:v>33.131999999999998</c:v>
                </c:pt>
                <c:pt idx="256">
                  <c:v>20.498999999999999</c:v>
                </c:pt>
                <c:pt idx="257">
                  <c:v>30.490000000000002</c:v>
                </c:pt>
                <c:pt idx="258">
                  <c:v>21.859000000000002</c:v>
                </c:pt>
                <c:pt idx="259">
                  <c:v>44.356999999999999</c:v>
                </c:pt>
                <c:pt idx="260">
                  <c:v>8.2710000000000008</c:v>
                </c:pt>
                <c:pt idx="261">
                  <c:v>30.018000000000001</c:v>
                </c:pt>
                <c:pt idx="262">
                  <c:v>27.693000000000001</c:v>
                </c:pt>
                <c:pt idx="263">
                  <c:v>13.183</c:v>
                </c:pt>
                <c:pt idx="264">
                  <c:v>43.204999999999998</c:v>
                </c:pt>
                <c:pt idx="265">
                  <c:v>36.15</c:v>
                </c:pt>
                <c:pt idx="266">
                  <c:v>38.792999999999999</c:v>
                </c:pt>
                <c:pt idx="267">
                  <c:v>30.574000000000002</c:v>
                </c:pt>
                <c:pt idx="268">
                  <c:v>33.753999999999998</c:v>
                </c:pt>
                <c:pt idx="269">
                  <c:v>24.657</c:v>
                </c:pt>
                <c:pt idx="270">
                  <c:v>26.718</c:v>
                </c:pt>
                <c:pt idx="271">
                  <c:v>27.98</c:v>
                </c:pt>
                <c:pt idx="272">
                  <c:v>21.388000000000002</c:v>
                </c:pt>
                <c:pt idx="273">
                  <c:v>32.515999999999998</c:v>
                </c:pt>
                <c:pt idx="274">
                  <c:v>40.106999999999999</c:v>
                </c:pt>
                <c:pt idx="275">
                  <c:v>5.8140000000000001</c:v>
                </c:pt>
                <c:pt idx="276">
                  <c:v>34.237000000000002</c:v>
                </c:pt>
                <c:pt idx="277">
                  <c:v>12.084</c:v>
                </c:pt>
                <c:pt idx="278">
                  <c:v>34.835000000000001</c:v>
                </c:pt>
                <c:pt idx="279">
                  <c:v>42.142000000000003</c:v>
                </c:pt>
                <c:pt idx="280">
                  <c:v>41.384999999999998</c:v>
                </c:pt>
                <c:pt idx="281">
                  <c:v>14.503</c:v>
                </c:pt>
                <c:pt idx="282">
                  <c:v>25.797000000000001</c:v>
                </c:pt>
                <c:pt idx="283">
                  <c:v>40.817999999999998</c:v>
                </c:pt>
                <c:pt idx="284">
                  <c:v>39.311</c:v>
                </c:pt>
                <c:pt idx="285">
                  <c:v>37.486000000000004</c:v>
                </c:pt>
                <c:pt idx="286">
                  <c:v>41.54</c:v>
                </c:pt>
                <c:pt idx="287">
                  <c:v>34.92</c:v>
                </c:pt>
                <c:pt idx="288">
                  <c:v>37.517000000000003</c:v>
                </c:pt>
                <c:pt idx="289">
                  <c:v>34.874000000000002</c:v>
                </c:pt>
                <c:pt idx="290">
                  <c:v>35.161999999999999</c:v>
                </c:pt>
                <c:pt idx="291">
                  <c:v>35.005000000000003</c:v>
                </c:pt>
                <c:pt idx="292">
                  <c:v>27.988</c:v>
                </c:pt>
                <c:pt idx="293">
                  <c:v>10.713000000000001</c:v>
                </c:pt>
                <c:pt idx="294">
                  <c:v>12.898</c:v>
                </c:pt>
                <c:pt idx="295">
                  <c:v>34.956000000000003</c:v>
                </c:pt>
                <c:pt idx="296">
                  <c:v>37.701999999999998</c:v>
                </c:pt>
                <c:pt idx="297">
                  <c:v>35.335999999999999</c:v>
                </c:pt>
                <c:pt idx="298">
                  <c:v>23.634</c:v>
                </c:pt>
                <c:pt idx="299">
                  <c:v>34.532000000000004</c:v>
                </c:pt>
                <c:pt idx="300">
                  <c:v>35.218000000000004</c:v>
                </c:pt>
                <c:pt idx="301">
                  <c:v>17.907</c:v>
                </c:pt>
                <c:pt idx="302">
                  <c:v>11.586</c:v>
                </c:pt>
                <c:pt idx="303">
                  <c:v>18.838000000000001</c:v>
                </c:pt>
                <c:pt idx="304">
                  <c:v>18.061</c:v>
                </c:pt>
                <c:pt idx="305">
                  <c:v>29.251999999999999</c:v>
                </c:pt>
                <c:pt idx="306">
                  <c:v>17.064</c:v>
                </c:pt>
                <c:pt idx="307">
                  <c:v>13.427</c:v>
                </c:pt>
                <c:pt idx="308">
                  <c:v>12.125</c:v>
                </c:pt>
                <c:pt idx="309">
                  <c:v>20.629000000000001</c:v>
                </c:pt>
                <c:pt idx="310">
                  <c:v>10.382</c:v>
                </c:pt>
                <c:pt idx="311">
                  <c:v>24.682000000000002</c:v>
                </c:pt>
                <c:pt idx="312">
                  <c:v>20.68</c:v>
                </c:pt>
                <c:pt idx="313">
                  <c:v>5.6040000000000001</c:v>
                </c:pt>
                <c:pt idx="314">
                  <c:v>8.8049999999999997</c:v>
                </c:pt>
                <c:pt idx="315">
                  <c:v>8.1790000000000003</c:v>
                </c:pt>
                <c:pt idx="316">
                  <c:v>5.3620000000000001</c:v>
                </c:pt>
                <c:pt idx="317">
                  <c:v>4.5830000000000002</c:v>
                </c:pt>
                <c:pt idx="318">
                  <c:v>6.4660000000000002</c:v>
                </c:pt>
                <c:pt idx="319">
                  <c:v>8.8040000000000003</c:v>
                </c:pt>
                <c:pt idx="320">
                  <c:v>2.7530000000000001</c:v>
                </c:pt>
                <c:pt idx="321">
                  <c:v>19.635000000000002</c:v>
                </c:pt>
                <c:pt idx="322">
                  <c:v>28.365000000000002</c:v>
                </c:pt>
                <c:pt idx="323">
                  <c:v>21.89</c:v>
                </c:pt>
                <c:pt idx="324">
                  <c:v>9.8239999999999998</c:v>
                </c:pt>
                <c:pt idx="325">
                  <c:v>18.297000000000001</c:v>
                </c:pt>
                <c:pt idx="326">
                  <c:v>11.853</c:v>
                </c:pt>
                <c:pt idx="327">
                  <c:v>0.97399999999999998</c:v>
                </c:pt>
                <c:pt idx="328">
                  <c:v>14.593999999999999</c:v>
                </c:pt>
                <c:pt idx="329">
                  <c:v>7.524</c:v>
                </c:pt>
                <c:pt idx="330">
                  <c:v>12.58</c:v>
                </c:pt>
                <c:pt idx="331">
                  <c:v>5.8929999999999998</c:v>
                </c:pt>
                <c:pt idx="332">
                  <c:v>6.8129999999999997</c:v>
                </c:pt>
                <c:pt idx="333">
                  <c:v>22.774000000000001</c:v>
                </c:pt>
                <c:pt idx="334">
                  <c:v>4.3650000000000002</c:v>
                </c:pt>
                <c:pt idx="335">
                  <c:v>9.1129999999999995</c:v>
                </c:pt>
                <c:pt idx="336">
                  <c:v>16.03</c:v>
                </c:pt>
                <c:pt idx="337">
                  <c:v>7.0339999999999998</c:v>
                </c:pt>
                <c:pt idx="338">
                  <c:v>6.9740000000000002</c:v>
                </c:pt>
                <c:pt idx="339">
                  <c:v>10.715</c:v>
                </c:pt>
                <c:pt idx="340">
                  <c:v>5.9320000000000004</c:v>
                </c:pt>
                <c:pt idx="341">
                  <c:v>10.133000000000001</c:v>
                </c:pt>
                <c:pt idx="342">
                  <c:v>8.0839999999999996</c:v>
                </c:pt>
                <c:pt idx="343">
                  <c:v>2.2120000000000002</c:v>
                </c:pt>
                <c:pt idx="344">
                  <c:v>12.759</c:v>
                </c:pt>
                <c:pt idx="345">
                  <c:v>23.962</c:v>
                </c:pt>
                <c:pt idx="346">
                  <c:v>24.384</c:v>
                </c:pt>
                <c:pt idx="347">
                  <c:v>24.539000000000001</c:v>
                </c:pt>
                <c:pt idx="348">
                  <c:v>22.727</c:v>
                </c:pt>
                <c:pt idx="349">
                  <c:v>24.138999999999999</c:v>
                </c:pt>
                <c:pt idx="350">
                  <c:v>24.265000000000001</c:v>
                </c:pt>
                <c:pt idx="351">
                  <c:v>24.471</c:v>
                </c:pt>
                <c:pt idx="352">
                  <c:v>24.028000000000002</c:v>
                </c:pt>
                <c:pt idx="353">
                  <c:v>24.557000000000002</c:v>
                </c:pt>
                <c:pt idx="354">
                  <c:v>19.010000000000002</c:v>
                </c:pt>
                <c:pt idx="355">
                  <c:v>23.795999999999999</c:v>
                </c:pt>
                <c:pt idx="356">
                  <c:v>5.4830000000000005</c:v>
                </c:pt>
                <c:pt idx="357">
                  <c:v>10.665000000000001</c:v>
                </c:pt>
                <c:pt idx="358">
                  <c:v>9.0129999999999999</c:v>
                </c:pt>
                <c:pt idx="359">
                  <c:v>11.58</c:v>
                </c:pt>
                <c:pt idx="360">
                  <c:v>12.75</c:v>
                </c:pt>
                <c:pt idx="361">
                  <c:v>5.0149999999999997</c:v>
                </c:pt>
                <c:pt idx="362">
                  <c:v>5.46</c:v>
                </c:pt>
                <c:pt idx="363">
                  <c:v>18.02</c:v>
                </c:pt>
                <c:pt idx="364">
                  <c:v>24.346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7464"/>
        <c:axId val="591167856"/>
      </c:lineChart>
      <c:dateAx>
        <c:axId val="591167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7856"/>
        <c:crosses val="autoZero"/>
        <c:auto val="1"/>
        <c:lblOffset val="100"/>
        <c:baseTimeUnit val="days"/>
        <c:majorUnit val="1"/>
        <c:majorTimeUnit val="months"/>
      </c:dateAx>
      <c:valAx>
        <c:axId val="591167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74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26.029385772777914</c:v>
                </c:pt>
                <c:pt idx="1">
                  <c:v>26.190948461041952</c:v>
                </c:pt>
                <c:pt idx="2">
                  <c:v>26.362606648121503</c:v>
                </c:pt>
                <c:pt idx="3">
                  <c:v>26.543768008782866</c:v>
                </c:pt>
                <c:pt idx="4">
                  <c:v>26.733840222215736</c:v>
                </c:pt>
                <c:pt idx="5">
                  <c:v>26.932230964381123</c:v>
                </c:pt>
                <c:pt idx="6">
                  <c:v>27.138347914763628</c:v>
                </c:pt>
                <c:pt idx="7">
                  <c:v>27.351598746434224</c:v>
                </c:pt>
                <c:pt idx="8">
                  <c:v>27.575270121372643</c:v>
                </c:pt>
                <c:pt idx="9">
                  <c:v>27.812336053484891</c:v>
                </c:pt>
                <c:pt idx="10">
                  <c:v>28.061735257900782</c:v>
                </c:pt>
                <c:pt idx="11">
                  <c:v>28.322406445156322</c:v>
                </c:pt>
                <c:pt idx="12">
                  <c:v>28.593288328947498</c:v>
                </c:pt>
                <c:pt idx="13">
                  <c:v>28.873319620544621</c:v>
                </c:pt>
                <c:pt idx="14">
                  <c:v>29.161439034116594</c:v>
                </c:pt>
                <c:pt idx="15">
                  <c:v>29.456585284219791</c:v>
                </c:pt>
                <c:pt idx="16">
                  <c:v>29.757697087537313</c:v>
                </c:pt>
                <c:pt idx="17">
                  <c:v>30.063713156977915</c:v>
                </c:pt>
                <c:pt idx="18">
                  <c:v>30.373572207159242</c:v>
                </c:pt>
                <c:pt idx="19">
                  <c:v>30.686212951571857</c:v>
                </c:pt>
                <c:pt idx="20">
                  <c:v>31.00057410573806</c:v>
                </c:pt>
                <c:pt idx="21">
                  <c:v>31.315594383693817</c:v>
                </c:pt>
                <c:pt idx="22">
                  <c:v>31.633804712745082</c:v>
                </c:pt>
                <c:pt idx="23">
                  <c:v>31.958154629484198</c:v>
                </c:pt>
                <c:pt idx="24">
                  <c:v>32.288210748319607</c:v>
                </c:pt>
                <c:pt idx="25">
                  <c:v>32.623539690446378</c:v>
                </c:pt>
                <c:pt idx="26">
                  <c:v>32.963708076038586</c:v>
                </c:pt>
                <c:pt idx="27">
                  <c:v>33.308282526846924</c:v>
                </c:pt>
                <c:pt idx="28">
                  <c:v>33.656829664380304</c:v>
                </c:pt>
                <c:pt idx="29">
                  <c:v>34.008916092648882</c:v>
                </c:pt>
                <c:pt idx="30">
                  <c:v>34.364108415239734</c:v>
                </c:pt>
                <c:pt idx="31">
                  <c:v>34.721973248808887</c:v>
                </c:pt>
                <c:pt idx="32">
                  <c:v>35.082077208067126</c:v>
                </c:pt>
                <c:pt idx="33">
                  <c:v>35.44398690999919</c:v>
                </c:pt>
                <c:pt idx="34">
                  <c:v>35.807268970418605</c:v>
                </c:pt>
                <c:pt idx="35">
                  <c:v>36.171490004406692</c:v>
                </c:pt>
                <c:pt idx="36">
                  <c:v>36.53964756677528</c:v>
                </c:pt>
                <c:pt idx="37">
                  <c:v>36.914305815981223</c:v>
                </c:pt>
                <c:pt idx="38">
                  <c:v>37.294381285307345</c:v>
                </c:pt>
                <c:pt idx="39">
                  <c:v>37.678790511346634</c:v>
                </c:pt>
                <c:pt idx="40">
                  <c:v>38.06645003345583</c:v>
                </c:pt>
                <c:pt idx="41">
                  <c:v>38.456276387116105</c:v>
                </c:pt>
                <c:pt idx="42">
                  <c:v>38.847186108200795</c:v>
                </c:pt>
                <c:pt idx="43">
                  <c:v>39.238095749577298</c:v>
                </c:pt>
                <c:pt idx="44">
                  <c:v>39.627921886536484</c:v>
                </c:pt>
                <c:pt idx="45">
                  <c:v>40.015581060471838</c:v>
                </c:pt>
                <c:pt idx="46">
                  <c:v>40.399989814712129</c:v>
                </c:pt>
                <c:pt idx="47">
                  <c:v>40.78006469070688</c:v>
                </c:pt>
                <c:pt idx="48">
                  <c:v>41.154722230038388</c:v>
                </c:pt>
                <c:pt idx="49">
                  <c:v>41.522878974623865</c:v>
                </c:pt>
                <c:pt idx="50">
                  <c:v>41.885455856355037</c:v>
                </c:pt>
                <c:pt idx="51">
                  <c:v>42.244312823966872</c:v>
                </c:pt>
                <c:pt idx="52">
                  <c:v>42.599774946367653</c:v>
                </c:pt>
                <c:pt idx="53">
                  <c:v>42.95216726349166</c:v>
                </c:pt>
                <c:pt idx="54">
                  <c:v>43.301814814763297</c:v>
                </c:pt>
                <c:pt idx="55">
                  <c:v>43.649042643215296</c:v>
                </c:pt>
                <c:pt idx="56">
                  <c:v>43.994175788907732</c:v>
                </c:pt>
                <c:pt idx="57">
                  <c:v>44.337539276587982</c:v>
                </c:pt>
                <c:pt idx="58">
                  <c:v>44.679458112415375</c:v>
                </c:pt>
                <c:pt idx="59">
                  <c:v>45.020257332421522</c:v>
                </c:pt>
                <c:pt idx="60">
                  <c:v>45.360261972245716</c:v>
                </c:pt>
                <c:pt idx="61">
                  <c:v>45.699797067510943</c:v>
                </c:pt>
                <c:pt idx="62">
                  <c:v>46.039187654386559</c:v>
                </c:pt>
                <c:pt idx="63">
                  <c:v>46.378758768474754</c:v>
                </c:pt>
                <c:pt idx="64">
                  <c:v>46.718492352111198</c:v>
                </c:pt>
                <c:pt idx="65">
                  <c:v>47.058009160201259</c:v>
                </c:pt>
                <c:pt idx="66">
                  <c:v>47.397092455475992</c:v>
                </c:pt>
                <c:pt idx="67">
                  <c:v>47.735525535918732</c:v>
                </c:pt>
                <c:pt idx="68">
                  <c:v>48.073091698899347</c:v>
                </c:pt>
                <c:pt idx="69">
                  <c:v>48.409574240629986</c:v>
                </c:pt>
                <c:pt idx="70">
                  <c:v>48.744756457054578</c:v>
                </c:pt>
                <c:pt idx="71">
                  <c:v>49.07842168316072</c:v>
                </c:pt>
                <c:pt idx="72">
                  <c:v>49.410353250734374</c:v>
                </c:pt>
                <c:pt idx="73">
                  <c:v>49.740334462406601</c:v>
                </c:pt>
                <c:pt idx="74">
                  <c:v>50.068148620590378</c:v>
                </c:pt>
                <c:pt idx="75">
                  <c:v>50.393579026997145</c:v>
                </c:pt>
                <c:pt idx="76">
                  <c:v>50.71640898327</c:v>
                </c:pt>
                <c:pt idx="77">
                  <c:v>51.036421790126106</c:v>
                </c:pt>
                <c:pt idx="78">
                  <c:v>51.356055212382209</c:v>
                </c:pt>
                <c:pt idx="79">
                  <c:v>51.677241489854595</c:v>
                </c:pt>
                <c:pt idx="80">
                  <c:v>51.999005580548122</c:v>
                </c:pt>
                <c:pt idx="81">
                  <c:v>52.320372386919068</c:v>
                </c:pt>
                <c:pt idx="82">
                  <c:v>52.640366809826183</c:v>
                </c:pt>
                <c:pt idx="83">
                  <c:v>52.95801375493582</c:v>
                </c:pt>
                <c:pt idx="84">
                  <c:v>53.27233812705407</c:v>
                </c:pt>
                <c:pt idx="85">
                  <c:v>53.582364857070239</c:v>
                </c:pt>
                <c:pt idx="86">
                  <c:v>53.88711877999291</c:v>
                </c:pt>
                <c:pt idx="87">
                  <c:v>54.185624801105106</c:v>
                </c:pt>
                <c:pt idx="88">
                  <c:v>54.476907825862909</c:v>
                </c:pt>
                <c:pt idx="89">
                  <c:v>54.759992760831054</c:v>
                </c:pt>
                <c:pt idx="90">
                  <c:v>55.033904511858786</c:v>
                </c:pt>
                <c:pt idx="91">
                  <c:v>55.29766799365234</c:v>
                </c:pt>
                <c:pt idx="92">
                  <c:v>55.552980637576425</c:v>
                </c:pt>
                <c:pt idx="93">
                  <c:v>55.802117868754948</c:v>
                </c:pt>
                <c:pt idx="94">
                  <c:v>56.04497122348608</c:v>
                </c:pt>
                <c:pt idx="95">
                  <c:v>56.281432384513479</c:v>
                </c:pt>
                <c:pt idx="96">
                  <c:v>56.511393035837699</c:v>
                </c:pt>
                <c:pt idx="97">
                  <c:v>56.734744863316386</c:v>
                </c:pt>
                <c:pt idx="98">
                  <c:v>56.95137955676396</c:v>
                </c:pt>
                <c:pt idx="99">
                  <c:v>57.161188703870899</c:v>
                </c:pt>
                <c:pt idx="100">
                  <c:v>57.364063942315951</c:v>
                </c:pt>
                <c:pt idx="101">
                  <c:v>57.559896950510264</c:v>
                </c:pt>
                <c:pt idx="102">
                  <c:v>57.748579408669706</c:v>
                </c:pt>
                <c:pt idx="103">
                  <c:v>57.930003001060065</c:v>
                </c:pt>
                <c:pt idx="104">
                  <c:v>58.104059411859922</c:v>
                </c:pt>
                <c:pt idx="105">
                  <c:v>58.270640328051812</c:v>
                </c:pt>
                <c:pt idx="106">
                  <c:v>58.428969308202177</c:v>
                </c:pt>
                <c:pt idx="107">
                  <c:v>58.578630414881808</c:v>
                </c:pt>
                <c:pt idx="108">
                  <c:v>58.720056714322844</c:v>
                </c:pt>
                <c:pt idx="109">
                  <c:v>58.853681504072554</c:v>
                </c:pt>
                <c:pt idx="110">
                  <c:v>58.979938078030926</c:v>
                </c:pt>
                <c:pt idx="111">
                  <c:v>59.099259721826662</c:v>
                </c:pt>
                <c:pt idx="112">
                  <c:v>59.212079712051747</c:v>
                </c:pt>
                <c:pt idx="113">
                  <c:v>59.318830862737549</c:v>
                </c:pt>
                <c:pt idx="114">
                  <c:v>59.41994657418968</c:v>
                </c:pt>
                <c:pt idx="115">
                  <c:v>59.515860059330457</c:v>
                </c:pt>
                <c:pt idx="116">
                  <c:v>59.607004517978787</c:v>
                </c:pt>
                <c:pt idx="117">
                  <c:v>59.693813134093553</c:v>
                </c:pt>
                <c:pt idx="118">
                  <c:v>59.776719078552453</c:v>
                </c:pt>
                <c:pt idx="119">
                  <c:v>59.856155509275865</c:v>
                </c:pt>
                <c:pt idx="120">
                  <c:v>59.930533116501387</c:v>
                </c:pt>
                <c:pt idx="121">
                  <c:v>59.998262377082938</c:v>
                </c:pt>
                <c:pt idx="122">
                  <c:v>60.059777580943333</c:v>
                </c:pt>
                <c:pt idx="123">
                  <c:v>60.11551194108462</c:v>
                </c:pt>
                <c:pt idx="124">
                  <c:v>60.165898658050089</c:v>
                </c:pt>
                <c:pt idx="125">
                  <c:v>60.211370926156185</c:v>
                </c:pt>
                <c:pt idx="126">
                  <c:v>60.252361925260672</c:v>
                </c:pt>
                <c:pt idx="127">
                  <c:v>60.289304865649974</c:v>
                </c:pt>
                <c:pt idx="128">
                  <c:v>60.322633747154505</c:v>
                </c:pt>
                <c:pt idx="129">
                  <c:v>60.35278182769629</c:v>
                </c:pt>
                <c:pt idx="130">
                  <c:v>60.380182363672766</c:v>
                </c:pt>
                <c:pt idx="131">
                  <c:v>60.405268607938218</c:v>
                </c:pt>
                <c:pt idx="132">
                  <c:v>60.428473811281783</c:v>
                </c:pt>
                <c:pt idx="133">
                  <c:v>60.450231225912823</c:v>
                </c:pt>
                <c:pt idx="134">
                  <c:v>60.469890643159303</c:v>
                </c:pt>
                <c:pt idx="135">
                  <c:v>60.486513001718635</c:v>
                </c:pt>
                <c:pt idx="136">
                  <c:v>60.500098526291147</c:v>
                </c:pt>
                <c:pt idx="137">
                  <c:v>60.510647128963441</c:v>
                </c:pt>
                <c:pt idx="138">
                  <c:v>60.518158728200824</c:v>
                </c:pt>
                <c:pt idx="139">
                  <c:v>60.522633244542178</c:v>
                </c:pt>
                <c:pt idx="140">
                  <c:v>60.524070602559711</c:v>
                </c:pt>
                <c:pt idx="141">
                  <c:v>60.522471086169396</c:v>
                </c:pt>
                <c:pt idx="142">
                  <c:v>60.517834616204745</c:v>
                </c:pt>
                <c:pt idx="143">
                  <c:v>60.510161178602196</c:v>
                </c:pt>
                <c:pt idx="144">
                  <c:v>60.499450755902458</c:v>
                </c:pt>
                <c:pt idx="145">
                  <c:v>60.48570334144749</c:v>
                </c:pt>
                <c:pt idx="146">
                  <c:v>60.468918936544334</c:v>
                </c:pt>
                <c:pt idx="147">
                  <c:v>60.449097550622774</c:v>
                </c:pt>
                <c:pt idx="148">
                  <c:v>60.425300210848761</c:v>
                </c:pt>
                <c:pt idx="149">
                  <c:v>60.396877704212535</c:v>
                </c:pt>
                <c:pt idx="150">
                  <c:v>60.358351129801157</c:v>
                </c:pt>
                <c:pt idx="151">
                  <c:v>60.316072261324884</c:v>
                </c:pt>
                <c:pt idx="152">
                  <c:v>60.270475681987179</c:v>
                </c:pt>
                <c:pt idx="153">
                  <c:v>60.221995834036065</c:v>
                </c:pt>
                <c:pt idx="154">
                  <c:v>60.17106701215706</c:v>
                </c:pt>
                <c:pt idx="155">
                  <c:v>60.118124537212978</c:v>
                </c:pt>
                <c:pt idx="156">
                  <c:v>60.063601949204127</c:v>
                </c:pt>
                <c:pt idx="157">
                  <c:v>60.007933159324502</c:v>
                </c:pt>
                <c:pt idx="158">
                  <c:v>59.951551931085064</c:v>
                </c:pt>
                <c:pt idx="159">
                  <c:v>59.894891877238337</c:v>
                </c:pt>
                <c:pt idx="160">
                  <c:v>59.83838645843354</c:v>
                </c:pt>
                <c:pt idx="161">
                  <c:v>59.782468981850478</c:v>
                </c:pt>
                <c:pt idx="162">
                  <c:v>59.726490523917533</c:v>
                </c:pt>
                <c:pt idx="163">
                  <c:v>59.669515347743136</c:v>
                </c:pt>
                <c:pt idx="164">
                  <c:v>59.611543114060872</c:v>
                </c:pt>
                <c:pt idx="165">
                  <c:v>59.552574653854208</c:v>
                </c:pt>
                <c:pt idx="166">
                  <c:v>59.492610803069539</c:v>
                </c:pt>
                <c:pt idx="167">
                  <c:v>59.431652398419331</c:v>
                </c:pt>
                <c:pt idx="168">
                  <c:v>59.36970027575564</c:v>
                </c:pt>
                <c:pt idx="169">
                  <c:v>59.306756916083742</c:v>
                </c:pt>
                <c:pt idx="170">
                  <c:v>59.242821576264291</c:v>
                </c:pt>
                <c:pt idx="171">
                  <c:v>59.177895075377229</c:v>
                </c:pt>
                <c:pt idx="172">
                  <c:v>59.111978221408897</c:v>
                </c:pt>
                <c:pt idx="173">
                  <c:v>59.045071858797094</c:v>
                </c:pt>
                <c:pt idx="174">
                  <c:v>58.977176823879319</c:v>
                </c:pt>
                <c:pt idx="175">
                  <c:v>58.908293889891553</c:v>
                </c:pt>
                <c:pt idx="176">
                  <c:v>58.838189683128675</c:v>
                </c:pt>
                <c:pt idx="177">
                  <c:v>58.766704821940472</c:v>
                </c:pt>
                <c:pt idx="178">
                  <c:v>58.693946330399001</c:v>
                </c:pt>
                <c:pt idx="179">
                  <c:v>58.620023007068006</c:v>
                </c:pt>
                <c:pt idx="180">
                  <c:v>58.545043584373047</c:v>
                </c:pt>
                <c:pt idx="181">
                  <c:v>58.469116727738744</c:v>
                </c:pt>
                <c:pt idx="182">
                  <c:v>58.392351034477535</c:v>
                </c:pt>
                <c:pt idx="183">
                  <c:v>58.31485678559357</c:v>
                </c:pt>
                <c:pt idx="184">
                  <c:v>58.236740410466453</c:v>
                </c:pt>
                <c:pt idx="185">
                  <c:v>58.158110288581852</c:v>
                </c:pt>
                <c:pt idx="186">
                  <c:v>58.079074732247214</c:v>
                </c:pt>
                <c:pt idx="187">
                  <c:v>57.999741986562945</c:v>
                </c:pt>
                <c:pt idx="188">
                  <c:v>57.920220230736497</c:v>
                </c:pt>
                <c:pt idx="189">
                  <c:v>57.840617577804657</c:v>
                </c:pt>
                <c:pt idx="190">
                  <c:v>57.76077229658349</c:v>
                </c:pt>
                <c:pt idx="191">
                  <c:v>57.680451817151607</c:v>
                </c:pt>
                <c:pt idx="192">
                  <c:v>57.599654108206437</c:v>
                </c:pt>
                <c:pt idx="193">
                  <c:v>57.518379324759522</c:v>
                </c:pt>
                <c:pt idx="194">
                  <c:v>57.436627605351511</c:v>
                </c:pt>
                <c:pt idx="195">
                  <c:v>57.354399072870052</c:v>
                </c:pt>
                <c:pt idx="196">
                  <c:v>57.27169383637407</c:v>
                </c:pt>
                <c:pt idx="197">
                  <c:v>57.188512245459187</c:v>
                </c:pt>
                <c:pt idx="198">
                  <c:v>57.104852363176235</c:v>
                </c:pt>
                <c:pt idx="199">
                  <c:v>57.020714226510052</c:v>
                </c:pt>
                <c:pt idx="200">
                  <c:v>56.936097866091252</c:v>
                </c:pt>
                <c:pt idx="201">
                  <c:v>56.851003308186016</c:v>
                </c:pt>
                <c:pt idx="202">
                  <c:v>56.765430574716319</c:v>
                </c:pt>
                <c:pt idx="203">
                  <c:v>56.679379685194661</c:v>
                </c:pt>
                <c:pt idx="204">
                  <c:v>56.593551151302584</c:v>
                </c:pt>
                <c:pt idx="205">
                  <c:v>56.508429894387007</c:v>
                </c:pt>
                <c:pt idx="206">
                  <c:v>56.423691184761097</c:v>
                </c:pt>
                <c:pt idx="207">
                  <c:v>56.339011574317581</c:v>
                </c:pt>
                <c:pt idx="208">
                  <c:v>56.254067741145107</c:v>
                </c:pt>
                <c:pt idx="209">
                  <c:v>56.16853648949003</c:v>
                </c:pt>
                <c:pt idx="210">
                  <c:v>56.082094751230876</c:v>
                </c:pt>
                <c:pt idx="211">
                  <c:v>55.994418146392206</c:v>
                </c:pt>
                <c:pt idx="212">
                  <c:v>55.905183566389717</c:v>
                </c:pt>
                <c:pt idx="213">
                  <c:v>55.814068306198372</c:v>
                </c:pt>
                <c:pt idx="214">
                  <c:v>55.720749787333965</c:v>
                </c:pt>
                <c:pt idx="215">
                  <c:v>55.624905561074549</c:v>
                </c:pt>
                <c:pt idx="216">
                  <c:v>55.526213306412487</c:v>
                </c:pt>
                <c:pt idx="217">
                  <c:v>55.424350832411918</c:v>
                </c:pt>
                <c:pt idx="218">
                  <c:v>55.319803256475176</c:v>
                </c:pt>
                <c:pt idx="219">
                  <c:v>55.213265996518082</c:v>
                </c:pt>
                <c:pt idx="220">
                  <c:v>55.104739299267742</c:v>
                </c:pt>
                <c:pt idx="221">
                  <c:v>54.994223617986371</c:v>
                </c:pt>
                <c:pt idx="222">
                  <c:v>54.881719415123079</c:v>
                </c:pt>
                <c:pt idx="223">
                  <c:v>54.767227165493786</c:v>
                </c:pt>
                <c:pt idx="224">
                  <c:v>54.650747349356003</c:v>
                </c:pt>
                <c:pt idx="225">
                  <c:v>54.53227157610462</c:v>
                </c:pt>
                <c:pt idx="226">
                  <c:v>54.41180179245984</c:v>
                </c:pt>
                <c:pt idx="227">
                  <c:v>54.289338464650889</c:v>
                </c:pt>
                <c:pt idx="228">
                  <c:v>54.164882067502013</c:v>
                </c:pt>
                <c:pt idx="229">
                  <c:v>54.038433089227844</c:v>
                </c:pt>
                <c:pt idx="230">
                  <c:v>53.909992028576781</c:v>
                </c:pt>
                <c:pt idx="231">
                  <c:v>53.77955939634333</c:v>
                </c:pt>
                <c:pt idx="232">
                  <c:v>53.648532999094662</c:v>
                </c:pt>
                <c:pt idx="233">
                  <c:v>53.517878197574703</c:v>
                </c:pt>
                <c:pt idx="234">
                  <c:v>53.386954984963999</c:v>
                </c:pt>
                <c:pt idx="235">
                  <c:v>53.255118722903291</c:v>
                </c:pt>
                <c:pt idx="236">
                  <c:v>53.121725019249489</c:v>
                </c:pt>
                <c:pt idx="237">
                  <c:v>52.98612973087689</c:v>
                </c:pt>
                <c:pt idx="238">
                  <c:v>52.847688957706822</c:v>
                </c:pt>
                <c:pt idx="239">
                  <c:v>52.705762700256884</c:v>
                </c:pt>
                <c:pt idx="240">
                  <c:v>52.559716631681233</c:v>
                </c:pt>
                <c:pt idx="241">
                  <c:v>52.408907607290821</c:v>
                </c:pt>
                <c:pt idx="242">
                  <c:v>52.252692723108034</c:v>
                </c:pt>
                <c:pt idx="243">
                  <c:v>52.09042930608333</c:v>
                </c:pt>
                <c:pt idx="244">
                  <c:v>51.921474924078979</c:v>
                </c:pt>
                <c:pt idx="245">
                  <c:v>51.745187376841884</c:v>
                </c:pt>
                <c:pt idx="246">
                  <c:v>51.562302286931427</c:v>
                </c:pt>
                <c:pt idx="247">
                  <c:v>51.374056746375935</c:v>
                </c:pt>
                <c:pt idx="248">
                  <c:v>51.180561702106637</c:v>
                </c:pt>
                <c:pt idx="249">
                  <c:v>50.981926000754854</c:v>
                </c:pt>
                <c:pt idx="250">
                  <c:v>50.778258447263788</c:v>
                </c:pt>
                <c:pt idx="251">
                  <c:v>50.569667805346469</c:v>
                </c:pt>
                <c:pt idx="252">
                  <c:v>50.356262799477527</c:v>
                </c:pt>
                <c:pt idx="253">
                  <c:v>50.138156006784548</c:v>
                </c:pt>
                <c:pt idx="254">
                  <c:v>49.915452399027707</c:v>
                </c:pt>
                <c:pt idx="255">
                  <c:v>49.688260582038097</c:v>
                </c:pt>
                <c:pt idx="256">
                  <c:v>49.456689113642575</c:v>
                </c:pt>
                <c:pt idx="257">
                  <c:v>49.220846515789397</c:v>
                </c:pt>
                <c:pt idx="258">
                  <c:v>48.980841265617286</c:v>
                </c:pt>
                <c:pt idx="259">
                  <c:v>48.73678180160622</c:v>
                </c:pt>
                <c:pt idx="260">
                  <c:v>48.487114775056057</c:v>
                </c:pt>
                <c:pt idx="261">
                  <c:v>48.230647229087893</c:v>
                </c:pt>
                <c:pt idx="262">
                  <c:v>47.968023381596169</c:v>
                </c:pt>
                <c:pt idx="263">
                  <c:v>47.699888035753972</c:v>
                </c:pt>
                <c:pt idx="264">
                  <c:v>47.426885760268284</c:v>
                </c:pt>
                <c:pt idx="265">
                  <c:v>47.149660865031152</c:v>
                </c:pt>
                <c:pt idx="266">
                  <c:v>46.868857426809143</c:v>
                </c:pt>
                <c:pt idx="267">
                  <c:v>46.585116503562162</c:v>
                </c:pt>
                <c:pt idx="268">
                  <c:v>46.299077901888687</c:v>
                </c:pt>
                <c:pt idx="269">
                  <c:v>46.011385042003567</c:v>
                </c:pt>
                <c:pt idx="270">
                  <c:v>45.722681109778605</c:v>
                </c:pt>
                <c:pt idx="271">
                  <c:v>45.433609054679387</c:v>
                </c:pt>
                <c:pt idx="272">
                  <c:v>45.144811594204519</c:v>
                </c:pt>
                <c:pt idx="273">
                  <c:v>44.856931209921093</c:v>
                </c:pt>
                <c:pt idx="274">
                  <c:v>44.569699991826411</c:v>
                </c:pt>
                <c:pt idx="275">
                  <c:v>44.282205777061485</c:v>
                </c:pt>
                <c:pt idx="276">
                  <c:v>43.994125029877111</c:v>
                </c:pt>
                <c:pt idx="277">
                  <c:v>43.705136768680049</c:v>
                </c:pt>
                <c:pt idx="278">
                  <c:v>43.414920106891707</c:v>
                </c:pt>
                <c:pt idx="279">
                  <c:v>43.123154251897368</c:v>
                </c:pt>
                <c:pt idx="280">
                  <c:v>42.829518501694515</c:v>
                </c:pt>
                <c:pt idx="281">
                  <c:v>42.53369533085435</c:v>
                </c:pt>
                <c:pt idx="282">
                  <c:v>42.235366866135294</c:v>
                </c:pt>
                <c:pt idx="283">
                  <c:v>41.93421259777913</c:v>
                </c:pt>
                <c:pt idx="284">
                  <c:v>41.629912094830416</c:v>
                </c:pt>
                <c:pt idx="285">
                  <c:v>41.322145004059855</c:v>
                </c:pt>
                <c:pt idx="286">
                  <c:v>41.010591047552708</c:v>
                </c:pt>
                <c:pt idx="287">
                  <c:v>40.694930022658255</c:v>
                </c:pt>
                <c:pt idx="288">
                  <c:v>40.373094936108899</c:v>
                </c:pt>
                <c:pt idx="289">
                  <c:v>40.044021008178973</c:v>
                </c:pt>
                <c:pt idx="290">
                  <c:v>39.708887694515376</c:v>
                </c:pt>
                <c:pt idx="291">
                  <c:v>39.368872184779029</c:v>
                </c:pt>
                <c:pt idx="292">
                  <c:v>39.025151244132253</c:v>
                </c:pt>
                <c:pt idx="293">
                  <c:v>38.678901221664702</c:v>
                </c:pt>
                <c:pt idx="294">
                  <c:v>38.331298050381399</c:v>
                </c:pt>
                <c:pt idx="295">
                  <c:v>37.983512908870289</c:v>
                </c:pt>
                <c:pt idx="296">
                  <c:v>37.636718091045672</c:v>
                </c:pt>
                <c:pt idx="297">
                  <c:v>37.292088430158948</c:v>
                </c:pt>
                <c:pt idx="298">
                  <c:v>36.95079839352438</c:v>
                </c:pt>
                <c:pt idx="299">
                  <c:v>36.614022063693113</c:v>
                </c:pt>
                <c:pt idx="300">
                  <c:v>36.282933140060969</c:v>
                </c:pt>
                <c:pt idx="301">
                  <c:v>35.958704945441937</c:v>
                </c:pt>
                <c:pt idx="302">
                  <c:v>35.639572605683441</c:v>
                </c:pt>
                <c:pt idx="303">
                  <c:v>35.322981559509984</c:v>
                </c:pt>
                <c:pt idx="304">
                  <c:v>35.008927653627524</c:v>
                </c:pt>
                <c:pt idx="305">
                  <c:v>34.697409943075286</c:v>
                </c:pt>
                <c:pt idx="306">
                  <c:v>34.388427485862238</c:v>
                </c:pt>
                <c:pt idx="307">
                  <c:v>34.081979344214602</c:v>
                </c:pt>
                <c:pt idx="308">
                  <c:v>33.778064586410387</c:v>
                </c:pt>
                <c:pt idx="309">
                  <c:v>33.476683640409505</c:v>
                </c:pt>
                <c:pt idx="310">
                  <c:v>33.177839491104201</c:v>
                </c:pt>
                <c:pt idx="311">
                  <c:v>32.881531116489278</c:v>
                </c:pt>
                <c:pt idx="312">
                  <c:v>32.58775750390766</c:v>
                </c:pt>
                <c:pt idx="313">
                  <c:v>32.296517654550193</c:v>
                </c:pt>
                <c:pt idx="314">
                  <c:v>32.0078105804822</c:v>
                </c:pt>
                <c:pt idx="315">
                  <c:v>31.721635311623118</c:v>
                </c:pt>
                <c:pt idx="316">
                  <c:v>31.436834835730249</c:v>
                </c:pt>
                <c:pt idx="317">
                  <c:v>31.152613481549146</c:v>
                </c:pt>
                <c:pt idx="318">
                  <c:v>30.869510365760018</c:v>
                </c:pt>
                <c:pt idx="319">
                  <c:v>30.588058127673641</c:v>
                </c:pt>
                <c:pt idx="320">
                  <c:v>30.308789271550978</c:v>
                </c:pt>
                <c:pt idx="321">
                  <c:v>30.032236166064497</c:v>
                </c:pt>
                <c:pt idx="322">
                  <c:v>29.758931046864099</c:v>
                </c:pt>
                <c:pt idx="323">
                  <c:v>29.489408766722903</c:v>
                </c:pt>
                <c:pt idx="324">
                  <c:v>29.224200022265745</c:v>
                </c:pt>
                <c:pt idx="325">
                  <c:v>28.963836624448579</c:v>
                </c:pt>
                <c:pt idx="326">
                  <c:v>28.708850273219245</c:v>
                </c:pt>
                <c:pt idx="327">
                  <c:v>28.459772525356879</c:v>
                </c:pt>
                <c:pt idx="328">
                  <c:v>28.217134786958802</c:v>
                </c:pt>
                <c:pt idx="329">
                  <c:v>27.981468335576167</c:v>
                </c:pt>
                <c:pt idx="330">
                  <c:v>27.748969411573395</c:v>
                </c:pt>
                <c:pt idx="331">
                  <c:v>27.516404078072391</c:v>
                </c:pt>
                <c:pt idx="332">
                  <c:v>27.285152929694068</c:v>
                </c:pt>
                <c:pt idx="333">
                  <c:v>27.056601053423311</c:v>
                </c:pt>
                <c:pt idx="334">
                  <c:v>26.83213312763014</c:v>
                </c:pt>
                <c:pt idx="335">
                  <c:v>26.613133420180038</c:v>
                </c:pt>
                <c:pt idx="336">
                  <c:v>26.40098577817329</c:v>
                </c:pt>
                <c:pt idx="337">
                  <c:v>26.197071912770493</c:v>
                </c:pt>
                <c:pt idx="338">
                  <c:v>26.002772300986642</c:v>
                </c:pt>
                <c:pt idx="339">
                  <c:v>25.819469566565122</c:v>
                </c:pt>
                <c:pt idx="340">
                  <c:v>25.648545905215425</c:v>
                </c:pt>
                <c:pt idx="341">
                  <c:v>25.491383072597205</c:v>
                </c:pt>
                <c:pt idx="342">
                  <c:v>25.349362381041303</c:v>
                </c:pt>
                <c:pt idx="343">
                  <c:v>25.223864713088979</c:v>
                </c:pt>
                <c:pt idx="344">
                  <c:v>25.112428658382328</c:v>
                </c:pt>
                <c:pt idx="345">
                  <c:v>25.011788204080133</c:v>
                </c:pt>
                <c:pt idx="346">
                  <c:v>24.922115464072125</c:v>
                </c:pt>
                <c:pt idx="347">
                  <c:v>24.843583959761556</c:v>
                </c:pt>
                <c:pt idx="348">
                  <c:v>24.776367152421948</c:v>
                </c:pt>
                <c:pt idx="349">
                  <c:v>24.720638439762602</c:v>
                </c:pt>
                <c:pt idx="350">
                  <c:v>24.67657116032554</c:v>
                </c:pt>
                <c:pt idx="351">
                  <c:v>24.644337275053765</c:v>
                </c:pt>
                <c:pt idx="352">
                  <c:v>24.624111658281855</c:v>
                </c:pt>
                <c:pt idx="353">
                  <c:v>24.61606745666688</c:v>
                </c:pt>
                <c:pt idx="354">
                  <c:v>24.620377758769958</c:v>
                </c:pt>
                <c:pt idx="355">
                  <c:v>24.637215586562107</c:v>
                </c:pt>
                <c:pt idx="356">
                  <c:v>24.666753930328085</c:v>
                </c:pt>
                <c:pt idx="357">
                  <c:v>24.709165661770953</c:v>
                </c:pt>
                <c:pt idx="358">
                  <c:v>24.765540849853281</c:v>
                </c:pt>
                <c:pt idx="359">
                  <c:v>24.836464423055492</c:v>
                </c:pt>
                <c:pt idx="360">
                  <c:v>24.921350006944767</c:v>
                </c:pt>
                <c:pt idx="361">
                  <c:v>25.019614361820292</c:v>
                </c:pt>
                <c:pt idx="362">
                  <c:v>25.130673123257214</c:v>
                </c:pt>
                <c:pt idx="363">
                  <c:v>25.253942103497515</c:v>
                </c:pt>
                <c:pt idx="364">
                  <c:v>25.388837299929683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10">
                  <c:v>12.262</c:v>
                </c:pt>
                <c:pt idx="211">
                  <c:v>49.594000000000001</c:v>
                </c:pt>
                <c:pt idx="212">
                  <c:v>52.73</c:v>
                </c:pt>
                <c:pt idx="213">
                  <c:v>53.21</c:v>
                </c:pt>
                <c:pt idx="214">
                  <c:v>53.843000000000004</c:v>
                </c:pt>
                <c:pt idx="215">
                  <c:v>52.595999999999997</c:v>
                </c:pt>
                <c:pt idx="216">
                  <c:v>52.039000000000001</c:v>
                </c:pt>
                <c:pt idx="217">
                  <c:v>51.466999999999999</c:v>
                </c:pt>
                <c:pt idx="218">
                  <c:v>36.741999999999997</c:v>
                </c:pt>
                <c:pt idx="219">
                  <c:v>46.039000000000001</c:v>
                </c:pt>
                <c:pt idx="220">
                  <c:v>13.78</c:v>
                </c:pt>
                <c:pt idx="221">
                  <c:v>50.500999999999998</c:v>
                </c:pt>
                <c:pt idx="222">
                  <c:v>53.942</c:v>
                </c:pt>
                <c:pt idx="223">
                  <c:v>51.082999999999998</c:v>
                </c:pt>
                <c:pt idx="224">
                  <c:v>28.233000000000001</c:v>
                </c:pt>
                <c:pt idx="225">
                  <c:v>35.401000000000003</c:v>
                </c:pt>
                <c:pt idx="226">
                  <c:v>54.055</c:v>
                </c:pt>
                <c:pt idx="227">
                  <c:v>50.716999999999999</c:v>
                </c:pt>
                <c:pt idx="228">
                  <c:v>31.542999999999999</c:v>
                </c:pt>
                <c:pt idx="229">
                  <c:v>28.608000000000001</c:v>
                </c:pt>
                <c:pt idx="230">
                  <c:v>50.908000000000001</c:v>
                </c:pt>
                <c:pt idx="231">
                  <c:v>52.546999999999997</c:v>
                </c:pt>
                <c:pt idx="232">
                  <c:v>51.82</c:v>
                </c:pt>
                <c:pt idx="233">
                  <c:v>51.204000000000001</c:v>
                </c:pt>
                <c:pt idx="234">
                  <c:v>45.478999999999999</c:v>
                </c:pt>
                <c:pt idx="235">
                  <c:v>39.512</c:v>
                </c:pt>
                <c:pt idx="236">
                  <c:v>23.786999999999999</c:v>
                </c:pt>
                <c:pt idx="237">
                  <c:v>52.972000000000001</c:v>
                </c:pt>
                <c:pt idx="238">
                  <c:v>52.023000000000003</c:v>
                </c:pt>
                <c:pt idx="239">
                  <c:v>43.06</c:v>
                </c:pt>
                <c:pt idx="240">
                  <c:v>32.393000000000001</c:v>
                </c:pt>
                <c:pt idx="241">
                  <c:v>44.692</c:v>
                </c:pt>
                <c:pt idx="242">
                  <c:v>45.829000000000001</c:v>
                </c:pt>
                <c:pt idx="243">
                  <c:v>52.648000000000003</c:v>
                </c:pt>
                <c:pt idx="244">
                  <c:v>50.48</c:v>
                </c:pt>
                <c:pt idx="245">
                  <c:v>51.359000000000002</c:v>
                </c:pt>
                <c:pt idx="246">
                  <c:v>47.869</c:v>
                </c:pt>
                <c:pt idx="247">
                  <c:v>43.478000000000002</c:v>
                </c:pt>
                <c:pt idx="248">
                  <c:v>29.731000000000002</c:v>
                </c:pt>
                <c:pt idx="249">
                  <c:v>36.085999999999999</c:v>
                </c:pt>
                <c:pt idx="250">
                  <c:v>46.012</c:v>
                </c:pt>
                <c:pt idx="251">
                  <c:v>32.509</c:v>
                </c:pt>
                <c:pt idx="252">
                  <c:v>39.576000000000001</c:v>
                </c:pt>
                <c:pt idx="253">
                  <c:v>48.142490275000014</c:v>
                </c:pt>
                <c:pt idx="254">
                  <c:v>31.836114200000004</c:v>
                </c:pt>
                <c:pt idx="255">
                  <c:v>22.671569085000002</c:v>
                </c:pt>
                <c:pt idx="256">
                  <c:v>30.846689225000006</c:v>
                </c:pt>
                <c:pt idx="257">
                  <c:v>37.528563325</c:v>
                </c:pt>
                <c:pt idx="258">
                  <c:v>46.651153725000029</c:v>
                </c:pt>
                <c:pt idx="259">
                  <c:v>42.795003350000023</c:v>
                </c:pt>
                <c:pt idx="260">
                  <c:v>41.677054650000009</c:v>
                </c:pt>
                <c:pt idx="261">
                  <c:v>39.671833575000029</c:v>
                </c:pt>
                <c:pt idx="262">
                  <c:v>44.641192667500007</c:v>
                </c:pt>
                <c:pt idx="263">
                  <c:v>33.489061017500006</c:v>
                </c:pt>
                <c:pt idx="264">
                  <c:v>43.48769416750001</c:v>
                </c:pt>
                <c:pt idx="265">
                  <c:v>43.693299375000009</c:v>
                </c:pt>
                <c:pt idx="266">
                  <c:v>38.512078550000005</c:v>
                </c:pt>
                <c:pt idx="267">
                  <c:v>46.007843475000008</c:v>
                </c:pt>
                <c:pt idx="268">
                  <c:v>44.839327170000004</c:v>
                </c:pt>
                <c:pt idx="269">
                  <c:v>43.940715225000012</c:v>
                </c:pt>
                <c:pt idx="270">
                  <c:v>41.608482299999999</c:v>
                </c:pt>
                <c:pt idx="271">
                  <c:v>42.791067357500019</c:v>
                </c:pt>
                <c:pt idx="272">
                  <c:v>38.802856317500002</c:v>
                </c:pt>
                <c:pt idx="273">
                  <c:v>29.685246332500007</c:v>
                </c:pt>
                <c:pt idx="274">
                  <c:v>42.323999999999998</c:v>
                </c:pt>
                <c:pt idx="275">
                  <c:v>41.363</c:v>
                </c:pt>
                <c:pt idx="276">
                  <c:v>42.933</c:v>
                </c:pt>
                <c:pt idx="277">
                  <c:v>42.63</c:v>
                </c:pt>
                <c:pt idx="278">
                  <c:v>40.26</c:v>
                </c:pt>
                <c:pt idx="279">
                  <c:v>15.375</c:v>
                </c:pt>
                <c:pt idx="280">
                  <c:v>14.853999999999999</c:v>
                </c:pt>
                <c:pt idx="281">
                  <c:v>35.183999999999997</c:v>
                </c:pt>
                <c:pt idx="282">
                  <c:v>23.265000000000001</c:v>
                </c:pt>
                <c:pt idx="283">
                  <c:v>30.029</c:v>
                </c:pt>
                <c:pt idx="284">
                  <c:v>36.470999999999997</c:v>
                </c:pt>
                <c:pt idx="285">
                  <c:v>25.565999999999999</c:v>
                </c:pt>
                <c:pt idx="286">
                  <c:v>37.838000000000001</c:v>
                </c:pt>
                <c:pt idx="287">
                  <c:v>11.430999999999999</c:v>
                </c:pt>
                <c:pt idx="288">
                  <c:v>21.439</c:v>
                </c:pt>
                <c:pt idx="289">
                  <c:v>23.695</c:v>
                </c:pt>
                <c:pt idx="290">
                  <c:v>9.5660000000000007</c:v>
                </c:pt>
                <c:pt idx="291">
                  <c:v>23.305</c:v>
                </c:pt>
                <c:pt idx="292">
                  <c:v>12.364000000000001</c:v>
                </c:pt>
                <c:pt idx="293">
                  <c:v>18.776</c:v>
                </c:pt>
                <c:pt idx="294">
                  <c:v>23.1</c:v>
                </c:pt>
                <c:pt idx="295">
                  <c:v>37.606000000000002</c:v>
                </c:pt>
                <c:pt idx="296">
                  <c:v>35.606000000000002</c:v>
                </c:pt>
                <c:pt idx="297">
                  <c:v>36.725999999999999</c:v>
                </c:pt>
                <c:pt idx="298">
                  <c:v>3.6949999999999998</c:v>
                </c:pt>
                <c:pt idx="299">
                  <c:v>7.7220000000000004</c:v>
                </c:pt>
                <c:pt idx="300">
                  <c:v>3.056</c:v>
                </c:pt>
                <c:pt idx="301">
                  <c:v>4.6829999999999998</c:v>
                </c:pt>
                <c:pt idx="302">
                  <c:v>31.773</c:v>
                </c:pt>
                <c:pt idx="303">
                  <c:v>12.034000000000001</c:v>
                </c:pt>
                <c:pt idx="304">
                  <c:v>24.353999999999999</c:v>
                </c:pt>
                <c:pt idx="305">
                  <c:v>8.1259999999999994</c:v>
                </c:pt>
                <c:pt idx="306">
                  <c:v>28.335999999999999</c:v>
                </c:pt>
                <c:pt idx="307">
                  <c:v>21.998000000000001</c:v>
                </c:pt>
                <c:pt idx="308">
                  <c:v>11.375</c:v>
                </c:pt>
                <c:pt idx="309">
                  <c:v>23.542999999999999</c:v>
                </c:pt>
                <c:pt idx="310">
                  <c:v>11.414</c:v>
                </c:pt>
                <c:pt idx="311">
                  <c:v>15.683</c:v>
                </c:pt>
                <c:pt idx="312">
                  <c:v>4.4050000000000002</c:v>
                </c:pt>
                <c:pt idx="313">
                  <c:v>19.504000000000001</c:v>
                </c:pt>
                <c:pt idx="314">
                  <c:v>26.422000000000001</c:v>
                </c:pt>
                <c:pt idx="315">
                  <c:v>27.013999999999999</c:v>
                </c:pt>
                <c:pt idx="316">
                  <c:v>7.3780000000000001</c:v>
                </c:pt>
                <c:pt idx="317">
                  <c:v>19.288</c:v>
                </c:pt>
                <c:pt idx="318">
                  <c:v>18.623000000000001</c:v>
                </c:pt>
                <c:pt idx="319">
                  <c:v>26.501999999999999</c:v>
                </c:pt>
                <c:pt idx="320">
                  <c:v>28.972999999999999</c:v>
                </c:pt>
                <c:pt idx="321">
                  <c:v>23.483000000000001</c:v>
                </c:pt>
                <c:pt idx="322">
                  <c:v>16.559000000000001</c:v>
                </c:pt>
                <c:pt idx="323">
                  <c:v>11.773999999999999</c:v>
                </c:pt>
                <c:pt idx="324">
                  <c:v>28.457999999999998</c:v>
                </c:pt>
                <c:pt idx="325">
                  <c:v>24.3</c:v>
                </c:pt>
                <c:pt idx="326">
                  <c:v>15.225</c:v>
                </c:pt>
                <c:pt idx="327">
                  <c:v>22.401</c:v>
                </c:pt>
                <c:pt idx="328">
                  <c:v>11.16</c:v>
                </c:pt>
                <c:pt idx="329">
                  <c:v>4.0960000000000001</c:v>
                </c:pt>
                <c:pt idx="330">
                  <c:v>25.331</c:v>
                </c:pt>
                <c:pt idx="331">
                  <c:v>19.172000000000001</c:v>
                </c:pt>
                <c:pt idx="332">
                  <c:v>26.885999999999999</c:v>
                </c:pt>
                <c:pt idx="333">
                  <c:v>8.8260000000000005</c:v>
                </c:pt>
                <c:pt idx="334">
                  <c:v>19.437999999999999</c:v>
                </c:pt>
                <c:pt idx="335">
                  <c:v>7.968</c:v>
                </c:pt>
                <c:pt idx="336">
                  <c:v>9.6080000000000005</c:v>
                </c:pt>
                <c:pt idx="337">
                  <c:v>4.7530000000000001</c:v>
                </c:pt>
                <c:pt idx="338">
                  <c:v>20.797999999999998</c:v>
                </c:pt>
                <c:pt idx="339">
                  <c:v>16.23</c:v>
                </c:pt>
                <c:pt idx="340">
                  <c:v>21.946999999999999</c:v>
                </c:pt>
                <c:pt idx="341">
                  <c:v>16.640999999999998</c:v>
                </c:pt>
                <c:pt idx="342">
                  <c:v>4.9779999999999998</c:v>
                </c:pt>
                <c:pt idx="343">
                  <c:v>12.757</c:v>
                </c:pt>
                <c:pt idx="344">
                  <c:v>18.638999999999999</c:v>
                </c:pt>
                <c:pt idx="345">
                  <c:v>3.4969999999999999</c:v>
                </c:pt>
                <c:pt idx="346">
                  <c:v>1.5429999999999999</c:v>
                </c:pt>
                <c:pt idx="347">
                  <c:v>1.724</c:v>
                </c:pt>
                <c:pt idx="348">
                  <c:v>5.7370000000000001</c:v>
                </c:pt>
                <c:pt idx="349">
                  <c:v>3.105</c:v>
                </c:pt>
                <c:pt idx="350">
                  <c:v>20.77</c:v>
                </c:pt>
                <c:pt idx="351">
                  <c:v>12.768000000000001</c:v>
                </c:pt>
                <c:pt idx="352">
                  <c:v>22.855</c:v>
                </c:pt>
                <c:pt idx="353">
                  <c:v>15.18</c:v>
                </c:pt>
                <c:pt idx="354">
                  <c:v>9.0359999999999996</c:v>
                </c:pt>
                <c:pt idx="355">
                  <c:v>6.9470000000000001</c:v>
                </c:pt>
                <c:pt idx="356">
                  <c:v>4.2039999999999997</c:v>
                </c:pt>
                <c:pt idx="357">
                  <c:v>4.7629999999999999</c:v>
                </c:pt>
                <c:pt idx="358">
                  <c:v>16.390999999999998</c:v>
                </c:pt>
                <c:pt idx="359">
                  <c:v>24.388000000000002</c:v>
                </c:pt>
                <c:pt idx="360">
                  <c:v>24.596</c:v>
                </c:pt>
                <c:pt idx="361">
                  <c:v>2.71</c:v>
                </c:pt>
                <c:pt idx="362">
                  <c:v>3.012</c:v>
                </c:pt>
                <c:pt idx="363">
                  <c:v>2.9769999999999999</c:v>
                </c:pt>
                <c:pt idx="364">
                  <c:v>5.0129999999999999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8640"/>
        <c:axId val="591169032"/>
      </c:lineChart>
      <c:dateAx>
        <c:axId val="591168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9032"/>
        <c:crosses val="autoZero"/>
        <c:auto val="1"/>
        <c:lblOffset val="100"/>
        <c:baseTimeUnit val="days"/>
        <c:majorUnit val="1"/>
        <c:majorTimeUnit val="months"/>
      </c:dateAx>
      <c:valAx>
        <c:axId val="5911690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86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2.1902566432308035E-5</c:v>
                </c:pt>
                <c:pt idx="151">
                  <c:v>4.3804653142243133E-5</c:v>
                </c:pt>
                <c:pt idx="152">
                  <c:v>6.570626014024139E-5</c:v>
                </c:pt>
                <c:pt idx="153">
                  <c:v>8.7607387436960948E-5</c:v>
                </c:pt>
                <c:pt idx="154">
                  <c:v>1.0950803504261586E-4</c:v>
                </c:pt>
                <c:pt idx="155">
                  <c:v>1.3140820296797528E-4</c:v>
                </c:pt>
                <c:pt idx="156">
                  <c:v>1.5330789122347532E-4</c:v>
                </c:pt>
                <c:pt idx="157">
                  <c:v>1.7520709981955207E-4</c:v>
                </c:pt>
                <c:pt idx="158">
                  <c:v>1.9710582876675264E-4</c:v>
                </c:pt>
                <c:pt idx="159">
                  <c:v>2.1900407807551314E-4</c:v>
                </c:pt>
                <c:pt idx="160">
                  <c:v>2.409018477564917E-4</c:v>
                </c:pt>
                <c:pt idx="161">
                  <c:v>2.6279913782012443E-4</c:v>
                </c:pt>
                <c:pt idx="162">
                  <c:v>2.8469594827695843E-4</c:v>
                </c:pt>
                <c:pt idx="163">
                  <c:v>3.0659227913731879E-4</c:v>
                </c:pt>
                <c:pt idx="164">
                  <c:v>3.2848813041197467E-4</c:v>
                </c:pt>
                <c:pt idx="165">
                  <c:v>3.5038350211114011E-4</c:v>
                </c:pt>
                <c:pt idx="166">
                  <c:v>3.7227839424558429E-4</c:v>
                </c:pt>
                <c:pt idx="167">
                  <c:v>3.9417280682563227E-4</c:v>
                </c:pt>
                <c:pt idx="168">
                  <c:v>4.160667398619422E-4</c:v>
                </c:pt>
                <c:pt idx="169">
                  <c:v>4.3796019336483916E-4</c:v>
                </c:pt>
                <c:pt idx="170">
                  <c:v>4.5985316734498127E-4</c:v>
                </c:pt>
                <c:pt idx="171">
                  <c:v>4.8174566181280465E-4</c:v>
                </c:pt>
                <c:pt idx="172">
                  <c:v>5.0363767677874538E-4</c:v>
                </c:pt>
                <c:pt idx="173">
                  <c:v>5.2552921225346161E-4</c:v>
                </c:pt>
                <c:pt idx="174">
                  <c:v>5.4742026824727841E-4</c:v>
                </c:pt>
                <c:pt idx="175">
                  <c:v>5.6931084477085392E-4</c:v>
                </c:pt>
                <c:pt idx="176">
                  <c:v>5.9120094183462424E-4</c:v>
                </c:pt>
                <c:pt idx="177">
                  <c:v>6.1309055944902546E-4</c:v>
                </c:pt>
                <c:pt idx="178">
                  <c:v>6.3497969762471573E-4</c:v>
                </c:pt>
                <c:pt idx="179">
                  <c:v>6.5686835637202012E-4</c:v>
                </c:pt>
                <c:pt idx="180">
                  <c:v>6.7875653570159677E-4</c:v>
                </c:pt>
                <c:pt idx="181">
                  <c:v>7.0064423562377076E-4</c:v>
                </c:pt>
                <c:pt idx="182">
                  <c:v>7.2253145614920022E-4</c:v>
                </c:pt>
                <c:pt idx="183">
                  <c:v>7.4441819728832126E-4</c:v>
                </c:pt>
                <c:pt idx="184">
                  <c:v>7.6630445905168099E-4</c:v>
                </c:pt>
                <c:pt idx="185">
                  <c:v>7.881902414497155E-4</c:v>
                </c:pt>
                <c:pt idx="186">
                  <c:v>8.100755444928609E-4</c:v>
                </c:pt>
                <c:pt idx="187">
                  <c:v>8.3196036819188635E-4</c:v>
                </c:pt>
                <c:pt idx="188">
                  <c:v>8.5384471255689487E-4</c:v>
                </c:pt>
                <c:pt idx="189">
                  <c:v>8.7572857759876666E-4</c:v>
                </c:pt>
                <c:pt idx="190">
                  <c:v>8.9761196332771576E-4</c:v>
                </c:pt>
                <c:pt idx="191">
                  <c:v>9.1949486975440031E-4</c:v>
                </c:pt>
                <c:pt idx="192">
                  <c:v>9.4137729688936744E-4</c:v>
                </c:pt>
                <c:pt idx="193">
                  <c:v>9.632592447428312E-4</c:v>
                </c:pt>
                <c:pt idx="194">
                  <c:v>9.8514071332567177E-4</c:v>
                </c:pt>
                <c:pt idx="195">
                  <c:v>1.0070217026481032E-3</c:v>
                </c:pt>
                <c:pt idx="196">
                  <c:v>1.0289022127206726E-3</c:v>
                </c:pt>
                <c:pt idx="197">
                  <c:v>1.0507822435539271E-3</c:v>
                </c:pt>
                <c:pt idx="198">
                  <c:v>1.0726617951584139E-3</c:v>
                </c:pt>
                <c:pt idx="199">
                  <c:v>1.0945408675444579E-3</c:v>
                </c:pt>
                <c:pt idx="200">
                  <c:v>1.1164194607228284E-3</c:v>
                </c:pt>
                <c:pt idx="201">
                  <c:v>1.1382975747037394E-3</c:v>
                </c:pt>
                <c:pt idx="202">
                  <c:v>1.160175209497849E-3</c:v>
                </c:pt>
                <c:pt idx="203">
                  <c:v>1.1820523651155934E-3</c:v>
                </c:pt>
                <c:pt idx="204">
                  <c:v>1.2039290415675197E-3</c:v>
                </c:pt>
                <c:pt idx="205">
                  <c:v>1.2258052388639529E-3</c:v>
                </c:pt>
                <c:pt idx="206">
                  <c:v>1.2476809570156622E-3</c:v>
                </c:pt>
                <c:pt idx="207">
                  <c:v>1.2695561960329727E-3</c:v>
                </c:pt>
                <c:pt idx="208">
                  <c:v>1.2914309559264314E-3</c:v>
                </c:pt>
                <c:pt idx="209">
                  <c:v>1.3133052367064746E-3</c:v>
                </c:pt>
                <c:pt idx="210">
                  <c:v>1.3351790383835382E-3</c:v>
                </c:pt>
                <c:pt idx="211">
                  <c:v>1.3570523609683915E-3</c:v>
                </c:pt>
                <c:pt idx="212">
                  <c:v>1.3789252044712486E-3</c:v>
                </c:pt>
                <c:pt idx="213">
                  <c:v>1.4007975689026564E-3</c:v>
                </c:pt>
                <c:pt idx="214">
                  <c:v>1.4226694542731622E-3</c:v>
                </c:pt>
                <c:pt idx="215">
                  <c:v>1.444540860593313E-3</c:v>
                </c:pt>
                <c:pt idx="216">
                  <c:v>1.466411787873434E-3</c:v>
                </c:pt>
                <c:pt idx="217">
                  <c:v>1.4882822361241832E-3</c:v>
                </c:pt>
                <c:pt idx="218">
                  <c:v>1.5101522053559968E-3</c:v>
                </c:pt>
                <c:pt idx="219">
                  <c:v>1.5320216955794219E-3</c:v>
                </c:pt>
                <c:pt idx="220">
                  <c:v>1.5538907068047836E-3</c:v>
                </c:pt>
                <c:pt idx="221">
                  <c:v>1.5757592390426289E-3</c:v>
                </c:pt>
                <c:pt idx="222">
                  <c:v>1.5976272923036161E-3</c:v>
                </c:pt>
                <c:pt idx="223">
                  <c:v>1.6194948665980702E-3</c:v>
                </c:pt>
                <c:pt idx="224">
                  <c:v>1.6413619619365383E-3</c:v>
                </c:pt>
                <c:pt idx="225">
                  <c:v>1.6632285783294565E-3</c:v>
                </c:pt>
                <c:pt idx="226">
                  <c:v>1.6850947157873719E-3</c:v>
                </c:pt>
                <c:pt idx="227">
                  <c:v>1.7069603743207207E-3</c:v>
                </c:pt>
                <c:pt idx="228">
                  <c:v>1.7288255539400499E-3</c:v>
                </c:pt>
                <c:pt idx="229">
                  <c:v>1.7506902546559067E-3</c:v>
                </c:pt>
                <c:pt idx="230">
                  <c:v>1.7725544764786161E-3</c:v>
                </c:pt>
                <c:pt idx="231">
                  <c:v>1.7944182194188363E-3</c:v>
                </c:pt>
                <c:pt idx="232">
                  <c:v>1.8162814834868923E-3</c:v>
                </c:pt>
                <c:pt idx="233">
                  <c:v>1.8381442686933314E-3</c:v>
                </c:pt>
                <c:pt idx="234">
                  <c:v>1.8600065750488115E-3</c:v>
                </c:pt>
                <c:pt idx="235">
                  <c:v>1.8818684025635468E-3</c:v>
                </c:pt>
                <c:pt idx="236">
                  <c:v>1.9037297512481954E-3</c:v>
                </c:pt>
                <c:pt idx="237">
                  <c:v>1.9255906211131935E-3</c:v>
                </c:pt>
                <c:pt idx="238">
                  <c:v>1.947451012168977E-3</c:v>
                </c:pt>
                <c:pt idx="239">
                  <c:v>1.9693109244262041E-3</c:v>
                </c:pt>
                <c:pt idx="240">
                  <c:v>1.9911703578952E-3</c:v>
                </c:pt>
                <c:pt idx="241">
                  <c:v>2.0130293125865117E-3</c:v>
                </c:pt>
                <c:pt idx="242">
                  <c:v>2.0348877885105754E-3</c:v>
                </c:pt>
                <c:pt idx="243">
                  <c:v>2.0567457856779381E-3</c:v>
                </c:pt>
                <c:pt idx="244">
                  <c:v>2.078603304099147E-3</c:v>
                </c:pt>
                <c:pt idx="245">
                  <c:v>2.1004603437845271E-3</c:v>
                </c:pt>
                <c:pt idx="246">
                  <c:v>2.1223169047446255E-3</c:v>
                </c:pt>
                <c:pt idx="247">
                  <c:v>2.1441729869899895E-3</c:v>
                </c:pt>
                <c:pt idx="248">
                  <c:v>2.166028590531055E-3</c:v>
                </c:pt>
                <c:pt idx="249">
                  <c:v>2.1878837153782582E-3</c:v>
                </c:pt>
                <c:pt idx="250">
                  <c:v>2.2097383615422572E-3</c:v>
                </c:pt>
                <c:pt idx="251">
                  <c:v>2.2315925290332661E-3</c:v>
                </c:pt>
                <c:pt idx="252">
                  <c:v>2.253446217862054E-3</c:v>
                </c:pt>
                <c:pt idx="253">
                  <c:v>2.275299428038835E-3</c:v>
                </c:pt>
                <c:pt idx="254">
                  <c:v>2.2971521595743782E-3</c:v>
                </c:pt>
                <c:pt idx="255">
                  <c:v>2.3190044124788978E-3</c:v>
                </c:pt>
                <c:pt idx="256">
                  <c:v>2.3408561867630517E-3</c:v>
                </c:pt>
                <c:pt idx="257">
                  <c:v>2.3627074824372762E-3</c:v>
                </c:pt>
                <c:pt idx="258">
                  <c:v>2.3845582995120074E-3</c:v>
                </c:pt>
                <c:pt idx="259">
                  <c:v>2.4064086379977923E-3</c:v>
                </c:pt>
                <c:pt idx="260">
                  <c:v>2.428258497905067E-3</c:v>
                </c:pt>
                <c:pt idx="261">
                  <c:v>2.4501078792443787E-3</c:v>
                </c:pt>
                <c:pt idx="262">
                  <c:v>2.4719567820261634E-3</c:v>
                </c:pt>
                <c:pt idx="263">
                  <c:v>2.4938052062608573E-3</c:v>
                </c:pt>
                <c:pt idx="264">
                  <c:v>2.5156531519590075E-3</c:v>
                </c:pt>
                <c:pt idx="265">
                  <c:v>2.5375006191310501E-3</c:v>
                </c:pt>
                <c:pt idx="266">
                  <c:v>2.5593476077875321E-3</c:v>
                </c:pt>
                <c:pt idx="267">
                  <c:v>2.5811941179388898E-3</c:v>
                </c:pt>
                <c:pt idx="268">
                  <c:v>2.6030401495955591E-3</c:v>
                </c:pt>
                <c:pt idx="269">
                  <c:v>2.6248857027680872E-3</c:v>
                </c:pt>
                <c:pt idx="270">
                  <c:v>2.6467307774669102E-3</c:v>
                </c:pt>
                <c:pt idx="271">
                  <c:v>2.6685753737025752E-3</c:v>
                </c:pt>
                <c:pt idx="272">
                  <c:v>2.6904194914855184E-3</c:v>
                </c:pt>
                <c:pt idx="273">
                  <c:v>2.7122631308262868E-3</c:v>
                </c:pt>
                <c:pt idx="274">
                  <c:v>2.7341062917352055E-3</c:v>
                </c:pt>
                <c:pt idx="275">
                  <c:v>2.7559489742228216E-3</c:v>
                </c:pt>
                <c:pt idx="276">
                  <c:v>2.7777911782996823E-3</c:v>
                </c:pt>
                <c:pt idx="277">
                  <c:v>2.7996329039762236E-3</c:v>
                </c:pt>
                <c:pt idx="278">
                  <c:v>2.8214741512629926E-3</c:v>
                </c:pt>
                <c:pt idx="279">
                  <c:v>2.8433149201702035E-3</c:v>
                </c:pt>
                <c:pt idx="280">
                  <c:v>2.8651552107086253E-3</c:v>
                </c:pt>
                <c:pt idx="281">
                  <c:v>2.8869950228886943E-3</c:v>
                </c:pt>
                <c:pt idx="282">
                  <c:v>2.9088343567207353E-3</c:v>
                </c:pt>
                <c:pt idx="283">
                  <c:v>2.9306732122152956E-3</c:v>
                </c:pt>
                <c:pt idx="284">
                  <c:v>2.9525115893829224E-3</c:v>
                </c:pt>
                <c:pt idx="285">
                  <c:v>2.9743494882340515E-3</c:v>
                </c:pt>
                <c:pt idx="286">
                  <c:v>2.9961869087792303E-3</c:v>
                </c:pt>
                <c:pt idx="287">
                  <c:v>3.0180238510286728E-3</c:v>
                </c:pt>
                <c:pt idx="288">
                  <c:v>3.039860314993148E-3</c:v>
                </c:pt>
                <c:pt idx="289">
                  <c:v>3.0616963006829812E-3</c:v>
                </c:pt>
                <c:pt idx="290">
                  <c:v>3.0835318081087193E-3</c:v>
                </c:pt>
                <c:pt idx="291">
                  <c:v>3.1053668372807985E-3</c:v>
                </c:pt>
                <c:pt idx="292">
                  <c:v>3.127201388209766E-3</c:v>
                </c:pt>
                <c:pt idx="293">
                  <c:v>3.1490354609059468E-3</c:v>
                </c:pt>
                <c:pt idx="294">
                  <c:v>3.1708690553798879E-3</c:v>
                </c:pt>
                <c:pt idx="295">
                  <c:v>3.1927021716421367E-3</c:v>
                </c:pt>
                <c:pt idx="296">
                  <c:v>3.214534809703018E-3</c:v>
                </c:pt>
                <c:pt idx="297">
                  <c:v>3.23636696957319E-3</c:v>
                </c:pt>
                <c:pt idx="298">
                  <c:v>3.2581986512629779E-3</c:v>
                </c:pt>
                <c:pt idx="299">
                  <c:v>3.2800298547829287E-3</c:v>
                </c:pt>
                <c:pt idx="300">
                  <c:v>3.3018605801434786E-3</c:v>
                </c:pt>
                <c:pt idx="301">
                  <c:v>3.3236908273550636E-3</c:v>
                </c:pt>
                <c:pt idx="302">
                  <c:v>3.3455205964282309E-3</c:v>
                </c:pt>
                <c:pt idx="303">
                  <c:v>3.3673498873735275E-3</c:v>
                </c:pt>
                <c:pt idx="304">
                  <c:v>3.3891787002012785E-3</c:v>
                </c:pt>
                <c:pt idx="305">
                  <c:v>3.4110070349219201E-3</c:v>
                </c:pt>
                <c:pt idx="306">
                  <c:v>3.4328348915461104E-3</c:v>
                </c:pt>
                <c:pt idx="307">
                  <c:v>3.4546622700841745E-3</c:v>
                </c:pt>
                <c:pt idx="308">
                  <c:v>3.4764891705466594E-3</c:v>
                </c:pt>
                <c:pt idx="309">
                  <c:v>3.4983155929440013E-3</c:v>
                </c:pt>
                <c:pt idx="310">
                  <c:v>3.5201415372866363E-3</c:v>
                </c:pt>
                <c:pt idx="311">
                  <c:v>3.5419670035851114E-3</c:v>
                </c:pt>
                <c:pt idx="312">
                  <c:v>3.5637919918498628E-3</c:v>
                </c:pt>
                <c:pt idx="313">
                  <c:v>3.5856165020914377E-3</c:v>
                </c:pt>
                <c:pt idx="314">
                  <c:v>3.60744053432005E-3</c:v>
                </c:pt>
                <c:pt idx="315">
                  <c:v>3.6292640885464689E-3</c:v>
                </c:pt>
                <c:pt idx="316">
                  <c:v>3.6510871647810195E-3</c:v>
                </c:pt>
                <c:pt idx="317">
                  <c:v>3.6729097630342489E-3</c:v>
                </c:pt>
                <c:pt idx="318">
                  <c:v>3.6947318833164822E-3</c:v>
                </c:pt>
                <c:pt idx="319">
                  <c:v>3.7165535256382665E-3</c:v>
                </c:pt>
                <c:pt idx="320">
                  <c:v>3.7383746900101489E-3</c:v>
                </c:pt>
                <c:pt idx="321">
                  <c:v>3.7601953764424545E-3</c:v>
                </c:pt>
                <c:pt idx="322">
                  <c:v>3.7820155849458414E-3</c:v>
                </c:pt>
                <c:pt idx="323">
                  <c:v>3.8038353155305238E-3</c:v>
                </c:pt>
                <c:pt idx="324">
                  <c:v>3.8256545682071597E-3</c:v>
                </c:pt>
                <c:pt idx="325">
                  <c:v>3.8474733429861852E-3</c:v>
                </c:pt>
                <c:pt idx="326">
                  <c:v>3.8692916398780364E-3</c:v>
                </c:pt>
                <c:pt idx="327">
                  <c:v>3.8911094588932604E-3</c:v>
                </c:pt>
                <c:pt idx="328">
                  <c:v>3.9129268000421824E-3</c:v>
                </c:pt>
                <c:pt idx="329">
                  <c:v>3.9347436633353494E-3</c:v>
                </c:pt>
                <c:pt idx="330">
                  <c:v>3.9565600487831976E-3</c:v>
                </c:pt>
                <c:pt idx="331">
                  <c:v>3.9783759563962739E-3</c:v>
                </c:pt>
                <c:pt idx="332">
                  <c:v>4.0001913861849037E-3</c:v>
                </c:pt>
                <c:pt idx="333">
                  <c:v>4.0220063381596338E-3</c:v>
                </c:pt>
                <c:pt idx="334">
                  <c:v>4.0438208123310115E-3</c:v>
                </c:pt>
                <c:pt idx="335">
                  <c:v>4.0656348087093619E-3</c:v>
                </c:pt>
                <c:pt idx="336">
                  <c:v>4.087448327305232E-3</c:v>
                </c:pt>
                <c:pt idx="337">
                  <c:v>4.109261368129058E-3</c:v>
                </c:pt>
                <c:pt idx="338">
                  <c:v>4.1310739311912759E-3</c:v>
                </c:pt>
                <c:pt idx="339">
                  <c:v>4.1528860165024328E-3</c:v>
                </c:pt>
                <c:pt idx="340">
                  <c:v>4.1746976240728539E-3</c:v>
                </c:pt>
                <c:pt idx="341">
                  <c:v>4.1965087539131973E-3</c:v>
                </c:pt>
                <c:pt idx="342">
                  <c:v>4.2183194060337881E-3</c:v>
                </c:pt>
                <c:pt idx="343">
                  <c:v>4.2401295804450623E-3</c:v>
                </c:pt>
                <c:pt idx="344">
                  <c:v>4.2619392771576781E-3</c:v>
                </c:pt>
                <c:pt idx="345">
                  <c:v>4.2837484961818495E-3</c:v>
                </c:pt>
                <c:pt idx="346">
                  <c:v>4.3055572375281237E-3</c:v>
                </c:pt>
                <c:pt idx="347">
                  <c:v>4.3273655012070478E-3</c:v>
                </c:pt>
                <c:pt idx="348">
                  <c:v>4.3491732872290578E-3</c:v>
                </c:pt>
                <c:pt idx="349">
                  <c:v>4.37098059560459E-3</c:v>
                </c:pt>
                <c:pt idx="350">
                  <c:v>4.3927874263440803E-3</c:v>
                </c:pt>
                <c:pt idx="351">
                  <c:v>4.4145937794579648E-3</c:v>
                </c:pt>
                <c:pt idx="352">
                  <c:v>4.4363996549567908E-3</c:v>
                </c:pt>
                <c:pt idx="353">
                  <c:v>4.4582050528509942E-3</c:v>
                </c:pt>
                <c:pt idx="354">
                  <c:v>4.4800099731510112E-3</c:v>
                </c:pt>
                <c:pt idx="355">
                  <c:v>4.5018144158672779E-3</c:v>
                </c:pt>
                <c:pt idx="356">
                  <c:v>4.5236183810103414E-3</c:v>
                </c:pt>
                <c:pt idx="357">
                  <c:v>4.5454218685905268E-3</c:v>
                </c:pt>
                <c:pt idx="358">
                  <c:v>4.5672248786184921E-3</c:v>
                </c:pt>
                <c:pt idx="359">
                  <c:v>4.5890274111044516E-3</c:v>
                </c:pt>
                <c:pt idx="360">
                  <c:v>4.6108294660590632E-3</c:v>
                </c:pt>
                <c:pt idx="361">
                  <c:v>4.6326310434927631E-3</c:v>
                </c:pt>
                <c:pt idx="362">
                  <c:v>4.6544321434158764E-3</c:v>
                </c:pt>
                <c:pt idx="363">
                  <c:v>4.6762327658390612E-3</c:v>
                </c:pt>
                <c:pt idx="364">
                  <c:v>4.6980329107725316E-3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7.6042727668764438E-5</c:v>
                </c:pt>
                <c:pt idx="151">
                  <c:v>1.5210828564207317E-4</c:v>
                </c:pt>
                <c:pt idx="152">
                  <c:v>2.281951823316131E-4</c:v>
                </c:pt>
                <c:pt idx="153">
                  <c:v>3.0430167797767588E-4</c:v>
                </c:pt>
                <c:pt idx="154">
                  <c:v>3.8042579096404333E-4</c:v>
                </c:pt>
                <c:pt idx="155">
                  <c:v>4.5656530554725962E-4</c:v>
                </c:pt>
                <c:pt idx="156">
                  <c:v>5.3271778097197734E-4</c:v>
                </c:pt>
                <c:pt idx="157">
                  <c:v>6.088805619313592E-4</c:v>
                </c:pt>
                <c:pt idx="158">
                  <c:v>6.8505079031917293E-4</c:v>
                </c:pt>
                <c:pt idx="159">
                  <c:v>7.6122541820759109E-4</c:v>
                </c:pt>
                <c:pt idx="160">
                  <c:v>8.3740122197316932E-4</c:v>
                </c:pt>
                <c:pt idx="161">
                  <c:v>9.1357481748187408E-4</c:v>
                </c:pt>
                <c:pt idx="162">
                  <c:v>9.8974267623354339E-4</c:v>
                </c:pt>
                <c:pt idx="163">
                  <c:v>1.0659011423560919E-3</c:v>
                </c:pt>
                <c:pt idx="164">
                  <c:v>1.1420464503311672E-3</c:v>
                </c:pt>
                <c:pt idx="165">
                  <c:v>1.218174743324718E-3</c:v>
                </c:pt>
                <c:pt idx="166">
                  <c:v>1.2942820919894899E-3</c:v>
                </c:pt>
                <c:pt idx="167">
                  <c:v>1.370364513600742E-3</c:v>
                </c:pt>
                <c:pt idx="168">
                  <c:v>1.4464179913823766E-3</c:v>
                </c:pt>
                <c:pt idx="169">
                  <c:v>1.5224384938778361E-3</c:v>
                </c:pt>
                <c:pt idx="170">
                  <c:v>1.5984219942186688E-3</c:v>
                </c:pt>
                <c:pt idx="171">
                  <c:v>1.6743644891436325E-3</c:v>
                </c:pt>
                <c:pt idx="172">
                  <c:v>1.7502620176228735E-3</c:v>
                </c:pt>
                <c:pt idx="173">
                  <c:v>1.8261106789444032E-3</c:v>
                </c:pt>
                <c:pt idx="174">
                  <c:v>1.9019066501247586E-3</c:v>
                </c:pt>
                <c:pt idx="175">
                  <c:v>1.9776462025112309E-3</c:v>
                </c:pt>
                <c:pt idx="176">
                  <c:v>2.0533257174504406E-3</c:v>
                </c:pt>
                <c:pt idx="177">
                  <c:v>2.1289417009062845E-3</c:v>
                </c:pt>
                <c:pt idx="178">
                  <c:v>2.2044907969199536E-3</c:v>
                </c:pt>
                <c:pt idx="179">
                  <c:v>2.2799697998155013E-3</c:v>
                </c:pt>
                <c:pt idx="180">
                  <c:v>2.3553756650659887E-3</c:v>
                </c:pt>
                <c:pt idx="181">
                  <c:v>2.4307055187479782E-3</c:v>
                </c:pt>
                <c:pt idx="182">
                  <c:v>2.505956665525388E-3</c:v>
                </c:pt>
                <c:pt idx="183">
                  <c:v>2.5811265951175529E-3</c:v>
                </c:pt>
                <c:pt idx="184">
                  <c:v>2.6562129872206804E-3</c:v>
                </c:pt>
                <c:pt idx="185">
                  <c:v>2.7312137148666478E-3</c:v>
                </c:pt>
                <c:pt idx="186">
                  <c:v>2.806126846217612E-3</c:v>
                </c:pt>
                <c:pt idx="187">
                  <c:v>2.8809506448095397E-3</c:v>
                </c:pt>
                <c:pt idx="188">
                  <c:v>2.9556835682726422E-3</c:v>
                </c:pt>
                <c:pt idx="189">
                  <c:v>3.0303242655701432E-3</c:v>
                </c:pt>
                <c:pt idx="190">
                  <c:v>3.1048715728110277E-3</c:v>
                </c:pt>
                <c:pt idx="191">
                  <c:v>3.1793245077047787E-3</c:v>
                </c:pt>
                <c:pt idx="192">
                  <c:v>3.2536822627385691E-3</c:v>
                </c:pt>
                <c:pt idx="193">
                  <c:v>3.3279441971681323E-3</c:v>
                </c:pt>
                <c:pt idx="194">
                  <c:v>3.402109827923808E-3</c:v>
                </c:pt>
                <c:pt idx="195">
                  <c:v>3.4761788195418974E-3</c:v>
                </c:pt>
                <c:pt idx="196">
                  <c:v>3.5501509732390108E-3</c:v>
                </c:pt>
                <c:pt idx="197">
                  <c:v>3.6240262152532426E-3</c:v>
                </c:pt>
                <c:pt idx="198">
                  <c:v>3.6978045845806775E-3</c:v>
                </c:pt>
                <c:pt idx="199">
                  <c:v>3.7714862202388633E-3</c:v>
                </c:pt>
                <c:pt idx="200">
                  <c:v>3.8450713481905179E-3</c:v>
                </c:pt>
                <c:pt idx="201">
                  <c:v>3.9185602680609872E-3</c:v>
                </c:pt>
                <c:pt idx="202">
                  <c:v>3.991953339781279E-3</c:v>
                </c:pt>
                <c:pt idx="203">
                  <c:v>4.0652509702858008E-3</c:v>
                </c:pt>
                <c:pt idx="204">
                  <c:v>4.1384536003892186E-3</c:v>
                </c:pt>
                <c:pt idx="205">
                  <c:v>4.2115616919613796E-3</c:v>
                </c:pt>
                <c:pt idx="206">
                  <c:v>4.2845757155115811E-3</c:v>
                </c:pt>
                <c:pt idx="207">
                  <c:v>4.3574961382855165E-3</c:v>
                </c:pt>
                <c:pt idx="208">
                  <c:v>4.4303234129683391E-3</c:v>
                </c:pt>
                <c:pt idx="209">
                  <c:v>4.5030579670768513E-3</c:v>
                </c:pt>
                <c:pt idx="210">
                  <c:v>4.5757001931124221E-3</c:v>
                </c:pt>
                <c:pt idx="211">
                  <c:v>4.6482504395339045E-3</c:v>
                </c:pt>
                <c:pt idx="212">
                  <c:v>4.7207090025973347E-3</c:v>
                </c:pt>
                <c:pt idx="213">
                  <c:v>4.7930761190959252E-3</c:v>
                </c:pt>
                <c:pt idx="214">
                  <c:v>4.8653519600203839E-3</c:v>
                </c:pt>
                <c:pt idx="215">
                  <c:v>4.9375366251465059E-3</c:v>
                </c:pt>
                <c:pt idx="216">
                  <c:v>5.0096301385433887E-3</c:v>
                </c:pt>
                <c:pt idx="217">
                  <c:v>5.0816324449827243E-3</c:v>
                </c:pt>
                <c:pt idx="218">
                  <c:v>5.1535434072171359E-3</c:v>
                </c:pt>
                <c:pt idx="219">
                  <c:v>5.2253628040835791E-3</c:v>
                </c:pt>
                <c:pt idx="220">
                  <c:v>5.297090329376768E-3</c:v>
                </c:pt>
                <c:pt idx="221">
                  <c:v>5.3687255914273086E-3</c:v>
                </c:pt>
                <c:pt idx="222">
                  <c:v>5.4402681133103922E-3</c:v>
                </c:pt>
                <c:pt idx="223">
                  <c:v>5.5117173336028018E-3</c:v>
                </c:pt>
                <c:pt idx="224">
                  <c:v>5.5830726075995251E-3</c:v>
                </c:pt>
                <c:pt idx="225">
                  <c:v>5.6543332088963534E-3</c:v>
                </c:pt>
                <c:pt idx="226">
                  <c:v>5.7254983312409009E-3</c:v>
                </c:pt>
                <c:pt idx="227">
                  <c:v>5.7965670905526095E-3</c:v>
                </c:pt>
                <c:pt idx="228">
                  <c:v>5.8675385270119977E-3</c:v>
                </c:pt>
                <c:pt idx="229">
                  <c:v>5.9384116071201929E-3</c:v>
                </c:pt>
                <c:pt idx="230">
                  <c:v>6.0091852256329613E-3</c:v>
                </c:pt>
                <c:pt idx="231">
                  <c:v>6.0798582072775905E-3</c:v>
                </c:pt>
                <c:pt idx="232">
                  <c:v>6.1504293081669085E-3</c:v>
                </c:pt>
                <c:pt idx="233">
                  <c:v>6.2208972168323945E-3</c:v>
                </c:pt>
                <c:pt idx="234">
                  <c:v>6.2912605548067256E-3</c:v>
                </c:pt>
                <c:pt idx="235">
                  <c:v>6.3615178766966256E-3</c:v>
                </c:pt>
                <c:pt idx="236">
                  <c:v>6.4316676696980074E-3</c:v>
                </c:pt>
                <c:pt idx="237">
                  <c:v>6.5017083525176862E-3</c:v>
                </c:pt>
                <c:pt idx="238">
                  <c:v>6.5716382736792818E-3</c:v>
                </c:pt>
                <c:pt idx="239">
                  <c:v>6.6414557092048391E-3</c:v>
                </c:pt>
                <c:pt idx="240">
                  <c:v>6.7111588596781161E-3</c:v>
                </c:pt>
                <c:pt idx="241">
                  <c:v>6.7807458467104157E-3</c:v>
                </c:pt>
                <c:pt idx="242">
                  <c:v>6.8502147088447488E-3</c:v>
                </c:pt>
                <c:pt idx="243">
                  <c:v>6.9195633969490952E-3</c:v>
                </c:pt>
                <c:pt idx="244">
                  <c:v>6.9887897691641408E-3</c:v>
                </c:pt>
                <c:pt idx="245">
                  <c:v>7.0578915854851145E-3</c:v>
                </c:pt>
                <c:pt idx="246">
                  <c:v>7.1268665020709247E-3</c:v>
                </c:pt>
                <c:pt idx="247">
                  <c:v>7.1957120653863326E-3</c:v>
                </c:pt>
                <c:pt idx="248">
                  <c:v>7.2644257062947169E-3</c:v>
                </c:pt>
                <c:pt idx="249">
                  <c:v>7.3330047342290618E-3</c:v>
                </c:pt>
                <c:pt idx="250">
                  <c:v>7.4014463315779985E-3</c:v>
                </c:pt>
                <c:pt idx="251">
                  <c:v>7.4697475484310164E-3</c:v>
                </c:pt>
                <c:pt idx="252">
                  <c:v>7.5379052978324212E-3</c:v>
                </c:pt>
                <c:pt idx="253">
                  <c:v>7.6059163516977628E-3</c:v>
                </c:pt>
                <c:pt idx="254">
                  <c:v>7.6737773375480751E-3</c:v>
                </c:pt>
                <c:pt idx="255">
                  <c:v>7.7414847362170872E-3</c:v>
                </c:pt>
                <c:pt idx="256">
                  <c:v>7.8090348806845239E-3</c:v>
                </c:pt>
                <c:pt idx="257">
                  <c:v>7.8764239561840248E-3</c:v>
                </c:pt>
                <c:pt idx="258">
                  <c:v>7.9436480017278464E-3</c:v>
                </c:pt>
                <c:pt idx="259">
                  <c:v>8.0107029131818094E-3</c:v>
                </c:pt>
                <c:pt idx="260">
                  <c:v>8.0775844480133439E-3</c:v>
                </c:pt>
                <c:pt idx="261">
                  <c:v>8.1442882318226942E-3</c:v>
                </c:pt>
                <c:pt idx="262">
                  <c:v>8.2108097667527528E-3</c:v>
                </c:pt>
                <c:pt idx="263">
                  <c:v>8.277144441856666E-3</c:v>
                </c:pt>
                <c:pt idx="264">
                  <c:v>8.3432875454840273E-3</c:v>
                </c:pt>
                <c:pt idx="265">
                  <c:v>8.4092342797272186E-3</c:v>
                </c:pt>
                <c:pt idx="266">
                  <c:v>8.4749797769481904E-3</c:v>
                </c:pt>
                <c:pt idx="267">
                  <c:v>8.5405191183842502E-3</c:v>
                </c:pt>
                <c:pt idx="268">
                  <c:v>8.605847354808285E-3</c:v>
                </c:pt>
                <c:pt idx="269">
                  <c:v>8.6709595291955266E-3</c:v>
                </c:pt>
                <c:pt idx="270">
                  <c:v>8.7358507013245313E-3</c:v>
                </c:pt>
                <c:pt idx="271">
                  <c:v>8.8005159742164628E-3</c:v>
                </c:pt>
                <c:pt idx="272">
                  <c:v>8.8649505222922025E-3</c:v>
                </c:pt>
                <c:pt idx="273">
                  <c:v>8.9291496211034976E-3</c:v>
                </c:pt>
                <c:pt idx="274">
                  <c:v>8.9931086784711973E-3</c:v>
                </c:pt>
                <c:pt idx="275">
                  <c:v>9.0568232668414867E-3</c:v>
                </c:pt>
                <c:pt idx="276">
                  <c:v>9.120289156650304E-3</c:v>
                </c:pt>
                <c:pt idx="277">
                  <c:v>9.1835023504663847E-3</c:v>
                </c:pt>
                <c:pt idx="278">
                  <c:v>9.2464591176659693E-3</c:v>
                </c:pt>
                <c:pt idx="279">
                  <c:v>9.3091560293760006E-3</c:v>
                </c:pt>
                <c:pt idx="280">
                  <c:v>9.371589993409115E-3</c:v>
                </c:pt>
                <c:pt idx="281">
                  <c:v>9.433758288902484E-3</c:v>
                </c:pt>
                <c:pt idx="282">
                  <c:v>9.4956586003634835E-3</c:v>
                </c:pt>
                <c:pt idx="283">
                  <c:v>9.557289050819217E-3</c:v>
                </c:pt>
                <c:pt idx="284">
                  <c:v>9.6186482337635142E-3</c:v>
                </c:pt>
                <c:pt idx="285">
                  <c:v>9.6797352435945196E-3</c:v>
                </c:pt>
                <c:pt idx="286">
                  <c:v>9.740549704238757E-3</c:v>
                </c:pt>
                <c:pt idx="287">
                  <c:v>9.8010917956628911E-3</c:v>
                </c:pt>
                <c:pt idx="288">
                  <c:v>9.8613622779832183E-3</c:v>
                </c:pt>
                <c:pt idx="289">
                  <c:v>9.921362512894466E-3</c:v>
                </c:pt>
                <c:pt idx="290">
                  <c:v>9.9810944821541354E-3</c:v>
                </c:pt>
                <c:pt idx="291">
                  <c:v>1.0040560802876245E-2</c:v>
                </c:pt>
                <c:pt idx="292">
                  <c:v>1.0099764739408273E-2</c:v>
                </c:pt>
                <c:pt idx="293">
                  <c:v>1.0158710211588574E-2</c:v>
                </c:pt>
                <c:pt idx="294">
                  <c:v>1.0217401799206254E-2</c:v>
                </c:pt>
                <c:pt idx="295">
                  <c:v>1.0275844742513739E-2</c:v>
                </c:pt>
                <c:pt idx="296">
                  <c:v>1.0334044938671384E-2</c:v>
                </c:pt>
                <c:pt idx="297">
                  <c:v>1.0392008934035328E-2</c:v>
                </c:pt>
                <c:pt idx="298">
                  <c:v>1.0449743912232344E-2</c:v>
                </c:pt>
                <c:pt idx="299">
                  <c:v>1.0507257677999903E-2</c:v>
                </c:pt>
                <c:pt idx="300">
                  <c:v>1.0564558636804252E-2</c:v>
                </c:pt>
                <c:pt idx="301">
                  <c:v>1.0621655770285414E-2</c:v>
                </c:pt>
                <c:pt idx="302">
                  <c:v>1.0678558607613327E-2</c:v>
                </c:pt>
                <c:pt idx="303">
                  <c:v>1.0735277192875271E-2</c:v>
                </c:pt>
                <c:pt idx="304">
                  <c:v>1.0791822048650063E-2</c:v>
                </c:pt>
                <c:pt idx="305">
                  <c:v>1.0848204135958679E-2</c:v>
                </c:pt>
                <c:pt idx="306">
                  <c:v>1.0904434810814547E-2</c:v>
                </c:pt>
                <c:pt idx="307">
                  <c:v>1.0960525777628381E-2</c:v>
                </c:pt>
                <c:pt idx="308">
                  <c:v>1.1016489039752525E-2</c:v>
                </c:pt>
                <c:pt idx="309">
                  <c:v>1.1072336847477741E-2</c:v>
                </c:pt>
                <c:pt idx="310">
                  <c:v>1.1128081643820826E-2</c:v>
                </c:pt>
                <c:pt idx="311">
                  <c:v>1.1183736008464338E-2</c:v>
                </c:pt>
                <c:pt idx="312">
                  <c:v>1.1239312600229581E-2</c:v>
                </c:pt>
                <c:pt idx="313">
                  <c:v>1.1294824098480916E-2</c:v>
                </c:pt>
                <c:pt idx="314">
                  <c:v>1.1350283143872706E-2</c:v>
                </c:pt>
                <c:pt idx="315">
                  <c:v>1.140570227886035E-2</c:v>
                </c:pt>
                <c:pt idx="316">
                  <c:v>1.1461093888403112E-2</c:v>
                </c:pt>
                <c:pt idx="317">
                  <c:v>1.1516470141289042E-2</c:v>
                </c:pt>
                <c:pt idx="318">
                  <c:v>1.1571842932511053E-2</c:v>
                </c:pt>
                <c:pt idx="319">
                  <c:v>1.1627223827118428E-2</c:v>
                </c:pt>
                <c:pt idx="320">
                  <c:v>1.1682624005959001E-2</c:v>
                </c:pt>
                <c:pt idx="321">
                  <c:v>1.1738054213715047E-2</c:v>
                </c:pt>
                <c:pt idx="322">
                  <c:v>1.1793524709619372E-2</c:v>
                </c:pt>
                <c:pt idx="323">
                  <c:v>1.1849045221218877E-2</c:v>
                </c:pt>
                <c:pt idx="324">
                  <c:v>1.1904624901529428E-2</c:v>
                </c:pt>
                <c:pt idx="325">
                  <c:v>1.1960272289899893E-2</c:v>
                </c:pt>
                <c:pt idx="326">
                  <c:v>1.201599527687393E-2</c:v>
                </c:pt>
                <c:pt idx="327">
                  <c:v>1.207180107330641E-2</c:v>
                </c:pt>
                <c:pt idx="328">
                  <c:v>1.212769618395688E-2</c:v>
                </c:pt>
                <c:pt idx="329">
                  <c:v>1.218368638574654E-2</c:v>
                </c:pt>
                <c:pt idx="330">
                  <c:v>1.2239776710826537E-2</c:v>
                </c:pt>
                <c:pt idx="331">
                  <c:v>1.2295971434566507E-2</c:v>
                </c:pt>
                <c:pt idx="332">
                  <c:v>1.2352274068531274E-2</c:v>
                </c:pt>
                <c:pt idx="333">
                  <c:v>1.2408687358472635E-2</c:v>
                </c:pt>
                <c:pt idx="334">
                  <c:v>1.2465213287321499E-2</c:v>
                </c:pt>
                <c:pt idx="335">
                  <c:v>1.2521853083124411E-2</c:v>
                </c:pt>
                <c:pt idx="336">
                  <c:v>1.2578607231827434E-2</c:v>
                </c:pt>
                <c:pt idx="337">
                  <c:v>1.2635475494770423E-2</c:v>
                </c:pt>
                <c:pt idx="338">
                  <c:v>1.2692456930715811E-2</c:v>
                </c:pt>
                <c:pt idx="339">
                  <c:v>1.2749549922199031E-2</c:v>
                </c:pt>
                <c:pt idx="340">
                  <c:v>1.2806752205952425E-2</c:v>
                </c:pt>
                <c:pt idx="341">
                  <c:v>1.286406090712147E-2</c:v>
                </c:pt>
                <c:pt idx="342">
                  <c:v>1.2921472576962174E-2</c:v>
                </c:pt>
                <c:pt idx="343">
                  <c:v>1.2978983233680793E-2</c:v>
                </c:pt>
                <c:pt idx="344">
                  <c:v>1.303658840605296E-2</c:v>
                </c:pt>
                <c:pt idx="345">
                  <c:v>1.3094283179438507E-2</c:v>
                </c:pt>
                <c:pt idx="346">
                  <c:v>1.3152062243790813E-2</c:v>
                </c:pt>
                <c:pt idx="347">
                  <c:v>1.3209919943246131E-2</c:v>
                </c:pt>
                <c:pt idx="348">
                  <c:v>1.3267850326868551E-2</c:v>
                </c:pt>
                <c:pt idx="349">
                  <c:v>1.3325847200120571E-2</c:v>
                </c:pt>
                <c:pt idx="350">
                  <c:v>1.3383904176627312E-2</c:v>
                </c:pt>
                <c:pt idx="351">
                  <c:v>1.3442014729804856E-2</c:v>
                </c:pt>
                <c:pt idx="352">
                  <c:v>1.3500172243929008E-2</c:v>
                </c:pt>
                <c:pt idx="353">
                  <c:v>1.3558370064231138E-2</c:v>
                </c:pt>
                <c:pt idx="354">
                  <c:v>1.3616601545621297E-2</c:v>
                </c:pt>
                <c:pt idx="355">
                  <c:v>1.3674860099656291E-2</c:v>
                </c:pt>
                <c:pt idx="356">
                  <c:v>1.37331392393912E-2</c:v>
                </c:pt>
                <c:pt idx="357">
                  <c:v>1.3791432621776923E-2</c:v>
                </c:pt>
                <c:pt idx="358">
                  <c:v>1.3849734087293271E-2</c:v>
                </c:pt>
                <c:pt idx="359">
                  <c:v>1.3908037696536835E-2</c:v>
                </c:pt>
                <c:pt idx="360">
                  <c:v>1.3966337763514931E-2</c:v>
                </c:pt>
                <c:pt idx="361">
                  <c:v>1.4024628885431194E-2</c:v>
                </c:pt>
                <c:pt idx="362">
                  <c:v>1.4082905968783865E-2</c:v>
                </c:pt>
                <c:pt idx="363">
                  <c:v>1.4141164251635576E-2</c:v>
                </c:pt>
                <c:pt idx="364">
                  <c:v>1.4199399321951033E-2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2.2390182886966246E-10</c:v>
                </c:pt>
                <c:pt idx="1">
                  <c:v>5.733198338658278E-9</c:v>
                </c:pt>
                <c:pt idx="2">
                  <c:v>1.1549171256913235E-8</c:v>
                </c:pt>
                <c:pt idx="3">
                  <c:v>1.7689691860309744E-8</c:v>
                </c:pt>
                <c:pt idx="4">
                  <c:v>2.4173754950134509E-8</c:v>
                </c:pt>
                <c:pt idx="5">
                  <c:v>3.1021553522601512E-8</c:v>
                </c:pt>
                <c:pt idx="6">
                  <c:v>3.8254558249911776E-8</c:v>
                </c:pt>
                <c:pt idx="7">
                  <c:v>4.5895602169879732E-8</c:v>
                </c:pt>
                <c:pt idx="8">
                  <c:v>5.3961379193183189E-8</c:v>
                </c:pt>
                <c:pt idx="9">
                  <c:v>6.2410211967912502E-8</c:v>
                </c:pt>
                <c:pt idx="10">
                  <c:v>7.1200544091090549E-8</c:v>
                </c:pt>
                <c:pt idx="11">
                  <c:v>8.0319550279913713E-8</c:v>
                </c:pt>
                <c:pt idx="12">
                  <c:v>8.9754710929359817E-8</c:v>
                </c:pt>
                <c:pt idx="13">
                  <c:v>9.9493885165055789E-8</c:v>
                </c:pt>
                <c:pt idx="14">
                  <c:v>1.0952536303201412E-7</c:v>
                </c:pt>
                <c:pt idx="15">
                  <c:v>1.1965223342594054E-7</c:v>
                </c:pt>
                <c:pt idx="16">
                  <c:v>1.2982436738767474E-7</c:v>
                </c:pt>
                <c:pt idx="17">
                  <c:v>1.3998601032043034E-7</c:v>
                </c:pt>
                <c:pt idx="18">
                  <c:v>1.5007961323520125E-7</c:v>
                </c:pt>
                <c:pt idx="19">
                  <c:v>1.6004649207228575E-7</c:v>
                </c:pt>
                <c:pt idx="20">
                  <c:v>1.6982630223048035E-7</c:v>
                </c:pt>
                <c:pt idx="21">
                  <c:v>1.7935559430463965E-7</c:v>
                </c:pt>
                <c:pt idx="22">
                  <c:v>1.8854661804189527E-7</c:v>
                </c:pt>
                <c:pt idx="23">
                  <c:v>1.9722612744088121E-7</c:v>
                </c:pt>
                <c:pt idx="24">
                  <c:v>2.0548006694201362E-7</c:v>
                </c:pt>
                <c:pt idx="25">
                  <c:v>2.132392679021932E-7</c:v>
                </c:pt>
                <c:pt idx="26">
                  <c:v>2.2043128169364111E-7</c:v>
                </c:pt>
                <c:pt idx="27">
                  <c:v>2.269800890255279E-7</c:v>
                </c:pt>
                <c:pt idx="28">
                  <c:v>2.3280578415675971E-7</c:v>
                </c:pt>
                <c:pt idx="29">
                  <c:v>2.3833455325710898E-7</c:v>
                </c:pt>
                <c:pt idx="30">
                  <c:v>2.4400503149376711E-7</c:v>
                </c:pt>
                <c:pt idx="31">
                  <c:v>2.4986794189781876E-7</c:v>
                </c:pt>
                <c:pt idx="32">
                  <c:v>2.5597677247012476E-7</c:v>
                </c:pt>
                <c:pt idx="33">
                  <c:v>2.6238795795142003E-7</c:v>
                </c:pt>
                <c:pt idx="34">
                  <c:v>2.6916108305160116E-7</c:v>
                </c:pt>
                <c:pt idx="35">
                  <c:v>2.7635910776433258E-7</c:v>
                </c:pt>
                <c:pt idx="36">
                  <c:v>2.8402194446929991E-7</c:v>
                </c:pt>
                <c:pt idx="37">
                  <c:v>2.9263320761595101E-7</c:v>
                </c:pt>
                <c:pt idx="38">
                  <c:v>3.0248218288575323E-7</c:v>
                </c:pt>
                <c:pt idx="39">
                  <c:v>3.1372906531526486E-7</c:v>
                </c:pt>
                <c:pt idx="40">
                  <c:v>3.265433422296389E-7</c:v>
                </c:pt>
                <c:pt idx="41">
                  <c:v>3.4110463061084984E-7</c:v>
                </c:pt>
                <c:pt idx="42">
                  <c:v>3.5760361219513315E-7</c:v>
                </c:pt>
                <c:pt idx="43">
                  <c:v>3.7581474191094822E-7</c:v>
                </c:pt>
                <c:pt idx="44">
                  <c:v>3.9493189414368145E-7</c:v>
                </c:pt>
                <c:pt idx="45">
                  <c:v>4.1501499952006763E-7</c:v>
                </c:pt>
                <c:pt idx="46">
                  <c:v>4.3612822724119046E-7</c:v>
                </c:pt>
                <c:pt idx="47">
                  <c:v>4.5834032571645655E-7</c:v>
                </c:pt>
                <c:pt idx="48">
                  <c:v>4.8172499945410064E-7</c:v>
                </c:pt>
                <c:pt idx="49">
                  <c:v>5.0636132615163047E-7</c:v>
                </c:pt>
                <c:pt idx="50">
                  <c:v>5.3230874394551167E-7</c:v>
                </c:pt>
                <c:pt idx="51">
                  <c:v>5.5911087452250511E-7</c:v>
                </c:pt>
                <c:pt idx="52">
                  <c:v>5.8598449468244191E-7</c:v>
                </c:pt>
                <c:pt idx="53">
                  <c:v>6.1284375080219184E-7</c:v>
                </c:pt>
                <c:pt idx="54">
                  <c:v>6.395978175540667E-7</c:v>
                </c:pt>
                <c:pt idx="55">
                  <c:v>6.6614783208574773E-7</c:v>
                </c:pt>
                <c:pt idx="56">
                  <c:v>6.9238645323781341E-7</c:v>
                </c:pt>
                <c:pt idx="57">
                  <c:v>7.185842051502578E-7</c:v>
                </c:pt>
                <c:pt idx="58">
                  <c:v>7.4541882676258809E-7</c:v>
                </c:pt>
                <c:pt idx="59">
                  <c:v>7.7288797051046825E-7</c:v>
                </c:pt>
                <c:pt idx="60">
                  <c:v>8.009879384360368E-7</c:v>
                </c:pt>
                <c:pt idx="61">
                  <c:v>8.2971360981113061E-7</c:v>
                </c:pt>
                <c:pt idx="62">
                  <c:v>8.5905836595333952E-7</c:v>
                </c:pt>
                <c:pt idx="63">
                  <c:v>8.8901401191297593E-7</c:v>
                </c:pt>
                <c:pt idx="64">
                  <c:v>9.1957744776145592E-7</c:v>
                </c:pt>
                <c:pt idx="65">
                  <c:v>9.5149473288223655E-7</c:v>
                </c:pt>
                <c:pt idx="66">
                  <c:v>9.8572977613456279E-7</c:v>
                </c:pt>
                <c:pt idx="67">
                  <c:v>1.0224668319075657E-6</c:v>
                </c:pt>
                <c:pt idx="68">
                  <c:v>1.0619021651281502E-6</c:v>
                </c:pt>
                <c:pt idx="69">
                  <c:v>1.1042448508776765E-6</c:v>
                </c:pt>
                <c:pt idx="70">
                  <c:v>1.1497176306537569E-6</c:v>
                </c:pt>
                <c:pt idx="71">
                  <c:v>1.1977380085156603E-6</c:v>
                </c:pt>
                <c:pt idx="72">
                  <c:v>1.2478004928204226E-6</c:v>
                </c:pt>
                <c:pt idx="73">
                  <c:v>1.3000048192398459E-6</c:v>
                </c:pt>
                <c:pt idx="74">
                  <c:v>1.3544562191498061E-6</c:v>
                </c:pt>
                <c:pt idx="75">
                  <c:v>1.4112657323579133E-6</c:v>
                </c:pt>
                <c:pt idx="76">
                  <c:v>1.4705505355830602E-6</c:v>
                </c:pt>
                <c:pt idx="77">
                  <c:v>1.5324342874306293E-6</c:v>
                </c:pt>
                <c:pt idx="78">
                  <c:v>1.5969649962659872E-6</c:v>
                </c:pt>
                <c:pt idx="79">
                  <c:v>1.6625270611091421E-6</c:v>
                </c:pt>
                <c:pt idx="80">
                  <c:v>1.7278214690405412E-6</c:v>
                </c:pt>
                <c:pt idx="81">
                  <c:v>1.7926771774456182E-6</c:v>
                </c:pt>
                <c:pt idx="82">
                  <c:v>1.8569093906472752E-6</c:v>
                </c:pt>
                <c:pt idx="83">
                  <c:v>1.9203179814801812E-6</c:v>
                </c:pt>
                <c:pt idx="84">
                  <c:v>1.982685753682302E-6</c:v>
                </c:pt>
                <c:pt idx="85">
                  <c:v>2.0433299484285531E-6</c:v>
                </c:pt>
                <c:pt idx="86">
                  <c:v>2.10334873893726E-6</c:v>
                </c:pt>
                <c:pt idx="87">
                  <c:v>2.1625637291184121E-6</c:v>
                </c:pt>
                <c:pt idx="88">
                  <c:v>2.2207790257205121E-6</c:v>
                </c:pt>
                <c:pt idx="89">
                  <c:v>2.2777792903221187E-6</c:v>
                </c:pt>
                <c:pt idx="90">
                  <c:v>2.333327604909336E-6</c:v>
                </c:pt>
                <c:pt idx="91">
                  <c:v>2.3871631324707605E-6</c:v>
                </c:pt>
                <c:pt idx="92">
                  <c:v>2.4388812198071358E-6</c:v>
                </c:pt>
                <c:pt idx="93">
                  <c:v>2.4853828980715226E-6</c:v>
                </c:pt>
                <c:pt idx="94">
                  <c:v>2.5288709871672241E-6</c:v>
                </c:pt>
                <c:pt idx="95">
                  <c:v>2.568917462804858E-6</c:v>
                </c:pt>
                <c:pt idx="96">
                  <c:v>2.605056585098616E-6</c:v>
                </c:pt>
                <c:pt idx="97">
                  <c:v>2.6367820097092467E-6</c:v>
                </c:pt>
                <c:pt idx="98">
                  <c:v>2.6635437183198362E-6</c:v>
                </c:pt>
                <c:pt idx="99">
                  <c:v>2.6866002286321634E-6</c:v>
                </c:pt>
                <c:pt idx="100">
                  <c:v>2.7062998483675163E-6</c:v>
                </c:pt>
                <c:pt idx="101">
                  <c:v>2.7222667306194589E-6</c:v>
                </c:pt>
                <c:pt idx="102">
                  <c:v>2.7340945253557324E-6</c:v>
                </c:pt>
                <c:pt idx="103">
                  <c:v>2.7413443124235098E-6</c:v>
                </c:pt>
                <c:pt idx="104">
                  <c:v>2.7435424340511193E-6</c:v>
                </c:pt>
                <c:pt idx="105">
                  <c:v>2.7401782254840994E-6</c:v>
                </c:pt>
                <c:pt idx="106">
                  <c:v>2.7307328696559382E-6</c:v>
                </c:pt>
                <c:pt idx="107">
                  <c:v>2.7257637972792444E-6</c:v>
                </c:pt>
                <c:pt idx="108">
                  <c:v>2.730607703792148E-6</c:v>
                </c:pt>
                <c:pt idx="109">
                  <c:v>2.7465594095812879E-6</c:v>
                </c:pt>
                <c:pt idx="110">
                  <c:v>2.7750405624854266E-6</c:v>
                </c:pt>
                <c:pt idx="111">
                  <c:v>2.8175999578663064E-6</c:v>
                </c:pt>
                <c:pt idx="112">
                  <c:v>2.8759134175546149E-6</c:v>
                </c:pt>
                <c:pt idx="113">
                  <c:v>2.9594575326387559E-6</c:v>
                </c:pt>
                <c:pt idx="114">
                  <c:v>3.0678016334666275E-6</c:v>
                </c:pt>
                <c:pt idx="115">
                  <c:v>3.2036724410185651E-6</c:v>
                </c:pt>
                <c:pt idx="116">
                  <c:v>3.3700101897379126E-6</c:v>
                </c:pt>
                <c:pt idx="117">
                  <c:v>3.56997866365794E-6</c:v>
                </c:pt>
                <c:pt idx="118">
                  <c:v>3.8069749506834028E-6</c:v>
                </c:pt>
                <c:pt idx="119">
                  <c:v>4.0846387883526396E-6</c:v>
                </c:pt>
                <c:pt idx="120">
                  <c:v>4.4070100765403308E-6</c:v>
                </c:pt>
                <c:pt idx="121">
                  <c:v>4.7817084364959251E-6</c:v>
                </c:pt>
                <c:pt idx="122">
                  <c:v>5.1935318594802134E-6</c:v>
                </c:pt>
                <c:pt idx="123">
                  <c:v>5.6452927281855128E-6</c:v>
                </c:pt>
                <c:pt idx="124">
                  <c:v>6.1399561086180224E-6</c:v>
                </c:pt>
                <c:pt idx="125">
                  <c:v>6.6806413571096798E-6</c:v>
                </c:pt>
                <c:pt idx="126">
                  <c:v>7.2706228514827608E-6</c:v>
                </c:pt>
                <c:pt idx="127">
                  <c:v>7.912770690582951E-6</c:v>
                </c:pt>
                <c:pt idx="128">
                  <c:v>8.5967978181096136E-6</c:v>
                </c:pt>
                <c:pt idx="129">
                  <c:v>9.3247397445503165E-6</c:v>
                </c:pt>
                <c:pt idx="130">
                  <c:v>1.0098663701907647E-5</c:v>
                </c:pt>
                <c:pt idx="131">
                  <c:v>1.092066144562516E-5</c:v>
                </c:pt>
                <c:pt idx="132">
                  <c:v>1.1792841174353237E-5</c:v>
                </c:pt>
                <c:pt idx="133">
                  <c:v>1.2717318549037488E-5</c:v>
                </c:pt>
                <c:pt idx="134">
                  <c:v>1.3696452199134055E-5</c:v>
                </c:pt>
                <c:pt idx="135">
                  <c:v>1.4731661892996628E-5</c:v>
                </c:pt>
                <c:pt idx="136">
                  <c:v>1.5819336813104441E-5</c:v>
                </c:pt>
                <c:pt idx="137">
                  <c:v>1.6961035005309414E-5</c:v>
                </c:pt>
                <c:pt idx="138">
                  <c:v>1.8158272919485376E-5</c:v>
                </c:pt>
                <c:pt idx="139">
                  <c:v>1.9412516880951844E-5</c:v>
                </c:pt>
                <c:pt idx="140">
                  <c:v>2.0725174340541765E-5</c:v>
                </c:pt>
                <c:pt idx="141">
                  <c:v>2.2091769733367203E-5</c:v>
                </c:pt>
                <c:pt idx="142">
                  <c:v>2.3513790849268638E-5</c:v>
                </c:pt>
                <c:pt idx="143">
                  <c:v>2.4991731655210628E-5</c:v>
                </c:pt>
                <c:pt idx="144">
                  <c:v>2.6526097253860726E-5</c:v>
                </c:pt>
                <c:pt idx="145">
                  <c:v>2.8117271932252702E-5</c:v>
                </c:pt>
                <c:pt idx="146">
                  <c:v>2.9765512467180932E-5</c:v>
                </c:pt>
                <c:pt idx="147">
                  <c:v>3.1470941980315244E-5</c:v>
                </c:pt>
                <c:pt idx="148">
                  <c:v>3.3234060850245186E-5</c:v>
                </c:pt>
                <c:pt idx="149">
                  <c:v>3.5041396758399442E-5</c:v>
                </c:pt>
                <c:pt idx="150">
                  <c:v>3.6892995048336505E-5</c:v>
                </c:pt>
                <c:pt idx="151">
                  <c:v>3.8787035943916178E-5</c:v>
                </c:pt>
                <c:pt idx="152">
                  <c:v>4.0721459493317729E-5</c:v>
                </c:pt>
                <c:pt idx="153">
                  <c:v>4.2693963955888187E-5</c:v>
                </c:pt>
                <c:pt idx="154">
                  <c:v>4.4702005748773466E-5</c:v>
                </c:pt>
                <c:pt idx="155">
                  <c:v>4.6723373793358645E-5</c:v>
                </c:pt>
                <c:pt idx="156">
                  <c:v>4.8762740870669248E-5</c:v>
                </c:pt>
                <c:pt idx="157">
                  <c:v>5.081593042716904E-5</c:v>
                </c:pt>
                <c:pt idx="158">
                  <c:v>5.2878528416662E-5</c:v>
                </c:pt>
                <c:pt idx="159">
                  <c:v>5.4945895865961787E-5</c:v>
                </c:pt>
                <c:pt idx="160">
                  <c:v>5.7013183402198753E-5</c:v>
                </c:pt>
                <c:pt idx="161">
                  <c:v>5.9075347674932734E-5</c:v>
                </c:pt>
                <c:pt idx="162">
                  <c:v>6.1128276968235064E-5</c:v>
                </c:pt>
                <c:pt idx="163">
                  <c:v>6.3143934007999986E-5</c:v>
                </c:pt>
                <c:pt idx="164">
                  <c:v>6.5136730924379759E-5</c:v>
                </c:pt>
                <c:pt idx="165">
                  <c:v>6.710155057241621E-5</c:v>
                </c:pt>
                <c:pt idx="166">
                  <c:v>6.9033240233357446E-5</c:v>
                </c:pt>
                <c:pt idx="167">
                  <c:v>7.0926632421022999E-5</c:v>
                </c:pt>
                <c:pt idx="168">
                  <c:v>7.2776565603142158E-5</c:v>
                </c:pt>
                <c:pt idx="169">
                  <c:v>7.4550121480707298E-5</c:v>
                </c:pt>
                <c:pt idx="170">
                  <c:v>7.6268621185134888E-5</c:v>
                </c:pt>
                <c:pt idx="171">
                  <c:v>7.7927038194602552E-5</c:v>
                </c:pt>
                <c:pt idx="172">
                  <c:v>7.9520432185798052E-5</c:v>
                </c:pt>
                <c:pt idx="173">
                  <c:v>8.1043137527322799E-5</c:v>
                </c:pt>
                <c:pt idx="174">
                  <c:v>8.248950415894284E-5</c:v>
                </c:pt>
                <c:pt idx="175">
                  <c:v>8.3854797005755149E-5</c:v>
                </c:pt>
                <c:pt idx="176">
                  <c:v>8.513477375804764E-5</c:v>
                </c:pt>
                <c:pt idx="177">
                  <c:v>8.6293135509583964E-5</c:v>
                </c:pt>
                <c:pt idx="178">
                  <c:v>8.735679178046294E-5</c:v>
                </c:pt>
                <c:pt idx="179">
                  <c:v>8.8321579591466059E-5</c:v>
                </c:pt>
                <c:pt idx="180">
                  <c:v>8.918352374232798E-5</c:v>
                </c:pt>
                <c:pt idx="181">
                  <c:v>8.9938844680205533E-5</c:v>
                </c:pt>
                <c:pt idx="182">
                  <c:v>9.0583964743165966E-5</c:v>
                </c:pt>
                <c:pt idx="183">
                  <c:v>9.1085488258462239E-5</c:v>
                </c:pt>
                <c:pt idx="184">
                  <c:v>9.1475018727883476E-5</c:v>
                </c:pt>
                <c:pt idx="185">
                  <c:v>9.1749856162101777E-5</c:v>
                </c:pt>
                <c:pt idx="186">
                  <c:v>9.190750369383401E-5</c:v>
                </c:pt>
                <c:pt idx="187">
                  <c:v>9.1945665830708644E-5</c:v>
                </c:pt>
                <c:pt idx="188">
                  <c:v>9.1862245494599308E-5</c:v>
                </c:pt>
                <c:pt idx="189">
                  <c:v>9.1655339955645925E-5</c:v>
                </c:pt>
                <c:pt idx="190">
                  <c:v>9.1323662276953797E-5</c:v>
                </c:pt>
                <c:pt idx="191">
                  <c:v>9.0847913276089566E-5</c:v>
                </c:pt>
                <c:pt idx="192">
                  <c:v>9.026569628022673E-5</c:v>
                </c:pt>
                <c:pt idx="193">
                  <c:v>8.9576631539192291E-5</c:v>
                </c:pt>
                <c:pt idx="194">
                  <c:v>8.8780455811313404E-5</c:v>
                </c:pt>
                <c:pt idx="195">
                  <c:v>8.787701218205262E-5</c:v>
                </c:pt>
                <c:pt idx="196">
                  <c:v>8.6866239801614985E-5</c:v>
                </c:pt>
                <c:pt idx="197">
                  <c:v>8.5743728037177916E-5</c:v>
                </c:pt>
                <c:pt idx="198">
                  <c:v>8.4544958029600999E-5</c:v>
                </c:pt>
                <c:pt idx="199">
                  <c:v>8.3270892559762015E-5</c:v>
                </c:pt>
                <c:pt idx="200">
                  <c:v>8.1922513388211926E-5</c:v>
                </c:pt>
                <c:pt idx="201">
                  <c:v>8.0500813609308864E-5</c:v>
                </c:pt>
                <c:pt idx="202">
                  <c:v>7.9006790552090827E-5</c:v>
                </c:pt>
                <c:pt idx="203">
                  <c:v>7.7441439249388225E-5</c:v>
                </c:pt>
                <c:pt idx="204">
                  <c:v>7.5804685865626413E-5</c:v>
                </c:pt>
                <c:pt idx="205">
                  <c:v>7.4093427076626027E-5</c:v>
                </c:pt>
                <c:pt idx="206">
                  <c:v>7.2329844876662384E-5</c:v>
                </c:pt>
                <c:pt idx="207">
                  <c:v>7.0515672703393801E-5</c:v>
                </c:pt>
                <c:pt idx="208">
                  <c:v>6.8652574821305659E-5</c:v>
                </c:pt>
                <c:pt idx="209">
                  <c:v>6.6742141436875631E-5</c:v>
                </c:pt>
                <c:pt idx="210">
                  <c:v>6.4785884475862245E-5</c:v>
                </c:pt>
                <c:pt idx="211">
                  <c:v>6.2810927684298971E-5</c:v>
                </c:pt>
                <c:pt idx="212">
                  <c:v>6.0823989310881416E-5</c:v>
                </c:pt>
                <c:pt idx="213">
                  <c:v>5.8826833533284646E-5</c:v>
                </c:pt>
                <c:pt idx="214">
                  <c:v>5.6821118698563697E-5</c:v>
                </c:pt>
                <c:pt idx="215">
                  <c:v>5.4808398685338135E-5</c:v>
                </c:pt>
                <c:pt idx="216">
                  <c:v>5.2790124596495706E-5</c:v>
                </c:pt>
                <c:pt idx="217">
                  <c:v>5.0767646710611383E-5</c:v>
                </c:pt>
                <c:pt idx="218">
                  <c:v>4.8741505470794357E-5</c:v>
                </c:pt>
                <c:pt idx="219">
                  <c:v>4.6798129551861895E-5</c:v>
                </c:pt>
                <c:pt idx="220">
                  <c:v>4.4943406424059764E-5</c:v>
                </c:pt>
                <c:pt idx="221">
                  <c:v>4.3179554782403524E-5</c:v>
                </c:pt>
                <c:pt idx="222">
                  <c:v>4.1508716347364608E-5</c:v>
                </c:pt>
                <c:pt idx="223">
                  <c:v>3.9932960667730596E-5</c:v>
                </c:pt>
                <c:pt idx="224">
                  <c:v>3.8454289661714178E-5</c:v>
                </c:pt>
                <c:pt idx="225">
                  <c:v>3.7237499308658062E-5</c:v>
                </c:pt>
                <c:pt idx="226">
                  <c:v>3.6258918325373811E-5</c:v>
                </c:pt>
                <c:pt idx="227">
                  <c:v>3.5522092366843669E-5</c:v>
                </c:pt>
                <c:pt idx="228">
                  <c:v>3.5030474602719797E-5</c:v>
                </c:pt>
                <c:pt idx="229">
                  <c:v>3.4787431171896361E-5</c:v>
                </c:pt>
                <c:pt idx="230">
                  <c:v>3.4796246146014667E-5</c:v>
                </c:pt>
                <c:pt idx="231">
                  <c:v>3.506012601188078E-5</c:v>
                </c:pt>
                <c:pt idx="232">
                  <c:v>3.5581276981800292E-5</c:v>
                </c:pt>
                <c:pt idx="233">
                  <c:v>3.6400200261207618E-5</c:v>
                </c:pt>
                <c:pt idx="234">
                  <c:v>3.7428827166040464E-5</c:v>
                </c:pt>
                <c:pt idx="235">
                  <c:v>3.8669799287757852E-5</c:v>
                </c:pt>
                <c:pt idx="236">
                  <c:v>4.0125757540233613E-5</c:v>
                </c:pt>
                <c:pt idx="237">
                  <c:v>4.1799333623197662E-5</c:v>
                </c:pt>
                <c:pt idx="238">
                  <c:v>4.3693202799492338E-5</c:v>
                </c:pt>
                <c:pt idx="239">
                  <c:v>4.5740781768691882E-5</c:v>
                </c:pt>
                <c:pt idx="240">
                  <c:v>4.7771612558824432E-5</c:v>
                </c:pt>
                <c:pt idx="241">
                  <c:v>4.9786118213734389E-5</c:v>
                </c:pt>
                <c:pt idx="242">
                  <c:v>5.1784833422533973E-5</c:v>
                </c:pt>
                <c:pt idx="243">
                  <c:v>5.3768403245642048E-5</c:v>
                </c:pt>
                <c:pt idx="244">
                  <c:v>5.5737582121504468E-5</c:v>
                </c:pt>
                <c:pt idx="245">
                  <c:v>5.7693233247665904E-5</c:v>
                </c:pt>
                <c:pt idx="246">
                  <c:v>5.9634735160576789E-5</c:v>
                </c:pt>
                <c:pt idx="247">
                  <c:v>6.1544508777565412E-5</c:v>
                </c:pt>
                <c:pt idx="248">
                  <c:v>6.3381915055211259E-5</c:v>
                </c:pt>
                <c:pt idx="249">
                  <c:v>6.5146123755104935E-5</c:v>
                </c:pt>
                <c:pt idx="250">
                  <c:v>6.6836267276762092E-5</c:v>
                </c:pt>
                <c:pt idx="251">
                  <c:v>6.8451439749349821E-5</c:v>
                </c:pt>
                <c:pt idx="252">
                  <c:v>6.9990696294534196E-5</c:v>
                </c:pt>
                <c:pt idx="253">
                  <c:v>7.1375437569253536E-5</c:v>
                </c:pt>
                <c:pt idx="254">
                  <c:v>7.2677062173654282E-5</c:v>
                </c:pt>
                <c:pt idx="255">
                  <c:v>7.3894442533441269E-5</c:v>
                </c:pt>
                <c:pt idx="256">
                  <c:v>7.5026411012491182E-5</c:v>
                </c:pt>
                <c:pt idx="257">
                  <c:v>7.6071760573930046E-5</c:v>
                </c:pt>
                <c:pt idx="258">
                  <c:v>7.7029245805523001E-5</c:v>
                </c:pt>
                <c:pt idx="259">
                  <c:v>7.7897584274034268E-5</c:v>
                </c:pt>
                <c:pt idx="260">
                  <c:v>7.8678154401548765E-5</c:v>
                </c:pt>
                <c:pt idx="261">
                  <c:v>7.931978432849369E-5</c:v>
                </c:pt>
                <c:pt idx="262">
                  <c:v>7.9836958715944387E-5</c:v>
                </c:pt>
                <c:pt idx="263">
                  <c:v>8.0227027500630655E-5</c:v>
                </c:pt>
                <c:pt idx="264">
                  <c:v>8.0487249234160074E-5</c:v>
                </c:pt>
                <c:pt idx="265">
                  <c:v>8.0615234998930092E-5</c:v>
                </c:pt>
                <c:pt idx="266">
                  <c:v>8.0608321332303727E-5</c:v>
                </c:pt>
                <c:pt idx="267">
                  <c:v>8.0523601962691216E-5</c:v>
                </c:pt>
                <c:pt idx="268">
                  <c:v>8.0441390559173203E-5</c:v>
                </c:pt>
                <c:pt idx="269">
                  <c:v>8.0360431085578119E-5</c:v>
                </c:pt>
                <c:pt idx="270">
                  <c:v>8.0279447615652912E-5</c:v>
                </c:pt>
                <c:pt idx="271">
                  <c:v>8.019714489648731E-5</c:v>
                </c:pt>
                <c:pt idx="272">
                  <c:v>8.011220929372327E-5</c:v>
                </c:pt>
                <c:pt idx="273">
                  <c:v>8.0023310155907145E-5</c:v>
                </c:pt>
                <c:pt idx="274">
                  <c:v>7.9930733690098275E-5</c:v>
                </c:pt>
                <c:pt idx="275">
                  <c:v>7.9879349761513357E-5</c:v>
                </c:pt>
                <c:pt idx="276">
                  <c:v>7.9925460837826969E-5</c:v>
                </c:pt>
                <c:pt idx="277">
                  <c:v>8.0070580647110414E-5</c:v>
                </c:pt>
                <c:pt idx="278">
                  <c:v>8.0316214683950882E-5</c:v>
                </c:pt>
                <c:pt idx="279">
                  <c:v>8.0663867677945698E-5</c:v>
                </c:pt>
                <c:pt idx="280">
                  <c:v>8.1115052006791978E-5</c:v>
                </c:pt>
                <c:pt idx="281">
                  <c:v>8.1598702204430156E-5</c:v>
                </c:pt>
                <c:pt idx="282">
                  <c:v>8.2052074228397076E-5</c:v>
                </c:pt>
                <c:pt idx="283">
                  <c:v>8.2475471976404966E-5</c:v>
                </c:pt>
                <c:pt idx="284">
                  <c:v>8.2869270200426739E-5</c:v>
                </c:pt>
                <c:pt idx="285">
                  <c:v>8.323391680922948E-5</c:v>
                </c:pt>
                <c:pt idx="286">
                  <c:v>8.3569935050490919E-5</c:v>
                </c:pt>
                <c:pt idx="287">
                  <c:v>8.3877925552331225E-5</c:v>
                </c:pt>
                <c:pt idx="288">
                  <c:v>8.4162209294134227E-5</c:v>
                </c:pt>
                <c:pt idx="289">
                  <c:v>8.4339305303549213E-5</c:v>
                </c:pt>
                <c:pt idx="290">
                  <c:v>8.4360609389093669E-5</c:v>
                </c:pt>
                <c:pt idx="291">
                  <c:v>8.4222571749732568E-5</c:v>
                </c:pt>
                <c:pt idx="292">
                  <c:v>8.3921578564649028E-5</c:v>
                </c:pt>
                <c:pt idx="293">
                  <c:v>8.3453985397600298E-5</c:v>
                </c:pt>
                <c:pt idx="294">
                  <c:v>8.2816153000478255E-5</c:v>
                </c:pt>
                <c:pt idx="295">
                  <c:v>8.2118931045406464E-5</c:v>
                </c:pt>
                <c:pt idx="296">
                  <c:v>8.1437027435840342E-5</c:v>
                </c:pt>
                <c:pt idx="297">
                  <c:v>8.0769400908725175E-5</c:v>
                </c:pt>
                <c:pt idx="298">
                  <c:v>8.0114337842242353E-5</c:v>
                </c:pt>
                <c:pt idx="299">
                  <c:v>7.9470133064921206E-5</c:v>
                </c:pt>
                <c:pt idx="300">
                  <c:v>7.8835086247975531E-5</c:v>
                </c:pt>
                <c:pt idx="301">
                  <c:v>7.8207499261270623E-5</c:v>
                </c:pt>
                <c:pt idx="302">
                  <c:v>7.7592069600439736E-5</c:v>
                </c:pt>
                <c:pt idx="303">
                  <c:v>7.7190318236164564E-5</c:v>
                </c:pt>
                <c:pt idx="304">
                  <c:v>7.7094091307859986E-5</c:v>
                </c:pt>
                <c:pt idx="305">
                  <c:v>7.7306012123203992E-5</c:v>
                </c:pt>
                <c:pt idx="306">
                  <c:v>7.7828639156992443E-5</c:v>
                </c:pt>
                <c:pt idx="307">
                  <c:v>7.8664489939584309E-5</c:v>
                </c:pt>
                <c:pt idx="308">
                  <c:v>7.9816066704895415E-5</c:v>
                </c:pt>
                <c:pt idx="309">
                  <c:v>8.1245419872868121E-5</c:v>
                </c:pt>
                <c:pt idx="310">
                  <c:v>8.2836360357678353E-5</c:v>
                </c:pt>
                <c:pt idx="311">
                  <c:v>8.4590608147146887E-5</c:v>
                </c:pt>
                <c:pt idx="312">
                  <c:v>8.6509967921288348E-5</c:v>
                </c:pt>
                <c:pt idx="313">
                  <c:v>8.8596342634432725E-5</c:v>
                </c:pt>
                <c:pt idx="314">
                  <c:v>9.0851746812150127E-5</c:v>
                </c:pt>
                <c:pt idx="315">
                  <c:v>9.3278319343833004E-5</c:v>
                </c:pt>
                <c:pt idx="316">
                  <c:v>9.588186113442333E-5</c:v>
                </c:pt>
                <c:pt idx="317">
                  <c:v>9.8498269242123243E-5</c:v>
                </c:pt>
                <c:pt idx="318">
                  <c:v>1.0092688526507399E-4</c:v>
                </c:pt>
                <c:pt idx="319">
                  <c:v>1.0316648691076837E-4</c:v>
                </c:pt>
                <c:pt idx="320">
                  <c:v>1.0521555298783577E-4</c:v>
                </c:pt>
                <c:pt idx="321">
                  <c:v>1.0707225687456209E-4</c:v>
                </c:pt>
                <c:pt idx="322">
                  <c:v>1.0873446239202927E-4</c:v>
                </c:pt>
                <c:pt idx="323">
                  <c:v>1.1010634931254201E-4</c:v>
                </c:pt>
                <c:pt idx="324">
                  <c:v>1.1122622858630639E-4</c:v>
                </c:pt>
                <c:pt idx="325">
                  <c:v>1.1209056343966147E-4</c:v>
                </c:pt>
                <c:pt idx="326">
                  <c:v>1.1269481688743995E-4</c:v>
                </c:pt>
                <c:pt idx="327">
                  <c:v>1.1303463920880161E-4</c:v>
                </c:pt>
                <c:pt idx="328">
                  <c:v>1.1310603024122826E-4</c:v>
                </c:pt>
                <c:pt idx="329">
                  <c:v>1.1290480228807253E-4</c:v>
                </c:pt>
                <c:pt idx="330">
                  <c:v>1.1244418303600828E-4</c:v>
                </c:pt>
                <c:pt idx="331">
                  <c:v>1.1173059466784913E-4</c:v>
                </c:pt>
                <c:pt idx="332">
                  <c:v>1.1093277478364306E-4</c:v>
                </c:pt>
                <c:pt idx="333">
                  <c:v>1.1004399925829272E-4</c:v>
                </c:pt>
                <c:pt idx="334">
                  <c:v>1.0905732152718309E-4</c:v>
                </c:pt>
                <c:pt idx="335">
                  <c:v>1.0796562873737282E-4</c:v>
                </c:pt>
                <c:pt idx="336">
                  <c:v>1.06761709923188E-4</c:v>
                </c:pt>
                <c:pt idx="337">
                  <c:v>1.0550389766410002E-4</c:v>
                </c:pt>
                <c:pt idx="338">
                  <c:v>1.0428395433660855E-4</c:v>
                </c:pt>
                <c:pt idx="339">
                  <c:v>1.0309659837607566E-4</c:v>
                </c:pt>
                <c:pt idx="340">
                  <c:v>1.0193660404091338E-4</c:v>
                </c:pt>
                <c:pt idx="341">
                  <c:v>1.0079881884716472E-4</c:v>
                </c:pt>
                <c:pt idx="342">
                  <c:v>9.9678186028190075E-5</c:v>
                </c:pt>
                <c:pt idx="343">
                  <c:v>9.8569771821777318E-5</c:v>
                </c:pt>
                <c:pt idx="344">
                  <c:v>9.7483707348090042E-5</c:v>
                </c:pt>
                <c:pt idx="345">
                  <c:v>9.643297824304141E-5</c:v>
                </c:pt>
                <c:pt idx="346">
                  <c:v>9.5475100389519576E-5</c:v>
                </c:pt>
                <c:pt idx="347">
                  <c:v>9.4609712966613809E-5</c:v>
                </c:pt>
                <c:pt idx="348">
                  <c:v>9.3836361471388941E-5</c:v>
                </c:pt>
                <c:pt idx="349">
                  <c:v>9.3154490371113611E-5</c:v>
                </c:pt>
                <c:pt idx="350">
                  <c:v>9.2563435754612272E-5</c:v>
                </c:pt>
                <c:pt idx="351">
                  <c:v>9.2115864599813844E-5</c:v>
                </c:pt>
                <c:pt idx="352">
                  <c:v>9.1743619763081275E-5</c:v>
                </c:pt>
                <c:pt idx="353">
                  <c:v>9.1445652130842995E-5</c:v>
                </c:pt>
                <c:pt idx="354">
                  <c:v>9.1220807390885659E-5</c:v>
                </c:pt>
                <c:pt idx="355">
                  <c:v>9.106782378330279E-5</c:v>
                </c:pt>
                <c:pt idx="356">
                  <c:v>9.0984180147154418E-5</c:v>
                </c:pt>
                <c:pt idx="357">
                  <c:v>9.0969456820505607E-5</c:v>
                </c:pt>
                <c:pt idx="358">
                  <c:v>9.101826879033381E-5</c:v>
                </c:pt>
                <c:pt idx="359">
                  <c:v>9.11269976584318E-5</c:v>
                </c:pt>
                <c:pt idx="360">
                  <c:v>9.1362126010082316E-5</c:v>
                </c:pt>
                <c:pt idx="361">
                  <c:v>9.1671040886985634E-5</c:v>
                </c:pt>
                <c:pt idx="362">
                  <c:v>9.2053794563213003E-5</c:v>
                </c:pt>
                <c:pt idx="363">
                  <c:v>9.2510307522258249E-5</c:v>
                </c:pt>
                <c:pt idx="364">
                  <c:v>9.3040382020895675E-5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9816"/>
        <c:axId val="591170208"/>
      </c:lineChart>
      <c:dateAx>
        <c:axId val="5911698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0208"/>
        <c:crosses val="autoZero"/>
        <c:auto val="1"/>
        <c:lblOffset val="100"/>
        <c:baseTimeUnit val="days"/>
        <c:majorUnit val="1"/>
        <c:majorTimeUnit val="months"/>
      </c:dateAx>
      <c:valAx>
        <c:axId val="5911702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98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4.7198325782269457E-3</c:v>
                </c:pt>
                <c:pt idx="1">
                  <c:v>4.7416317682127396E-3</c:v>
                </c:pt>
                <c:pt idx="2">
                  <c:v>4.7634304807402383E-3</c:v>
                </c:pt>
                <c:pt idx="3">
                  <c:v>4.7852287158201001E-3</c:v>
                </c:pt>
                <c:pt idx="4">
                  <c:v>4.807026473462539E-3</c:v>
                </c:pt>
                <c:pt idx="5">
                  <c:v>4.828823753678213E-3</c:v>
                </c:pt>
                <c:pt idx="6">
                  <c:v>4.8506205564775584E-3</c:v>
                </c:pt>
                <c:pt idx="7">
                  <c:v>4.8724168818709002E-3</c:v>
                </c:pt>
                <c:pt idx="8">
                  <c:v>4.8942127298687854E-3</c:v>
                </c:pt>
                <c:pt idx="9">
                  <c:v>4.9160081004816503E-3</c:v>
                </c:pt>
                <c:pt idx="10">
                  <c:v>4.9378029937200418E-3</c:v>
                </c:pt>
                <c:pt idx="11">
                  <c:v>4.9595974095942852E-3</c:v>
                </c:pt>
                <c:pt idx="12">
                  <c:v>4.9813913481149275E-3</c:v>
                </c:pt>
                <c:pt idx="13">
                  <c:v>5.0031848092922937E-3</c:v>
                </c:pt>
                <c:pt idx="14">
                  <c:v>5.0249777931370421E-3</c:v>
                </c:pt>
                <c:pt idx="15">
                  <c:v>5.0467702996593866E-3</c:v>
                </c:pt>
                <c:pt idx="16">
                  <c:v>5.0685623288699855E-3</c:v>
                </c:pt>
                <c:pt idx="17">
                  <c:v>5.0903538807792748E-3</c:v>
                </c:pt>
                <c:pt idx="18">
                  <c:v>5.1121449553975795E-3</c:v>
                </c:pt>
                <c:pt idx="19">
                  <c:v>5.1339355527353359E-3</c:v>
                </c:pt>
                <c:pt idx="20">
                  <c:v>5.1557256728032019E-3</c:v>
                </c:pt>
                <c:pt idx="21">
                  <c:v>5.1775153156115028E-3</c:v>
                </c:pt>
                <c:pt idx="22">
                  <c:v>5.1993044811706746E-3</c:v>
                </c:pt>
                <c:pt idx="23">
                  <c:v>5.2210931694912643E-3</c:v>
                </c:pt>
                <c:pt idx="24">
                  <c:v>5.2428813805835972E-3</c:v>
                </c:pt>
                <c:pt idx="25">
                  <c:v>5.2646691144582203E-3</c:v>
                </c:pt>
                <c:pt idx="26">
                  <c:v>5.2864563711255697E-3</c:v>
                </c:pt>
                <c:pt idx="27">
                  <c:v>5.3082431505960814E-3</c:v>
                </c:pt>
                <c:pt idx="28">
                  <c:v>5.3300294528800807E-3</c:v>
                </c:pt>
                <c:pt idx="29">
                  <c:v>5.3518152779883366E-3</c:v>
                </c:pt>
                <c:pt idx="30">
                  <c:v>5.3736006259309521E-3</c:v>
                </c:pt>
                <c:pt idx="31">
                  <c:v>5.3953854967185855E-3</c:v>
                </c:pt>
                <c:pt idx="32">
                  <c:v>5.4171698903616727E-3</c:v>
                </c:pt>
                <c:pt idx="33">
                  <c:v>5.43895380687065E-3</c:v>
                </c:pt>
                <c:pt idx="34">
                  <c:v>5.4607372462559534E-3</c:v>
                </c:pt>
                <c:pt idx="35">
                  <c:v>5.4825202085280189E-3</c:v>
                </c:pt>
                <c:pt idx="36">
                  <c:v>5.5043026936972828E-3</c:v>
                </c:pt>
                <c:pt idx="37">
                  <c:v>5.526084701774181E-3</c:v>
                </c:pt>
                <c:pt idx="38">
                  <c:v>5.5478662327692607E-3</c:v>
                </c:pt>
                <c:pt idx="39">
                  <c:v>5.569647286692847E-3</c:v>
                </c:pt>
                <c:pt idx="40">
                  <c:v>5.591427863555487E-3</c:v>
                </c:pt>
                <c:pt idx="41">
                  <c:v>5.6132079633676168E-3</c:v>
                </c:pt>
                <c:pt idx="42">
                  <c:v>5.6349875861396725E-3</c:v>
                </c:pt>
                <c:pt idx="43">
                  <c:v>5.6567667318819792E-3</c:v>
                </c:pt>
                <c:pt idx="44">
                  <c:v>5.678545400605195E-3</c:v>
                </c:pt>
                <c:pt idx="45">
                  <c:v>5.7003235923197559E-3</c:v>
                </c:pt>
                <c:pt idx="46">
                  <c:v>5.7221013070358762E-3</c:v>
                </c:pt>
                <c:pt idx="47">
                  <c:v>5.7438785447642138E-3</c:v>
                </c:pt>
                <c:pt idx="48">
                  <c:v>5.7656553055152049E-3</c:v>
                </c:pt>
                <c:pt idx="49">
                  <c:v>5.7874315892991746E-3</c:v>
                </c:pt>
                <c:pt idx="50">
                  <c:v>5.8092073961266699E-3</c:v>
                </c:pt>
                <c:pt idx="51">
                  <c:v>5.8309827260081271E-3</c:v>
                </c:pt>
                <c:pt idx="52">
                  <c:v>5.8527575789538711E-3</c:v>
                </c:pt>
                <c:pt idx="53">
                  <c:v>5.87453195497456E-3</c:v>
                </c:pt>
                <c:pt idx="54">
                  <c:v>5.8963058540805191E-3</c:v>
                </c:pt>
                <c:pt idx="55">
                  <c:v>5.9180792762821843E-3</c:v>
                </c:pt>
                <c:pt idx="56">
                  <c:v>5.9398522215899918E-3</c:v>
                </c:pt>
                <c:pt idx="57">
                  <c:v>5.9616246900144887E-3</c:v>
                </c:pt>
                <c:pt idx="58">
                  <c:v>5.983396681566E-3</c:v>
                </c:pt>
                <c:pt idx="59">
                  <c:v>6.0051681962550729E-3</c:v>
                </c:pt>
                <c:pt idx="60">
                  <c:v>6.0269392340920325E-3</c:v>
                </c:pt>
                <c:pt idx="61">
                  <c:v>6.0487097950874258E-3</c:v>
                </c:pt>
                <c:pt idx="62">
                  <c:v>6.070479879251689E-3</c:v>
                </c:pt>
                <c:pt idx="63">
                  <c:v>6.0922494865951471E-3</c:v>
                </c:pt>
                <c:pt idx="64">
                  <c:v>6.1140186171284583E-3</c:v>
                </c:pt>
                <c:pt idx="65">
                  <c:v>6.1357872708618366E-3</c:v>
                </c:pt>
                <c:pt idx="66">
                  <c:v>6.1575554478058292E-3</c:v>
                </c:pt>
                <c:pt idx="67">
                  <c:v>6.1793231479709831E-3</c:v>
                </c:pt>
                <c:pt idx="68">
                  <c:v>6.2010903713675125E-3</c:v>
                </c:pt>
                <c:pt idx="69">
                  <c:v>6.2228571180060754E-3</c:v>
                </c:pt>
                <c:pt idx="70">
                  <c:v>6.244623387896997E-3</c:v>
                </c:pt>
                <c:pt idx="71">
                  <c:v>6.2663891810507133E-3</c:v>
                </c:pt>
                <c:pt idx="72">
                  <c:v>6.2881544974777714E-3</c:v>
                </c:pt>
                <c:pt idx="73">
                  <c:v>6.3099193371884965E-3</c:v>
                </c:pt>
                <c:pt idx="74">
                  <c:v>6.3316837001933246E-3</c:v>
                </c:pt>
                <c:pt idx="75">
                  <c:v>6.3534475865028028E-3</c:v>
                </c:pt>
                <c:pt idx="76">
                  <c:v>6.3752109961273673E-3</c:v>
                </c:pt>
                <c:pt idx="77">
                  <c:v>6.3969739290773431E-3</c:v>
                </c:pt>
                <c:pt idx="78">
                  <c:v>6.4187363853632773E-3</c:v>
                </c:pt>
                <c:pt idx="79">
                  <c:v>6.440498364995495E-3</c:v>
                </c:pt>
                <c:pt idx="80">
                  <c:v>6.4622598679845433E-3</c:v>
                </c:pt>
                <c:pt idx="81">
                  <c:v>6.4840208943408584E-3</c:v>
                </c:pt>
                <c:pt idx="82">
                  <c:v>6.5057814440747652E-3</c:v>
                </c:pt>
                <c:pt idx="83">
                  <c:v>6.527541517196811E-3</c:v>
                </c:pt>
                <c:pt idx="84">
                  <c:v>6.5493011137175428E-3</c:v>
                </c:pt>
                <c:pt idx="85">
                  <c:v>6.5710602336470636E-3</c:v>
                </c:pt>
                <c:pt idx="86">
                  <c:v>6.5928188769961427E-3</c:v>
                </c:pt>
                <c:pt idx="87">
                  <c:v>6.614577043775105E-3</c:v>
                </c:pt>
                <c:pt idx="88">
                  <c:v>6.6363347339942758E-3</c:v>
                </c:pt>
                <c:pt idx="89">
                  <c:v>6.658091947664313E-3</c:v>
                </c:pt>
                <c:pt idx="90">
                  <c:v>6.6798486847954308E-3</c:v>
                </c:pt>
                <c:pt idx="91">
                  <c:v>6.7016049453981763E-3</c:v>
                </c:pt>
                <c:pt idx="92">
                  <c:v>6.7233607294829856E-3</c:v>
                </c:pt>
                <c:pt idx="93">
                  <c:v>6.7451160370602947E-3</c:v>
                </c:pt>
                <c:pt idx="94">
                  <c:v>6.7668708681405398E-3</c:v>
                </c:pt>
                <c:pt idx="95">
                  <c:v>6.788625222734157E-3</c:v>
                </c:pt>
                <c:pt idx="96">
                  <c:v>6.8103791008515824E-3</c:v>
                </c:pt>
                <c:pt idx="97">
                  <c:v>6.832132502503252E-3</c:v>
                </c:pt>
                <c:pt idx="98">
                  <c:v>6.853885427699602E-3</c:v>
                </c:pt>
                <c:pt idx="99">
                  <c:v>6.8756378764510684E-3</c:v>
                </c:pt>
                <c:pt idx="100">
                  <c:v>6.8973898487680874E-3</c:v>
                </c:pt>
                <c:pt idx="101">
                  <c:v>6.919141344660984E-3</c:v>
                </c:pt>
                <c:pt idx="102">
                  <c:v>6.9408923641404163E-3</c:v>
                </c:pt>
                <c:pt idx="103">
                  <c:v>6.9626429072165985E-3</c:v>
                </c:pt>
                <c:pt idx="104">
                  <c:v>6.9843929739001887E-3</c:v>
                </c:pt>
                <c:pt idx="105">
                  <c:v>7.0061425642014008E-3</c:v>
                </c:pt>
                <c:pt idx="106">
                  <c:v>7.0278916781307821E-3</c:v>
                </c:pt>
                <c:pt idx="107">
                  <c:v>7.0496403156987686E-3</c:v>
                </c:pt>
                <c:pt idx="108">
                  <c:v>7.0713884769157964E-3</c:v>
                </c:pt>
                <c:pt idx="109">
                  <c:v>7.0931361617923017E-3</c:v>
                </c:pt>
                <c:pt idx="110">
                  <c:v>7.1148833703386094E-3</c:v>
                </c:pt>
                <c:pt idx="111">
                  <c:v>7.1366301025652668E-3</c:v>
                </c:pt>
                <c:pt idx="112">
                  <c:v>7.1583763584827098E-3</c:v>
                </c:pt>
                <c:pt idx="113">
                  <c:v>7.1801221381013747E-3</c:v>
                </c:pt>
                <c:pt idx="114">
                  <c:v>7.2018674414315864E-3</c:v>
                </c:pt>
                <c:pt idx="115">
                  <c:v>7.2236122684837811E-3</c:v>
                </c:pt>
                <c:pt idx="116">
                  <c:v>7.245356619268617E-3</c:v>
                </c:pt>
                <c:pt idx="117">
                  <c:v>7.2671004937961969E-3</c:v>
                </c:pt>
                <c:pt idx="118">
                  <c:v>7.2888438920772902E-3</c:v>
                </c:pt>
                <c:pt idx="119">
                  <c:v>7.3105868141219998E-3</c:v>
                </c:pt>
                <c:pt idx="120">
                  <c:v>7.3323292599409839E-3</c:v>
                </c:pt>
                <c:pt idx="121">
                  <c:v>7.3540712295446786E-3</c:v>
                </c:pt>
                <c:pt idx="122">
                  <c:v>7.3758127229432979E-3</c:v>
                </c:pt>
                <c:pt idx="123">
                  <c:v>7.3975537401475E-3</c:v>
                </c:pt>
                <c:pt idx="124">
                  <c:v>7.4192942811676099E-3</c:v>
                </c:pt>
                <c:pt idx="125">
                  <c:v>7.4410343460141748E-3</c:v>
                </c:pt>
                <c:pt idx="126">
                  <c:v>7.4627739346974087E-3</c:v>
                </c:pt>
                <c:pt idx="127">
                  <c:v>7.4845130472278587E-3</c:v>
                </c:pt>
                <c:pt idx="128">
                  <c:v>7.506251683615961E-3</c:v>
                </c:pt>
                <c:pt idx="129">
                  <c:v>7.5279898438721515E-3</c:v>
                </c:pt>
                <c:pt idx="130">
                  <c:v>7.5497275280068665E-3</c:v>
                </c:pt>
                <c:pt idx="131">
                  <c:v>7.571464736030431E-3</c:v>
                </c:pt>
                <c:pt idx="132">
                  <c:v>7.5932014679533921E-3</c:v>
                </c:pt>
                <c:pt idx="133">
                  <c:v>7.6149377237861859E-3</c:v>
                </c:pt>
                <c:pt idx="134">
                  <c:v>7.6366735035391375E-3</c:v>
                </c:pt>
                <c:pt idx="135">
                  <c:v>7.658408807222794E-3</c:v>
                </c:pt>
                <c:pt idx="136">
                  <c:v>7.6801436348474805E-3</c:v>
                </c:pt>
                <c:pt idx="137">
                  <c:v>7.7018779864236331E-3</c:v>
                </c:pt>
                <c:pt idx="138">
                  <c:v>7.7236118619616878E-3</c:v>
                </c:pt>
                <c:pt idx="139">
                  <c:v>7.7453452614721918E-3</c:v>
                </c:pt>
                <c:pt idx="140">
                  <c:v>7.7670781849653592E-3</c:v>
                </c:pt>
                <c:pt idx="141">
                  <c:v>7.788810632451848E-3</c:v>
                </c:pt>
                <c:pt idx="142">
                  <c:v>7.8105426039418724E-3</c:v>
                </c:pt>
                <c:pt idx="143">
                  <c:v>7.8322740994459794E-3</c:v>
                </c:pt>
                <c:pt idx="144">
                  <c:v>7.8540051189744942E-3</c:v>
                </c:pt>
                <c:pt idx="145">
                  <c:v>7.8757356625379638E-3</c:v>
                </c:pt>
                <c:pt idx="146">
                  <c:v>7.8974657301467133E-3</c:v>
                </c:pt>
                <c:pt idx="147">
                  <c:v>7.9191953218112898E-3</c:v>
                </c:pt>
                <c:pt idx="148">
                  <c:v>7.9409244375420185E-3</c:v>
                </c:pt>
                <c:pt idx="149">
                  <c:v>7.9626530773493354E-3</c:v>
                </c:pt>
                <c:pt idx="150">
                  <c:v>7.9843812412436765E-3</c:v>
                </c:pt>
                <c:pt idx="151">
                  <c:v>8.0061089292354781E-3</c:v>
                </c:pt>
                <c:pt idx="152">
                  <c:v>8.0278361413351762E-3</c:v>
                </c:pt>
                <c:pt idx="153">
                  <c:v>8.0495628775530959E-3</c:v>
                </c:pt>
                <c:pt idx="154">
                  <c:v>8.0712891378997842E-3</c:v>
                </c:pt>
                <c:pt idx="155">
                  <c:v>8.0930149223855663E-3</c:v>
                </c:pt>
                <c:pt idx="156">
                  <c:v>8.1147402310209893E-3</c:v>
                </c:pt>
                <c:pt idx="157">
                  <c:v>8.1364650638162672E-3</c:v>
                </c:pt>
                <c:pt idx="158">
                  <c:v>8.1581894207820582E-3</c:v>
                </c:pt>
                <c:pt idx="159">
                  <c:v>8.1799133019286874E-3</c:v>
                </c:pt>
                <c:pt idx="160">
                  <c:v>8.2016367072664798E-3</c:v>
                </c:pt>
                <c:pt idx="161">
                  <c:v>8.2233596368059825E-3</c:v>
                </c:pt>
                <c:pt idx="162">
                  <c:v>8.2450820905576316E-3</c:v>
                </c:pt>
                <c:pt idx="163">
                  <c:v>8.2668040685317523E-3</c:v>
                </c:pt>
                <c:pt idx="164">
                  <c:v>8.2885255707387806E-3</c:v>
                </c:pt>
                <c:pt idx="165">
                  <c:v>8.3102465971891526E-3</c:v>
                </c:pt>
                <c:pt idx="166">
                  <c:v>8.3319671478934154E-3</c:v>
                </c:pt>
                <c:pt idx="167">
                  <c:v>8.3536872228617831E-3</c:v>
                </c:pt>
                <c:pt idx="168">
                  <c:v>8.3754068221046918E-3</c:v>
                </c:pt>
                <c:pt idx="169">
                  <c:v>8.3971259456327996E-3</c:v>
                </c:pt>
                <c:pt idx="170">
                  <c:v>8.4188445934562095E-3</c:v>
                </c:pt>
                <c:pt idx="171">
                  <c:v>8.4405627655855797E-3</c:v>
                </c:pt>
                <c:pt idx="172">
                  <c:v>8.4622804620312353E-3</c:v>
                </c:pt>
                <c:pt idx="173">
                  <c:v>8.4839976828036123E-3</c:v>
                </c:pt>
                <c:pt idx="174">
                  <c:v>8.5057144279130359E-3</c:v>
                </c:pt>
                <c:pt idx="175">
                  <c:v>8.5274306973701641E-3</c:v>
                </c:pt>
                <c:pt idx="176">
                  <c:v>8.5491464911851001E-3</c:v>
                </c:pt>
                <c:pt idx="177">
                  <c:v>8.5708618093685018E-3</c:v>
                </c:pt>
                <c:pt idx="178">
                  <c:v>8.5925766519306945E-3</c:v>
                </c:pt>
                <c:pt idx="179">
                  <c:v>8.6142910188821142E-3</c:v>
                </c:pt>
                <c:pt idx="180">
                  <c:v>8.636004910233086E-3</c:v>
                </c:pt>
                <c:pt idx="181">
                  <c:v>8.657718325994268E-3</c:v>
                </c:pt>
                <c:pt idx="182">
                  <c:v>8.6794312661757633E-3</c:v>
                </c:pt>
                <c:pt idx="183">
                  <c:v>8.70114373078823E-3</c:v>
                </c:pt>
                <c:pt idx="184">
                  <c:v>8.7228557198419931E-3</c:v>
                </c:pt>
                <c:pt idx="185">
                  <c:v>8.7445672333473778E-3</c:v>
                </c:pt>
                <c:pt idx="186">
                  <c:v>8.7662782713150422E-3</c:v>
                </c:pt>
                <c:pt idx="187">
                  <c:v>8.7879888337552003E-3</c:v>
                </c:pt>
                <c:pt idx="188">
                  <c:v>8.8096989206782883E-3</c:v>
                </c:pt>
                <c:pt idx="189">
                  <c:v>8.8314085320947422E-3</c:v>
                </c:pt>
                <c:pt idx="190">
                  <c:v>8.8531176680149981E-3</c:v>
                </c:pt>
                <c:pt idx="191">
                  <c:v>8.8748263284494922E-3</c:v>
                </c:pt>
                <c:pt idx="192">
                  <c:v>8.8965345134086604E-3</c:v>
                </c:pt>
                <c:pt idx="193">
                  <c:v>8.918242222902828E-3</c:v>
                </c:pt>
                <c:pt idx="194">
                  <c:v>8.9399494569424309E-3</c:v>
                </c:pt>
                <c:pt idx="195">
                  <c:v>8.9616562155379054E-3</c:v>
                </c:pt>
                <c:pt idx="196">
                  <c:v>8.9833624986995764E-3</c:v>
                </c:pt>
                <c:pt idx="197">
                  <c:v>9.0050683064379911E-3</c:v>
                </c:pt>
                <c:pt idx="198">
                  <c:v>9.0267736387635855E-3</c:v>
                </c:pt>
                <c:pt idx="199">
                  <c:v>9.0484784956865738E-3</c:v>
                </c:pt>
                <c:pt idx="200">
                  <c:v>9.0701828772176141E-3</c:v>
                </c:pt>
                <c:pt idx="201">
                  <c:v>9.0918867833669204E-3</c:v>
                </c:pt>
                <c:pt idx="202">
                  <c:v>9.1135902141450398E-3</c:v>
                </c:pt>
                <c:pt idx="203">
                  <c:v>9.1352931695622974E-3</c:v>
                </c:pt>
                <c:pt idx="204">
                  <c:v>9.1569956496290184E-3</c:v>
                </c:pt>
                <c:pt idx="205">
                  <c:v>9.1786976543558607E-3</c:v>
                </c:pt>
                <c:pt idx="206">
                  <c:v>9.2003991837530386E-3</c:v>
                </c:pt>
                <c:pt idx="207">
                  <c:v>9.222100237831099E-3</c:v>
                </c:pt>
                <c:pt idx="208">
                  <c:v>9.2438008166003671E-3</c:v>
                </c:pt>
                <c:pt idx="209">
                  <c:v>9.265500920071168E-3</c:v>
                </c:pt>
                <c:pt idx="210">
                  <c:v>9.2872005482541597E-3</c:v>
                </c:pt>
                <c:pt idx="211">
                  <c:v>9.3088997011595565E-3</c:v>
                </c:pt>
                <c:pt idx="212">
                  <c:v>9.3305983787976832E-3</c:v>
                </c:pt>
                <c:pt idx="213">
                  <c:v>9.352296581179198E-3</c:v>
                </c:pt>
                <c:pt idx="214">
                  <c:v>9.3739943083144261E-3</c:v>
                </c:pt>
                <c:pt idx="215">
                  <c:v>9.3956915602136926E-3</c:v>
                </c:pt>
                <c:pt idx="216">
                  <c:v>9.4173883368874334E-3</c:v>
                </c:pt>
                <c:pt idx="217">
                  <c:v>9.4390846383460847E-3</c:v>
                </c:pt>
                <c:pt idx="218">
                  <c:v>9.4607804646000826E-3</c:v>
                </c:pt>
                <c:pt idx="219">
                  <c:v>9.4824758156598632E-3</c:v>
                </c:pt>
                <c:pt idx="220">
                  <c:v>9.5041706915357516E-3</c:v>
                </c:pt>
                <c:pt idx="221">
                  <c:v>9.5258650922380728E-3</c:v>
                </c:pt>
                <c:pt idx="222">
                  <c:v>9.5475590177774849E-3</c:v>
                </c:pt>
                <c:pt idx="223">
                  <c:v>9.5692524681640911E-3</c:v>
                </c:pt>
                <c:pt idx="224">
                  <c:v>9.5909454434085495E-3</c:v>
                </c:pt>
                <c:pt idx="225">
                  <c:v>9.6126379435211851E-3</c:v>
                </c:pt>
                <c:pt idx="226">
                  <c:v>9.634329968512434E-3</c:v>
                </c:pt>
                <c:pt idx="227">
                  <c:v>9.6560215183926212E-3</c:v>
                </c:pt>
                <c:pt idx="228">
                  <c:v>9.677712593172183E-3</c:v>
                </c:pt>
                <c:pt idx="229">
                  <c:v>9.6994031928615554E-3</c:v>
                </c:pt>
                <c:pt idx="230">
                  <c:v>9.7210933174710634E-3</c:v>
                </c:pt>
                <c:pt idx="231">
                  <c:v>9.7427829670112542E-3</c:v>
                </c:pt>
                <c:pt idx="232">
                  <c:v>9.7644721414924529E-3</c:v>
                </c:pt>
                <c:pt idx="233">
                  <c:v>9.7861608409249845E-3</c:v>
                </c:pt>
                <c:pt idx="234">
                  <c:v>9.8078490653193962E-3</c:v>
                </c:pt>
                <c:pt idx="235">
                  <c:v>9.8295368146860129E-3</c:v>
                </c:pt>
                <c:pt idx="236">
                  <c:v>9.8512240890352709E-3</c:v>
                </c:pt>
                <c:pt idx="237">
                  <c:v>9.8729108883776062E-3</c:v>
                </c:pt>
                <c:pt idx="238">
                  <c:v>9.8945972127233439E-3</c:v>
                </c:pt>
                <c:pt idx="239">
                  <c:v>9.9162830620829201E-3</c:v>
                </c:pt>
                <c:pt idx="240">
                  <c:v>9.9379684364667709E-3</c:v>
                </c:pt>
                <c:pt idx="241">
                  <c:v>9.9596533358852213E-3</c:v>
                </c:pt>
                <c:pt idx="242">
                  <c:v>9.9813377603487075E-3</c:v>
                </c:pt>
                <c:pt idx="243">
                  <c:v>1.0003021709867665E-2</c:v>
                </c:pt>
                <c:pt idx="244">
                  <c:v>1.0024705184452531E-2</c:v>
                </c:pt>
                <c:pt idx="245">
                  <c:v>1.0046388184113519E-2</c:v>
                </c:pt>
                <c:pt idx="246">
                  <c:v>1.0068070708861288E-2</c:v>
                </c:pt>
                <c:pt idx="247">
                  <c:v>1.0089752758706161E-2</c:v>
                </c:pt>
                <c:pt idx="248">
                  <c:v>1.0111434333658353E-2</c:v>
                </c:pt>
                <c:pt idx="249">
                  <c:v>1.0133115433728523E-2</c:v>
                </c:pt>
                <c:pt idx="250">
                  <c:v>1.0154796058926885E-2</c:v>
                </c:pt>
                <c:pt idx="251">
                  <c:v>1.0176476209263985E-2</c:v>
                </c:pt>
                <c:pt idx="252">
                  <c:v>1.0198155884750038E-2</c:v>
                </c:pt>
                <c:pt idx="253">
                  <c:v>1.0219835085395701E-2</c:v>
                </c:pt>
                <c:pt idx="254">
                  <c:v>1.0241513811211078E-2</c:v>
                </c:pt>
                <c:pt idx="255">
                  <c:v>1.0263192062206827E-2</c:v>
                </c:pt>
                <c:pt idx="256">
                  <c:v>1.0284869838393274E-2</c:v>
                </c:pt>
                <c:pt idx="257">
                  <c:v>1.0306547139780742E-2</c:v>
                </c:pt>
                <c:pt idx="258">
                  <c:v>1.0328223966379668E-2</c:v>
                </c:pt>
                <c:pt idx="259">
                  <c:v>1.0349900318200489E-2</c:v>
                </c:pt>
                <c:pt idx="260">
                  <c:v>1.0371576195253529E-2</c:v>
                </c:pt>
                <c:pt idx="261">
                  <c:v>1.0393251597549225E-2</c:v>
                </c:pt>
                <c:pt idx="262">
                  <c:v>1.0414926525098012E-2</c:v>
                </c:pt>
                <c:pt idx="263">
                  <c:v>1.0436600977910215E-2</c:v>
                </c:pt>
                <c:pt idx="264">
                  <c:v>1.0458274955996383E-2</c:v>
                </c:pt>
                <c:pt idx="265">
                  <c:v>1.0479948459366728E-2</c:v>
                </c:pt>
                <c:pt idx="266">
                  <c:v>1.0501621488031687E-2</c:v>
                </c:pt>
                <c:pt idx="267">
                  <c:v>1.0523294042001807E-2</c:v>
                </c:pt>
                <c:pt idx="268">
                  <c:v>1.0544966121287302E-2</c:v>
                </c:pt>
                <c:pt idx="269">
                  <c:v>1.0566637725898609E-2</c:v>
                </c:pt>
                <c:pt idx="270">
                  <c:v>1.0588308855846162E-2</c:v>
                </c:pt>
                <c:pt idx="271">
                  <c:v>1.0609979511140399E-2</c:v>
                </c:pt>
                <c:pt idx="272">
                  <c:v>1.0631649691791645E-2</c:v>
                </c:pt>
                <c:pt idx="273">
                  <c:v>1.0653319397810335E-2</c:v>
                </c:pt>
                <c:pt idx="274">
                  <c:v>1.0674988629206905E-2</c:v>
                </c:pt>
                <c:pt idx="275">
                  <c:v>1.069665738599157E-2</c:v>
                </c:pt>
                <c:pt idx="276">
                  <c:v>1.0718325668174988E-2</c:v>
                </c:pt>
                <c:pt idx="277">
                  <c:v>1.0739993475767262E-2</c:v>
                </c:pt>
                <c:pt idx="278">
                  <c:v>1.076166080877905E-2</c:v>
                </c:pt>
                <c:pt idx="279">
                  <c:v>1.0783327667220677E-2</c:v>
                </c:pt>
                <c:pt idx="280">
                  <c:v>1.0804994051102357E-2</c:v>
                </c:pt>
                <c:pt idx="281">
                  <c:v>1.0826659960434748E-2</c:v>
                </c:pt>
                <c:pt idx="282">
                  <c:v>1.0848325395228064E-2</c:v>
                </c:pt>
                <c:pt idx="283">
                  <c:v>1.0869990355492742E-2</c:v>
                </c:pt>
                <c:pt idx="284">
                  <c:v>1.0891654841239218E-2</c:v>
                </c:pt>
                <c:pt idx="285">
                  <c:v>1.0913318852477816E-2</c:v>
                </c:pt>
                <c:pt idx="286">
                  <c:v>1.0934982389218972E-2</c:v>
                </c:pt>
                <c:pt idx="287">
                  <c:v>1.0956645451473124E-2</c:v>
                </c:pt>
                <c:pt idx="288">
                  <c:v>1.0978308039250595E-2</c:v>
                </c:pt>
                <c:pt idx="289">
                  <c:v>1.0999970152561822E-2</c:v>
                </c:pt>
                <c:pt idx="290">
                  <c:v>1.102163179141713E-2</c:v>
                </c:pt>
                <c:pt idx="291">
                  <c:v>1.1043292955826955E-2</c:v>
                </c:pt>
                <c:pt idx="292">
                  <c:v>1.1064953645801734E-2</c:v>
                </c:pt>
                <c:pt idx="293">
                  <c:v>1.1086613861351791E-2</c:v>
                </c:pt>
                <c:pt idx="294">
                  <c:v>1.1108273602487562E-2</c:v>
                </c:pt>
                <c:pt idx="295">
                  <c:v>1.1129932869219372E-2</c:v>
                </c:pt>
                <c:pt idx="296">
                  <c:v>1.1151591661557658E-2</c:v>
                </c:pt>
                <c:pt idx="297">
                  <c:v>1.1173249979512745E-2</c:v>
                </c:pt>
                <c:pt idx="298">
                  <c:v>1.1194907823095179E-2</c:v>
                </c:pt>
                <c:pt idx="299">
                  <c:v>1.1216565192315286E-2</c:v>
                </c:pt>
                <c:pt idx="300">
                  <c:v>1.1238222087183281E-2</c:v>
                </c:pt>
                <c:pt idx="301">
                  <c:v>1.125987850770982E-2</c:v>
                </c:pt>
                <c:pt idx="302">
                  <c:v>1.1281534453905118E-2</c:v>
                </c:pt>
                <c:pt idx="303">
                  <c:v>1.1303189925779611E-2</c:v>
                </c:pt>
                <c:pt idx="304">
                  <c:v>1.1324844923343735E-2</c:v>
                </c:pt>
                <c:pt idx="305">
                  <c:v>1.1346499446607816E-2</c:v>
                </c:pt>
                <c:pt idx="306">
                  <c:v>1.1368153495582289E-2</c:v>
                </c:pt>
                <c:pt idx="307">
                  <c:v>1.138980707027748E-2</c:v>
                </c:pt>
                <c:pt idx="308">
                  <c:v>1.1411460170703824E-2</c:v>
                </c:pt>
                <c:pt idx="309">
                  <c:v>1.1433112796871647E-2</c:v>
                </c:pt>
                <c:pt idx="310">
                  <c:v>1.1454764948791496E-2</c:v>
                </c:pt>
                <c:pt idx="311">
                  <c:v>1.1476416626473585E-2</c:v>
                </c:pt>
                <c:pt idx="312">
                  <c:v>1.1498067829928349E-2</c:v>
                </c:pt>
                <c:pt idx="313">
                  <c:v>1.1519718559166225E-2</c:v>
                </c:pt>
                <c:pt idx="314">
                  <c:v>1.1541368814197539E-2</c:v>
                </c:pt>
                <c:pt idx="315">
                  <c:v>1.1563018595032615E-2</c:v>
                </c:pt>
                <c:pt idx="316">
                  <c:v>1.1584667901682111E-2</c:v>
                </c:pt>
                <c:pt idx="317">
                  <c:v>1.160631673415613E-2</c:v>
                </c:pt>
                <c:pt idx="318">
                  <c:v>1.1627965092465109E-2</c:v>
                </c:pt>
                <c:pt idx="319">
                  <c:v>1.1649612976619594E-2</c:v>
                </c:pt>
                <c:pt idx="320">
                  <c:v>1.16712603866298E-2</c:v>
                </c:pt>
                <c:pt idx="321">
                  <c:v>1.1692907322506163E-2</c:v>
                </c:pt>
                <c:pt idx="322">
                  <c:v>1.1714553784259119E-2</c:v>
                </c:pt>
                <c:pt idx="323">
                  <c:v>1.1736199771898992E-2</c:v>
                </c:pt>
                <c:pt idx="324">
                  <c:v>1.1757845285436108E-2</c:v>
                </c:pt>
                <c:pt idx="325">
                  <c:v>1.1779490324881015E-2</c:v>
                </c:pt>
                <c:pt idx="326">
                  <c:v>1.1801134890244036E-2</c:v>
                </c:pt>
                <c:pt idx="327">
                  <c:v>1.1822778981535387E-2</c:v>
                </c:pt>
                <c:pt idx="328">
                  <c:v>1.1844422598765725E-2</c:v>
                </c:pt>
                <c:pt idx="329">
                  <c:v>1.1866065741945264E-2</c:v>
                </c:pt>
                <c:pt idx="330">
                  <c:v>1.1887708411084441E-2</c:v>
                </c:pt>
                <c:pt idx="331">
                  <c:v>1.1909350606193581E-2</c:v>
                </c:pt>
                <c:pt idx="332">
                  <c:v>1.1930992327283008E-2</c:v>
                </c:pt>
                <c:pt idx="333">
                  <c:v>1.195263357436338E-2</c:v>
                </c:pt>
                <c:pt idx="334">
                  <c:v>1.1974274347444802E-2</c:v>
                </c:pt>
                <c:pt idx="335">
                  <c:v>1.199591464653782E-2</c:v>
                </c:pt>
                <c:pt idx="336">
                  <c:v>1.2017554471652647E-2</c:v>
                </c:pt>
                <c:pt idx="337">
                  <c:v>1.2039193822799832E-2</c:v>
                </c:pt>
                <c:pt idx="338">
                  <c:v>1.2060832699989699E-2</c:v>
                </c:pt>
                <c:pt idx="339">
                  <c:v>1.2082471103232573E-2</c:v>
                </c:pt>
                <c:pt idx="340">
                  <c:v>1.210410903253889E-2</c:v>
                </c:pt>
                <c:pt idx="341">
                  <c:v>1.2125746487919087E-2</c:v>
                </c:pt>
                <c:pt idx="342">
                  <c:v>1.2147383469383488E-2</c:v>
                </c:pt>
                <c:pt idx="343">
                  <c:v>1.2169019976942308E-2</c:v>
                </c:pt>
                <c:pt idx="344">
                  <c:v>1.2190656010606205E-2</c:v>
                </c:pt>
                <c:pt idx="345">
                  <c:v>1.2212291570385503E-2</c:v>
                </c:pt>
                <c:pt idx="346">
                  <c:v>1.2233926656290417E-2</c:v>
                </c:pt>
                <c:pt idx="347">
                  <c:v>1.2255561268331383E-2</c:v>
                </c:pt>
                <c:pt idx="348">
                  <c:v>1.2277195406518948E-2</c:v>
                </c:pt>
                <c:pt idx="349">
                  <c:v>1.2298829070863326E-2</c:v>
                </c:pt>
                <c:pt idx="350">
                  <c:v>1.2320462261374843E-2</c:v>
                </c:pt>
                <c:pt idx="351">
                  <c:v>1.2342094978064044E-2</c:v>
                </c:pt>
                <c:pt idx="352">
                  <c:v>1.2363727220941256E-2</c:v>
                </c:pt>
                <c:pt idx="353">
                  <c:v>1.2385358990016804E-2</c:v>
                </c:pt>
                <c:pt idx="354">
                  <c:v>1.2406990285301012E-2</c:v>
                </c:pt>
                <c:pt idx="355">
                  <c:v>1.2428621106804427E-2</c:v>
                </c:pt>
                <c:pt idx="356">
                  <c:v>1.2450251454537375E-2</c:v>
                </c:pt>
                <c:pt idx="357">
                  <c:v>1.247188132851007E-2</c:v>
                </c:pt>
                <c:pt idx="358">
                  <c:v>1.2493510728733059E-2</c:v>
                </c:pt>
                <c:pt idx="359">
                  <c:v>1.2515139655216778E-2</c:v>
                </c:pt>
                <c:pt idx="360">
                  <c:v>1.253676810797133E-2</c:v>
                </c:pt>
                <c:pt idx="361">
                  <c:v>1.2558396087007373E-2</c:v>
                </c:pt>
                <c:pt idx="362">
                  <c:v>1.2580023592335121E-2</c:v>
                </c:pt>
                <c:pt idx="363">
                  <c:v>1.2601650623965011E-2</c:v>
                </c:pt>
                <c:pt idx="364">
                  <c:v>1.2623277181907477E-2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1.4257607131938205E-2</c:v>
                </c:pt>
                <c:pt idx="1">
                  <c:v>1.4315784008367425E-2</c:v>
                </c:pt>
                <c:pt idx="2">
                  <c:v>1.4373926658881582E-2</c:v>
                </c:pt>
                <c:pt idx="3">
                  <c:v>1.4432032174349019E-2</c:v>
                </c:pt>
                <c:pt idx="4">
                  <c:v>1.4490098027347836E-2</c:v>
                </c:pt>
                <c:pt idx="5">
                  <c:v>1.4548122066906677E-2</c:v>
                </c:pt>
                <c:pt idx="6">
                  <c:v>1.4606102509660985E-2</c:v>
                </c:pt>
                <c:pt idx="7">
                  <c:v>1.4664037927616723E-2</c:v>
                </c:pt>
                <c:pt idx="8">
                  <c:v>1.4721927232743222E-2</c:v>
                </c:pt>
                <c:pt idx="9">
                  <c:v>1.477976965864464E-2</c:v>
                </c:pt>
                <c:pt idx="10">
                  <c:v>1.4837564739584374E-2</c:v>
                </c:pt>
                <c:pt idx="11">
                  <c:v>1.4895312287158275E-2</c:v>
                </c:pt>
                <c:pt idx="12">
                  <c:v>1.4953012364931267E-2</c:v>
                </c:pt>
                <c:pt idx="13">
                  <c:v>1.5010665261367044E-2</c:v>
                </c:pt>
                <c:pt idx="14">
                  <c:v>1.5068271461392111E-2</c:v>
                </c:pt>
                <c:pt idx="15">
                  <c:v>1.5125831616943579E-2</c:v>
                </c:pt>
                <c:pt idx="16">
                  <c:v>1.5183346516854511E-2</c:v>
                </c:pt>
                <c:pt idx="17">
                  <c:v>1.5240817056431349E-2</c:v>
                </c:pt>
                <c:pt idx="18">
                  <c:v>1.5298244207075373E-2</c:v>
                </c:pt>
                <c:pt idx="19">
                  <c:v>1.5355628986293364E-2</c:v>
                </c:pt>
                <c:pt idx="20">
                  <c:v>1.5412972428433293E-2</c:v>
                </c:pt>
                <c:pt idx="21">
                  <c:v>1.5470275556467456E-2</c:v>
                </c:pt>
                <c:pt idx="22">
                  <c:v>1.5527539355129363E-2</c:v>
                </c:pt>
                <c:pt idx="23">
                  <c:v>1.5584764745691544E-2</c:v>
                </c:pt>
                <c:pt idx="24">
                  <c:v>1.5641952562649521E-2</c:v>
                </c:pt>
                <c:pt idx="25">
                  <c:v>1.569910353255298E-2</c:v>
                </c:pt>
                <c:pt idx="26">
                  <c:v>1.5756218255198722E-2</c:v>
                </c:pt>
                <c:pt idx="27">
                  <c:v>1.5813297187371598E-2</c:v>
                </c:pt>
                <c:pt idx="28">
                  <c:v>1.5870340629289947E-2</c:v>
                </c:pt>
                <c:pt idx="29">
                  <c:v>1.592734871388081E-2</c:v>
                </c:pt>
                <c:pt idx="30">
                  <c:v>1.5984321398978627E-2</c:v>
                </c:pt>
                <c:pt idx="31">
                  <c:v>1.6041258462508246E-2</c:v>
                </c:pt>
                <c:pt idx="32">
                  <c:v>1.6098159500680862E-2</c:v>
                </c:pt>
                <c:pt idx="33">
                  <c:v>1.6155023929198924E-2</c:v>
                </c:pt>
                <c:pt idx="34">
                  <c:v>1.6211850987434152E-2</c:v>
                </c:pt>
                <c:pt idx="35">
                  <c:v>1.6268639745511803E-2</c:v>
                </c:pt>
                <c:pt idx="36">
                  <c:v>1.6325389114204281E-2</c:v>
                </c:pt>
                <c:pt idx="37">
                  <c:v>1.6382097857509187E-2</c:v>
                </c:pt>
                <c:pt idx="38">
                  <c:v>1.6438764607759483E-2</c:v>
                </c:pt>
                <c:pt idx="39">
                  <c:v>1.6495387883089737E-2</c:v>
                </c:pt>
                <c:pt idx="40">
                  <c:v>1.6551966107059231E-2</c:v>
                </c:pt>
                <c:pt idx="41">
                  <c:v>1.6608497630213107E-2</c:v>
                </c:pt>
                <c:pt idx="42">
                  <c:v>1.66649807533455E-2</c:v>
                </c:pt>
                <c:pt idx="43">
                  <c:v>1.6721413752213865E-2</c:v>
                </c:pt>
                <c:pt idx="44">
                  <c:v>1.6777794903442209E-2</c:v>
                </c:pt>
                <c:pt idx="45">
                  <c:v>1.6834122511342253E-2</c:v>
                </c:pt>
                <c:pt idx="46">
                  <c:v>1.6890394935376037E-2</c:v>
                </c:pt>
                <c:pt idx="47">
                  <c:v>1.6946610617980688E-2</c:v>
                </c:pt>
                <c:pt idx="48">
                  <c:v>1.7002768112476769E-2</c:v>
                </c:pt>
                <c:pt idx="49">
                  <c:v>1.7058866110784936E-2</c:v>
                </c:pt>
                <c:pt idx="50">
                  <c:v>1.7114903470681741E-2</c:v>
                </c:pt>
                <c:pt idx="51">
                  <c:v>1.7170879242334916E-2</c:v>
                </c:pt>
                <c:pt idx="52">
                  <c:v>1.7226792693869553E-2</c:v>
                </c:pt>
                <c:pt idx="53">
                  <c:v>1.7282643335731252E-2</c:v>
                </c:pt>
                <c:pt idx="54">
                  <c:v>1.7338430943628136E-2</c:v>
                </c:pt>
                <c:pt idx="55">
                  <c:v>1.7394155579852241E-2</c:v>
                </c:pt>
                <c:pt idx="56">
                  <c:v>1.7449817612800855E-2</c:v>
                </c:pt>
                <c:pt idx="57">
                  <c:v>1.7505417734539737E-2</c:v>
                </c:pt>
                <c:pt idx="58">
                  <c:v>1.7560956976273231E-2</c:v>
                </c:pt>
                <c:pt idx="59">
                  <c:v>1.7616436721609618E-2</c:v>
                </c:pt>
                <c:pt idx="60">
                  <c:v>1.7671858717534905E-2</c:v>
                </c:pt>
                <c:pt idx="61">
                  <c:v>1.7727225083032389E-2</c:v>
                </c:pt>
                <c:pt idx="62">
                  <c:v>1.7782538315310424E-2</c:v>
                </c:pt>
                <c:pt idx="63">
                  <c:v>1.7837801293625187E-2</c:v>
                </c:pt>
                <c:pt idx="64">
                  <c:v>1.7893017280709047E-2</c:v>
                </c:pt>
                <c:pt idx="65">
                  <c:v>1.7948189921838428E-2</c:v>
                </c:pt>
                <c:pt idx="66">
                  <c:v>1.8003323241596855E-2</c:v>
                </c:pt>
                <c:pt idx="67">
                  <c:v>1.8058421638409799E-2</c:v>
                </c:pt>
                <c:pt idx="68">
                  <c:v>1.8113489876946689E-2</c:v>
                </c:pt>
                <c:pt idx="69">
                  <c:v>1.8168533078503361E-2</c:v>
                </c:pt>
                <c:pt idx="70">
                  <c:v>1.8223556709492973E-2</c:v>
                </c:pt>
                <c:pt idx="71">
                  <c:v>1.8278566568187358E-2</c:v>
                </c:pt>
                <c:pt idx="72">
                  <c:v>1.8333568769861253E-2</c:v>
                </c:pt>
                <c:pt idx="73">
                  <c:v>1.8388569730501327E-2</c:v>
                </c:pt>
                <c:pt idx="74">
                  <c:v>1.8443576149247517E-2</c:v>
                </c:pt>
                <c:pt idx="75">
                  <c:v>1.8498594989738892E-2</c:v>
                </c:pt>
                <c:pt idx="76">
                  <c:v>1.8553633460537278E-2</c:v>
                </c:pt>
                <c:pt idx="77">
                  <c:v>1.8608698994801276E-2</c:v>
                </c:pt>
                <c:pt idx="78">
                  <c:v>1.8663799229380117E-2</c:v>
                </c:pt>
                <c:pt idx="79">
                  <c:v>1.8718941983491413E-2</c:v>
                </c:pt>
                <c:pt idx="80">
                  <c:v>1.8774135237139025E-2</c:v>
                </c:pt>
                <c:pt idx="81">
                  <c:v>1.8829387109418342E-2</c:v>
                </c:pt>
                <c:pt idx="82">
                  <c:v>1.8884705836844411E-2</c:v>
                </c:pt>
                <c:pt idx="83">
                  <c:v>1.89400997518256E-2</c:v>
                </c:pt>
                <c:pt idx="84">
                  <c:v>1.8995577261391415E-2</c:v>
                </c:pt>
                <c:pt idx="85">
                  <c:v>1.9051146826267247E-2</c:v>
                </c:pt>
                <c:pt idx="86">
                  <c:v>1.910681694037264E-2</c:v>
                </c:pt>
                <c:pt idx="87">
                  <c:v>1.9162596110802694E-2</c:v>
                </c:pt>
                <c:pt idx="88">
                  <c:v>1.9218492838334593E-2</c:v>
                </c:pt>
                <c:pt idx="89">
                  <c:v>1.9274515598483925E-2</c:v>
                </c:pt>
                <c:pt idx="90">
                  <c:v>1.9330672823117932E-2</c:v>
                </c:pt>
                <c:pt idx="91">
                  <c:v>1.9386972882616038E-2</c:v>
                </c:pt>
                <c:pt idx="92">
                  <c:v>1.9443424068551575E-2</c:v>
                </c:pt>
                <c:pt idx="93">
                  <c:v>1.9500034576853537E-2</c:v>
                </c:pt>
                <c:pt idx="94">
                  <c:v>1.955681249139295E-2</c:v>
                </c:pt>
                <c:pt idx="95">
                  <c:v>1.961376576792594E-2</c:v>
                </c:pt>
                <c:pt idx="96">
                  <c:v>1.9670902218314329E-2</c:v>
                </c:pt>
                <c:pt idx="97">
                  <c:v>1.9728229494935707E-2</c:v>
                </c:pt>
                <c:pt idx="98">
                  <c:v>1.9785755075187355E-2</c:v>
                </c:pt>
                <c:pt idx="99">
                  <c:v>1.9843486245983637E-2</c:v>
                </c:pt>
                <c:pt idx="100">
                  <c:v>1.9901430088143428E-2</c:v>
                </c:pt>
                <c:pt idx="101">
                  <c:v>1.9959593460563595E-2</c:v>
                </c:pt>
                <c:pt idx="102">
                  <c:v>2.0017982984076595E-2</c:v>
                </c:pt>
                <c:pt idx="103">
                  <c:v>2.0076605024894011E-2</c:v>
                </c:pt>
                <c:pt idx="104">
                  <c:v>2.0135465677545056E-2</c:v>
                </c:pt>
                <c:pt idx="105">
                  <c:v>2.0194570747227105E-2</c:v>
                </c:pt>
                <c:pt idx="106">
                  <c:v>2.0253925731497285E-2</c:v>
                </c:pt>
                <c:pt idx="107">
                  <c:v>2.0313535801246507E-2</c:v>
                </c:pt>
                <c:pt idx="108">
                  <c:v>2.0373405780913244E-2</c:v>
                </c:pt>
                <c:pt idx="109">
                  <c:v>2.0433540127910703E-2</c:v>
                </c:pt>
                <c:pt idx="110">
                  <c:v>2.0493942911259954E-2</c:v>
                </c:pt>
                <c:pt idx="111">
                  <c:v>2.0554617789441287E-2</c:v>
                </c:pt>
                <c:pt idx="112">
                  <c:v>2.0615567987497311E-2</c:v>
                </c:pt>
                <c:pt idx="113">
                  <c:v>2.0676796273442769E-2</c:v>
                </c:pt>
                <c:pt idx="114">
                  <c:v>2.073830493405893E-2</c:v>
                </c:pt>
                <c:pt idx="115">
                  <c:v>2.0800095750172727E-2</c:v>
                </c:pt>
                <c:pt idx="116">
                  <c:v>2.0862169971543654E-2</c:v>
                </c:pt>
                <c:pt idx="117">
                  <c:v>2.0924528291503486E-2</c:v>
                </c:pt>
                <c:pt idx="118">
                  <c:v>2.0987170821515685E-2</c:v>
                </c:pt>
                <c:pt idx="119">
                  <c:v>2.1050097065841732E-2</c:v>
                </c:pt>
                <c:pt idx="120">
                  <c:v>2.1113305896520919E-2</c:v>
                </c:pt>
                <c:pt idx="121">
                  <c:v>2.1176795528887842E-2</c:v>
                </c:pt>
                <c:pt idx="122">
                  <c:v>2.1240563497867373E-2</c:v>
                </c:pt>
                <c:pt idx="123">
                  <c:v>2.1304606635300819E-2</c:v>
                </c:pt>
                <c:pt idx="124">
                  <c:v>2.1368921048567503E-2</c:v>
                </c:pt>
                <c:pt idx="125">
                  <c:v>2.1433502100775069E-2</c:v>
                </c:pt>
                <c:pt idx="126">
                  <c:v>2.1498344392797096E-2</c:v>
                </c:pt>
                <c:pt idx="127">
                  <c:v>2.1563441747439079E-2</c:v>
                </c:pt>
                <c:pt idx="128">
                  <c:v>2.1628787196013591E-2</c:v>
                </c:pt>
                <c:pt idx="129">
                  <c:v>2.1694372967601343E-2</c:v>
                </c:pt>
                <c:pt idx="130">
                  <c:v>2.1760190481267486E-2</c:v>
                </c:pt>
                <c:pt idx="131">
                  <c:v>2.1826230341492371E-2</c:v>
                </c:pt>
                <c:pt idx="132">
                  <c:v>2.1892482337061585E-2</c:v>
                </c:pt>
                <c:pt idx="133">
                  <c:v>2.1958935443643048E-2</c:v>
                </c:pt>
                <c:pt idx="134">
                  <c:v>2.2025577830258363E-2</c:v>
                </c:pt>
                <c:pt idx="135">
                  <c:v>2.2092396869832141E-2</c:v>
                </c:pt>
                <c:pt idx="136">
                  <c:v>2.2159379153976089E-2</c:v>
                </c:pt>
                <c:pt idx="137">
                  <c:v>2.2226510512135991E-2</c:v>
                </c:pt>
                <c:pt idx="138">
                  <c:v>2.229377603519719E-2</c:v>
                </c:pt>
                <c:pt idx="139">
                  <c:v>2.2361160103610733E-2</c:v>
                </c:pt>
                <c:pt idx="140">
                  <c:v>2.2428646420065923E-2</c:v>
                </c:pt>
                <c:pt idx="141">
                  <c:v>2.2496218046697807E-2</c:v>
                </c:pt>
                <c:pt idx="142">
                  <c:v>2.2563857446778961E-2</c:v>
                </c:pt>
                <c:pt idx="143">
                  <c:v>2.2631546530805451E-2</c:v>
                </c:pt>
                <c:pt idx="144">
                  <c:v>2.2699266706846515E-2</c:v>
                </c:pt>
                <c:pt idx="145">
                  <c:v>2.2766998934987303E-2</c:v>
                </c:pt>
                <c:pt idx="146">
                  <c:v>2.2834723785653866E-2</c:v>
                </c:pt>
                <c:pt idx="147">
                  <c:v>2.2902421501570784E-2</c:v>
                </c:pt>
                <c:pt idx="148">
                  <c:v>2.2970072063063167E-2</c:v>
                </c:pt>
                <c:pt idx="149">
                  <c:v>2.3037655256378915E-2</c:v>
                </c:pt>
                <c:pt idx="150">
                  <c:v>2.3105150744672249E-2</c:v>
                </c:pt>
                <c:pt idx="151">
                  <c:v>2.317253814125764E-2</c:v>
                </c:pt>
                <c:pt idx="152">
                  <c:v>2.3239797084713808E-2</c:v>
                </c:pt>
                <c:pt idx="153">
                  <c:v>2.3306907315391284E-2</c:v>
                </c:pt>
                <c:pt idx="154">
                  <c:v>2.3373848752854306E-2</c:v>
                </c:pt>
                <c:pt idx="155">
                  <c:v>2.3440601573768611E-2</c:v>
                </c:pt>
                <c:pt idx="156">
                  <c:v>2.350714628973169E-2</c:v>
                </c:pt>
                <c:pt idx="157">
                  <c:v>2.3573463824531168E-2</c:v>
                </c:pt>
                <c:pt idx="158">
                  <c:v>2.3639535590310557E-2</c:v>
                </c:pt>
                <c:pt idx="159">
                  <c:v>2.3705343562119476E-2</c:v>
                </c:pt>
                <c:pt idx="160">
                  <c:v>2.3770870350328467E-2</c:v>
                </c:pt>
                <c:pt idx="161">
                  <c:v>2.3836099270395587E-2</c:v>
                </c:pt>
                <c:pt idx="162">
                  <c:v>2.3901014409484084E-2</c:v>
                </c:pt>
                <c:pt idx="163">
                  <c:v>2.3965600689447246E-2</c:v>
                </c:pt>
                <c:pt idx="164">
                  <c:v>2.4029843925717703E-2</c:v>
                </c:pt>
                <c:pt idx="165">
                  <c:v>2.4093730881663968E-2</c:v>
                </c:pt>
                <c:pt idx="166">
                  <c:v>2.4157249318007078E-2</c:v>
                </c:pt>
                <c:pt idx="167">
                  <c:v>2.4220388036923772E-2</c:v>
                </c:pt>
                <c:pt idx="168">
                  <c:v>2.4283136920500423E-2</c:v>
                </c:pt>
                <c:pt idx="169">
                  <c:v>2.4345486963242759E-2</c:v>
                </c:pt>
                <c:pt idx="170">
                  <c:v>2.4407430298390247E-2</c:v>
                </c:pt>
                <c:pt idx="171">
                  <c:v>2.4468960217830973E-2</c:v>
                </c:pt>
                <c:pt idx="172">
                  <c:v>2.4530071185461244E-2</c:v>
                </c:pt>
                <c:pt idx="173">
                  <c:v>2.4590758843885195E-2</c:v>
                </c:pt>
                <c:pt idx="174">
                  <c:v>2.4651020014401288E-2</c:v>
                </c:pt>
                <c:pt idx="175">
                  <c:v>2.4710852690275426E-2</c:v>
                </c:pt>
                <c:pt idx="176">
                  <c:v>2.4770256023353653E-2</c:v>
                </c:pt>
                <c:pt idx="177">
                  <c:v>2.4829230304120126E-2</c:v>
                </c:pt>
                <c:pt idx="178">
                  <c:v>2.4887776935358128E-2</c:v>
                </c:pt>
                <c:pt idx="179">
                  <c:v>2.4945898399623405E-2</c:v>
                </c:pt>
                <c:pt idx="180">
                  <c:v>2.500359822078772E-2</c:v>
                </c:pt>
                <c:pt idx="181">
                  <c:v>2.5060880919958305E-2</c:v>
                </c:pt>
                <c:pt idx="182">
                  <c:v>2.5117751966122846E-2</c:v>
                </c:pt>
                <c:pt idx="183">
                  <c:v>2.517421772191146E-2</c:v>
                </c:pt>
                <c:pt idx="184">
                  <c:v>2.5230285384904697E-2</c:v>
                </c:pt>
                <c:pt idx="185">
                  <c:v>2.5285962924950823E-2</c:v>
                </c:pt>
                <c:pt idx="186">
                  <c:v>2.5341259017985319E-2</c:v>
                </c:pt>
                <c:pt idx="187">
                  <c:v>2.5396182976870844E-2</c:v>
                </c:pt>
                <c:pt idx="188">
                  <c:v>2.545074467979638E-2</c:v>
                </c:pt>
                <c:pt idx="189">
                  <c:v>2.5504954496789804E-2</c:v>
                </c:pt>
                <c:pt idx="190">
                  <c:v>2.5558823214908329E-2</c:v>
                </c:pt>
                <c:pt idx="191">
                  <c:v>2.561236196267665E-2</c:v>
                </c:pt>
                <c:pt idx="192">
                  <c:v>2.5665582134341884E-2</c:v>
                </c:pt>
                <c:pt idx="193">
                  <c:v>2.5718495314509454E-2</c:v>
                </c:pt>
                <c:pt idx="194">
                  <c:v>2.577111320371275E-2</c:v>
                </c:pt>
                <c:pt idx="195">
                  <c:v>2.5823447545453678E-2</c:v>
                </c:pt>
                <c:pt idx="196">
                  <c:v>2.5875510055230314E-2</c:v>
                </c:pt>
                <c:pt idx="197">
                  <c:v>2.5927312352041969E-2</c:v>
                </c:pt>
                <c:pt idx="198">
                  <c:v>2.5978865892831982E-2</c:v>
                </c:pt>
                <c:pt idx="199">
                  <c:v>2.6030181910293836E-2</c:v>
                </c:pt>
                <c:pt idx="200">
                  <c:v>2.6081271354428375E-2</c:v>
                </c:pt>
                <c:pt idx="201">
                  <c:v>2.6132144838197778E-2</c:v>
                </c:pt>
                <c:pt idx="202">
                  <c:v>2.6182812587577525E-2</c:v>
                </c:pt>
                <c:pt idx="203">
                  <c:v>2.6233284396260274E-2</c:v>
                </c:pt>
                <c:pt idx="204">
                  <c:v>2.6283569585216323E-2</c:v>
                </c:pt>
                <c:pt idx="205">
                  <c:v>2.6333676967264547E-2</c:v>
                </c:pt>
                <c:pt idx="206">
                  <c:v>2.6383614816755913E-2</c:v>
                </c:pt>
                <c:pt idx="207">
                  <c:v>2.6433390844419462E-2</c:v>
                </c:pt>
                <c:pt idx="208">
                  <c:v>2.6483012177368617E-2</c:v>
                </c:pt>
                <c:pt idx="209">
                  <c:v>2.6532485344214124E-2</c:v>
                </c:pt>
                <c:pt idx="210">
                  <c:v>2.6581816265179876E-2</c:v>
                </c:pt>
                <c:pt idx="211">
                  <c:v>2.663101024706915E-2</c:v>
                </c:pt>
                <c:pt idx="212">
                  <c:v>2.6680071982882917E-2</c:v>
                </c:pt>
                <c:pt idx="213">
                  <c:v>2.6729005555848007E-2</c:v>
                </c:pt>
                <c:pt idx="214">
                  <c:v>2.6777814447573097E-2</c:v>
                </c:pt>
                <c:pt idx="215">
                  <c:v>2.6826501550013548E-2</c:v>
                </c:pt>
                <c:pt idx="216">
                  <c:v>2.6875069180893781E-2</c:v>
                </c:pt>
                <c:pt idx="217">
                  <c:v>2.6923519102207642E-2</c:v>
                </c:pt>
                <c:pt idx="218">
                  <c:v>2.6971852541393733E-2</c:v>
                </c:pt>
                <c:pt idx="219">
                  <c:v>2.7020070214764189E-2</c:v>
                </c:pt>
                <c:pt idx="220">
                  <c:v>2.7068172352751906E-2</c:v>
                </c:pt>
                <c:pt idx="221">
                  <c:v>2.7116158726533311E-2</c:v>
                </c:pt>
                <c:pt idx="222">
                  <c:v>2.7164028675580737E-2</c:v>
                </c:pt>
                <c:pt idx="223">
                  <c:v>2.7211781135701378E-2</c:v>
                </c:pt>
                <c:pt idx="224">
                  <c:v>2.7259414667127627E-2</c:v>
                </c:pt>
                <c:pt idx="225">
                  <c:v>2.7306927482236891E-2</c:v>
                </c:pt>
                <c:pt idx="226">
                  <c:v>2.735431747249736E-2</c:v>
                </c:pt>
                <c:pt idx="227">
                  <c:v>2.7401582234259564E-2</c:v>
                </c:pt>
                <c:pt idx="228">
                  <c:v>2.7448719093041061E-2</c:v>
                </c:pt>
                <c:pt idx="229">
                  <c:v>2.7495725125984402E-2</c:v>
                </c:pt>
                <c:pt idx="230">
                  <c:v>2.7542597182204042E-2</c:v>
                </c:pt>
                <c:pt idx="231">
                  <c:v>2.7589331900777902E-2</c:v>
                </c:pt>
                <c:pt idx="232">
                  <c:v>2.763592572618196E-2</c:v>
                </c:pt>
                <c:pt idx="233">
                  <c:v>2.7682374921011447E-2</c:v>
                </c:pt>
                <c:pt idx="234">
                  <c:v>2.7728675575879717E-2</c:v>
                </c:pt>
                <c:pt idx="235">
                  <c:v>2.7774823616434512E-2</c:v>
                </c:pt>
                <c:pt idx="236">
                  <c:v>2.7820814807481567E-2</c:v>
                </c:pt>
                <c:pt idx="237">
                  <c:v>2.7866644754255078E-2</c:v>
                </c:pt>
                <c:pt idx="238">
                  <c:v>2.7912308900924825E-2</c:v>
                </c:pt>
                <c:pt idx="239">
                  <c:v>2.7957802526478635E-2</c:v>
                </c:pt>
                <c:pt idx="240">
                  <c:v>2.8003120738166631E-2</c:v>
                </c:pt>
                <c:pt idx="241">
                  <c:v>2.804825846273876E-2</c:v>
                </c:pt>
                <c:pt idx="242">
                  <c:v>2.8093210435751029E-2</c:v>
                </c:pt>
                <c:pt idx="243">
                  <c:v>2.8137971189254783E-2</c:v>
                </c:pt>
                <c:pt idx="244">
                  <c:v>2.8182535038220193E-2</c:v>
                </c:pt>
                <c:pt idx="245">
                  <c:v>2.8226896066077176E-2</c:v>
                </c:pt>
                <c:pt idx="246">
                  <c:v>2.827104810978455E-2</c:v>
                </c:pt>
                <c:pt idx="247">
                  <c:v>2.8314984744861001E-2</c:v>
                </c:pt>
                <c:pt idx="248">
                  <c:v>2.8358699270828871E-2</c:v>
                </c:pt>
                <c:pt idx="249">
                  <c:v>2.840218469753383E-2</c:v>
                </c:pt>
                <c:pt idx="250">
                  <c:v>2.8445433732809784E-2</c:v>
                </c:pt>
                <c:pt idx="251">
                  <c:v>2.8488438771958557E-2</c:v>
                </c:pt>
                <c:pt idx="252">
                  <c:v>2.8531191889508412E-2</c:v>
                </c:pt>
                <c:pt idx="253">
                  <c:v>2.8573684833703723E-2</c:v>
                </c:pt>
                <c:pt idx="254">
                  <c:v>2.8615909024160641E-2</c:v>
                </c:pt>
                <c:pt idx="255">
                  <c:v>2.8657855553099913E-2</c:v>
                </c:pt>
                <c:pt idx="256">
                  <c:v>2.8699515190538965E-2</c:v>
                </c:pt>
                <c:pt idx="257">
                  <c:v>2.8740878393790754E-2</c:v>
                </c:pt>
                <c:pt idx="258">
                  <c:v>2.8781935321576899E-2</c:v>
                </c:pt>
                <c:pt idx="259">
                  <c:v>2.8822675853018179E-2</c:v>
                </c:pt>
                <c:pt idx="260">
                  <c:v>2.8863089611716436E-2</c:v>
                </c:pt>
                <c:pt idx="261">
                  <c:v>2.8903165995088843E-2</c:v>
                </c:pt>
                <c:pt idx="262">
                  <c:v>2.8942894209059496E-2</c:v>
                </c:pt>
                <c:pt idx="263">
                  <c:v>2.8982263308153729E-2</c:v>
                </c:pt>
                <c:pt idx="264">
                  <c:v>2.9021262240979472E-2</c:v>
                </c:pt>
                <c:pt idx="265">
                  <c:v>2.9059879901016807E-2</c:v>
                </c:pt>
                <c:pt idx="266">
                  <c:v>2.9098105182572859E-2</c:v>
                </c:pt>
                <c:pt idx="267">
                  <c:v>2.9135927041695021E-2</c:v>
                </c:pt>
                <c:pt idx="268">
                  <c:v>2.9173334561771534E-2</c:v>
                </c:pt>
                <c:pt idx="269">
                  <c:v>2.9210317023486053E-2</c:v>
                </c:pt>
                <c:pt idx="270">
                  <c:v>2.9246863978731118E-2</c:v>
                </c:pt>
                <c:pt idx="271">
                  <c:v>2.9282965328028081E-2</c:v>
                </c:pt>
                <c:pt idx="272">
                  <c:v>2.9318611400944678E-2</c:v>
                </c:pt>
                <c:pt idx="273">
                  <c:v>2.9353793038950429E-2</c:v>
                </c:pt>
                <c:pt idx="274">
                  <c:v>2.9388501680103027E-2</c:v>
                </c:pt>
                <c:pt idx="275">
                  <c:v>2.9422729444916102E-2</c:v>
                </c:pt>
                <c:pt idx="276">
                  <c:v>2.9456469222722517E-2</c:v>
                </c:pt>
                <c:pt idx="277">
                  <c:v>2.9489714757816712E-2</c:v>
                </c:pt>
                <c:pt idx="278">
                  <c:v>2.9522460734634635E-2</c:v>
                </c:pt>
                <c:pt idx="279">
                  <c:v>2.955470286121302E-2</c:v>
                </c:pt>
                <c:pt idx="280">
                  <c:v>2.9586437950158525E-2</c:v>
                </c:pt>
                <c:pt idx="281">
                  <c:v>2.9617663996354737E-2</c:v>
                </c:pt>
                <c:pt idx="282">
                  <c:v>2.9648380250638314E-2</c:v>
                </c:pt>
                <c:pt idx="283">
                  <c:v>2.9678587288688361E-2</c:v>
                </c:pt>
                <c:pt idx="284">
                  <c:v>2.9708287074391476E-2</c:v>
                </c:pt>
                <c:pt idx="285">
                  <c:v>2.9737483016972186E-2</c:v>
                </c:pt>
                <c:pt idx="286">
                  <c:v>2.976618002121249E-2</c:v>
                </c:pt>
                <c:pt idx="287">
                  <c:v>2.9794384530125322E-2</c:v>
                </c:pt>
                <c:pt idx="288">
                  <c:v>2.9822104559494904E-2</c:v>
                </c:pt>
                <c:pt idx="289">
                  <c:v>2.9849349723751469E-2</c:v>
                </c:pt>
                <c:pt idx="290">
                  <c:v>2.9876131252708365E-2</c:v>
                </c:pt>
                <c:pt idx="291">
                  <c:v>2.9902461998755625E-2</c:v>
                </c:pt>
                <c:pt idx="292">
                  <c:v>2.9928356434175261E-2</c:v>
                </c:pt>
                <c:pt idx="293">
                  <c:v>2.9953830638319013E-2</c:v>
                </c:pt>
                <c:pt idx="294">
                  <c:v>2.9978902274468346E-2</c:v>
                </c:pt>
                <c:pt idx="295">
                  <c:v>3.0003590556278957E-2</c:v>
                </c:pt>
                <c:pt idx="296">
                  <c:v>3.0027916203796322E-2</c:v>
                </c:pt>
                <c:pt idx="297">
                  <c:v>3.0051901389114954E-2</c:v>
                </c:pt>
                <c:pt idx="298">
                  <c:v>3.007556967184067E-2</c:v>
                </c:pt>
                <c:pt idx="299">
                  <c:v>3.0098945924602039E-2</c:v>
                </c:pt>
                <c:pt idx="300">
                  <c:v>3.0122056248942704E-2</c:v>
                </c:pt>
                <c:pt idx="301">
                  <c:v>3.0144927882010206E-2</c:v>
                </c:pt>
                <c:pt idx="302">
                  <c:v>3.016758909453901E-2</c:v>
                </c:pt>
                <c:pt idx="303">
                  <c:v>3.0190069080702927E-2</c:v>
                </c:pt>
                <c:pt idx="304">
                  <c:v>3.0212397840487015E-2</c:v>
                </c:pt>
                <c:pt idx="305">
                  <c:v>3.0234606055297812E-2</c:v>
                </c:pt>
                <c:pt idx="306">
                  <c:v>3.0256724957595238E-2</c:v>
                </c:pt>
                <c:pt idx="307">
                  <c:v>3.0278786195386962E-2</c:v>
                </c:pt>
                <c:pt idx="308">
                  <c:v>3.03008216924773E-2</c:v>
                </c:pt>
                <c:pt idx="309">
                  <c:v>3.0322863505406757E-2</c:v>
                </c:pt>
                <c:pt idx="310">
                  <c:v>3.0344943678054345E-2</c:v>
                </c:pt>
                <c:pt idx="311">
                  <c:v>3.0367094094903201E-2</c:v>
                </c:pt>
                <c:pt idx="312">
                  <c:v>3.0389346333989858E-2</c:v>
                </c:pt>
                <c:pt idx="313">
                  <c:v>3.0411731520568478E-2</c:v>
                </c:pt>
                <c:pt idx="314">
                  <c:v>3.043428018252417E-2</c:v>
                </c:pt>
                <c:pt idx="315">
                  <c:v>3.045702210856276E-2</c:v>
                </c:pt>
                <c:pt idx="316">
                  <c:v>3.0479986210189273E-2</c:v>
                </c:pt>
                <c:pt idx="317">
                  <c:v>3.0503200388463516E-2</c:v>
                </c:pt>
                <c:pt idx="318">
                  <c:v>3.0526691406488202E-2</c:v>
                </c:pt>
                <c:pt idx="319">
                  <c:v>3.0550484768544592E-2</c:v>
                </c:pt>
                <c:pt idx="320">
                  <c:v>3.0574604606741461E-2</c:v>
                </c:pt>
                <c:pt idx="321">
                  <c:v>3.0599073575986884E-2</c:v>
                </c:pt>
                <c:pt idx="322">
                  <c:v>3.0623912758028744E-2</c:v>
                </c:pt>
                <c:pt idx="323">
                  <c:v>3.064914157523984E-2</c:v>
                </c:pt>
                <c:pt idx="324">
                  <c:v>3.0674777714747553E-2</c:v>
                </c:pt>
                <c:pt idx="325">
                  <c:v>3.0700837063426571E-2</c:v>
                </c:pt>
                <c:pt idx="326">
                  <c:v>3.0727333654187807E-2</c:v>
                </c:pt>
                <c:pt idx="327">
                  <c:v>3.075427962390672E-2</c:v>
                </c:pt>
                <c:pt idx="328">
                  <c:v>3.0781685183242126E-2</c:v>
                </c:pt>
                <c:pt idx="329">
                  <c:v>3.0809558598501829E-2</c:v>
                </c:pt>
                <c:pt idx="330">
                  <c:v>3.0837906185615643E-2</c:v>
                </c:pt>
                <c:pt idx="331">
                  <c:v>3.0866732316179986E-2</c:v>
                </c:pt>
                <c:pt idx="332">
                  <c:v>3.0896039435442661E-2</c:v>
                </c:pt>
                <c:pt idx="333">
                  <c:v>3.0925828092001825E-2</c:v>
                </c:pt>
                <c:pt idx="334">
                  <c:v>3.0956096978900817E-2</c:v>
                </c:pt>
                <c:pt idx="335">
                  <c:v>3.0986842985711433E-2</c:v>
                </c:pt>
                <c:pt idx="336">
                  <c:v>3.1018061261112631E-2</c:v>
                </c:pt>
                <c:pt idx="337">
                  <c:v>3.1049745285390805E-2</c:v>
                </c:pt>
                <c:pt idx="338">
                  <c:v>3.1081886952212218E-2</c:v>
                </c:pt>
                <c:pt idx="339">
                  <c:v>3.1114476658948551E-2</c:v>
                </c:pt>
                <c:pt idx="340">
                  <c:v>3.114750340477342E-2</c:v>
                </c:pt>
                <c:pt idx="341">
                  <c:v>3.1180954895692004E-2</c:v>
                </c:pt>
                <c:pt idx="342">
                  <c:v>3.1214817655617292E-2</c:v>
                </c:pt>
                <c:pt idx="343">
                  <c:v>3.1249077142566688E-2</c:v>
                </c:pt>
                <c:pt idx="344">
                  <c:v>3.1283717869020199E-2</c:v>
                </c:pt>
                <c:pt idx="345">
                  <c:v>3.1318723525458482E-2</c:v>
                </c:pt>
                <c:pt idx="346">
                  <c:v>3.1354077106084489E-2</c:v>
                </c:pt>
                <c:pt idx="347">
                  <c:v>3.1389761035726348E-2</c:v>
                </c:pt>
                <c:pt idx="348">
                  <c:v>3.1425757296922818E-2</c:v>
                </c:pt>
                <c:pt idx="349">
                  <c:v>3.1462047556204013E-2</c:v>
                </c:pt>
                <c:pt idx="350">
                  <c:v>3.1498613288600978E-2</c:v>
                </c:pt>
                <c:pt idx="351">
                  <c:v>3.1535435899446448E-2</c:v>
                </c:pt>
                <c:pt idx="352">
                  <c:v>3.1572496842565988E-2</c:v>
                </c:pt>
                <c:pt idx="353">
                  <c:v>3.1609777734003273E-2</c:v>
                </c:pt>
                <c:pt idx="354">
                  <c:v>3.1647260460475016E-2</c:v>
                </c:pt>
                <c:pt idx="355">
                  <c:v>3.1684927281809251E-2</c:v>
                </c:pt>
                <c:pt idx="356">
                  <c:v>3.1722760926685162E-2</c:v>
                </c:pt>
                <c:pt idx="357">
                  <c:v>3.1760744681062353E-2</c:v>
                </c:pt>
                <c:pt idx="358">
                  <c:v>3.1798862468761672E-2</c:v>
                </c:pt>
                <c:pt idx="359">
                  <c:v>3.1837098923738441E-2</c:v>
                </c:pt>
                <c:pt idx="360">
                  <c:v>3.1875439453670093E-2</c:v>
                </c:pt>
                <c:pt idx="361">
                  <c:v>3.1913870294564405E-2</c:v>
                </c:pt>
                <c:pt idx="362">
                  <c:v>3.1952378556179717E-2</c:v>
                </c:pt>
                <c:pt idx="363">
                  <c:v>3.199095225813528E-2</c:v>
                </c:pt>
                <c:pt idx="364">
                  <c:v>3.2029580356675087E-2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9.3643940426654977E-5</c:v>
                </c:pt>
                <c:pt idx="1">
                  <c:v>9.427038778572812E-5</c:v>
                </c:pt>
                <c:pt idx="2">
                  <c:v>9.4915364843018029E-5</c:v>
                </c:pt>
                <c:pt idx="3">
                  <c:v>9.5579530290053121E-5</c:v>
                </c:pt>
                <c:pt idx="4">
                  <c:v>9.6263564675918569E-5</c:v>
                </c:pt>
                <c:pt idx="5">
                  <c:v>9.6968170100002033E-5</c:v>
                </c:pt>
                <c:pt idx="6">
                  <c:v>9.7694070025918498E-5</c:v>
                </c:pt>
                <c:pt idx="7">
                  <c:v>9.8442009310346917E-5</c:v>
                </c:pt>
                <c:pt idx="8">
                  <c:v>9.9198798146431577E-5</c:v>
                </c:pt>
                <c:pt idx="9">
                  <c:v>9.9862624474782513E-5</c:v>
                </c:pt>
                <c:pt idx="10">
                  <c:v>1.0037874653058322E-4</c:v>
                </c:pt>
                <c:pt idx="11">
                  <c:v>1.0075385625916446E-4</c:v>
                </c:pt>
                <c:pt idx="12">
                  <c:v>1.0099481565948944E-4</c:v>
                </c:pt>
                <c:pt idx="13">
                  <c:v>1.0110857400755208E-4</c:v>
                </c:pt>
                <c:pt idx="14">
                  <c:v>1.0110209356053965E-4</c:v>
                </c:pt>
                <c:pt idx="15">
                  <c:v>1.0082583247674834E-4</c:v>
                </c:pt>
                <c:pt idx="16">
                  <c:v>1.002952358209694E-4</c:v>
                </c:pt>
                <c:pt idx="17">
                  <c:v>9.9521479212929753E-5</c:v>
                </c:pt>
                <c:pt idx="18">
                  <c:v>9.8515456525403094E-5</c:v>
                </c:pt>
                <c:pt idx="19">
                  <c:v>9.7288240196941663E-5</c:v>
                </c:pt>
                <c:pt idx="20">
                  <c:v>9.585067848438025E-5</c:v>
                </c:pt>
                <c:pt idx="21">
                  <c:v>9.4212661739122508E-5</c:v>
                </c:pt>
                <c:pt idx="22">
                  <c:v>9.2373008180837089E-5</c:v>
                </c:pt>
                <c:pt idx="23">
                  <c:v>9.0295041480644916E-5</c:v>
                </c:pt>
                <c:pt idx="24">
                  <c:v>8.8065895674446453E-5</c:v>
                </c:pt>
                <c:pt idx="25">
                  <c:v>8.5692540924308294E-5</c:v>
                </c:pt>
                <c:pt idx="26">
                  <c:v>8.3181657267830482E-5</c:v>
                </c:pt>
                <c:pt idx="27">
                  <c:v>8.0539617583965477E-5</c:v>
                </c:pt>
                <c:pt idx="28">
                  <c:v>7.7772474531457274E-5</c:v>
                </c:pt>
                <c:pt idx="29">
                  <c:v>7.5046640190160852E-5</c:v>
                </c:pt>
                <c:pt idx="30">
                  <c:v>7.2496987764304207E-5</c:v>
                </c:pt>
                <c:pt idx="31">
                  <c:v>7.0119739920390187E-5</c:v>
                </c:pt>
                <c:pt idx="32">
                  <c:v>6.7911067600995894E-5</c:v>
                </c:pt>
                <c:pt idx="33">
                  <c:v>6.586711866024691E-5</c:v>
                </c:pt>
                <c:pt idx="34">
                  <c:v>6.3984043768729691E-5</c:v>
                </c:pt>
                <c:pt idx="35">
                  <c:v>6.2258019705019164E-5</c:v>
                </c:pt>
                <c:pt idx="36">
                  <c:v>6.0679572075569113E-5</c:v>
                </c:pt>
                <c:pt idx="37">
                  <c:v>5.9329622982112932E-5</c:v>
                </c:pt>
                <c:pt idx="38">
                  <c:v>5.8233953794997697E-5</c:v>
                </c:pt>
                <c:pt idx="39">
                  <c:v>5.7387211915906275E-5</c:v>
                </c:pt>
                <c:pt idx="40">
                  <c:v>5.678400455535449E-5</c:v>
                </c:pt>
                <c:pt idx="41">
                  <c:v>5.6418977157472275E-5</c:v>
                </c:pt>
                <c:pt idx="42">
                  <c:v>5.6286884077242487E-5</c:v>
                </c:pt>
                <c:pt idx="43">
                  <c:v>5.6318463810265983E-5</c:v>
                </c:pt>
                <c:pt idx="44">
                  <c:v>5.6372116868302269E-5</c:v>
                </c:pt>
                <c:pt idx="45">
                  <c:v>5.6448816181937003E-5</c:v>
                </c:pt>
                <c:pt idx="46">
                  <c:v>5.6549519949224874E-5</c:v>
                </c:pt>
                <c:pt idx="47">
                  <c:v>5.6675180787356895E-5</c:v>
                </c:pt>
                <c:pt idx="48">
                  <c:v>5.6826754949038249E-5</c:v>
                </c:pt>
                <c:pt idx="49">
                  <c:v>5.7005211623999676E-5</c:v>
                </c:pt>
                <c:pt idx="50">
                  <c:v>5.720880453945887E-5</c:v>
                </c:pt>
                <c:pt idx="51">
                  <c:v>5.7382721970694858E-5</c:v>
                </c:pt>
                <c:pt idx="52">
                  <c:v>5.7449495411112407E-5</c:v>
                </c:pt>
                <c:pt idx="53">
                  <c:v>5.741090170934459E-5</c:v>
                </c:pt>
                <c:pt idx="54">
                  <c:v>5.7268890357413456E-5</c:v>
                </c:pt>
                <c:pt idx="55">
                  <c:v>5.7025314523398364E-5</c:v>
                </c:pt>
                <c:pt idx="56">
                  <c:v>5.6681944118193633E-5</c:v>
                </c:pt>
                <c:pt idx="57">
                  <c:v>5.6270766779331735E-5</c:v>
                </c:pt>
                <c:pt idx="58">
                  <c:v>5.5849687856514891E-5</c:v>
                </c:pt>
                <c:pt idx="59">
                  <c:v>5.5418533543641854E-5</c:v>
                </c:pt>
                <c:pt idx="60">
                  <c:v>5.4977159331668125E-5</c:v>
                </c:pt>
                <c:pt idx="61">
                  <c:v>5.4525449426230027E-5</c:v>
                </c:pt>
                <c:pt idx="62">
                  <c:v>5.4063316040057271E-5</c:v>
                </c:pt>
                <c:pt idx="63">
                  <c:v>5.359069856302426E-5</c:v>
                </c:pt>
                <c:pt idx="64">
                  <c:v>5.3107952621018593E-5</c:v>
                </c:pt>
                <c:pt idx="65">
                  <c:v>5.2656949816473287E-5</c:v>
                </c:pt>
                <c:pt idx="66">
                  <c:v>5.2284271723230819E-5</c:v>
                </c:pt>
                <c:pt idx="67">
                  <c:v>5.1988881757463354E-5</c:v>
                </c:pt>
                <c:pt idx="68">
                  <c:v>5.1769806174449637E-5</c:v>
                </c:pt>
                <c:pt idx="69">
                  <c:v>5.1626137677964383E-5</c:v>
                </c:pt>
                <c:pt idx="70">
                  <c:v>5.1557039035327414E-5</c:v>
                </c:pt>
                <c:pt idx="71">
                  <c:v>5.1526478161954301E-5</c:v>
                </c:pt>
                <c:pt idx="72">
                  <c:v>5.1506748235677116E-5</c:v>
                </c:pt>
                <c:pt idx="73">
                  <c:v>5.149820712388836E-5</c:v>
                </c:pt>
                <c:pt idx="74">
                  <c:v>5.1501224722014503E-5</c:v>
                </c:pt>
                <c:pt idx="75">
                  <c:v>5.1516183124324846E-5</c:v>
                </c:pt>
                <c:pt idx="76">
                  <c:v>5.154347680539295E-5</c:v>
                </c:pt>
                <c:pt idx="77">
                  <c:v>5.1583512821170569E-5</c:v>
                </c:pt>
                <c:pt idx="78">
                  <c:v>5.1634043779694118E-5</c:v>
                </c:pt>
                <c:pt idx="79">
                  <c:v>5.1641355268484528E-5</c:v>
                </c:pt>
                <c:pt idx="80">
                  <c:v>5.1569464702293736E-5</c:v>
                </c:pt>
                <c:pt idx="81">
                  <c:v>5.1420665889684185E-5</c:v>
                </c:pt>
                <c:pt idx="82">
                  <c:v>5.119712786128023E-5</c:v>
                </c:pt>
                <c:pt idx="83">
                  <c:v>5.0900878573587597E-5</c:v>
                </c:pt>
                <c:pt idx="84">
                  <c:v>5.0533789793489735E-5</c:v>
                </c:pt>
                <c:pt idx="85">
                  <c:v>5.0086616253818166E-5</c:v>
                </c:pt>
                <c:pt idx="86">
                  <c:v>4.9594085873321657E-5</c:v>
                </c:pt>
                <c:pt idx="87">
                  <c:v>4.9057349555095882E-5</c:v>
                </c:pt>
                <c:pt idx="88">
                  <c:v>4.8477394332176772E-5</c:v>
                </c:pt>
                <c:pt idx="89">
                  <c:v>4.7855036144193699E-5</c:v>
                </c:pt>
                <c:pt idx="90">
                  <c:v>4.7190912812928753E-5</c:v>
                </c:pt>
                <c:pt idx="91">
                  <c:v>4.64854770752946E-5</c:v>
                </c:pt>
                <c:pt idx="92">
                  <c:v>4.5736789182997527E-5</c:v>
                </c:pt>
                <c:pt idx="93">
                  <c:v>4.4894893894908053E-5</c:v>
                </c:pt>
                <c:pt idx="94">
                  <c:v>4.4009791292870432E-5</c:v>
                </c:pt>
                <c:pt idx="95">
                  <c:v>4.308080499090682E-5</c:v>
                </c:pt>
                <c:pt idx="96">
                  <c:v>4.2107127664038204E-5</c:v>
                </c:pt>
                <c:pt idx="97">
                  <c:v>4.1087817293236304E-5</c:v>
                </c:pt>
                <c:pt idx="98">
                  <c:v>4.0021793253626111E-5</c:v>
                </c:pt>
                <c:pt idx="99">
                  <c:v>3.8934722017117735E-5</c:v>
                </c:pt>
                <c:pt idx="100">
                  <c:v>3.7836306731296776E-5</c:v>
                </c:pt>
                <c:pt idx="101">
                  <c:v>3.6725343570182597E-5</c:v>
                </c:pt>
                <c:pt idx="102">
                  <c:v>3.5600559026844738E-5</c:v>
                </c:pt>
                <c:pt idx="103">
                  <c:v>3.4460607594101888E-5</c:v>
                </c:pt>
                <c:pt idx="104">
                  <c:v>3.3304069358455921E-5</c:v>
                </c:pt>
                <c:pt idx="105">
                  <c:v>3.2129447497003439E-5</c:v>
                </c:pt>
                <c:pt idx="106">
                  <c:v>3.0935519426517905E-5</c:v>
                </c:pt>
                <c:pt idx="107">
                  <c:v>2.984265786956027E-5</c:v>
                </c:pt>
                <c:pt idx="108">
                  <c:v>2.8900108418494137E-5</c:v>
                </c:pt>
                <c:pt idx="109">
                  <c:v>2.8108801058839246E-5</c:v>
                </c:pt>
                <c:pt idx="110">
                  <c:v>2.747012442423889E-5</c:v>
                </c:pt>
                <c:pt idx="111">
                  <c:v>2.6985839787041651E-5</c:v>
                </c:pt>
                <c:pt idx="112">
                  <c:v>2.6658004636809391E-5</c:v>
                </c:pt>
                <c:pt idx="113">
                  <c:v>2.6557773441356232E-5</c:v>
                </c:pt>
                <c:pt idx="114">
                  <c:v>2.6660581556896426E-5</c:v>
                </c:pt>
                <c:pt idx="115">
                  <c:v>2.6970618880234265E-5</c:v>
                </c:pt>
                <c:pt idx="116">
                  <c:v>2.7492531906001338E-5</c:v>
                </c:pt>
                <c:pt idx="117">
                  <c:v>2.8231418045235579E-5</c:v>
                </c:pt>
                <c:pt idx="118">
                  <c:v>2.9192818971970363E-5</c:v>
                </c:pt>
                <c:pt idx="119">
                  <c:v>3.0382712764492015E-5</c:v>
                </c:pt>
                <c:pt idx="120">
                  <c:v>3.1808577989551902E-5</c:v>
                </c:pt>
                <c:pt idx="121">
                  <c:v>3.350144520600565E-5</c:v>
                </c:pt>
                <c:pt idx="122">
                  <c:v>3.53328641849842E-5</c:v>
                </c:pt>
                <c:pt idx="123">
                  <c:v>3.7307473682258111E-5</c:v>
                </c:pt>
                <c:pt idx="124">
                  <c:v>3.9430114515911145E-5</c:v>
                </c:pt>
                <c:pt idx="125">
                  <c:v>4.170581942608268E-5</c:v>
                </c:pt>
                <c:pt idx="126">
                  <c:v>4.4139801429343067E-5</c:v>
                </c:pt>
                <c:pt idx="127">
                  <c:v>4.6734138740371747E-5</c:v>
                </c:pt>
                <c:pt idx="128">
                  <c:v>4.9414905220162119E-5</c:v>
                </c:pt>
                <c:pt idx="129">
                  <c:v>5.2184820733442682E-5</c:v>
                </c:pt>
                <c:pt idx="130">
                  <c:v>5.5046548472094755E-5</c:v>
                </c:pt>
                <c:pt idx="131">
                  <c:v>5.8002680805410112E-5</c:v>
                </c:pt>
                <c:pt idx="132">
                  <c:v>6.1055724139608958E-5</c:v>
                </c:pt>
                <c:pt idx="133">
                  <c:v>6.4208082815841864E-5</c:v>
                </c:pt>
                <c:pt idx="134">
                  <c:v>6.7463250819753125E-5</c:v>
                </c:pt>
                <c:pt idx="135">
                  <c:v>7.0820019264749954E-5</c:v>
                </c:pt>
                <c:pt idx="136">
                  <c:v>7.4253843557136519E-5</c:v>
                </c:pt>
                <c:pt idx="137">
                  <c:v>7.7766339100933369E-5</c:v>
                </c:pt>
                <c:pt idx="138">
                  <c:v>8.1359006488377589E-5</c:v>
                </c:pt>
                <c:pt idx="139">
                  <c:v>8.5033221956554167E-5</c:v>
                </c:pt>
                <c:pt idx="140">
                  <c:v>8.8790227922551691E-5</c:v>
                </c:pt>
                <c:pt idx="141">
                  <c:v>9.2606746742326896E-5</c:v>
                </c:pt>
                <c:pt idx="142">
                  <c:v>9.648619278197899E-5</c:v>
                </c:pt>
                <c:pt idx="143">
                  <c:v>1.0042796919351347E-4</c:v>
                </c:pt>
                <c:pt idx="144">
                  <c:v>1.0443183760143098E-4</c:v>
                </c:pt>
                <c:pt idx="145">
                  <c:v>1.0849737888187972E-4</c:v>
                </c:pt>
                <c:pt idx="146">
                  <c:v>1.1262398944209694E-4</c:v>
                </c:pt>
                <c:pt idx="147">
                  <c:v>1.1681087843957672E-4</c:v>
                </c:pt>
                <c:pt idx="148">
                  <c:v>1.2105894714073422E-4</c:v>
                </c:pt>
                <c:pt idx="149">
                  <c:v>1.2531931413479759E-4</c:v>
                </c:pt>
                <c:pt idx="150">
                  <c:v>1.295943077810518E-4</c:v>
                </c:pt>
                <c:pt idx="151">
                  <c:v>1.3387986858533069E-4</c:v>
                </c:pt>
                <c:pt idx="152">
                  <c:v>1.3817159717206576E-4</c:v>
                </c:pt>
                <c:pt idx="153">
                  <c:v>1.4246476143377773E-4</c:v>
                </c:pt>
                <c:pt idx="154">
                  <c:v>1.4675430569400434E-4</c:v>
                </c:pt>
                <c:pt idx="155">
                  <c:v>1.5097208885406002E-4</c:v>
                </c:pt>
                <c:pt idx="156">
                  <c:v>1.551398159163511E-4</c:v>
                </c:pt>
                <c:pt idx="157">
                  <c:v>1.5925020212317401E-4</c:v>
                </c:pt>
                <c:pt idx="158">
                  <c:v>1.6329569850853694E-4</c:v>
                </c:pt>
                <c:pt idx="159">
                  <c:v>1.6726851820571766E-4</c:v>
                </c:pt>
                <c:pt idx="160">
                  <c:v>1.7116066487326816E-4</c:v>
                </c:pt>
                <c:pt idx="161">
                  <c:v>1.749639631065621E-4</c:v>
                </c:pt>
                <c:pt idx="162">
                  <c:v>1.7867332747925125E-4</c:v>
                </c:pt>
                <c:pt idx="163">
                  <c:v>1.822148023274108E-4</c:v>
                </c:pt>
                <c:pt idx="164">
                  <c:v>1.8563896527289283E-4</c:v>
                </c:pt>
                <c:pt idx="165">
                  <c:v>1.889387599429462E-4</c:v>
                </c:pt>
                <c:pt idx="166">
                  <c:v>1.9226221495016868E-4</c:v>
                </c:pt>
                <c:pt idx="167">
                  <c:v>1.9544873686329044E-4</c:v>
                </c:pt>
                <c:pt idx="168">
                  <c:v>1.9849130408385783E-4</c:v>
                </c:pt>
                <c:pt idx="169">
                  <c:v>2.0130810028247319E-4</c:v>
                </c:pt>
                <c:pt idx="170">
                  <c:v>2.0396488160733385E-4</c:v>
                </c:pt>
                <c:pt idx="171">
                  <c:v>2.0645495120007011E-4</c:v>
                </c:pt>
                <c:pt idx="172">
                  <c:v>2.0877181754375457E-4</c:v>
                </c:pt>
                <c:pt idx="173">
                  <c:v>2.1090705593477277E-4</c:v>
                </c:pt>
                <c:pt idx="174">
                  <c:v>2.1285228626943451E-4</c:v>
                </c:pt>
                <c:pt idx="175">
                  <c:v>2.1460145458229021E-4</c:v>
                </c:pt>
                <c:pt idx="176">
                  <c:v>2.1614965192038698E-4</c:v>
                </c:pt>
                <c:pt idx="177">
                  <c:v>2.17411975696397E-4</c:v>
                </c:pt>
                <c:pt idx="178">
                  <c:v>2.1846285215802968E-4</c:v>
                </c:pt>
                <c:pt idx="179">
                  <c:v>2.1929724404862937E-4</c:v>
                </c:pt>
                <c:pt idx="180">
                  <c:v>2.1991041416898451E-4</c:v>
                </c:pt>
                <c:pt idx="181">
                  <c:v>2.2029792979418633E-4</c:v>
                </c:pt>
                <c:pt idx="182">
                  <c:v>2.2045566483298363E-4</c:v>
                </c:pt>
                <c:pt idx="183">
                  <c:v>2.2030791708280614E-4</c:v>
                </c:pt>
                <c:pt idx="184">
                  <c:v>2.199357389821373E-4</c:v>
                </c:pt>
                <c:pt idx="185">
                  <c:v>2.1933630946531697E-4</c:v>
                </c:pt>
                <c:pt idx="186">
                  <c:v>2.1850708671951232E-4</c:v>
                </c:pt>
                <c:pt idx="187">
                  <c:v>2.1744580019057046E-4</c:v>
                </c:pt>
                <c:pt idx="188">
                  <c:v>2.1615044121179854E-4</c:v>
                </c:pt>
                <c:pt idx="189">
                  <c:v>2.1461925244188468E-4</c:v>
                </c:pt>
                <c:pt idx="190">
                  <c:v>2.1285171036446973E-4</c:v>
                </c:pt>
                <c:pt idx="191">
                  <c:v>2.1080377540871797E-4</c:v>
                </c:pt>
                <c:pt idx="192">
                  <c:v>2.0856264892314168E-4</c:v>
                </c:pt>
                <c:pt idx="193">
                  <c:v>2.0612830736183656E-4</c:v>
                </c:pt>
                <c:pt idx="194">
                  <c:v>2.0350084907996336E-4</c:v>
                </c:pt>
                <c:pt idx="195">
                  <c:v>2.0068047781357509E-4</c:v>
                </c:pt>
                <c:pt idx="196">
                  <c:v>1.9766748637780137E-4</c:v>
                </c:pt>
                <c:pt idx="197">
                  <c:v>1.9445210821140082E-4</c:v>
                </c:pt>
                <c:pt idx="198">
                  <c:v>1.9111330944206176E-4</c:v>
                </c:pt>
                <c:pt idx="199">
                  <c:v>1.8765251747424963E-4</c:v>
                </c:pt>
                <c:pt idx="200">
                  <c:v>1.8407114469258699E-4</c:v>
                </c:pt>
                <c:pt idx="201">
                  <c:v>1.8037057848857498E-4</c:v>
                </c:pt>
                <c:pt idx="202">
                  <c:v>1.7655217224742481E-4</c:v>
                </c:pt>
                <c:pt idx="203">
                  <c:v>1.726172373093802E-4</c:v>
                </c:pt>
                <c:pt idx="204">
                  <c:v>1.6856467743169029E-4</c:v>
                </c:pt>
                <c:pt idx="205">
                  <c:v>1.6438493871501973E-4</c:v>
                </c:pt>
                <c:pt idx="206">
                  <c:v>1.601280191609657E-4</c:v>
                </c:pt>
                <c:pt idx="207">
                  <c:v>1.5579650282390549E-4</c:v>
                </c:pt>
                <c:pt idx="208">
                  <c:v>1.5139281701206106E-4</c:v>
                </c:pt>
                <c:pt idx="209">
                  <c:v>1.4691922725412775E-4</c:v>
                </c:pt>
                <c:pt idx="210">
                  <c:v>1.4237783322147184E-4</c:v>
                </c:pt>
                <c:pt idx="211">
                  <c:v>1.3782585071838883E-4</c:v>
                </c:pt>
                <c:pt idx="212">
                  <c:v>1.3327644416440268E-4</c:v>
                </c:pt>
                <c:pt idx="213">
                  <c:v>1.2873188314729402E-4</c:v>
                </c:pt>
                <c:pt idx="214">
                  <c:v>1.2419425208176865E-4</c:v>
                </c:pt>
                <c:pt idx="215">
                  <c:v>1.1966545497137748E-4</c:v>
                </c:pt>
                <c:pt idx="216">
                  <c:v>1.151472204657419E-4</c:v>
                </c:pt>
                <c:pt idx="217">
                  <c:v>1.1064110709359562E-4</c:v>
                </c:pt>
                <c:pt idx="218">
                  <c:v>1.0614695984362843E-4</c:v>
                </c:pt>
                <c:pt idx="219">
                  <c:v>1.0189596302103442E-4</c:v>
                </c:pt>
                <c:pt idx="220">
                  <c:v>9.7902201940663449E-5</c:v>
                </c:pt>
                <c:pt idx="221">
                  <c:v>9.4169832159555063E-5</c:v>
                </c:pt>
                <c:pt idx="222">
                  <c:v>9.0702880079868926E-5</c:v>
                </c:pt>
                <c:pt idx="223">
                  <c:v>8.7505253061880163E-5</c:v>
                </c:pt>
                <c:pt idx="224">
                  <c:v>8.4580748795389687E-5</c:v>
                </c:pt>
                <c:pt idx="225">
                  <c:v>8.2267841205892219E-5</c:v>
                </c:pt>
                <c:pt idx="226">
                  <c:v>8.0515062386833869E-5</c:v>
                </c:pt>
                <c:pt idx="227">
                  <c:v>7.9328365131811935E-5</c:v>
                </c:pt>
                <c:pt idx="228">
                  <c:v>7.8713610883054635E-5</c:v>
                </c:pt>
                <c:pt idx="229">
                  <c:v>7.86765765610258E-5</c:v>
                </c:pt>
                <c:pt idx="230">
                  <c:v>7.9222960412482271E-5</c:v>
                </c:pt>
                <c:pt idx="231">
                  <c:v>8.0358386911411146E-5</c:v>
                </c:pt>
                <c:pt idx="232">
                  <c:v>8.2086272837224872E-5</c:v>
                </c:pt>
                <c:pt idx="233">
                  <c:v>8.4397513808410164E-5</c:v>
                </c:pt>
                <c:pt idx="234">
                  <c:v>8.7050622393529755E-5</c:v>
                </c:pt>
                <c:pt idx="235">
                  <c:v>9.0047984033722454E-5</c:v>
                </c:pt>
                <c:pt idx="236">
                  <c:v>9.3392177196908516E-5</c:v>
                </c:pt>
                <c:pt idx="237">
                  <c:v>9.7085926036595031E-5</c:v>
                </c:pt>
                <c:pt idx="238">
                  <c:v>1.0113219552678361E-4</c:v>
                </c:pt>
                <c:pt idx="239">
                  <c:v>1.0541198249042059E-4</c:v>
                </c:pt>
                <c:pt idx="240">
                  <c:v>1.0957884776977379E-4</c:v>
                </c:pt>
                <c:pt idx="241">
                  <c:v>1.136329451077498E-4</c:v>
                </c:pt>
                <c:pt idx="242">
                  <c:v>1.1757465361790978E-4</c:v>
                </c:pt>
                <c:pt idx="243">
                  <c:v>1.214045632753353E-4</c:v>
                </c:pt>
                <c:pt idx="244">
                  <c:v>1.2512346075018246E-4</c:v>
                </c:pt>
                <c:pt idx="245">
                  <c:v>1.287323157474481E-4</c:v>
                </c:pt>
                <c:pt idx="246">
                  <c:v>1.322287352287799E-4</c:v>
                </c:pt>
                <c:pt idx="247">
                  <c:v>1.3560584126504505E-4</c:v>
                </c:pt>
                <c:pt idx="248">
                  <c:v>1.3887986528211168E-4</c:v>
                </c:pt>
                <c:pt idx="249">
                  <c:v>1.420503142829839E-4</c:v>
                </c:pt>
                <c:pt idx="250">
                  <c:v>1.4511658957508394E-4</c:v>
                </c:pt>
                <c:pt idx="251">
                  <c:v>1.4807798750908358E-4</c:v>
                </c:pt>
                <c:pt idx="252">
                  <c:v>1.5093370030422085E-4</c:v>
                </c:pt>
                <c:pt idx="253">
                  <c:v>1.5349707766230361E-4</c:v>
                </c:pt>
                <c:pt idx="254">
                  <c:v>1.5589255238465446E-4</c:v>
                </c:pt>
                <c:pt idx="255">
                  <c:v>1.5811813238271295E-4</c:v>
                </c:pt>
                <c:pt idx="256">
                  <c:v>1.6017172566705286E-4</c:v>
                </c:pt>
                <c:pt idx="257">
                  <c:v>1.6205114308900752E-4</c:v>
                </c:pt>
                <c:pt idx="258">
                  <c:v>1.637541017492696E-4</c:v>
                </c:pt>
                <c:pt idx="259">
                  <c:v>1.6527822899791868E-4</c:v>
                </c:pt>
                <c:pt idx="260">
                  <c:v>1.6662677709932758E-4</c:v>
                </c:pt>
                <c:pt idx="261">
                  <c:v>1.6771701452541563E-4</c:v>
                </c:pt>
                <c:pt idx="262">
                  <c:v>1.6854618801672789E-4</c:v>
                </c:pt>
                <c:pt idx="263">
                  <c:v>1.6910888746078003E-4</c:v>
                </c:pt>
                <c:pt idx="264">
                  <c:v>1.693995108145244E-4</c:v>
                </c:pt>
                <c:pt idx="265">
                  <c:v>1.6941319816425756E-4</c:v>
                </c:pt>
                <c:pt idx="266">
                  <c:v>1.6914451028313127E-4</c:v>
                </c:pt>
                <c:pt idx="267">
                  <c:v>1.6871866643934034E-4</c:v>
                </c:pt>
                <c:pt idx="268">
                  <c:v>1.6832825192521819E-4</c:v>
                </c:pt>
                <c:pt idx="269">
                  <c:v>1.679710376221098E-4</c:v>
                </c:pt>
                <c:pt idx="270">
                  <c:v>1.6764476099671724E-4</c:v>
                </c:pt>
                <c:pt idx="271">
                  <c:v>1.6734712231328914E-4</c:v>
                </c:pt>
                <c:pt idx="272">
                  <c:v>1.6707578135051403E-4</c:v>
                </c:pt>
                <c:pt idx="273">
                  <c:v>1.6682835470376489E-4</c:v>
                </c:pt>
                <c:pt idx="274">
                  <c:v>1.6660581557639809E-4</c:v>
                </c:pt>
                <c:pt idx="275">
                  <c:v>1.66479914758211E-4</c:v>
                </c:pt>
                <c:pt idx="276">
                  <c:v>1.6654232711088774E-4</c:v>
                </c:pt>
                <c:pt idx="277">
                  <c:v>1.6679587689788535E-4</c:v>
                </c:pt>
                <c:pt idx="278">
                  <c:v>1.6724338635436882E-4</c:v>
                </c:pt>
                <c:pt idx="279">
                  <c:v>1.6788769002856462E-4</c:v>
                </c:pt>
                <c:pt idx="280">
                  <c:v>1.6873165096207161E-4</c:v>
                </c:pt>
                <c:pt idx="281">
                  <c:v>1.696326788439914E-4</c:v>
                </c:pt>
                <c:pt idx="282">
                  <c:v>1.7045366496082326E-4</c:v>
                </c:pt>
                <c:pt idx="283">
                  <c:v>1.7119507476095696E-4</c:v>
                </c:pt>
                <c:pt idx="284">
                  <c:v>1.7185752046611124E-4</c:v>
                </c:pt>
                <c:pt idx="285">
                  <c:v>1.7244176401155588E-4</c:v>
                </c:pt>
                <c:pt idx="286">
                  <c:v>1.7294871949594817E-4</c:v>
                </c:pt>
                <c:pt idx="287">
                  <c:v>1.7337945507877028E-4</c:v>
                </c:pt>
                <c:pt idx="288">
                  <c:v>1.7374271085260378E-4</c:v>
                </c:pt>
                <c:pt idx="289">
                  <c:v>1.7390473273547479E-4</c:v>
                </c:pt>
                <c:pt idx="290">
                  <c:v>1.7378802194024069E-4</c:v>
                </c:pt>
                <c:pt idx="291">
                  <c:v>1.7338575693450953E-4</c:v>
                </c:pt>
                <c:pt idx="292">
                  <c:v>1.7269100152362825E-4</c:v>
                </c:pt>
                <c:pt idx="293">
                  <c:v>1.7169676428324625E-4</c:v>
                </c:pt>
                <c:pt idx="294">
                  <c:v>1.7039606245612313E-4</c:v>
                </c:pt>
                <c:pt idx="295">
                  <c:v>1.6905211001148963E-4</c:v>
                </c:pt>
                <c:pt idx="296">
                  <c:v>1.6781508761558821E-4</c:v>
                </c:pt>
                <c:pt idx="297">
                  <c:v>1.6668350157522823E-4</c:v>
                </c:pt>
                <c:pt idx="298">
                  <c:v>1.6565441381738368E-4</c:v>
                </c:pt>
                <c:pt idx="299">
                  <c:v>1.6472482106517922E-4</c:v>
                </c:pt>
                <c:pt idx="300">
                  <c:v>1.6389162478216149E-4</c:v>
                </c:pt>
                <c:pt idx="301">
                  <c:v>1.6315160210836078E-4</c:v>
                </c:pt>
                <c:pt idx="302">
                  <c:v>1.6251477226883294E-4</c:v>
                </c:pt>
                <c:pt idx="303">
                  <c:v>1.6243314945201277E-4</c:v>
                </c:pt>
                <c:pt idx="304">
                  <c:v>1.6305605925111155E-4</c:v>
                </c:pt>
                <c:pt idx="305">
                  <c:v>1.6438915282950505E-4</c:v>
                </c:pt>
                <c:pt idx="306">
                  <c:v>1.6643796101933973E-4</c:v>
                </c:pt>
                <c:pt idx="307">
                  <c:v>1.6920795117489378E-4</c:v>
                </c:pt>
                <c:pt idx="308">
                  <c:v>1.7270458792251531E-4</c:v>
                </c:pt>
                <c:pt idx="309">
                  <c:v>1.7678478562318498E-4</c:v>
                </c:pt>
                <c:pt idx="310">
                  <c:v>1.8117373787867596E-4</c:v>
                </c:pt>
                <c:pt idx="311">
                  <c:v>1.8587486595836127E-4</c:v>
                </c:pt>
                <c:pt idx="312">
                  <c:v>1.9089181542243191E-4</c:v>
                </c:pt>
                <c:pt idx="313">
                  <c:v>1.9622848143765822E-4</c:v>
                </c:pt>
                <c:pt idx="314">
                  <c:v>2.0188903307748256E-4</c:v>
                </c:pt>
                <c:pt idx="315">
                  <c:v>2.0787793616965124E-4</c:v>
                </c:pt>
                <c:pt idx="316">
                  <c:v>2.1420785069457382E-4</c:v>
                </c:pt>
                <c:pt idx="317">
                  <c:v>2.2039372116119415E-4</c:v>
                </c:pt>
                <c:pt idx="318">
                  <c:v>2.2598386367792586E-4</c:v>
                </c:pt>
                <c:pt idx="319">
                  <c:v>2.3097435440113333E-4</c:v>
                </c:pt>
                <c:pt idx="320">
                  <c:v>2.3536047291386787E-4</c:v>
                </c:pt>
                <c:pt idx="321">
                  <c:v>2.3913669926788986E-4</c:v>
                </c:pt>
                <c:pt idx="322">
                  <c:v>2.4229671930368693E-4</c:v>
                </c:pt>
                <c:pt idx="323">
                  <c:v>2.4467845391008917E-4</c:v>
                </c:pt>
                <c:pt idx="324">
                  <c:v>2.4642657385494192E-4</c:v>
                </c:pt>
                <c:pt idx="325">
                  <c:v>2.4753249060617771E-4</c:v>
                </c:pt>
                <c:pt idx="326">
                  <c:v>2.4798542408651416E-4</c:v>
                </c:pt>
                <c:pt idx="327">
                  <c:v>2.4777505239271559E-4</c:v>
                </c:pt>
                <c:pt idx="328">
                  <c:v>2.4689186938724997E-4</c:v>
                </c:pt>
                <c:pt idx="329">
                  <c:v>2.4532601278144428E-4</c:v>
                </c:pt>
                <c:pt idx="330">
                  <c:v>2.4310534396159201E-4</c:v>
                </c:pt>
                <c:pt idx="331">
                  <c:v>2.4033912801633468E-4</c:v>
                </c:pt>
                <c:pt idx="332">
                  <c:v>2.3752765730830261E-4</c:v>
                </c:pt>
                <c:pt idx="333">
                  <c:v>2.3465741552439412E-4</c:v>
                </c:pt>
                <c:pt idx="334">
                  <c:v>2.3171474312752601E-4</c:v>
                </c:pt>
                <c:pt idx="335">
                  <c:v>2.2868590463682225E-4</c:v>
                </c:pt>
                <c:pt idx="336">
                  <c:v>2.2555717498881441E-4</c:v>
                </c:pt>
                <c:pt idx="337">
                  <c:v>2.2244054204359229E-4</c:v>
                </c:pt>
                <c:pt idx="338">
                  <c:v>2.1948692301978215E-4</c:v>
                </c:pt>
                <c:pt idx="339">
                  <c:v>2.166862922175513E-4</c:v>
                </c:pt>
                <c:pt idx="340">
                  <c:v>2.1402874282487399E-4</c:v>
                </c:pt>
                <c:pt idx="341">
                  <c:v>2.1150447060186648E-4</c:v>
                </c:pt>
                <c:pt idx="342">
                  <c:v>2.0910376438817757E-4</c:v>
                </c:pt>
                <c:pt idx="343">
                  <c:v>2.0681700371177943E-4</c:v>
                </c:pt>
                <c:pt idx="344">
                  <c:v>2.046659673402383E-4</c:v>
                </c:pt>
                <c:pt idx="345">
                  <c:v>2.0267827618673337E-4</c:v>
                </c:pt>
                <c:pt idx="346">
                  <c:v>2.008641150354158E-4</c:v>
                </c:pt>
                <c:pt idx="347">
                  <c:v>1.9922246998414235E-4</c:v>
                </c:pt>
                <c:pt idx="348">
                  <c:v>1.9775215394683763E-4</c:v>
                </c:pt>
                <c:pt idx="349">
                  <c:v>1.964517953594078E-4</c:v>
                </c:pt>
                <c:pt idx="350">
                  <c:v>1.9531982688851806E-4</c:v>
                </c:pt>
                <c:pt idx="351">
                  <c:v>1.9445690105555276E-4</c:v>
                </c:pt>
                <c:pt idx="352">
                  <c:v>1.937322050550569E-4</c:v>
                </c:pt>
                <c:pt idx="353">
                  <c:v>1.9314348606306198E-4</c:v>
                </c:pt>
                <c:pt idx="354">
                  <c:v>1.9268831189503971E-4</c:v>
                </c:pt>
                <c:pt idx="355">
                  <c:v>1.9236406897981328E-4</c:v>
                </c:pt>
                <c:pt idx="356">
                  <c:v>1.9216657839491661E-4</c:v>
                </c:pt>
                <c:pt idx="357">
                  <c:v>1.9209401603391743E-4</c:v>
                </c:pt>
                <c:pt idx="358">
                  <c:v>1.9213521854617857E-4</c:v>
                </c:pt>
                <c:pt idx="359">
                  <c:v>1.9228281536594932E-4</c:v>
                </c:pt>
                <c:pt idx="360">
                  <c:v>1.9266457703033199E-4</c:v>
                </c:pt>
                <c:pt idx="361">
                  <c:v>1.9318013498440103E-4</c:v>
                </c:pt>
                <c:pt idx="362">
                  <c:v>1.9383006441561548E-4</c:v>
                </c:pt>
                <c:pt idx="363">
                  <c:v>1.9461470134774455E-4</c:v>
                </c:pt>
                <c:pt idx="364">
                  <c:v>1.9553416447521324E-4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70992"/>
        <c:axId val="591171384"/>
      </c:lineChart>
      <c:dateAx>
        <c:axId val="5911709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1384"/>
        <c:crosses val="autoZero"/>
        <c:auto val="1"/>
        <c:lblOffset val="100"/>
        <c:baseTimeUnit val="days"/>
        <c:majorUnit val="1"/>
        <c:majorTimeUnit val="months"/>
      </c:dateAx>
      <c:valAx>
        <c:axId val="5911713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0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25.534774887378042</c:v>
                </c:pt>
                <c:pt idx="1">
                  <c:v>25.691172515008599</c:v>
                </c:pt>
                <c:pt idx="2">
                  <c:v>25.857446852850554</c:v>
                </c:pt>
                <c:pt idx="3">
                  <c:v>26.033014621230244</c:v>
                </c:pt>
                <c:pt idx="4">
                  <c:v>26.217292726390994</c:v>
                </c:pt>
                <c:pt idx="5">
                  <c:v>26.409698252817559</c:v>
                </c:pt>
                <c:pt idx="6">
                  <c:v>26.609648469715374</c:v>
                </c:pt>
                <c:pt idx="7">
                  <c:v>26.81656082115752</c:v>
                </c:pt>
                <c:pt idx="8">
                  <c:v>27.033656109921093</c:v>
                </c:pt>
                <c:pt idx="9">
                  <c:v>27.263850027690921</c:v>
                </c:pt>
                <c:pt idx="10">
                  <c:v>27.506100719735027</c:v>
                </c:pt>
                <c:pt idx="11">
                  <c:v>27.759365018500166</c:v>
                </c:pt>
                <c:pt idx="12">
                  <c:v>28.022600090873347</c:v>
                </c:pt>
                <c:pt idx="13">
                  <c:v>28.294763432589871</c:v>
                </c:pt>
                <c:pt idx="14">
                  <c:v>28.574812873403012</c:v>
                </c:pt>
                <c:pt idx="15">
                  <c:v>28.861711085197228</c:v>
                </c:pt>
                <c:pt idx="16">
                  <c:v>29.154416446686142</c:v>
                </c:pt>
                <c:pt idx="17">
                  <c:v>29.451887779372964</c:v>
                </c:pt>
                <c:pt idx="18">
                  <c:v>29.753084237621398</c:v>
                </c:pt>
                <c:pt idx="19">
                  <c:v>30.056965289801536</c:v>
                </c:pt>
                <c:pt idx="20">
                  <c:v>30.362490730929551</c:v>
                </c:pt>
                <c:pt idx="21">
                  <c:v>30.668620699898966</c:v>
                </c:pt>
                <c:pt idx="22">
                  <c:v>30.977833716914976</c:v>
                </c:pt>
                <c:pt idx="23">
                  <c:v>31.293018537165064</c:v>
                </c:pt>
                <c:pt idx="24">
                  <c:v>31.613746907647581</c:v>
                </c:pt>
                <c:pt idx="25">
                  <c:v>31.939593167996577</c:v>
                </c:pt>
                <c:pt idx="26">
                  <c:v>32.270131797683447</c:v>
                </c:pt>
                <c:pt idx="27">
                  <c:v>32.604937419195153</c:v>
                </c:pt>
                <c:pt idx="28">
                  <c:v>32.943584796824652</c:v>
                </c:pt>
                <c:pt idx="29">
                  <c:v>33.285643488220998</c:v>
                </c:pt>
                <c:pt idx="30">
                  <c:v>33.630684022562214</c:v>
                </c:pt>
                <c:pt idx="31">
                  <c:v>33.978281590237359</c:v>
                </c:pt>
                <c:pt idx="32">
                  <c:v>34.328011522680249</c:v>
                </c:pt>
                <c:pt idx="33">
                  <c:v>34.679449296544355</c:v>
                </c:pt>
                <c:pt idx="34">
                  <c:v>35.032170530275266</c:v>
                </c:pt>
                <c:pt idx="35">
                  <c:v>35.385750984375541</c:v>
                </c:pt>
                <c:pt idx="36">
                  <c:v>35.743122913518306</c:v>
                </c:pt>
                <c:pt idx="37">
                  <c:v>36.10679051245279</c:v>
                </c:pt>
                <c:pt idx="38">
                  <c:v>36.475691528087069</c:v>
                </c:pt>
                <c:pt idx="39">
                  <c:v>36.848765147568336</c:v>
                </c:pt>
                <c:pt idx="40">
                  <c:v>37.224950904357875</c:v>
                </c:pt>
                <c:pt idx="41">
                  <c:v>37.603188670618017</c:v>
                </c:pt>
                <c:pt idx="42">
                  <c:v>37.982418660124324</c:v>
                </c:pt>
                <c:pt idx="43">
                  <c:v>38.36158388916224</c:v>
                </c:pt>
                <c:pt idx="44">
                  <c:v>38.739630619019636</c:v>
                </c:pt>
                <c:pt idx="45">
                  <c:v>39.115500084858077</c:v>
                </c:pt>
                <c:pt idx="46">
                  <c:v>39.488133858873049</c:v>
                </c:pt>
                <c:pt idx="47">
                  <c:v>39.856473844616374</c:v>
                </c:pt>
                <c:pt idx="48">
                  <c:v>40.219462276914626</c:v>
                </c:pt>
                <c:pt idx="49">
                  <c:v>40.576041719934558</c:v>
                </c:pt>
                <c:pt idx="50">
                  <c:v>40.92711370506089</c:v>
                </c:pt>
                <c:pt idx="51">
                  <c:v>41.274499102334055</c:v>
                </c:pt>
                <c:pt idx="52">
                  <c:v>41.618519677764667</c:v>
                </c:pt>
                <c:pt idx="53">
                  <c:v>41.959493866068215</c:v>
                </c:pt>
                <c:pt idx="54">
                  <c:v>42.297739977496192</c:v>
                </c:pt>
                <c:pt idx="55">
                  <c:v>42.633576212100913</c:v>
                </c:pt>
                <c:pt idx="56">
                  <c:v>42.967320652115561</c:v>
                </c:pt>
                <c:pt idx="57">
                  <c:v>43.299289953954272</c:v>
                </c:pt>
                <c:pt idx="58">
                  <c:v>43.629799483939941</c:v>
                </c:pt>
                <c:pt idx="59">
                  <c:v>43.959166968189479</c:v>
                </c:pt>
                <c:pt idx="60">
                  <c:v>44.287710013587841</c:v>
                </c:pt>
                <c:pt idx="61">
                  <c:v>44.615746107370057</c:v>
                </c:pt>
                <c:pt idx="62">
                  <c:v>44.943592616976737</c:v>
                </c:pt>
                <c:pt idx="63">
                  <c:v>45.271566788366933</c:v>
                </c:pt>
                <c:pt idx="64">
                  <c:v>45.599650851918057</c:v>
                </c:pt>
                <c:pt idx="65">
                  <c:v>45.927472638198246</c:v>
                </c:pt>
                <c:pt idx="66">
                  <c:v>46.254818399556335</c:v>
                </c:pt>
                <c:pt idx="67">
                  <c:v>46.581476587541516</c:v>
                </c:pt>
                <c:pt idx="68">
                  <c:v>46.907235694767863</c:v>
                </c:pt>
                <c:pt idx="69">
                  <c:v>47.231884254125013</c:v>
                </c:pt>
                <c:pt idx="70">
                  <c:v>47.5552108395175</c:v>
                </c:pt>
                <c:pt idx="71">
                  <c:v>47.877005753604315</c:v>
                </c:pt>
                <c:pt idx="72">
                  <c:v>48.197058986836801</c:v>
                </c:pt>
                <c:pt idx="73">
                  <c:v>48.515159246753306</c:v>
                </c:pt>
                <c:pt idx="74">
                  <c:v>48.831095283429427</c:v>
                </c:pt>
                <c:pt idx="75">
                  <c:v>49.144655889636006</c:v>
                </c:pt>
                <c:pt idx="76">
                  <c:v>49.455629902209097</c:v>
                </c:pt>
                <c:pt idx="77">
                  <c:v>49.763806202082584</c:v>
                </c:pt>
                <c:pt idx="78">
                  <c:v>50.071561917496261</c:v>
                </c:pt>
                <c:pt idx="79">
                  <c:v>50.380783085522701</c:v>
                </c:pt>
                <c:pt idx="80">
                  <c:v>50.690520194594185</c:v>
                </c:pt>
                <c:pt idx="81">
                  <c:v>50.999822106591722</c:v>
                </c:pt>
                <c:pt idx="82">
                  <c:v>51.307737964560346</c:v>
                </c:pt>
                <c:pt idx="83">
                  <c:v>51.613317200788558</c:v>
                </c:pt>
                <c:pt idx="84">
                  <c:v>51.915609533307858</c:v>
                </c:pt>
                <c:pt idx="85">
                  <c:v>52.213665542639006</c:v>
                </c:pt>
                <c:pt idx="86">
                  <c:v>52.506533795339571</c:v>
                </c:pt>
                <c:pt idx="87">
                  <c:v>52.793264879501542</c:v>
                </c:pt>
                <c:pt idx="88">
                  <c:v>53.072909679144772</c:v>
                </c:pt>
                <c:pt idx="89">
                  <c:v>53.344519377969952</c:v>
                </c:pt>
                <c:pt idx="90">
                  <c:v>53.607145460580455</c:v>
                </c:pt>
                <c:pt idx="91">
                  <c:v>53.859839724957908</c:v>
                </c:pt>
                <c:pt idx="92">
                  <c:v>54.104257211985967</c:v>
                </c:pt>
                <c:pt idx="93">
                  <c:v>54.342617785733275</c:v>
                </c:pt>
                <c:pt idx="94">
                  <c:v>54.574814137159883</c:v>
                </c:pt>
                <c:pt idx="95">
                  <c:v>54.800741725195302</c:v>
                </c:pt>
                <c:pt idx="96">
                  <c:v>55.020296054261919</c:v>
                </c:pt>
                <c:pt idx="97">
                  <c:v>55.233372676684283</c:v>
                </c:pt>
                <c:pt idx="98">
                  <c:v>55.439867196565267</c:v>
                </c:pt>
                <c:pt idx="99">
                  <c:v>55.639673775411026</c:v>
                </c:pt>
                <c:pt idx="100">
                  <c:v>55.83268749081261</c:v>
                </c:pt>
                <c:pt idx="101">
                  <c:v>56.018804072047416</c:v>
                </c:pt>
                <c:pt idx="102">
                  <c:v>56.197919303714222</c:v>
                </c:pt>
                <c:pt idx="103">
                  <c:v>56.369929029783087</c:v>
                </c:pt>
                <c:pt idx="104">
                  <c:v>56.534729151462422</c:v>
                </c:pt>
                <c:pt idx="105">
                  <c:v>56.692215631936392</c:v>
                </c:pt>
                <c:pt idx="106">
                  <c:v>56.841634499829738</c:v>
                </c:pt>
                <c:pt idx="107">
                  <c:v>56.982576440242426</c:v>
                </c:pt>
                <c:pt idx="108">
                  <c:v>57.11546180947542</c:v>
                </c:pt>
                <c:pt idx="109">
                  <c:v>57.240713599202344</c:v>
                </c:pt>
                <c:pt idx="110">
                  <c:v>57.358754678900063</c:v>
                </c:pt>
                <c:pt idx="111">
                  <c:v>57.470007796239301</c:v>
                </c:pt>
                <c:pt idx="112">
                  <c:v>57.574895580724025</c:v>
                </c:pt>
                <c:pt idx="113">
                  <c:v>57.67383657724492</c:v>
                </c:pt>
                <c:pt idx="114">
                  <c:v>57.767254735683146</c:v>
                </c:pt>
                <c:pt idx="115">
                  <c:v>57.855572253874897</c:v>
                </c:pt>
                <c:pt idx="116">
                  <c:v>57.939211204077971</c:v>
                </c:pt>
                <c:pt idx="117">
                  <c:v>58.018593531034462</c:v>
                </c:pt>
                <c:pt idx="118">
                  <c:v>58.094141055434534</c:v>
                </c:pt>
                <c:pt idx="119">
                  <c:v>58.166275474816224</c:v>
                </c:pt>
                <c:pt idx="120">
                  <c:v>58.233453126546117</c:v>
                </c:pt>
                <c:pt idx="121">
                  <c:v>58.29412956847289</c:v>
                </c:pt>
                <c:pt idx="122">
                  <c:v>58.348735086141943</c:v>
                </c:pt>
                <c:pt idx="123">
                  <c:v>58.39769213227941</c:v>
                </c:pt>
                <c:pt idx="124">
                  <c:v>58.441423051809828</c:v>
                </c:pt>
                <c:pt idx="125">
                  <c:v>58.480350088255435</c:v>
                </c:pt>
                <c:pt idx="126">
                  <c:v>58.514895375986193</c:v>
                </c:pt>
                <c:pt idx="127">
                  <c:v>58.545481144533269</c:v>
                </c:pt>
                <c:pt idx="128">
                  <c:v>58.572533976647435</c:v>
                </c:pt>
                <c:pt idx="129">
                  <c:v>58.596475875410754</c:v>
                </c:pt>
                <c:pt idx="130">
                  <c:v>58.617728749487938</c:v>
                </c:pt>
                <c:pt idx="131">
                  <c:v>58.636714410550091</c:v>
                </c:pt>
                <c:pt idx="132">
                  <c:v>58.653854573929756</c:v>
                </c:pt>
                <c:pt idx="133">
                  <c:v>58.669570861056123</c:v>
                </c:pt>
                <c:pt idx="134">
                  <c:v>58.683233291724648</c:v>
                </c:pt>
                <c:pt idx="135">
                  <c:v>58.69393209873207</c:v>
                </c:pt>
                <c:pt idx="136">
                  <c:v>58.70167034297458</c:v>
                </c:pt>
                <c:pt idx="137">
                  <c:v>58.706449600142783</c:v>
                </c:pt>
                <c:pt idx="138">
                  <c:v>58.708271504451652</c:v>
                </c:pt>
                <c:pt idx="139">
                  <c:v>58.707137742416982</c:v>
                </c:pt>
                <c:pt idx="140">
                  <c:v>58.703050052383389</c:v>
                </c:pt>
                <c:pt idx="141">
                  <c:v>58.696011656035544</c:v>
                </c:pt>
                <c:pt idx="142">
                  <c:v>58.686024243261393</c:v>
                </c:pt>
                <c:pt idx="143">
                  <c:v>58.673089778381438</c:v>
                </c:pt>
                <c:pt idx="144">
                  <c:v>58.657210232552991</c:v>
                </c:pt>
                <c:pt idx="145">
                  <c:v>58.638387617570295</c:v>
                </c:pt>
                <c:pt idx="146">
                  <c:v>58.616623978808235</c:v>
                </c:pt>
                <c:pt idx="147">
                  <c:v>58.591921390813958</c:v>
                </c:pt>
                <c:pt idx="148">
                  <c:v>58.563371815979195</c:v>
                </c:pt>
                <c:pt idx="149">
                  <c:v>58.530350467551244</c:v>
                </c:pt>
                <c:pt idx="150">
                  <c:v>58.49327963900167</c:v>
                </c:pt>
                <c:pt idx="151">
                  <c:v>58.452581832644725</c:v>
                </c:pt>
                <c:pt idx="152">
                  <c:v>58.408679404302916</c:v>
                </c:pt>
                <c:pt idx="153">
                  <c:v>58.361994559040923</c:v>
                </c:pt>
                <c:pt idx="154">
                  <c:v>58.312949340207346</c:v>
                </c:pt>
                <c:pt idx="155">
                  <c:v>58.26196928853745</c:v>
                </c:pt>
                <c:pt idx="156">
                  <c:v>58.209474513447475</c:v>
                </c:pt>
                <c:pt idx="157">
                  <c:v>58.155886625718672</c:v>
                </c:pt>
                <c:pt idx="158">
                  <c:v>58.101627057863723</c:v>
                </c:pt>
                <c:pt idx="159">
                  <c:v>58.047117058022167</c:v>
                </c:pt>
                <c:pt idx="160">
                  <c:v>57.992777685907036</c:v>
                </c:pt>
                <c:pt idx="161">
                  <c:v>57.939029809122083</c:v>
                </c:pt>
                <c:pt idx="162">
                  <c:v>57.88524525885726</c:v>
                </c:pt>
                <c:pt idx="163">
                  <c:v>57.830520412716787</c:v>
                </c:pt>
                <c:pt idx="164">
                  <c:v>57.77485337746856</c:v>
                </c:pt>
                <c:pt idx="165">
                  <c:v>57.718245535828466</c:v>
                </c:pt>
                <c:pt idx="166">
                  <c:v>57.660689261090297</c:v>
                </c:pt>
                <c:pt idx="167">
                  <c:v>57.602194673945064</c:v>
                </c:pt>
                <c:pt idx="168">
                  <c:v>57.542762949976726</c:v>
                </c:pt>
                <c:pt idx="169">
                  <c:v>57.482399492972327</c:v>
                </c:pt>
                <c:pt idx="170">
                  <c:v>57.421101138382454</c:v>
                </c:pt>
                <c:pt idx="171">
                  <c:v>57.358868821374024</c:v>
                </c:pt>
                <c:pt idx="172">
                  <c:v>57.295703389219518</c:v>
                </c:pt>
                <c:pt idx="173">
                  <c:v>57.231605724342117</c:v>
                </c:pt>
                <c:pt idx="174">
                  <c:v>57.166576631333591</c:v>
                </c:pt>
                <c:pt idx="175">
                  <c:v>57.100616706373913</c:v>
                </c:pt>
                <c:pt idx="176">
                  <c:v>57.033499479006245</c:v>
                </c:pt>
                <c:pt idx="177">
                  <c:v>56.965072858511292</c:v>
                </c:pt>
                <c:pt idx="178">
                  <c:v>56.895437443354972</c:v>
                </c:pt>
                <c:pt idx="179">
                  <c:v>56.824698265520475</c:v>
                </c:pt>
                <c:pt idx="180">
                  <c:v>56.752960239744048</c:v>
                </c:pt>
                <c:pt idx="181">
                  <c:v>56.680328166885367</c:v>
                </c:pt>
                <c:pt idx="182">
                  <c:v>56.606906737293365</c:v>
                </c:pt>
                <c:pt idx="183">
                  <c:v>56.532804600821557</c:v>
                </c:pt>
                <c:pt idx="184">
                  <c:v>56.458121449322604</c:v>
                </c:pt>
                <c:pt idx="185">
                  <c:v>56.382961650664868</c:v>
                </c:pt>
                <c:pt idx="186">
                  <c:v>56.307429483003816</c:v>
                </c:pt>
                <c:pt idx="187">
                  <c:v>56.231629139817002</c:v>
                </c:pt>
                <c:pt idx="188">
                  <c:v>56.155664736250763</c:v>
                </c:pt>
                <c:pt idx="189">
                  <c:v>56.079640313897698</c:v>
                </c:pt>
                <c:pt idx="190">
                  <c:v>56.003398243944552</c:v>
                </c:pt>
                <c:pt idx="191">
                  <c:v>55.926713620253473</c:v>
                </c:pt>
                <c:pt idx="192">
                  <c:v>55.849580888237519</c:v>
                </c:pt>
                <c:pt idx="193">
                  <c:v>55.771999376715101</c:v>
                </c:pt>
                <c:pt idx="194">
                  <c:v>55.693968403388062</c:v>
                </c:pt>
                <c:pt idx="195">
                  <c:v>55.615487279638224</c:v>
                </c:pt>
                <c:pt idx="196">
                  <c:v>55.536555316089839</c:v>
                </c:pt>
                <c:pt idx="197">
                  <c:v>55.457172388857515</c:v>
                </c:pt>
                <c:pt idx="198">
                  <c:v>55.377333467971994</c:v>
                </c:pt>
                <c:pt idx="199">
                  <c:v>55.297037852282799</c:v>
                </c:pt>
                <c:pt idx="200">
                  <c:v>55.216284860309976</c:v>
                </c:pt>
                <c:pt idx="201">
                  <c:v>55.135073834538474</c:v>
                </c:pt>
                <c:pt idx="202">
                  <c:v>55.053404143502974</c:v>
                </c:pt>
                <c:pt idx="203">
                  <c:v>54.971275185425107</c:v>
                </c:pt>
                <c:pt idx="204">
                  <c:v>54.889365861710822</c:v>
                </c:pt>
                <c:pt idx="205">
                  <c:v>54.808146366180381</c:v>
                </c:pt>
                <c:pt idx="206">
                  <c:v>54.727299785929659</c:v>
                </c:pt>
                <c:pt idx="207">
                  <c:v>54.646511937469633</c:v>
                </c:pt>
                <c:pt idx="208">
                  <c:v>54.565468768205598</c:v>
                </c:pt>
                <c:pt idx="209">
                  <c:v>54.483856356119588</c:v>
                </c:pt>
                <c:pt idx="210">
                  <c:v>54.401360910706948</c:v>
                </c:pt>
                <c:pt idx="211">
                  <c:v>54.317665768230874</c:v>
                </c:pt>
                <c:pt idx="212">
                  <c:v>54.232456792337956</c:v>
                </c:pt>
                <c:pt idx="213">
                  <c:v>54.145420562689679</c:v>
                </c:pt>
                <c:pt idx="214">
                  <c:v>54.05624378576092</c:v>
                </c:pt>
                <c:pt idx="215">
                  <c:v>53.964613296565851</c:v>
                </c:pt>
                <c:pt idx="216">
                  <c:v>53.87021605514564</c:v>
                </c:pt>
                <c:pt idx="217">
                  <c:v>53.772739147222438</c:v>
                </c:pt>
                <c:pt idx="218">
                  <c:v>53.672652971926169</c:v>
                </c:pt>
                <c:pt idx="219">
                  <c:v>53.570624250194257</c:v>
                </c:pt>
                <c:pt idx="220">
                  <c:v>53.466652649320693</c:v>
                </c:pt>
                <c:pt idx="221">
                  <c:v>53.360738396970135</c:v>
                </c:pt>
                <c:pt idx="222">
                  <c:v>53.252881754118278</c:v>
                </c:pt>
                <c:pt idx="223">
                  <c:v>53.143083016183766</c:v>
                </c:pt>
                <c:pt idx="224">
                  <c:v>53.031342504411938</c:v>
                </c:pt>
                <c:pt idx="225">
                  <c:v>52.917642851834401</c:v>
                </c:pt>
                <c:pt idx="226">
                  <c:v>52.80198745655548</c:v>
                </c:pt>
                <c:pt idx="227">
                  <c:v>52.684376690489948</c:v>
                </c:pt>
                <c:pt idx="228">
                  <c:v>52.564810948245622</c:v>
                </c:pt>
                <c:pt idx="229">
                  <c:v>52.443290650497353</c:v>
                </c:pt>
                <c:pt idx="230">
                  <c:v>52.319816240078467</c:v>
                </c:pt>
                <c:pt idx="231">
                  <c:v>52.194388182460614</c:v>
                </c:pt>
                <c:pt idx="232">
                  <c:v>52.068363155966452</c:v>
                </c:pt>
                <c:pt idx="233">
                  <c:v>51.942680887102952</c:v>
                </c:pt>
                <c:pt idx="234">
                  <c:v>51.81672839296629</c:v>
                </c:pt>
                <c:pt idx="235">
                  <c:v>51.689880150448758</c:v>
                </c:pt>
                <c:pt idx="236">
                  <c:v>51.56151081551787</c:v>
                </c:pt>
                <c:pt idx="237">
                  <c:v>51.430995228342105</c:v>
                </c:pt>
                <c:pt idx="238">
                  <c:v>51.297708405789713</c:v>
                </c:pt>
                <c:pt idx="239">
                  <c:v>51.161031799614584</c:v>
                </c:pt>
                <c:pt idx="240">
                  <c:v>51.020358595870768</c:v>
                </c:pt>
                <c:pt idx="241">
                  <c:v>50.875064329426863</c:v>
                </c:pt>
                <c:pt idx="242">
                  <c:v>50.724524708387776</c:v>
                </c:pt>
                <c:pt idx="243">
                  <c:v>50.56811560445793</c:v>
                </c:pt>
                <c:pt idx="244">
                  <c:v>50.405213062467773</c:v>
                </c:pt>
                <c:pt idx="245">
                  <c:v>50.235193291396918</c:v>
                </c:pt>
                <c:pt idx="246">
                  <c:v>50.058770182226993</c:v>
                </c:pt>
                <c:pt idx="247">
                  <c:v>49.877143922337353</c:v>
                </c:pt>
                <c:pt idx="248">
                  <c:v>49.690419163466814</c:v>
                </c:pt>
                <c:pt idx="249">
                  <c:v>49.498701369955164</c:v>
                </c:pt>
                <c:pt idx="250">
                  <c:v>49.302095980578294</c:v>
                </c:pt>
                <c:pt idx="251">
                  <c:v>49.100708408864406</c:v>
                </c:pt>
                <c:pt idx="252">
                  <c:v>48.894644044800067</c:v>
                </c:pt>
                <c:pt idx="253">
                  <c:v>48.684017298556554</c:v>
                </c:pt>
                <c:pt idx="254">
                  <c:v>48.468927304013683</c:v>
                </c:pt>
                <c:pt idx="255">
                  <c:v>48.249479378758529</c:v>
                </c:pt>
                <c:pt idx="256">
                  <c:v>48.025778804120677</c:v>
                </c:pt>
                <c:pt idx="257">
                  <c:v>47.79793083605788</c:v>
                </c:pt>
                <c:pt idx="258">
                  <c:v>47.566040695437941</c:v>
                </c:pt>
                <c:pt idx="259">
                  <c:v>47.330213572811104</c:v>
                </c:pt>
                <c:pt idx="260">
                  <c:v>47.088940654747539</c:v>
                </c:pt>
                <c:pt idx="261">
                  <c:v>46.841064543374628</c:v>
                </c:pt>
                <c:pt idx="262">
                  <c:v>46.587211299806818</c:v>
                </c:pt>
                <c:pt idx="263">
                  <c:v>46.328006913883044</c:v>
                </c:pt>
                <c:pt idx="264">
                  <c:v>46.064077197796443</c:v>
                </c:pt>
                <c:pt idx="265">
                  <c:v>45.796047739671366</c:v>
                </c:pt>
                <c:pt idx="266">
                  <c:v>45.524543960501539</c:v>
                </c:pt>
                <c:pt idx="267">
                  <c:v>45.250185184907622</c:v>
                </c:pt>
                <c:pt idx="268">
                  <c:v>44.973587659282771</c:v>
                </c:pt>
                <c:pt idx="269">
                  <c:v>44.695376376328809</c:v>
                </c:pt>
                <c:pt idx="270">
                  <c:v>44.416176149814156</c:v>
                </c:pt>
                <c:pt idx="271">
                  <c:v>44.13661161185842</c:v>
                </c:pt>
                <c:pt idx="272">
                  <c:v>43.857307216636734</c:v>
                </c:pt>
                <c:pt idx="273">
                  <c:v>43.57888723603692</c:v>
                </c:pt>
                <c:pt idx="274">
                  <c:v>43.301091433196916</c:v>
                </c:pt>
                <c:pt idx="275">
                  <c:v>43.023032454352851</c:v>
                </c:pt>
                <c:pt idx="276">
                  <c:v>42.744394386188631</c:v>
                </c:pt>
                <c:pt idx="277">
                  <c:v>42.464865215178513</c:v>
                </c:pt>
                <c:pt idx="278">
                  <c:v>42.184132951577993</c:v>
                </c:pt>
                <c:pt idx="279">
                  <c:v>41.901885626464733</c:v>
                </c:pt>
                <c:pt idx="280">
                  <c:v>41.617811286723914</c:v>
                </c:pt>
                <c:pt idx="281">
                  <c:v>41.331604006300296</c:v>
                </c:pt>
                <c:pt idx="282">
                  <c:v>41.04295748036499</c:v>
                </c:pt>
                <c:pt idx="283">
                  <c:v>40.75155964074483</c:v>
                </c:pt>
                <c:pt idx="284">
                  <c:v>40.457098413932187</c:v>
                </c:pt>
                <c:pt idx="285">
                  <c:v>40.159261719557747</c:v>
                </c:pt>
                <c:pt idx="286">
                  <c:v>39.857737467917765</c:v>
                </c:pt>
                <c:pt idx="287">
                  <c:v>39.552213560164965</c:v>
                </c:pt>
                <c:pt idx="288">
                  <c:v>39.240679868342227</c:v>
                </c:pt>
                <c:pt idx="289">
                  <c:v>38.922102234810552</c:v>
                </c:pt>
                <c:pt idx="290">
                  <c:v>38.59762686640132</c:v>
                </c:pt>
                <c:pt idx="291">
                  <c:v>38.268396860237111</c:v>
                </c:pt>
                <c:pt idx="292">
                  <c:v>37.935555015536224</c:v>
                </c:pt>
                <c:pt idx="293">
                  <c:v>37.60024384718718</c:v>
                </c:pt>
                <c:pt idx="294">
                  <c:v>37.26360559115782</c:v>
                </c:pt>
                <c:pt idx="295">
                  <c:v>36.926772242380935</c:v>
                </c:pt>
                <c:pt idx="296">
                  <c:v>36.590880041659133</c:v>
                </c:pt>
                <c:pt idx="297">
                  <c:v>36.257070700197559</c:v>
                </c:pt>
                <c:pt idx="298">
                  <c:v>35.926485750992946</c:v>
                </c:pt>
                <c:pt idx="299">
                  <c:v>35.600266507557649</c:v>
                </c:pt>
                <c:pt idx="300">
                  <c:v>35.279554069151189</c:v>
                </c:pt>
                <c:pt idx="301">
                  <c:v>34.965489330422997</c:v>
                </c:pt>
                <c:pt idx="302">
                  <c:v>34.65635596911266</c:v>
                </c:pt>
                <c:pt idx="303">
                  <c:v>34.349661091333708</c:v>
                </c:pt>
                <c:pt idx="304">
                  <c:v>34.045398569898175</c:v>
                </c:pt>
                <c:pt idx="305">
                  <c:v>33.743567315356678</c:v>
                </c:pt>
                <c:pt idx="306">
                  <c:v>33.444166259378328</c:v>
                </c:pt>
                <c:pt idx="307">
                  <c:v>33.147194357541885</c:v>
                </c:pt>
                <c:pt idx="308">
                  <c:v>32.852650592567301</c:v>
                </c:pt>
                <c:pt idx="309">
                  <c:v>32.560538814315294</c:v>
                </c:pt>
                <c:pt idx="310">
                  <c:v>32.270866987599263</c:v>
                </c:pt>
                <c:pt idx="311">
                  <c:v>31.983633896015188</c:v>
                </c:pt>
                <c:pt idx="312">
                  <c:v>31.698838360965865</c:v>
                </c:pt>
                <c:pt idx="313">
                  <c:v>31.41647924765719</c:v>
                </c:pt>
                <c:pt idx="314">
                  <c:v>31.136555463646875</c:v>
                </c:pt>
                <c:pt idx="315">
                  <c:v>30.859065966890508</c:v>
                </c:pt>
                <c:pt idx="316">
                  <c:v>30.582884976888714</c:v>
                </c:pt>
                <c:pt idx="317">
                  <c:v>30.307248105141124</c:v>
                </c:pt>
                <c:pt idx="318">
                  <c:v>30.032687068607526</c:v>
                </c:pt>
                <c:pt idx="319">
                  <c:v>29.759719720500179</c:v>
                </c:pt>
                <c:pt idx="320">
                  <c:v>29.488863901101368</c:v>
                </c:pt>
                <c:pt idx="321">
                  <c:v>29.22063743702217</c:v>
                </c:pt>
                <c:pt idx="322">
                  <c:v>28.955558142984874</c:v>
                </c:pt>
                <c:pt idx="323">
                  <c:v>28.694148265322589</c:v>
                </c:pt>
                <c:pt idx="324">
                  <c:v>28.436921134689435</c:v>
                </c:pt>
                <c:pt idx="325">
                  <c:v>28.184394522289022</c:v>
                </c:pt>
                <c:pt idx="326">
                  <c:v>27.93708622343911</c:v>
                </c:pt>
                <c:pt idx="327">
                  <c:v>27.695513983099673</c:v>
                </c:pt>
                <c:pt idx="328">
                  <c:v>27.46019548222182</c:v>
                </c:pt>
                <c:pt idx="329">
                  <c:v>27.231648375714187</c:v>
                </c:pt>
                <c:pt idx="330">
                  <c:v>27.006170867883462</c:v>
                </c:pt>
                <c:pt idx="331">
                  <c:v>26.780613000289549</c:v>
                </c:pt>
                <c:pt idx="332">
                  <c:v>26.556309765258916</c:v>
                </c:pt>
                <c:pt idx="333">
                  <c:v>26.334609920977496</c:v>
                </c:pt>
                <c:pt idx="334">
                  <c:v>26.116861995267051</c:v>
                </c:pt>
                <c:pt idx="335">
                  <c:v>25.904414275864639</c:v>
                </c:pt>
                <c:pt idx="336">
                  <c:v>25.698614792640029</c:v>
                </c:pt>
                <c:pt idx="337">
                  <c:v>25.500808108874235</c:v>
                </c:pt>
                <c:pt idx="338">
                  <c:v>25.312337633136472</c:v>
                </c:pt>
                <c:pt idx="339">
                  <c:v>25.134550647604726</c:v>
                </c:pt>
                <c:pt idx="340">
                  <c:v>24.968794136657198</c:v>
                </c:pt>
                <c:pt idx="341">
                  <c:v>24.816414768853136</c:v>
                </c:pt>
                <c:pt idx="342">
                  <c:v>24.678758887851597</c:v>
                </c:pt>
                <c:pt idx="343">
                  <c:v>24.55717252016499</c:v>
                </c:pt>
                <c:pt idx="344">
                  <c:v>24.449260561894004</c:v>
                </c:pt>
                <c:pt idx="345">
                  <c:v>24.351844211034013</c:v>
                </c:pt>
                <c:pt idx="346">
                  <c:v>24.265093341069239</c:v>
                </c:pt>
                <c:pt idx="347">
                  <c:v>24.189178043557398</c:v>
                </c:pt>
                <c:pt idx="348">
                  <c:v>24.12426834634276</c:v>
                </c:pt>
                <c:pt idx="349">
                  <c:v>24.070534209215612</c:v>
                </c:pt>
                <c:pt idx="350">
                  <c:v>24.028145527351601</c:v>
                </c:pt>
                <c:pt idx="351">
                  <c:v>23.997269671052532</c:v>
                </c:pt>
                <c:pt idx="352">
                  <c:v>23.97807949448638</c:v>
                </c:pt>
                <c:pt idx="353">
                  <c:v>23.970744679754965</c:v>
                </c:pt>
                <c:pt idx="354">
                  <c:v>23.975434843651669</c:v>
                </c:pt>
                <c:pt idx="355">
                  <c:v>23.992319529164437</c:v>
                </c:pt>
                <c:pt idx="356">
                  <c:v>24.021568244936848</c:v>
                </c:pt>
                <c:pt idx="357">
                  <c:v>24.063350367225716</c:v>
                </c:pt>
                <c:pt idx="358">
                  <c:v>24.118728609479952</c:v>
                </c:pt>
                <c:pt idx="359">
                  <c:v>24.188273739564035</c:v>
                </c:pt>
                <c:pt idx="360">
                  <c:v>24.271414211346887</c:v>
                </c:pt>
                <c:pt idx="361">
                  <c:v>24.367584097838893</c:v>
                </c:pt>
                <c:pt idx="362">
                  <c:v>24.476215144030853</c:v>
                </c:pt>
                <c:pt idx="363">
                  <c:v>24.596739202936782</c:v>
                </c:pt>
                <c:pt idx="364">
                  <c:v>24.728588244884687</c:v>
                </c:pt>
                <c:pt idx="365">
                  <c:v>25.131681566131363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1.849</c:v>
                </c:pt>
                <c:pt idx="1">
                  <c:v>7.03</c:v>
                </c:pt>
                <c:pt idx="2">
                  <c:v>26.946000000000002</c:v>
                </c:pt>
                <c:pt idx="3">
                  <c:v>23.957999999999998</c:v>
                </c:pt>
                <c:pt idx="4">
                  <c:v>26.553000000000001</c:v>
                </c:pt>
                <c:pt idx="5">
                  <c:v>4.5309999999999997</c:v>
                </c:pt>
                <c:pt idx="6">
                  <c:v>2.6379999999999999</c:v>
                </c:pt>
                <c:pt idx="7">
                  <c:v>6.2439999999999998</c:v>
                </c:pt>
                <c:pt idx="8">
                  <c:v>8.9990000000000006</c:v>
                </c:pt>
                <c:pt idx="9">
                  <c:v>14.548999999999999</c:v>
                </c:pt>
                <c:pt idx="10">
                  <c:v>26.221</c:v>
                </c:pt>
                <c:pt idx="11">
                  <c:v>8.3339999999999996</c:v>
                </c:pt>
                <c:pt idx="12">
                  <c:v>6.1390000000000002</c:v>
                </c:pt>
                <c:pt idx="13">
                  <c:v>6.8719999999999999</c:v>
                </c:pt>
                <c:pt idx="14">
                  <c:v>28.686</c:v>
                </c:pt>
                <c:pt idx="15">
                  <c:v>29.126999999999999</c:v>
                </c:pt>
                <c:pt idx="16">
                  <c:v>9.8580000000000005</c:v>
                </c:pt>
                <c:pt idx="17">
                  <c:v>14.016</c:v>
                </c:pt>
                <c:pt idx="18">
                  <c:v>18.474</c:v>
                </c:pt>
                <c:pt idx="19">
                  <c:v>7.5510000000000002</c:v>
                </c:pt>
                <c:pt idx="20">
                  <c:v>10.912000000000001</c:v>
                </c:pt>
                <c:pt idx="21">
                  <c:v>11.167999999999999</c:v>
                </c:pt>
                <c:pt idx="22">
                  <c:v>9.4139999999999997</c:v>
                </c:pt>
                <c:pt idx="23">
                  <c:v>13.090999999999999</c:v>
                </c:pt>
                <c:pt idx="24">
                  <c:v>4.1909999999999998</c:v>
                </c:pt>
                <c:pt idx="25">
                  <c:v>15.603999999999999</c:v>
                </c:pt>
                <c:pt idx="26">
                  <c:v>14.598000000000001</c:v>
                </c:pt>
                <c:pt idx="27">
                  <c:v>12.212999999999999</c:v>
                </c:pt>
                <c:pt idx="28">
                  <c:v>5.09</c:v>
                </c:pt>
                <c:pt idx="29">
                  <c:v>8.1319999999999997</c:v>
                </c:pt>
                <c:pt idx="30">
                  <c:v>7.7859999999999996</c:v>
                </c:pt>
                <c:pt idx="31">
                  <c:v>27.178999999999998</c:v>
                </c:pt>
                <c:pt idx="32">
                  <c:v>3.153</c:v>
                </c:pt>
                <c:pt idx="33">
                  <c:v>15.349</c:v>
                </c:pt>
                <c:pt idx="34">
                  <c:v>28.56</c:v>
                </c:pt>
                <c:pt idx="35">
                  <c:v>3.99</c:v>
                </c:pt>
                <c:pt idx="36">
                  <c:v>12.644</c:v>
                </c:pt>
                <c:pt idx="37">
                  <c:v>6.0129999999999999</c:v>
                </c:pt>
                <c:pt idx="38">
                  <c:v>30.428000000000001</c:v>
                </c:pt>
                <c:pt idx="39">
                  <c:v>30.298999999999999</c:v>
                </c:pt>
                <c:pt idx="40">
                  <c:v>8.3339999999999996</c:v>
                </c:pt>
                <c:pt idx="41">
                  <c:v>23.879000000000001</c:v>
                </c:pt>
                <c:pt idx="42">
                  <c:v>38.097000000000001</c:v>
                </c:pt>
                <c:pt idx="43">
                  <c:v>39.582999999999998</c:v>
                </c:pt>
                <c:pt idx="44">
                  <c:v>39.817</c:v>
                </c:pt>
                <c:pt idx="45">
                  <c:v>39.905999999999999</c:v>
                </c:pt>
                <c:pt idx="46">
                  <c:v>40.369999999999997</c:v>
                </c:pt>
                <c:pt idx="47">
                  <c:v>41.027000000000001</c:v>
                </c:pt>
                <c:pt idx="48">
                  <c:v>40.298000000000002</c:v>
                </c:pt>
                <c:pt idx="49">
                  <c:v>29.169</c:v>
                </c:pt>
                <c:pt idx="50">
                  <c:v>40.15</c:v>
                </c:pt>
                <c:pt idx="51">
                  <c:v>38.462000000000003</c:v>
                </c:pt>
                <c:pt idx="52">
                  <c:v>39.709000000000003</c:v>
                </c:pt>
                <c:pt idx="53">
                  <c:v>40.545999999999999</c:v>
                </c:pt>
                <c:pt idx="54">
                  <c:v>40.715000000000003</c:v>
                </c:pt>
                <c:pt idx="55">
                  <c:v>41.631999999999998</c:v>
                </c:pt>
                <c:pt idx="56">
                  <c:v>38.71</c:v>
                </c:pt>
                <c:pt idx="57">
                  <c:v>42.377000000000002</c:v>
                </c:pt>
                <c:pt idx="58">
                  <c:v>35.146000000000001</c:v>
                </c:pt>
                <c:pt idx="59">
                  <c:v>14.827</c:v>
                </c:pt>
                <c:pt idx="60">
                  <c:v>22.048999999999999</c:v>
                </c:pt>
                <c:pt idx="61">
                  <c:v>37.594999999999999</c:v>
                </c:pt>
                <c:pt idx="62">
                  <c:v>9.2490000000000006</c:v>
                </c:pt>
                <c:pt idx="63">
                  <c:v>44.231000000000002</c:v>
                </c:pt>
                <c:pt idx="64">
                  <c:v>24.129000000000001</c:v>
                </c:pt>
                <c:pt idx="65">
                  <c:v>40.97</c:v>
                </c:pt>
                <c:pt idx="66">
                  <c:v>26.864999999999998</c:v>
                </c:pt>
                <c:pt idx="67">
                  <c:v>21.917000000000002</c:v>
                </c:pt>
                <c:pt idx="68">
                  <c:v>17.452999999999999</c:v>
                </c:pt>
                <c:pt idx="69">
                  <c:v>34.662999999999997</c:v>
                </c:pt>
                <c:pt idx="70">
                  <c:v>41.234000000000002</c:v>
                </c:pt>
                <c:pt idx="71">
                  <c:v>22.452999999999999</c:v>
                </c:pt>
                <c:pt idx="72">
                  <c:v>24.1</c:v>
                </c:pt>
                <c:pt idx="73">
                  <c:v>13.311999999999999</c:v>
                </c:pt>
                <c:pt idx="74">
                  <c:v>47.84</c:v>
                </c:pt>
                <c:pt idx="75">
                  <c:v>15.983000000000001</c:v>
                </c:pt>
                <c:pt idx="76">
                  <c:v>31.166</c:v>
                </c:pt>
                <c:pt idx="77">
                  <c:v>15.8</c:v>
                </c:pt>
                <c:pt idx="78">
                  <c:v>50.872</c:v>
                </c:pt>
                <c:pt idx="79">
                  <c:v>50.087000000000003</c:v>
                </c:pt>
                <c:pt idx="80">
                  <c:v>49.317</c:v>
                </c:pt>
                <c:pt idx="81">
                  <c:v>46.487000000000002</c:v>
                </c:pt>
                <c:pt idx="82">
                  <c:v>49.712000000000003</c:v>
                </c:pt>
                <c:pt idx="83">
                  <c:v>42.124000000000002</c:v>
                </c:pt>
                <c:pt idx="84">
                  <c:v>52.8</c:v>
                </c:pt>
                <c:pt idx="85">
                  <c:v>52.261000000000003</c:v>
                </c:pt>
                <c:pt idx="86">
                  <c:v>51.308999999999997</c:v>
                </c:pt>
                <c:pt idx="87">
                  <c:v>52.241</c:v>
                </c:pt>
                <c:pt idx="88">
                  <c:v>53.183</c:v>
                </c:pt>
                <c:pt idx="89">
                  <c:v>44.935000000000002</c:v>
                </c:pt>
                <c:pt idx="90">
                  <c:v>46.38</c:v>
                </c:pt>
                <c:pt idx="91">
                  <c:v>16.876000000000001</c:v>
                </c:pt>
                <c:pt idx="92">
                  <c:v>17.195</c:v>
                </c:pt>
                <c:pt idx="93">
                  <c:v>40.996000000000002</c:v>
                </c:pt>
                <c:pt idx="94">
                  <c:v>50.097999999999999</c:v>
                </c:pt>
                <c:pt idx="95">
                  <c:v>22.684000000000001</c:v>
                </c:pt>
                <c:pt idx="96">
                  <c:v>34.360999999999997</c:v>
                </c:pt>
                <c:pt idx="97">
                  <c:v>34.456000000000003</c:v>
                </c:pt>
                <c:pt idx="98">
                  <c:v>46.523000000000003</c:v>
                </c:pt>
                <c:pt idx="99">
                  <c:v>28.818000000000001</c:v>
                </c:pt>
                <c:pt idx="100">
                  <c:v>8.67</c:v>
                </c:pt>
                <c:pt idx="101">
                  <c:v>55.639000000000003</c:v>
                </c:pt>
                <c:pt idx="102">
                  <c:v>56.746000000000002</c:v>
                </c:pt>
                <c:pt idx="103">
                  <c:v>26.436</c:v>
                </c:pt>
                <c:pt idx="104">
                  <c:v>37.628999999999998</c:v>
                </c:pt>
                <c:pt idx="105">
                  <c:v>34.084000000000003</c:v>
                </c:pt>
                <c:pt idx="106">
                  <c:v>32.942999999999998</c:v>
                </c:pt>
                <c:pt idx="107">
                  <c:v>25.507999999999999</c:v>
                </c:pt>
                <c:pt idx="108">
                  <c:v>50.87</c:v>
                </c:pt>
                <c:pt idx="109">
                  <c:v>49.064999999999998</c:v>
                </c:pt>
                <c:pt idx="110">
                  <c:v>19.044</c:v>
                </c:pt>
                <c:pt idx="111">
                  <c:v>33.020000000000003</c:v>
                </c:pt>
                <c:pt idx="112">
                  <c:v>37.881</c:v>
                </c:pt>
                <c:pt idx="113">
                  <c:v>52.543999999999997</c:v>
                </c:pt>
                <c:pt idx="114">
                  <c:v>35.622999999999998</c:v>
                </c:pt>
                <c:pt idx="115">
                  <c:v>33.219000000000001</c:v>
                </c:pt>
                <c:pt idx="116">
                  <c:v>31.738</c:v>
                </c:pt>
                <c:pt idx="117">
                  <c:v>44.973999999999997</c:v>
                </c:pt>
                <c:pt idx="118">
                  <c:v>51.866</c:v>
                </c:pt>
                <c:pt idx="119">
                  <c:v>58.558999999999997</c:v>
                </c:pt>
                <c:pt idx="120">
                  <c:v>55.308</c:v>
                </c:pt>
                <c:pt idx="121">
                  <c:v>35.622</c:v>
                </c:pt>
                <c:pt idx="122">
                  <c:v>20.824000000000002</c:v>
                </c:pt>
                <c:pt idx="123">
                  <c:v>31.356000000000002</c:v>
                </c:pt>
                <c:pt idx="124">
                  <c:v>44.24</c:v>
                </c:pt>
                <c:pt idx="125">
                  <c:v>61.08</c:v>
                </c:pt>
                <c:pt idx="126">
                  <c:v>46.38</c:v>
                </c:pt>
                <c:pt idx="127">
                  <c:v>31.998999999999999</c:v>
                </c:pt>
                <c:pt idx="128">
                  <c:v>49.420999999999999</c:v>
                </c:pt>
                <c:pt idx="129">
                  <c:v>40.341000000000001</c:v>
                </c:pt>
                <c:pt idx="130">
                  <c:v>37.866999999999997</c:v>
                </c:pt>
                <c:pt idx="131">
                  <c:v>53.878999999999998</c:v>
                </c:pt>
                <c:pt idx="132">
                  <c:v>60.631</c:v>
                </c:pt>
                <c:pt idx="133">
                  <c:v>59.686999999999998</c:v>
                </c:pt>
                <c:pt idx="134">
                  <c:v>60.054000000000002</c:v>
                </c:pt>
                <c:pt idx="135">
                  <c:v>51.271000000000001</c:v>
                </c:pt>
                <c:pt idx="136">
                  <c:v>6.5220000000000002</c:v>
                </c:pt>
                <c:pt idx="137">
                  <c:v>37.152999999999999</c:v>
                </c:pt>
                <c:pt idx="138">
                  <c:v>26.378</c:v>
                </c:pt>
                <c:pt idx="139">
                  <c:v>53.805999999999997</c:v>
                </c:pt>
                <c:pt idx="140">
                  <c:v>44.146999999999998</c:v>
                </c:pt>
                <c:pt idx="141">
                  <c:v>58.106000000000002</c:v>
                </c:pt>
                <c:pt idx="142">
                  <c:v>51.39</c:v>
                </c:pt>
                <c:pt idx="143">
                  <c:v>11.535</c:v>
                </c:pt>
                <c:pt idx="144">
                  <c:v>30.920999999999999</c:v>
                </c:pt>
                <c:pt idx="145">
                  <c:v>24.114999999999998</c:v>
                </c:pt>
                <c:pt idx="146">
                  <c:v>31.844999999999999</c:v>
                </c:pt>
                <c:pt idx="147">
                  <c:v>26.547999999999998</c:v>
                </c:pt>
                <c:pt idx="148">
                  <c:v>37.590000000000003</c:v>
                </c:pt>
                <c:pt idx="149">
                  <c:v>57.402999999999999</c:v>
                </c:pt>
                <c:pt idx="150">
                  <c:v>58.332999999999998</c:v>
                </c:pt>
                <c:pt idx="151">
                  <c:v>59.13</c:v>
                </c:pt>
                <c:pt idx="152">
                  <c:v>58.582000000000001</c:v>
                </c:pt>
                <c:pt idx="153">
                  <c:v>43.506</c:v>
                </c:pt>
                <c:pt idx="154">
                  <c:v>54.871000000000002</c:v>
                </c:pt>
                <c:pt idx="155">
                  <c:v>10.288</c:v>
                </c:pt>
                <c:pt idx="156">
                  <c:v>56.466999999999999</c:v>
                </c:pt>
                <c:pt idx="157">
                  <c:v>19.942</c:v>
                </c:pt>
                <c:pt idx="158">
                  <c:v>59.862000000000002</c:v>
                </c:pt>
                <c:pt idx="159">
                  <c:v>50.18</c:v>
                </c:pt>
                <c:pt idx="160">
                  <c:v>23.998000000000001</c:v>
                </c:pt>
                <c:pt idx="161">
                  <c:v>29.811</c:v>
                </c:pt>
                <c:pt idx="162">
                  <c:v>55.451999999999998</c:v>
                </c:pt>
                <c:pt idx="163">
                  <c:v>59.107999999999997</c:v>
                </c:pt>
                <c:pt idx="164">
                  <c:v>25.603999999999999</c:v>
                </c:pt>
                <c:pt idx="165">
                  <c:v>19.28</c:v>
                </c:pt>
                <c:pt idx="166">
                  <c:v>58.531999999999996</c:v>
                </c:pt>
                <c:pt idx="167">
                  <c:v>57.701000000000001</c:v>
                </c:pt>
                <c:pt idx="168">
                  <c:v>55.93</c:v>
                </c:pt>
                <c:pt idx="169">
                  <c:v>47.420999999999999</c:v>
                </c:pt>
                <c:pt idx="170">
                  <c:v>24.768999999999998</c:v>
                </c:pt>
                <c:pt idx="171">
                  <c:v>9.3179999999999996</c:v>
                </c:pt>
                <c:pt idx="172">
                  <c:v>51.646999999999998</c:v>
                </c:pt>
                <c:pt idx="173">
                  <c:v>51.613999999999997</c:v>
                </c:pt>
                <c:pt idx="174">
                  <c:v>37.917000000000002</c:v>
                </c:pt>
                <c:pt idx="175">
                  <c:v>50.197000000000003</c:v>
                </c:pt>
                <c:pt idx="176">
                  <c:v>55.725000000000001</c:v>
                </c:pt>
                <c:pt idx="177">
                  <c:v>55.637999999999998</c:v>
                </c:pt>
                <c:pt idx="178">
                  <c:v>54.341999999999999</c:v>
                </c:pt>
                <c:pt idx="179">
                  <c:v>53.505000000000003</c:v>
                </c:pt>
                <c:pt idx="180">
                  <c:v>50.33</c:v>
                </c:pt>
                <c:pt idx="181">
                  <c:v>17.567</c:v>
                </c:pt>
                <c:pt idx="182">
                  <c:v>28.048999999999999</c:v>
                </c:pt>
                <c:pt idx="183">
                  <c:v>48.776000000000003</c:v>
                </c:pt>
                <c:pt idx="184">
                  <c:v>34.527999999999999</c:v>
                </c:pt>
                <c:pt idx="185">
                  <c:v>52.83</c:v>
                </c:pt>
                <c:pt idx="186">
                  <c:v>53.051000000000002</c:v>
                </c:pt>
                <c:pt idx="187">
                  <c:v>48.427</c:v>
                </c:pt>
                <c:pt idx="188">
                  <c:v>32.264000000000003</c:v>
                </c:pt>
                <c:pt idx="189">
                  <c:v>23.283000000000001</c:v>
                </c:pt>
                <c:pt idx="190">
                  <c:v>55.597000000000001</c:v>
                </c:pt>
                <c:pt idx="191">
                  <c:v>56.235999999999997</c:v>
                </c:pt>
                <c:pt idx="192">
                  <c:v>57.253</c:v>
                </c:pt>
                <c:pt idx="193">
                  <c:v>50.103000000000002</c:v>
                </c:pt>
                <c:pt idx="194">
                  <c:v>56.399000000000001</c:v>
                </c:pt>
                <c:pt idx="195">
                  <c:v>57.609000000000002</c:v>
                </c:pt>
                <c:pt idx="196">
                  <c:v>56.651000000000003</c:v>
                </c:pt>
                <c:pt idx="197">
                  <c:v>50.298999999999999</c:v>
                </c:pt>
                <c:pt idx="198">
                  <c:v>37.850999999999999</c:v>
                </c:pt>
                <c:pt idx="199">
                  <c:v>55.38</c:v>
                </c:pt>
                <c:pt idx="200">
                  <c:v>25.585999999999999</c:v>
                </c:pt>
                <c:pt idx="201">
                  <c:v>44.029000000000003</c:v>
                </c:pt>
                <c:pt idx="202">
                  <c:v>48.720999999999997</c:v>
                </c:pt>
                <c:pt idx="203">
                  <c:v>53.264000000000003</c:v>
                </c:pt>
                <c:pt idx="204">
                  <c:v>53.362000000000002</c:v>
                </c:pt>
                <c:pt idx="205">
                  <c:v>53.381</c:v>
                </c:pt>
                <c:pt idx="206">
                  <c:v>23.998999999999999</c:v>
                </c:pt>
                <c:pt idx="207">
                  <c:v>11.595000000000001</c:v>
                </c:pt>
                <c:pt idx="208">
                  <c:v>56.305999999999997</c:v>
                </c:pt>
                <c:pt idx="209">
                  <c:v>55.826000000000001</c:v>
                </c:pt>
                <c:pt idx="210">
                  <c:v>25.939</c:v>
                </c:pt>
                <c:pt idx="211">
                  <c:v>52.314999999999998</c:v>
                </c:pt>
                <c:pt idx="212">
                  <c:v>47.887999999999998</c:v>
                </c:pt>
                <c:pt idx="213">
                  <c:v>53.392000000000003</c:v>
                </c:pt>
                <c:pt idx="214">
                  <c:v>54.072000000000003</c:v>
                </c:pt>
                <c:pt idx="215">
                  <c:v>50.554000000000002</c:v>
                </c:pt>
                <c:pt idx="216">
                  <c:v>51.078000000000003</c:v>
                </c:pt>
                <c:pt idx="217">
                  <c:v>39.893999999999998</c:v>
                </c:pt>
                <c:pt idx="218">
                  <c:v>43.158000000000001</c:v>
                </c:pt>
                <c:pt idx="219">
                  <c:v>52.095999999999997</c:v>
                </c:pt>
                <c:pt idx="220">
                  <c:v>49.55</c:v>
                </c:pt>
                <c:pt idx="221">
                  <c:v>38.878</c:v>
                </c:pt>
                <c:pt idx="222">
                  <c:v>25.853999999999999</c:v>
                </c:pt>
                <c:pt idx="223">
                  <c:v>28.734000000000002</c:v>
                </c:pt>
                <c:pt idx="224">
                  <c:v>49.418999999999997</c:v>
                </c:pt>
                <c:pt idx="225">
                  <c:v>54.104999999999997</c:v>
                </c:pt>
                <c:pt idx="226">
                  <c:v>26.280999999999999</c:v>
                </c:pt>
                <c:pt idx="227">
                  <c:v>53.554000000000002</c:v>
                </c:pt>
                <c:pt idx="228">
                  <c:v>52.149000000000001</c:v>
                </c:pt>
                <c:pt idx="229">
                  <c:v>37.921999999999997</c:v>
                </c:pt>
                <c:pt idx="230">
                  <c:v>33.844999999999999</c:v>
                </c:pt>
                <c:pt idx="231">
                  <c:v>31.053000000000001</c:v>
                </c:pt>
                <c:pt idx="232">
                  <c:v>48.683999999999997</c:v>
                </c:pt>
                <c:pt idx="233">
                  <c:v>53.866999999999997</c:v>
                </c:pt>
                <c:pt idx="234">
                  <c:v>51.341000000000001</c:v>
                </c:pt>
                <c:pt idx="235">
                  <c:v>51.593000000000004</c:v>
                </c:pt>
                <c:pt idx="236">
                  <c:v>44.963999999999999</c:v>
                </c:pt>
                <c:pt idx="237">
                  <c:v>42.752000000000002</c:v>
                </c:pt>
                <c:pt idx="238">
                  <c:v>34.905000000000001</c:v>
                </c:pt>
                <c:pt idx="239">
                  <c:v>40.564999999999998</c:v>
                </c:pt>
                <c:pt idx="240">
                  <c:v>48.433999999999997</c:v>
                </c:pt>
                <c:pt idx="241">
                  <c:v>48.465000000000003</c:v>
                </c:pt>
                <c:pt idx="242">
                  <c:v>46.420999999999999</c:v>
                </c:pt>
                <c:pt idx="243">
                  <c:v>15.823</c:v>
                </c:pt>
                <c:pt idx="244">
                  <c:v>48.841000000000001</c:v>
                </c:pt>
                <c:pt idx="245">
                  <c:v>51.350999999999999</c:v>
                </c:pt>
                <c:pt idx="246">
                  <c:v>51.012999999999998</c:v>
                </c:pt>
                <c:pt idx="247">
                  <c:v>40.098999999999997</c:v>
                </c:pt>
                <c:pt idx="248">
                  <c:v>51.978000000000002</c:v>
                </c:pt>
                <c:pt idx="249">
                  <c:v>50.819000000000003</c:v>
                </c:pt>
                <c:pt idx="250">
                  <c:v>43.944000000000003</c:v>
                </c:pt>
                <c:pt idx="251">
                  <c:v>39.768000000000001</c:v>
                </c:pt>
                <c:pt idx="252">
                  <c:v>13.036</c:v>
                </c:pt>
                <c:pt idx="253">
                  <c:v>40.594999999999999</c:v>
                </c:pt>
                <c:pt idx="254">
                  <c:v>48.93</c:v>
                </c:pt>
                <c:pt idx="255">
                  <c:v>37.408000000000001</c:v>
                </c:pt>
                <c:pt idx="256">
                  <c:v>42.021999999999998</c:v>
                </c:pt>
                <c:pt idx="257">
                  <c:v>42.24</c:v>
                </c:pt>
                <c:pt idx="258">
                  <c:v>42.768999999999998</c:v>
                </c:pt>
                <c:pt idx="259">
                  <c:v>41.546999999999997</c:v>
                </c:pt>
                <c:pt idx="260">
                  <c:v>26.718</c:v>
                </c:pt>
                <c:pt idx="261">
                  <c:v>41.488999999999997</c:v>
                </c:pt>
                <c:pt idx="262">
                  <c:v>46.228000000000002</c:v>
                </c:pt>
                <c:pt idx="263">
                  <c:v>33.933999999999997</c:v>
                </c:pt>
                <c:pt idx="264">
                  <c:v>11.356999999999999</c:v>
                </c:pt>
                <c:pt idx="265">
                  <c:v>40.807000000000002</c:v>
                </c:pt>
                <c:pt idx="266">
                  <c:v>29.446000000000002</c:v>
                </c:pt>
                <c:pt idx="267">
                  <c:v>28.864000000000001</c:v>
                </c:pt>
                <c:pt idx="268">
                  <c:v>32.799999999999997</c:v>
                </c:pt>
                <c:pt idx="269">
                  <c:v>35.206000000000003</c:v>
                </c:pt>
                <c:pt idx="270">
                  <c:v>30.492000000000001</c:v>
                </c:pt>
                <c:pt idx="271">
                  <c:v>43.341000000000001</c:v>
                </c:pt>
                <c:pt idx="272">
                  <c:v>26.282</c:v>
                </c:pt>
                <c:pt idx="273">
                  <c:v>33.069000000000003</c:v>
                </c:pt>
                <c:pt idx="274">
                  <c:v>26.341000000000001</c:v>
                </c:pt>
                <c:pt idx="275">
                  <c:v>36.883000000000003</c:v>
                </c:pt>
                <c:pt idx="276">
                  <c:v>10.762</c:v>
                </c:pt>
                <c:pt idx="277">
                  <c:v>36.978000000000002</c:v>
                </c:pt>
                <c:pt idx="278">
                  <c:v>18.484000000000002</c:v>
                </c:pt>
                <c:pt idx="279">
                  <c:v>32.152000000000001</c:v>
                </c:pt>
                <c:pt idx="280">
                  <c:v>38.999000000000002</c:v>
                </c:pt>
                <c:pt idx="281">
                  <c:v>8.8339999999999996</c:v>
                </c:pt>
                <c:pt idx="282">
                  <c:v>29.702000000000002</c:v>
                </c:pt>
                <c:pt idx="283">
                  <c:v>41.393999999999998</c:v>
                </c:pt>
                <c:pt idx="284">
                  <c:v>16.760000000000002</c:v>
                </c:pt>
                <c:pt idx="285">
                  <c:v>36.317</c:v>
                </c:pt>
                <c:pt idx="286">
                  <c:v>11.412000000000001</c:v>
                </c:pt>
                <c:pt idx="287">
                  <c:v>32.372</c:v>
                </c:pt>
                <c:pt idx="288">
                  <c:v>34.963999999999999</c:v>
                </c:pt>
                <c:pt idx="289">
                  <c:v>19.018000000000001</c:v>
                </c:pt>
                <c:pt idx="290">
                  <c:v>14.433</c:v>
                </c:pt>
                <c:pt idx="291">
                  <c:v>29.971</c:v>
                </c:pt>
                <c:pt idx="292">
                  <c:v>11.599</c:v>
                </c:pt>
                <c:pt idx="293">
                  <c:v>23.652999999999999</c:v>
                </c:pt>
                <c:pt idx="294">
                  <c:v>3.798</c:v>
                </c:pt>
                <c:pt idx="295">
                  <c:v>19.158999999999999</c:v>
                </c:pt>
                <c:pt idx="296">
                  <c:v>18.981999999999999</c:v>
                </c:pt>
                <c:pt idx="297">
                  <c:v>30.036000000000001</c:v>
                </c:pt>
                <c:pt idx="298">
                  <c:v>36.207999999999998</c:v>
                </c:pt>
                <c:pt idx="299">
                  <c:v>25.074000000000002</c:v>
                </c:pt>
                <c:pt idx="300">
                  <c:v>10.266</c:v>
                </c:pt>
                <c:pt idx="301">
                  <c:v>29.138000000000002</c:v>
                </c:pt>
                <c:pt idx="302">
                  <c:v>22.527999999999999</c:v>
                </c:pt>
                <c:pt idx="303">
                  <c:v>19.452999999999999</c:v>
                </c:pt>
                <c:pt idx="304">
                  <c:v>7.4089999999999998</c:v>
                </c:pt>
                <c:pt idx="305">
                  <c:v>5.2389999999999999</c:v>
                </c:pt>
                <c:pt idx="306">
                  <c:v>14.23</c:v>
                </c:pt>
                <c:pt idx="307">
                  <c:v>13.757</c:v>
                </c:pt>
                <c:pt idx="308">
                  <c:v>13.172000000000001</c:v>
                </c:pt>
                <c:pt idx="309">
                  <c:v>14.378</c:v>
                </c:pt>
                <c:pt idx="310">
                  <c:v>4.2039999999999997</c:v>
                </c:pt>
                <c:pt idx="311">
                  <c:v>16.135999999999999</c:v>
                </c:pt>
                <c:pt idx="312">
                  <c:v>19.928000000000001</c:v>
                </c:pt>
                <c:pt idx="313">
                  <c:v>21.117999999999999</c:v>
                </c:pt>
                <c:pt idx="314">
                  <c:v>24.98</c:v>
                </c:pt>
                <c:pt idx="315">
                  <c:v>17.945</c:v>
                </c:pt>
                <c:pt idx="316">
                  <c:v>20.856999999999999</c:v>
                </c:pt>
                <c:pt idx="317">
                  <c:v>5.3979999999999997</c:v>
                </c:pt>
                <c:pt idx="318">
                  <c:v>16.585000000000001</c:v>
                </c:pt>
                <c:pt idx="319">
                  <c:v>17.052</c:v>
                </c:pt>
                <c:pt idx="320">
                  <c:v>9.298</c:v>
                </c:pt>
                <c:pt idx="321">
                  <c:v>10.358000000000001</c:v>
                </c:pt>
                <c:pt idx="322">
                  <c:v>18.384</c:v>
                </c:pt>
                <c:pt idx="323">
                  <c:v>29.456</c:v>
                </c:pt>
                <c:pt idx="324">
                  <c:v>28.007000000000001</c:v>
                </c:pt>
                <c:pt idx="325">
                  <c:v>11.362</c:v>
                </c:pt>
                <c:pt idx="326">
                  <c:v>6.2329999999999997</c:v>
                </c:pt>
                <c:pt idx="327">
                  <c:v>11.571</c:v>
                </c:pt>
                <c:pt idx="328">
                  <c:v>12.205</c:v>
                </c:pt>
                <c:pt idx="329">
                  <c:v>21.004999999999999</c:v>
                </c:pt>
                <c:pt idx="330">
                  <c:v>19.971</c:v>
                </c:pt>
                <c:pt idx="331">
                  <c:v>9.4770000000000003</c:v>
                </c:pt>
                <c:pt idx="332">
                  <c:v>17.581</c:v>
                </c:pt>
                <c:pt idx="333">
                  <c:v>13.851000000000001</c:v>
                </c:pt>
                <c:pt idx="334">
                  <c:v>7.9370000000000003</c:v>
                </c:pt>
                <c:pt idx="335">
                  <c:v>3.4670000000000001</c:v>
                </c:pt>
                <c:pt idx="336">
                  <c:v>3.7970000000000002</c:v>
                </c:pt>
                <c:pt idx="337">
                  <c:v>6.5289999999999999</c:v>
                </c:pt>
                <c:pt idx="338">
                  <c:v>9.2750000000000004</c:v>
                </c:pt>
                <c:pt idx="339">
                  <c:v>13.345000000000001</c:v>
                </c:pt>
                <c:pt idx="340">
                  <c:v>15.173</c:v>
                </c:pt>
                <c:pt idx="341">
                  <c:v>17.768000000000001</c:v>
                </c:pt>
                <c:pt idx="342">
                  <c:v>9.8309999999999995</c:v>
                </c:pt>
                <c:pt idx="343">
                  <c:v>21.623000000000001</c:v>
                </c:pt>
                <c:pt idx="344">
                  <c:v>1.6930000000000001</c:v>
                </c:pt>
                <c:pt idx="345">
                  <c:v>6.1420000000000003</c:v>
                </c:pt>
                <c:pt idx="346">
                  <c:v>1.835</c:v>
                </c:pt>
                <c:pt idx="347">
                  <c:v>16.347999999999999</c:v>
                </c:pt>
                <c:pt idx="348">
                  <c:v>24.372</c:v>
                </c:pt>
                <c:pt idx="349">
                  <c:v>13.785</c:v>
                </c:pt>
                <c:pt idx="350">
                  <c:v>11.996</c:v>
                </c:pt>
                <c:pt idx="351">
                  <c:v>18.087</c:v>
                </c:pt>
                <c:pt idx="352">
                  <c:v>11.414999999999999</c:v>
                </c:pt>
                <c:pt idx="353">
                  <c:v>7.1879999999999997</c:v>
                </c:pt>
                <c:pt idx="354">
                  <c:v>20.715</c:v>
                </c:pt>
                <c:pt idx="355">
                  <c:v>6.97</c:v>
                </c:pt>
                <c:pt idx="356">
                  <c:v>8.4120000000000008</c:v>
                </c:pt>
                <c:pt idx="357">
                  <c:v>15.746</c:v>
                </c:pt>
                <c:pt idx="358">
                  <c:v>10.291</c:v>
                </c:pt>
                <c:pt idx="359">
                  <c:v>7.0049999999999999</c:v>
                </c:pt>
                <c:pt idx="360">
                  <c:v>20.581</c:v>
                </c:pt>
                <c:pt idx="361">
                  <c:v>3.2189999999999999</c:v>
                </c:pt>
                <c:pt idx="362">
                  <c:v>23.733000000000001</c:v>
                </c:pt>
                <c:pt idx="363">
                  <c:v>24.814</c:v>
                </c:pt>
                <c:pt idx="364">
                  <c:v>18.326000000000001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72168"/>
        <c:axId val="591172560"/>
      </c:lineChart>
      <c:dateAx>
        <c:axId val="591172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2560"/>
        <c:crosses val="autoZero"/>
        <c:auto val="1"/>
        <c:lblOffset val="100"/>
        <c:baseTimeUnit val="days"/>
        <c:majorUnit val="1"/>
        <c:majorTimeUnit val="months"/>
      </c:dateAx>
      <c:valAx>
        <c:axId val="5911725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21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1.2644903266172736E-2</c:v>
                </c:pt>
                <c:pt idx="1">
                  <c:v>1.2666528876771221E-2</c:v>
                </c:pt>
                <c:pt idx="2">
                  <c:v>1.2688154013713371E-2</c:v>
                </c:pt>
                <c:pt idx="3">
                  <c:v>1.270977867700962E-2</c:v>
                </c:pt>
                <c:pt idx="4">
                  <c:v>1.2731402866670072E-2</c:v>
                </c:pt>
                <c:pt idx="5">
                  <c:v>1.2753026582705385E-2</c:v>
                </c:pt>
                <c:pt idx="6">
                  <c:v>1.2774649825125772E-2</c:v>
                </c:pt>
                <c:pt idx="7">
                  <c:v>1.2796272593941671E-2</c:v>
                </c:pt>
                <c:pt idx="8">
                  <c:v>1.2817894889163517E-2</c:v>
                </c:pt>
                <c:pt idx="9">
                  <c:v>1.2839516710801524E-2</c:v>
                </c:pt>
                <c:pt idx="10">
                  <c:v>1.2861138058866128E-2</c:v>
                </c:pt>
                <c:pt idx="11">
                  <c:v>1.2882758933367766E-2</c:v>
                </c:pt>
                <c:pt idx="12">
                  <c:v>1.2904379334316651E-2</c:v>
                </c:pt>
                <c:pt idx="13">
                  <c:v>1.2925999261723442E-2</c:v>
                </c:pt>
                <c:pt idx="14">
                  <c:v>1.2947618715598241E-2</c:v>
                </c:pt>
                <c:pt idx="15">
                  <c:v>1.2969237695951485E-2</c:v>
                </c:pt>
                <c:pt idx="16">
                  <c:v>1.299085620279361E-2</c:v>
                </c:pt>
                <c:pt idx="17">
                  <c:v>1.3012474236134941E-2</c:v>
                </c:pt>
                <c:pt idx="18">
                  <c:v>1.3034091795985914E-2</c:v>
                </c:pt>
                <c:pt idx="19">
                  <c:v>1.3055708882356853E-2</c:v>
                </c:pt>
                <c:pt idx="20">
                  <c:v>1.3077325495258085E-2</c:v>
                </c:pt>
                <c:pt idx="21">
                  <c:v>1.3098941634700045E-2</c:v>
                </c:pt>
                <c:pt idx="22">
                  <c:v>1.3120557300692948E-2</c:v>
                </c:pt>
                <c:pt idx="23">
                  <c:v>1.314217249324745E-2</c:v>
                </c:pt>
                <c:pt idx="24">
                  <c:v>1.3163787212373657E-2</c:v>
                </c:pt>
                <c:pt idx="25">
                  <c:v>1.3185401458082113E-2</c:v>
                </c:pt>
                <c:pt idx="26">
                  <c:v>1.3207015230383035E-2</c:v>
                </c:pt>
                <c:pt idx="27">
                  <c:v>1.3228628529286968E-2</c:v>
                </c:pt>
                <c:pt idx="28">
                  <c:v>1.3250241354804126E-2</c:v>
                </c:pt>
                <c:pt idx="29">
                  <c:v>1.3271853706944947E-2</c:v>
                </c:pt>
                <c:pt idx="30">
                  <c:v>1.3293465585719866E-2</c:v>
                </c:pt>
                <c:pt idx="31">
                  <c:v>1.3315076991139096E-2</c:v>
                </c:pt>
                <c:pt idx="32">
                  <c:v>1.3336687923213075E-2</c:v>
                </c:pt>
                <c:pt idx="33">
                  <c:v>1.3358298381952127E-2</c:v>
                </c:pt>
                <c:pt idx="34">
                  <c:v>1.33799083673668E-2</c:v>
                </c:pt>
                <c:pt idx="35">
                  <c:v>1.3401517879467306E-2</c:v>
                </c:pt>
                <c:pt idx="36">
                  <c:v>1.3423126918263972E-2</c:v>
                </c:pt>
                <c:pt idx="37">
                  <c:v>1.3444735483767234E-2</c:v>
                </c:pt>
                <c:pt idx="38">
                  <c:v>1.3466343575987527E-2</c:v>
                </c:pt>
                <c:pt idx="39">
                  <c:v>1.3487951194935066E-2</c:v>
                </c:pt>
                <c:pt idx="40">
                  <c:v>1.3509558340620287E-2</c:v>
                </c:pt>
                <c:pt idx="41">
                  <c:v>1.3531165013053625E-2</c:v>
                </c:pt>
                <c:pt idx="42">
                  <c:v>1.3552771212245407E-2</c:v>
                </c:pt>
                <c:pt idx="43">
                  <c:v>1.3574376938205956E-2</c:v>
                </c:pt>
                <c:pt idx="44">
                  <c:v>1.3595982190945599E-2</c:v>
                </c:pt>
                <c:pt idx="45">
                  <c:v>1.3617586970474771E-2</c:v>
                </c:pt>
                <c:pt idx="46">
                  <c:v>1.3639191276803908E-2</c:v>
                </c:pt>
                <c:pt idx="47">
                  <c:v>1.3660795109943225E-2</c:v>
                </c:pt>
                <c:pt idx="48">
                  <c:v>1.3682398469903156E-2</c:v>
                </c:pt>
                <c:pt idx="49">
                  <c:v>1.3704001356694029E-2</c:v>
                </c:pt>
                <c:pt idx="50">
                  <c:v>1.3725603770326278E-2</c:v>
                </c:pt>
                <c:pt idx="51">
                  <c:v>1.3747205710810229E-2</c:v>
                </c:pt>
                <c:pt idx="52">
                  <c:v>1.3768807178156206E-2</c:v>
                </c:pt>
                <c:pt idx="53">
                  <c:v>1.3790408172374646E-2</c:v>
                </c:pt>
                <c:pt idx="54">
                  <c:v>1.3812008693475875E-2</c:v>
                </c:pt>
                <c:pt idx="55">
                  <c:v>1.3833608741470216E-2</c:v>
                </c:pt>
                <c:pt idx="56">
                  <c:v>1.3855208316368106E-2</c:v>
                </c:pt>
                <c:pt idx="57">
                  <c:v>1.3876807418179871E-2</c:v>
                </c:pt>
                <c:pt idx="58">
                  <c:v>1.3898406046915945E-2</c:v>
                </c:pt>
                <c:pt idx="59">
                  <c:v>1.3920004202586544E-2</c:v>
                </c:pt>
                <c:pt idx="60">
                  <c:v>1.3941601885202104E-2</c:v>
                </c:pt>
                <c:pt idx="61">
                  <c:v>1.3963199094772949E-2</c:v>
                </c:pt>
                <c:pt idx="62">
                  <c:v>1.3984795831309516E-2</c:v>
                </c:pt>
                <c:pt idx="63">
                  <c:v>1.4006392094822129E-2</c:v>
                </c:pt>
                <c:pt idx="64">
                  <c:v>1.4027987885321114E-2</c:v>
                </c:pt>
                <c:pt idx="65">
                  <c:v>1.4049583202816907E-2</c:v>
                </c:pt>
                <c:pt idx="66">
                  <c:v>1.4071178047319832E-2</c:v>
                </c:pt>
                <c:pt idx="67">
                  <c:v>1.4092772418840216E-2</c:v>
                </c:pt>
                <c:pt idx="68">
                  <c:v>1.4114366317388383E-2</c:v>
                </c:pt>
                <c:pt idx="69">
                  <c:v>1.413595974297488E-2</c:v>
                </c:pt>
                <c:pt idx="70">
                  <c:v>1.415755269560981E-2</c:v>
                </c:pt>
                <c:pt idx="71">
                  <c:v>1.417914517530372E-2</c:v>
                </c:pt>
                <c:pt idx="72">
                  <c:v>1.4200737182066936E-2</c:v>
                </c:pt>
                <c:pt idx="73">
                  <c:v>1.4222328715909782E-2</c:v>
                </c:pt>
                <c:pt idx="74">
                  <c:v>1.4243919776842584E-2</c:v>
                </c:pt>
                <c:pt idx="75">
                  <c:v>1.4265510364875778E-2</c:v>
                </c:pt>
                <c:pt idx="76">
                  <c:v>1.4287100480019688E-2</c:v>
                </c:pt>
                <c:pt idx="77">
                  <c:v>1.430869012228464E-2</c:v>
                </c:pt>
                <c:pt idx="78">
                  <c:v>1.4330279291680958E-2</c:v>
                </c:pt>
                <c:pt idx="79">
                  <c:v>1.4351867988219191E-2</c:v>
                </c:pt>
                <c:pt idx="80">
                  <c:v>1.4373456211909441E-2</c:v>
                </c:pt>
                <c:pt idx="81">
                  <c:v>1.4395043962762255E-2</c:v>
                </c:pt>
                <c:pt idx="82">
                  <c:v>1.4416631240787958E-2</c:v>
                </c:pt>
                <c:pt idx="83">
                  <c:v>1.4438218045996765E-2</c:v>
                </c:pt>
                <c:pt idx="84">
                  <c:v>1.4459804378399221E-2</c:v>
                </c:pt>
                <c:pt idx="85">
                  <c:v>1.4481390238005543E-2</c:v>
                </c:pt>
                <c:pt idx="86">
                  <c:v>1.4502975624826164E-2</c:v>
                </c:pt>
                <c:pt idx="87">
                  <c:v>1.4524560538871412E-2</c:v>
                </c:pt>
                <c:pt idx="88">
                  <c:v>1.4546144980151721E-2</c:v>
                </c:pt>
                <c:pt idx="89">
                  <c:v>1.4567728948677305E-2</c:v>
                </c:pt>
                <c:pt idx="90">
                  <c:v>1.4589312444458491E-2</c:v>
                </c:pt>
                <c:pt idx="91">
                  <c:v>1.4610895467505824E-2</c:v>
                </c:pt>
                <c:pt idx="92">
                  <c:v>1.4632478017829631E-2</c:v>
                </c:pt>
                <c:pt idx="93">
                  <c:v>1.4654060095440125E-2</c:v>
                </c:pt>
                <c:pt idx="94">
                  <c:v>1.4675641700347741E-2</c:v>
                </c:pt>
                <c:pt idx="95">
                  <c:v>1.4697222832562806E-2</c:v>
                </c:pt>
                <c:pt idx="96">
                  <c:v>1.4718803492095645E-2</c:v>
                </c:pt>
                <c:pt idx="97">
                  <c:v>1.4740383678956692E-2</c:v>
                </c:pt>
                <c:pt idx="98">
                  <c:v>1.4761963393156274E-2</c:v>
                </c:pt>
                <c:pt idx="99">
                  <c:v>1.4783542634704716E-2</c:v>
                </c:pt>
                <c:pt idx="100">
                  <c:v>1.4805121403612453E-2</c:v>
                </c:pt>
                <c:pt idx="101">
                  <c:v>1.48266996998897E-2</c:v>
                </c:pt>
                <c:pt idx="102">
                  <c:v>1.4848277523546893E-2</c:v>
                </c:pt>
                <c:pt idx="103">
                  <c:v>1.4869854874594357E-2</c:v>
                </c:pt>
                <c:pt idx="104">
                  <c:v>1.4891431753042528E-2</c:v>
                </c:pt>
                <c:pt idx="105">
                  <c:v>1.4913008158901619E-2</c:v>
                </c:pt>
                <c:pt idx="106">
                  <c:v>1.4934584092182068E-2</c:v>
                </c:pt>
                <c:pt idx="107">
                  <c:v>1.4956159552894199E-2</c:v>
                </c:pt>
                <c:pt idx="108">
                  <c:v>1.4977734541048338E-2</c:v>
                </c:pt>
                <c:pt idx="109">
                  <c:v>1.4999309056654919E-2</c:v>
                </c:pt>
                <c:pt idx="110">
                  <c:v>1.5020883099724158E-2</c:v>
                </c:pt>
                <c:pt idx="111">
                  <c:v>1.5042456670266602E-2</c:v>
                </c:pt>
                <c:pt idx="112">
                  <c:v>1.5064029768292353E-2</c:v>
                </c:pt>
                <c:pt idx="113">
                  <c:v>1.5085602393811959E-2</c:v>
                </c:pt>
                <c:pt idx="114">
                  <c:v>1.5107174546835744E-2</c:v>
                </c:pt>
                <c:pt idx="115">
                  <c:v>1.5128746227373924E-2</c:v>
                </c:pt>
                <c:pt idx="116">
                  <c:v>1.5150317435437044E-2</c:v>
                </c:pt>
                <c:pt idx="117">
                  <c:v>1.5171888171035208E-2</c:v>
                </c:pt>
                <c:pt idx="118">
                  <c:v>1.5193458434179075E-2</c:v>
                </c:pt>
                <c:pt idx="119">
                  <c:v>1.5215028224878746E-2</c:v>
                </c:pt>
                <c:pt idx="120">
                  <c:v>1.5236597543144548E-2</c:v>
                </c:pt>
                <c:pt idx="121">
                  <c:v>1.5258166388987027E-2</c:v>
                </c:pt>
                <c:pt idx="122">
                  <c:v>1.5279734762416397E-2</c:v>
                </c:pt>
                <c:pt idx="123">
                  <c:v>1.5301302663443095E-2</c:v>
                </c:pt>
                <c:pt idx="124">
                  <c:v>1.5322870092077334E-2</c:v>
                </c:pt>
                <c:pt idx="125">
                  <c:v>1.5344437048329551E-2</c:v>
                </c:pt>
                <c:pt idx="126">
                  <c:v>1.5366003532210071E-2</c:v>
                </c:pt>
                <c:pt idx="127">
                  <c:v>1.5387569543729218E-2</c:v>
                </c:pt>
                <c:pt idx="128">
                  <c:v>1.5409135082897429E-2</c:v>
                </c:pt>
                <c:pt idx="129">
                  <c:v>1.5430700149724919E-2</c:v>
                </c:pt>
                <c:pt idx="130">
                  <c:v>1.5452264744222122E-2</c:v>
                </c:pt>
                <c:pt idx="131">
                  <c:v>1.5473828866399475E-2</c:v>
                </c:pt>
                <c:pt idx="132">
                  <c:v>1.5495392516267081E-2</c:v>
                </c:pt>
                <c:pt idx="133">
                  <c:v>1.5516955693835377E-2</c:v>
                </c:pt>
                <c:pt idx="134">
                  <c:v>1.5538518399114909E-2</c:v>
                </c:pt>
                <c:pt idx="135">
                  <c:v>1.5560080632115669E-2</c:v>
                </c:pt>
                <c:pt idx="136">
                  <c:v>1.5581642392848316E-2</c:v>
                </c:pt>
                <c:pt idx="137">
                  <c:v>1.5603203681323063E-2</c:v>
                </c:pt>
                <c:pt idx="138">
                  <c:v>1.5624764497550236E-2</c:v>
                </c:pt>
                <c:pt idx="139">
                  <c:v>1.564632484154016E-2</c:v>
                </c:pt>
                <c:pt idx="140">
                  <c:v>1.5667884713303271E-2</c:v>
                </c:pt>
                <c:pt idx="141">
                  <c:v>1.5689444112849782E-2</c:v>
                </c:pt>
                <c:pt idx="142">
                  <c:v>1.571100304019013E-2</c:v>
                </c:pt>
                <c:pt idx="143">
                  <c:v>1.573256149533464E-2</c:v>
                </c:pt>
                <c:pt idx="144">
                  <c:v>1.5754119478293749E-2</c:v>
                </c:pt>
                <c:pt idx="145">
                  <c:v>1.5775676989077669E-2</c:v>
                </c:pt>
                <c:pt idx="146">
                  <c:v>1.5797234027696727E-2</c:v>
                </c:pt>
                <c:pt idx="147">
                  <c:v>1.5818790594161358E-2</c:v>
                </c:pt>
                <c:pt idx="148">
                  <c:v>1.5840346688481777E-2</c:v>
                </c:pt>
                <c:pt idx="149">
                  <c:v>1.586190231066853E-2</c:v>
                </c:pt>
                <c:pt idx="150">
                  <c:v>1.588345746073172E-2</c:v>
                </c:pt>
                <c:pt idx="151">
                  <c:v>1.5905012138681895E-2</c:v>
                </c:pt>
                <c:pt idx="152">
                  <c:v>1.5926566344529269E-2</c:v>
                </c:pt>
                <c:pt idx="153">
                  <c:v>1.5948120078284167E-2</c:v>
                </c:pt>
                <c:pt idx="154">
                  <c:v>1.5969673339957025E-2</c:v>
                </c:pt>
                <c:pt idx="155">
                  <c:v>1.5991226129558167E-2</c:v>
                </c:pt>
                <c:pt idx="156">
                  <c:v>1.6012778447097809E-2</c:v>
                </c:pt>
                <c:pt idx="157">
                  <c:v>1.6034330292586496E-2</c:v>
                </c:pt>
                <c:pt idx="158">
                  <c:v>1.6055881666034444E-2</c:v>
                </c:pt>
                <c:pt idx="159">
                  <c:v>1.6077432567451977E-2</c:v>
                </c:pt>
                <c:pt idx="160">
                  <c:v>1.609898299684942E-2</c:v>
                </c:pt>
                <c:pt idx="161">
                  <c:v>1.612053295423721E-2</c:v>
                </c:pt>
                <c:pt idx="162">
                  <c:v>1.614208243962556E-2</c:v>
                </c:pt>
                <c:pt idx="163">
                  <c:v>1.6163631453024907E-2</c:v>
                </c:pt>
                <c:pt idx="164">
                  <c:v>1.6185179994445575E-2</c:v>
                </c:pt>
                <c:pt idx="165">
                  <c:v>1.6206728063897891E-2</c:v>
                </c:pt>
                <c:pt idx="166">
                  <c:v>1.6228275661392177E-2</c:v>
                </c:pt>
                <c:pt idx="167">
                  <c:v>1.6249822786938761E-2</c:v>
                </c:pt>
                <c:pt idx="168">
                  <c:v>1.6271369440547967E-2</c:v>
                </c:pt>
                <c:pt idx="169">
                  <c:v>1.6292915622230231E-2</c:v>
                </c:pt>
                <c:pt idx="170">
                  <c:v>1.6314461331995767E-2</c:v>
                </c:pt>
                <c:pt idx="171">
                  <c:v>1.6336006569855011E-2</c:v>
                </c:pt>
                <c:pt idx="172">
                  <c:v>1.6357551335818177E-2</c:v>
                </c:pt>
                <c:pt idx="173">
                  <c:v>1.6379095629895701E-2</c:v>
                </c:pt>
                <c:pt idx="174">
                  <c:v>1.6400639452097909E-2</c:v>
                </c:pt>
                <c:pt idx="175">
                  <c:v>1.6422182802435126E-2</c:v>
                </c:pt>
                <c:pt idx="176">
                  <c:v>1.6443725680917676E-2</c:v>
                </c:pt>
                <c:pt idx="177">
                  <c:v>1.6465268087555995E-2</c:v>
                </c:pt>
                <c:pt idx="178">
                  <c:v>1.6486810022360188E-2</c:v>
                </c:pt>
                <c:pt idx="179">
                  <c:v>1.65083514853408E-2</c:v>
                </c:pt>
                <c:pt idx="180">
                  <c:v>1.6529892476508046E-2</c:v>
                </c:pt>
                <c:pt idx="181">
                  <c:v>1.6551432995872251E-2</c:v>
                </c:pt>
                <c:pt idx="182">
                  <c:v>1.657297304344385E-2</c:v>
                </c:pt>
                <c:pt idx="183">
                  <c:v>1.659451261923317E-2</c:v>
                </c:pt>
                <c:pt idx="184">
                  <c:v>1.6616051723250425E-2</c:v>
                </c:pt>
                <c:pt idx="185">
                  <c:v>1.6637590355506049E-2</c:v>
                </c:pt>
                <c:pt idx="186">
                  <c:v>1.6659128516010369E-2</c:v>
                </c:pt>
                <c:pt idx="187">
                  <c:v>1.6680666204773709E-2</c:v>
                </c:pt>
                <c:pt idx="188">
                  <c:v>1.6702203421806394E-2</c:v>
                </c:pt>
                <c:pt idx="189">
                  <c:v>1.672374016711875E-2</c:v>
                </c:pt>
                <c:pt idx="190">
                  <c:v>1.6745276440720991E-2</c:v>
                </c:pt>
                <c:pt idx="191">
                  <c:v>1.6766812242623663E-2</c:v>
                </c:pt>
                <c:pt idx="192">
                  <c:v>1.6788347572837092E-2</c:v>
                </c:pt>
                <c:pt idx="193">
                  <c:v>1.6809882431371381E-2</c:v>
                </c:pt>
                <c:pt idx="194">
                  <c:v>1.6831416818237077E-2</c:v>
                </c:pt>
                <c:pt idx="195">
                  <c:v>1.6852950733444394E-2</c:v>
                </c:pt>
                <c:pt idx="196">
                  <c:v>1.6874484177003768E-2</c:v>
                </c:pt>
                <c:pt idx="197">
                  <c:v>1.6896017148925413E-2</c:v>
                </c:pt>
                <c:pt idx="198">
                  <c:v>1.6917549649219654E-2</c:v>
                </c:pt>
                <c:pt idx="199">
                  <c:v>1.6939081677896928E-2</c:v>
                </c:pt>
                <c:pt idx="200">
                  <c:v>1.6960613234967559E-2</c:v>
                </c:pt>
                <c:pt idx="201">
                  <c:v>1.6982144320441761E-2</c:v>
                </c:pt>
                <c:pt idx="202">
                  <c:v>1.7003674934329971E-2</c:v>
                </c:pt>
                <c:pt idx="203">
                  <c:v>1.7025205076642513E-2</c:v>
                </c:pt>
                <c:pt idx="204">
                  <c:v>1.7046734747389602E-2</c:v>
                </c:pt>
                <c:pt idx="205">
                  <c:v>1.7068263946581674E-2</c:v>
                </c:pt>
                <c:pt idx="206">
                  <c:v>1.7089792674229054E-2</c:v>
                </c:pt>
                <c:pt idx="207">
                  <c:v>1.7111320930342067E-2</c:v>
                </c:pt>
                <c:pt idx="208">
                  <c:v>1.7132848714931037E-2</c:v>
                </c:pt>
                <c:pt idx="209">
                  <c:v>1.715437602800618E-2</c:v>
                </c:pt>
                <c:pt idx="210">
                  <c:v>1.717590286957793E-2</c:v>
                </c:pt>
                <c:pt idx="211">
                  <c:v>1.7197429239656725E-2</c:v>
                </c:pt>
                <c:pt idx="212">
                  <c:v>1.7218955138252667E-2</c:v>
                </c:pt>
                <c:pt idx="213">
                  <c:v>1.7240480565376193E-2</c:v>
                </c:pt>
                <c:pt idx="214">
                  <c:v>1.7262005521037627E-2</c:v>
                </c:pt>
                <c:pt idx="215">
                  <c:v>1.7283530005247294E-2</c:v>
                </c:pt>
                <c:pt idx="216">
                  <c:v>1.730505401801552E-2</c:v>
                </c:pt>
                <c:pt idx="217">
                  <c:v>1.7326577559352629E-2</c:v>
                </c:pt>
                <c:pt idx="218">
                  <c:v>1.7348100629268948E-2</c:v>
                </c:pt>
                <c:pt idx="219">
                  <c:v>1.73696232277748E-2</c:v>
                </c:pt>
                <c:pt idx="220">
                  <c:v>1.73911453548804E-2</c:v>
                </c:pt>
                <c:pt idx="221">
                  <c:v>1.7412667010596294E-2</c:v>
                </c:pt>
                <c:pt idx="222">
                  <c:v>1.7434188194932698E-2</c:v>
                </c:pt>
                <c:pt idx="223">
                  <c:v>1.7455708907899936E-2</c:v>
                </c:pt>
                <c:pt idx="224">
                  <c:v>1.7477229149508333E-2</c:v>
                </c:pt>
                <c:pt idx="225">
                  <c:v>1.7498748919768103E-2</c:v>
                </c:pt>
                <c:pt idx="226">
                  <c:v>1.7520268218689794E-2</c:v>
                </c:pt>
                <c:pt idx="227">
                  <c:v>1.7541787046283508E-2</c:v>
                </c:pt>
                <c:pt idx="228">
                  <c:v>1.7563305402559792E-2</c:v>
                </c:pt>
                <c:pt idx="229">
                  <c:v>1.758482328752875E-2</c:v>
                </c:pt>
                <c:pt idx="230">
                  <c:v>1.7606340701200818E-2</c:v>
                </c:pt>
                <c:pt idx="231">
                  <c:v>1.762785764358632E-2</c:v>
                </c:pt>
                <c:pt idx="232">
                  <c:v>1.7649374114695582E-2</c:v>
                </c:pt>
                <c:pt idx="233">
                  <c:v>1.7670890114538929E-2</c:v>
                </c:pt>
                <c:pt idx="234">
                  <c:v>1.7692405643126574E-2</c:v>
                </c:pt>
                <c:pt idx="235">
                  <c:v>1.7713920700469066E-2</c:v>
                </c:pt>
                <c:pt idx="236">
                  <c:v>1.7735435286576395E-2</c:v>
                </c:pt>
                <c:pt idx="237">
                  <c:v>1.7756949401459221E-2</c:v>
                </c:pt>
                <c:pt idx="238">
                  <c:v>1.7778463045127646E-2</c:v>
                </c:pt>
                <c:pt idx="239">
                  <c:v>1.7799976217592106E-2</c:v>
                </c:pt>
                <c:pt idx="240">
                  <c:v>1.7821488918862816E-2</c:v>
                </c:pt>
                <c:pt idx="241">
                  <c:v>1.784300114895021E-2</c:v>
                </c:pt>
                <c:pt idx="242">
                  <c:v>1.7864512907864505E-2</c:v>
                </c:pt>
                <c:pt idx="243">
                  <c:v>1.7886024195616135E-2</c:v>
                </c:pt>
                <c:pt idx="244">
                  <c:v>1.7907535012215314E-2</c:v>
                </c:pt>
                <c:pt idx="245">
                  <c:v>1.792904535767248E-2</c:v>
                </c:pt>
                <c:pt idx="246">
                  <c:v>1.7950555231997734E-2</c:v>
                </c:pt>
                <c:pt idx="247">
                  <c:v>1.7972064635201623E-2</c:v>
                </c:pt>
                <c:pt idx="248">
                  <c:v>1.7993573567294363E-2</c:v>
                </c:pt>
                <c:pt idx="249">
                  <c:v>1.8015082028286278E-2</c:v>
                </c:pt>
                <c:pt idx="250">
                  <c:v>1.8036590018187804E-2</c:v>
                </c:pt>
                <c:pt idx="251">
                  <c:v>1.8058097537009044E-2</c:v>
                </c:pt>
                <c:pt idx="252">
                  <c:v>1.8079604584760434E-2</c:v>
                </c:pt>
                <c:pt idx="253">
                  <c:v>1.8101111161452299E-2</c:v>
                </c:pt>
                <c:pt idx="254">
                  <c:v>1.8122617267094965E-2</c:v>
                </c:pt>
                <c:pt idx="255">
                  <c:v>1.8144122901698645E-2</c:v>
                </c:pt>
                <c:pt idx="256">
                  <c:v>1.8165628065273776E-2</c:v>
                </c:pt>
                <c:pt idx="257">
                  <c:v>1.8187132757830682E-2</c:v>
                </c:pt>
                <c:pt idx="258">
                  <c:v>1.8208636979379578E-2</c:v>
                </c:pt>
                <c:pt idx="259">
                  <c:v>1.8230140729930788E-2</c:v>
                </c:pt>
                <c:pt idx="260">
                  <c:v>1.825164400949475E-2</c:v>
                </c:pt>
                <c:pt idx="261">
                  <c:v>1.8273146818081676E-2</c:v>
                </c:pt>
                <c:pt idx="262">
                  <c:v>1.8294649155701892E-2</c:v>
                </c:pt>
                <c:pt idx="263">
                  <c:v>1.8316151022365723E-2</c:v>
                </c:pt>
                <c:pt idx="264">
                  <c:v>1.8337652418083605E-2</c:v>
                </c:pt>
                <c:pt idx="265">
                  <c:v>1.8359153342865642E-2</c:v>
                </c:pt>
                <c:pt idx="266">
                  <c:v>1.8380653796722268E-2</c:v>
                </c:pt>
                <c:pt idx="267">
                  <c:v>1.8402153779663699E-2</c:v>
                </c:pt>
                <c:pt idx="268">
                  <c:v>1.842365329170037E-2</c:v>
                </c:pt>
                <c:pt idx="269">
                  <c:v>1.8445152332842607E-2</c:v>
                </c:pt>
                <c:pt idx="270">
                  <c:v>1.8466650903100623E-2</c:v>
                </c:pt>
                <c:pt idx="271">
                  <c:v>1.8488149002484744E-2</c:v>
                </c:pt>
                <c:pt idx="272">
                  <c:v>1.8509646631005405E-2</c:v>
                </c:pt>
                <c:pt idx="273">
                  <c:v>1.853114378867271E-2</c:v>
                </c:pt>
                <c:pt idx="274">
                  <c:v>1.8552640475497206E-2</c:v>
                </c:pt>
                <c:pt idx="275">
                  <c:v>1.8574136691488996E-2</c:v>
                </c:pt>
                <c:pt idx="276">
                  <c:v>1.8595632436658627E-2</c:v>
                </c:pt>
                <c:pt idx="277">
                  <c:v>1.861712771101609E-2</c:v>
                </c:pt>
                <c:pt idx="278">
                  <c:v>1.8638622514572045E-2</c:v>
                </c:pt>
                <c:pt idx="279">
                  <c:v>1.8660116847336483E-2</c:v>
                </c:pt>
                <c:pt idx="280">
                  <c:v>1.8681610709319951E-2</c:v>
                </c:pt>
                <c:pt idx="281">
                  <c:v>1.8703104100532664E-2</c:v>
                </c:pt>
                <c:pt idx="282">
                  <c:v>1.8724597020985057E-2</c:v>
                </c:pt>
                <c:pt idx="283">
                  <c:v>1.8746089470687233E-2</c:v>
                </c:pt>
                <c:pt idx="284">
                  <c:v>1.8767581449649517E-2</c:v>
                </c:pt>
                <c:pt idx="285">
                  <c:v>1.8789072957882458E-2</c:v>
                </c:pt>
                <c:pt idx="286">
                  <c:v>1.8810563995396046E-2</c:v>
                </c:pt>
                <c:pt idx="287">
                  <c:v>1.8832054562200939E-2</c:v>
                </c:pt>
                <c:pt idx="288">
                  <c:v>1.8853544658307131E-2</c:v>
                </c:pt>
                <c:pt idx="289">
                  <c:v>1.8875034283725167E-2</c:v>
                </c:pt>
                <c:pt idx="290">
                  <c:v>1.8896523438465151E-2</c:v>
                </c:pt>
                <c:pt idx="291">
                  <c:v>1.891801212253752E-2</c:v>
                </c:pt>
                <c:pt idx="292">
                  <c:v>1.8939500335952597E-2</c:v>
                </c:pt>
                <c:pt idx="293">
                  <c:v>1.8960988078720709E-2</c:v>
                </c:pt>
                <c:pt idx="294">
                  <c:v>1.8982475350851957E-2</c:v>
                </c:pt>
                <c:pt idx="295">
                  <c:v>1.900396215235689E-2</c:v>
                </c:pt>
                <c:pt idx="296">
                  <c:v>1.9025448483245722E-2</c:v>
                </c:pt>
                <c:pt idx="297">
                  <c:v>1.9046934343528776E-2</c:v>
                </c:pt>
                <c:pt idx="298">
                  <c:v>1.906841973321638E-2</c:v>
                </c:pt>
                <c:pt idx="299">
                  <c:v>1.9089904652318745E-2</c:v>
                </c:pt>
                <c:pt idx="300">
                  <c:v>1.9111389100846199E-2</c:v>
                </c:pt>
                <c:pt idx="301">
                  <c:v>1.9132873078809176E-2</c:v>
                </c:pt>
                <c:pt idx="302">
                  <c:v>1.9154356586217891E-2</c:v>
                </c:pt>
                <c:pt idx="303">
                  <c:v>1.9175839623082669E-2</c:v>
                </c:pt>
                <c:pt idx="304">
                  <c:v>1.9197322189413724E-2</c:v>
                </c:pt>
                <c:pt idx="305">
                  <c:v>1.9218804285221491E-2</c:v>
                </c:pt>
                <c:pt idx="306">
                  <c:v>1.9240285910516186E-2</c:v>
                </c:pt>
                <c:pt idx="307">
                  <c:v>1.9261767065308244E-2</c:v>
                </c:pt>
                <c:pt idx="308">
                  <c:v>1.9283247749607879E-2</c:v>
                </c:pt>
                <c:pt idx="309">
                  <c:v>1.9304727963425306E-2</c:v>
                </c:pt>
                <c:pt idx="310">
                  <c:v>1.9326207706770959E-2</c:v>
                </c:pt>
                <c:pt idx="311">
                  <c:v>1.9347686979655165E-2</c:v>
                </c:pt>
                <c:pt idx="312">
                  <c:v>1.9369165782088138E-2</c:v>
                </c:pt>
                <c:pt idx="313">
                  <c:v>1.9390644114080202E-2</c:v>
                </c:pt>
                <c:pt idx="314">
                  <c:v>1.9412121975641683E-2</c:v>
                </c:pt>
                <c:pt idx="315">
                  <c:v>1.9433599366782794E-2</c:v>
                </c:pt>
                <c:pt idx="316">
                  <c:v>1.9455076287514084E-2</c:v>
                </c:pt>
                <c:pt idx="317">
                  <c:v>1.9476552737845543E-2</c:v>
                </c:pt>
                <c:pt idx="318">
                  <c:v>1.9498028717787719E-2</c:v>
                </c:pt>
                <c:pt idx="319">
                  <c:v>1.9519504227350715E-2</c:v>
                </c:pt>
                <c:pt idx="320">
                  <c:v>1.9540979266544967E-2</c:v>
                </c:pt>
                <c:pt idx="321">
                  <c:v>1.95624538353808E-2</c:v>
                </c:pt>
                <c:pt idx="322">
                  <c:v>1.9583927933868428E-2</c:v>
                </c:pt>
                <c:pt idx="323">
                  <c:v>1.9605401562018177E-2</c:v>
                </c:pt>
                <c:pt idx="324">
                  <c:v>1.962687471984037E-2</c:v>
                </c:pt>
                <c:pt idx="325">
                  <c:v>1.9648347407345335E-2</c:v>
                </c:pt>
                <c:pt idx="326">
                  <c:v>1.9669819624543283E-2</c:v>
                </c:pt>
                <c:pt idx="327">
                  <c:v>1.9691291371444652E-2</c:v>
                </c:pt>
                <c:pt idx="328">
                  <c:v>1.9712762648059545E-2</c:v>
                </c:pt>
                <c:pt idx="329">
                  <c:v>1.9734233454398509E-2</c:v>
                </c:pt>
                <c:pt idx="330">
                  <c:v>1.9755703790471535E-2</c:v>
                </c:pt>
                <c:pt idx="331">
                  <c:v>1.9777173656289282E-2</c:v>
                </c:pt>
                <c:pt idx="332">
                  <c:v>1.9798643051861742E-2</c:v>
                </c:pt>
                <c:pt idx="333">
                  <c:v>1.9820111977199351E-2</c:v>
                </c:pt>
                <c:pt idx="334">
                  <c:v>1.9841580432312433E-2</c:v>
                </c:pt>
                <c:pt idx="335">
                  <c:v>1.9863048417211204E-2</c:v>
                </c:pt>
                <c:pt idx="336">
                  <c:v>1.9884515931906099E-2</c:v>
                </c:pt>
                <c:pt idx="337">
                  <c:v>1.9905982976407222E-2</c:v>
                </c:pt>
                <c:pt idx="338">
                  <c:v>1.9927449550725007E-2</c:v>
                </c:pt>
                <c:pt idx="339">
                  <c:v>1.9948915654869781E-2</c:v>
                </c:pt>
                <c:pt idx="340">
                  <c:v>1.9970381288851757E-2</c:v>
                </c:pt>
                <c:pt idx="341">
                  <c:v>1.9991846452681261E-2</c:v>
                </c:pt>
                <c:pt idx="342">
                  <c:v>2.0013311146368506E-2</c:v>
                </c:pt>
                <c:pt idx="343">
                  <c:v>2.0034775369924041E-2</c:v>
                </c:pt>
                <c:pt idx="344">
                  <c:v>2.0056239123357855E-2</c:v>
                </c:pt>
                <c:pt idx="345">
                  <c:v>2.0077702406680387E-2</c:v>
                </c:pt>
                <c:pt idx="346">
                  <c:v>2.009916521990196E-2</c:v>
                </c:pt>
                <c:pt idx="347">
                  <c:v>2.01206275630329E-2</c:v>
                </c:pt>
                <c:pt idx="348">
                  <c:v>2.014208943608331E-2</c:v>
                </c:pt>
                <c:pt idx="349">
                  <c:v>2.0163550839063737E-2</c:v>
                </c:pt>
                <c:pt idx="350">
                  <c:v>2.0185011771984285E-2</c:v>
                </c:pt>
                <c:pt idx="351">
                  <c:v>2.0206472234855388E-2</c:v>
                </c:pt>
                <c:pt idx="352">
                  <c:v>2.0227932227687262E-2</c:v>
                </c:pt>
                <c:pt idx="353">
                  <c:v>2.0249391750490231E-2</c:v>
                </c:pt>
                <c:pt idx="354">
                  <c:v>2.0270850803274509E-2</c:v>
                </c:pt>
                <c:pt idx="355">
                  <c:v>2.0292309386050533E-2</c:v>
                </c:pt>
                <c:pt idx="356">
                  <c:v>2.0313767498828406E-2</c:v>
                </c:pt>
                <c:pt idx="357">
                  <c:v>2.0335225141618674E-2</c:v>
                </c:pt>
                <c:pt idx="358">
                  <c:v>2.035668231443144E-2</c:v>
                </c:pt>
                <c:pt idx="359">
                  <c:v>2.037813901727703E-2</c:v>
                </c:pt>
                <c:pt idx="360">
                  <c:v>2.039959525016577E-2</c:v>
                </c:pt>
                <c:pt idx="361">
                  <c:v>2.0421051013107983E-2</c:v>
                </c:pt>
                <c:pt idx="362">
                  <c:v>2.0442506306113883E-2</c:v>
                </c:pt>
                <c:pt idx="363">
                  <c:v>2.0463961129193797E-2</c:v>
                </c:pt>
                <c:pt idx="364">
                  <c:v>2.0485415482358049E-2</c:v>
                </c:pt>
                <c:pt idx="365">
                  <c:v>2.0506869365616853E-2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3.2068252762135083E-2</c:v>
                </c:pt>
                <c:pt idx="1">
                  <c:v>3.2106960347245861E-2</c:v>
                </c:pt>
                <c:pt idx="2">
                  <c:v>3.2145694946485191E-2</c:v>
                </c:pt>
                <c:pt idx="3">
                  <c:v>3.2184449346771796E-2</c:v>
                </c:pt>
                <c:pt idx="4">
                  <c:v>3.2223217269866447E-2</c:v>
                </c:pt>
                <c:pt idx="5">
                  <c:v>3.2261993346915041E-2</c:v>
                </c:pt>
                <c:pt idx="6">
                  <c:v>3.2300773085633498E-2</c:v>
                </c:pt>
                <c:pt idx="7">
                  <c:v>3.2339552830691835E-2</c:v>
                </c:pt>
                <c:pt idx="8">
                  <c:v>3.2378329717907606E-2</c:v>
                </c:pt>
                <c:pt idx="9">
                  <c:v>3.2417101622904183E-2</c:v>
                </c:pt>
                <c:pt idx="10">
                  <c:v>3.2455867104928017E-2</c:v>
                </c:pt>
                <c:pt idx="11">
                  <c:v>3.2494625346549913E-2</c:v>
                </c:pt>
                <c:pt idx="12">
                  <c:v>3.2533376089999691E-2</c:v>
                </c:pt>
                <c:pt idx="13">
                  <c:v>3.2572119570898839E-2</c:v>
                </c:pt>
                <c:pt idx="14">
                  <c:v>3.2610856450164899E-2</c:v>
                </c:pt>
                <c:pt idx="15">
                  <c:v>3.2649587744861479E-2</c:v>
                </c:pt>
                <c:pt idx="16">
                  <c:v>3.2688314758761224E-2</c:v>
                </c:pt>
                <c:pt idx="17">
                  <c:v>3.2727039013374572E-2</c:v>
                </c:pt>
                <c:pt idx="18">
                  <c:v>3.2765762180175788E-2</c:v>
                </c:pt>
                <c:pt idx="19">
                  <c:v>3.2804486014729621E-2</c:v>
                </c:pt>
                <c:pt idx="20">
                  <c:v>3.2843212293386929E-2</c:v>
                </c:pt>
                <c:pt idx="21">
                  <c:v>3.2881942753177094E-2</c:v>
                </c:pt>
                <c:pt idx="22">
                  <c:v>3.2920679035478725E-2</c:v>
                </c:pt>
                <c:pt idx="23">
                  <c:v>3.2959422633999098E-2</c:v>
                </c:pt>
                <c:pt idx="24">
                  <c:v>3.299817484753672E-2</c:v>
                </c:pt>
                <c:pt idx="25">
                  <c:v>3.3036936737942765E-2</c:v>
                </c:pt>
                <c:pt idx="26">
                  <c:v>3.3075709093634088E-2</c:v>
                </c:pt>
                <c:pt idx="27">
                  <c:v>3.311449239894608E-2</c:v>
                </c:pt>
                <c:pt idx="28">
                  <c:v>3.315328680954692E-2</c:v>
                </c:pt>
                <c:pt idx="29">
                  <c:v>3.3192092134067187E-2</c:v>
                </c:pt>
                <c:pt idx="30">
                  <c:v>3.3230907822031301E-2</c:v>
                </c:pt>
                <c:pt idx="31">
                  <c:v>3.3269732958109255E-2</c:v>
                </c:pt>
                <c:pt idx="32">
                  <c:v>3.3308566262641351E-2</c:v>
                </c:pt>
                <c:pt idx="33">
                  <c:v>3.3347406098323623E-2</c:v>
                </c:pt>
                <c:pt idx="34">
                  <c:v>3.3386250482879722E-2</c:v>
                </c:pt>
                <c:pt idx="35">
                  <c:v>3.3425097107485598E-2</c:v>
                </c:pt>
                <c:pt idx="36">
                  <c:v>3.3463943360657868E-2</c:v>
                </c:pt>
                <c:pt idx="37">
                  <c:v>3.3502786357265169E-2</c:v>
                </c:pt>
                <c:pt idx="38">
                  <c:v>3.3541622972274518E-2</c:v>
                </c:pt>
                <c:pt idx="39">
                  <c:v>3.3580449878802987E-2</c:v>
                </c:pt>
                <c:pt idx="40">
                  <c:v>3.3619263590008081E-2</c:v>
                </c:pt>
                <c:pt idx="41">
                  <c:v>3.3658060504318861E-2</c:v>
                </c:pt>
                <c:pt idx="42">
                  <c:v>3.3696836953484799E-2</c:v>
                </c:pt>
                <c:pt idx="43">
                  <c:v>3.3735589252899871E-2</c:v>
                </c:pt>
                <c:pt idx="44">
                  <c:v>3.3774313753645938E-2</c:v>
                </c:pt>
                <c:pt idx="45">
                  <c:v>3.3813006895692652E-2</c:v>
                </c:pt>
                <c:pt idx="46">
                  <c:v>3.3851665261689548E-2</c:v>
                </c:pt>
                <c:pt idx="47">
                  <c:v>3.3890285630791203E-2</c:v>
                </c:pt>
                <c:pt idx="48">
                  <c:v>3.3928865031966703E-2</c:v>
                </c:pt>
                <c:pt idx="49">
                  <c:v>3.3967400796260934E-2</c:v>
                </c:pt>
                <c:pt idx="50">
                  <c:v>3.4005890607496682E-2</c:v>
                </c:pt>
                <c:pt idx="51">
                  <c:v>3.4044332550932685E-2</c:v>
                </c:pt>
                <c:pt idx="52">
                  <c:v>3.4082725159423934E-2</c:v>
                </c:pt>
                <c:pt idx="53">
                  <c:v>3.4121067456665446E-2</c:v>
                </c:pt>
                <c:pt idx="54">
                  <c:v>3.4159358997139011E-2</c:v>
                </c:pt>
                <c:pt idx="55">
                  <c:v>3.4197599902424693E-2</c:v>
                </c:pt>
                <c:pt idx="56">
                  <c:v>3.4235790893582856E-2</c:v>
                </c:pt>
                <c:pt idx="57">
                  <c:v>3.427393331935856E-2</c:v>
                </c:pt>
                <c:pt idx="58">
                  <c:v>3.4312029180008793E-2</c:v>
                </c:pt>
                <c:pt idx="59">
                  <c:v>3.4350081146600583E-2</c:v>
                </c:pt>
                <c:pt idx="60">
                  <c:v>3.438809257567816E-2</c:v>
                </c:pt>
                <c:pt idx="61">
                  <c:v>3.4426067519244957E-2</c:v>
                </c:pt>
                <c:pt idx="62">
                  <c:v>3.4464010730055214E-2</c:v>
                </c:pt>
                <c:pt idx="63">
                  <c:v>3.4501927662255412E-2</c:v>
                </c:pt>
                <c:pt idx="64">
                  <c:v>3.4539824467461608E-2</c:v>
                </c:pt>
                <c:pt idx="65">
                  <c:v>3.4577707986399808E-2</c:v>
                </c:pt>
                <c:pt idx="66">
                  <c:v>3.4615585736277002E-2</c:v>
                </c:pt>
                <c:pt idx="67">
                  <c:v>3.4653465894086438E-2</c:v>
                </c:pt>
                <c:pt idx="68">
                  <c:v>3.4691357276083107E-2</c:v>
                </c:pt>
                <c:pt idx="69">
                  <c:v>3.4729269313694772E-2</c:v>
                </c:pt>
                <c:pt idx="70">
                  <c:v>3.4767212026158331E-2</c:v>
                </c:pt>
                <c:pt idx="71">
                  <c:v>3.4805195990191364E-2</c:v>
                </c:pt>
                <c:pt idx="72">
                  <c:v>3.4843232307025067E-2</c:v>
                </c:pt>
                <c:pt idx="73">
                  <c:v>3.4881332567135506E-2</c:v>
                </c:pt>
                <c:pt idx="74">
                  <c:v>3.4919508813017031E-2</c:v>
                </c:pt>
                <c:pt idx="75">
                  <c:v>3.4957773500343584E-2</c:v>
                </c:pt>
                <c:pt idx="76">
                  <c:v>3.499613945786105E-2</c:v>
                </c:pt>
                <c:pt idx="77">
                  <c:v>3.5034619846346926E-2</c:v>
                </c:pt>
                <c:pt idx="78">
                  <c:v>3.5073228116962687E-2</c:v>
                </c:pt>
                <c:pt idx="79">
                  <c:v>3.5111977969308782E-2</c:v>
                </c:pt>
                <c:pt idx="80">
                  <c:v>3.5150883309473926E-2</c:v>
                </c:pt>
                <c:pt idx="81">
                  <c:v>3.5189958208347867E-2</c:v>
                </c:pt>
                <c:pt idx="82">
                  <c:v>3.5229216860442523E-2</c:v>
                </c:pt>
                <c:pt idx="83">
                  <c:v>3.5268673543438198E-2</c:v>
                </c:pt>
                <c:pt idx="84">
                  <c:v>3.53083425786423E-2</c:v>
                </c:pt>
                <c:pt idx="85">
                  <c:v>3.5348238292517035E-2</c:v>
                </c:pt>
                <c:pt idx="86">
                  <c:v>3.5388374979399624E-2</c:v>
                </c:pt>
                <c:pt idx="87">
                  <c:v>3.5428766865506015E-2</c:v>
                </c:pt>
                <c:pt idx="88">
                  <c:v>3.5469428074275701E-2</c:v>
                </c:pt>
                <c:pt idx="89">
                  <c:v>3.5510372593082359E-2</c:v>
                </c:pt>
                <c:pt idx="90">
                  <c:v>3.5551614241303042E-2</c:v>
                </c:pt>
                <c:pt idx="91">
                  <c:v>3.5593166639707838E-2</c:v>
                </c:pt>
                <c:pt idx="92">
                  <c:v>3.5635043181103172E-2</c:v>
                </c:pt>
                <c:pt idx="93">
                  <c:v>3.5677257002134574E-2</c:v>
                </c:pt>
                <c:pt idx="94">
                  <c:v>3.5719820956131278E-2</c:v>
                </c:pt>
                <c:pt idx="95">
                  <c:v>3.5762747586853008E-2</c:v>
                </c:pt>
                <c:pt idx="96">
                  <c:v>3.5806049102981852E-2</c:v>
                </c:pt>
                <c:pt idx="97">
                  <c:v>3.5849737353187396E-2</c:v>
                </c:pt>
                <c:pt idx="98">
                  <c:v>3.5893823801582861E-2</c:v>
                </c:pt>
                <c:pt idx="99">
                  <c:v>3.5938319503383082E-2</c:v>
                </c:pt>
                <c:pt idx="100">
                  <c:v>3.5983235080572884E-2</c:v>
                </c:pt>
                <c:pt idx="101">
                  <c:v>3.602858069739584E-2</c:v>
                </c:pt>
                <c:pt idx="102">
                  <c:v>3.6074366035479331E-2</c:v>
                </c:pt>
                <c:pt idx="103">
                  <c:v>3.6120600268421531E-2</c:v>
                </c:pt>
                <c:pt idx="104">
                  <c:v>3.6167292035680559E-2</c:v>
                </c:pt>
                <c:pt idx="105">
                  <c:v>3.6214449415623094E-2</c:v>
                </c:pt>
                <c:pt idx="106">
                  <c:v>3.6262079897612251E-2</c:v>
                </c:pt>
                <c:pt idx="107">
                  <c:v>3.6310190353038882E-2</c:v>
                </c:pt>
                <c:pt idx="108">
                  <c:v>3.6358787005229154E-2</c:v>
                </c:pt>
                <c:pt idx="109">
                  <c:v>3.6407875398191777E-2</c:v>
                </c:pt>
                <c:pt idx="110">
                  <c:v>3.6457460364201839E-2</c:v>
                </c:pt>
                <c:pt idx="111">
                  <c:v>3.6507545990253534E-2</c:v>
                </c:pt>
                <c:pt idx="112">
                  <c:v>3.6558135583450571E-2</c:v>
                </c:pt>
                <c:pt idx="113">
                  <c:v>3.6609231635440824E-2</c:v>
                </c:pt>
                <c:pt idx="114">
                  <c:v>3.6660835786040166E-2</c:v>
                </c:pt>
                <c:pt idx="115">
                  <c:v>3.6712948786228307E-2</c:v>
                </c:pt>
                <c:pt idx="116">
                  <c:v>3.6765570460737237E-2</c:v>
                </c:pt>
                <c:pt idx="117">
                  <c:v>3.6818699670488876E-2</c:v>
                </c:pt>
                <c:pt idx="118">
                  <c:v>3.6872334275173765E-2</c:v>
                </c:pt>
                <c:pt idx="119">
                  <c:v>3.6926471096294704E-2</c:v>
                </c:pt>
                <c:pt idx="120">
                  <c:v>3.6981105881029389E-2</c:v>
                </c:pt>
                <c:pt idx="121">
                  <c:v>3.7036233267292447E-2</c:v>
                </c:pt>
                <c:pt idx="122">
                  <c:v>3.7091846750400718E-2</c:v>
                </c:pt>
                <c:pt idx="123">
                  <c:v>3.7147938651763954E-2</c:v>
                </c:pt>
                <c:pt idx="124">
                  <c:v>3.7204500090038506E-2</c:v>
                </c:pt>
                <c:pt idx="125">
                  <c:v>3.7261520955190315E-2</c:v>
                </c:pt>
                <c:pt idx="126">
                  <c:v>3.7318989885919508E-2</c:v>
                </c:pt>
                <c:pt idx="127">
                  <c:v>3.7376894250897186E-2</c:v>
                </c:pt>
                <c:pt idx="128">
                  <c:v>3.7435220134260032E-2</c:v>
                </c:pt>
                <c:pt idx="129">
                  <c:v>3.7493952325796567E-2</c:v>
                </c:pt>
                <c:pt idx="130">
                  <c:v>3.7553074316241823E-2</c:v>
                </c:pt>
                <c:pt idx="131">
                  <c:v>3.7612568298075043E-2</c:v>
                </c:pt>
                <c:pt idx="132">
                  <c:v>3.7672415172186578E-2</c:v>
                </c:pt>
                <c:pt idx="133">
                  <c:v>3.7732594560747623E-2</c:v>
                </c:pt>
                <c:pt idx="134">
                  <c:v>3.7793084826577221E-2</c:v>
                </c:pt>
                <c:pt idx="135">
                  <c:v>3.7853863099258735E-2</c:v>
                </c:pt>
                <c:pt idx="136">
                  <c:v>3.7914905308209915E-2</c:v>
                </c:pt>
                <c:pt idx="137">
                  <c:v>3.7976186222859157E-2</c:v>
                </c:pt>
                <c:pt idx="138">
                  <c:v>3.803767950002547E-2</c:v>
                </c:pt>
                <c:pt idx="139">
                  <c:v>3.8099357738541249E-2</c:v>
                </c:pt>
                <c:pt idx="140">
                  <c:v>3.8161192541096213E-2</c:v>
                </c:pt>
                <c:pt idx="141">
                  <c:v>3.8223154583217657E-2</c:v>
                </c:pt>
                <c:pt idx="142">
                  <c:v>3.8285213689238491E-2</c:v>
                </c:pt>
                <c:pt idx="143">
                  <c:v>3.8347338915039102E-2</c:v>
                </c:pt>
                <c:pt idx="144">
                  <c:v>3.8409498637284378E-2</c:v>
                </c:pt>
                <c:pt idx="145">
                  <c:v>3.8471660648812842E-2</c:v>
                </c:pt>
                <c:pt idx="146">
                  <c:v>3.8533792259771459E-2</c:v>
                </c:pt>
                <c:pt idx="147">
                  <c:v>3.8595860404029167E-2</c:v>
                </c:pt>
                <c:pt idx="148">
                  <c:v>3.8657831750342944E-2</c:v>
                </c:pt>
                <c:pt idx="149">
                  <c:v>3.8719672817695942E-2</c:v>
                </c:pt>
                <c:pt idx="150">
                  <c:v>3.8781350094174993E-2</c:v>
                </c:pt>
                <c:pt idx="151">
                  <c:v>3.8842830158708985E-2</c:v>
                </c:pt>
                <c:pt idx="152">
                  <c:v>3.8904079804947374E-2</c:v>
                </c:pt>
                <c:pt idx="153">
                  <c:v>3.8965066166522122E-2</c:v>
                </c:pt>
                <c:pt idx="154">
                  <c:v>3.9025756842906621E-2</c:v>
                </c:pt>
                <c:pt idx="155">
                  <c:v>3.9086120025061226E-2</c:v>
                </c:pt>
                <c:pt idx="156">
                  <c:v>3.9146124620038671E-2</c:v>
                </c:pt>
                <c:pt idx="157">
                  <c:v>3.9205740373712557E-2</c:v>
                </c:pt>
                <c:pt idx="158">
                  <c:v>3.9264937990790387E-2</c:v>
                </c:pt>
                <c:pt idx="159">
                  <c:v>3.9323689251276835E-2</c:v>
                </c:pt>
                <c:pt idx="160">
                  <c:v>3.9381967122566523E-2</c:v>
                </c:pt>
                <c:pt idx="161">
                  <c:v>3.9439745866364923E-2</c:v>
                </c:pt>
                <c:pt idx="162">
                  <c:v>3.9497001139663847E-2</c:v>
                </c:pt>
                <c:pt idx="163">
                  <c:v>3.9553710089032607E-2</c:v>
                </c:pt>
                <c:pt idx="164">
                  <c:v>3.9609851437527994E-2</c:v>
                </c:pt>
                <c:pt idx="165">
                  <c:v>3.9665405563574119E-2</c:v>
                </c:pt>
                <c:pt idx="166">
                  <c:v>3.9720354571218461E-2</c:v>
                </c:pt>
                <c:pt idx="167">
                  <c:v>3.9774682351230765E-2</c:v>
                </c:pt>
                <c:pt idx="168">
                  <c:v>3.9828374632577428E-2</c:v>
                </c:pt>
                <c:pt idx="169">
                  <c:v>3.9881419023875028E-2</c:v>
                </c:pt>
                <c:pt idx="170">
                  <c:v>3.9933805044500906E-2</c:v>
                </c:pt>
                <c:pt idx="171">
                  <c:v>3.9985524145117718E-2</c:v>
                </c:pt>
                <c:pt idx="172">
                  <c:v>4.0036569717449538E-2</c:v>
                </c:pt>
                <c:pt idx="173">
                  <c:v>4.0086937093230093E-2</c:v>
                </c:pt>
                <c:pt idx="174">
                  <c:v>4.0136623532328539E-2</c:v>
                </c:pt>
                <c:pt idx="175">
                  <c:v>4.0185628200142133E-2</c:v>
                </c:pt>
                <c:pt idx="176">
                  <c:v>4.0233952134430234E-2</c:v>
                </c:pt>
                <c:pt idx="177">
                  <c:v>4.0281598201846833E-2</c:v>
                </c:pt>
                <c:pt idx="178">
                  <c:v>4.032857104450998E-2</c:v>
                </c:pt>
                <c:pt idx="179">
                  <c:v>4.0374877017025239E-2</c:v>
                </c:pt>
                <c:pt idx="180">
                  <c:v>4.0420524114454855E-2</c:v>
                </c:pt>
                <c:pt idx="181">
                  <c:v>4.0465521891795059E-2</c:v>
                </c:pt>
                <c:pt idx="182">
                  <c:v>4.0509881375590001E-2</c:v>
                </c:pt>
                <c:pt idx="183">
                  <c:v>4.0553614968370143E-2</c:v>
                </c:pt>
                <c:pt idx="184">
                  <c:v>4.0596736346657919E-2</c:v>
                </c:pt>
                <c:pt idx="185">
                  <c:v>4.0639260353329702E-2</c:v>
                </c:pt>
                <c:pt idx="186">
                  <c:v>4.0681202885163803E-2</c:v>
                </c:pt>
                <c:pt idx="187">
                  <c:v>4.0722580776436521E-2</c:v>
                </c:pt>
                <c:pt idx="188">
                  <c:v>4.0763411679452827E-2</c:v>
                </c:pt>
                <c:pt idx="189">
                  <c:v>4.0803713942914592E-2</c:v>
                </c:pt>
                <c:pt idx="190">
                  <c:v>4.0843506489037701E-2</c:v>
                </c:pt>
                <c:pt idx="191">
                  <c:v>4.0882808690328877E-2</c:v>
                </c:pt>
                <c:pt idx="192">
                  <c:v>4.0921640246924552E-2</c:v>
                </c:pt>
                <c:pt idx="193">
                  <c:v>4.0960021065377231E-2</c:v>
                </c:pt>
                <c:pt idx="194">
                  <c:v>4.0997971139749935E-2</c:v>
                </c:pt>
                <c:pt idx="195">
                  <c:v>4.1035510435846266E-2</c:v>
                </c:pt>
                <c:pt idx="196">
                  <c:v>4.1072658779363377E-2</c:v>
                </c:pt>
                <c:pt idx="197">
                  <c:v>4.1109435748708144E-2</c:v>
                </c:pt>
                <c:pt idx="198">
                  <c:v>4.1145860573162114E-2</c:v>
                </c:pt>
                <c:pt idx="199">
                  <c:v>4.1181952037021553E-2</c:v>
                </c:pt>
                <c:pt idx="200">
                  <c:v>4.1217728390273031E-2</c:v>
                </c:pt>
                <c:pt idx="201">
                  <c:v>4.1253207266294938E-2</c:v>
                </c:pt>
                <c:pt idx="202">
                  <c:v>4.1288405607001567E-2</c:v>
                </c:pt>
                <c:pt idx="203">
                  <c:v>4.1323339595768331E-2</c:v>
                </c:pt>
                <c:pt idx="204">
                  <c:v>4.1358024598397505E-2</c:v>
                </c:pt>
                <c:pt idx="205">
                  <c:v>4.1392475112302561E-2</c:v>
                </c:pt>
                <c:pt idx="206">
                  <c:v>4.1426704724006218E-2</c:v>
                </c:pt>
                <c:pt idx="207">
                  <c:v>4.1460726074966432E-2</c:v>
                </c:pt>
                <c:pt idx="208">
                  <c:v>4.1494550835662711E-2</c:v>
                </c:pt>
                <c:pt idx="209">
                  <c:v>4.1528189687796077E-2</c:v>
                </c:pt>
                <c:pt idx="210">
                  <c:v>4.15616523143797E-2</c:v>
                </c:pt>
                <c:pt idx="211">
                  <c:v>4.1594947397423393E-2</c:v>
                </c:pt>
                <c:pt idx="212">
                  <c:v>4.1628082622846889E-2</c:v>
                </c:pt>
                <c:pt idx="213">
                  <c:v>4.1661064692192072E-2</c:v>
                </c:pt>
                <c:pt idx="214">
                  <c:v>4.1693899340646323E-2</c:v>
                </c:pt>
                <c:pt idx="215">
                  <c:v>4.172659136083625E-2</c:v>
                </c:pt>
                <c:pt idx="216">
                  <c:v>4.1759144631805897E-2</c:v>
                </c:pt>
                <c:pt idx="217">
                  <c:v>4.1791562152554765E-2</c:v>
                </c:pt>
                <c:pt idx="218">
                  <c:v>4.1823846079480115E-2</c:v>
                </c:pt>
                <c:pt idx="219">
                  <c:v>4.1855997767045051E-2</c:v>
                </c:pt>
                <c:pt idx="220">
                  <c:v>4.1888017810978742E-2</c:v>
                </c:pt>
                <c:pt idx="221">
                  <c:v>4.191990609330877E-2</c:v>
                </c:pt>
                <c:pt idx="222">
                  <c:v>4.1951661828526755E-2</c:v>
                </c:pt>
                <c:pt idx="223">
                  <c:v>4.1983283610198388E-2</c:v>
                </c:pt>
                <c:pt idx="224">
                  <c:v>4.2014769457347077E-2</c:v>
                </c:pt>
                <c:pt idx="225">
                  <c:v>4.2046116859965725E-2</c:v>
                </c:pt>
                <c:pt idx="226">
                  <c:v>4.2077322823044792E-2</c:v>
                </c:pt>
                <c:pt idx="227">
                  <c:v>4.2108383908545384E-2</c:v>
                </c:pt>
                <c:pt idx="228">
                  <c:v>4.2139296274792737E-2</c:v>
                </c:pt>
                <c:pt idx="229">
                  <c:v>4.21700557128196E-2</c:v>
                </c:pt>
                <c:pt idx="230">
                  <c:v>4.2200657679247001E-2</c:v>
                </c:pt>
                <c:pt idx="231">
                  <c:v>4.223109732535426E-2</c:v>
                </c:pt>
                <c:pt idx="232">
                  <c:v>4.2261369522057488E-2</c:v>
                </c:pt>
                <c:pt idx="233">
                  <c:v>4.2291468880587046E-2</c:v>
                </c:pt>
                <c:pt idx="234">
                  <c:v>4.2321389768728082E-2</c:v>
                </c:pt>
                <c:pt idx="235">
                  <c:v>4.2351126322563402E-2</c:v>
                </c:pt>
                <c:pt idx="236">
                  <c:v>4.2380672453733982E-2</c:v>
                </c:pt>
                <c:pt idx="237">
                  <c:v>4.2410021852308341E-2</c:v>
                </c:pt>
                <c:pt idx="238">
                  <c:v>4.243916798542656E-2</c:v>
                </c:pt>
                <c:pt idx="239">
                  <c:v>4.2468104091958156E-2</c:v>
                </c:pt>
                <c:pt idx="240">
                  <c:v>4.2496823173482634E-2</c:v>
                </c:pt>
                <c:pt idx="241">
                  <c:v>4.2525317981968257E-2</c:v>
                </c:pt>
                <c:pt idx="242">
                  <c:v>4.2553581004586838E-2</c:v>
                </c:pt>
                <c:pt idx="243">
                  <c:v>4.2581604446158799E-2</c:v>
                </c:pt>
                <c:pt idx="244">
                  <c:v>4.2609380209774235E-2</c:v>
                </c:pt>
                <c:pt idx="245">
                  <c:v>4.2636899876179489E-2</c:v>
                </c:pt>
                <c:pt idx="246">
                  <c:v>4.26641546825565E-2</c:v>
                </c:pt>
                <c:pt idx="247">
                  <c:v>4.269113550135175E-2</c:v>
                </c:pt>
                <c:pt idx="248">
                  <c:v>4.2717832819832498E-2</c:v>
                </c:pt>
                <c:pt idx="249">
                  <c:v>4.2744236721062034E-2</c:v>
                </c:pt>
                <c:pt idx="250">
                  <c:v>4.2770336866989375E-2</c:v>
                </c:pt>
                <c:pt idx="251">
                  <c:v>4.2796122484344674E-2</c:v>
                </c:pt>
                <c:pt idx="252">
                  <c:v>4.2821582354018353E-2</c:v>
                </c:pt>
                <c:pt idx="253">
                  <c:v>4.2846704804579486E-2</c:v>
                </c:pt>
                <c:pt idx="254">
                  <c:v>4.2871477710558846E-2</c:v>
                </c:pt>
                <c:pt idx="255">
                  <c:v>4.2895888496081482E-2</c:v>
                </c:pt>
                <c:pt idx="256">
                  <c:v>4.2919924144387438E-2</c:v>
                </c:pt>
                <c:pt idx="257">
                  <c:v>4.2943571213723032E-2</c:v>
                </c:pt>
                <c:pt idx="258">
                  <c:v>4.2966815860023135E-2</c:v>
                </c:pt>
                <c:pt idx="259">
                  <c:v>4.2989643866735601E-2</c:v>
                </c:pt>
                <c:pt idx="260">
                  <c:v>4.3012040682063879E-2</c:v>
                </c:pt>
                <c:pt idx="261">
                  <c:v>4.3033991463823744E-2</c:v>
                </c:pt>
                <c:pt idx="262">
                  <c:v>4.3055481132025071E-2</c:v>
                </c:pt>
                <c:pt idx="263">
                  <c:v>4.307649442920157E-2</c:v>
                </c:pt>
                <c:pt idx="264">
                  <c:v>4.3097015988420452E-2</c:v>
                </c:pt>
                <c:pt idx="265">
                  <c:v>4.3117030408811159E-2</c:v>
                </c:pt>
                <c:pt idx="266">
                  <c:v>4.3136522338359573E-2</c:v>
                </c:pt>
                <c:pt idx="267">
                  <c:v>4.3155476563620357E-2</c:v>
                </c:pt>
                <c:pt idx="268">
                  <c:v>4.3173878105909037E-2</c:v>
                </c:pt>
                <c:pt idx="269">
                  <c:v>4.3191712323445951E-2</c:v>
                </c:pt>
                <c:pt idx="270">
                  <c:v>4.320896501883735E-2</c:v>
                </c:pt>
                <c:pt idx="271">
                  <c:v>4.3225622551198467E-2</c:v>
                </c:pt>
                <c:pt idx="272">
                  <c:v>4.3241671952145393E-2</c:v>
                </c:pt>
                <c:pt idx="273">
                  <c:v>4.3257101044812972E-2</c:v>
                </c:pt>
                <c:pt idx="274">
                  <c:v>4.327189856499182E-2</c:v>
                </c:pt>
                <c:pt idx="275">
                  <c:v>4.3286054283422318E-2</c:v>
                </c:pt>
                <c:pt idx="276">
                  <c:v>4.3299559128234744E-2</c:v>
                </c:pt>
                <c:pt idx="277">
                  <c:v>4.3312405306488243E-2</c:v>
                </c:pt>
                <c:pt idx="278">
                  <c:v>4.3324586423730223E-2</c:v>
                </c:pt>
                <c:pt idx="279">
                  <c:v>4.333609760048121E-2</c:v>
                </c:pt>
                <c:pt idx="280">
                  <c:v>4.3346935584540017E-2</c:v>
                </c:pt>
                <c:pt idx="281">
                  <c:v>4.3357098858007627E-2</c:v>
                </c:pt>
                <c:pt idx="282">
                  <c:v>4.3366587737940505E-2</c:v>
                </c:pt>
                <c:pt idx="283">
                  <c:v>4.337540446956837E-2</c:v>
                </c:pt>
                <c:pt idx="284">
                  <c:v>4.3383553311045965E-2</c:v>
                </c:pt>
                <c:pt idx="285">
                  <c:v>4.3391040608753643E-2</c:v>
                </c:pt>
                <c:pt idx="286">
                  <c:v>4.3397874862217176E-2</c:v>
                </c:pt>
                <c:pt idx="287">
                  <c:v>4.3404066777782767E-2</c:v>
                </c:pt>
                <c:pt idx="288">
                  <c:v>4.3409629310257734E-2</c:v>
                </c:pt>
                <c:pt idx="289">
                  <c:v>4.3414577691811701E-2</c:v>
                </c:pt>
                <c:pt idx="290">
                  <c:v>4.3418929447524283E-2</c:v>
                </c:pt>
                <c:pt idx="291">
                  <c:v>4.3422704397064797E-2</c:v>
                </c:pt>
                <c:pt idx="292">
                  <c:v>4.3425924642095264E-2</c:v>
                </c:pt>
                <c:pt idx="293">
                  <c:v>4.3428614539098929E-2</c:v>
                </c:pt>
                <c:pt idx="294">
                  <c:v>4.3430800657452716E-2</c:v>
                </c:pt>
                <c:pt idx="295">
                  <c:v>4.3432511722681207E-2</c:v>
                </c:pt>
                <c:pt idx="296">
                  <c:v>4.3433778544951535E-2</c:v>
                </c:pt>
                <c:pt idx="297">
                  <c:v>4.3434633932992045E-2</c:v>
                </c:pt>
                <c:pt idx="298">
                  <c:v>4.343511259374052E-2</c:v>
                </c:pt>
                <c:pt idx="299">
                  <c:v>4.3435251018150663E-2</c:v>
                </c:pt>
                <c:pt idx="300">
                  <c:v>4.3435087353705361E-2</c:v>
                </c:pt>
                <c:pt idx="301">
                  <c:v>4.3434661264302461E-2</c:v>
                </c:pt>
                <c:pt idx="302">
                  <c:v>4.3434013778291765E-2</c:v>
                </c:pt>
                <c:pt idx="303">
                  <c:v>4.3433187125548431E-2</c:v>
                </c:pt>
                <c:pt idx="304">
                  <c:v>4.3432224564569424E-2</c:v>
                </c:pt>
                <c:pt idx="305">
                  <c:v>4.3431170200672241E-2</c:v>
                </c:pt>
                <c:pt idx="306">
                  <c:v>4.3430068796460344E-2</c:v>
                </c:pt>
                <c:pt idx="307">
                  <c:v>4.3428965575795127E-2</c:v>
                </c:pt>
                <c:pt idx="308">
                  <c:v>4.3427906022579552E-2</c:v>
                </c:pt>
                <c:pt idx="309">
                  <c:v>4.3426935675713881E-2</c:v>
                </c:pt>
                <c:pt idx="310">
                  <c:v>4.3426099921627048E-2</c:v>
                </c:pt>
                <c:pt idx="311">
                  <c:v>4.3425443785819307E-2</c:v>
                </c:pt>
                <c:pt idx="312">
                  <c:v>4.3425011724871558E-2</c:v>
                </c:pt>
                <c:pt idx="313">
                  <c:v>4.3424847420383834E-2</c:v>
                </c:pt>
                <c:pt idx="314">
                  <c:v>4.3424993576301002E-2</c:v>
                </c:pt>
                <c:pt idx="315">
                  <c:v>4.3425491721065357E-2</c:v>
                </c:pt>
                <c:pt idx="316">
                  <c:v>4.342638201600655E-2</c:v>
                </c:pt>
                <c:pt idx="317">
                  <c:v>4.3427703071336816E-2</c:v>
                </c:pt>
                <c:pt idx="318">
                  <c:v>4.3429491771065538E-2</c:v>
                </c:pt>
                <c:pt idx="319">
                  <c:v>4.3431783108082038E-2</c:v>
                </c:pt>
                <c:pt idx="320">
                  <c:v>4.3434610030578961E-2</c:v>
                </c:pt>
                <c:pt idx="321">
                  <c:v>4.3438003300902757E-2</c:v>
                </c:pt>
                <c:pt idx="322">
                  <c:v>4.3441991367821502E-2</c:v>
                </c:pt>
                <c:pt idx="323">
                  <c:v>4.3446600253096199E-2</c:v>
                </c:pt>
                <c:pt idx="324">
                  <c:v>4.3451853453129692E-2</c:v>
                </c:pt>
                <c:pt idx="325">
                  <c:v>4.3457771856348658E-2</c:v>
                </c:pt>
                <c:pt idx="326">
                  <c:v>4.3464373676849542E-2</c:v>
                </c:pt>
                <c:pt idx="327">
                  <c:v>4.3471674404711072E-2</c:v>
                </c:pt>
                <c:pt idx="328">
                  <c:v>4.3479686773243625E-2</c:v>
                </c:pt>
                <c:pt idx="329">
                  <c:v>4.3488420743311378E-2</c:v>
                </c:pt>
                <c:pt idx="330">
                  <c:v>4.3497883504728191E-2</c:v>
                </c:pt>
                <c:pt idx="331">
                  <c:v>4.3508079494593205E-2</c:v>
                </c:pt>
                <c:pt idx="332">
                  <c:v>4.3519010432299041E-2</c:v>
                </c:pt>
                <c:pt idx="333">
                  <c:v>4.3530675370814134E-2</c:v>
                </c:pt>
                <c:pt idx="334">
                  <c:v>4.3543070763714553E-2</c:v>
                </c:pt>
                <c:pt idx="335">
                  <c:v>4.3556190547318539E-2</c:v>
                </c:pt>
                <c:pt idx="336">
                  <c:v>4.357002623716117E-2</c:v>
                </c:pt>
                <c:pt idx="337">
                  <c:v>4.3584567037937859E-2</c:v>
                </c:pt>
                <c:pt idx="338">
                  <c:v>4.3599799965945103E-2</c:v>
                </c:pt>
                <c:pt idx="339">
                  <c:v>4.3615709982954581E-2</c:v>
                </c:pt>
                <c:pt idx="340">
                  <c:v>4.3632280140375374E-2</c:v>
                </c:pt>
                <c:pt idx="341">
                  <c:v>4.3649491732487042E-2</c:v>
                </c:pt>
                <c:pt idx="342">
                  <c:v>4.3667324457465913E-2</c:v>
                </c:pt>
                <c:pt idx="343">
                  <c:v>4.3685756584877881E-2</c:v>
                </c:pt>
                <c:pt idx="344">
                  <c:v>4.3704765128273933E-2</c:v>
                </c:pt>
                <c:pt idx="345">
                  <c:v>4.3724326021499213E-2</c:v>
                </c:pt>
                <c:pt idx="346">
                  <c:v>4.3744414297314314E-2</c:v>
                </c:pt>
                <c:pt idx="347">
                  <c:v>4.3765004266926595E-2</c:v>
                </c:pt>
                <c:pt idx="348">
                  <c:v>4.3786069699041384E-2</c:v>
                </c:pt>
                <c:pt idx="349">
                  <c:v>4.3807583997067016E-2</c:v>
                </c:pt>
                <c:pt idx="350">
                  <c:v>4.3829520373143055E-2</c:v>
                </c:pt>
                <c:pt idx="351">
                  <c:v>4.3851852017708283E-2</c:v>
                </c:pt>
                <c:pt idx="352">
                  <c:v>4.3874552263382889E-2</c:v>
                </c:pt>
                <c:pt idx="353">
                  <c:v>4.3897594742007023E-2</c:v>
                </c:pt>
                <c:pt idx="354">
                  <c:v>4.3920953533756024E-2</c:v>
                </c:pt>
                <c:pt idx="355">
                  <c:v>4.3944603307337883E-2</c:v>
                </c:pt>
                <c:pt idx="356">
                  <c:v>4.3968519450373431E-2</c:v>
                </c:pt>
                <c:pt idx="357">
                  <c:v>4.3992678189159869E-2</c:v>
                </c:pt>
                <c:pt idx="358">
                  <c:v>4.4017056697125363E-2</c:v>
                </c:pt>
                <c:pt idx="359">
                  <c:v>4.4041633191393668E-2</c:v>
                </c:pt>
                <c:pt idx="360">
                  <c:v>4.406638701699301E-2</c:v>
                </c:pt>
                <c:pt idx="361">
                  <c:v>4.4091298718361475E-2</c:v>
                </c:pt>
                <c:pt idx="362">
                  <c:v>4.4116350097919949E-2</c:v>
                </c:pt>
                <c:pt idx="363">
                  <c:v>4.4141524261603678E-2</c:v>
                </c:pt>
                <c:pt idx="364">
                  <c:v>4.4166805651362238E-2</c:v>
                </c:pt>
                <c:pt idx="365">
                  <c:v>4.4192180064754324E-2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1.9658865229117174E-4</c:v>
                </c:pt>
                <c:pt idx="1">
                  <c:v>1.9777356804205558E-4</c:v>
                </c:pt>
                <c:pt idx="2">
                  <c:v>1.9908265853248576E-4</c:v>
                </c:pt>
                <c:pt idx="3">
                  <c:v>2.005156980019293E-4</c:v>
                </c:pt>
                <c:pt idx="4">
                  <c:v>2.0207238623663114E-4</c:v>
                </c:pt>
                <c:pt idx="5">
                  <c:v>2.0375237198750728E-4</c:v>
                </c:pt>
                <c:pt idx="6">
                  <c:v>2.0555527582881498E-4</c:v>
                </c:pt>
                <c:pt idx="7">
                  <c:v>2.0748071244776001E-4</c:v>
                </c:pt>
                <c:pt idx="8">
                  <c:v>2.0949883776514677E-4</c:v>
                </c:pt>
                <c:pt idx="9">
                  <c:v>2.1143315606395193E-4</c:v>
                </c:pt>
                <c:pt idx="10">
                  <c:v>2.1317635520758498E-4</c:v>
                </c:pt>
                <c:pt idx="11">
                  <c:v>2.1473871087356175E-4</c:v>
                </c:pt>
                <c:pt idx="12">
                  <c:v>2.1613082238824242E-4</c:v>
                </c:pt>
                <c:pt idx="13">
                  <c:v>2.1736349417230967E-4</c:v>
                </c:pt>
                <c:pt idx="14">
                  <c:v>2.1844762936917963E-4</c:v>
                </c:pt>
                <c:pt idx="15">
                  <c:v>2.1893542778129922E-4</c:v>
                </c:pt>
                <c:pt idx="16">
                  <c:v>2.1877475361457567E-4</c:v>
                </c:pt>
                <c:pt idx="17">
                  <c:v>2.1799220511835668E-4</c:v>
                </c:pt>
                <c:pt idx="18">
                  <c:v>2.166138998381454E-4</c:v>
                </c:pt>
                <c:pt idx="19">
                  <c:v>2.1466645274120875E-4</c:v>
                </c:pt>
                <c:pt idx="20">
                  <c:v>2.1217607025736694E-4</c:v>
                </c:pt>
                <c:pt idx="21">
                  <c:v>2.0916689497708769E-4</c:v>
                </c:pt>
                <c:pt idx="22">
                  <c:v>2.056384450667839E-4</c:v>
                </c:pt>
                <c:pt idx="23">
                  <c:v>2.0146018678774506E-4</c:v>
                </c:pt>
                <c:pt idx="24">
                  <c:v>1.9678519203176445E-4</c:v>
                </c:pt>
                <c:pt idx="25">
                  <c:v>1.9163363567023246E-4</c:v>
                </c:pt>
                <c:pt idx="26">
                  <c:v>1.8602501273336865E-4</c:v>
                </c:pt>
                <c:pt idx="27">
                  <c:v>1.7997807250884381E-4</c:v>
                </c:pt>
                <c:pt idx="28">
                  <c:v>1.7351076472162894E-4</c:v>
                </c:pt>
                <c:pt idx="29">
                  <c:v>1.670005604757515E-4</c:v>
                </c:pt>
                <c:pt idx="30">
                  <c:v>1.6084669098608901E-4</c:v>
                </c:pt>
                <c:pt idx="31">
                  <c:v>1.5504183445668948E-4</c:v>
                </c:pt>
                <c:pt idx="32">
                  <c:v>1.4957848847874989E-4</c:v>
                </c:pt>
                <c:pt idx="33">
                  <c:v>1.4444903162417211E-4</c:v>
                </c:pt>
                <c:pt idx="34">
                  <c:v>1.3964577942572083E-4</c:v>
                </c:pt>
                <c:pt idx="35">
                  <c:v>1.3516103493001392E-4</c:v>
                </c:pt>
                <c:pt idx="36">
                  <c:v>1.3097483490890802E-4</c:v>
                </c:pt>
                <c:pt idx="37">
                  <c:v>1.2728006521123663E-4</c:v>
                </c:pt>
                <c:pt idx="38">
                  <c:v>1.2417836575136058E-4</c:v>
                </c:pt>
                <c:pt idx="39">
                  <c:v>1.2165692944629303E-4</c:v>
                </c:pt>
                <c:pt idx="40">
                  <c:v>1.1970279325617952E-4</c:v>
                </c:pt>
                <c:pt idx="41">
                  <c:v>1.183030235223995E-4</c:v>
                </c:pt>
                <c:pt idx="42">
                  <c:v>1.1744488281172484E-4</c:v>
                </c:pt>
                <c:pt idx="43">
                  <c:v>1.1701353568488439E-4</c:v>
                </c:pt>
                <c:pt idx="44">
                  <c:v>1.1668967760657989E-4</c:v>
                </c:pt>
                <c:pt idx="45">
                  <c:v>1.1647349586399969E-4</c:v>
                </c:pt>
                <c:pt idx="46">
                  <c:v>1.163652003144634E-4</c:v>
                </c:pt>
                <c:pt idx="47">
                  <c:v>1.163650545160112E-4</c:v>
                </c:pt>
                <c:pt idx="48">
                  <c:v>1.1647340551743684E-4</c:v>
                </c:pt>
                <c:pt idx="49">
                  <c:v>1.1669071255397291E-4</c:v>
                </c:pt>
                <c:pt idx="50">
                  <c:v>1.1701197512043689E-4</c:v>
                </c:pt>
                <c:pt idx="51">
                  <c:v>1.173267475334433E-4</c:v>
                </c:pt>
                <c:pt idx="52">
                  <c:v>1.1745152429564299E-4</c:v>
                </c:pt>
                <c:pt idx="53">
                  <c:v>1.1738939792267774E-4</c:v>
                </c:pt>
                <c:pt idx="54">
                  <c:v>1.1714386005875365E-4</c:v>
                </c:pt>
                <c:pt idx="55">
                  <c:v>1.1671824807516018E-4</c:v>
                </c:pt>
                <c:pt idx="56">
                  <c:v>1.1611576895498367E-4</c:v>
                </c:pt>
                <c:pt idx="57">
                  <c:v>1.1538621797850536E-4</c:v>
                </c:pt>
                <c:pt idx="58">
                  <c:v>1.1462179767474588E-4</c:v>
                </c:pt>
                <c:pt idx="59">
                  <c:v>1.1382244521799838E-4</c:v>
                </c:pt>
                <c:pt idx="60">
                  <c:v>1.1298814282967422E-4</c:v>
                </c:pt>
                <c:pt idx="61">
                  <c:v>1.1211891811993019E-4</c:v>
                </c:pt>
                <c:pt idx="62">
                  <c:v>1.1121484400929168E-4</c:v>
                </c:pt>
                <c:pt idx="63">
                  <c:v>1.1027603824645785E-4</c:v>
                </c:pt>
                <c:pt idx="64">
                  <c:v>1.0930346522867688E-4</c:v>
                </c:pt>
                <c:pt idx="65">
                  <c:v>1.0838781076666838E-4</c:v>
                </c:pt>
                <c:pt idx="66">
                  <c:v>1.0762129174573713E-4</c:v>
                </c:pt>
                <c:pt idx="67">
                  <c:v>1.0700177846046285E-4</c:v>
                </c:pt>
                <c:pt idx="68">
                  <c:v>1.06527250417317E-4</c:v>
                </c:pt>
                <c:pt idx="69">
                  <c:v>1.0619580243316326E-4</c:v>
                </c:pt>
                <c:pt idx="70">
                  <c:v>1.0600565067955384E-4</c:v>
                </c:pt>
                <c:pt idx="71">
                  <c:v>1.0589963711280892E-4</c:v>
                </c:pt>
                <c:pt idx="72">
                  <c:v>1.0583523773242219E-4</c:v>
                </c:pt>
                <c:pt idx="73">
                  <c:v>1.0581285265297113E-4</c:v>
                </c:pt>
                <c:pt idx="74">
                  <c:v>1.0583293018884506E-4</c:v>
                </c:pt>
                <c:pt idx="75">
                  <c:v>1.058959684283314E-4</c:v>
                </c:pt>
                <c:pt idx="76">
                  <c:v>1.0600251684874069E-4</c:v>
                </c:pt>
                <c:pt idx="77">
                  <c:v>1.0615317799169805E-4</c:v>
                </c:pt>
                <c:pt idx="78">
                  <c:v>1.0634311585353496E-4</c:v>
                </c:pt>
                <c:pt idx="79">
                  <c:v>1.0644557637963526E-4</c:v>
                </c:pt>
                <c:pt idx="80">
                  <c:v>1.0638312967088384E-4</c:v>
                </c:pt>
                <c:pt idx="81">
                  <c:v>1.0616081049581081E-4</c:v>
                </c:pt>
                <c:pt idx="82">
                  <c:v>1.0578342068307086E-4</c:v>
                </c:pt>
                <c:pt idx="83">
                  <c:v>1.052554964000322E-4</c:v>
                </c:pt>
                <c:pt idx="84">
                  <c:v>1.045812780898014E-4</c:v>
                </c:pt>
                <c:pt idx="85">
                  <c:v>1.0376523279822785E-4</c:v>
                </c:pt>
                <c:pt idx="86">
                  <c:v>1.0286228242780595E-4</c:v>
                </c:pt>
                <c:pt idx="87">
                  <c:v>1.0187519026115868E-4</c:v>
                </c:pt>
                <c:pt idx="88">
                  <c:v>1.0080642554289572E-4</c:v>
                </c:pt>
                <c:pt idx="89">
                  <c:v>9.965815185859166E-5</c:v>
                </c:pt>
                <c:pt idx="90">
                  <c:v>9.8432216217222195E-5</c:v>
                </c:pt>
                <c:pt idx="91">
                  <c:v>9.7130138580234026E-5</c:v>
                </c:pt>
                <c:pt idx="92">
                  <c:v>9.5748495223168698E-5</c:v>
                </c:pt>
                <c:pt idx="93">
                  <c:v>9.4205122710644716E-5</c:v>
                </c:pt>
                <c:pt idx="94">
                  <c:v>9.2618821487602864E-5</c:v>
                </c:pt>
                <c:pt idx="95">
                  <c:v>9.0989265172447564E-5</c:v>
                </c:pt>
                <c:pt idx="96">
                  <c:v>8.9316006458448464E-5</c:v>
                </c:pt>
                <c:pt idx="97">
                  <c:v>8.7598476500471984E-5</c:v>
                </c:pt>
                <c:pt idx="98">
                  <c:v>8.583598437537774E-5</c:v>
                </c:pt>
                <c:pt idx="99">
                  <c:v>8.4005535123770145E-5</c:v>
                </c:pt>
                <c:pt idx="100">
                  <c:v>8.2103540127081851E-5</c:v>
                </c:pt>
                <c:pt idx="101">
                  <c:v>8.0127550326250825E-5</c:v>
                </c:pt>
                <c:pt idx="102">
                  <c:v>7.8074855128409501E-5</c:v>
                </c:pt>
                <c:pt idx="103">
                  <c:v>7.5942473477949568E-5</c:v>
                </c:pt>
                <c:pt idx="104">
                  <c:v>7.3727144510644425E-5</c:v>
                </c:pt>
                <c:pt idx="105">
                  <c:v>7.1425317759023969E-5</c:v>
                </c:pt>
                <c:pt idx="106">
                  <c:v>6.9033932306143136E-5</c:v>
                </c:pt>
                <c:pt idx="107">
                  <c:v>6.6779823677902121E-5</c:v>
                </c:pt>
                <c:pt idx="108">
                  <c:v>6.473842868807064E-5</c:v>
                </c:pt>
                <c:pt idx="109">
                  <c:v>6.2907882599000977E-5</c:v>
                </c:pt>
                <c:pt idx="110">
                  <c:v>6.12868723302919E-5</c:v>
                </c:pt>
                <c:pt idx="111">
                  <c:v>5.9874429751273281E-5</c:v>
                </c:pt>
                <c:pt idx="112">
                  <c:v>5.8669748097687703E-5</c:v>
                </c:pt>
                <c:pt idx="113">
                  <c:v>5.785500132624961E-5</c:v>
                </c:pt>
                <c:pt idx="114">
                  <c:v>5.7463268702241354E-5</c:v>
                </c:pt>
                <c:pt idx="115">
                  <c:v>5.7501040640021015E-5</c:v>
                </c:pt>
                <c:pt idx="116">
                  <c:v>5.7975662260588579E-5</c:v>
                </c:pt>
                <c:pt idx="117">
                  <c:v>5.8895314294625811E-5</c:v>
                </c:pt>
                <c:pt idx="118">
                  <c:v>6.0268992286507248E-5</c:v>
                </c:pt>
                <c:pt idx="119">
                  <c:v>6.2106483684810592E-5</c:v>
                </c:pt>
                <c:pt idx="120">
                  <c:v>6.442051628532925E-5</c:v>
                </c:pt>
                <c:pt idx="121">
                  <c:v>6.7268401260128742E-5</c:v>
                </c:pt>
                <c:pt idx="122">
                  <c:v>7.0412768086378818E-5</c:v>
                </c:pt>
                <c:pt idx="123">
                  <c:v>7.3862368080664654E-5</c:v>
                </c:pt>
                <c:pt idx="124">
                  <c:v>7.7626407381984665E-5</c:v>
                </c:pt>
                <c:pt idx="125">
                  <c:v>8.171452635790752E-5</c:v>
                </c:pt>
                <c:pt idx="126">
                  <c:v>8.6136776242377237E-5</c:v>
                </c:pt>
                <c:pt idx="127">
                  <c:v>9.0894685707256168E-5</c:v>
                </c:pt>
                <c:pt idx="128">
                  <c:v>9.5788701625977585E-5</c:v>
                </c:pt>
                <c:pt idx="129">
                  <c:v>1.0082232748763E-4</c:v>
                </c:pt>
                <c:pt idx="130">
                  <c:v>1.0599890785098174E-4</c:v>
                </c:pt>
                <c:pt idx="131">
                  <c:v>1.1132160597084619E-4</c:v>
                </c:pt>
                <c:pt idx="132">
                  <c:v>1.1679338028576915E-4</c:v>
                </c:pt>
                <c:pt idx="133">
                  <c:v>1.2241695985304484E-4</c:v>
                </c:pt>
                <c:pt idx="134">
                  <c:v>1.2819711572777104E-4</c:v>
                </c:pt>
                <c:pt idx="135">
                  <c:v>1.3412960395032159E-4</c:v>
                </c:pt>
                <c:pt idx="136">
                  <c:v>1.4016780268140877E-4</c:v>
                </c:pt>
                <c:pt idx="137">
                  <c:v>1.4631333341642212E-4</c:v>
                </c:pt>
                <c:pt idx="138">
                  <c:v>1.5256760961259924E-4</c:v>
                </c:pt>
                <c:pt idx="139">
                  <c:v>1.5893182531441261E-4</c:v>
                </c:pt>
                <c:pt idx="140">
                  <c:v>1.6540694422019706E-4</c:v>
                </c:pt>
                <c:pt idx="141">
                  <c:v>1.7194486077337011E-4</c:v>
                </c:pt>
                <c:pt idx="142">
                  <c:v>1.7855410457579414E-4</c:v>
                </c:pt>
                <c:pt idx="143">
                  <c:v>1.8523262561523832E-4</c:v>
                </c:pt>
                <c:pt idx="144">
                  <c:v>1.9197910436065036E-4</c:v>
                </c:pt>
                <c:pt idx="145">
                  <c:v>1.9879195382473594E-4</c:v>
                </c:pt>
                <c:pt idx="146">
                  <c:v>2.0566931901999587E-4</c:v>
                </c:pt>
                <c:pt idx="147">
                  <c:v>2.1260907790776609E-4</c:v>
                </c:pt>
                <c:pt idx="148">
                  <c:v>2.1961225644566453E-4</c:v>
                </c:pt>
                <c:pt idx="149">
                  <c:v>2.2659356464720673E-4</c:v>
                </c:pt>
                <c:pt idx="150">
                  <c:v>2.335577891485923E-4</c:v>
                </c:pt>
                <c:pt idx="151">
                  <c:v>2.4049805255545021E-4</c:v>
                </c:pt>
                <c:pt idx="152">
                  <c:v>2.47407008189821E-4</c:v>
                </c:pt>
                <c:pt idx="153">
                  <c:v>2.5427685747084184E-4</c:v>
                </c:pt>
                <c:pt idx="154">
                  <c:v>2.6109937000367455E-4</c:v>
                </c:pt>
                <c:pt idx="155">
                  <c:v>2.6776135672914458E-4</c:v>
                </c:pt>
                <c:pt idx="156">
                  <c:v>2.743086634885972E-4</c:v>
                </c:pt>
                <c:pt idx="157">
                  <c:v>2.807306553901281E-4</c:v>
                </c:pt>
                <c:pt idx="158">
                  <c:v>2.8701639333257578E-4</c:v>
                </c:pt>
                <c:pt idx="159">
                  <c:v>2.9315467456371717E-4</c:v>
                </c:pt>
                <c:pt idx="160">
                  <c:v>2.9913407560336119E-4</c:v>
                </c:pt>
                <c:pt idx="161">
                  <c:v>3.0494299732982918E-4</c:v>
                </c:pt>
                <c:pt idx="162">
                  <c:v>3.1057533830721249E-4</c:v>
                </c:pt>
                <c:pt idx="163">
                  <c:v>3.1590782579219974E-4</c:v>
                </c:pt>
                <c:pt idx="164">
                  <c:v>3.210277202210545E-4</c:v>
                </c:pt>
                <c:pt idx="165">
                  <c:v>3.2592572765678066E-4</c:v>
                </c:pt>
                <c:pt idx="166">
                  <c:v>3.3059272331367447E-4</c:v>
                </c:pt>
                <c:pt idx="167">
                  <c:v>3.3501978294871333E-4</c:v>
                </c:pt>
                <c:pt idx="168">
                  <c:v>3.3919821252290176E-4</c:v>
                </c:pt>
                <c:pt idx="169">
                  <c:v>3.4299402394828146E-4</c:v>
                </c:pt>
                <c:pt idx="170">
                  <c:v>3.4651587439075103E-4</c:v>
                </c:pt>
                <c:pt idx="171">
                  <c:v>3.4975570111637745E-4</c:v>
                </c:pt>
                <c:pt idx="172">
                  <c:v>3.5270577429136462E-4</c:v>
                </c:pt>
                <c:pt idx="173">
                  <c:v>3.5535508055745466E-4</c:v>
                </c:pt>
                <c:pt idx="174">
                  <c:v>3.5769268162356353E-4</c:v>
                </c:pt>
                <c:pt idx="175">
                  <c:v>3.5971152805027953E-4</c:v>
                </c:pt>
                <c:pt idx="176">
                  <c:v>3.6140642710092542E-4</c:v>
                </c:pt>
                <c:pt idx="177">
                  <c:v>3.626459522442589E-4</c:v>
                </c:pt>
                <c:pt idx="178">
                  <c:v>3.6355557410165483E-4</c:v>
                </c:pt>
                <c:pt idx="179">
                  <c:v>3.6412957210240097E-4</c:v>
                </c:pt>
                <c:pt idx="180">
                  <c:v>3.6436263472272167E-4</c:v>
                </c:pt>
                <c:pt idx="181">
                  <c:v>3.6424985965542673E-4</c:v>
                </c:pt>
                <c:pt idx="182">
                  <c:v>3.6378675114536217E-4</c:v>
                </c:pt>
                <c:pt idx="183">
                  <c:v>3.6285470121451139E-4</c:v>
                </c:pt>
                <c:pt idx="184">
                  <c:v>3.6158752132820778E-4</c:v>
                </c:pt>
                <c:pt idx="185">
                  <c:v>3.5998237757373211E-4</c:v>
                </c:pt>
                <c:pt idx="186">
                  <c:v>3.5803678485174848E-4</c:v>
                </c:pt>
                <c:pt idx="187">
                  <c:v>3.5574859242149226E-4</c:v>
                </c:pt>
                <c:pt idx="188">
                  <c:v>3.5311596795293112E-4</c:v>
                </c:pt>
                <c:pt idx="189">
                  <c:v>3.5013738034845871E-4</c:v>
                </c:pt>
                <c:pt idx="190">
                  <c:v>3.4681320128768434E-4</c:v>
                </c:pt>
                <c:pt idx="191">
                  <c:v>3.4306728971090312E-4</c:v>
                </c:pt>
                <c:pt idx="192">
                  <c:v>3.390351494546429E-4</c:v>
                </c:pt>
                <c:pt idx="193">
                  <c:v>3.3471737459662163E-4</c:v>
                </c:pt>
                <c:pt idx="194">
                  <c:v>3.301146719442361E-4</c:v>
                </c:pt>
                <c:pt idx="195">
                  <c:v>3.2522783773882984E-4</c:v>
                </c:pt>
                <c:pt idx="196">
                  <c:v>3.2005773498549288E-4</c:v>
                </c:pt>
                <c:pt idx="197">
                  <c:v>3.145886526414999E-4</c:v>
                </c:pt>
                <c:pt idx="198">
                  <c:v>3.0894393638434512E-4</c:v>
                </c:pt>
                <c:pt idx="199">
                  <c:v>3.0312564923483669E-4</c:v>
                </c:pt>
                <c:pt idx="200">
                  <c:v>2.9713578943257304E-4</c:v>
                </c:pt>
                <c:pt idx="201">
                  <c:v>2.9097627826889114E-4</c:v>
                </c:pt>
                <c:pt idx="202">
                  <c:v>2.8464894936889836E-4</c:v>
                </c:pt>
                <c:pt idx="203">
                  <c:v>2.7815553942268126E-4</c:v>
                </c:pt>
                <c:pt idx="204">
                  <c:v>2.7149388173767933E-4</c:v>
                </c:pt>
                <c:pt idx="205">
                  <c:v>2.6464370576587327E-4</c:v>
                </c:pt>
                <c:pt idx="206">
                  <c:v>2.576898228817879E-4</c:v>
                </c:pt>
                <c:pt idx="207">
                  <c:v>2.5063573367537677E-4</c:v>
                </c:pt>
                <c:pt idx="208">
                  <c:v>2.4348468089973913E-4</c:v>
                </c:pt>
                <c:pt idx="209">
                  <c:v>2.3623964474443339E-4</c:v>
                </c:pt>
                <c:pt idx="210">
                  <c:v>2.2890333937172912E-4</c:v>
                </c:pt>
                <c:pt idx="211">
                  <c:v>2.2156453039775089E-4</c:v>
                </c:pt>
                <c:pt idx="212">
                  <c:v>2.1424353483939657E-4</c:v>
                </c:pt>
                <c:pt idx="213">
                  <c:v>2.069430909581904E-4</c:v>
                </c:pt>
                <c:pt idx="214">
                  <c:v>1.9966566447949453E-4</c:v>
                </c:pt>
                <c:pt idx="215">
                  <c:v>1.9241345725248425E-4</c:v>
                </c:pt>
                <c:pt idx="216">
                  <c:v>1.8518841614280167E-4</c:v>
                </c:pt>
                <c:pt idx="217">
                  <c:v>1.7799224198659913E-4</c:v>
                </c:pt>
                <c:pt idx="218">
                  <c:v>1.7082390607409785E-4</c:v>
                </c:pt>
                <c:pt idx="219">
                  <c:v>1.6414830033156225E-4</c:v>
                </c:pt>
                <c:pt idx="220">
                  <c:v>1.5799070821176635E-4</c:v>
                </c:pt>
                <c:pt idx="221">
                  <c:v>1.5235631409923407E-4</c:v>
                </c:pt>
                <c:pt idx="222">
                  <c:v>1.4725021805185335E-4</c:v>
                </c:pt>
                <c:pt idx="223">
                  <c:v>1.4267744746754627E-4</c:v>
                </c:pt>
                <c:pt idx="224">
                  <c:v>1.386429674411436E-4</c:v>
                </c:pt>
                <c:pt idx="225">
                  <c:v>1.3565493179124532E-4</c:v>
                </c:pt>
                <c:pt idx="226">
                  <c:v>1.3363226752323838E-4</c:v>
                </c:pt>
                <c:pt idx="227">
                  <c:v>1.3258297946296347E-4</c:v>
                </c:pt>
                <c:pt idx="228">
                  <c:v>1.3251505150878504E-4</c:v>
                </c:pt>
                <c:pt idx="229">
                  <c:v>1.3343645112902732E-4</c:v>
                </c:pt>
                <c:pt idx="230">
                  <c:v>1.3535513242306297E-4</c:v>
                </c:pt>
                <c:pt idx="231">
                  <c:v>1.3827903781165463E-4</c:v>
                </c:pt>
                <c:pt idx="232">
                  <c:v>1.4221239454202393E-4</c:v>
                </c:pt>
                <c:pt idx="233">
                  <c:v>1.4696069298290203E-4</c:v>
                </c:pt>
                <c:pt idx="234">
                  <c:v>1.5204326926716028E-4</c:v>
                </c:pt>
                <c:pt idx="235">
                  <c:v>1.574631348000388E-4</c:v>
                </c:pt>
                <c:pt idx="236">
                  <c:v>1.6322363294956317E-4</c:v>
                </c:pt>
                <c:pt idx="237">
                  <c:v>1.693283259943976E-4</c:v>
                </c:pt>
                <c:pt idx="238">
                  <c:v>1.7578113122613864E-4</c:v>
                </c:pt>
                <c:pt idx="239">
                  <c:v>1.8243843292332636E-4</c:v>
                </c:pt>
                <c:pt idx="240">
                  <c:v>1.8878162120470552E-4</c:v>
                </c:pt>
                <c:pt idx="241">
                  <c:v>1.948109101866298E-4</c:v>
                </c:pt>
                <c:pt idx="242">
                  <c:v>2.0052675595509355E-4</c:v>
                </c:pt>
                <c:pt idx="243">
                  <c:v>2.0592981950675341E-4</c:v>
                </c:pt>
                <c:pt idx="244">
                  <c:v>2.1102092973267677E-4</c:v>
                </c:pt>
                <c:pt idx="245">
                  <c:v>2.1580104662600119E-4</c:v>
                </c:pt>
                <c:pt idx="246">
                  <c:v>2.202653399910368E-4</c:v>
                </c:pt>
                <c:pt idx="247">
                  <c:v>2.2445780734332867E-4</c:v>
                </c:pt>
                <c:pt idx="248">
                  <c:v>2.2858597230226535E-4</c:v>
                </c:pt>
                <c:pt idx="249">
                  <c:v>2.3264953281738478E-4</c:v>
                </c:pt>
                <c:pt idx="250">
                  <c:v>2.3664808130277661E-4</c:v>
                </c:pt>
                <c:pt idx="251">
                  <c:v>2.4058110368227221E-4</c:v>
                </c:pt>
                <c:pt idx="252">
                  <c:v>2.4444797847992627E-4</c:v>
                </c:pt>
                <c:pt idx="253">
                  <c:v>2.4791559652573872E-4</c:v>
                </c:pt>
                <c:pt idx="254">
                  <c:v>2.5113389374634588E-4</c:v>
                </c:pt>
                <c:pt idx="255">
                  <c:v>2.5409987044713346E-4</c:v>
                </c:pt>
                <c:pt idx="256">
                  <c:v>2.5681037400545042E-4</c:v>
                </c:pt>
                <c:pt idx="257">
                  <c:v>2.5926210354748993E-4</c:v>
                </c:pt>
                <c:pt idx="258">
                  <c:v>2.6145161562266266E-4</c:v>
                </c:pt>
                <c:pt idx="259">
                  <c:v>2.6337533074944085E-4</c:v>
                </c:pt>
                <c:pt idx="260">
                  <c:v>2.6503862334386659E-4</c:v>
                </c:pt>
                <c:pt idx="261">
                  <c:v>2.6635346324114351E-4</c:v>
                </c:pt>
                <c:pt idx="262">
                  <c:v>2.6725768100764754E-4</c:v>
                </c:pt>
                <c:pt idx="263">
                  <c:v>2.6774276073833806E-4</c:v>
                </c:pt>
                <c:pt idx="264">
                  <c:v>2.677998984416944E-4</c:v>
                </c:pt>
                <c:pt idx="265">
                  <c:v>2.6742147731531396E-4</c:v>
                </c:pt>
                <c:pt idx="266">
                  <c:v>2.6659897524209547E-4</c:v>
                </c:pt>
                <c:pt idx="267">
                  <c:v>2.6553885397201881E-4</c:v>
                </c:pt>
                <c:pt idx="268">
                  <c:v>2.6458566545685224E-4</c:v>
                </c:pt>
                <c:pt idx="269">
                  <c:v>2.6373637760766376E-4</c:v>
                </c:pt>
                <c:pt idx="270">
                  <c:v>2.6298793169728064E-4</c:v>
                </c:pt>
                <c:pt idx="271">
                  <c:v>2.6233722720671803E-4</c:v>
                </c:pt>
                <c:pt idx="272">
                  <c:v>2.6178110706861612E-4</c:v>
                </c:pt>
                <c:pt idx="273">
                  <c:v>2.6131634343252243E-4</c:v>
                </c:pt>
                <c:pt idx="274">
                  <c:v>2.6094495216234451E-4</c:v>
                </c:pt>
                <c:pt idx="275">
                  <c:v>2.6074211815113406E-4</c:v>
                </c:pt>
                <c:pt idx="276">
                  <c:v>2.6080782413713381E-4</c:v>
                </c:pt>
                <c:pt idx="277">
                  <c:v>2.6114615072561273E-4</c:v>
                </c:pt>
                <c:pt idx="278">
                  <c:v>2.6176118820770133E-4</c:v>
                </c:pt>
                <c:pt idx="279">
                  <c:v>2.6265705760548214E-4</c:v>
                </c:pt>
                <c:pt idx="280">
                  <c:v>2.6383793436974933E-4</c:v>
                </c:pt>
                <c:pt idx="281">
                  <c:v>2.6508988266901571E-4</c:v>
                </c:pt>
                <c:pt idx="282">
                  <c:v>2.6618739404309766E-4</c:v>
                </c:pt>
                <c:pt idx="283">
                  <c:v>2.6713096938553519E-4</c:v>
                </c:pt>
                <c:pt idx="284">
                  <c:v>2.6792133536660803E-4</c:v>
                </c:pt>
                <c:pt idx="285">
                  <c:v>2.6855944612423188E-4</c:v>
                </c:pt>
                <c:pt idx="286">
                  <c:v>2.6904648378332785E-4</c:v>
                </c:pt>
                <c:pt idx="287">
                  <c:v>2.6938385767338532E-4</c:v>
                </c:pt>
                <c:pt idx="288">
                  <c:v>2.6958486509741673E-4</c:v>
                </c:pt>
                <c:pt idx="289">
                  <c:v>2.6950748760990541E-4</c:v>
                </c:pt>
                <c:pt idx="290">
                  <c:v>2.6907007674939948E-4</c:v>
                </c:pt>
                <c:pt idx="291">
                  <c:v>2.6826269706219054E-4</c:v>
                </c:pt>
                <c:pt idx="292">
                  <c:v>2.6707527788622702E-4</c:v>
                </c:pt>
                <c:pt idx="293">
                  <c:v>2.6549768855690069E-4</c:v>
                </c:pt>
                <c:pt idx="294">
                  <c:v>2.6351981985418577E-4</c:v>
                </c:pt>
                <c:pt idx="295">
                  <c:v>2.6160823284025612E-4</c:v>
                </c:pt>
                <c:pt idx="296">
                  <c:v>2.5998904074943282E-4</c:v>
                </c:pt>
                <c:pt idx="297">
                  <c:v>2.5866091524072465E-4</c:v>
                </c:pt>
                <c:pt idx="298">
                  <c:v>2.5762019894892858E-4</c:v>
                </c:pt>
                <c:pt idx="299">
                  <c:v>2.5686300152418922E-4</c:v>
                </c:pt>
                <c:pt idx="300">
                  <c:v>2.563851146145567E-4</c:v>
                </c:pt>
                <c:pt idx="301">
                  <c:v>2.5618192678113845E-4</c:v>
                </c:pt>
                <c:pt idx="302">
                  <c:v>2.5626946021996218E-4</c:v>
                </c:pt>
                <c:pt idx="303">
                  <c:v>2.5741017529250096E-4</c:v>
                </c:pt>
                <c:pt idx="304">
                  <c:v>2.5976801623336519E-4</c:v>
                </c:pt>
                <c:pt idx="305">
                  <c:v>2.6335219686742434E-4</c:v>
                </c:pt>
                <c:pt idx="306">
                  <c:v>2.6817176586688498E-4</c:v>
                </c:pt>
                <c:pt idx="307">
                  <c:v>2.7423570767412135E-4</c:v>
                </c:pt>
                <c:pt idx="308">
                  <c:v>2.8155304991974513E-4</c:v>
                </c:pt>
                <c:pt idx="309">
                  <c:v>2.8979270835553675E-4</c:v>
                </c:pt>
                <c:pt idx="310">
                  <c:v>2.9846923787949821E-4</c:v>
                </c:pt>
                <c:pt idx="311">
                  <c:v>3.0758785531401564E-4</c:v>
                </c:pt>
                <c:pt idx="312">
                  <c:v>3.1715420129476221E-4</c:v>
                </c:pt>
                <c:pt idx="313">
                  <c:v>3.2717437540105303E-4</c:v>
                </c:pt>
                <c:pt idx="314">
                  <c:v>3.3765496898584594E-4</c:v>
                </c:pt>
                <c:pt idx="315">
                  <c:v>3.4860309505311632E-4</c:v>
                </c:pt>
                <c:pt idx="316">
                  <c:v>3.6003965322125935E-4</c:v>
                </c:pt>
                <c:pt idx="317">
                  <c:v>3.7096571137225002E-4</c:v>
                </c:pt>
                <c:pt idx="318">
                  <c:v>3.8061699488398966E-4</c:v>
                </c:pt>
                <c:pt idx="319">
                  <c:v>3.8898522848173283E-4</c:v>
                </c:pt>
                <c:pt idx="320">
                  <c:v>3.9606058630076721E-4</c:v>
                </c:pt>
                <c:pt idx="321">
                  <c:v>4.0183170587176041E-4</c:v>
                </c:pt>
                <c:pt idx="322">
                  <c:v>4.0628572044141854E-4</c:v>
                </c:pt>
                <c:pt idx="323">
                  <c:v>4.0923089635404184E-4</c:v>
                </c:pt>
                <c:pt idx="324">
                  <c:v>4.1100201015413176E-4</c:v>
                </c:pt>
                <c:pt idx="325">
                  <c:v>4.1158358938209514E-4</c:v>
                </c:pt>
                <c:pt idx="326">
                  <c:v>4.1095654245966202E-4</c:v>
                </c:pt>
                <c:pt idx="327">
                  <c:v>4.0910260750486803E-4</c:v>
                </c:pt>
                <c:pt idx="328">
                  <c:v>4.0600494575679624E-4</c:v>
                </c:pt>
                <c:pt idx="329">
                  <c:v>4.0164621523757946E-4</c:v>
                </c:pt>
                <c:pt idx="330">
                  <c:v>3.9607064645262439E-4</c:v>
                </c:pt>
                <c:pt idx="331">
                  <c:v>3.8960882978219922E-4</c:v>
                </c:pt>
                <c:pt idx="332">
                  <c:v>3.8329248996204357E-4</c:v>
                </c:pt>
                <c:pt idx="333">
                  <c:v>3.7710114341098255E-4</c:v>
                </c:pt>
                <c:pt idx="334">
                  <c:v>3.7101461925676335E-4</c:v>
                </c:pt>
                <c:pt idx="335">
                  <c:v>3.6501308179146859E-4</c:v>
                </c:pt>
                <c:pt idx="336">
                  <c:v>3.590770730649475E-4</c:v>
                </c:pt>
                <c:pt idx="337">
                  <c:v>3.5336639488105719E-4</c:v>
                </c:pt>
                <c:pt idx="338">
                  <c:v>3.4805099394628604E-4</c:v>
                </c:pt>
                <c:pt idx="339">
                  <c:v>3.4311672965022953E-4</c:v>
                </c:pt>
                <c:pt idx="340">
                  <c:v>3.3854965388016079E-4</c:v>
                </c:pt>
                <c:pt idx="341">
                  <c:v>3.3433589805978241E-4</c:v>
                </c:pt>
                <c:pt idx="342">
                  <c:v>3.3046156488907523E-4</c:v>
                </c:pt>
                <c:pt idx="343">
                  <c:v>3.2691262636422546E-4</c:v>
                </c:pt>
                <c:pt idx="344">
                  <c:v>3.2372434357545249E-4</c:v>
                </c:pt>
                <c:pt idx="345">
                  <c:v>3.2094097256493427E-4</c:v>
                </c:pt>
                <c:pt idx="346">
                  <c:v>3.1839672660129712E-4</c:v>
                </c:pt>
                <c:pt idx="347">
                  <c:v>3.1608959737003612E-4</c:v>
                </c:pt>
                <c:pt idx="348">
                  <c:v>3.1401734018862075E-4</c:v>
                </c:pt>
                <c:pt idx="349">
                  <c:v>3.1217746298612726E-4</c:v>
                </c:pt>
                <c:pt idx="350">
                  <c:v>3.1056721529091355E-4</c:v>
                </c:pt>
                <c:pt idx="351">
                  <c:v>3.0932950388819447E-4</c:v>
                </c:pt>
                <c:pt idx="352">
                  <c:v>3.0827762572532033E-4</c:v>
                </c:pt>
                <c:pt idx="353">
                  <c:v>3.0740794477229788E-4</c:v>
                </c:pt>
                <c:pt idx="354">
                  <c:v>3.0671660879449589E-4</c:v>
                </c:pt>
                <c:pt idx="355">
                  <c:v>3.0619955060788535E-4</c:v>
                </c:pt>
                <c:pt idx="356">
                  <c:v>3.058511861995735E-4</c:v>
                </c:pt>
                <c:pt idx="357">
                  <c:v>3.0566792835346455E-4</c:v>
                </c:pt>
                <c:pt idx="358">
                  <c:v>3.0563235319643284E-4</c:v>
                </c:pt>
                <c:pt idx="359">
                  <c:v>3.0573317400455196E-4</c:v>
                </c:pt>
                <c:pt idx="360">
                  <c:v>3.0615308105658102E-4</c:v>
                </c:pt>
                <c:pt idx="361">
                  <c:v>3.0674990494256905E-4</c:v>
                </c:pt>
                <c:pt idx="362">
                  <c:v>3.0752532072996977E-4</c:v>
                </c:pt>
                <c:pt idx="363">
                  <c:v>3.0848068688332981E-4</c:v>
                </c:pt>
                <c:pt idx="364">
                  <c:v>3.0961706887984924E-4</c:v>
                </c:pt>
                <c:pt idx="365">
                  <c:v>3.1093526593504897E-4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73344"/>
        <c:axId val="591173736"/>
      </c:lineChart>
      <c:dateAx>
        <c:axId val="5911733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3736"/>
        <c:crosses val="autoZero"/>
        <c:auto val="1"/>
        <c:lblOffset val="100"/>
        <c:baseTimeUnit val="days"/>
        <c:majorUnit val="1"/>
        <c:majorTimeUnit val="months"/>
      </c:dateAx>
      <c:valAx>
        <c:axId val="5911737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73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24.871194349737817</c:v>
                </c:pt>
                <c:pt idx="1">
                  <c:v>25.023989825988807</c:v>
                </c:pt>
                <c:pt idx="2">
                  <c:v>25.186407143015074</c:v>
                </c:pt>
                <c:pt idx="3">
                  <c:v>25.357878731501749</c:v>
                </c:pt>
                <c:pt idx="4">
                  <c:v>25.53783714436349</c:v>
                </c:pt>
                <c:pt idx="5">
                  <c:v>25.725715050126826</c:v>
                </c:pt>
                <c:pt idx="6">
                  <c:v>25.920945240102998</c:v>
                </c:pt>
                <c:pt idx="7">
                  <c:v>26.122960619662781</c:v>
                </c:pt>
                <c:pt idx="8">
                  <c:v>26.334899498320588</c:v>
                </c:pt>
                <c:pt idx="9">
                  <c:v>26.55960471329686</c:v>
                </c:pt>
                <c:pt idx="10">
                  <c:v>26.796063371854785</c:v>
                </c:pt>
                <c:pt idx="11">
                  <c:v>27.043259752510661</c:v>
                </c:pt>
                <c:pt idx="12">
                  <c:v>27.300178373222003</c:v>
                </c:pt>
                <c:pt idx="13">
                  <c:v>27.565803987153686</c:v>
                </c:pt>
                <c:pt idx="14">
                  <c:v>27.839121588969753</c:v>
                </c:pt>
                <c:pt idx="15">
                  <c:v>28.119129309837465</c:v>
                </c:pt>
                <c:pt idx="16">
                  <c:v>28.404814809275504</c:v>
                </c:pt>
                <c:pt idx="17">
                  <c:v>28.695163807987541</c:v>
                </c:pt>
                <c:pt idx="18">
                  <c:v>28.989162271729448</c:v>
                </c:pt>
                <c:pt idx="19">
                  <c:v>29.285796375062041</c:v>
                </c:pt>
                <c:pt idx="20">
                  <c:v>29.584052525418183</c:v>
                </c:pt>
                <c:pt idx="21">
                  <c:v>29.88291740537225</c:v>
                </c:pt>
                <c:pt idx="22">
                  <c:v>30.184806324284587</c:v>
                </c:pt>
                <c:pt idx="23">
                  <c:v>30.49253741245672</c:v>
                </c:pt>
                <c:pt idx="24">
                  <c:v>30.805692006516679</c:v>
                </c:pt>
                <c:pt idx="25">
                  <c:v>31.123855508982004</c:v>
                </c:pt>
                <c:pt idx="26">
                  <c:v>31.446613433020719</c:v>
                </c:pt>
                <c:pt idx="27">
                  <c:v>31.773551406675622</c:v>
                </c:pt>
                <c:pt idx="28">
                  <c:v>32.104255172710303</c:v>
                </c:pt>
                <c:pt idx="29">
                  <c:v>32.438298898558934</c:v>
                </c:pt>
                <c:pt idx="30">
                  <c:v>32.775255642542263</c:v>
                </c:pt>
                <c:pt idx="31">
                  <c:v>33.114711491932418</c:v>
                </c:pt>
                <c:pt idx="32">
                  <c:v>33.456252649474905</c:v>
                </c:pt>
                <c:pt idx="33">
                  <c:v>33.799465437718737</c:v>
                </c:pt>
                <c:pt idx="34">
                  <c:v>34.14393629581793</c:v>
                </c:pt>
                <c:pt idx="35">
                  <c:v>34.489251779810026</c:v>
                </c:pt>
                <c:pt idx="36">
                  <c:v>34.838270177102146</c:v>
                </c:pt>
                <c:pt idx="37">
                  <c:v>35.193428481395934</c:v>
                </c:pt>
                <c:pt idx="38">
                  <c:v>35.553688704559484</c:v>
                </c:pt>
                <c:pt idx="39">
                  <c:v>35.918017060087912</c:v>
                </c:pt>
                <c:pt idx="40">
                  <c:v>36.285380030812199</c:v>
                </c:pt>
                <c:pt idx="41">
                  <c:v>36.654744361063976</c:v>
                </c:pt>
                <c:pt idx="42">
                  <c:v>37.025077058967867</c:v>
                </c:pt>
                <c:pt idx="43">
                  <c:v>37.395349225574009</c:v>
                </c:pt>
                <c:pt idx="44">
                  <c:v>37.764540111308037</c:v>
                </c:pt>
                <c:pt idx="45">
                  <c:v>38.131617510568539</c:v>
                </c:pt>
                <c:pt idx="46">
                  <c:v>38.495549474099477</c:v>
                </c:pt>
                <c:pt idx="47">
                  <c:v>38.855304302326736</c:v>
                </c:pt>
                <c:pt idx="48">
                  <c:v>39.209850544076822</c:v>
                </c:pt>
                <c:pt idx="49">
                  <c:v>39.558156993434153</c:v>
                </c:pt>
                <c:pt idx="50">
                  <c:v>39.901102338986959</c:v>
                </c:pt>
                <c:pt idx="51">
                  <c:v>40.24046374462251</c:v>
                </c:pt>
                <c:pt idx="52">
                  <c:v>40.576559036696466</c:v>
                </c:pt>
                <c:pt idx="53">
                  <c:v>40.909698554795476</c:v>
                </c:pt>
                <c:pt idx="54">
                  <c:v>41.24019251519077</c:v>
                </c:pt>
                <c:pt idx="55">
                  <c:v>41.568351035312922</c:v>
                </c:pt>
                <c:pt idx="56">
                  <c:v>41.894484125147457</c:v>
                </c:pt>
                <c:pt idx="57">
                  <c:v>42.21889971790899</c:v>
                </c:pt>
                <c:pt idx="58">
                  <c:v>42.541903770112569</c:v>
                </c:pt>
                <c:pt idx="59">
                  <c:v>42.863805966076868</c:v>
                </c:pt>
                <c:pt idx="60">
                  <c:v>43.184915878112406</c:v>
                </c:pt>
                <c:pt idx="61">
                  <c:v>43.505542965471598</c:v>
                </c:pt>
                <c:pt idx="62">
                  <c:v>43.825996573671432</c:v>
                </c:pt>
                <c:pt idx="63">
                  <c:v>44.146585932417139</c:v>
                </c:pt>
                <c:pt idx="64">
                  <c:v>44.467293559107148</c:v>
                </c:pt>
                <c:pt idx="65">
                  <c:v>44.787754186168058</c:v>
                </c:pt>
                <c:pt idx="66">
                  <c:v>45.107757076228282</c:v>
                </c:pt>
                <c:pt idx="67">
                  <c:v>45.427095668577579</c:v>
                </c:pt>
                <c:pt idx="68">
                  <c:v>45.745563409659304</c:v>
                </c:pt>
                <c:pt idx="69">
                  <c:v>46.062953752597096</c:v>
                </c:pt>
                <c:pt idx="70">
                  <c:v>46.379060158325657</c:v>
                </c:pt>
                <c:pt idx="71">
                  <c:v>46.693678687080151</c:v>
                </c:pt>
                <c:pt idx="72">
                  <c:v>47.006604795020081</c:v>
                </c:pt>
                <c:pt idx="73">
                  <c:v>47.317631973490606</c:v>
                </c:pt>
                <c:pt idx="74">
                  <c:v>47.626553725524602</c:v>
                </c:pt>
                <c:pt idx="75">
                  <c:v>47.933163566933324</c:v>
                </c:pt>
                <c:pt idx="76">
                  <c:v>48.237255028662887</c:v>
                </c:pt>
                <c:pt idx="77">
                  <c:v>48.538621657922697</c:v>
                </c:pt>
                <c:pt idx="78">
                  <c:v>48.839581679437352</c:v>
                </c:pt>
                <c:pt idx="79">
                  <c:v>49.141977906132851</c:v>
                </c:pt>
                <c:pt idx="80">
                  <c:v>49.444885914119141</c:v>
                </c:pt>
                <c:pt idx="81">
                  <c:v>49.747377476264916</c:v>
                </c:pt>
                <c:pt idx="82">
                  <c:v>50.048524574777005</c:v>
                </c:pt>
                <c:pt idx="83">
                  <c:v>50.347399411496177</c:v>
                </c:pt>
                <c:pt idx="84">
                  <c:v>50.64307440701581</c:v>
                </c:pt>
                <c:pt idx="85">
                  <c:v>50.934622180329093</c:v>
                </c:pt>
                <c:pt idx="86">
                  <c:v>51.221112977393496</c:v>
                </c:pt>
                <c:pt idx="87">
                  <c:v>51.501619892489238</c:v>
                </c:pt>
                <c:pt idx="88">
                  <c:v>51.775216258348166</c:v>
                </c:pt>
                <c:pt idx="89">
                  <c:v>52.040975652728775</c:v>
                </c:pt>
                <c:pt idx="90">
                  <c:v>52.297971902594306</c:v>
                </c:pt>
                <c:pt idx="91">
                  <c:v>52.545279099335758</c:v>
                </c:pt>
                <c:pt idx="92">
                  <c:v>52.78451116607922</c:v>
                </c:pt>
                <c:pt idx="93">
                  <c:v>53.017834816769287</c:v>
                </c:pt>
                <c:pt idx="94">
                  <c:v>53.245141079549867</c:v>
                </c:pt>
                <c:pt idx="95">
                  <c:v>53.466327286268736</c:v>
                </c:pt>
                <c:pt idx="96">
                  <c:v>53.681290819976063</c:v>
                </c:pt>
                <c:pt idx="97">
                  <c:v>53.88992911837196</c:v>
                </c:pt>
                <c:pt idx="98">
                  <c:v>54.092139678656984</c:v>
                </c:pt>
                <c:pt idx="99">
                  <c:v>54.287821264638474</c:v>
                </c:pt>
                <c:pt idx="100">
                  <c:v>54.476871656378975</c:v>
                </c:pt>
                <c:pt idx="101">
                  <c:v>54.659188632895926</c:v>
                </c:pt>
                <c:pt idx="102">
                  <c:v>54.834670051105938</c:v>
                </c:pt>
                <c:pt idx="103">
                  <c:v>55.003213851364421</c:v>
                </c:pt>
                <c:pt idx="104">
                  <c:v>55.164718056975424</c:v>
                </c:pt>
                <c:pt idx="105">
                  <c:v>55.319080780409003</c:v>
                </c:pt>
                <c:pt idx="106">
                  <c:v>55.465565939843593</c:v>
                </c:pt>
                <c:pt idx="107">
                  <c:v>55.603767735722215</c:v>
                </c:pt>
                <c:pt idx="108">
                  <c:v>55.734094398106166</c:v>
                </c:pt>
                <c:pt idx="109">
                  <c:v>55.856958385243018</c:v>
                </c:pt>
                <c:pt idx="110">
                  <c:v>55.972772083403626</c:v>
                </c:pt>
                <c:pt idx="111">
                  <c:v>56.081947813507121</c:v>
                </c:pt>
                <c:pt idx="112">
                  <c:v>56.184897840247537</c:v>
                </c:pt>
                <c:pt idx="113">
                  <c:v>56.282024083289265</c:v>
                </c:pt>
                <c:pt idx="114">
                  <c:v>56.373736754968526</c:v>
                </c:pt>
                <c:pt idx="115">
                  <c:v>56.460447515358773</c:v>
                </c:pt>
                <c:pt idx="116">
                  <c:v>56.542567932144408</c:v>
                </c:pt>
                <c:pt idx="117">
                  <c:v>56.620509478397977</c:v>
                </c:pt>
                <c:pt idx="118">
                  <c:v>56.694683535657717</c:v>
                </c:pt>
                <c:pt idx="119">
                  <c:v>56.765501394532706</c:v>
                </c:pt>
                <c:pt idx="120">
                  <c:v>56.831456268865153</c:v>
                </c:pt>
                <c:pt idx="121">
                  <c:v>56.891039412235948</c:v>
                </c:pt>
                <c:pt idx="122">
                  <c:v>56.944676987827066</c:v>
                </c:pt>
                <c:pt idx="123">
                  <c:v>56.992781149978356</c:v>
                </c:pt>
                <c:pt idx="124">
                  <c:v>57.035763984770618</c:v>
                </c:pt>
                <c:pt idx="125">
                  <c:v>57.074037515720178</c:v>
                </c:pt>
                <c:pt idx="126">
                  <c:v>57.108013695637823</c:v>
                </c:pt>
                <c:pt idx="127">
                  <c:v>57.138104925736009</c:v>
                </c:pt>
                <c:pt idx="128">
                  <c:v>57.164735053512892</c:v>
                </c:pt>
                <c:pt idx="129">
                  <c:v>57.188316283804092</c:v>
                </c:pt>
                <c:pt idx="130">
                  <c:v>57.209260776282683</c:v>
                </c:pt>
                <c:pt idx="131">
                  <c:v>57.227980642051214</c:v>
                </c:pt>
                <c:pt idx="132">
                  <c:v>57.244887943290912</c:v>
                </c:pt>
                <c:pt idx="133">
                  <c:v>57.260394694550456</c:v>
                </c:pt>
                <c:pt idx="134">
                  <c:v>57.273886544685944</c:v>
                </c:pt>
                <c:pt idx="135">
                  <c:v>57.284476343967235</c:v>
                </c:pt>
                <c:pt idx="136">
                  <c:v>57.292168963728493</c:v>
                </c:pt>
                <c:pt idx="137">
                  <c:v>57.296966588369912</c:v>
                </c:pt>
                <c:pt idx="138">
                  <c:v>57.298871490341227</c:v>
                </c:pt>
                <c:pt idx="139">
                  <c:v>57.297886022233705</c:v>
                </c:pt>
                <c:pt idx="140">
                  <c:v>57.294012614279836</c:v>
                </c:pt>
                <c:pt idx="141">
                  <c:v>57.28725657038224</c:v>
                </c:pt>
                <c:pt idx="142">
                  <c:v>57.27761999977384</c:v>
                </c:pt>
                <c:pt idx="143">
                  <c:v>57.265105669725465</c:v>
                </c:pt>
                <c:pt idx="144">
                  <c:v>57.249716343832141</c:v>
                </c:pt>
                <c:pt idx="145">
                  <c:v>57.231454838357628</c:v>
                </c:pt>
                <c:pt idx="146">
                  <c:v>57.210324012110888</c:v>
                </c:pt>
                <c:pt idx="147">
                  <c:v>57.186326758770235</c:v>
                </c:pt>
                <c:pt idx="148">
                  <c:v>57.158577606596722</c:v>
                </c:pt>
                <c:pt idx="149">
                  <c:v>57.12646961659344</c:v>
                </c:pt>
                <c:pt idx="150">
                  <c:v>57.090415578893165</c:v>
                </c:pt>
                <c:pt idx="151">
                  <c:v>57.050828779799822</c:v>
                </c:pt>
                <c:pt idx="152">
                  <c:v>57.008122357463321</c:v>
                </c:pt>
                <c:pt idx="153">
                  <c:v>56.962709294189686</c:v>
                </c:pt>
                <c:pt idx="154">
                  <c:v>56.91500240235527</c:v>
                </c:pt>
                <c:pt idx="155">
                  <c:v>56.865420269265258</c:v>
                </c:pt>
                <c:pt idx="156">
                  <c:v>56.814372216909398</c:v>
                </c:pt>
                <c:pt idx="157">
                  <c:v>56.762270573855588</c:v>
                </c:pt>
                <c:pt idx="158">
                  <c:v>56.709527469819186</c:v>
                </c:pt>
                <c:pt idx="159">
                  <c:v>56.656554827351094</c:v>
                </c:pt>
                <c:pt idx="160">
                  <c:v>56.603764355790076</c:v>
                </c:pt>
                <c:pt idx="161">
                  <c:v>56.55156754585164</c:v>
                </c:pt>
                <c:pt idx="162">
                  <c:v>56.499351800238934</c:v>
                </c:pt>
                <c:pt idx="163">
                  <c:v>56.44623833618445</c:v>
                </c:pt>
                <c:pt idx="164">
                  <c:v>56.392223595106536</c:v>
                </c:pt>
                <c:pt idx="165">
                  <c:v>56.337309371752077</c:v>
                </c:pt>
                <c:pt idx="166">
                  <c:v>56.281497340081842</c:v>
                </c:pt>
                <c:pt idx="167">
                  <c:v>56.224789046571566</c:v>
                </c:pt>
                <c:pt idx="168">
                  <c:v>56.167185906658091</c:v>
                </c:pt>
                <c:pt idx="169">
                  <c:v>56.108696248685526</c:v>
                </c:pt>
                <c:pt idx="170">
                  <c:v>56.049314644358063</c:v>
                </c:pt>
                <c:pt idx="171">
                  <c:v>55.989042108135862</c:v>
                </c:pt>
                <c:pt idx="172">
                  <c:v>55.927879512720409</c:v>
                </c:pt>
                <c:pt idx="173">
                  <c:v>55.865827792470633</c:v>
                </c:pt>
                <c:pt idx="174">
                  <c:v>55.802887756513222</c:v>
                </c:pt>
                <c:pt idx="175">
                  <c:v>55.739059876977308</c:v>
                </c:pt>
                <c:pt idx="176">
                  <c:v>55.674122887157779</c:v>
                </c:pt>
                <c:pt idx="177">
                  <c:v>55.607930648568761</c:v>
                </c:pt>
                <c:pt idx="178">
                  <c:v>55.540578211706027</c:v>
                </c:pt>
                <c:pt idx="179">
                  <c:v>55.472167804700121</c:v>
                </c:pt>
                <c:pt idx="180">
                  <c:v>55.402801502707206</c:v>
                </c:pt>
                <c:pt idx="181">
                  <c:v>55.332581234250682</c:v>
                </c:pt>
                <c:pt idx="182">
                  <c:v>55.261608787728143</c:v>
                </c:pt>
                <c:pt idx="183">
                  <c:v>55.189992142324954</c:v>
                </c:pt>
                <c:pt idx="184">
                  <c:v>55.117825223299128</c:v>
                </c:pt>
                <c:pt idx="185">
                  <c:v>55.045209425303049</c:v>
                </c:pt>
                <c:pt idx="186">
                  <c:v>54.97224603765094</c:v>
                </c:pt>
                <c:pt idx="187">
                  <c:v>54.899036252879775</c:v>
                </c:pt>
                <c:pt idx="188">
                  <c:v>54.825681176597094</c:v>
                </c:pt>
                <c:pt idx="189">
                  <c:v>54.75228183577606</c:v>
                </c:pt>
                <c:pt idx="190">
                  <c:v>54.678683739119265</c:v>
                </c:pt>
                <c:pt idx="191">
                  <c:v>54.604668497577919</c:v>
                </c:pt>
                <c:pt idx="192">
                  <c:v>54.530227479774979</c:v>
                </c:pt>
                <c:pt idx="193">
                  <c:v>54.455359435513408</c:v>
                </c:pt>
                <c:pt idx="194">
                  <c:v>54.380063107821925</c:v>
                </c:pt>
                <c:pt idx="195">
                  <c:v>54.304337240523985</c:v>
                </c:pt>
                <c:pt idx="196">
                  <c:v>54.228180586397627</c:v>
                </c:pt>
                <c:pt idx="197">
                  <c:v>54.151592814075592</c:v>
                </c:pt>
                <c:pt idx="198">
                  <c:v>54.074566089689618</c:v>
                </c:pt>
                <c:pt idx="199">
                  <c:v>53.99709919775924</c:v>
                </c:pt>
                <c:pt idx="200">
                  <c:v>53.919190961274587</c:v>
                </c:pt>
                <c:pt idx="201">
                  <c:v>53.840840247543881</c:v>
                </c:pt>
                <c:pt idx="202">
                  <c:v>53.762045971665508</c:v>
                </c:pt>
                <c:pt idx="203">
                  <c:v>53.68280710129585</c:v>
                </c:pt>
                <c:pt idx="204">
                  <c:v>53.603786294227852</c:v>
                </c:pt>
                <c:pt idx="205">
                  <c:v>53.52544297180372</c:v>
                </c:pt>
                <c:pt idx="206">
                  <c:v>53.447465474756392</c:v>
                </c:pt>
                <c:pt idx="207">
                  <c:v>53.369546631284258</c:v>
                </c:pt>
                <c:pt idx="208">
                  <c:v>53.291379404312025</c:v>
                </c:pt>
                <c:pt idx="209">
                  <c:v>53.21265689092499</c:v>
                </c:pt>
                <c:pt idx="210">
                  <c:v>53.133072322877261</c:v>
                </c:pt>
                <c:pt idx="211">
                  <c:v>53.052314484223864</c:v>
                </c:pt>
                <c:pt idx="212">
                  <c:v>52.970075930212275</c:v>
                </c:pt>
                <c:pt idx="213">
                  <c:v>52.886050270660803</c:v>
                </c:pt>
                <c:pt idx="214">
                  <c:v>52.799931242615656</c:v>
                </c:pt>
                <c:pt idx="215">
                  <c:v>52.71141271099691</c:v>
                </c:pt>
                <c:pt idx="216">
                  <c:v>52.620188664042999</c:v>
                </c:pt>
                <c:pt idx="217">
                  <c:v>52.525953212753279</c:v>
                </c:pt>
                <c:pt idx="218">
                  <c:v>52.429165681966801</c:v>
                </c:pt>
                <c:pt idx="219">
                  <c:v>52.330464945557537</c:v>
                </c:pt>
                <c:pt idx="220">
                  <c:v>52.229850036468072</c:v>
                </c:pt>
                <c:pt idx="221">
                  <c:v>52.127321086827038</c:v>
                </c:pt>
                <c:pt idx="222">
                  <c:v>52.022878275348575</c:v>
                </c:pt>
                <c:pt idx="223">
                  <c:v>51.916521827241283</c:v>
                </c:pt>
                <c:pt idx="224">
                  <c:v>51.808252004646093</c:v>
                </c:pt>
                <c:pt idx="225">
                  <c:v>51.698043088371762</c:v>
                </c:pt>
                <c:pt idx="226">
                  <c:v>51.58590001540778</c:v>
                </c:pt>
                <c:pt idx="227">
                  <c:v>51.471823135489977</c:v>
                </c:pt>
                <c:pt idx="228">
                  <c:v>51.355812829022035</c:v>
                </c:pt>
                <c:pt idx="229">
                  <c:v>51.237869509704979</c:v>
                </c:pt>
                <c:pt idx="230">
                  <c:v>51.117993620155545</c:v>
                </c:pt>
                <c:pt idx="231">
                  <c:v>50.996185631918749</c:v>
                </c:pt>
                <c:pt idx="232">
                  <c:v>50.873771200268806</c:v>
                </c:pt>
                <c:pt idx="233">
                  <c:v>50.751678122207792</c:v>
                </c:pt>
                <c:pt idx="234">
                  <c:v>50.629319754043451</c:v>
                </c:pt>
                <c:pt idx="235">
                  <c:v>50.506084937270444</c:v>
                </c:pt>
                <c:pt idx="236">
                  <c:v>50.381362649803854</c:v>
                </c:pt>
                <c:pt idx="237">
                  <c:v>50.254542013973747</c:v>
                </c:pt>
                <c:pt idx="238">
                  <c:v>50.125012286849589</c:v>
                </c:pt>
                <c:pt idx="239">
                  <c:v>49.992170259696934</c:v>
                </c:pt>
                <c:pt idx="240">
                  <c:v>49.855431502816124</c:v>
                </c:pt>
                <c:pt idx="241">
                  <c:v>49.714185642674892</c:v>
                </c:pt>
                <c:pt idx="242">
                  <c:v>49.567822434481293</c:v>
                </c:pt>
                <c:pt idx="243">
                  <c:v>49.415731752475089</c:v>
                </c:pt>
                <c:pt idx="244">
                  <c:v>49.257303598929184</c:v>
                </c:pt>
                <c:pt idx="245">
                  <c:v>49.091928095035797</c:v>
                </c:pt>
                <c:pt idx="246">
                  <c:v>48.920302694809834</c:v>
                </c:pt>
                <c:pt idx="247">
                  <c:v>48.743597533705127</c:v>
                </c:pt>
                <c:pt idx="248">
                  <c:v>48.561905379300299</c:v>
                </c:pt>
                <c:pt idx="249">
                  <c:v>48.375329186647036</c:v>
                </c:pt>
                <c:pt idx="250">
                  <c:v>48.183971895557967</c:v>
                </c:pt>
                <c:pt idx="251">
                  <c:v>47.987936430947371</c:v>
                </c:pt>
                <c:pt idx="252">
                  <c:v>47.787325704461011</c:v>
                </c:pt>
                <c:pt idx="253">
                  <c:v>47.582258433453617</c:v>
                </c:pt>
                <c:pt idx="254">
                  <c:v>47.372830141597973</c:v>
                </c:pt>
                <c:pt idx="255">
                  <c:v>47.159143673835999</c:v>
                </c:pt>
                <c:pt idx="256">
                  <c:v>46.941301846409168</c:v>
                </c:pt>
                <c:pt idx="257">
                  <c:v>46.71940745685751</c:v>
                </c:pt>
                <c:pt idx="258">
                  <c:v>46.493563273767293</c:v>
                </c:pt>
                <c:pt idx="259">
                  <c:v>46.263872040572181</c:v>
                </c:pt>
                <c:pt idx="260">
                  <c:v>46.028858679933514</c:v>
                </c:pt>
                <c:pt idx="261">
                  <c:v>45.787391854937439</c:v>
                </c:pt>
                <c:pt idx="262">
                  <c:v>45.540085969405766</c:v>
                </c:pt>
                <c:pt idx="263">
                  <c:v>45.28755278044332</c:v>
                </c:pt>
                <c:pt idx="264">
                  <c:v>45.030403904733546</c:v>
                </c:pt>
                <c:pt idx="265">
                  <c:v>44.76925074894033</c:v>
                </c:pt>
                <c:pt idx="266">
                  <c:v>44.504704600468443</c:v>
                </c:pt>
                <c:pt idx="267">
                  <c:v>44.237367084430907</c:v>
                </c:pt>
                <c:pt idx="268">
                  <c:v>43.967833826182634</c:v>
                </c:pt>
                <c:pt idx="269">
                  <c:v>43.696715878605701</c:v>
                </c:pt>
                <c:pt idx="270">
                  <c:v>43.424624153645098</c:v>
                </c:pt>
                <c:pt idx="271">
                  <c:v>43.152169419248381</c:v>
                </c:pt>
                <c:pt idx="272">
                  <c:v>42.879962302649218</c:v>
                </c:pt>
                <c:pt idx="273">
                  <c:v>42.608613285858894</c:v>
                </c:pt>
                <c:pt idx="274">
                  <c:v>42.337867969085153</c:v>
                </c:pt>
                <c:pt idx="275">
                  <c:v>42.066858633813126</c:v>
                </c:pt>
                <c:pt idx="276">
                  <c:v>41.795276021764586</c:v>
                </c:pt>
                <c:pt idx="277">
                  <c:v>41.522814943110923</c:v>
                </c:pt>
                <c:pt idx="278">
                  <c:v>41.249170184172179</c:v>
                </c:pt>
                <c:pt idx="279">
                  <c:v>40.974036503176229</c:v>
                </c:pt>
                <c:pt idx="280">
                  <c:v>40.697108624129868</c:v>
                </c:pt>
                <c:pt idx="281">
                  <c:v>40.41809005354677</c:v>
                </c:pt>
                <c:pt idx="282">
                  <c:v>40.136684480912443</c:v>
                </c:pt>
                <c:pt idx="283">
                  <c:v>39.852586280612165</c:v>
                </c:pt>
                <c:pt idx="284">
                  <c:v>39.565489763614032</c:v>
                </c:pt>
                <c:pt idx="285">
                  <c:v>39.275089175624103</c:v>
                </c:pt>
                <c:pt idx="286">
                  <c:v>38.981078694573704</c:v>
                </c:pt>
                <c:pt idx="287">
                  <c:v>38.683152430980797</c:v>
                </c:pt>
                <c:pt idx="288">
                  <c:v>38.379343520911647</c:v>
                </c:pt>
                <c:pt idx="289">
                  <c:v>38.068639955556293</c:v>
                </c:pt>
                <c:pt idx="290">
                  <c:v>37.75216204189757</c:v>
                </c:pt>
                <c:pt idx="291">
                  <c:v>37.431027078728242</c:v>
                </c:pt>
                <c:pt idx="292">
                  <c:v>37.10635215203795</c:v>
                </c:pt>
                <c:pt idx="293">
                  <c:v>36.779254152038632</c:v>
                </c:pt>
                <c:pt idx="294">
                  <c:v>36.450849782230264</c:v>
                </c:pt>
                <c:pt idx="295">
                  <c:v>36.122238358117229</c:v>
                </c:pt>
                <c:pt idx="296">
                  <c:v>35.794528276335676</c:v>
                </c:pt>
                <c:pt idx="297">
                  <c:v>35.468836173445503</c:v>
                </c:pt>
                <c:pt idx="298">
                  <c:v>35.146278644853567</c:v>
                </c:pt>
                <c:pt idx="299">
                  <c:v>34.827972178854189</c:v>
                </c:pt>
                <c:pt idx="300">
                  <c:v>34.515033163985024</c:v>
                </c:pt>
                <c:pt idx="301">
                  <c:v>34.208577900389635</c:v>
                </c:pt>
                <c:pt idx="302">
                  <c:v>33.906927108644489</c:v>
                </c:pt>
                <c:pt idx="303">
                  <c:v>33.60763132931752</c:v>
                </c:pt>
                <c:pt idx="304">
                  <c:v>33.310684212643501</c:v>
                </c:pt>
                <c:pt idx="305">
                  <c:v>33.016084724056341</c:v>
                </c:pt>
                <c:pt idx="306">
                  <c:v>32.723831860807977</c:v>
                </c:pt>
                <c:pt idx="307">
                  <c:v>32.433924655073284</c:v>
                </c:pt>
                <c:pt idx="308">
                  <c:v>32.146362177396227</c:v>
                </c:pt>
                <c:pt idx="309">
                  <c:v>31.861154381624797</c:v>
                </c:pt>
                <c:pt idx="310">
                  <c:v>31.578315764345248</c:v>
                </c:pt>
                <c:pt idx="311">
                  <c:v>31.29784496738711</c:v>
                </c:pt>
                <c:pt idx="312">
                  <c:v>31.019740686552456</c:v>
                </c:pt>
                <c:pt idx="313">
                  <c:v>30.744001678675396</c:v>
                </c:pt>
                <c:pt idx="314">
                  <c:v>30.470626761292376</c:v>
                </c:pt>
                <c:pt idx="315">
                  <c:v>30.199614821502493</c:v>
                </c:pt>
                <c:pt idx="316">
                  <c:v>29.929863884460662</c:v>
                </c:pt>
                <c:pt idx="317">
                  <c:v>29.660641109460073</c:v>
                </c:pt>
                <c:pt idx="318">
                  <c:v>29.392475638060741</c:v>
                </c:pt>
                <c:pt idx="319">
                  <c:v>29.125873796845561</c:v>
                </c:pt>
                <c:pt idx="320">
                  <c:v>28.861341990548635</c:v>
                </c:pt>
                <c:pt idx="321">
                  <c:v>28.599386702290573</c:v>
                </c:pt>
                <c:pt idx="322">
                  <c:v>28.340514495839908</c:v>
                </c:pt>
                <c:pt idx="323">
                  <c:v>28.085236995836183</c:v>
                </c:pt>
                <c:pt idx="324">
                  <c:v>27.834051032060025</c:v>
                </c:pt>
                <c:pt idx="325">
                  <c:v>27.587463489720193</c:v>
                </c:pt>
                <c:pt idx="326">
                  <c:v>27.345981390032993</c:v>
                </c:pt>
                <c:pt idx="327">
                  <c:v>27.110111767564256</c:v>
                </c:pt>
                <c:pt idx="328">
                  <c:v>26.880361651698497</c:v>
                </c:pt>
                <c:pt idx="329">
                  <c:v>26.657238125307725</c:v>
                </c:pt>
                <c:pt idx="330">
                  <c:v>26.437117174345985</c:v>
                </c:pt>
                <c:pt idx="331">
                  <c:v>26.216909347229116</c:v>
                </c:pt>
                <c:pt idx="332">
                  <c:v>25.997907710488395</c:v>
                </c:pt>
                <c:pt idx="333">
                  <c:v>25.78143329666441</c:v>
                </c:pt>
                <c:pt idx="334">
                  <c:v>25.568807023975985</c:v>
                </c:pt>
                <c:pt idx="335">
                  <c:v>25.361349681086704</c:v>
                </c:pt>
                <c:pt idx="336">
                  <c:v>25.160381904091007</c:v>
                </c:pt>
                <c:pt idx="337">
                  <c:v>24.967219699784057</c:v>
                </c:pt>
                <c:pt idx="338">
                  <c:v>24.783178793087611</c:v>
                </c:pt>
                <c:pt idx="339">
                  <c:v>24.609579375170402</c:v>
                </c:pt>
                <c:pt idx="340">
                  <c:v>24.447741422827033</c:v>
                </c:pt>
                <c:pt idx="341">
                  <c:v>24.298984676475012</c:v>
                </c:pt>
                <c:pt idx="342">
                  <c:v>24.164628627238333</c:v>
                </c:pt>
                <c:pt idx="343">
                  <c:v>24.045992520867078</c:v>
                </c:pt>
                <c:pt idx="344">
                  <c:v>23.940731911379221</c:v>
                </c:pt>
                <c:pt idx="345">
                  <c:v>23.845734680824652</c:v>
                </c:pt>
                <c:pt idx="346">
                  <c:v>23.761172194691547</c:v>
                </c:pt>
                <c:pt idx="347">
                  <c:v>23.687211818467894</c:v>
                </c:pt>
                <c:pt idx="348">
                  <c:v>23.624020851259353</c:v>
                </c:pt>
                <c:pt idx="349">
                  <c:v>23.571766520822344</c:v>
                </c:pt>
                <c:pt idx="350">
                  <c:v>23.530615986325795</c:v>
                </c:pt>
                <c:pt idx="351">
                  <c:v>23.500732905629704</c:v>
                </c:pt>
                <c:pt idx="352">
                  <c:v>23.482288608474136</c:v>
                </c:pt>
                <c:pt idx="353">
                  <c:v>23.475450025450495</c:v>
                </c:pt>
                <c:pt idx="354">
                  <c:v>23.480384016654963</c:v>
                </c:pt>
                <c:pt idx="355">
                  <c:v>23.497257363195029</c:v>
                </c:pt>
                <c:pt idx="356">
                  <c:v>23.526236803890573</c:v>
                </c:pt>
                <c:pt idx="357">
                  <c:v>23.567488948863819</c:v>
                </c:pt>
                <c:pt idx="358">
                  <c:v>23.622055448070235</c:v>
                </c:pt>
                <c:pt idx="359">
                  <c:v>23.69049611671841</c:v>
                </c:pt>
                <c:pt idx="360">
                  <c:v>23.7722505644523</c:v>
                </c:pt>
                <c:pt idx="361">
                  <c:v>23.866766146555452</c:v>
                </c:pt>
                <c:pt idx="362">
                  <c:v>23.973486877070314</c:v>
                </c:pt>
                <c:pt idx="363">
                  <c:v>24.09185683128889</c:v>
                </c:pt>
                <c:pt idx="364">
                  <c:v>24.221320155585214</c:v>
                </c:pt>
                <c:pt idx="365">
                  <c:v>24.361321065562212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15.144</c:v>
                </c:pt>
                <c:pt idx="1">
                  <c:v>23.901</c:v>
                </c:pt>
                <c:pt idx="2">
                  <c:v>8.7680000000000007</c:v>
                </c:pt>
                <c:pt idx="3">
                  <c:v>5.6680000000000001</c:v>
                </c:pt>
                <c:pt idx="4">
                  <c:v>12.97</c:v>
                </c:pt>
                <c:pt idx="5">
                  <c:v>25.814</c:v>
                </c:pt>
                <c:pt idx="6">
                  <c:v>7.101</c:v>
                </c:pt>
                <c:pt idx="7">
                  <c:v>12.65</c:v>
                </c:pt>
                <c:pt idx="8">
                  <c:v>25.109000000000002</c:v>
                </c:pt>
                <c:pt idx="9">
                  <c:v>10.925000000000001</c:v>
                </c:pt>
                <c:pt idx="10">
                  <c:v>27.175000000000001</c:v>
                </c:pt>
                <c:pt idx="11">
                  <c:v>27.343</c:v>
                </c:pt>
                <c:pt idx="12">
                  <c:v>16.138999999999999</c:v>
                </c:pt>
                <c:pt idx="13">
                  <c:v>26.565000000000001</c:v>
                </c:pt>
                <c:pt idx="14">
                  <c:v>22.54</c:v>
                </c:pt>
                <c:pt idx="15">
                  <c:v>24.605</c:v>
                </c:pt>
                <c:pt idx="16">
                  <c:v>3.915</c:v>
                </c:pt>
                <c:pt idx="17">
                  <c:v>19.643999999999998</c:v>
                </c:pt>
                <c:pt idx="18">
                  <c:v>24.398</c:v>
                </c:pt>
                <c:pt idx="19">
                  <c:v>9.6969999999999992</c:v>
                </c:pt>
                <c:pt idx="20">
                  <c:v>3.4790000000000001</c:v>
                </c:pt>
                <c:pt idx="21">
                  <c:v>1.1759999999999999</c:v>
                </c:pt>
                <c:pt idx="22">
                  <c:v>14.977</c:v>
                </c:pt>
                <c:pt idx="23">
                  <c:v>13.71</c:v>
                </c:pt>
                <c:pt idx="24">
                  <c:v>14.728999999999999</c:v>
                </c:pt>
                <c:pt idx="25">
                  <c:v>6.0110000000000001</c:v>
                </c:pt>
                <c:pt idx="26">
                  <c:v>10.988</c:v>
                </c:pt>
                <c:pt idx="27">
                  <c:v>18.856999999999999</c:v>
                </c:pt>
                <c:pt idx="28">
                  <c:v>23.312999999999999</c:v>
                </c:pt>
                <c:pt idx="29">
                  <c:v>10.468</c:v>
                </c:pt>
                <c:pt idx="30">
                  <c:v>21.36</c:v>
                </c:pt>
                <c:pt idx="31">
                  <c:v>11.858000000000001</c:v>
                </c:pt>
                <c:pt idx="32">
                  <c:v>28.068999999999999</c:v>
                </c:pt>
                <c:pt idx="33">
                  <c:v>26.559000000000001</c:v>
                </c:pt>
                <c:pt idx="34">
                  <c:v>18.117999999999999</c:v>
                </c:pt>
                <c:pt idx="35">
                  <c:v>34.658999999999999</c:v>
                </c:pt>
                <c:pt idx="36">
                  <c:v>36.148000000000003</c:v>
                </c:pt>
                <c:pt idx="37">
                  <c:v>22.774000000000001</c:v>
                </c:pt>
                <c:pt idx="38">
                  <c:v>29.484000000000002</c:v>
                </c:pt>
                <c:pt idx="39">
                  <c:v>28.876999999999999</c:v>
                </c:pt>
                <c:pt idx="40">
                  <c:v>14.236000000000001</c:v>
                </c:pt>
                <c:pt idx="41">
                  <c:v>8.9890000000000008</c:v>
                </c:pt>
                <c:pt idx="42">
                  <c:v>21.236000000000001</c:v>
                </c:pt>
                <c:pt idx="43">
                  <c:v>19.222000000000001</c:v>
                </c:pt>
                <c:pt idx="44">
                  <c:v>27.474</c:v>
                </c:pt>
                <c:pt idx="45">
                  <c:v>37.49</c:v>
                </c:pt>
                <c:pt idx="46">
                  <c:v>23.891999999999999</c:v>
                </c:pt>
                <c:pt idx="47">
                  <c:v>5.5570000000000004</c:v>
                </c:pt>
                <c:pt idx="48">
                  <c:v>32.107999999999997</c:v>
                </c:pt>
                <c:pt idx="49">
                  <c:v>30.300999999999998</c:v>
                </c:pt>
                <c:pt idx="50">
                  <c:v>39.890999999999998</c:v>
                </c:pt>
                <c:pt idx="51">
                  <c:v>15.98</c:v>
                </c:pt>
                <c:pt idx="52">
                  <c:v>38.923999999999999</c:v>
                </c:pt>
                <c:pt idx="53">
                  <c:v>39.718000000000004</c:v>
                </c:pt>
                <c:pt idx="54">
                  <c:v>39.731999999999999</c:v>
                </c:pt>
                <c:pt idx="55">
                  <c:v>19.472000000000001</c:v>
                </c:pt>
                <c:pt idx="56">
                  <c:v>17.879000000000001</c:v>
                </c:pt>
                <c:pt idx="57">
                  <c:v>8.5050000000000008</c:v>
                </c:pt>
                <c:pt idx="58">
                  <c:v>17.908999999999999</c:v>
                </c:pt>
                <c:pt idx="59">
                  <c:v>16.076000000000001</c:v>
                </c:pt>
                <c:pt idx="60">
                  <c:v>28.51</c:v>
                </c:pt>
                <c:pt idx="61">
                  <c:v>22.434999999999999</c:v>
                </c:pt>
                <c:pt idx="62">
                  <c:v>4.8</c:v>
                </c:pt>
                <c:pt idx="63">
                  <c:v>7.617</c:v>
                </c:pt>
                <c:pt idx="64">
                  <c:v>11.771000000000001</c:v>
                </c:pt>
                <c:pt idx="65">
                  <c:v>23.396999999999998</c:v>
                </c:pt>
                <c:pt idx="66">
                  <c:v>31.056000000000001</c:v>
                </c:pt>
                <c:pt idx="67">
                  <c:v>34.034999999999997</c:v>
                </c:pt>
                <c:pt idx="68">
                  <c:v>29.494</c:v>
                </c:pt>
                <c:pt idx="69">
                  <c:v>32.590000000000003</c:v>
                </c:pt>
                <c:pt idx="70">
                  <c:v>41.737000000000002</c:v>
                </c:pt>
                <c:pt idx="71">
                  <c:v>15.688000000000001</c:v>
                </c:pt>
                <c:pt idx="72">
                  <c:v>38.277999999999999</c:v>
                </c:pt>
                <c:pt idx="73">
                  <c:v>32.607999999999997</c:v>
                </c:pt>
                <c:pt idx="74">
                  <c:v>49.015999999999998</c:v>
                </c:pt>
                <c:pt idx="75">
                  <c:v>8.452</c:v>
                </c:pt>
                <c:pt idx="76">
                  <c:v>10</c:v>
                </c:pt>
                <c:pt idx="77">
                  <c:v>44.442</c:v>
                </c:pt>
                <c:pt idx="78">
                  <c:v>44.884999999999998</c:v>
                </c:pt>
                <c:pt idx="79">
                  <c:v>49.201000000000001</c:v>
                </c:pt>
                <c:pt idx="80">
                  <c:v>48.043999999999997</c:v>
                </c:pt>
                <c:pt idx="81">
                  <c:v>44.305</c:v>
                </c:pt>
                <c:pt idx="82">
                  <c:v>39.073</c:v>
                </c:pt>
                <c:pt idx="83">
                  <c:v>48.154000000000003</c:v>
                </c:pt>
                <c:pt idx="84">
                  <c:v>51.462000000000003</c:v>
                </c:pt>
                <c:pt idx="85">
                  <c:v>28.582999999999998</c:v>
                </c:pt>
                <c:pt idx="86">
                  <c:v>46.758000000000003</c:v>
                </c:pt>
                <c:pt idx="87">
                  <c:v>46.308</c:v>
                </c:pt>
                <c:pt idx="88">
                  <c:v>30.193000000000001</c:v>
                </c:pt>
                <c:pt idx="89">
                  <c:v>22.658999999999999</c:v>
                </c:pt>
                <c:pt idx="90">
                  <c:v>46.095999999999997</c:v>
                </c:pt>
                <c:pt idx="91">
                  <c:v>41.034999999999997</c:v>
                </c:pt>
                <c:pt idx="92">
                  <c:v>24.574000000000002</c:v>
                </c:pt>
                <c:pt idx="93">
                  <c:v>53.545999999999999</c:v>
                </c:pt>
                <c:pt idx="94">
                  <c:v>55.423999999999999</c:v>
                </c:pt>
                <c:pt idx="95">
                  <c:v>55.978000000000002</c:v>
                </c:pt>
                <c:pt idx="96">
                  <c:v>30.356999999999999</c:v>
                </c:pt>
                <c:pt idx="97">
                  <c:v>32.36</c:v>
                </c:pt>
                <c:pt idx="98">
                  <c:v>48.71</c:v>
                </c:pt>
                <c:pt idx="99">
                  <c:v>53.889000000000003</c:v>
                </c:pt>
                <c:pt idx="100">
                  <c:v>54.896999999999998</c:v>
                </c:pt>
                <c:pt idx="101">
                  <c:v>53.991999999999997</c:v>
                </c:pt>
                <c:pt idx="102">
                  <c:v>43.088000000000001</c:v>
                </c:pt>
                <c:pt idx="103">
                  <c:v>15.183</c:v>
                </c:pt>
                <c:pt idx="104">
                  <c:v>53.54</c:v>
                </c:pt>
                <c:pt idx="105">
                  <c:v>48.597000000000001</c:v>
                </c:pt>
                <c:pt idx="106">
                  <c:v>41.53</c:v>
                </c:pt>
                <c:pt idx="107">
                  <c:v>29.52</c:v>
                </c:pt>
                <c:pt idx="108">
                  <c:v>43.033000000000001</c:v>
                </c:pt>
                <c:pt idx="109">
                  <c:v>18.548999999999999</c:v>
                </c:pt>
                <c:pt idx="110">
                  <c:v>11.651999999999999</c:v>
                </c:pt>
                <c:pt idx="111">
                  <c:v>16.696999999999999</c:v>
                </c:pt>
                <c:pt idx="112">
                  <c:v>8.5860000000000003</c:v>
                </c:pt>
                <c:pt idx="113">
                  <c:v>15.327</c:v>
                </c:pt>
                <c:pt idx="114">
                  <c:v>52.191000000000003</c:v>
                </c:pt>
                <c:pt idx="115">
                  <c:v>42.439</c:v>
                </c:pt>
                <c:pt idx="116">
                  <c:v>24.015000000000001</c:v>
                </c:pt>
                <c:pt idx="117">
                  <c:v>21.661000000000001</c:v>
                </c:pt>
                <c:pt idx="118">
                  <c:v>33.484000000000002</c:v>
                </c:pt>
                <c:pt idx="119">
                  <c:v>51.87</c:v>
                </c:pt>
                <c:pt idx="120">
                  <c:v>42.514000000000003</c:v>
                </c:pt>
                <c:pt idx="121">
                  <c:v>23.155999999999999</c:v>
                </c:pt>
                <c:pt idx="122">
                  <c:v>36.31</c:v>
                </c:pt>
                <c:pt idx="123">
                  <c:v>52.683</c:v>
                </c:pt>
                <c:pt idx="124">
                  <c:v>55.923999999999999</c:v>
                </c:pt>
                <c:pt idx="125">
                  <c:v>49.674999999999997</c:v>
                </c:pt>
                <c:pt idx="126">
                  <c:v>55.118000000000002</c:v>
                </c:pt>
                <c:pt idx="127">
                  <c:v>47.606999999999999</c:v>
                </c:pt>
                <c:pt idx="128">
                  <c:v>50.401000000000003</c:v>
                </c:pt>
                <c:pt idx="129">
                  <c:v>41.421999999999997</c:v>
                </c:pt>
                <c:pt idx="130">
                  <c:v>12.788</c:v>
                </c:pt>
                <c:pt idx="131">
                  <c:v>10.023999999999999</c:v>
                </c:pt>
                <c:pt idx="132">
                  <c:v>19.774000000000001</c:v>
                </c:pt>
                <c:pt idx="133">
                  <c:v>34.854999999999997</c:v>
                </c:pt>
                <c:pt idx="134">
                  <c:v>14.551</c:v>
                </c:pt>
                <c:pt idx="135">
                  <c:v>19.64</c:v>
                </c:pt>
                <c:pt idx="136">
                  <c:v>30.635999999999999</c:v>
                </c:pt>
                <c:pt idx="137">
                  <c:v>58.892000000000003</c:v>
                </c:pt>
                <c:pt idx="138">
                  <c:v>57.722000000000001</c:v>
                </c:pt>
                <c:pt idx="139">
                  <c:v>56.6</c:v>
                </c:pt>
                <c:pt idx="140">
                  <c:v>56.054000000000002</c:v>
                </c:pt>
                <c:pt idx="141">
                  <c:v>52.521000000000001</c:v>
                </c:pt>
                <c:pt idx="142">
                  <c:v>52.609000000000002</c:v>
                </c:pt>
                <c:pt idx="143">
                  <c:v>16.327999999999999</c:v>
                </c:pt>
                <c:pt idx="144">
                  <c:v>53.061999999999998</c:v>
                </c:pt>
                <c:pt idx="145">
                  <c:v>56.722999999999999</c:v>
                </c:pt>
                <c:pt idx="146">
                  <c:v>56.033999999999999</c:v>
                </c:pt>
                <c:pt idx="147">
                  <c:v>55.713000000000001</c:v>
                </c:pt>
                <c:pt idx="148">
                  <c:v>56.179000000000002</c:v>
                </c:pt>
                <c:pt idx="149">
                  <c:v>52.871000000000002</c:v>
                </c:pt>
                <c:pt idx="150">
                  <c:v>56.604999999999997</c:v>
                </c:pt>
                <c:pt idx="151">
                  <c:v>56.534999999999997</c:v>
                </c:pt>
                <c:pt idx="152">
                  <c:v>27.741</c:v>
                </c:pt>
                <c:pt idx="153">
                  <c:v>54.279000000000003</c:v>
                </c:pt>
                <c:pt idx="154">
                  <c:v>25.884</c:v>
                </c:pt>
                <c:pt idx="155">
                  <c:v>34.826999999999998</c:v>
                </c:pt>
                <c:pt idx="156">
                  <c:v>26.782</c:v>
                </c:pt>
                <c:pt idx="157">
                  <c:v>26.401</c:v>
                </c:pt>
                <c:pt idx="158">
                  <c:v>37.082000000000001</c:v>
                </c:pt>
                <c:pt idx="159">
                  <c:v>44.148000000000003</c:v>
                </c:pt>
                <c:pt idx="160">
                  <c:v>21.617000000000001</c:v>
                </c:pt>
                <c:pt idx="161">
                  <c:v>44.768999999999998</c:v>
                </c:pt>
                <c:pt idx="162">
                  <c:v>29.074000000000002</c:v>
                </c:pt>
                <c:pt idx="163">
                  <c:v>47.328000000000003</c:v>
                </c:pt>
                <c:pt idx="164">
                  <c:v>41.143000000000001</c:v>
                </c:pt>
                <c:pt idx="165">
                  <c:v>45.320999999999998</c:v>
                </c:pt>
                <c:pt idx="166">
                  <c:v>41.878999999999998</c:v>
                </c:pt>
                <c:pt idx="167">
                  <c:v>31.344999999999999</c:v>
                </c:pt>
                <c:pt idx="168">
                  <c:v>49.05</c:v>
                </c:pt>
                <c:pt idx="169">
                  <c:v>41.902000000000001</c:v>
                </c:pt>
                <c:pt idx="170">
                  <c:v>54.956000000000003</c:v>
                </c:pt>
                <c:pt idx="171">
                  <c:v>49.594000000000001</c:v>
                </c:pt>
                <c:pt idx="172">
                  <c:v>56.128</c:v>
                </c:pt>
                <c:pt idx="173">
                  <c:v>49.112000000000002</c:v>
                </c:pt>
                <c:pt idx="174">
                  <c:v>55.387999999999998</c:v>
                </c:pt>
                <c:pt idx="175">
                  <c:v>52.594999999999999</c:v>
                </c:pt>
                <c:pt idx="176">
                  <c:v>47.182000000000002</c:v>
                </c:pt>
                <c:pt idx="177">
                  <c:v>47.853999999999999</c:v>
                </c:pt>
                <c:pt idx="178">
                  <c:v>40.618000000000002</c:v>
                </c:pt>
                <c:pt idx="179">
                  <c:v>47.146999999999998</c:v>
                </c:pt>
                <c:pt idx="180">
                  <c:v>22.600999999999999</c:v>
                </c:pt>
                <c:pt idx="181">
                  <c:v>53.771999999999998</c:v>
                </c:pt>
                <c:pt idx="182">
                  <c:v>43.426000000000002</c:v>
                </c:pt>
                <c:pt idx="183">
                  <c:v>19.34</c:v>
                </c:pt>
                <c:pt idx="184">
                  <c:v>46.024999999999999</c:v>
                </c:pt>
                <c:pt idx="185">
                  <c:v>52.609000000000002</c:v>
                </c:pt>
                <c:pt idx="186">
                  <c:v>53.281999999999996</c:v>
                </c:pt>
                <c:pt idx="187">
                  <c:v>35.088000000000001</c:v>
                </c:pt>
                <c:pt idx="188">
                  <c:v>55.476999999999997</c:v>
                </c:pt>
                <c:pt idx="189">
                  <c:v>54.078000000000003</c:v>
                </c:pt>
                <c:pt idx="190">
                  <c:v>49.887999999999998</c:v>
                </c:pt>
                <c:pt idx="191">
                  <c:v>45.317</c:v>
                </c:pt>
                <c:pt idx="192">
                  <c:v>40.584000000000003</c:v>
                </c:pt>
                <c:pt idx="193">
                  <c:v>34.225999999999999</c:v>
                </c:pt>
                <c:pt idx="194">
                  <c:v>54.533000000000001</c:v>
                </c:pt>
                <c:pt idx="195">
                  <c:v>46.353000000000002</c:v>
                </c:pt>
                <c:pt idx="196">
                  <c:v>23.277000000000001</c:v>
                </c:pt>
                <c:pt idx="197">
                  <c:v>23.637</c:v>
                </c:pt>
                <c:pt idx="198">
                  <c:v>24.838000000000001</c:v>
                </c:pt>
                <c:pt idx="199">
                  <c:v>54.582999999999998</c:v>
                </c:pt>
                <c:pt idx="200">
                  <c:v>53.718000000000004</c:v>
                </c:pt>
                <c:pt idx="201">
                  <c:v>44.856000000000002</c:v>
                </c:pt>
                <c:pt idx="202">
                  <c:v>50.459000000000003</c:v>
                </c:pt>
                <c:pt idx="203">
                  <c:v>45.923000000000002</c:v>
                </c:pt>
                <c:pt idx="204">
                  <c:v>46.29</c:v>
                </c:pt>
                <c:pt idx="205">
                  <c:v>53.244</c:v>
                </c:pt>
                <c:pt idx="206">
                  <c:v>52.972999999999999</c:v>
                </c:pt>
                <c:pt idx="207">
                  <c:v>40.76</c:v>
                </c:pt>
                <c:pt idx="208">
                  <c:v>50.731999999999999</c:v>
                </c:pt>
                <c:pt idx="209">
                  <c:v>32.283999999999999</c:v>
                </c:pt>
                <c:pt idx="210">
                  <c:v>48.014000000000003</c:v>
                </c:pt>
                <c:pt idx="211">
                  <c:v>50.75</c:v>
                </c:pt>
                <c:pt idx="212">
                  <c:v>49.451999999999998</c:v>
                </c:pt>
                <c:pt idx="213">
                  <c:v>39.720999999999997</c:v>
                </c:pt>
                <c:pt idx="214">
                  <c:v>31.369</c:v>
                </c:pt>
                <c:pt idx="215">
                  <c:v>47.698999999999998</c:v>
                </c:pt>
                <c:pt idx="216">
                  <c:v>53.015999999999998</c:v>
                </c:pt>
                <c:pt idx="217">
                  <c:v>53.087000000000003</c:v>
                </c:pt>
                <c:pt idx="218">
                  <c:v>51.658999999999999</c:v>
                </c:pt>
                <c:pt idx="219">
                  <c:v>49.737000000000002</c:v>
                </c:pt>
                <c:pt idx="220">
                  <c:v>48.433</c:v>
                </c:pt>
                <c:pt idx="221">
                  <c:v>39.816000000000003</c:v>
                </c:pt>
                <c:pt idx="222">
                  <c:v>36.654000000000003</c:v>
                </c:pt>
                <c:pt idx="223">
                  <c:v>41.667000000000002</c:v>
                </c:pt>
                <c:pt idx="224">
                  <c:v>25.47</c:v>
                </c:pt>
                <c:pt idx="225">
                  <c:v>15.912000000000001</c:v>
                </c:pt>
                <c:pt idx="226">
                  <c:v>48.475999999999999</c:v>
                </c:pt>
                <c:pt idx="227">
                  <c:v>43.518999999999998</c:v>
                </c:pt>
                <c:pt idx="228">
                  <c:v>16.216999999999999</c:v>
                </c:pt>
                <c:pt idx="229">
                  <c:v>41.167999999999999</c:v>
                </c:pt>
                <c:pt idx="230">
                  <c:v>35.86</c:v>
                </c:pt>
                <c:pt idx="231">
                  <c:v>49.578000000000003</c:v>
                </c:pt>
                <c:pt idx="232">
                  <c:v>49.908999999999999</c:v>
                </c:pt>
                <c:pt idx="233">
                  <c:v>43.414000000000001</c:v>
                </c:pt>
                <c:pt idx="234">
                  <c:v>35.670999999999999</c:v>
                </c:pt>
                <c:pt idx="235">
                  <c:v>42.558999999999997</c:v>
                </c:pt>
                <c:pt idx="236">
                  <c:v>46.978000000000002</c:v>
                </c:pt>
                <c:pt idx="237">
                  <c:v>49.323999999999998</c:v>
                </c:pt>
                <c:pt idx="238">
                  <c:v>25.872</c:v>
                </c:pt>
                <c:pt idx="239">
                  <c:v>47.665999999999997</c:v>
                </c:pt>
                <c:pt idx="240">
                  <c:v>7.492</c:v>
                </c:pt>
                <c:pt idx="241">
                  <c:v>18.864000000000001</c:v>
                </c:pt>
                <c:pt idx="242">
                  <c:v>27.454999999999998</c:v>
                </c:pt>
                <c:pt idx="243">
                  <c:v>41.194000000000003</c:v>
                </c:pt>
                <c:pt idx="244">
                  <c:v>43.887999999999998</c:v>
                </c:pt>
                <c:pt idx="245">
                  <c:v>50.149000000000001</c:v>
                </c:pt>
                <c:pt idx="246">
                  <c:v>48.854999999999997</c:v>
                </c:pt>
                <c:pt idx="247">
                  <c:v>49.113</c:v>
                </c:pt>
                <c:pt idx="248">
                  <c:v>44.197000000000003</c:v>
                </c:pt>
                <c:pt idx="249">
                  <c:v>27.224</c:v>
                </c:pt>
                <c:pt idx="250">
                  <c:v>41.54</c:v>
                </c:pt>
                <c:pt idx="251">
                  <c:v>46.552999999999997</c:v>
                </c:pt>
                <c:pt idx="252">
                  <c:v>22.86</c:v>
                </c:pt>
                <c:pt idx="253">
                  <c:v>38.088999999999999</c:v>
                </c:pt>
                <c:pt idx="254">
                  <c:v>45.335999999999999</c:v>
                </c:pt>
                <c:pt idx="255">
                  <c:v>45.454000000000001</c:v>
                </c:pt>
                <c:pt idx="256">
                  <c:v>45.183999999999997</c:v>
                </c:pt>
                <c:pt idx="257">
                  <c:v>45.991999999999997</c:v>
                </c:pt>
                <c:pt idx="258">
                  <c:v>40.567</c:v>
                </c:pt>
                <c:pt idx="259">
                  <c:v>40.253</c:v>
                </c:pt>
                <c:pt idx="260">
                  <c:v>41.21</c:v>
                </c:pt>
                <c:pt idx="261">
                  <c:v>18.414999999999999</c:v>
                </c:pt>
                <c:pt idx="262">
                  <c:v>30.849</c:v>
                </c:pt>
                <c:pt idx="263">
                  <c:v>35.331000000000003</c:v>
                </c:pt>
                <c:pt idx="264">
                  <c:v>27.797999999999998</c:v>
                </c:pt>
                <c:pt idx="265">
                  <c:v>20.672999999999998</c:v>
                </c:pt>
                <c:pt idx="266">
                  <c:v>34.965000000000003</c:v>
                </c:pt>
                <c:pt idx="267">
                  <c:v>20.65</c:v>
                </c:pt>
                <c:pt idx="268">
                  <c:v>18.701000000000001</c:v>
                </c:pt>
                <c:pt idx="269">
                  <c:v>17.286000000000001</c:v>
                </c:pt>
                <c:pt idx="270">
                  <c:v>12.452</c:v>
                </c:pt>
                <c:pt idx="271">
                  <c:v>30.920999999999999</c:v>
                </c:pt>
                <c:pt idx="272">
                  <c:v>32.963999999999999</c:v>
                </c:pt>
                <c:pt idx="273">
                  <c:v>41.389000000000003</c:v>
                </c:pt>
                <c:pt idx="274">
                  <c:v>8.3759999999999994</c:v>
                </c:pt>
                <c:pt idx="275">
                  <c:v>5.0449999999999999</c:v>
                </c:pt>
                <c:pt idx="276">
                  <c:v>17.04</c:v>
                </c:pt>
                <c:pt idx="277">
                  <c:v>18.998999999999999</c:v>
                </c:pt>
                <c:pt idx="278">
                  <c:v>27.341000000000001</c:v>
                </c:pt>
                <c:pt idx="279">
                  <c:v>7.9429999999999996</c:v>
                </c:pt>
                <c:pt idx="280">
                  <c:v>30.684000000000001</c:v>
                </c:pt>
                <c:pt idx="281">
                  <c:v>34.393999999999998</c:v>
                </c:pt>
                <c:pt idx="282">
                  <c:v>26.361000000000001</c:v>
                </c:pt>
                <c:pt idx="283">
                  <c:v>19.661999999999999</c:v>
                </c:pt>
                <c:pt idx="284">
                  <c:v>16.513000000000002</c:v>
                </c:pt>
                <c:pt idx="285">
                  <c:v>24.957000000000001</c:v>
                </c:pt>
                <c:pt idx="286">
                  <c:v>23.119</c:v>
                </c:pt>
                <c:pt idx="287">
                  <c:v>13.709</c:v>
                </c:pt>
                <c:pt idx="288">
                  <c:v>19.131</c:v>
                </c:pt>
                <c:pt idx="289">
                  <c:v>11.063000000000001</c:v>
                </c:pt>
                <c:pt idx="290">
                  <c:v>38.088999999999999</c:v>
                </c:pt>
                <c:pt idx="291">
                  <c:v>36.835999999999999</c:v>
                </c:pt>
                <c:pt idx="292">
                  <c:v>31.038</c:v>
                </c:pt>
                <c:pt idx="293">
                  <c:v>4.9809999999999999</c:v>
                </c:pt>
                <c:pt idx="294">
                  <c:v>23.896000000000001</c:v>
                </c:pt>
                <c:pt idx="295">
                  <c:v>5.718</c:v>
                </c:pt>
                <c:pt idx="296">
                  <c:v>10.363</c:v>
                </c:pt>
                <c:pt idx="297">
                  <c:v>30.934999999999999</c:v>
                </c:pt>
                <c:pt idx="298">
                  <c:v>23.117000000000001</c:v>
                </c:pt>
                <c:pt idx="299">
                  <c:v>26.684999999999999</c:v>
                </c:pt>
                <c:pt idx="300">
                  <c:v>24.292999999999999</c:v>
                </c:pt>
                <c:pt idx="301">
                  <c:v>11.326000000000001</c:v>
                </c:pt>
                <c:pt idx="302">
                  <c:v>28.257000000000001</c:v>
                </c:pt>
                <c:pt idx="303">
                  <c:v>32.835000000000001</c:v>
                </c:pt>
                <c:pt idx="304">
                  <c:v>30.861999999999998</c:v>
                </c:pt>
                <c:pt idx="305">
                  <c:v>28.288</c:v>
                </c:pt>
                <c:pt idx="306">
                  <c:v>29.736999999999998</c:v>
                </c:pt>
                <c:pt idx="307">
                  <c:v>5.6950000000000003</c:v>
                </c:pt>
                <c:pt idx="308">
                  <c:v>13.765000000000001</c:v>
                </c:pt>
                <c:pt idx="309">
                  <c:v>22.402999999999999</c:v>
                </c:pt>
                <c:pt idx="310">
                  <c:v>15.079000000000001</c:v>
                </c:pt>
                <c:pt idx="311">
                  <c:v>3.383</c:v>
                </c:pt>
                <c:pt idx="312">
                  <c:v>22.388000000000002</c:v>
                </c:pt>
                <c:pt idx="313">
                  <c:v>21.436</c:v>
                </c:pt>
                <c:pt idx="314">
                  <c:v>13.693</c:v>
                </c:pt>
                <c:pt idx="315">
                  <c:v>22.225999999999999</c:v>
                </c:pt>
                <c:pt idx="316">
                  <c:v>29.113</c:v>
                </c:pt>
                <c:pt idx="317">
                  <c:v>18.608000000000001</c:v>
                </c:pt>
                <c:pt idx="318">
                  <c:v>27.192</c:v>
                </c:pt>
                <c:pt idx="319">
                  <c:v>20.417000000000002</c:v>
                </c:pt>
                <c:pt idx="320">
                  <c:v>19.37</c:v>
                </c:pt>
                <c:pt idx="321">
                  <c:v>26.683</c:v>
                </c:pt>
                <c:pt idx="322">
                  <c:v>27.849</c:v>
                </c:pt>
                <c:pt idx="323">
                  <c:v>6.4619999999999997</c:v>
                </c:pt>
                <c:pt idx="324">
                  <c:v>22.163</c:v>
                </c:pt>
                <c:pt idx="325">
                  <c:v>28.812999999999999</c:v>
                </c:pt>
                <c:pt idx="326">
                  <c:v>28.323</c:v>
                </c:pt>
                <c:pt idx="327">
                  <c:v>26.556000000000001</c:v>
                </c:pt>
                <c:pt idx="328">
                  <c:v>24.105</c:v>
                </c:pt>
                <c:pt idx="329">
                  <c:v>25.507000000000001</c:v>
                </c:pt>
                <c:pt idx="330">
                  <c:v>20.824999999999999</c:v>
                </c:pt>
                <c:pt idx="331">
                  <c:v>13.494999999999999</c:v>
                </c:pt>
                <c:pt idx="332">
                  <c:v>10.407</c:v>
                </c:pt>
                <c:pt idx="333">
                  <c:v>24.577999999999999</c:v>
                </c:pt>
                <c:pt idx="334">
                  <c:v>25.172999999999998</c:v>
                </c:pt>
                <c:pt idx="335">
                  <c:v>4.085</c:v>
                </c:pt>
                <c:pt idx="336">
                  <c:v>1.022</c:v>
                </c:pt>
                <c:pt idx="337">
                  <c:v>11.788</c:v>
                </c:pt>
                <c:pt idx="338">
                  <c:v>7.7610000000000001</c:v>
                </c:pt>
                <c:pt idx="339">
                  <c:v>21.725999999999999</c:v>
                </c:pt>
                <c:pt idx="340">
                  <c:v>16.870999999999999</c:v>
                </c:pt>
                <c:pt idx="341">
                  <c:v>2.2989999999999999</c:v>
                </c:pt>
                <c:pt idx="342">
                  <c:v>9.8829999999999991</c:v>
                </c:pt>
                <c:pt idx="343">
                  <c:v>8.266</c:v>
                </c:pt>
                <c:pt idx="344">
                  <c:v>5.2359999999999998</c:v>
                </c:pt>
                <c:pt idx="345">
                  <c:v>7.516</c:v>
                </c:pt>
                <c:pt idx="346">
                  <c:v>9.8249999999999993</c:v>
                </c:pt>
                <c:pt idx="347">
                  <c:v>9.4109999999999996</c:v>
                </c:pt>
                <c:pt idx="348">
                  <c:v>1.9510000000000001</c:v>
                </c:pt>
                <c:pt idx="349">
                  <c:v>2.0449999999999999</c:v>
                </c:pt>
                <c:pt idx="350">
                  <c:v>16.606000000000002</c:v>
                </c:pt>
                <c:pt idx="351">
                  <c:v>8.9740000000000002</c:v>
                </c:pt>
                <c:pt idx="352">
                  <c:v>9.4019999999999992</c:v>
                </c:pt>
                <c:pt idx="353">
                  <c:v>8.0350000000000001</c:v>
                </c:pt>
                <c:pt idx="354">
                  <c:v>5.5179999999999998</c:v>
                </c:pt>
                <c:pt idx="355">
                  <c:v>8.8559999999999999</c:v>
                </c:pt>
                <c:pt idx="356">
                  <c:v>19.925000000000001</c:v>
                </c:pt>
                <c:pt idx="357">
                  <c:v>11.273</c:v>
                </c:pt>
                <c:pt idx="358">
                  <c:v>10.791</c:v>
                </c:pt>
                <c:pt idx="359">
                  <c:v>3.044</c:v>
                </c:pt>
                <c:pt idx="360">
                  <c:v>14.260999999999999</c:v>
                </c:pt>
                <c:pt idx="361">
                  <c:v>6.0350000000000001</c:v>
                </c:pt>
                <c:pt idx="362">
                  <c:v>7.1950000000000003</c:v>
                </c:pt>
                <c:pt idx="363">
                  <c:v>6.407</c:v>
                </c:pt>
                <c:pt idx="364">
                  <c:v>8.6110000000000007</c:v>
                </c:pt>
                <c:pt idx="365">
                  <c:v>15.606999999999999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6664"/>
        <c:axId val="585976272"/>
      </c:lineChart>
      <c:dateAx>
        <c:axId val="585976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6272"/>
        <c:crosses val="autoZero"/>
        <c:auto val="1"/>
        <c:lblOffset val="100"/>
        <c:baseTimeUnit val="days"/>
        <c:majorUnit val="1"/>
        <c:majorTimeUnit val="months"/>
      </c:dateAx>
      <c:valAx>
        <c:axId val="5859762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66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0.43477632354771256</c:v>
                </c:pt>
                <c:pt idx="1">
                  <c:v>0.43479385231610912</c:v>
                </c:pt>
                <c:pt idx="2">
                  <c:v>0.43481211427340283</c:v>
                </c:pt>
                <c:pt idx="3">
                  <c:v>0.43483113999217993</c:v>
                </c:pt>
                <c:pt idx="4">
                  <c:v>0.43485096131171691</c:v>
                </c:pt>
                <c:pt idx="5">
                  <c:v>0.43487161138976732</c:v>
                </c:pt>
                <c:pt idx="6">
                  <c:v>0.43489312475640524</c:v>
                </c:pt>
                <c:pt idx="7">
                  <c:v>0.43491553737000355</c:v>
                </c:pt>
                <c:pt idx="8">
                  <c:v>0.43493888667542463</c:v>
                </c:pt>
                <c:pt idx="9">
                  <c:v>0.43496321166450636</c:v>
                </c:pt>
                <c:pt idx="10">
                  <c:v>0.43498855293892597</c:v>
                </c:pt>
                <c:pt idx="11">
                  <c:v>0.43501495277552865</c:v>
                </c:pt>
                <c:pt idx="12">
                  <c:v>0.43504245519421009</c:v>
                </c:pt>
                <c:pt idx="13">
                  <c:v>0.43507110602844379</c:v>
                </c:pt>
                <c:pt idx="14">
                  <c:v>0.43510095299854717</c:v>
                </c:pt>
                <c:pt idx="15">
                  <c:v>0.43513204578778314</c:v>
                </c:pt>
                <c:pt idx="16">
                  <c:v>0.4351644361213956</c:v>
                </c:pt>
                <c:pt idx="17">
                  <c:v>0.43519817784868065</c:v>
                </c:pt>
                <c:pt idx="18">
                  <c:v>0.43523332702819717</c:v>
                </c:pt>
                <c:pt idx="19">
                  <c:v>0.43526994201622277</c:v>
                </c:pt>
                <c:pt idx="20">
                  <c:v>0.43530808355856448</c:v>
                </c:pt>
                <c:pt idx="21">
                  <c:v>0.43534781488583374</c:v>
                </c:pt>
                <c:pt idx="22">
                  <c:v>0.43538920181230012</c:v>
                </c:pt>
                <c:pt idx="23">
                  <c:v>0.43543231283843781</c:v>
                </c:pt>
                <c:pt idx="24">
                  <c:v>0.43547721925728272</c:v>
                </c:pt>
                <c:pt idx="25">
                  <c:v>0.4355239952647183</c:v>
                </c:pt>
                <c:pt idx="26">
                  <c:v>0.43557271807381137</c:v>
                </c:pt>
                <c:pt idx="27">
                  <c:v>0.43562346803331892</c:v>
                </c:pt>
                <c:pt idx="28">
                  <c:v>0.43567632875049012</c:v>
                </c:pt>
                <c:pt idx="29">
                  <c:v>0.43573138721828619</c:v>
                </c:pt>
                <c:pt idx="30">
                  <c:v>0.43578873394714424</c:v>
                </c:pt>
                <c:pt idx="31">
                  <c:v>0.43584846310140851</c:v>
                </c:pt>
                <c:pt idx="32">
                  <c:v>0.43591067264055544</c:v>
                </c:pt>
                <c:pt idx="33">
                  <c:v>0.43597546446533525</c:v>
                </c:pt>
                <c:pt idx="34">
                  <c:v>0.43604294456895482</c:v>
                </c:pt>
                <c:pt idx="35">
                  <c:v>0.43611322319342333</c:v>
                </c:pt>
                <c:pt idx="36">
                  <c:v>0.43618641499117983</c:v>
                </c:pt>
                <c:pt idx="37">
                  <c:v>0.43626263919212066</c:v>
                </c:pt>
                <c:pt idx="38">
                  <c:v>0.43634201977614046</c:v>
                </c:pt>
                <c:pt idx="39">
                  <c:v>0.43642468565129511</c:v>
                </c:pt>
                <c:pt idx="40">
                  <c:v>0.43651077083769263</c:v>
                </c:pt>
                <c:pt idx="41">
                  <c:v>0.43660041465720933</c:v>
                </c:pt>
                <c:pt idx="42">
                  <c:v>0.43669376192912307</c:v>
                </c:pt>
                <c:pt idx="43">
                  <c:v>0.43679096317174654</c:v>
                </c:pt>
                <c:pt idx="44">
                  <c:v>0.43689217481013559</c:v>
                </c:pt>
                <c:pt idx="45">
                  <c:v>0.43699755938993384</c:v>
                </c:pt>
                <c:pt idx="46">
                  <c:v>0.43710728579740671</c:v>
                </c:pt>
                <c:pt idx="47">
                  <c:v>0.43722152948570048</c:v>
                </c:pt>
                <c:pt idx="48">
                  <c:v>0.43734047270734944</c:v>
                </c:pt>
                <c:pt idx="49">
                  <c:v>0.43746430475303483</c:v>
                </c:pt>
                <c:pt idx="50">
                  <c:v>0.43759322219658103</c:v>
                </c:pt>
                <c:pt idx="51">
                  <c:v>0.43772742914615298</c:v>
                </c:pt>
                <c:pt idx="52">
                  <c:v>0.43786713750159456</c:v>
                </c:pt>
                <c:pt idx="53">
                  <c:v>0.43801256721782128</c:v>
                </c:pt>
                <c:pt idx="54">
                  <c:v>0.43816394657415225</c:v>
                </c:pt>
                <c:pt idx="55">
                  <c:v>0.4383215124494339</c:v>
                </c:pt>
                <c:pt idx="56">
                  <c:v>0.43848551060277308</c:v>
                </c:pt>
                <c:pt idx="57">
                  <c:v>0.43865619595965916</c:v>
                </c:pt>
                <c:pt idx="58">
                  <c:v>0.43883383290321176</c:v>
                </c:pt>
                <c:pt idx="59">
                  <c:v>0.43901869557024703</c:v>
                </c:pt>
                <c:pt idx="60">
                  <c:v>0.43921106815180394</c:v>
                </c:pt>
                <c:pt idx="61">
                  <c:v>0.43941124519771868</c:v>
                </c:pt>
                <c:pt idx="62">
                  <c:v>0.43961953192477765</c:v>
                </c:pt>
                <c:pt idx="63">
                  <c:v>0.43983624452791503</c:v>
                </c:pt>
                <c:pt idx="64">
                  <c:v>0.4400617104938539</c:v>
                </c:pt>
                <c:pt idx="65">
                  <c:v>0.44029626891651524</c:v>
                </c:pt>
                <c:pt idx="66">
                  <c:v>0.44054027081344127</c:v>
                </c:pt>
                <c:pt idx="67">
                  <c:v>0.44079407944239346</c:v>
                </c:pt>
                <c:pt idx="68">
                  <c:v>0.44105807061719549</c:v>
                </c:pt>
                <c:pt idx="69">
                  <c:v>0.44133263302179443</c:v>
                </c:pt>
                <c:pt idx="70">
                  <c:v>0.44161816852140756</c:v>
                </c:pt>
                <c:pt idx="71">
                  <c:v>0.44191509246951505</c:v>
                </c:pt>
                <c:pt idx="72">
                  <c:v>0.44222383400933762</c:v>
                </c:pt>
                <c:pt idx="73">
                  <c:v>0.44254483636831654</c:v>
                </c:pt>
                <c:pt idx="74">
                  <c:v>0.44287855714397972</c:v>
                </c:pt>
                <c:pt idx="75">
                  <c:v>0.44322546857943829</c:v>
                </c:pt>
                <c:pt idx="76">
                  <c:v>0.44358605782661353</c:v>
                </c:pt>
                <c:pt idx="77">
                  <c:v>0.44396082719513746</c:v>
                </c:pt>
                <c:pt idx="78">
                  <c:v>0.44435029438471035</c:v>
                </c:pt>
                <c:pt idx="79">
                  <c:v>0.44475499269853047</c:v>
                </c:pt>
                <c:pt idx="80">
                  <c:v>0.44517547123523532</c:v>
                </c:pt>
                <c:pt idx="81">
                  <c:v>0.4456122950566121</c:v>
                </c:pt>
                <c:pt idx="82">
                  <c:v>0.44606604532814798</c:v>
                </c:pt>
                <c:pt idx="83">
                  <c:v>0.44653731942929631</c:v>
                </c:pt>
                <c:pt idx="84">
                  <c:v>0.44702673103013851</c:v>
                </c:pt>
                <c:pt idx="85">
                  <c:v>0.44753491013091723</c:v>
                </c:pt>
                <c:pt idx="86">
                  <c:v>0.44806250306071577</c:v>
                </c:pt>
                <c:pt idx="87">
                  <c:v>0.4486101724313476</c:v>
                </c:pt>
                <c:pt idx="88">
                  <c:v>0.44917859704231861</c:v>
                </c:pt>
                <c:pt idx="89">
                  <c:v>0.44976847173251716</c:v>
                </c:pt>
                <c:pt idx="90">
                  <c:v>0.45038050717408834</c:v>
                </c:pt>
                <c:pt idx="91">
                  <c:v>0.45101542960375196</c:v>
                </c:pt>
                <c:pt idx="92">
                  <c:v>0.45167398048664009</c:v>
                </c:pt>
                <c:pt idx="93">
                  <c:v>0.45235691610755169</c:v>
                </c:pt>
                <c:pt idx="94">
                  <c:v>0.45306500708436293</c:v>
                </c:pt>
                <c:pt idx="95">
                  <c:v>0.45379903779818703</c:v>
                </c:pt>
                <c:pt idx="96">
                  <c:v>0.45455980573475646</c:v>
                </c:pt>
                <c:pt idx="97">
                  <c:v>0.45534812073140257</c:v>
                </c:pt>
                <c:pt idx="98">
                  <c:v>0.45616480412394222</c:v>
                </c:pt>
                <c:pt idx="99">
                  <c:v>0.45701068778774773</c:v>
                </c:pt>
                <c:pt idx="100">
                  <c:v>0.45788661306728601</c:v>
                </c:pt>
                <c:pt idx="101">
                  <c:v>0.45879342958846298</c:v>
                </c:pt>
                <c:pt idx="102">
                  <c:v>0.4597319939482159</c:v>
                </c:pt>
                <c:pt idx="103">
                  <c:v>0.46070316827595409</c:v>
                </c:pt>
                <c:pt idx="104">
                  <c:v>0.46170781866167299</c:v>
                </c:pt>
                <c:pt idx="105">
                  <c:v>0.46274681344585838</c:v>
                </c:pt>
                <c:pt idx="106">
                  <c:v>0.46382102136666448</c:v>
                </c:pt>
                <c:pt idx="107">
                  <c:v>0.46493130956029821</c:v>
                </c:pt>
                <c:pt idx="108">
                  <c:v>0.46607854141108035</c:v>
                </c:pt>
                <c:pt idx="109">
                  <c:v>0.46726357424828185</c:v>
                </c:pt>
                <c:pt idx="110">
                  <c:v>0.46848725688756571</c:v>
                </c:pt>
                <c:pt idx="111">
                  <c:v>0.46975042701569519</c:v>
                </c:pt>
                <c:pt idx="112">
                  <c:v>0.47105390841811523</c:v>
                </c:pt>
                <c:pt idx="113">
                  <c:v>0.47239850805006411</c:v>
                </c:pt>
                <c:pt idx="114">
                  <c:v>0.47378501295304359</c:v>
                </c:pt>
                <c:pt idx="115">
                  <c:v>0.47521418701975898</c:v>
                </c:pt>
                <c:pt idx="116">
                  <c:v>0.47668676761203999</c:v>
                </c:pt>
                <c:pt idx="117">
                  <c:v>0.47820346203776637</c:v>
                </c:pt>
                <c:pt idx="118">
                  <c:v>0.47976494389444557</c:v>
                </c:pt>
                <c:pt idx="119">
                  <c:v>0.48137184928881305</c:v>
                </c:pt>
                <c:pt idx="120">
                  <c:v>0.48302477294364909</c:v>
                </c:pt>
                <c:pt idx="121">
                  <c:v>0.4847242642049101</c:v>
                </c:pt>
                <c:pt idx="122">
                  <c:v>0.48647082296424837</c:v>
                </c:pt>
                <c:pt idx="123">
                  <c:v>0.48826489551402263</c:v>
                </c:pt>
                <c:pt idx="124">
                  <c:v>0.49010687035396849</c:v>
                </c:pt>
                <c:pt idx="125">
                  <c:v>0.4919970739707733</c:v>
                </c:pt>
                <c:pt idx="126">
                  <c:v>0.49393576661386468</c:v>
                </c:pt>
                <c:pt idx="127">
                  <c:v>0.49592313809274446</c:v>
                </c:pt>
                <c:pt idx="128">
                  <c:v>0.49795930362315166</c:v>
                </c:pt>
                <c:pt idx="129">
                  <c:v>0.50004429975118259</c:v>
                </c:pt>
                <c:pt idx="130">
                  <c:v>0.50217808038620115</c:v>
                </c:pt>
                <c:pt idx="131">
                  <c:v>0.50436051297489848</c:v>
                </c:pt>
                <c:pt idx="132">
                  <c:v>0.5065913748501697</c:v>
                </c:pt>
                <c:pt idx="133">
                  <c:v>0.50887034978953116</c:v>
                </c:pt>
                <c:pt idx="134">
                  <c:v>0.51119702481855489</c:v>
                </c:pt>
                <c:pt idx="135">
                  <c:v>0.51357088729523059</c:v>
                </c:pt>
                <c:pt idx="136">
                  <c:v>0.51599132231121481</c:v>
                </c:pt>
                <c:pt idx="137">
                  <c:v>0.51845761044558913</c:v>
                </c:pt>
                <c:pt idx="138">
                  <c:v>0.520968925905967</c:v>
                </c:pt>
                <c:pt idx="139">
                  <c:v>0.5235243350905634</c:v>
                </c:pt>
                <c:pt idx="140">
                  <c:v>0.52612279560312913</c:v>
                </c:pt>
                <c:pt idx="141">
                  <c:v>0.52876315575046251</c:v>
                </c:pt>
                <c:pt idx="142">
                  <c:v>0.53144415454952587</c:v>
                </c:pt>
                <c:pt idx="143">
                  <c:v>0.53416442226802352</c:v>
                </c:pt>
                <c:pt idx="144">
                  <c:v>0.53692248151865385</c:v>
                </c:pt>
                <c:pt idx="145">
                  <c:v>0.53971674892315324</c:v>
                </c:pt>
                <c:pt idx="146">
                  <c:v>0.54254553735773869</c:v>
                </c:pt>
                <c:pt idx="147">
                  <c:v>0.54540705878666418</c:v>
                </c:pt>
                <c:pt idx="148">
                  <c:v>0.54829942768539741</c:v>
                </c:pt>
                <c:pt idx="149">
                  <c:v>0.55122066504944989</c:v>
                </c:pt>
                <c:pt idx="150">
                  <c:v>0.55416870297922594</c:v>
                </c:pt>
                <c:pt idx="151">
                  <c:v>0.55714138982547534</c:v>
                </c:pt>
                <c:pt idx="152">
                  <c:v>0.56013649587412284</c:v>
                </c:pt>
                <c:pt idx="153">
                  <c:v>0.56315171954348597</c:v>
                </c:pt>
                <c:pt idx="154">
                  <c:v>0.5661846940612818</c:v>
                </c:pt>
                <c:pt idx="155">
                  <c:v>0.56923299458344501</c:v>
                </c:pt>
                <c:pt idx="156">
                  <c:v>0.57229414571172899</c:v>
                </c:pt>
                <c:pt idx="157">
                  <c:v>0.57536562936242452</c:v>
                </c:pt>
                <c:pt idx="158">
                  <c:v>0.5784448929343845</c:v>
                </c:pt>
                <c:pt idx="159">
                  <c:v>0.58152935772096803</c:v>
                </c:pt>
                <c:pt idx="160">
                  <c:v>0.58461642750757492</c:v>
                </c:pt>
                <c:pt idx="161">
                  <c:v>0.58770349729418181</c:v>
                </c:pt>
                <c:pt idx="162">
                  <c:v>0.59078796208076534</c:v>
                </c:pt>
                <c:pt idx="163">
                  <c:v>0.59386722565272532</c:v>
                </c:pt>
                <c:pt idx="164">
                  <c:v>0.59693870930342086</c:v>
                </c:pt>
                <c:pt idx="165">
                  <c:v>0.59999986043170483</c:v>
                </c:pt>
                <c:pt idx="166">
                  <c:v>0.60304816095386804</c:v>
                </c:pt>
                <c:pt idx="167">
                  <c:v>0.60608113547166387</c:v>
                </c:pt>
                <c:pt idx="168">
                  <c:v>0.609096359141027</c:v>
                </c:pt>
                <c:pt idx="169">
                  <c:v>0.6120914651896745</c:v>
                </c:pt>
                <c:pt idx="170">
                  <c:v>0.61506415203592391</c:v>
                </c:pt>
                <c:pt idx="171">
                  <c:v>0.61801218996569995</c:v>
                </c:pt>
                <c:pt idx="172">
                  <c:v>0.62093342732975254</c:v>
                </c:pt>
                <c:pt idx="173">
                  <c:v>0.62382579622848566</c:v>
                </c:pt>
                <c:pt idx="174">
                  <c:v>0.62668731765741115</c:v>
                </c:pt>
                <c:pt idx="175">
                  <c:v>0.6295161060919966</c:v>
                </c:pt>
                <c:pt idx="176">
                  <c:v>0.63231037349649599</c:v>
                </c:pt>
                <c:pt idx="177">
                  <c:v>0.63506843274712632</c:v>
                </c:pt>
                <c:pt idx="178">
                  <c:v>0.63778870046562397</c:v>
                </c:pt>
                <c:pt idx="179">
                  <c:v>0.64046969926468744</c:v>
                </c:pt>
                <c:pt idx="180">
                  <c:v>0.64311005941202071</c:v>
                </c:pt>
                <c:pt idx="181">
                  <c:v>0.64570851992458644</c:v>
                </c:pt>
                <c:pt idx="182">
                  <c:v>0.64826392910918285</c:v>
                </c:pt>
                <c:pt idx="183">
                  <c:v>0.65077524456956071</c:v>
                </c:pt>
                <c:pt idx="184">
                  <c:v>0.65324153270393504</c:v>
                </c:pt>
                <c:pt idx="185">
                  <c:v>0.65566196771991936</c:v>
                </c:pt>
                <c:pt idx="186">
                  <c:v>0.65803583019659495</c:v>
                </c:pt>
                <c:pt idx="187">
                  <c:v>0.66036250522561879</c:v>
                </c:pt>
                <c:pt idx="188">
                  <c:v>0.66264148016498015</c:v>
                </c:pt>
                <c:pt idx="189">
                  <c:v>0.66487234204025136</c:v>
                </c:pt>
                <c:pt idx="190">
                  <c:v>0.66705477462894858</c:v>
                </c:pt>
                <c:pt idx="191">
                  <c:v>0.66918855526396726</c:v>
                </c:pt>
                <c:pt idx="192">
                  <c:v>0.67127355139199818</c:v>
                </c:pt>
                <c:pt idx="193">
                  <c:v>0.67330971692240538</c:v>
                </c:pt>
                <c:pt idx="194">
                  <c:v>0.67529708840128522</c:v>
                </c:pt>
                <c:pt idx="195">
                  <c:v>0.67723578104437654</c:v>
                </c:pt>
                <c:pt idx="196">
                  <c:v>0.67912598466118146</c:v>
                </c:pt>
                <c:pt idx="197">
                  <c:v>0.68096795950112721</c:v>
                </c:pt>
                <c:pt idx="198">
                  <c:v>0.68276203205090147</c:v>
                </c:pt>
                <c:pt idx="199">
                  <c:v>0.68450859081023974</c:v>
                </c:pt>
                <c:pt idx="200">
                  <c:v>0.68620808207150086</c:v>
                </c:pt>
                <c:pt idx="201">
                  <c:v>0.68786100572633679</c:v>
                </c:pt>
                <c:pt idx="202">
                  <c:v>0.68946791112070427</c:v>
                </c:pt>
                <c:pt idx="203">
                  <c:v>0.69102939297738353</c:v>
                </c:pt>
                <c:pt idx="204">
                  <c:v>0.69254608740310986</c:v>
                </c:pt>
                <c:pt idx="205">
                  <c:v>0.6940186679953908</c:v>
                </c:pt>
                <c:pt idx="206">
                  <c:v>0.69544784206210619</c:v>
                </c:pt>
                <c:pt idx="207">
                  <c:v>0.69683434696508573</c:v>
                </c:pt>
                <c:pt idx="208">
                  <c:v>0.69817894659703472</c:v>
                </c:pt>
                <c:pt idx="209">
                  <c:v>0.6994824279994547</c:v>
                </c:pt>
                <c:pt idx="210">
                  <c:v>0.70074559812758408</c:v>
                </c:pt>
                <c:pt idx="211">
                  <c:v>0.70196928076686804</c:v>
                </c:pt>
                <c:pt idx="212">
                  <c:v>0.70315431360406955</c:v>
                </c:pt>
                <c:pt idx="213">
                  <c:v>0.70430154545485157</c:v>
                </c:pt>
                <c:pt idx="214">
                  <c:v>0.70541183364848536</c:v>
                </c:pt>
                <c:pt idx="215">
                  <c:v>0.70648604156929151</c:v>
                </c:pt>
                <c:pt idx="216">
                  <c:v>0.70752503635347685</c:v>
                </c:pt>
                <c:pt idx="217">
                  <c:v>0.70852968673919581</c:v>
                </c:pt>
                <c:pt idx="218">
                  <c:v>0.709500861066934</c:v>
                </c:pt>
                <c:pt idx="219">
                  <c:v>0.71043942542668681</c:v>
                </c:pt>
                <c:pt idx="220">
                  <c:v>0.71134624194786378</c:v>
                </c:pt>
                <c:pt idx="221">
                  <c:v>0.71222216722740206</c:v>
                </c:pt>
                <c:pt idx="222">
                  <c:v>0.71306805089120762</c:v>
                </c:pt>
                <c:pt idx="223">
                  <c:v>0.71388473428374732</c:v>
                </c:pt>
                <c:pt idx="224">
                  <c:v>0.71467304928039344</c:v>
                </c:pt>
                <c:pt idx="225">
                  <c:v>0.71543381721696275</c:v>
                </c:pt>
                <c:pt idx="226">
                  <c:v>0.71616784793078692</c:v>
                </c:pt>
                <c:pt idx="227">
                  <c:v>0.71687593890759815</c:v>
                </c:pt>
                <c:pt idx="228">
                  <c:v>0.71755887452850975</c:v>
                </c:pt>
                <c:pt idx="229">
                  <c:v>0.71821742541139799</c:v>
                </c:pt>
                <c:pt idx="230">
                  <c:v>0.71885234784106156</c:v>
                </c:pt>
                <c:pt idx="231">
                  <c:v>0.71946438328263262</c:v>
                </c:pt>
                <c:pt idx="232">
                  <c:v>0.72005425797283129</c:v>
                </c:pt>
                <c:pt idx="233">
                  <c:v>0.72062268258380224</c:v>
                </c:pt>
                <c:pt idx="234">
                  <c:v>0.72117035195443402</c:v>
                </c:pt>
                <c:pt idx="235">
                  <c:v>0.72169794488423256</c:v>
                </c:pt>
                <c:pt idx="236">
                  <c:v>0.72220612398501127</c:v>
                </c:pt>
                <c:pt idx="237">
                  <c:v>0.72269553558585353</c:v>
                </c:pt>
                <c:pt idx="238">
                  <c:v>0.72316680968700187</c:v>
                </c:pt>
                <c:pt idx="239">
                  <c:v>0.72362055995853769</c:v>
                </c:pt>
                <c:pt idx="240">
                  <c:v>0.72405738377991447</c:v>
                </c:pt>
                <c:pt idx="241">
                  <c:v>0.72447786231661937</c:v>
                </c:pt>
                <c:pt idx="242">
                  <c:v>0.72488256063043943</c:v>
                </c:pt>
                <c:pt idx="243">
                  <c:v>0.72527202782001243</c:v>
                </c:pt>
                <c:pt idx="244">
                  <c:v>0.72564679718853631</c:v>
                </c:pt>
                <c:pt idx="245">
                  <c:v>0.72600738643571161</c:v>
                </c:pt>
                <c:pt idx="246">
                  <c:v>0.72635429787117012</c:v>
                </c:pt>
                <c:pt idx="247">
                  <c:v>0.7266880186468333</c:v>
                </c:pt>
                <c:pt idx="248">
                  <c:v>0.72700902100581222</c:v>
                </c:pt>
                <c:pt idx="249">
                  <c:v>0.72731776254563485</c:v>
                </c:pt>
                <c:pt idx="250">
                  <c:v>0.72761468649374228</c:v>
                </c:pt>
                <c:pt idx="251">
                  <c:v>0.72790022199335547</c:v>
                </c:pt>
                <c:pt idx="252">
                  <c:v>0.72817478439795436</c:v>
                </c:pt>
                <c:pt idx="253">
                  <c:v>0.72843877557275638</c:v>
                </c:pt>
                <c:pt idx="254">
                  <c:v>0.72869258420170857</c:v>
                </c:pt>
                <c:pt idx="255">
                  <c:v>0.72893658609863465</c:v>
                </c:pt>
                <c:pt idx="256">
                  <c:v>0.72917114452129606</c:v>
                </c:pt>
                <c:pt idx="257">
                  <c:v>0.72939661048723481</c:v>
                </c:pt>
                <c:pt idx="258">
                  <c:v>0.72961332309037219</c:v>
                </c:pt>
                <c:pt idx="259">
                  <c:v>0.72982160981743127</c:v>
                </c:pt>
                <c:pt idx="260">
                  <c:v>0.73002178686334585</c:v>
                </c:pt>
                <c:pt idx="261">
                  <c:v>0.73021415944490287</c:v>
                </c:pt>
                <c:pt idx="262">
                  <c:v>0.73039902211193808</c:v>
                </c:pt>
                <c:pt idx="263">
                  <c:v>0.73057665905549074</c:v>
                </c:pt>
                <c:pt idx="264">
                  <c:v>0.73074734441237688</c:v>
                </c:pt>
                <c:pt idx="265">
                  <c:v>0.73091134256571588</c:v>
                </c:pt>
                <c:pt idx="266">
                  <c:v>0.73106890844099759</c:v>
                </c:pt>
                <c:pt idx="267">
                  <c:v>0.73122028779732862</c:v>
                </c:pt>
                <c:pt idx="268">
                  <c:v>0.73136571751355528</c:v>
                </c:pt>
                <c:pt idx="269">
                  <c:v>0.73150542586899681</c:v>
                </c:pt>
                <c:pt idx="270">
                  <c:v>0.73163963281856881</c:v>
                </c:pt>
                <c:pt idx="271">
                  <c:v>0.73176855026211496</c:v>
                </c:pt>
                <c:pt idx="272">
                  <c:v>0.7318923823078004</c:v>
                </c:pt>
                <c:pt idx="273">
                  <c:v>0.73201132552944936</c:v>
                </c:pt>
                <c:pt idx="274">
                  <c:v>0.73212556921774319</c:v>
                </c:pt>
                <c:pt idx="275">
                  <c:v>0.73223529562521605</c:v>
                </c:pt>
                <c:pt idx="276">
                  <c:v>0.7323406802050143</c:v>
                </c:pt>
                <c:pt idx="277">
                  <c:v>0.73244189184340325</c:v>
                </c:pt>
                <c:pt idx="278">
                  <c:v>0.73253909308602672</c:v>
                </c:pt>
                <c:pt idx="279">
                  <c:v>0.73263244035794051</c:v>
                </c:pt>
                <c:pt idx="280">
                  <c:v>0.73272208417745721</c:v>
                </c:pt>
                <c:pt idx="281">
                  <c:v>0.73280816936385473</c:v>
                </c:pt>
                <c:pt idx="282">
                  <c:v>0.73289083523900933</c:v>
                </c:pt>
                <c:pt idx="283">
                  <c:v>0.73297021582302913</c:v>
                </c:pt>
                <c:pt idx="284">
                  <c:v>0.73304644002397001</c:v>
                </c:pt>
                <c:pt idx="285">
                  <c:v>0.73311963182172657</c:v>
                </c:pt>
                <c:pt idx="286">
                  <c:v>0.73318991044619497</c:v>
                </c:pt>
                <c:pt idx="287">
                  <c:v>0.73325739054981465</c:v>
                </c:pt>
                <c:pt idx="288">
                  <c:v>0.73332218237459446</c:v>
                </c:pt>
                <c:pt idx="289">
                  <c:v>0.73338439191374127</c:v>
                </c:pt>
                <c:pt idx="290">
                  <c:v>0.73344412106800561</c:v>
                </c:pt>
                <c:pt idx="291">
                  <c:v>0.73350146779686365</c:v>
                </c:pt>
                <c:pt idx="292">
                  <c:v>0.73355652626465973</c:v>
                </c:pt>
                <c:pt idx="293">
                  <c:v>0.73360938698183098</c:v>
                </c:pt>
                <c:pt idx="294">
                  <c:v>0.73366013694133847</c:v>
                </c:pt>
                <c:pt idx="295">
                  <c:v>0.73370885975043154</c:v>
                </c:pt>
                <c:pt idx="296">
                  <c:v>0.73375563575786718</c:v>
                </c:pt>
                <c:pt idx="297">
                  <c:v>0.73380054217671209</c:v>
                </c:pt>
                <c:pt idx="298">
                  <c:v>0.73384365320284983</c:v>
                </c:pt>
                <c:pt idx="299">
                  <c:v>0.73388504012931621</c:v>
                </c:pt>
                <c:pt idx="300">
                  <c:v>0.73392477145658541</c:v>
                </c:pt>
                <c:pt idx="301">
                  <c:v>0.73396291299892713</c:v>
                </c:pt>
                <c:pt idx="302">
                  <c:v>0.73399952798695267</c:v>
                </c:pt>
                <c:pt idx="303">
                  <c:v>0.7340346771664692</c:v>
                </c:pt>
                <c:pt idx="304">
                  <c:v>0.73406841889375429</c:v>
                </c:pt>
                <c:pt idx="305">
                  <c:v>0.73410080922736665</c:v>
                </c:pt>
                <c:pt idx="306">
                  <c:v>0.73413190201660261</c:v>
                </c:pt>
                <c:pt idx="307">
                  <c:v>0.73416174898670605</c:v>
                </c:pt>
                <c:pt idx="308">
                  <c:v>0.7341903998209397</c:v>
                </c:pt>
                <c:pt idx="309">
                  <c:v>0.73421790223962125</c:v>
                </c:pt>
                <c:pt idx="310">
                  <c:v>0.73424430207622393</c:v>
                </c:pt>
                <c:pt idx="311">
                  <c:v>0.73426964335064349</c:v>
                </c:pt>
                <c:pt idx="312">
                  <c:v>0.73429396833972516</c:v>
                </c:pt>
                <c:pt idx="313">
                  <c:v>0.73431731764514629</c:v>
                </c:pt>
                <c:pt idx="314">
                  <c:v>0.73433973025874466</c:v>
                </c:pt>
                <c:pt idx="315">
                  <c:v>0.73436124362538258</c:v>
                </c:pt>
                <c:pt idx="316">
                  <c:v>0.73438189370343299</c:v>
                </c:pt>
                <c:pt idx="317">
                  <c:v>0.73440171502297003</c:v>
                </c:pt>
                <c:pt idx="318">
                  <c:v>0.73442074074174701</c:v>
                </c:pt>
                <c:pt idx="319">
                  <c:v>0.73443900269904083</c:v>
                </c:pt>
                <c:pt idx="320">
                  <c:v>0.73445653146743728</c:v>
                </c:pt>
                <c:pt idx="321">
                  <c:v>0.73447335640263534</c:v>
                </c:pt>
                <c:pt idx="322">
                  <c:v>0.73448950569133764</c:v>
                </c:pt>
                <c:pt idx="323">
                  <c:v>0.7345050063973011</c:v>
                </c:pt>
                <c:pt idx="324">
                  <c:v>0.73451988450561212</c:v>
                </c:pt>
                <c:pt idx="325">
                  <c:v>0.73453416496525326</c:v>
                </c:pt>
                <c:pt idx="326">
                  <c:v>0.73454787173002312</c:v>
                </c:pt>
                <c:pt idx="327">
                  <c:v>0.73456102779787191</c:v>
                </c:pt>
                <c:pt idx="328">
                  <c:v>0.73457365524871032</c:v>
                </c:pt>
                <c:pt idx="329">
                  <c:v>0.73458577528074931</c:v>
                </c:pt>
                <c:pt idx="330">
                  <c:v>0.73459740824542563</c:v>
                </c:pt>
                <c:pt idx="331">
                  <c:v>0.73460857368096644</c:v>
                </c:pt>
                <c:pt idx="332">
                  <c:v>0.73461929034464402</c:v>
                </c:pt>
                <c:pt idx="333">
                  <c:v>0.73462957624376946</c:v>
                </c:pt>
                <c:pt idx="334">
                  <c:v>0.73463944866547481</c:v>
                </c:pt>
                <c:pt idx="335">
                  <c:v>0.7346489242053279</c:v>
                </c:pt>
                <c:pt idx="336">
                  <c:v>0.73465801879482551</c:v>
                </c:pt>
                <c:pt idx="337">
                  <c:v>0.73466674772780638</c:v>
                </c:pt>
                <c:pt idx="338">
                  <c:v>0.73467512568582782</c:v>
                </c:pt>
                <c:pt idx="339">
                  <c:v>0.73468316676254153</c:v>
                </c:pt>
                <c:pt idx="340">
                  <c:v>0.73469088448711262</c:v>
                </c:pt>
                <c:pt idx="341">
                  <c:v>0.73469829184671309</c:v>
                </c:pt>
                <c:pt idx="342">
                  <c:v>0.73470540130812911</c:v>
                </c:pt>
                <c:pt idx="343">
                  <c:v>0.73471222483851584</c:v>
                </c:pt>
                <c:pt idx="344">
                  <c:v>0.73471877392533069</c:v>
                </c:pt>
                <c:pt idx="345">
                  <c:v>0.73472505959547951</c:v>
                </c:pt>
                <c:pt idx="346">
                  <c:v>0.73473109243370494</c:v>
                </c:pt>
                <c:pt idx="347">
                  <c:v>0.73473688260024661</c:v>
                </c:pt>
                <c:pt idx="348">
                  <c:v>0.73474243984780052</c:v>
                </c:pt>
                <c:pt idx="349">
                  <c:v>0.73474777353780762</c:v>
                </c:pt>
                <c:pt idx="350">
                  <c:v>0.73475289265609511</c:v>
                </c:pt>
                <c:pt idx="351">
                  <c:v>0.73475780582789674</c:v>
                </c:pt>
                <c:pt idx="352">
                  <c:v>0.73476252133227637</c:v>
                </c:pt>
                <c:pt idx="353">
                  <c:v>0.7347670471159794</c:v>
                </c:pt>
                <c:pt idx="354">
                  <c:v>0.73477139080673148</c:v>
                </c:pt>
                <c:pt idx="355">
                  <c:v>0.73477555972600994</c:v>
                </c:pt>
                <c:pt idx="356">
                  <c:v>0.73477555972600994</c:v>
                </c:pt>
                <c:pt idx="357">
                  <c:v>0.73477555972600994</c:v>
                </c:pt>
                <c:pt idx="358">
                  <c:v>0.73477555972600994</c:v>
                </c:pt>
                <c:pt idx="359">
                  <c:v>0.73477555972600994</c:v>
                </c:pt>
                <c:pt idx="360">
                  <c:v>0.73477555972600994</c:v>
                </c:pt>
                <c:pt idx="361">
                  <c:v>0.73477555972600994</c:v>
                </c:pt>
                <c:pt idx="362">
                  <c:v>0.73477555972600994</c:v>
                </c:pt>
                <c:pt idx="363">
                  <c:v>0.73477555972600994</c:v>
                </c:pt>
                <c:pt idx="364">
                  <c:v>0.73477555972600994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5488"/>
        <c:axId val="585975096"/>
      </c:lineChart>
      <c:dateAx>
        <c:axId val="585975488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5096"/>
        <c:crosses val="autoZero"/>
        <c:auto val="1"/>
        <c:lblOffset val="100"/>
        <c:baseTimeUnit val="days"/>
        <c:majorUnit val="1"/>
      </c:dateAx>
      <c:valAx>
        <c:axId val="585975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5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2.0528322778980646E-2</c:v>
                </c:pt>
                <c:pt idx="1">
                  <c:v>2.054977572245964E-2</c:v>
                </c:pt>
                <c:pt idx="2">
                  <c:v>2.0571228196064051E-2</c:v>
                </c:pt>
                <c:pt idx="3">
                  <c:v>2.0592680199804203E-2</c:v>
                </c:pt>
                <c:pt idx="4">
                  <c:v>2.0614131733690422E-2</c:v>
                </c:pt>
                <c:pt idx="5">
                  <c:v>2.0635582797733032E-2</c:v>
                </c:pt>
                <c:pt idx="6">
                  <c:v>2.0657033391942248E-2</c:v>
                </c:pt>
                <c:pt idx="7">
                  <c:v>2.0678483516328505E-2</c:v>
                </c:pt>
                <c:pt idx="8">
                  <c:v>2.0699933170901907E-2</c:v>
                </c:pt>
                <c:pt idx="9">
                  <c:v>2.0721382355672779E-2</c:v>
                </c:pt>
                <c:pt idx="10">
                  <c:v>2.0742831070651557E-2</c:v>
                </c:pt>
                <c:pt idx="11">
                  <c:v>2.0764279315848344E-2</c:v>
                </c:pt>
                <c:pt idx="12">
                  <c:v>2.0785727091273576E-2</c:v>
                </c:pt>
                <c:pt idx="13">
                  <c:v>2.0807174396937467E-2</c:v>
                </c:pt>
                <c:pt idx="14">
                  <c:v>2.0828621232850342E-2</c:v>
                </c:pt>
                <c:pt idx="15">
                  <c:v>2.0850067599022415E-2</c:v>
                </c:pt>
                <c:pt idx="16">
                  <c:v>2.0871513495464011E-2</c:v>
                </c:pt>
                <c:pt idx="17">
                  <c:v>2.0892958922185567E-2</c:v>
                </c:pt>
                <c:pt idx="18">
                  <c:v>2.0914403879197074E-2</c:v>
                </c:pt>
                <c:pt idx="19">
                  <c:v>2.093584836650908E-2</c:v>
                </c:pt>
                <c:pt idx="20">
                  <c:v>2.0957292384131798E-2</c:v>
                </c:pt>
                <c:pt idx="21">
                  <c:v>2.0978735932075443E-2</c:v>
                </c:pt>
                <c:pt idx="22">
                  <c:v>2.1000179010350339E-2</c:v>
                </c:pt>
                <c:pt idx="23">
                  <c:v>2.1021621618966813E-2</c:v>
                </c:pt>
                <c:pt idx="24">
                  <c:v>2.1043063757935188E-2</c:v>
                </c:pt>
                <c:pt idx="25">
                  <c:v>2.1064505427265567E-2</c:v>
                </c:pt>
                <c:pt idx="26">
                  <c:v>2.1085946626968499E-2</c:v>
                </c:pt>
                <c:pt idx="27">
                  <c:v>2.1107387357054086E-2</c:v>
                </c:pt>
                <c:pt idx="28">
                  <c:v>2.1128827617532542E-2</c:v>
                </c:pt>
                <c:pt idx="29">
                  <c:v>2.1150267408414414E-2</c:v>
                </c:pt>
                <c:pt idx="30">
                  <c:v>2.1171706729709805E-2</c:v>
                </c:pt>
                <c:pt idx="31">
                  <c:v>2.1193145581428929E-2</c:v>
                </c:pt>
                <c:pt idx="32">
                  <c:v>2.1214583963582334E-2</c:v>
                </c:pt>
                <c:pt idx="33">
                  <c:v>2.1236021876180122E-2</c:v>
                </c:pt>
                <c:pt idx="34">
                  <c:v>2.1257459319232508E-2</c:v>
                </c:pt>
                <c:pt idx="35">
                  <c:v>2.1278896292749927E-2</c:v>
                </c:pt>
                <c:pt idx="36">
                  <c:v>2.1300332796742594E-2</c:v>
                </c:pt>
                <c:pt idx="37">
                  <c:v>2.1321768831220833E-2</c:v>
                </c:pt>
                <c:pt idx="38">
                  <c:v>2.134320439619497E-2</c:v>
                </c:pt>
                <c:pt idx="39">
                  <c:v>2.1364639491675108E-2</c:v>
                </c:pt>
                <c:pt idx="40">
                  <c:v>2.1386074117671683E-2</c:v>
                </c:pt>
                <c:pt idx="41">
                  <c:v>2.1407508274194909E-2</c:v>
                </c:pt>
                <c:pt idx="42">
                  <c:v>2.142894196125511E-2</c:v>
                </c:pt>
                <c:pt idx="43">
                  <c:v>2.1450375178862613E-2</c:v>
                </c:pt>
                <c:pt idx="44">
                  <c:v>2.1471807927027631E-2</c:v>
                </c:pt>
                <c:pt idx="45">
                  <c:v>2.1493240205760378E-2</c:v>
                </c:pt>
                <c:pt idx="46">
                  <c:v>2.151467201507129E-2</c:v>
                </c:pt>
                <c:pt idx="47">
                  <c:v>2.1536103354970582E-2</c:v>
                </c:pt>
                <c:pt idx="48">
                  <c:v>2.1557534225468467E-2</c:v>
                </c:pt>
                <c:pt idx="49">
                  <c:v>2.1578964626575381E-2</c:v>
                </c:pt>
                <c:pt idx="50">
                  <c:v>2.1600394558301428E-2</c:v>
                </c:pt>
                <c:pt idx="51">
                  <c:v>2.1621824020657043E-2</c:v>
                </c:pt>
                <c:pt idx="52">
                  <c:v>2.164325301365233E-2</c:v>
                </c:pt>
                <c:pt idx="53">
                  <c:v>2.1664681537297725E-2</c:v>
                </c:pt>
                <c:pt idx="54">
                  <c:v>2.1686109591603442E-2</c:v>
                </c:pt>
                <c:pt idx="55">
                  <c:v>2.1707537176579805E-2</c:v>
                </c:pt>
                <c:pt idx="56">
                  <c:v>2.1728964292237141E-2</c:v>
                </c:pt>
                <c:pt idx="57">
                  <c:v>2.1750390938585551E-2</c:v>
                </c:pt>
                <c:pt idx="58">
                  <c:v>2.1771817115635361E-2</c:v>
                </c:pt>
                <c:pt idx="59">
                  <c:v>2.1793242823397008E-2</c:v>
                </c:pt>
                <c:pt idx="60">
                  <c:v>2.1814668061880704E-2</c:v>
                </c:pt>
                <c:pt idx="61">
                  <c:v>2.1836092831096554E-2</c:v>
                </c:pt>
                <c:pt idx="62">
                  <c:v>2.1857517131055104E-2</c:v>
                </c:pt>
                <c:pt idx="63">
                  <c:v>2.1878940961766347E-2</c:v>
                </c:pt>
                <c:pt idx="64">
                  <c:v>2.1900364323240828E-2</c:v>
                </c:pt>
                <c:pt idx="65">
                  <c:v>2.1921787215488764E-2</c:v>
                </c:pt>
                <c:pt idx="66">
                  <c:v>2.1943209638520256E-2</c:v>
                </c:pt>
                <c:pt idx="67">
                  <c:v>2.196463159234574E-2</c:v>
                </c:pt>
                <c:pt idx="68">
                  <c:v>2.1986053076975542E-2</c:v>
                </c:pt>
                <c:pt idx="69">
                  <c:v>2.2007474092419765E-2</c:v>
                </c:pt>
                <c:pt idx="70">
                  <c:v>2.2028894638688734E-2</c:v>
                </c:pt>
                <c:pt idx="71">
                  <c:v>2.2050314715792885E-2</c:v>
                </c:pt>
                <c:pt idx="72">
                  <c:v>2.207173432374232E-2</c:v>
                </c:pt>
                <c:pt idx="73">
                  <c:v>2.2093153462547366E-2</c:v>
                </c:pt>
                <c:pt idx="74">
                  <c:v>2.2114572132218235E-2</c:v>
                </c:pt>
                <c:pt idx="75">
                  <c:v>2.2135990332765365E-2</c:v>
                </c:pt>
                <c:pt idx="76">
                  <c:v>2.2157408064198858E-2</c:v>
                </c:pt>
                <c:pt idx="77">
                  <c:v>2.217882532652915E-2</c:v>
                </c:pt>
                <c:pt idx="78">
                  <c:v>2.2200242119766345E-2</c:v>
                </c:pt>
                <c:pt idx="79">
                  <c:v>2.2221658443920878E-2</c:v>
                </c:pt>
                <c:pt idx="80">
                  <c:v>2.2243074299002963E-2</c:v>
                </c:pt>
                <c:pt idx="81">
                  <c:v>2.2264489685022815E-2</c:v>
                </c:pt>
                <c:pt idx="82">
                  <c:v>2.2285904601990758E-2</c:v>
                </c:pt>
                <c:pt idx="83">
                  <c:v>2.2307319049917007E-2</c:v>
                </c:pt>
                <c:pt idx="84">
                  <c:v>2.2328733028811998E-2</c:v>
                </c:pt>
                <c:pt idx="85">
                  <c:v>2.2350146538685833E-2</c:v>
                </c:pt>
                <c:pt idx="86">
                  <c:v>2.2371559579548839E-2</c:v>
                </c:pt>
                <c:pt idx="87">
                  <c:v>2.2392972151411228E-2</c:v>
                </c:pt>
                <c:pt idx="88">
                  <c:v>2.2414384254283437E-2</c:v>
                </c:pt>
                <c:pt idx="89">
                  <c:v>2.2435795888175569E-2</c:v>
                </c:pt>
                <c:pt idx="90">
                  <c:v>2.2457207053098061E-2</c:v>
                </c:pt>
                <c:pt idx="91">
                  <c:v>2.2478617749061014E-2</c:v>
                </c:pt>
                <c:pt idx="92">
                  <c:v>2.2500027976074866E-2</c:v>
                </c:pt>
                <c:pt idx="93">
                  <c:v>2.2521437734149719E-2</c:v>
                </c:pt>
                <c:pt idx="94">
                  <c:v>2.2542847023295898E-2</c:v>
                </c:pt>
                <c:pt idx="95">
                  <c:v>2.2564255843523728E-2</c:v>
                </c:pt>
                <c:pt idx="96">
                  <c:v>2.2585664194843535E-2</c:v>
                </c:pt>
                <c:pt idx="97">
                  <c:v>2.2607072077265422E-2</c:v>
                </c:pt>
                <c:pt idx="98">
                  <c:v>2.2628479490799713E-2</c:v>
                </c:pt>
                <c:pt idx="99">
                  <c:v>2.2649886435456734E-2</c:v>
                </c:pt>
                <c:pt idx="100">
                  <c:v>2.267129291124681E-2</c:v>
                </c:pt>
                <c:pt idx="101">
                  <c:v>2.2692698918180043E-2</c:v>
                </c:pt>
                <c:pt idx="102">
                  <c:v>2.2714104456266759E-2</c:v>
                </c:pt>
                <c:pt idx="103">
                  <c:v>2.2735509525517283E-2</c:v>
                </c:pt>
                <c:pt idx="104">
                  <c:v>2.2756914125941941E-2</c:v>
                </c:pt>
                <c:pt idx="105">
                  <c:v>2.2778318257550834E-2</c:v>
                </c:pt>
                <c:pt idx="106">
                  <c:v>2.2799721920354288E-2</c:v>
                </c:pt>
                <c:pt idx="107">
                  <c:v>2.2821125114362628E-2</c:v>
                </c:pt>
                <c:pt idx="108">
                  <c:v>2.284252783958618E-2</c:v>
                </c:pt>
                <c:pt idx="109">
                  <c:v>2.2863930096035046E-2</c:v>
                </c:pt>
                <c:pt idx="110">
                  <c:v>2.2885331883719551E-2</c:v>
                </c:pt>
                <c:pt idx="111">
                  <c:v>2.2906733202649909E-2</c:v>
                </c:pt>
                <c:pt idx="112">
                  <c:v>2.2928134052836557E-2</c:v>
                </c:pt>
                <c:pt idx="113">
                  <c:v>2.2949534434289709E-2</c:v>
                </c:pt>
                <c:pt idx="114">
                  <c:v>2.2970934347019467E-2</c:v>
                </c:pt>
                <c:pt idx="115">
                  <c:v>2.2992333791036268E-2</c:v>
                </c:pt>
                <c:pt idx="116">
                  <c:v>2.3013732766350325E-2</c:v>
                </c:pt>
                <c:pt idx="117">
                  <c:v>2.3035131272971854E-2</c:v>
                </c:pt>
                <c:pt idx="118">
                  <c:v>2.3056529310911289E-2</c:v>
                </c:pt>
                <c:pt idx="119">
                  <c:v>2.3077926880178623E-2</c:v>
                </c:pt>
                <c:pt idx="120">
                  <c:v>2.3099323980784403E-2</c:v>
                </c:pt>
                <c:pt idx="121">
                  <c:v>2.3120720612738732E-2</c:v>
                </c:pt>
                <c:pt idx="122">
                  <c:v>2.3142116776051824E-2</c:v>
                </c:pt>
                <c:pt idx="123">
                  <c:v>2.3163512470734116E-2</c:v>
                </c:pt>
                <c:pt idx="124">
                  <c:v>2.318490769679582E-2</c:v>
                </c:pt>
                <c:pt idx="125">
                  <c:v>2.3206302454247041E-2</c:v>
                </c:pt>
                <c:pt idx="126">
                  <c:v>2.3227696743098325E-2</c:v>
                </c:pt>
                <c:pt idx="127">
                  <c:v>2.3249090563359665E-2</c:v>
                </c:pt>
                <c:pt idx="128">
                  <c:v>2.3270483915041384E-2</c:v>
                </c:pt>
                <c:pt idx="129">
                  <c:v>2.3291876798153921E-2</c:v>
                </c:pt>
                <c:pt idx="130">
                  <c:v>2.3313269212707377E-2</c:v>
                </c:pt>
                <c:pt idx="131">
                  <c:v>2.3334661158711967E-2</c:v>
                </c:pt>
                <c:pt idx="132">
                  <c:v>2.3356052636178126E-2</c:v>
                </c:pt>
                <c:pt idx="133">
                  <c:v>2.3377443645116069E-2</c:v>
                </c:pt>
                <c:pt idx="134">
                  <c:v>2.3398834185535899E-2</c:v>
                </c:pt>
                <c:pt idx="135">
                  <c:v>2.3420224257448052E-2</c:v>
                </c:pt>
                <c:pt idx="136">
                  <c:v>2.3441613860862742E-2</c:v>
                </c:pt>
                <c:pt idx="137">
                  <c:v>2.3463002995790294E-2</c:v>
                </c:pt>
                <c:pt idx="138">
                  <c:v>2.3484391662240811E-2</c:v>
                </c:pt>
                <c:pt idx="139">
                  <c:v>2.3505779860224618E-2</c:v>
                </c:pt>
                <c:pt idx="140">
                  <c:v>2.352716758975204E-2</c:v>
                </c:pt>
                <c:pt idx="141">
                  <c:v>2.3548554850833292E-2</c:v>
                </c:pt>
                <c:pt idx="142">
                  <c:v>2.3569941643478587E-2</c:v>
                </c:pt>
                <c:pt idx="143">
                  <c:v>2.3591327967698361E-2</c:v>
                </c:pt>
                <c:pt idx="144">
                  <c:v>2.3612713823502607E-2</c:v>
                </c:pt>
                <c:pt idx="145">
                  <c:v>2.363409921090176E-2</c:v>
                </c:pt>
                <c:pt idx="146">
                  <c:v>2.3655484129906146E-2</c:v>
                </c:pt>
                <c:pt idx="147">
                  <c:v>2.3676868580525867E-2</c:v>
                </c:pt>
                <c:pt idx="148">
                  <c:v>2.3698252562771138E-2</c:v>
                </c:pt>
                <c:pt idx="149">
                  <c:v>2.3719636076652395E-2</c:v>
                </c:pt>
                <c:pt idx="150">
                  <c:v>2.3741019122179852E-2</c:v>
                </c:pt>
                <c:pt idx="151">
                  <c:v>2.3762401699363722E-2</c:v>
                </c:pt>
                <c:pt idx="152">
                  <c:v>2.3783783808214221E-2</c:v>
                </c:pt>
                <c:pt idx="153">
                  <c:v>2.3805165448741672E-2</c:v>
                </c:pt>
                <c:pt idx="154">
                  <c:v>2.3826546620956401E-2</c:v>
                </c:pt>
                <c:pt idx="155">
                  <c:v>2.3847927324868512E-2</c:v>
                </c:pt>
                <c:pt idx="156">
                  <c:v>2.3869307560488329E-2</c:v>
                </c:pt>
                <c:pt idx="157">
                  <c:v>2.3890687327826177E-2</c:v>
                </c:pt>
                <c:pt idx="158">
                  <c:v>2.3912066626892159E-2</c:v>
                </c:pt>
                <c:pt idx="159">
                  <c:v>2.3933445457696712E-2</c:v>
                </c:pt>
                <c:pt idx="160">
                  <c:v>2.3954823820249938E-2</c:v>
                </c:pt>
                <c:pt idx="161">
                  <c:v>2.3976201714562162E-2</c:v>
                </c:pt>
                <c:pt idx="162">
                  <c:v>2.399757914064371E-2</c:v>
                </c:pt>
                <c:pt idx="163">
                  <c:v>2.4018956098504685E-2</c:v>
                </c:pt>
                <c:pt idx="164">
                  <c:v>2.4040332588155522E-2</c:v>
                </c:pt>
                <c:pt idx="165">
                  <c:v>2.4061708609606214E-2</c:v>
                </c:pt>
                <c:pt idx="166">
                  <c:v>2.4083084162867308E-2</c:v>
                </c:pt>
                <c:pt idx="167">
                  <c:v>2.4104459247948906E-2</c:v>
                </c:pt>
                <c:pt idx="168">
                  <c:v>2.4125833864861224E-2</c:v>
                </c:pt>
                <c:pt idx="169">
                  <c:v>2.4147208013614585E-2</c:v>
                </c:pt>
                <c:pt idx="170">
                  <c:v>2.4168581694219315E-2</c:v>
                </c:pt>
                <c:pt idx="171">
                  <c:v>2.4189954906685518E-2</c:v>
                </c:pt>
                <c:pt idx="172">
                  <c:v>2.4211327651023518E-2</c:v>
                </c:pt>
                <c:pt idx="173">
                  <c:v>2.4232699927243528E-2</c:v>
                </c:pt>
                <c:pt idx="174">
                  <c:v>2.4254071735355875E-2</c:v>
                </c:pt>
                <c:pt idx="175">
                  <c:v>2.4275443075370773E-2</c:v>
                </c:pt>
                <c:pt idx="176">
                  <c:v>2.4296813947298546E-2</c:v>
                </c:pt>
                <c:pt idx="177">
                  <c:v>2.4318184351149297E-2</c:v>
                </c:pt>
                <c:pt idx="178">
                  <c:v>2.3139554286933352E-2</c:v>
                </c:pt>
                <c:pt idx="179">
                  <c:v>2.3160923754661035E-2</c:v>
                </c:pt>
                <c:pt idx="180">
                  <c:v>2.318229275434245E-2</c:v>
                </c:pt>
                <c:pt idx="181">
                  <c:v>2.3203661285988032E-2</c:v>
                </c:pt>
                <c:pt idx="182">
                  <c:v>2.3225029349607886E-2</c:v>
                </c:pt>
                <c:pt idx="183">
                  <c:v>2.3246396945212223E-2</c:v>
                </c:pt>
                <c:pt idx="184">
                  <c:v>2.3267764072811482E-2</c:v>
                </c:pt>
                <c:pt idx="185">
                  <c:v>2.3289130732415765E-2</c:v>
                </c:pt>
                <c:pt idx="186">
                  <c:v>2.3310496924035397E-2</c:v>
                </c:pt>
                <c:pt idx="187">
                  <c:v>2.3331862647680592E-2</c:v>
                </c:pt>
                <c:pt idx="188">
                  <c:v>2.3353227903361563E-2</c:v>
                </c:pt>
                <c:pt idx="189">
                  <c:v>2.3374592691088637E-2</c:v>
                </c:pt>
                <c:pt idx="190">
                  <c:v>2.3395957010872027E-2</c:v>
                </c:pt>
                <c:pt idx="191">
                  <c:v>2.3417320862721948E-2</c:v>
                </c:pt>
                <c:pt idx="192">
                  <c:v>2.3438684246648724E-2</c:v>
                </c:pt>
                <c:pt idx="193">
                  <c:v>2.3460047162662569E-2</c:v>
                </c:pt>
                <c:pt idx="194">
                  <c:v>2.3481409610773697E-2</c:v>
                </c:pt>
                <c:pt idx="195">
                  <c:v>2.3502771590992434E-2</c:v>
                </c:pt>
                <c:pt idx="196">
                  <c:v>2.3524133103328883E-2</c:v>
                </c:pt>
                <c:pt idx="197">
                  <c:v>2.3545494147793479E-2</c:v>
                </c:pt>
                <c:pt idx="198">
                  <c:v>2.3566854724396326E-2</c:v>
                </c:pt>
                <c:pt idx="199">
                  <c:v>2.3588214833147748E-2</c:v>
                </c:pt>
                <c:pt idx="200">
                  <c:v>2.3609574474057961E-2</c:v>
                </c:pt>
                <c:pt idx="201">
                  <c:v>2.3630933647137288E-2</c:v>
                </c:pt>
                <c:pt idx="202">
                  <c:v>2.3652292352395833E-2</c:v>
                </c:pt>
                <c:pt idx="203">
                  <c:v>2.3673650589843921E-2</c:v>
                </c:pt>
                <c:pt idx="204">
                  <c:v>2.3695008359491766E-2</c:v>
                </c:pt>
                <c:pt idx="205">
                  <c:v>2.3716365661349693E-2</c:v>
                </c:pt>
                <c:pt idx="206">
                  <c:v>2.3737722495427917E-2</c:v>
                </c:pt>
                <c:pt idx="207">
                  <c:v>2.375907886173665E-2</c:v>
                </c:pt>
                <c:pt idx="208">
                  <c:v>2.3780434760286108E-2</c:v>
                </c:pt>
                <c:pt idx="209">
                  <c:v>2.3801790191086615E-2</c:v>
                </c:pt>
                <c:pt idx="210">
                  <c:v>2.3823145154148385E-2</c:v>
                </c:pt>
                <c:pt idx="211">
                  <c:v>2.3844499649481633E-2</c:v>
                </c:pt>
                <c:pt idx="212">
                  <c:v>2.3865853677096684E-2</c:v>
                </c:pt>
                <c:pt idx="213">
                  <c:v>2.388720723700364E-2</c:v>
                </c:pt>
                <c:pt idx="214">
                  <c:v>2.3908560329212937E-2</c:v>
                </c:pt>
                <c:pt idx="215">
                  <c:v>2.3929912953734568E-2</c:v>
                </c:pt>
                <c:pt idx="216">
                  <c:v>2.395126511057908E-2</c:v>
                </c:pt>
                <c:pt idx="217">
                  <c:v>2.3972616799756465E-2</c:v>
                </c:pt>
                <c:pt idx="218">
                  <c:v>2.3993968021277047E-2</c:v>
                </c:pt>
                <c:pt idx="219">
                  <c:v>2.4015318775151152E-2</c:v>
                </c:pt>
                <c:pt idx="220">
                  <c:v>2.4036669061388884E-2</c:v>
                </c:pt>
                <c:pt idx="221">
                  <c:v>2.4058018880000566E-2</c:v>
                </c:pt>
                <c:pt idx="222">
                  <c:v>2.4079368230996413E-2</c:v>
                </c:pt>
                <c:pt idx="223">
                  <c:v>2.4100717114386751E-2</c:v>
                </c:pt>
                <c:pt idx="224">
                  <c:v>2.4122065530181681E-2</c:v>
                </c:pt>
                <c:pt idx="225">
                  <c:v>2.4143413478391641E-2</c:v>
                </c:pt>
                <c:pt idx="226">
                  <c:v>2.4164760959026622E-2</c:v>
                </c:pt>
                <c:pt idx="227">
                  <c:v>2.418610797209695E-2</c:v>
                </c:pt>
                <c:pt idx="228">
                  <c:v>2.420745451761306E-2</c:v>
                </c:pt>
                <c:pt idx="229">
                  <c:v>2.4228800595584944E-2</c:v>
                </c:pt>
                <c:pt idx="230">
                  <c:v>2.4250146206022928E-2</c:v>
                </c:pt>
                <c:pt idx="231">
                  <c:v>2.4271491348937337E-2</c:v>
                </c:pt>
                <c:pt idx="232">
                  <c:v>2.4292836024338273E-2</c:v>
                </c:pt>
                <c:pt idx="233">
                  <c:v>2.4314180232236061E-2</c:v>
                </c:pt>
                <c:pt idx="234">
                  <c:v>2.4335523972640806E-2</c:v>
                </c:pt>
                <c:pt idx="235">
                  <c:v>2.4356867245563053E-2</c:v>
                </c:pt>
                <c:pt idx="236">
                  <c:v>2.4378210051012685E-2</c:v>
                </c:pt>
                <c:pt idx="237">
                  <c:v>2.4399552389000136E-2</c:v>
                </c:pt>
                <c:pt idx="238">
                  <c:v>2.4420894259535732E-2</c:v>
                </c:pt>
                <c:pt idx="239">
                  <c:v>2.4442235662629465E-2</c:v>
                </c:pt>
                <c:pt idx="240">
                  <c:v>2.4463576598291771E-2</c:v>
                </c:pt>
                <c:pt idx="241">
                  <c:v>2.4484917066532753E-2</c:v>
                </c:pt>
                <c:pt idx="242">
                  <c:v>2.4506257067362737E-2</c:v>
                </c:pt>
                <c:pt idx="243">
                  <c:v>2.4527596600791936E-2</c:v>
                </c:pt>
                <c:pt idx="244">
                  <c:v>2.4548935666830564E-2</c:v>
                </c:pt>
                <c:pt idx="245">
                  <c:v>2.4570274265488946E-2</c:v>
                </c:pt>
                <c:pt idx="246">
                  <c:v>2.4591612396777186E-2</c:v>
                </c:pt>
                <c:pt idx="247">
                  <c:v>2.4612950060705609E-2</c:v>
                </c:pt>
                <c:pt idx="248">
                  <c:v>2.4634287257284428E-2</c:v>
                </c:pt>
                <c:pt idx="249">
                  <c:v>2.4655623986523857E-2</c:v>
                </c:pt>
                <c:pt idx="250">
                  <c:v>2.4676960248434222E-2</c:v>
                </c:pt>
                <c:pt idx="251">
                  <c:v>2.4698296043025626E-2</c:v>
                </c:pt>
                <c:pt idx="252">
                  <c:v>2.4719631370308505E-2</c:v>
                </c:pt>
                <c:pt idx="253">
                  <c:v>2.474096623029285E-2</c:v>
                </c:pt>
                <c:pt idx="254">
                  <c:v>2.4762300622988988E-2</c:v>
                </c:pt>
                <c:pt idx="255">
                  <c:v>2.4783634548407242E-2</c:v>
                </c:pt>
                <c:pt idx="256">
                  <c:v>2.4804968006557716E-2</c:v>
                </c:pt>
                <c:pt idx="257">
                  <c:v>2.4826300997450736E-2</c:v>
                </c:pt>
                <c:pt idx="258">
                  <c:v>2.4847633521096514E-2</c:v>
                </c:pt>
                <c:pt idx="259">
                  <c:v>2.4868965577505266E-2</c:v>
                </c:pt>
                <c:pt idx="260">
                  <c:v>2.4890297166687204E-2</c:v>
                </c:pt>
                <c:pt idx="261">
                  <c:v>2.4911628288652544E-2</c:v>
                </c:pt>
                <c:pt idx="262">
                  <c:v>2.4932958943411722E-2</c:v>
                </c:pt>
                <c:pt idx="263">
                  <c:v>2.4954289130974729E-2</c:v>
                </c:pt>
                <c:pt idx="264">
                  <c:v>2.497561885135189E-2</c:v>
                </c:pt>
                <c:pt idx="265">
                  <c:v>2.4996948104553419E-2</c:v>
                </c:pt>
                <c:pt idx="266">
                  <c:v>2.5018276890589532E-2</c:v>
                </c:pt>
                <c:pt idx="267">
                  <c:v>2.5039605209470552E-2</c:v>
                </c:pt>
                <c:pt idx="268">
                  <c:v>2.5060933061206693E-2</c:v>
                </c:pt>
                <c:pt idx="269">
                  <c:v>2.5082260445808059E-2</c:v>
                </c:pt>
                <c:pt idx="270">
                  <c:v>2.5103587363284975E-2</c:v>
                </c:pt>
                <c:pt idx="271">
                  <c:v>2.5124913813647766E-2</c:v>
                </c:pt>
                <c:pt idx="272">
                  <c:v>2.5146239796906424E-2</c:v>
                </c:pt>
                <c:pt idx="273">
                  <c:v>2.5167565313071384E-2</c:v>
                </c:pt>
                <c:pt idx="274">
                  <c:v>2.5188890362152751E-2</c:v>
                </c:pt>
                <c:pt idx="275">
                  <c:v>2.5210214944160959E-2</c:v>
                </c:pt>
                <c:pt idx="276">
                  <c:v>2.5231539059106002E-2</c:v>
                </c:pt>
                <c:pt idx="277">
                  <c:v>2.5252862706998204E-2</c:v>
                </c:pt>
                <c:pt idx="278">
                  <c:v>2.5274185887847779E-2</c:v>
                </c:pt>
                <c:pt idx="279">
                  <c:v>2.5295508601664941E-2</c:v>
                </c:pt>
                <c:pt idx="280">
                  <c:v>2.5316830848460016E-2</c:v>
                </c:pt>
                <c:pt idx="281">
                  <c:v>2.5338152628243106E-2</c:v>
                </c:pt>
                <c:pt idx="282">
                  <c:v>2.5359473941024537E-2</c:v>
                </c:pt>
                <c:pt idx="283">
                  <c:v>2.538079478681441E-2</c:v>
                </c:pt>
                <c:pt idx="284">
                  <c:v>2.5402115165623164E-2</c:v>
                </c:pt>
                <c:pt idx="285">
                  <c:v>2.5423435077460789E-2</c:v>
                </c:pt>
                <c:pt idx="286">
                  <c:v>2.5444754522337722E-2</c:v>
                </c:pt>
                <c:pt idx="287">
                  <c:v>2.5466073500264065E-2</c:v>
                </c:pt>
                <c:pt idx="288">
                  <c:v>2.5487392011250144E-2</c:v>
                </c:pt>
                <c:pt idx="289">
                  <c:v>2.5508710055306062E-2</c:v>
                </c:pt>
                <c:pt idx="290">
                  <c:v>2.5530027632442033E-2</c:v>
                </c:pt>
                <c:pt idx="291">
                  <c:v>2.5551344742668493E-2</c:v>
                </c:pt>
                <c:pt idx="292">
                  <c:v>2.5572661385995434E-2</c:v>
                </c:pt>
                <c:pt idx="293">
                  <c:v>2.559397756243318E-2</c:v>
                </c:pt>
                <c:pt idx="294">
                  <c:v>2.5615293271991947E-2</c:v>
                </c:pt>
                <c:pt idx="295">
                  <c:v>2.5636608514682059E-2</c:v>
                </c:pt>
                <c:pt idx="296">
                  <c:v>2.5657923290513508E-2</c:v>
                </c:pt>
                <c:pt idx="297">
                  <c:v>2.5679237599496842E-2</c:v>
                </c:pt>
                <c:pt idx="298">
                  <c:v>2.570055144164194E-2</c:v>
                </c:pt>
                <c:pt idx="299">
                  <c:v>2.5721864816959351E-2</c:v>
                </c:pt>
                <c:pt idx="300">
                  <c:v>2.5743177725459067E-2</c:v>
                </c:pt>
                <c:pt idx="301">
                  <c:v>2.5764490167151301E-2</c:v>
                </c:pt>
                <c:pt idx="302">
                  <c:v>2.5785802142046489E-2</c:v>
                </c:pt>
                <c:pt idx="303">
                  <c:v>2.5807113650154624E-2</c:v>
                </c:pt>
                <c:pt idx="304">
                  <c:v>2.5828424691486142E-2</c:v>
                </c:pt>
                <c:pt idx="305">
                  <c:v>2.5849735266051145E-2</c:v>
                </c:pt>
                <c:pt idx="306">
                  <c:v>2.5871045373859848E-2</c:v>
                </c:pt>
                <c:pt idx="307">
                  <c:v>2.5892355014922465E-2</c:v>
                </c:pt>
                <c:pt idx="308">
                  <c:v>2.5913664189249321E-2</c:v>
                </c:pt>
                <c:pt idx="309">
                  <c:v>2.5934972896850518E-2</c:v>
                </c:pt>
                <c:pt idx="310">
                  <c:v>2.5956281137736383E-2</c:v>
                </c:pt>
                <c:pt idx="311">
                  <c:v>2.5977588911917017E-2</c:v>
                </c:pt>
                <c:pt idx="312">
                  <c:v>2.5998896219402746E-2</c:v>
                </c:pt>
                <c:pt idx="313">
                  <c:v>2.6020203060203785E-2</c:v>
                </c:pt>
                <c:pt idx="314">
                  <c:v>2.6041509434330347E-2</c:v>
                </c:pt>
                <c:pt idx="315">
                  <c:v>2.6062815341792535E-2</c:v>
                </c:pt>
                <c:pt idx="316">
                  <c:v>2.6084120782600785E-2</c:v>
                </c:pt>
                <c:pt idx="317">
                  <c:v>2.610542575676509E-2</c:v>
                </c:pt>
                <c:pt idx="318">
                  <c:v>2.6126730264295885E-2</c:v>
                </c:pt>
                <c:pt idx="319">
                  <c:v>2.6148034305203162E-2</c:v>
                </c:pt>
                <c:pt idx="320">
                  <c:v>2.6169337879497358E-2</c:v>
                </c:pt>
                <c:pt idx="321">
                  <c:v>2.6190640987188575E-2</c:v>
                </c:pt>
                <c:pt idx="322">
                  <c:v>2.6211943628287139E-2</c:v>
                </c:pt>
                <c:pt idx="323">
                  <c:v>2.6233245802803042E-2</c:v>
                </c:pt>
                <c:pt idx="324">
                  <c:v>2.625454751074683E-2</c:v>
                </c:pt>
                <c:pt idx="325">
                  <c:v>2.6275848752128385E-2</c:v>
                </c:pt>
                <c:pt idx="326">
                  <c:v>2.6297149526958143E-2</c:v>
                </c:pt>
                <c:pt idx="327">
                  <c:v>2.6318449835246317E-2</c:v>
                </c:pt>
                <c:pt idx="328">
                  <c:v>2.6339749677003012E-2</c:v>
                </c:pt>
                <c:pt idx="329">
                  <c:v>2.6361049052238551E-2</c:v>
                </c:pt>
                <c:pt idx="330">
                  <c:v>2.6382347960963039E-2</c:v>
                </c:pt>
                <c:pt idx="331">
                  <c:v>2.6403646403186799E-2</c:v>
                </c:pt>
                <c:pt idx="332">
                  <c:v>2.6424944378920047E-2</c:v>
                </c:pt>
                <c:pt idx="333">
                  <c:v>2.6446241888172996E-2</c:v>
                </c:pt>
                <c:pt idx="334">
                  <c:v>2.6467538930955749E-2</c:v>
                </c:pt>
                <c:pt idx="335">
                  <c:v>2.6488835507278631E-2</c:v>
                </c:pt>
                <c:pt idx="336">
                  <c:v>2.6510131617151857E-2</c:v>
                </c:pt>
                <c:pt idx="337">
                  <c:v>2.653142726058564E-2</c:v>
                </c:pt>
                <c:pt idx="338">
                  <c:v>2.6552722437590083E-2</c:v>
                </c:pt>
                <c:pt idx="339">
                  <c:v>2.6574017148175623E-2</c:v>
                </c:pt>
                <c:pt idx="340">
                  <c:v>2.6595311392352251E-2</c:v>
                </c:pt>
                <c:pt idx="341">
                  <c:v>2.6616605170130293E-2</c:v>
                </c:pt>
                <c:pt idx="342">
                  <c:v>2.6637898481519963E-2</c:v>
                </c:pt>
                <c:pt idx="343">
                  <c:v>2.6659191326531474E-2</c:v>
                </c:pt>
                <c:pt idx="344">
                  <c:v>2.6680483705175041E-2</c:v>
                </c:pt>
                <c:pt idx="345">
                  <c:v>2.6701775617460878E-2</c:v>
                </c:pt>
                <c:pt idx="346">
                  <c:v>2.6723067063399199E-2</c:v>
                </c:pt>
                <c:pt idx="347">
                  <c:v>2.6744358043000217E-2</c:v>
                </c:pt>
                <c:pt idx="348">
                  <c:v>2.6765648556274148E-2</c:v>
                </c:pt>
                <c:pt idx="349">
                  <c:v>2.6786938603231093E-2</c:v>
                </c:pt>
                <c:pt idx="350">
                  <c:v>2.680822818388149E-2</c:v>
                </c:pt>
                <c:pt idx="351">
                  <c:v>2.682951729823544E-2</c:v>
                </c:pt>
                <c:pt idx="352">
                  <c:v>2.6850805946303048E-2</c:v>
                </c:pt>
                <c:pt idx="353">
                  <c:v>2.6872094128094638E-2</c:v>
                </c:pt>
                <c:pt idx="354">
                  <c:v>2.6893381843620424E-2</c:v>
                </c:pt>
                <c:pt idx="355">
                  <c:v>2.6914669092890732E-2</c:v>
                </c:pt>
                <c:pt idx="356">
                  <c:v>2.6935955875915553E-2</c:v>
                </c:pt>
                <c:pt idx="357">
                  <c:v>2.6957242192705101E-2</c:v>
                </c:pt>
                <c:pt idx="358">
                  <c:v>2.6978528043269813E-2</c:v>
                </c:pt>
                <c:pt idx="359">
                  <c:v>2.699981342761968E-2</c:v>
                </c:pt>
                <c:pt idx="360">
                  <c:v>2.7021098345765139E-2</c:v>
                </c:pt>
                <c:pt idx="361">
                  <c:v>2.7042382797716071E-2</c:v>
                </c:pt>
                <c:pt idx="362">
                  <c:v>2.7063666783483022E-2</c:v>
                </c:pt>
                <c:pt idx="363">
                  <c:v>2.7084950303075984E-2</c:v>
                </c:pt>
                <c:pt idx="364">
                  <c:v>2.7106233356505284E-2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4.4219402684727759E-2</c:v>
                </c:pt>
                <c:pt idx="1">
                  <c:v>4.4244827524080245E-2</c:v>
                </c:pt>
                <c:pt idx="2">
                  <c:v>4.4270321158020362E-2</c:v>
                </c:pt>
                <c:pt idx="3">
                  <c:v>4.429587343713666E-2</c:v>
                </c:pt>
                <c:pt idx="4">
                  <c:v>4.4321475524229055E-2</c:v>
                </c:pt>
                <c:pt idx="5">
                  <c:v>4.4347119855072469E-2</c:v>
                </c:pt>
                <c:pt idx="6">
                  <c:v>4.4372800089247225E-2</c:v>
                </c:pt>
                <c:pt idx="7">
                  <c:v>4.4398511051843809E-2</c:v>
                </c:pt>
                <c:pt idx="8">
                  <c:v>4.4424248666916466E-2</c:v>
                </c:pt>
                <c:pt idx="9">
                  <c:v>4.4450009883618635E-2</c:v>
                </c:pt>
                <c:pt idx="10">
                  <c:v>4.447579259600036E-2</c:v>
                </c:pt>
                <c:pt idx="11">
                  <c:v>4.4501595557485896E-2</c:v>
                </c:pt>
                <c:pt idx="12">
                  <c:v>4.4527418291077099E-2</c:v>
                </c:pt>
                <c:pt idx="13">
                  <c:v>4.4553260996344372E-2</c:v>
                </c:pt>
                <c:pt idx="14">
                  <c:v>4.4579124454273499E-2</c:v>
                </c:pt>
                <c:pt idx="15">
                  <c:v>4.4605009931032315E-2</c:v>
                </c:pt>
                <c:pt idx="16">
                  <c:v>4.463091908170632E-2</c:v>
                </c:pt>
                <c:pt idx="17">
                  <c:v>4.4656853855027809E-2</c:v>
                </c:pt>
                <c:pt idx="18">
                  <c:v>4.4682816400089503E-2</c:v>
                </c:pt>
                <c:pt idx="19">
                  <c:v>4.4708808975989417E-2</c:v>
                </c:pt>
                <c:pt idx="20">
                  <c:v>4.4734833865303074E-2</c:v>
                </c:pt>
                <c:pt idx="21">
                  <c:v>4.476089329221878E-2</c:v>
                </c:pt>
                <c:pt idx="22">
                  <c:v>4.4786989346105262E-2</c:v>
                </c:pt>
                <c:pt idx="23">
                  <c:v>4.4813123911208161E-2</c:v>
                </c:pt>
                <c:pt idx="24">
                  <c:v>4.4839298603092416E-2</c:v>
                </c:pt>
                <c:pt idx="25">
                  <c:v>4.4865514712365585E-2</c:v>
                </c:pt>
                <c:pt idx="26">
                  <c:v>4.4891773156128835E-2</c:v>
                </c:pt>
                <c:pt idx="27">
                  <c:v>4.4918074437513666E-2</c:v>
                </c:pt>
                <c:pt idx="28">
                  <c:v>4.4944418613570222E-2</c:v>
                </c:pt>
                <c:pt idx="29">
                  <c:v>4.4970805271680785E-2</c:v>
                </c:pt>
                <c:pt idx="30">
                  <c:v>4.4997233514579939E-2</c:v>
                </c:pt>
                <c:pt idx="31">
                  <c:v>4.5023701953970867E-2</c:v>
                </c:pt>
                <c:pt idx="32">
                  <c:v>4.5050208712638991E-2</c:v>
                </c:pt>
                <c:pt idx="33">
                  <c:v>4.5076751434876376E-2</c:v>
                </c:pt>
                <c:pt idx="34">
                  <c:v>4.5103327304948426E-2</c:v>
                </c:pt>
                <c:pt idx="35">
                  <c:v>4.5129933073255579E-2</c:v>
                </c:pt>
                <c:pt idx="36">
                  <c:v>4.5156565089769361E-2</c:v>
                </c:pt>
                <c:pt idx="37">
                  <c:v>4.5183219344255302E-2</c:v>
                </c:pt>
                <c:pt idx="38">
                  <c:v>4.5209891512733552E-2</c:v>
                </c:pt>
                <c:pt idx="39">
                  <c:v>4.523657700957491E-2</c:v>
                </c:pt>
                <c:pt idx="40">
                  <c:v>4.5263271044582748E-2</c:v>
                </c:pt>
                <c:pt idx="41">
                  <c:v>4.5289968684372808E-2</c:v>
                </c:pt>
                <c:pt idx="42">
                  <c:v>4.5316664917331877E-2</c:v>
                </c:pt>
                <c:pt idx="43">
                  <c:v>4.5343354721413862E-2</c:v>
                </c:pt>
                <c:pt idx="44">
                  <c:v>4.5370033134017169E-2</c:v>
                </c:pt>
                <c:pt idx="45">
                  <c:v>4.5396695323181108E-2</c:v>
                </c:pt>
                <c:pt idx="46">
                  <c:v>4.5423336659341174E-2</c:v>
                </c:pt>
                <c:pt idx="47">
                  <c:v>4.5449952786892622E-2</c:v>
                </c:pt>
                <c:pt idx="48">
                  <c:v>4.5476539694829711E-2</c:v>
                </c:pt>
                <c:pt idx="49">
                  <c:v>4.5503093785752312E-2</c:v>
                </c:pt>
                <c:pt idx="50">
                  <c:v>4.5529611942563969E-2</c:v>
                </c:pt>
                <c:pt idx="51">
                  <c:v>4.5556091592223132E-2</c:v>
                </c:pt>
                <c:pt idx="52">
                  <c:v>4.5582530765953456E-2</c:v>
                </c:pt>
                <c:pt idx="53">
                  <c:v>4.560892815536885E-2</c:v>
                </c:pt>
                <c:pt idx="54">
                  <c:v>4.5635283164021448E-2</c:v>
                </c:pt>
                <c:pt idx="55">
                  <c:v>4.5661595953940079E-2</c:v>
                </c:pt>
                <c:pt idx="56">
                  <c:v>4.5687867486786195E-2</c:v>
                </c:pt>
                <c:pt idx="57">
                  <c:v>4.5714099559318336E-2</c:v>
                </c:pt>
                <c:pt idx="58">
                  <c:v>4.5740294832920768E-2</c:v>
                </c:pt>
                <c:pt idx="59">
                  <c:v>4.5766456857017482E-2</c:v>
                </c:pt>
                <c:pt idx="60">
                  <c:v>4.579259008625905E-2</c:v>
                </c:pt>
                <c:pt idx="61">
                  <c:v>4.5818699891434202E-2</c:v>
                </c:pt>
                <c:pt idx="62">
                  <c:v>4.5844792564122681E-2</c:v>
                </c:pt>
                <c:pt idx="63">
                  <c:v>4.5870875315166378E-2</c:v>
                </c:pt>
                <c:pt idx="64">
                  <c:v>4.5896956267095744E-2</c:v>
                </c:pt>
                <c:pt idx="65">
                  <c:v>4.5923044440702991E-2</c:v>
                </c:pt>
                <c:pt idx="66">
                  <c:v>4.594914973600555E-2</c:v>
                </c:pt>
                <c:pt idx="67">
                  <c:v>4.5975282907889908E-2</c:v>
                </c:pt>
                <c:pt idx="68">
                  <c:v>4.6001455536768196E-2</c:v>
                </c:pt>
                <c:pt idx="69">
                  <c:v>4.6027679994616259E-2</c:v>
                </c:pt>
                <c:pt idx="70">
                  <c:v>4.605396940679328E-2</c:v>
                </c:pt>
                <c:pt idx="71">
                  <c:v>4.6080337610067731E-2</c:v>
                </c:pt>
                <c:pt idx="72">
                  <c:v>4.6106799107293928E-2</c:v>
                </c:pt>
                <c:pt idx="73">
                  <c:v>4.6133369019195965E-2</c:v>
                </c:pt>
                <c:pt idx="74">
                  <c:v>4.6160063033722852E-2</c:v>
                </c:pt>
                <c:pt idx="75">
                  <c:v>4.6186897353438998E-2</c:v>
                </c:pt>
                <c:pt idx="76">
                  <c:v>4.621388864140942E-2</c:v>
                </c:pt>
                <c:pt idx="77">
                  <c:v>4.6241053966027179E-2</c:v>
                </c:pt>
                <c:pt idx="78">
                  <c:v>4.6268410745215045E-2</c:v>
                </c:pt>
                <c:pt idx="79">
                  <c:v>4.6295976690410842E-2</c:v>
                </c:pt>
                <c:pt idx="80">
                  <c:v>4.6323769750720369E-2</c:v>
                </c:pt>
                <c:pt idx="81">
                  <c:v>4.6351808057590628E-2</c:v>
                </c:pt>
                <c:pt idx="82">
                  <c:v>4.6380109870322372E-2</c:v>
                </c:pt>
                <c:pt idx="83">
                  <c:v>4.6408693522703208E-2</c:v>
                </c:pt>
                <c:pt idx="84">
                  <c:v>4.6437577371002514E-2</c:v>
                </c:pt>
                <c:pt idx="85">
                  <c:v>4.646677974352776E-2</c:v>
                </c:pt>
                <c:pt idx="86">
                  <c:v>4.6496318891897988E-2</c:v>
                </c:pt>
                <c:pt idx="87">
                  <c:v>4.6526212944146994E-2</c:v>
                </c:pt>
                <c:pt idx="88">
                  <c:v>4.6556479859724179E-2</c:v>
                </c:pt>
                <c:pt idx="89">
                  <c:v>4.6587137386417919E-2</c:v>
                </c:pt>
                <c:pt idx="90">
                  <c:v>4.6618203019184505E-2</c:v>
                </c:pt>
                <c:pt idx="91">
                  <c:v>4.6649693960825016E-2</c:v>
                </c:pt>
                <c:pt idx="92">
                  <c:v>4.6681627084415415E-2</c:v>
                </c:pt>
                <c:pt idx="93">
                  <c:v>4.6714018897359891E-2</c:v>
                </c:pt>
                <c:pt idx="94">
                  <c:v>4.6746885506906859E-2</c:v>
                </c:pt>
                <c:pt idx="95">
                  <c:v>4.6780242586939483E-2</c:v>
                </c:pt>
                <c:pt idx="96">
                  <c:v>4.6814105345830241E-2</c:v>
                </c:pt>
                <c:pt idx="97">
                  <c:v>4.6848488495130534E-2</c:v>
                </c:pt>
                <c:pt idx="98">
                  <c:v>4.6883406218853986E-2</c:v>
                </c:pt>
                <c:pt idx="99">
                  <c:v>4.691887214310396E-2</c:v>
                </c:pt>
                <c:pt idx="100">
                  <c:v>4.6954899305793323E-2</c:v>
                </c:pt>
                <c:pt idx="101">
                  <c:v>4.6991500126208188E-2</c:v>
                </c:pt>
                <c:pt idx="102">
                  <c:v>4.7028686374175226E-2</c:v>
                </c:pt>
                <c:pt idx="103">
                  <c:v>4.7066469138606445E-2</c:v>
                </c:pt>
                <c:pt idx="104">
                  <c:v>4.7104858795214373E-2</c:v>
                </c:pt>
                <c:pt idx="105">
                  <c:v>4.7143864973214662E-2</c:v>
                </c:pt>
                <c:pt idx="106">
                  <c:v>4.7183496520861803E-2</c:v>
                </c:pt>
                <c:pt idx="107">
                  <c:v>4.7223761469697215E-2</c:v>
                </c:pt>
                <c:pt idx="108">
                  <c:v>4.7264666997425354E-2</c:v>
                </c:pt>
                <c:pt idx="109">
                  <c:v>5.5365136748804439E-3</c:v>
                </c:pt>
                <c:pt idx="110">
                  <c:v>5.6176104898523309E-3</c:v>
                </c:pt>
                <c:pt idx="111">
                  <c:v>5.6987633526059305E-3</c:v>
                </c:pt>
                <c:pt idx="112">
                  <c:v>5.7799758573818224E-3</c:v>
                </c:pt>
                <c:pt idx="113">
                  <c:v>5.8612514758561701E-3</c:v>
                </c:pt>
                <c:pt idx="114">
                  <c:v>5.9425935430508503E-3</c:v>
                </c:pt>
                <c:pt idx="115">
                  <c:v>6.0240052427805602E-3</c:v>
                </c:pt>
                <c:pt idx="116">
                  <c:v>6.1054895926685769E-3</c:v>
                </c:pt>
                <c:pt idx="117">
                  <c:v>6.187049428772449E-3</c:v>
                </c:pt>
                <c:pt idx="118">
                  <c:v>6.2686873898711382E-3</c:v>
                </c:pt>
                <c:pt idx="119">
                  <c:v>6.3504059014748955E-3</c:v>
                </c:pt>
                <c:pt idx="120">
                  <c:v>6.4322071596297492E-3</c:v>
                </c:pt>
                <c:pt idx="121">
                  <c:v>6.5140931145982687E-3</c:v>
                </c:pt>
                <c:pt idx="122">
                  <c:v>6.5960654545083562E-3</c:v>
                </c:pt>
                <c:pt idx="123">
                  <c:v>6.6781255890709561E-3</c:v>
                </c:pt>
                <c:pt idx="124">
                  <c:v>6.7602746334768761E-3</c:v>
                </c:pt>
                <c:pt idx="125">
                  <c:v>6.8425133925906316E-3</c:v>
                </c:pt>
                <c:pt idx="126">
                  <c:v>6.9248423455669939E-3</c:v>
                </c:pt>
                <c:pt idx="127">
                  <c:v>7.0072616310219195E-3</c:v>
                </c:pt>
                <c:pt idx="128">
                  <c:v>7.0897710328949679E-3</c:v>
                </c:pt>
                <c:pt idx="129">
                  <c:v>7.1723699671442844E-3</c:v>
                </c:pt>
                <c:pt idx="130">
                  <c:v>7.2550574694177899E-3</c:v>
                </c:pt>
                <c:pt idx="131">
                  <c:v>7.3378321838454179E-3</c:v>
                </c:pt>
                <c:pt idx="132">
                  <c:v>7.420692353097013E-3</c:v>
                </c:pt>
                <c:pt idx="133">
                  <c:v>7.5036358098483705E-3</c:v>
                </c:pt>
                <c:pt idx="134">
                  <c:v>7.5866599697945632E-3</c:v>
                </c:pt>
                <c:pt idx="135">
                  <c:v>7.669761826344196E-3</c:v>
                </c:pt>
                <c:pt idx="136">
                  <c:v>7.7529379471215189E-3</c:v>
                </c:pt>
                <c:pt idx="137">
                  <c:v>7.8361844723946021E-3</c:v>
                </c:pt>
                <c:pt idx="138">
                  <c:v>7.9194971155375649E-3</c:v>
                </c:pt>
                <c:pt idx="139">
                  <c:v>8.0028711656230742E-3</c:v>
                </c:pt>
                <c:pt idx="140">
                  <c:v>8.0863014922278528E-3</c:v>
                </c:pt>
                <c:pt idx="141">
                  <c:v>8.1697825525193137E-3</c:v>
                </c:pt>
                <c:pt idx="142">
                  <c:v>8.2533084006753046E-3</c:v>
                </c:pt>
                <c:pt idx="143">
                  <c:v>8.3368726996715763E-3</c:v>
                </c:pt>
                <c:pt idx="144">
                  <c:v>8.4204687354533531E-3</c:v>
                </c:pt>
                <c:pt idx="145">
                  <c:v>8.5040894334883297E-3</c:v>
                </c:pt>
                <c:pt idx="146">
                  <c:v>8.5877273776782687E-3</c:v>
                </c:pt>
                <c:pt idx="147">
                  <c:v>8.6713748315860716E-3</c:v>
                </c:pt>
                <c:pt idx="148">
                  <c:v>8.7550237619147923E-3</c:v>
                </c:pt>
                <c:pt idx="149">
                  <c:v>8.8386658641536314E-3</c:v>
                </c:pt>
                <c:pt idx="150">
                  <c:v>8.922292590285999E-3</c:v>
                </c:pt>
                <c:pt idx="151">
                  <c:v>9.0058951784337607E-3</c:v>
                </c:pt>
                <c:pt idx="152">
                  <c:v>9.0894646842924753E-3</c:v>
                </c:pt>
                <c:pt idx="153">
                  <c:v>9.1729920141930162E-3</c:v>
                </c:pt>
                <c:pt idx="154">
                  <c:v>9.2564679596073545E-3</c:v>
                </c:pt>
                <c:pt idx="155">
                  <c:v>9.3398832328991325E-3</c:v>
                </c:pt>
                <c:pt idx="156">
                  <c:v>9.4232285041044566E-3</c:v>
                </c:pt>
                <c:pt idx="157">
                  <c:v>9.5064944385144998E-3</c:v>
                </c:pt>
                <c:pt idx="158">
                  <c:v>9.5896717348194754E-3</c:v>
                </c:pt>
                <c:pt idx="159">
                  <c:v>9.6727511635634495E-3</c:v>
                </c:pt>
                <c:pt idx="160">
                  <c:v>9.7557236056514552E-3</c:v>
                </c:pt>
                <c:pt idx="161">
                  <c:v>9.8385800906447135E-3</c:v>
                </c:pt>
                <c:pt idx="162">
                  <c:v>9.9213118345760128E-3</c:v>
                </c:pt>
                <c:pt idx="163">
                  <c:v>1.0003910277016616E-2</c:v>
                </c:pt>
                <c:pt idx="164">
                  <c:v>1.0086367117126946E-2</c:v>
                </c:pt>
                <c:pt idx="165">
                  <c:v>1.0168674348427697E-2</c:v>
                </c:pt>
                <c:pt idx="166">
                  <c:v>1.0250824292033807E-2</c:v>
                </c:pt>
                <c:pt idx="167">
                  <c:v>1.0332809628102914E-2</c:v>
                </c:pt>
                <c:pt idx="168">
                  <c:v>1.0414623425261007E-2</c:v>
                </c:pt>
                <c:pt idx="169">
                  <c:v>1.0496259167781415E-2</c:v>
                </c:pt>
                <c:pt idx="170">
                  <c:v>1.0577710780309266E-2</c:v>
                </c:pt>
                <c:pt idx="171">
                  <c:v>1.0658972649941267E-2</c:v>
                </c:pt>
                <c:pt idx="172">
                  <c:v>1.074003964549064E-2</c:v>
                </c:pt>
                <c:pt idx="173">
                  <c:v>1.0820907133788743E-2</c:v>
                </c:pt>
                <c:pt idx="174">
                  <c:v>1.0901570992897899E-2</c:v>
                </c:pt>
                <c:pt idx="175">
                  <c:v>1.0982027622134929E-2</c:v>
                </c:pt>
                <c:pt idx="176">
                  <c:v>1.1062273948830494E-2</c:v>
                </c:pt>
                <c:pt idx="177">
                  <c:v>1.1142307431775919E-2</c:v>
                </c:pt>
                <c:pt idx="178">
                  <c:v>1.1222126061336785E-2</c:v>
                </c:pt>
                <c:pt idx="179">
                  <c:v>1.1301728356240024E-2</c:v>
                </c:pt>
                <c:pt idx="180">
                  <c:v>1.1381113357069282E-2</c:v>
                </c:pt>
                <c:pt idx="181">
                  <c:v>1.1460280616530616E-2</c:v>
                </c:pt>
                <c:pt idx="182">
                  <c:v>1.1539230186578235E-2</c:v>
                </c:pt>
                <c:pt idx="183">
                  <c:v>1.1617962602515939E-2</c:v>
                </c:pt>
                <c:pt idx="184">
                  <c:v>1.1696478864215596E-2</c:v>
                </c:pt>
                <c:pt idx="185">
                  <c:v>1.1774780414618196E-2</c:v>
                </c:pt>
                <c:pt idx="186">
                  <c:v>1.1852869115705348E-2</c:v>
                </c:pt>
                <c:pt idx="187">
                  <c:v>1.1930747222150139E-2</c:v>
                </c:pt>
                <c:pt idx="188">
                  <c:v>1.2008417352875174E-2</c:v>
                </c:pt>
                <c:pt idx="189">
                  <c:v>1.2085882460761954E-2</c:v>
                </c:pt>
                <c:pt idx="190">
                  <c:v>1.2163145800770367E-2</c:v>
                </c:pt>
                <c:pt idx="191">
                  <c:v>1.2240210896738588E-2</c:v>
                </c:pt>
                <c:pt idx="192">
                  <c:v>1.2317081507142696E-2</c:v>
                </c:pt>
                <c:pt idx="193">
                  <c:v>1.2393761590101924E-2</c:v>
                </c:pt>
                <c:pt idx="194">
                  <c:v>1.2470255267918463E-2</c:v>
                </c:pt>
                <c:pt idx="195">
                  <c:v>1.254656679144164E-2</c:v>
                </c:pt>
                <c:pt idx="196">
                  <c:v>1.2622700504543848E-2</c:v>
                </c:pt>
                <c:pt idx="197">
                  <c:v>1.2698660808990373E-2</c:v>
                </c:pt>
                <c:pt idx="198">
                  <c:v>1.2774452129977153E-2</c:v>
                </c:pt>
                <c:pt idx="199">
                  <c:v>1.2850078882599899E-2</c:v>
                </c:pt>
                <c:pt idx="200">
                  <c:v>1.2925545439504372E-2</c:v>
                </c:pt>
                <c:pt idx="201">
                  <c:v>1.3000856099951826E-2</c:v>
                </c:pt>
                <c:pt idx="202">
                  <c:v>1.3076015060515325E-2</c:v>
                </c:pt>
                <c:pt idx="203">
                  <c:v>1.3151026387602339E-2</c:v>
                </c:pt>
                <c:pt idx="204">
                  <c:v>1.3225893991976633E-2</c:v>
                </c:pt>
                <c:pt idx="205">
                  <c:v>1.3300621605428709E-2</c:v>
                </c:pt>
                <c:pt idx="206">
                  <c:v>1.3375212759718607E-2</c:v>
                </c:pt>
                <c:pt idx="207">
                  <c:v>1.3449670767888496E-2</c:v>
                </c:pt>
                <c:pt idx="208">
                  <c:v>1.3523998708015302E-2</c:v>
                </c:pt>
                <c:pt idx="209">
                  <c:v>1.3598199409445715E-2</c:v>
                </c:pt>
                <c:pt idx="210">
                  <c:v>1.3672275441528091E-2</c:v>
                </c:pt>
                <c:pt idx="211">
                  <c:v>1.374622910482797E-2</c:v>
                </c:pt>
                <c:pt idx="212">
                  <c:v>1.3820062424786297E-2</c:v>
                </c:pt>
                <c:pt idx="213">
                  <c:v>1.3893777147753101E-2</c:v>
                </c:pt>
                <c:pt idx="214">
                  <c:v>1.3967374739303652E-2</c:v>
                </c:pt>
                <c:pt idx="215">
                  <c:v>1.4040856384719785E-2</c:v>
                </c:pt>
                <c:pt idx="216">
                  <c:v>1.4114222991496714E-2</c:v>
                </c:pt>
                <c:pt idx="217">
                  <c:v>1.418747519371491E-2</c:v>
                </c:pt>
                <c:pt idx="218">
                  <c:v>1.4260613358097958E-2</c:v>
                </c:pt>
                <c:pt idx="219">
                  <c:v>1.4333637591561418E-2</c:v>
                </c:pt>
                <c:pt idx="220">
                  <c:v>1.440654775004389E-2</c:v>
                </c:pt>
                <c:pt idx="221">
                  <c:v>1.4479343448400938E-2</c:v>
                </c:pt>
                <c:pt idx="222">
                  <c:v>1.4552024071134236E-2</c:v>
                </c:pt>
                <c:pt idx="223">
                  <c:v>1.4624588783723828E-2</c:v>
                </c:pt>
                <c:pt idx="224">
                  <c:v>1.469703654432891E-2</c:v>
                </c:pt>
                <c:pt idx="225">
                  <c:v>1.4769366115624412E-2</c:v>
                </c:pt>
                <c:pt idx="226">
                  <c:v>1.4841576076544299E-2</c:v>
                </c:pt>
                <c:pt idx="227">
                  <c:v>1.4913664833710415E-2</c:v>
                </c:pt>
                <c:pt idx="228">
                  <c:v>1.4985630632335687E-2</c:v>
                </c:pt>
                <c:pt idx="229">
                  <c:v>1.5057471566404057E-2</c:v>
                </c:pt>
                <c:pt idx="230">
                  <c:v>1.512918558794504E-2</c:v>
                </c:pt>
                <c:pt idx="231">
                  <c:v>1.5200770515239872E-2</c:v>
                </c:pt>
                <c:pt idx="232">
                  <c:v>1.5272224039816722E-2</c:v>
                </c:pt>
                <c:pt idx="233">
                  <c:v>1.5343543732115586E-2</c:v>
                </c:pt>
                <c:pt idx="234">
                  <c:v>1.541472704572845E-2</c:v>
                </c:pt>
                <c:pt idx="235">
                  <c:v>1.5485771320146417E-2</c:v>
                </c:pt>
                <c:pt idx="236">
                  <c:v>1.5556673781973729E-2</c:v>
                </c:pt>
                <c:pt idx="237">
                  <c:v>1.5627431544596473E-2</c:v>
                </c:pt>
                <c:pt idx="238">
                  <c:v>1.5698041606323758E-2</c:v>
                </c:pt>
                <c:pt idx="239">
                  <c:v>1.576850084704785E-2</c:v>
                </c:pt>
                <c:pt idx="240">
                  <c:v>1.5838806023499404E-2</c:v>
                </c:pt>
                <c:pt idx="241">
                  <c:v>1.5908953763202557E-2</c:v>
                </c:pt>
                <c:pt idx="242">
                  <c:v>1.5978940557262594E-2</c:v>
                </c:pt>
                <c:pt idx="243">
                  <c:v>1.6048762752145358E-2</c:v>
                </c:pt>
                <c:pt idx="244">
                  <c:v>1.6118416540632837E-2</c:v>
                </c:pt>
                <c:pt idx="245">
                  <c:v>1.6187897952162293E-2</c:v>
                </c:pt>
                <c:pt idx="246">
                  <c:v>1.6257202842777416E-2</c:v>
                </c:pt>
                <c:pt idx="247">
                  <c:v>1.6326326884938024E-2</c:v>
                </c:pt>
                <c:pt idx="248">
                  <c:v>1.6395265557450679E-2</c:v>
                </c:pt>
                <c:pt idx="249">
                  <c:v>1.646401413579468E-2</c:v>
                </c:pt>
                <c:pt idx="250">
                  <c:v>1.6532567683127518E-2</c:v>
                </c:pt>
                <c:pt idx="251">
                  <c:v>1.6600921042259166E-2</c:v>
                </c:pt>
                <c:pt idx="252">
                  <c:v>1.6669068828886972E-2</c:v>
                </c:pt>
                <c:pt idx="253">
                  <c:v>1.6737005426381398E-2</c:v>
                </c:pt>
                <c:pt idx="254">
                  <c:v>1.6804724982407124E-2</c:v>
                </c:pt>
                <c:pt idx="255">
                  <c:v>1.6872221407655475E-2</c:v>
                </c:pt>
                <c:pt idx="256">
                  <c:v>1.6939488376950571E-2</c:v>
                </c:pt>
                <c:pt idx="257">
                  <c:v>1.7006519332975683E-2</c:v>
                </c:pt>
                <c:pt idx="258">
                  <c:v>1.7073307492845389E-2</c:v>
                </c:pt>
                <c:pt idx="259">
                  <c:v>1.7139845857726054E-2</c:v>
                </c:pt>
                <c:pt idx="260">
                  <c:v>1.7206127225679733E-2</c:v>
                </c:pt>
                <c:pt idx="261">
                  <c:v>1.7272144207877149E-2</c:v>
                </c:pt>
                <c:pt idx="262">
                  <c:v>1.7337889248292208E-2</c:v>
                </c:pt>
                <c:pt idx="263">
                  <c:v>1.7403354646955683E-2</c:v>
                </c:pt>
                <c:pt idx="264">
                  <c:v>1.7468532586808236E-2</c:v>
                </c:pt>
                <c:pt idx="265">
                  <c:v>1.7533415164153968E-2</c:v>
                </c:pt>
                <c:pt idx="266">
                  <c:v>1.7597994422675286E-2</c:v>
                </c:pt>
                <c:pt idx="267">
                  <c:v>1.766226239092835E-2</c:v>
                </c:pt>
                <c:pt idx="268">
                  <c:v>1.7726211123196722E-2</c:v>
                </c:pt>
                <c:pt idx="269">
                  <c:v>1.778983274353867E-2</c:v>
                </c:pt>
                <c:pt idx="270">
                  <c:v>1.7853119492821951E-2</c:v>
                </c:pt>
                <c:pt idx="271">
                  <c:v>1.7916063778499421E-2</c:v>
                </c:pt>
                <c:pt idx="272">
                  <c:v>1.7978658226838938E-2</c:v>
                </c:pt>
                <c:pt idx="273">
                  <c:v>1.804089573728359E-2</c:v>
                </c:pt>
                <c:pt idx="274">
                  <c:v>1.8102769538582562E-2</c:v>
                </c:pt>
                <c:pt idx="275">
                  <c:v>1.8164273246300058E-2</c:v>
                </c:pt>
                <c:pt idx="276">
                  <c:v>1.822540092127967E-2</c:v>
                </c:pt>
                <c:pt idx="277">
                  <c:v>1.8286147128615204E-2</c:v>
                </c:pt>
                <c:pt idx="278">
                  <c:v>1.834650699665577E-2</c:v>
                </c:pt>
                <c:pt idx="279">
                  <c:v>1.840647627555464E-2</c:v>
                </c:pt>
                <c:pt idx="280">
                  <c:v>1.8466051394856502E-2</c:v>
                </c:pt>
                <c:pt idx="281">
                  <c:v>1.8525229519608343E-2</c:v>
                </c:pt>
                <c:pt idx="282">
                  <c:v>1.8584008604473415E-2</c:v>
                </c:pt>
                <c:pt idx="283">
                  <c:v>1.8642387445328465E-2</c:v>
                </c:pt>
                <c:pt idx="284">
                  <c:v>1.8700365727828457E-2</c:v>
                </c:pt>
                <c:pt idx="285">
                  <c:v>1.8757944072433464E-2</c:v>
                </c:pt>
                <c:pt idx="286">
                  <c:v>1.8815124075407176E-2</c:v>
                </c:pt>
                <c:pt idx="287">
                  <c:v>1.8871908345316744E-2</c:v>
                </c:pt>
                <c:pt idx="288">
                  <c:v>1.8928300534588337E-2</c:v>
                </c:pt>
                <c:pt idx="289">
                  <c:v>1.898430536570302E-2</c:v>
                </c:pt>
                <c:pt idx="290">
                  <c:v>1.9039928651651283E-2</c:v>
                </c:pt>
                <c:pt idx="291">
                  <c:v>1.9095177310303909E-2</c:v>
                </c:pt>
                <c:pt idx="292">
                  <c:v>1.91500593723989E-2</c:v>
                </c:pt>
                <c:pt idx="293">
                  <c:v>1.9204583982891016E-2</c:v>
                </c:pt>
                <c:pt idx="294">
                  <c:v>1.9258761395459838E-2</c:v>
                </c:pt>
                <c:pt idx="295">
                  <c:v>1.9312602960024843E-2</c:v>
                </c:pt>
                <c:pt idx="296">
                  <c:v>1.936612110317109E-2</c:v>
                </c:pt>
                <c:pt idx="297">
                  <c:v>1.9419329301445735E-2</c:v>
                </c:pt>
                <c:pt idx="298">
                  <c:v>1.9472242047543831E-2</c:v>
                </c:pt>
                <c:pt idx="299">
                  <c:v>1.9524874809461346E-2</c:v>
                </c:pt>
                <c:pt idx="300">
                  <c:v>1.9577243982752499E-2</c:v>
                </c:pt>
                <c:pt idx="301">
                  <c:v>1.9629366836087687E-2</c:v>
                </c:pt>
                <c:pt idx="302">
                  <c:v>1.9681261450367242E-2</c:v>
                </c:pt>
                <c:pt idx="303">
                  <c:v>1.9732946651702735E-2</c:v>
                </c:pt>
                <c:pt idx="304">
                  <c:v>1.9784441938633199E-2</c:v>
                </c:pt>
                <c:pt idx="305">
                  <c:v>1.9835767403996313E-2</c:v>
                </c:pt>
                <c:pt idx="306">
                  <c:v>1.9886943651924286E-2</c:v>
                </c:pt>
                <c:pt idx="307">
                  <c:v>1.9937991710480728E-2</c:v>
                </c:pt>
                <c:pt idx="308">
                  <c:v>1.9988932940496949E-2</c:v>
                </c:pt>
                <c:pt idx="309">
                  <c:v>2.0039788941204614E-2</c:v>
                </c:pt>
                <c:pt idx="310">
                  <c:v>2.0090581453294357E-2</c:v>
                </c:pt>
                <c:pt idx="311">
                  <c:v>2.0141332260058768E-2</c:v>
                </c:pt>
                <c:pt idx="312">
                  <c:v>2.0192063087300382E-2</c:v>
                </c:pt>
                <c:pt idx="313">
                  <c:v>2.0242795502702648E-2</c:v>
                </c:pt>
                <c:pt idx="314">
                  <c:v>2.0293550815372974E-2</c:v>
                </c:pt>
                <c:pt idx="315">
                  <c:v>2.0344349976271773E-2</c:v>
                </c:pt>
                <c:pt idx="316">
                  <c:v>2.0395213480240773E-2</c:v>
                </c:pt>
                <c:pt idx="317">
                  <c:v>2.0446161270336351E-2</c:v>
                </c:pt>
                <c:pt idx="318">
                  <c:v>2.0497212645160336E-2</c:v>
                </c:pt>
                <c:pt idx="319">
                  <c:v>2.0548386169861273E-2</c:v>
                </c:pt>
                <c:pt idx="320">
                  <c:v>2.0599699591453698E-2</c:v>
                </c:pt>
                <c:pt idx="321">
                  <c:v>2.065116975907191E-2</c:v>
                </c:pt>
                <c:pt idx="322">
                  <c:v>2.0702812549737892E-2</c:v>
                </c:pt>
                <c:pt idx="323">
                  <c:v>2.0754642800181432E-2</c:v>
                </c:pt>
                <c:pt idx="324">
                  <c:v>2.0806674245203782E-2</c:v>
                </c:pt>
                <c:pt idx="325">
                  <c:v>2.0858919463024993E-2</c:v>
                </c:pt>
                <c:pt idx="326">
                  <c:v>2.0911389828000285E-2</c:v>
                </c:pt>
                <c:pt idx="327">
                  <c:v>2.0964095471032059E-2</c:v>
                </c:pt>
                <c:pt idx="328">
                  <c:v>2.1017045247942834E-2</c:v>
                </c:pt>
                <c:pt idx="329">
                  <c:v>2.1070246716010526E-2</c:v>
                </c:pt>
                <c:pt idx="330">
                  <c:v>2.1123706118801735E-2</c:v>
                </c:pt>
                <c:pt idx="331">
                  <c:v>2.1177428379371713E-2</c:v>
                </c:pt>
                <c:pt idx="332">
                  <c:v>2.123141710183241E-2</c:v>
                </c:pt>
                <c:pt idx="333">
                  <c:v>2.1285674581222186E-2</c:v>
                </c:pt>
                <c:pt idx="334">
                  <c:v>2.1340201821543957E-2</c:v>
                </c:pt>
                <c:pt idx="335">
                  <c:v>2.1394998561772894E-2</c:v>
                </c:pt>
                <c:pt idx="336">
                  <c:v>2.1450063309571013E-2</c:v>
                </c:pt>
                <c:pt idx="337">
                  <c:v>2.1505393382384223E-2</c:v>
                </c:pt>
                <c:pt idx="338">
                  <c:v>2.156098495553951E-2</c:v>
                </c:pt>
                <c:pt idx="339">
                  <c:v>2.1616833116904492E-2</c:v>
                </c:pt>
                <c:pt idx="340">
                  <c:v>2.1672931927620952E-2</c:v>
                </c:pt>
                <c:pt idx="341">
                  <c:v>2.1729274488377543E-2</c:v>
                </c:pt>
                <c:pt idx="342">
                  <c:v>2.1785853010645135E-2</c:v>
                </c:pt>
                <c:pt idx="343">
                  <c:v>2.1842658892262359E-2</c:v>
                </c:pt>
                <c:pt idx="344">
                  <c:v>2.1899682796727861E-2</c:v>
                </c:pt>
                <c:pt idx="345">
                  <c:v>2.1956914735531349E-2</c:v>
                </c:pt>
                <c:pt idx="346">
                  <c:v>2.2014344152836676E-2</c:v>
                </c:pt>
                <c:pt idx="347">
                  <c:v>2.2071960011817614E-2</c:v>
                </c:pt>
                <c:pt idx="348">
                  <c:v>2.2129750881940996E-2</c:v>
                </c:pt>
                <c:pt idx="349">
                  <c:v>2.2187705026492005E-2</c:v>
                </c:pt>
                <c:pt idx="350">
                  <c:v>2.2245810489642921E-2</c:v>
                </c:pt>
                <c:pt idx="351">
                  <c:v>2.2304055182379375E-2</c:v>
                </c:pt>
                <c:pt idx="352">
                  <c:v>2.2362426966616965E-2</c:v>
                </c:pt>
                <c:pt idx="353">
                  <c:v>2.2420913736865802E-2</c:v>
                </c:pt>
                <c:pt idx="354">
                  <c:v>2.247950349883086E-2</c:v>
                </c:pt>
                <c:pt idx="355">
                  <c:v>2.2538184444371619E-2</c:v>
                </c:pt>
                <c:pt idx="356">
                  <c:v>2.2596945022284806E-2</c:v>
                </c:pt>
                <c:pt idx="357">
                  <c:v>2.2655774004419354E-2</c:v>
                </c:pt>
                <c:pt idx="358">
                  <c:v>2.271466054668143E-2</c:v>
                </c:pt>
                <c:pt idx="359">
                  <c:v>2.277359424454025E-2</c:v>
                </c:pt>
                <c:pt idx="360">
                  <c:v>2.2832565182700867E-2</c:v>
                </c:pt>
                <c:pt idx="361">
                  <c:v>2.2891563978668237E-2</c:v>
                </c:pt>
                <c:pt idx="362">
                  <c:v>2.2950581819987114E-2</c:v>
                </c:pt>
                <c:pt idx="363">
                  <c:v>2.3009610495003087E-2</c:v>
                </c:pt>
                <c:pt idx="364">
                  <c:v>2.306864241705291E-2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3.1093553931791978E-4</c:v>
                </c:pt>
                <c:pt idx="1">
                  <c:v>3.1259966713660772E-4</c:v>
                </c:pt>
                <c:pt idx="2">
                  <c:v>3.1460066032764299E-4</c:v>
                </c:pt>
                <c:pt idx="3">
                  <c:v>3.169354556049082E-4</c:v>
                </c:pt>
                <c:pt idx="4">
                  <c:v>3.196006706766651E-4</c:v>
                </c:pt>
                <c:pt idx="5">
                  <c:v>3.2259268084148038E-4</c:v>
                </c:pt>
                <c:pt idx="6">
                  <c:v>3.2590769333165479E-4</c:v>
                </c:pt>
                <c:pt idx="7">
                  <c:v>3.2954181904649673E-4</c:v>
                </c:pt>
                <c:pt idx="8">
                  <c:v>3.3344422880649379E-4</c:v>
                </c:pt>
                <c:pt idx="9">
                  <c:v>3.373967476617975E-4</c:v>
                </c:pt>
                <c:pt idx="10">
                  <c:v>3.4124193588014009E-4</c:v>
                </c:pt>
                <c:pt idx="11">
                  <c:v>3.4498966322610845E-4</c:v>
                </c:pt>
                <c:pt idx="12">
                  <c:v>3.4865024931576415E-4</c:v>
                </c:pt>
                <c:pt idx="13">
                  <c:v>3.5223436652082328E-4</c:v>
                </c:pt>
                <c:pt idx="14">
                  <c:v>3.557529527641835E-4</c:v>
                </c:pt>
                <c:pt idx="15">
                  <c:v>3.5827805344215415E-4</c:v>
                </c:pt>
                <c:pt idx="16">
                  <c:v>3.5958864714350381E-4</c:v>
                </c:pt>
                <c:pt idx="17">
                  <c:v>3.5973201293187126E-4</c:v>
                </c:pt>
                <c:pt idx="18">
                  <c:v>3.58754854085182E-4</c:v>
                </c:pt>
                <c:pt idx="19">
                  <c:v>3.5670486470917498E-4</c:v>
                </c:pt>
                <c:pt idx="20">
                  <c:v>3.5362919726947159E-4</c:v>
                </c:pt>
                <c:pt idx="21">
                  <c:v>3.495716553091094E-4</c:v>
                </c:pt>
                <c:pt idx="22">
                  <c:v>3.4453482573669123E-4</c:v>
                </c:pt>
                <c:pt idx="23">
                  <c:v>3.3822482560817046E-4</c:v>
                </c:pt>
                <c:pt idx="24">
                  <c:v>3.3083537400708786E-4</c:v>
                </c:pt>
                <c:pt idx="25">
                  <c:v>3.2240775656278701E-4</c:v>
                </c:pt>
                <c:pt idx="26">
                  <c:v>3.1298208063213162E-4</c:v>
                </c:pt>
                <c:pt idx="27">
                  <c:v>3.0259712241298935E-4</c:v>
                </c:pt>
                <c:pt idx="28">
                  <c:v>2.9129019942092756E-4</c:v>
                </c:pt>
                <c:pt idx="29">
                  <c:v>2.7970490430494205E-4</c:v>
                </c:pt>
                <c:pt idx="30">
                  <c:v>2.6866237176447546E-4</c:v>
                </c:pt>
                <c:pt idx="31">
                  <c:v>2.5815215993418351E-4</c:v>
                </c:pt>
                <c:pt idx="32">
                  <c:v>2.481634308212286E-4</c:v>
                </c:pt>
                <c:pt idx="33">
                  <c:v>2.3868505075821364E-4</c:v>
                </c:pt>
                <c:pt idx="34">
                  <c:v>2.2970568221740987E-4</c:v>
                </c:pt>
                <c:pt idx="35">
                  <c:v>2.2121386718497725E-4</c:v>
                </c:pt>
                <c:pt idx="36">
                  <c:v>2.1317808396319104E-4</c:v>
                </c:pt>
                <c:pt idx="37">
                  <c:v>2.0594117517447436E-4</c:v>
                </c:pt>
                <c:pt idx="38">
                  <c:v>1.9974109230735032E-4</c:v>
                </c:pt>
                <c:pt idx="39">
                  <c:v>1.9455503613705145E-4</c:v>
                </c:pt>
                <c:pt idx="40">
                  <c:v>1.9035984673013549E-4</c:v>
                </c:pt>
                <c:pt idx="41">
                  <c:v>1.8713233089987682E-4</c:v>
                </c:pt>
                <c:pt idx="42">
                  <c:v>1.8484955675173015E-4</c:v>
                </c:pt>
                <c:pt idx="43">
                  <c:v>1.8337884793824817E-4</c:v>
                </c:pt>
                <c:pt idx="44">
                  <c:v>1.8217881669055512E-4</c:v>
                </c:pt>
                <c:pt idx="45">
                  <c:v>1.8124659841048523E-4</c:v>
                </c:pt>
                <c:pt idx="46">
                  <c:v>1.8057944559358698E-4</c:v>
                </c:pt>
                <c:pt idx="47">
                  <c:v>1.8017479580882076E-4</c:v>
                </c:pt>
                <c:pt idx="48">
                  <c:v>1.8003033504040329E-4</c:v>
                </c:pt>
                <c:pt idx="49">
                  <c:v>1.8014405710806351E-4</c:v>
                </c:pt>
                <c:pt idx="50">
                  <c:v>1.8050568151722752E-4</c:v>
                </c:pt>
                <c:pt idx="51">
                  <c:v>1.8094728996271366E-4</c:v>
                </c:pt>
                <c:pt idx="52">
                  <c:v>1.8114447218854258E-4</c:v>
                </c:pt>
                <c:pt idx="53">
                  <c:v>1.8110081910661287E-4</c:v>
                </c:pt>
                <c:pt idx="54">
                  <c:v>1.8082059654997198E-4</c:v>
                </c:pt>
                <c:pt idx="55">
                  <c:v>1.8030788491494614E-4</c:v>
                </c:pt>
                <c:pt idx="56">
                  <c:v>1.7956661004010709E-4</c:v>
                </c:pt>
                <c:pt idx="57">
                  <c:v>1.7864797354115173E-4</c:v>
                </c:pt>
                <c:pt idx="58">
                  <c:v>1.7765174068591435E-4</c:v>
                </c:pt>
                <c:pt idx="59">
                  <c:v>1.7657836166934179E-4</c:v>
                </c:pt>
                <c:pt idx="60">
                  <c:v>1.7542833434597968E-4</c:v>
                </c:pt>
                <c:pt idx="61">
                  <c:v>1.7420220753706851E-4</c:v>
                </c:pt>
                <c:pt idx="62">
                  <c:v>1.729005834216185E-4</c:v>
                </c:pt>
                <c:pt idx="63">
                  <c:v>1.71524119054124E-4</c:v>
                </c:pt>
                <c:pt idx="64">
                  <c:v>1.7007477602621422E-4</c:v>
                </c:pt>
                <c:pt idx="65">
                  <c:v>1.6870091580120053E-4</c:v>
                </c:pt>
                <c:pt idx="66">
                  <c:v>1.6754044347730917E-4</c:v>
                </c:pt>
                <c:pt idx="67">
                  <c:v>1.6659031690614362E-4</c:v>
                </c:pt>
                <c:pt idx="68">
                  <c:v>1.6584764625837437E-4</c:v>
                </c:pt>
                <c:pt idx="69">
                  <c:v>1.6530970238863151E-4</c:v>
                </c:pt>
                <c:pt idx="70">
                  <c:v>1.6497392509070099E-4</c:v>
                </c:pt>
                <c:pt idx="71">
                  <c:v>1.647780320788549E-4</c:v>
                </c:pt>
                <c:pt idx="72">
                  <c:v>1.6467827369079198E-4</c:v>
                </c:pt>
                <c:pt idx="73">
                  <c:v>1.6467452116401815E-4</c:v>
                </c:pt>
                <c:pt idx="74">
                  <c:v>1.6476674491329286E-4</c:v>
                </c:pt>
                <c:pt idx="75">
                  <c:v>1.6495501786735795E-4</c:v>
                </c:pt>
                <c:pt idx="76">
                  <c:v>1.6523951880658181E-4</c:v>
                </c:pt>
                <c:pt idx="77">
                  <c:v>1.6562053572554539E-4</c:v>
                </c:pt>
                <c:pt idx="78">
                  <c:v>1.6608988954283188E-4</c:v>
                </c:pt>
                <c:pt idx="79">
                  <c:v>1.6642486919556175E-4</c:v>
                </c:pt>
                <c:pt idx="80">
                  <c:v>1.6649927588042665E-4</c:v>
                </c:pt>
                <c:pt idx="81">
                  <c:v>1.6632119305392897E-4</c:v>
                </c:pt>
                <c:pt idx="82">
                  <c:v>1.6589836476826926E-4</c:v>
                </c:pt>
                <c:pt idx="83">
                  <c:v>1.6523814447890722E-4</c:v>
                </c:pt>
                <c:pt idx="84">
                  <c:v>1.6434744817872348E-4</c:v>
                </c:pt>
                <c:pt idx="85">
                  <c:v>1.6326749023751156E-4</c:v>
                </c:pt>
                <c:pt idx="86">
                  <c:v>1.6205913675470393E-4</c:v>
                </c:pt>
                <c:pt idx="87">
                  <c:v>1.6072686708005883E-4</c:v>
                </c:pt>
                <c:pt idx="88">
                  <c:v>1.5927473848406369E-4</c:v>
                </c:pt>
                <c:pt idx="89">
                  <c:v>1.5770636983481454E-4</c:v>
                </c:pt>
                <c:pt idx="90">
                  <c:v>1.5602492651165794E-4</c:v>
                </c:pt>
                <c:pt idx="91">
                  <c:v>1.5423310618143643E-4</c:v>
                </c:pt>
                <c:pt idx="92">
                  <c:v>1.523257968337957E-4</c:v>
                </c:pt>
                <c:pt idx="93">
                  <c:v>1.5020255899090136E-4</c:v>
                </c:pt>
                <c:pt idx="94">
                  <c:v>1.4807048550452624E-4</c:v>
                </c:pt>
                <c:pt idx="95">
                  <c:v>1.4592888132923223E-4</c:v>
                </c:pt>
                <c:pt idx="96">
                  <c:v>1.4377695542403999E-4</c:v>
                </c:pt>
                <c:pt idx="97">
                  <c:v>1.4161382029753751E-4</c:v>
                </c:pt>
                <c:pt idx="98">
                  <c:v>1.3943849164239875E-4</c:v>
                </c:pt>
                <c:pt idx="99">
                  <c:v>1.3711114755846581E-4</c:v>
                </c:pt>
                <c:pt idx="100">
                  <c:v>1.3459516284180506E-4</c:v>
                </c:pt>
                <c:pt idx="101">
                  <c:v>1.3188789658727881E-4</c:v>
                </c:pt>
                <c:pt idx="102">
                  <c:v>1.2898622173307715E-4</c:v>
                </c:pt>
                <c:pt idx="103">
                  <c:v>1.2588651421747667E-4</c:v>
                </c:pt>
                <c:pt idx="104">
                  <c:v>1.2258464175326749E-4</c:v>
                </c:pt>
                <c:pt idx="105">
                  <c:v>1.1907595217664098E-4</c:v>
                </c:pt>
                <c:pt idx="106">
                  <c:v>1.1535658047133892E-4</c:v>
                </c:pt>
                <c:pt idx="107">
                  <c:v>1.1175918571211729E-4</c:v>
                </c:pt>
                <c:pt idx="108">
                  <c:v>1.0837342843385517E-4</c:v>
                </c:pt>
                <c:pt idx="109">
                  <c:v>1.0519581027127321E-4</c:v>
                </c:pt>
                <c:pt idx="110">
                  <c:v>1.0222352890129821E-4</c:v>
                </c:pt>
                <c:pt idx="111">
                  <c:v>9.945414137365905E-5</c:v>
                </c:pt>
                <c:pt idx="112">
                  <c:v>9.6885269344761397E-5</c:v>
                </c:pt>
                <c:pt idx="113">
                  <c:v>9.4850606095079929E-5</c:v>
                </c:pt>
                <c:pt idx="114">
                  <c:v>9.3502295947932014E-5</c:v>
                </c:pt>
                <c:pt idx="115">
                  <c:v>9.284833783323692E-5</c:v>
                </c:pt>
                <c:pt idx="116">
                  <c:v>9.289798420488819E-5</c:v>
                </c:pt>
                <c:pt idx="117">
                  <c:v>9.3661699396064131E-5</c:v>
                </c:pt>
                <c:pt idx="118">
                  <c:v>9.5151115417998805E-5</c:v>
                </c:pt>
                <c:pt idx="119">
                  <c:v>9.7378984616966859E-5</c:v>
                </c:pt>
                <c:pt idx="120">
                  <c:v>1.0036251536492227E-4</c:v>
                </c:pt>
                <c:pt idx="121">
                  <c:v>1.0418503179315415E-4</c:v>
                </c:pt>
                <c:pt idx="122">
                  <c:v>1.0850064082999544E-4</c:v>
                </c:pt>
                <c:pt idx="123">
                  <c:v>1.1332108188784184E-4</c:v>
                </c:pt>
                <c:pt idx="124">
                  <c:v>1.186587360036394E-4</c:v>
                </c:pt>
                <c:pt idx="125">
                  <c:v>1.245265838507224E-4</c:v>
                </c:pt>
                <c:pt idx="126">
                  <c:v>1.3093815984783157E-4</c:v>
                </c:pt>
                <c:pt idx="127">
                  <c:v>1.3789146918773373E-4</c:v>
                </c:pt>
                <c:pt idx="128">
                  <c:v>1.4502624686430469E-4</c:v>
                </c:pt>
                <c:pt idx="129">
                  <c:v>1.5234662465203529E-4</c:v>
                </c:pt>
                <c:pt idx="130">
                  <c:v>1.5985647108542847E-4</c:v>
                </c:pt>
                <c:pt idx="131">
                  <c:v>1.6755936191765414E-4</c:v>
                </c:pt>
                <c:pt idx="132">
                  <c:v>1.7545854936793287E-4</c:v>
                </c:pt>
                <c:pt idx="133">
                  <c:v>1.8355693029821539E-4</c:v>
                </c:pt>
                <c:pt idx="134">
                  <c:v>1.9186045102296642E-4</c:v>
                </c:pt>
                <c:pt idx="135">
                  <c:v>2.003615132533512E-4</c:v>
                </c:pt>
                <c:pt idx="136">
                  <c:v>2.0899085123718319E-4</c:v>
                </c:pt>
                <c:pt idx="137">
                  <c:v>2.1775001907140747E-4</c:v>
                </c:pt>
                <c:pt idx="138">
                  <c:v>2.2664027903585864E-4</c:v>
                </c:pt>
                <c:pt idx="139">
                  <c:v>2.3566258953274465E-4</c:v>
                </c:pt>
                <c:pt idx="140">
                  <c:v>2.4481759381862045E-4</c:v>
                </c:pt>
                <c:pt idx="141">
                  <c:v>2.5403049543113701E-4</c:v>
                </c:pt>
                <c:pt idx="142">
                  <c:v>2.6331618420421355E-4</c:v>
                </c:pt>
                <c:pt idx="143">
                  <c:v>2.7267121877860758E-4</c:v>
                </c:pt>
                <c:pt idx="144">
                  <c:v>2.8209329739887665E-4</c:v>
                </c:pt>
                <c:pt idx="145">
                  <c:v>2.9157978519428674E-4</c:v>
                </c:pt>
                <c:pt idx="146">
                  <c:v>3.0112771745330417E-4</c:v>
                </c:pt>
                <c:pt idx="147">
                  <c:v>3.107338048162489E-4</c:v>
                </c:pt>
                <c:pt idx="148">
                  <c:v>3.2039941909811756E-4</c:v>
                </c:pt>
                <c:pt idx="149">
                  <c:v>3.3000296074834072E-4</c:v>
                </c:pt>
                <c:pt idx="150">
                  <c:v>3.3955204239079348E-4</c:v>
                </c:pt>
                <c:pt idx="151">
                  <c:v>3.4903720062359262E-4</c:v>
                </c:pt>
                <c:pt idx="152">
                  <c:v>3.5844839845016314E-4</c:v>
                </c:pt>
                <c:pt idx="153">
                  <c:v>3.6777505287411116E-4</c:v>
                </c:pt>
                <c:pt idx="154">
                  <c:v>3.7700606569430708E-4</c:v>
                </c:pt>
                <c:pt idx="155">
                  <c:v>3.8598371055808937E-4</c:v>
                </c:pt>
                <c:pt idx="156">
                  <c:v>3.9477906579685884E-4</c:v>
                </c:pt>
                <c:pt idx="157">
                  <c:v>4.0337822310336095E-4</c:v>
                </c:pt>
                <c:pt idx="158">
                  <c:v>4.1176694225515686E-4</c:v>
                </c:pt>
                <c:pt idx="159">
                  <c:v>4.1993070572373704E-4</c:v>
                </c:pt>
                <c:pt idx="160">
                  <c:v>4.2785477581947206E-4</c:v>
                </c:pt>
                <c:pt idx="161">
                  <c:v>4.3552425410290664E-4</c:v>
                </c:pt>
                <c:pt idx="162">
                  <c:v>4.4293216681362172E-4</c:v>
                </c:pt>
                <c:pt idx="163">
                  <c:v>4.4990599728108682E-4</c:v>
                </c:pt>
                <c:pt idx="164">
                  <c:v>4.5656994311840709E-4</c:v>
                </c:pt>
                <c:pt idx="165">
                  <c:v>4.6291269771997853E-4</c:v>
                </c:pt>
                <c:pt idx="166">
                  <c:v>4.6892323167718053E-4</c:v>
                </c:pt>
                <c:pt idx="167">
                  <c:v>4.7459082903413653E-4</c:v>
                </c:pt>
                <c:pt idx="168">
                  <c:v>4.7990512096194611E-4</c:v>
                </c:pt>
                <c:pt idx="169">
                  <c:v>4.8467994761408975E-4</c:v>
                </c:pt>
                <c:pt idx="170">
                  <c:v>4.8906686717416865E-4</c:v>
                </c:pt>
                <c:pt idx="171">
                  <c:v>4.9305645103268501E-4</c:v>
                </c:pt>
                <c:pt idx="172">
                  <c:v>4.9663973103897491E-4</c:v>
                </c:pt>
                <c:pt idx="173">
                  <c:v>4.9980310518013625E-4</c:v>
                </c:pt>
                <c:pt idx="174">
                  <c:v>5.0253307697769212E-4</c:v>
                </c:pt>
                <c:pt idx="175">
                  <c:v>5.0482160151826892E-4</c:v>
                </c:pt>
                <c:pt idx="176">
                  <c:v>5.0666320228146368E-4</c:v>
                </c:pt>
                <c:pt idx="177">
                  <c:v>5.0787992879211996E-4</c:v>
                </c:pt>
                <c:pt idx="178">
                  <c:v>5.0864829604527987E-4</c:v>
                </c:pt>
                <c:pt idx="179">
                  <c:v>5.0896190015617263E-4</c:v>
                </c:pt>
                <c:pt idx="180">
                  <c:v>5.0881485527645882E-4</c:v>
                </c:pt>
                <c:pt idx="181">
                  <c:v>5.0820178951666744E-4</c:v>
                </c:pt>
                <c:pt idx="182">
                  <c:v>5.0711783745774016E-4</c:v>
                </c:pt>
                <c:pt idx="183">
                  <c:v>5.0540148534621715E-4</c:v>
                </c:pt>
                <c:pt idx="184">
                  <c:v>5.0323930367427827E-4</c:v>
                </c:pt>
                <c:pt idx="185">
                  <c:v>5.0062844568214682E-4</c:v>
                </c:pt>
                <c:pt idx="186">
                  <c:v>4.9756648298398436E-4</c:v>
                </c:pt>
                <c:pt idx="187">
                  <c:v>4.9405138465241356E-4</c:v>
                </c:pt>
                <c:pt idx="188">
                  <c:v>4.9008149469406367E-4</c:v>
                </c:pt>
                <c:pt idx="189">
                  <c:v>4.8565550825503293E-4</c:v>
                </c:pt>
                <c:pt idx="190">
                  <c:v>4.8077469221089922E-4</c:v>
                </c:pt>
                <c:pt idx="191">
                  <c:v>4.7533080401308819E-4</c:v>
                </c:pt>
                <c:pt idx="192">
                  <c:v>4.6950764998614474E-4</c:v>
                </c:pt>
                <c:pt idx="193">
                  <c:v>4.6330644183140672E-4</c:v>
                </c:pt>
                <c:pt idx="194">
                  <c:v>4.5672849480850889E-4</c:v>
                </c:pt>
                <c:pt idx="195">
                  <c:v>4.4977519766408494E-4</c:v>
                </c:pt>
                <c:pt idx="196">
                  <c:v>4.4244798359318433E-4</c:v>
                </c:pt>
                <c:pt idx="197">
                  <c:v>4.3472519707159907E-4</c:v>
                </c:pt>
                <c:pt idx="198">
                  <c:v>4.2677456332662866E-4</c:v>
                </c:pt>
                <c:pt idx="199">
                  <c:v>4.1859878099542361E-4</c:v>
                </c:pt>
                <c:pt idx="200">
                  <c:v>4.1020043417255885E-4</c:v>
                </c:pt>
                <c:pt idx="201">
                  <c:v>4.0158197804920708E-4</c:v>
                </c:pt>
                <c:pt idx="202">
                  <c:v>3.9274572649037188E-4</c:v>
                </c:pt>
                <c:pt idx="203">
                  <c:v>3.8369384153598239E-4</c:v>
                </c:pt>
                <c:pt idx="204">
                  <c:v>3.7442308604366853E-4</c:v>
                </c:pt>
                <c:pt idx="205">
                  <c:v>3.6490247281672697E-4</c:v>
                </c:pt>
                <c:pt idx="206">
                  <c:v>3.5525162660261024E-4</c:v>
                </c:pt>
                <c:pt idx="207">
                  <c:v>3.4547496452684817E-4</c:v>
                </c:pt>
                <c:pt idx="208">
                  <c:v>3.3557654478741697E-4</c:v>
                </c:pt>
                <c:pt idx="209">
                  <c:v>3.255600622347387E-4</c:v>
                </c:pt>
                <c:pt idx="210">
                  <c:v>3.1542884552198644E-4</c:v>
                </c:pt>
                <c:pt idx="211">
                  <c:v>3.0530321007711286E-4</c:v>
                </c:pt>
                <c:pt idx="212">
                  <c:v>2.9521062551439024E-4</c:v>
                </c:pt>
                <c:pt idx="213">
                  <c:v>2.8515429876908692E-4</c:v>
                </c:pt>
                <c:pt idx="214">
                  <c:v>2.7513707687722063E-4</c:v>
                </c:pt>
                <c:pt idx="215">
                  <c:v>2.6516145953359095E-4</c:v>
                </c:pt>
                <c:pt idx="216">
                  <c:v>2.5522961181986131E-4</c:v>
                </c:pt>
                <c:pt idx="217">
                  <c:v>2.453433768796028E-4</c:v>
                </c:pt>
                <c:pt idx="218">
                  <c:v>2.3550085230456726E-4</c:v>
                </c:pt>
                <c:pt idx="219">
                  <c:v>2.2640063764208993E-4</c:v>
                </c:pt>
                <c:pt idx="220">
                  <c:v>2.1807921448286933E-4</c:v>
                </c:pt>
                <c:pt idx="221">
                  <c:v>2.1054279603891318E-4</c:v>
                </c:pt>
                <c:pt idx="222">
                  <c:v>2.037975560238377E-4</c:v>
                </c:pt>
                <c:pt idx="223">
                  <c:v>1.9784964187321221E-4</c:v>
                </c:pt>
                <c:pt idx="224">
                  <c:v>1.9270518608689759E-4</c:v>
                </c:pt>
                <c:pt idx="225">
                  <c:v>1.8904202237659835E-4</c:v>
                </c:pt>
                <c:pt idx="226">
                  <c:v>1.8674947265964292E-4</c:v>
                </c:pt>
                <c:pt idx="227">
                  <c:v>1.858375937941149E-4</c:v>
                </c:pt>
                <c:pt idx="228">
                  <c:v>1.8631649213451541E-4</c:v>
                </c:pt>
                <c:pt idx="229">
                  <c:v>1.8819632569702869E-4</c:v>
                </c:pt>
                <c:pt idx="230">
                  <c:v>1.9148730443364356E-4</c:v>
                </c:pt>
                <c:pt idx="231">
                  <c:v>1.961996887118982E-4</c:v>
                </c:pt>
                <c:pt idx="232">
                  <c:v>2.0233851624682286E-4</c:v>
                </c:pt>
                <c:pt idx="233">
                  <c:v>2.0952387215739392E-4</c:v>
                </c:pt>
                <c:pt idx="234">
                  <c:v>2.1703591614079091E-4</c:v>
                </c:pt>
                <c:pt idx="235">
                  <c:v>2.2487828556635517E-4</c:v>
                </c:pt>
                <c:pt idx="236">
                  <c:v>2.3305508870221782E-4</c:v>
                </c:pt>
                <c:pt idx="237">
                  <c:v>2.4157072595220016E-4</c:v>
                </c:pt>
                <c:pt idx="238">
                  <c:v>2.5043006692549374E-4</c:v>
                </c:pt>
                <c:pt idx="239">
                  <c:v>2.5946488335623218E-4</c:v>
                </c:pt>
                <c:pt idx="240">
                  <c:v>2.6798439463963735E-4</c:v>
                </c:pt>
                <c:pt idx="241">
                  <c:v>2.7598887526550966E-4</c:v>
                </c:pt>
                <c:pt idx="242">
                  <c:v>2.8347885829227735E-4</c:v>
                </c:pt>
                <c:pt idx="243">
                  <c:v>2.9045507573817155E-4</c:v>
                </c:pt>
                <c:pt idx="244">
                  <c:v>2.9691839871517098E-4</c:v>
                </c:pt>
                <c:pt idx="245">
                  <c:v>3.0286977750455449E-4</c:v>
                </c:pt>
                <c:pt idx="246">
                  <c:v>3.0830194475329396E-4</c:v>
                </c:pt>
                <c:pt idx="247">
                  <c:v>3.1330977342161262E-4</c:v>
                </c:pt>
                <c:pt idx="248">
                  <c:v>3.182920793224191E-4</c:v>
                </c:pt>
                <c:pt idx="249">
                  <c:v>3.2324875135178563E-4</c:v>
                </c:pt>
                <c:pt idx="250">
                  <c:v>3.2817957303046927E-4</c:v>
                </c:pt>
                <c:pt idx="251">
                  <c:v>3.3308421985546097E-4</c:v>
                </c:pt>
                <c:pt idx="252">
                  <c:v>3.3796225665563173E-4</c:v>
                </c:pt>
                <c:pt idx="253">
                  <c:v>3.4233411538917377E-4</c:v>
                </c:pt>
                <c:pt idx="254">
                  <c:v>3.4637523510803726E-4</c:v>
                </c:pt>
                <c:pt idx="255">
                  <c:v>3.5008160851155351E-4</c:v>
                </c:pt>
                <c:pt idx="256">
                  <c:v>3.5344902234384768E-4</c:v>
                </c:pt>
                <c:pt idx="257">
                  <c:v>3.5647306400597223E-4</c:v>
                </c:pt>
                <c:pt idx="258">
                  <c:v>3.5914912949605582E-4</c:v>
                </c:pt>
                <c:pt idx="259">
                  <c:v>3.6147243250096288E-4</c:v>
                </c:pt>
                <c:pt idx="260">
                  <c:v>3.6345046958840546E-4</c:v>
                </c:pt>
                <c:pt idx="261">
                  <c:v>3.6498991195687164E-4</c:v>
                </c:pt>
                <c:pt idx="262">
                  <c:v>3.6596917399856719E-4</c:v>
                </c:pt>
                <c:pt idx="263">
                  <c:v>3.6637663401589606E-4</c:v>
                </c:pt>
                <c:pt idx="264">
                  <c:v>3.6620028606886381E-4</c:v>
                </c:pt>
                <c:pt idx="265">
                  <c:v>3.6542975646637003E-4</c:v>
                </c:pt>
                <c:pt idx="266">
                  <c:v>3.6405344020105923E-4</c:v>
                </c:pt>
                <c:pt idx="267">
                  <c:v>3.6235904150469717E-4</c:v>
                </c:pt>
                <c:pt idx="268">
                  <c:v>3.6084307898848623E-4</c:v>
                </c:pt>
                <c:pt idx="269">
                  <c:v>3.59501717593218E-4</c:v>
                </c:pt>
                <c:pt idx="270">
                  <c:v>3.5833110239784409E-4</c:v>
                </c:pt>
                <c:pt idx="271">
                  <c:v>3.5732733210014724E-4</c:v>
                </c:pt>
                <c:pt idx="272">
                  <c:v>3.5648643278671824E-4</c:v>
                </c:pt>
                <c:pt idx="273">
                  <c:v>3.5580433216127958E-4</c:v>
                </c:pt>
                <c:pt idx="274">
                  <c:v>3.5528408874829087E-4</c:v>
                </c:pt>
                <c:pt idx="275">
                  <c:v>3.5500432154405675E-4</c:v>
                </c:pt>
                <c:pt idx="276">
                  <c:v>3.5507332116337971E-4</c:v>
                </c:pt>
                <c:pt idx="277">
                  <c:v>3.554964245533402E-4</c:v>
                </c:pt>
                <c:pt idx="278">
                  <c:v>3.5627899006103345E-4</c:v>
                </c:pt>
                <c:pt idx="279">
                  <c:v>3.5742642518239997E-4</c:v>
                </c:pt>
                <c:pt idx="280">
                  <c:v>3.5894421777742628E-4</c:v>
                </c:pt>
                <c:pt idx="281">
                  <c:v>3.6054708649403959E-4</c:v>
                </c:pt>
                <c:pt idx="282">
                  <c:v>3.6192112312537206E-4</c:v>
                </c:pt>
                <c:pt idx="283">
                  <c:v>3.6306686401011372E-4</c:v>
                </c:pt>
                <c:pt idx="284">
                  <c:v>3.639851502671048E-4</c:v>
                </c:pt>
                <c:pt idx="285">
                  <c:v>3.6467712823690747E-4</c:v>
                </c:pt>
                <c:pt idx="286">
                  <c:v>3.651442480707075E-4</c:v>
                </c:pt>
                <c:pt idx="287">
                  <c:v>3.6538826026800069E-4</c:v>
                </c:pt>
                <c:pt idx="288">
                  <c:v>3.6542701934222995E-4</c:v>
                </c:pt>
                <c:pt idx="289">
                  <c:v>3.6511024248433635E-4</c:v>
                </c:pt>
                <c:pt idx="290">
                  <c:v>3.6435213155855829E-4</c:v>
                </c:pt>
                <c:pt idx="291">
                  <c:v>3.6313963718987222E-4</c:v>
                </c:pt>
                <c:pt idx="292">
                  <c:v>3.6145955424882539E-4</c:v>
                </c:pt>
                <c:pt idx="293">
                  <c:v>3.5929861283055543E-4</c:v>
                </c:pt>
                <c:pt idx="294">
                  <c:v>3.5664357725224836E-4</c:v>
                </c:pt>
                <c:pt idx="295">
                  <c:v>3.5416435566902268E-4</c:v>
                </c:pt>
                <c:pt idx="296">
                  <c:v>3.5216299388327716E-4</c:v>
                </c:pt>
                <c:pt idx="297">
                  <c:v>3.5063832890622134E-4</c:v>
                </c:pt>
                <c:pt idx="298">
                  <c:v>3.4958598408047344E-4</c:v>
                </c:pt>
                <c:pt idx="299">
                  <c:v>3.4900118198319884E-4</c:v>
                </c:pt>
                <c:pt idx="300">
                  <c:v>3.4887860444695153E-4</c:v>
                </c:pt>
                <c:pt idx="301">
                  <c:v>3.4921225145391591E-4</c:v>
                </c:pt>
                <c:pt idx="302">
                  <c:v>3.5002414817109117E-4</c:v>
                </c:pt>
                <c:pt idx="303">
                  <c:v>3.5238720113298951E-4</c:v>
                </c:pt>
                <c:pt idx="304">
                  <c:v>3.5647997321561854E-4</c:v>
                </c:pt>
                <c:pt idx="305">
                  <c:v>3.6231524090534362E-4</c:v>
                </c:pt>
                <c:pt idx="306">
                  <c:v>3.6990557071443021E-4</c:v>
                </c:pt>
                <c:pt idx="307">
                  <c:v>3.7926346417334865E-4</c:v>
                </c:pt>
                <c:pt idx="308">
                  <c:v>3.9040151191697562E-4</c:v>
                </c:pt>
                <c:pt idx="309">
                  <c:v>4.0280063108788928E-4</c:v>
                </c:pt>
                <c:pt idx="310">
                  <c:v>4.1576473788032043E-4</c:v>
                </c:pt>
                <c:pt idx="311">
                  <c:v>4.2930084466966968E-4</c:v>
                </c:pt>
                <c:pt idx="312">
                  <c:v>4.4341658716709318E-4</c:v>
                </c:pt>
                <c:pt idx="313">
                  <c:v>4.581202693644478E-4</c:v>
                </c:pt>
                <c:pt idx="314">
                  <c:v>4.7342090489420905E-4</c:v>
                </c:pt>
                <c:pt idx="315">
                  <c:v>4.8932825393658099E-4</c:v>
                </c:pt>
                <c:pt idx="316">
                  <c:v>5.0587145574794554E-4</c:v>
                </c:pt>
                <c:pt idx="317">
                  <c:v>5.2153770158330586E-4</c:v>
                </c:pt>
                <c:pt idx="318">
                  <c:v>5.3525012609005314E-4</c:v>
                </c:pt>
                <c:pt idx="319">
                  <c:v>5.4699610256233168E-4</c:v>
                </c:pt>
                <c:pt idx="320">
                  <c:v>5.5676069968766631E-4</c:v>
                </c:pt>
                <c:pt idx="321">
                  <c:v>5.6452671247563056E-4</c:v>
                </c:pt>
                <c:pt idx="322">
                  <c:v>5.7027472157915023E-4</c:v>
                </c:pt>
                <c:pt idx="323">
                  <c:v>5.7378333879799499E-4</c:v>
                </c:pt>
                <c:pt idx="324">
                  <c:v>5.7557744645332155E-4</c:v>
                </c:pt>
                <c:pt idx="325">
                  <c:v>5.7563468815801332E-4</c:v>
                </c:pt>
                <c:pt idx="326">
                  <c:v>5.7392766083280982E-4</c:v>
                </c:pt>
                <c:pt idx="327">
                  <c:v>5.7043016261702046E-4</c:v>
                </c:pt>
                <c:pt idx="328">
                  <c:v>5.6511802212634295E-4</c:v>
                </c:pt>
                <c:pt idx="329">
                  <c:v>5.5796641769371459E-4</c:v>
                </c:pt>
                <c:pt idx="330">
                  <c:v>5.4903594894365739E-4</c:v>
                </c:pt>
                <c:pt idx="331">
                  <c:v>5.3887853154806415E-4</c:v>
                </c:pt>
                <c:pt idx="332">
                  <c:v>5.2905732261578379E-4</c:v>
                </c:pt>
                <c:pt idx="333">
                  <c:v>5.1954487129757059E-4</c:v>
                </c:pt>
                <c:pt idx="334">
                  <c:v>5.1031449538599958E-4</c:v>
                </c:pt>
                <c:pt idx="335">
                  <c:v>5.0134025894611528E-4</c:v>
                </c:pt>
                <c:pt idx="336">
                  <c:v>4.9259697114107986E-4</c:v>
                </c:pt>
                <c:pt idx="337">
                  <c:v>4.8429224771852277E-4</c:v>
                </c:pt>
                <c:pt idx="338">
                  <c:v>4.7661506487279025E-4</c:v>
                </c:pt>
                <c:pt idx="339">
                  <c:v>4.6954716708290823E-4</c:v>
                </c:pt>
                <c:pt idx="340">
                  <c:v>4.6307056493544656E-4</c:v>
                </c:pt>
                <c:pt idx="341">
                  <c:v>4.5716732551769843E-4</c:v>
                </c:pt>
                <c:pt idx="342">
                  <c:v>4.5181936538997295E-4</c:v>
                </c:pt>
                <c:pt idx="343">
                  <c:v>4.4700824901667109E-4</c:v>
                </c:pt>
                <c:pt idx="344">
                  <c:v>4.4278271981066714E-4</c:v>
                </c:pt>
                <c:pt idx="345">
                  <c:v>4.3920366894313482E-4</c:v>
                </c:pt>
                <c:pt idx="346">
                  <c:v>4.3592933816717926E-4</c:v>
                </c:pt>
                <c:pt idx="347">
                  <c:v>4.329567247559295E-4</c:v>
                </c:pt>
                <c:pt idx="348">
                  <c:v>4.3028252643040462E-4</c:v>
                </c:pt>
                <c:pt idx="349">
                  <c:v>4.2790313061284605E-4</c:v>
                </c:pt>
                <c:pt idx="350">
                  <c:v>4.2581460369330937E-4</c:v>
                </c:pt>
                <c:pt idx="351">
                  <c:v>4.2420210672083577E-4</c:v>
                </c:pt>
                <c:pt idx="352">
                  <c:v>4.2282304639558341E-4</c:v>
                </c:pt>
                <c:pt idx="353">
                  <c:v>4.2167240348153383E-4</c:v>
                </c:pt>
                <c:pt idx="354">
                  <c:v>4.2074490569395323E-4</c:v>
                </c:pt>
                <c:pt idx="355">
                  <c:v>4.2003503223595677E-4</c:v>
                </c:pt>
                <c:pt idx="356">
                  <c:v>4.1953579400423049E-4</c:v>
                </c:pt>
                <c:pt idx="357">
                  <c:v>4.1924184067301139E-4</c:v>
                </c:pt>
                <c:pt idx="358">
                  <c:v>4.1912948784668679E-4</c:v>
                </c:pt>
                <c:pt idx="359">
                  <c:v>4.1918353264315414E-4</c:v>
                </c:pt>
                <c:pt idx="360">
                  <c:v>4.1964158508282925E-4</c:v>
                </c:pt>
                <c:pt idx="361">
                  <c:v>4.2031967490073599E-4</c:v>
                </c:pt>
                <c:pt idx="362">
                  <c:v>4.2122057704432404E-4</c:v>
                </c:pt>
                <c:pt idx="363">
                  <c:v>4.2234667241891508E-4</c:v>
                </c:pt>
                <c:pt idx="364">
                  <c:v>4.2369997328448522E-4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49072"/>
        <c:axId val="592949464"/>
      </c:lineChart>
      <c:dateAx>
        <c:axId val="5929490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49464"/>
        <c:crosses val="autoZero"/>
        <c:auto val="1"/>
        <c:lblOffset val="100"/>
        <c:baseTimeUnit val="days"/>
        <c:majorUnit val="1"/>
        <c:majorTimeUnit val="months"/>
      </c:dateAx>
      <c:valAx>
        <c:axId val="5929494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49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Ayguesvives M.J.C.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4406.4542317714358</c:v>
                </c:pt>
                <c:pt idx="1">
                  <c:v>11969.569422816698</c:v>
                </c:pt>
                <c:pt idx="2">
                  <c:v>11785.490754079019</c:v>
                </c:pt>
                <c:pt idx="3">
                  <c:v>11484.148809822093</c:v>
                </c:pt>
                <c:pt idx="4">
                  <c:v>11846.812532293097</c:v>
                </c:pt>
                <c:pt idx="5">
                  <c:v>11846.467047160882</c:v>
                </c:pt>
                <c:pt idx="6">
                  <c:v>11862.952306838662</c:v>
                </c:pt>
                <c:pt idx="7">
                  <c:v>11847.581814747755</c:v>
                </c:pt>
                <c:pt idx="8">
                  <c:v>11847.731795168469</c:v>
                </c:pt>
                <c:pt idx="9">
                  <c:v>11847.43905697939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4395.079075156189</c:v>
                </c:pt>
                <c:pt idx="1">
                  <c:v>11867.741136907338</c:v>
                </c:pt>
                <c:pt idx="2">
                  <c:v>11592.162430960292</c:v>
                </c:pt>
                <c:pt idx="3">
                  <c:v>11211.594177558634</c:v>
                </c:pt>
                <c:pt idx="4">
                  <c:v>11483.142839805147</c:v>
                </c:pt>
                <c:pt idx="5">
                  <c:v>11388.981864677387</c:v>
                </c:pt>
                <c:pt idx="6">
                  <c:v>11313.715325144665</c:v>
                </c:pt>
                <c:pt idx="7">
                  <c:v>11209.61019362066</c:v>
                </c:pt>
                <c:pt idx="8">
                  <c:v>11120.277303847321</c:v>
                </c:pt>
                <c:pt idx="9">
                  <c:v>11031.879972269398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10959.695999999994</c:v>
                </c:pt>
                <c:pt idx="4">
                  <c:v>11015.42600000001</c:v>
                </c:pt>
                <c:pt idx="5">
                  <c:v>10662.630904715661</c:v>
                </c:pt>
                <c:pt idx="6">
                  <c:v>10963.752562229922</c:v>
                </c:pt>
                <c:pt idx="7">
                  <c:v>10755.608361595179</c:v>
                </c:pt>
                <c:pt idx="8">
                  <c:v>10833.734462009643</c:v>
                </c:pt>
                <c:pt idx="9">
                  <c:v>10584.608214410693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10642.718296004463</c:v>
                </c:pt>
                <c:pt idx="4">
                  <c:v>10702.293430020551</c:v>
                </c:pt>
                <c:pt idx="5">
                  <c:v>10452.693092755935</c:v>
                </c:pt>
                <c:pt idx="6">
                  <c:v>10407.187916483712</c:v>
                </c:pt>
                <c:pt idx="7">
                  <c:v>10256.407799812889</c:v>
                </c:pt>
                <c:pt idx="8">
                  <c:v>10344.744718167964</c:v>
                </c:pt>
                <c:pt idx="9">
                  <c:v>10210.086268000106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317.16402703247957</c:v>
                </c:pt>
                <c:pt idx="4">
                  <c:v>310.77354477397688</c:v>
                </c:pt>
                <c:pt idx="5">
                  <c:v>209.9046771866158</c:v>
                </c:pt>
                <c:pt idx="6">
                  <c:v>556.88896572175872</c:v>
                </c:pt>
                <c:pt idx="7">
                  <c:v>494.49003201937273</c:v>
                </c:pt>
                <c:pt idx="8">
                  <c:v>483.34828437630705</c:v>
                </c:pt>
                <c:pt idx="9">
                  <c:v>368.53863786143432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-6.4182154756231125E-2</c:v>
                </c:pt>
                <c:pt idx="4">
                  <c:v>-9.003125290007441E-2</c:v>
                </c:pt>
                <c:pt idx="5">
                  <c:v>-7.598548009116346E-2</c:v>
                </c:pt>
                <c:pt idx="6">
                  <c:v>-0.24486115593349211</c:v>
                </c:pt>
                <c:pt idx="7">
                  <c:v>4.1940637952231814</c:v>
                </c:pt>
                <c:pt idx="8">
                  <c:v>5.2691481988944435</c:v>
                </c:pt>
                <c:pt idx="9">
                  <c:v>5.4345042051778591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73528"/>
        <c:axId val="585973920"/>
      </c:lineChart>
      <c:catAx>
        <c:axId val="585973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3920"/>
        <c:crosses val="autoZero"/>
        <c:auto val="1"/>
        <c:lblAlgn val="ctr"/>
        <c:lblOffset val="100"/>
        <c:noMultiLvlLbl val="0"/>
      </c:catAx>
      <c:valAx>
        <c:axId val="5859739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3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2.7127515943781134E-2</c:v>
                </c:pt>
                <c:pt idx="1">
                  <c:v>2.7148798064913639E-2</c:v>
                </c:pt>
                <c:pt idx="2">
                  <c:v>2.7170079719913122E-2</c:v>
                </c:pt>
                <c:pt idx="3">
                  <c:v>2.7191360908789687E-2</c:v>
                </c:pt>
                <c:pt idx="4">
                  <c:v>2.7212641631553659E-2</c:v>
                </c:pt>
                <c:pt idx="5">
                  <c:v>2.7233921888215142E-2</c:v>
                </c:pt>
                <c:pt idx="6">
                  <c:v>2.7255201678784348E-2</c:v>
                </c:pt>
                <c:pt idx="7">
                  <c:v>2.7276481003271603E-2</c:v>
                </c:pt>
                <c:pt idx="8">
                  <c:v>2.7297759861687011E-2</c:v>
                </c:pt>
                <c:pt idx="9">
                  <c:v>2.7319038254040785E-2</c:v>
                </c:pt>
                <c:pt idx="10">
                  <c:v>2.7340316180343251E-2</c:v>
                </c:pt>
                <c:pt idx="11">
                  <c:v>2.7361593640604399E-2</c:v>
                </c:pt>
                <c:pt idx="12">
                  <c:v>2.7382870634834668E-2</c:v>
                </c:pt>
                <c:pt idx="13">
                  <c:v>2.7404147163044047E-2</c:v>
                </c:pt>
                <c:pt idx="14">
                  <c:v>2.7425423225242974E-2</c:v>
                </c:pt>
                <c:pt idx="15">
                  <c:v>2.7446698821441441E-2</c:v>
                </c:pt>
                <c:pt idx="16">
                  <c:v>2.7467973951649773E-2</c:v>
                </c:pt>
                <c:pt idx="17">
                  <c:v>2.7489248615878183E-2</c:v>
                </c:pt>
                <c:pt idx="18">
                  <c:v>2.7510522814136885E-2</c:v>
                </c:pt>
                <c:pt idx="19">
                  <c:v>2.7531796546435984E-2</c:v>
                </c:pt>
                <c:pt idx="20">
                  <c:v>2.7553069812785692E-2</c:v>
                </c:pt>
                <c:pt idx="21">
                  <c:v>2.7574342613196336E-2</c:v>
                </c:pt>
                <c:pt idx="22">
                  <c:v>2.7595614947678017E-2</c:v>
                </c:pt>
                <c:pt idx="23">
                  <c:v>2.7616886816241061E-2</c:v>
                </c:pt>
                <c:pt idx="24">
                  <c:v>2.7638158218895571E-2</c:v>
                </c:pt>
                <c:pt idx="25">
                  <c:v>2.7659429155651762E-2</c:v>
                </c:pt>
                <c:pt idx="26">
                  <c:v>2.7680699626519735E-2</c:v>
                </c:pt>
                <c:pt idx="27">
                  <c:v>2.7701969631509928E-2</c:v>
                </c:pt>
                <c:pt idx="28">
                  <c:v>2.7723239170632442E-2</c:v>
                </c:pt>
                <c:pt idx="29">
                  <c:v>2.7744508243897383E-2</c:v>
                </c:pt>
                <c:pt idx="30">
                  <c:v>2.7765776851315073E-2</c:v>
                </c:pt>
                <c:pt idx="31">
                  <c:v>2.7787044992895617E-2</c:v>
                </c:pt>
                <c:pt idx="32">
                  <c:v>2.7808312668649339E-2</c:v>
                </c:pt>
                <c:pt idx="33">
                  <c:v>2.7829579878586454E-2</c:v>
                </c:pt>
                <c:pt idx="34">
                  <c:v>2.7850846622716953E-2</c:v>
                </c:pt>
                <c:pt idx="35">
                  <c:v>2.7872112901051273E-2</c:v>
                </c:pt>
                <c:pt idx="36">
                  <c:v>2.7893378713599405E-2</c:v>
                </c:pt>
                <c:pt idx="37">
                  <c:v>2.7914644060371786E-2</c:v>
                </c:pt>
                <c:pt idx="38">
                  <c:v>2.7935908941378408E-2</c:v>
                </c:pt>
                <c:pt idx="39">
                  <c:v>2.7957173356629596E-2</c:v>
                </c:pt>
                <c:pt idx="40">
                  <c:v>2.7978437306135563E-2</c:v>
                </c:pt>
                <c:pt idx="41">
                  <c:v>2.7999700789906413E-2</c:v>
                </c:pt>
                <c:pt idx="42">
                  <c:v>2.8020963807952361E-2</c:v>
                </c:pt>
                <c:pt idx="43">
                  <c:v>2.804222636028373E-2</c:v>
                </c:pt>
                <c:pt idx="44">
                  <c:v>2.8063488446910513E-2</c:v>
                </c:pt>
                <c:pt idx="45">
                  <c:v>2.8084750067843146E-2</c:v>
                </c:pt>
                <c:pt idx="46">
                  <c:v>2.8106011223091733E-2</c:v>
                </c:pt>
                <c:pt idx="47">
                  <c:v>2.8127271912666375E-2</c:v>
                </c:pt>
                <c:pt idx="48">
                  <c:v>2.8148532136577399E-2</c:v>
                </c:pt>
                <c:pt idx="49">
                  <c:v>2.8169791894834907E-2</c:v>
                </c:pt>
                <c:pt idx="50">
                  <c:v>2.8191051187449113E-2</c:v>
                </c:pt>
                <c:pt idx="51">
                  <c:v>2.8212310014430343E-2</c:v>
                </c:pt>
                <c:pt idx="52">
                  <c:v>2.8233568375788699E-2</c:v>
                </c:pt>
                <c:pt idx="53">
                  <c:v>2.8254826271534285E-2</c:v>
                </c:pt>
                <c:pt idx="54">
                  <c:v>2.8276083701677536E-2</c:v>
                </c:pt>
                <c:pt idx="55">
                  <c:v>2.8297340666228445E-2</c:v>
                </c:pt>
                <c:pt idx="56">
                  <c:v>2.8318597165197225E-2</c:v>
                </c:pt>
                <c:pt idx="57">
                  <c:v>2.8339853198594202E-2</c:v>
                </c:pt>
                <c:pt idx="58">
                  <c:v>2.8361108766429478E-2</c:v>
                </c:pt>
                <c:pt idx="59">
                  <c:v>2.8382363868713269E-2</c:v>
                </c:pt>
                <c:pt idx="60">
                  <c:v>2.8403618505455676E-2</c:v>
                </c:pt>
                <c:pt idx="61">
                  <c:v>2.8424872676667136E-2</c:v>
                </c:pt>
                <c:pt idx="62">
                  <c:v>2.8446126382357641E-2</c:v>
                </c:pt>
                <c:pt idx="63">
                  <c:v>2.8467379622537405E-2</c:v>
                </c:pt>
                <c:pt idx="64">
                  <c:v>2.8488632397216641E-2</c:v>
                </c:pt>
                <c:pt idx="65">
                  <c:v>2.8509884706405676E-2</c:v>
                </c:pt>
                <c:pt idx="66">
                  <c:v>2.8531136550114501E-2</c:v>
                </c:pt>
                <c:pt idx="67">
                  <c:v>2.8552387928353441E-2</c:v>
                </c:pt>
                <c:pt idx="68">
                  <c:v>2.8573638841132711E-2</c:v>
                </c:pt>
                <c:pt idx="69">
                  <c:v>2.8594889288462412E-2</c:v>
                </c:pt>
                <c:pt idx="70">
                  <c:v>2.861613927035276E-2</c:v>
                </c:pt>
                <c:pt idx="71">
                  <c:v>2.8637388786813968E-2</c:v>
                </c:pt>
                <c:pt idx="72">
                  <c:v>2.865863783785625E-2</c:v>
                </c:pt>
                <c:pt idx="73">
                  <c:v>2.8679886423489821E-2</c:v>
                </c:pt>
                <c:pt idx="74">
                  <c:v>2.8701134543724784E-2</c:v>
                </c:pt>
                <c:pt idx="75">
                  <c:v>2.8722382198571351E-2</c:v>
                </c:pt>
                <c:pt idx="76">
                  <c:v>2.8743629388039739E-2</c:v>
                </c:pt>
                <c:pt idx="77">
                  <c:v>2.8764876112140271E-2</c:v>
                </c:pt>
                <c:pt idx="78">
                  <c:v>2.878612237088294E-2</c:v>
                </c:pt>
                <c:pt idx="79">
                  <c:v>2.8807368164277959E-2</c:v>
                </c:pt>
                <c:pt idx="80">
                  <c:v>2.8828613492335654E-2</c:v>
                </c:pt>
                <c:pt idx="81">
                  <c:v>2.8849858355066128E-2</c:v>
                </c:pt>
                <c:pt idx="82">
                  <c:v>2.8871102752479484E-2</c:v>
                </c:pt>
                <c:pt idx="83">
                  <c:v>2.8892346684586158E-2</c:v>
                </c:pt>
                <c:pt idx="84">
                  <c:v>2.8913590151396142E-2</c:v>
                </c:pt>
                <c:pt idx="85">
                  <c:v>2.8934833152919649E-2</c:v>
                </c:pt>
                <c:pt idx="86">
                  <c:v>2.8956075689166895E-2</c:v>
                </c:pt>
                <c:pt idx="87">
                  <c:v>2.8977317760148204E-2</c:v>
                </c:pt>
                <c:pt idx="88">
                  <c:v>2.8998559365873568E-2</c:v>
                </c:pt>
                <c:pt idx="89">
                  <c:v>2.9019800506353201E-2</c:v>
                </c:pt>
                <c:pt idx="90">
                  <c:v>2.9041041181597428E-2</c:v>
                </c:pt>
                <c:pt idx="91">
                  <c:v>2.9062281391616242E-2</c:v>
                </c:pt>
                <c:pt idx="92">
                  <c:v>2.9083521136420078E-2</c:v>
                </c:pt>
                <c:pt idx="93">
                  <c:v>2.9104760416018928E-2</c:v>
                </c:pt>
                <c:pt idx="94">
                  <c:v>2.9125999230423007E-2</c:v>
                </c:pt>
                <c:pt idx="95">
                  <c:v>2.9147237579642639E-2</c:v>
                </c:pt>
                <c:pt idx="96">
                  <c:v>2.9168475463687817E-2</c:v>
                </c:pt>
                <c:pt idx="97">
                  <c:v>2.9189712882568865E-2</c:v>
                </c:pt>
                <c:pt idx="98">
                  <c:v>2.9210949836295887E-2</c:v>
                </c:pt>
                <c:pt idx="99">
                  <c:v>2.9232186324879207E-2</c:v>
                </c:pt>
                <c:pt idx="100">
                  <c:v>2.9253422348328929E-2</c:v>
                </c:pt>
                <c:pt idx="101">
                  <c:v>2.9274657906655156E-2</c:v>
                </c:pt>
                <c:pt idx="102">
                  <c:v>2.9295892999868213E-2</c:v>
                </c:pt>
                <c:pt idx="103">
                  <c:v>2.9317127627978203E-2</c:v>
                </c:pt>
                <c:pt idx="104">
                  <c:v>2.9338361790995339E-2</c:v>
                </c:pt>
                <c:pt idx="105">
                  <c:v>2.9359595488929836E-2</c:v>
                </c:pt>
                <c:pt idx="106">
                  <c:v>2.9380828721791909E-2</c:v>
                </c:pt>
                <c:pt idx="107">
                  <c:v>2.9402061489591548E-2</c:v>
                </c:pt>
                <c:pt idx="108">
                  <c:v>2.942329379233919E-2</c:v>
                </c:pt>
                <c:pt idx="109">
                  <c:v>2.9444525630044828E-2</c:v>
                </c:pt>
                <c:pt idx="110">
                  <c:v>2.9465757002718786E-2</c:v>
                </c:pt>
                <c:pt idx="111">
                  <c:v>2.9486987910371167E-2</c:v>
                </c:pt>
                <c:pt idx="112">
                  <c:v>2.9508218353012185E-2</c:v>
                </c:pt>
                <c:pt idx="113">
                  <c:v>2.9529448330652054E-2</c:v>
                </c:pt>
                <c:pt idx="114">
                  <c:v>2.9550677843300989E-2</c:v>
                </c:pt>
                <c:pt idx="115">
                  <c:v>2.9571906890968981E-2</c:v>
                </c:pt>
                <c:pt idx="116">
                  <c:v>2.9593135473666356E-2</c:v>
                </c:pt>
                <c:pt idx="117">
                  <c:v>2.9614363591403327E-2</c:v>
                </c:pt>
                <c:pt idx="118">
                  <c:v>2.9635591244190108E-2</c:v>
                </c:pt>
                <c:pt idx="119">
                  <c:v>2.9656818432036693E-2</c:v>
                </c:pt>
                <c:pt idx="120">
                  <c:v>2.9678045154953515E-2</c:v>
                </c:pt>
                <c:pt idx="121">
                  <c:v>2.9699271412950458E-2</c:v>
                </c:pt>
                <c:pt idx="122">
                  <c:v>2.9720497206038067E-2</c:v>
                </c:pt>
                <c:pt idx="123">
                  <c:v>2.9741722534226224E-2</c:v>
                </c:pt>
                <c:pt idx="124">
                  <c:v>2.9762947397525254E-2</c:v>
                </c:pt>
                <c:pt idx="125">
                  <c:v>2.9784171795945259E-2</c:v>
                </c:pt>
                <c:pt idx="126">
                  <c:v>2.9805395729496455E-2</c:v>
                </c:pt>
                <c:pt idx="127">
                  <c:v>2.9826619198189054E-2</c:v>
                </c:pt>
                <c:pt idx="128">
                  <c:v>2.9847842202033271E-2</c:v>
                </c:pt>
                <c:pt idx="129">
                  <c:v>2.986906474103921E-2</c:v>
                </c:pt>
                <c:pt idx="130">
                  <c:v>2.9890286815217083E-2</c:v>
                </c:pt>
                <c:pt idx="131">
                  <c:v>2.9911508424576995E-2</c:v>
                </c:pt>
                <c:pt idx="132">
                  <c:v>2.993272956912927E-2</c:v>
                </c:pt>
                <c:pt idx="133">
                  <c:v>2.9953950248884011E-2</c:v>
                </c:pt>
                <c:pt idx="134">
                  <c:v>2.9975170463851432E-2</c:v>
                </c:pt>
                <c:pt idx="135">
                  <c:v>2.9996390214041636E-2</c:v>
                </c:pt>
                <c:pt idx="136">
                  <c:v>3.0017609499464949E-2</c:v>
                </c:pt>
                <c:pt idx="137">
                  <c:v>3.0038828320131362E-2</c:v>
                </c:pt>
                <c:pt idx="138">
                  <c:v>3.006004667605109E-2</c:v>
                </c:pt>
                <c:pt idx="139">
                  <c:v>3.0081264567234457E-2</c:v>
                </c:pt>
                <c:pt idx="140">
                  <c:v>3.0102481993691567E-2</c:v>
                </c:pt>
                <c:pt idx="141">
                  <c:v>3.0123698955432522E-2</c:v>
                </c:pt>
                <c:pt idx="142">
                  <c:v>3.0144915452467537E-2</c:v>
                </c:pt>
                <c:pt idx="143">
                  <c:v>3.0166131484806936E-2</c:v>
                </c:pt>
                <c:pt idx="144">
                  <c:v>3.0187347052460713E-2</c:v>
                </c:pt>
                <c:pt idx="145">
                  <c:v>3.020856215543908E-2</c:v>
                </c:pt>
                <c:pt idx="146">
                  <c:v>3.0229776793752251E-2</c:v>
                </c:pt>
                <c:pt idx="147">
                  <c:v>3.0250990967410442E-2</c:v>
                </c:pt>
                <c:pt idx="148">
                  <c:v>3.0272204676423754E-2</c:v>
                </c:pt>
                <c:pt idx="149">
                  <c:v>3.0293417920802403E-2</c:v>
                </c:pt>
                <c:pt idx="150">
                  <c:v>3.0314630700556601E-2</c:v>
                </c:pt>
                <c:pt idx="151">
                  <c:v>3.0335843015696452E-2</c:v>
                </c:pt>
                <c:pt idx="152">
                  <c:v>3.035705486623206E-2</c:v>
                </c:pt>
                <c:pt idx="153">
                  <c:v>3.0378266252173859E-2</c:v>
                </c:pt>
                <c:pt idx="154">
                  <c:v>3.0399477173531732E-2</c:v>
                </c:pt>
                <c:pt idx="155">
                  <c:v>3.0420687630316114E-2</c:v>
                </c:pt>
                <c:pt idx="156">
                  <c:v>3.0441897622536997E-2</c:v>
                </c:pt>
                <c:pt idx="157">
                  <c:v>3.0463107150204595E-2</c:v>
                </c:pt>
                <c:pt idx="158">
                  <c:v>3.0484316213329123E-2</c:v>
                </c:pt>
                <c:pt idx="159">
                  <c:v>3.0505524811920794E-2</c:v>
                </c:pt>
                <c:pt idx="160">
                  <c:v>3.05267329459896E-2</c:v>
                </c:pt>
                <c:pt idx="161">
                  <c:v>3.0547940615545978E-2</c:v>
                </c:pt>
                <c:pt idx="162">
                  <c:v>3.0569147820599919E-2</c:v>
                </c:pt>
                <c:pt idx="163">
                  <c:v>3.0590354561161638E-2</c:v>
                </c:pt>
                <c:pt idx="164">
                  <c:v>3.0611560837241238E-2</c:v>
                </c:pt>
                <c:pt idx="165">
                  <c:v>3.0632766648849043E-2</c:v>
                </c:pt>
                <c:pt idx="166">
                  <c:v>3.0653971995995156E-2</c:v>
                </c:pt>
                <c:pt idx="167">
                  <c:v>3.0675176878689682E-2</c:v>
                </c:pt>
                <c:pt idx="168">
                  <c:v>3.0696381296942944E-2</c:v>
                </c:pt>
                <c:pt idx="169">
                  <c:v>3.0717585250764935E-2</c:v>
                </c:pt>
                <c:pt idx="170">
                  <c:v>3.073878874016598E-2</c:v>
                </c:pt>
                <c:pt idx="171">
                  <c:v>3.0759991765156182E-2</c:v>
                </c:pt>
                <c:pt idx="172">
                  <c:v>3.0781194325745755E-2</c:v>
                </c:pt>
                <c:pt idx="173">
                  <c:v>3.0802396421944801E-2</c:v>
                </c:pt>
                <c:pt idx="174">
                  <c:v>3.0823598053763536E-2</c:v>
                </c:pt>
                <c:pt idx="175">
                  <c:v>3.0844799221212062E-2</c:v>
                </c:pt>
                <c:pt idx="176">
                  <c:v>3.0865999924300704E-2</c:v>
                </c:pt>
                <c:pt idx="177">
                  <c:v>3.0887200163039454E-2</c:v>
                </c:pt>
                <c:pt idx="178">
                  <c:v>3.0908399937438526E-2</c:v>
                </c:pt>
                <c:pt idx="179">
                  <c:v>3.0929599247508245E-2</c:v>
                </c:pt>
                <c:pt idx="180">
                  <c:v>3.0950798093258604E-2</c:v>
                </c:pt>
                <c:pt idx="181">
                  <c:v>3.0971996474699927E-2</c:v>
                </c:pt>
                <c:pt idx="182">
                  <c:v>3.0993194391842206E-2</c:v>
                </c:pt>
                <c:pt idx="183">
                  <c:v>3.1014391844695656E-2</c:v>
                </c:pt>
                <c:pt idx="184">
                  <c:v>3.1035588833270601E-2</c:v>
                </c:pt>
                <c:pt idx="185">
                  <c:v>3.1056785357577034E-2</c:v>
                </c:pt>
                <c:pt idx="186">
                  <c:v>3.1077981417625168E-2</c:v>
                </c:pt>
                <c:pt idx="187">
                  <c:v>3.1099177013425218E-2</c:v>
                </c:pt>
                <c:pt idx="188">
                  <c:v>3.1120372144987286E-2</c:v>
                </c:pt>
                <c:pt idx="189">
                  <c:v>3.1141566812321698E-2</c:v>
                </c:pt>
                <c:pt idx="190">
                  <c:v>3.1162761015438335E-2</c:v>
                </c:pt>
                <c:pt idx="191">
                  <c:v>3.1183954754347633E-2</c:v>
                </c:pt>
                <c:pt idx="192">
                  <c:v>3.1205148029059694E-2</c:v>
                </c:pt>
                <c:pt idx="193">
                  <c:v>3.1226340839584511E-2</c:v>
                </c:pt>
                <c:pt idx="194">
                  <c:v>3.124753318593252E-2</c:v>
                </c:pt>
                <c:pt idx="195">
                  <c:v>3.1268725068113713E-2</c:v>
                </c:pt>
                <c:pt idx="196">
                  <c:v>3.1289916486138193E-2</c:v>
                </c:pt>
                <c:pt idx="197">
                  <c:v>3.1311107440016396E-2</c:v>
                </c:pt>
                <c:pt idx="198">
                  <c:v>3.1332297929758203E-2</c:v>
                </c:pt>
                <c:pt idx="199">
                  <c:v>3.1353487955373939E-2</c:v>
                </c:pt>
                <c:pt idx="200">
                  <c:v>3.1374677516873707E-2</c:v>
                </c:pt>
                <c:pt idx="201">
                  <c:v>3.1395866614267721E-2</c:v>
                </c:pt>
                <c:pt idx="202">
                  <c:v>3.1417055247566196E-2</c:v>
                </c:pt>
                <c:pt idx="203">
                  <c:v>3.1438243416779123E-2</c:v>
                </c:pt>
                <c:pt idx="204">
                  <c:v>3.1459431121916827E-2</c:v>
                </c:pt>
                <c:pt idx="205">
                  <c:v>3.1480618362989411E-2</c:v>
                </c:pt>
                <c:pt idx="206">
                  <c:v>3.1501805140006979E-2</c:v>
                </c:pt>
                <c:pt idx="207">
                  <c:v>3.1522991452979744E-2</c:v>
                </c:pt>
                <c:pt idx="208">
                  <c:v>3.1544177301917921E-2</c:v>
                </c:pt>
                <c:pt idx="209">
                  <c:v>3.1565362686831723E-2</c:v>
                </c:pt>
                <c:pt idx="210">
                  <c:v>3.1586547607731143E-2</c:v>
                </c:pt>
                <c:pt idx="211">
                  <c:v>3.1607732064626394E-2</c:v>
                </c:pt>
                <c:pt idx="212">
                  <c:v>3.1628916057527691E-2</c:v>
                </c:pt>
                <c:pt idx="213">
                  <c:v>3.1650099586445136E-2</c:v>
                </c:pt>
                <c:pt idx="214">
                  <c:v>3.1671282651389056E-2</c:v>
                </c:pt>
                <c:pt idx="215">
                  <c:v>3.169246525236933E-2</c:v>
                </c:pt>
                <c:pt idx="216">
                  <c:v>3.1713647389396395E-2</c:v>
                </c:pt>
                <c:pt idx="217">
                  <c:v>3.1734829062480242E-2</c:v>
                </c:pt>
                <c:pt idx="218">
                  <c:v>3.1756010271631198E-2</c:v>
                </c:pt>
                <c:pt idx="219">
                  <c:v>3.1777191016859142E-2</c:v>
                </c:pt>
                <c:pt idx="220">
                  <c:v>3.1798371298174512E-2</c:v>
                </c:pt>
                <c:pt idx="221">
                  <c:v>3.1819551115587298E-2</c:v>
                </c:pt>
                <c:pt idx="222">
                  <c:v>3.1840730469107827E-2</c:v>
                </c:pt>
                <c:pt idx="223">
                  <c:v>3.1861909358746089E-2</c:v>
                </c:pt>
                <c:pt idx="224">
                  <c:v>3.18830877845123E-2</c:v>
                </c:pt>
                <c:pt idx="225">
                  <c:v>3.1904265746416673E-2</c:v>
                </c:pt>
                <c:pt idx="226">
                  <c:v>3.1925443244469311E-2</c:v>
                </c:pt>
                <c:pt idx="227">
                  <c:v>3.1946620278680428E-2</c:v>
                </c:pt>
                <c:pt idx="228">
                  <c:v>3.1967796849060127E-2</c:v>
                </c:pt>
                <c:pt idx="229">
                  <c:v>3.1988972955618512E-2</c:v>
                </c:pt>
                <c:pt idx="230">
                  <c:v>3.2010148598365908E-2</c:v>
                </c:pt>
                <c:pt idx="231">
                  <c:v>3.2031323777312305E-2</c:v>
                </c:pt>
                <c:pt idx="232">
                  <c:v>3.205249849246803E-2</c:v>
                </c:pt>
                <c:pt idx="233">
                  <c:v>3.2073672743843075E-2</c:v>
                </c:pt>
                <c:pt idx="234">
                  <c:v>3.2094846531447764E-2</c:v>
                </c:pt>
                <c:pt idx="235">
                  <c:v>3.211601985529209E-2</c:v>
                </c:pt>
                <c:pt idx="236">
                  <c:v>3.2137192715386266E-2</c:v>
                </c:pt>
                <c:pt idx="237">
                  <c:v>3.2158365111740507E-2</c:v>
                </c:pt>
                <c:pt idx="238">
                  <c:v>3.2179537044364916E-2</c:v>
                </c:pt>
                <c:pt idx="239">
                  <c:v>3.2200708513269706E-2</c:v>
                </c:pt>
                <c:pt idx="240">
                  <c:v>3.222187951846487E-2</c:v>
                </c:pt>
                <c:pt idx="241">
                  <c:v>3.2243050059960844E-2</c:v>
                </c:pt>
                <c:pt idx="242">
                  <c:v>3.2264220137767509E-2</c:v>
                </c:pt>
                <c:pt idx="243">
                  <c:v>3.228538975189519E-2</c:v>
                </c:pt>
                <c:pt idx="244">
                  <c:v>3.2306558902353989E-2</c:v>
                </c:pt>
                <c:pt idx="245">
                  <c:v>3.2327727589154011E-2</c:v>
                </c:pt>
                <c:pt idx="246">
                  <c:v>3.2348895812305579E-2</c:v>
                </c:pt>
                <c:pt idx="247">
                  <c:v>3.2370063571818687E-2</c:v>
                </c:pt>
                <c:pt idx="248">
                  <c:v>3.2391230867703437E-2</c:v>
                </c:pt>
                <c:pt idx="249">
                  <c:v>3.2412397699970154E-2</c:v>
                </c:pt>
                <c:pt idx="250">
                  <c:v>3.2433564068628941E-2</c:v>
                </c:pt>
                <c:pt idx="251">
                  <c:v>3.2454729973689901E-2</c:v>
                </c:pt>
                <c:pt idx="252">
                  <c:v>3.2475895415163249E-2</c:v>
                </c:pt>
                <c:pt idx="253">
                  <c:v>3.2497060393059087E-2</c:v>
                </c:pt>
                <c:pt idx="254">
                  <c:v>3.2518224907387629E-2</c:v>
                </c:pt>
                <c:pt idx="255">
                  <c:v>3.2539388958158978E-2</c:v>
                </c:pt>
                <c:pt idx="256">
                  <c:v>3.2560552545383238E-2</c:v>
                </c:pt>
                <c:pt idx="257">
                  <c:v>3.2581715669070734E-2</c:v>
                </c:pt>
                <c:pt idx="258">
                  <c:v>3.2602878329231345E-2</c:v>
                </c:pt>
                <c:pt idx="259">
                  <c:v>3.262404052587551E-2</c:v>
                </c:pt>
                <c:pt idx="260">
                  <c:v>3.2645202259013219E-2</c:v>
                </c:pt>
                <c:pt idx="261">
                  <c:v>3.2666363528654686E-2</c:v>
                </c:pt>
                <c:pt idx="262">
                  <c:v>3.2687524334810016E-2</c:v>
                </c:pt>
                <c:pt idx="263">
                  <c:v>3.270868467748942E-2</c:v>
                </c:pt>
                <c:pt idx="264">
                  <c:v>3.2729844556703004E-2</c:v>
                </c:pt>
                <c:pt idx="265">
                  <c:v>3.275100397246087E-2</c:v>
                </c:pt>
                <c:pt idx="266">
                  <c:v>3.2772162924773231E-2</c:v>
                </c:pt>
                <c:pt idx="267">
                  <c:v>3.2793321413650302E-2</c:v>
                </c:pt>
                <c:pt idx="268">
                  <c:v>3.2814479439102186E-2</c:v>
                </c:pt>
                <c:pt idx="269">
                  <c:v>3.2835637001138875E-2</c:v>
                </c:pt>
                <c:pt idx="270">
                  <c:v>3.2856794099770804E-2</c:v>
                </c:pt>
                <c:pt idx="271">
                  <c:v>3.2877950735007856E-2</c:v>
                </c:pt>
                <c:pt idx="272">
                  <c:v>3.2899106906860355E-2</c:v>
                </c:pt>
                <c:pt idx="273">
                  <c:v>3.2920262615338404E-2</c:v>
                </c:pt>
                <c:pt idx="274">
                  <c:v>3.2941417860452106E-2</c:v>
                </c:pt>
                <c:pt idx="275">
                  <c:v>3.2962572642211675E-2</c:v>
                </c:pt>
                <c:pt idx="276">
                  <c:v>3.2983726960627215E-2</c:v>
                </c:pt>
                <c:pt idx="277">
                  <c:v>3.3004880815708938E-2</c:v>
                </c:pt>
                <c:pt idx="278">
                  <c:v>3.3026034207466949E-2</c:v>
                </c:pt>
                <c:pt idx="279">
                  <c:v>3.3047187135911239E-2</c:v>
                </c:pt>
                <c:pt idx="280">
                  <c:v>3.3068339601052245E-2</c:v>
                </c:pt>
                <c:pt idx="281">
                  <c:v>3.3089491602899958E-2</c:v>
                </c:pt>
                <c:pt idx="282">
                  <c:v>3.3110643141464592E-2</c:v>
                </c:pt>
                <c:pt idx="283">
                  <c:v>3.313179421675614E-2</c:v>
                </c:pt>
                <c:pt idx="284">
                  <c:v>3.3152944828784926E-2</c:v>
                </c:pt>
                <c:pt idx="285">
                  <c:v>3.3174094977561054E-2</c:v>
                </c:pt>
                <c:pt idx="286">
                  <c:v>3.3195244663094627E-2</c:v>
                </c:pt>
                <c:pt idx="287">
                  <c:v>3.3216393885395747E-2</c:v>
                </c:pt>
                <c:pt idx="288">
                  <c:v>3.3237542644474628E-2</c:v>
                </c:pt>
                <c:pt idx="289">
                  <c:v>3.3258690940341486E-2</c:v>
                </c:pt>
                <c:pt idx="290">
                  <c:v>3.3279838773006311E-2</c:v>
                </c:pt>
                <c:pt idx="291">
                  <c:v>3.3300986142479318E-2</c:v>
                </c:pt>
                <c:pt idx="292">
                  <c:v>3.332213304877072E-2</c:v>
                </c:pt>
                <c:pt idx="293">
                  <c:v>3.3343279491890622E-2</c:v>
                </c:pt>
                <c:pt idx="294">
                  <c:v>3.3364425471849125E-2</c:v>
                </c:pt>
                <c:pt idx="295">
                  <c:v>3.3385570988656334E-2</c:v>
                </c:pt>
                <c:pt idx="296">
                  <c:v>3.3406716042322461E-2</c:v>
                </c:pt>
                <c:pt idx="297">
                  <c:v>3.3427860632857721E-2</c:v>
                </c:pt>
                <c:pt idx="298">
                  <c:v>3.3449004760272107E-2</c:v>
                </c:pt>
                <c:pt idx="299">
                  <c:v>3.3470148424575942E-2</c:v>
                </c:pt>
                <c:pt idx="300">
                  <c:v>3.349129162577922E-2</c:v>
                </c:pt>
                <c:pt idx="301">
                  <c:v>3.3512434363892042E-2</c:v>
                </c:pt>
                <c:pt idx="302">
                  <c:v>3.3533576638924735E-2</c:v>
                </c:pt>
                <c:pt idx="303">
                  <c:v>3.355471845088729E-2</c:v>
                </c:pt>
                <c:pt idx="304">
                  <c:v>3.3575859799789921E-2</c:v>
                </c:pt>
                <c:pt idx="305">
                  <c:v>3.3597000685642732E-2</c:v>
                </c:pt>
                <c:pt idx="306">
                  <c:v>3.3618141108455936E-2</c:v>
                </c:pt>
                <c:pt idx="307">
                  <c:v>3.3639281068239636E-2</c:v>
                </c:pt>
                <c:pt idx="308">
                  <c:v>3.3660420565003936E-2</c:v>
                </c:pt>
                <c:pt idx="309">
                  <c:v>3.3681559598758938E-2</c:v>
                </c:pt>
                <c:pt idx="310">
                  <c:v>3.3702698169514968E-2</c:v>
                </c:pt>
                <c:pt idx="311">
                  <c:v>3.3723836277282017E-2</c:v>
                </c:pt>
                <c:pt idx="312">
                  <c:v>3.3744973922070189E-2</c:v>
                </c:pt>
                <c:pt idx="313">
                  <c:v>3.3766111103889697E-2</c:v>
                </c:pt>
                <c:pt idx="314">
                  <c:v>3.3787247822750756E-2</c:v>
                </c:pt>
                <c:pt idx="315">
                  <c:v>3.3808384078663357E-2</c:v>
                </c:pt>
                <c:pt idx="316">
                  <c:v>3.3829519871637716E-2</c:v>
                </c:pt>
                <c:pt idx="317">
                  <c:v>3.3850655201684045E-2</c:v>
                </c:pt>
                <c:pt idx="318">
                  <c:v>3.3871790068812337E-2</c:v>
                </c:pt>
                <c:pt idx="319">
                  <c:v>3.3892924473032805E-2</c:v>
                </c:pt>
                <c:pt idx="320">
                  <c:v>3.3914058414355554E-2</c:v>
                </c:pt>
                <c:pt idx="321">
                  <c:v>3.3935191892790796E-2</c:v>
                </c:pt>
                <c:pt idx="322">
                  <c:v>3.3956324908348524E-2</c:v>
                </c:pt>
                <c:pt idx="323">
                  <c:v>3.3977457461039064E-2</c:v>
                </c:pt>
                <c:pt idx="324">
                  <c:v>3.3998589550872406E-2</c:v>
                </c:pt>
                <c:pt idx="325">
                  <c:v>3.4019721177858876E-2</c:v>
                </c:pt>
                <c:pt idx="326">
                  <c:v>3.4040852342008356E-2</c:v>
                </c:pt>
                <c:pt idx="327">
                  <c:v>3.4061983043331169E-2</c:v>
                </c:pt>
                <c:pt idx="328">
                  <c:v>3.4083113281837309E-2</c:v>
                </c:pt>
                <c:pt idx="329">
                  <c:v>3.4104243057537099E-2</c:v>
                </c:pt>
                <c:pt idx="330">
                  <c:v>3.4125372370440533E-2</c:v>
                </c:pt>
                <c:pt idx="331">
                  <c:v>3.4146501220557825E-2</c:v>
                </c:pt>
                <c:pt idx="332">
                  <c:v>3.4167629607898965E-2</c:v>
                </c:pt>
                <c:pt idx="333">
                  <c:v>3.418875753247428E-2</c:v>
                </c:pt>
                <c:pt idx="334">
                  <c:v>3.4209884994293872E-2</c:v>
                </c:pt>
                <c:pt idx="335">
                  <c:v>3.4231011993367734E-2</c:v>
                </c:pt>
                <c:pt idx="336">
                  <c:v>3.425213852970619E-2</c:v>
                </c:pt>
                <c:pt idx="337">
                  <c:v>3.4273264603319122E-2</c:v>
                </c:pt>
                <c:pt idx="338">
                  <c:v>3.4294390214216965E-2</c:v>
                </c:pt>
                <c:pt idx="339">
                  <c:v>3.4315515362409711E-2</c:v>
                </c:pt>
                <c:pt idx="340">
                  <c:v>3.4336640047907353E-2</c:v>
                </c:pt>
                <c:pt idx="341">
                  <c:v>3.4357764270720327E-2</c:v>
                </c:pt>
                <c:pt idx="342">
                  <c:v>3.4378888030858513E-2</c:v>
                </c:pt>
                <c:pt idx="343">
                  <c:v>3.4400011328332238E-2</c:v>
                </c:pt>
                <c:pt idx="344">
                  <c:v>3.4421134163151491E-2</c:v>
                </c:pt>
                <c:pt idx="345">
                  <c:v>3.4442256535326378E-2</c:v>
                </c:pt>
                <c:pt idx="346">
                  <c:v>3.4463378444867222E-2</c:v>
                </c:pt>
                <c:pt idx="347">
                  <c:v>3.4484499891783905E-2</c:v>
                </c:pt>
                <c:pt idx="348">
                  <c:v>3.4505620876086752E-2</c:v>
                </c:pt>
                <c:pt idx="349">
                  <c:v>3.4526741397785866E-2</c:v>
                </c:pt>
                <c:pt idx="350">
                  <c:v>3.454786145689135E-2</c:v>
                </c:pt>
                <c:pt idx="351">
                  <c:v>3.4568981053413307E-2</c:v>
                </c:pt>
                <c:pt idx="352">
                  <c:v>3.4590100187361951E-2</c:v>
                </c:pt>
                <c:pt idx="353">
                  <c:v>3.4611218858747274E-2</c:v>
                </c:pt>
                <c:pt idx="354">
                  <c:v>3.4632337067579601E-2</c:v>
                </c:pt>
                <c:pt idx="355">
                  <c:v>3.4653454813868924E-2</c:v>
                </c:pt>
                <c:pt idx="356">
                  <c:v>3.4674572097625346E-2</c:v>
                </c:pt>
                <c:pt idx="357">
                  <c:v>3.4695688918859081E-2</c:v>
                </c:pt>
                <c:pt idx="358">
                  <c:v>3.4716805277580233E-2</c:v>
                </c:pt>
                <c:pt idx="359">
                  <c:v>3.4737921173798904E-2</c:v>
                </c:pt>
                <c:pt idx="360">
                  <c:v>3.4759036607525308E-2</c:v>
                </c:pt>
                <c:pt idx="361">
                  <c:v>3.4780151578769548E-2</c:v>
                </c:pt>
                <c:pt idx="362">
                  <c:v>3.4801266087541728E-2</c:v>
                </c:pt>
                <c:pt idx="363">
                  <c:v>3.482238013385195E-2</c:v>
                </c:pt>
                <c:pt idx="364">
                  <c:v>3.4843493717710318E-2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2.3127670642053701E-2</c:v>
                </c:pt>
                <c:pt idx="1">
                  <c:v>2.3228838734774798E-2</c:v>
                </c:pt>
                <c:pt idx="2">
                  <c:v>2.332994363664783E-2</c:v>
                </c:pt>
                <c:pt idx="3">
                  <c:v>2.3430980678104438E-2</c:v>
                </c:pt>
                <c:pt idx="4">
                  <c:v>2.3531945803129797E-2</c:v>
                </c:pt>
                <c:pt idx="5">
                  <c:v>2.3632835561736686E-2</c:v>
                </c:pt>
                <c:pt idx="6">
                  <c:v>2.3733647096573371E-2</c:v>
                </c:pt>
                <c:pt idx="7">
                  <c:v>2.3834378123966941E-2</c:v>
                </c:pt>
                <c:pt idx="8">
                  <c:v>2.3935026909753663E-2</c:v>
                </c:pt>
                <c:pt idx="9">
                  <c:v>2.4035592240294196E-2</c:v>
                </c:pt>
                <c:pt idx="10">
                  <c:v>2.4136073389112687E-2</c:v>
                </c:pt>
                <c:pt idx="11">
                  <c:v>2.423647007963553E-2</c:v>
                </c:pt>
                <c:pt idx="12">
                  <c:v>2.4336782444536968E-2</c:v>
                </c:pt>
                <c:pt idx="13">
                  <c:v>2.4437010982224526E-2</c:v>
                </c:pt>
                <c:pt idx="14">
                  <c:v>2.453715651101741E-2</c:v>
                </c:pt>
                <c:pt idx="15">
                  <c:v>2.4637220121585691E-2</c:v>
                </c:pt>
                <c:pt idx="16">
                  <c:v>2.4737203128226054E-2</c:v>
                </c:pt>
                <c:pt idx="17">
                  <c:v>2.4837107019552742E-2</c:v>
                </c:pt>
                <c:pt idx="18">
                  <c:v>2.493693340917871E-2</c:v>
                </c:pt>
                <c:pt idx="19">
                  <c:v>2.503668398695269E-2</c:v>
                </c:pt>
                <c:pt idx="20">
                  <c:v>2.5136360471302972E-2</c:v>
                </c:pt>
                <c:pt idx="21">
                  <c:v>2.523596456321836E-2</c:v>
                </c:pt>
                <c:pt idx="22">
                  <c:v>2.5335497902370867E-2</c:v>
                </c:pt>
                <c:pt idx="23">
                  <c:v>2.5434962025854713E-2</c:v>
                </c:pt>
                <c:pt idx="24">
                  <c:v>2.5534358329980692E-2</c:v>
                </c:pt>
                <c:pt idx="25">
                  <c:v>2.5633688035526438E-2</c:v>
                </c:pt>
                <c:pt idx="26">
                  <c:v>2.5732952156799986E-2</c:v>
                </c:pt>
                <c:pt idx="27">
                  <c:v>2.5832151474828615E-2</c:v>
                </c:pt>
                <c:pt idx="28">
                  <c:v>2.5931286514936175E-2</c:v>
                </c:pt>
                <c:pt idx="29">
                  <c:v>2.6030357528921889E-2</c:v>
                </c:pt>
                <c:pt idx="30">
                  <c:v>2.6129364482001417E-2</c:v>
                </c:pt>
                <c:pt idx="31">
                  <c:v>2.6228307044617854E-2</c:v>
                </c:pt>
                <c:pt idx="32">
                  <c:v>2.6327184589177263E-2</c:v>
                </c:pt>
                <c:pt idx="33">
                  <c:v>2.6425996191709961E-2</c:v>
                </c:pt>
                <c:pt idx="34">
                  <c:v>2.6524740638406215E-2</c:v>
                </c:pt>
                <c:pt idx="35">
                  <c:v>2.6623416436923963E-2</c:v>
                </c:pt>
                <c:pt idx="36">
                  <c:v>2.6722021832317047E-2</c:v>
                </c:pt>
                <c:pt idx="37">
                  <c:v>2.6820554827385084E-2</c:v>
                </c:pt>
                <c:pt idx="38">
                  <c:v>2.6919013207201865E-2</c:v>
                </c:pt>
                <c:pt idx="39">
                  <c:v>2.7017394567538804E-2</c:v>
                </c:pt>
                <c:pt idx="40">
                  <c:v>2.7115696346861798E-2</c:v>
                </c:pt>
                <c:pt idx="41">
                  <c:v>2.7213915861547099E-2</c:v>
                </c:pt>
                <c:pt idx="42">
                  <c:v>2.7312050343932318E-2</c:v>
                </c:pt>
                <c:pt idx="43">
                  <c:v>2.7410096982794653E-2</c:v>
                </c:pt>
                <c:pt idx="44">
                  <c:v>2.7508052965827916E-2</c:v>
                </c:pt>
                <c:pt idx="45">
                  <c:v>2.7605915523675709E-2</c:v>
                </c:pt>
                <c:pt idx="46">
                  <c:v>2.7703681975067708E-2</c:v>
                </c:pt>
                <c:pt idx="47">
                  <c:v>2.7801349772601184E-2</c:v>
                </c:pt>
                <c:pt idx="48">
                  <c:v>2.7898916548709966E-2</c:v>
                </c:pt>
                <c:pt idx="49">
                  <c:v>2.7996380161367924E-2</c:v>
                </c:pt>
                <c:pt idx="50">
                  <c:v>2.8093738739083652E-2</c:v>
                </c:pt>
                <c:pt idx="51">
                  <c:v>2.8190990724757278E-2</c:v>
                </c:pt>
                <c:pt idx="52">
                  <c:v>2.828813491798908E-2</c:v>
                </c:pt>
                <c:pt idx="53">
                  <c:v>2.8385170515451905E-2</c:v>
                </c:pt>
                <c:pt idx="54">
                  <c:v>2.8482097148965865E-2</c:v>
                </c:pt>
                <c:pt idx="55">
                  <c:v>2.8578914920943478E-2</c:v>
                </c:pt>
                <c:pt idx="56">
                  <c:v>2.8675624436905994E-2</c:v>
                </c:pt>
                <c:pt idx="57">
                  <c:v>2.8772226834806802E-2</c:v>
                </c:pt>
                <c:pt idx="58">
                  <c:v>2.8868723810934978E-2</c:v>
                </c:pt>
                <c:pt idx="59">
                  <c:v>2.8965117642211002E-2</c:v>
                </c:pt>
                <c:pt idx="60">
                  <c:v>2.906141120472637E-2</c:v>
                </c:pt>
                <c:pt idx="61">
                  <c:v>2.9157607988419522E-2</c:v>
                </c:pt>
                <c:pt idx="62">
                  <c:v>2.9253712107821097E-2</c:v>
                </c:pt>
                <c:pt idx="63">
                  <c:v>2.9349728308841874E-2</c:v>
                </c:pt>
                <c:pt idx="64">
                  <c:v>2.9445661971616268E-2</c:v>
                </c:pt>
                <c:pt idx="65">
                  <c:v>2.9541519109452241E-2</c:v>
                </c:pt>
                <c:pt idx="66">
                  <c:v>2.9637306363975144E-2</c:v>
                </c:pt>
                <c:pt idx="67">
                  <c:v>2.9733030996587289E-2</c:v>
                </c:pt>
                <c:pt idx="68">
                  <c:v>2.982870087639657E-2</c:v>
                </c:pt>
                <c:pt idx="69">
                  <c:v>2.9924324464796644E-2</c:v>
                </c:pt>
                <c:pt idx="70">
                  <c:v>3.0019910796906874E-2</c:v>
                </c:pt>
                <c:pt idx="71">
                  <c:v>3.0115469460102361E-2</c:v>
                </c:pt>
                <c:pt idx="72">
                  <c:v>3.0211010569883196E-2</c:v>
                </c:pt>
                <c:pt idx="73">
                  <c:v>3.0306544743346927E-2</c:v>
                </c:pt>
                <c:pt idx="74">
                  <c:v>3.0402083070539185E-2</c:v>
                </c:pt>
                <c:pt idx="75">
                  <c:v>3.0497637083963986E-2</c:v>
                </c:pt>
                <c:pt idx="76">
                  <c:v>3.059321872653905E-2</c:v>
                </c:pt>
                <c:pt idx="77">
                  <c:v>3.0688840318279398E-2</c:v>
                </c:pt>
                <c:pt idx="78">
                  <c:v>3.0784514521988347E-2</c:v>
                </c:pt>
                <c:pt idx="79">
                  <c:v>3.0880254308226482E-2</c:v>
                </c:pt>
                <c:pt idx="80">
                  <c:v>3.0976072919816453E-2</c:v>
                </c:pt>
                <c:pt idx="81">
                  <c:v>3.1071983836126828E-2</c:v>
                </c:pt>
                <c:pt idx="82">
                  <c:v>3.1168000737359442E-2</c:v>
                </c:pt>
                <c:pt idx="83">
                  <c:v>3.1264137469043426E-2</c:v>
                </c:pt>
                <c:pt idx="84">
                  <c:v>3.1360408006916411E-2</c:v>
                </c:pt>
                <c:pt idx="85">
                  <c:v>3.1456826422347109E-2</c:v>
                </c:pt>
                <c:pt idx="86">
                  <c:v>3.1553406848427265E-2</c:v>
                </c:pt>
                <c:pt idx="87">
                  <c:v>3.1650163446832802E-2</c:v>
                </c:pt>
                <c:pt idx="88">
                  <c:v>3.1747110375524946E-2</c:v>
                </c:pt>
                <c:pt idx="89">
                  <c:v>3.1844261757333639E-2</c:v>
                </c:pt>
                <c:pt idx="90">
                  <c:v>3.1941631649436683E-2</c:v>
                </c:pt>
                <c:pt idx="91">
                  <c:v>3.2039234013719796E-2</c:v>
                </c:pt>
                <c:pt idx="92">
                  <c:v>3.2137082687976333E-2</c:v>
                </c:pt>
                <c:pt idx="93">
                  <c:v>3.2235191357879667E-2</c:v>
                </c:pt>
                <c:pt idx="94">
                  <c:v>3.2333573529638039E-2</c:v>
                </c:pt>
                <c:pt idx="95">
                  <c:v>3.2432242503220535E-2</c:v>
                </c:pt>
                <c:pt idx="96">
                  <c:v>3.2531211346024477E-2</c:v>
                </c:pt>
                <c:pt idx="97">
                  <c:v>3.2630492866839104E-2</c:v>
                </c:pt>
                <c:pt idx="98">
                  <c:v>3.2730099589948491E-2</c:v>
                </c:pt>
                <c:pt idx="99">
                  <c:v>3.2830043729207677E-2</c:v>
                </c:pt>
                <c:pt idx="100">
                  <c:v>3.2930337161921494E-2</c:v>
                </c:pt>
                <c:pt idx="101">
                  <c:v>3.3030991402354118E-2</c:v>
                </c:pt>
                <c:pt idx="102">
                  <c:v>3.313201757470053E-2</c:v>
                </c:pt>
                <c:pt idx="103">
                  <c:v>3.3233426385357534E-2</c:v>
                </c:pt>
                <c:pt idx="104">
                  <c:v>3.3335228094342841E-2</c:v>
                </c:pt>
                <c:pt idx="105">
                  <c:v>3.3437432485725317E-2</c:v>
                </c:pt>
                <c:pt idx="106">
                  <c:v>3.3540048836947431E-2</c:v>
                </c:pt>
                <c:pt idx="107">
                  <c:v>3.3643085886942932E-2</c:v>
                </c:pt>
                <c:pt idx="108">
                  <c:v>3.3746551802977885E-2</c:v>
                </c:pt>
                <c:pt idx="109">
                  <c:v>3.3850454146170869E-2</c:v>
                </c:pt>
                <c:pt idx="110">
                  <c:v>3.3954799835679131E-2</c:v>
                </c:pt>
                <c:pt idx="111">
                  <c:v>3.4059595111570522E-2</c:v>
                </c:pt>
                <c:pt idx="112">
                  <c:v>3.4164845496435628E-2</c:v>
                </c:pt>
                <c:pt idx="113">
                  <c:v>3.4270555755830948E-2</c:v>
                </c:pt>
                <c:pt idx="114">
                  <c:v>3.4376729857681414E-2</c:v>
                </c:pt>
                <c:pt idx="115">
                  <c:v>3.4483370930807916E-2</c:v>
                </c:pt>
                <c:pt idx="116">
                  <c:v>3.4590481222783589E-2</c:v>
                </c:pt>
                <c:pt idx="117">
                  <c:v>3.4698062057359265E-2</c:v>
                </c:pt>
                <c:pt idx="118">
                  <c:v>3.4806113791734795E-2</c:v>
                </c:pt>
                <c:pt idx="119">
                  <c:v>3.4914635773987387E-2</c:v>
                </c:pt>
                <c:pt idx="120">
                  <c:v>3.5023626300999991E-2</c:v>
                </c:pt>
                <c:pt idx="121">
                  <c:v>3.5133082577262532E-2</c:v>
                </c:pt>
                <c:pt idx="122">
                  <c:v>3.5243000674945256E-2</c:v>
                </c:pt>
                <c:pt idx="123">
                  <c:v>3.5353375495666216E-2</c:v>
                </c:pt>
                <c:pt idx="124">
                  <c:v>3.5464200734393554E-2</c:v>
                </c:pt>
                <c:pt idx="125">
                  <c:v>3.5575468845938096E-2</c:v>
                </c:pt>
                <c:pt idx="126">
                  <c:v>3.5687171014500835E-2</c:v>
                </c:pt>
                <c:pt idx="127">
                  <c:v>3.5799297126745254E-2</c:v>
                </c:pt>
                <c:pt idx="128">
                  <c:v>3.5911835748862787E-2</c:v>
                </c:pt>
                <c:pt idx="129">
                  <c:v>3.602477410809507E-2</c:v>
                </c:pt>
                <c:pt idx="130">
                  <c:v>3.6138098079163392E-2</c:v>
                </c:pt>
                <c:pt idx="131">
                  <c:v>3.6251792176039681E-2</c:v>
                </c:pt>
                <c:pt idx="132">
                  <c:v>3.6365839549470057E-2</c:v>
                </c:pt>
                <c:pt idx="133">
                  <c:v>3.648022199063336E-2</c:v>
                </c:pt>
                <c:pt idx="134">
                  <c:v>3.6594919941283603E-2</c:v>
                </c:pt>
                <c:pt idx="135">
                  <c:v>3.6709912510685991E-2</c:v>
                </c:pt>
                <c:pt idx="136">
                  <c:v>3.6825177499612165E-2</c:v>
                </c:pt>
                <c:pt idx="137">
                  <c:v>3.694069143161216E-2</c:v>
                </c:pt>
                <c:pt idx="138">
                  <c:v>3.7056429591727044E-2</c:v>
                </c:pt>
                <c:pt idx="139">
                  <c:v>3.7172366072750429E-2</c:v>
                </c:pt>
                <c:pt idx="140">
                  <c:v>3.7288473829086524E-2</c:v>
                </c:pt>
                <c:pt idx="141">
                  <c:v>3.7404724738190405E-2</c:v>
                </c:pt>
                <c:pt idx="142">
                  <c:v>3.7521089669511044E-2</c:v>
                </c:pt>
                <c:pt idx="143">
                  <c:v>3.7637538560791495E-2</c:v>
                </c:pt>
                <c:pt idx="144">
                  <c:v>3.7754040501513958E-2</c:v>
                </c:pt>
                <c:pt idx="145">
                  <c:v>3.7870563823209316E-2</c:v>
                </c:pt>
                <c:pt idx="146">
                  <c:v>3.7987076196284747E-2</c:v>
                </c:pt>
                <c:pt idx="147">
                  <c:v>3.8103544732957059E-2</c:v>
                </c:pt>
                <c:pt idx="148">
                  <c:v>3.8219936095815525E-2</c:v>
                </c:pt>
                <c:pt idx="149">
                  <c:v>3.8336216611477236E-2</c:v>
                </c:pt>
                <c:pt idx="150">
                  <c:v>3.8452352388739938E-2</c:v>
                </c:pt>
                <c:pt idx="151">
                  <c:v>3.8568309440583232E-2</c:v>
                </c:pt>
                <c:pt idx="152">
                  <c:v>3.8684053809320169E-2</c:v>
                </c:pt>
                <c:pt idx="153">
                  <c:v>3.879955169415629E-2</c:v>
                </c:pt>
                <c:pt idx="154">
                  <c:v>3.8914769580375319E-2</c:v>
                </c:pt>
                <c:pt idx="155">
                  <c:v>3.9029674369337825E-2</c:v>
                </c:pt>
                <c:pt idx="156">
                  <c:v>3.9144233508453787E-2</c:v>
                </c:pt>
                <c:pt idx="157">
                  <c:v>3.9258415120271131E-2</c:v>
                </c:pt>
                <c:pt idx="158">
                  <c:v>3.9372188129810734E-2</c:v>
                </c:pt>
                <c:pt idx="159">
                  <c:v>3.9485522389274941E-2</c:v>
                </c:pt>
                <c:pt idx="160">
                  <c:v>3.959838879925992E-2</c:v>
                </c:pt>
                <c:pt idx="161">
                  <c:v>3.9710759425614653E-2</c:v>
                </c:pt>
                <c:pt idx="162">
                  <c:v>3.9822607611107938E-2</c:v>
                </c:pt>
                <c:pt idx="163">
                  <c:v>3.9933908081092907E-2</c:v>
                </c:pt>
                <c:pt idx="164">
                  <c:v>4.0044637042392951E-2</c:v>
                </c:pt>
                <c:pt idx="165">
                  <c:v>4.0154772274675184E-2</c:v>
                </c:pt>
                <c:pt idx="166">
                  <c:v>4.0264293213627261E-2</c:v>
                </c:pt>
                <c:pt idx="167">
                  <c:v>4.0373181025309096E-2</c:v>
                </c:pt>
                <c:pt idx="168">
                  <c:v>4.0481418671113288E-2</c:v>
                </c:pt>
                <c:pt idx="169">
                  <c:v>4.0588990962836247E-2</c:v>
                </c:pt>
                <c:pt idx="170">
                  <c:v>4.0695884607434778E-2</c:v>
                </c:pt>
                <c:pt idx="171">
                  <c:v>4.0802088241120804E-2</c:v>
                </c:pt>
                <c:pt idx="172">
                  <c:v>4.090759245252807E-2</c:v>
                </c:pt>
                <c:pt idx="173">
                  <c:v>4.1012389794768872E-2</c:v>
                </c:pt>
                <c:pt idx="174">
                  <c:v>4.1116474786285946E-2</c:v>
                </c:pt>
                <c:pt idx="175">
                  <c:v>4.1219843900492291E-2</c:v>
                </c:pt>
                <c:pt idx="176">
                  <c:v>4.1322495544280559E-2</c:v>
                </c:pt>
                <c:pt idx="177">
                  <c:v>4.142443002557223E-2</c:v>
                </c:pt>
                <c:pt idx="178">
                  <c:v>4.1525649510163819E-2</c:v>
                </c:pt>
                <c:pt idx="179">
                  <c:v>4.1626157968213104E-2</c:v>
                </c:pt>
                <c:pt idx="180">
                  <c:v>4.1725961110790806E-2</c:v>
                </c:pt>
                <c:pt idx="181">
                  <c:v>4.1825066317002245E-2</c:v>
                </c:pt>
                <c:pt idx="182">
                  <c:v>4.1923482552258272E-2</c:v>
                </c:pt>
                <c:pt idx="183">
                  <c:v>4.2021220278344283E-2</c:v>
                </c:pt>
                <c:pt idx="184">
                  <c:v>4.2118291356000009E-2</c:v>
                </c:pt>
                <c:pt idx="185">
                  <c:v>4.2214708940779777E-2</c:v>
                </c:pt>
                <c:pt idx="186">
                  <c:v>4.2310487373013891E-2</c:v>
                </c:pt>
                <c:pt idx="187">
                  <c:v>4.2405642062733846E-2</c:v>
                </c:pt>
                <c:pt idx="188">
                  <c:v>4.2500189370459455E-2</c:v>
                </c:pt>
                <c:pt idx="189">
                  <c:v>4.2594146484772062E-2</c:v>
                </c:pt>
                <c:pt idx="190">
                  <c:v>4.268753129761612E-2</c:v>
                </c:pt>
                <c:pt idx="191">
                  <c:v>4.2780362278280741E-2</c:v>
                </c:pt>
                <c:pt idx="192">
                  <c:v>4.287265834701208E-2</c:v>
                </c:pt>
                <c:pt idx="193">
                  <c:v>4.2964438749200175E-2</c:v>
                </c:pt>
                <c:pt idx="194">
                  <c:v>4.3055722931065223E-2</c:v>
                </c:pt>
                <c:pt idx="195">
                  <c:v>4.3146530417742357E-2</c:v>
                </c:pt>
                <c:pt idx="196">
                  <c:v>4.3236880694630296E-2</c:v>
                </c:pt>
                <c:pt idx="197">
                  <c:v>4.3326793092825659E-2</c:v>
                </c:pt>
                <c:pt idx="198">
                  <c:v>4.3416286679415377E-2</c:v>
                </c:pt>
                <c:pt idx="199">
                  <c:v>4.3505380153342363E-2</c:v>
                </c:pt>
                <c:pt idx="200">
                  <c:v>4.3594091747496136E-2</c:v>
                </c:pt>
                <c:pt idx="201">
                  <c:v>4.3682439137610184E-2</c:v>
                </c:pt>
                <c:pt idx="202">
                  <c:v>4.3770439358474467E-2</c:v>
                </c:pt>
                <c:pt idx="203">
                  <c:v>4.3858108727891462E-2</c:v>
                </c:pt>
                <c:pt idx="204">
                  <c:v>4.3945462778723084E-2</c:v>
                </c:pt>
                <c:pt idx="205">
                  <c:v>4.4032516199290245E-2</c:v>
                </c:pt>
                <c:pt idx="206">
                  <c:v>4.4119282782300713E-2</c:v>
                </c:pt>
                <c:pt idx="207">
                  <c:v>4.4205775382393328E-2</c:v>
                </c:pt>
                <c:pt idx="208">
                  <c:v>4.4292005882299874E-2</c:v>
                </c:pt>
                <c:pt idx="209">
                  <c:v>4.4377985167539317E-2</c:v>
                </c:pt>
                <c:pt idx="210">
                  <c:v>4.4463723109475328E-2</c:v>
                </c:pt>
                <c:pt idx="211">
                  <c:v>4.4549228556486416E-2</c:v>
                </c:pt>
                <c:pt idx="212">
                  <c:v>4.4634509332921075E-2</c:v>
                </c:pt>
                <c:pt idx="213">
                  <c:v>4.4719572245436198E-2</c:v>
                </c:pt>
                <c:pt idx="214">
                  <c:v>4.4804423096250962E-2</c:v>
                </c:pt>
                <c:pt idx="215">
                  <c:v>4.4889066702785273E-2</c:v>
                </c:pt>
                <c:pt idx="216">
                  <c:v>4.497350692309799E-2</c:v>
                </c:pt>
                <c:pt idx="217">
                  <c:v>4.5057746686492629E-2</c:v>
                </c:pt>
                <c:pt idx="218">
                  <c:v>4.5141788028617742E-2</c:v>
                </c:pt>
                <c:pt idx="219">
                  <c:v>4.5225632130358809E-2</c:v>
                </c:pt>
                <c:pt idx="220">
                  <c:v>4.5309279359794667E-2</c:v>
                </c:pt>
                <c:pt idx="221">
                  <c:v>4.5392729316478572E-2</c:v>
                </c:pt>
                <c:pt idx="222">
                  <c:v>4.5475980877297553E-2</c:v>
                </c:pt>
                <c:pt idx="223">
                  <c:v>4.5559032243169213E-2</c:v>
                </c:pt>
                <c:pt idx="224">
                  <c:v>4.5641880985847004E-2</c:v>
                </c:pt>
                <c:pt idx="225">
                  <c:v>4.5724524094127403E-2</c:v>
                </c:pt>
                <c:pt idx="226">
                  <c:v>4.5806958018782422E-2</c:v>
                </c:pt>
                <c:pt idx="227">
                  <c:v>4.5889178715579938E-2</c:v>
                </c:pt>
                <c:pt idx="228">
                  <c:v>4.5971181685799958E-2</c:v>
                </c:pt>
                <c:pt idx="229">
                  <c:v>4.6052962013709696E-2</c:v>
                </c:pt>
                <c:pt idx="230">
                  <c:v>4.6134514400519216E-2</c:v>
                </c:pt>
                <c:pt idx="231">
                  <c:v>4.6215833194406933E-2</c:v>
                </c:pt>
                <c:pt idx="232">
                  <c:v>4.6296912416274746E-2</c:v>
                </c:pt>
                <c:pt idx="233">
                  <c:v>4.6377745780968913E-2</c:v>
                </c:pt>
                <c:pt idx="234">
                  <c:v>4.6458326713781625E-2</c:v>
                </c:pt>
                <c:pt idx="235">
                  <c:v>4.6538648362130279E-2</c:v>
                </c:pt>
                <c:pt idx="236">
                  <c:v>4.6618703602395069E-2</c:v>
                </c:pt>
                <c:pt idx="237">
                  <c:v>4.6698485041978897E-2</c:v>
                </c:pt>
                <c:pt idx="238">
                  <c:v>4.6777985016738168E-2</c:v>
                </c:pt>
                <c:pt idx="239">
                  <c:v>4.6857195584014473E-2</c:v>
                </c:pt>
                <c:pt idx="240">
                  <c:v>4.6936108511577805E-2</c:v>
                </c:pt>
                <c:pt idx="241">
                  <c:v>4.7014715262867886E-2</c:v>
                </c:pt>
                <c:pt idx="242">
                  <c:v>4.709300697899324E-2</c:v>
                </c:pt>
                <c:pt idx="243">
                  <c:v>4.7170974458013985E-2</c:v>
                </c:pt>
                <c:pt idx="244">
                  <c:v>4.7248608132095894E-2</c:v>
                </c:pt>
                <c:pt idx="245">
                  <c:v>4.7325898043177411E-2</c:v>
                </c:pt>
                <c:pt idx="246">
                  <c:v>4.7402833817837983E-2</c:v>
                </c:pt>
                <c:pt idx="247">
                  <c:v>4.7479404642094325E-2</c:v>
                </c:pt>
                <c:pt idx="248">
                  <c:v>4.7555599236881289E-2</c:v>
                </c:pt>
                <c:pt idx="249">
                  <c:v>4.763140583499418E-2</c:v>
                </c:pt>
                <c:pt idx="250">
                  <c:v>4.770681216028036E-2</c:v>
                </c:pt>
                <c:pt idx="251">
                  <c:v>4.7781805409868851E-2</c:v>
                </c:pt>
                <c:pt idx="252">
                  <c:v>4.7856372240217611E-2</c:v>
                </c:pt>
                <c:pt idx="253">
                  <c:v>4.7930498757738992E-2</c:v>
                </c:pt>
                <c:pt idx="254">
                  <c:v>4.8004170514734469E-2</c:v>
                </c:pt>
                <c:pt idx="255">
                  <c:v>4.8077372511331061E-2</c:v>
                </c:pt>
                <c:pt idx="256">
                  <c:v>4.8150089204062808E-2</c:v>
                </c:pt>
                <c:pt idx="257">
                  <c:v>4.8222304521682746E-2</c:v>
                </c:pt>
                <c:pt idx="258">
                  <c:v>4.8294001888724819E-2</c:v>
                </c:pt>
                <c:pt idx="259">
                  <c:v>4.836516425725973E-2</c:v>
                </c:pt>
                <c:pt idx="260">
                  <c:v>4.8435774147207233E-2</c:v>
                </c:pt>
                <c:pt idx="261">
                  <c:v>4.8505813695478434E-2</c:v>
                </c:pt>
                <c:pt idx="262">
                  <c:v>4.8575264714127195E-2</c:v>
                </c:pt>
                <c:pt idx="263">
                  <c:v>4.8644108757590461E-2</c:v>
                </c:pt>
                <c:pt idx="264">
                  <c:v>4.8712327198994272E-2</c:v>
                </c:pt>
                <c:pt idx="265">
                  <c:v>4.8779901315396591E-2</c:v>
                </c:pt>
                <c:pt idx="266">
                  <c:v>4.8846812381729852E-2</c:v>
                </c:pt>
                <c:pt idx="267">
                  <c:v>4.8913041773099117E-2</c:v>
                </c:pt>
                <c:pt idx="268">
                  <c:v>4.89785710749834E-2</c:v>
                </c:pt>
                <c:pt idx="269">
                  <c:v>4.9043382200782942E-2</c:v>
                </c:pt>
                <c:pt idx="270">
                  <c:v>4.9107457516051889E-2</c:v>
                </c:pt>
                <c:pt idx="271">
                  <c:v>4.9170779968657749E-2</c:v>
                </c:pt>
                <c:pt idx="272">
                  <c:v>4.9233333224015831E-2</c:v>
                </c:pt>
                <c:pt idx="273">
                  <c:v>4.9295101804459271E-2</c:v>
                </c:pt>
                <c:pt idx="274">
                  <c:v>4.9356071231726549E-2</c:v>
                </c:pt>
                <c:pt idx="275">
                  <c:v>4.9416228171476111E-2</c:v>
                </c:pt>
                <c:pt idx="276">
                  <c:v>4.9475560578676338E-2</c:v>
                </c:pt>
                <c:pt idx="277">
                  <c:v>4.9534057842666762E-2</c:v>
                </c:pt>
                <c:pt idx="278">
                  <c:v>4.9591710930644475E-2</c:v>
                </c:pt>
                <c:pt idx="279">
                  <c:v>4.9648512528300916E-2</c:v>
                </c:pt>
                <c:pt idx="280">
                  <c:v>4.9704457176314276E-2</c:v>
                </c:pt>
                <c:pt idx="281">
                  <c:v>4.9759541401398703E-2</c:v>
                </c:pt>
                <c:pt idx="282">
                  <c:v>4.9813763840616164E-2</c:v>
                </c:pt>
                <c:pt idx="283">
                  <c:v>4.9867125357677664E-2</c:v>
                </c:pt>
                <c:pt idx="284">
                  <c:v>4.9919629149991297E-2</c:v>
                </c:pt>
                <c:pt idx="285">
                  <c:v>4.9971280845259709E-2</c:v>
                </c:pt>
                <c:pt idx="286">
                  <c:v>5.0022088586486199E-2</c:v>
                </c:pt>
                <c:pt idx="287">
                  <c:v>5.0072063104317693E-2</c:v>
                </c:pt>
                <c:pt idx="288">
                  <c:v>5.0121217775732863E-2</c:v>
                </c:pt>
                <c:pt idx="289">
                  <c:v>5.0169568668175693E-2</c:v>
                </c:pt>
                <c:pt idx="290">
                  <c:v>5.0217134568335153E-2</c:v>
                </c:pt>
                <c:pt idx="291">
                  <c:v>5.0263936994884052E-2</c:v>
                </c:pt>
                <c:pt idx="292">
                  <c:v>5.031000019460781E-2</c:v>
                </c:pt>
                <c:pt idx="293">
                  <c:v>5.0355351121482039E-2</c:v>
                </c:pt>
                <c:pt idx="294">
                  <c:v>5.0400019398390034E-2</c:v>
                </c:pt>
                <c:pt idx="295">
                  <c:v>5.0444037261309915E-2</c:v>
                </c:pt>
                <c:pt idx="296">
                  <c:v>5.048743948594285E-2</c:v>
                </c:pt>
                <c:pt idx="297">
                  <c:v>5.0530263296899212E-2</c:v>
                </c:pt>
                <c:pt idx="298">
                  <c:v>5.0572548259704586E-2</c:v>
                </c:pt>
                <c:pt idx="299">
                  <c:v>5.0614336156034188E-2</c:v>
                </c:pt>
                <c:pt idx="300">
                  <c:v>5.0655670842728442E-2</c:v>
                </c:pt>
                <c:pt idx="301">
                  <c:v>5.0696598095283867E-2</c:v>
                </c:pt>
                <c:pt idx="302">
                  <c:v>5.0737165436651376E-2</c:v>
                </c:pt>
                <c:pt idx="303">
                  <c:v>5.0777421952305654E-2</c:v>
                </c:pt>
                <c:pt idx="304">
                  <c:v>5.0817418092674635E-2</c:v>
                </c:pt>
                <c:pt idx="305">
                  <c:v>5.0857205464135483E-2</c:v>
                </c:pt>
                <c:pt idx="306">
                  <c:v>5.0896836609891152E-2</c:v>
                </c:pt>
                <c:pt idx="307">
                  <c:v>5.093636478214008E-2</c:v>
                </c:pt>
                <c:pt idx="308">
                  <c:v>5.0975843707037193E-2</c:v>
                </c:pt>
                <c:pt idx="309">
                  <c:v>5.1015327344020228E-2</c:v>
                </c:pt>
                <c:pt idx="310">
                  <c:v>5.1054869641135606E-2</c:v>
                </c:pt>
                <c:pt idx="311">
                  <c:v>5.1094524288047408E-2</c:v>
                </c:pt>
                <c:pt idx="312">
                  <c:v>5.1134344468445961E-2</c:v>
                </c:pt>
                <c:pt idx="313">
                  <c:v>5.1174382613592778E-2</c:v>
                </c:pt>
                <c:pt idx="314">
                  <c:v>5.1214690158742908E-2</c:v>
                </c:pt>
                <c:pt idx="315">
                  <c:v>5.1255317304175672E-2</c:v>
                </c:pt>
                <c:pt idx="316">
                  <c:v>5.129631278253987E-2</c:v>
                </c:pt>
                <c:pt idx="317">
                  <c:v>5.1337723634179294E-2</c:v>
                </c:pt>
                <c:pt idx="318">
                  <c:v>5.1379594992050789E-2</c:v>
                </c:pt>
                <c:pt idx="319">
                  <c:v>5.1421969877777966E-2</c:v>
                </c:pt>
                <c:pt idx="320">
                  <c:v>5.1464889010302779E-2</c:v>
                </c:pt>
                <c:pt idx="321">
                  <c:v>5.1508390628501884E-2</c:v>
                </c:pt>
                <c:pt idx="322">
                  <c:v>5.155251032902864E-2</c:v>
                </c:pt>
                <c:pt idx="323">
                  <c:v>5.1597280920523805E-2</c:v>
                </c:pt>
                <c:pt idx="324">
                  <c:v>5.1642732295210492E-2</c:v>
                </c:pt>
                <c:pt idx="325">
                  <c:v>5.168889131875247E-2</c:v>
                </c:pt>
                <c:pt idx="326">
                  <c:v>5.1735781739110566E-2</c:v>
                </c:pt>
                <c:pt idx="327">
                  <c:v>5.1783424114981734E-2</c:v>
                </c:pt>
                <c:pt idx="328">
                  <c:v>5.1831835764249379E-2</c:v>
                </c:pt>
                <c:pt idx="329">
                  <c:v>5.1881030732714696E-2</c:v>
                </c:pt>
                <c:pt idx="330">
                  <c:v>5.1931019783217021E-2</c:v>
                </c:pt>
                <c:pt idx="331">
                  <c:v>5.1981810405089333E-2</c:v>
                </c:pt>
                <c:pt idx="332">
                  <c:v>5.20334068437334E-2</c:v>
                </c:pt>
                <c:pt idx="333">
                  <c:v>5.2085810149940036E-2</c:v>
                </c:pt>
                <c:pt idx="334">
                  <c:v>5.2139018248423909E-2</c:v>
                </c:pt>
                <c:pt idx="335">
                  <c:v>5.2193026024892238E-2</c:v>
                </c:pt>
                <c:pt idx="336">
                  <c:v>5.2247825430821931E-2</c:v>
                </c:pt>
                <c:pt idx="337">
                  <c:v>5.2303405604983526E-2</c:v>
                </c:pt>
                <c:pt idx="338">
                  <c:v>5.2359753010622213E-2</c:v>
                </c:pt>
                <c:pt idx="339">
                  <c:v>5.2416851587089017E-2</c:v>
                </c:pt>
                <c:pt idx="340">
                  <c:v>5.2474682914607773E-2</c:v>
                </c:pt>
                <c:pt idx="341">
                  <c:v>5.253322639076987E-2</c:v>
                </c:pt>
                <c:pt idx="342">
                  <c:v>5.2592459417265744E-2</c:v>
                </c:pt>
                <c:pt idx="343">
                  <c:v>5.2652357595294727E-2</c:v>
                </c:pt>
                <c:pt idx="344">
                  <c:v>5.2712894928039655E-2</c:v>
                </c:pt>
                <c:pt idx="345">
                  <c:v>5.277404402855345E-2</c:v>
                </c:pt>
                <c:pt idx="346">
                  <c:v>5.2835776331379203E-2</c:v>
                </c:pt>
                <c:pt idx="347">
                  <c:v>5.2898062306215556E-2</c:v>
                </c:pt>
                <c:pt idx="348">
                  <c:v>5.2960871671943792E-2</c:v>
                </c:pt>
                <c:pt idx="349">
                  <c:v>5.3024173609352153E-2</c:v>
                </c:pt>
                <c:pt idx="350">
                  <c:v>5.3087936970927847E-2</c:v>
                </c:pt>
                <c:pt idx="351">
                  <c:v>5.3152130486134333E-2</c:v>
                </c:pt>
                <c:pt idx="352">
                  <c:v>5.3216722960653974E-2</c:v>
                </c:pt>
                <c:pt idx="353">
                  <c:v>5.3281683468150258E-2</c:v>
                </c:pt>
                <c:pt idx="354">
                  <c:v>5.3346981533190993E-2</c:v>
                </c:pt>
                <c:pt idx="355">
                  <c:v>5.3412587304071162E-2</c:v>
                </c:pt>
                <c:pt idx="356">
                  <c:v>5.3478471714382844E-2</c:v>
                </c:pt>
                <c:pt idx="357">
                  <c:v>5.3544606632296522E-2</c:v>
                </c:pt>
                <c:pt idx="358">
                  <c:v>5.3610964996643487E-2</c:v>
                </c:pt>
                <c:pt idx="359">
                  <c:v>5.3677520939020631E-2</c:v>
                </c:pt>
                <c:pt idx="360">
                  <c:v>5.3744249891276567E-2</c:v>
                </c:pt>
                <c:pt idx="361">
                  <c:v>5.3811128677879218E-2</c:v>
                </c:pt>
                <c:pt idx="362">
                  <c:v>5.3878135592808719E-2</c:v>
                </c:pt>
                <c:pt idx="363">
                  <c:v>5.3945250460765787E-2</c:v>
                </c:pt>
                <c:pt idx="364">
                  <c:v>5.4012454682629565E-2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4.2528242634466777E-4</c:v>
                </c:pt>
                <c:pt idx="1">
                  <c:v>4.2742576623116065E-4</c:v>
                </c:pt>
                <c:pt idx="2">
                  <c:v>4.3011866212280017E-4</c:v>
                </c:pt>
                <c:pt idx="3">
                  <c:v>4.3335521320788604E-4</c:v>
                </c:pt>
                <c:pt idx="4">
                  <c:v>4.3712895511669798E-4</c:v>
                </c:pt>
                <c:pt idx="5">
                  <c:v>4.4143298969545277E-4</c:v>
                </c:pt>
                <c:pt idx="6">
                  <c:v>4.4626011083449352E-4</c:v>
                </c:pt>
                <c:pt idx="7">
                  <c:v>4.5160292564523354E-4</c:v>
                </c:pt>
                <c:pt idx="8">
                  <c:v>4.5738961984784102E-4</c:v>
                </c:pt>
                <c:pt idx="9">
                  <c:v>4.6336033925964344E-4</c:v>
                </c:pt>
                <c:pt idx="10">
                  <c:v>4.6930751655269517E-4</c:v>
                </c:pt>
                <c:pt idx="11">
                  <c:v>4.7524061557865547E-4</c:v>
                </c:pt>
                <c:pt idx="12">
                  <c:v>4.8116967624328564E-4</c:v>
                </c:pt>
                <c:pt idx="13">
                  <c:v>4.8710523886933728E-4</c:v>
                </c:pt>
                <c:pt idx="14">
                  <c:v>4.9305827615918796E-4</c:v>
                </c:pt>
                <c:pt idx="15">
                  <c:v>4.9762067910300966E-4</c:v>
                </c:pt>
                <c:pt idx="16">
                  <c:v>5.0040254067243168E-4</c:v>
                </c:pt>
                <c:pt idx="17">
                  <c:v>5.0147182074538645E-4</c:v>
                </c:pt>
                <c:pt idx="18">
                  <c:v>5.0089580833221866E-4</c:v>
                </c:pt>
                <c:pt idx="19">
                  <c:v>4.9874327667714089E-4</c:v>
                </c:pt>
                <c:pt idx="20">
                  <c:v>4.9508232428157684E-4</c:v>
                </c:pt>
                <c:pt idx="21">
                  <c:v>4.8997641564113114E-4</c:v>
                </c:pt>
                <c:pt idx="22">
                  <c:v>4.8343120640659878E-4</c:v>
                </c:pt>
                <c:pt idx="23">
                  <c:v>4.7498946442859578E-4</c:v>
                </c:pt>
                <c:pt idx="24">
                  <c:v>4.6488555598241078E-4</c:v>
                </c:pt>
                <c:pt idx="25">
                  <c:v>4.5318187745534182E-4</c:v>
                </c:pt>
                <c:pt idx="26">
                  <c:v>4.3993914853089459E-4</c:v>
                </c:pt>
                <c:pt idx="27">
                  <c:v>4.2521617231713437E-4</c:v>
                </c:pt>
                <c:pt idx="28">
                  <c:v>4.0906963412022597E-4</c:v>
                </c:pt>
                <c:pt idx="29">
                  <c:v>3.9240924813413268E-4</c:v>
                </c:pt>
                <c:pt idx="30">
                  <c:v>3.7647805254286169E-4</c:v>
                </c:pt>
                <c:pt idx="31">
                  <c:v>3.6126248541167727E-4</c:v>
                </c:pt>
                <c:pt idx="32">
                  <c:v>3.4674837316370742E-4</c:v>
                </c:pt>
                <c:pt idx="33">
                  <c:v>3.3292106989225569E-4</c:v>
                </c:pt>
                <c:pt idx="34">
                  <c:v>3.1976558500909917E-4</c:v>
                </c:pt>
                <c:pt idx="35">
                  <c:v>3.0726669943994037E-4</c:v>
                </c:pt>
                <c:pt idx="36">
                  <c:v>2.9538133301747378E-4</c:v>
                </c:pt>
                <c:pt idx="37">
                  <c:v>2.8460228513771212E-4</c:v>
                </c:pt>
                <c:pt idx="38">
                  <c:v>2.753038188633406E-4</c:v>
                </c:pt>
                <c:pt idx="39">
                  <c:v>2.6745314282780965E-4</c:v>
                </c:pt>
                <c:pt idx="40">
                  <c:v>2.6101690020409175E-4</c:v>
                </c:pt>
                <c:pt idx="41">
                  <c:v>2.5596163827735417E-4</c:v>
                </c:pt>
                <c:pt idx="42">
                  <c:v>2.5225423069173588E-4</c:v>
                </c:pt>
                <c:pt idx="43">
                  <c:v>2.4974416019161219E-4</c:v>
                </c:pt>
                <c:pt idx="44">
                  <c:v>2.4766795577453035E-4</c:v>
                </c:pt>
                <c:pt idx="45">
                  <c:v>2.4601970095697079E-4</c:v>
                </c:pt>
                <c:pt idx="46">
                  <c:v>2.4479369087271075E-4</c:v>
                </c:pt>
                <c:pt idx="47">
                  <c:v>2.4398453710163033E-4</c:v>
                </c:pt>
                <c:pt idx="48">
                  <c:v>2.4358726456336993E-4</c:v>
                </c:pt>
                <c:pt idx="49">
                  <c:v>2.435974016621541E-4</c:v>
                </c:pt>
                <c:pt idx="50">
                  <c:v>2.4399938791401789E-4</c:v>
                </c:pt>
                <c:pt idx="51">
                  <c:v>2.445678323919838E-4</c:v>
                </c:pt>
                <c:pt idx="52">
                  <c:v>2.4483742008144221E-4</c:v>
                </c:pt>
                <c:pt idx="53">
                  <c:v>2.4481224029054821E-4</c:v>
                </c:pt>
                <c:pt idx="54">
                  <c:v>2.4449733304119032E-4</c:v>
                </c:pt>
                <c:pt idx="55">
                  <c:v>2.438975217547323E-4</c:v>
                </c:pt>
                <c:pt idx="56">
                  <c:v>2.4301745112523054E-4</c:v>
                </c:pt>
                <c:pt idx="57">
                  <c:v>2.4190972910379828E-4</c:v>
                </c:pt>
                <c:pt idx="58">
                  <c:v>2.4068168369708261E-4</c:v>
                </c:pt>
                <c:pt idx="59">
                  <c:v>2.3933427812068543E-4</c:v>
                </c:pt>
                <c:pt idx="60">
                  <c:v>2.378685258622854E-4</c:v>
                </c:pt>
                <c:pt idx="61">
                  <c:v>2.3628549695420704E-4</c:v>
                </c:pt>
                <c:pt idx="62">
                  <c:v>2.3458632283394532E-4</c:v>
                </c:pt>
                <c:pt idx="63">
                  <c:v>2.3277219986179011E-4</c:v>
                </c:pt>
                <c:pt idx="64">
                  <c:v>2.3084608682375174E-4</c:v>
                </c:pt>
                <c:pt idx="65">
                  <c:v>2.2901402083573308E-4</c:v>
                </c:pt>
                <c:pt idx="66">
                  <c:v>2.2745959520888135E-4</c:v>
                </c:pt>
                <c:pt idx="67">
                  <c:v>2.2617885535182442E-4</c:v>
                </c:pt>
                <c:pt idx="68">
                  <c:v>2.2516804209943175E-4</c:v>
                </c:pt>
                <c:pt idx="69">
                  <c:v>2.2442360234409961E-4</c:v>
                </c:pt>
                <c:pt idx="70">
                  <c:v>2.2394219950184815E-4</c:v>
                </c:pt>
                <c:pt idx="71">
                  <c:v>2.2365642704490069E-4</c:v>
                </c:pt>
                <c:pt idx="72">
                  <c:v>2.2352130964916196E-4</c:v>
                </c:pt>
                <c:pt idx="73">
                  <c:v>2.2353618967506554E-4</c:v>
                </c:pt>
                <c:pt idx="74">
                  <c:v>2.2370055963774049E-4</c:v>
                </c:pt>
                <c:pt idx="75">
                  <c:v>2.2401406730638448E-4</c:v>
                </c:pt>
                <c:pt idx="76">
                  <c:v>2.244765207644227E-4</c:v>
                </c:pt>
                <c:pt idx="77">
                  <c:v>2.2508789345939258E-4</c:v>
                </c:pt>
                <c:pt idx="78">
                  <c:v>2.2583666323212879E-4</c:v>
                </c:pt>
                <c:pt idx="79">
                  <c:v>2.2640416201148822E-4</c:v>
                </c:pt>
                <c:pt idx="80">
                  <c:v>2.2661542208996939E-4</c:v>
                </c:pt>
                <c:pt idx="81">
                  <c:v>2.2648157561204753E-4</c:v>
                </c:pt>
                <c:pt idx="82">
                  <c:v>2.2601330885346749E-4</c:v>
                </c:pt>
                <c:pt idx="83">
                  <c:v>2.2522079255778263E-4</c:v>
                </c:pt>
                <c:pt idx="84">
                  <c:v>2.2411361826764556E-4</c:v>
                </c:pt>
                <c:pt idx="85">
                  <c:v>2.2276974767679515E-4</c:v>
                </c:pt>
                <c:pt idx="86">
                  <c:v>2.2125599108160167E-4</c:v>
                </c:pt>
                <c:pt idx="87">
                  <c:v>2.1957854389895889E-4</c:v>
                </c:pt>
                <c:pt idx="88">
                  <c:v>2.1774305142523148E-4</c:v>
                </c:pt>
                <c:pt idx="89">
                  <c:v>2.157545878110375E-4</c:v>
                </c:pt>
                <c:pt idx="90">
                  <c:v>2.1361763680609371E-4</c:v>
                </c:pt>
                <c:pt idx="91">
                  <c:v>2.1133607378263876E-4</c:v>
                </c:pt>
                <c:pt idx="92">
                  <c:v>2.0890309844442262E-4</c:v>
                </c:pt>
                <c:pt idx="93">
                  <c:v>2.0619999527115801E-4</c:v>
                </c:pt>
                <c:pt idx="94">
                  <c:v>2.0352214952144981E-4</c:v>
                </c:pt>
                <c:pt idx="95">
                  <c:v>2.0086849748601705E-4</c:v>
                </c:pt>
                <c:pt idx="96">
                  <c:v>1.9823790438963141E-4</c:v>
                </c:pt>
                <c:pt idx="97">
                  <c:v>1.9562916409460304E-4</c:v>
                </c:pt>
                <c:pt idx="98">
                  <c:v>1.9304099890941965E-4</c:v>
                </c:pt>
                <c:pt idx="99">
                  <c:v>1.9021675999316142E-4</c:v>
                </c:pt>
                <c:pt idx="100">
                  <c:v>1.8708678555652843E-4</c:v>
                </c:pt>
                <c:pt idx="101">
                  <c:v>1.8364824284830675E-4</c:v>
                </c:pt>
                <c:pt idx="102">
                  <c:v>1.7989758833774483E-4</c:v>
                </c:pt>
                <c:pt idx="103">
                  <c:v>1.758305549570038E-4</c:v>
                </c:pt>
                <c:pt idx="104">
                  <c:v>1.7144213899589054E-4</c:v>
                </c:pt>
                <c:pt idx="105">
                  <c:v>1.6672658659425807E-4</c:v>
                </c:pt>
                <c:pt idx="106">
                  <c:v>1.6167922863653464E-4</c:v>
                </c:pt>
                <c:pt idx="107">
                  <c:v>1.5673854774633247E-4</c:v>
                </c:pt>
                <c:pt idx="108">
                  <c:v>1.5200842817963975E-4</c:v>
                </c:pt>
                <c:pt idx="109">
                  <c:v>1.4748373794354539E-4</c:v>
                </c:pt>
                <c:pt idx="110">
                  <c:v>1.4316018547230454E-4</c:v>
                </c:pt>
                <c:pt idx="111">
                  <c:v>1.3903385299604483E-4</c:v>
                </c:pt>
                <c:pt idx="112">
                  <c:v>1.3510079059183511E-4</c:v>
                </c:pt>
                <c:pt idx="113">
                  <c:v>1.3184621086391018E-4</c:v>
                </c:pt>
                <c:pt idx="114">
                  <c:v>1.2954132319362266E-4</c:v>
                </c:pt>
                <c:pt idx="115">
                  <c:v>1.2819563502645289E-4</c:v>
                </c:pt>
                <c:pt idx="116">
                  <c:v>1.2782030614918782E-4</c:v>
                </c:pt>
                <c:pt idx="117">
                  <c:v>1.2842808449750246E-4</c:v>
                </c:pt>
                <c:pt idx="118">
                  <c:v>1.3003323854949046E-4</c:v>
                </c:pt>
                <c:pt idx="119">
                  <c:v>1.3265148554912317E-4</c:v>
                </c:pt>
                <c:pt idx="120">
                  <c:v>1.363045144445153E-4</c:v>
                </c:pt>
                <c:pt idx="121">
                  <c:v>1.4110166232617961E-4</c:v>
                </c:pt>
                <c:pt idx="122">
                  <c:v>1.4658851357361209E-4</c:v>
                </c:pt>
                <c:pt idx="123">
                  <c:v>1.5277979569501896E-4</c:v>
                </c:pt>
                <c:pt idx="124">
                  <c:v>1.5969106462529416E-4</c:v>
                </c:pt>
                <c:pt idx="125">
                  <c:v>1.6733864134353723E-4</c:v>
                </c:pt>
                <c:pt idx="126">
                  <c:v>1.7573954345328591E-4</c:v>
                </c:pt>
                <c:pt idx="127">
                  <c:v>1.8488825266821138E-4</c:v>
                </c:pt>
                <c:pt idx="128">
                  <c:v>1.9426379210263182E-4</c:v>
                </c:pt>
                <c:pt idx="129">
                  <c:v>2.0387092181644057E-4</c:v>
                </c:pt>
                <c:pt idx="130">
                  <c:v>2.1371403431987533E-4</c:v>
                </c:pt>
                <c:pt idx="131">
                  <c:v>2.2379711786446219E-4</c:v>
                </c:pt>
                <c:pt idx="132">
                  <c:v>2.3412371845009652E-4</c:v>
                </c:pt>
                <c:pt idx="133">
                  <c:v>2.4469690074338605E-4</c:v>
                </c:pt>
                <c:pt idx="134">
                  <c:v>2.5552378631816175E-4</c:v>
                </c:pt>
                <c:pt idx="135">
                  <c:v>2.6659342255638092E-4</c:v>
                </c:pt>
                <c:pt idx="136">
                  <c:v>2.7781389979295761E-4</c:v>
                </c:pt>
                <c:pt idx="137">
                  <c:v>2.8918670472639256E-4</c:v>
                </c:pt>
                <c:pt idx="138">
                  <c:v>3.0071294845911801E-4</c:v>
                </c:pt>
                <c:pt idx="139">
                  <c:v>3.1239335375107656E-4</c:v>
                </c:pt>
                <c:pt idx="140">
                  <c:v>3.2422824341704393E-4</c:v>
                </c:pt>
                <c:pt idx="141">
                  <c:v>3.3611613008890413E-4</c:v>
                </c:pt>
                <c:pt idx="142">
                  <c:v>3.4807826383263297E-4</c:v>
                </c:pt>
                <c:pt idx="143">
                  <c:v>3.6010981194197698E-4</c:v>
                </c:pt>
                <c:pt idx="144">
                  <c:v>3.7220749043710287E-4</c:v>
                </c:pt>
                <c:pt idx="145">
                  <c:v>3.84367616563838E-4</c:v>
                </c:pt>
                <c:pt idx="146">
                  <c:v>3.9658611588661258E-4</c:v>
                </c:pt>
                <c:pt idx="147">
                  <c:v>4.0885853172473164E-4</c:v>
                </c:pt>
                <c:pt idx="148">
                  <c:v>4.211865817505705E-4</c:v>
                </c:pt>
                <c:pt idx="149">
                  <c:v>4.3341235684947471E-4</c:v>
                </c:pt>
                <c:pt idx="150">
                  <c:v>4.455462956329946E-4</c:v>
                </c:pt>
                <c:pt idx="151">
                  <c:v>4.5757634869173511E-4</c:v>
                </c:pt>
                <c:pt idx="152">
                  <c:v>4.6948978871050572E-4</c:v>
                </c:pt>
                <c:pt idx="153">
                  <c:v>4.8127324827738026E-4</c:v>
                </c:pt>
                <c:pt idx="154">
                  <c:v>4.9291276138493955E-4</c:v>
                </c:pt>
                <c:pt idx="155">
                  <c:v>5.0420606438703421E-4</c:v>
                </c:pt>
                <c:pt idx="156">
                  <c:v>5.1524946810512081E-4</c:v>
                </c:pt>
                <c:pt idx="157">
                  <c:v>5.2602579081659424E-4</c:v>
                </c:pt>
                <c:pt idx="158">
                  <c:v>5.3651749117773794E-4</c:v>
                </c:pt>
                <c:pt idx="159">
                  <c:v>5.4670673688375681E-4</c:v>
                </c:pt>
                <c:pt idx="160">
                  <c:v>5.5657547603558336E-4</c:v>
                </c:pt>
                <c:pt idx="161">
                  <c:v>5.6610551087598433E-4</c:v>
                </c:pt>
                <c:pt idx="162">
                  <c:v>5.7528899532003133E-4</c:v>
                </c:pt>
                <c:pt idx="163">
                  <c:v>5.8390416876997336E-4</c:v>
                </c:pt>
                <c:pt idx="164">
                  <c:v>5.9211216601575984E-4</c:v>
                </c:pt>
                <c:pt idx="165">
                  <c:v>5.9989966778317618E-4</c:v>
                </c:pt>
                <c:pt idx="166">
                  <c:v>6.0725374004068626E-4</c:v>
                </c:pt>
                <c:pt idx="167">
                  <c:v>6.1416187511955961E-4</c:v>
                </c:pt>
                <c:pt idx="168">
                  <c:v>6.2061202940099063E-4</c:v>
                </c:pt>
                <c:pt idx="169">
                  <c:v>6.2636587127989831E-4</c:v>
                </c:pt>
                <c:pt idx="170">
                  <c:v>6.3161785995758627E-4</c:v>
                </c:pt>
                <c:pt idx="171">
                  <c:v>6.3635720094899209E-4</c:v>
                </c:pt>
                <c:pt idx="172">
                  <c:v>6.4057368778658503E-4</c:v>
                </c:pt>
                <c:pt idx="173">
                  <c:v>6.4425112980281789E-4</c:v>
                </c:pt>
                <c:pt idx="174">
                  <c:v>6.4737347233182103E-4</c:v>
                </c:pt>
                <c:pt idx="175">
                  <c:v>6.4993167498625837E-4</c:v>
                </c:pt>
                <c:pt idx="176">
                  <c:v>6.5191997746200244E-4</c:v>
                </c:pt>
                <c:pt idx="177">
                  <c:v>6.5311390533998167E-4</c:v>
                </c:pt>
                <c:pt idx="178">
                  <c:v>6.5374101798890507E-4</c:v>
                </c:pt>
                <c:pt idx="179">
                  <c:v>6.5379422820994386E-4</c:v>
                </c:pt>
                <c:pt idx="180">
                  <c:v>6.5326707583019609E-4</c:v>
                </c:pt>
                <c:pt idx="181">
                  <c:v>6.521537193779082E-4</c:v>
                </c:pt>
                <c:pt idx="182">
                  <c:v>6.5044892377011843E-4</c:v>
                </c:pt>
                <c:pt idx="183">
                  <c:v>6.4794826947792269E-4</c:v>
                </c:pt>
                <c:pt idx="184">
                  <c:v>6.4489108602034891E-4</c:v>
                </c:pt>
                <c:pt idx="185">
                  <c:v>6.4127451379056158E-4</c:v>
                </c:pt>
                <c:pt idx="186">
                  <c:v>6.370961811162203E-4</c:v>
                </c:pt>
                <c:pt idx="187">
                  <c:v>6.3235417688333503E-4</c:v>
                </c:pt>
                <c:pt idx="188">
                  <c:v>6.2704702143519643E-4</c:v>
                </c:pt>
                <c:pt idx="189">
                  <c:v>6.2117363616160715E-4</c:v>
                </c:pt>
                <c:pt idx="190">
                  <c:v>6.1473618313411405E-4</c:v>
                </c:pt>
                <c:pt idx="191">
                  <c:v>6.0759431831527337E-4</c:v>
                </c:pt>
                <c:pt idx="192">
                  <c:v>5.9998015051764637E-4</c:v>
                </c:pt>
                <c:pt idx="193">
                  <c:v>5.9189550906619214E-4</c:v>
                </c:pt>
                <c:pt idx="194">
                  <c:v>5.8334231767278157E-4</c:v>
                </c:pt>
                <c:pt idx="195">
                  <c:v>5.7432255758933998E-4</c:v>
                </c:pt>
                <c:pt idx="196">
                  <c:v>5.6483823220087562E-4</c:v>
                </c:pt>
                <c:pt idx="197">
                  <c:v>5.5486174150169828E-4</c:v>
                </c:pt>
                <c:pt idx="198">
                  <c:v>5.4460519026891193E-4</c:v>
                </c:pt>
                <c:pt idx="199">
                  <c:v>5.3407191275601064E-4</c:v>
                </c:pt>
                <c:pt idx="200">
                  <c:v>5.2326507891254487E-4</c:v>
                </c:pt>
                <c:pt idx="201">
                  <c:v>5.1218767782952308E-4</c:v>
                </c:pt>
                <c:pt idx="202">
                  <c:v>5.0084250361184508E-4</c:v>
                </c:pt>
                <c:pt idx="203">
                  <c:v>4.8923214364928326E-4</c:v>
                </c:pt>
                <c:pt idx="204">
                  <c:v>4.7735229034965741E-4</c:v>
                </c:pt>
                <c:pt idx="205">
                  <c:v>4.6516123986758067E-4</c:v>
                </c:pt>
                <c:pt idx="206">
                  <c:v>4.5281343032343264E-4</c:v>
                </c:pt>
                <c:pt idx="207">
                  <c:v>4.4031419537831962E-4</c:v>
                </c:pt>
                <c:pt idx="208">
                  <c:v>4.2766840867509498E-4</c:v>
                </c:pt>
                <c:pt idx="209">
                  <c:v>4.1488047972504431E-4</c:v>
                </c:pt>
                <c:pt idx="210">
                  <c:v>4.0198050571053098E-4</c:v>
                </c:pt>
                <c:pt idx="211">
                  <c:v>3.89109458056447E-4</c:v>
                </c:pt>
                <c:pt idx="212">
                  <c:v>3.7628383248181622E-4</c:v>
                </c:pt>
                <c:pt idx="213">
                  <c:v>3.6350776234614617E-4</c:v>
                </c:pt>
                <c:pt idx="214">
                  <c:v>3.507849121205008E-4</c:v>
                </c:pt>
                <c:pt idx="215">
                  <c:v>3.3811849438727525E-4</c:v>
                </c:pt>
                <c:pt idx="216">
                  <c:v>3.2551128702917246E-4</c:v>
                </c:pt>
                <c:pt idx="217">
                  <c:v>3.1296565032053143E-4</c:v>
                </c:pt>
                <c:pt idx="218">
                  <c:v>3.0047915957344114E-4</c:v>
                </c:pt>
                <c:pt idx="219">
                  <c:v>2.8898516857878392E-4</c:v>
                </c:pt>
                <c:pt idx="220">
                  <c:v>2.7853177982413695E-4</c:v>
                </c:pt>
                <c:pt idx="221">
                  <c:v>2.6912669237617252E-4</c:v>
                </c:pt>
                <c:pt idx="222">
                  <c:v>2.6077758429255961E-4</c:v>
                </c:pt>
                <c:pt idx="223">
                  <c:v>2.5349212861004998E-4</c:v>
                </c:pt>
                <c:pt idx="224">
                  <c:v>2.4727800686329994E-4</c:v>
                </c:pt>
                <c:pt idx="225">
                  <c:v>2.4298393894824701E-4</c:v>
                </c:pt>
                <c:pt idx="226">
                  <c:v>2.4046857631025245E-4</c:v>
                </c:pt>
                <c:pt idx="227">
                  <c:v>2.3974425326497999E-4</c:v>
                </c:pt>
                <c:pt idx="228">
                  <c:v>2.4082340999549034E-4</c:v>
                </c:pt>
                <c:pt idx="229">
                  <c:v>2.4371859313487737E-4</c:v>
                </c:pt>
                <c:pt idx="230">
                  <c:v>2.4844245397359231E-4</c:v>
                </c:pt>
                <c:pt idx="231">
                  <c:v>2.5500774441860181E-4</c:v>
                </c:pt>
                <c:pt idx="232">
                  <c:v>2.6342045011761402E-4</c:v>
                </c:pt>
                <c:pt idx="233">
                  <c:v>2.7311763597513651E-4</c:v>
                </c:pt>
                <c:pt idx="234">
                  <c:v>2.8313913051189395E-4</c:v>
                </c:pt>
                <c:pt idx="235">
                  <c:v>2.9348939634787555E-4</c:v>
                </c:pt>
                <c:pt idx="236">
                  <c:v>3.0417349731634775E-4</c:v>
                </c:pt>
                <c:pt idx="237">
                  <c:v>3.1519685425158132E-4</c:v>
                </c:pt>
                <c:pt idx="238">
                  <c:v>3.265654651379174E-4</c:v>
                </c:pt>
                <c:pt idx="239">
                  <c:v>3.3807797595278793E-4</c:v>
                </c:pt>
                <c:pt idx="240">
                  <c:v>3.4886971036211854E-4</c:v>
                </c:pt>
                <c:pt idx="241">
                  <c:v>3.5894058308476903E-4</c:v>
                </c:pt>
                <c:pt idx="242">
                  <c:v>3.6829081298926891E-4</c:v>
                </c:pt>
                <c:pt idx="243">
                  <c:v>3.7692083876065565E-4</c:v>
                </c:pt>
                <c:pt idx="244">
                  <c:v>3.8483123399289139E-4</c:v>
                </c:pt>
                <c:pt idx="245">
                  <c:v>3.9202262193034686E-4</c:v>
                </c:pt>
                <c:pt idx="246">
                  <c:v>3.9848494359915357E-4</c:v>
                </c:pt>
                <c:pt idx="247">
                  <c:v>4.0435475459050564E-4</c:v>
                </c:pt>
                <c:pt idx="248">
                  <c:v>4.1021841044554296E-4</c:v>
                </c:pt>
                <c:pt idx="249">
                  <c:v>4.1607519190630266E-4</c:v>
                </c:pt>
                <c:pt idx="250">
                  <c:v>4.2192430750560242E-4</c:v>
                </c:pt>
                <c:pt idx="251">
                  <c:v>4.2776488682156813E-4</c:v>
                </c:pt>
                <c:pt idx="252">
                  <c:v>4.3359597390548837E-4</c:v>
                </c:pt>
                <c:pt idx="253">
                  <c:v>4.3879959982184489E-4</c:v>
                </c:pt>
                <c:pt idx="254">
                  <c:v>4.4358733518718785E-4</c:v>
                </c:pt>
                <c:pt idx="255">
                  <c:v>4.4795422170167229E-4</c:v>
                </c:pt>
                <c:pt idx="256">
                  <c:v>4.5189503849818506E-4</c:v>
                </c:pt>
                <c:pt idx="257">
                  <c:v>4.5540431096286442E-4</c:v>
                </c:pt>
                <c:pt idx="258">
                  <c:v>4.5847632121661194E-4</c:v>
                </c:pt>
                <c:pt idx="259">
                  <c:v>4.6110512002866405E-4</c:v>
                </c:pt>
                <c:pt idx="260">
                  <c:v>4.6330041682988244E-4</c:v>
                </c:pt>
                <c:pt idx="261">
                  <c:v>4.6497105008479591E-4</c:v>
                </c:pt>
                <c:pt idx="262">
                  <c:v>4.6594678190225509E-4</c:v>
                </c:pt>
                <c:pt idx="263">
                  <c:v>4.6621340370670374E-4</c:v>
                </c:pt>
                <c:pt idx="264">
                  <c:v>4.6575621523260068E-4</c:v>
                </c:pt>
                <c:pt idx="265">
                  <c:v>4.6456258753879807E-4</c:v>
                </c:pt>
                <c:pt idx="266">
                  <c:v>4.6261831820178836E-4</c:v>
                </c:pt>
                <c:pt idx="267">
                  <c:v>4.6029207575871734E-4</c:v>
                </c:pt>
                <c:pt idx="268">
                  <c:v>4.5822262213076741E-4</c:v>
                </c:pt>
                <c:pt idx="269">
                  <c:v>4.5640548540057656E-4</c:v>
                </c:pt>
                <c:pt idx="270">
                  <c:v>4.5483617257867679E-4</c:v>
                </c:pt>
                <c:pt idx="271">
                  <c:v>4.535101307694896E-4</c:v>
                </c:pt>
                <c:pt idx="272">
                  <c:v>4.5242270842040753E-4</c:v>
                </c:pt>
                <c:pt idx="273">
                  <c:v>4.5156911687341245E-4</c:v>
                </c:pt>
                <c:pt idx="274">
                  <c:v>4.5095360021437292E-4</c:v>
                </c:pt>
                <c:pt idx="275">
                  <c:v>4.506533888870123E-4</c:v>
                </c:pt>
                <c:pt idx="276">
                  <c:v>4.5077675264193202E-4</c:v>
                </c:pt>
                <c:pt idx="277">
                  <c:v>4.5133015984386823E-4</c:v>
                </c:pt>
                <c:pt idx="278">
                  <c:v>4.5232011950161784E-4</c:v>
                </c:pt>
                <c:pt idx="279">
                  <c:v>4.5375321544022007E-4</c:v>
                </c:pt>
                <c:pt idx="280">
                  <c:v>4.5563614472166373E-4</c:v>
                </c:pt>
                <c:pt idx="281">
                  <c:v>4.5760805860747047E-4</c:v>
                </c:pt>
                <c:pt idx="282">
                  <c:v>4.5926731712781714E-4</c:v>
                </c:pt>
                <c:pt idx="283">
                  <c:v>4.6061435565599731E-4</c:v>
                </c:pt>
                <c:pt idx="284">
                  <c:v>4.6165000040569075E-4</c:v>
                </c:pt>
                <c:pt idx="285">
                  <c:v>4.6237546667729761E-4</c:v>
                </c:pt>
                <c:pt idx="286">
                  <c:v>4.6279235446267548E-4</c:v>
                </c:pt>
                <c:pt idx="287">
                  <c:v>4.6290264113067661E-4</c:v>
                </c:pt>
                <c:pt idx="288">
                  <c:v>4.6272868982994792E-4</c:v>
                </c:pt>
                <c:pt idx="289">
                  <c:v>4.6213860144346975E-4</c:v>
                </c:pt>
                <c:pt idx="290">
                  <c:v>4.6104804747802908E-4</c:v>
                </c:pt>
                <c:pt idx="291">
                  <c:v>4.5944116300435578E-4</c:v>
                </c:pt>
                <c:pt idx="292">
                  <c:v>4.5730190498687653E-4</c:v>
                </c:pt>
                <c:pt idx="293">
                  <c:v>4.5461415411134445E-4</c:v>
                </c:pt>
                <c:pt idx="294">
                  <c:v>4.5136182610457397E-4</c:v>
                </c:pt>
                <c:pt idx="295">
                  <c:v>4.4844664700784094E-4</c:v>
                </c:pt>
                <c:pt idx="296">
                  <c:v>4.4625166274166531E-4</c:v>
                </c:pt>
                <c:pt idx="297">
                  <c:v>4.4477650943852855E-4</c:v>
                </c:pt>
                <c:pt idx="298">
                  <c:v>4.4401664548100592E-4</c:v>
                </c:pt>
                <c:pt idx="299">
                  <c:v>4.4396687845630847E-4</c:v>
                </c:pt>
                <c:pt idx="300">
                  <c:v>4.4462115334239344E-4</c:v>
                </c:pt>
                <c:pt idx="301">
                  <c:v>4.4597233768896115E-4</c:v>
                </c:pt>
                <c:pt idx="302">
                  <c:v>4.4804893246960288E-4</c:v>
                </c:pt>
                <c:pt idx="303">
                  <c:v>4.5219098677114997E-4</c:v>
                </c:pt>
                <c:pt idx="304">
                  <c:v>4.5856326519846458E-4</c:v>
                </c:pt>
                <c:pt idx="305">
                  <c:v>4.671818783903985E-4</c:v>
                </c:pt>
                <c:pt idx="306">
                  <c:v>4.7806271166905449E-4</c:v>
                </c:pt>
                <c:pt idx="307">
                  <c:v>4.9122161367442325E-4</c:v>
                </c:pt>
                <c:pt idx="308">
                  <c:v>5.0667459646480835E-4</c:v>
                </c:pt>
                <c:pt idx="309">
                  <c:v>5.2366754448819846E-4</c:v>
                </c:pt>
                <c:pt idx="310">
                  <c:v>5.4126365841480656E-4</c:v>
                </c:pt>
                <c:pt idx="311">
                  <c:v>5.5947109996891799E-4</c:v>
                </c:pt>
                <c:pt idx="312">
                  <c:v>5.7829887969534097E-4</c:v>
                </c:pt>
                <c:pt idx="313">
                  <c:v>5.9775690110582555E-4</c:v>
                </c:pt>
                <c:pt idx="314">
                  <c:v>6.1785599965045817E-4</c:v>
                </c:pt>
                <c:pt idx="315">
                  <c:v>6.3860797553205349E-4</c:v>
                </c:pt>
                <c:pt idx="316">
                  <c:v>6.6004988948766365E-4</c:v>
                </c:pt>
                <c:pt idx="317">
                  <c:v>6.8017236582456611E-4</c:v>
                </c:pt>
                <c:pt idx="318">
                  <c:v>6.9763093884838594E-4</c:v>
                </c:pt>
                <c:pt idx="319">
                  <c:v>7.124082322560746E-4</c:v>
                </c:pt>
                <c:pt idx="320">
                  <c:v>7.244837921647375E-4</c:v>
                </c:pt>
                <c:pt idx="321">
                  <c:v>7.338341379195286E-4</c:v>
                </c:pt>
                <c:pt idx="322">
                  <c:v>7.4043285209620432E-4</c:v>
                </c:pt>
                <c:pt idx="323">
                  <c:v>7.4405036674945514E-4</c:v>
                </c:pt>
                <c:pt idx="324">
                  <c:v>7.4545036451326304E-4</c:v>
                </c:pt>
                <c:pt idx="325">
                  <c:v>7.4460385975436171E-4</c:v>
                </c:pt>
                <c:pt idx="326">
                  <c:v>7.4147538882292862E-4</c:v>
                </c:pt>
                <c:pt idx="327">
                  <c:v>7.3603110808209953E-4</c:v>
                </c:pt>
                <c:pt idx="328">
                  <c:v>7.282398515496176E-4</c:v>
                </c:pt>
                <c:pt idx="329">
                  <c:v>7.1806966537589446E-4</c:v>
                </c:pt>
                <c:pt idx="330">
                  <c:v>7.0559843304858472E-4</c:v>
                </c:pt>
                <c:pt idx="331">
                  <c:v>6.9160286300016572E-4</c:v>
                </c:pt>
                <c:pt idx="332">
                  <c:v>6.7815909601239379E-4</c:v>
                </c:pt>
                <c:pt idx="333">
                  <c:v>6.6523278043113137E-4</c:v>
                </c:pt>
                <c:pt idx="334">
                  <c:v>6.5279082386996356E-4</c:v>
                </c:pt>
                <c:pt idx="335">
                  <c:v>6.4080131536249239E-4</c:v>
                </c:pt>
                <c:pt idx="336">
                  <c:v>6.2923346873091962E-4</c:v>
                </c:pt>
                <c:pt idx="337">
                  <c:v>6.1834140680722019E-4</c:v>
                </c:pt>
                <c:pt idx="338">
                  <c:v>6.0831008115809916E-4</c:v>
                </c:pt>
                <c:pt idx="339">
                  <c:v>5.9911694244515882E-4</c:v>
                </c:pt>
                <c:pt idx="340">
                  <c:v>5.9073977184043364E-4</c:v>
                </c:pt>
                <c:pt idx="341">
                  <c:v>5.8315637509361853E-4</c:v>
                </c:pt>
                <c:pt idx="342">
                  <c:v>5.763442773375749E-4</c:v>
                </c:pt>
                <c:pt idx="343">
                  <c:v>5.7028042283440708E-4</c:v>
                </c:pt>
                <c:pt idx="344">
                  <c:v>5.6502730581957557E-4</c:v>
                </c:pt>
                <c:pt idx="345">
                  <c:v>5.6066283237195941E-4</c:v>
                </c:pt>
                <c:pt idx="346">
                  <c:v>5.56666658602032E-4</c:v>
                </c:pt>
                <c:pt idx="347">
                  <c:v>5.530347241697051E-4</c:v>
                </c:pt>
                <c:pt idx="348">
                  <c:v>5.4976260872930608E-4</c:v>
                </c:pt>
                <c:pt idx="349">
                  <c:v>5.4684552217261907E-4</c:v>
                </c:pt>
                <c:pt idx="350">
                  <c:v>5.4427829488435655E-4</c:v>
                </c:pt>
                <c:pt idx="351">
                  <c:v>5.4228856362445097E-4</c:v>
                </c:pt>
                <c:pt idx="352">
                  <c:v>5.4057928494214823E-4</c:v>
                </c:pt>
                <c:pt idx="353">
                  <c:v>5.3914401552158648E-4</c:v>
                </c:pt>
                <c:pt idx="354">
                  <c:v>5.3797602492624121E-4</c:v>
                </c:pt>
                <c:pt idx="355">
                  <c:v>5.3706830376295742E-4</c:v>
                </c:pt>
                <c:pt idx="356">
                  <c:v>5.3641206127185836E-4</c:v>
                </c:pt>
                <c:pt idx="357">
                  <c:v>5.3600053262947765E-4</c:v>
                </c:pt>
                <c:pt idx="358">
                  <c:v>5.3580361628365113E-4</c:v>
                </c:pt>
                <c:pt idx="359">
                  <c:v>5.3580210797551475E-4</c:v>
                </c:pt>
                <c:pt idx="360">
                  <c:v>5.362871511288232E-4</c:v>
                </c:pt>
                <c:pt idx="361">
                  <c:v>5.3703280256655488E-4</c:v>
                </c:pt>
                <c:pt idx="362">
                  <c:v>5.3804303770694421E-4</c:v>
                </c:pt>
                <c:pt idx="363">
                  <c:v>5.3932136567083871E-4</c:v>
                </c:pt>
                <c:pt idx="364">
                  <c:v>5.4087085538341822E-4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0248"/>
        <c:axId val="592950640"/>
      </c:lineChart>
      <c:dateAx>
        <c:axId val="5929502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0640"/>
        <c:crosses val="autoZero"/>
        <c:auto val="1"/>
        <c:lblOffset val="100"/>
        <c:baseTimeUnit val="days"/>
        <c:majorUnit val="1"/>
        <c:majorTimeUnit val="months"/>
      </c:dateAx>
      <c:valAx>
        <c:axId val="5929506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0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23.750400667399749</c:v>
                </c:pt>
                <c:pt idx="1">
                  <c:v>23.896064342958134</c:v>
                </c:pt>
                <c:pt idx="2">
                  <c:v>24.050896646636129</c:v>
                </c:pt>
                <c:pt idx="3">
                  <c:v>24.214355322719843</c:v>
                </c:pt>
                <c:pt idx="4">
                  <c:v>24.385898231480276</c:v>
                </c:pt>
                <c:pt idx="5">
                  <c:v>24.564983344240851</c:v>
                </c:pt>
                <c:pt idx="6">
                  <c:v>24.75106875156667</c:v>
                </c:pt>
                <c:pt idx="7">
                  <c:v>24.943612656236102</c:v>
                </c:pt>
                <c:pt idx="8">
                  <c:v>25.145612659962318</c:v>
                </c:pt>
                <c:pt idx="9">
                  <c:v>25.359785107540052</c:v>
                </c:pt>
                <c:pt idx="10">
                  <c:v>25.585165895554724</c:v>
                </c:pt>
                <c:pt idx="11">
                  <c:v>25.82078456064102</c:v>
                </c:pt>
                <c:pt idx="12">
                  <c:v>26.065670892935042</c:v>
                </c:pt>
                <c:pt idx="13">
                  <c:v>26.318854933422518</c:v>
                </c:pt>
                <c:pt idx="14">
                  <c:v>26.579366981400373</c:v>
                </c:pt>
                <c:pt idx="15">
                  <c:v>26.846288176705777</c:v>
                </c:pt>
                <c:pt idx="16">
                  <c:v>27.118666449132384</c:v>
                </c:pt>
                <c:pt idx="17">
                  <c:v>27.395532872868525</c:v>
                </c:pt>
                <c:pt idx="18">
                  <c:v>27.675918784344066</c:v>
                </c:pt>
                <c:pt idx="19">
                  <c:v>27.95885568130959</c:v>
                </c:pt>
                <c:pt idx="20">
                  <c:v>28.243375281578789</c:v>
                </c:pt>
                <c:pt idx="21">
                  <c:v>28.528509649247155</c:v>
                </c:pt>
                <c:pt idx="22">
                  <c:v>28.816565477179374</c:v>
                </c:pt>
                <c:pt idx="23">
                  <c:v>29.110249747437322</c:v>
                </c:pt>
                <c:pt idx="24">
                  <c:v>29.409161278771876</c:v>
                </c:pt>
                <c:pt idx="25">
                  <c:v>29.712903885051404</c:v>
                </c:pt>
                <c:pt idx="26">
                  <c:v>30.021081507872406</c:v>
                </c:pt>
                <c:pt idx="27">
                  <c:v>30.333298222497696</c:v>
                </c:pt>
                <c:pt idx="28">
                  <c:v>30.649158239389287</c:v>
                </c:pt>
                <c:pt idx="29">
                  <c:v>30.968232908877329</c:v>
                </c:pt>
                <c:pt idx="30">
                  <c:v>31.290076185421583</c:v>
                </c:pt>
                <c:pt idx="31">
                  <c:v>31.614292713610748</c:v>
                </c:pt>
                <c:pt idx="32">
                  <c:v>31.940487275666158</c:v>
                </c:pt>
                <c:pt idx="33">
                  <c:v>32.268264795683905</c:v>
                </c:pt>
                <c:pt idx="34">
                  <c:v>32.597230336536363</c:v>
                </c:pt>
                <c:pt idx="35">
                  <c:v>32.926989099941835</c:v>
                </c:pt>
                <c:pt idx="36">
                  <c:v>33.260270641921394</c:v>
                </c:pt>
                <c:pt idx="37">
                  <c:v>33.599385299384643</c:v>
                </c:pt>
                <c:pt idx="38">
                  <c:v>33.943326110323262</c:v>
                </c:pt>
                <c:pt idx="39">
                  <c:v>34.291105834001883</c:v>
                </c:pt>
                <c:pt idx="40">
                  <c:v>34.64173753093467</c:v>
                </c:pt>
                <c:pt idx="41">
                  <c:v>34.994234554521569</c:v>
                </c:pt>
                <c:pt idx="42">
                  <c:v>35.347610552206689</c:v>
                </c:pt>
                <c:pt idx="43">
                  <c:v>35.700883181973047</c:v>
                </c:pt>
                <c:pt idx="44">
                  <c:v>36.053099646146698</c:v>
                </c:pt>
                <c:pt idx="45">
                  <c:v>36.403274447961131</c:v>
                </c:pt>
                <c:pt idx="46">
                  <c:v>36.750422371522845</c:v>
                </c:pt>
                <c:pt idx="47">
                  <c:v>37.093558473517604</c:v>
                </c:pt>
                <c:pt idx="48">
                  <c:v>37.431698079933213</c:v>
                </c:pt>
                <c:pt idx="49">
                  <c:v>37.763856780900845</c:v>
                </c:pt>
                <c:pt idx="50">
                  <c:v>38.090873790526565</c:v>
                </c:pt>
                <c:pt idx="51">
                  <c:v>38.414452165002189</c:v>
                </c:pt>
                <c:pt idx="52">
                  <c:v>38.734912399871163</c:v>
                </c:pt>
                <c:pt idx="53">
                  <c:v>39.052550975103976</c:v>
                </c:pt>
                <c:pt idx="54">
                  <c:v>39.367664188657564</c:v>
                </c:pt>
                <c:pt idx="55">
                  <c:v>39.680548214259439</c:v>
                </c:pt>
                <c:pt idx="56">
                  <c:v>39.991499091517277</c:v>
                </c:pt>
                <c:pt idx="57">
                  <c:v>40.300810923222286</c:v>
                </c:pt>
                <c:pt idx="58">
                  <c:v>40.608775795525787</c:v>
                </c:pt>
                <c:pt idx="59">
                  <c:v>40.915689348095277</c:v>
                </c:pt>
                <c:pt idx="60">
                  <c:v>41.221847077908336</c:v>
                </c:pt>
                <c:pt idx="61">
                  <c:v>41.527544337353817</c:v>
                </c:pt>
                <c:pt idx="62">
                  <c:v>41.833076332848989</c:v>
                </c:pt>
                <c:pt idx="63">
                  <c:v>42.13873812228114</c:v>
                </c:pt>
                <c:pt idx="64">
                  <c:v>42.44451281746467</c:v>
                </c:pt>
                <c:pt idx="65">
                  <c:v>42.750044294826068</c:v>
                </c:pt>
                <c:pt idx="66">
                  <c:v>43.05512508765635</c:v>
                </c:pt>
                <c:pt idx="67">
                  <c:v>43.359557729361079</c:v>
                </c:pt>
                <c:pt idx="68">
                  <c:v>43.663144739372079</c:v>
                </c:pt>
                <c:pt idx="69">
                  <c:v>43.965688622815051</c:v>
                </c:pt>
                <c:pt idx="70">
                  <c:v>44.266991871861073</c:v>
                </c:pt>
                <c:pt idx="71">
                  <c:v>44.566859730054965</c:v>
                </c:pt>
                <c:pt idx="72">
                  <c:v>44.865096453944588</c:v>
                </c:pt>
                <c:pt idx="73">
                  <c:v>45.161504495471256</c:v>
                </c:pt>
                <c:pt idx="74">
                  <c:v>45.455886299030226</c:v>
                </c:pt>
                <c:pt idx="75">
                  <c:v>45.748044303442704</c:v>
                </c:pt>
                <c:pt idx="76">
                  <c:v>46.037780945257204</c:v>
                </c:pt>
                <c:pt idx="77">
                  <c:v>46.324898660992012</c:v>
                </c:pt>
                <c:pt idx="78">
                  <c:v>46.611609813320612</c:v>
                </c:pt>
                <c:pt idx="79">
                  <c:v>46.899685564595529</c:v>
                </c:pt>
                <c:pt idx="80">
                  <c:v>47.1882500539989</c:v>
                </c:pt>
                <c:pt idx="81">
                  <c:v>47.476416628496665</c:v>
                </c:pt>
                <c:pt idx="82">
                  <c:v>47.763298861511302</c:v>
                </c:pt>
                <c:pt idx="83">
                  <c:v>48.048010565970955</c:v>
                </c:pt>
                <c:pt idx="84">
                  <c:v>48.329665796868987</c:v>
                </c:pt>
                <c:pt idx="85">
                  <c:v>48.607374323765775</c:v>
                </c:pt>
                <c:pt idx="86">
                  <c:v>48.88024795474287</c:v>
                </c:pt>
                <c:pt idx="87">
                  <c:v>49.147401519108342</c:v>
                </c:pt>
                <c:pt idx="88">
                  <c:v>49.407950121403921</c:v>
                </c:pt>
                <c:pt idx="89">
                  <c:v>49.661009151756744</c:v>
                </c:pt>
                <c:pt idx="90">
                  <c:v>49.905694294067928</c:v>
                </c:pt>
                <c:pt idx="91">
                  <c:v>50.141121544858152</c:v>
                </c:pt>
                <c:pt idx="92">
                  <c:v>50.368830978972035</c:v>
                </c:pt>
                <c:pt idx="93">
                  <c:v>50.590893228054107</c:v>
                </c:pt>
                <c:pt idx="94">
                  <c:v>50.807191059478072</c:v>
                </c:pt>
                <c:pt idx="95">
                  <c:v>51.017626148213047</c:v>
                </c:pt>
                <c:pt idx="96">
                  <c:v>51.222100242918067</c:v>
                </c:pt>
                <c:pt idx="97">
                  <c:v>51.420515171334571</c:v>
                </c:pt>
                <c:pt idx="98">
                  <c:v>51.612772847028793</c:v>
                </c:pt>
                <c:pt idx="99">
                  <c:v>51.798794338655782</c:v>
                </c:pt>
                <c:pt idx="100">
                  <c:v>51.978486582705678</c:v>
                </c:pt>
                <c:pt idx="101">
                  <c:v>52.151752037591358</c:v>
                </c:pt>
                <c:pt idx="102">
                  <c:v>52.318493291381273</c:v>
                </c:pt>
                <c:pt idx="103">
                  <c:v>52.478613069579417</c:v>
                </c:pt>
                <c:pt idx="104">
                  <c:v>52.632014237104315</c:v>
                </c:pt>
                <c:pt idx="105">
                  <c:v>52.778599806620562</c:v>
                </c:pt>
                <c:pt idx="106">
                  <c:v>52.917667708587153</c:v>
                </c:pt>
                <c:pt idx="107">
                  <c:v>53.048813946380939</c:v>
                </c:pt>
                <c:pt idx="108">
                  <c:v>53.172424954753843</c:v>
                </c:pt>
                <c:pt idx="109">
                  <c:v>53.288894486841698</c:v>
                </c:pt>
                <c:pt idx="110">
                  <c:v>53.398616222553414</c:v>
                </c:pt>
                <c:pt idx="111">
                  <c:v>53.501983795794928</c:v>
                </c:pt>
                <c:pt idx="112">
                  <c:v>53.599390821297725</c:v>
                </c:pt>
                <c:pt idx="113">
                  <c:v>53.691196225353742</c:v>
                </c:pt>
                <c:pt idx="114">
                  <c:v>53.777772382118762</c:v>
                </c:pt>
                <c:pt idx="115">
                  <c:v>53.859511700351462</c:v>
                </c:pt>
                <c:pt idx="116">
                  <c:v>53.936806473199496</c:v>
                </c:pt>
                <c:pt idx="117">
                  <c:v>54.010048876441417</c:v>
                </c:pt>
                <c:pt idx="118">
                  <c:v>54.079630971948752</c:v>
                </c:pt>
                <c:pt idx="119">
                  <c:v>54.145944708956655</c:v>
                </c:pt>
                <c:pt idx="120">
                  <c:v>54.207552291540622</c:v>
                </c:pt>
                <c:pt idx="121">
                  <c:v>54.26301046345462</c:v>
                </c:pt>
                <c:pt idx="122">
                  <c:v>54.312744028432611</c:v>
                </c:pt>
                <c:pt idx="123">
                  <c:v>54.357146181062149</c:v>
                </c:pt>
                <c:pt idx="124">
                  <c:v>54.396610049084373</c:v>
                </c:pt>
                <c:pt idx="125">
                  <c:v>54.431528699636139</c:v>
                </c:pt>
                <c:pt idx="126">
                  <c:v>54.462295132335221</c:v>
                </c:pt>
                <c:pt idx="127">
                  <c:v>54.489303913941477</c:v>
                </c:pt>
                <c:pt idx="128">
                  <c:v>54.512986540855216</c:v>
                </c:pt>
                <c:pt idx="129">
                  <c:v>54.533736822494234</c:v>
                </c:pt>
                <c:pt idx="130">
                  <c:v>54.551948546547962</c:v>
                </c:pt>
                <c:pt idx="131">
                  <c:v>54.568015474987426</c:v>
                </c:pt>
                <c:pt idx="132">
                  <c:v>54.582331342835481</c:v>
                </c:pt>
                <c:pt idx="133">
                  <c:v>54.595289858340578</c:v>
                </c:pt>
                <c:pt idx="134">
                  <c:v>54.606305995588592</c:v>
                </c:pt>
                <c:pt idx="135">
                  <c:v>54.614535618557582</c:v>
                </c:pt>
                <c:pt idx="136">
                  <c:v>54.619988674034438</c:v>
                </c:pt>
                <c:pt idx="137">
                  <c:v>54.622668493244802</c:v>
                </c:pt>
                <c:pt idx="138">
                  <c:v>54.622578549562981</c:v>
                </c:pt>
                <c:pt idx="139">
                  <c:v>54.619722448488339</c:v>
                </c:pt>
                <c:pt idx="140">
                  <c:v>54.614103922415573</c:v>
                </c:pt>
                <c:pt idx="141">
                  <c:v>54.60573390818454</c:v>
                </c:pt>
                <c:pt idx="142">
                  <c:v>54.594614853044149</c:v>
                </c:pt>
                <c:pt idx="143">
                  <c:v>54.580751093403897</c:v>
                </c:pt>
                <c:pt idx="144">
                  <c:v>54.564146917700619</c:v>
                </c:pt>
                <c:pt idx="145">
                  <c:v>54.544806694891008</c:v>
                </c:pt>
                <c:pt idx="146">
                  <c:v>54.522734859622105</c:v>
                </c:pt>
                <c:pt idx="147">
                  <c:v>54.497935899460593</c:v>
                </c:pt>
                <c:pt idx="148">
                  <c:v>54.469567482764198</c:v>
                </c:pt>
                <c:pt idx="149">
                  <c:v>54.437058771068592</c:v>
                </c:pt>
                <c:pt idx="150">
                  <c:v>54.400804165278927</c:v>
                </c:pt>
                <c:pt idx="151">
                  <c:v>54.361199502624409</c:v>
                </c:pt>
                <c:pt idx="152">
                  <c:v>54.318640422762741</c:v>
                </c:pt>
                <c:pt idx="153">
                  <c:v>54.273522354253672</c:v>
                </c:pt>
                <c:pt idx="154">
                  <c:v>54.226240495110183</c:v>
                </c:pt>
                <c:pt idx="155">
                  <c:v>54.177202432286684</c:v>
                </c:pt>
                <c:pt idx="156">
                  <c:v>54.126795133345318</c:v>
                </c:pt>
                <c:pt idx="157">
                  <c:v>54.075413128290776</c:v>
                </c:pt>
                <c:pt idx="158">
                  <c:v>54.023450665955714</c:v>
                </c:pt>
                <c:pt idx="159">
                  <c:v>53.971301701418618</c:v>
                </c:pt>
                <c:pt idx="160">
                  <c:v>53.919359885988129</c:v>
                </c:pt>
                <c:pt idx="161">
                  <c:v>53.868018558232819</c:v>
                </c:pt>
                <c:pt idx="162">
                  <c:v>53.81669509012837</c:v>
                </c:pt>
                <c:pt idx="163">
                  <c:v>53.764561145324954</c:v>
                </c:pt>
                <c:pt idx="164">
                  <c:v>53.711608155354796</c:v>
                </c:pt>
                <c:pt idx="165">
                  <c:v>53.657838831613617</c:v>
                </c:pt>
                <c:pt idx="166">
                  <c:v>53.603255681241968</c:v>
                </c:pt>
                <c:pt idx="167">
                  <c:v>53.547860998061466</c:v>
                </c:pt>
                <c:pt idx="168">
                  <c:v>53.491656857037519</c:v>
                </c:pt>
                <c:pt idx="169">
                  <c:v>53.434659959472093</c:v>
                </c:pt>
                <c:pt idx="170">
                  <c:v>53.376858274093323</c:v>
                </c:pt>
                <c:pt idx="171">
                  <c:v>53.318253197329589</c:v>
                </c:pt>
                <c:pt idx="172">
                  <c:v>53.258845893049987</c:v>
                </c:pt>
                <c:pt idx="173">
                  <c:v>53.198637728686087</c:v>
                </c:pt>
                <c:pt idx="174">
                  <c:v>53.137629871528269</c:v>
                </c:pt>
                <c:pt idx="175">
                  <c:v>53.075822838119294</c:v>
                </c:pt>
                <c:pt idx="176">
                  <c:v>53.013005816684874</c:v>
                </c:pt>
                <c:pt idx="177">
                  <c:v>52.949047124047006</c:v>
                </c:pt>
                <c:pt idx="178">
                  <c:v>52.884028840605922</c:v>
                </c:pt>
                <c:pt idx="179">
                  <c:v>52.818048071160874</c:v>
                </c:pt>
                <c:pt idx="180">
                  <c:v>52.75120168818259</c:v>
                </c:pt>
                <c:pt idx="181">
                  <c:v>52.683586342782753</c:v>
                </c:pt>
                <c:pt idx="182">
                  <c:v>52.615298476191178</c:v>
                </c:pt>
                <c:pt idx="183">
                  <c:v>52.546447008828906</c:v>
                </c:pt>
                <c:pt idx="184">
                  <c:v>52.47711236637091</c:v>
                </c:pt>
                <c:pt idx="185">
                  <c:v>52.407390409481224</c:v>
                </c:pt>
                <c:pt idx="186">
                  <c:v>52.337376847158133</c:v>
                </c:pt>
                <c:pt idx="187">
                  <c:v>52.267167251150923</c:v>
                </c:pt>
                <c:pt idx="188">
                  <c:v>52.19685707165997</c:v>
                </c:pt>
                <c:pt idx="189">
                  <c:v>52.126541651568246</c:v>
                </c:pt>
                <c:pt idx="190">
                  <c:v>52.056072944206647</c:v>
                </c:pt>
                <c:pt idx="191">
                  <c:v>51.985247483250212</c:v>
                </c:pt>
                <c:pt idx="192">
                  <c:v>51.914048326369006</c:v>
                </c:pt>
                <c:pt idx="193">
                  <c:v>51.842473356065177</c:v>
                </c:pt>
                <c:pt idx="194">
                  <c:v>51.770520450651638</c:v>
                </c:pt>
                <c:pt idx="195">
                  <c:v>51.698187496633103</c:v>
                </c:pt>
                <c:pt idx="196">
                  <c:v>51.625472401397161</c:v>
                </c:pt>
                <c:pt idx="197">
                  <c:v>51.55237529380377</c:v>
                </c:pt>
                <c:pt idx="198">
                  <c:v>51.4788811513423</c:v>
                </c:pt>
                <c:pt idx="199">
                  <c:v>51.404987982358314</c:v>
                </c:pt>
                <c:pt idx="200">
                  <c:v>51.330693861744642</c:v>
                </c:pt>
                <c:pt idx="201">
                  <c:v>51.255996939545497</c:v>
                </c:pt>
                <c:pt idx="202">
                  <c:v>51.180895446930421</c:v>
                </c:pt>
                <c:pt idx="203">
                  <c:v>51.105387703026437</c:v>
                </c:pt>
                <c:pt idx="204">
                  <c:v>51.03010412012955</c:v>
                </c:pt>
                <c:pt idx="205">
                  <c:v>50.955483028065672</c:v>
                </c:pt>
                <c:pt idx="206">
                  <c:v>50.88122156832268</c:v>
                </c:pt>
                <c:pt idx="207">
                  <c:v>50.807026684980983</c:v>
                </c:pt>
                <c:pt idx="208">
                  <c:v>50.732605503615879</c:v>
                </c:pt>
                <c:pt idx="209">
                  <c:v>50.657665330331035</c:v>
                </c:pt>
                <c:pt idx="210">
                  <c:v>50.581913651547829</c:v>
                </c:pt>
                <c:pt idx="211">
                  <c:v>50.505047655264072</c:v>
                </c:pt>
                <c:pt idx="212">
                  <c:v>50.426772918704572</c:v>
                </c:pt>
                <c:pt idx="213">
                  <c:v>50.346797425661421</c:v>
                </c:pt>
                <c:pt idx="214">
                  <c:v>50.264829329750285</c:v>
                </c:pt>
                <c:pt idx="215">
                  <c:v>50.180576953129929</c:v>
                </c:pt>
                <c:pt idx="216">
                  <c:v>50.093748780126347</c:v>
                </c:pt>
                <c:pt idx="217">
                  <c:v>50.004053454543325</c:v>
                </c:pt>
                <c:pt idx="218">
                  <c:v>49.911928283340437</c:v>
                </c:pt>
                <c:pt idx="219">
                  <c:v>49.817945393437512</c:v>
                </c:pt>
                <c:pt idx="220">
                  <c:v>49.722102456036488</c:v>
                </c:pt>
                <c:pt idx="221">
                  <c:v>49.624399637459724</c:v>
                </c:pt>
                <c:pt idx="222">
                  <c:v>49.524837174188583</c:v>
                </c:pt>
                <c:pt idx="223">
                  <c:v>49.423415370813402</c:v>
                </c:pt>
                <c:pt idx="224">
                  <c:v>49.320134589081817</c:v>
                </c:pt>
                <c:pt idx="225">
                  <c:v>49.21494474011363</c:v>
                </c:pt>
                <c:pt idx="226">
                  <c:v>49.10785685093051</c:v>
                </c:pt>
                <c:pt idx="227">
                  <c:v>48.998871455554024</c:v>
                </c:pt>
                <c:pt idx="228">
                  <c:v>48.887989134748032</c:v>
                </c:pt>
                <c:pt idx="229">
                  <c:v>48.775210517679696</c:v>
                </c:pt>
                <c:pt idx="230">
                  <c:v>48.660536277099979</c:v>
                </c:pt>
                <c:pt idx="231">
                  <c:v>48.543967128905095</c:v>
                </c:pt>
                <c:pt idx="232">
                  <c:v>48.42676549418762</c:v>
                </c:pt>
                <c:pt idx="233">
                  <c:v>48.309840323762508</c:v>
                </c:pt>
                <c:pt idx="234">
                  <c:v>48.192669250543887</c:v>
                </c:pt>
                <c:pt idx="235">
                  <c:v>48.074670584528732</c:v>
                </c:pt>
                <c:pt idx="236">
                  <c:v>47.955262783470531</c:v>
                </c:pt>
                <c:pt idx="237">
                  <c:v>47.833864470037518</c:v>
                </c:pt>
                <c:pt idx="238">
                  <c:v>47.709894415525632</c:v>
                </c:pt>
                <c:pt idx="239">
                  <c:v>47.582787915282935</c:v>
                </c:pt>
                <c:pt idx="240">
                  <c:v>47.452014368422724</c:v>
                </c:pt>
                <c:pt idx="241">
                  <c:v>47.316992898178334</c:v>
                </c:pt>
                <c:pt idx="242">
                  <c:v>47.177142760196496</c:v>
                </c:pt>
                <c:pt idx="243">
                  <c:v>47.031883332474912</c:v>
                </c:pt>
                <c:pt idx="244">
                  <c:v>46.880634123067729</c:v>
                </c:pt>
                <c:pt idx="245">
                  <c:v>46.722814760471891</c:v>
                </c:pt>
                <c:pt idx="246">
                  <c:v>46.559089473649742</c:v>
                </c:pt>
                <c:pt idx="247">
                  <c:v>46.390569910490541</c:v>
                </c:pt>
                <c:pt idx="248">
                  <c:v>46.217319606410946</c:v>
                </c:pt>
                <c:pt idx="249">
                  <c:v>46.039436884305914</c:v>
                </c:pt>
                <c:pt idx="250">
                  <c:v>45.857020051280401</c:v>
                </c:pt>
                <c:pt idx="251">
                  <c:v>45.67016739909409</c:v>
                </c:pt>
                <c:pt idx="252">
                  <c:v>45.478977205690079</c:v>
                </c:pt>
                <c:pt idx="253">
                  <c:v>45.283578153965379</c:v>
                </c:pt>
                <c:pt idx="254">
                  <c:v>45.084052133946109</c:v>
                </c:pt>
                <c:pt idx="255">
                  <c:v>44.880497305207136</c:v>
                </c:pt>
                <c:pt idx="256">
                  <c:v>44.673011796658159</c:v>
                </c:pt>
                <c:pt idx="257">
                  <c:v>44.46169371483527</c:v>
                </c:pt>
                <c:pt idx="258">
                  <c:v>44.246641132698358</c:v>
                </c:pt>
                <c:pt idx="259">
                  <c:v>44.027952091591104</c:v>
                </c:pt>
                <c:pt idx="260">
                  <c:v>43.804222593401001</c:v>
                </c:pt>
                <c:pt idx="261">
                  <c:v>43.574373223390964</c:v>
                </c:pt>
                <c:pt idx="262">
                  <c:v>43.338991537373133</c:v>
                </c:pt>
                <c:pt idx="263">
                  <c:v>43.098660078128752</c:v>
                </c:pt>
                <c:pt idx="264">
                  <c:v>42.853961230822215</c:v>
                </c:pt>
                <c:pt idx="265">
                  <c:v>42.605477085960374</c:v>
                </c:pt>
                <c:pt idx="266">
                  <c:v>42.353789631423481</c:v>
                </c:pt>
                <c:pt idx="267">
                  <c:v>42.099461304412152</c:v>
                </c:pt>
                <c:pt idx="268">
                  <c:v>41.843044334877916</c:v>
                </c:pt>
                <c:pt idx="269">
                  <c:v>41.585120644046263</c:v>
                </c:pt>
                <c:pt idx="270">
                  <c:v>41.326271999857397</c:v>
                </c:pt>
                <c:pt idx="271">
                  <c:v>41.067080013684659</c:v>
                </c:pt>
                <c:pt idx="272">
                  <c:v>40.808126143194833</c:v>
                </c:pt>
                <c:pt idx="273">
                  <c:v>40.54999168790934</c:v>
                </c:pt>
                <c:pt idx="274">
                  <c:v>40.29243458552321</c:v>
                </c:pt>
                <c:pt idx="275">
                  <c:v>40.034630811559403</c:v>
                </c:pt>
                <c:pt idx="276">
                  <c:v>39.776288563295857</c:v>
                </c:pt>
                <c:pt idx="277">
                  <c:v>39.517117279239095</c:v>
                </c:pt>
                <c:pt idx="278">
                  <c:v>39.256826330214459</c:v>
                </c:pt>
                <c:pt idx="279">
                  <c:v>38.995125012369932</c:v>
                </c:pt>
                <c:pt idx="280">
                  <c:v>38.731722538577401</c:v>
                </c:pt>
                <c:pt idx="281">
                  <c:v>38.466346433406336</c:v>
                </c:pt>
                <c:pt idx="282">
                  <c:v>38.198724118800705</c:v>
                </c:pt>
                <c:pt idx="283">
                  <c:v>37.928564056528494</c:v>
                </c:pt>
                <c:pt idx="284">
                  <c:v>37.655574573037065</c:v>
                </c:pt>
                <c:pt idx="285">
                  <c:v>37.37946385646655</c:v>
                </c:pt>
                <c:pt idx="286">
                  <c:v>37.099939953543135</c:v>
                </c:pt>
                <c:pt idx="287">
                  <c:v>36.816710769753101</c:v>
                </c:pt>
                <c:pt idx="288">
                  <c:v>36.527902807906294</c:v>
                </c:pt>
                <c:pt idx="289">
                  <c:v>36.232542987206998</c:v>
                </c:pt>
                <c:pt idx="290">
                  <c:v>35.931695063409592</c:v>
                </c:pt>
                <c:pt idx="291">
                  <c:v>35.626421758220069</c:v>
                </c:pt>
                <c:pt idx="292">
                  <c:v>35.317785580904946</c:v>
                </c:pt>
                <c:pt idx="293">
                  <c:v>35.006848851837724</c:v>
                </c:pt>
                <c:pt idx="294">
                  <c:v>34.694673718545417</c:v>
                </c:pt>
                <c:pt idx="295">
                  <c:v>34.382274872461558</c:v>
                </c:pt>
                <c:pt idx="296">
                  <c:v>34.070697754863801</c:v>
                </c:pt>
                <c:pt idx="297">
                  <c:v>33.761005180127256</c:v>
                </c:pt>
                <c:pt idx="298">
                  <c:v>33.454260058428268</c:v>
                </c:pt>
                <c:pt idx="299">
                  <c:v>33.151525251787319</c:v>
                </c:pt>
                <c:pt idx="300">
                  <c:v>32.853863584101966</c:v>
                </c:pt>
                <c:pt idx="301">
                  <c:v>32.562337854343404</c:v>
                </c:pt>
                <c:pt idx="302">
                  <c:v>32.275349003636755</c:v>
                </c:pt>
                <c:pt idx="303">
                  <c:v>31.99054932972739</c:v>
                </c:pt>
                <c:pt idx="304">
                  <c:v>31.7079407042065</c:v>
                </c:pt>
                <c:pt idx="305">
                  <c:v>31.427522119317079</c:v>
                </c:pt>
                <c:pt idx="306">
                  <c:v>31.149292606152017</c:v>
                </c:pt>
                <c:pt idx="307">
                  <c:v>30.873251237330113</c:v>
                </c:pt>
                <c:pt idx="308">
                  <c:v>30.599397129906695</c:v>
                </c:pt>
                <c:pt idx="309">
                  <c:v>30.327771130624331</c:v>
                </c:pt>
                <c:pt idx="310">
                  <c:v>30.058414355762089</c:v>
                </c:pt>
                <c:pt idx="311">
                  <c:v>29.791324292356602</c:v>
                </c:pt>
                <c:pt idx="312">
                  <c:v>29.526498506661991</c:v>
                </c:pt>
                <c:pt idx="313">
                  <c:v>29.263934656288104</c:v>
                </c:pt>
                <c:pt idx="314">
                  <c:v>29.003630495121893</c:v>
                </c:pt>
                <c:pt idx="315">
                  <c:v>28.745583886778597</c:v>
                </c:pt>
                <c:pt idx="316">
                  <c:v>28.488744343569746</c:v>
                </c:pt>
                <c:pt idx="317">
                  <c:v>28.232452267031718</c:v>
                </c:pt>
                <c:pt idx="318">
                  <c:v>27.977223504700795</c:v>
                </c:pt>
                <c:pt idx="319">
                  <c:v>27.723538331454442</c:v>
                </c:pt>
                <c:pt idx="320">
                  <c:v>27.471877226756913</c:v>
                </c:pt>
                <c:pt idx="321">
                  <c:v>27.222720879894158</c:v>
                </c:pt>
                <c:pt idx="322">
                  <c:v>26.976550196010123</c:v>
                </c:pt>
                <c:pt idx="323">
                  <c:v>26.733847154195136</c:v>
                </c:pt>
                <c:pt idx="324">
                  <c:v>26.4950554040967</c:v>
                </c:pt>
                <c:pt idx="325">
                  <c:v>26.260657160438612</c:v>
                </c:pt>
                <c:pt idx="326">
                  <c:v>26.031134962223764</c:v>
                </c:pt>
                <c:pt idx="327">
                  <c:v>25.806971402106111</c:v>
                </c:pt>
                <c:pt idx="328">
                  <c:v>25.588649097567718</c:v>
                </c:pt>
                <c:pt idx="329">
                  <c:v>25.376650817332973</c:v>
                </c:pt>
                <c:pt idx="330">
                  <c:v>25.167524774044697</c:v>
                </c:pt>
                <c:pt idx="331">
                  <c:v>24.958311985006361</c:v>
                </c:pt>
                <c:pt idx="332">
                  <c:v>24.750208292192465</c:v>
                </c:pt>
                <c:pt idx="333">
                  <c:v>24.544472746149449</c:v>
                </c:pt>
                <c:pt idx="334">
                  <c:v>24.342364324960709</c:v>
                </c:pt>
                <c:pt idx="335">
                  <c:v>24.145141909008235</c:v>
                </c:pt>
                <c:pt idx="336">
                  <c:v>23.954064248598815</c:v>
                </c:pt>
                <c:pt idx="337">
                  <c:v>23.770382223225006</c:v>
                </c:pt>
                <c:pt idx="338">
                  <c:v>23.595353553545195</c:v>
                </c:pt>
                <c:pt idx="339">
                  <c:v>23.430236549692005</c:v>
                </c:pt>
                <c:pt idx="340">
                  <c:v>23.276289295596854</c:v>
                </c:pt>
                <c:pt idx="341">
                  <c:v>23.134769620074586</c:v>
                </c:pt>
                <c:pt idx="342">
                  <c:v>23.006935077215886</c:v>
                </c:pt>
                <c:pt idx="343">
                  <c:v>22.894042943497837</c:v>
                </c:pt>
                <c:pt idx="344">
                  <c:v>22.793860907493016</c:v>
                </c:pt>
                <c:pt idx="345">
                  <c:v>22.703425448692965</c:v>
                </c:pt>
                <c:pt idx="346">
                  <c:v>22.622912922489075</c:v>
                </c:pt>
                <c:pt idx="347">
                  <c:v>22.552483256272893</c:v>
                </c:pt>
                <c:pt idx="348">
                  <c:v>22.492296288206305</c:v>
                </c:pt>
                <c:pt idx="349">
                  <c:v>22.442511760958013</c:v>
                </c:pt>
                <c:pt idx="350">
                  <c:v>22.403289323017951</c:v>
                </c:pt>
                <c:pt idx="351">
                  <c:v>22.374782278112658</c:v>
                </c:pt>
                <c:pt idx="352">
                  <c:v>22.357157537310787</c:v>
                </c:pt>
                <c:pt idx="353">
                  <c:v>22.350574436357384</c:v>
                </c:pt>
                <c:pt idx="354">
                  <c:v>22.355192212031376</c:v>
                </c:pt>
                <c:pt idx="355">
                  <c:v>22.371169993620555</c:v>
                </c:pt>
                <c:pt idx="356">
                  <c:v>22.398666840053057</c:v>
                </c:pt>
                <c:pt idx="357">
                  <c:v>22.437841662484775</c:v>
                </c:pt>
                <c:pt idx="358">
                  <c:v>22.489686770510971</c:v>
                </c:pt>
                <c:pt idx="359">
                  <c:v>22.554735519123575</c:v>
                </c:pt>
                <c:pt idx="360">
                  <c:v>22.632451014543349</c:v>
                </c:pt>
                <c:pt idx="361">
                  <c:v>22.72230999877986</c:v>
                </c:pt>
                <c:pt idx="362">
                  <c:v>22.823783056091411</c:v>
                </c:pt>
                <c:pt idx="363">
                  <c:v>22.936340814266419</c:v>
                </c:pt>
                <c:pt idx="364">
                  <c:v>23.059453955171623</c:v>
                </c:pt>
                <c:pt idx="365">
                  <c:v>23.404927311285686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23.559179800919885</c:v>
                </c:pt>
                <c:pt idx="1">
                  <c:v>16.680011969726387</c:v>
                </c:pt>
                <c:pt idx="2">
                  <c:v>17.893194307234797</c:v>
                </c:pt>
                <c:pt idx="3">
                  <c:v>19.281340515065679</c:v>
                </c:pt>
                <c:pt idx="4">
                  <c:v>14.096465810998851</c:v>
                </c:pt>
                <c:pt idx="5">
                  <c:v>25.505259772255975</c:v>
                </c:pt>
                <c:pt idx="6">
                  <c:v>9.6724660833683451</c:v>
                </c:pt>
                <c:pt idx="7">
                  <c:v>6.5934175313825358</c:v>
                </c:pt>
                <c:pt idx="8">
                  <c:v>1.8295715983652769</c:v>
                </c:pt>
                <c:pt idx="9">
                  <c:v>1.468345694649241</c:v>
                </c:pt>
                <c:pt idx="10">
                  <c:v>26.234579530336465</c:v>
                </c:pt>
                <c:pt idx="11">
                  <c:v>24.023572201416822</c:v>
                </c:pt>
                <c:pt idx="12">
                  <c:v>5.1995912386963834</c:v>
                </c:pt>
                <c:pt idx="13">
                  <c:v>27.206495324739628</c:v>
                </c:pt>
                <c:pt idx="14">
                  <c:v>27.551989919904585</c:v>
                </c:pt>
                <c:pt idx="15">
                  <c:v>27.120833591530591</c:v>
                </c:pt>
                <c:pt idx="16">
                  <c:v>17.551488918745829</c:v>
                </c:pt>
                <c:pt idx="17">
                  <c:v>3.7137104806412435</c:v>
                </c:pt>
                <c:pt idx="18">
                  <c:v>11.609918959647695</c:v>
                </c:pt>
                <c:pt idx="19">
                  <c:v>5.4072233682572328</c:v>
                </c:pt>
                <c:pt idx="20">
                  <c:v>18.539761693318564</c:v>
                </c:pt>
                <c:pt idx="21">
                  <c:v>28.6447997353633</c:v>
                </c:pt>
                <c:pt idx="22">
                  <c:v>28.448249299091017</c:v>
                </c:pt>
                <c:pt idx="23">
                  <c:v>29.104686740678542</c:v>
                </c:pt>
                <c:pt idx="24">
                  <c:v>28.250357712641922</c:v>
                </c:pt>
                <c:pt idx="25">
                  <c:v>29.111741752122853</c:v>
                </c:pt>
                <c:pt idx="26">
                  <c:v>25.522888417403664</c:v>
                </c:pt>
                <c:pt idx="27">
                  <c:v>3.7743989749902402</c:v>
                </c:pt>
                <c:pt idx="28">
                  <c:v>6.0678540117208133</c:v>
                </c:pt>
                <c:pt idx="29">
                  <c:v>4.3183492658669209</c:v>
                </c:pt>
                <c:pt idx="30">
                  <c:v>10.744054361398241</c:v>
                </c:pt>
                <c:pt idx="31">
                  <c:v>13.629018277828827</c:v>
                </c:pt>
                <c:pt idx="32">
                  <c:v>5.0368437775362045</c:v>
                </c:pt>
                <c:pt idx="33">
                  <c:v>14.075088053429338</c:v>
                </c:pt>
                <c:pt idx="34">
                  <c:v>11.711613243994162</c:v>
                </c:pt>
                <c:pt idx="35">
                  <c:v>9.7048889938894938</c:v>
                </c:pt>
                <c:pt idx="36">
                  <c:v>21.975553397671554</c:v>
                </c:pt>
                <c:pt idx="37">
                  <c:v>13.600861511638223</c:v>
                </c:pt>
                <c:pt idx="38">
                  <c:v>34.320666321518956</c:v>
                </c:pt>
                <c:pt idx="39">
                  <c:v>34.412041315238518</c:v>
                </c:pt>
                <c:pt idx="40">
                  <c:v>32.207673965550541</c:v>
                </c:pt>
                <c:pt idx="41">
                  <c:v>14.988050973887001</c:v>
                </c:pt>
                <c:pt idx="42">
                  <c:v>26.449482170791256</c:v>
                </c:pt>
                <c:pt idx="43">
                  <c:v>31.840199990011691</c:v>
                </c:pt>
                <c:pt idx="44">
                  <c:v>17.514802715827567</c:v>
                </c:pt>
                <c:pt idx="45">
                  <c:v>20.806645240225119</c:v>
                </c:pt>
                <c:pt idx="46">
                  <c:v>9.0943495025832402</c:v>
                </c:pt>
                <c:pt idx="47">
                  <c:v>11.034144652121489</c:v>
                </c:pt>
                <c:pt idx="48">
                  <c:v>30.897952681627494</c:v>
                </c:pt>
                <c:pt idx="49">
                  <c:v>16.800881233476435</c:v>
                </c:pt>
                <c:pt idx="50">
                  <c:v>20.895744693760225</c:v>
                </c:pt>
                <c:pt idx="51">
                  <c:v>21.186697316563041</c:v>
                </c:pt>
                <c:pt idx="52">
                  <c:v>35.070866723593433</c:v>
                </c:pt>
                <c:pt idx="53">
                  <c:v>36.062821833181523</c:v>
                </c:pt>
                <c:pt idx="54">
                  <c:v>21.52126601846318</c:v>
                </c:pt>
                <c:pt idx="55">
                  <c:v>30.600618343604577</c:v>
                </c:pt>
                <c:pt idx="56">
                  <c:v>40.625462993090295</c:v>
                </c:pt>
                <c:pt idx="57">
                  <c:v>26.746208520007752</c:v>
                </c:pt>
                <c:pt idx="58">
                  <c:v>35.871517609926364</c:v>
                </c:pt>
                <c:pt idx="59">
                  <c:v>39.349664217713723</c:v>
                </c:pt>
                <c:pt idx="60">
                  <c:v>15.573001123832826</c:v>
                </c:pt>
                <c:pt idx="61">
                  <c:v>36.280698844688168</c:v>
                </c:pt>
                <c:pt idx="62">
                  <c:v>5.4099524946659781</c:v>
                </c:pt>
                <c:pt idx="63">
                  <c:v>12.639921084025623</c:v>
                </c:pt>
                <c:pt idx="64">
                  <c:v>19.968921539271491</c:v>
                </c:pt>
                <c:pt idx="65">
                  <c:v>38.8189555303139</c:v>
                </c:pt>
                <c:pt idx="66">
                  <c:v>30.557836600097801</c:v>
                </c:pt>
                <c:pt idx="67">
                  <c:v>29.022916635140142</c:v>
                </c:pt>
                <c:pt idx="68">
                  <c:v>22.772222780969276</c:v>
                </c:pt>
                <c:pt idx="69">
                  <c:v>14.454102216390005</c:v>
                </c:pt>
                <c:pt idx="70">
                  <c:v>13.828193493682601</c:v>
                </c:pt>
                <c:pt idx="71">
                  <c:v>8.4087750882179115</c:v>
                </c:pt>
                <c:pt idx="72">
                  <c:v>11.271707724182074</c:v>
                </c:pt>
                <c:pt idx="73">
                  <c:v>13.402140943312551</c:v>
                </c:pt>
                <c:pt idx="74">
                  <c:v>11.236171598626729</c:v>
                </c:pt>
                <c:pt idx="75">
                  <c:v>9.9166236289463878</c:v>
                </c:pt>
                <c:pt idx="76">
                  <c:v>12.694356417314541</c:v>
                </c:pt>
                <c:pt idx="77">
                  <c:v>28.521247703763084</c:v>
                </c:pt>
                <c:pt idx="78">
                  <c:v>31.683009877389114</c:v>
                </c:pt>
                <c:pt idx="79">
                  <c:v>45.591112681340043</c:v>
                </c:pt>
                <c:pt idx="80">
                  <c:v>42.779817289024855</c:v>
                </c:pt>
                <c:pt idx="81">
                  <c:v>47.575690028316068</c:v>
                </c:pt>
                <c:pt idx="82">
                  <c:v>46.705949115561175</c:v>
                </c:pt>
                <c:pt idx="83">
                  <c:v>40.088757477058209</c:v>
                </c:pt>
                <c:pt idx="84">
                  <c:v>44.480957313235329</c:v>
                </c:pt>
                <c:pt idx="85">
                  <c:v>44.446384033965103</c:v>
                </c:pt>
                <c:pt idx="86">
                  <c:v>34.322110245925103</c:v>
                </c:pt>
                <c:pt idx="87">
                  <c:v>26.493172510139743</c:v>
                </c:pt>
                <c:pt idx="88">
                  <c:v>6.7251519270262428</c:v>
                </c:pt>
                <c:pt idx="89">
                  <c:v>26.760001561515683</c:v>
                </c:pt>
                <c:pt idx="90">
                  <c:v>29.185202940196689</c:v>
                </c:pt>
                <c:pt idx="91">
                  <c:v>19.238308293275516</c:v>
                </c:pt>
                <c:pt idx="92">
                  <c:v>24.210133740057515</c:v>
                </c:pt>
                <c:pt idx="93">
                  <c:v>42.924321146217586</c:v>
                </c:pt>
                <c:pt idx="94">
                  <c:v>50.904024348396042</c:v>
                </c:pt>
                <c:pt idx="95">
                  <c:v>11.374598153732913</c:v>
                </c:pt>
                <c:pt idx="96">
                  <c:v>38.893467712053862</c:v>
                </c:pt>
                <c:pt idx="97">
                  <c:v>30.864193345809511</c:v>
                </c:pt>
                <c:pt idx="98">
                  <c:v>34.96709017724735</c:v>
                </c:pt>
                <c:pt idx="99">
                  <c:v>52.043575784142639</c:v>
                </c:pt>
                <c:pt idx="100">
                  <c:v>39.496762661664988</c:v>
                </c:pt>
                <c:pt idx="101">
                  <c:v>35.212912606588439</c:v>
                </c:pt>
                <c:pt idx="102">
                  <c:v>6.9310778770555848</c:v>
                </c:pt>
                <c:pt idx="103">
                  <c:v>38.630861146313336</c:v>
                </c:pt>
                <c:pt idx="104">
                  <c:v>42.549686993230218</c:v>
                </c:pt>
                <c:pt idx="105">
                  <c:v>43.744908183089564</c:v>
                </c:pt>
                <c:pt idx="106">
                  <c:v>51.791329941692858</c:v>
                </c:pt>
                <c:pt idx="107">
                  <c:v>38.954921022749708</c:v>
                </c:pt>
                <c:pt idx="108">
                  <c:v>10.367795400049548</c:v>
                </c:pt>
                <c:pt idx="109">
                  <c:v>9.7510992724783883</c:v>
                </c:pt>
                <c:pt idx="110">
                  <c:v>9.2067838333404115</c:v>
                </c:pt>
                <c:pt idx="111">
                  <c:v>29.234346136812146</c:v>
                </c:pt>
                <c:pt idx="112">
                  <c:v>8.1170484837400121</c:v>
                </c:pt>
                <c:pt idx="113">
                  <c:v>36.581233815831581</c:v>
                </c:pt>
                <c:pt idx="114">
                  <c:v>46.017790946786477</c:v>
                </c:pt>
                <c:pt idx="115">
                  <c:v>52.088633727368652</c:v>
                </c:pt>
                <c:pt idx="116">
                  <c:v>37.4073340507491</c:v>
                </c:pt>
                <c:pt idx="117">
                  <c:v>22.280583954283337</c:v>
                </c:pt>
                <c:pt idx="118">
                  <c:v>41.973659622816129</c:v>
                </c:pt>
                <c:pt idx="119">
                  <c:v>42.566345013399101</c:v>
                </c:pt>
                <c:pt idx="120">
                  <c:v>43.334878498802979</c:v>
                </c:pt>
                <c:pt idx="121">
                  <c:v>26.250663434590177</c:v>
                </c:pt>
                <c:pt idx="122">
                  <c:v>10.625242904396956</c:v>
                </c:pt>
                <c:pt idx="123">
                  <c:v>16.677048373061613</c:v>
                </c:pt>
                <c:pt idx="124">
                  <c:v>35.972720497145268</c:v>
                </c:pt>
                <c:pt idx="125">
                  <c:v>35.034591454322737</c:v>
                </c:pt>
                <c:pt idx="126">
                  <c:v>46.252615750622745</c:v>
                </c:pt>
                <c:pt idx="127">
                  <c:v>47.663874374230588</c:v>
                </c:pt>
                <c:pt idx="128">
                  <c:v>52.365691172013044</c:v>
                </c:pt>
                <c:pt idx="129">
                  <c:v>48.381773521029992</c:v>
                </c:pt>
                <c:pt idx="130">
                  <c:v>52.646057994363886</c:v>
                </c:pt>
                <c:pt idx="131">
                  <c:v>41.272387463650198</c:v>
                </c:pt>
                <c:pt idx="132">
                  <c:v>43.293482984228511</c:v>
                </c:pt>
                <c:pt idx="133">
                  <c:v>45.715779110008491</c:v>
                </c:pt>
                <c:pt idx="134">
                  <c:v>49.429485099314341</c:v>
                </c:pt>
                <c:pt idx="135">
                  <c:v>47.526703610829912</c:v>
                </c:pt>
                <c:pt idx="136">
                  <c:v>51.059887964966492</c:v>
                </c:pt>
                <c:pt idx="137">
                  <c:v>49.654834949007054</c:v>
                </c:pt>
                <c:pt idx="138">
                  <c:v>51.100312721301322</c:v>
                </c:pt>
                <c:pt idx="139">
                  <c:v>45.520154808617406</c:v>
                </c:pt>
                <c:pt idx="140">
                  <c:v>46.586646189472823</c:v>
                </c:pt>
                <c:pt idx="141">
                  <c:v>33.699643758469598</c:v>
                </c:pt>
                <c:pt idx="142">
                  <c:v>16.305023761403277</c:v>
                </c:pt>
                <c:pt idx="143">
                  <c:v>13.355853126147682</c:v>
                </c:pt>
                <c:pt idx="144">
                  <c:v>38.126330738478138</c:v>
                </c:pt>
                <c:pt idx="145">
                  <c:v>20.474250403959491</c:v>
                </c:pt>
                <c:pt idx="146">
                  <c:v>38.285933179154981</c:v>
                </c:pt>
                <c:pt idx="147">
                  <c:v>49.550939403601184</c:v>
                </c:pt>
                <c:pt idx="148">
                  <c:v>54.089878786268727</c:v>
                </c:pt>
                <c:pt idx="149">
                  <c:v>46.16743014542201</c:v>
                </c:pt>
                <c:pt idx="150">
                  <c:v>51.413374335347974</c:v>
                </c:pt>
                <c:pt idx="151">
                  <c:v>51.807355963610043</c:v>
                </c:pt>
                <c:pt idx="152">
                  <c:v>40.742462473000053</c:v>
                </c:pt>
                <c:pt idx="153">
                  <c:v>50.601418427908193</c:v>
                </c:pt>
                <c:pt idx="154">
                  <c:v>27.908096441725121</c:v>
                </c:pt>
                <c:pt idx="155">
                  <c:v>28.781186142364536</c:v>
                </c:pt>
                <c:pt idx="156">
                  <c:v>40.822461320670016</c:v>
                </c:pt>
                <c:pt idx="157">
                  <c:v>27.412409848040465</c:v>
                </c:pt>
                <c:pt idx="158">
                  <c:v>20.598594860190744</c:v>
                </c:pt>
                <c:pt idx="159">
                  <c:v>41.635580235318592</c:v>
                </c:pt>
                <c:pt idx="160">
                  <c:v>52.749207296371559</c:v>
                </c:pt>
                <c:pt idx="161">
                  <c:v>50.366548669933323</c:v>
                </c:pt>
                <c:pt idx="162">
                  <c:v>40.105285974544813</c:v>
                </c:pt>
                <c:pt idx="163">
                  <c:v>48.191312326379297</c:v>
                </c:pt>
                <c:pt idx="164">
                  <c:v>44.067148892625568</c:v>
                </c:pt>
                <c:pt idx="165">
                  <c:v>49.524550155184421</c:v>
                </c:pt>
                <c:pt idx="166">
                  <c:v>47.00996786718936</c:v>
                </c:pt>
                <c:pt idx="167">
                  <c:v>47.532989281169641</c:v>
                </c:pt>
                <c:pt idx="168">
                  <c:v>49.998746949863857</c:v>
                </c:pt>
                <c:pt idx="169">
                  <c:v>51.243716297923832</c:v>
                </c:pt>
                <c:pt idx="170">
                  <c:v>29.43823481768321</c:v>
                </c:pt>
                <c:pt idx="171">
                  <c:v>18.017121418068591</c:v>
                </c:pt>
                <c:pt idx="172">
                  <c:v>43.022625217399863</c:v>
                </c:pt>
                <c:pt idx="173">
                  <c:v>38.625313700681666</c:v>
                </c:pt>
                <c:pt idx="174">
                  <c:v>41.900407141287047</c:v>
                </c:pt>
                <c:pt idx="175">
                  <c:v>29.456231761125704</c:v>
                </c:pt>
                <c:pt idx="176">
                  <c:v>10.682032537818094</c:v>
                </c:pt>
                <c:pt idx="177">
                  <c:v>15.933670138173634</c:v>
                </c:pt>
                <c:pt idx="178">
                  <c:v>52.712688152700721</c:v>
                </c:pt>
                <c:pt idx="179">
                  <c:v>50.588402012880913</c:v>
                </c:pt>
                <c:pt idx="180">
                  <c:v>12.216896781897495</c:v>
                </c:pt>
                <c:pt idx="181">
                  <c:v>47.93359573387059</c:v>
                </c:pt>
                <c:pt idx="182">
                  <c:v>45.945415323318016</c:v>
                </c:pt>
                <c:pt idx="183">
                  <c:v>41.721920717413099</c:v>
                </c:pt>
                <c:pt idx="184">
                  <c:v>42.746948225775583</c:v>
                </c:pt>
                <c:pt idx="185">
                  <c:v>50.262286441664834</c:v>
                </c:pt>
                <c:pt idx="186">
                  <c:v>38.74250874902949</c:v>
                </c:pt>
                <c:pt idx="187">
                  <c:v>47.677738716496457</c:v>
                </c:pt>
                <c:pt idx="188">
                  <c:v>51.956559495831158</c:v>
                </c:pt>
                <c:pt idx="189">
                  <c:v>51.172645552720901</c:v>
                </c:pt>
                <c:pt idx="190">
                  <c:v>50.97645361332215</c:v>
                </c:pt>
                <c:pt idx="191">
                  <c:v>49.783813848454649</c:v>
                </c:pt>
                <c:pt idx="192">
                  <c:v>49.399706539687486</c:v>
                </c:pt>
                <c:pt idx="193">
                  <c:v>49.405868372597553</c:v>
                </c:pt>
                <c:pt idx="194">
                  <c:v>48.830944488350333</c:v>
                </c:pt>
                <c:pt idx="195">
                  <c:v>47.321332221713924</c:v>
                </c:pt>
                <c:pt idx="196">
                  <c:v>48.785174826757647</c:v>
                </c:pt>
                <c:pt idx="197">
                  <c:v>48.462997584119037</c:v>
                </c:pt>
                <c:pt idx="198">
                  <c:v>49.193762512911412</c:v>
                </c:pt>
                <c:pt idx="199">
                  <c:v>38.884930049005185</c:v>
                </c:pt>
                <c:pt idx="200">
                  <c:v>37.906397249208091</c:v>
                </c:pt>
                <c:pt idx="201">
                  <c:v>48.059589432761065</c:v>
                </c:pt>
                <c:pt idx="202">
                  <c:v>37.532207310143278</c:v>
                </c:pt>
                <c:pt idx="203">
                  <c:v>44.118816197640918</c:v>
                </c:pt>
                <c:pt idx="204">
                  <c:v>48.381520786941437</c:v>
                </c:pt>
                <c:pt idx="205">
                  <c:v>28.021977249802802</c:v>
                </c:pt>
                <c:pt idx="206">
                  <c:v>48.617871444913952</c:v>
                </c:pt>
                <c:pt idx="207">
                  <c:v>51.368659310018458</c:v>
                </c:pt>
                <c:pt idx="208">
                  <c:v>43.243831027760471</c:v>
                </c:pt>
                <c:pt idx="209">
                  <c:v>25.314687622345897</c:v>
                </c:pt>
                <c:pt idx="210">
                  <c:v>43.686206194864305</c:v>
                </c:pt>
                <c:pt idx="211">
                  <c:v>49.967503935676007</c:v>
                </c:pt>
                <c:pt idx="212">
                  <c:v>49.765442283464864</c:v>
                </c:pt>
                <c:pt idx="213">
                  <c:v>49.965659497487785</c:v>
                </c:pt>
                <c:pt idx="214">
                  <c:v>47.877034357469334</c:v>
                </c:pt>
                <c:pt idx="215">
                  <c:v>44.929230278109486</c:v>
                </c:pt>
                <c:pt idx="216">
                  <c:v>41.803707580609235</c:v>
                </c:pt>
                <c:pt idx="217">
                  <c:v>45.810171682006512</c:v>
                </c:pt>
                <c:pt idx="218">
                  <c:v>48.693220048506099</c:v>
                </c:pt>
                <c:pt idx="219">
                  <c:v>49.477170975542151</c:v>
                </c:pt>
                <c:pt idx="220">
                  <c:v>47.824248226382402</c:v>
                </c:pt>
                <c:pt idx="221">
                  <c:v>45.856942240750264</c:v>
                </c:pt>
                <c:pt idx="222">
                  <c:v>42.200967038560144</c:v>
                </c:pt>
                <c:pt idx="223">
                  <c:v>44.291116355704403</c:v>
                </c:pt>
                <c:pt idx="224">
                  <c:v>30.854043126273371</c:v>
                </c:pt>
                <c:pt idx="225">
                  <c:v>32.079585973926804</c:v>
                </c:pt>
                <c:pt idx="226">
                  <c:v>36.784648729278921</c:v>
                </c:pt>
                <c:pt idx="227">
                  <c:v>30.901034322259591</c:v>
                </c:pt>
                <c:pt idx="228">
                  <c:v>21.24221816892803</c:v>
                </c:pt>
                <c:pt idx="229">
                  <c:v>36.964315679677178</c:v>
                </c:pt>
                <c:pt idx="230">
                  <c:v>38.274751229930615</c:v>
                </c:pt>
                <c:pt idx="231">
                  <c:v>45.584204344624538</c:v>
                </c:pt>
                <c:pt idx="232">
                  <c:v>30.731369981300325</c:v>
                </c:pt>
                <c:pt idx="233">
                  <c:v>23.944404846736102</c:v>
                </c:pt>
                <c:pt idx="234">
                  <c:v>42.832439705758681</c:v>
                </c:pt>
                <c:pt idx="235">
                  <c:v>44.255941073105355</c:v>
                </c:pt>
                <c:pt idx="236">
                  <c:v>31.580047978095088</c:v>
                </c:pt>
                <c:pt idx="237">
                  <c:v>39.675245382989338</c:v>
                </c:pt>
                <c:pt idx="238">
                  <c:v>46.747245315340848</c:v>
                </c:pt>
                <c:pt idx="239">
                  <c:v>45.87966207434696</c:v>
                </c:pt>
                <c:pt idx="240">
                  <c:v>30.934296550419202</c:v>
                </c:pt>
                <c:pt idx="241">
                  <c:v>44.918891001120976</c:v>
                </c:pt>
                <c:pt idx="242">
                  <c:v>21.141759088372417</c:v>
                </c:pt>
                <c:pt idx="243">
                  <c:v>40.756507481643652</c:v>
                </c:pt>
                <c:pt idx="244">
                  <c:v>37.385853864135875</c:v>
                </c:pt>
                <c:pt idx="245">
                  <c:v>31.216979058652793</c:v>
                </c:pt>
                <c:pt idx="246">
                  <c:v>45.27859745547434</c:v>
                </c:pt>
                <c:pt idx="247">
                  <c:v>38.279411360618155</c:v>
                </c:pt>
                <c:pt idx="248">
                  <c:v>43.414681888878803</c:v>
                </c:pt>
                <c:pt idx="249">
                  <c:v>33.780428047405834</c:v>
                </c:pt>
                <c:pt idx="250">
                  <c:v>36.993300719163535</c:v>
                </c:pt>
                <c:pt idx="251">
                  <c:v>20.595106210473567</c:v>
                </c:pt>
                <c:pt idx="252">
                  <c:v>43.510307305512434</c:v>
                </c:pt>
                <c:pt idx="253">
                  <c:v>44.0242182686573</c:v>
                </c:pt>
                <c:pt idx="254">
                  <c:v>30.833980313856564</c:v>
                </c:pt>
                <c:pt idx="255">
                  <c:v>10.933787245319424</c:v>
                </c:pt>
                <c:pt idx="256">
                  <c:v>36.285195369821821</c:v>
                </c:pt>
                <c:pt idx="257">
                  <c:v>39.858744120096667</c:v>
                </c:pt>
                <c:pt idx="258">
                  <c:v>26.539477923775067</c:v>
                </c:pt>
                <c:pt idx="259">
                  <c:v>45.898465610973709</c:v>
                </c:pt>
                <c:pt idx="260">
                  <c:v>44.379332050232669</c:v>
                </c:pt>
                <c:pt idx="261">
                  <c:v>43.237997802074901</c:v>
                </c:pt>
                <c:pt idx="262">
                  <c:v>44.544074904165562</c:v>
                </c:pt>
                <c:pt idx="263">
                  <c:v>43.460947354256007</c:v>
                </c:pt>
                <c:pt idx="264">
                  <c:v>42.331075082409903</c:v>
                </c:pt>
                <c:pt idx="265">
                  <c:v>26.746991844184851</c:v>
                </c:pt>
                <c:pt idx="266">
                  <c:v>16.767763501830331</c:v>
                </c:pt>
                <c:pt idx="267">
                  <c:v>29.683768113394589</c:v>
                </c:pt>
                <c:pt idx="268">
                  <c:v>32.013986672915777</c:v>
                </c:pt>
                <c:pt idx="269">
                  <c:v>14.47064012974227</c:v>
                </c:pt>
                <c:pt idx="270">
                  <c:v>16.628278747614086</c:v>
                </c:pt>
                <c:pt idx="271">
                  <c:v>22.806600510433807</c:v>
                </c:pt>
                <c:pt idx="272">
                  <c:v>27.870536593070156</c:v>
                </c:pt>
                <c:pt idx="273">
                  <c:v>36.031334672830567</c:v>
                </c:pt>
                <c:pt idx="274">
                  <c:v>38.731068706957956</c:v>
                </c:pt>
                <c:pt idx="275">
                  <c:v>35.864872091371311</c:v>
                </c:pt>
                <c:pt idx="276">
                  <c:v>40.09336252575816</c:v>
                </c:pt>
                <c:pt idx="277">
                  <c:v>40.670096380012936</c:v>
                </c:pt>
                <c:pt idx="278">
                  <c:v>14.559959301284369</c:v>
                </c:pt>
                <c:pt idx="279">
                  <c:v>28.023517835398302</c:v>
                </c:pt>
                <c:pt idx="280">
                  <c:v>15.680839312842242</c:v>
                </c:pt>
                <c:pt idx="281">
                  <c:v>37.565378075134888</c:v>
                </c:pt>
                <c:pt idx="282">
                  <c:v>30.320385665838877</c:v>
                </c:pt>
                <c:pt idx="283">
                  <c:v>23.928640758113989</c:v>
                </c:pt>
                <c:pt idx="284">
                  <c:v>26.890885297314902</c:v>
                </c:pt>
                <c:pt idx="285">
                  <c:v>21.770679378307118</c:v>
                </c:pt>
                <c:pt idx="286">
                  <c:v>17.112993125474659</c:v>
                </c:pt>
                <c:pt idx="287">
                  <c:v>36.526768676829299</c:v>
                </c:pt>
                <c:pt idx="288">
                  <c:v>32.865680899670046</c:v>
                </c:pt>
                <c:pt idx="289">
                  <c:v>19.690330446473226</c:v>
                </c:pt>
                <c:pt idx="290">
                  <c:v>33.35192513178788</c:v>
                </c:pt>
                <c:pt idx="291">
                  <c:v>15.002186414484243</c:v>
                </c:pt>
                <c:pt idx="292">
                  <c:v>8.7826548416620618</c:v>
                </c:pt>
                <c:pt idx="293">
                  <c:v>14.904572629355666</c:v>
                </c:pt>
                <c:pt idx="294">
                  <c:v>32.842474973459609</c:v>
                </c:pt>
                <c:pt idx="295">
                  <c:v>18.377022549684792</c:v>
                </c:pt>
                <c:pt idx="296">
                  <c:v>25.222683798503855</c:v>
                </c:pt>
                <c:pt idx="297">
                  <c:v>21.471525537399295</c:v>
                </c:pt>
                <c:pt idx="298">
                  <c:v>17.179683151492046</c:v>
                </c:pt>
                <c:pt idx="299">
                  <c:v>13.458832478612905</c:v>
                </c:pt>
                <c:pt idx="300">
                  <c:v>17.733469621768464</c:v>
                </c:pt>
                <c:pt idx="301">
                  <c:v>26.184357616914255</c:v>
                </c:pt>
                <c:pt idx="302">
                  <c:v>21.988207178587679</c:v>
                </c:pt>
                <c:pt idx="303">
                  <c:v>21.134371660217376</c:v>
                </c:pt>
                <c:pt idx="304">
                  <c:v>20.081796053135378</c:v>
                </c:pt>
                <c:pt idx="305">
                  <c:v>28.977492445875033</c:v>
                </c:pt>
                <c:pt idx="306">
                  <c:v>9.3509143670740453</c:v>
                </c:pt>
                <c:pt idx="307">
                  <c:v>13.803037039541179</c:v>
                </c:pt>
                <c:pt idx="308">
                  <c:v>29.398440336806754</c:v>
                </c:pt>
                <c:pt idx="309">
                  <c:v>30.26666013322269</c:v>
                </c:pt>
                <c:pt idx="310">
                  <c:v>29.22587022132344</c:v>
                </c:pt>
                <c:pt idx="311">
                  <c:v>17.719483135178322</c:v>
                </c:pt>
                <c:pt idx="312">
                  <c:v>8.8285077332806328</c:v>
                </c:pt>
                <c:pt idx="313">
                  <c:v>23.739636185411726</c:v>
                </c:pt>
                <c:pt idx="314">
                  <c:v>27.68346839064219</c:v>
                </c:pt>
                <c:pt idx="315">
                  <c:v>27.552330368538723</c:v>
                </c:pt>
                <c:pt idx="316">
                  <c:v>24.15820042886898</c:v>
                </c:pt>
                <c:pt idx="317">
                  <c:v>11.342599636512521</c:v>
                </c:pt>
                <c:pt idx="318">
                  <c:v>12.285437592206637</c:v>
                </c:pt>
                <c:pt idx="319">
                  <c:v>27.292851476007076</c:v>
                </c:pt>
                <c:pt idx="320">
                  <c:v>14.06228176632886</c:v>
                </c:pt>
                <c:pt idx="321">
                  <c:v>12.548544320055463</c:v>
                </c:pt>
                <c:pt idx="322">
                  <c:v>8.3456757506603214</c:v>
                </c:pt>
                <c:pt idx="323">
                  <c:v>17.163017026459627</c:v>
                </c:pt>
                <c:pt idx="324">
                  <c:v>2.937822067662053</c:v>
                </c:pt>
                <c:pt idx="325">
                  <c:v>9.1775295180050893</c:v>
                </c:pt>
                <c:pt idx="326">
                  <c:v>15.025045429215574</c:v>
                </c:pt>
                <c:pt idx="327">
                  <c:v>13.443611610586093</c:v>
                </c:pt>
                <c:pt idx="328">
                  <c:v>4.4183955677192097</c:v>
                </c:pt>
                <c:pt idx="329">
                  <c:v>10.314358956058953</c:v>
                </c:pt>
                <c:pt idx="330">
                  <c:v>14.189693110884638</c:v>
                </c:pt>
                <c:pt idx="331">
                  <c:v>10.026814211264023</c:v>
                </c:pt>
                <c:pt idx="332">
                  <c:v>12.236988701079119</c:v>
                </c:pt>
                <c:pt idx="333">
                  <c:v>3.8159023169300053</c:v>
                </c:pt>
                <c:pt idx="334">
                  <c:v>3.3762615532388214</c:v>
                </c:pt>
                <c:pt idx="335">
                  <c:v>4.8871391426120239</c:v>
                </c:pt>
                <c:pt idx="336">
                  <c:v>9.6323517064511748</c:v>
                </c:pt>
                <c:pt idx="337">
                  <c:v>17.482630931325261</c:v>
                </c:pt>
                <c:pt idx="338">
                  <c:v>24.648893981140148</c:v>
                </c:pt>
                <c:pt idx="339">
                  <c:v>13.779437229607964</c:v>
                </c:pt>
                <c:pt idx="340">
                  <c:v>19.473147968432148</c:v>
                </c:pt>
                <c:pt idx="341">
                  <c:v>3.5890663827699743</c:v>
                </c:pt>
                <c:pt idx="342">
                  <c:v>8.1042955071032594</c:v>
                </c:pt>
                <c:pt idx="343">
                  <c:v>14.987801925804471</c:v>
                </c:pt>
                <c:pt idx="344">
                  <c:v>16.081219880726113</c:v>
                </c:pt>
                <c:pt idx="345">
                  <c:v>5.169394742855637</c:v>
                </c:pt>
                <c:pt idx="346">
                  <c:v>4.8388300790836594</c:v>
                </c:pt>
                <c:pt idx="347">
                  <c:v>15.711494503891883</c:v>
                </c:pt>
                <c:pt idx="348">
                  <c:v>5.7340924331932639</c:v>
                </c:pt>
                <c:pt idx="349">
                  <c:v>4.7457548755151846</c:v>
                </c:pt>
                <c:pt idx="350">
                  <c:v>2.8048252580765851</c:v>
                </c:pt>
                <c:pt idx="351">
                  <c:v>18.585416345394609</c:v>
                </c:pt>
                <c:pt idx="352">
                  <c:v>17.472548453533719</c:v>
                </c:pt>
                <c:pt idx="353">
                  <c:v>3.4679081003729908</c:v>
                </c:pt>
                <c:pt idx="354">
                  <c:v>20.65602063234466</c:v>
                </c:pt>
                <c:pt idx="355">
                  <c:v>18.03789688021936</c:v>
                </c:pt>
                <c:pt idx="356">
                  <c:v>18.840054035127576</c:v>
                </c:pt>
                <c:pt idx="357">
                  <c:v>21.51463789669322</c:v>
                </c:pt>
                <c:pt idx="358">
                  <c:v>10.508315278161144</c:v>
                </c:pt>
                <c:pt idx="359">
                  <c:v>19.331418022409739</c:v>
                </c:pt>
                <c:pt idx="360">
                  <c:v>6.1830559811188239</c:v>
                </c:pt>
                <c:pt idx="361">
                  <c:v>18.882835253344528</c:v>
                </c:pt>
                <c:pt idx="362">
                  <c:v>10.345933240141223</c:v>
                </c:pt>
                <c:pt idx="363">
                  <c:v>14.615323428254641</c:v>
                </c:pt>
                <c:pt idx="364">
                  <c:v>11.77434664535874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23.559179800919885</c:v>
                </c:pt>
                <c:pt idx="1">
                  <c:v>16.680011969726387</c:v>
                </c:pt>
                <c:pt idx="2">
                  <c:v>17.893194307234797</c:v>
                </c:pt>
                <c:pt idx="3">
                  <c:v>19.281340515065679</c:v>
                </c:pt>
                <c:pt idx="4">
                  <c:v>14.096465810998851</c:v>
                </c:pt>
                <c:pt idx="5">
                  <c:v>25.505259772255975</c:v>
                </c:pt>
                <c:pt idx="6">
                  <c:v>9.6724660833683451</c:v>
                </c:pt>
                <c:pt idx="7">
                  <c:v>6.5934175313825358</c:v>
                </c:pt>
                <c:pt idx="8">
                  <c:v>1.8295715983652769</c:v>
                </c:pt>
                <c:pt idx="9">
                  <c:v>1.468345694649241</c:v>
                </c:pt>
                <c:pt idx="10">
                  <c:v>26.234579530336465</c:v>
                </c:pt>
                <c:pt idx="11">
                  <c:v>24.023572201416822</c:v>
                </c:pt>
                <c:pt idx="12">
                  <c:v>5.1995912386963834</c:v>
                </c:pt>
                <c:pt idx="13">
                  <c:v>27.206495324739628</c:v>
                </c:pt>
                <c:pt idx="14">
                  <c:v>27.551989919904585</c:v>
                </c:pt>
                <c:pt idx="15">
                  <c:v>27.120833591530591</c:v>
                </c:pt>
                <c:pt idx="16">
                  <c:v>17.551488918745829</c:v>
                </c:pt>
                <c:pt idx="17">
                  <c:v>3.7137104806412435</c:v>
                </c:pt>
                <c:pt idx="18">
                  <c:v>11.609918959647695</c:v>
                </c:pt>
                <c:pt idx="19">
                  <c:v>5.4072233682572328</c:v>
                </c:pt>
                <c:pt idx="20">
                  <c:v>18.539761693318564</c:v>
                </c:pt>
                <c:pt idx="21">
                  <c:v>28.6447997353633</c:v>
                </c:pt>
                <c:pt idx="22">
                  <c:v>28.448249299091017</c:v>
                </c:pt>
                <c:pt idx="23">
                  <c:v>29.104686740678542</c:v>
                </c:pt>
                <c:pt idx="24">
                  <c:v>28.250357712641922</c:v>
                </c:pt>
                <c:pt idx="25">
                  <c:v>29.111741752122853</c:v>
                </c:pt>
                <c:pt idx="26">
                  <c:v>25.522888417403664</c:v>
                </c:pt>
                <c:pt idx="27">
                  <c:v>3.7743989749902402</c:v>
                </c:pt>
                <c:pt idx="28">
                  <c:v>6.0678540117208133</c:v>
                </c:pt>
                <c:pt idx="29">
                  <c:v>4.3183492658669209</c:v>
                </c:pt>
                <c:pt idx="30">
                  <c:v>10.744054361398241</c:v>
                </c:pt>
                <c:pt idx="31">
                  <c:v>13.629018277828827</c:v>
                </c:pt>
                <c:pt idx="32">
                  <c:v>5.0368437775362045</c:v>
                </c:pt>
                <c:pt idx="33">
                  <c:v>14.075088053429338</c:v>
                </c:pt>
                <c:pt idx="34">
                  <c:v>11.711613243994162</c:v>
                </c:pt>
                <c:pt idx="35">
                  <c:v>9.7048889938894938</c:v>
                </c:pt>
                <c:pt idx="36">
                  <c:v>21.975553397671554</c:v>
                </c:pt>
                <c:pt idx="37">
                  <c:v>13.600861511638223</c:v>
                </c:pt>
                <c:pt idx="38">
                  <c:v>34.320666321518956</c:v>
                </c:pt>
                <c:pt idx="39">
                  <c:v>34.412041315238518</c:v>
                </c:pt>
                <c:pt idx="40">
                  <c:v>32.207673965550541</c:v>
                </c:pt>
                <c:pt idx="41">
                  <c:v>14.988050973887001</c:v>
                </c:pt>
                <c:pt idx="42">
                  <c:v>26.449482170791256</c:v>
                </c:pt>
                <c:pt idx="43">
                  <c:v>31.840199990011691</c:v>
                </c:pt>
                <c:pt idx="44">
                  <c:v>17.514802715827567</c:v>
                </c:pt>
                <c:pt idx="45">
                  <c:v>20.806645240225119</c:v>
                </c:pt>
                <c:pt idx="46">
                  <c:v>9.0943495025832402</c:v>
                </c:pt>
                <c:pt idx="47">
                  <c:v>11.034144652121489</c:v>
                </c:pt>
                <c:pt idx="48">
                  <c:v>30.897952681627494</c:v>
                </c:pt>
                <c:pt idx="49">
                  <c:v>16.800881233476435</c:v>
                </c:pt>
                <c:pt idx="50">
                  <c:v>20.895744693760225</c:v>
                </c:pt>
                <c:pt idx="51">
                  <c:v>21.186697316563041</c:v>
                </c:pt>
                <c:pt idx="52">
                  <c:v>35.070866723593433</c:v>
                </c:pt>
                <c:pt idx="53">
                  <c:v>36.062821833181523</c:v>
                </c:pt>
                <c:pt idx="54">
                  <c:v>21.52126601846318</c:v>
                </c:pt>
                <c:pt idx="55">
                  <c:v>30.600618343604577</c:v>
                </c:pt>
                <c:pt idx="56">
                  <c:v>40.625462993090295</c:v>
                </c:pt>
                <c:pt idx="57">
                  <c:v>26.746208520007752</c:v>
                </c:pt>
                <c:pt idx="58">
                  <c:v>35.871517609926364</c:v>
                </c:pt>
                <c:pt idx="59">
                  <c:v>39.349664217713723</c:v>
                </c:pt>
                <c:pt idx="60">
                  <c:v>15.573001123832826</c:v>
                </c:pt>
                <c:pt idx="61">
                  <c:v>36.280698844688168</c:v>
                </c:pt>
                <c:pt idx="62">
                  <c:v>5.4099524946659781</c:v>
                </c:pt>
                <c:pt idx="63">
                  <c:v>12.639921084025623</c:v>
                </c:pt>
                <c:pt idx="64">
                  <c:v>19.968921539271491</c:v>
                </c:pt>
                <c:pt idx="65">
                  <c:v>38.8189555303139</c:v>
                </c:pt>
                <c:pt idx="66">
                  <c:v>30.557836600097801</c:v>
                </c:pt>
                <c:pt idx="67">
                  <c:v>29.022916635140142</c:v>
                </c:pt>
                <c:pt idx="68">
                  <c:v>22.772222780969276</c:v>
                </c:pt>
                <c:pt idx="69">
                  <c:v>14.454102216390005</c:v>
                </c:pt>
                <c:pt idx="70">
                  <c:v>13.828193493682601</c:v>
                </c:pt>
                <c:pt idx="71">
                  <c:v>8.4087750882179115</c:v>
                </c:pt>
                <c:pt idx="72">
                  <c:v>11.271707724182074</c:v>
                </c:pt>
                <c:pt idx="73">
                  <c:v>13.402140943312551</c:v>
                </c:pt>
                <c:pt idx="74">
                  <c:v>11.236171598626729</c:v>
                </c:pt>
                <c:pt idx="75">
                  <c:v>9.9166236289463878</c:v>
                </c:pt>
                <c:pt idx="76">
                  <c:v>12.694356417314541</c:v>
                </c:pt>
                <c:pt idx="77">
                  <c:v>28.521247703763084</c:v>
                </c:pt>
                <c:pt idx="78">
                  <c:v>31.683009877389114</c:v>
                </c:pt>
                <c:pt idx="79">
                  <c:v>45.591112681340043</c:v>
                </c:pt>
                <c:pt idx="80">
                  <c:v>42.779817289024855</c:v>
                </c:pt>
                <c:pt idx="81">
                  <c:v>47.575690028316068</c:v>
                </c:pt>
                <c:pt idx="82">
                  <c:v>46.705949115561175</c:v>
                </c:pt>
                <c:pt idx="83">
                  <c:v>40.088757477058209</c:v>
                </c:pt>
                <c:pt idx="84">
                  <c:v>44.480957313235329</c:v>
                </c:pt>
                <c:pt idx="85">
                  <c:v>44.446384033965103</c:v>
                </c:pt>
                <c:pt idx="86">
                  <c:v>34.322110245925103</c:v>
                </c:pt>
                <c:pt idx="87">
                  <c:v>26.493172510139743</c:v>
                </c:pt>
                <c:pt idx="88">
                  <c:v>6.7251519270262428</c:v>
                </c:pt>
                <c:pt idx="89">
                  <c:v>26.760001561515683</c:v>
                </c:pt>
                <c:pt idx="90">
                  <c:v>29.185202940196689</c:v>
                </c:pt>
                <c:pt idx="91">
                  <c:v>19.238308293275516</c:v>
                </c:pt>
                <c:pt idx="92">
                  <c:v>24.210133740057515</c:v>
                </c:pt>
                <c:pt idx="93">
                  <c:v>42.924321146217586</c:v>
                </c:pt>
                <c:pt idx="94">
                  <c:v>50.904024348396042</c:v>
                </c:pt>
                <c:pt idx="95">
                  <c:v>11.374598153732913</c:v>
                </c:pt>
                <c:pt idx="96">
                  <c:v>38.893467712053862</c:v>
                </c:pt>
                <c:pt idx="97">
                  <c:v>30.864193345809511</c:v>
                </c:pt>
                <c:pt idx="98">
                  <c:v>34.96709017724735</c:v>
                </c:pt>
                <c:pt idx="99">
                  <c:v>52.043575784142639</c:v>
                </c:pt>
                <c:pt idx="100">
                  <c:v>39.496762661664988</c:v>
                </c:pt>
                <c:pt idx="101">
                  <c:v>35.212912606588439</c:v>
                </c:pt>
                <c:pt idx="102">
                  <c:v>6.9310778770555848</c:v>
                </c:pt>
                <c:pt idx="103">
                  <c:v>38.630861146313336</c:v>
                </c:pt>
                <c:pt idx="104">
                  <c:v>42.549686993230218</c:v>
                </c:pt>
                <c:pt idx="105">
                  <c:v>43.744908183089564</c:v>
                </c:pt>
                <c:pt idx="106">
                  <c:v>51.791329941692858</c:v>
                </c:pt>
                <c:pt idx="107">
                  <c:v>38.954921022749708</c:v>
                </c:pt>
                <c:pt idx="108">
                  <c:v>10.367795400049548</c:v>
                </c:pt>
                <c:pt idx="109">
                  <c:v>9.7510992724783883</c:v>
                </c:pt>
                <c:pt idx="110">
                  <c:v>9.2067838333404115</c:v>
                </c:pt>
                <c:pt idx="111">
                  <c:v>29.234346136812146</c:v>
                </c:pt>
                <c:pt idx="112">
                  <c:v>8.1170484837400121</c:v>
                </c:pt>
                <c:pt idx="113">
                  <c:v>36.581233815831581</c:v>
                </c:pt>
                <c:pt idx="114">
                  <c:v>46.017790946786477</c:v>
                </c:pt>
                <c:pt idx="115">
                  <c:v>52.088633727368652</c:v>
                </c:pt>
                <c:pt idx="116">
                  <c:v>37.4073340507491</c:v>
                </c:pt>
                <c:pt idx="117">
                  <c:v>22.280583954283337</c:v>
                </c:pt>
                <c:pt idx="118">
                  <c:v>41.973659622816129</c:v>
                </c:pt>
                <c:pt idx="119">
                  <c:v>42.566345013399101</c:v>
                </c:pt>
                <c:pt idx="120">
                  <c:v>43.334878498802979</c:v>
                </c:pt>
                <c:pt idx="121">
                  <c:v>26.250663434590177</c:v>
                </c:pt>
                <c:pt idx="122">
                  <c:v>10.625242904396956</c:v>
                </c:pt>
                <c:pt idx="123">
                  <c:v>16.677048373061613</c:v>
                </c:pt>
                <c:pt idx="124">
                  <c:v>35.972720497145268</c:v>
                </c:pt>
                <c:pt idx="125">
                  <c:v>35.034591454322737</c:v>
                </c:pt>
                <c:pt idx="126">
                  <c:v>46.252615750622745</c:v>
                </c:pt>
                <c:pt idx="127">
                  <c:v>47.663874374230588</c:v>
                </c:pt>
                <c:pt idx="128">
                  <c:v>52.365691172013044</c:v>
                </c:pt>
                <c:pt idx="129">
                  <c:v>48.381773521029992</c:v>
                </c:pt>
                <c:pt idx="130">
                  <c:v>52.646057994363886</c:v>
                </c:pt>
                <c:pt idx="131">
                  <c:v>41.272387463650198</c:v>
                </c:pt>
                <c:pt idx="132">
                  <c:v>43.293482984228511</c:v>
                </c:pt>
                <c:pt idx="133">
                  <c:v>45.715779110008491</c:v>
                </c:pt>
                <c:pt idx="134">
                  <c:v>49.429485099314341</c:v>
                </c:pt>
                <c:pt idx="135">
                  <c:v>47.526703610829912</c:v>
                </c:pt>
                <c:pt idx="136">
                  <c:v>51.059887964966492</c:v>
                </c:pt>
                <c:pt idx="137">
                  <c:v>49.654834949007054</c:v>
                </c:pt>
                <c:pt idx="138">
                  <c:v>51.100312721301322</c:v>
                </c:pt>
                <c:pt idx="139">
                  <c:v>45.520154808617406</c:v>
                </c:pt>
                <c:pt idx="140">
                  <c:v>46.586646189472823</c:v>
                </c:pt>
                <c:pt idx="141">
                  <c:v>33.699643758469598</c:v>
                </c:pt>
                <c:pt idx="142">
                  <c:v>16.305023761403277</c:v>
                </c:pt>
                <c:pt idx="143">
                  <c:v>13.355853126147682</c:v>
                </c:pt>
                <c:pt idx="144">
                  <c:v>38.126330738478138</c:v>
                </c:pt>
                <c:pt idx="145">
                  <c:v>20.474250403959491</c:v>
                </c:pt>
                <c:pt idx="146">
                  <c:v>38.285933179154981</c:v>
                </c:pt>
                <c:pt idx="147">
                  <c:v>49.550939403601184</c:v>
                </c:pt>
                <c:pt idx="148">
                  <c:v>54.089878786268727</c:v>
                </c:pt>
                <c:pt idx="149">
                  <c:v>46.16743014542201</c:v>
                </c:pt>
                <c:pt idx="150">
                  <c:v>51.413374335347974</c:v>
                </c:pt>
                <c:pt idx="151">
                  <c:v>51.807355963610043</c:v>
                </c:pt>
                <c:pt idx="152">
                  <c:v>40.742462473000053</c:v>
                </c:pt>
                <c:pt idx="153">
                  <c:v>50.601418427908193</c:v>
                </c:pt>
                <c:pt idx="154">
                  <c:v>27.908096441725121</c:v>
                </c:pt>
                <c:pt idx="155">
                  <c:v>28.781186142364536</c:v>
                </c:pt>
                <c:pt idx="156">
                  <c:v>40.822461320670016</c:v>
                </c:pt>
                <c:pt idx="157">
                  <c:v>27.412409848040465</c:v>
                </c:pt>
                <c:pt idx="158">
                  <c:v>20.598594860190744</c:v>
                </c:pt>
                <c:pt idx="159">
                  <c:v>41.635580235318592</c:v>
                </c:pt>
                <c:pt idx="160">
                  <c:v>52.749207296371559</c:v>
                </c:pt>
                <c:pt idx="161">
                  <c:v>50.366548669933323</c:v>
                </c:pt>
                <c:pt idx="162">
                  <c:v>40.105285974544813</c:v>
                </c:pt>
                <c:pt idx="163">
                  <c:v>48.191312326379297</c:v>
                </c:pt>
                <c:pt idx="164">
                  <c:v>44.067148892625568</c:v>
                </c:pt>
                <c:pt idx="165">
                  <c:v>49.524550155184421</c:v>
                </c:pt>
                <c:pt idx="166">
                  <c:v>47.00996786718936</c:v>
                </c:pt>
                <c:pt idx="167">
                  <c:v>47.532989281169641</c:v>
                </c:pt>
                <c:pt idx="168">
                  <c:v>49.998746949863857</c:v>
                </c:pt>
                <c:pt idx="169">
                  <c:v>51.243716297923832</c:v>
                </c:pt>
                <c:pt idx="170">
                  <c:v>29.43823481768321</c:v>
                </c:pt>
                <c:pt idx="171">
                  <c:v>18.017121418068591</c:v>
                </c:pt>
                <c:pt idx="172">
                  <c:v>43.022625217399863</c:v>
                </c:pt>
                <c:pt idx="173">
                  <c:v>38.625313700681666</c:v>
                </c:pt>
                <c:pt idx="174">
                  <c:v>41.900407141287047</c:v>
                </c:pt>
                <c:pt idx="175">
                  <c:v>29.456231761125704</c:v>
                </c:pt>
                <c:pt idx="176">
                  <c:v>10.682032537818094</c:v>
                </c:pt>
                <c:pt idx="177">
                  <c:v>15.933670138173634</c:v>
                </c:pt>
                <c:pt idx="178">
                  <c:v>52.712688152700721</c:v>
                </c:pt>
                <c:pt idx="179">
                  <c:v>50.588402012880913</c:v>
                </c:pt>
                <c:pt idx="180">
                  <c:v>12.216896781897495</c:v>
                </c:pt>
                <c:pt idx="181">
                  <c:v>47.93359573387059</c:v>
                </c:pt>
                <c:pt idx="182">
                  <c:v>45.945415323318016</c:v>
                </c:pt>
                <c:pt idx="183">
                  <c:v>41.721920717413099</c:v>
                </c:pt>
                <c:pt idx="184">
                  <c:v>42.746948225775583</c:v>
                </c:pt>
                <c:pt idx="185">
                  <c:v>50.262286441664834</c:v>
                </c:pt>
                <c:pt idx="186">
                  <c:v>38.74250874902949</c:v>
                </c:pt>
                <c:pt idx="187">
                  <c:v>47.677738716496457</c:v>
                </c:pt>
                <c:pt idx="188">
                  <c:v>51.956559495831158</c:v>
                </c:pt>
                <c:pt idx="189">
                  <c:v>51.172645552720901</c:v>
                </c:pt>
                <c:pt idx="190">
                  <c:v>50.97645361332215</c:v>
                </c:pt>
                <c:pt idx="191">
                  <c:v>49.783813848454649</c:v>
                </c:pt>
                <c:pt idx="192">
                  <c:v>49.399706539687486</c:v>
                </c:pt>
                <c:pt idx="193">
                  <c:v>49.405868372597553</c:v>
                </c:pt>
                <c:pt idx="194">
                  <c:v>48.830944488350333</c:v>
                </c:pt>
                <c:pt idx="195">
                  <c:v>47.321332221713924</c:v>
                </c:pt>
                <c:pt idx="196">
                  <c:v>48.785174826757647</c:v>
                </c:pt>
                <c:pt idx="197">
                  <c:v>48.462997584119037</c:v>
                </c:pt>
                <c:pt idx="198">
                  <c:v>49.193762512911412</c:v>
                </c:pt>
                <c:pt idx="199">
                  <c:v>38.884930049005185</c:v>
                </c:pt>
                <c:pt idx="200">
                  <c:v>37.906397249208091</c:v>
                </c:pt>
                <c:pt idx="201">
                  <c:v>48.059589432761065</c:v>
                </c:pt>
                <c:pt idx="202">
                  <c:v>37.532207310143278</c:v>
                </c:pt>
                <c:pt idx="203">
                  <c:v>44.118816197640918</c:v>
                </c:pt>
                <c:pt idx="204">
                  <c:v>48.381520786941437</c:v>
                </c:pt>
                <c:pt idx="205">
                  <c:v>28.021977249802802</c:v>
                </c:pt>
                <c:pt idx="206">
                  <c:v>48.617871444913952</c:v>
                </c:pt>
                <c:pt idx="207">
                  <c:v>51.368659310018458</c:v>
                </c:pt>
                <c:pt idx="208">
                  <c:v>43.243831027760471</c:v>
                </c:pt>
                <c:pt idx="209">
                  <c:v>25.314687622345897</c:v>
                </c:pt>
                <c:pt idx="210">
                  <c:v>43.686206194864305</c:v>
                </c:pt>
                <c:pt idx="211">
                  <c:v>49.967503935676007</c:v>
                </c:pt>
                <c:pt idx="212">
                  <c:v>49.765442283464864</c:v>
                </c:pt>
                <c:pt idx="213">
                  <c:v>49.965659497487785</c:v>
                </c:pt>
                <c:pt idx="214">
                  <c:v>47.877034357469334</c:v>
                </c:pt>
                <c:pt idx="215">
                  <c:v>44.929230278109486</c:v>
                </c:pt>
                <c:pt idx="216">
                  <c:v>41.803707580609235</c:v>
                </c:pt>
                <c:pt idx="217">
                  <c:v>45.810171682006512</c:v>
                </c:pt>
                <c:pt idx="218">
                  <c:v>48.693220048506099</c:v>
                </c:pt>
                <c:pt idx="219">
                  <c:v>49.477170975542151</c:v>
                </c:pt>
                <c:pt idx="220">
                  <c:v>47.824248226382402</c:v>
                </c:pt>
                <c:pt idx="221">
                  <c:v>45.856942240750264</c:v>
                </c:pt>
                <c:pt idx="222">
                  <c:v>42.200967038560144</c:v>
                </c:pt>
                <c:pt idx="223">
                  <c:v>44.291116355704403</c:v>
                </c:pt>
                <c:pt idx="224">
                  <c:v>30.854043126273371</c:v>
                </c:pt>
                <c:pt idx="225">
                  <c:v>32.079585973926804</c:v>
                </c:pt>
                <c:pt idx="226">
                  <c:v>36.784648729278921</c:v>
                </c:pt>
                <c:pt idx="227">
                  <c:v>30.901034322259591</c:v>
                </c:pt>
                <c:pt idx="228">
                  <c:v>21.24221816892803</c:v>
                </c:pt>
                <c:pt idx="229">
                  <c:v>36.964315679677178</c:v>
                </c:pt>
                <c:pt idx="230">
                  <c:v>38.274751229930615</c:v>
                </c:pt>
                <c:pt idx="231">
                  <c:v>45.584204344624538</c:v>
                </c:pt>
                <c:pt idx="232">
                  <c:v>30.731369981300325</c:v>
                </c:pt>
                <c:pt idx="233">
                  <c:v>23.944404846736102</c:v>
                </c:pt>
                <c:pt idx="234">
                  <c:v>42.832439705758681</c:v>
                </c:pt>
                <c:pt idx="235">
                  <c:v>44.255941073105355</c:v>
                </c:pt>
                <c:pt idx="236">
                  <c:v>31.580047978095088</c:v>
                </c:pt>
                <c:pt idx="237">
                  <c:v>39.675245382989338</c:v>
                </c:pt>
                <c:pt idx="238">
                  <c:v>46.747245315340848</c:v>
                </c:pt>
                <c:pt idx="239">
                  <c:v>45.87966207434696</c:v>
                </c:pt>
                <c:pt idx="240">
                  <c:v>30.934296550419202</c:v>
                </c:pt>
                <c:pt idx="241">
                  <c:v>44.918891001120976</c:v>
                </c:pt>
                <c:pt idx="242">
                  <c:v>21.141759088372417</c:v>
                </c:pt>
                <c:pt idx="243">
                  <c:v>40.756507481643652</c:v>
                </c:pt>
                <c:pt idx="244">
                  <c:v>37.385853864135875</c:v>
                </c:pt>
                <c:pt idx="245">
                  <c:v>31.216979058652793</c:v>
                </c:pt>
                <c:pt idx="246">
                  <c:v>45.27859745547434</c:v>
                </c:pt>
                <c:pt idx="247">
                  <c:v>38.279411360618155</c:v>
                </c:pt>
                <c:pt idx="248">
                  <c:v>43.414681888878803</c:v>
                </c:pt>
                <c:pt idx="249">
                  <c:v>33.780428047405834</c:v>
                </c:pt>
                <c:pt idx="250">
                  <c:v>36.993300719163535</c:v>
                </c:pt>
                <c:pt idx="251">
                  <c:v>20.595106210473567</c:v>
                </c:pt>
                <c:pt idx="252">
                  <c:v>43.510307305512434</c:v>
                </c:pt>
                <c:pt idx="253">
                  <c:v>44.0242182686573</c:v>
                </c:pt>
                <c:pt idx="254">
                  <c:v>30.833980313856564</c:v>
                </c:pt>
                <c:pt idx="255">
                  <c:v>10.933787245319424</c:v>
                </c:pt>
                <c:pt idx="256">
                  <c:v>36.285195369821821</c:v>
                </c:pt>
                <c:pt idx="257">
                  <c:v>39.858744120096667</c:v>
                </c:pt>
                <c:pt idx="258">
                  <c:v>26.539477923775067</c:v>
                </c:pt>
                <c:pt idx="259">
                  <c:v>45.898465610973709</c:v>
                </c:pt>
                <c:pt idx="260">
                  <c:v>44.379332050232669</c:v>
                </c:pt>
                <c:pt idx="261">
                  <c:v>43.237997802074901</c:v>
                </c:pt>
                <c:pt idx="262">
                  <c:v>44.544074904165562</c:v>
                </c:pt>
                <c:pt idx="263">
                  <c:v>43.460947354256007</c:v>
                </c:pt>
                <c:pt idx="264">
                  <c:v>42.331075082409903</c:v>
                </c:pt>
                <c:pt idx="265">
                  <c:v>26.746991844184851</c:v>
                </c:pt>
                <c:pt idx="266">
                  <c:v>16.767763501830331</c:v>
                </c:pt>
                <c:pt idx="267">
                  <c:v>29.683768113394589</c:v>
                </c:pt>
                <c:pt idx="268">
                  <c:v>32.013986672915777</c:v>
                </c:pt>
                <c:pt idx="269">
                  <c:v>14.47064012974227</c:v>
                </c:pt>
                <c:pt idx="270">
                  <c:v>16.628278747614086</c:v>
                </c:pt>
                <c:pt idx="271">
                  <c:v>22.806600510433807</c:v>
                </c:pt>
                <c:pt idx="272">
                  <c:v>27.870536593070156</c:v>
                </c:pt>
                <c:pt idx="273">
                  <c:v>36.031334672830567</c:v>
                </c:pt>
                <c:pt idx="274">
                  <c:v>38.731068706957956</c:v>
                </c:pt>
                <c:pt idx="275">
                  <c:v>35.864872091371311</c:v>
                </c:pt>
                <c:pt idx="276">
                  <c:v>40.09336252575816</c:v>
                </c:pt>
                <c:pt idx="277">
                  <c:v>40.670096380012936</c:v>
                </c:pt>
                <c:pt idx="278">
                  <c:v>14.559959301284369</c:v>
                </c:pt>
                <c:pt idx="279">
                  <c:v>28.023517835398302</c:v>
                </c:pt>
                <c:pt idx="280">
                  <c:v>15.680839312842242</c:v>
                </c:pt>
                <c:pt idx="281">
                  <c:v>37.565378075134888</c:v>
                </c:pt>
                <c:pt idx="282">
                  <c:v>30.320385665838877</c:v>
                </c:pt>
                <c:pt idx="283">
                  <c:v>23.928640758113989</c:v>
                </c:pt>
                <c:pt idx="284">
                  <c:v>26.890885297314902</c:v>
                </c:pt>
                <c:pt idx="285">
                  <c:v>21.770679378307118</c:v>
                </c:pt>
                <c:pt idx="286">
                  <c:v>17.112993125474659</c:v>
                </c:pt>
                <c:pt idx="287">
                  <c:v>36.526768676829299</c:v>
                </c:pt>
                <c:pt idx="288">
                  <c:v>32.865680899670046</c:v>
                </c:pt>
                <c:pt idx="289">
                  <c:v>19.690330446473226</c:v>
                </c:pt>
                <c:pt idx="290">
                  <c:v>33.35192513178788</c:v>
                </c:pt>
                <c:pt idx="291">
                  <c:v>15.002186414484243</c:v>
                </c:pt>
                <c:pt idx="292">
                  <c:v>8.7826548416620618</c:v>
                </c:pt>
                <c:pt idx="293">
                  <c:v>14.904572629355666</c:v>
                </c:pt>
                <c:pt idx="294">
                  <c:v>32.842474973459609</c:v>
                </c:pt>
                <c:pt idx="295">
                  <c:v>18.377022549684792</c:v>
                </c:pt>
                <c:pt idx="296">
                  <c:v>25.222683798503855</c:v>
                </c:pt>
                <c:pt idx="297">
                  <c:v>21.471525537399295</c:v>
                </c:pt>
                <c:pt idx="298">
                  <c:v>17.179683151492046</c:v>
                </c:pt>
                <c:pt idx="299">
                  <c:v>13.458832478612905</c:v>
                </c:pt>
                <c:pt idx="300">
                  <c:v>17.733469621768464</c:v>
                </c:pt>
                <c:pt idx="301">
                  <c:v>26.184357616914255</c:v>
                </c:pt>
                <c:pt idx="302">
                  <c:v>21.988207178587679</c:v>
                </c:pt>
                <c:pt idx="303">
                  <c:v>21.134371660217376</c:v>
                </c:pt>
                <c:pt idx="304">
                  <c:v>20.081796053135378</c:v>
                </c:pt>
                <c:pt idx="305">
                  <c:v>28.977492445875033</c:v>
                </c:pt>
                <c:pt idx="306">
                  <c:v>9.3509143670740453</c:v>
                </c:pt>
                <c:pt idx="307">
                  <c:v>13.803037039541179</c:v>
                </c:pt>
                <c:pt idx="308">
                  <c:v>29.398440336806754</c:v>
                </c:pt>
                <c:pt idx="309">
                  <c:v>30.26666013322269</c:v>
                </c:pt>
                <c:pt idx="310">
                  <c:v>29.22587022132344</c:v>
                </c:pt>
                <c:pt idx="311">
                  <c:v>17.719483135178322</c:v>
                </c:pt>
                <c:pt idx="312">
                  <c:v>8.8285077332806328</c:v>
                </c:pt>
                <c:pt idx="313">
                  <c:v>23.739636185411726</c:v>
                </c:pt>
                <c:pt idx="314">
                  <c:v>27.68346839064219</c:v>
                </c:pt>
                <c:pt idx="315">
                  <c:v>27.552330368538723</c:v>
                </c:pt>
                <c:pt idx="316">
                  <c:v>24.15820042886898</c:v>
                </c:pt>
                <c:pt idx="317">
                  <c:v>11.342599636512521</c:v>
                </c:pt>
                <c:pt idx="318">
                  <c:v>12.285437592206637</c:v>
                </c:pt>
                <c:pt idx="319">
                  <c:v>27.292851476007076</c:v>
                </c:pt>
                <c:pt idx="320">
                  <c:v>14.06228176632886</c:v>
                </c:pt>
                <c:pt idx="321">
                  <c:v>12.548544320055463</c:v>
                </c:pt>
                <c:pt idx="322">
                  <c:v>8.3456757506603214</c:v>
                </c:pt>
                <c:pt idx="323">
                  <c:v>17.163017026459627</c:v>
                </c:pt>
                <c:pt idx="324">
                  <c:v>2.937822067662053</c:v>
                </c:pt>
                <c:pt idx="325">
                  <c:v>9.1775295180050893</c:v>
                </c:pt>
                <c:pt idx="326">
                  <c:v>15.025045429215574</c:v>
                </c:pt>
                <c:pt idx="327">
                  <c:v>13.443611610586093</c:v>
                </c:pt>
                <c:pt idx="328">
                  <c:v>4.4183955677192097</c:v>
                </c:pt>
                <c:pt idx="329">
                  <c:v>10.314358956058953</c:v>
                </c:pt>
                <c:pt idx="330">
                  <c:v>14.189693110884638</c:v>
                </c:pt>
                <c:pt idx="331">
                  <c:v>10.026814211264023</c:v>
                </c:pt>
                <c:pt idx="332">
                  <c:v>12.236988701079119</c:v>
                </c:pt>
                <c:pt idx="333">
                  <c:v>3.8159023169300053</c:v>
                </c:pt>
                <c:pt idx="334">
                  <c:v>3.3762615532388214</c:v>
                </c:pt>
                <c:pt idx="335">
                  <c:v>4.8871391426120239</c:v>
                </c:pt>
                <c:pt idx="336">
                  <c:v>9.6323517064511748</c:v>
                </c:pt>
                <c:pt idx="337">
                  <c:v>17.482630931325261</c:v>
                </c:pt>
                <c:pt idx="338">
                  <c:v>24.648893981140148</c:v>
                </c:pt>
                <c:pt idx="339">
                  <c:v>13.779437229607964</c:v>
                </c:pt>
                <c:pt idx="340">
                  <c:v>19.473147968432148</c:v>
                </c:pt>
                <c:pt idx="341">
                  <c:v>3.5890663827699743</c:v>
                </c:pt>
                <c:pt idx="342">
                  <c:v>8.1042955071032594</c:v>
                </c:pt>
                <c:pt idx="343">
                  <c:v>14.987801925804471</c:v>
                </c:pt>
                <c:pt idx="344">
                  <c:v>16.081219880726113</c:v>
                </c:pt>
                <c:pt idx="345">
                  <c:v>5.169394742855637</c:v>
                </c:pt>
                <c:pt idx="346">
                  <c:v>4.8388300790836594</c:v>
                </c:pt>
                <c:pt idx="347">
                  <c:v>15.711494503891883</c:v>
                </c:pt>
                <c:pt idx="348">
                  <c:v>5.7340924331932639</c:v>
                </c:pt>
                <c:pt idx="349">
                  <c:v>4.7457548755151846</c:v>
                </c:pt>
                <c:pt idx="350">
                  <c:v>2.8048252580765851</c:v>
                </c:pt>
                <c:pt idx="351">
                  <c:v>18.585416345394609</c:v>
                </c:pt>
                <c:pt idx="352">
                  <c:v>17.472548453533719</c:v>
                </c:pt>
                <c:pt idx="353">
                  <c:v>3.4679081003729908</c:v>
                </c:pt>
                <c:pt idx="354">
                  <c:v>20.65602063234466</c:v>
                </c:pt>
                <c:pt idx="355">
                  <c:v>18.03789688021936</c:v>
                </c:pt>
                <c:pt idx="356">
                  <c:v>18.840054035127576</c:v>
                </c:pt>
                <c:pt idx="357">
                  <c:v>21.51463789669322</c:v>
                </c:pt>
                <c:pt idx="358">
                  <c:v>10.508315278161144</c:v>
                </c:pt>
                <c:pt idx="359">
                  <c:v>19.331418022409739</c:v>
                </c:pt>
                <c:pt idx="360">
                  <c:v>6.1830559811188239</c:v>
                </c:pt>
                <c:pt idx="361">
                  <c:v>18.882835253344528</c:v>
                </c:pt>
                <c:pt idx="362">
                  <c:v>10.345933240141223</c:v>
                </c:pt>
                <c:pt idx="363">
                  <c:v>14.615323428254641</c:v>
                </c:pt>
                <c:pt idx="364">
                  <c:v>11.77434664535874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311128"/>
        <c:axId val="592951032"/>
      </c:lineChart>
      <c:dateAx>
        <c:axId val="394311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1032"/>
        <c:crosses val="autoZero"/>
        <c:auto val="1"/>
        <c:lblOffset val="100"/>
        <c:baseTimeUnit val="days"/>
        <c:majorUnit val="1"/>
        <c:majorTimeUnit val="months"/>
      </c:dateAx>
      <c:valAx>
        <c:axId val="5929510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311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3.4864606839127045E-2</c:v>
                </c:pt>
                <c:pt idx="1">
                  <c:v>3.4885719498112235E-2</c:v>
                </c:pt>
                <c:pt idx="2">
                  <c:v>3.4906831694676101E-2</c:v>
                </c:pt>
                <c:pt idx="3">
                  <c:v>3.4927943428828524E-2</c:v>
                </c:pt>
                <c:pt idx="4">
                  <c:v>3.494905470057983E-2</c:v>
                </c:pt>
                <c:pt idx="5">
                  <c:v>3.4970165509940122E-2</c:v>
                </c:pt>
                <c:pt idx="6">
                  <c:v>3.4991275856919614E-2</c:v>
                </c:pt>
                <c:pt idx="7">
                  <c:v>3.5012385741528186E-2</c:v>
                </c:pt>
                <c:pt idx="8">
                  <c:v>3.5033495163776164E-2</c:v>
                </c:pt>
                <c:pt idx="9">
                  <c:v>3.5054604123673651E-2</c:v>
                </c:pt>
                <c:pt idx="10">
                  <c:v>3.5075712621230638E-2</c:v>
                </c:pt>
                <c:pt idx="11">
                  <c:v>3.5096820656457452E-2</c:v>
                </c:pt>
                <c:pt idx="12">
                  <c:v>3.5117928229364083E-2</c:v>
                </c:pt>
                <c:pt idx="13">
                  <c:v>3.5139035339960635E-2</c:v>
                </c:pt>
                <c:pt idx="14">
                  <c:v>3.5160141988257433E-2</c:v>
                </c:pt>
                <c:pt idx="15">
                  <c:v>3.5181248174264358E-2</c:v>
                </c:pt>
                <c:pt idx="16">
                  <c:v>3.5202353897991735E-2</c:v>
                </c:pt>
                <c:pt idx="17">
                  <c:v>3.5223459159449445E-2</c:v>
                </c:pt>
                <c:pt idx="18">
                  <c:v>3.5244563958647925E-2</c:v>
                </c:pt>
                <c:pt idx="19">
                  <c:v>3.5265668295597054E-2</c:v>
                </c:pt>
                <c:pt idx="20">
                  <c:v>3.5286772170307047E-2</c:v>
                </c:pt>
                <c:pt idx="21">
                  <c:v>3.5307875582788008E-2</c:v>
                </c:pt>
                <c:pt idx="22">
                  <c:v>3.532897853305015E-2</c:v>
                </c:pt>
                <c:pt idx="23">
                  <c:v>3.5350081021103465E-2</c:v>
                </c:pt>
                <c:pt idx="24">
                  <c:v>3.5371183046958056E-2</c:v>
                </c:pt>
                <c:pt idx="25">
                  <c:v>3.5392284610624249E-2</c:v>
                </c:pt>
                <c:pt idx="26">
                  <c:v>3.5413385712112035E-2</c:v>
                </c:pt>
                <c:pt idx="27">
                  <c:v>3.5434486351431517E-2</c:v>
                </c:pt>
                <c:pt idx="28">
                  <c:v>3.5455586528592799E-2</c:v>
                </c:pt>
                <c:pt idx="29">
                  <c:v>3.5476686243606094E-2</c:v>
                </c:pt>
                <c:pt idx="30">
                  <c:v>3.5497785496481506E-2</c:v>
                </c:pt>
                <c:pt idx="31">
                  <c:v>3.5518884287229026E-2</c:v>
                </c:pt>
                <c:pt idx="32">
                  <c:v>3.553998261585898E-2</c:v>
                </c:pt>
                <c:pt idx="33">
                  <c:v>3.5561080482381359E-2</c:v>
                </c:pt>
                <c:pt idx="34">
                  <c:v>3.5582177886806267E-2</c:v>
                </c:pt>
                <c:pt idx="35">
                  <c:v>3.5603274829143917E-2</c:v>
                </c:pt>
                <c:pt idx="36">
                  <c:v>3.5624371309404414E-2</c:v>
                </c:pt>
                <c:pt idx="37">
                  <c:v>3.5645467327597859E-2</c:v>
                </c:pt>
                <c:pt idx="38">
                  <c:v>3.5666562883734355E-2</c:v>
                </c:pt>
                <c:pt idx="39">
                  <c:v>3.5687657977824007E-2</c:v>
                </c:pt>
                <c:pt idx="40">
                  <c:v>3.5708752609876916E-2</c:v>
                </c:pt>
                <c:pt idx="41">
                  <c:v>3.5729846779903297E-2</c:v>
                </c:pt>
                <c:pt idx="42">
                  <c:v>3.5750940487913253E-2</c:v>
                </c:pt>
                <c:pt idx="43">
                  <c:v>3.5772033733916776E-2</c:v>
                </c:pt>
                <c:pt idx="44">
                  <c:v>3.5793126517924191E-2</c:v>
                </c:pt>
                <c:pt idx="45">
                  <c:v>3.5814218839945379E-2</c:v>
                </c:pt>
                <c:pt idx="46">
                  <c:v>3.5835310699990665E-2</c:v>
                </c:pt>
                <c:pt idx="47">
                  <c:v>3.5856402098070041E-2</c:v>
                </c:pt>
                <c:pt idx="48">
                  <c:v>3.5877493034193721E-2</c:v>
                </c:pt>
                <c:pt idx="49">
                  <c:v>3.5898583508371697E-2</c:v>
                </c:pt>
                <c:pt idx="50">
                  <c:v>3.5919673520614183E-2</c:v>
                </c:pt>
                <c:pt idx="51">
                  <c:v>3.5940763070931393E-2</c:v>
                </c:pt>
                <c:pt idx="52">
                  <c:v>3.5961852159333209E-2</c:v>
                </c:pt>
                <c:pt idx="53">
                  <c:v>3.5982940785829844E-2</c:v>
                </c:pt>
                <c:pt idx="54">
                  <c:v>3.6004028950431512E-2</c:v>
                </c:pt>
                <c:pt idx="55">
                  <c:v>3.6025116653148205E-2</c:v>
                </c:pt>
                <c:pt idx="56">
                  <c:v>3.6046203893990138E-2</c:v>
                </c:pt>
                <c:pt idx="57">
                  <c:v>3.6067290672967302E-2</c:v>
                </c:pt>
                <c:pt idx="58">
                  <c:v>3.6088376990089911E-2</c:v>
                </c:pt>
                <c:pt idx="59">
                  <c:v>3.6109462845368069E-2</c:v>
                </c:pt>
                <c:pt idx="60">
                  <c:v>3.6130548238811878E-2</c:v>
                </c:pt>
                <c:pt idx="61">
                  <c:v>3.6151633170431553E-2</c:v>
                </c:pt>
                <c:pt idx="62">
                  <c:v>3.6172717640236975E-2</c:v>
                </c:pt>
                <c:pt idx="63">
                  <c:v>3.6193801648238468E-2</c:v>
                </c:pt>
                <c:pt idx="64">
                  <c:v>3.6214885194446024E-2</c:v>
                </c:pt>
                <c:pt idx="65">
                  <c:v>3.6235968278869858E-2</c:v>
                </c:pt>
                <c:pt idx="66">
                  <c:v>3.6257050901520073E-2</c:v>
                </c:pt>
                <c:pt idx="67">
                  <c:v>3.627813306240666E-2</c:v>
                </c:pt>
                <c:pt idx="68">
                  <c:v>3.6299214761539834E-2</c:v>
                </c:pt>
                <c:pt idx="69">
                  <c:v>3.6320295998929698E-2</c:v>
                </c:pt>
                <c:pt idx="70">
                  <c:v>3.6341376774586355E-2</c:v>
                </c:pt>
                <c:pt idx="71">
                  <c:v>3.6362457088519907E-2</c:v>
                </c:pt>
                <c:pt idx="72">
                  <c:v>3.638353694074057E-2</c:v>
                </c:pt>
                <c:pt idx="73">
                  <c:v>3.6404616331258334E-2</c:v>
                </c:pt>
                <c:pt idx="74">
                  <c:v>3.6425695260083303E-2</c:v>
                </c:pt>
                <c:pt idx="75">
                  <c:v>3.644677372722558E-2</c:v>
                </c:pt>
                <c:pt idx="76">
                  <c:v>3.646785173269549E-2</c:v>
                </c:pt>
                <c:pt idx="77">
                  <c:v>3.6488929276502803E-2</c:v>
                </c:pt>
                <c:pt idx="78">
                  <c:v>3.6510006358657955E-2</c:v>
                </c:pt>
                <c:pt idx="79">
                  <c:v>3.6531082979170827E-2</c:v>
                </c:pt>
                <c:pt idx="80">
                  <c:v>3.6552159138051744E-2</c:v>
                </c:pt>
                <c:pt idx="81">
                  <c:v>3.6573234835310588E-2</c:v>
                </c:pt>
                <c:pt idx="82">
                  <c:v>3.6594310070957571E-2</c:v>
                </c:pt>
                <c:pt idx="83">
                  <c:v>3.6615384845002798E-2</c:v>
                </c:pt>
                <c:pt idx="84">
                  <c:v>3.6636459157456371E-2</c:v>
                </c:pt>
                <c:pt idx="85">
                  <c:v>3.6657533008328504E-2</c:v>
                </c:pt>
                <c:pt idx="86">
                  <c:v>3.6678606397629189E-2</c:v>
                </c:pt>
                <c:pt idx="87">
                  <c:v>3.669967932536853E-2</c:v>
                </c:pt>
                <c:pt idx="88">
                  <c:v>3.672075179155674E-2</c:v>
                </c:pt>
                <c:pt idx="89">
                  <c:v>3.6741823796203811E-2</c:v>
                </c:pt>
                <c:pt idx="90">
                  <c:v>3.6762895339319847E-2</c:v>
                </c:pt>
                <c:pt idx="91">
                  <c:v>3.6783966420915061E-2</c:v>
                </c:pt>
                <c:pt idx="92">
                  <c:v>3.6805037040999557E-2</c:v>
                </c:pt>
                <c:pt idx="93">
                  <c:v>3.6826107199583326E-2</c:v>
                </c:pt>
                <c:pt idx="94">
                  <c:v>3.6847176896676583E-2</c:v>
                </c:pt>
                <c:pt idx="95">
                  <c:v>3.6868246132289319E-2</c:v>
                </c:pt>
                <c:pt idx="96">
                  <c:v>3.688931490643186E-2</c:v>
                </c:pt>
                <c:pt idx="97">
                  <c:v>3.6910383219114086E-2</c:v>
                </c:pt>
                <c:pt idx="98">
                  <c:v>3.6931451070346212E-2</c:v>
                </c:pt>
                <c:pt idx="99">
                  <c:v>3.6952518460138341E-2</c:v>
                </c:pt>
                <c:pt idx="100">
                  <c:v>3.6973585388500464E-2</c:v>
                </c:pt>
                <c:pt idx="101">
                  <c:v>3.6994651855442907E-2</c:v>
                </c:pt>
                <c:pt idx="102">
                  <c:v>3.7015717860975662E-2</c:v>
                </c:pt>
                <c:pt idx="103">
                  <c:v>3.7036783405108832E-2</c:v>
                </c:pt>
                <c:pt idx="104">
                  <c:v>3.7057848487852409E-2</c:v>
                </c:pt>
                <c:pt idx="105">
                  <c:v>3.7078913109216717E-2</c:v>
                </c:pt>
                <c:pt idx="106">
                  <c:v>3.7099977269211749E-2</c:v>
                </c:pt>
                <c:pt idx="107">
                  <c:v>3.7121040967847609E-2</c:v>
                </c:pt>
                <c:pt idx="108">
                  <c:v>3.7142104205134398E-2</c:v>
                </c:pt>
                <c:pt idx="109">
                  <c:v>3.716316698108222E-2</c:v>
                </c:pt>
                <c:pt idx="110">
                  <c:v>3.7184229295701178E-2</c:v>
                </c:pt>
                <c:pt idx="111">
                  <c:v>3.7205291149001486E-2</c:v>
                </c:pt>
                <c:pt idx="112">
                  <c:v>3.7226352540993025E-2</c:v>
                </c:pt>
                <c:pt idx="113">
                  <c:v>3.7247413471686121E-2</c:v>
                </c:pt>
                <c:pt idx="114">
                  <c:v>3.7268473941090764E-2</c:v>
                </c:pt>
                <c:pt idx="115">
                  <c:v>3.7289533949217059E-2</c:v>
                </c:pt>
                <c:pt idx="116">
                  <c:v>3.7310593496075108E-2</c:v>
                </c:pt>
                <c:pt idx="117">
                  <c:v>3.7331652581675125E-2</c:v>
                </c:pt>
                <c:pt idx="118">
                  <c:v>3.7352711206026991E-2</c:v>
                </c:pt>
                <c:pt idx="119">
                  <c:v>3.7373769369141031E-2</c:v>
                </c:pt>
                <c:pt idx="120">
                  <c:v>3.7394827071027238E-2</c:v>
                </c:pt>
                <c:pt idx="121">
                  <c:v>3.7415884311695714E-2</c:v>
                </c:pt>
                <c:pt idx="122">
                  <c:v>3.7436941091156563E-2</c:v>
                </c:pt>
                <c:pt idx="123">
                  <c:v>3.7457997409419887E-2</c:v>
                </c:pt>
                <c:pt idx="124">
                  <c:v>3.7479053266495789E-2</c:v>
                </c:pt>
                <c:pt idx="125">
                  <c:v>3.7500108662394484E-2</c:v>
                </c:pt>
                <c:pt idx="126">
                  <c:v>3.7521163597125852E-2</c:v>
                </c:pt>
                <c:pt idx="127">
                  <c:v>3.7542218070700219E-2</c:v>
                </c:pt>
                <c:pt idx="128">
                  <c:v>3.7563272083127576E-2</c:v>
                </c:pt>
                <c:pt idx="129">
                  <c:v>3.7584325634417916E-2</c:v>
                </c:pt>
                <c:pt idx="130">
                  <c:v>3.7605378724581563E-2</c:v>
                </c:pt>
                <c:pt idx="131">
                  <c:v>3.762643135362851E-2</c:v>
                </c:pt>
                <c:pt idx="132">
                  <c:v>3.7647483521568749E-2</c:v>
                </c:pt>
                <c:pt idx="133">
                  <c:v>3.7668535228412493E-2</c:v>
                </c:pt>
                <c:pt idx="134">
                  <c:v>3.7689586474169957E-2</c:v>
                </c:pt>
                <c:pt idx="135">
                  <c:v>3.7710637258851022E-2</c:v>
                </c:pt>
                <c:pt idx="136">
                  <c:v>3.7731687582465791E-2</c:v>
                </c:pt>
                <c:pt idx="137">
                  <c:v>3.7752737445024588E-2</c:v>
                </c:pt>
                <c:pt idx="138">
                  <c:v>3.7773786846537295E-2</c:v>
                </c:pt>
                <c:pt idx="139">
                  <c:v>3.7794835787014126E-2</c:v>
                </c:pt>
                <c:pt idx="140">
                  <c:v>3.7815884266465184E-2</c:v>
                </c:pt>
                <c:pt idx="141">
                  <c:v>3.7836932284900461E-2</c:v>
                </c:pt>
                <c:pt idx="142">
                  <c:v>3.785797984233006E-2</c:v>
                </c:pt>
                <c:pt idx="143">
                  <c:v>3.7879026938764195E-2</c:v>
                </c:pt>
                <c:pt idx="144">
                  <c:v>3.7900073574212968E-2</c:v>
                </c:pt>
                <c:pt idx="145">
                  <c:v>3.7921119748686262E-2</c:v>
                </c:pt>
                <c:pt idx="146">
                  <c:v>3.7942165462194512E-2</c:v>
                </c:pt>
                <c:pt idx="147">
                  <c:v>3.7963210714747488E-2</c:v>
                </c:pt>
                <c:pt idx="148">
                  <c:v>3.7984255506355404E-2</c:v>
                </c:pt>
                <c:pt idx="149">
                  <c:v>3.8005299837028474E-2</c:v>
                </c:pt>
                <c:pt idx="150">
                  <c:v>3.8026343706776579E-2</c:v>
                </c:pt>
                <c:pt idx="151">
                  <c:v>3.8047387115610044E-2</c:v>
                </c:pt>
                <c:pt idx="152">
                  <c:v>3.8068430063538751E-2</c:v>
                </c:pt>
                <c:pt idx="153">
                  <c:v>3.8089472550572913E-2</c:v>
                </c:pt>
                <c:pt idx="154">
                  <c:v>3.8110514576722633E-2</c:v>
                </c:pt>
                <c:pt idx="155">
                  <c:v>3.8131556141998015E-2</c:v>
                </c:pt>
                <c:pt idx="156">
                  <c:v>3.8152597246409049E-2</c:v>
                </c:pt>
                <c:pt idx="157">
                  <c:v>3.8173637889965951E-2</c:v>
                </c:pt>
                <c:pt idx="158">
                  <c:v>3.8194678072678713E-2</c:v>
                </c:pt>
                <c:pt idx="159">
                  <c:v>3.8215717794557548E-2</c:v>
                </c:pt>
                <c:pt idx="160">
                  <c:v>3.8236757055612337E-2</c:v>
                </c:pt>
                <c:pt idx="161">
                  <c:v>3.8257795855853406E-2</c:v>
                </c:pt>
                <c:pt idx="162">
                  <c:v>3.8278834195290747E-2</c:v>
                </c:pt>
                <c:pt idx="163">
                  <c:v>3.8299872073934461E-2</c:v>
                </c:pt>
                <c:pt idx="164">
                  <c:v>3.8320909491794654E-2</c:v>
                </c:pt>
                <c:pt idx="165">
                  <c:v>3.8341946448881427E-2</c:v>
                </c:pt>
                <c:pt idx="166">
                  <c:v>3.8362982945204772E-2</c:v>
                </c:pt>
                <c:pt idx="167">
                  <c:v>3.8384018980774905E-2</c:v>
                </c:pt>
                <c:pt idx="168">
                  <c:v>3.8405054555601816E-2</c:v>
                </c:pt>
                <c:pt idx="169">
                  <c:v>3.8426089669695719E-2</c:v>
                </c:pt>
                <c:pt idx="170">
                  <c:v>3.8447124323066607E-2</c:v>
                </c:pt>
                <c:pt idx="171">
                  <c:v>3.8468158515724694E-2</c:v>
                </c:pt>
                <c:pt idx="172">
                  <c:v>3.8489192247679861E-2</c:v>
                </c:pt>
                <c:pt idx="173">
                  <c:v>3.8510225518942322E-2</c:v>
                </c:pt>
                <c:pt idx="174">
                  <c:v>3.853125832952229E-2</c:v>
                </c:pt>
                <c:pt idx="175">
                  <c:v>3.8552290679429536E-2</c:v>
                </c:pt>
                <c:pt idx="176">
                  <c:v>3.8573322568674497E-2</c:v>
                </c:pt>
                <c:pt idx="177">
                  <c:v>3.8594353997267052E-2</c:v>
                </c:pt>
                <c:pt idx="178">
                  <c:v>3.8615384965217305E-2</c:v>
                </c:pt>
                <c:pt idx="179">
                  <c:v>3.8636415472535469E-2</c:v>
                </c:pt>
                <c:pt idx="180">
                  <c:v>3.8657445519231427E-2</c:v>
                </c:pt>
                <c:pt idx="181">
                  <c:v>3.8678475105315503E-2</c:v>
                </c:pt>
                <c:pt idx="182">
                  <c:v>3.8699504230797689E-2</c:v>
                </c:pt>
                <c:pt idx="183">
                  <c:v>3.8720532895687977E-2</c:v>
                </c:pt>
                <c:pt idx="184">
                  <c:v>3.8741561099996581E-2</c:v>
                </c:pt>
                <c:pt idx="185">
                  <c:v>3.8762588843733493E-2</c:v>
                </c:pt>
                <c:pt idx="186">
                  <c:v>3.8783616126908817E-2</c:v>
                </c:pt>
                <c:pt idx="187">
                  <c:v>3.8804642949532765E-2</c:v>
                </c:pt>
                <c:pt idx="188">
                  <c:v>3.8825669311615331E-2</c:v>
                </c:pt>
                <c:pt idx="189">
                  <c:v>3.8846695213166617E-2</c:v>
                </c:pt>
                <c:pt idx="190">
                  <c:v>3.8867720654196615E-2</c:v>
                </c:pt>
                <c:pt idx="191">
                  <c:v>3.8888745634715539E-2</c:v>
                </c:pt>
                <c:pt idx="192">
                  <c:v>3.8909770154733382E-2</c:v>
                </c:pt>
                <c:pt idx="193">
                  <c:v>3.8930794214260357E-2</c:v>
                </c:pt>
                <c:pt idx="194">
                  <c:v>3.8951817813306457E-2</c:v>
                </c:pt>
                <c:pt idx="195">
                  <c:v>3.8972840951881783E-2</c:v>
                </c:pt>
                <c:pt idx="196">
                  <c:v>3.8993863629996441E-2</c:v>
                </c:pt>
                <c:pt idx="197">
                  <c:v>3.901488584766042E-2</c:v>
                </c:pt>
                <c:pt idx="198">
                  <c:v>3.9035907604883936E-2</c:v>
                </c:pt>
                <c:pt idx="199">
                  <c:v>3.9056928901676981E-2</c:v>
                </c:pt>
                <c:pt idx="200">
                  <c:v>3.9077949738049657E-2</c:v>
                </c:pt>
                <c:pt idx="201">
                  <c:v>3.9098970114012178E-2</c:v>
                </c:pt>
                <c:pt idx="202">
                  <c:v>3.9119990029574427E-2</c:v>
                </c:pt>
                <c:pt idx="203">
                  <c:v>3.9141009484746615E-2</c:v>
                </c:pt>
                <c:pt idx="204">
                  <c:v>3.9162028479538737E-2</c:v>
                </c:pt>
                <c:pt idx="205">
                  <c:v>3.9183047013961005E-2</c:v>
                </c:pt>
                <c:pt idx="206">
                  <c:v>3.9204065088023411E-2</c:v>
                </c:pt>
                <c:pt idx="207">
                  <c:v>3.9225082701735949E-2</c:v>
                </c:pt>
                <c:pt idx="208">
                  <c:v>3.9246099855108942E-2</c:v>
                </c:pt>
                <c:pt idx="209">
                  <c:v>3.9267116548152271E-2</c:v>
                </c:pt>
                <c:pt idx="210">
                  <c:v>3.9288132780876041E-2</c:v>
                </c:pt>
                <c:pt idx="211">
                  <c:v>3.9309148553290464E-2</c:v>
                </c:pt>
                <c:pt idx="212">
                  <c:v>3.9330163865405533E-2</c:v>
                </c:pt>
                <c:pt idx="213">
                  <c:v>3.935117871723124E-2</c:v>
                </c:pt>
                <c:pt idx="214">
                  <c:v>3.937219310877791E-2</c:v>
                </c:pt>
                <c:pt idx="215">
                  <c:v>3.9393207040055313E-2</c:v>
                </c:pt>
                <c:pt idx="216">
                  <c:v>3.9414220511073773E-2</c:v>
                </c:pt>
                <c:pt idx="217">
                  <c:v>3.9435233521843284E-2</c:v>
                </c:pt>
                <c:pt idx="218">
                  <c:v>3.9456246072373947E-2</c:v>
                </c:pt>
                <c:pt idx="219">
                  <c:v>3.9477258162675756E-2</c:v>
                </c:pt>
                <c:pt idx="220">
                  <c:v>3.9498269792758924E-2</c:v>
                </c:pt>
                <c:pt idx="221">
                  <c:v>3.9519280962633442E-2</c:v>
                </c:pt>
                <c:pt idx="222">
                  <c:v>3.9540291672309415E-2</c:v>
                </c:pt>
                <c:pt idx="223">
                  <c:v>3.9561301921796944E-2</c:v>
                </c:pt>
                <c:pt idx="224">
                  <c:v>3.9582311711106134E-2</c:v>
                </c:pt>
                <c:pt idx="225">
                  <c:v>3.9603321040246976E-2</c:v>
                </c:pt>
                <c:pt idx="226">
                  <c:v>3.9624329909229573E-2</c:v>
                </c:pt>
                <c:pt idx="227">
                  <c:v>3.9645338318064029E-2</c:v>
                </c:pt>
                <c:pt idx="228">
                  <c:v>3.9666346266760334E-2</c:v>
                </c:pt>
                <c:pt idx="229">
                  <c:v>3.9687353755328815E-2</c:v>
                </c:pt>
                <c:pt idx="230">
                  <c:v>3.9708360783779241E-2</c:v>
                </c:pt>
                <c:pt idx="231">
                  <c:v>3.9729367352121937E-2</c:v>
                </c:pt>
                <c:pt idx="232">
                  <c:v>3.9750373460366785E-2</c:v>
                </c:pt>
                <c:pt idx="233">
                  <c:v>3.9771379108523998E-2</c:v>
                </c:pt>
                <c:pt idx="234">
                  <c:v>3.9792384296603568E-2</c:v>
                </c:pt>
                <c:pt idx="235">
                  <c:v>3.9813389024615599E-2</c:v>
                </c:pt>
                <c:pt idx="236">
                  <c:v>3.9834393292570304E-2</c:v>
                </c:pt>
                <c:pt idx="237">
                  <c:v>3.9855397100477453E-2</c:v>
                </c:pt>
                <c:pt idx="238">
                  <c:v>3.9876400448347483E-2</c:v>
                </c:pt>
                <c:pt idx="239">
                  <c:v>3.9897403336190164E-2</c:v>
                </c:pt>
                <c:pt idx="240">
                  <c:v>3.9918405764015709E-2</c:v>
                </c:pt>
                <c:pt idx="241">
                  <c:v>3.9939407731834221E-2</c:v>
                </c:pt>
                <c:pt idx="242">
                  <c:v>3.9960409239655804E-2</c:v>
                </c:pt>
                <c:pt idx="243">
                  <c:v>3.9981410287490339E-2</c:v>
                </c:pt>
                <c:pt idx="244">
                  <c:v>4.000241087534815E-2</c:v>
                </c:pt>
                <c:pt idx="245">
                  <c:v>4.0023411003239119E-2</c:v>
                </c:pt>
                <c:pt idx="246">
                  <c:v>4.0044410671173349E-2</c:v>
                </c:pt>
                <c:pt idx="247">
                  <c:v>4.0065409879161053E-2</c:v>
                </c:pt>
                <c:pt idx="248">
                  <c:v>4.0086408627212113E-2</c:v>
                </c:pt>
                <c:pt idx="249">
                  <c:v>4.0107406915336742E-2</c:v>
                </c:pt>
                <c:pt idx="250">
                  <c:v>4.0128404743545044E-2</c:v>
                </c:pt>
                <c:pt idx="251">
                  <c:v>4.01494021118469E-2</c:v>
                </c:pt>
                <c:pt idx="252">
                  <c:v>4.0170399020252524E-2</c:v>
                </c:pt>
                <c:pt idx="253">
                  <c:v>4.0191395468772019E-2</c:v>
                </c:pt>
                <c:pt idx="254">
                  <c:v>4.0212391457415377E-2</c:v>
                </c:pt>
                <c:pt idx="255">
                  <c:v>4.02333869861927E-2</c:v>
                </c:pt>
                <c:pt idx="256">
                  <c:v>4.0254382055114092E-2</c:v>
                </c:pt>
                <c:pt idx="257">
                  <c:v>4.0275376664189545E-2</c:v>
                </c:pt>
                <c:pt idx="258">
                  <c:v>4.0296370813429273E-2</c:v>
                </c:pt>
                <c:pt idx="259">
                  <c:v>4.0317364502843157E-2</c:v>
                </c:pt>
                <c:pt idx="260">
                  <c:v>4.03383577324413E-2</c:v>
                </c:pt>
                <c:pt idx="261">
                  <c:v>4.0359350502234027E-2</c:v>
                </c:pt>
                <c:pt idx="262">
                  <c:v>4.0380342812231108E-2</c:v>
                </c:pt>
                <c:pt idx="263">
                  <c:v>4.0401334662442646E-2</c:v>
                </c:pt>
                <c:pt idx="264">
                  <c:v>4.0422326052878856E-2</c:v>
                </c:pt>
                <c:pt idx="265">
                  <c:v>4.0443316983549839E-2</c:v>
                </c:pt>
                <c:pt idx="266">
                  <c:v>4.0464307454465477E-2</c:v>
                </c:pt>
                <c:pt idx="267">
                  <c:v>4.0485297465635874E-2</c:v>
                </c:pt>
                <c:pt idx="268">
                  <c:v>4.0506287017071242E-2</c:v>
                </c:pt>
                <c:pt idx="269">
                  <c:v>4.0527276108781575E-2</c:v>
                </c:pt>
                <c:pt idx="270">
                  <c:v>4.0548264740776975E-2</c:v>
                </c:pt>
                <c:pt idx="271">
                  <c:v>4.0569252913067323E-2</c:v>
                </c:pt>
                <c:pt idx="272">
                  <c:v>4.0590240625662945E-2</c:v>
                </c:pt>
                <c:pt idx="273">
                  <c:v>4.061122787857372E-2</c:v>
                </c:pt>
                <c:pt idx="274">
                  <c:v>4.0632214671809865E-2</c:v>
                </c:pt>
                <c:pt idx="275">
                  <c:v>4.0653201005381369E-2</c:v>
                </c:pt>
                <c:pt idx="276">
                  <c:v>4.0674186879298337E-2</c:v>
                </c:pt>
                <c:pt idx="277">
                  <c:v>4.0695172293570649E-2</c:v>
                </c:pt>
                <c:pt idx="278">
                  <c:v>4.0716157248208741E-2</c:v>
                </c:pt>
                <c:pt idx="279">
                  <c:v>4.0737141743222273E-2</c:v>
                </c:pt>
                <c:pt idx="280">
                  <c:v>4.075812577862168E-2</c:v>
                </c:pt>
                <c:pt idx="281">
                  <c:v>4.0779109354416733E-2</c:v>
                </c:pt>
                <c:pt idx="282">
                  <c:v>4.0800092470617645E-2</c:v>
                </c:pt>
                <c:pt idx="283">
                  <c:v>4.082107512723452E-2</c:v>
                </c:pt>
                <c:pt idx="284">
                  <c:v>4.0842057324277349E-2</c:v>
                </c:pt>
                <c:pt idx="285">
                  <c:v>4.0863039061756236E-2</c:v>
                </c:pt>
                <c:pt idx="286">
                  <c:v>4.0884020339681172E-2</c:v>
                </c:pt>
                <c:pt idx="287">
                  <c:v>4.0905001158062261E-2</c:v>
                </c:pt>
                <c:pt idx="288">
                  <c:v>4.0925981516909606E-2</c:v>
                </c:pt>
                <c:pt idx="289">
                  <c:v>4.0946961416233309E-2</c:v>
                </c:pt>
                <c:pt idx="290">
                  <c:v>4.0967940856043251E-2</c:v>
                </c:pt>
                <c:pt idx="291">
                  <c:v>4.0988919836349648E-2</c:v>
                </c:pt>
                <c:pt idx="292">
                  <c:v>4.1009898357162601E-2</c:v>
                </c:pt>
                <c:pt idx="293">
                  <c:v>4.1030876418492103E-2</c:v>
                </c:pt>
                <c:pt idx="294">
                  <c:v>4.1051854020348146E-2</c:v>
                </c:pt>
                <c:pt idx="295">
                  <c:v>4.1072831162740943E-2</c:v>
                </c:pt>
                <c:pt idx="296">
                  <c:v>4.1093807845680487E-2</c:v>
                </c:pt>
                <c:pt idx="297">
                  <c:v>4.111478406917677E-2</c:v>
                </c:pt>
                <c:pt idx="298">
                  <c:v>4.1135759833240006E-2</c:v>
                </c:pt>
                <c:pt idx="299">
                  <c:v>4.1156735137880186E-2</c:v>
                </c:pt>
                <c:pt idx="300">
                  <c:v>4.1177709983107304E-2</c:v>
                </c:pt>
                <c:pt idx="301">
                  <c:v>4.1198684368931461E-2</c:v>
                </c:pt>
                <c:pt idx="302">
                  <c:v>4.1219658295362761E-2</c:v>
                </c:pt>
                <c:pt idx="303">
                  <c:v>4.1240631762411308E-2</c:v>
                </c:pt>
                <c:pt idx="304">
                  <c:v>4.1261604770086981E-2</c:v>
                </c:pt>
                <c:pt idx="305">
                  <c:v>4.1282577318400106E-2</c:v>
                </c:pt>
                <c:pt idx="306">
                  <c:v>4.1303549407360453E-2</c:v>
                </c:pt>
                <c:pt idx="307">
                  <c:v>4.1324521036978347E-2</c:v>
                </c:pt>
                <c:pt idx="308">
                  <c:v>4.1345492207263669E-2</c:v>
                </c:pt>
                <c:pt idx="309">
                  <c:v>4.1366462918226522E-2</c:v>
                </c:pt>
                <c:pt idx="310">
                  <c:v>4.138743316987701E-2</c:v>
                </c:pt>
                <c:pt idx="311">
                  <c:v>4.1408402962225123E-2</c:v>
                </c:pt>
                <c:pt idx="312">
                  <c:v>4.1429372295281076E-2</c:v>
                </c:pt>
                <c:pt idx="313">
                  <c:v>4.1450341169054751E-2</c:v>
                </c:pt>
                <c:pt idx="314">
                  <c:v>4.147130958355625E-2</c:v>
                </c:pt>
                <c:pt idx="315">
                  <c:v>4.1492277538795676E-2</c:v>
                </c:pt>
                <c:pt idx="316">
                  <c:v>4.1513245034783132E-2</c:v>
                </c:pt>
                <c:pt idx="317">
                  <c:v>4.1534212071528499E-2</c:v>
                </c:pt>
                <c:pt idx="318">
                  <c:v>4.1555178649042103E-2</c:v>
                </c:pt>
                <c:pt idx="319">
                  <c:v>4.1576144767333713E-2</c:v>
                </c:pt>
                <c:pt idx="320">
                  <c:v>4.1597110426413543E-2</c:v>
                </c:pt>
                <c:pt idx="321">
                  <c:v>4.1618075626291696E-2</c:v>
                </c:pt>
                <c:pt idx="322">
                  <c:v>4.1639040366978165E-2</c:v>
                </c:pt>
                <c:pt idx="323">
                  <c:v>4.1660004648482941E-2</c:v>
                </c:pt>
                <c:pt idx="324">
                  <c:v>4.1680968470816239E-2</c:v>
                </c:pt>
                <c:pt idx="325">
                  <c:v>4.1701931833987939E-2</c:v>
                </c:pt>
                <c:pt idx="326">
                  <c:v>4.1722894738008144E-2</c:v>
                </c:pt>
                <c:pt idx="327">
                  <c:v>4.1743857182887069E-2</c:v>
                </c:pt>
                <c:pt idx="328">
                  <c:v>4.1764819168634594E-2</c:v>
                </c:pt>
                <c:pt idx="329">
                  <c:v>4.1785780695260823E-2</c:v>
                </c:pt>
                <c:pt idx="330">
                  <c:v>4.1806741762775858E-2</c:v>
                </c:pt>
                <c:pt idx="331">
                  <c:v>4.1827702371189691E-2</c:v>
                </c:pt>
                <c:pt idx="332">
                  <c:v>4.1848662520512427E-2</c:v>
                </c:pt>
                <c:pt idx="333">
                  <c:v>4.1869622210754166E-2</c:v>
                </c:pt>
                <c:pt idx="334">
                  <c:v>4.1890581441924792E-2</c:v>
                </c:pt>
                <c:pt idx="335">
                  <c:v>4.1911540214034516E-2</c:v>
                </c:pt>
                <c:pt idx="336">
                  <c:v>4.1932498527093333E-2</c:v>
                </c:pt>
                <c:pt idx="337">
                  <c:v>4.1953456381111233E-2</c:v>
                </c:pt>
                <c:pt idx="338">
                  <c:v>4.1974413776098431E-2</c:v>
                </c:pt>
                <c:pt idx="339">
                  <c:v>4.1995370712064918E-2</c:v>
                </c:pt>
                <c:pt idx="340">
                  <c:v>4.2016327189020687E-2</c:v>
                </c:pt>
                <c:pt idx="341">
                  <c:v>4.203728320697573E-2</c:v>
                </c:pt>
                <c:pt idx="342">
                  <c:v>4.205823876594026E-2</c:v>
                </c:pt>
                <c:pt idx="343">
                  <c:v>4.2079193865924382E-2</c:v>
                </c:pt>
                <c:pt idx="344">
                  <c:v>4.2100148506937864E-2</c:v>
                </c:pt>
                <c:pt idx="345">
                  <c:v>4.2121102688991031E-2</c:v>
                </c:pt>
                <c:pt idx="346">
                  <c:v>4.2142056412093766E-2</c:v>
                </c:pt>
                <c:pt idx="347">
                  <c:v>4.2163009676256281E-2</c:v>
                </c:pt>
                <c:pt idx="348">
                  <c:v>4.2183962481488459E-2</c:v>
                </c:pt>
                <c:pt idx="349">
                  <c:v>4.2204914827800512E-2</c:v>
                </c:pt>
                <c:pt idx="350">
                  <c:v>4.2225866715202322E-2</c:v>
                </c:pt>
                <c:pt idx="351">
                  <c:v>4.2246818143704103E-2</c:v>
                </c:pt>
                <c:pt idx="352">
                  <c:v>4.2267769113315735E-2</c:v>
                </c:pt>
                <c:pt idx="353">
                  <c:v>4.2288719624047434E-2</c:v>
                </c:pt>
                <c:pt idx="354">
                  <c:v>4.2309669675909191E-2</c:v>
                </c:pt>
                <c:pt idx="355">
                  <c:v>4.2330619268910998E-2</c:v>
                </c:pt>
                <c:pt idx="356">
                  <c:v>4.2351568403062957E-2</c:v>
                </c:pt>
                <c:pt idx="357">
                  <c:v>4.2372517078375062E-2</c:v>
                </c:pt>
                <c:pt idx="358">
                  <c:v>4.2393465294857526E-2</c:v>
                </c:pt>
                <c:pt idx="359">
                  <c:v>4.2414413052520229E-2</c:v>
                </c:pt>
                <c:pt idx="360">
                  <c:v>4.2435360351373276E-2</c:v>
                </c:pt>
                <c:pt idx="361">
                  <c:v>4.2456307191426769E-2</c:v>
                </c:pt>
                <c:pt idx="362">
                  <c:v>4.2477253572690589E-2</c:v>
                </c:pt>
                <c:pt idx="363">
                  <c:v>4.2498199495175061E-2</c:v>
                </c:pt>
                <c:pt idx="364">
                  <c:v>4.2519144958889955E-2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5.4079731265244263E-2</c:v>
                </c:pt>
                <c:pt idx="1">
                  <c:v>5.4125989908127586E-2</c:v>
                </c:pt>
                <c:pt idx="2">
                  <c:v>5.417231557107622E-2</c:v>
                </c:pt>
                <c:pt idx="3">
                  <c:v>5.4218695951737041E-2</c:v>
                </c:pt>
                <c:pt idx="4">
                  <c:v>5.4265120340016841E-2</c:v>
                </c:pt>
                <c:pt idx="5">
                  <c:v>5.4311579572339605E-2</c:v>
                </c:pt>
                <c:pt idx="6">
                  <c:v>5.4358065973639687E-2</c:v>
                </c:pt>
                <c:pt idx="7">
                  <c:v>5.4404573288057742E-2</c:v>
                </c:pt>
                <c:pt idx="8">
                  <c:v>5.4451096599391006E-2</c:v>
                </c:pt>
                <c:pt idx="9">
                  <c:v>5.449763224242276E-2</c:v>
                </c:pt>
                <c:pt idx="10">
                  <c:v>5.4544177706317622E-2</c:v>
                </c:pt>
                <c:pt idx="11">
                  <c:v>5.4590731531317743E-2</c:v>
                </c:pt>
                <c:pt idx="12">
                  <c:v>5.4637293200011872E-2</c:v>
                </c:pt>
                <c:pt idx="13">
                  <c:v>5.4683863024472132E-2</c:v>
                </c:pt>
                <c:pt idx="14">
                  <c:v>5.4730442030563778E-2</c:v>
                </c:pt>
                <c:pt idx="15">
                  <c:v>5.4777031840731516E-2</c:v>
                </c:pt>
                <c:pt idx="16">
                  <c:v>5.4823634556549594E-2</c:v>
                </c:pt>
                <c:pt idx="17">
                  <c:v>5.4870252642296613E-2</c:v>
                </c:pt>
                <c:pt idx="18">
                  <c:v>5.4916888810776325E-2</c:v>
                </c:pt>
                <c:pt idx="19">
                  <c:v>5.4963545912554798E-2</c:v>
                </c:pt>
                <c:pt idx="20">
                  <c:v>5.5010226829723841E-2</c:v>
                </c:pt>
                <c:pt idx="21">
                  <c:v>5.5056934375228926E-2</c:v>
                </c:pt>
                <c:pt idx="22">
                  <c:v>5.5103671198720151E-2</c:v>
                </c:pt>
                <c:pt idx="23">
                  <c:v>5.5150439699796966E-2</c:v>
                </c:pt>
                <c:pt idx="24">
                  <c:v>5.5197241949421501E-2</c:v>
                </c:pt>
                <c:pt idx="25">
                  <c:v>5.5244079620175454E-2</c:v>
                </c:pt>
                <c:pt idx="26">
                  <c:v>5.5290953925928622E-2</c:v>
                </c:pt>
                <c:pt idx="27">
                  <c:v>5.5337865571378028E-2</c:v>
                </c:pt>
                <c:pt idx="28">
                  <c:v>5.5384814711804634E-2</c:v>
                </c:pt>
                <c:pt idx="29">
                  <c:v>5.5431800923280795E-2</c:v>
                </c:pt>
                <c:pt idx="30">
                  <c:v>5.5478823183448454E-2</c:v>
                </c:pt>
                <c:pt idx="31">
                  <c:v>5.5525879862875084E-2</c:v>
                </c:pt>
                <c:pt idx="32">
                  <c:v>5.5572968726884296E-2</c:v>
                </c:pt>
                <c:pt idx="33">
                  <c:v>5.5620086947650721E-2</c:v>
                </c:pt>
                <c:pt idx="34">
                  <c:v>5.5667231126245484E-2</c:v>
                </c:pt>
                <c:pt idx="35">
                  <c:v>5.5714397324221662E-2</c:v>
                </c:pt>
                <c:pt idx="36">
                  <c:v>5.5761581104237082E-2</c:v>
                </c:pt>
                <c:pt idx="37">
                  <c:v>5.5808777579127639E-2</c:v>
                </c:pt>
                <c:pt idx="38">
                  <c:v>5.5855981468767538E-2</c:v>
                </c:pt>
                <c:pt idx="39">
                  <c:v>5.590318716398493E-2</c:v>
                </c:pt>
                <c:pt idx="40">
                  <c:v>5.5950388796741989E-2</c:v>
                </c:pt>
                <c:pt idx="41">
                  <c:v>5.5997580315738829E-2</c:v>
                </c:pt>
                <c:pt idx="42">
                  <c:v>5.604475556656046E-2</c:v>
                </c:pt>
                <c:pt idx="43">
                  <c:v>5.6091908375456877E-2</c:v>
                </c:pt>
                <c:pt idx="44">
                  <c:v>5.6139032635825273E-2</c:v>
                </c:pt>
                <c:pt idx="45">
                  <c:v>5.6186122396455318E-2</c:v>
                </c:pt>
                <c:pt idx="46">
                  <c:v>5.6233171950597474E-2</c:v>
                </c:pt>
                <c:pt idx="47">
                  <c:v>5.6280175924925832E-2</c:v>
                </c:pt>
                <c:pt idx="48">
                  <c:v>5.632712936748601E-2</c:v>
                </c:pt>
                <c:pt idx="49">
                  <c:v>5.6374027833748161E-2</c:v>
                </c:pt>
                <c:pt idx="50">
                  <c:v>5.6420867469922517E-2</c:v>
                </c:pt>
                <c:pt idx="51">
                  <c:v>5.6467645092740659E-2</c:v>
                </c:pt>
                <c:pt idx="52">
                  <c:v>5.6514358264958882E-2</c:v>
                </c:pt>
                <c:pt idx="53">
                  <c:v>5.6561005365899579E-2</c:v>
                </c:pt>
                <c:pt idx="54">
                  <c:v>5.6607585656411934E-2</c:v>
                </c:pt>
                <c:pt idx="55">
                  <c:v>5.6654099337704093E-2</c:v>
                </c:pt>
                <c:pt idx="56">
                  <c:v>5.6700547603573161E-2</c:v>
                </c:pt>
                <c:pt idx="57">
                  <c:v>5.6746932685637248E-2</c:v>
                </c:pt>
                <c:pt idx="58">
                  <c:v>5.6793257891253571E-2</c:v>
                </c:pt>
                <c:pt idx="59">
                  <c:v>5.6839527633887901E-2</c:v>
                </c:pt>
                <c:pt idx="60">
                  <c:v>5.6885747455781996E-2</c:v>
                </c:pt>
                <c:pt idx="61">
                  <c:v>5.6931924042846214E-2</c:v>
                </c:pt>
                <c:pt idx="62">
                  <c:v>5.6978065231784183E-2</c:v>
                </c:pt>
                <c:pt idx="63">
                  <c:v>5.7024180009532584E-2</c:v>
                </c:pt>
                <c:pt idx="64">
                  <c:v>5.707027850517303E-2</c:v>
                </c:pt>
                <c:pt idx="65">
                  <c:v>5.7116371974541967E-2</c:v>
                </c:pt>
                <c:pt idx="66">
                  <c:v>5.7162472777829411E-2</c:v>
                </c:pt>
                <c:pt idx="67">
                  <c:v>5.720859435051634E-2</c:v>
                </c:pt>
                <c:pt idx="68">
                  <c:v>5.7254751168053293E-2</c:v>
                </c:pt>
                <c:pt idx="69">
                  <c:v>5.7300958704729871E-2</c:v>
                </c:pt>
                <c:pt idx="70">
                  <c:v>5.7347233387223681E-2</c:v>
                </c:pt>
                <c:pt idx="71">
                  <c:v>5.7393592543350185E-2</c:v>
                </c:pt>
                <c:pt idx="72">
                  <c:v>5.7440054346559209E-2</c:v>
                </c:pt>
                <c:pt idx="73">
                  <c:v>5.7486637756741392E-2</c:v>
                </c:pt>
                <c:pt idx="74">
                  <c:v>5.753336245791723E-2</c:v>
                </c:pt>
                <c:pt idx="75">
                  <c:v>5.7580248793383151E-2</c:v>
                </c:pt>
                <c:pt idx="76">
                  <c:v>5.7627317698884128E-2</c:v>
                </c:pt>
                <c:pt idx="77">
                  <c:v>5.7674590634368736E-2</c:v>
                </c:pt>
                <c:pt idx="78">
                  <c:v>5.7722089514863989E-2</c:v>
                </c:pt>
                <c:pt idx="79">
                  <c:v>5.7769836640980628E-2</c:v>
                </c:pt>
                <c:pt idx="80">
                  <c:v>5.7817854629528008E-2</c:v>
                </c:pt>
                <c:pt idx="81">
                  <c:v>5.7866166344680357E-2</c:v>
                </c:pt>
                <c:pt idx="82">
                  <c:v>5.7914794830094277E-2</c:v>
                </c:pt>
                <c:pt idx="83">
                  <c:v>5.7963763242331164E-2</c:v>
                </c:pt>
                <c:pt idx="84">
                  <c:v>5.8013094785889112E-2</c:v>
                </c:pt>
                <c:pt idx="85">
                  <c:v>5.8062812650096718E-2</c:v>
                </c:pt>
                <c:pt idx="86">
                  <c:v>5.8112939948067745E-2</c:v>
                </c:pt>
                <c:pt idx="87">
                  <c:v>5.8163499657860752E-2</c:v>
                </c:pt>
                <c:pt idx="88">
                  <c:v>5.8214514565933489E-2</c:v>
                </c:pt>
                <c:pt idx="89">
                  <c:v>5.8266007212927094E-2</c:v>
                </c:pt>
                <c:pt idx="90">
                  <c:v>5.8317999841763384E-2</c:v>
                </c:pt>
                <c:pt idx="91">
                  <c:v>5.8370514347987471E-2</c:v>
                </c:pt>
                <c:pt idx="92">
                  <c:v>5.8423572232241018E-2</c:v>
                </c:pt>
                <c:pt idx="93">
                  <c:v>5.8477194554707686E-2</c:v>
                </c:pt>
                <c:pt idx="94">
                  <c:v>5.8531401891333129E-2</c:v>
                </c:pt>
                <c:pt idx="95">
                  <c:v>5.8586214291587148E-2</c:v>
                </c:pt>
                <c:pt idx="96">
                  <c:v>5.8641651237507357E-2</c:v>
                </c:pt>
                <c:pt idx="97">
                  <c:v>5.8697731603739887E-2</c:v>
                </c:pt>
                <c:pt idx="98">
                  <c:v>5.8754473618276529E-2</c:v>
                </c:pt>
                <c:pt idx="99">
                  <c:v>5.8811894823577189E-2</c:v>
                </c:pt>
                <c:pt idx="100">
                  <c:v>5.8870012037762841E-2</c:v>
                </c:pt>
                <c:pt idx="101">
                  <c:v>5.8928841315567908E-2</c:v>
                </c:pt>
                <c:pt idx="102">
                  <c:v>5.8988397908750871E-2</c:v>
                </c:pt>
                <c:pt idx="103">
                  <c:v>5.9048696225678661E-2</c:v>
                </c:pt>
                <c:pt idx="104">
                  <c:v>5.9109749789824577E-2</c:v>
                </c:pt>
                <c:pt idx="105">
                  <c:v>5.9171571196948235E-2</c:v>
                </c:pt>
                <c:pt idx="106">
                  <c:v>5.9234172070763001E-2</c:v>
                </c:pt>
                <c:pt idx="107">
                  <c:v>5.9297563016936498E-2</c:v>
                </c:pt>
                <c:pt idx="108">
                  <c:v>5.9361753575317186E-2</c:v>
                </c:pt>
                <c:pt idx="109">
                  <c:v>5.942675217032975E-2</c:v>
                </c:pt>
                <c:pt idx="110">
                  <c:v>5.9492566059537122E-2</c:v>
                </c:pt>
                <c:pt idx="111">
                  <c:v>5.9559201280424391E-2</c:v>
                </c:pt>
                <c:pt idx="112">
                  <c:v>5.962666259551927E-2</c:v>
                </c:pt>
                <c:pt idx="113">
                  <c:v>5.9694953436025489E-2</c:v>
                </c:pt>
                <c:pt idx="114">
                  <c:v>5.9764075844207114E-2</c:v>
                </c:pt>
                <c:pt idx="115">
                  <c:v>5.9834030414823366E-2</c:v>
                </c:pt>
                <c:pt idx="116">
                  <c:v>5.9904816235974365E-2</c:v>
                </c:pt>
                <c:pt idx="117">
                  <c:v>5.9976430829776439E-2</c:v>
                </c:pt>
                <c:pt idx="118">
                  <c:v>6.0048870093341276E-2</c:v>
                </c:pt>
                <c:pt idx="119">
                  <c:v>6.0122128240585895E-2</c:v>
                </c:pt>
                <c:pt idx="120">
                  <c:v>6.0196197745446996E-2</c:v>
                </c:pt>
                <c:pt idx="121">
                  <c:v>6.027106928711614E-2</c:v>
                </c:pt>
                <c:pt idx="122">
                  <c:v>6.0346731697948269E-2</c:v>
                </c:pt>
                <c:pt idx="123">
                  <c:v>6.0423171914725737E-2</c:v>
                </c:pt>
                <c:pt idx="124">
                  <c:v>6.0500374933982276E-2</c:v>
                </c:pt>
                <c:pt idx="125">
                  <c:v>6.0578323772106084E-2</c:v>
                </c:pt>
                <c:pt idx="126">
                  <c:v>6.0656999430947482E-2</c:v>
                </c:pt>
                <c:pt idx="127">
                  <c:v>6.0736380869654813E-2</c:v>
                </c:pt>
                <c:pt idx="128">
                  <c:v>6.0816444983450672E-2</c:v>
                </c:pt>
                <c:pt idx="129">
                  <c:v>6.0897166590041914E-2</c:v>
                </c:pt>
                <c:pt idx="130">
                  <c:v>6.0978518424326673E-2</c:v>
                </c:pt>
                <c:pt idx="131">
                  <c:v>6.1060471142025306E-2</c:v>
                </c:pt>
                <c:pt idx="132">
                  <c:v>6.1142993332814852E-2</c:v>
                </c:pt>
                <c:pt idx="133">
                  <c:v>6.1226051543492074E-2</c:v>
                </c:pt>
                <c:pt idx="134">
                  <c:v>6.1309610311627141E-2</c:v>
                </c:pt>
                <c:pt idx="135">
                  <c:v>6.1393632210099365E-2</c:v>
                </c:pt>
                <c:pt idx="136">
                  <c:v>6.1478077902828582E-2</c:v>
                </c:pt>
                <c:pt idx="137">
                  <c:v>6.1562906211932028E-2</c:v>
                </c:pt>
                <c:pt idx="138">
                  <c:v>6.1648074196446377E-2</c:v>
                </c:pt>
                <c:pt idx="139">
                  <c:v>6.1733537242660466E-2</c:v>
                </c:pt>
                <c:pt idx="140">
                  <c:v>6.181924916600532E-2</c:v>
                </c:pt>
                <c:pt idx="141">
                  <c:v>6.1905162324346952E-2</c:v>
                </c:pt>
                <c:pt idx="142">
                  <c:v>6.1991227742423487E-2</c:v>
                </c:pt>
                <c:pt idx="143">
                  <c:v>6.2077395247063995E-2</c:v>
                </c:pt>
                <c:pt idx="144">
                  <c:v>6.2163613612722067E-2</c:v>
                </c:pt>
                <c:pt idx="145">
                  <c:v>6.2249830716753739E-2</c:v>
                </c:pt>
                <c:pt idx="146">
                  <c:v>6.233599370376882E-2</c:v>
                </c:pt>
                <c:pt idx="147">
                  <c:v>6.2422049158287134E-2</c:v>
                </c:pt>
                <c:pt idx="148">
                  <c:v>6.2507943284838066E-2</c:v>
                </c:pt>
                <c:pt idx="149">
                  <c:v>6.2593622094554463E-2</c:v>
                </c:pt>
                <c:pt idx="150">
                  <c:v>6.2679031597230941E-2</c:v>
                </c:pt>
                <c:pt idx="151">
                  <c:v>6.2764117997742855E-2</c:v>
                </c:pt>
                <c:pt idx="152">
                  <c:v>6.2848827895657391E-2</c:v>
                </c:pt>
                <c:pt idx="153">
                  <c:v>6.2933108486811606E-2</c:v>
                </c:pt>
                <c:pt idx="154">
                  <c:v>6.3016907765586855E-2</c:v>
                </c:pt>
                <c:pt idx="155">
                  <c:v>6.3100174726572006E-2</c:v>
                </c:pt>
                <c:pt idx="156">
                  <c:v>6.3182859564284974E-2</c:v>
                </c:pt>
                <c:pt idx="157">
                  <c:v>6.3264913869606976E-2</c:v>
                </c:pt>
                <c:pt idx="158">
                  <c:v>6.3346290821584078E-2</c:v>
                </c:pt>
                <c:pt idx="159">
                  <c:v>6.3426945373260116E-2</c:v>
                </c:pt>
                <c:pt idx="160">
                  <c:v>6.3506834430228074E-2</c:v>
                </c:pt>
                <c:pt idx="161">
                  <c:v>6.3585917020621871E-2</c:v>
                </c:pt>
                <c:pt idx="162">
                  <c:v>6.3664154455316369E-2</c:v>
                </c:pt>
                <c:pt idx="163">
                  <c:v>6.3741510477161922E-2</c:v>
                </c:pt>
                <c:pt idx="164">
                  <c:v>6.381795139814897E-2</c:v>
                </c:pt>
                <c:pt idx="165">
                  <c:v>6.3893446223477604E-2</c:v>
                </c:pt>
                <c:pt idx="166">
                  <c:v>6.3967966761597342E-2</c:v>
                </c:pt>
                <c:pt idx="167">
                  <c:v>6.4041487719380757E-2</c:v>
                </c:pt>
                <c:pt idx="168">
                  <c:v>6.4113986781702825E-2</c:v>
                </c:pt>
                <c:pt idx="169">
                  <c:v>6.418544467481184E-2</c:v>
                </c:pt>
                <c:pt idx="170">
                  <c:v>6.4255845212999707E-2</c:v>
                </c:pt>
                <c:pt idx="171">
                  <c:v>6.4325175328205766E-2</c:v>
                </c:pt>
                <c:pt idx="172">
                  <c:v>6.4393425082318989E-2</c:v>
                </c:pt>
                <c:pt idx="173">
                  <c:v>6.4460587662077351E-2</c:v>
                </c:pt>
                <c:pt idx="174">
                  <c:v>6.4526659356598626E-2</c:v>
                </c:pt>
                <c:pt idx="175">
                  <c:v>6.4591639517712351E-2</c:v>
                </c:pt>
                <c:pt idx="176">
                  <c:v>6.4655530503398284E-2</c:v>
                </c:pt>
                <c:pt idx="177">
                  <c:v>6.4718337604769111E-2</c:v>
                </c:pt>
                <c:pt idx="178">
                  <c:v>6.4780068957164913E-2</c:v>
                </c:pt>
                <c:pt idx="179">
                  <c:v>6.4840735436051317E-2</c:v>
                </c:pt>
                <c:pt idx="180">
                  <c:v>6.4900350538532617E-2</c:v>
                </c:pt>
                <c:pt idx="181">
                  <c:v>6.4958930251402563E-2</c:v>
                </c:pt>
                <c:pt idx="182">
                  <c:v>6.5016492906759593E-2</c:v>
                </c:pt>
                <c:pt idx="183">
                  <c:v>6.5073059026307514E-2</c:v>
                </c:pt>
                <c:pt idx="184">
                  <c:v>6.5128651155547612E-2</c:v>
                </c:pt>
                <c:pt idx="185">
                  <c:v>6.5183293689141178E-2</c:v>
                </c:pt>
                <c:pt idx="186">
                  <c:v>6.5237012688784041E-2</c:v>
                </c:pt>
                <c:pt idx="187">
                  <c:v>6.5289835694983867E-2</c:v>
                </c:pt>
                <c:pt idx="188">
                  <c:v>6.5341791534168511E-2</c:v>
                </c:pt>
                <c:pt idx="189">
                  <c:v>6.5392910122577211E-2</c:v>
                </c:pt>
                <c:pt idx="190">
                  <c:v>6.5443222268397133E-2</c:v>
                </c:pt>
                <c:pt idx="191">
                  <c:v>6.5492759473605416E-2</c:v>
                </c:pt>
                <c:pt idx="192">
                  <c:v>6.554155373695976E-2</c:v>
                </c:pt>
                <c:pt idx="193">
                  <c:v>6.5589637359552255E-2</c:v>
                </c:pt>
                <c:pt idx="194">
                  <c:v>6.5637042754298311E-2</c:v>
                </c:pt>
                <c:pt idx="195">
                  <c:v>6.5683802260677604E-2</c:v>
                </c:pt>
                <c:pt idx="196">
                  <c:v>6.5729947965978336E-2</c:v>
                </c:pt>
                <c:pt idx="197">
                  <c:v>6.5775511534217387E-2</c:v>
                </c:pt>
                <c:pt idx="198">
                  <c:v>6.5820524043821063E-2</c:v>
                </c:pt>
                <c:pt idx="199">
                  <c:v>6.5865015835054025E-2</c:v>
                </c:pt>
                <c:pt idx="200">
                  <c:v>6.5909016368077361E-2</c:v>
                </c:pt>
                <c:pt idx="201">
                  <c:v>6.5952554092403443E-2</c:v>
                </c:pt>
                <c:pt idx="202">
                  <c:v>6.5995656328396157E-2</c:v>
                </c:pt>
                <c:pt idx="203">
                  <c:v>6.6038349161340076E-2</c:v>
                </c:pt>
                <c:pt idx="204">
                  <c:v>6.6080657348473765E-2</c:v>
                </c:pt>
                <c:pt idx="205">
                  <c:v>6.612260423925323E-2</c:v>
                </c:pt>
                <c:pt idx="206">
                  <c:v>6.6164211708978321E-2</c:v>
                </c:pt>
                <c:pt idx="207">
                  <c:v>6.6205500105785506E-2</c:v>
                </c:pt>
                <c:pt idx="208">
                  <c:v>6.624648821088007E-2</c:v>
                </c:pt>
                <c:pt idx="209">
                  <c:v>6.6287193211755385E-2</c:v>
                </c:pt>
                <c:pt idx="210">
                  <c:v>6.6327630688024844E-2</c:v>
                </c:pt>
                <c:pt idx="211">
                  <c:v>6.6367814609375936E-2</c:v>
                </c:pt>
                <c:pt idx="212">
                  <c:v>6.6407757345047197E-2</c:v>
                </c:pt>
                <c:pt idx="213">
                  <c:v>6.6447469684127042E-2</c:v>
                </c:pt>
                <c:pt idx="214">
                  <c:v>6.6486960865881878E-2</c:v>
                </c:pt>
                <c:pt idx="215">
                  <c:v>6.6526238619238343E-2</c:v>
                </c:pt>
                <c:pt idx="216">
                  <c:v>6.6565309210473475E-2</c:v>
                </c:pt>
                <c:pt idx="217">
                  <c:v>6.6604177498107014E-2</c:v>
                </c:pt>
                <c:pt idx="218">
                  <c:v>6.6642846993941587E-2</c:v>
                </c:pt>
                <c:pt idx="219">
                  <c:v>6.6681319929162777E-2</c:v>
                </c:pt>
                <c:pt idx="220">
                  <c:v>6.6719597324387661E-2</c:v>
                </c:pt>
                <c:pt idx="221">
                  <c:v>6.6757679062542874E-2</c:v>
                </c:pt>
                <c:pt idx="222">
                  <c:v>6.679556396345579E-2</c:v>
                </c:pt>
                <c:pt idx="223">
                  <c:v>6.6833249859061458E-2</c:v>
                </c:pt>
                <c:pt idx="224">
                  <c:v>6.6870733668156837E-2</c:v>
                </c:pt>
                <c:pt idx="225">
                  <c:v>6.6908011469676856E-2</c:v>
                </c:pt>
                <c:pt idx="226">
                  <c:v>6.6945078573521569E-2</c:v>
                </c:pt>
                <c:pt idx="227">
                  <c:v>6.6981929588029315E-2</c:v>
                </c:pt>
                <c:pt idx="228">
                  <c:v>6.7018558483266918E-2</c:v>
                </c:pt>
                <c:pt idx="229">
                  <c:v>6.7054958649394494E-2</c:v>
                </c:pt>
                <c:pt idx="230">
                  <c:v>6.7091122949456489E-2</c:v>
                </c:pt>
                <c:pt idx="231">
                  <c:v>6.7127043766052913E-2</c:v>
                </c:pt>
                <c:pt idx="232">
                  <c:v>6.7162713041453367E-2</c:v>
                </c:pt>
                <c:pt idx="233">
                  <c:v>6.719812231082968E-2</c:v>
                </c:pt>
                <c:pt idx="234">
                  <c:v>6.7233262728400633E-2</c:v>
                </c:pt>
                <c:pt idx="235">
                  <c:v>6.7268125086401453E-2</c:v>
                </c:pt>
                <c:pt idx="236">
                  <c:v>6.7302699826912421E-2</c:v>
                </c:pt>
                <c:pt idx="237">
                  <c:v>6.7336977046699886E-2</c:v>
                </c:pt>
                <c:pt idx="238">
                  <c:v>6.7370946495343115E-2</c:v>
                </c:pt>
                <c:pt idx="239">
                  <c:v>6.7404597567033819E-2</c:v>
                </c:pt>
                <c:pt idx="240">
                  <c:v>6.7437919286547812E-2</c:v>
                </c:pt>
                <c:pt idx="241">
                  <c:v>6.7470900289991045E-2</c:v>
                </c:pt>
                <c:pt idx="242">
                  <c:v>6.7503528801021589E-2</c:v>
                </c:pt>
                <c:pt idx="243">
                  <c:v>6.7535792603336739E-2</c:v>
                </c:pt>
                <c:pt idx="244">
                  <c:v>6.7567679010295104E-2</c:v>
                </c:pt>
                <c:pt idx="245">
                  <c:v>6.7599174832611963E-2</c:v>
                </c:pt>
                <c:pt idx="246">
                  <c:v>6.7630266345124479E-2</c:v>
                </c:pt>
                <c:pt idx="247">
                  <c:v>6.7660939253667854E-2</c:v>
                </c:pt>
                <c:pt idx="248">
                  <c:v>6.769117866313723E-2</c:v>
                </c:pt>
                <c:pt idx="249">
                  <c:v>6.7720969047828372E-2</c:v>
                </c:pt>
                <c:pt idx="250">
                  <c:v>6.7750294225156202E-2</c:v>
                </c:pt>
                <c:pt idx="251">
                  <c:v>6.7779137333841638E-2</c:v>
                </c:pt>
                <c:pt idx="252">
                  <c:v>6.7807480817634103E-2</c:v>
                </c:pt>
                <c:pt idx="253">
                  <c:v>6.7835306415601676E-2</c:v>
                </c:pt>
                <c:pt idx="254">
                  <c:v>6.7862595159968953E-2</c:v>
                </c:pt>
                <c:pt idx="255">
                  <c:v>6.78893273824209E-2</c:v>
                </c:pt>
                <c:pt idx="256">
                  <c:v>6.7915482729713095E-2</c:v>
                </c:pt>
                <c:pt idx="257">
                  <c:v>6.7941040189340982E-2</c:v>
                </c:pt>
                <c:pt idx="258">
                  <c:v>6.79659781259212E-2</c:v>
                </c:pt>
                <c:pt idx="259">
                  <c:v>6.7990274328826955E-2</c:v>
                </c:pt>
                <c:pt idx="260">
                  <c:v>6.801390607150129E-2</c:v>
                </c:pt>
                <c:pt idx="261">
                  <c:v>6.8036850182743816E-2</c:v>
                </c:pt>
                <c:pt idx="262">
                  <c:v>6.8059083130132411E-2</c:v>
                </c:pt>
                <c:pt idx="263">
                  <c:v>6.8080581115602071E-2</c:v>
                </c:pt>
                <c:pt idx="264">
                  <c:v>6.8101320183059449E-2</c:v>
                </c:pt>
                <c:pt idx="265">
                  <c:v>6.8121276337765574E-2</c:v>
                </c:pt>
                <c:pt idx="266">
                  <c:v>6.8140425677072153E-2</c:v>
                </c:pt>
                <c:pt idx="267">
                  <c:v>6.8158744531951157E-2</c:v>
                </c:pt>
                <c:pt idx="268">
                  <c:v>6.8176209618613079E-2</c:v>
                </c:pt>
                <c:pt idx="269">
                  <c:v>6.8192798199369478E-2</c:v>
                </c:pt>
                <c:pt idx="270">
                  <c:v>6.8208488251760097E-2</c:v>
                </c:pt>
                <c:pt idx="271">
                  <c:v>6.8223258644838289E-2</c:v>
                </c:pt>
                <c:pt idx="272">
                  <c:v>6.8237089321387737E-2</c:v>
                </c:pt>
                <c:pt idx="273">
                  <c:v>6.8249961484735139E-2</c:v>
                </c:pt>
                <c:pt idx="274">
                  <c:v>6.8261857788724151E-2</c:v>
                </c:pt>
                <c:pt idx="275">
                  <c:v>6.8272762529330219E-2</c:v>
                </c:pt>
                <c:pt idx="276">
                  <c:v>6.828266183632288E-2</c:v>
                </c:pt>
                <c:pt idx="277">
                  <c:v>6.8291543863324117E-2</c:v>
                </c:pt>
                <c:pt idx="278">
                  <c:v>6.8299398974567049E-2</c:v>
                </c:pt>
                <c:pt idx="279">
                  <c:v>6.830621992663384E-2</c:v>
                </c:pt>
                <c:pt idx="280">
                  <c:v>6.8312002043438041E-2</c:v>
                </c:pt>
                <c:pt idx="281">
                  <c:v>6.831674338272542E-2</c:v>
                </c:pt>
                <c:pt idx="282">
                  <c:v>6.8320444892387353E-2</c:v>
                </c:pt>
                <c:pt idx="283">
                  <c:v>6.8323110554922781E-2</c:v>
                </c:pt>
                <c:pt idx="284">
                  <c:v>6.8324747518440046E-2</c:v>
                </c:pt>
                <c:pt idx="285">
                  <c:v>6.8325366212664093E-2</c:v>
                </c:pt>
                <c:pt idx="286">
                  <c:v>6.8324980448503117E-2</c:v>
                </c:pt>
                <c:pt idx="287">
                  <c:v>6.8323607499834071E-2</c:v>
                </c:pt>
                <c:pt idx="288">
                  <c:v>6.8321268166285656E-2</c:v>
                </c:pt>
                <c:pt idx="289">
                  <c:v>6.8317986815930501E-2</c:v>
                </c:pt>
                <c:pt idx="290">
                  <c:v>6.8313791406943963E-2</c:v>
                </c:pt>
                <c:pt idx="291">
                  <c:v>6.8308713487444286E-2</c:v>
                </c:pt>
                <c:pt idx="292">
                  <c:v>6.8302788172895298E-2</c:v>
                </c:pt>
                <c:pt idx="293">
                  <c:v>6.8296054100629014E-2</c:v>
                </c:pt>
                <c:pt idx="294">
                  <c:v>6.8288553361227661E-2</c:v>
                </c:pt>
                <c:pt idx="295">
                  <c:v>6.8280331406692568E-2</c:v>
                </c:pt>
                <c:pt idx="296">
                  <c:v>6.8271436935518598E-2</c:v>
                </c:pt>
                <c:pt idx="297">
                  <c:v>6.8261921754986368E-2</c:v>
                </c:pt>
                <c:pt idx="298">
                  <c:v>6.8251840621177243E-2</c:v>
                </c:pt>
                <c:pt idx="299">
                  <c:v>6.8241251057408081E-2</c:v>
                </c:pt>
                <c:pt idx="300">
                  <c:v>6.8230213151970254E-2</c:v>
                </c:pt>
                <c:pt idx="301">
                  <c:v>6.8218789336239871E-2</c:v>
                </c:pt>
                <c:pt idx="302">
                  <c:v>6.8207044144402082E-2</c:v>
                </c:pt>
                <c:pt idx="303">
                  <c:v>6.8195043956198145E-2</c:v>
                </c:pt>
                <c:pt idx="304">
                  <c:v>6.8182856724260638E-2</c:v>
                </c:pt>
                <c:pt idx="305">
                  <c:v>6.8170551687746314E-2</c:v>
                </c:pt>
                <c:pt idx="306">
                  <c:v>6.815819907410639E-2</c:v>
                </c:pt>
                <c:pt idx="307">
                  <c:v>6.8145869790951344E-2</c:v>
                </c:pt>
                <c:pt idx="308">
                  <c:v>6.8133635110065816E-2</c:v>
                </c:pt>
                <c:pt idx="309">
                  <c:v>6.8121566345714632E-2</c:v>
                </c:pt>
                <c:pt idx="310">
                  <c:v>6.8109734529444799E-2</c:v>
                </c:pt>
                <c:pt idx="311">
                  <c:v>6.8098210083636673E-2</c:v>
                </c:pt>
                <c:pt idx="312">
                  <c:v>6.8087062496085288E-2</c:v>
                </c:pt>
                <c:pt idx="313">
                  <c:v>6.8076359997901362E-2</c:v>
                </c:pt>
                <c:pt idx="314">
                  <c:v>6.8066169247011296E-2</c:v>
                </c:pt>
                <c:pt idx="315">
                  <c:v>6.8056555019505069E-2</c:v>
                </c:pt>
                <c:pt idx="316">
                  <c:v>6.8047579911030845E-2</c:v>
                </c:pt>
                <c:pt idx="317">
                  <c:v>6.8039304050367511E-2</c:v>
                </c:pt>
                <c:pt idx="318">
                  <c:v>6.8031784827218222E-2</c:v>
                </c:pt>
                <c:pt idx="319">
                  <c:v>6.8025076636164514E-2</c:v>
                </c:pt>
                <c:pt idx="320">
                  <c:v>6.8019230638597938E-2</c:v>
                </c:pt>
                <c:pt idx="321">
                  <c:v>6.8014294544309808E-2</c:v>
                </c:pt>
                <c:pt idx="322">
                  <c:v>6.8010312414267374E-2</c:v>
                </c:pt>
                <c:pt idx="323">
                  <c:v>6.800732448593981E-2</c:v>
                </c:pt>
                <c:pt idx="324">
                  <c:v>6.8005367022360846E-2</c:v>
                </c:pt>
                <c:pt idx="325">
                  <c:v>6.8004472185927811E-2</c:v>
                </c:pt>
                <c:pt idx="326">
                  <c:v>6.8004667937741056E-2</c:v>
                </c:pt>
                <c:pt idx="327">
                  <c:v>6.8005977963086689E-2</c:v>
                </c:pt>
                <c:pt idx="328">
                  <c:v>6.8008421623456938E-2</c:v>
                </c:pt>
                <c:pt idx="329">
                  <c:v>6.8012013935293644E-2</c:v>
                </c:pt>
                <c:pt idx="330">
                  <c:v>6.8016765575428142E-2</c:v>
                </c:pt>
                <c:pt idx="331">
                  <c:v>6.8022682912980845E-2</c:v>
                </c:pt>
                <c:pt idx="332">
                  <c:v>6.802976806727512E-2</c:v>
                </c:pt>
                <c:pt idx="333">
                  <c:v>6.8038018991117277E-2</c:v>
                </c:pt>
                <c:pt idx="334">
                  <c:v>6.8047429578596524E-2</c:v>
                </c:pt>
                <c:pt idx="335">
                  <c:v>6.8057989796370302E-2</c:v>
                </c:pt>
                <c:pt idx="336">
                  <c:v>6.8069685837220076E-2</c:v>
                </c:pt>
                <c:pt idx="337">
                  <c:v>6.8082500294495266E-2</c:v>
                </c:pt>
                <c:pt idx="338">
                  <c:v>6.8096412355907215E-2</c:v>
                </c:pt>
                <c:pt idx="339">
                  <c:v>6.811139801499394E-2</c:v>
                </c:pt>
                <c:pt idx="340">
                  <c:v>6.8127430298450226E-2</c:v>
                </c:pt>
                <c:pt idx="341">
                  <c:v>6.8144479507408956E-2</c:v>
                </c:pt>
                <c:pt idx="342">
                  <c:v>6.8162513470665931E-2</c:v>
                </c:pt>
                <c:pt idx="343">
                  <c:v>6.8181497807767888E-2</c:v>
                </c:pt>
                <c:pt idx="344">
                  <c:v>6.8201396199826625E-2</c:v>
                </c:pt>
                <c:pt idx="345">
                  <c:v>6.8222170665886261E-2</c:v>
                </c:pt>
                <c:pt idx="346">
                  <c:v>6.8243781842653159E-2</c:v>
                </c:pt>
                <c:pt idx="347">
                  <c:v>6.8266189265400012E-2</c:v>
                </c:pt>
                <c:pt idx="348">
                  <c:v>6.8289351647876653E-2</c:v>
                </c:pt>
                <c:pt idx="349">
                  <c:v>6.8313227159099696E-2</c:v>
                </c:pt>
                <c:pt idx="350">
                  <c:v>6.8337773694951545E-2</c:v>
                </c:pt>
                <c:pt idx="351">
                  <c:v>6.8362949142594637E-2</c:v>
                </c:pt>
                <c:pt idx="352">
                  <c:v>6.8388711635799126E-2</c:v>
                </c:pt>
                <c:pt idx="353">
                  <c:v>6.8415019799390464E-2</c:v>
                </c:pt>
                <c:pt idx="354">
                  <c:v>6.8441832981145992E-2</c:v>
                </c:pt>
                <c:pt idx="355">
                  <c:v>6.8469111469605562E-2</c:v>
                </c:pt>
                <c:pt idx="356">
                  <c:v>6.8496816696409335E-2</c:v>
                </c:pt>
                <c:pt idx="357">
                  <c:v>6.8524911421934315E-2</c:v>
                </c:pt>
                <c:pt idx="358">
                  <c:v>6.8553359903169062E-2</c:v>
                </c:pt>
                <c:pt idx="359">
                  <c:v>6.8582128042939172E-2</c:v>
                </c:pt>
                <c:pt idx="360">
                  <c:v>6.861118351977874E-2</c:v>
                </c:pt>
                <c:pt idx="361">
                  <c:v>6.8640495897924619E-2</c:v>
                </c:pt>
                <c:pt idx="362">
                  <c:v>6.867003671709758E-2</c:v>
                </c:pt>
                <c:pt idx="363">
                  <c:v>6.869977956192122E-2</c:v>
                </c:pt>
                <c:pt idx="364">
                  <c:v>6.8729700111012842E-2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5.4269450382305059E-4</c:v>
                </c:pt>
                <c:pt idx="1">
                  <c:v>5.4529617462436544E-4</c:v>
                </c:pt>
                <c:pt idx="2">
                  <c:v>5.4866063802686102E-4</c:v>
                </c:pt>
                <c:pt idx="3">
                  <c:v>5.5277922283610047E-4</c:v>
                </c:pt>
                <c:pt idx="4">
                  <c:v>5.5764244658999677E-4</c:v>
                </c:pt>
                <c:pt idx="5">
                  <c:v>5.6324019845278525E-4</c:v>
                </c:pt>
                <c:pt idx="6">
                  <c:v>5.6956191651351482E-4</c:v>
                </c:pt>
                <c:pt idx="7">
                  <c:v>5.7659675843481297E-4</c:v>
                </c:pt>
                <c:pt idx="8">
                  <c:v>5.8425156570997825E-4</c:v>
                </c:pt>
                <c:pt idx="9">
                  <c:v>5.9224583420032723E-4</c:v>
                </c:pt>
                <c:pt idx="10">
                  <c:v>6.0032280149530223E-4</c:v>
                </c:pt>
                <c:pt idx="11">
                  <c:v>6.0849106528429984E-4</c:v>
                </c:pt>
                <c:pt idx="12">
                  <c:v>6.1675989998528826E-4</c:v>
                </c:pt>
                <c:pt idx="13">
                  <c:v>6.2513921320418633E-4</c:v>
                </c:pt>
                <c:pt idx="14">
                  <c:v>6.3363950671093934E-4</c:v>
                </c:pt>
                <c:pt idx="15">
                  <c:v>6.4038874009552077E-4</c:v>
                </c:pt>
                <c:pt idx="16">
                  <c:v>6.4482476822902348E-4</c:v>
                </c:pt>
                <c:pt idx="17">
                  <c:v>6.470353726705973E-4</c:v>
                </c:pt>
                <c:pt idx="18">
                  <c:v>6.47107604555035E-4</c:v>
                </c:pt>
                <c:pt idx="19">
                  <c:v>6.4513056284801001E-4</c:v>
                </c:pt>
                <c:pt idx="20">
                  <c:v>6.4119261238105836E-4</c:v>
                </c:pt>
                <c:pt idx="21">
                  <c:v>6.3537625239585714E-4</c:v>
                </c:pt>
                <c:pt idx="22">
                  <c:v>6.2768905026269999E-4</c:v>
                </c:pt>
                <c:pt idx="23">
                  <c:v>6.1746724936772646E-4</c:v>
                </c:pt>
                <c:pt idx="24">
                  <c:v>6.0496758141599292E-4</c:v>
                </c:pt>
                <c:pt idx="25">
                  <c:v>5.902744537348752E-4</c:v>
                </c:pt>
                <c:pt idx="26">
                  <c:v>5.7347010570258554E-4</c:v>
                </c:pt>
                <c:pt idx="27">
                  <c:v>5.5463427501882979E-4</c:v>
                </c:pt>
                <c:pt idx="28">
                  <c:v>5.338439165630995E-4</c:v>
                </c:pt>
                <c:pt idx="29">
                  <c:v>5.1223797371083681E-4</c:v>
                </c:pt>
                <c:pt idx="30">
                  <c:v>4.9146865207240768E-4</c:v>
                </c:pt>
                <c:pt idx="31">
                  <c:v>4.7152145353107812E-4</c:v>
                </c:pt>
                <c:pt idx="32">
                  <c:v>4.5238096698881612E-4</c:v>
                </c:pt>
                <c:pt idx="33">
                  <c:v>4.3403103764094617E-4</c:v>
                </c:pt>
                <c:pt idx="34">
                  <c:v>4.1645492272474001E-4</c:v>
                </c:pt>
                <c:pt idx="35">
                  <c:v>3.9963543383374938E-4</c:v>
                </c:pt>
                <c:pt idx="36">
                  <c:v>3.8351905182407446E-4</c:v>
                </c:pt>
                <c:pt idx="37">
                  <c:v>3.6877315448461567E-4</c:v>
                </c:pt>
                <c:pt idx="38">
                  <c:v>3.5594639708183985E-4</c:v>
                </c:pt>
                <c:pt idx="39">
                  <c:v>3.44996298051402E-4</c:v>
                </c:pt>
                <c:pt idx="40">
                  <c:v>3.35879535632199E-4</c:v>
                </c:pt>
                <c:pt idx="41">
                  <c:v>3.2855256097150381E-4</c:v>
                </c:pt>
                <c:pt idx="42">
                  <c:v>3.2297214952979809E-4</c:v>
                </c:pt>
                <c:pt idx="43">
                  <c:v>3.1899173404678394E-4</c:v>
                </c:pt>
                <c:pt idx="44">
                  <c:v>3.1565877942352514E-4</c:v>
                </c:pt>
                <c:pt idx="45">
                  <c:v>3.1296312822405424E-4</c:v>
                </c:pt>
                <c:pt idx="46">
                  <c:v>3.108949786642347E-4</c:v>
                </c:pt>
                <c:pt idx="47">
                  <c:v>3.0944503773241858E-4</c:v>
                </c:pt>
                <c:pt idx="48">
                  <c:v>3.0860466204731825E-4</c:v>
                </c:pt>
                <c:pt idx="49">
                  <c:v>3.0836598828111391E-4</c:v>
                </c:pt>
                <c:pt idx="50">
                  <c:v>3.0870728132316829E-4</c:v>
                </c:pt>
                <c:pt idx="51">
                  <c:v>3.0934153391959352E-4</c:v>
                </c:pt>
                <c:pt idx="52">
                  <c:v>3.0964070901284547E-4</c:v>
                </c:pt>
                <c:pt idx="53">
                  <c:v>3.0960910718204007E-4</c:v>
                </c:pt>
                <c:pt idx="54">
                  <c:v>3.0925229471133442E-4</c:v>
                </c:pt>
                <c:pt idx="55">
                  <c:v>3.0857562139376918E-4</c:v>
                </c:pt>
                <c:pt idx="56">
                  <c:v>3.0758426375612655E-4</c:v>
                </c:pt>
                <c:pt idx="57">
                  <c:v>3.0632799972786067E-4</c:v>
                </c:pt>
                <c:pt idx="58">
                  <c:v>3.0490140192315719E-4</c:v>
                </c:pt>
                <c:pt idx="59">
                  <c:v>3.0330603242931367E-4</c:v>
                </c:pt>
                <c:pt idx="60">
                  <c:v>3.0154349531392809E-4</c:v>
                </c:pt>
                <c:pt idx="61">
                  <c:v>2.9961544629876415E-4</c:v>
                </c:pt>
                <c:pt idx="62">
                  <c:v>2.9752360043623692E-4</c:v>
                </c:pt>
                <c:pt idx="63">
                  <c:v>2.9526973788871505E-4</c:v>
                </c:pt>
                <c:pt idx="64">
                  <c:v>2.9285785856360833E-4</c:v>
                </c:pt>
                <c:pt idx="65">
                  <c:v>2.9055107988024749E-4</c:v>
                </c:pt>
                <c:pt idx="66">
                  <c:v>2.8858191467268161E-4</c:v>
                </c:pt>
                <c:pt idx="67">
                  <c:v>2.869455054042628E-4</c:v>
                </c:pt>
                <c:pt idx="68">
                  <c:v>2.8563722463256905E-4</c:v>
                </c:pt>
                <c:pt idx="69">
                  <c:v>2.8465268737381914E-4</c:v>
                </c:pt>
                <c:pt idx="70">
                  <c:v>2.8398776321968421E-4</c:v>
                </c:pt>
                <c:pt idx="71">
                  <c:v>2.8357658111259523E-4</c:v>
                </c:pt>
                <c:pt idx="72">
                  <c:v>2.8337693047560217E-4</c:v>
                </c:pt>
                <c:pt idx="73">
                  <c:v>2.833876236630978E-4</c:v>
                </c:pt>
                <c:pt idx="74">
                  <c:v>2.8360768606367501E-4</c:v>
                </c:pt>
                <c:pt idx="75">
                  <c:v>2.8403636373528824E-4</c:v>
                </c:pt>
                <c:pt idx="76">
                  <c:v>2.8467313100105732E-4</c:v>
                </c:pt>
                <c:pt idx="77">
                  <c:v>2.8551769804214118E-4</c:v>
                </c:pt>
                <c:pt idx="78">
                  <c:v>2.8655521594814903E-4</c:v>
                </c:pt>
                <c:pt idx="79">
                  <c:v>2.8737987259321414E-4</c:v>
                </c:pt>
                <c:pt idx="80">
                  <c:v>2.8776879747770625E-4</c:v>
                </c:pt>
                <c:pt idx="81">
                  <c:v>2.8773642952769561E-4</c:v>
                </c:pt>
                <c:pt idx="82">
                  <c:v>2.8729669977167163E-4</c:v>
                </c:pt>
                <c:pt idx="83">
                  <c:v>2.864629483755952E-4</c:v>
                </c:pt>
                <c:pt idx="84">
                  <c:v>2.852478494792527E-4</c:v>
                </c:pt>
                <c:pt idx="85">
                  <c:v>2.8375668480684326E-4</c:v>
                </c:pt>
                <c:pt idx="86">
                  <c:v>2.8205548534358571E-4</c:v>
                </c:pt>
                <c:pt idx="87">
                  <c:v>2.8015238329572864E-4</c:v>
                </c:pt>
                <c:pt idx="88">
                  <c:v>2.7805484592504515E-4</c:v>
                </c:pt>
                <c:pt idx="89">
                  <c:v>2.7576965030445279E-4</c:v>
                </c:pt>
                <c:pt idx="90">
                  <c:v>2.7330286047369057E-4</c:v>
                </c:pt>
                <c:pt idx="91">
                  <c:v>2.7065980639169335E-4</c:v>
                </c:pt>
                <c:pt idx="92">
                  <c:v>2.6783217896737013E-4</c:v>
                </c:pt>
                <c:pt idx="93">
                  <c:v>2.6467112812067527E-4</c:v>
                </c:pt>
                <c:pt idx="94">
                  <c:v>2.6155037894884739E-4</c:v>
                </c:pt>
                <c:pt idx="95">
                  <c:v>2.584679446959673E-4</c:v>
                </c:pt>
                <c:pt idx="96">
                  <c:v>2.5542170505251727E-4</c:v>
                </c:pt>
                <c:pt idx="97">
                  <c:v>2.524094006870476E-4</c:v>
                </c:pt>
                <c:pt idx="98">
                  <c:v>2.4942862755754017E-4</c:v>
                </c:pt>
                <c:pt idx="99">
                  <c:v>2.4610887354719062E-4</c:v>
                </c:pt>
                <c:pt idx="100">
                  <c:v>2.4235817731797302E-4</c:v>
                </c:pt>
                <c:pt idx="101">
                  <c:v>2.3817307679492247E-4</c:v>
                </c:pt>
                <c:pt idx="102">
                  <c:v>2.3354912744982269E-4</c:v>
                </c:pt>
                <c:pt idx="103">
                  <c:v>2.2848088472919698E-4</c:v>
                </c:pt>
                <c:pt idx="104">
                  <c:v>2.2296188600795733E-4</c:v>
                </c:pt>
                <c:pt idx="105">
                  <c:v>2.1698463199823357E-4</c:v>
                </c:pt>
                <c:pt idx="106">
                  <c:v>2.1054297517595019E-4</c:v>
                </c:pt>
                <c:pt idx="107">
                  <c:v>2.0418273402017289E-4</c:v>
                </c:pt>
                <c:pt idx="108">
                  <c:v>1.9803638279437886E-4</c:v>
                </c:pt>
                <c:pt idx="109">
                  <c:v>1.9209727741791282E-4</c:v>
                </c:pt>
                <c:pt idx="110">
                  <c:v>1.8635979310600986E-4</c:v>
                </c:pt>
                <c:pt idx="111">
                  <c:v>1.8081872203179478E-4</c:v>
                </c:pt>
                <c:pt idx="112">
                  <c:v>1.7546875138936899E-4</c:v>
                </c:pt>
                <c:pt idx="113">
                  <c:v>1.7095009385476192E-4</c:v>
                </c:pt>
                <c:pt idx="114">
                  <c:v>1.6764835945504316E-4</c:v>
                </c:pt>
                <c:pt idx="115">
                  <c:v>1.6557475549063309E-4</c:v>
                </c:pt>
                <c:pt idx="116">
                  <c:v>1.6474256636755569E-4</c:v>
                </c:pt>
                <c:pt idx="117">
                  <c:v>1.651670679701514E-4</c:v>
                </c:pt>
                <c:pt idx="118">
                  <c:v>1.6686543777245019E-4</c:v>
                </c:pt>
                <c:pt idx="119">
                  <c:v>1.6985665974850615E-4</c:v>
                </c:pt>
                <c:pt idx="120">
                  <c:v>1.7416730047883011E-4</c:v>
                </c:pt>
                <c:pt idx="121">
                  <c:v>1.7993846827632251E-4</c:v>
                </c:pt>
                <c:pt idx="122">
                  <c:v>1.8660485043554159E-4</c:v>
                </c:pt>
                <c:pt idx="123">
                  <c:v>1.9418478989303121E-4</c:v>
                </c:pt>
                <c:pt idx="124">
                  <c:v>2.0269769626540978E-4</c:v>
                </c:pt>
                <c:pt idx="125">
                  <c:v>2.121639624652508E-4</c:v>
                </c:pt>
                <c:pt idx="126">
                  <c:v>2.226048749914032E-4</c:v>
                </c:pt>
                <c:pt idx="127">
                  <c:v>2.3401271818548219E-4</c:v>
                </c:pt>
                <c:pt idx="128">
                  <c:v>2.4570203468480395E-4</c:v>
                </c:pt>
                <c:pt idx="129">
                  <c:v>2.5767882038975798E-4</c:v>
                </c:pt>
                <c:pt idx="130">
                  <c:v>2.6994863314176926E-4</c:v>
                </c:pt>
                <c:pt idx="131">
                  <c:v>2.8251654859328014E-4</c:v>
                </c:pt>
                <c:pt idx="132">
                  <c:v>2.9538711447190665E-4</c:v>
                </c:pt>
                <c:pt idx="133">
                  <c:v>3.0856430346306554E-4</c:v>
                </c:pt>
                <c:pt idx="134">
                  <c:v>3.2205723522763045E-4</c:v>
                </c:pt>
                <c:pt idx="135">
                  <c:v>3.3585054184492126E-4</c:v>
                </c:pt>
                <c:pt idx="136">
                  <c:v>3.4982240088178633E-4</c:v>
                </c:pt>
                <c:pt idx="137">
                  <c:v>3.6397429656050536E-4</c:v>
                </c:pt>
                <c:pt idx="138">
                  <c:v>3.7830724206287596E-4</c:v>
                </c:pt>
                <c:pt idx="139">
                  <c:v>3.9282176517689582E-4</c:v>
                </c:pt>
                <c:pt idx="140">
                  <c:v>4.0751789545583403E-4</c:v>
                </c:pt>
                <c:pt idx="141">
                  <c:v>4.2226550753494849E-4</c:v>
                </c:pt>
                <c:pt idx="142">
                  <c:v>4.370912900032236E-4</c:v>
                </c:pt>
                <c:pt idx="143">
                  <c:v>4.5198874595134194E-4</c:v>
                </c:pt>
                <c:pt idx="144">
                  <c:v>4.6695333395040128E-4</c:v>
                </c:pt>
                <c:pt idx="145">
                  <c:v>4.8198002216302989E-4</c:v>
                </c:pt>
                <c:pt idx="146">
                  <c:v>4.9706329915305059E-4</c:v>
                </c:pt>
                <c:pt idx="147">
                  <c:v>5.1219718762002861E-4</c:v>
                </c:pt>
                <c:pt idx="148">
                  <c:v>5.2738345605221832E-4</c:v>
                </c:pt>
                <c:pt idx="149">
                  <c:v>5.4242825835519148E-4</c:v>
                </c:pt>
                <c:pt idx="150">
                  <c:v>5.573473696066809E-4</c:v>
                </c:pt>
                <c:pt idx="151">
                  <c:v>5.7212595342396439E-4</c:v>
                </c:pt>
                <c:pt idx="152">
                  <c:v>5.8674837052107107E-4</c:v>
                </c:pt>
                <c:pt idx="153">
                  <c:v>6.0119822680811455E-4</c:v>
                </c:pt>
                <c:pt idx="154">
                  <c:v>6.1545842581103318E-4</c:v>
                </c:pt>
                <c:pt idx="155">
                  <c:v>6.292782997431276E-4</c:v>
                </c:pt>
                <c:pt idx="156">
                  <c:v>6.4278172122736476E-4</c:v>
                </c:pt>
                <c:pt idx="157">
                  <c:v>6.5594785575790653E-4</c:v>
                </c:pt>
                <c:pt idx="158">
                  <c:v>6.6875546302892579E-4</c:v>
                </c:pt>
                <c:pt idx="159">
                  <c:v>6.8118298084553284E-4</c:v>
                </c:pt>
                <c:pt idx="160">
                  <c:v>6.9320861206391405E-4</c:v>
                </c:pt>
                <c:pt idx="161">
                  <c:v>7.048104141483745E-4</c:v>
                </c:pt>
                <c:pt idx="162">
                  <c:v>7.1597936140392864E-4</c:v>
                </c:pt>
                <c:pt idx="163">
                  <c:v>7.2644393522502981E-4</c:v>
                </c:pt>
                <c:pt idx="164">
                  <c:v>7.3640079541350569E-4</c:v>
                </c:pt>
                <c:pt idx="165">
                  <c:v>7.4583414138634828E-4</c:v>
                </c:pt>
                <c:pt idx="166">
                  <c:v>7.5472866598374447E-4</c:v>
                </c:pt>
                <c:pt idx="167">
                  <c:v>7.6306960335348741E-4</c:v>
                </c:pt>
                <c:pt idx="168">
                  <c:v>7.7084277252158055E-4</c:v>
                </c:pt>
                <c:pt idx="169">
                  <c:v>7.777569288951458E-4</c:v>
                </c:pt>
                <c:pt idx="170">
                  <c:v>7.8405389374351674E-4</c:v>
                </c:pt>
                <c:pt idx="171">
                  <c:v>7.8972131628774617E-4</c:v>
                </c:pt>
                <c:pt idx="172">
                  <c:v>7.9474756871511152E-4</c:v>
                </c:pt>
                <c:pt idx="173">
                  <c:v>7.9911359035565732E-4</c:v>
                </c:pt>
                <c:pt idx="174">
                  <c:v>8.0280048312612613E-4</c:v>
                </c:pt>
                <c:pt idx="175">
                  <c:v>8.0579803540055904E-4</c:v>
                </c:pt>
                <c:pt idx="176">
                  <c:v>8.0810008070156551E-4</c:v>
                </c:pt>
                <c:pt idx="177">
                  <c:v>8.0942996918012165E-4</c:v>
                </c:pt>
                <c:pt idx="178">
                  <c:v>8.1006622596513811E-4</c:v>
                </c:pt>
                <c:pt idx="179">
                  <c:v>8.1000070314646766E-4</c:v>
                </c:pt>
                <c:pt idx="180">
                  <c:v>8.0922600610941193E-4</c:v>
                </c:pt>
                <c:pt idx="181">
                  <c:v>8.0773548168253518E-4</c:v>
                </c:pt>
                <c:pt idx="182">
                  <c:v>8.0552320157044062E-4</c:v>
                </c:pt>
                <c:pt idx="183">
                  <c:v>8.0234291457246761E-4</c:v>
                </c:pt>
                <c:pt idx="184">
                  <c:v>7.984868327517167E-4</c:v>
                </c:pt>
                <c:pt idx="185">
                  <c:v>7.9395188012465197E-4</c:v>
                </c:pt>
                <c:pt idx="186">
                  <c:v>7.8873555504950261E-4</c:v>
                </c:pt>
                <c:pt idx="187">
                  <c:v>7.8283589618424125E-4</c:v>
                </c:pt>
                <c:pt idx="188">
                  <c:v>7.7625144650107281E-4</c:v>
                </c:pt>
                <c:pt idx="189">
                  <c:v>7.6898121585793598E-4</c:v>
                </c:pt>
                <c:pt idx="190">
                  <c:v>7.6102819677939244E-4</c:v>
                </c:pt>
                <c:pt idx="191">
                  <c:v>7.5221473967489324E-4</c:v>
                </c:pt>
                <c:pt idx="192">
                  <c:v>7.4282766162323791E-4</c:v>
                </c:pt>
                <c:pt idx="193">
                  <c:v>7.3286939631660598E-4</c:v>
                </c:pt>
                <c:pt idx="194">
                  <c:v>7.2234247308422149E-4</c:v>
                </c:pt>
                <c:pt idx="195">
                  <c:v>7.1124947235995742E-4</c:v>
                </c:pt>
                <c:pt idx="196">
                  <c:v>6.9959298298607857E-4</c:v>
                </c:pt>
                <c:pt idx="197">
                  <c:v>6.8733311763456771E-4</c:v>
                </c:pt>
                <c:pt idx="198">
                  <c:v>6.7472463856404336E-4</c:v>
                </c:pt>
                <c:pt idx="199">
                  <c:v>6.6177137055798351E-4</c:v>
                </c:pt>
                <c:pt idx="200">
                  <c:v>6.4847693781692822E-4</c:v>
                </c:pt>
                <c:pt idx="201">
                  <c:v>6.3484474396757317E-4</c:v>
                </c:pt>
                <c:pt idx="202">
                  <c:v>6.2087795500640104E-4</c:v>
                </c:pt>
                <c:pt idx="203">
                  <c:v>6.0657948514597645E-4</c:v>
                </c:pt>
                <c:pt idx="204">
                  <c:v>5.9194370331092571E-4</c:v>
                </c:pt>
                <c:pt idx="205">
                  <c:v>5.7692008738639887E-4</c:v>
                </c:pt>
                <c:pt idx="206">
                  <c:v>5.6170372408445438E-4</c:v>
                </c:pt>
                <c:pt idx="207">
                  <c:v>5.4630100074171996E-4</c:v>
                </c:pt>
                <c:pt idx="208">
                  <c:v>5.3071773989170031E-4</c:v>
                </c:pt>
                <c:pt idx="209">
                  <c:v>5.14959194529598E-4</c:v>
                </c:pt>
                <c:pt idx="210">
                  <c:v>4.9903004563485237E-4</c:v>
                </c:pt>
                <c:pt idx="211">
                  <c:v>4.831417261744568E-4</c:v>
                </c:pt>
                <c:pt idx="212">
                  <c:v>4.6734356337155085E-4</c:v>
                </c:pt>
                <c:pt idx="213">
                  <c:v>4.5164033103717278E-4</c:v>
                </c:pt>
                <c:pt idx="214">
                  <c:v>4.3603624457587707E-4</c:v>
                </c:pt>
                <c:pt idx="215">
                  <c:v>4.2053498417085367E-4</c:v>
                </c:pt>
                <c:pt idx="216">
                  <c:v>4.0513971805281301E-4</c:v>
                </c:pt>
                <c:pt idx="217">
                  <c:v>3.8985312551622893E-4</c:v>
                </c:pt>
                <c:pt idx="218">
                  <c:v>3.7467195279585201E-4</c:v>
                </c:pt>
                <c:pt idx="219">
                  <c:v>3.6078386619603563E-4</c:v>
                </c:pt>
                <c:pt idx="220">
                  <c:v>3.4824621796230692E-4</c:v>
                </c:pt>
                <c:pt idx="221">
                  <c:v>3.3706797085783263E-4</c:v>
                </c:pt>
                <c:pt idx="222">
                  <c:v>3.272581198080659E-4</c:v>
                </c:pt>
                <c:pt idx="223">
                  <c:v>3.1882570942216333E-4</c:v>
                </c:pt>
                <c:pt idx="224">
                  <c:v>3.1177984839812084E-4</c:v>
                </c:pt>
                <c:pt idx="225">
                  <c:v>3.0715567661528651E-4</c:v>
                </c:pt>
                <c:pt idx="226">
                  <c:v>3.0475424657698091E-4</c:v>
                </c:pt>
                <c:pt idx="227">
                  <c:v>3.0459016642160407E-4</c:v>
                </c:pt>
                <c:pt idx="228">
                  <c:v>3.0667822557787149E-4</c:v>
                </c:pt>
                <c:pt idx="229">
                  <c:v>3.1103339269421466E-4</c:v>
                </c:pt>
                <c:pt idx="230">
                  <c:v>3.176708107074488E-4</c:v>
                </c:pt>
                <c:pt idx="231">
                  <c:v>3.2660578920787862E-4</c:v>
                </c:pt>
                <c:pt idx="232">
                  <c:v>3.3784499517576191E-4</c:v>
                </c:pt>
                <c:pt idx="233">
                  <c:v>3.5067285322441479E-4</c:v>
                </c:pt>
                <c:pt idx="234">
                  <c:v>3.638693962238755E-4</c:v>
                </c:pt>
                <c:pt idx="235">
                  <c:v>3.7744015544568865E-4</c:v>
                </c:pt>
                <c:pt idx="236">
                  <c:v>3.9139144553829879E-4</c:v>
                </c:pt>
                <c:pt idx="237">
                  <c:v>4.0573004481295948E-4</c:v>
                </c:pt>
                <c:pt idx="238">
                  <c:v>4.2046347251831917E-4</c:v>
                </c:pt>
                <c:pt idx="239">
                  <c:v>4.3525608721111319E-4</c:v>
                </c:pt>
                <c:pt idx="240">
                  <c:v>4.4905413287121371E-4</c:v>
                </c:pt>
                <c:pt idx="241">
                  <c:v>4.6185752782081156E-4</c:v>
                </c:pt>
                <c:pt idx="242">
                  <c:v>4.7366651846407801E-4</c:v>
                </c:pt>
                <c:pt idx="243">
                  <c:v>4.844815642018211E-4</c:v>
                </c:pt>
                <c:pt idx="244">
                  <c:v>4.9430322134953416E-4</c:v>
                </c:pt>
                <c:pt idx="245">
                  <c:v>5.0313202629976368E-4</c:v>
                </c:pt>
                <c:pt idx="246">
                  <c:v>5.1095472677774615E-4</c:v>
                </c:pt>
                <c:pt idx="247">
                  <c:v>5.1785844100554496E-4</c:v>
                </c:pt>
                <c:pt idx="248">
                  <c:v>5.2458547332754019E-4</c:v>
                </c:pt>
                <c:pt idx="249">
                  <c:v>5.3113350145178573E-4</c:v>
                </c:pt>
                <c:pt idx="250">
                  <c:v>5.3750002801787329E-4</c:v>
                </c:pt>
                <c:pt idx="251">
                  <c:v>5.436823767594834E-4</c:v>
                </c:pt>
                <c:pt idx="252">
                  <c:v>5.4967768913987455E-4</c:v>
                </c:pt>
                <c:pt idx="253">
                  <c:v>5.5481154413199369E-4</c:v>
                </c:pt>
                <c:pt idx="254">
                  <c:v>5.5943429638523323E-4</c:v>
                </c:pt>
                <c:pt idx="255">
                  <c:v>5.6353963242548443E-4</c:v>
                </c:pt>
                <c:pt idx="256">
                  <c:v>5.6712092893235883E-4</c:v>
                </c:pt>
                <c:pt idx="257">
                  <c:v>5.7017126436372705E-4</c:v>
                </c:pt>
                <c:pt idx="258">
                  <c:v>5.7268343264215316E-4</c:v>
                </c:pt>
                <c:pt idx="259">
                  <c:v>5.7464995860277224E-4</c:v>
                </c:pt>
                <c:pt idx="260">
                  <c:v>5.7608285676028035E-4</c:v>
                </c:pt>
                <c:pt idx="261">
                  <c:v>5.7695909916488837E-4</c:v>
                </c:pt>
                <c:pt idx="262">
                  <c:v>5.7715324906798104E-4</c:v>
                </c:pt>
                <c:pt idx="263">
                  <c:v>5.7664939756340216E-4</c:v>
                </c:pt>
                <c:pt idx="264">
                  <c:v>5.7543116781359944E-4</c:v>
                </c:pt>
                <c:pt idx="265">
                  <c:v>5.7348485501391262E-4</c:v>
                </c:pt>
                <c:pt idx="266">
                  <c:v>5.7079489656634841E-4</c:v>
                </c:pt>
                <c:pt idx="267">
                  <c:v>5.6780577336692324E-4</c:v>
                </c:pt>
                <c:pt idx="268">
                  <c:v>5.6521275141040812E-4</c:v>
                </c:pt>
                <c:pt idx="269">
                  <c:v>5.630111422039424E-4</c:v>
                </c:pt>
                <c:pt idx="270">
                  <c:v>5.6119623164077505E-4</c:v>
                </c:pt>
                <c:pt idx="271">
                  <c:v>5.5976321739546493E-4</c:v>
                </c:pt>
                <c:pt idx="272">
                  <c:v>5.5870714580653392E-4</c:v>
                </c:pt>
                <c:pt idx="273">
                  <c:v>5.5802284853710574E-4</c:v>
                </c:pt>
                <c:pt idx="274">
                  <c:v>5.577162670238544E-4</c:v>
                </c:pt>
                <c:pt idx="275">
                  <c:v>5.5782255382277131E-4</c:v>
                </c:pt>
                <c:pt idx="276">
                  <c:v>5.5838089581325726E-4</c:v>
                </c:pt>
                <c:pt idx="277">
                  <c:v>5.5939846867937343E-4</c:v>
                </c:pt>
                <c:pt idx="278">
                  <c:v>5.6088253094170528E-4</c:v>
                </c:pt>
                <c:pt idx="279">
                  <c:v>5.628404640213669E-4</c:v>
                </c:pt>
                <c:pt idx="280">
                  <c:v>5.652798170358433E-4</c:v>
                </c:pt>
                <c:pt idx="281">
                  <c:v>5.6773024080509626E-4</c:v>
                </c:pt>
                <c:pt idx="282">
                  <c:v>5.6970848923336859E-4</c:v>
                </c:pt>
                <c:pt idx="283">
                  <c:v>5.7121438582117211E-4</c:v>
                </c:pt>
                <c:pt idx="284">
                  <c:v>5.722482454225804E-4</c:v>
                </c:pt>
                <c:pt idx="285">
                  <c:v>5.7281086504448839E-4</c:v>
                </c:pt>
                <c:pt idx="286">
                  <c:v>5.7290351031813187E-4</c:v>
                </c:pt>
                <c:pt idx="287">
                  <c:v>5.7252789720660152E-4</c:v>
                </c:pt>
                <c:pt idx="288">
                  <c:v>5.7171090229064564E-4</c:v>
                </c:pt>
                <c:pt idx="289">
                  <c:v>5.7055218588723713E-4</c:v>
                </c:pt>
                <c:pt idx="290">
                  <c:v>5.6901271566741794E-4</c:v>
                </c:pt>
                <c:pt idx="291">
                  <c:v>5.6707504368892856E-4</c:v>
                </c:pt>
                <c:pt idx="292">
                  <c:v>5.647215845910145E-4</c:v>
                </c:pt>
                <c:pt idx="293">
                  <c:v>5.6193468410977148E-4</c:v>
                </c:pt>
                <c:pt idx="294">
                  <c:v>5.5869669690579492E-4</c:v>
                </c:pt>
                <c:pt idx="295">
                  <c:v>5.5636523511273057E-4</c:v>
                </c:pt>
                <c:pt idx="296">
                  <c:v>5.5544249045247308E-4</c:v>
                </c:pt>
                <c:pt idx="297">
                  <c:v>5.559320430391588E-4</c:v>
                </c:pt>
                <c:pt idx="298">
                  <c:v>5.5783183847895863E-4</c:v>
                </c:pt>
                <c:pt idx="299">
                  <c:v>5.6113840206820336E-4</c:v>
                </c:pt>
                <c:pt idx="300">
                  <c:v>5.6584641829338761E-4</c:v>
                </c:pt>
                <c:pt idx="301">
                  <c:v>5.7194830009072155E-4</c:v>
                </c:pt>
                <c:pt idx="302">
                  <c:v>5.794815099175875E-4</c:v>
                </c:pt>
                <c:pt idx="303">
                  <c:v>5.8971372817724253E-4</c:v>
                </c:pt>
                <c:pt idx="304">
                  <c:v>6.0257423114836112E-4</c:v>
                </c:pt>
                <c:pt idx="305">
                  <c:v>6.1808152498559702E-4</c:v>
                </c:pt>
                <c:pt idx="306">
                  <c:v>6.3625405465542889E-4</c:v>
                </c:pt>
                <c:pt idx="307">
                  <c:v>6.5711043470425027E-4</c:v>
                </c:pt>
                <c:pt idx="308">
                  <c:v>6.8066969208532195E-4</c:v>
                </c:pt>
                <c:pt idx="309">
                  <c:v>7.055779973578688E-4</c:v>
                </c:pt>
                <c:pt idx="310">
                  <c:v>7.3042597924961265E-4</c:v>
                </c:pt>
                <c:pt idx="311">
                  <c:v>7.5521995856360079E-4</c:v>
                </c:pt>
                <c:pt idx="312">
                  <c:v>7.799673859162136E-4</c:v>
                </c:pt>
                <c:pt idx="313">
                  <c:v>8.0467681176128053E-4</c:v>
                </c:pt>
                <c:pt idx="314">
                  <c:v>8.2935784713704928E-4</c:v>
                </c:pt>
                <c:pt idx="315">
                  <c:v>8.5402111481259373E-4</c:v>
                </c:pt>
                <c:pt idx="316">
                  <c:v>8.7871050084604356E-4</c:v>
                </c:pt>
                <c:pt idx="317">
                  <c:v>9.0105495256814045E-4</c:v>
                </c:pt>
                <c:pt idx="318">
                  <c:v>9.197904276127889E-4</c:v>
                </c:pt>
                <c:pt idx="319">
                  <c:v>9.3489191812142131E-4</c:v>
                </c:pt>
                <c:pt idx="320">
                  <c:v>9.4633040391635035E-4</c:v>
                </c:pt>
                <c:pt idx="321">
                  <c:v>9.5407294728829277E-4</c:v>
                </c:pt>
                <c:pt idx="322">
                  <c:v>9.5808284332792124E-4</c:v>
                </c:pt>
                <c:pt idx="323">
                  <c:v>9.5828770645535596E-4</c:v>
                </c:pt>
                <c:pt idx="324">
                  <c:v>9.5606437963085687E-4</c:v>
                </c:pt>
                <c:pt idx="325">
                  <c:v>9.5137855142533954E-4</c:v>
                </c:pt>
                <c:pt idx="326">
                  <c:v>9.4418801520527573E-4</c:v>
                </c:pt>
                <c:pt idx="327">
                  <c:v>9.34453006577131E-4</c:v>
                </c:pt>
                <c:pt idx="328">
                  <c:v>9.2213742898623354E-4</c:v>
                </c:pt>
                <c:pt idx="329">
                  <c:v>9.0720436770153794E-4</c:v>
                </c:pt>
                <c:pt idx="330">
                  <c:v>8.8975554506162961E-4</c:v>
                </c:pt>
                <c:pt idx="331">
                  <c:v>8.7081861651260159E-4</c:v>
                </c:pt>
                <c:pt idx="332">
                  <c:v>8.5284085339065307E-4</c:v>
                </c:pt>
                <c:pt idx="333">
                  <c:v>8.3578125680851907E-4</c:v>
                </c:pt>
                <c:pt idx="334">
                  <c:v>8.1960086182921279E-4</c:v>
                </c:pt>
                <c:pt idx="335">
                  <c:v>8.0426252096492238E-4</c:v>
                </c:pt>
                <c:pt idx="336">
                  <c:v>7.8973070125062125E-4</c:v>
                </c:pt>
                <c:pt idx="337">
                  <c:v>7.7629584031415374E-4</c:v>
                </c:pt>
                <c:pt idx="338">
                  <c:v>7.6396229390438442E-4</c:v>
                </c:pt>
                <c:pt idx="339">
                  <c:v>7.527018350222994E-4</c:v>
                </c:pt>
                <c:pt idx="340">
                  <c:v>7.4248656338363054E-4</c:v>
                </c:pt>
                <c:pt idx="341">
                  <c:v>7.3328850550224381E-4</c:v>
                </c:pt>
                <c:pt idx="342">
                  <c:v>7.2507921582033968E-4</c:v>
                </c:pt>
                <c:pt idx="343">
                  <c:v>7.1782938457541851E-4</c:v>
                </c:pt>
                <c:pt idx="344">
                  <c:v>7.1161730131012052E-4</c:v>
                </c:pt>
                <c:pt idx="345">
                  <c:v>7.06540780167653E-4</c:v>
                </c:pt>
                <c:pt idx="346">
                  <c:v>7.018809159802709E-4</c:v>
                </c:pt>
                <c:pt idx="347">
                  <c:v>6.9763211048986899E-4</c:v>
                </c:pt>
                <c:pt idx="348">
                  <c:v>6.9378836571088842E-4</c:v>
                </c:pt>
                <c:pt idx="349">
                  <c:v>6.9034328061401016E-4</c:v>
                </c:pt>
                <c:pt idx="350">
                  <c:v>6.8729004777253345E-4</c:v>
                </c:pt>
                <c:pt idx="351">
                  <c:v>6.8490047103396683E-4</c:v>
                </c:pt>
                <c:pt idx="352">
                  <c:v>6.8283404503063656E-4</c:v>
                </c:pt>
                <c:pt idx="353">
                  <c:v>6.8108258570500355E-4</c:v>
                </c:pt>
                <c:pt idx="354">
                  <c:v>6.7963760925336268E-4</c:v>
                </c:pt>
                <c:pt idx="355">
                  <c:v>6.7849034652391039E-4</c:v>
                </c:pt>
                <c:pt idx="356">
                  <c:v>6.7763034441899737E-4</c:v>
                </c:pt>
                <c:pt idx="357">
                  <c:v>6.770487696937679E-4</c:v>
                </c:pt>
                <c:pt idx="358">
                  <c:v>6.7670790902931864E-4</c:v>
                </c:pt>
                <c:pt idx="359">
                  <c:v>6.7658390684846549E-4</c:v>
                </c:pt>
                <c:pt idx="360">
                  <c:v>6.7701086671077067E-4</c:v>
                </c:pt>
                <c:pt idx="361">
                  <c:v>6.7771956028983094E-4</c:v>
                </c:pt>
                <c:pt idx="362">
                  <c:v>6.7871593065631892E-4</c:v>
                </c:pt>
                <c:pt idx="363">
                  <c:v>6.8000542186508715E-4</c:v>
                </c:pt>
                <c:pt idx="364">
                  <c:v>6.8159299755324798E-4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1816"/>
        <c:axId val="592952208"/>
      </c:lineChart>
      <c:dateAx>
        <c:axId val="5929518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2208"/>
        <c:crosses val="autoZero"/>
        <c:auto val="1"/>
        <c:lblOffset val="100"/>
        <c:baseTimeUnit val="days"/>
        <c:majorUnit val="1"/>
        <c:majorTimeUnit val="months"/>
      </c:dateAx>
      <c:valAx>
        <c:axId val="5929522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18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23.192593207778891</c:v>
                </c:pt>
                <c:pt idx="1">
                  <c:v>23.335213249857034</c:v>
                </c:pt>
                <c:pt idx="2">
                  <c:v>23.486785109500762</c:v>
                </c:pt>
                <c:pt idx="3">
                  <c:v>23.646779693930998</c:v>
                </c:pt>
                <c:pt idx="4">
                  <c:v>23.814667974963118</c:v>
                </c:pt>
                <c:pt idx="5">
                  <c:v>23.989920985069546</c:v>
                </c:pt>
                <c:pt idx="6">
                  <c:v>24.172009826245546</c:v>
                </c:pt>
                <c:pt idx="7">
                  <c:v>24.360405664009239</c:v>
                </c:pt>
                <c:pt idx="8">
                  <c:v>24.558036828090039</c:v>
                </c:pt>
                <c:pt idx="9">
                  <c:v>24.76755309266867</c:v>
                </c:pt>
                <c:pt idx="10">
                  <c:v>24.988014222560142</c:v>
                </c:pt>
                <c:pt idx="11">
                  <c:v>25.218472774129022</c:v>
                </c:pt>
                <c:pt idx="12">
                  <c:v>25.45798148190794</c:v>
                </c:pt>
                <c:pt idx="13">
                  <c:v>25.705593257241656</c:v>
                </c:pt>
                <c:pt idx="14">
                  <c:v>25.960361196827993</c:v>
                </c:pt>
                <c:pt idx="15">
                  <c:v>26.221396855550768</c:v>
                </c:pt>
                <c:pt idx="16">
                  <c:v>26.487775841890208</c:v>
                </c:pt>
                <c:pt idx="17">
                  <c:v>26.758551817732346</c:v>
                </c:pt>
                <c:pt idx="18">
                  <c:v>27.032778637884917</c:v>
                </c:pt>
                <c:pt idx="19">
                  <c:v>27.309510225353709</c:v>
                </c:pt>
                <c:pt idx="20">
                  <c:v>27.587800642283504</c:v>
                </c:pt>
                <c:pt idx="21">
                  <c:v>27.86670424836273</c:v>
                </c:pt>
                <c:pt idx="22">
                  <c:v>28.148474642825548</c:v>
                </c:pt>
                <c:pt idx="23">
                  <c:v>28.435771444487226</c:v>
                </c:pt>
                <c:pt idx="24">
                  <c:v>28.728206887939407</c:v>
                </c:pt>
                <c:pt idx="25">
                  <c:v>29.025394062415085</c:v>
                </c:pt>
                <c:pt idx="26">
                  <c:v>29.326946160861812</c:v>
                </c:pt>
                <c:pt idx="27">
                  <c:v>29.632476486934351</c:v>
                </c:pt>
                <c:pt idx="28">
                  <c:v>29.941598457567505</c:v>
                </c:pt>
                <c:pt idx="29">
                  <c:v>30.253895475749459</c:v>
                </c:pt>
                <c:pt idx="30">
                  <c:v>30.568922966120518</c:v>
                </c:pt>
                <c:pt idx="31">
                  <c:v>30.886294715793937</c:v>
                </c:pt>
                <c:pt idx="32">
                  <c:v>31.205624630132942</c:v>
                </c:pt>
                <c:pt idx="33">
                  <c:v>31.52652673720225</c:v>
                </c:pt>
                <c:pt idx="34">
                  <c:v>31.848615184900929</c:v>
                </c:pt>
                <c:pt idx="35">
                  <c:v>32.171504241046001</c:v>
                </c:pt>
                <c:pt idx="36">
                  <c:v>32.49786129512583</c:v>
                </c:pt>
                <c:pt idx="37">
                  <c:v>32.829932663476647</c:v>
                </c:pt>
                <c:pt idx="38">
                  <c:v>33.166719812759624</c:v>
                </c:pt>
                <c:pt idx="39">
                  <c:v>33.507258207418396</c:v>
                </c:pt>
                <c:pt idx="40">
                  <c:v>33.850583551646167</c:v>
                </c:pt>
                <c:pt idx="41">
                  <c:v>34.195731780811528</c:v>
                </c:pt>
                <c:pt idx="42">
                  <c:v>34.541739062095139</c:v>
                </c:pt>
                <c:pt idx="43">
                  <c:v>34.88763950627731</c:v>
                </c:pt>
                <c:pt idx="44">
                  <c:v>35.232499848722036</c:v>
                </c:pt>
                <c:pt idx="45">
                  <c:v>35.575356922048812</c:v>
                </c:pt>
                <c:pt idx="46">
                  <c:v>35.91524777457451</c:v>
                </c:pt>
                <c:pt idx="47">
                  <c:v>36.251209661313737</c:v>
                </c:pt>
                <c:pt idx="48">
                  <c:v>36.582280039814997</c:v>
                </c:pt>
                <c:pt idx="49">
                  <c:v>36.907496564099667</c:v>
                </c:pt>
                <c:pt idx="50">
                  <c:v>37.227679253909102</c:v>
                </c:pt>
                <c:pt idx="51">
                  <c:v>37.544495426033833</c:v>
                </c:pt>
                <c:pt idx="52">
                  <c:v>37.858269804894341</c:v>
                </c:pt>
                <c:pt idx="53">
                  <c:v>38.169292073800953</c:v>
                </c:pt>
                <c:pt idx="54">
                  <c:v>38.477851732383229</c:v>
                </c:pt>
                <c:pt idx="55">
                  <c:v>38.784238165565291</c:v>
                </c:pt>
                <c:pt idx="56">
                  <c:v>39.088740632941239</c:v>
                </c:pt>
                <c:pt idx="57">
                  <c:v>39.391647724943844</c:v>
                </c:pt>
                <c:pt idx="58">
                  <c:v>39.693250775500886</c:v>
                </c:pt>
                <c:pt idx="59">
                  <c:v>39.993838667795721</c:v>
                </c:pt>
                <c:pt idx="60">
                  <c:v>40.293700148119612</c:v>
                </c:pt>
                <c:pt idx="61">
                  <c:v>40.59312382347882</c:v>
                </c:pt>
                <c:pt idx="62">
                  <c:v>40.892398159806945</c:v>
                </c:pt>
                <c:pt idx="63">
                  <c:v>41.191811479128042</c:v>
                </c:pt>
                <c:pt idx="64">
                  <c:v>41.491347142373279</c:v>
                </c:pt>
                <c:pt idx="65">
                  <c:v>41.790654696119965</c:v>
                </c:pt>
                <c:pt idx="66">
                  <c:v>42.089528214254784</c:v>
                </c:pt>
                <c:pt idx="67">
                  <c:v>42.387774438753056</c:v>
                </c:pt>
                <c:pt idx="68">
                  <c:v>42.685200070837389</c:v>
                </c:pt>
                <c:pt idx="69">
                  <c:v>42.981611770948831</c:v>
                </c:pt>
                <c:pt idx="70">
                  <c:v>43.276816160463589</c:v>
                </c:pt>
                <c:pt idx="71">
                  <c:v>43.570620630415902</c:v>
                </c:pt>
                <c:pt idx="72">
                  <c:v>43.862832252299413</c:v>
                </c:pt>
                <c:pt idx="73">
                  <c:v>44.153257529320101</c:v>
                </c:pt>
                <c:pt idx="74">
                  <c:v>44.441702932666992</c:v>
                </c:pt>
                <c:pt idx="75">
                  <c:v>44.727974904141838</c:v>
                </c:pt>
                <c:pt idx="76">
                  <c:v>45.011879860154757</c:v>
                </c:pt>
                <c:pt idx="77">
                  <c:v>45.293224194745605</c:v>
                </c:pt>
                <c:pt idx="78">
                  <c:v>45.574170724918723</c:v>
                </c:pt>
                <c:pt idx="79">
                  <c:v>45.856452543210921</c:v>
                </c:pt>
                <c:pt idx="80">
                  <c:v>46.139215052800502</c:v>
                </c:pt>
                <c:pt idx="81">
                  <c:v>46.421590896346309</c:v>
                </c:pt>
                <c:pt idx="82">
                  <c:v>46.70271288324313</c:v>
                </c:pt>
                <c:pt idx="83">
                  <c:v>46.981714004204179</c:v>
                </c:pt>
                <c:pt idx="84">
                  <c:v>47.257727435686995</c:v>
                </c:pt>
                <c:pt idx="85">
                  <c:v>47.529883456164519</c:v>
                </c:pt>
                <c:pt idx="86">
                  <c:v>47.797314867039958</c:v>
                </c:pt>
                <c:pt idx="87">
                  <c:v>48.059155474346994</c:v>
                </c:pt>
                <c:pt idx="88">
                  <c:v>48.314539313008666</c:v>
                </c:pt>
                <c:pt idx="89">
                  <c:v>48.562600659445465</c:v>
                </c:pt>
                <c:pt idx="90">
                  <c:v>48.802474042130783</c:v>
                </c:pt>
                <c:pt idx="91">
                  <c:v>49.033294262625532</c:v>
                </c:pt>
                <c:pt idx="92">
                  <c:v>49.256566807919029</c:v>
                </c:pt>
                <c:pt idx="93">
                  <c:v>49.474320331687679</c:v>
                </c:pt>
                <c:pt idx="94">
                  <c:v>49.686438049286664</c:v>
                </c:pt>
                <c:pt idx="95">
                  <c:v>49.892823293116649</c:v>
                </c:pt>
                <c:pt idx="96">
                  <c:v>50.093379479406885</c:v>
                </c:pt>
                <c:pt idx="97">
                  <c:v>50.288010114757029</c:v>
                </c:pt>
                <c:pt idx="98">
                  <c:v>50.476618803974105</c:v>
                </c:pt>
                <c:pt idx="99">
                  <c:v>50.659132768629654</c:v>
                </c:pt>
                <c:pt idx="100">
                  <c:v>50.835459218966463</c:v>
                </c:pt>
                <c:pt idx="101">
                  <c:v>51.005502377827916</c:v>
                </c:pt>
                <c:pt idx="102">
                  <c:v>51.169166617114463</c:v>
                </c:pt>
                <c:pt idx="103">
                  <c:v>51.326356466602974</c:v>
                </c:pt>
                <c:pt idx="104">
                  <c:v>51.476976617062853</c:v>
                </c:pt>
                <c:pt idx="105">
                  <c:v>51.620931929556058</c:v>
                </c:pt>
                <c:pt idx="106">
                  <c:v>51.757535440768827</c:v>
                </c:pt>
                <c:pt idx="107">
                  <c:v>51.886385643057572</c:v>
                </c:pt>
                <c:pt idx="108">
                  <c:v>52.007855847908758</c:v>
                </c:pt>
                <c:pt idx="109">
                  <c:v>52.122330906827415</c:v>
                </c:pt>
                <c:pt idx="110">
                  <c:v>52.230195630132258</c:v>
                </c:pt>
                <c:pt idx="111">
                  <c:v>52.331834821840246</c:v>
                </c:pt>
                <c:pt idx="112">
                  <c:v>52.427633312927533</c:v>
                </c:pt>
                <c:pt idx="113">
                  <c:v>52.517933294330106</c:v>
                </c:pt>
                <c:pt idx="114">
                  <c:v>52.60309360311004</c:v>
                </c:pt>
                <c:pt idx="115">
                  <c:v>52.683497785360622</c:v>
                </c:pt>
                <c:pt idx="116">
                  <c:v>52.759529297878814</c:v>
                </c:pt>
                <c:pt idx="117">
                  <c:v>52.831571506428183</c:v>
                </c:pt>
                <c:pt idx="118">
                  <c:v>52.900007689159288</c:v>
                </c:pt>
                <c:pt idx="119">
                  <c:v>52.965221037937752</c:v>
                </c:pt>
                <c:pt idx="120">
                  <c:v>56.900136203809517</c:v>
                </c:pt>
                <c:pt idx="121">
                  <c:v>56.956901726254884</c:v>
                </c:pt>
                <c:pt idx="122">
                  <c:v>57.007685980653235</c:v>
                </c:pt>
                <c:pt idx="123">
                  <c:v>57.052901076879586</c:v>
                </c:pt>
                <c:pt idx="124">
                  <c:v>57.092958878363767</c:v>
                </c:pt>
                <c:pt idx="125">
                  <c:v>57.128271011433903</c:v>
                </c:pt>
                <c:pt idx="126">
                  <c:v>57.159248861209029</c:v>
                </c:pt>
                <c:pt idx="127">
                  <c:v>57.186305611584935</c:v>
                </c:pt>
                <c:pt idx="128">
                  <c:v>57.209902953532143</c:v>
                </c:pt>
                <c:pt idx="129">
                  <c:v>57.230452836037621</c:v>
                </c:pt>
                <c:pt idx="130">
                  <c:v>57.248367037703012</c:v>
                </c:pt>
                <c:pt idx="131">
                  <c:v>57.264057166998029</c:v>
                </c:pt>
                <c:pt idx="132">
                  <c:v>57.277934665750756</c:v>
                </c:pt>
                <c:pt idx="133">
                  <c:v>57.290410814445927</c:v>
                </c:pt>
                <c:pt idx="134">
                  <c:v>57.300869662321468</c:v>
                </c:pt>
                <c:pt idx="135">
                  <c:v>57.308423865441775</c:v>
                </c:pt>
                <c:pt idx="136">
                  <c:v>57.313084252231207</c:v>
                </c:pt>
                <c:pt idx="137">
                  <c:v>57.314852161946057</c:v>
                </c:pt>
                <c:pt idx="138">
                  <c:v>57.313729001152062</c:v>
                </c:pt>
                <c:pt idx="139">
                  <c:v>57.309716239960032</c:v>
                </c:pt>
                <c:pt idx="140">
                  <c:v>57.302815413895367</c:v>
                </c:pt>
                <c:pt idx="141">
                  <c:v>57.293037326886378</c:v>
                </c:pt>
                <c:pt idx="142">
                  <c:v>57.28038176513008</c:v>
                </c:pt>
                <c:pt idx="143">
                  <c:v>57.264850799899278</c:v>
                </c:pt>
                <c:pt idx="144">
                  <c:v>57.246446387435071</c:v>
                </c:pt>
                <c:pt idx="145">
                  <c:v>57.225170544160534</c:v>
                </c:pt>
                <c:pt idx="146">
                  <c:v>57.201025341288045</c:v>
                </c:pt>
                <c:pt idx="147">
                  <c:v>57.174012901914452</c:v>
                </c:pt>
                <c:pt idx="148">
                  <c:v>57.143246870975673</c:v>
                </c:pt>
                <c:pt idx="149">
                  <c:v>57.108127804956887</c:v>
                </c:pt>
                <c:pt idx="150">
                  <c:v>57.06906643977176</c:v>
                </c:pt>
                <c:pt idx="151">
                  <c:v>57.026475656385912</c:v>
                </c:pt>
                <c:pt idx="152">
                  <c:v>56.980768156056882</c:v>
                </c:pt>
                <c:pt idx="153">
                  <c:v>56.93235645591929</c:v>
                </c:pt>
                <c:pt idx="154">
                  <c:v>56.88165287781635</c:v>
                </c:pt>
                <c:pt idx="155">
                  <c:v>56.829085522926192</c:v>
                </c:pt>
                <c:pt idx="156">
                  <c:v>56.775056305037879</c:v>
                </c:pt>
                <c:pt idx="157">
                  <c:v>56.719977045179867</c:v>
                </c:pt>
                <c:pt idx="158">
                  <c:v>56.664259345744739</c:v>
                </c:pt>
                <c:pt idx="159">
                  <c:v>56.608314582970714</c:v>
                </c:pt>
                <c:pt idx="160">
                  <c:v>56.552553901291624</c:v>
                </c:pt>
                <c:pt idx="161">
                  <c:v>56.497388207933056</c:v>
                </c:pt>
                <c:pt idx="162">
                  <c:v>56.442204774821988</c:v>
                </c:pt>
                <c:pt idx="163">
                  <c:v>56.386136135124652</c:v>
                </c:pt>
                <c:pt idx="164">
                  <c:v>56.329169978777713</c:v>
                </c:pt>
                <c:pt idx="165">
                  <c:v>56.271308100462221</c:v>
                </c:pt>
                <c:pt idx="166">
                  <c:v>56.212552234064525</c:v>
                </c:pt>
                <c:pt idx="167">
                  <c:v>56.15290404601793</c:v>
                </c:pt>
                <c:pt idx="168">
                  <c:v>56.092365131513461</c:v>
                </c:pt>
                <c:pt idx="169">
                  <c:v>56.03095544591892</c:v>
                </c:pt>
                <c:pt idx="170">
                  <c:v>55.968659231012097</c:v>
                </c:pt>
                <c:pt idx="171">
                  <c:v>55.905477847212431</c:v>
                </c:pt>
                <c:pt idx="172">
                  <c:v>55.841412568923317</c:v>
                </c:pt>
                <c:pt idx="173">
                  <c:v>55.776465130073852</c:v>
                </c:pt>
                <c:pt idx="174">
                  <c:v>55.710637212630644</c:v>
                </c:pt>
                <c:pt idx="175">
                  <c:v>55.643929876487547</c:v>
                </c:pt>
                <c:pt idx="176">
                  <c:v>55.57612274358268</c:v>
                </c:pt>
                <c:pt idx="177">
                  <c:v>55.507081528667364</c:v>
                </c:pt>
                <c:pt idx="178">
                  <c:v>55.436890347871795</c:v>
                </c:pt>
                <c:pt idx="179">
                  <c:v>55.365652093074416</c:v>
                </c:pt>
                <c:pt idx="180">
                  <c:v>55.293469515780295</c:v>
                </c:pt>
                <c:pt idx="181">
                  <c:v>55.220445229803197</c:v>
                </c:pt>
                <c:pt idx="182">
                  <c:v>55.146681714036596</c:v>
                </c:pt>
                <c:pt idx="183">
                  <c:v>55.072296863037188</c:v>
                </c:pt>
                <c:pt idx="184">
                  <c:v>54.997373559752724</c:v>
                </c:pt>
                <c:pt idx="185">
                  <c:v>54.922013868159027</c:v>
                </c:pt>
                <c:pt idx="186">
                  <c:v>54.846319738826061</c:v>
                </c:pt>
                <c:pt idx="187">
                  <c:v>54.770393013607602</c:v>
                </c:pt>
                <c:pt idx="188">
                  <c:v>54.694335431668797</c:v>
                </c:pt>
                <c:pt idx="189">
                  <c:v>54.618248634039475</c:v>
                </c:pt>
                <c:pt idx="190">
                  <c:v>54.541979215647075</c:v>
                </c:pt>
                <c:pt idx="191">
                  <c:v>54.465317863589995</c:v>
                </c:pt>
                <c:pt idx="192">
                  <c:v>54.388245622209404</c:v>
                </c:pt>
                <c:pt idx="193">
                  <c:v>54.310762073338879</c:v>
                </c:pt>
                <c:pt idx="194">
                  <c:v>54.232866782461358</c:v>
                </c:pt>
                <c:pt idx="195">
                  <c:v>54.154559303313427</c:v>
                </c:pt>
                <c:pt idx="196">
                  <c:v>54.075839183242778</c:v>
                </c:pt>
                <c:pt idx="197">
                  <c:v>53.996708978833034</c:v>
                </c:pt>
                <c:pt idx="198">
                  <c:v>53.91715233738126</c:v>
                </c:pt>
                <c:pt idx="199">
                  <c:v>53.837168786277644</c:v>
                </c:pt>
                <c:pt idx="200">
                  <c:v>53.756757868181694</c:v>
                </c:pt>
                <c:pt idx="201">
                  <c:v>53.675919144755881</c:v>
                </c:pt>
                <c:pt idx="202">
                  <c:v>53.5946521982737</c:v>
                </c:pt>
                <c:pt idx="203">
                  <c:v>53.51295663476899</c:v>
                </c:pt>
                <c:pt idx="204">
                  <c:v>53.431493912981061</c:v>
                </c:pt>
                <c:pt idx="205">
                  <c:v>53.350724569581523</c:v>
                </c:pt>
                <c:pt idx="206">
                  <c:v>53.270330337307236</c:v>
                </c:pt>
                <c:pt idx="207">
                  <c:v>53.1900053236063</c:v>
                </c:pt>
                <c:pt idx="208">
                  <c:v>53.109443810681825</c:v>
                </c:pt>
                <c:pt idx="209">
                  <c:v>53.02834025476205</c:v>
                </c:pt>
                <c:pt idx="210">
                  <c:v>52.946389286632019</c:v>
                </c:pt>
                <c:pt idx="211">
                  <c:v>52.863271636088029</c:v>
                </c:pt>
                <c:pt idx="212">
                  <c:v>52.778679200561371</c:v>
                </c:pt>
                <c:pt idx="213">
                  <c:v>52.692307104254581</c:v>
                </c:pt>
                <c:pt idx="214">
                  <c:v>52.603850642511986</c:v>
                </c:pt>
                <c:pt idx="215">
                  <c:v>52.513005283230484</c:v>
                </c:pt>
                <c:pt idx="216">
                  <c:v>52.41946666326011</c:v>
                </c:pt>
                <c:pt idx="217">
                  <c:v>52.322930588947095</c:v>
                </c:pt>
                <c:pt idx="218">
                  <c:v>52.223855344375792</c:v>
                </c:pt>
                <c:pt idx="219">
                  <c:v>52.122826812061405</c:v>
                </c:pt>
                <c:pt idx="220">
                  <c:v>52.019842559959763</c:v>
                </c:pt>
                <c:pt idx="221">
                  <c:v>51.914903139873438</c:v>
                </c:pt>
                <c:pt idx="222">
                  <c:v>51.808009133102026</c:v>
                </c:pt>
                <c:pt idx="223">
                  <c:v>51.699161152291431</c:v>
                </c:pt>
                <c:pt idx="224">
                  <c:v>51.588359833937616</c:v>
                </c:pt>
                <c:pt idx="225">
                  <c:v>51.475543487840284</c:v>
                </c:pt>
                <c:pt idx="226">
                  <c:v>51.360726956323411</c:v>
                </c:pt>
                <c:pt idx="227">
                  <c:v>51.24391098811693</c:v>
                </c:pt>
                <c:pt idx="228">
                  <c:v>51.12509636013781</c:v>
                </c:pt>
                <c:pt idx="229">
                  <c:v>51.004283882453329</c:v>
                </c:pt>
                <c:pt idx="230">
                  <c:v>50.881474396212951</c:v>
                </c:pt>
                <c:pt idx="231">
                  <c:v>50.756668775888343</c:v>
                </c:pt>
                <c:pt idx="232">
                  <c:v>50.631187123722299</c:v>
                </c:pt>
                <c:pt idx="233">
                  <c:v>50.505987438399252</c:v>
                </c:pt>
                <c:pt idx="234">
                  <c:v>50.380536516184335</c:v>
                </c:pt>
                <c:pt idx="235">
                  <c:v>50.254226009746631</c:v>
                </c:pt>
                <c:pt idx="236">
                  <c:v>50.126447852570926</c:v>
                </c:pt>
                <c:pt idx="237">
                  <c:v>49.996594282375227</c:v>
                </c:pt>
                <c:pt idx="238">
                  <c:v>49.864057822721016</c:v>
                </c:pt>
                <c:pt idx="239">
                  <c:v>49.728255165119833</c:v>
                </c:pt>
                <c:pt idx="240">
                  <c:v>49.588641424514407</c:v>
                </c:pt>
                <c:pt idx="241">
                  <c:v>49.444609836941567</c:v>
                </c:pt>
                <c:pt idx="242">
                  <c:v>49.295553907783329</c:v>
                </c:pt>
                <c:pt idx="243">
                  <c:v>49.140867401803384</c:v>
                </c:pt>
                <c:pt idx="244">
                  <c:v>48.979944351786266</c:v>
                </c:pt>
                <c:pt idx="245">
                  <c:v>48.812179049159468</c:v>
                </c:pt>
                <c:pt idx="246">
                  <c:v>48.638266245534702</c:v>
                </c:pt>
                <c:pt idx="247">
                  <c:v>48.459370125743732</c:v>
                </c:pt>
                <c:pt idx="248">
                  <c:v>48.27554983645571</c:v>
                </c:pt>
                <c:pt idx="249">
                  <c:v>48.086908530219965</c:v>
                </c:pt>
                <c:pt idx="250">
                  <c:v>47.893549311521319</c:v>
                </c:pt>
                <c:pt idx="251">
                  <c:v>47.695575237167695</c:v>
                </c:pt>
                <c:pt idx="252">
                  <c:v>47.493089318034777</c:v>
                </c:pt>
                <c:pt idx="253">
                  <c:v>47.286228863947507</c:v>
                </c:pt>
                <c:pt idx="254">
                  <c:v>47.0750730345436</c:v>
                </c:pt>
                <c:pt idx="255">
                  <c:v>46.859724640368697</c:v>
                </c:pt>
                <c:pt idx="256">
                  <c:v>46.640286433127891</c:v>
                </c:pt>
                <c:pt idx="257">
                  <c:v>46.416861116057085</c:v>
                </c:pt>
                <c:pt idx="258">
                  <c:v>46.1895513342713</c:v>
                </c:pt>
                <c:pt idx="259">
                  <c:v>45.958459679190717</c:v>
                </c:pt>
                <c:pt idx="260">
                  <c:v>45.722120743444606</c:v>
                </c:pt>
                <c:pt idx="261">
                  <c:v>45.479405271194466</c:v>
                </c:pt>
                <c:pt idx="262">
                  <c:v>45.230925168613076</c:v>
                </c:pt>
                <c:pt idx="263">
                  <c:v>44.977289121840805</c:v>
                </c:pt>
                <c:pt idx="264">
                  <c:v>44.719105528195541</c:v>
                </c:pt>
                <c:pt idx="265">
                  <c:v>44.456982329591469</c:v>
                </c:pt>
                <c:pt idx="266">
                  <c:v>44.191527255000942</c:v>
                </c:pt>
                <c:pt idx="267">
                  <c:v>43.923324124910238</c:v>
                </c:pt>
                <c:pt idx="268">
                  <c:v>43.652946927582441</c:v>
                </c:pt>
                <c:pt idx="269">
                  <c:v>43.381003049554742</c:v>
                </c:pt>
                <c:pt idx="270">
                  <c:v>43.10809960854175</c:v>
                </c:pt>
                <c:pt idx="271">
                  <c:v>42.834843451784678</c:v>
                </c:pt>
                <c:pt idx="272">
                  <c:v>42.561841160548667</c:v>
                </c:pt>
                <c:pt idx="273">
                  <c:v>42.289699046708968</c:v>
                </c:pt>
                <c:pt idx="274">
                  <c:v>42.018164600327346</c:v>
                </c:pt>
                <c:pt idx="275">
                  <c:v>41.746380430814405</c:v>
                </c:pt>
                <c:pt idx="276">
                  <c:v>41.474045473192518</c:v>
                </c:pt>
                <c:pt idx="277">
                  <c:v>41.200857166498238</c:v>
                </c:pt>
                <c:pt idx="278">
                  <c:v>40.926513045439684</c:v>
                </c:pt>
                <c:pt idx="279">
                  <c:v>40.650710737740489</c:v>
                </c:pt>
                <c:pt idx="280">
                  <c:v>40.373147959337018</c:v>
                </c:pt>
                <c:pt idx="281">
                  <c:v>40.09354612311629</c:v>
                </c:pt>
                <c:pt idx="282">
                  <c:v>39.811625477855962</c:v>
                </c:pt>
                <c:pt idx="283">
                  <c:v>39.527083392673902</c:v>
                </c:pt>
                <c:pt idx="284">
                  <c:v>39.239617275291501</c:v>
                </c:pt>
                <c:pt idx="285">
                  <c:v>38.948924569896825</c:v>
                </c:pt>
                <c:pt idx="286">
                  <c:v>38.654702754145625</c:v>
                </c:pt>
                <c:pt idx="287">
                  <c:v>38.35664933880949</c:v>
                </c:pt>
                <c:pt idx="288">
                  <c:v>38.052814413249799</c:v>
                </c:pt>
                <c:pt idx="289">
                  <c:v>37.742178121171584</c:v>
                </c:pt>
                <c:pt idx="290">
                  <c:v>37.425849812599772</c:v>
                </c:pt>
                <c:pt idx="291">
                  <c:v>37.104939296981037</c:v>
                </c:pt>
                <c:pt idx="292">
                  <c:v>36.78055588480656</c:v>
                </c:pt>
                <c:pt idx="293">
                  <c:v>36.453808399758103</c:v>
                </c:pt>
                <c:pt idx="294">
                  <c:v>36.125805183046765</c:v>
                </c:pt>
                <c:pt idx="295">
                  <c:v>35.797588457720884</c:v>
                </c:pt>
                <c:pt idx="296">
                  <c:v>35.470244701021286</c:v>
                </c:pt>
                <c:pt idx="297">
                  <c:v>35.144882343593309</c:v>
                </c:pt>
                <c:pt idx="298">
                  <c:v>34.822609605958561</c:v>
                </c:pt>
                <c:pt idx="299">
                  <c:v>34.504534304688676</c:v>
                </c:pt>
                <c:pt idx="300">
                  <c:v>34.191763851762957</c:v>
                </c:pt>
                <c:pt idx="301">
                  <c:v>33.885405258065674</c:v>
                </c:pt>
                <c:pt idx="302">
                  <c:v>33.583795015921979</c:v>
                </c:pt>
                <c:pt idx="303">
                  <c:v>33.284493946536756</c:v>
                </c:pt>
                <c:pt idx="304">
                  <c:v>32.987513388789779</c:v>
                </c:pt>
                <c:pt idx="305">
                  <c:v>32.692853577574397</c:v>
                </c:pt>
                <c:pt idx="306">
                  <c:v>32.400514734967167</c:v>
                </c:pt>
                <c:pt idx="307">
                  <c:v>32.110497065058986</c:v>
                </c:pt>
                <c:pt idx="308">
                  <c:v>31.822800749370209</c:v>
                </c:pt>
                <c:pt idx="309">
                  <c:v>31.53748833017746</c:v>
                </c:pt>
                <c:pt idx="310">
                  <c:v>31.254617885759163</c:v>
                </c:pt>
                <c:pt idx="311">
                  <c:v>30.974186914114323</c:v>
                </c:pt>
                <c:pt idx="312">
                  <c:v>30.696192914982291</c:v>
                </c:pt>
                <c:pt idx="313">
                  <c:v>30.420633400768754</c:v>
                </c:pt>
                <c:pt idx="314">
                  <c:v>30.14750590047516</c:v>
                </c:pt>
                <c:pt idx="315">
                  <c:v>29.876807973002737</c:v>
                </c:pt>
                <c:pt idx="316">
                  <c:v>29.607447336191388</c:v>
                </c:pt>
                <c:pt idx="317">
                  <c:v>29.338749023750779</c:v>
                </c:pt>
                <c:pt idx="318">
                  <c:v>29.07124633640608</c:v>
                </c:pt>
                <c:pt idx="319">
                  <c:v>28.805437963140509</c:v>
                </c:pt>
                <c:pt idx="320">
                  <c:v>28.541822575247974</c:v>
                </c:pt>
                <c:pt idx="321">
                  <c:v>28.28089883810145</c:v>
                </c:pt>
                <c:pt idx="322">
                  <c:v>28.023165424389848</c:v>
                </c:pt>
                <c:pt idx="323">
                  <c:v>27.769117236305707</c:v>
                </c:pt>
                <c:pt idx="324">
                  <c:v>27.519196742647527</c:v>
                </c:pt>
                <c:pt idx="325">
                  <c:v>27.273903775107929</c:v>
                </c:pt>
                <c:pt idx="326">
                  <c:v>27.033738327681817</c:v>
                </c:pt>
                <c:pt idx="327">
                  <c:v>26.799200223405414</c:v>
                </c:pt>
                <c:pt idx="328">
                  <c:v>26.570789091164791</c:v>
                </c:pt>
                <c:pt idx="329">
                  <c:v>26.349004535652266</c:v>
                </c:pt>
                <c:pt idx="330">
                  <c:v>26.130260171261568</c:v>
                </c:pt>
                <c:pt idx="331">
                  <c:v>25.91147619145519</c:v>
                </c:pt>
                <c:pt idx="332">
                  <c:v>25.693883826806641</c:v>
                </c:pt>
                <c:pt idx="333">
                  <c:v>25.478789526690683</c:v>
                </c:pt>
                <c:pt idx="334">
                  <c:v>25.267499269253761</c:v>
                </c:pt>
                <c:pt idx="335">
                  <c:v>25.061318552409542</c:v>
                </c:pt>
                <c:pt idx="336">
                  <c:v>24.861552377371385</c:v>
                </c:pt>
                <c:pt idx="337">
                  <c:v>24.669496225124291</c:v>
                </c:pt>
                <c:pt idx="338">
                  <c:v>24.486457701323033</c:v>
                </c:pt>
                <c:pt idx="339">
                  <c:v>24.313740329849505</c:v>
                </c:pt>
                <c:pt idx="340">
                  <c:v>24.152647107051198</c:v>
                </c:pt>
                <c:pt idx="341">
                  <c:v>24.004480486276023</c:v>
                </c:pt>
                <c:pt idx="342">
                  <c:v>23.870542371203367</c:v>
                </c:pt>
                <c:pt idx="343">
                  <c:v>23.752134125580866</c:v>
                </c:pt>
                <c:pt idx="344">
                  <c:v>23.646936153830694</c:v>
                </c:pt>
                <c:pt idx="345">
                  <c:v>23.551870761203968</c:v>
                </c:pt>
                <c:pt idx="346">
                  <c:v>23.467123113694374</c:v>
                </c:pt>
                <c:pt idx="347">
                  <c:v>23.392856647371126</c:v>
                </c:pt>
                <c:pt idx="348">
                  <c:v>23.329234709591027</c:v>
                </c:pt>
                <c:pt idx="349">
                  <c:v>23.276420554838655</c:v>
                </c:pt>
                <c:pt idx="350">
                  <c:v>23.234577348107429</c:v>
                </c:pt>
                <c:pt idx="351">
                  <c:v>23.203860619281983</c:v>
                </c:pt>
                <c:pt idx="352">
                  <c:v>23.184442060259833</c:v>
                </c:pt>
                <c:pt idx="353">
                  <c:v>23.176484545056088</c:v>
                </c:pt>
                <c:pt idx="354">
                  <c:v>23.180150858323845</c:v>
                </c:pt>
                <c:pt idx="355">
                  <c:v>23.195603687151863</c:v>
                </c:pt>
                <c:pt idx="356">
                  <c:v>23.22300565771614</c:v>
                </c:pt>
                <c:pt idx="357">
                  <c:v>23.262519267063986</c:v>
                </c:pt>
                <c:pt idx="358">
                  <c:v>23.315171144904362</c:v>
                </c:pt>
                <c:pt idx="359">
                  <c:v>23.381511927786679</c:v>
                </c:pt>
                <c:pt idx="360">
                  <c:v>23.460981649520296</c:v>
                </c:pt>
                <c:pt idx="361">
                  <c:v>23.553036647260541</c:v>
                </c:pt>
                <c:pt idx="362">
                  <c:v>23.657125963105287</c:v>
                </c:pt>
                <c:pt idx="363">
                  <c:v>23.77269882824049</c:v>
                </c:pt>
                <c:pt idx="364">
                  <c:v>23.899204671884071</c:v>
                </c:pt>
                <c:pt idx="365">
                  <c:v>24.036093118743917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23.005863399250064</c:v>
                </c:pt>
                <c:pt idx="1">
                  <c:v>16.288524785397755</c:v>
                </c:pt>
                <c:pt idx="2">
                  <c:v>17.473511104017181</c:v>
                </c:pt>
                <c:pt idx="3">
                  <c:v>18.829392948389724</c:v>
                </c:pt>
                <c:pt idx="4">
                  <c:v>13.766261538645772</c:v>
                </c:pt>
                <c:pt idx="5">
                  <c:v>24.908185691220655</c:v>
                </c:pt>
                <c:pt idx="6">
                  <c:v>9.4461757412559155</c:v>
                </c:pt>
                <c:pt idx="7">
                  <c:v>6.4392567343893985</c:v>
                </c:pt>
                <c:pt idx="8">
                  <c:v>1.7868201224550859</c:v>
                </c:pt>
                <c:pt idx="9">
                  <c:v>1.4340551308458716</c:v>
                </c:pt>
                <c:pt idx="10">
                  <c:v>25.622270697913702</c:v>
                </c:pt>
                <c:pt idx="11">
                  <c:v>23.463183315592971</c:v>
                </c:pt>
                <c:pt idx="12">
                  <c:v>5.0783690936611094</c:v>
                </c:pt>
                <c:pt idx="13">
                  <c:v>26.572550536181652</c:v>
                </c:pt>
                <c:pt idx="14">
                  <c:v>26.910332759715804</c:v>
                </c:pt>
                <c:pt idx="15">
                  <c:v>26.489551776246273</c:v>
                </c:pt>
                <c:pt idx="16">
                  <c:v>17.143169817851906</c:v>
                </c:pt>
                <c:pt idx="17">
                  <c:v>3.6273619788104248</c:v>
                </c:pt>
                <c:pt idx="18">
                  <c:v>11.340124665255178</c:v>
                </c:pt>
                <c:pt idx="19">
                  <c:v>5.281640405794878</c:v>
                </c:pt>
                <c:pt idx="20">
                  <c:v>18.109423694989971</c:v>
                </c:pt>
                <c:pt idx="21">
                  <c:v>27.980296632846112</c:v>
                </c:pt>
                <c:pt idx="22">
                  <c:v>27.788697603897269</c:v>
                </c:pt>
                <c:pt idx="23">
                  <c:v>28.430337331413334</c:v>
                </c:pt>
                <c:pt idx="24">
                  <c:v>27.596234837641838</c:v>
                </c:pt>
                <c:pt idx="25">
                  <c:v>28.438141874909046</c:v>
                </c:pt>
                <c:pt idx="26">
                  <c:v>24.932758478091472</c:v>
                </c:pt>
                <c:pt idx="27">
                  <c:v>3.6871951100838092</c:v>
                </c:pt>
                <c:pt idx="28">
                  <c:v>5.9277728575460173</c:v>
                </c:pt>
                <c:pt idx="29">
                  <c:v>4.2187388509295962</c:v>
                </c:pt>
                <c:pt idx="30">
                  <c:v>10.496432420654042</c:v>
                </c:pt>
                <c:pt idx="31">
                  <c:v>13.315176114464645</c:v>
                </c:pt>
                <c:pt idx="32">
                  <c:v>4.9209598740893812</c:v>
                </c:pt>
                <c:pt idx="33">
                  <c:v>13.75154947607437</c:v>
                </c:pt>
                <c:pt idx="34">
                  <c:v>11.442648947517682</c:v>
                </c:pt>
                <c:pt idx="35">
                  <c:v>9.4822176567109207</c:v>
                </c:pt>
                <c:pt idx="36">
                  <c:v>21.471818250962539</c:v>
                </c:pt>
                <c:pt idx="37">
                  <c:v>13.289390969915505</c:v>
                </c:pt>
                <c:pt idx="38">
                  <c:v>33.535426668950976</c:v>
                </c:pt>
                <c:pt idx="39">
                  <c:v>33.625429269496429</c:v>
                </c:pt>
                <c:pt idx="40">
                  <c:v>31.472109549974746</c:v>
                </c:pt>
                <c:pt idx="41">
                  <c:v>14.646051772375394</c:v>
                </c:pt>
                <c:pt idx="42">
                  <c:v>25.846474406569872</c:v>
                </c:pt>
                <c:pt idx="43">
                  <c:v>31.114900250428793</c:v>
                </c:pt>
                <c:pt idx="44">
                  <c:v>17.116150624839403</c:v>
                </c:pt>
                <c:pt idx="45">
                  <c:v>20.333440933440915</c:v>
                </c:pt>
                <c:pt idx="46">
                  <c:v>8.8876751519174704</c:v>
                </c:pt>
                <c:pt idx="47">
                  <c:v>10.783572881067604</c:v>
                </c:pt>
                <c:pt idx="48">
                  <c:v>30.196801524807192</c:v>
                </c:pt>
                <c:pt idx="49">
                  <c:v>16.41989243831642</c:v>
                </c:pt>
                <c:pt idx="50">
                  <c:v>20.422216762702547</c:v>
                </c:pt>
                <c:pt idx="51">
                  <c:v>20.70689065349109</c:v>
                </c:pt>
                <c:pt idx="52">
                  <c:v>34.277148248248189</c:v>
                </c:pt>
                <c:pt idx="53">
                  <c:v>35.247182199023726</c:v>
                </c:pt>
                <c:pt idx="54">
                  <c:v>21.03482896478755</c:v>
                </c:pt>
                <c:pt idx="55">
                  <c:v>29.909407083882844</c:v>
                </c:pt>
                <c:pt idx="56">
                  <c:v>39.708393586248299</c:v>
                </c:pt>
                <c:pt idx="57">
                  <c:v>26.14282938388569</c:v>
                </c:pt>
                <c:pt idx="58">
                  <c:v>35.062794095494056</c:v>
                </c:pt>
                <c:pt idx="59">
                  <c:v>38.463096856718074</c:v>
                </c:pt>
                <c:pt idx="60">
                  <c:v>15.222361009299288</c:v>
                </c:pt>
                <c:pt idx="61">
                  <c:v>35.464338768522929</c:v>
                </c:pt>
                <c:pt idx="62">
                  <c:v>5.2883017657443148</c:v>
                </c:pt>
                <c:pt idx="63">
                  <c:v>12.355881300796145</c:v>
                </c:pt>
                <c:pt idx="64">
                  <c:v>19.520484525476981</c:v>
                </c:pt>
                <c:pt idx="65">
                  <c:v>37.94778679159694</c:v>
                </c:pt>
                <c:pt idx="66">
                  <c:v>29.872516294584866</c:v>
                </c:pt>
                <c:pt idx="67">
                  <c:v>28.372449081785916</c:v>
                </c:pt>
                <c:pt idx="68">
                  <c:v>22.262182242380867</c:v>
                </c:pt>
                <c:pt idx="69">
                  <c:v>14.13057839926784</c:v>
                </c:pt>
                <c:pt idx="70">
                  <c:v>13.518880826366416</c:v>
                </c:pt>
                <c:pt idx="71">
                  <c:v>8.2208069304052529</c:v>
                </c:pt>
                <c:pt idx="72">
                  <c:v>11.019903314155851</c:v>
                </c:pt>
                <c:pt idx="73">
                  <c:v>13.102933286327161</c:v>
                </c:pt>
                <c:pt idx="74">
                  <c:v>10.985477150344167</c:v>
                </c:pt>
                <c:pt idx="75">
                  <c:v>9.6955071973635221</c:v>
                </c:pt>
                <c:pt idx="76">
                  <c:v>12.411476709478801</c:v>
                </c:pt>
                <c:pt idx="77">
                  <c:v>27.886067836089925</c:v>
                </c:pt>
                <c:pt idx="78">
                  <c:v>30.97783807541386</c:v>
                </c:pt>
                <c:pt idx="79">
                  <c:v>44.576987455162723</c:v>
                </c:pt>
                <c:pt idx="80">
                  <c:v>41.828785503999882</c:v>
                </c:pt>
                <c:pt idx="81">
                  <c:v>46.518658650835171</c:v>
                </c:pt>
                <c:pt idx="82">
                  <c:v>45.668841631061447</c:v>
                </c:pt>
                <c:pt idx="83">
                  <c:v>39.199095163056732</c:v>
                </c:pt>
                <c:pt idx="84">
                  <c:v>43.494382221105383</c:v>
                </c:pt>
                <c:pt idx="85">
                  <c:v>43.461130796966451</c:v>
                </c:pt>
                <c:pt idx="86">
                  <c:v>33.561710076525124</c:v>
                </c:pt>
                <c:pt idx="87">
                  <c:v>25.906547595979628</c:v>
                </c:pt>
                <c:pt idx="88">
                  <c:v>6.5763225627833997</c:v>
                </c:pt>
                <c:pt idx="89">
                  <c:v>26.168120456570556</c:v>
                </c:pt>
                <c:pt idx="90">
                  <c:v>28.540031935244901</c:v>
                </c:pt>
                <c:pt idx="91">
                  <c:v>18.813253525160178</c:v>
                </c:pt>
                <c:pt idx="92">
                  <c:v>23.675516124121394</c:v>
                </c:pt>
                <c:pt idx="93">
                  <c:v>41.976954327238047</c:v>
                </c:pt>
                <c:pt idx="94">
                  <c:v>49.781135298054053</c:v>
                </c:pt>
                <c:pt idx="95">
                  <c:v>11.123818541962578</c:v>
                </c:pt>
                <c:pt idx="96">
                  <c:v>38.036418423497672</c:v>
                </c:pt>
                <c:pt idx="97">
                  <c:v>30.184428568757998</c:v>
                </c:pt>
                <c:pt idx="98">
                  <c:v>34.19735821581051</c:v>
                </c:pt>
                <c:pt idx="99">
                  <c:v>50.89852860601426</c:v>
                </c:pt>
                <c:pt idx="100">
                  <c:v>38.628213316166779</c:v>
                </c:pt>
                <c:pt idx="101">
                  <c:v>34.438963745474666</c:v>
                </c:pt>
                <c:pt idx="102">
                  <c:v>6.7788167513164597</c:v>
                </c:pt>
                <c:pt idx="103">
                  <c:v>37.782655330060379</c:v>
                </c:pt>
                <c:pt idx="104">
                  <c:v>41.615911421260513</c:v>
                </c:pt>
                <c:pt idx="105">
                  <c:v>42.785389075454077</c:v>
                </c:pt>
                <c:pt idx="106">
                  <c:v>50.655890764942569</c:v>
                </c:pt>
                <c:pt idx="107">
                  <c:v>38.10132412996451</c:v>
                </c:pt>
                <c:pt idx="108">
                  <c:v>10.140722547170213</c:v>
                </c:pt>
                <c:pt idx="109">
                  <c:v>9.5376349590239986</c:v>
                </c:pt>
                <c:pt idx="110">
                  <c:v>9.0053292530192532</c:v>
                </c:pt>
                <c:pt idx="111">
                  <c:v>28.594957880354347</c:v>
                </c:pt>
                <c:pt idx="112">
                  <c:v>7.9395984724453328</c:v>
                </c:pt>
                <c:pt idx="113">
                  <c:v>35.781858711073603</c:v>
                </c:pt>
                <c:pt idx="114">
                  <c:v>45.012615014656873</c:v>
                </c:pt>
                <c:pt idx="115">
                  <c:v>50.951286652685702</c:v>
                </c:pt>
                <c:pt idx="116">
                  <c:v>36.590845210435106</c:v>
                </c:pt>
                <c:pt idx="117">
                  <c:v>21.794430645278354</c:v>
                </c:pt>
                <c:pt idx="118">
                  <c:v>41.058100376847229</c:v>
                </c:pt>
                <c:pt idx="119">
                  <c:v>41.638129771865707</c:v>
                </c:pt>
                <c:pt idx="120">
                  <c:v>45.487397691303265</c:v>
                </c:pt>
                <c:pt idx="121">
                  <c:v>27.553879608281449</c:v>
                </c:pt>
                <c:pt idx="122">
                  <c:v>11.152456422473005</c:v>
                </c:pt>
                <c:pt idx="123">
                  <c:v>17.504119659138954</c:v>
                </c:pt>
                <c:pt idx="124">
                  <c:v>37.755827986949313</c:v>
                </c:pt>
                <c:pt idx="125">
                  <c:v>36.770336663184601</c:v>
                </c:pt>
                <c:pt idx="126">
                  <c:v>48.543029039590955</c:v>
                </c:pt>
                <c:pt idx="127">
                  <c:v>50.023044722719369</c:v>
                </c:pt>
                <c:pt idx="128">
                  <c:v>54.956374620940032</c:v>
                </c:pt>
                <c:pt idx="129">
                  <c:v>50.774272385402213</c:v>
                </c:pt>
                <c:pt idx="130">
                  <c:v>55.248271261618605</c:v>
                </c:pt>
                <c:pt idx="131">
                  <c:v>43.311532123067416</c:v>
                </c:pt>
                <c:pt idx="132">
                  <c:v>45.431575178566057</c:v>
                </c:pt>
                <c:pt idx="133">
                  <c:v>47.972559037796422</c:v>
                </c:pt>
                <c:pt idx="134">
                  <c:v>51.868597069728281</c:v>
                </c:pt>
                <c:pt idx="135">
                  <c:v>49.870981133659548</c:v>
                </c:pt>
                <c:pt idx="136">
                  <c:v>53.577449060087034</c:v>
                </c:pt>
                <c:pt idx="137">
                  <c:v>52.102169350809582</c:v>
                </c:pt>
                <c:pt idx="138">
                  <c:v>53.617927841420425</c:v>
                </c:pt>
                <c:pt idx="139">
                  <c:v>47.761999481802853</c:v>
                </c:pt>
                <c:pt idx="140">
                  <c:v>48.880157241802451</c:v>
                </c:pt>
                <c:pt idx="141">
                  <c:v>35.358099041452171</c:v>
                </c:pt>
                <c:pt idx="142">
                  <c:v>17.1071448760412</c:v>
                </c:pt>
                <c:pt idx="143">
                  <c:v>14.012649537661716</c:v>
                </c:pt>
                <c:pt idx="144">
                  <c:v>40.000569455652418</c:v>
                </c:pt>
                <c:pt idx="145">
                  <c:v>21.480367098636588</c:v>
                </c:pt>
                <c:pt idx="146">
                  <c:v>40.166632133076448</c:v>
                </c:pt>
                <c:pt idx="147">
                  <c:v>51.984098149880865</c:v>
                </c:pt>
                <c:pt idx="148">
                  <c:v>56.744920871327793</c:v>
                </c:pt>
                <c:pt idx="149">
                  <c:v>48.432732419636281</c:v>
                </c:pt>
                <c:pt idx="150">
                  <c:v>53.935108512780303</c:v>
                </c:pt>
                <c:pt idx="151">
                  <c:v>54.347419680058714</c:v>
                </c:pt>
                <c:pt idx="152">
                  <c:v>42.739228931584265</c:v>
                </c:pt>
                <c:pt idx="153">
                  <c:v>53.080357901019966</c:v>
                </c:pt>
                <c:pt idx="154">
                  <c:v>29.274731933923725</c:v>
                </c:pt>
                <c:pt idx="155">
                  <c:v>30.189976877819703</c:v>
                </c:pt>
                <c:pt idx="156">
                  <c:v>42.819781483116699</c:v>
                </c:pt>
                <c:pt idx="157">
                  <c:v>28.753016711035954</c:v>
                </c:pt>
                <c:pt idx="158">
                  <c:v>21.605508476919951</c:v>
                </c:pt>
                <c:pt idx="159">
                  <c:v>43.669875461674877</c:v>
                </c:pt>
                <c:pt idx="160">
                  <c:v>55.325255996847773</c:v>
                </c:pt>
                <c:pt idx="161">
                  <c:v>52.825006916169158</c:v>
                </c:pt>
                <c:pt idx="162">
                  <c:v>42.061868714477669</c:v>
                </c:pt>
                <c:pt idx="163">
                  <c:v>50.541134150070448</c:v>
                </c:pt>
                <c:pt idx="164">
                  <c:v>46.214701173592424</c:v>
                </c:pt>
                <c:pt idx="165">
                  <c:v>51.936702651491615</c:v>
                </c:pt>
                <c:pt idx="166">
                  <c:v>49.298316691253063</c:v>
                </c:pt>
                <c:pt idx="167">
                  <c:v>49.845415603483104</c:v>
                </c:pt>
                <c:pt idx="168">
                  <c:v>52.429633606702048</c:v>
                </c:pt>
                <c:pt idx="169">
                  <c:v>53.733557712353523</c:v>
                </c:pt>
                <c:pt idx="170">
                  <c:v>30.867656624015009</c:v>
                </c:pt>
                <c:pt idx="171">
                  <c:v>18.891387506273706</c:v>
                </c:pt>
                <c:pt idx="172">
                  <c:v>45.108828857977507</c:v>
                </c:pt>
                <c:pt idx="173">
                  <c:v>40.496966740983581</c:v>
                </c:pt>
                <c:pt idx="174">
                  <c:v>43.929290541438014</c:v>
                </c:pt>
                <c:pt idx="175">
                  <c:v>30.881490043795672</c:v>
                </c:pt>
                <c:pt idx="176">
                  <c:v>11.198496337400226</c:v>
                </c:pt>
                <c:pt idx="177">
                  <c:v>16.703445584931568</c:v>
                </c:pt>
                <c:pt idx="178">
                  <c:v>55.257278560801666</c:v>
                </c:pt>
                <c:pt idx="179">
                  <c:v>53.028462203226418</c:v>
                </c:pt>
                <c:pt idx="180">
                  <c:v>12.805672442882251</c:v>
                </c:pt>
                <c:pt idx="181">
                  <c:v>50.241729571478501</c:v>
                </c:pt>
                <c:pt idx="182">
                  <c:v>48.155902720969529</c:v>
                </c:pt>
                <c:pt idx="183">
                  <c:v>43.72744751056927</c:v>
                </c:pt>
                <c:pt idx="184">
                  <c:v>44.799909410011075</c:v>
                </c:pt>
                <c:pt idx="185">
                  <c:v>52.673983028452483</c:v>
                </c:pt>
                <c:pt idx="186">
                  <c:v>40.599742484971642</c:v>
                </c:pt>
                <c:pt idx="187">
                  <c:v>49.961163476773365</c:v>
                </c:pt>
                <c:pt idx="188">
                  <c:v>54.442540267110246</c:v>
                </c:pt>
                <c:pt idx="189">
                  <c:v>53.618755234954229</c:v>
                </c:pt>
                <c:pt idx="190">
                  <c:v>53.41080331674619</c:v>
                </c:pt>
                <c:pt idx="191">
                  <c:v>52.15886000334087</c:v>
                </c:pt>
                <c:pt idx="192">
                  <c:v>51.754071577208968</c:v>
                </c:pt>
                <c:pt idx="193">
                  <c:v>51.758147104239612</c:v>
                </c:pt>
                <c:pt idx="194">
                  <c:v>51.15347661653913</c:v>
                </c:pt>
                <c:pt idx="195">
                  <c:v>49.569743470784147</c:v>
                </c:pt>
                <c:pt idx="196">
                  <c:v>51.100728879465599</c:v>
                </c:pt>
                <c:pt idx="197">
                  <c:v>50.760849754794712</c:v>
                </c:pt>
                <c:pt idx="198">
                  <c:v>51.523800209640726</c:v>
                </c:pt>
                <c:pt idx="199">
                  <c:v>40.724735564753843</c:v>
                </c:pt>
                <c:pt idx="200">
                  <c:v>39.697983122325347</c:v>
                </c:pt>
                <c:pt idx="201">
                  <c:v>50.328601345236493</c:v>
                </c:pt>
                <c:pt idx="202">
                  <c:v>39.302274402494383</c:v>
                </c:pt>
                <c:pt idx="203">
                  <c:v>46.197248550017143</c:v>
                </c:pt>
                <c:pt idx="204">
                  <c:v>50.658272758814533</c:v>
                </c:pt>
                <c:pt idx="205">
                  <c:v>29.339193768919522</c:v>
                </c:pt>
                <c:pt idx="206">
                  <c:v>50.900705453575448</c:v>
                </c:pt>
                <c:pt idx="207">
                  <c:v>53.777979945716694</c:v>
                </c:pt>
                <c:pt idx="208">
                  <c:v>45.269817927324354</c:v>
                </c:pt>
                <c:pt idx="209">
                  <c:v>26.49936312554496</c:v>
                </c:pt>
                <c:pt idx="210">
                  <c:v>45.728338701922183</c:v>
                </c:pt>
                <c:pt idx="211">
                  <c:v>52.300628474976286</c:v>
                </c:pt>
                <c:pt idx="212">
                  <c:v>52.086504083603344</c:v>
                </c:pt>
                <c:pt idx="213">
                  <c:v>52.293413077478448</c:v>
                </c:pt>
                <c:pt idx="214">
                  <c:v>50.104942126125863</c:v>
                </c:pt>
                <c:pt idx="215">
                  <c:v>47.017572340181729</c:v>
                </c:pt>
                <c:pt idx="216">
                  <c:v>43.744541171009018</c:v>
                </c:pt>
                <c:pt idx="217">
                  <c:v>47.934562652292229</c:v>
                </c:pt>
                <c:pt idx="218">
                  <c:v>50.948696384343549</c:v>
                </c:pt>
                <c:pt idx="219">
                  <c:v>51.766286095143748</c:v>
                </c:pt>
                <c:pt idx="220">
                  <c:v>50.034285366040798</c:v>
                </c:pt>
                <c:pt idx="221">
                  <c:v>47.973551964591316</c:v>
                </c:pt>
                <c:pt idx="222">
                  <c:v>44.14649720239656</c:v>
                </c:pt>
                <c:pt idx="223">
                  <c:v>46.330540795460351</c:v>
                </c:pt>
                <c:pt idx="224">
                  <c:v>32.273015724543114</c:v>
                </c:pt>
                <c:pt idx="225">
                  <c:v>33.553103261474227</c:v>
                </c:pt>
                <c:pt idx="226">
                  <c:v>38.472179824580657</c:v>
                </c:pt>
                <c:pt idx="227">
                  <c:v>32.316863740157181</c:v>
                </c:pt>
                <c:pt idx="228">
                  <c:v>22.214258962384154</c:v>
                </c:pt>
                <c:pt idx="229">
                  <c:v>38.65361995236271</c:v>
                </c:pt>
                <c:pt idx="230">
                  <c:v>40.021666913762139</c:v>
                </c:pt>
                <c:pt idx="231">
                  <c:v>47.66199588073723</c:v>
                </c:pt>
                <c:pt idx="232">
                  <c:v>32.130284321349365</c:v>
                </c:pt>
                <c:pt idx="233">
                  <c:v>25.032908457251825</c:v>
                </c:pt>
                <c:pt idx="234">
                  <c:v>44.776961438982454</c:v>
                </c:pt>
                <c:pt idx="235">
                  <c:v>46.262367228317586</c:v>
                </c:pt>
                <c:pt idx="236">
                  <c:v>33.009841595556985</c:v>
                </c:pt>
                <c:pt idx="237">
                  <c:v>41.469096600161087</c:v>
                </c:pt>
                <c:pt idx="238">
                  <c:v>48.857943871251358</c:v>
                </c:pt>
                <c:pt idx="239">
                  <c:v>47.948336835257301</c:v>
                </c:pt>
                <c:pt idx="240">
                  <c:v>32.327178514451745</c:v>
                </c:pt>
                <c:pt idx="241">
                  <c:v>46.938676864734546</c:v>
                </c:pt>
                <c:pt idx="242">
                  <c:v>22.091094624864258</c:v>
                </c:pt>
                <c:pt idx="243">
                  <c:v>42.584093768006596</c:v>
                </c:pt>
                <c:pt idx="244">
                  <c:v>39.059988757881655</c:v>
                </c:pt>
                <c:pt idx="245">
                  <c:v>32.612948920062706</c:v>
                </c:pt>
                <c:pt idx="246">
                  <c:v>47.300591638720377</c:v>
                </c:pt>
                <c:pt idx="247">
                  <c:v>39.986492231049631</c:v>
                </c:pt>
                <c:pt idx="248">
                  <c:v>45.348100171298455</c:v>
                </c:pt>
                <c:pt idx="249">
                  <c:v>35.282715505606269</c:v>
                </c:pt>
                <c:pt idx="250">
                  <c:v>38.636188531394247</c:v>
                </c:pt>
                <c:pt idx="251">
                  <c:v>21.508470271089625</c:v>
                </c:pt>
                <c:pt idx="252">
                  <c:v>45.437233598501017</c:v>
                </c:pt>
                <c:pt idx="253">
                  <c:v>45.971174219716886</c:v>
                </c:pt>
                <c:pt idx="254">
                  <c:v>32.195683540334635</c:v>
                </c:pt>
                <c:pt idx="255">
                  <c:v>11.415966630400932</c:v>
                </c:pt>
                <c:pt idx="256">
                  <c:v>37.883094003908077</c:v>
                </c:pt>
                <c:pt idx="257">
                  <c:v>41.611500496339978</c:v>
                </c:pt>
                <c:pt idx="258">
                  <c:v>27.704850505342996</c:v>
                </c:pt>
                <c:pt idx="259">
                  <c:v>47.910990198463843</c:v>
                </c:pt>
                <c:pt idx="260">
                  <c:v>46.322410452270894</c:v>
                </c:pt>
                <c:pt idx="261">
                  <c:v>45.128323821763772</c:v>
                </c:pt>
                <c:pt idx="262">
                  <c:v>46.488615614370786</c:v>
                </c:pt>
                <c:pt idx="263">
                  <c:v>45.355368151072824</c:v>
                </c:pt>
                <c:pt idx="264">
                  <c:v>44.173461667546697</c:v>
                </c:pt>
                <c:pt idx="265">
                  <c:v>27.909335257238315</c:v>
                </c:pt>
                <c:pt idx="266">
                  <c:v>17.495319409311634</c:v>
                </c:pt>
                <c:pt idx="267">
                  <c:v>30.969749438496084</c:v>
                </c:pt>
                <c:pt idx="268">
                  <c:v>33.398737672828588</c:v>
                </c:pt>
                <c:pt idx="269">
                  <c:v>15.095564804793554</c:v>
                </c:pt>
                <c:pt idx="270">
                  <c:v>17.345225249768944</c:v>
                </c:pt>
                <c:pt idx="271">
                  <c:v>23.788327833541839</c:v>
                </c:pt>
                <c:pt idx="272">
                  <c:v>29.068263202556423</c:v>
                </c:pt>
                <c:pt idx="273">
                  <c:v>37.577179085331046</c:v>
                </c:pt>
                <c:pt idx="274">
                  <c:v>40.389925225820519</c:v>
                </c:pt>
                <c:pt idx="275">
                  <c:v>37.398336492129772</c:v>
                </c:pt>
                <c:pt idx="276">
                  <c:v>41.8046529886876</c:v>
                </c:pt>
                <c:pt idx="277">
                  <c:v>42.402962241908114</c:v>
                </c:pt>
                <c:pt idx="278">
                  <c:v>15.179229193737788</c:v>
                </c:pt>
                <c:pt idx="279">
                  <c:v>29.213290559251227</c:v>
                </c:pt>
                <c:pt idx="280">
                  <c:v>16.345383169400897</c:v>
                </c:pt>
                <c:pt idx="281">
                  <c:v>39.154465087948012</c:v>
                </c:pt>
                <c:pt idx="282">
                  <c:v>31.600632385478438</c:v>
                </c:pt>
                <c:pt idx="283">
                  <c:v>24.937125943118996</c:v>
                </c:pt>
                <c:pt idx="284">
                  <c:v>28.022093919022495</c:v>
                </c:pt>
                <c:pt idx="285">
                  <c:v>22.684770230978049</c:v>
                </c:pt>
                <c:pt idx="286">
                  <c:v>17.830154531982895</c:v>
                </c:pt>
                <c:pt idx="287">
                  <c:v>38.054579790652696</c:v>
                </c:pt>
                <c:pt idx="288">
                  <c:v>34.237707607170364</c:v>
                </c:pt>
                <c:pt idx="289">
                  <c:v>20.510731450395692</c:v>
                </c:pt>
                <c:pt idx="290">
                  <c:v>34.738804800068344</c:v>
                </c:pt>
                <c:pt idx="291">
                  <c:v>15.624786008799624</c:v>
                </c:pt>
                <c:pt idx="292">
                  <c:v>9.146409433873723</c:v>
                </c:pt>
                <c:pt idx="293">
                  <c:v>15.520632468531588</c:v>
                </c:pt>
                <c:pt idx="294">
                  <c:v>34.197204511714126</c:v>
                </c:pt>
                <c:pt idx="295">
                  <c:v>19.133495173083482</c:v>
                </c:pt>
                <c:pt idx="296">
                  <c:v>26.258774410386106</c:v>
                </c:pt>
                <c:pt idx="297">
                  <c:v>22.35165199386735</c:v>
                </c:pt>
                <c:pt idx="298">
                  <c:v>17.882368299093613</c:v>
                </c:pt>
                <c:pt idx="299">
                  <c:v>14.008126124885312</c:v>
                </c:pt>
                <c:pt idx="300">
                  <c:v>18.455625592641947</c:v>
                </c:pt>
                <c:pt idx="301">
                  <c:v>27.248276006475621</c:v>
                </c:pt>
                <c:pt idx="302">
                  <c:v>22.879611389178322</c:v>
                </c:pt>
                <c:pt idx="303">
                  <c:v>21.989208698416487</c:v>
                </c:pt>
                <c:pt idx="304">
                  <c:v>20.892196133250181</c:v>
                </c:pt>
                <c:pt idx="305">
                  <c:v>30.144181077386406</c:v>
                </c:pt>
                <c:pt idx="306">
                  <c:v>9.7265271018052282</c:v>
                </c:pt>
                <c:pt idx="307">
                  <c:v>14.356193876049218</c:v>
                </c:pt>
                <c:pt idx="308">
                  <c:v>30.573828144675673</c:v>
                </c:pt>
                <c:pt idx="309">
                  <c:v>31.473939731136046</c:v>
                </c:pt>
                <c:pt idx="310">
                  <c:v>30.388941856181045</c:v>
                </c:pt>
                <c:pt idx="311">
                  <c:v>18.423034077452019</c:v>
                </c:pt>
                <c:pt idx="312">
                  <c:v>9.1782497159644549</c:v>
                </c:pt>
                <c:pt idx="313">
                  <c:v>24.677979155781664</c:v>
                </c:pt>
                <c:pt idx="314">
                  <c:v>28.775277867123286</c:v>
                </c:pt>
                <c:pt idx="315">
                  <c:v>28.636596385442672</c:v>
                </c:pt>
                <c:pt idx="316">
                  <c:v>25.106850562065507</c:v>
                </c:pt>
                <c:pt idx="317">
                  <c:v>11.78706266338496</c:v>
                </c:pt>
                <c:pt idx="318">
                  <c:v>12.765847995372846</c:v>
                </c:pt>
                <c:pt idx="319">
                  <c:v>28.35794373106215</c:v>
                </c:pt>
                <c:pt idx="320">
                  <c:v>14.609964505330035</c:v>
                </c:pt>
                <c:pt idx="321">
                  <c:v>13.036320434193899</c:v>
                </c:pt>
                <c:pt idx="322">
                  <c:v>8.6694647921906345</c:v>
                </c:pt>
                <c:pt idx="323">
                  <c:v>17.827656049184785</c:v>
                </c:pt>
                <c:pt idx="324">
                  <c:v>3.0513808045248698</c:v>
                </c:pt>
                <c:pt idx="325">
                  <c:v>9.5316372106775855</c:v>
                </c:pt>
                <c:pt idx="326">
                  <c:v>15.603743251471604</c:v>
                </c:pt>
                <c:pt idx="327">
                  <c:v>13.960492832118691</c:v>
                </c:pt>
                <c:pt idx="328">
                  <c:v>4.5879818158264447</c:v>
                </c:pt>
                <c:pt idx="329">
                  <c:v>10.709572861755035</c:v>
                </c:pt>
                <c:pt idx="330">
                  <c:v>14.73249260968881</c:v>
                </c:pt>
                <c:pt idx="331">
                  <c:v>10.409740765617169</c:v>
                </c:pt>
                <c:pt idx="332">
                  <c:v>12.703560404970647</c:v>
                </c:pt>
                <c:pt idx="333">
                  <c:v>3.9611595243056739</c:v>
                </c:pt>
                <c:pt idx="334">
                  <c:v>3.5045768434989188</c:v>
                </c:pt>
                <c:pt idx="335">
                  <c:v>5.0725794581996047</c:v>
                </c:pt>
                <c:pt idx="336">
                  <c:v>9.9972686881812365</c:v>
                </c:pt>
                <c:pt idx="337">
                  <c:v>18.143910927278956</c:v>
                </c:pt>
                <c:pt idx="338">
                  <c:v>25.579786227144655</c:v>
                </c:pt>
                <c:pt idx="339">
                  <c:v>14.299030143447396</c:v>
                </c:pt>
                <c:pt idx="340">
                  <c:v>20.206316607084961</c:v>
                </c:pt>
                <c:pt idx="341">
                  <c:v>3.7239910041893625</c:v>
                </c:pt>
                <c:pt idx="342">
                  <c:v>8.4085050286703229</c:v>
                </c:pt>
                <c:pt idx="343">
                  <c:v>15.549559440765037</c:v>
                </c:pt>
                <c:pt idx="344">
                  <c:v>16.683070118684313</c:v>
                </c:pt>
                <c:pt idx="345">
                  <c:v>5.3625791919603154</c:v>
                </c:pt>
                <c:pt idx="346">
                  <c:v>5.0193987653650947</c:v>
                </c:pt>
                <c:pt idx="347">
                  <c:v>16.296952068161854</c:v>
                </c:pt>
                <c:pt idx="348">
                  <c:v>5.9474580321351214</c:v>
                </c:pt>
                <c:pt idx="349">
                  <c:v>4.9220955082592761</c:v>
                </c:pt>
                <c:pt idx="350">
                  <c:v>2.9089000488758083</c:v>
                </c:pt>
                <c:pt idx="351">
                  <c:v>19.274082986350223</c:v>
                </c:pt>
                <c:pt idx="352">
                  <c:v>18.119087213568974</c:v>
                </c:pt>
                <c:pt idx="353">
                  <c:v>3.5960560530930361</c:v>
                </c:pt>
                <c:pt idx="354">
                  <c:v>21.418275890855806</c:v>
                </c:pt>
                <c:pt idx="355">
                  <c:v>18.702638597024372</c:v>
                </c:pt>
                <c:pt idx="356">
                  <c:v>19.533425117385651</c:v>
                </c:pt>
                <c:pt idx="357">
                  <c:v>22.305384186417648</c:v>
                </c:pt>
                <c:pt idx="358">
                  <c:v>10.894023187383583</c:v>
                </c:pt>
                <c:pt idx="359">
                  <c:v>20.04003907244962</c:v>
                </c:pt>
                <c:pt idx="360">
                  <c:v>6.409405804867145</c:v>
                </c:pt>
                <c:pt idx="361">
                  <c:v>19.57319087496337</c:v>
                </c:pt>
                <c:pt idx="362">
                  <c:v>10.723684380735321</c:v>
                </c:pt>
                <c:pt idx="363">
                  <c:v>15.148261222257101</c:v>
                </c:pt>
                <c:pt idx="364">
                  <c:v>12.203130260681224</c:v>
                </c:pt>
                <c:pt idx="365">
                  <c:v>15.567191774859507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23.005863399250064</c:v>
                </c:pt>
                <c:pt idx="1">
                  <c:v>16.288524785397755</c:v>
                </c:pt>
                <c:pt idx="2">
                  <c:v>17.473511104017181</c:v>
                </c:pt>
                <c:pt idx="3">
                  <c:v>18.829392948389724</c:v>
                </c:pt>
                <c:pt idx="4">
                  <c:v>13.766261538645772</c:v>
                </c:pt>
                <c:pt idx="5">
                  <c:v>24.908185691220655</c:v>
                </c:pt>
                <c:pt idx="6">
                  <c:v>9.4461757412559155</c:v>
                </c:pt>
                <c:pt idx="7">
                  <c:v>6.4392567343893985</c:v>
                </c:pt>
                <c:pt idx="8">
                  <c:v>1.7868201224550859</c:v>
                </c:pt>
                <c:pt idx="9">
                  <c:v>1.4340551308458716</c:v>
                </c:pt>
                <c:pt idx="10">
                  <c:v>25.622270697913702</c:v>
                </c:pt>
                <c:pt idx="11">
                  <c:v>23.463183315592971</c:v>
                </c:pt>
                <c:pt idx="12">
                  <c:v>5.0783690936611094</c:v>
                </c:pt>
                <c:pt idx="13">
                  <c:v>26.572550536181652</c:v>
                </c:pt>
                <c:pt idx="14">
                  <c:v>26.910332759715804</c:v>
                </c:pt>
                <c:pt idx="15">
                  <c:v>26.489551776246273</c:v>
                </c:pt>
                <c:pt idx="16">
                  <c:v>17.143169817851906</c:v>
                </c:pt>
                <c:pt idx="17">
                  <c:v>3.6273619788104248</c:v>
                </c:pt>
                <c:pt idx="18">
                  <c:v>11.340124665255178</c:v>
                </c:pt>
                <c:pt idx="19">
                  <c:v>5.281640405794878</c:v>
                </c:pt>
                <c:pt idx="20">
                  <c:v>18.109423694989971</c:v>
                </c:pt>
                <c:pt idx="21">
                  <c:v>27.980296632846112</c:v>
                </c:pt>
                <c:pt idx="22">
                  <c:v>27.788697603897269</c:v>
                </c:pt>
                <c:pt idx="23">
                  <c:v>28.430337331413334</c:v>
                </c:pt>
                <c:pt idx="24">
                  <c:v>27.596234837641838</c:v>
                </c:pt>
                <c:pt idx="25">
                  <c:v>28.438141874909046</c:v>
                </c:pt>
                <c:pt idx="26">
                  <c:v>24.932758478091472</c:v>
                </c:pt>
                <c:pt idx="27">
                  <c:v>3.6871951100838092</c:v>
                </c:pt>
                <c:pt idx="28">
                  <c:v>5.9277728575460173</c:v>
                </c:pt>
                <c:pt idx="29">
                  <c:v>4.2187388509295962</c:v>
                </c:pt>
                <c:pt idx="30">
                  <c:v>10.496432420654042</c:v>
                </c:pt>
                <c:pt idx="31">
                  <c:v>13.315176114464645</c:v>
                </c:pt>
                <c:pt idx="32">
                  <c:v>4.9209598740893812</c:v>
                </c:pt>
                <c:pt idx="33">
                  <c:v>13.75154947607437</c:v>
                </c:pt>
                <c:pt idx="34">
                  <c:v>11.442648947517682</c:v>
                </c:pt>
                <c:pt idx="35">
                  <c:v>9.4822176567109207</c:v>
                </c:pt>
                <c:pt idx="36">
                  <c:v>21.471818250962539</c:v>
                </c:pt>
                <c:pt idx="37">
                  <c:v>13.289390969915505</c:v>
                </c:pt>
                <c:pt idx="38">
                  <c:v>33.535426668950976</c:v>
                </c:pt>
                <c:pt idx="39">
                  <c:v>33.625429269496429</c:v>
                </c:pt>
                <c:pt idx="40">
                  <c:v>31.472109549974746</c:v>
                </c:pt>
                <c:pt idx="41">
                  <c:v>14.646051772375394</c:v>
                </c:pt>
                <c:pt idx="42">
                  <c:v>25.846474406569872</c:v>
                </c:pt>
                <c:pt idx="43">
                  <c:v>31.114900250428793</c:v>
                </c:pt>
                <c:pt idx="44">
                  <c:v>17.116150624839403</c:v>
                </c:pt>
                <c:pt idx="45">
                  <c:v>20.333440933440915</c:v>
                </c:pt>
                <c:pt idx="46">
                  <c:v>8.8876751519174704</c:v>
                </c:pt>
                <c:pt idx="47">
                  <c:v>10.783572881067604</c:v>
                </c:pt>
                <c:pt idx="48">
                  <c:v>30.196801524807192</c:v>
                </c:pt>
                <c:pt idx="49">
                  <c:v>16.41989243831642</c:v>
                </c:pt>
                <c:pt idx="50">
                  <c:v>20.422216762702547</c:v>
                </c:pt>
                <c:pt idx="51">
                  <c:v>20.70689065349109</c:v>
                </c:pt>
                <c:pt idx="52">
                  <c:v>34.277148248248189</c:v>
                </c:pt>
                <c:pt idx="53">
                  <c:v>35.247182199023726</c:v>
                </c:pt>
                <c:pt idx="54">
                  <c:v>21.03482896478755</c:v>
                </c:pt>
                <c:pt idx="55">
                  <c:v>29.909407083882844</c:v>
                </c:pt>
                <c:pt idx="56">
                  <c:v>39.708393586248299</c:v>
                </c:pt>
                <c:pt idx="57">
                  <c:v>26.14282938388569</c:v>
                </c:pt>
                <c:pt idx="58">
                  <c:v>35.062794095494056</c:v>
                </c:pt>
                <c:pt idx="59">
                  <c:v>38.463096856718074</c:v>
                </c:pt>
                <c:pt idx="60">
                  <c:v>15.222361009299288</c:v>
                </c:pt>
                <c:pt idx="61">
                  <c:v>35.464338768522929</c:v>
                </c:pt>
                <c:pt idx="62">
                  <c:v>5.2883017657443148</c:v>
                </c:pt>
                <c:pt idx="63">
                  <c:v>12.355881300796145</c:v>
                </c:pt>
                <c:pt idx="64">
                  <c:v>19.520484525476981</c:v>
                </c:pt>
                <c:pt idx="65">
                  <c:v>37.94778679159694</c:v>
                </c:pt>
                <c:pt idx="66">
                  <c:v>29.872516294584866</c:v>
                </c:pt>
                <c:pt idx="67">
                  <c:v>28.372449081785916</c:v>
                </c:pt>
                <c:pt idx="68">
                  <c:v>22.262182242380867</c:v>
                </c:pt>
                <c:pt idx="69">
                  <c:v>14.13057839926784</c:v>
                </c:pt>
                <c:pt idx="70">
                  <c:v>13.518880826366416</c:v>
                </c:pt>
                <c:pt idx="71">
                  <c:v>8.2208069304052529</c:v>
                </c:pt>
                <c:pt idx="72">
                  <c:v>11.019903314155851</c:v>
                </c:pt>
                <c:pt idx="73">
                  <c:v>13.102933286327161</c:v>
                </c:pt>
                <c:pt idx="74">
                  <c:v>10.985477150344167</c:v>
                </c:pt>
                <c:pt idx="75">
                  <c:v>9.6955071973635221</c:v>
                </c:pt>
                <c:pt idx="76">
                  <c:v>12.411476709478801</c:v>
                </c:pt>
                <c:pt idx="77">
                  <c:v>27.886067836089925</c:v>
                </c:pt>
                <c:pt idx="78">
                  <c:v>30.97783807541386</c:v>
                </c:pt>
                <c:pt idx="79">
                  <c:v>44.576987455162723</c:v>
                </c:pt>
                <c:pt idx="80">
                  <c:v>41.828785503999882</c:v>
                </c:pt>
                <c:pt idx="81">
                  <c:v>46.518658650835171</c:v>
                </c:pt>
                <c:pt idx="82">
                  <c:v>45.668841631061447</c:v>
                </c:pt>
                <c:pt idx="83">
                  <c:v>39.199095163056732</c:v>
                </c:pt>
                <c:pt idx="84">
                  <c:v>43.494382221105383</c:v>
                </c:pt>
                <c:pt idx="85">
                  <c:v>43.461130796966451</c:v>
                </c:pt>
                <c:pt idx="86">
                  <c:v>33.561710076525124</c:v>
                </c:pt>
                <c:pt idx="87">
                  <c:v>25.906547595979628</c:v>
                </c:pt>
                <c:pt idx="88">
                  <c:v>6.5763225627833997</c:v>
                </c:pt>
                <c:pt idx="89">
                  <c:v>26.168120456570556</c:v>
                </c:pt>
                <c:pt idx="90">
                  <c:v>28.540031935244901</c:v>
                </c:pt>
                <c:pt idx="91">
                  <c:v>18.813253525160178</c:v>
                </c:pt>
                <c:pt idx="92">
                  <c:v>23.675516124121394</c:v>
                </c:pt>
                <c:pt idx="93">
                  <c:v>41.976954327238047</c:v>
                </c:pt>
                <c:pt idx="94">
                  <c:v>49.781135298054053</c:v>
                </c:pt>
                <c:pt idx="95">
                  <c:v>11.123818541962578</c:v>
                </c:pt>
                <c:pt idx="96">
                  <c:v>38.036418423497672</c:v>
                </c:pt>
                <c:pt idx="97">
                  <c:v>30.184428568757998</c:v>
                </c:pt>
                <c:pt idx="98">
                  <c:v>34.19735821581051</c:v>
                </c:pt>
                <c:pt idx="99">
                  <c:v>50.89852860601426</c:v>
                </c:pt>
                <c:pt idx="100">
                  <c:v>38.628213316166779</c:v>
                </c:pt>
                <c:pt idx="101">
                  <c:v>34.438963745474666</c:v>
                </c:pt>
                <c:pt idx="102">
                  <c:v>6.7788167513164597</c:v>
                </c:pt>
                <c:pt idx="103">
                  <c:v>37.782655330060379</c:v>
                </c:pt>
                <c:pt idx="104">
                  <c:v>41.615911421260513</c:v>
                </c:pt>
                <c:pt idx="105">
                  <c:v>42.785389075454077</c:v>
                </c:pt>
                <c:pt idx="106">
                  <c:v>50.655890764942569</c:v>
                </c:pt>
                <c:pt idx="107">
                  <c:v>38.10132412996451</c:v>
                </c:pt>
                <c:pt idx="108">
                  <c:v>10.140722547170213</c:v>
                </c:pt>
                <c:pt idx="109">
                  <c:v>9.5376349590239986</c:v>
                </c:pt>
                <c:pt idx="110">
                  <c:v>9.0053292530192532</c:v>
                </c:pt>
                <c:pt idx="111">
                  <c:v>28.594957880354347</c:v>
                </c:pt>
                <c:pt idx="112">
                  <c:v>7.9395984724453328</c:v>
                </c:pt>
                <c:pt idx="113">
                  <c:v>35.781858711073603</c:v>
                </c:pt>
                <c:pt idx="114">
                  <c:v>45.012615014656873</c:v>
                </c:pt>
                <c:pt idx="115">
                  <c:v>50.951286652685702</c:v>
                </c:pt>
                <c:pt idx="116">
                  <c:v>36.590845210435106</c:v>
                </c:pt>
                <c:pt idx="117">
                  <c:v>21.794430645278354</c:v>
                </c:pt>
                <c:pt idx="118">
                  <c:v>41.058100376847229</c:v>
                </c:pt>
                <c:pt idx="119">
                  <c:v>41.638129771865707</c:v>
                </c:pt>
                <c:pt idx="120">
                  <c:v>45.487397691303265</c:v>
                </c:pt>
                <c:pt idx="121">
                  <c:v>27.553879608281449</c:v>
                </c:pt>
                <c:pt idx="122">
                  <c:v>11.152456422473005</c:v>
                </c:pt>
                <c:pt idx="123">
                  <c:v>17.504119659138954</c:v>
                </c:pt>
                <c:pt idx="124">
                  <c:v>37.755827986949313</c:v>
                </c:pt>
                <c:pt idx="125">
                  <c:v>36.770336663184601</c:v>
                </c:pt>
                <c:pt idx="126">
                  <c:v>48.543029039590955</c:v>
                </c:pt>
                <c:pt idx="127">
                  <c:v>50.023044722719369</c:v>
                </c:pt>
                <c:pt idx="128">
                  <c:v>54.956374620940032</c:v>
                </c:pt>
                <c:pt idx="129">
                  <c:v>50.774272385402213</c:v>
                </c:pt>
                <c:pt idx="130">
                  <c:v>55.248271261618605</c:v>
                </c:pt>
                <c:pt idx="131">
                  <c:v>43.311532123067416</c:v>
                </c:pt>
                <c:pt idx="132">
                  <c:v>45.431575178566057</c:v>
                </c:pt>
                <c:pt idx="133">
                  <c:v>47.972559037796422</c:v>
                </c:pt>
                <c:pt idx="134">
                  <c:v>51.868597069728281</c:v>
                </c:pt>
                <c:pt idx="135">
                  <c:v>49.870981133659548</c:v>
                </c:pt>
                <c:pt idx="136">
                  <c:v>53.577449060087034</c:v>
                </c:pt>
                <c:pt idx="137">
                  <c:v>52.102169350809582</c:v>
                </c:pt>
                <c:pt idx="138">
                  <c:v>53.617927841420425</c:v>
                </c:pt>
                <c:pt idx="139">
                  <c:v>47.761999481802853</c:v>
                </c:pt>
                <c:pt idx="140">
                  <c:v>48.880157241802451</c:v>
                </c:pt>
                <c:pt idx="141">
                  <c:v>35.358099041452171</c:v>
                </c:pt>
                <c:pt idx="142">
                  <c:v>17.1071448760412</c:v>
                </c:pt>
                <c:pt idx="143">
                  <c:v>14.012649537661716</c:v>
                </c:pt>
                <c:pt idx="144">
                  <c:v>40.000569455652418</c:v>
                </c:pt>
                <c:pt idx="145">
                  <c:v>21.480367098636588</c:v>
                </c:pt>
                <c:pt idx="146">
                  <c:v>40.166632133076448</c:v>
                </c:pt>
                <c:pt idx="147">
                  <c:v>51.984098149880865</c:v>
                </c:pt>
                <c:pt idx="148">
                  <c:v>56.744920871327793</c:v>
                </c:pt>
                <c:pt idx="149">
                  <c:v>48.432732419636281</c:v>
                </c:pt>
                <c:pt idx="150">
                  <c:v>53.935108512780303</c:v>
                </c:pt>
                <c:pt idx="151">
                  <c:v>54.347419680058714</c:v>
                </c:pt>
                <c:pt idx="152">
                  <c:v>42.739228931584265</c:v>
                </c:pt>
                <c:pt idx="153">
                  <c:v>53.080357901019966</c:v>
                </c:pt>
                <c:pt idx="154">
                  <c:v>29.274731933923725</c:v>
                </c:pt>
                <c:pt idx="155">
                  <c:v>30.189976877819703</c:v>
                </c:pt>
                <c:pt idx="156">
                  <c:v>42.819781483116699</c:v>
                </c:pt>
                <c:pt idx="157">
                  <c:v>28.753016711035954</c:v>
                </c:pt>
                <c:pt idx="158">
                  <c:v>21.605508476919951</c:v>
                </c:pt>
                <c:pt idx="159">
                  <c:v>43.669875461674877</c:v>
                </c:pt>
                <c:pt idx="160">
                  <c:v>55.325255996847773</c:v>
                </c:pt>
                <c:pt idx="161">
                  <c:v>52.825006916169158</c:v>
                </c:pt>
                <c:pt idx="162">
                  <c:v>42.061868714477669</c:v>
                </c:pt>
                <c:pt idx="163">
                  <c:v>50.541134150070448</c:v>
                </c:pt>
                <c:pt idx="164">
                  <c:v>46.214701173592424</c:v>
                </c:pt>
                <c:pt idx="165">
                  <c:v>51.936702651491615</c:v>
                </c:pt>
                <c:pt idx="166">
                  <c:v>49.298316691253063</c:v>
                </c:pt>
                <c:pt idx="167">
                  <c:v>49.845415603483104</c:v>
                </c:pt>
                <c:pt idx="168">
                  <c:v>52.429633606702048</c:v>
                </c:pt>
                <c:pt idx="169">
                  <c:v>53.733557712353523</c:v>
                </c:pt>
                <c:pt idx="170">
                  <c:v>30.867656624015009</c:v>
                </c:pt>
                <c:pt idx="171">
                  <c:v>18.891387506273706</c:v>
                </c:pt>
                <c:pt idx="172">
                  <c:v>45.108828857977507</c:v>
                </c:pt>
                <c:pt idx="173">
                  <c:v>40.496966740983581</c:v>
                </c:pt>
                <c:pt idx="174">
                  <c:v>43.929290541438014</c:v>
                </c:pt>
                <c:pt idx="175">
                  <c:v>30.881490043795672</c:v>
                </c:pt>
                <c:pt idx="176">
                  <c:v>11.198496337400226</c:v>
                </c:pt>
                <c:pt idx="177">
                  <c:v>16.703445584931568</c:v>
                </c:pt>
                <c:pt idx="178">
                  <c:v>55.257278560801666</c:v>
                </c:pt>
                <c:pt idx="179">
                  <c:v>53.028462203226418</c:v>
                </c:pt>
                <c:pt idx="180">
                  <c:v>12.805672442882251</c:v>
                </c:pt>
                <c:pt idx="181">
                  <c:v>50.241729571478501</c:v>
                </c:pt>
                <c:pt idx="182">
                  <c:v>48.155902720969529</c:v>
                </c:pt>
                <c:pt idx="183">
                  <c:v>43.72744751056927</c:v>
                </c:pt>
                <c:pt idx="184">
                  <c:v>44.799909410011075</c:v>
                </c:pt>
                <c:pt idx="185">
                  <c:v>52.673983028452483</c:v>
                </c:pt>
                <c:pt idx="186">
                  <c:v>40.599742484971642</c:v>
                </c:pt>
                <c:pt idx="187">
                  <c:v>49.961163476773365</c:v>
                </c:pt>
                <c:pt idx="188">
                  <c:v>54.442540267110246</c:v>
                </c:pt>
                <c:pt idx="189">
                  <c:v>53.618755234954229</c:v>
                </c:pt>
                <c:pt idx="190">
                  <c:v>53.41080331674619</c:v>
                </c:pt>
                <c:pt idx="191">
                  <c:v>52.15886000334087</c:v>
                </c:pt>
                <c:pt idx="192">
                  <c:v>51.754071577208968</c:v>
                </c:pt>
                <c:pt idx="193">
                  <c:v>51.758147104239612</c:v>
                </c:pt>
                <c:pt idx="194">
                  <c:v>51.15347661653913</c:v>
                </c:pt>
                <c:pt idx="195">
                  <c:v>49.569743470784147</c:v>
                </c:pt>
                <c:pt idx="196">
                  <c:v>51.100728879465599</c:v>
                </c:pt>
                <c:pt idx="197">
                  <c:v>50.760849754794712</c:v>
                </c:pt>
                <c:pt idx="198">
                  <c:v>51.523800209640726</c:v>
                </c:pt>
                <c:pt idx="199">
                  <c:v>40.724735564753843</c:v>
                </c:pt>
                <c:pt idx="200">
                  <c:v>39.697983122325347</c:v>
                </c:pt>
                <c:pt idx="201">
                  <c:v>50.328601345236493</c:v>
                </c:pt>
                <c:pt idx="202">
                  <c:v>39.302274402494383</c:v>
                </c:pt>
                <c:pt idx="203">
                  <c:v>46.197248550017143</c:v>
                </c:pt>
                <c:pt idx="204">
                  <c:v>50.658272758814533</c:v>
                </c:pt>
                <c:pt idx="205">
                  <c:v>29.339193768919522</c:v>
                </c:pt>
                <c:pt idx="206">
                  <c:v>50.900705453575448</c:v>
                </c:pt>
                <c:pt idx="207">
                  <c:v>53.777979945716694</c:v>
                </c:pt>
                <c:pt idx="208">
                  <c:v>45.269817927324354</c:v>
                </c:pt>
                <c:pt idx="209">
                  <c:v>26.49936312554496</c:v>
                </c:pt>
                <c:pt idx="210">
                  <c:v>45.728338701922183</c:v>
                </c:pt>
                <c:pt idx="211">
                  <c:v>52.300628474976286</c:v>
                </c:pt>
                <c:pt idx="212">
                  <c:v>52.086504083603344</c:v>
                </c:pt>
                <c:pt idx="213">
                  <c:v>52.293413077478448</c:v>
                </c:pt>
                <c:pt idx="214">
                  <c:v>50.104942126125863</c:v>
                </c:pt>
                <c:pt idx="215">
                  <c:v>47.017572340181729</c:v>
                </c:pt>
                <c:pt idx="216">
                  <c:v>43.744541171009018</c:v>
                </c:pt>
                <c:pt idx="217">
                  <c:v>47.934562652292229</c:v>
                </c:pt>
                <c:pt idx="218">
                  <c:v>50.948696384343549</c:v>
                </c:pt>
                <c:pt idx="219">
                  <c:v>51.766286095143748</c:v>
                </c:pt>
                <c:pt idx="220">
                  <c:v>50.034285366040798</c:v>
                </c:pt>
                <c:pt idx="221">
                  <c:v>47.973551964591316</c:v>
                </c:pt>
                <c:pt idx="222">
                  <c:v>44.14649720239656</c:v>
                </c:pt>
                <c:pt idx="223">
                  <c:v>46.330540795460351</c:v>
                </c:pt>
                <c:pt idx="224">
                  <c:v>32.273015724543114</c:v>
                </c:pt>
                <c:pt idx="225">
                  <c:v>33.553103261474227</c:v>
                </c:pt>
                <c:pt idx="226">
                  <c:v>38.472179824580657</c:v>
                </c:pt>
                <c:pt idx="227">
                  <c:v>32.316863740157181</c:v>
                </c:pt>
                <c:pt idx="228">
                  <c:v>22.214258962384154</c:v>
                </c:pt>
                <c:pt idx="229">
                  <c:v>38.65361995236271</c:v>
                </c:pt>
                <c:pt idx="230">
                  <c:v>40.021666913762139</c:v>
                </c:pt>
                <c:pt idx="231">
                  <c:v>47.66199588073723</c:v>
                </c:pt>
                <c:pt idx="232">
                  <c:v>32.130284321349365</c:v>
                </c:pt>
                <c:pt idx="233">
                  <c:v>25.032908457251825</c:v>
                </c:pt>
                <c:pt idx="234">
                  <c:v>44.776961438982454</c:v>
                </c:pt>
                <c:pt idx="235">
                  <c:v>46.262367228317586</c:v>
                </c:pt>
                <c:pt idx="236">
                  <c:v>33.009841595556985</c:v>
                </c:pt>
                <c:pt idx="237">
                  <c:v>41.469096600161087</c:v>
                </c:pt>
                <c:pt idx="238">
                  <c:v>48.857943871251358</c:v>
                </c:pt>
                <c:pt idx="239">
                  <c:v>47.948336835257301</c:v>
                </c:pt>
                <c:pt idx="240">
                  <c:v>32.327178514451745</c:v>
                </c:pt>
                <c:pt idx="241">
                  <c:v>46.938676864734546</c:v>
                </c:pt>
                <c:pt idx="242">
                  <c:v>22.091094624864258</c:v>
                </c:pt>
                <c:pt idx="243">
                  <c:v>42.584093768006596</c:v>
                </c:pt>
                <c:pt idx="244">
                  <c:v>39.059988757881655</c:v>
                </c:pt>
                <c:pt idx="245">
                  <c:v>32.612948920062706</c:v>
                </c:pt>
                <c:pt idx="246">
                  <c:v>47.300591638720377</c:v>
                </c:pt>
                <c:pt idx="247">
                  <c:v>39.986492231049631</c:v>
                </c:pt>
                <c:pt idx="248">
                  <c:v>45.348100171298455</c:v>
                </c:pt>
                <c:pt idx="249">
                  <c:v>35.282715505606269</c:v>
                </c:pt>
                <c:pt idx="250">
                  <c:v>38.636188531394247</c:v>
                </c:pt>
                <c:pt idx="251">
                  <c:v>21.508470271089625</c:v>
                </c:pt>
                <c:pt idx="252">
                  <c:v>45.437233598501017</c:v>
                </c:pt>
                <c:pt idx="253">
                  <c:v>45.971174219716886</c:v>
                </c:pt>
                <c:pt idx="254">
                  <c:v>32.195683540334635</c:v>
                </c:pt>
                <c:pt idx="255">
                  <c:v>11.415966630400932</c:v>
                </c:pt>
                <c:pt idx="256">
                  <c:v>37.883094003908077</c:v>
                </c:pt>
                <c:pt idx="257">
                  <c:v>41.611500496339978</c:v>
                </c:pt>
                <c:pt idx="258">
                  <c:v>27.704850505342996</c:v>
                </c:pt>
                <c:pt idx="259">
                  <c:v>47.910990198463843</c:v>
                </c:pt>
                <c:pt idx="260">
                  <c:v>46.322410452270894</c:v>
                </c:pt>
                <c:pt idx="261">
                  <c:v>45.128323821763772</c:v>
                </c:pt>
                <c:pt idx="262">
                  <c:v>46.488615614370786</c:v>
                </c:pt>
                <c:pt idx="263">
                  <c:v>45.355368151072824</c:v>
                </c:pt>
                <c:pt idx="264">
                  <c:v>44.173461667546697</c:v>
                </c:pt>
                <c:pt idx="265">
                  <c:v>27.909335257238315</c:v>
                </c:pt>
                <c:pt idx="266">
                  <c:v>17.495319409311634</c:v>
                </c:pt>
                <c:pt idx="267">
                  <c:v>30.969749438496084</c:v>
                </c:pt>
                <c:pt idx="268">
                  <c:v>33.398737672828588</c:v>
                </c:pt>
                <c:pt idx="269">
                  <c:v>15.095564804793554</c:v>
                </c:pt>
                <c:pt idx="270">
                  <c:v>17.345225249768944</c:v>
                </c:pt>
                <c:pt idx="271">
                  <c:v>23.788327833541839</c:v>
                </c:pt>
                <c:pt idx="272">
                  <c:v>29.068263202556423</c:v>
                </c:pt>
                <c:pt idx="273">
                  <c:v>37.577179085331046</c:v>
                </c:pt>
                <c:pt idx="274">
                  <c:v>40.389925225820519</c:v>
                </c:pt>
                <c:pt idx="275">
                  <c:v>37.398336492129772</c:v>
                </c:pt>
                <c:pt idx="276">
                  <c:v>41.8046529886876</c:v>
                </c:pt>
                <c:pt idx="277">
                  <c:v>42.402962241908114</c:v>
                </c:pt>
                <c:pt idx="278">
                  <c:v>15.179229193737788</c:v>
                </c:pt>
                <c:pt idx="279">
                  <c:v>29.213290559251227</c:v>
                </c:pt>
                <c:pt idx="280">
                  <c:v>16.345383169400897</c:v>
                </c:pt>
                <c:pt idx="281">
                  <c:v>39.154465087948012</c:v>
                </c:pt>
                <c:pt idx="282">
                  <c:v>31.600632385478438</c:v>
                </c:pt>
                <c:pt idx="283">
                  <c:v>24.937125943118996</c:v>
                </c:pt>
                <c:pt idx="284">
                  <c:v>28.022093919022495</c:v>
                </c:pt>
                <c:pt idx="285">
                  <c:v>22.684770230978049</c:v>
                </c:pt>
                <c:pt idx="286">
                  <c:v>17.830154531982895</c:v>
                </c:pt>
                <c:pt idx="287">
                  <c:v>38.054579790652696</c:v>
                </c:pt>
                <c:pt idx="288">
                  <c:v>34.237707607170364</c:v>
                </c:pt>
                <c:pt idx="289">
                  <c:v>20.510731450395692</c:v>
                </c:pt>
                <c:pt idx="290">
                  <c:v>34.738804800068344</c:v>
                </c:pt>
                <c:pt idx="291">
                  <c:v>15.624786008799624</c:v>
                </c:pt>
                <c:pt idx="292">
                  <c:v>9.146409433873723</c:v>
                </c:pt>
                <c:pt idx="293">
                  <c:v>15.520632468531588</c:v>
                </c:pt>
                <c:pt idx="294">
                  <c:v>34.197204511714126</c:v>
                </c:pt>
                <c:pt idx="295">
                  <c:v>19.133495173083482</c:v>
                </c:pt>
                <c:pt idx="296">
                  <c:v>26.258774410386106</c:v>
                </c:pt>
                <c:pt idx="297">
                  <c:v>22.35165199386735</c:v>
                </c:pt>
                <c:pt idx="298">
                  <c:v>17.882368299093613</c:v>
                </c:pt>
                <c:pt idx="299">
                  <c:v>14.008126124885312</c:v>
                </c:pt>
                <c:pt idx="300">
                  <c:v>18.455625592641947</c:v>
                </c:pt>
                <c:pt idx="301">
                  <c:v>27.248276006475621</c:v>
                </c:pt>
                <c:pt idx="302">
                  <c:v>22.879611389178322</c:v>
                </c:pt>
                <c:pt idx="303">
                  <c:v>21.989208698416487</c:v>
                </c:pt>
                <c:pt idx="304">
                  <c:v>20.892196133250181</c:v>
                </c:pt>
                <c:pt idx="305">
                  <c:v>30.144181077386406</c:v>
                </c:pt>
                <c:pt idx="306">
                  <c:v>9.7265271018052282</c:v>
                </c:pt>
                <c:pt idx="307">
                  <c:v>14.356193876049218</c:v>
                </c:pt>
                <c:pt idx="308">
                  <c:v>30.573828144675673</c:v>
                </c:pt>
                <c:pt idx="309">
                  <c:v>31.473939731136046</c:v>
                </c:pt>
                <c:pt idx="310">
                  <c:v>30.388941856181045</c:v>
                </c:pt>
                <c:pt idx="311">
                  <c:v>18.423034077452019</c:v>
                </c:pt>
                <c:pt idx="312">
                  <c:v>9.1782497159644549</c:v>
                </c:pt>
                <c:pt idx="313">
                  <c:v>24.677979155781664</c:v>
                </c:pt>
                <c:pt idx="314">
                  <c:v>28.775277867123286</c:v>
                </c:pt>
                <c:pt idx="315">
                  <c:v>28.636596385442672</c:v>
                </c:pt>
                <c:pt idx="316">
                  <c:v>25.106850562065507</c:v>
                </c:pt>
                <c:pt idx="317">
                  <c:v>11.78706266338496</c:v>
                </c:pt>
                <c:pt idx="318">
                  <c:v>12.765847995372846</c:v>
                </c:pt>
                <c:pt idx="319">
                  <c:v>28.35794373106215</c:v>
                </c:pt>
                <c:pt idx="320">
                  <c:v>14.609964505330035</c:v>
                </c:pt>
                <c:pt idx="321">
                  <c:v>13.036320434193899</c:v>
                </c:pt>
                <c:pt idx="322">
                  <c:v>8.6694647921906345</c:v>
                </c:pt>
                <c:pt idx="323">
                  <c:v>17.827656049184785</c:v>
                </c:pt>
                <c:pt idx="324">
                  <c:v>3.0513808045248698</c:v>
                </c:pt>
                <c:pt idx="325">
                  <c:v>9.5316372106775855</c:v>
                </c:pt>
                <c:pt idx="326">
                  <c:v>15.603743251471604</c:v>
                </c:pt>
                <c:pt idx="327">
                  <c:v>13.960492832118691</c:v>
                </c:pt>
                <c:pt idx="328">
                  <c:v>4.5879818158264447</c:v>
                </c:pt>
                <c:pt idx="329">
                  <c:v>10.709572861755035</c:v>
                </c:pt>
                <c:pt idx="330">
                  <c:v>14.73249260968881</c:v>
                </c:pt>
                <c:pt idx="331">
                  <c:v>10.409740765617169</c:v>
                </c:pt>
                <c:pt idx="332">
                  <c:v>12.703560404970647</c:v>
                </c:pt>
                <c:pt idx="333">
                  <c:v>3.9611595243056739</c:v>
                </c:pt>
                <c:pt idx="334">
                  <c:v>3.5045768434989188</c:v>
                </c:pt>
                <c:pt idx="335">
                  <c:v>5.0725794581996047</c:v>
                </c:pt>
                <c:pt idx="336">
                  <c:v>9.9972686881812365</c:v>
                </c:pt>
                <c:pt idx="337">
                  <c:v>18.143910927278956</c:v>
                </c:pt>
                <c:pt idx="338">
                  <c:v>25.579786227144655</c:v>
                </c:pt>
                <c:pt idx="339">
                  <c:v>14.299030143447396</c:v>
                </c:pt>
                <c:pt idx="340">
                  <c:v>20.206316607084961</c:v>
                </c:pt>
                <c:pt idx="341">
                  <c:v>3.7239910041893625</c:v>
                </c:pt>
                <c:pt idx="342">
                  <c:v>8.4085050286703229</c:v>
                </c:pt>
                <c:pt idx="343">
                  <c:v>15.549559440765037</c:v>
                </c:pt>
                <c:pt idx="344">
                  <c:v>16.683070118684313</c:v>
                </c:pt>
                <c:pt idx="345">
                  <c:v>5.3625791919603154</c:v>
                </c:pt>
                <c:pt idx="346">
                  <c:v>5.0193987653650947</c:v>
                </c:pt>
                <c:pt idx="347">
                  <c:v>16.296952068161854</c:v>
                </c:pt>
                <c:pt idx="348">
                  <c:v>5.9474580321351214</c:v>
                </c:pt>
                <c:pt idx="349">
                  <c:v>4.9220955082592761</c:v>
                </c:pt>
                <c:pt idx="350">
                  <c:v>2.9089000488758083</c:v>
                </c:pt>
                <c:pt idx="351">
                  <c:v>19.274082986350223</c:v>
                </c:pt>
                <c:pt idx="352">
                  <c:v>18.119087213568974</c:v>
                </c:pt>
                <c:pt idx="353">
                  <c:v>3.5960560530930361</c:v>
                </c:pt>
                <c:pt idx="354">
                  <c:v>21.418275890855806</c:v>
                </c:pt>
                <c:pt idx="355">
                  <c:v>18.702638597024372</c:v>
                </c:pt>
                <c:pt idx="356">
                  <c:v>19.533425117385651</c:v>
                </c:pt>
                <c:pt idx="357">
                  <c:v>22.305384186417648</c:v>
                </c:pt>
                <c:pt idx="358">
                  <c:v>10.894023187383583</c:v>
                </c:pt>
                <c:pt idx="359">
                  <c:v>20.04003907244962</c:v>
                </c:pt>
                <c:pt idx="360">
                  <c:v>6.409405804867145</c:v>
                </c:pt>
                <c:pt idx="361">
                  <c:v>19.57319087496337</c:v>
                </c:pt>
                <c:pt idx="362">
                  <c:v>10.723684380735321</c:v>
                </c:pt>
                <c:pt idx="363">
                  <c:v>15.148261222257101</c:v>
                </c:pt>
                <c:pt idx="364">
                  <c:v>12.203130260681224</c:v>
                </c:pt>
                <c:pt idx="365">
                  <c:v>15.567191774859507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2992"/>
        <c:axId val="592953384"/>
      </c:lineChart>
      <c:dateAx>
        <c:axId val="59295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3384"/>
        <c:crosses val="autoZero"/>
        <c:auto val="1"/>
        <c:lblOffset val="100"/>
        <c:baseTimeUnit val="days"/>
        <c:majorUnit val="1"/>
        <c:majorTimeUnit val="months"/>
      </c:dateAx>
      <c:valAx>
        <c:axId val="5929533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29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4.2540089963845486E-2</c:v>
                </c:pt>
                <c:pt idx="1">
                  <c:v>4.2561034510051644E-2</c:v>
                </c:pt>
                <c:pt idx="2">
                  <c:v>4.2581978597518423E-2</c:v>
                </c:pt>
                <c:pt idx="3">
                  <c:v>4.2602922226256036E-2</c:v>
                </c:pt>
                <c:pt idx="4">
                  <c:v>4.2623865396274364E-2</c:v>
                </c:pt>
                <c:pt idx="5">
                  <c:v>4.2644808107583622E-2</c:v>
                </c:pt>
                <c:pt idx="6">
                  <c:v>4.2665750360193579E-2</c:v>
                </c:pt>
                <c:pt idx="7">
                  <c:v>4.268669215411456E-2</c:v>
                </c:pt>
                <c:pt idx="8">
                  <c:v>4.2707633489356557E-2</c:v>
                </c:pt>
                <c:pt idx="9">
                  <c:v>4.2728574365929452E-2</c:v>
                </c:pt>
                <c:pt idx="10">
                  <c:v>4.2749514783843569E-2</c:v>
                </c:pt>
                <c:pt idx="11">
                  <c:v>4.2770454743108678E-2</c:v>
                </c:pt>
                <c:pt idx="12">
                  <c:v>4.2791394243734883E-2</c:v>
                </c:pt>
                <c:pt idx="13">
                  <c:v>4.2812333285732397E-2</c:v>
                </c:pt>
                <c:pt idx="14">
                  <c:v>4.2833271869111102E-2</c:v>
                </c:pt>
                <c:pt idx="15">
                  <c:v>4.28542099938811E-2</c:v>
                </c:pt>
                <c:pt idx="16">
                  <c:v>4.2875147660052383E-2</c:v>
                </c:pt>
                <c:pt idx="17">
                  <c:v>4.2896084867635166E-2</c:v>
                </c:pt>
                <c:pt idx="18">
                  <c:v>4.2917021616639218E-2</c:v>
                </c:pt>
                <c:pt idx="19">
                  <c:v>4.2937957907074865E-2</c:v>
                </c:pt>
                <c:pt idx="20">
                  <c:v>4.2958893738951988E-2</c:v>
                </c:pt>
                <c:pt idx="21">
                  <c:v>4.2979829112280578E-2</c:v>
                </c:pt>
                <c:pt idx="22">
                  <c:v>4.3000764027070849E-2</c:v>
                </c:pt>
                <c:pt idx="23">
                  <c:v>4.3021698483332683E-2</c:v>
                </c:pt>
                <c:pt idx="24">
                  <c:v>4.3042632481076294E-2</c:v>
                </c:pt>
                <c:pt idx="25">
                  <c:v>4.3063566020311562E-2</c:v>
                </c:pt>
                <c:pt idx="26">
                  <c:v>4.3084499101048591E-2</c:v>
                </c:pt>
                <c:pt idx="27">
                  <c:v>4.3105431723297484E-2</c:v>
                </c:pt>
                <c:pt idx="28">
                  <c:v>4.3126363887068232E-2</c:v>
                </c:pt>
                <c:pt idx="29">
                  <c:v>4.3147295592370828E-2</c:v>
                </c:pt>
                <c:pt idx="30">
                  <c:v>4.3168226839215375E-2</c:v>
                </c:pt>
                <c:pt idx="31">
                  <c:v>4.3189157627611864E-2</c:v>
                </c:pt>
                <c:pt idx="32">
                  <c:v>4.3210087957570399E-2</c:v>
                </c:pt>
                <c:pt idx="33">
                  <c:v>4.3231017829100972E-2</c:v>
                </c:pt>
                <c:pt idx="34">
                  <c:v>4.3251947242213686E-2</c:v>
                </c:pt>
                <c:pt idx="35">
                  <c:v>4.3272876196918532E-2</c:v>
                </c:pt>
                <c:pt idx="36">
                  <c:v>4.3293804693225503E-2</c:v>
                </c:pt>
                <c:pt idx="37">
                  <c:v>4.3314732731144702E-2</c:v>
                </c:pt>
                <c:pt idx="38">
                  <c:v>4.3335660310686232E-2</c:v>
                </c:pt>
                <c:pt idx="39">
                  <c:v>4.3356587431859973E-2</c:v>
                </c:pt>
                <c:pt idx="40">
                  <c:v>4.3377514094676141E-2</c:v>
                </c:pt>
                <c:pt idx="41">
                  <c:v>4.3398440299144615E-2</c:v>
                </c:pt>
                <c:pt idx="42">
                  <c:v>4.34193660452755E-2</c:v>
                </c:pt>
                <c:pt idx="43">
                  <c:v>4.3440291333078897E-2</c:v>
                </c:pt>
                <c:pt idx="44">
                  <c:v>4.3461216162564799E-2</c:v>
                </c:pt>
                <c:pt idx="45">
                  <c:v>4.3482140533743198E-2</c:v>
                </c:pt>
                <c:pt idx="46">
                  <c:v>4.3503064446624086E-2</c:v>
                </c:pt>
                <c:pt idx="47">
                  <c:v>4.3523987901217677E-2</c:v>
                </c:pt>
                <c:pt idx="48">
                  <c:v>4.3544910897533963E-2</c:v>
                </c:pt>
                <c:pt idx="49">
                  <c:v>4.3565833435582825E-2</c:v>
                </c:pt>
                <c:pt idx="50">
                  <c:v>4.3586755515374477E-2</c:v>
                </c:pt>
                <c:pt idx="51">
                  <c:v>4.36076771369188E-2</c:v>
                </c:pt>
                <c:pt idx="52">
                  <c:v>4.3628598300226008E-2</c:v>
                </c:pt>
                <c:pt idx="53">
                  <c:v>4.3649519005305983E-2</c:v>
                </c:pt>
                <c:pt idx="54">
                  <c:v>4.3670439252168937E-2</c:v>
                </c:pt>
                <c:pt idx="55">
                  <c:v>4.3691359040824641E-2</c:v>
                </c:pt>
                <c:pt idx="56">
                  <c:v>4.3712278371283421E-2</c:v>
                </c:pt>
                <c:pt idx="57">
                  <c:v>4.3733197243555046E-2</c:v>
                </c:pt>
                <c:pt idx="58">
                  <c:v>4.3754115657649729E-2</c:v>
                </c:pt>
                <c:pt idx="59">
                  <c:v>4.3775033613577576E-2</c:v>
                </c:pt>
                <c:pt idx="60">
                  <c:v>4.3795951111348354E-2</c:v>
                </c:pt>
                <c:pt idx="61">
                  <c:v>4.3816868150972278E-2</c:v>
                </c:pt>
                <c:pt idx="62">
                  <c:v>4.3837784732459341E-2</c:v>
                </c:pt>
                <c:pt idx="63">
                  <c:v>4.3858700855819645E-2</c:v>
                </c:pt>
                <c:pt idx="64">
                  <c:v>4.3879616521063182E-2</c:v>
                </c:pt>
                <c:pt idx="65">
                  <c:v>4.3900531728199944E-2</c:v>
                </c:pt>
                <c:pt idx="66">
                  <c:v>4.3921446477239924E-2</c:v>
                </c:pt>
                <c:pt idx="67">
                  <c:v>4.3942360768193335E-2</c:v>
                </c:pt>
                <c:pt idx="68">
                  <c:v>4.3963274601070058E-2</c:v>
                </c:pt>
                <c:pt idx="69">
                  <c:v>4.3984187975880086E-2</c:v>
                </c:pt>
                <c:pt idx="70">
                  <c:v>4.4005100892633632E-2</c:v>
                </c:pt>
                <c:pt idx="71">
                  <c:v>4.4026013351340577E-2</c:v>
                </c:pt>
                <c:pt idx="72">
                  <c:v>4.4046925352011025E-2</c:v>
                </c:pt>
                <c:pt idx="73">
                  <c:v>4.4067836894654967E-2</c:v>
                </c:pt>
                <c:pt idx="74">
                  <c:v>4.4088747979282507E-2</c:v>
                </c:pt>
                <c:pt idx="75">
                  <c:v>4.4109658605903636E-2</c:v>
                </c:pt>
                <c:pt idx="76">
                  <c:v>4.4130568774528346E-2</c:v>
                </c:pt>
                <c:pt idx="77">
                  <c:v>4.415147848516663E-2</c:v>
                </c:pt>
                <c:pt idx="78">
                  <c:v>4.4172387737828701E-2</c:v>
                </c:pt>
                <c:pt idx="79">
                  <c:v>4.4193296532524441E-2</c:v>
                </c:pt>
                <c:pt idx="80">
                  <c:v>4.4214204869263841E-2</c:v>
                </c:pt>
                <c:pt idx="81">
                  <c:v>4.4235112748057116E-2</c:v>
                </c:pt>
                <c:pt idx="82">
                  <c:v>4.4256020168914147E-2</c:v>
                </c:pt>
                <c:pt idx="83">
                  <c:v>4.4276927131844925E-2</c:v>
                </c:pt>
                <c:pt idx="84">
                  <c:v>4.4297833636859664E-2</c:v>
                </c:pt>
                <c:pt idx="85">
                  <c:v>4.4318739683968246E-2</c:v>
                </c:pt>
                <c:pt idx="86">
                  <c:v>4.4339645273180774E-2</c:v>
                </c:pt>
                <c:pt idx="87">
                  <c:v>4.4360550404507239E-2</c:v>
                </c:pt>
                <c:pt idx="88">
                  <c:v>4.4381455077957634E-2</c:v>
                </c:pt>
                <c:pt idx="89">
                  <c:v>4.4402359293542061E-2</c:v>
                </c:pt>
                <c:pt idx="90">
                  <c:v>4.4423263051270513E-2</c:v>
                </c:pt>
                <c:pt idx="91">
                  <c:v>4.4444166351152982E-2</c:v>
                </c:pt>
                <c:pt idx="92">
                  <c:v>4.446506919319957E-2</c:v>
                </c:pt>
                <c:pt idx="93">
                  <c:v>4.448597157742027E-2</c:v>
                </c:pt>
                <c:pt idx="94">
                  <c:v>4.4506873503825074E-2</c:v>
                </c:pt>
                <c:pt idx="95">
                  <c:v>4.4527774972424085E-2</c:v>
                </c:pt>
                <c:pt idx="96">
                  <c:v>4.4548675983227294E-2</c:v>
                </c:pt>
                <c:pt idx="97">
                  <c:v>4.4569576536244805E-2</c:v>
                </c:pt>
                <c:pt idx="98">
                  <c:v>4.4590476631486499E-2</c:v>
                </c:pt>
                <c:pt idx="99">
                  <c:v>4.4611376268962367E-2</c:v>
                </c:pt>
                <c:pt idx="100">
                  <c:v>4.4632275448682625E-2</c:v>
                </c:pt>
                <c:pt idx="101">
                  <c:v>4.4653174170657263E-2</c:v>
                </c:pt>
                <c:pt idx="102">
                  <c:v>4.4674072434896163E-2</c:v>
                </c:pt>
                <c:pt idx="103">
                  <c:v>4.4694970241409539E-2</c:v>
                </c:pt>
                <c:pt idx="104">
                  <c:v>4.4715867590207271E-2</c:v>
                </c:pt>
                <c:pt idx="105">
                  <c:v>4.4736764481299353E-2</c:v>
                </c:pt>
                <c:pt idx="106">
                  <c:v>4.4757660914695997E-2</c:v>
                </c:pt>
                <c:pt idx="107">
                  <c:v>4.4778556890407085E-2</c:v>
                </c:pt>
                <c:pt idx="108">
                  <c:v>4.4799452408442721E-2</c:v>
                </c:pt>
                <c:pt idx="109">
                  <c:v>4.4820347468812784E-2</c:v>
                </c:pt>
                <c:pt idx="110">
                  <c:v>4.4841242071527489E-2</c:v>
                </c:pt>
                <c:pt idx="111">
                  <c:v>4.4862136216596717E-2</c:v>
                </c:pt>
                <c:pt idx="112">
                  <c:v>4.4883029904030571E-2</c:v>
                </c:pt>
                <c:pt idx="113">
                  <c:v>4.4903923133839042E-2</c:v>
                </c:pt>
                <c:pt idx="114">
                  <c:v>4.4924815906032124E-2</c:v>
                </c:pt>
                <c:pt idx="115">
                  <c:v>4.4945708220619919E-2</c:v>
                </c:pt>
                <c:pt idx="116">
                  <c:v>4.4966600077612419E-2</c:v>
                </c:pt>
                <c:pt idx="117">
                  <c:v>4.4987491477019616E-2</c:v>
                </c:pt>
                <c:pt idx="118">
                  <c:v>4.5008382418851502E-2</c:v>
                </c:pt>
                <c:pt idx="119">
                  <c:v>4.502927290311818E-2</c:v>
                </c:pt>
                <c:pt idx="120">
                  <c:v>4.5050162929829642E-2</c:v>
                </c:pt>
                <c:pt idx="121">
                  <c:v>4.5071052498995991E-2</c:v>
                </c:pt>
                <c:pt idx="122">
                  <c:v>4.5091941610626997E-2</c:v>
                </c:pt>
                <c:pt idx="123">
                  <c:v>4.5112830264732985E-2</c:v>
                </c:pt>
                <c:pt idx="124">
                  <c:v>4.5133718461323726E-2</c:v>
                </c:pt>
                <c:pt idx="125">
                  <c:v>4.5154606200409432E-2</c:v>
                </c:pt>
                <c:pt idx="126">
                  <c:v>4.5175493482000097E-2</c:v>
                </c:pt>
                <c:pt idx="127">
                  <c:v>4.51963803061056E-2</c:v>
                </c:pt>
                <c:pt idx="128">
                  <c:v>4.5217266672736046E-2</c:v>
                </c:pt>
                <c:pt idx="129">
                  <c:v>4.5238152581901538E-2</c:v>
                </c:pt>
                <c:pt idx="130">
                  <c:v>4.5259038033611955E-2</c:v>
                </c:pt>
                <c:pt idx="131">
                  <c:v>4.5279923027877401E-2</c:v>
                </c:pt>
                <c:pt idx="132">
                  <c:v>4.5300807564707758E-2</c:v>
                </c:pt>
                <c:pt idx="133">
                  <c:v>4.532169164411335E-2</c:v>
                </c:pt>
                <c:pt idx="134">
                  <c:v>4.5342575266103836E-2</c:v>
                </c:pt>
                <c:pt idx="135">
                  <c:v>4.5363458430689542E-2</c:v>
                </c:pt>
                <c:pt idx="136">
                  <c:v>4.5384341137880237E-2</c:v>
                </c:pt>
                <c:pt idx="137">
                  <c:v>4.5405223387686135E-2</c:v>
                </c:pt>
                <c:pt idx="138">
                  <c:v>4.5426105180117117E-2</c:v>
                </c:pt>
                <c:pt idx="139">
                  <c:v>4.5446986515183287E-2</c:v>
                </c:pt>
                <c:pt idx="140">
                  <c:v>4.5467867392894636E-2</c:v>
                </c:pt>
                <c:pt idx="141">
                  <c:v>4.5488747813261156E-2</c:v>
                </c:pt>
                <c:pt idx="142">
                  <c:v>4.5509627776292839E-2</c:v>
                </c:pt>
                <c:pt idx="143">
                  <c:v>4.5530507281999789E-2</c:v>
                </c:pt>
                <c:pt idx="144">
                  <c:v>4.5551386330391998E-2</c:v>
                </c:pt>
                <c:pt idx="145">
                  <c:v>4.5572264921479456E-2</c:v>
                </c:pt>
                <c:pt idx="146">
                  <c:v>4.5593143055272158E-2</c:v>
                </c:pt>
                <c:pt idx="147">
                  <c:v>4.5614020731780204E-2</c:v>
                </c:pt>
                <c:pt idx="148">
                  <c:v>4.5634897951013477E-2</c:v>
                </c:pt>
                <c:pt idx="149">
                  <c:v>4.5655774712982079E-2</c:v>
                </c:pt>
                <c:pt idx="150">
                  <c:v>4.5676651017696003E-2</c:v>
                </c:pt>
                <c:pt idx="151">
                  <c:v>4.5697526865165351E-2</c:v>
                </c:pt>
                <c:pt idx="152">
                  <c:v>4.5718402255400005E-2</c:v>
                </c:pt>
                <c:pt idx="153">
                  <c:v>4.5739277188410067E-2</c:v>
                </c:pt>
                <c:pt idx="154">
                  <c:v>4.576015166420553E-2</c:v>
                </c:pt>
                <c:pt idx="155">
                  <c:v>4.5781025682796385E-2</c:v>
                </c:pt>
                <c:pt idx="156">
                  <c:v>4.5801899244192625E-2</c:v>
                </c:pt>
                <c:pt idx="157">
                  <c:v>4.5822772348404352E-2</c:v>
                </c:pt>
                <c:pt idx="158">
                  <c:v>4.5843644995441447E-2</c:v>
                </c:pt>
                <c:pt idx="159">
                  <c:v>4.5864517185314126E-2</c:v>
                </c:pt>
                <c:pt idx="160">
                  <c:v>4.5885388918032156E-2</c:v>
                </c:pt>
                <c:pt idx="161">
                  <c:v>4.5906260193605754E-2</c:v>
                </c:pt>
                <c:pt idx="162">
                  <c:v>4.5927131012044799E-2</c:v>
                </c:pt>
                <c:pt idx="163">
                  <c:v>4.5948001373359394E-2</c:v>
                </c:pt>
                <c:pt idx="164">
                  <c:v>4.5968871277559532E-2</c:v>
                </c:pt>
                <c:pt idx="165">
                  <c:v>4.5989740724655205E-2</c:v>
                </c:pt>
                <c:pt idx="166">
                  <c:v>4.6010609714656404E-2</c:v>
                </c:pt>
                <c:pt idx="167">
                  <c:v>4.6031478247573122E-2</c:v>
                </c:pt>
                <c:pt idx="168">
                  <c:v>4.6052346323415462E-2</c:v>
                </c:pt>
                <c:pt idx="169">
                  <c:v>4.6073213942193415E-2</c:v>
                </c:pt>
                <c:pt idx="170">
                  <c:v>4.6094081103916863E-2</c:v>
                </c:pt>
                <c:pt idx="171">
                  <c:v>4.611494780859602E-2</c:v>
                </c:pt>
                <c:pt idx="172">
                  <c:v>4.6135814056240766E-2</c:v>
                </c:pt>
                <c:pt idx="173">
                  <c:v>4.6156679846861094E-2</c:v>
                </c:pt>
                <c:pt idx="174">
                  <c:v>4.6177545180467107E-2</c:v>
                </c:pt>
                <c:pt idx="175">
                  <c:v>4.6198410057068685E-2</c:v>
                </c:pt>
                <c:pt idx="176">
                  <c:v>4.6219274476675933E-2</c:v>
                </c:pt>
                <c:pt idx="177">
                  <c:v>4.6240138439298951E-2</c:v>
                </c:pt>
                <c:pt idx="178">
                  <c:v>4.6261001944947512E-2</c:v>
                </c:pt>
                <c:pt idx="179">
                  <c:v>4.6281864993631829E-2</c:v>
                </c:pt>
                <c:pt idx="180">
                  <c:v>4.6302727585361782E-2</c:v>
                </c:pt>
                <c:pt idx="181">
                  <c:v>4.6323589720147475E-2</c:v>
                </c:pt>
                <c:pt idx="182">
                  <c:v>4.63444513979989E-2</c:v>
                </c:pt>
                <c:pt idx="183">
                  <c:v>4.6365312618926048E-2</c:v>
                </c:pt>
                <c:pt idx="184">
                  <c:v>4.6386173382938913E-2</c:v>
                </c:pt>
                <c:pt idx="185">
                  <c:v>4.6407033690047485E-2</c:v>
                </c:pt>
                <c:pt idx="186">
                  <c:v>4.6427893540261757E-2</c:v>
                </c:pt>
                <c:pt idx="187">
                  <c:v>4.6448752933591832E-2</c:v>
                </c:pt>
                <c:pt idx="188">
                  <c:v>4.646961187004759E-2</c:v>
                </c:pt>
                <c:pt idx="189">
                  <c:v>4.6490470349639136E-2</c:v>
                </c:pt>
                <c:pt idx="190">
                  <c:v>4.6511328372376461E-2</c:v>
                </c:pt>
                <c:pt idx="191">
                  <c:v>4.6532185938269556E-2</c:v>
                </c:pt>
                <c:pt idx="192">
                  <c:v>4.6553043047328414E-2</c:v>
                </c:pt>
                <c:pt idx="193">
                  <c:v>4.6573899699563139E-2</c:v>
                </c:pt>
                <c:pt idx="194">
                  <c:v>4.6594755894983499E-2</c:v>
                </c:pt>
                <c:pt idx="195">
                  <c:v>4.6615611633599709E-2</c:v>
                </c:pt>
                <c:pt idx="196">
                  <c:v>4.6636466915421761E-2</c:v>
                </c:pt>
                <c:pt idx="197">
                  <c:v>4.6657321740459647E-2</c:v>
                </c:pt>
                <c:pt idx="198">
                  <c:v>4.6678176108723247E-2</c:v>
                </c:pt>
                <c:pt idx="199">
                  <c:v>4.6699030020222777E-2</c:v>
                </c:pt>
                <c:pt idx="200">
                  <c:v>4.6719883474968006E-2</c:v>
                </c:pt>
                <c:pt idx="201">
                  <c:v>4.6740736472969148E-2</c:v>
                </c:pt>
                <c:pt idx="202">
                  <c:v>4.6761589014236084E-2</c:v>
                </c:pt>
                <c:pt idx="203">
                  <c:v>4.6782441098778806E-2</c:v>
                </c:pt>
                <c:pt idx="204">
                  <c:v>4.6803292726607416E-2</c:v>
                </c:pt>
                <c:pt idx="205">
                  <c:v>4.6824143897731908E-2</c:v>
                </c:pt>
                <c:pt idx="206">
                  <c:v>4.6844994612162162E-2</c:v>
                </c:pt>
                <c:pt idx="207">
                  <c:v>4.6865844869908281E-2</c:v>
                </c:pt>
                <c:pt idx="208">
                  <c:v>4.6886694670980257E-2</c:v>
                </c:pt>
                <c:pt idx="209">
                  <c:v>4.6907544015387971E-2</c:v>
                </c:pt>
                <c:pt idx="210">
                  <c:v>4.6928392903141637E-2</c:v>
                </c:pt>
                <c:pt idx="211">
                  <c:v>4.6949241334251136E-2</c:v>
                </c:pt>
                <c:pt idx="212">
                  <c:v>4.6970089308726572E-2</c:v>
                </c:pt>
                <c:pt idx="213">
                  <c:v>4.6990936826577713E-2</c:v>
                </c:pt>
                <c:pt idx="214">
                  <c:v>4.7011783887814775E-2</c:v>
                </c:pt>
                <c:pt idx="215">
                  <c:v>4.7032630492447748E-2</c:v>
                </c:pt>
                <c:pt idx="216">
                  <c:v>4.7053476640486515E-2</c:v>
                </c:pt>
                <c:pt idx="217">
                  <c:v>4.7074322331941178E-2</c:v>
                </c:pt>
                <c:pt idx="218">
                  <c:v>4.7095167566821618E-2</c:v>
                </c:pt>
                <c:pt idx="219">
                  <c:v>4.7116012345137938E-2</c:v>
                </c:pt>
                <c:pt idx="220">
                  <c:v>4.7136856666900241E-2</c:v>
                </c:pt>
                <c:pt idx="221">
                  <c:v>4.7157700532118298E-2</c:v>
                </c:pt>
                <c:pt idx="222">
                  <c:v>4.717854394080221E-2</c:v>
                </c:pt>
                <c:pt idx="223">
                  <c:v>4.7199386892961971E-2</c:v>
                </c:pt>
                <c:pt idx="224">
                  <c:v>4.7220229388607572E-2</c:v>
                </c:pt>
                <c:pt idx="225">
                  <c:v>4.7241071427749116E-2</c:v>
                </c:pt>
                <c:pt idx="226">
                  <c:v>4.7261913010396485E-2</c:v>
                </c:pt>
                <c:pt idx="227">
                  <c:v>4.728275413655967E-2</c:v>
                </c:pt>
                <c:pt idx="228">
                  <c:v>4.7303594806248662E-2</c:v>
                </c:pt>
                <c:pt idx="229">
                  <c:v>4.7324435019473567E-2</c:v>
                </c:pt>
                <c:pt idx="230">
                  <c:v>4.7345274776244374E-2</c:v>
                </c:pt>
                <c:pt idx="231">
                  <c:v>4.7366114076570855E-2</c:v>
                </c:pt>
                <c:pt idx="232">
                  <c:v>4.7386952920463334E-2</c:v>
                </c:pt>
                <c:pt idx="233">
                  <c:v>4.7407791307931581E-2</c:v>
                </c:pt>
                <c:pt idx="234">
                  <c:v>4.7428629238985699E-2</c:v>
                </c:pt>
                <c:pt idx="235">
                  <c:v>4.744946671363557E-2</c:v>
                </c:pt>
                <c:pt idx="236">
                  <c:v>4.7470303731891407E-2</c:v>
                </c:pt>
                <c:pt idx="237">
                  <c:v>4.749114029376298E-2</c:v>
                </c:pt>
                <c:pt idx="238">
                  <c:v>4.7511976399260282E-2</c:v>
                </c:pt>
                <c:pt idx="239">
                  <c:v>4.7532812048393526E-2</c:v>
                </c:pt>
                <c:pt idx="240">
                  <c:v>4.7553647241172593E-2</c:v>
                </c:pt>
                <c:pt idx="241">
                  <c:v>4.7574481977607365E-2</c:v>
                </c:pt>
                <c:pt idx="242">
                  <c:v>4.7595316257708055E-2</c:v>
                </c:pt>
                <c:pt idx="243">
                  <c:v>4.7616150081484433E-2</c:v>
                </c:pt>
                <c:pt idx="244">
                  <c:v>4.7636983448946714E-2</c:v>
                </c:pt>
                <c:pt idx="245">
                  <c:v>4.7657816360104667E-2</c:v>
                </c:pt>
                <c:pt idx="246">
                  <c:v>4.7678648814968395E-2</c:v>
                </c:pt>
                <c:pt idx="247">
                  <c:v>4.7699480813548002E-2</c:v>
                </c:pt>
                <c:pt idx="248">
                  <c:v>4.7720312355853368E-2</c:v>
                </c:pt>
                <c:pt idx="249">
                  <c:v>4.7741143441894375E-2</c:v>
                </c:pt>
                <c:pt idx="250">
                  <c:v>4.7761974071681236E-2</c:v>
                </c:pt>
                <c:pt idx="251">
                  <c:v>4.7782804245223832E-2</c:v>
                </c:pt>
                <c:pt idx="252">
                  <c:v>4.7803633962532156E-2</c:v>
                </c:pt>
                <c:pt idx="253">
                  <c:v>4.78244632236162E-2</c:v>
                </c:pt>
                <c:pt idx="254">
                  <c:v>4.7845292028485954E-2</c:v>
                </c:pt>
                <c:pt idx="255">
                  <c:v>4.7866120377151412E-2</c:v>
                </c:pt>
                <c:pt idx="256">
                  <c:v>4.7886948269622677E-2</c:v>
                </c:pt>
                <c:pt idx="257">
                  <c:v>4.7907775705909629E-2</c:v>
                </c:pt>
                <c:pt idx="258">
                  <c:v>4.792860268602215E-2</c:v>
                </c:pt>
                <c:pt idx="259">
                  <c:v>4.7949429209970452E-2</c:v>
                </c:pt>
                <c:pt idx="260">
                  <c:v>4.7970255277764419E-2</c:v>
                </c:pt>
                <c:pt idx="261">
                  <c:v>4.7991080889414041E-2</c:v>
                </c:pt>
                <c:pt idx="262">
                  <c:v>4.801190604492931E-2</c:v>
                </c:pt>
                <c:pt idx="263">
                  <c:v>4.803273074432033E-2</c:v>
                </c:pt>
                <c:pt idx="264">
                  <c:v>4.8053554987596871E-2</c:v>
                </c:pt>
                <c:pt idx="265">
                  <c:v>4.8074378774769035E-2</c:v>
                </c:pt>
                <c:pt idx="266">
                  <c:v>4.8095202105846925E-2</c:v>
                </c:pt>
                <c:pt idx="267">
                  <c:v>4.8116024980840312E-2</c:v>
                </c:pt>
                <c:pt idx="268">
                  <c:v>4.8136847399759299E-2</c:v>
                </c:pt>
                <c:pt idx="269">
                  <c:v>4.8157669362613988E-2</c:v>
                </c:pt>
                <c:pt idx="270">
                  <c:v>4.8178490869414149E-2</c:v>
                </c:pt>
                <c:pt idx="271">
                  <c:v>4.8199311920169886E-2</c:v>
                </c:pt>
                <c:pt idx="272">
                  <c:v>4.8220132514891191E-2</c:v>
                </c:pt>
                <c:pt idx="273">
                  <c:v>4.8240952653588055E-2</c:v>
                </c:pt>
                <c:pt idx="274">
                  <c:v>4.826177233627036E-2</c:v>
                </c:pt>
                <c:pt idx="275">
                  <c:v>4.828259156294832E-2</c:v>
                </c:pt>
                <c:pt idx="276">
                  <c:v>4.8303410333631704E-2</c:v>
                </c:pt>
                <c:pt idx="277">
                  <c:v>4.8324228648330615E-2</c:v>
                </c:pt>
                <c:pt idx="278">
                  <c:v>4.8345046507054935E-2</c:v>
                </c:pt>
                <c:pt idx="279">
                  <c:v>4.8365863909814767E-2</c:v>
                </c:pt>
                <c:pt idx="280">
                  <c:v>4.8386680856620103E-2</c:v>
                </c:pt>
                <c:pt idx="281">
                  <c:v>4.8407497347480823E-2</c:v>
                </c:pt>
                <c:pt idx="282">
                  <c:v>4.8428313382406919E-2</c:v>
                </c:pt>
                <c:pt idx="283">
                  <c:v>4.8449128961408496E-2</c:v>
                </c:pt>
                <c:pt idx="284">
                  <c:v>4.8469944084495432E-2</c:v>
                </c:pt>
                <c:pt idx="285">
                  <c:v>4.8490758751677833E-2</c:v>
                </c:pt>
                <c:pt idx="286">
                  <c:v>4.8511572962965467E-2</c:v>
                </c:pt>
                <c:pt idx="287">
                  <c:v>4.8532386718368549E-2</c:v>
                </c:pt>
                <c:pt idx="288">
                  <c:v>4.8553200017896959E-2</c:v>
                </c:pt>
                <c:pt idx="289">
                  <c:v>4.8574012861560691E-2</c:v>
                </c:pt>
                <c:pt idx="290">
                  <c:v>4.8594825249369734E-2</c:v>
                </c:pt>
                <c:pt idx="291">
                  <c:v>4.8615637181334083E-2</c:v>
                </c:pt>
                <c:pt idx="292">
                  <c:v>4.8636448657463728E-2</c:v>
                </c:pt>
                <c:pt idx="293">
                  <c:v>4.8657259677768551E-2</c:v>
                </c:pt>
                <c:pt idx="294">
                  <c:v>4.8678070242258654E-2</c:v>
                </c:pt>
                <c:pt idx="295">
                  <c:v>4.8698880350944031E-2</c:v>
                </c:pt>
                <c:pt idx="296">
                  <c:v>4.8719690003834561E-2</c:v>
                </c:pt>
                <c:pt idx="297">
                  <c:v>4.8740499200940347E-2</c:v>
                </c:pt>
                <c:pt idx="298">
                  <c:v>4.8761307942271272E-2</c:v>
                </c:pt>
                <c:pt idx="299">
                  <c:v>4.8782116227837437E-2</c:v>
                </c:pt>
                <c:pt idx="300">
                  <c:v>4.8802924057648613E-2</c:v>
                </c:pt>
                <c:pt idx="301">
                  <c:v>4.8823731431715013E-2</c:v>
                </c:pt>
                <c:pt idx="302">
                  <c:v>4.8844538350046408E-2</c:v>
                </c:pt>
                <c:pt idx="303">
                  <c:v>4.8865344812653012E-2</c:v>
                </c:pt>
                <c:pt idx="304">
                  <c:v>4.8886150819544595E-2</c:v>
                </c:pt>
                <c:pt idx="305">
                  <c:v>4.8906956370731371E-2</c:v>
                </c:pt>
                <c:pt idx="306">
                  <c:v>4.8927761466222998E-2</c:v>
                </c:pt>
                <c:pt idx="307">
                  <c:v>4.8948566106029802E-2</c:v>
                </c:pt>
                <c:pt idx="308">
                  <c:v>4.8969370290161442E-2</c:v>
                </c:pt>
                <c:pt idx="309">
                  <c:v>4.8990174018628131E-2</c:v>
                </c:pt>
                <c:pt idx="310">
                  <c:v>4.9010977291439863E-2</c:v>
                </c:pt>
                <c:pt idx="311">
                  <c:v>4.9031780108606406E-2</c:v>
                </c:pt>
                <c:pt idx="312">
                  <c:v>4.9052582470137975E-2</c:v>
                </c:pt>
                <c:pt idx="313">
                  <c:v>4.9073384376044339E-2</c:v>
                </c:pt>
                <c:pt idx="314">
                  <c:v>4.9094185826335603E-2</c:v>
                </c:pt>
                <c:pt idx="315">
                  <c:v>4.9114986821021757E-2</c:v>
                </c:pt>
                <c:pt idx="316">
                  <c:v>4.9135787360112683E-2</c:v>
                </c:pt>
                <c:pt idx="317">
                  <c:v>4.9156587443618484E-2</c:v>
                </c:pt>
                <c:pt idx="318">
                  <c:v>4.917738707154904E-2</c:v>
                </c:pt>
                <c:pt idx="319">
                  <c:v>4.9198186243914345E-2</c:v>
                </c:pt>
                <c:pt idx="320">
                  <c:v>4.9218984960724389E-2</c:v>
                </c:pt>
                <c:pt idx="321">
                  <c:v>4.9239783221989165E-2</c:v>
                </c:pt>
                <c:pt idx="322">
                  <c:v>4.9260581027718665E-2</c:v>
                </c:pt>
                <c:pt idx="323">
                  <c:v>4.9281378377922881E-2</c:v>
                </c:pt>
                <c:pt idx="324">
                  <c:v>4.9302175272611694E-2</c:v>
                </c:pt>
                <c:pt idx="325">
                  <c:v>4.9322971711795095E-2</c:v>
                </c:pt>
                <c:pt idx="326">
                  <c:v>4.9343767695483189E-2</c:v>
                </c:pt>
                <c:pt idx="327">
                  <c:v>4.9364563223685855E-2</c:v>
                </c:pt>
                <c:pt idx="328">
                  <c:v>4.9385358296413086E-2</c:v>
                </c:pt>
                <c:pt idx="329">
                  <c:v>4.9406152913674874E-2</c:v>
                </c:pt>
                <c:pt idx="330">
                  <c:v>4.9426947075481099E-2</c:v>
                </c:pt>
                <c:pt idx="331">
                  <c:v>4.9447740781841866E-2</c:v>
                </c:pt>
                <c:pt idx="332">
                  <c:v>4.9468534032767054E-2</c:v>
                </c:pt>
                <c:pt idx="333">
                  <c:v>4.9489326828266768E-2</c:v>
                </c:pt>
                <c:pt idx="334">
                  <c:v>4.9510119168350776E-2</c:v>
                </c:pt>
                <c:pt idx="335">
                  <c:v>4.9530911053029293E-2</c:v>
                </c:pt>
                <c:pt idx="336">
                  <c:v>4.9551702482312089E-2</c:v>
                </c:pt>
                <c:pt idx="337">
                  <c:v>4.9572493456209267E-2</c:v>
                </c:pt>
                <c:pt idx="338">
                  <c:v>4.9593283974730819E-2</c:v>
                </c:pt>
                <c:pt idx="339">
                  <c:v>4.9614074037886514E-2</c:v>
                </c:pt>
                <c:pt idx="340">
                  <c:v>4.9634863645686568E-2</c:v>
                </c:pt>
                <c:pt idx="341">
                  <c:v>4.965565279814086E-2</c:v>
                </c:pt>
                <c:pt idx="342">
                  <c:v>4.9676441495259384E-2</c:v>
                </c:pt>
                <c:pt idx="343">
                  <c:v>4.9697229737052019E-2</c:v>
                </c:pt>
                <c:pt idx="344">
                  <c:v>4.9718017523528758E-2</c:v>
                </c:pt>
                <c:pt idx="345">
                  <c:v>4.9738804854699704E-2</c:v>
                </c:pt>
                <c:pt idx="346">
                  <c:v>4.9759591730574738E-2</c:v>
                </c:pt>
                <c:pt idx="347">
                  <c:v>4.9780378151163852E-2</c:v>
                </c:pt>
                <c:pt idx="348">
                  <c:v>4.9801164116477038E-2</c:v>
                </c:pt>
                <c:pt idx="349">
                  <c:v>4.9821949626524177E-2</c:v>
                </c:pt>
                <c:pt idx="350">
                  <c:v>4.9842734681315261E-2</c:v>
                </c:pt>
                <c:pt idx="351">
                  <c:v>4.9863519280860392E-2</c:v>
                </c:pt>
                <c:pt idx="352">
                  <c:v>4.9884303425169453E-2</c:v>
                </c:pt>
                <c:pt idx="353">
                  <c:v>4.9905087114252324E-2</c:v>
                </c:pt>
                <c:pt idx="354">
                  <c:v>4.9925870348119107E-2</c:v>
                </c:pt>
                <c:pt idx="355">
                  <c:v>4.9946653126779796E-2</c:v>
                </c:pt>
                <c:pt idx="356">
                  <c:v>4.996743545024427E-2</c:v>
                </c:pt>
                <c:pt idx="357">
                  <c:v>4.9988217318522411E-2</c:v>
                </c:pt>
                <c:pt idx="358">
                  <c:v>5.0008998731624434E-2</c:v>
                </c:pt>
                <c:pt idx="359">
                  <c:v>5.0029779689560107E-2</c:v>
                </c:pt>
                <c:pt idx="360">
                  <c:v>5.0050560192339534E-2</c:v>
                </c:pt>
                <c:pt idx="361">
                  <c:v>5.0071340239972596E-2</c:v>
                </c:pt>
                <c:pt idx="362">
                  <c:v>5.0092119832469174E-2</c:v>
                </c:pt>
                <c:pt idx="363">
                  <c:v>5.0112898969839482E-2</c:v>
                </c:pt>
                <c:pt idx="364">
                  <c:v>5.0133677652093291E-2</c:v>
                </c:pt>
                <c:pt idx="365">
                  <c:v>5.0154455879240702E-2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6.8759776165964043E-2</c:v>
                </c:pt>
                <c:pt idx="1">
                  <c:v>6.8789987660603888E-2</c:v>
                </c:pt>
                <c:pt idx="2">
                  <c:v>6.8820316651109215E-2</c:v>
                </c:pt>
                <c:pt idx="3">
                  <c:v>6.8850747287688224E-2</c:v>
                </c:pt>
                <c:pt idx="4">
                  <c:v>6.8881265768716476E-2</c:v>
                </c:pt>
                <c:pt idx="5">
                  <c:v>6.8911860278346726E-2</c:v>
                </c:pt>
                <c:pt idx="6">
                  <c:v>6.894252090874417E-2</c:v>
                </c:pt>
                <c:pt idx="7">
                  <c:v>6.8973239568215286E-2</c:v>
                </c:pt>
                <c:pt idx="8">
                  <c:v>6.9004009876602088E-2</c:v>
                </c:pt>
                <c:pt idx="9">
                  <c:v>6.9034827049401157E-2</c:v>
                </c:pt>
                <c:pt idx="10">
                  <c:v>6.9065687772140158E-2</c:v>
                </c:pt>
                <c:pt idx="11">
                  <c:v>6.9096590066600808E-2</c:v>
                </c:pt>
                <c:pt idx="12">
                  <c:v>6.91275331505182E-2</c:v>
                </c:pt>
                <c:pt idx="13">
                  <c:v>6.9158517292410418E-2</c:v>
                </c:pt>
                <c:pt idx="14">
                  <c:v>6.9189543663199585E-2</c:v>
                </c:pt>
                <c:pt idx="15">
                  <c:v>6.9220614186278104E-2</c:v>
                </c:pt>
                <c:pt idx="16">
                  <c:v>6.9251731387648244E-2</c:v>
                </c:pt>
                <c:pt idx="17">
                  <c:v>6.9282898247723851E-2</c:v>
                </c:pt>
                <c:pt idx="18">
                  <c:v>6.9314118056328922E-2</c:v>
                </c:pt>
                <c:pt idx="19">
                  <c:v>6.9345394272358085E-2</c:v>
                </c:pt>
                <c:pt idx="20">
                  <c:v>6.9376730389483166E-2</c:v>
                </c:pt>
                <c:pt idx="21">
                  <c:v>6.9408129809196015E-2</c:v>
                </c:pt>
                <c:pt idx="22">
                  <c:v>6.9439595722372432E-2</c:v>
                </c:pt>
                <c:pt idx="23">
                  <c:v>6.9471131000428996E-2</c:v>
                </c:pt>
                <c:pt idx="24">
                  <c:v>6.9502738097019651E-2</c:v>
                </c:pt>
                <c:pt idx="25">
                  <c:v>6.9534418961091249E-2</c:v>
                </c:pt>
                <c:pt idx="26">
                  <c:v>6.9566174961979602E-2</c:v>
                </c:pt>
                <c:pt idx="27">
                  <c:v>6.959800682708972E-2</c:v>
                </c:pt>
                <c:pt idx="28">
                  <c:v>6.9629914592560127E-2</c:v>
                </c:pt>
                <c:pt idx="29">
                  <c:v>6.9661897567168785E-2</c:v>
                </c:pt>
                <c:pt idx="30">
                  <c:v>6.9693954309593867E-2</c:v>
                </c:pt>
                <c:pt idx="31">
                  <c:v>6.9726082619002386E-2</c:v>
                </c:pt>
                <c:pt idx="32">
                  <c:v>6.9758279538800025E-2</c:v>
                </c:pt>
                <c:pt idx="33">
                  <c:v>6.9790541373243337E-2</c:v>
                </c:pt>
                <c:pt idx="34">
                  <c:v>6.9822863716486022E-2</c:v>
                </c:pt>
                <c:pt idx="35">
                  <c:v>6.9855241493511661E-2</c:v>
                </c:pt>
                <c:pt idx="36">
                  <c:v>6.9887669012291154E-2</c:v>
                </c:pt>
                <c:pt idx="37">
                  <c:v>6.9920140026401068E-2</c:v>
                </c:pt>
                <c:pt idx="38">
                  <c:v>6.9952647807244139E-2</c:v>
                </c:pt>
                <c:pt idx="39">
                  <c:v>6.9985185224932217E-2</c:v>
                </c:pt>
                <c:pt idx="40">
                  <c:v>7.0017744836819551E-2</c:v>
                </c:pt>
                <c:pt idx="41">
                  <c:v>7.0050318982616169E-2</c:v>
                </c:pt>
                <c:pt idx="42">
                  <c:v>7.0082899884964037E-2</c:v>
                </c:pt>
                <c:pt idx="43">
                  <c:v>7.0115479754325305E-2</c:v>
                </c:pt>
                <c:pt idx="44">
                  <c:v>7.0148050897010164E-2</c:v>
                </c:pt>
                <c:pt idx="45">
                  <c:v>7.0180605825164055E-2</c:v>
                </c:pt>
                <c:pt idx="46">
                  <c:v>7.0213137367537634E-2</c:v>
                </c:pt>
                <c:pt idx="47">
                  <c:v>7.0245638779879771E-2</c:v>
                </c:pt>
                <c:pt idx="48">
                  <c:v>7.0278103853821924E-2</c:v>
                </c:pt>
                <c:pt idx="49">
                  <c:v>7.0310527023161415E-2</c:v>
                </c:pt>
                <c:pt idx="50">
                  <c:v>7.0342903466502085E-2</c:v>
                </c:pt>
                <c:pt idx="51">
                  <c:v>7.0375229205269868E-2</c:v>
                </c:pt>
                <c:pt idx="52">
                  <c:v>7.0407501196190367E-2</c:v>
                </c:pt>
                <c:pt idx="53">
                  <c:v>7.0439717417392161E-2</c:v>
                </c:pt>
                <c:pt idx="54">
                  <c:v>7.0471876947383341E-2</c:v>
                </c:pt>
                <c:pt idx="55">
                  <c:v>7.0503980036238992E-2</c:v>
                </c:pt>
                <c:pt idx="56">
                  <c:v>7.05360281684312E-2</c:v>
                </c:pt>
                <c:pt idx="57">
                  <c:v>7.0568024116831968E-2</c:v>
                </c:pt>
                <c:pt idx="58">
                  <c:v>7.059997198751955E-2</c:v>
                </c:pt>
                <c:pt idx="59">
                  <c:v>7.0631877255120101E-2</c:v>
                </c:pt>
                <c:pt idx="60">
                  <c:v>7.066374678851943E-2</c:v>
                </c:pt>
                <c:pt idx="61">
                  <c:v>7.0695588866878531E-2</c:v>
                </c:pt>
                <c:pt idx="62">
                  <c:v>7.0727413185986604E-2</c:v>
                </c:pt>
                <c:pt idx="63">
                  <c:v>7.0759230855078833E-2</c:v>
                </c:pt>
                <c:pt idx="64">
                  <c:v>7.0791054384337554E-2</c:v>
                </c:pt>
                <c:pt idx="65">
                  <c:v>7.0822897663380416E-2</c:v>
                </c:pt>
                <c:pt idx="66">
                  <c:v>7.0854775931117858E-2</c:v>
                </c:pt>
                <c:pt idx="67">
                  <c:v>7.0886705737434788E-2</c:v>
                </c:pt>
                <c:pt idx="68">
                  <c:v>7.0918704897214732E-2</c:v>
                </c:pt>
                <c:pt idx="69">
                  <c:v>7.095079243728164E-2</c:v>
                </c:pt>
                <c:pt idx="70">
                  <c:v>7.0982988536881009E-2</c:v>
                </c:pt>
                <c:pt idx="71">
                  <c:v>7.1015314462360354E-2</c:v>
                </c:pt>
                <c:pt idx="72">
                  <c:v>7.1047792496737761E-2</c:v>
                </c:pt>
                <c:pt idx="73">
                  <c:v>7.1080445864866448E-2</c:v>
                </c:pt>
                <c:pt idx="74">
                  <c:v>7.1113298654912838E-2</c:v>
                </c:pt>
                <c:pt idx="75">
                  <c:v>7.114637573686601E-2</c:v>
                </c:pt>
                <c:pt idx="76">
                  <c:v>7.1179702678787801E-2</c:v>
                </c:pt>
                <c:pt idx="77">
                  <c:v>7.1213305661494572E-2</c:v>
                </c:pt>
                <c:pt idx="78">
                  <c:v>7.1247211392336182E-2</c:v>
                </c:pt>
                <c:pt idx="79">
                  <c:v>7.1281447018703606E-2</c:v>
                </c:pt>
                <c:pt idx="80">
                  <c:v>7.1316040041855197E-2</c:v>
                </c:pt>
                <c:pt idx="81">
                  <c:v>7.1351018231604849E-2</c:v>
                </c:pt>
                <c:pt idx="82">
                  <c:v>7.1386409542361029E-2</c:v>
                </c:pt>
                <c:pt idx="83">
                  <c:v>7.142224203094874E-2</c:v>
                </c:pt>
                <c:pt idx="84">
                  <c:v>7.1458543776583575E-2</c:v>
                </c:pt>
                <c:pt idx="85">
                  <c:v>7.1495342803302608E-2</c:v>
                </c:pt>
                <c:pt idx="86">
                  <c:v>7.1532667005090173E-2</c:v>
                </c:pt>
                <c:pt idx="87">
                  <c:v>7.1570544073868272E-2</c:v>
                </c:pt>
                <c:pt idx="88">
                  <c:v>7.1609001430454178E-2</c:v>
                </c:pt>
                <c:pt idx="89">
                  <c:v>7.1648066158520513E-2</c:v>
                </c:pt>
                <c:pt idx="90">
                  <c:v>7.1687764941529203E-2</c:v>
                </c:pt>
                <c:pt idx="91">
                  <c:v>7.1728124002547897E-2</c:v>
                </c:pt>
                <c:pt idx="92">
                  <c:v>7.176916904680089E-2</c:v>
                </c:pt>
                <c:pt idx="93">
                  <c:v>7.1810925206752085E-2</c:v>
                </c:pt>
                <c:pt idx="94">
                  <c:v>7.1853416989471369E-2</c:v>
                </c:pt>
                <c:pt idx="95">
                  <c:v>7.189666822599268E-2</c:v>
                </c:pt>
                <c:pt idx="96">
                  <c:v>7.1940702022339015E-2</c:v>
                </c:pt>
                <c:pt idx="97">
                  <c:v>7.1985540711860668E-2</c:v>
                </c:pt>
                <c:pt idx="98">
                  <c:v>7.2031205808515061E-2</c:v>
                </c:pt>
                <c:pt idx="99">
                  <c:v>7.2077717960703419E-2</c:v>
                </c:pt>
                <c:pt idx="100">
                  <c:v>7.2125096905277242E-2</c:v>
                </c:pt>
                <c:pt idx="101">
                  <c:v>7.2173361421332488E-2</c:v>
                </c:pt>
                <c:pt idx="102">
                  <c:v>7.2222529283422598E-2</c:v>
                </c:pt>
                <c:pt idx="103">
                  <c:v>7.2272617213843052E-2</c:v>
                </c:pt>
                <c:pt idx="104">
                  <c:v>7.2323640833670502E-2</c:v>
                </c:pt>
                <c:pt idx="105">
                  <c:v>7.2375614612275929E-2</c:v>
                </c:pt>
                <c:pt idx="106">
                  <c:v>7.2428551815076306E-2</c:v>
                </c:pt>
                <c:pt idx="107">
                  <c:v>7.2482464449340103E-2</c:v>
                </c:pt>
                <c:pt idx="108">
                  <c:v>7.2537363207919078E-2</c:v>
                </c:pt>
                <c:pt idx="109">
                  <c:v>7.2593257410841106E-2</c:v>
                </c:pt>
                <c:pt idx="110">
                  <c:v>7.2650154944764997E-2</c:v>
                </c:pt>
                <c:pt idx="111">
                  <c:v>7.2708062200369281E-2</c:v>
                </c:pt>
                <c:pt idx="112">
                  <c:v>7.2766984007818752E-2</c:v>
                </c:pt>
                <c:pt idx="113">
                  <c:v>7.2826923570527669E-2</c:v>
                </c:pt>
                <c:pt idx="114">
                  <c:v>7.2887882397512663E-2</c:v>
                </c:pt>
                <c:pt idx="115">
                  <c:v>7.2949860234703345E-2</c:v>
                </c:pt>
                <c:pt idx="116">
                  <c:v>7.3012854995651272E-2</c:v>
                </c:pt>
                <c:pt idx="117">
                  <c:v>7.3076862692148054E-2</c:v>
                </c:pt>
                <c:pt idx="118">
                  <c:v>7.3141877365329538E-2</c:v>
                </c:pt>
                <c:pt idx="119">
                  <c:v>7.3207891017906104E-2</c:v>
                </c:pt>
                <c:pt idx="120">
                  <c:v>5.5637072603969369E-3</c:v>
                </c:pt>
                <c:pt idx="121">
                  <c:v>5.6673698336613901E-3</c:v>
                </c:pt>
                <c:pt idx="122">
                  <c:v>5.7711079621234236E-3</c:v>
                </c:pt>
                <c:pt idx="123">
                  <c:v>5.874924111883003E-3</c:v>
                </c:pt>
                <c:pt idx="124">
                  <c:v>5.9788204555388117E-3</c:v>
                </c:pt>
                <c:pt idx="125">
                  <c:v>6.0827988533868494E-3</c:v>
                </c:pt>
                <c:pt idx="126">
                  <c:v>6.1868608349110801E-3</c:v>
                </c:pt>
                <c:pt idx="127">
                  <c:v>6.291007580704301E-3</c:v>
                </c:pt>
                <c:pt idx="128">
                  <c:v>6.3952399049647711E-3</c:v>
                </c:pt>
                <c:pt idx="129">
                  <c:v>6.4995582387205987E-3</c:v>
                </c:pt>
                <c:pt idx="130">
                  <c:v>6.6039626139382038E-3</c:v>
                </c:pt>
                <c:pt idx="131">
                  <c:v>6.7084526486750357E-3</c:v>
                </c:pt>
                <c:pt idx="132">
                  <c:v>6.8130275334381098E-3</c:v>
                </c:pt>
                <c:pt idx="133">
                  <c:v>6.9176860189102572E-3</c:v>
                </c:pt>
                <c:pt idx="134">
                  <c:v>7.0224264052039676E-3</c:v>
                </c:pt>
                <c:pt idx="135">
                  <c:v>7.1272465327996788E-3</c:v>
                </c:pt>
                <c:pt idx="136">
                  <c:v>7.2321437753194101E-3</c:v>
                </c:pt>
                <c:pt idx="137">
                  <c:v>7.337115034279874E-3</c:v>
                </c:pt>
                <c:pt idx="138">
                  <c:v>7.4421567359596943E-3</c:v>
                </c:pt>
                <c:pt idx="139">
                  <c:v>7.5472648305045338E-3</c:v>
                </c:pt>
                <c:pt idx="140">
                  <c:v>7.6524347933811408E-3</c:v>
                </c:pt>
                <c:pt idx="141">
                  <c:v>7.7576616292767556E-3</c:v>
                </c:pt>
                <c:pt idx="142">
                  <c:v>7.8629398785240757E-3</c:v>
                </c:pt>
                <c:pt idx="143">
                  <c:v>7.9682636261146165E-3</c:v>
                </c:pt>
                <c:pt idx="144">
                  <c:v>8.0736265133438661E-3</c:v>
                </c:pt>
                <c:pt idx="145">
                  <c:v>8.1790217521118726E-3</c:v>
                </c:pt>
                <c:pt idx="146">
                  <c:v>8.284442141881166E-3</c:v>
                </c:pt>
                <c:pt idx="147">
                  <c:v>8.3898800892723193E-3</c:v>
                </c:pt>
                <c:pt idx="148">
                  <c:v>8.495327630254363E-3</c:v>
                </c:pt>
                <c:pt idx="149">
                  <c:v>8.6007764548644509E-3</c:v>
                </c:pt>
                <c:pt idx="150">
                  <c:v>8.7062179343678752E-3</c:v>
                </c:pt>
                <c:pt idx="151">
                  <c:v>8.8116431507462307E-3</c:v>
                </c:pt>
                <c:pt idx="152">
                  <c:v>8.9170429283789692E-3</c:v>
                </c:pt>
                <c:pt idx="153">
                  <c:v>9.0224078677612306E-3</c:v>
                </c:pt>
                <c:pt idx="154">
                  <c:v>9.1277283810793832E-3</c:v>
                </c:pt>
                <c:pt idx="155">
                  <c:v>9.2329947294454429E-3</c:v>
                </c:pt>
                <c:pt idx="156">
                  <c:v>9.3381970615727464E-3</c:v>
                </c:pt>
                <c:pt idx="157">
                  <c:v>9.4433254536575202E-3</c:v>
                </c:pt>
                <c:pt idx="158">
                  <c:v>9.5483699502153241E-3</c:v>
                </c:pt>
                <c:pt idx="159">
                  <c:v>9.6533206056081313E-3</c:v>
                </c:pt>
                <c:pt idx="160">
                  <c:v>9.7581675259854669E-3</c:v>
                </c:pt>
                <c:pt idx="161">
                  <c:v>9.8629009113546263E-3</c:v>
                </c:pt>
                <c:pt idx="162">
                  <c:v>9.9675110974875337E-3</c:v>
                </c:pt>
                <c:pt idx="163">
                  <c:v>1.0071988597368253E-2</c:v>
                </c:pt>
                <c:pt idx="164">
                  <c:v>1.0176324141883096E-2</c:v>
                </c:pt>
                <c:pt idx="165">
                  <c:v>1.0280508719457E-2</c:v>
                </c:pt>
                <c:pt idx="166">
                  <c:v>1.0384533614343546E-2</c:v>
                </c:pt>
                <c:pt idx="167">
                  <c:v>1.0488390443282947E-2</c:v>
                </c:pt>
                <c:pt idx="168">
                  <c:v>1.0592071190251896E-2</c:v>
                </c:pt>
                <c:pt idx="169">
                  <c:v>1.069556823904147E-2</c:v>
                </c:pt>
                <c:pt idx="170">
                  <c:v>1.0798874403414111E-2</c:v>
                </c:pt>
                <c:pt idx="171">
                  <c:v>1.0901982954608171E-2</c:v>
                </c:pt>
                <c:pt idx="172">
                  <c:v>1.1004887645978473E-2</c:v>
                </c:pt>
                <c:pt idx="173">
                  <c:v>1.1107582734582974E-2</c:v>
                </c:pt>
                <c:pt idx="174">
                  <c:v>1.1210062999550104E-2</c:v>
                </c:pt>
                <c:pt idx="175">
                  <c:v>1.1312323757086608E-2</c:v>
                </c:pt>
                <c:pt idx="176">
                  <c:v>1.1414360872013696E-2</c:v>
                </c:pt>
                <c:pt idx="177">
                  <c:v>1.1516170765747281E-2</c:v>
                </c:pt>
                <c:pt idx="178">
                  <c:v>1.161775042066826E-2</c:v>
                </c:pt>
                <c:pt idx="179">
                  <c:v>1.1719097380858849E-2</c:v>
                </c:pt>
                <c:pt idx="180">
                  <c:v>1.1820209749211802E-2</c:v>
                </c:pt>
                <c:pt idx="181">
                  <c:v>1.1921086180950316E-2</c:v>
                </c:pt>
                <c:pt idx="182">
                  <c:v>1.2021725873626848E-2</c:v>
                </c:pt>
                <c:pt idx="183">
                  <c:v>1.2122128553699445E-2</c:v>
                </c:pt>
                <c:pt idx="184">
                  <c:v>1.222229445981334E-2</c:v>
                </c:pt>
                <c:pt idx="185">
                  <c:v>1.2322224322943474E-2</c:v>
                </c:pt>
                <c:pt idx="186">
                  <c:v>1.2421919343580704E-2</c:v>
                </c:pt>
                <c:pt idx="187">
                  <c:v>1.2521381166168981E-2</c:v>
                </c:pt>
                <c:pt idx="188">
                  <c:v>1.2620611851023844E-2</c:v>
                </c:pt>
                <c:pt idx="189">
                  <c:v>1.2719613843983273E-2</c:v>
                </c:pt>
                <c:pt idx="190">
                  <c:v>1.2818389944060017E-2</c:v>
                </c:pt>
                <c:pt idx="191">
                  <c:v>1.2916943269380197E-2</c:v>
                </c:pt>
                <c:pt idx="192">
                  <c:v>1.3015277221705198E-2</c:v>
                </c:pt>
                <c:pt idx="193">
                  <c:v>1.3113395449844125E-2</c:v>
                </c:pt>
                <c:pt idx="194">
                  <c:v>1.3211301812270029E-2</c:v>
                </c:pt>
                <c:pt idx="195">
                  <c:v>1.3309000339256701E-2</c:v>
                </c:pt>
                <c:pt idx="196">
                  <c:v>1.3406495194853074E-2</c:v>
                </c:pt>
                <c:pt idx="197">
                  <c:v>1.350379063900886E-2</c:v>
                </c:pt>
                <c:pt idx="198">
                  <c:v>1.3600890990158715E-2</c:v>
                </c:pt>
                <c:pt idx="199">
                  <c:v>1.3697800588563114E-2</c:v>
                </c:pt>
                <c:pt idx="200">
                  <c:v>1.3794523760690975E-2</c:v>
                </c:pt>
                <c:pt idx="201">
                  <c:v>1.3891064784914113E-2</c:v>
                </c:pt>
                <c:pt idx="202">
                  <c:v>1.3987427858765169E-2</c:v>
                </c:pt>
                <c:pt idx="203">
                  <c:v>1.4083617067989837E-2</c:v>
                </c:pt>
                <c:pt idx="204">
                  <c:v>1.4179636357601466E-2</c:v>
                </c:pt>
                <c:pt idx="205">
                  <c:v>1.4275489505120543E-2</c:v>
                </c:pt>
                <c:pt idx="206">
                  <c:v>1.4371180096154968E-2</c:v>
                </c:pt>
                <c:pt idx="207">
                  <c:v>1.4466711502448673E-2</c:v>
                </c:pt>
                <c:pt idx="208">
                  <c:v>1.4562086862496309E-2</c:v>
                </c:pt>
                <c:pt idx="209">
                  <c:v>1.4657309064791632E-2</c:v>
                </c:pt>
                <c:pt idx="210">
                  <c:v>1.4752380733746384E-2</c:v>
                </c:pt>
                <c:pt idx="211">
                  <c:v>1.4847304218285336E-2</c:v>
                </c:pt>
                <c:pt idx="212">
                  <c:v>1.4942081583092751E-2</c:v>
                </c:pt>
                <c:pt idx="213">
                  <c:v>1.5036714602455148E-2</c:v>
                </c:pt>
                <c:pt idx="214">
                  <c:v>1.513120475661647E-2</c:v>
                </c:pt>
                <c:pt idx="215">
                  <c:v>1.5225553230533566E-2</c:v>
                </c:pt>
                <c:pt idx="216">
                  <c:v>1.5319760914893997E-2</c:v>
                </c:pt>
                <c:pt idx="217">
                  <c:v>1.5413828409233879E-2</c:v>
                </c:pt>
                <c:pt idx="218">
                  <c:v>1.5507756026971352E-2</c:v>
                </c:pt>
                <c:pt idx="219">
                  <c:v>1.5601543802152068E-2</c:v>
                </c:pt>
                <c:pt idx="220">
                  <c:v>1.5695191497686022E-2</c:v>
                </c:pt>
                <c:pt idx="221">
                  <c:v>1.5788698614841643E-2</c:v>
                </c:pt>
                <c:pt idx="222">
                  <c:v>1.5882064403752321E-2</c:v>
                </c:pt>
                <c:pt idx="223">
                  <c:v>1.5975287874683091E-2</c:v>
                </c:pt>
                <c:pt idx="224">
                  <c:v>1.6068367809801632E-2</c:v>
                </c:pt>
                <c:pt idx="225">
                  <c:v>1.6161302775197079E-2</c:v>
                </c:pt>
                <c:pt idx="226">
                  <c:v>1.6254091132893046E-2</c:v>
                </c:pt>
                <c:pt idx="227">
                  <c:v>1.6346731052608171E-2</c:v>
                </c:pt>
                <c:pt idx="228">
                  <c:v>1.6439220523027064E-2</c:v>
                </c:pt>
                <c:pt idx="229">
                  <c:v>1.6531557362357979E-2</c:v>
                </c:pt>
                <c:pt idx="230">
                  <c:v>1.6623739227969891E-2</c:v>
                </c:pt>
                <c:pt idx="231">
                  <c:v>1.6715763624921096E-2</c:v>
                </c:pt>
                <c:pt idx="232">
                  <c:v>1.6807627913213653E-2</c:v>
                </c:pt>
                <c:pt idx="233">
                  <c:v>1.6899329313632753E-2</c:v>
                </c:pt>
                <c:pt idx="234">
                  <c:v>1.6990864912057136E-2</c:v>
                </c:pt>
                <c:pt idx="235">
                  <c:v>1.7082231662155323E-2</c:v>
                </c:pt>
                <c:pt idx="236">
                  <c:v>1.71734263864135E-2</c:v>
                </c:pt>
                <c:pt idx="237">
                  <c:v>1.7264445775471964E-2</c:v>
                </c:pt>
                <c:pt idx="238">
                  <c:v>1.7355286385780117E-2</c:v>
                </c:pt>
                <c:pt idx="239">
                  <c:v>1.7445944635612769E-2</c:v>
                </c:pt>
                <c:pt idx="240">
                  <c:v>1.753641679952378E-2</c:v>
                </c:pt>
                <c:pt idx="241">
                  <c:v>1.7626699001345301E-2</c:v>
                </c:pt>
                <c:pt idx="242">
                  <c:v>1.7716787205873361E-2</c:v>
                </c:pt>
                <c:pt idx="243">
                  <c:v>1.7806677209410583E-2</c:v>
                </c:pt>
                <c:pt idx="244">
                  <c:v>1.7896364629366307E-2</c:v>
                </c:pt>
                <c:pt idx="245">
                  <c:v>1.7985844893141079E-2</c:v>
                </c:pt>
                <c:pt idx="246">
                  <c:v>1.807511322654717E-2</c:v>
                </c:pt>
                <c:pt idx="247">
                  <c:v>1.8164164642038811E-2</c:v>
                </c:pt>
                <c:pt idx="248">
                  <c:v>1.8252993927044173E-2</c:v>
                </c:pt>
                <c:pt idx="249">
                  <c:v>1.834159563270717E-2</c:v>
                </c:pt>
                <c:pt idx="250">
                  <c:v>1.8429964063358222E-2</c:v>
                </c:pt>
                <c:pt idx="251">
                  <c:v>1.8518093267041576E-2</c:v>
                </c:pt>
                <c:pt idx="252">
                  <c:v>1.8605977027430304E-2</c:v>
                </c:pt>
                <c:pt idx="253">
                  <c:v>1.8693608857460006E-2</c:v>
                </c:pt>
                <c:pt idx="254">
                  <c:v>1.8780981995007367E-2</c:v>
                </c:pt>
                <c:pt idx="255">
                  <c:v>1.8868089400931046E-2</c:v>
                </c:pt>
                <c:pt idx="256">
                  <c:v>1.8954923759778877E-2</c:v>
                </c:pt>
                <c:pt idx="257">
                  <c:v>1.9041477483448015E-2</c:v>
                </c:pt>
                <c:pt idx="258">
                  <c:v>1.91277427180628E-2</c:v>
                </c:pt>
                <c:pt idx="259">
                  <c:v>1.9213711354309413E-2</c:v>
                </c:pt>
                <c:pt idx="260">
                  <c:v>1.9299375041436733E-2</c:v>
                </c:pt>
                <c:pt idx="261">
                  <c:v>1.9384725205099883E-2</c:v>
                </c:pt>
                <c:pt idx="262">
                  <c:v>1.9469753069186232E-2</c:v>
                </c:pt>
                <c:pt idx="263">
                  <c:v>1.9554449681724168E-2</c:v>
                </c:pt>
                <c:pt idx="264">
                  <c:v>1.9638805944933443E-2</c:v>
                </c:pt>
                <c:pt idx="265">
                  <c:v>1.9722812649430821E-2</c:v>
                </c:pt>
                <c:pt idx="266">
                  <c:v>1.9806460512559854E-2</c:v>
                </c:pt>
                <c:pt idx="267">
                  <c:v>1.9889740220765312E-2</c:v>
                </c:pt>
                <c:pt idx="268">
                  <c:v>1.9972642475885764E-2</c:v>
                </c:pt>
                <c:pt idx="269">
                  <c:v>2.0055158045188735E-2</c:v>
                </c:pt>
                <c:pt idx="270">
                  <c:v>2.0137277814925223E-2</c:v>
                </c:pt>
                <c:pt idx="271">
                  <c:v>2.0218992847132838E-2</c:v>
                </c:pt>
                <c:pt idx="272">
                  <c:v>2.0300294439371057E-2</c:v>
                </c:pt>
                <c:pt idx="273">
                  <c:v>2.0381174187027437E-2</c:v>
                </c:pt>
                <c:pt idx="274">
                  <c:v>2.0461624047792192E-2</c:v>
                </c:pt>
                <c:pt idx="275">
                  <c:v>2.0541636407859203E-2</c:v>
                </c:pt>
                <c:pt idx="276">
                  <c:v>2.0621204149375783E-2</c:v>
                </c:pt>
                <c:pt idx="277">
                  <c:v>2.0700320718631704E-2</c:v>
                </c:pt>
                <c:pt idx="278">
                  <c:v>2.0778980194449841E-2</c:v>
                </c:pt>
                <c:pt idx="279">
                  <c:v>2.0857177356217817E-2</c:v>
                </c:pt>
                <c:pt idx="280">
                  <c:v>2.0934907750981339E-2</c:v>
                </c:pt>
                <c:pt idx="281">
                  <c:v>2.1012167759007116E-2</c:v>
                </c:pt>
                <c:pt idx="282">
                  <c:v>2.1088954657215005E-2</c:v>
                </c:pt>
                <c:pt idx="283">
                  <c:v>2.1165266679877403E-2</c:v>
                </c:pt>
                <c:pt idx="284">
                  <c:v>2.1241103075987335E-2</c:v>
                </c:pt>
                <c:pt idx="285">
                  <c:v>2.1316464162706095E-2</c:v>
                </c:pt>
                <c:pt idx="286">
                  <c:v>2.1391351374317105E-2</c:v>
                </c:pt>
                <c:pt idx="287">
                  <c:v>2.1465767306133633E-2</c:v>
                </c:pt>
                <c:pt idx="288">
                  <c:v>2.1539715752835125E-2</c:v>
                </c:pt>
                <c:pt idx="289">
                  <c:v>2.1613201740739586E-2</c:v>
                </c:pt>
                <c:pt idx="290">
                  <c:v>2.1686231553557481E-2</c:v>
                </c:pt>
                <c:pt idx="291">
                  <c:v>2.1758812751215835E-2</c:v>
                </c:pt>
                <c:pt idx="292">
                  <c:v>2.1830954181388997E-2</c:v>
                </c:pt>
                <c:pt idx="293">
                  <c:v>2.1902665983425034E-2</c:v>
                </c:pt>
                <c:pt idx="294">
                  <c:v>2.1973959584413071E-2</c:v>
                </c:pt>
                <c:pt idx="295">
                  <c:v>2.2044847687196657E-2</c:v>
                </c:pt>
                <c:pt idx="296">
                  <c:v>2.2115344250201046E-2</c:v>
                </c:pt>
                <c:pt idx="297">
                  <c:v>2.2185464459007723E-2</c:v>
                </c:pt>
                <c:pt idx="298">
                  <c:v>2.2255224689676344E-2</c:v>
                </c:pt>
                <c:pt idx="299">
                  <c:v>2.2324642463882896E-2</c:v>
                </c:pt>
                <c:pt idx="300">
                  <c:v>2.2393736396011724E-2</c:v>
                </c:pt>
                <c:pt idx="301">
                  <c:v>2.2462526132407679E-2</c:v>
                </c:pt>
                <c:pt idx="302">
                  <c:v>2.2531032283063565E-2</c:v>
                </c:pt>
                <c:pt idx="303">
                  <c:v>2.2599276346084239E-2</c:v>
                </c:pt>
                <c:pt idx="304">
                  <c:v>2.2667280625333939E-2</c:v>
                </c:pt>
                <c:pt idx="305">
                  <c:v>2.2735068141735728E-2</c:v>
                </c:pt>
                <c:pt idx="306">
                  <c:v>2.2802662538750674E-2</c:v>
                </c:pt>
                <c:pt idx="307">
                  <c:v>2.2870087982619872E-2</c:v>
                </c:pt>
                <c:pt idx="308">
                  <c:v>2.2937369058003098E-2</c:v>
                </c:pt>
                <c:pt idx="309">
                  <c:v>2.3004530659693535E-2</c:v>
                </c:pt>
                <c:pt idx="310">
                  <c:v>2.3071597881128753E-2</c:v>
                </c:pt>
                <c:pt idx="311">
                  <c:v>2.3138595900452839E-2</c:v>
                </c:pt>
                <c:pt idx="312">
                  <c:v>2.3205549864912474E-2</c:v>
                </c:pt>
                <c:pt idx="313">
                  <c:v>2.3272484774392317E-2</c:v>
                </c:pt>
                <c:pt idx="314">
                  <c:v>2.3339425364909756E-2</c:v>
                </c:pt>
                <c:pt idx="315">
                  <c:v>2.3406395992897174E-2</c:v>
                </c:pt>
                <c:pt idx="316">
                  <c:v>2.3473420521101129E-2</c:v>
                </c:pt>
                <c:pt idx="317">
                  <c:v>2.3540522206921391E-2</c:v>
                </c:pt>
                <c:pt idx="318">
                  <c:v>2.3607723593999416E-2</c:v>
                </c:pt>
                <c:pt idx="319">
                  <c:v>2.3675046407845457E-2</c:v>
                </c:pt>
                <c:pt idx="320">
                  <c:v>2.374251145626587E-2</c:v>
                </c:pt>
                <c:pt idx="321">
                  <c:v>2.3810138535317805E-2</c:v>
                </c:pt>
                <c:pt idx="322">
                  <c:v>2.3877946341478152E-2</c:v>
                </c:pt>
                <c:pt idx="323">
                  <c:v>2.3945952390665947E-2</c:v>
                </c:pt>
                <c:pt idx="324">
                  <c:v>2.4014172944705613E-2</c:v>
                </c:pt>
                <c:pt idx="325">
                  <c:v>2.4082622945759823E-2</c:v>
                </c:pt>
                <c:pt idx="326">
                  <c:v>2.4151315959198054E-2</c:v>
                </c:pt>
                <c:pt idx="327">
                  <c:v>2.4220264125300317E-2</c:v>
                </c:pt>
                <c:pt idx="328">
                  <c:v>2.4289478120124323E-2</c:v>
                </c:pt>
                <c:pt idx="329">
                  <c:v>2.435896712579123E-2</c:v>
                </c:pt>
                <c:pt idx="330">
                  <c:v>2.4428738810368656E-2</c:v>
                </c:pt>
                <c:pt idx="331">
                  <c:v>2.4498799317452379E-2</c:v>
                </c:pt>
                <c:pt idx="332">
                  <c:v>2.4569153265469521E-2</c:v>
                </c:pt>
                <c:pt idx="333">
                  <c:v>2.4639803756646979E-2</c:v>
                </c:pt>
                <c:pt idx="334">
                  <c:v>2.4710752395511109E-2</c:v>
                </c:pt>
                <c:pt idx="335">
                  <c:v>2.4781999316707135E-2</c:v>
                </c:pt>
                <c:pt idx="336">
                  <c:v>2.4853543221851987E-2</c:v>
                </c:pt>
                <c:pt idx="337">
                  <c:v>2.4925381425061829E-2</c:v>
                </c:pt>
                <c:pt idx="338">
                  <c:v>2.4997509906726216E-2</c:v>
                </c:pt>
                <c:pt idx="339">
                  <c:v>2.5069923375035746E-2</c:v>
                </c:pt>
                <c:pt idx="340">
                  <c:v>2.5142615334709271E-2</c:v>
                </c:pt>
                <c:pt idx="341">
                  <c:v>2.5215578162311569E-2</c:v>
                </c:pt>
                <c:pt idx="342">
                  <c:v>2.5288803187501551E-2</c:v>
                </c:pt>
                <c:pt idx="343">
                  <c:v>2.5362280779508157E-2</c:v>
                </c:pt>
                <c:pt idx="344">
                  <c:v>2.5436000438092885E-2</c:v>
                </c:pt>
                <c:pt idx="345">
                  <c:v>2.5509950888227335E-2</c:v>
                </c:pt>
                <c:pt idx="346">
                  <c:v>2.5584120177690805E-2</c:v>
                </c:pt>
                <c:pt idx="347">
                  <c:v>2.5658495776776109E-2</c:v>
                </c:pt>
                <c:pt idx="348">
                  <c:v>2.5733064679282974E-2</c:v>
                </c:pt>
                <c:pt idx="349">
                  <c:v>2.5807813503976682E-2</c:v>
                </c:pt>
                <c:pt idx="350">
                  <c:v>2.588272859569549E-2</c:v>
                </c:pt>
                <c:pt idx="351">
                  <c:v>2.5957796125303124E-2</c:v>
                </c:pt>
                <c:pt idx="352">
                  <c:v>2.6033002187703453E-2</c:v>
                </c:pt>
                <c:pt idx="353">
                  <c:v>2.6108332897160989E-2</c:v>
                </c:pt>
                <c:pt idx="354">
                  <c:v>2.6183774479205474E-2</c:v>
                </c:pt>
                <c:pt idx="355">
                  <c:v>2.6259313358438036E-2</c:v>
                </c:pt>
                <c:pt idx="356">
                  <c:v>2.6334936241603234E-2</c:v>
                </c:pt>
                <c:pt idx="357">
                  <c:v>2.6410630195342264E-2</c:v>
                </c:pt>
                <c:pt idx="358">
                  <c:v>2.6486382718098941E-2</c:v>
                </c:pt>
                <c:pt idx="359">
                  <c:v>2.6562181805710607E-2</c:v>
                </c:pt>
                <c:pt idx="360">
                  <c:v>2.6638016010280745E-2</c:v>
                </c:pt>
                <c:pt idx="361">
                  <c:v>2.6713874491996872E-2</c:v>
                </c:pt>
                <c:pt idx="362">
                  <c:v>2.6789747063627484E-2</c:v>
                </c:pt>
                <c:pt idx="363">
                  <c:v>2.6865624227503149E-2</c:v>
                </c:pt>
                <c:pt idx="364">
                  <c:v>2.6941497204858986E-2</c:v>
                </c:pt>
                <c:pt idx="365">
                  <c:v>2.7017357957489125E-2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6.834835031664752E-4</c:v>
                </c:pt>
                <c:pt idx="1">
                  <c:v>6.8637102254952927E-4</c:v>
                </c:pt>
                <c:pt idx="2">
                  <c:v>6.9023837608521985E-4</c:v>
                </c:pt>
                <c:pt idx="3">
                  <c:v>6.9507461573609097E-4</c:v>
                </c:pt>
                <c:pt idx="4">
                  <c:v>7.0086770834087574E-4</c:v>
                </c:pt>
                <c:pt idx="5">
                  <c:v>7.0760477109685653E-4</c:v>
                </c:pt>
                <c:pt idx="6">
                  <c:v>7.1527230012753955E-4</c:v>
                </c:pt>
                <c:pt idx="7">
                  <c:v>7.2385639072430181E-4</c:v>
                </c:pt>
                <c:pt idx="8">
                  <c:v>7.332397879325984E-4</c:v>
                </c:pt>
                <c:pt idx="9">
                  <c:v>7.4328072668723775E-4</c:v>
                </c:pt>
                <c:pt idx="10">
                  <c:v>7.5367989675533605E-4</c:v>
                </c:pt>
                <c:pt idx="11">
                  <c:v>7.6444108007271661E-4</c:v>
                </c:pt>
                <c:pt idx="12">
                  <c:v>7.7556861921490171E-4</c:v>
                </c:pt>
                <c:pt idx="13">
                  <c:v>7.8706748618172315E-4</c:v>
                </c:pt>
                <c:pt idx="14">
                  <c:v>7.9894334626581733E-4</c:v>
                </c:pt>
                <c:pt idx="15">
                  <c:v>8.0898195844831113E-4</c:v>
                </c:pt>
                <c:pt idx="16">
                  <c:v>8.1642268744254703E-4</c:v>
                </c:pt>
                <c:pt idx="17">
                  <c:v>8.2136567687143152E-4</c:v>
                </c:pt>
                <c:pt idx="18">
                  <c:v>8.2391050337258034E-4</c:v>
                </c:pt>
                <c:pt idx="19">
                  <c:v>8.2415983518606894E-4</c:v>
                </c:pt>
                <c:pt idx="20">
                  <c:v>8.2221604881174161E-4</c:v>
                </c:pt>
                <c:pt idx="21">
                  <c:v>8.1817476871579769E-4</c:v>
                </c:pt>
                <c:pt idx="22">
                  <c:v>8.120355358512797E-4</c:v>
                </c:pt>
                <c:pt idx="23">
                  <c:v>8.0260434635864939E-4</c:v>
                </c:pt>
                <c:pt idx="24">
                  <c:v>7.9002394540445139E-4</c:v>
                </c:pt>
                <c:pt idx="25">
                  <c:v>7.7440803695355326E-4</c:v>
                </c:pt>
                <c:pt idx="26">
                  <c:v>7.5586773989283734E-4</c:v>
                </c:pt>
                <c:pt idx="27">
                  <c:v>7.3451110927534135E-4</c:v>
                </c:pt>
                <c:pt idx="28">
                  <c:v>7.1044272937747426E-4</c:v>
                </c:pt>
                <c:pt idx="29">
                  <c:v>6.8475862820804737E-4</c:v>
                </c:pt>
                <c:pt idx="30">
                  <c:v>6.594284243089764E-4</c:v>
                </c:pt>
                <c:pt idx="31">
                  <c:v>6.3445576700731608E-4</c:v>
                </c:pt>
                <c:pt idx="32">
                  <c:v>6.0984257299855548E-4</c:v>
                </c:pt>
                <c:pt idx="33">
                  <c:v>5.8558916863132968E-4</c:v>
                </c:pt>
                <c:pt idx="34">
                  <c:v>5.6169442659414288E-4</c:v>
                </c:pt>
                <c:pt idx="35">
                  <c:v>5.3815589600782871E-4</c:v>
                </c:pt>
                <c:pt idx="36">
                  <c:v>5.1492157159399826E-4</c:v>
                </c:pt>
                <c:pt idx="37">
                  <c:v>4.9301649003368148E-4</c:v>
                </c:pt>
                <c:pt idx="38">
                  <c:v>4.734429284611307E-4</c:v>
                </c:pt>
                <c:pt idx="39">
                  <c:v>4.5615191825321724E-4</c:v>
                </c:pt>
                <c:pt idx="40">
                  <c:v>4.410929015847162E-4</c:v>
                </c:pt>
                <c:pt idx="41">
                  <c:v>4.282145050666009E-4</c:v>
                </c:pt>
                <c:pt idx="42">
                  <c:v>4.1746523805241041E-4</c:v>
                </c:pt>
                <c:pt idx="43">
                  <c:v>4.0885957134196356E-4</c:v>
                </c:pt>
                <c:pt idx="44">
                  <c:v>4.0149117964167379E-4</c:v>
                </c:pt>
                <c:pt idx="45">
                  <c:v>3.9533466059675618E-4</c:v>
                </c:pt>
                <c:pt idx="46">
                  <c:v>3.9036536767040052E-4</c:v>
                </c:pt>
                <c:pt idx="47">
                  <c:v>3.8655968533618285E-4</c:v>
                </c:pt>
                <c:pt idx="48">
                  <c:v>3.8389527838112076E-4</c:v>
                </c:pt>
                <c:pt idx="49">
                  <c:v>3.8235131897046561E-4</c:v>
                </c:pt>
                <c:pt idx="50">
                  <c:v>3.8189041915188271E-4</c:v>
                </c:pt>
                <c:pt idx="51">
                  <c:v>3.8213175837812128E-4</c:v>
                </c:pt>
                <c:pt idx="52">
                  <c:v>3.8213028375317287E-4</c:v>
                </c:pt>
                <c:pt idx="53">
                  <c:v>3.8188702315116471E-4</c:v>
                </c:pt>
                <c:pt idx="54">
                  <c:v>3.8140478701880176E-4</c:v>
                </c:pt>
                <c:pt idx="55">
                  <c:v>3.8068630975555886E-4</c:v>
                </c:pt>
                <c:pt idx="56">
                  <c:v>3.797342806086863E-4</c:v>
                </c:pt>
                <c:pt idx="57">
                  <c:v>3.7856516766953844E-4</c:v>
                </c:pt>
                <c:pt idx="58">
                  <c:v>3.771226438004231E-4</c:v>
                </c:pt>
                <c:pt idx="59">
                  <c:v>3.7541008738434109E-4</c:v>
                </c:pt>
                <c:pt idx="60">
                  <c:v>3.7343087150625346E-4</c:v>
                </c:pt>
                <c:pt idx="61">
                  <c:v>3.7118838267631923E-4</c:v>
                </c:pt>
                <c:pt idx="62">
                  <c:v>3.6868603637394185E-4</c:v>
                </c:pt>
                <c:pt idx="63">
                  <c:v>3.6592728958402852E-4</c:v>
                </c:pt>
                <c:pt idx="64">
                  <c:v>3.6291831564851297E-4</c:v>
                </c:pt>
                <c:pt idx="65">
                  <c:v>3.5997636834450569E-4</c:v>
                </c:pt>
                <c:pt idx="66">
                  <c:v>3.5740458591421159E-4</c:v>
                </c:pt>
                <c:pt idx="67">
                  <c:v>3.5519790483621585E-4</c:v>
                </c:pt>
                <c:pt idx="68">
                  <c:v>3.5335150576857802E-4</c:v>
                </c:pt>
                <c:pt idx="69">
                  <c:v>3.5186082665225198E-4</c:v>
                </c:pt>
                <c:pt idx="70">
                  <c:v>3.5072157551774172E-4</c:v>
                </c:pt>
                <c:pt idx="71">
                  <c:v>3.4991120144721964E-4</c:v>
                </c:pt>
                <c:pt idx="72">
                  <c:v>3.4941438849082278E-4</c:v>
                </c:pt>
                <c:pt idx="73">
                  <c:v>3.4922852330491284E-4</c:v>
                </c:pt>
                <c:pt idx="74">
                  <c:v>3.4935129379970318E-4</c:v>
                </c:pt>
                <c:pt idx="75">
                  <c:v>3.4978070042933237E-4</c:v>
                </c:pt>
                <c:pt idx="76">
                  <c:v>3.5051506737850699E-4</c:v>
                </c:pt>
                <c:pt idx="77">
                  <c:v>3.5155305368321461E-4</c:v>
                </c:pt>
                <c:pt idx="78">
                  <c:v>3.5287543584521972E-4</c:v>
                </c:pt>
                <c:pt idx="79">
                  <c:v>3.5403832871196101E-4</c:v>
                </c:pt>
                <c:pt idx="80">
                  <c:v>3.5477295918756791E-4</c:v>
                </c:pt>
                <c:pt idx="81">
                  <c:v>3.5509535418341696E-4</c:v>
                </c:pt>
                <c:pt idx="82">
                  <c:v>3.5502103817464797E-4</c:v>
                </c:pt>
                <c:pt idx="83">
                  <c:v>3.5456495148370078E-4</c:v>
                </c:pt>
                <c:pt idx="84">
                  <c:v>3.5374137688625281E-4</c:v>
                </c:pt>
                <c:pt idx="85">
                  <c:v>3.526289969863785E-4</c:v>
                </c:pt>
                <c:pt idx="86">
                  <c:v>3.5125583108539036E-4</c:v>
                </c:pt>
                <c:pt idx="87">
                  <c:v>3.4963248738257159E-4</c:v>
                </c:pt>
                <c:pt idx="88">
                  <c:v>3.4776881167960513E-4</c:v>
                </c:pt>
                <c:pt idx="89">
                  <c:v>3.4567385554049273E-4</c:v>
                </c:pt>
                <c:pt idx="90">
                  <c:v>3.4335584775189575E-4</c:v>
                </c:pt>
                <c:pt idx="91">
                  <c:v>3.4082216836304194E-4</c:v>
                </c:pt>
                <c:pt idx="92">
                  <c:v>3.380630607366208E-4</c:v>
                </c:pt>
                <c:pt idx="93">
                  <c:v>3.3484262639120693E-4</c:v>
                </c:pt>
                <c:pt idx="94">
                  <c:v>3.3156853227936167E-4</c:v>
                </c:pt>
                <c:pt idx="95">
                  <c:v>3.2823962114455818E-4</c:v>
                </c:pt>
                <c:pt idx="96">
                  <c:v>3.2485442242104277E-4</c:v>
                </c:pt>
                <c:pt idx="97">
                  <c:v>3.2141114498768518E-4</c:v>
                </c:pt>
                <c:pt idx="98">
                  <c:v>3.1790766972904585E-4</c:v>
                </c:pt>
                <c:pt idx="99">
                  <c:v>3.1387755360895024E-4</c:v>
                </c:pt>
                <c:pt idx="100">
                  <c:v>3.0925610022798286E-4</c:v>
                </c:pt>
                <c:pt idx="101">
                  <c:v>3.0403954844073915E-4</c:v>
                </c:pt>
                <c:pt idx="102">
                  <c:v>2.9822284904938587E-4</c:v>
                </c:pt>
                <c:pt idx="103">
                  <c:v>2.9179964463762749E-4</c:v>
                </c:pt>
                <c:pt idx="104">
                  <c:v>2.8476224897773576E-4</c:v>
                </c:pt>
                <c:pt idx="105">
                  <c:v>2.7710162592616325E-4</c:v>
                </c:pt>
                <c:pt idx="106">
                  <c:v>2.6881044166486475E-4</c:v>
                </c:pt>
                <c:pt idx="107">
                  <c:v>2.6055025720256135E-4</c:v>
                </c:pt>
                <c:pt idx="108">
                  <c:v>2.5253553518170399E-4</c:v>
                </c:pt>
                <c:pt idx="109">
                  <c:v>2.4475760063022043E-4</c:v>
                </c:pt>
                <c:pt idx="110">
                  <c:v>2.3720904023335443E-4</c:v>
                </c:pt>
                <c:pt idx="111">
                  <c:v>2.2988293478505979E-4</c:v>
                </c:pt>
                <c:pt idx="112">
                  <c:v>2.2277219791694427E-4</c:v>
                </c:pt>
                <c:pt idx="113">
                  <c:v>2.1668184800592176E-4</c:v>
                </c:pt>
                <c:pt idx="114">
                  <c:v>2.1209564423204348E-4</c:v>
                </c:pt>
                <c:pt idx="115">
                  <c:v>2.0902621048932732E-4</c:v>
                </c:pt>
                <c:pt idx="116">
                  <c:v>2.0748869072041395E-4</c:v>
                </c:pt>
                <c:pt idx="117">
                  <c:v>2.0750063882353867E-4</c:v>
                </c:pt>
                <c:pt idx="118">
                  <c:v>2.0908190341811014E-4</c:v>
                </c:pt>
                <c:pt idx="119">
                  <c:v>2.122545063414002E-4</c:v>
                </c:pt>
                <c:pt idx="120">
                  <c:v>2.170498381761369E-4</c:v>
                </c:pt>
                <c:pt idx="121">
                  <c:v>2.2365425102199954E-4</c:v>
                </c:pt>
                <c:pt idx="122">
                  <c:v>2.3138330097722003E-4</c:v>
                </c:pt>
                <c:pt idx="123">
                  <c:v>2.4025864371496824E-4</c:v>
                </c:pt>
                <c:pt idx="124">
                  <c:v>2.5030323537555851E-4</c:v>
                </c:pt>
                <c:pt idx="125">
                  <c:v>2.6154122447817721E-4</c:v>
                </c:pt>
                <c:pt idx="126">
                  <c:v>2.7399783621862136E-4</c:v>
                </c:pt>
                <c:pt idx="127">
                  <c:v>2.8766384121218787E-4</c:v>
                </c:pt>
                <c:pt idx="128">
                  <c:v>3.0167921264248468E-4</c:v>
                </c:pt>
                <c:pt idx="129">
                  <c:v>3.1605089354233047E-4</c:v>
                </c:pt>
                <c:pt idx="130">
                  <c:v>3.3078529808107051E-4</c:v>
                </c:pt>
                <c:pt idx="131">
                  <c:v>3.4588825742809401E-4</c:v>
                </c:pt>
                <c:pt idx="132">
                  <c:v>3.6136496380165256E-4</c:v>
                </c:pt>
                <c:pt idx="133">
                  <c:v>3.7721991298116477E-4</c:v>
                </c:pt>
                <c:pt idx="134">
                  <c:v>3.9346389524435584E-4</c:v>
                </c:pt>
                <c:pt idx="135">
                  <c:v>4.1007361525759601E-4</c:v>
                </c:pt>
                <c:pt idx="136">
                  <c:v>4.2688431040808605E-4</c:v>
                </c:pt>
                <c:pt idx="137">
                  <c:v>4.4389733006329973E-4</c:v>
                </c:pt>
                <c:pt idx="138">
                  <c:v>4.6111345933752914E-4</c:v>
                </c:pt>
                <c:pt idx="139">
                  <c:v>4.7853290419337462E-4</c:v>
                </c:pt>
                <c:pt idx="140">
                  <c:v>4.9615527844998938E-4</c:v>
                </c:pt>
                <c:pt idx="141">
                  <c:v>5.1381909536046876E-4</c:v>
                </c:pt>
                <c:pt idx="142">
                  <c:v>5.3155547218609552E-4</c:v>
                </c:pt>
                <c:pt idx="143">
                  <c:v>5.4935622300614142E-4</c:v>
                </c:pt>
                <c:pt idx="144">
                  <c:v>5.6721557467125496E-4</c:v>
                </c:pt>
                <c:pt idx="145">
                  <c:v>5.8512719140356125E-4</c:v>
                </c:pt>
                <c:pt idx="146">
                  <c:v>6.0308419029677751E-4</c:v>
                </c:pt>
                <c:pt idx="147">
                  <c:v>6.2107916020450273E-4</c:v>
                </c:pt>
                <c:pt idx="148">
                  <c:v>6.3911411516084135E-4</c:v>
                </c:pt>
                <c:pt idx="149">
                  <c:v>6.5696015808302242E-4</c:v>
                </c:pt>
                <c:pt idx="150">
                  <c:v>6.7464123792646111E-4</c:v>
                </c:pt>
                <c:pt idx="151">
                  <c:v>6.9213972182776535E-4</c:v>
                </c:pt>
                <c:pt idx="152">
                  <c:v>7.0943706359876541E-4</c:v>
                </c:pt>
                <c:pt idx="153">
                  <c:v>7.2651386271524497E-4</c:v>
                </c:pt>
                <c:pt idx="154">
                  <c:v>7.433499281540364E-4</c:v>
                </c:pt>
                <c:pt idx="155">
                  <c:v>7.5964347048766429E-4</c:v>
                </c:pt>
                <c:pt idx="156">
                  <c:v>7.755482816610746E-4</c:v>
                </c:pt>
                <c:pt idx="157">
                  <c:v>7.9103999425641938E-4</c:v>
                </c:pt>
                <c:pt idx="158">
                  <c:v>8.0609380678579434E-4</c:v>
                </c:pt>
                <c:pt idx="159">
                  <c:v>8.2068458265347009E-4</c:v>
                </c:pt>
                <c:pt idx="160">
                  <c:v>8.3478695232836776E-4</c:v>
                </c:pt>
                <c:pt idx="161">
                  <c:v>8.483754182414037E-4</c:v>
                </c:pt>
                <c:pt idx="162">
                  <c:v>8.6144006752157903E-4</c:v>
                </c:pt>
                <c:pt idx="163">
                  <c:v>8.7365980926107476E-4</c:v>
                </c:pt>
                <c:pt idx="164">
                  <c:v>8.8526656852700738E-4</c:v>
                </c:pt>
                <c:pt idx="165">
                  <c:v>8.9624238028805777E-4</c:v>
                </c:pt>
                <c:pt idx="166">
                  <c:v>9.0656989068502126E-4</c:v>
                </c:pt>
                <c:pt idx="167">
                  <c:v>9.1623241012299709E-4</c:v>
                </c:pt>
                <c:pt idx="168">
                  <c:v>9.2521396112564536E-4</c:v>
                </c:pt>
                <c:pt idx="169">
                  <c:v>9.3317061387386297E-4</c:v>
                </c:pt>
                <c:pt idx="170">
                  <c:v>9.4039385644964382E-4</c:v>
                </c:pt>
                <c:pt idx="171">
                  <c:v>9.4686996364280859E-4</c:v>
                </c:pt>
                <c:pt idx="172">
                  <c:v>9.5258606724605112E-4</c:v>
                </c:pt>
                <c:pt idx="173">
                  <c:v>9.5752037954428826E-4</c:v>
                </c:pt>
                <c:pt idx="174">
                  <c:v>9.6165130251262779E-4</c:v>
                </c:pt>
                <c:pt idx="175">
                  <c:v>9.649676315164425E-4</c:v>
                </c:pt>
                <c:pt idx="176">
                  <c:v>9.6746298111755503E-4</c:v>
                </c:pt>
                <c:pt idx="177">
                  <c:v>9.6880717605978613E-4</c:v>
                </c:pt>
                <c:pt idx="178">
                  <c:v>9.6933012845343497E-4</c:v>
                </c:pt>
                <c:pt idx="179">
                  <c:v>9.6902294729532827E-4</c:v>
                </c:pt>
                <c:pt idx="180">
                  <c:v>9.6787761319556227E-4</c:v>
                </c:pt>
                <c:pt idx="181">
                  <c:v>9.6588696194699146E-4</c:v>
                </c:pt>
                <c:pt idx="182">
                  <c:v>9.6304466275140826E-4</c:v>
                </c:pt>
                <c:pt idx="183">
                  <c:v>9.5906318326217618E-4</c:v>
                </c:pt>
                <c:pt idx="184">
                  <c:v>9.5428791374636661E-4</c:v>
                </c:pt>
                <c:pt idx="185">
                  <c:v>9.4871577050347931E-4</c:v>
                </c:pt>
                <c:pt idx="186">
                  <c:v>9.4234431919425524E-4</c:v>
                </c:pt>
                <c:pt idx="187">
                  <c:v>9.3517173382983972E-4</c:v>
                </c:pt>
                <c:pt idx="188">
                  <c:v>9.2719675368848297E-4</c:v>
                </c:pt>
                <c:pt idx="189">
                  <c:v>9.1841863874229674E-4</c:v>
                </c:pt>
                <c:pt idx="190">
                  <c:v>9.0884136864313974E-4</c:v>
                </c:pt>
                <c:pt idx="191">
                  <c:v>8.9824954087326301E-4</c:v>
                </c:pt>
                <c:pt idx="192">
                  <c:v>8.8698562412044973E-4</c:v>
                </c:pt>
                <c:pt idx="193">
                  <c:v>8.7505273577572569E-4</c:v>
                </c:pt>
                <c:pt idx="194">
                  <c:v>8.624540792537634E-4</c:v>
                </c:pt>
                <c:pt idx="195">
                  <c:v>8.4919289216655442E-4</c:v>
                </c:pt>
                <c:pt idx="196">
                  <c:v>8.3527239676777735E-4</c:v>
                </c:pt>
                <c:pt idx="197">
                  <c:v>8.2064002557869268E-4</c:v>
                </c:pt>
                <c:pt idx="198">
                  <c:v>8.0559325020508978E-4</c:v>
                </c:pt>
                <c:pt idx="199">
                  <c:v>7.90136550438155E-4</c:v>
                </c:pt>
                <c:pt idx="200">
                  <c:v>7.7427415405709903E-4</c:v>
                </c:pt>
                <c:pt idx="201">
                  <c:v>7.5801001396875599E-4</c:v>
                </c:pt>
                <c:pt idx="202">
                  <c:v>7.413477888300686E-4</c:v>
                </c:pt>
                <c:pt idx="203">
                  <c:v>7.2429082710941616E-4</c:v>
                </c:pt>
                <c:pt idx="204">
                  <c:v>7.0683226485135039E-4</c:v>
                </c:pt>
                <c:pt idx="205">
                  <c:v>6.8891288724780601E-4</c:v>
                </c:pt>
                <c:pt idx="206">
                  <c:v>6.7076856513197678E-4</c:v>
                </c:pt>
                <c:pt idx="207">
                  <c:v>6.5240669356920393E-4</c:v>
                </c:pt>
                <c:pt idx="208">
                  <c:v>6.3383399283230149E-4</c:v>
                </c:pt>
                <c:pt idx="209">
                  <c:v>6.1505650373294934E-4</c:v>
                </c:pt>
                <c:pt idx="210">
                  <c:v>5.9607958555917332E-4</c:v>
                </c:pt>
                <c:pt idx="211">
                  <c:v>5.7717399429246645E-4</c:v>
                </c:pt>
                <c:pt idx="212">
                  <c:v>5.5840329426128533E-4</c:v>
                </c:pt>
                <c:pt idx="213">
                  <c:v>5.3977289972819938E-4</c:v>
                </c:pt>
                <c:pt idx="214">
                  <c:v>5.2128757703125345E-4</c:v>
                </c:pt>
                <c:pt idx="215">
                  <c:v>5.029514739544323E-4</c:v>
                </c:pt>
                <c:pt idx="216">
                  <c:v>4.8476814907645355E-4</c:v>
                </c:pt>
                <c:pt idx="217">
                  <c:v>4.6674060071192621E-4</c:v>
                </c:pt>
                <c:pt idx="218">
                  <c:v>4.4886474601826289E-4</c:v>
                </c:pt>
                <c:pt idx="219">
                  <c:v>4.3258256381328755E-4</c:v>
                </c:pt>
                <c:pt idx="220">
                  <c:v>4.1796065610047662E-4</c:v>
                </c:pt>
                <c:pt idx="221">
                  <c:v>4.0500924933949275E-4</c:v>
                </c:pt>
                <c:pt idx="222">
                  <c:v>3.9373865532357181E-4</c:v>
                </c:pt>
                <c:pt idx="223">
                  <c:v>3.8415929023427679E-4</c:v>
                </c:pt>
                <c:pt idx="224">
                  <c:v>3.762816899329419E-4</c:v>
                </c:pt>
                <c:pt idx="225">
                  <c:v>3.7132741428232586E-4</c:v>
                </c:pt>
                <c:pt idx="226">
                  <c:v>3.6903991684370945E-4</c:v>
                </c:pt>
                <c:pt idx="227">
                  <c:v>3.6943607957822813E-4</c:v>
                </c:pt>
                <c:pt idx="228">
                  <c:v>3.7253304116025259E-4</c:v>
                </c:pt>
                <c:pt idx="229">
                  <c:v>3.7834819225355203E-4</c:v>
                </c:pt>
                <c:pt idx="230">
                  <c:v>3.8689916744130513E-4</c:v>
                </c:pt>
                <c:pt idx="231">
                  <c:v>3.9820383399715527E-4</c:v>
                </c:pt>
                <c:pt idx="232">
                  <c:v>4.1226954023390979E-4</c:v>
                </c:pt>
                <c:pt idx="233">
                  <c:v>4.2822807047369302E-4</c:v>
                </c:pt>
                <c:pt idx="234">
                  <c:v>4.445996619358571E-4</c:v>
                </c:pt>
                <c:pt idx="235">
                  <c:v>4.6139091454350175E-4</c:v>
                </c:pt>
                <c:pt idx="236">
                  <c:v>4.7860939376024962E-4</c:v>
                </c:pt>
                <c:pt idx="237">
                  <c:v>4.962632353743379E-4</c:v>
                </c:pt>
                <c:pt idx="238">
                  <c:v>5.1436147989872099E-4</c:v>
                </c:pt>
                <c:pt idx="239">
                  <c:v>5.3243419846943851E-4</c:v>
                </c:pt>
                <c:pt idx="240">
                  <c:v>5.4923855538030898E-4</c:v>
                </c:pt>
                <c:pt idx="241">
                  <c:v>5.6477447255685409E-4</c:v>
                </c:pt>
                <c:pt idx="242">
                  <c:v>5.7904222393888706E-4</c:v>
                </c:pt>
                <c:pt idx="243">
                  <c:v>5.9204228964298666E-4</c:v>
                </c:pt>
                <c:pt idx="244">
                  <c:v>6.0377520870617699E-4</c:v>
                </c:pt>
                <c:pt idx="245">
                  <c:v>6.142414306691804E-4</c:v>
                </c:pt>
                <c:pt idx="246">
                  <c:v>6.234245099563389E-4</c:v>
                </c:pt>
                <c:pt idx="247">
                  <c:v>6.313621274205844E-4</c:v>
                </c:pt>
                <c:pt idx="248">
                  <c:v>6.3895253620953698E-4</c:v>
                </c:pt>
                <c:pt idx="249">
                  <c:v>6.4619181099726897E-4</c:v>
                </c:pt>
                <c:pt idx="250">
                  <c:v>6.5307574853014404E-4</c:v>
                </c:pt>
                <c:pt idx="251">
                  <c:v>6.5959986669739872E-4</c:v>
                </c:pt>
                <c:pt idx="252">
                  <c:v>6.6575940437426067E-4</c:v>
                </c:pt>
                <c:pt idx="253">
                  <c:v>6.7082348844214282E-4</c:v>
                </c:pt>
                <c:pt idx="254">
                  <c:v>6.7528125758327894E-4</c:v>
                </c:pt>
                <c:pt idx="255">
                  <c:v>6.7912504314929581E-4</c:v>
                </c:pt>
                <c:pt idx="256">
                  <c:v>6.8234681936653254E-4</c:v>
                </c:pt>
                <c:pt idx="257">
                  <c:v>6.8493821776458908E-4</c:v>
                </c:pt>
                <c:pt idx="258">
                  <c:v>6.8689054406769466E-4</c:v>
                </c:pt>
                <c:pt idx="259">
                  <c:v>6.8819479717687978E-4</c:v>
                </c:pt>
                <c:pt idx="260">
                  <c:v>6.888652966906782E-4</c:v>
                </c:pt>
                <c:pt idx="261">
                  <c:v>6.8894714824498094E-4</c:v>
                </c:pt>
                <c:pt idx="262">
                  <c:v>6.8835971623370726E-4</c:v>
                </c:pt>
                <c:pt idx="263">
                  <c:v>6.8708539142010069E-4</c:v>
                </c:pt>
                <c:pt idx="264">
                  <c:v>6.8510612039459772E-4</c:v>
                </c:pt>
                <c:pt idx="265">
                  <c:v>6.8240712248902652E-4</c:v>
                </c:pt>
                <c:pt idx="266">
                  <c:v>6.789714749309083E-4</c:v>
                </c:pt>
                <c:pt idx="267">
                  <c:v>6.7531947097512919E-4</c:v>
                </c:pt>
                <c:pt idx="268">
                  <c:v>6.7220288069004856E-4</c:v>
                </c:pt>
                <c:pt idx="269">
                  <c:v>6.6961679900730861E-4</c:v>
                </c:pt>
                <c:pt idx="270">
                  <c:v>6.6755629070287337E-4</c:v>
                </c:pt>
                <c:pt idx="271">
                  <c:v>6.6601630402143993E-4</c:v>
                </c:pt>
                <c:pt idx="272">
                  <c:v>6.6499158319266005E-4</c:v>
                </c:pt>
                <c:pt idx="273">
                  <c:v>6.644765802007993E-4</c:v>
                </c:pt>
                <c:pt idx="274">
                  <c:v>6.6447893383333599E-4</c:v>
                </c:pt>
                <c:pt idx="275">
                  <c:v>6.6499171875853032E-4</c:v>
                </c:pt>
                <c:pt idx="276">
                  <c:v>6.6598503898458229E-4</c:v>
                </c:pt>
                <c:pt idx="277">
                  <c:v>6.6746677751487889E-4</c:v>
                </c:pt>
                <c:pt idx="278">
                  <c:v>6.6944494238179266E-4</c:v>
                </c:pt>
                <c:pt idx="279">
                  <c:v>6.7192771260251368E-4</c:v>
                </c:pt>
                <c:pt idx="280">
                  <c:v>6.7492348935002287E-4</c:v>
                </c:pt>
                <c:pt idx="281">
                  <c:v>6.7785242300272145E-4</c:v>
                </c:pt>
                <c:pt idx="282">
                  <c:v>6.8014966133891962E-4</c:v>
                </c:pt>
                <c:pt idx="283">
                  <c:v>6.8181441598634735E-4</c:v>
                </c:pt>
                <c:pt idx="284">
                  <c:v>6.8284649043947069E-4</c:v>
                </c:pt>
                <c:pt idx="285">
                  <c:v>6.8324626341167928E-4</c:v>
                </c:pt>
                <c:pt idx="286">
                  <c:v>6.8301466617358853E-4</c:v>
                </c:pt>
                <c:pt idx="287">
                  <c:v>6.8215315328252622E-4</c:v>
                </c:pt>
                <c:pt idx="288">
                  <c:v>6.8069311475134342E-4</c:v>
                </c:pt>
                <c:pt idx="289">
                  <c:v>6.789657703310044E-4</c:v>
                </c:pt>
                <c:pt idx="290">
                  <c:v>6.7697738385680663E-4</c:v>
                </c:pt>
                <c:pt idx="291">
                  <c:v>6.7470892437350124E-4</c:v>
                </c:pt>
                <c:pt idx="292">
                  <c:v>6.7214126419515221E-4</c:v>
                </c:pt>
                <c:pt idx="293">
                  <c:v>6.6925521410819851E-4</c:v>
                </c:pt>
                <c:pt idx="294">
                  <c:v>6.6603156770701506E-4</c:v>
                </c:pt>
                <c:pt idx="295">
                  <c:v>6.6428382321762015E-4</c:v>
                </c:pt>
                <c:pt idx="296">
                  <c:v>6.6463331816328053E-4</c:v>
                </c:pt>
                <c:pt idx="297">
                  <c:v>6.6708757663978943E-4</c:v>
                </c:pt>
                <c:pt idx="298">
                  <c:v>6.7164703147691129E-4</c:v>
                </c:pt>
                <c:pt idx="299">
                  <c:v>6.7830992568009756E-4</c:v>
                </c:pt>
                <c:pt idx="300">
                  <c:v>6.8707168324438125E-4</c:v>
                </c:pt>
                <c:pt idx="301">
                  <c:v>6.9792426249248201E-4</c:v>
                </c:pt>
                <c:pt idx="302">
                  <c:v>7.1091408736557202E-4</c:v>
                </c:pt>
                <c:pt idx="303">
                  <c:v>7.2723646958333568E-4</c:v>
                </c:pt>
                <c:pt idx="304">
                  <c:v>7.4658519709825788E-4</c:v>
                </c:pt>
                <c:pt idx="305">
                  <c:v>7.6898117158079554E-4</c:v>
                </c:pt>
                <c:pt idx="306">
                  <c:v>7.9444539764180399E-4</c:v>
                </c:pt>
                <c:pt idx="307">
                  <c:v>8.2299925573407718E-4</c:v>
                </c:pt>
                <c:pt idx="308">
                  <c:v>8.5466478770583479E-4</c:v>
                </c:pt>
                <c:pt idx="309">
                  <c:v>8.8748845022753914E-4</c:v>
                </c:pt>
                <c:pt idx="310">
                  <c:v>9.1958830008441819E-4</c:v>
                </c:pt>
                <c:pt idx="311">
                  <c:v>9.5096881715828327E-4</c:v>
                </c:pt>
                <c:pt idx="312">
                  <c:v>9.8163589213708731E-4</c:v>
                </c:pt>
                <c:pt idx="313">
                  <c:v>1.0115967224167354E-3</c:v>
                </c:pt>
                <c:pt idx="314">
                  <c:v>1.04085969462364E-3</c:v>
                </c:pt>
                <c:pt idx="315">
                  <c:v>1.0694342540931332E-3</c:v>
                </c:pt>
                <c:pt idx="316">
                  <c:v>1.0973711122044233E-3</c:v>
                </c:pt>
                <c:pt idx="317">
                  <c:v>1.121937539311715E-3</c:v>
                </c:pt>
                <c:pt idx="318">
                  <c:v>1.1419499163771915E-3</c:v>
                </c:pt>
                <c:pt idx="319">
                  <c:v>1.1573756039867684E-3</c:v>
                </c:pt>
                <c:pt idx="320">
                  <c:v>1.1681770156679644E-3</c:v>
                </c:pt>
                <c:pt idx="321">
                  <c:v>1.1743117566570568E-3</c:v>
                </c:pt>
                <c:pt idx="322">
                  <c:v>1.1757328345596376E-3</c:v>
                </c:pt>
                <c:pt idx="323">
                  <c:v>1.1725250461612567E-3</c:v>
                </c:pt>
                <c:pt idx="324">
                  <c:v>1.1666783947484507E-3</c:v>
                </c:pt>
                <c:pt idx="325">
                  <c:v>1.1581532430963175E-3</c:v>
                </c:pt>
                <c:pt idx="326">
                  <c:v>1.146900641587622E-3</c:v>
                </c:pt>
                <c:pt idx="327">
                  <c:v>1.1328749050721614E-3</c:v>
                </c:pt>
                <c:pt idx="328">
                  <c:v>1.1160350064228495E-3</c:v>
                </c:pt>
                <c:pt idx="329">
                  <c:v>1.0963390700271815E-3</c:v>
                </c:pt>
                <c:pt idx="330">
                  <c:v>1.0739126570746744E-3</c:v>
                </c:pt>
                <c:pt idx="331">
                  <c:v>1.0500343700250376E-3</c:v>
                </c:pt>
                <c:pt idx="332">
                  <c:v>1.0275226107689126E-3</c:v>
                </c:pt>
                <c:pt idx="333">
                  <c:v>1.0063297331859063E-3</c:v>
                </c:pt>
                <c:pt idx="334">
                  <c:v>9.8641089978846212E-4</c:v>
                </c:pt>
                <c:pt idx="335">
                  <c:v>9.6772372656735238E-4</c:v>
                </c:pt>
                <c:pt idx="336">
                  <c:v>9.5022793377032278E-4</c:v>
                </c:pt>
                <c:pt idx="337">
                  <c:v>9.3425027382108784E-4</c:v>
                </c:pt>
                <c:pt idx="338">
                  <c:v>9.1961450665066936E-4</c:v>
                </c:pt>
                <c:pt idx="339">
                  <c:v>9.0628672759944008E-4</c:v>
                </c:pt>
                <c:pt idx="340">
                  <c:v>8.9423335492682852E-4</c:v>
                </c:pt>
                <c:pt idx="341">
                  <c:v>8.834206359108691E-4</c:v>
                </c:pt>
                <c:pt idx="342">
                  <c:v>8.7381415430310425E-4</c:v>
                </c:pt>
                <c:pt idx="343">
                  <c:v>8.6537834631642983E-4</c:v>
                </c:pt>
                <c:pt idx="344">
                  <c:v>8.5820729680066547E-4</c:v>
                </c:pt>
                <c:pt idx="345">
                  <c:v>8.5241872796334647E-4</c:v>
                </c:pt>
                <c:pt idx="346">
                  <c:v>8.4709517335850991E-4</c:v>
                </c:pt>
                <c:pt idx="347">
                  <c:v>8.4222949681003365E-4</c:v>
                </c:pt>
                <c:pt idx="348">
                  <c:v>8.3781412269247119E-4</c:v>
                </c:pt>
                <c:pt idx="349">
                  <c:v>8.3384103905540007E-4</c:v>
                </c:pt>
                <c:pt idx="350">
                  <c:v>8.3030180066071132E-4</c:v>
                </c:pt>
                <c:pt idx="351">
                  <c:v>8.2751237844348269E-4</c:v>
                </c:pt>
                <c:pt idx="352">
                  <c:v>8.250888051191252E-4</c:v>
                </c:pt>
                <c:pt idx="353">
                  <c:v>8.2302115588841996E-4</c:v>
                </c:pt>
                <c:pt idx="354">
                  <c:v>8.2129919358048459E-4</c:v>
                </c:pt>
                <c:pt idx="355">
                  <c:v>8.1991238928486368E-4</c:v>
                </c:pt>
                <c:pt idx="356">
                  <c:v>8.188486275661367E-4</c:v>
                </c:pt>
                <c:pt idx="357">
                  <c:v>8.1809700675805803E-4</c:v>
                </c:pt>
                <c:pt idx="358">
                  <c:v>8.1761220177498702E-4</c:v>
                </c:pt>
                <c:pt idx="359">
                  <c:v>8.1736570572141611E-4</c:v>
                </c:pt>
                <c:pt idx="360">
                  <c:v>8.1773458229271814E-4</c:v>
                </c:pt>
                <c:pt idx="361">
                  <c:v>8.1840631801310634E-4</c:v>
                </c:pt>
                <c:pt idx="362">
                  <c:v>8.1938882360569406E-4</c:v>
                </c:pt>
                <c:pt idx="363">
                  <c:v>8.2068947805933603E-4</c:v>
                </c:pt>
                <c:pt idx="364">
                  <c:v>8.2231513972307708E-4</c:v>
                </c:pt>
                <c:pt idx="365">
                  <c:v>8.2427216593732781E-4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4168"/>
        <c:axId val="592954560"/>
      </c:lineChart>
      <c:dateAx>
        <c:axId val="5929541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4560"/>
        <c:crosses val="autoZero"/>
        <c:auto val="1"/>
        <c:lblOffset val="100"/>
        <c:baseTimeUnit val="days"/>
        <c:majorUnit val="1"/>
        <c:majorTimeUnit val="months"/>
      </c:dateAx>
      <c:valAx>
        <c:axId val="5929545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4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24.033667059732302</c:v>
                </c:pt>
                <c:pt idx="1">
                  <c:v>24.180353790491232</c:v>
                </c:pt>
                <c:pt idx="2">
                  <c:v>24.336300968832049</c:v>
                </c:pt>
                <c:pt idx="3">
                  <c:v>24.50095886897105</c:v>
                </c:pt>
                <c:pt idx="4">
                  <c:v>24.673777964785618</c:v>
                </c:pt>
                <c:pt idx="5">
                  <c:v>24.854208924368422</c:v>
                </c:pt>
                <c:pt idx="6">
                  <c:v>25.041702617793689</c:v>
                </c:pt>
                <c:pt idx="7">
                  <c:v>25.235710109402685</c:v>
                </c:pt>
                <c:pt idx="8">
                  <c:v>25.439264343681337</c:v>
                </c:pt>
                <c:pt idx="9">
                  <c:v>25.655105023774986</c:v>
                </c:pt>
                <c:pt idx="10">
                  <c:v>25.882257445371092</c:v>
                </c:pt>
                <c:pt idx="11">
                  <c:v>26.119738678831471</c:v>
                </c:pt>
                <c:pt idx="12">
                  <c:v>26.366566178890746</c:v>
                </c:pt>
                <c:pt idx="13">
                  <c:v>26.62175778071056</c:v>
                </c:pt>
                <c:pt idx="14">
                  <c:v>26.88433170610352</c:v>
                </c:pt>
                <c:pt idx="15">
                  <c:v>27.153376089779769</c:v>
                </c:pt>
                <c:pt idx="16">
                  <c:v>27.427938449824524</c:v>
                </c:pt>
                <c:pt idx="17">
                  <c:v>27.70703814611695</c:v>
                </c:pt>
                <c:pt idx="18">
                  <c:v>27.989694920050432</c:v>
                </c:pt>
                <c:pt idx="19">
                  <c:v>28.274928733811958</c:v>
                </c:pt>
                <c:pt idx="20">
                  <c:v>28.561759853336898</c:v>
                </c:pt>
                <c:pt idx="21">
                  <c:v>28.849209044065635</c:v>
                </c:pt>
                <c:pt idx="22">
                  <c:v>29.139609737823982</c:v>
                </c:pt>
                <c:pt idx="23">
                  <c:v>29.435730648977902</c:v>
                </c:pt>
                <c:pt idx="24">
                  <c:v>29.737173841105076</c:v>
                </c:pt>
                <c:pt idx="25">
                  <c:v>30.043538181703045</c:v>
                </c:pt>
                <c:pt idx="26">
                  <c:v>30.354422707841728</c:v>
                </c:pt>
                <c:pt idx="27">
                  <c:v>30.669426631665075</c:v>
                </c:pt>
                <c:pt idx="28">
                  <c:v>30.988149341425714</c:v>
                </c:pt>
                <c:pt idx="29">
                  <c:v>31.310161401260654</c:v>
                </c:pt>
                <c:pt idx="30">
                  <c:v>31.634993131604965</c:v>
                </c:pt>
                <c:pt idx="31">
                  <c:v>31.962244485654086</c:v>
                </c:pt>
                <c:pt idx="32">
                  <c:v>32.291515592428517</c:v>
                </c:pt>
                <c:pt idx="33">
                  <c:v>32.622406760572474</c:v>
                </c:pt>
                <c:pt idx="34">
                  <c:v>32.954518474823253</c:v>
                </c:pt>
                <c:pt idx="35">
                  <c:v>33.287451395796332</c:v>
                </c:pt>
                <c:pt idx="36">
                  <c:v>33.623965568579329</c:v>
                </c:pt>
                <c:pt idx="37">
                  <c:v>33.966372887412781</c:v>
                </c:pt>
                <c:pt idx="38">
                  <c:v>34.313624077704837</c:v>
                </c:pt>
                <c:pt idx="39">
                  <c:v>34.664720496297015</c:v>
                </c:pt>
                <c:pt idx="40">
                  <c:v>35.01866390255681</c:v>
                </c:pt>
                <c:pt idx="41">
                  <c:v>35.374456450290687</c:v>
                </c:pt>
                <c:pt idx="42">
                  <c:v>35.731100689538721</c:v>
                </c:pt>
                <c:pt idx="43">
                  <c:v>36.087591076969332</c:v>
                </c:pt>
                <c:pt idx="44">
                  <c:v>36.442959916632418</c:v>
                </c:pt>
                <c:pt idx="45">
                  <c:v>36.796210921696471</c:v>
                </c:pt>
                <c:pt idx="46">
                  <c:v>37.146348192129715</c:v>
                </c:pt>
                <c:pt idx="47">
                  <c:v>37.49237620791417</c:v>
                </c:pt>
                <c:pt idx="48">
                  <c:v>37.833299827412993</c:v>
                </c:pt>
                <c:pt idx="49">
                  <c:v>38.168124283872579</c:v>
                </c:pt>
                <c:pt idx="50">
                  <c:v>38.497698290965772</c:v>
                </c:pt>
                <c:pt idx="51">
                  <c:v>38.823749683369549</c:v>
                </c:pt>
                <c:pt idx="52">
                  <c:v>39.146626630355399</c:v>
                </c:pt>
                <c:pt idx="53">
                  <c:v>39.466629059988279</c:v>
                </c:pt>
                <c:pt idx="54">
                  <c:v>39.78405667230637</c:v>
                </c:pt>
                <c:pt idx="55">
                  <c:v>40.099209027383402</c:v>
                </c:pt>
                <c:pt idx="56">
                  <c:v>40.412385536918642</c:v>
                </c:pt>
                <c:pt idx="57">
                  <c:v>40.723886164897337</c:v>
                </c:pt>
                <c:pt idx="58">
                  <c:v>41.03401856764868</c:v>
                </c:pt>
                <c:pt idx="59">
                  <c:v>41.343081726248656</c:v>
                </c:pt>
                <c:pt idx="60">
                  <c:v>41.651374469646804</c:v>
                </c:pt>
                <c:pt idx="61">
                  <c:v>41.959195473762392</c:v>
                </c:pt>
                <c:pt idx="62">
                  <c:v>42.266843261001121</c:v>
                </c:pt>
                <c:pt idx="63">
                  <c:v>42.574616198484534</c:v>
                </c:pt>
                <c:pt idx="64">
                  <c:v>42.882497439628857</c:v>
                </c:pt>
                <c:pt idx="65">
                  <c:v>43.190122942672865</c:v>
                </c:pt>
                <c:pt idx="66">
                  <c:v>43.497277344571678</c:v>
                </c:pt>
                <c:pt idx="67">
                  <c:v>43.803761469321771</c:v>
                </c:pt>
                <c:pt idx="68">
                  <c:v>44.10937617352733</c:v>
                </c:pt>
                <c:pt idx="69">
                  <c:v>44.413922345555889</c:v>
                </c:pt>
                <c:pt idx="70">
                  <c:v>44.717200906215304</c:v>
                </c:pt>
                <c:pt idx="71">
                  <c:v>45.019011685453826</c:v>
                </c:pt>
                <c:pt idx="72">
                  <c:v>45.319154945974439</c:v>
                </c:pt>
                <c:pt idx="73">
                  <c:v>45.617431692590102</c:v>
                </c:pt>
                <c:pt idx="74">
                  <c:v>45.913642962047554</c:v>
                </c:pt>
                <c:pt idx="75">
                  <c:v>46.207589823259056</c:v>
                </c:pt>
                <c:pt idx="76">
                  <c:v>46.499073378734053</c:v>
                </c:pt>
                <c:pt idx="77">
                  <c:v>46.787894764810929</c:v>
                </c:pt>
                <c:pt idx="78">
                  <c:v>47.076289423454121</c:v>
                </c:pt>
                <c:pt idx="79">
                  <c:v>47.366050207890993</c:v>
                </c:pt>
                <c:pt idx="80">
                  <c:v>47.656297363248179</c:v>
                </c:pt>
                <c:pt idx="81">
                  <c:v>47.946135887301935</c:v>
                </c:pt>
                <c:pt idx="82">
                  <c:v>48.234671103114607</c:v>
                </c:pt>
                <c:pt idx="83">
                  <c:v>48.521008669012922</c:v>
                </c:pt>
                <c:pt idx="84">
                  <c:v>48.804254577795035</c:v>
                </c:pt>
                <c:pt idx="85">
                  <c:v>49.083513352001219</c:v>
                </c:pt>
                <c:pt idx="86">
                  <c:v>49.357892846439185</c:v>
                </c:pt>
                <c:pt idx="87">
                  <c:v>49.626500110875355</c:v>
                </c:pt>
                <c:pt idx="88">
                  <c:v>49.888442552336763</c:v>
                </c:pt>
                <c:pt idx="89">
                  <c:v>50.163674864465044</c:v>
                </c:pt>
                <c:pt idx="90">
                  <c:v>50.409599580748825</c:v>
                </c:pt>
                <c:pt idx="91">
                  <c:v>50.646166015437991</c:v>
                </c:pt>
                <c:pt idx="92">
                  <c:v>50.874930505326752</c:v>
                </c:pt>
                <c:pt idx="93">
                  <c:v>51.097977931426939</c:v>
                </c:pt>
                <c:pt idx="94">
                  <c:v>51.315209885410312</c:v>
                </c:pt>
                <c:pt idx="95">
                  <c:v>51.526528023196228</c:v>
                </c:pt>
                <c:pt idx="96">
                  <c:v>51.731834056144351</c:v>
                </c:pt>
                <c:pt idx="97">
                  <c:v>51.931029754411846</c:v>
                </c:pt>
                <c:pt idx="98">
                  <c:v>52.124016951701854</c:v>
                </c:pt>
                <c:pt idx="99">
                  <c:v>52.310697516481</c:v>
                </c:pt>
                <c:pt idx="100">
                  <c:v>52.490973390316867</c:v>
                </c:pt>
                <c:pt idx="101">
                  <c:v>52.664746594390216</c:v>
                </c:pt>
                <c:pt idx="102">
                  <c:v>52.831919223144894</c:v>
                </c:pt>
                <c:pt idx="103">
                  <c:v>52.992393449340412</c:v>
                </c:pt>
                <c:pt idx="104">
                  <c:v>53.146071523313125</c:v>
                </c:pt>
                <c:pt idx="105">
                  <c:v>53.292855778718653</c:v>
                </c:pt>
                <c:pt idx="106">
                  <c:v>53.432037644890052</c:v>
                </c:pt>
                <c:pt idx="107">
                  <c:v>53.563238830833697</c:v>
                </c:pt>
                <c:pt idx="108">
                  <c:v>53.686857314258063</c:v>
                </c:pt>
                <c:pt idx="109">
                  <c:v>53.803291051296085</c:v>
                </c:pt>
                <c:pt idx="110">
                  <c:v>53.91293788146487</c:v>
                </c:pt>
                <c:pt idx="111">
                  <c:v>54.016195524222027</c:v>
                </c:pt>
                <c:pt idx="112">
                  <c:v>54.113461579045371</c:v>
                </c:pt>
                <c:pt idx="113">
                  <c:v>54.205133277553315</c:v>
                </c:pt>
                <c:pt idx="114">
                  <c:v>54.291608045142532</c:v>
                </c:pt>
                <c:pt idx="115">
                  <c:v>54.373283095617644</c:v>
                </c:pt>
                <c:pt idx="116">
                  <c:v>54.450555522905852</c:v>
                </c:pt>
                <c:pt idx="117">
                  <c:v>54.523822299324216</c:v>
                </c:pt>
                <c:pt idx="118">
                  <c:v>54.59348027885472</c:v>
                </c:pt>
                <c:pt idx="119">
                  <c:v>54.659926197935889</c:v>
                </c:pt>
                <c:pt idx="120">
                  <c:v>54.721710004208951</c:v>
                </c:pt>
                <c:pt idx="121">
                  <c:v>54.777382232179598</c:v>
                </c:pt>
                <c:pt idx="122">
                  <c:v>54.82734127605827</c:v>
                </c:pt>
                <c:pt idx="123">
                  <c:v>54.871984767435215</c:v>
                </c:pt>
                <c:pt idx="124">
                  <c:v>54.911710233102198</c:v>
                </c:pt>
                <c:pt idx="125">
                  <c:v>54.946915100502835</c:v>
                </c:pt>
                <c:pt idx="126">
                  <c:v>54.97799668977774</c:v>
                </c:pt>
                <c:pt idx="127">
                  <c:v>55.005352246522762</c:v>
                </c:pt>
                <c:pt idx="128">
                  <c:v>55.029379468074652</c:v>
                </c:pt>
                <c:pt idx="129">
                  <c:v>55.050475454648897</c:v>
                </c:pt>
                <c:pt idx="130">
                  <c:v>55.069037206767057</c:v>
                </c:pt>
                <c:pt idx="131">
                  <c:v>55.085461621803056</c:v>
                </c:pt>
                <c:pt idx="132">
                  <c:v>55.100145493463316</c:v>
                </c:pt>
                <c:pt idx="133">
                  <c:v>55.113485512837904</c:v>
                </c:pt>
                <c:pt idx="134">
                  <c:v>55.124890574789077</c:v>
                </c:pt>
                <c:pt idx="135">
                  <c:v>55.133506634174573</c:v>
                </c:pt>
                <c:pt idx="136">
                  <c:v>55.139336138399642</c:v>
                </c:pt>
                <c:pt idx="137">
                  <c:v>55.142381384505498</c:v>
                </c:pt>
                <c:pt idx="138">
                  <c:v>55.142644748898419</c:v>
                </c:pt>
                <c:pt idx="139">
                  <c:v>55.14012867986002</c:v>
                </c:pt>
                <c:pt idx="140">
                  <c:v>55.134835695286846</c:v>
                </c:pt>
                <c:pt idx="141">
                  <c:v>55.126768650662228</c:v>
                </c:pt>
                <c:pt idx="142">
                  <c:v>55.115930184420669</c:v>
                </c:pt>
                <c:pt idx="143">
                  <c:v>55.102323037189194</c:v>
                </c:pt>
                <c:pt idx="144">
                  <c:v>55.085949992786674</c:v>
                </c:pt>
                <c:pt idx="145">
                  <c:v>55.066813883751287</c:v>
                </c:pt>
                <c:pt idx="146">
                  <c:v>55.044917582102073</c:v>
                </c:pt>
                <c:pt idx="147">
                  <c:v>55.020263992478114</c:v>
                </c:pt>
                <c:pt idx="148">
                  <c:v>54.99200148995854</c:v>
                </c:pt>
                <c:pt idx="149">
                  <c:v>54.959542445331095</c:v>
                </c:pt>
                <c:pt idx="150">
                  <c:v>54.923284643403186</c:v>
                </c:pt>
                <c:pt idx="151">
                  <c:v>54.883625758091192</c:v>
                </c:pt>
                <c:pt idx="152">
                  <c:v>54.840963271105622</c:v>
                </c:pt>
                <c:pt idx="153">
                  <c:v>54.795694465334023</c:v>
                </c:pt>
                <c:pt idx="154">
                  <c:v>54.748216412063883</c:v>
                </c:pt>
                <c:pt idx="155">
                  <c:v>54.698926914020966</c:v>
                </c:pt>
                <c:pt idx="156">
                  <c:v>54.648222236406902</c:v>
                </c:pt>
                <c:pt idx="157">
                  <c:v>54.596498831919043</c:v>
                </c:pt>
                <c:pt idx="158">
                  <c:v>54.54415291863738</c:v>
                </c:pt>
                <c:pt idx="159">
                  <c:v>54.491580472710048</c:v>
                </c:pt>
                <c:pt idx="160">
                  <c:v>54.439177223163043</c:v>
                </c:pt>
                <c:pt idx="161">
                  <c:v>54.387338647264706</c:v>
                </c:pt>
                <c:pt idx="162">
                  <c:v>54.335475566370413</c:v>
                </c:pt>
                <c:pt idx="163">
                  <c:v>54.282737707578846</c:v>
                </c:pt>
                <c:pt idx="164">
                  <c:v>54.229125917987318</c:v>
                </c:pt>
                <c:pt idx="165">
                  <c:v>54.174641902201685</c:v>
                </c:pt>
                <c:pt idx="166">
                  <c:v>54.119287262929554</c:v>
                </c:pt>
                <c:pt idx="167">
                  <c:v>54.063063494606084</c:v>
                </c:pt>
                <c:pt idx="168">
                  <c:v>54.005971979947077</c:v>
                </c:pt>
                <c:pt idx="169">
                  <c:v>53.948015359119005</c:v>
                </c:pt>
                <c:pt idx="170">
                  <c:v>53.889193478179521</c:v>
                </c:pt>
                <c:pt idx="171">
                  <c:v>53.829507366103726</c:v>
                </c:pt>
                <c:pt idx="172">
                  <c:v>53.76895792909054</c:v>
                </c:pt>
                <c:pt idx="173">
                  <c:v>53.707545991388166</c:v>
                </c:pt>
                <c:pt idx="174">
                  <c:v>53.645272259806589</c:v>
                </c:pt>
                <c:pt idx="175">
                  <c:v>53.582137279663485</c:v>
                </c:pt>
                <c:pt idx="176">
                  <c:v>53.517928518102416</c:v>
                </c:pt>
                <c:pt idx="177">
                  <c:v>53.452500519574869</c:v>
                </c:pt>
                <c:pt idx="178">
                  <c:v>53.385950303824764</c:v>
                </c:pt>
                <c:pt idx="179">
                  <c:v>53.318376279077391</c:v>
                </c:pt>
                <c:pt idx="180">
                  <c:v>53.249876702365682</c:v>
                </c:pt>
                <c:pt idx="181">
                  <c:v>53.180549684750503</c:v>
                </c:pt>
                <c:pt idx="182">
                  <c:v>53.110493196674028</c:v>
                </c:pt>
                <c:pt idx="183">
                  <c:v>53.039806557414828</c:v>
                </c:pt>
                <c:pt idx="184">
                  <c:v>52.968585759102936</c:v>
                </c:pt>
                <c:pt idx="185">
                  <c:v>52.896928379181233</c:v>
                </c:pt>
                <c:pt idx="186">
                  <c:v>52.824931883332972</c:v>
                </c:pt>
                <c:pt idx="187">
                  <c:v>52.752693632840646</c:v>
                </c:pt>
                <c:pt idx="188">
                  <c:v>52.680310893209935</c:v>
                </c:pt>
                <c:pt idx="189">
                  <c:v>52.607880841336573</c:v>
                </c:pt>
                <c:pt idx="190">
                  <c:v>52.535255202614294</c:v>
                </c:pt>
                <c:pt idx="191">
                  <c:v>52.462221197010578</c:v>
                </c:pt>
                <c:pt idx="192">
                  <c:v>52.388775909415727</c:v>
                </c:pt>
                <c:pt idx="193">
                  <c:v>52.314918280797627</c:v>
                </c:pt>
                <c:pt idx="194">
                  <c:v>52.240647241720289</c:v>
                </c:pt>
                <c:pt idx="195">
                  <c:v>52.165961719202059</c:v>
                </c:pt>
                <c:pt idx="196">
                  <c:v>52.090860644202209</c:v>
                </c:pt>
                <c:pt idx="197">
                  <c:v>52.015343174428139</c:v>
                </c:pt>
                <c:pt idx="198">
                  <c:v>51.939406540586191</c:v>
                </c:pt>
                <c:pt idx="199">
                  <c:v>51.863049689201013</c:v>
                </c:pt>
                <c:pt idx="200">
                  <c:v>51.786271597288248</c:v>
                </c:pt>
                <c:pt idx="201">
                  <c:v>51.709071278101625</c:v>
                </c:pt>
                <c:pt idx="202">
                  <c:v>51.631447784645609</c:v>
                </c:pt>
                <c:pt idx="203">
                  <c:v>51.553400214475438</c:v>
                </c:pt>
                <c:pt idx="204">
                  <c:v>51.475564855089054</c:v>
                </c:pt>
                <c:pt idx="205">
                  <c:v>51.398381953935825</c:v>
                </c:pt>
                <c:pt idx="206">
                  <c:v>51.32155545783872</c:v>
                </c:pt>
                <c:pt idx="207">
                  <c:v>51.24479046709407</c:v>
                </c:pt>
                <c:pt idx="208">
                  <c:v>51.167792246252773</c:v>
                </c:pt>
                <c:pt idx="209">
                  <c:v>51.090266223913986</c:v>
                </c:pt>
                <c:pt idx="210">
                  <c:v>51.011917993552608</c:v>
                </c:pt>
                <c:pt idx="211">
                  <c:v>50.932452076759994</c:v>
                </c:pt>
                <c:pt idx="212">
                  <c:v>50.851574138838721</c:v>
                </c:pt>
                <c:pt idx="213">
                  <c:v>50.768990243443731</c:v>
                </c:pt>
                <c:pt idx="214">
                  <c:v>50.68440661289776</c:v>
                </c:pt>
                <c:pt idx="215">
                  <c:v>50.59752962912426</c:v>
                </c:pt>
                <c:pt idx="216">
                  <c:v>50.508065829554944</c:v>
                </c:pt>
                <c:pt idx="217">
                  <c:v>50.415721906839728</c:v>
                </c:pt>
                <c:pt idx="218">
                  <c:v>50.320938943486148</c:v>
                </c:pt>
                <c:pt idx="219">
                  <c:v>50.224349605571184</c:v>
                </c:pt>
                <c:pt idx="220">
                  <c:v>50.125954027131485</c:v>
                </c:pt>
                <c:pt idx="221">
                  <c:v>50.025752554564896</c:v>
                </c:pt>
                <c:pt idx="222">
                  <c:v>49.923745574280538</c:v>
                </c:pt>
                <c:pt idx="223">
                  <c:v>49.819933512852373</c:v>
                </c:pt>
                <c:pt idx="224">
                  <c:v>49.714316828016074</c:v>
                </c:pt>
                <c:pt idx="225">
                  <c:v>49.606888363048242</c:v>
                </c:pt>
                <c:pt idx="226">
                  <c:v>49.49764988053618</c:v>
                </c:pt>
                <c:pt idx="227">
                  <c:v>49.386601888013146</c:v>
                </c:pt>
                <c:pt idx="228">
                  <c:v>49.273744917159405</c:v>
                </c:pt>
                <c:pt idx="229">
                  <c:v>49.159079526070414</c:v>
                </c:pt>
                <c:pt idx="230">
                  <c:v>49.042606294753085</c:v>
                </c:pt>
                <c:pt idx="231">
                  <c:v>48.924325824799041</c:v>
                </c:pt>
                <c:pt idx="232">
                  <c:v>48.805509882013681</c:v>
                </c:pt>
                <c:pt idx="233">
                  <c:v>48.687036967826735</c:v>
                </c:pt>
                <c:pt idx="234">
                  <c:v>48.568324822209867</c:v>
                </c:pt>
                <c:pt idx="235">
                  <c:v>48.448787194160005</c:v>
                </c:pt>
                <c:pt idx="236">
                  <c:v>48.327838043974303</c:v>
                </c:pt>
                <c:pt idx="237">
                  <c:v>48.204891544544083</c:v>
                </c:pt>
                <c:pt idx="238">
                  <c:v>48.079362074951277</c:v>
                </c:pt>
                <c:pt idx="239">
                  <c:v>47.950667374533047</c:v>
                </c:pt>
                <c:pt idx="240">
                  <c:v>47.818230072182388</c:v>
                </c:pt>
                <c:pt idx="241">
                  <c:v>47.68146518597873</c:v>
                </c:pt>
                <c:pt idx="242">
                  <c:v>47.539787934908738</c:v>
                </c:pt>
                <c:pt idx="243">
                  <c:v>47.392613729228387</c:v>
                </c:pt>
                <c:pt idx="244">
                  <c:v>47.239358178775468</c:v>
                </c:pt>
                <c:pt idx="245">
                  <c:v>47.079437083916474</c:v>
                </c:pt>
                <c:pt idx="246">
                  <c:v>46.913519820081376</c:v>
                </c:pt>
                <c:pt idx="247">
                  <c:v>46.742732013866416</c:v>
                </c:pt>
                <c:pt idx="248">
                  <c:v>46.567174652887488</c:v>
                </c:pt>
                <c:pt idx="249">
                  <c:v>46.386946918774008</c:v>
                </c:pt>
                <c:pt idx="250">
                  <c:v>46.202147963745766</c:v>
                </c:pt>
                <c:pt idx="251">
                  <c:v>46.012876911048139</c:v>
                </c:pt>
                <c:pt idx="252">
                  <c:v>45.819232856607719</c:v>
                </c:pt>
                <c:pt idx="253">
                  <c:v>45.621318229152983</c:v>
                </c:pt>
                <c:pt idx="254">
                  <c:v>45.419228896232134</c:v>
                </c:pt>
                <c:pt idx="255">
                  <c:v>45.213063868041061</c:v>
                </c:pt>
                <c:pt idx="256">
                  <c:v>45.002922116701065</c:v>
                </c:pt>
                <c:pt idx="257">
                  <c:v>44.788902585983777</c:v>
                </c:pt>
                <c:pt idx="258">
                  <c:v>44.571104181615645</c:v>
                </c:pt>
                <c:pt idx="259">
                  <c:v>44.349625775044281</c:v>
                </c:pt>
                <c:pt idx="260">
                  <c:v>44.123054023792363</c:v>
                </c:pt>
                <c:pt idx="261">
                  <c:v>43.890303337040855</c:v>
                </c:pt>
                <c:pt idx="262">
                  <c:v>43.651960061962257</c:v>
                </c:pt>
                <c:pt idx="263">
                  <c:v>43.408611054224203</c:v>
                </c:pt>
                <c:pt idx="264">
                  <c:v>43.160842969052958</c:v>
                </c:pt>
                <c:pt idx="265">
                  <c:v>42.909242238594921</c:v>
                </c:pt>
                <c:pt idx="266">
                  <c:v>42.654395092450351</c:v>
                </c:pt>
                <c:pt idx="267">
                  <c:v>42.396885149752521</c:v>
                </c:pt>
                <c:pt idx="268">
                  <c:v>42.1372949440455</c:v>
                </c:pt>
                <c:pt idx="269">
                  <c:v>41.876210126205137</c:v>
                </c:pt>
                <c:pt idx="270">
                  <c:v>41.614216138576566</c:v>
                </c:pt>
                <c:pt idx="271">
                  <c:v>41.351898212086944</c:v>
                </c:pt>
                <c:pt idx="272">
                  <c:v>41.089841369455748</c:v>
                </c:pt>
                <c:pt idx="273">
                  <c:v>40.828630420963144</c:v>
                </c:pt>
                <c:pt idx="274">
                  <c:v>40.568021529836301</c:v>
                </c:pt>
                <c:pt idx="275">
                  <c:v>40.307184461109955</c:v>
                </c:pt>
                <c:pt idx="276">
                  <c:v>40.045824678011677</c:v>
                </c:pt>
                <c:pt idx="277">
                  <c:v>39.783649773109701</c:v>
                </c:pt>
                <c:pt idx="278">
                  <c:v>39.520367338562856</c:v>
                </c:pt>
                <c:pt idx="279">
                  <c:v>39.255684961182098</c:v>
                </c:pt>
                <c:pt idx="280">
                  <c:v>38.989310215733639</c:v>
                </c:pt>
                <c:pt idx="281">
                  <c:v>38.720953329581455</c:v>
                </c:pt>
                <c:pt idx="282">
                  <c:v>38.450324133248834</c:v>
                </c:pt>
                <c:pt idx="283">
                  <c:v>38.177130078905265</c:v>
                </c:pt>
                <c:pt idx="284">
                  <c:v>37.901078585863942</c:v>
                </c:pt>
                <c:pt idx="285">
                  <c:v>37.621877038322182</c:v>
                </c:pt>
                <c:pt idx="286">
                  <c:v>37.339232782478234</c:v>
                </c:pt>
                <c:pt idx="287">
                  <c:v>37.052853126420871</c:v>
                </c:pt>
                <c:pt idx="288">
                  <c:v>36.760854776216377</c:v>
                </c:pt>
                <c:pt idx="289">
                  <c:v>36.462266560103231</c:v>
                </c:pt>
                <c:pt idx="290">
                  <c:v>36.158160746655653</c:v>
                </c:pt>
                <c:pt idx="291">
                  <c:v>35.849607680202467</c:v>
                </c:pt>
                <c:pt idx="292">
                  <c:v>35.537677383237899</c:v>
                </c:pt>
                <c:pt idx="293">
                  <c:v>35.223439574000082</c:v>
                </c:pt>
                <c:pt idx="294">
                  <c:v>34.907963676390878</c:v>
                </c:pt>
                <c:pt idx="295">
                  <c:v>34.592315077412103</c:v>
                </c:pt>
                <c:pt idx="296">
                  <c:v>34.277560213836551</c:v>
                </c:pt>
                <c:pt idx="297">
                  <c:v>33.964767814216593</c:v>
                </c:pt>
                <c:pt idx="298">
                  <c:v>33.655006394909954</c:v>
                </c:pt>
                <c:pt idx="299">
                  <c:v>33.349344252616348</c:v>
                </c:pt>
                <c:pt idx="300">
                  <c:v>33.048849473718747</c:v>
                </c:pt>
                <c:pt idx="301">
                  <c:v>32.75458994745118</c:v>
                </c:pt>
                <c:pt idx="302">
                  <c:v>32.464957250352242</c:v>
                </c:pt>
                <c:pt idx="303">
                  <c:v>32.177623713338235</c:v>
                </c:pt>
                <c:pt idx="304">
                  <c:v>31.892584576990295</c:v>
                </c:pt>
                <c:pt idx="305">
                  <c:v>31.609837883443106</c:v>
                </c:pt>
                <c:pt idx="306">
                  <c:v>31.329381708499412</c:v>
                </c:pt>
                <c:pt idx="307">
                  <c:v>31.051214168143837</c:v>
                </c:pt>
                <c:pt idx="308">
                  <c:v>30.775333425397179</c:v>
                </c:pt>
                <c:pt idx="309">
                  <c:v>30.501738866799236</c:v>
                </c:pt>
                <c:pt idx="310">
                  <c:v>30.230432143714115</c:v>
                </c:pt>
                <c:pt idx="311">
                  <c:v>29.961411495645113</c:v>
                </c:pt>
                <c:pt idx="312">
                  <c:v>29.694675230090162</c:v>
                </c:pt>
                <c:pt idx="313">
                  <c:v>29.430221730307501</c:v>
                </c:pt>
                <c:pt idx="314">
                  <c:v>29.168049455888838</c:v>
                </c:pt>
                <c:pt idx="315">
                  <c:v>28.908156951997697</c:v>
                </c:pt>
                <c:pt idx="316">
                  <c:v>28.64948929887408</c:v>
                </c:pt>
                <c:pt idx="317">
                  <c:v>28.391320594782364</c:v>
                </c:pt>
                <c:pt idx="318">
                  <c:v>28.134141399219779</c:v>
                </c:pt>
                <c:pt idx="319">
                  <c:v>27.878436795708929</c:v>
                </c:pt>
                <c:pt idx="320">
                  <c:v>27.624691881015444</c:v>
                </c:pt>
                <c:pt idx="321">
                  <c:v>27.373391762308948</c:v>
                </c:pt>
                <c:pt idx="322">
                  <c:v>27.125021556426731</c:v>
                </c:pt>
                <c:pt idx="323">
                  <c:v>26.88006876734309</c:v>
                </c:pt>
                <c:pt idx="324">
                  <c:v>26.639017417273418</c:v>
                </c:pt>
                <c:pt idx="325">
                  <c:v>26.402352604941029</c:v>
                </c:pt>
                <c:pt idx="326">
                  <c:v>26.17055943919841</c:v>
                </c:pt>
                <c:pt idx="327">
                  <c:v>25.944123005316207</c:v>
                </c:pt>
                <c:pt idx="328">
                  <c:v>25.72352835194129</c:v>
                </c:pt>
                <c:pt idx="329">
                  <c:v>25.509260503855529</c:v>
                </c:pt>
                <c:pt idx="330">
                  <c:v>25.297852479015926</c:v>
                </c:pt>
                <c:pt idx="331">
                  <c:v>25.086356534005738</c:v>
                </c:pt>
                <c:pt idx="332">
                  <c:v>24.87603203319976</c:v>
                </c:pt>
                <c:pt idx="333">
                  <c:v>24.668142370521487</c:v>
                </c:pt>
                <c:pt idx="334">
                  <c:v>24.463950711888451</c:v>
                </c:pt>
                <c:pt idx="335">
                  <c:v>24.264719980313835</c:v>
                </c:pt>
                <c:pt idx="336">
                  <c:v>24.07171283345544</c:v>
                </c:pt>
                <c:pt idx="337">
                  <c:v>23.886190165154794</c:v>
                </c:pt>
                <c:pt idx="338">
                  <c:v>23.70941187390769</c:v>
                </c:pt>
                <c:pt idx="339">
                  <c:v>23.542639778634086</c:v>
                </c:pt>
                <c:pt idx="340">
                  <c:v>23.387135377307175</c:v>
                </c:pt>
                <c:pt idx="341">
                  <c:v>23.244159824986188</c:v>
                </c:pt>
                <c:pt idx="342">
                  <c:v>23.114973920499022</c:v>
                </c:pt>
                <c:pt idx="343">
                  <c:v>23.000838109205006</c:v>
                </c:pt>
                <c:pt idx="344">
                  <c:v>22.89950917502166</c:v>
                </c:pt>
                <c:pt idx="345">
                  <c:v>22.808010049428248</c:v>
                </c:pt>
                <c:pt idx="346">
                  <c:v>22.726498775880753</c:v>
                </c:pt>
                <c:pt idx="347">
                  <c:v>22.655134596863256</c:v>
                </c:pt>
                <c:pt idx="348">
                  <c:v>22.594076679811639</c:v>
                </c:pt>
                <c:pt idx="349">
                  <c:v>22.543484112009473</c:v>
                </c:pt>
                <c:pt idx="350">
                  <c:v>22.503515902882231</c:v>
                </c:pt>
                <c:pt idx="351">
                  <c:v>22.474329840233754</c:v>
                </c:pt>
                <c:pt idx="352">
                  <c:v>22.456086206418416</c:v>
                </c:pt>
                <c:pt idx="353">
                  <c:v>22.448943756388434</c:v>
                </c:pt>
                <c:pt idx="354">
                  <c:v>22.453061163696997</c:v>
                </c:pt>
                <c:pt idx="355">
                  <c:v>22.468597012152554</c:v>
                </c:pt>
                <c:pt idx="356">
                  <c:v>22.495709827302743</c:v>
                </c:pt>
                <c:pt idx="357">
                  <c:v>22.534557996566242</c:v>
                </c:pt>
                <c:pt idx="358">
                  <c:v>22.586136356053604</c:v>
                </c:pt>
                <c:pt idx="359">
                  <c:v>22.650979047272891</c:v>
                </c:pt>
                <c:pt idx="360">
                  <c:v>22.728552029842092</c:v>
                </c:pt>
                <c:pt idx="361">
                  <c:v>22.81832393864903</c:v>
                </c:pt>
                <c:pt idx="362">
                  <c:v>22.919762394978132</c:v>
                </c:pt>
                <c:pt idx="363">
                  <c:v>23.032335135230859</c:v>
                </c:pt>
                <c:pt idx="364">
                  <c:v>23.155510020005345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23.840165539307058</c:v>
                </c:pt>
                <c:pt idx="1">
                  <c:v>16.878452655174087</c:v>
                </c:pt>
                <c:pt idx="2">
                  <c:v>18.105527139070837</c:v>
                </c:pt>
                <c:pt idx="3">
                  <c:v>19.509556401652176</c:v>
                </c:pt>
                <c:pt idx="4">
                  <c:v>14.262877020448563</c:v>
                </c:pt>
                <c:pt idx="5">
                  <c:v>25.805556070061712</c:v>
                </c:pt>
                <c:pt idx="6">
                  <c:v>9.7860428441125098</c:v>
                </c:pt>
                <c:pt idx="7">
                  <c:v>6.6706284989806575</c:v>
                </c:pt>
                <c:pt idx="8">
                  <c:v>1.8509374241898313</c:v>
                </c:pt>
                <c:pt idx="9">
                  <c:v>1.4854448824266173</c:v>
                </c:pt>
                <c:pt idx="10">
                  <c:v>26.53921198506691</c:v>
                </c:pt>
                <c:pt idx="11">
                  <c:v>24.30171812012011</c:v>
                </c:pt>
                <c:pt idx="12">
                  <c:v>5.2596139597322873</c:v>
                </c:pt>
                <c:pt idx="13">
                  <c:v>27.519613996484242</c:v>
                </c:pt>
                <c:pt idx="14">
                  <c:v>27.86811426653885</c:v>
                </c:pt>
                <c:pt idx="15">
                  <c:v>27.431061960295427</c:v>
                </c:pt>
                <c:pt idx="16">
                  <c:v>17.751653041978372</c:v>
                </c:pt>
                <c:pt idx="17">
                  <c:v>3.7559378176091398</c:v>
                </c:pt>
                <c:pt idx="18">
                  <c:v>11.741546586372884</c:v>
                </c:pt>
                <c:pt idx="19">
                  <c:v>5.4683516781940984</c:v>
                </c:pt>
                <c:pt idx="20">
                  <c:v>18.748758459051256</c:v>
                </c:pt>
                <c:pt idx="21">
                  <c:v>28.966806389505848</c:v>
                </c:pt>
                <c:pt idx="22">
                  <c:v>28.767164600386593</c:v>
                </c:pt>
                <c:pt idx="23">
                  <c:v>29.430105442393604</c:v>
                </c:pt>
                <c:pt idx="24">
                  <c:v>28.565445658616152</c:v>
                </c:pt>
                <c:pt idx="25">
                  <c:v>29.43568653704709</c:v>
                </c:pt>
                <c:pt idx="26">
                  <c:v>25.806283612527114</c:v>
                </c:pt>
                <c:pt idx="27">
                  <c:v>3.8162237285571141</c:v>
                </c:pt>
                <c:pt idx="28">
                  <c:v>6.1349667363954463</c:v>
                </c:pt>
                <c:pt idx="29">
                  <c:v>4.3660293081349852</c:v>
                </c:pt>
                <c:pt idx="30">
                  <c:v>10.862488282683749</c:v>
                </c:pt>
                <c:pt idx="31">
                  <c:v>13.779021350930631</c:v>
                </c:pt>
                <c:pt idx="32">
                  <c:v>5.0921990630634388</c:v>
                </c:pt>
                <c:pt idx="33">
                  <c:v>14.229561167207921</c:v>
                </c:pt>
                <c:pt idx="34">
                  <c:v>11.839980606775676</c:v>
                </c:pt>
                <c:pt idx="35">
                  <c:v>9.8111315220821673</c:v>
                </c:pt>
                <c:pt idx="36">
                  <c:v>22.215852022035723</c:v>
                </c:pt>
                <c:pt idx="37">
                  <c:v>13.749416234195968</c:v>
                </c:pt>
                <c:pt idx="38">
                  <c:v>34.695080806909495</c:v>
                </c:pt>
                <c:pt idx="39">
                  <c:v>34.786973615675755</c:v>
                </c:pt>
                <c:pt idx="40">
                  <c:v>32.558116020467189</c:v>
                </c:pt>
                <c:pt idx="41">
                  <c:v>15.150900232564075</c:v>
                </c:pt>
                <c:pt idx="42">
                  <c:v>26.736435528927217</c:v>
                </c:pt>
                <c:pt idx="43">
                  <c:v>32.185089404977631</c:v>
                </c:pt>
                <c:pt idx="44">
                  <c:v>17.704199072626707</c:v>
                </c:pt>
                <c:pt idx="45">
                  <c:v>21.031231899940124</c:v>
                </c:pt>
                <c:pt idx="46">
                  <c:v>9.192326275565474</c:v>
                </c:pt>
                <c:pt idx="47">
                  <c:v>11.152780144434928</c:v>
                </c:pt>
                <c:pt idx="48">
                  <c:v>31.229454388122111</c:v>
                </c:pt>
                <c:pt idx="49">
                  <c:v>16.980737076680917</c:v>
                </c:pt>
                <c:pt idx="50">
                  <c:v>21.118918909796676</c:v>
                </c:pt>
                <c:pt idx="51">
                  <c:v>21.412436905320472</c:v>
                </c:pt>
                <c:pt idx="52">
                  <c:v>35.443635732503523</c:v>
                </c:pt>
                <c:pt idx="53">
                  <c:v>36.445199522406675</c:v>
                </c:pt>
                <c:pt idx="54">
                  <c:v>21.748896831552578</c:v>
                </c:pt>
                <c:pt idx="55">
                  <c:v>30.92347879625391</c:v>
                </c:pt>
                <c:pt idx="56">
                  <c:v>41.053021526788108</c:v>
                </c:pt>
                <c:pt idx="57">
                  <c:v>27.026988444140077</c:v>
                </c:pt>
                <c:pt idx="58">
                  <c:v>36.247153252465999</c:v>
                </c:pt>
                <c:pt idx="59">
                  <c:v>39.760698391584448</c:v>
                </c:pt>
                <c:pt idx="60">
                  <c:v>15.735270188137926</c:v>
                </c:pt>
                <c:pt idx="61">
                  <c:v>36.65781252034369</c:v>
                </c:pt>
                <c:pt idx="62">
                  <c:v>5.4660482610014203</c:v>
                </c:pt>
                <c:pt idx="63">
                  <c:v>12.770666918641744</c:v>
                </c:pt>
                <c:pt idx="64">
                  <c:v>20.174980696859592</c:v>
                </c:pt>
                <c:pt idx="65">
                  <c:v>39.218566659200455</c:v>
                </c:pt>
                <c:pt idx="66">
                  <c:v>30.871648635057067</c:v>
                </c:pt>
                <c:pt idx="67">
                  <c:v>29.320246423288943</c:v>
                </c:pt>
                <c:pt idx="68">
                  <c:v>23.004951818034989</c:v>
                </c:pt>
                <c:pt idx="69">
                  <c:v>14.601462948094024</c:v>
                </c:pt>
                <c:pt idx="70">
                  <c:v>13.968830509580934</c:v>
                </c:pt>
                <c:pt idx="71">
                  <c:v>8.4940861045577716</c:v>
                </c:pt>
                <c:pt idx="72">
                  <c:v>11.385783364632266</c:v>
                </c:pt>
                <c:pt idx="73">
                  <c:v>13.537442028250696</c:v>
                </c:pt>
                <c:pt idx="74">
                  <c:v>11.349323773952088</c:v>
                </c:pt>
                <c:pt idx="75">
                  <c:v>10.016237503807577</c:v>
                </c:pt>
                <c:pt idx="76">
                  <c:v>12.821552177903623</c:v>
                </c:pt>
                <c:pt idx="77">
                  <c:v>28.806304486283711</c:v>
                </c:pt>
                <c:pt idx="78">
                  <c:v>31.998863561409998</c:v>
                </c:pt>
                <c:pt idx="79">
                  <c:v>46.04446503854917</c:v>
                </c:pt>
                <c:pt idx="80">
                  <c:v>43.204138562846005</c:v>
                </c:pt>
                <c:pt idx="81">
                  <c:v>48.046391472195396</c:v>
                </c:pt>
                <c:pt idx="82">
                  <c:v>47.166886455644125</c:v>
                </c:pt>
                <c:pt idx="83">
                  <c:v>40.483402458538201</c:v>
                </c:pt>
                <c:pt idx="84">
                  <c:v>44.917752456707639</c:v>
                </c:pt>
                <c:pt idx="85">
                  <c:v>44.881763611589498</c:v>
                </c:pt>
                <c:pt idx="86">
                  <c:v>34.657496855387123</c:v>
                </c:pt>
                <c:pt idx="87">
                  <c:v>26.751433196335199</c:v>
                </c:pt>
                <c:pt idx="88">
                  <c:v>6.7905540453061848</c:v>
                </c:pt>
                <c:pt idx="89">
                  <c:v>27.030864668946489</c:v>
                </c:pt>
                <c:pt idx="90">
                  <c:v>29.479890315303866</c:v>
                </c:pt>
                <c:pt idx="91">
                  <c:v>19.432085395332091</c:v>
                </c:pt>
                <c:pt idx="92">
                  <c:v>24.453394045700559</c:v>
                </c:pt>
                <c:pt idx="93">
                  <c:v>43.354561951767145</c:v>
                </c:pt>
                <c:pt idx="94">
                  <c:v>51.413011406043545</c:v>
                </c:pt>
                <c:pt idx="95">
                  <c:v>11.488060005344716</c:v>
                </c:pt>
                <c:pt idx="96">
                  <c:v>39.280513840823247</c:v>
                </c:pt>
                <c:pt idx="97">
                  <c:v>31.170620085126512</c:v>
                </c:pt>
                <c:pt idx="98">
                  <c:v>35.313452477208884</c:v>
                </c:pt>
                <c:pt idx="99">
                  <c:v>52.55789802212972</c:v>
                </c:pt>
                <c:pt idx="100">
                  <c:v>39.886184731029125</c:v>
                </c:pt>
                <c:pt idx="101">
                  <c:v>35.559287019536121</c:v>
                </c:pt>
                <c:pt idx="102">
                  <c:v>6.9990957975513899</c:v>
                </c:pt>
                <c:pt idx="103">
                  <c:v>39.009068140540329</c:v>
                </c:pt>
                <c:pt idx="104">
                  <c:v>42.965270112018672</c:v>
                </c:pt>
                <c:pt idx="105">
                  <c:v>44.171143065493823</c:v>
                </c:pt>
                <c:pt idx="106">
                  <c:v>52.294751657665948</c:v>
                </c:pt>
                <c:pt idx="107">
                  <c:v>39.33267462844293</c:v>
                </c:pt>
                <c:pt idx="108">
                  <c:v>10.468101704586966</c:v>
                </c:pt>
                <c:pt idx="109">
                  <c:v>9.8452264262450164</c:v>
                </c:pt>
                <c:pt idx="110">
                  <c:v>9.2954611937174558</c:v>
                </c:pt>
                <c:pt idx="111">
                  <c:v>29.515319711807468</c:v>
                </c:pt>
                <c:pt idx="112">
                  <c:v>8.1948989443660043</c:v>
                </c:pt>
                <c:pt idx="113">
                  <c:v>36.931392739358309</c:v>
                </c:pt>
                <c:pt idx="114">
                  <c:v>46.457481567551078</c:v>
                </c:pt>
                <c:pt idx="115">
                  <c:v>52.585512536380293</c:v>
                </c:pt>
                <c:pt idx="116">
                  <c:v>37.763639578963307</c:v>
                </c:pt>
                <c:pt idx="117">
                  <c:v>22.492529177814006</c:v>
                </c:pt>
                <c:pt idx="118">
                  <c:v>42.372481425366495</c:v>
                </c:pt>
                <c:pt idx="119">
                  <c:v>42.970406915135051</c:v>
                </c:pt>
                <c:pt idx="120">
                  <c:v>43.745909085239944</c:v>
                </c:pt>
                <c:pt idx="121">
                  <c:v>26.499499613521827</c:v>
                </c:pt>
                <c:pt idx="122">
                  <c:v>10.725913950424282</c:v>
                </c:pt>
                <c:pt idx="123">
                  <c:v>16.835003464755772</c:v>
                </c:pt>
                <c:pt idx="124">
                  <c:v>36.313358542990059</c:v>
                </c:pt>
                <c:pt idx="125">
                  <c:v>35.366317430550907</c:v>
                </c:pt>
                <c:pt idx="126">
                  <c:v>46.690580142693044</c:v>
                </c:pt>
                <c:pt idx="127">
                  <c:v>48.115281551940789</c:v>
                </c:pt>
                <c:pt idx="128">
                  <c:v>52.861743108736754</c:v>
                </c:pt>
                <c:pt idx="129">
                  <c:v>48.84021875011544</c:v>
                </c:pt>
                <c:pt idx="130">
                  <c:v>53.145081041558868</c:v>
                </c:pt>
                <c:pt idx="131">
                  <c:v>41.663756614187413</c:v>
                </c:pt>
                <c:pt idx="132">
                  <c:v>43.704201573333656</c:v>
                </c:pt>
                <c:pt idx="133">
                  <c:v>46.149694162721538</c:v>
                </c:pt>
                <c:pt idx="134">
                  <c:v>49.898906501531066</c:v>
                </c:pt>
                <c:pt idx="135">
                  <c:v>47.978322971179452</c:v>
                </c:pt>
                <c:pt idx="136">
                  <c:v>51.545384648307675</c:v>
                </c:pt>
                <c:pt idx="137">
                  <c:v>50.127280886715361</c:v>
                </c:pt>
                <c:pt idx="138">
                  <c:v>51.586843129193092</c:v>
                </c:pt>
                <c:pt idx="139">
                  <c:v>45.953862106155377</c:v>
                </c:pt>
                <c:pt idx="140">
                  <c:v>47.030838167736043</c:v>
                </c:pt>
                <c:pt idx="141">
                  <c:v>34.021197631123478</c:v>
                </c:pt>
                <c:pt idx="142">
                  <c:v>16.460717851162094</c:v>
                </c:pt>
                <c:pt idx="143">
                  <c:v>13.483481239289526</c:v>
                </c:pt>
                <c:pt idx="144">
                  <c:v>38.490937128294746</c:v>
                </c:pt>
                <c:pt idx="145">
                  <c:v>20.670194006018189</c:v>
                </c:pt>
                <c:pt idx="146">
                  <c:v>38.652610545425226</c:v>
                </c:pt>
                <c:pt idx="147">
                  <c:v>50.025853678036412</c:v>
                </c:pt>
                <c:pt idx="148">
                  <c:v>54.6086710849575</c:v>
                </c:pt>
                <c:pt idx="149">
                  <c:v>46.61054241265672</c:v>
                </c:pt>
                <c:pt idx="150">
                  <c:v>51.907162705150398</c:v>
                </c:pt>
                <c:pt idx="151">
                  <c:v>52.305239071954567</c:v>
                </c:pt>
                <c:pt idx="152">
                  <c:v>41.134238093335398</c:v>
                </c:pt>
                <c:pt idx="153">
                  <c:v>51.088260783775489</c:v>
                </c:pt>
                <c:pt idx="154">
                  <c:v>28.176736754931333</c:v>
                </c:pt>
                <c:pt idx="155">
                  <c:v>29.058347914284941</c:v>
                </c:pt>
                <c:pt idx="156">
                  <c:v>41.215721954222047</c:v>
                </c:pt>
                <c:pt idx="157">
                  <c:v>27.676563444794763</c:v>
                </c:pt>
                <c:pt idx="158">
                  <c:v>20.797133358075651</c:v>
                </c:pt>
                <c:pt idx="159">
                  <c:v>42.03694369782459</c:v>
                </c:pt>
                <c:pt idx="160">
                  <c:v>53.257743609355735</c:v>
                </c:pt>
                <c:pt idx="161">
                  <c:v>50.852112483854242</c:v>
                </c:pt>
                <c:pt idx="162">
                  <c:v>40.491891642597331</c:v>
                </c:pt>
                <c:pt idx="163">
                  <c:v>48.655774567302068</c:v>
                </c:pt>
                <c:pt idx="164">
                  <c:v>44.49174113783527</c:v>
                </c:pt>
                <c:pt idx="165">
                  <c:v>50.001543641075855</c:v>
                </c:pt>
                <c:pt idx="166">
                  <c:v>47.46252672327536</c:v>
                </c:pt>
                <c:pt idx="167">
                  <c:v>47.990320615968869</c:v>
                </c:pt>
                <c:pt idx="168">
                  <c:v>50.479478211405628</c:v>
                </c:pt>
                <c:pt idx="169">
                  <c:v>51.73602294831641</c:v>
                </c:pt>
                <c:pt idx="170">
                  <c:v>29.720796297150716</c:v>
                </c:pt>
                <c:pt idx="171">
                  <c:v>18.189882674897589</c:v>
                </c:pt>
                <c:pt idx="172">
                  <c:v>43.434694960509361</c:v>
                </c:pt>
                <c:pt idx="173">
                  <c:v>38.994810780512665</c:v>
                </c:pt>
                <c:pt idx="174">
                  <c:v>42.300696405269328</c:v>
                </c:pt>
                <c:pt idx="175">
                  <c:v>29.737228168465794</c:v>
                </c:pt>
                <c:pt idx="176">
                  <c:v>10.783773622718579</c:v>
                </c:pt>
                <c:pt idx="177">
                  <c:v>16.085171643299706</c:v>
                </c:pt>
                <c:pt idx="178">
                  <c:v>53.212983424219203</c:v>
                </c:pt>
                <c:pt idx="179">
                  <c:v>51.067609508136414</c:v>
                </c:pt>
                <c:pt idx="180">
                  <c:v>12.332387253792296</c:v>
                </c:pt>
                <c:pt idx="181">
                  <c:v>48.385752498093964</c:v>
                </c:pt>
                <c:pt idx="182">
                  <c:v>46.377835698331083</c:v>
                </c:pt>
                <c:pt idx="183">
                  <c:v>42.113648591379949</c:v>
                </c:pt>
                <c:pt idx="184">
                  <c:v>43.14729395224748</c:v>
                </c:pt>
                <c:pt idx="185">
                  <c:v>50.731786973266985</c:v>
                </c:pt>
                <c:pt idx="186">
                  <c:v>39.103419180398632</c:v>
                </c:pt>
                <c:pt idx="187">
                  <c:v>48.120632433214169</c:v>
                </c:pt>
                <c:pt idx="188">
                  <c:v>52.43778765116555</c:v>
                </c:pt>
                <c:pt idx="189">
                  <c:v>51.645176416427397</c:v>
                </c:pt>
                <c:pt idx="190">
                  <c:v>51.445697849133502</c:v>
                </c:pt>
                <c:pt idx="191">
                  <c:v>50.240589024606365</c:v>
                </c:pt>
                <c:pt idx="192">
                  <c:v>49.851441745182747</c:v>
                </c:pt>
                <c:pt idx="193">
                  <c:v>49.856108306258093</c:v>
                </c:pt>
                <c:pt idx="194">
                  <c:v>49.274377064212544</c:v>
                </c:pt>
                <c:pt idx="195">
                  <c:v>47.749503893929344</c:v>
                </c:pt>
                <c:pt idx="196">
                  <c:v>49.22495863369376</c:v>
                </c:pt>
                <c:pt idx="197">
                  <c:v>48.898221201893257</c:v>
                </c:pt>
                <c:pt idx="198">
                  <c:v>49.633845438626665</c:v>
                </c:pt>
                <c:pt idx="199">
                  <c:v>39.231427502419997</c:v>
                </c:pt>
                <c:pt idx="200">
                  <c:v>38.242829689960288</c:v>
                </c:pt>
                <c:pt idx="201">
                  <c:v>48.484409317138876</c:v>
                </c:pt>
                <c:pt idx="202">
                  <c:v>37.862608402104058</c:v>
                </c:pt>
                <c:pt idx="203">
                  <c:v>44.505581322322506</c:v>
                </c:pt>
                <c:pt idx="204">
                  <c:v>48.803861054119295</c:v>
                </c:pt>
                <c:pt idx="205">
                  <c:v>28.265540903548558</c:v>
                </c:pt>
                <c:pt idx="206">
                  <c:v>49.038617955580627</c:v>
                </c:pt>
                <c:pt idx="207">
                  <c:v>51.811262234237205</c:v>
                </c:pt>
                <c:pt idx="208">
                  <c:v>43.614778700904729</c:v>
                </c:pt>
                <c:pt idx="209">
                  <c:v>25.53086727481881</c:v>
                </c:pt>
                <c:pt idx="210">
                  <c:v>44.057589106134067</c:v>
                </c:pt>
                <c:pt idx="211">
                  <c:v>50.390359335377759</c:v>
                </c:pt>
                <c:pt idx="212">
                  <c:v>50.184672374524084</c:v>
                </c:pt>
                <c:pt idx="213">
                  <c:v>50.384656209378818</c:v>
                </c:pt>
                <c:pt idx="214">
                  <c:v>48.27667992015656</c:v>
                </c:pt>
                <c:pt idx="215">
                  <c:v>45.302549277855562</c:v>
                </c:pt>
                <c:pt idx="216">
                  <c:v>42.149459080581728</c:v>
                </c:pt>
                <c:pt idx="217">
                  <c:v>46.187313157005292</c:v>
                </c:pt>
                <c:pt idx="218">
                  <c:v>49.09224382421759</c:v>
                </c:pt>
                <c:pt idx="219">
                  <c:v>49.880795222389693</c:v>
                </c:pt>
                <c:pt idx="220">
                  <c:v>48.212685095071507</c:v>
                </c:pt>
                <c:pt idx="221">
                  <c:v>46.227824662952003</c:v>
                </c:pt>
                <c:pt idx="222">
                  <c:v>42.540883759224478</c:v>
                </c:pt>
                <c:pt idx="223">
                  <c:v>44.646458677444613</c:v>
                </c:pt>
                <c:pt idx="224">
                  <c:v>31.100638475232152</c:v>
                </c:pt>
                <c:pt idx="225">
                  <c:v>32.335065060924848</c:v>
                </c:pt>
                <c:pt idx="226">
                  <c:v>37.076626441006212</c:v>
                </c:pt>
                <c:pt idx="227">
                  <c:v>31.145555696840059</c:v>
                </c:pt>
                <c:pt idx="228">
                  <c:v>21.409832109180762</c:v>
                </c:pt>
                <c:pt idx="229">
                  <c:v>37.25523098389008</c:v>
                </c:pt>
                <c:pt idx="230">
                  <c:v>38.575274734127376</c:v>
                </c:pt>
                <c:pt idx="231">
                  <c:v>45.941372280072493</c:v>
                </c:pt>
                <c:pt idx="232">
                  <c:v>30.971719172328182</c:v>
                </c:pt>
                <c:pt idx="233">
                  <c:v>24.131359493900636</c:v>
                </c:pt>
                <c:pt idx="234">
                  <c:v>43.166312987187972</c:v>
                </c:pt>
                <c:pt idx="235">
                  <c:v>44.600340367557095</c:v>
                </c:pt>
                <c:pt idx="236">
                  <c:v>31.825400498740976</c:v>
                </c:pt>
                <c:pt idx="237">
                  <c:v>39.982989496660139</c:v>
                </c:pt>
                <c:pt idx="238">
                  <c:v>47.109258174996953</c:v>
                </c:pt>
                <c:pt idx="239">
                  <c:v>46.234374061894613</c:v>
                </c:pt>
                <c:pt idx="240">
                  <c:v>31.173035102034</c:v>
                </c:pt>
                <c:pt idx="241">
                  <c:v>45.264891242595859</c:v>
                </c:pt>
                <c:pt idx="242">
                  <c:v>21.304273316020716</c:v>
                </c:pt>
                <c:pt idx="243">
                  <c:v>41.069106299135349</c:v>
                </c:pt>
                <c:pt idx="244">
                  <c:v>37.67192518921722</c:v>
                </c:pt>
                <c:pt idx="245">
                  <c:v>31.455249626466188</c:v>
                </c:pt>
                <c:pt idx="246">
                  <c:v>45.623280076279556</c:v>
                </c:pt>
                <c:pt idx="247">
                  <c:v>38.569999685934185</c:v>
                </c:pt>
                <c:pt idx="248">
                  <c:v>43.743321578054783</c:v>
                </c:pt>
                <c:pt idx="249">
                  <c:v>34.035405920931964</c:v>
                </c:pt>
                <c:pt idx="250">
                  <c:v>37.271718737563575</c:v>
                </c:pt>
                <c:pt idx="251">
                  <c:v>20.749652147131844</c:v>
                </c:pt>
                <c:pt idx="252">
                  <c:v>43.835834149858698</c:v>
                </c:pt>
                <c:pt idx="253">
                  <c:v>44.352565616509935</c:v>
                </c:pt>
                <c:pt idx="254">
                  <c:v>31.063215114208678</c:v>
                </c:pt>
                <c:pt idx="255">
                  <c:v>11.014807115001471</c:v>
                </c:pt>
                <c:pt idx="256">
                  <c:v>36.553161641533386</c:v>
                </c:pt>
                <c:pt idx="257">
                  <c:v>40.152078304632745</c:v>
                </c:pt>
                <c:pt idx="258">
                  <c:v>26.734093372617746</c:v>
                </c:pt>
                <c:pt idx="259">
                  <c:v>46.233805498398333</c:v>
                </c:pt>
                <c:pt idx="260">
                  <c:v>44.702349446266098</c:v>
                </c:pt>
                <c:pt idx="261">
                  <c:v>43.551489071119029</c:v>
                </c:pt>
                <c:pt idx="262">
                  <c:v>44.865745826986227</c:v>
                </c:pt>
                <c:pt idx="263">
                  <c:v>43.773503777821496</c:v>
                </c:pt>
                <c:pt idx="264">
                  <c:v>42.634212377758061</c:v>
                </c:pt>
                <c:pt idx="265">
                  <c:v>26.937690426051947</c:v>
                </c:pt>
                <c:pt idx="266">
                  <c:v>16.886772481232672</c:v>
                </c:pt>
                <c:pt idx="267">
                  <c:v>29.893477695962392</c:v>
                </c:pt>
                <c:pt idx="268">
                  <c:v>32.239116924075255</c:v>
                </c:pt>
                <c:pt idx="269">
                  <c:v>14.571932396703076</c:v>
                </c:pt>
                <c:pt idx="270">
                  <c:v>16.744137623110539</c:v>
                </c:pt>
                <c:pt idx="271">
                  <c:v>22.964774280443699</c:v>
                </c:pt>
                <c:pt idx="272">
                  <c:v>28.062938334203256</c:v>
                </c:pt>
                <c:pt idx="273">
                  <c:v>36.278923513803591</c:v>
                </c:pt>
                <c:pt idx="274">
                  <c:v>38.995976424367669</c:v>
                </c:pt>
                <c:pt idx="275">
                  <c:v>36.10903824404992</c:v>
                </c:pt>
                <c:pt idx="276">
                  <c:v>40.36504722916856</c:v>
                </c:pt>
                <c:pt idx="277">
                  <c:v>40.944405412666434</c:v>
                </c:pt>
                <c:pt idx="278">
                  <c:v>14.65770399219482</c:v>
                </c:pt>
                <c:pt idx="279">
                  <c:v>28.210767045919155</c:v>
                </c:pt>
                <c:pt idx="280">
                  <c:v>15.785125688704614</c:v>
                </c:pt>
                <c:pt idx="281">
                  <c:v>37.814021505098083</c:v>
                </c:pt>
                <c:pt idx="282">
                  <c:v>30.520094154736896</c:v>
                </c:pt>
                <c:pt idx="283">
                  <c:v>24.085457848401468</c:v>
                </c:pt>
                <c:pt idx="284">
                  <c:v>27.066206490094821</c:v>
                </c:pt>
                <c:pt idx="285">
                  <c:v>21.911866519982542</c:v>
                </c:pt>
                <c:pt idx="286">
                  <c:v>17.223371108341194</c:v>
                </c:pt>
                <c:pt idx="287">
                  <c:v>36.761051345119462</c:v>
                </c:pt>
                <c:pt idx="288">
                  <c:v>33.075277522166864</c:v>
                </c:pt>
                <c:pt idx="289">
                  <c:v>19.815172168548003</c:v>
                </c:pt>
                <c:pt idx="290">
                  <c:v>33.562131371688693</c:v>
                </c:pt>
                <c:pt idx="291">
                  <c:v>15.096169381097946</c:v>
                </c:pt>
                <c:pt idx="292">
                  <c:v>8.8373364637013943</c:v>
                </c:pt>
                <c:pt idx="293">
                  <c:v>14.996788645797945</c:v>
                </c:pt>
                <c:pt idx="294">
                  <c:v>33.044378301891413</c:v>
                </c:pt>
                <c:pt idx="295">
                  <c:v>18.489287185955504</c:v>
                </c:pt>
                <c:pt idx="296">
                  <c:v>25.37582496485129</c:v>
                </c:pt>
                <c:pt idx="297">
                  <c:v>21.601115713345603</c:v>
                </c:pt>
                <c:pt idx="298">
                  <c:v>17.282771919516055</c:v>
                </c:pt>
                <c:pt idx="299">
                  <c:v>13.539142894891592</c:v>
                </c:pt>
                <c:pt idx="300">
                  <c:v>17.838716797381196</c:v>
                </c:pt>
                <c:pt idx="301">
                  <c:v>26.338953321345926</c:v>
                </c:pt>
                <c:pt idx="302">
                  <c:v>22.117381472290255</c:v>
                </c:pt>
                <c:pt idx="303">
                  <c:v>21.257961271342424</c:v>
                </c:pt>
                <c:pt idx="304">
                  <c:v>20.198737756486469</c:v>
                </c:pt>
                <c:pt idx="305">
                  <c:v>29.14559522081441</c:v>
                </c:pt>
                <c:pt idx="306">
                  <c:v>9.4049765185259577</c:v>
                </c:pt>
                <c:pt idx="307">
                  <c:v>13.882601997141659</c:v>
                </c:pt>
                <c:pt idx="308">
                  <c:v>29.567471532555398</c:v>
                </c:pt>
                <c:pt idx="309">
                  <c:v>30.440277321319808</c:v>
                </c:pt>
                <c:pt idx="310">
                  <c:v>29.393123539710189</c:v>
                </c:pt>
                <c:pt idx="311">
                  <c:v>17.820648739654445</c:v>
                </c:pt>
                <c:pt idx="312">
                  <c:v>8.8787930559039161</c:v>
                </c:pt>
                <c:pt idx="313">
                  <c:v>23.874532421544103</c:v>
                </c:pt>
                <c:pt idx="314">
                  <c:v>27.840403471716936</c:v>
                </c:pt>
                <c:pt idx="315">
                  <c:v>27.708154888213997</c:v>
                </c:pt>
                <c:pt idx="316">
                  <c:v>24.294510713426966</c:v>
                </c:pt>
                <c:pt idx="317">
                  <c:v>11.406426179795197</c:v>
                </c:pt>
                <c:pt idx="318">
                  <c:v>12.354343822300896</c:v>
                </c:pt>
                <c:pt idx="319">
                  <c:v>27.445343583191054</c:v>
                </c:pt>
                <c:pt idx="320">
                  <c:v>14.140504405010232</c:v>
                </c:pt>
                <c:pt idx="321">
                  <c:v>12.617997342553309</c:v>
                </c:pt>
                <c:pt idx="322">
                  <c:v>8.3916080075016612</c:v>
                </c:pt>
                <c:pt idx="323">
                  <c:v>17.256890684882968</c:v>
                </c:pt>
                <c:pt idx="324">
                  <c:v>2.9537848491231635</c:v>
                </c:pt>
                <c:pt idx="325">
                  <c:v>9.2270489994309699</c:v>
                </c:pt>
                <c:pt idx="326">
                  <c:v>15.105520564223276</c:v>
                </c:pt>
                <c:pt idx="327">
                  <c:v>13.515057920832914</c:v>
                </c:pt>
                <c:pt idx="328">
                  <c:v>4.4416851871684102</c:v>
                </c:pt>
                <c:pt idx="329">
                  <c:v>10.368258263642517</c:v>
                </c:pt>
                <c:pt idx="330">
                  <c:v>14.263173127453246</c:v>
                </c:pt>
                <c:pt idx="331">
                  <c:v>10.078255146226015</c:v>
                </c:pt>
                <c:pt idx="332">
                  <c:v>12.299198427916831</c:v>
                </c:pt>
                <c:pt idx="333">
                  <c:v>3.8351290980898964</c:v>
                </c:pt>
                <c:pt idx="334">
                  <c:v>3.3931254633381549</c:v>
                </c:pt>
                <c:pt idx="335">
                  <c:v>4.9113425486254547</c:v>
                </c:pt>
                <c:pt idx="336">
                  <c:v>9.6796602773619167</c:v>
                </c:pt>
                <c:pt idx="337">
                  <c:v>17.56780530877791</c:v>
                </c:pt>
                <c:pt idx="338">
                  <c:v>24.768045043653455</c:v>
                </c:pt>
                <c:pt idx="339">
                  <c:v>13.845542120795374</c:v>
                </c:pt>
                <c:pt idx="340">
                  <c:v>19.565882773514428</c:v>
                </c:pt>
                <c:pt idx="341">
                  <c:v>3.606036887058544</c:v>
                </c:pt>
                <c:pt idx="342">
                  <c:v>8.1423526715744732</c:v>
                </c:pt>
                <c:pt idx="343">
                  <c:v>15.057716391947599</c:v>
                </c:pt>
                <c:pt idx="344">
                  <c:v>16.155755433392727</c:v>
                </c:pt>
                <c:pt idx="345">
                  <c:v>5.1932078492279068</c:v>
                </c:pt>
                <c:pt idx="346">
                  <c:v>4.8609861270195083</c:v>
                </c:pt>
                <c:pt idx="347">
                  <c:v>15.783007957872789</c:v>
                </c:pt>
                <c:pt idx="348">
                  <c:v>5.7600399027567706</c:v>
                </c:pt>
                <c:pt idx="349">
                  <c:v>4.7671067648401717</c:v>
                </c:pt>
                <c:pt idx="350">
                  <c:v>2.8173733280800883</c:v>
                </c:pt>
                <c:pt idx="351">
                  <c:v>18.668104653383171</c:v>
                </c:pt>
                <c:pt idx="352">
                  <c:v>17.549863110441333</c:v>
                </c:pt>
                <c:pt idx="353">
                  <c:v>3.4831710531322249</c:v>
                </c:pt>
                <c:pt idx="354">
                  <c:v>20.746450768918614</c:v>
                </c:pt>
                <c:pt idx="355">
                  <c:v>18.116452383312339</c:v>
                </c:pt>
                <c:pt idx="356">
                  <c:v>18.921679211151218</c:v>
                </c:pt>
                <c:pt idx="357">
                  <c:v>21.607374842508172</c:v>
                </c:pt>
                <c:pt idx="358">
                  <c:v>10.553381386180883</c:v>
                </c:pt>
                <c:pt idx="359">
                  <c:v>19.413907301569253</c:v>
                </c:pt>
                <c:pt idx="360">
                  <c:v>6.2093102280429715</c:v>
                </c:pt>
                <c:pt idx="361">
                  <c:v>18.962625354292509</c:v>
                </c:pt>
                <c:pt idx="362">
                  <c:v>10.389440305999436</c:v>
                </c:pt>
                <c:pt idx="363">
                  <c:v>14.67649221099693</c:v>
                </c:pt>
                <c:pt idx="364">
                  <c:v>11.823393661256862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23.840165539307058</c:v>
                </c:pt>
                <c:pt idx="1">
                  <c:v>16.878452655174087</c:v>
                </c:pt>
                <c:pt idx="2">
                  <c:v>18.105527139070837</c:v>
                </c:pt>
                <c:pt idx="3">
                  <c:v>19.509556401652176</c:v>
                </c:pt>
                <c:pt idx="4">
                  <c:v>14.262877020448563</c:v>
                </c:pt>
                <c:pt idx="5">
                  <c:v>25.805556070061712</c:v>
                </c:pt>
                <c:pt idx="6">
                  <c:v>9.7860428441125098</c:v>
                </c:pt>
                <c:pt idx="7">
                  <c:v>6.6706284989806575</c:v>
                </c:pt>
                <c:pt idx="8">
                  <c:v>1.8509374241898313</c:v>
                </c:pt>
                <c:pt idx="9">
                  <c:v>1.4854448824266173</c:v>
                </c:pt>
                <c:pt idx="10">
                  <c:v>26.53921198506691</c:v>
                </c:pt>
                <c:pt idx="11">
                  <c:v>24.30171812012011</c:v>
                </c:pt>
                <c:pt idx="12">
                  <c:v>5.2596139597322873</c:v>
                </c:pt>
                <c:pt idx="13">
                  <c:v>27.519613996484242</c:v>
                </c:pt>
                <c:pt idx="14">
                  <c:v>27.86811426653885</c:v>
                </c:pt>
                <c:pt idx="15">
                  <c:v>27.431061960295427</c:v>
                </c:pt>
                <c:pt idx="16">
                  <c:v>17.751653041978372</c:v>
                </c:pt>
                <c:pt idx="17">
                  <c:v>3.7559378176091398</c:v>
                </c:pt>
                <c:pt idx="18">
                  <c:v>11.741546586372884</c:v>
                </c:pt>
                <c:pt idx="19">
                  <c:v>5.4683516781940984</c:v>
                </c:pt>
                <c:pt idx="20">
                  <c:v>18.748758459051256</c:v>
                </c:pt>
                <c:pt idx="21">
                  <c:v>28.966806389505848</c:v>
                </c:pt>
                <c:pt idx="22">
                  <c:v>28.767164600386593</c:v>
                </c:pt>
                <c:pt idx="23">
                  <c:v>29.430105442393604</c:v>
                </c:pt>
                <c:pt idx="24">
                  <c:v>28.565445658616152</c:v>
                </c:pt>
                <c:pt idx="25">
                  <c:v>29.43568653704709</c:v>
                </c:pt>
                <c:pt idx="26">
                  <c:v>25.806283612527114</c:v>
                </c:pt>
                <c:pt idx="27">
                  <c:v>3.8162237285571141</c:v>
                </c:pt>
                <c:pt idx="28">
                  <c:v>6.1349667363954463</c:v>
                </c:pt>
                <c:pt idx="29">
                  <c:v>4.3660293081349852</c:v>
                </c:pt>
                <c:pt idx="30">
                  <c:v>10.862488282683749</c:v>
                </c:pt>
                <c:pt idx="31">
                  <c:v>13.779021350930631</c:v>
                </c:pt>
                <c:pt idx="32">
                  <c:v>5.0921990630634388</c:v>
                </c:pt>
                <c:pt idx="33">
                  <c:v>14.229561167207921</c:v>
                </c:pt>
                <c:pt idx="34">
                  <c:v>11.839980606775676</c:v>
                </c:pt>
                <c:pt idx="35">
                  <c:v>9.8111315220821673</c:v>
                </c:pt>
                <c:pt idx="36">
                  <c:v>22.215852022035723</c:v>
                </c:pt>
                <c:pt idx="37">
                  <c:v>13.749416234195968</c:v>
                </c:pt>
                <c:pt idx="38">
                  <c:v>34.695080806909495</c:v>
                </c:pt>
                <c:pt idx="39">
                  <c:v>34.786973615675755</c:v>
                </c:pt>
                <c:pt idx="40">
                  <c:v>32.558116020467189</c:v>
                </c:pt>
                <c:pt idx="41">
                  <c:v>15.150900232564075</c:v>
                </c:pt>
                <c:pt idx="42">
                  <c:v>26.736435528927217</c:v>
                </c:pt>
                <c:pt idx="43">
                  <c:v>32.185089404977631</c:v>
                </c:pt>
                <c:pt idx="44">
                  <c:v>17.704199072626707</c:v>
                </c:pt>
                <c:pt idx="45">
                  <c:v>21.031231899940124</c:v>
                </c:pt>
                <c:pt idx="46">
                  <c:v>9.192326275565474</c:v>
                </c:pt>
                <c:pt idx="47">
                  <c:v>11.152780144434928</c:v>
                </c:pt>
                <c:pt idx="48">
                  <c:v>31.229454388122111</c:v>
                </c:pt>
                <c:pt idx="49">
                  <c:v>16.980737076680917</c:v>
                </c:pt>
                <c:pt idx="50">
                  <c:v>21.118918909796676</c:v>
                </c:pt>
                <c:pt idx="51">
                  <c:v>21.412436905320472</c:v>
                </c:pt>
                <c:pt idx="52">
                  <c:v>35.443635732503523</c:v>
                </c:pt>
                <c:pt idx="53">
                  <c:v>36.445199522406675</c:v>
                </c:pt>
                <c:pt idx="54">
                  <c:v>21.748896831552578</c:v>
                </c:pt>
                <c:pt idx="55">
                  <c:v>30.92347879625391</c:v>
                </c:pt>
                <c:pt idx="56">
                  <c:v>41.053021526788108</c:v>
                </c:pt>
                <c:pt idx="57">
                  <c:v>27.026988444140077</c:v>
                </c:pt>
                <c:pt idx="58">
                  <c:v>36.247153252465999</c:v>
                </c:pt>
                <c:pt idx="59">
                  <c:v>39.760698391584448</c:v>
                </c:pt>
                <c:pt idx="60">
                  <c:v>15.735270188137926</c:v>
                </c:pt>
                <c:pt idx="61">
                  <c:v>36.65781252034369</c:v>
                </c:pt>
                <c:pt idx="62">
                  <c:v>5.4660482610014203</c:v>
                </c:pt>
                <c:pt idx="63">
                  <c:v>12.770666918641744</c:v>
                </c:pt>
                <c:pt idx="64">
                  <c:v>20.174980696859592</c:v>
                </c:pt>
                <c:pt idx="65">
                  <c:v>39.218566659200455</c:v>
                </c:pt>
                <c:pt idx="66">
                  <c:v>30.871648635057067</c:v>
                </c:pt>
                <c:pt idx="67">
                  <c:v>29.320246423288943</c:v>
                </c:pt>
                <c:pt idx="68">
                  <c:v>23.004951818034989</c:v>
                </c:pt>
                <c:pt idx="69">
                  <c:v>14.601462948094024</c:v>
                </c:pt>
                <c:pt idx="70">
                  <c:v>13.968830509580934</c:v>
                </c:pt>
                <c:pt idx="71">
                  <c:v>8.4940861045577716</c:v>
                </c:pt>
                <c:pt idx="72">
                  <c:v>11.385783364632266</c:v>
                </c:pt>
                <c:pt idx="73">
                  <c:v>13.537442028250696</c:v>
                </c:pt>
                <c:pt idx="74">
                  <c:v>11.349323773952088</c:v>
                </c:pt>
                <c:pt idx="75">
                  <c:v>10.016237503807577</c:v>
                </c:pt>
                <c:pt idx="76">
                  <c:v>12.821552177903623</c:v>
                </c:pt>
                <c:pt idx="77">
                  <c:v>28.806304486283711</c:v>
                </c:pt>
                <c:pt idx="78">
                  <c:v>31.998863561409998</c:v>
                </c:pt>
                <c:pt idx="79">
                  <c:v>46.04446503854917</c:v>
                </c:pt>
                <c:pt idx="80">
                  <c:v>43.204138562846005</c:v>
                </c:pt>
                <c:pt idx="81">
                  <c:v>48.046391472195396</c:v>
                </c:pt>
                <c:pt idx="82">
                  <c:v>47.166886455644125</c:v>
                </c:pt>
                <c:pt idx="83">
                  <c:v>40.483402458538201</c:v>
                </c:pt>
                <c:pt idx="84">
                  <c:v>44.917752456707639</c:v>
                </c:pt>
                <c:pt idx="85">
                  <c:v>44.881763611589498</c:v>
                </c:pt>
                <c:pt idx="86">
                  <c:v>34.657496855387123</c:v>
                </c:pt>
                <c:pt idx="87">
                  <c:v>26.751433196335199</c:v>
                </c:pt>
                <c:pt idx="88">
                  <c:v>6.7905540453061848</c:v>
                </c:pt>
                <c:pt idx="89">
                  <c:v>27.030864668946489</c:v>
                </c:pt>
                <c:pt idx="90">
                  <c:v>29.479890315303866</c:v>
                </c:pt>
                <c:pt idx="91">
                  <c:v>19.432085395332091</c:v>
                </c:pt>
                <c:pt idx="92">
                  <c:v>24.453394045700559</c:v>
                </c:pt>
                <c:pt idx="93">
                  <c:v>43.354561951767145</c:v>
                </c:pt>
                <c:pt idx="94">
                  <c:v>51.413011406043545</c:v>
                </c:pt>
                <c:pt idx="95">
                  <c:v>11.488060005344716</c:v>
                </c:pt>
                <c:pt idx="96">
                  <c:v>39.280513840823247</c:v>
                </c:pt>
                <c:pt idx="97">
                  <c:v>31.170620085126512</c:v>
                </c:pt>
                <c:pt idx="98">
                  <c:v>35.313452477208884</c:v>
                </c:pt>
                <c:pt idx="99">
                  <c:v>52.55789802212972</c:v>
                </c:pt>
                <c:pt idx="100">
                  <c:v>39.886184731029125</c:v>
                </c:pt>
                <c:pt idx="101">
                  <c:v>35.559287019536121</c:v>
                </c:pt>
                <c:pt idx="102">
                  <c:v>6.9990957975513899</c:v>
                </c:pt>
                <c:pt idx="103">
                  <c:v>39.009068140540329</c:v>
                </c:pt>
                <c:pt idx="104">
                  <c:v>42.965270112018672</c:v>
                </c:pt>
                <c:pt idx="105">
                  <c:v>44.171143065493823</c:v>
                </c:pt>
                <c:pt idx="106">
                  <c:v>52.294751657665948</c:v>
                </c:pt>
                <c:pt idx="107">
                  <c:v>39.33267462844293</c:v>
                </c:pt>
                <c:pt idx="108">
                  <c:v>10.468101704586966</c:v>
                </c:pt>
                <c:pt idx="109">
                  <c:v>9.8452264262450164</c:v>
                </c:pt>
                <c:pt idx="110">
                  <c:v>9.2954611937174558</c:v>
                </c:pt>
                <c:pt idx="111">
                  <c:v>29.515319711807468</c:v>
                </c:pt>
                <c:pt idx="112">
                  <c:v>8.1948989443660043</c:v>
                </c:pt>
                <c:pt idx="113">
                  <c:v>36.931392739358309</c:v>
                </c:pt>
                <c:pt idx="114">
                  <c:v>46.457481567551078</c:v>
                </c:pt>
                <c:pt idx="115">
                  <c:v>52.585512536380293</c:v>
                </c:pt>
                <c:pt idx="116">
                  <c:v>37.763639578963307</c:v>
                </c:pt>
                <c:pt idx="117">
                  <c:v>22.492529177814006</c:v>
                </c:pt>
                <c:pt idx="118">
                  <c:v>42.372481425366495</c:v>
                </c:pt>
                <c:pt idx="119">
                  <c:v>42.970406915135051</c:v>
                </c:pt>
                <c:pt idx="120">
                  <c:v>43.745909085239944</c:v>
                </c:pt>
                <c:pt idx="121">
                  <c:v>26.499499613521827</c:v>
                </c:pt>
                <c:pt idx="122">
                  <c:v>10.725913950424282</c:v>
                </c:pt>
                <c:pt idx="123">
                  <c:v>16.835003464755772</c:v>
                </c:pt>
                <c:pt idx="124">
                  <c:v>36.313358542990059</c:v>
                </c:pt>
                <c:pt idx="125">
                  <c:v>35.366317430550907</c:v>
                </c:pt>
                <c:pt idx="126">
                  <c:v>46.690580142693044</c:v>
                </c:pt>
                <c:pt idx="127">
                  <c:v>48.115281551940789</c:v>
                </c:pt>
                <c:pt idx="128">
                  <c:v>52.861743108736754</c:v>
                </c:pt>
                <c:pt idx="129">
                  <c:v>48.84021875011544</c:v>
                </c:pt>
                <c:pt idx="130">
                  <c:v>53.145081041558868</c:v>
                </c:pt>
                <c:pt idx="131">
                  <c:v>41.663756614187413</c:v>
                </c:pt>
                <c:pt idx="132">
                  <c:v>43.704201573333656</c:v>
                </c:pt>
                <c:pt idx="133">
                  <c:v>46.149694162721538</c:v>
                </c:pt>
                <c:pt idx="134">
                  <c:v>49.898906501531066</c:v>
                </c:pt>
                <c:pt idx="135">
                  <c:v>47.978322971179452</c:v>
                </c:pt>
                <c:pt idx="136">
                  <c:v>51.545384648307675</c:v>
                </c:pt>
                <c:pt idx="137">
                  <c:v>50.127280886715361</c:v>
                </c:pt>
                <c:pt idx="138">
                  <c:v>51.586843129193092</c:v>
                </c:pt>
                <c:pt idx="139">
                  <c:v>45.953862106155377</c:v>
                </c:pt>
                <c:pt idx="140">
                  <c:v>47.030838167736043</c:v>
                </c:pt>
                <c:pt idx="141">
                  <c:v>34.021197631123478</c:v>
                </c:pt>
                <c:pt idx="142">
                  <c:v>16.460717851162094</c:v>
                </c:pt>
                <c:pt idx="143">
                  <c:v>13.483481239289526</c:v>
                </c:pt>
                <c:pt idx="144">
                  <c:v>38.490937128294746</c:v>
                </c:pt>
                <c:pt idx="145">
                  <c:v>20.670194006018189</c:v>
                </c:pt>
                <c:pt idx="146">
                  <c:v>38.652610545425226</c:v>
                </c:pt>
                <c:pt idx="147">
                  <c:v>50.025853678036412</c:v>
                </c:pt>
                <c:pt idx="148">
                  <c:v>54.6086710849575</c:v>
                </c:pt>
                <c:pt idx="149">
                  <c:v>46.61054241265672</c:v>
                </c:pt>
                <c:pt idx="150">
                  <c:v>51.907162705150398</c:v>
                </c:pt>
                <c:pt idx="151">
                  <c:v>52.305239071954567</c:v>
                </c:pt>
                <c:pt idx="152">
                  <c:v>41.134238093335398</c:v>
                </c:pt>
                <c:pt idx="153">
                  <c:v>51.088260783775489</c:v>
                </c:pt>
                <c:pt idx="154">
                  <c:v>28.176736754931333</c:v>
                </c:pt>
                <c:pt idx="155">
                  <c:v>29.058347914284941</c:v>
                </c:pt>
                <c:pt idx="156">
                  <c:v>41.215721954222047</c:v>
                </c:pt>
                <c:pt idx="157">
                  <c:v>27.676563444794763</c:v>
                </c:pt>
                <c:pt idx="158">
                  <c:v>20.797133358075651</c:v>
                </c:pt>
                <c:pt idx="159">
                  <c:v>42.03694369782459</c:v>
                </c:pt>
                <c:pt idx="160">
                  <c:v>53.257743609355735</c:v>
                </c:pt>
                <c:pt idx="161">
                  <c:v>50.852112483854242</c:v>
                </c:pt>
                <c:pt idx="162">
                  <c:v>40.491891642597331</c:v>
                </c:pt>
                <c:pt idx="163">
                  <c:v>48.655774567302068</c:v>
                </c:pt>
                <c:pt idx="164">
                  <c:v>44.49174113783527</c:v>
                </c:pt>
                <c:pt idx="165">
                  <c:v>50.001543641075855</c:v>
                </c:pt>
                <c:pt idx="166">
                  <c:v>47.46252672327536</c:v>
                </c:pt>
                <c:pt idx="167">
                  <c:v>47.990320615968869</c:v>
                </c:pt>
                <c:pt idx="168">
                  <c:v>50.479478211405628</c:v>
                </c:pt>
                <c:pt idx="169">
                  <c:v>51.73602294831641</c:v>
                </c:pt>
                <c:pt idx="170">
                  <c:v>29.720796297150716</c:v>
                </c:pt>
                <c:pt idx="171">
                  <c:v>18.189882674897589</c:v>
                </c:pt>
                <c:pt idx="172">
                  <c:v>43.434694960509361</c:v>
                </c:pt>
                <c:pt idx="173">
                  <c:v>38.994810780512665</c:v>
                </c:pt>
                <c:pt idx="174">
                  <c:v>42.300696405269328</c:v>
                </c:pt>
                <c:pt idx="175">
                  <c:v>29.737228168465794</c:v>
                </c:pt>
                <c:pt idx="176">
                  <c:v>10.783773622718579</c:v>
                </c:pt>
                <c:pt idx="177">
                  <c:v>16.085171643299706</c:v>
                </c:pt>
                <c:pt idx="178">
                  <c:v>53.212983424219203</c:v>
                </c:pt>
                <c:pt idx="179">
                  <c:v>51.067609508136414</c:v>
                </c:pt>
                <c:pt idx="180">
                  <c:v>12.332387253792296</c:v>
                </c:pt>
                <c:pt idx="181">
                  <c:v>48.385752498093964</c:v>
                </c:pt>
                <c:pt idx="182">
                  <c:v>46.377835698331083</c:v>
                </c:pt>
                <c:pt idx="183">
                  <c:v>42.113648591379949</c:v>
                </c:pt>
                <c:pt idx="184">
                  <c:v>43.14729395224748</c:v>
                </c:pt>
                <c:pt idx="185">
                  <c:v>50.731786973266985</c:v>
                </c:pt>
                <c:pt idx="186">
                  <c:v>39.103419180398632</c:v>
                </c:pt>
                <c:pt idx="187">
                  <c:v>48.120632433214169</c:v>
                </c:pt>
                <c:pt idx="188">
                  <c:v>52.43778765116555</c:v>
                </c:pt>
                <c:pt idx="189">
                  <c:v>51.645176416427397</c:v>
                </c:pt>
                <c:pt idx="190">
                  <c:v>51.445697849133502</c:v>
                </c:pt>
                <c:pt idx="191">
                  <c:v>50.240589024606365</c:v>
                </c:pt>
                <c:pt idx="192">
                  <c:v>49.851441745182747</c:v>
                </c:pt>
                <c:pt idx="193">
                  <c:v>49.856108306258093</c:v>
                </c:pt>
                <c:pt idx="194">
                  <c:v>49.274377064212544</c:v>
                </c:pt>
                <c:pt idx="195">
                  <c:v>47.749503893929344</c:v>
                </c:pt>
                <c:pt idx="196">
                  <c:v>49.22495863369376</c:v>
                </c:pt>
                <c:pt idx="197">
                  <c:v>48.898221201893257</c:v>
                </c:pt>
                <c:pt idx="198">
                  <c:v>49.633845438626665</c:v>
                </c:pt>
                <c:pt idx="199">
                  <c:v>39.231427502419997</c:v>
                </c:pt>
                <c:pt idx="200">
                  <c:v>38.242829689960288</c:v>
                </c:pt>
                <c:pt idx="201">
                  <c:v>48.484409317138876</c:v>
                </c:pt>
                <c:pt idx="202">
                  <c:v>37.862608402104058</c:v>
                </c:pt>
                <c:pt idx="203">
                  <c:v>44.505581322322506</c:v>
                </c:pt>
                <c:pt idx="204">
                  <c:v>48.803861054119295</c:v>
                </c:pt>
                <c:pt idx="205">
                  <c:v>28.265540903548558</c:v>
                </c:pt>
                <c:pt idx="206">
                  <c:v>49.038617955580627</c:v>
                </c:pt>
                <c:pt idx="207">
                  <c:v>51.811262234237205</c:v>
                </c:pt>
                <c:pt idx="208">
                  <c:v>43.614778700904729</c:v>
                </c:pt>
                <c:pt idx="209">
                  <c:v>25.53086727481881</c:v>
                </c:pt>
                <c:pt idx="210">
                  <c:v>44.057589106134067</c:v>
                </c:pt>
                <c:pt idx="211">
                  <c:v>50.390359335377759</c:v>
                </c:pt>
                <c:pt idx="212">
                  <c:v>50.184672374524084</c:v>
                </c:pt>
                <c:pt idx="213">
                  <c:v>50.384656209378818</c:v>
                </c:pt>
                <c:pt idx="214">
                  <c:v>48.27667992015656</c:v>
                </c:pt>
                <c:pt idx="215">
                  <c:v>45.302549277855562</c:v>
                </c:pt>
                <c:pt idx="216">
                  <c:v>42.149459080581728</c:v>
                </c:pt>
                <c:pt idx="217">
                  <c:v>46.187313157005292</c:v>
                </c:pt>
                <c:pt idx="218">
                  <c:v>49.09224382421759</c:v>
                </c:pt>
                <c:pt idx="219">
                  <c:v>49.880795222389693</c:v>
                </c:pt>
                <c:pt idx="220">
                  <c:v>48.212685095071507</c:v>
                </c:pt>
                <c:pt idx="221">
                  <c:v>46.227824662952003</c:v>
                </c:pt>
                <c:pt idx="222">
                  <c:v>42.540883759224478</c:v>
                </c:pt>
                <c:pt idx="223">
                  <c:v>44.646458677444613</c:v>
                </c:pt>
                <c:pt idx="224">
                  <c:v>31.100638475232152</c:v>
                </c:pt>
                <c:pt idx="225">
                  <c:v>32.335065060924848</c:v>
                </c:pt>
                <c:pt idx="226">
                  <c:v>37.076626441006212</c:v>
                </c:pt>
                <c:pt idx="227">
                  <c:v>31.145555696840059</c:v>
                </c:pt>
                <c:pt idx="228">
                  <c:v>21.409832109180762</c:v>
                </c:pt>
                <c:pt idx="229">
                  <c:v>37.25523098389008</c:v>
                </c:pt>
                <c:pt idx="230">
                  <c:v>38.575274734127376</c:v>
                </c:pt>
                <c:pt idx="231">
                  <c:v>45.941372280072493</c:v>
                </c:pt>
                <c:pt idx="232">
                  <c:v>30.971719172328182</c:v>
                </c:pt>
                <c:pt idx="233">
                  <c:v>24.131359493900636</c:v>
                </c:pt>
                <c:pt idx="234">
                  <c:v>43.166312987187972</c:v>
                </c:pt>
                <c:pt idx="235">
                  <c:v>44.600340367557095</c:v>
                </c:pt>
                <c:pt idx="236">
                  <c:v>31.825400498740976</c:v>
                </c:pt>
                <c:pt idx="237">
                  <c:v>39.982989496660139</c:v>
                </c:pt>
                <c:pt idx="238">
                  <c:v>47.109258174996953</c:v>
                </c:pt>
                <c:pt idx="239">
                  <c:v>46.234374061894613</c:v>
                </c:pt>
                <c:pt idx="240">
                  <c:v>31.173035102034</c:v>
                </c:pt>
                <c:pt idx="241">
                  <c:v>45.264891242595859</c:v>
                </c:pt>
                <c:pt idx="242">
                  <c:v>21.304273316020716</c:v>
                </c:pt>
                <c:pt idx="243">
                  <c:v>41.069106299135349</c:v>
                </c:pt>
                <c:pt idx="244">
                  <c:v>37.67192518921722</c:v>
                </c:pt>
                <c:pt idx="245">
                  <c:v>31.455249626466188</c:v>
                </c:pt>
                <c:pt idx="246">
                  <c:v>45.623280076279556</c:v>
                </c:pt>
                <c:pt idx="247">
                  <c:v>38.569999685934185</c:v>
                </c:pt>
                <c:pt idx="248">
                  <c:v>43.743321578054783</c:v>
                </c:pt>
                <c:pt idx="249">
                  <c:v>34.035405920931964</c:v>
                </c:pt>
                <c:pt idx="250">
                  <c:v>37.271718737563575</c:v>
                </c:pt>
                <c:pt idx="251">
                  <c:v>20.749652147131844</c:v>
                </c:pt>
                <c:pt idx="252">
                  <c:v>43.835834149858698</c:v>
                </c:pt>
                <c:pt idx="253">
                  <c:v>44.352565616509935</c:v>
                </c:pt>
                <c:pt idx="254">
                  <c:v>31.063215114208678</c:v>
                </c:pt>
                <c:pt idx="255">
                  <c:v>11.014807115001471</c:v>
                </c:pt>
                <c:pt idx="256">
                  <c:v>36.553161641533386</c:v>
                </c:pt>
                <c:pt idx="257">
                  <c:v>40.152078304632745</c:v>
                </c:pt>
                <c:pt idx="258">
                  <c:v>26.734093372617746</c:v>
                </c:pt>
                <c:pt idx="259">
                  <c:v>46.233805498398333</c:v>
                </c:pt>
                <c:pt idx="260">
                  <c:v>44.702349446266098</c:v>
                </c:pt>
                <c:pt idx="261">
                  <c:v>43.551489071119029</c:v>
                </c:pt>
                <c:pt idx="262">
                  <c:v>44.865745826986227</c:v>
                </c:pt>
                <c:pt idx="263">
                  <c:v>43.773503777821496</c:v>
                </c:pt>
                <c:pt idx="264">
                  <c:v>42.634212377758061</c:v>
                </c:pt>
                <c:pt idx="265">
                  <c:v>26.937690426051947</c:v>
                </c:pt>
                <c:pt idx="266">
                  <c:v>16.886772481232672</c:v>
                </c:pt>
                <c:pt idx="267">
                  <c:v>29.893477695962392</c:v>
                </c:pt>
                <c:pt idx="268">
                  <c:v>32.239116924075255</c:v>
                </c:pt>
                <c:pt idx="269">
                  <c:v>14.571932396703076</c:v>
                </c:pt>
                <c:pt idx="270">
                  <c:v>16.744137623110539</c:v>
                </c:pt>
                <c:pt idx="271">
                  <c:v>22.964774280443699</c:v>
                </c:pt>
                <c:pt idx="272">
                  <c:v>28.062938334203256</c:v>
                </c:pt>
                <c:pt idx="273">
                  <c:v>36.278923513803591</c:v>
                </c:pt>
                <c:pt idx="274">
                  <c:v>38.995976424367669</c:v>
                </c:pt>
                <c:pt idx="275">
                  <c:v>36.10903824404992</c:v>
                </c:pt>
                <c:pt idx="276">
                  <c:v>40.36504722916856</c:v>
                </c:pt>
                <c:pt idx="277">
                  <c:v>40.944405412666434</c:v>
                </c:pt>
                <c:pt idx="278">
                  <c:v>14.65770399219482</c:v>
                </c:pt>
                <c:pt idx="279">
                  <c:v>28.210767045919155</c:v>
                </c:pt>
                <c:pt idx="280">
                  <c:v>15.785125688704614</c:v>
                </c:pt>
                <c:pt idx="281">
                  <c:v>37.814021505098083</c:v>
                </c:pt>
                <c:pt idx="282">
                  <c:v>30.520094154736896</c:v>
                </c:pt>
                <c:pt idx="283">
                  <c:v>24.085457848401468</c:v>
                </c:pt>
                <c:pt idx="284">
                  <c:v>27.066206490094821</c:v>
                </c:pt>
                <c:pt idx="285">
                  <c:v>21.911866519982542</c:v>
                </c:pt>
                <c:pt idx="286">
                  <c:v>17.223371108341194</c:v>
                </c:pt>
                <c:pt idx="287">
                  <c:v>36.761051345119462</c:v>
                </c:pt>
                <c:pt idx="288">
                  <c:v>33.075277522166864</c:v>
                </c:pt>
                <c:pt idx="289">
                  <c:v>19.815172168548003</c:v>
                </c:pt>
                <c:pt idx="290">
                  <c:v>33.562131371688693</c:v>
                </c:pt>
                <c:pt idx="291">
                  <c:v>15.096169381097946</c:v>
                </c:pt>
                <c:pt idx="292">
                  <c:v>8.8373364637013943</c:v>
                </c:pt>
                <c:pt idx="293">
                  <c:v>14.996788645797945</c:v>
                </c:pt>
                <c:pt idx="294">
                  <c:v>33.044378301891413</c:v>
                </c:pt>
                <c:pt idx="295">
                  <c:v>18.489287185955504</c:v>
                </c:pt>
                <c:pt idx="296">
                  <c:v>25.37582496485129</c:v>
                </c:pt>
                <c:pt idx="297">
                  <c:v>21.601115713345603</c:v>
                </c:pt>
                <c:pt idx="298">
                  <c:v>17.282771919516055</c:v>
                </c:pt>
                <c:pt idx="299">
                  <c:v>13.539142894891592</c:v>
                </c:pt>
                <c:pt idx="300">
                  <c:v>17.838716797381196</c:v>
                </c:pt>
                <c:pt idx="301">
                  <c:v>26.338953321345926</c:v>
                </c:pt>
                <c:pt idx="302">
                  <c:v>22.117381472290255</c:v>
                </c:pt>
                <c:pt idx="303">
                  <c:v>21.257961271342424</c:v>
                </c:pt>
                <c:pt idx="304">
                  <c:v>20.198737756486469</c:v>
                </c:pt>
                <c:pt idx="305">
                  <c:v>29.14559522081441</c:v>
                </c:pt>
                <c:pt idx="306">
                  <c:v>9.4049765185259577</c:v>
                </c:pt>
                <c:pt idx="307">
                  <c:v>13.882601997141659</c:v>
                </c:pt>
                <c:pt idx="308">
                  <c:v>29.567471532555398</c:v>
                </c:pt>
                <c:pt idx="309">
                  <c:v>30.440277321319808</c:v>
                </c:pt>
                <c:pt idx="310">
                  <c:v>29.393123539710189</c:v>
                </c:pt>
                <c:pt idx="311">
                  <c:v>17.820648739654445</c:v>
                </c:pt>
                <c:pt idx="312">
                  <c:v>8.8787930559039161</c:v>
                </c:pt>
                <c:pt idx="313">
                  <c:v>23.874532421544103</c:v>
                </c:pt>
                <c:pt idx="314">
                  <c:v>27.840403471716936</c:v>
                </c:pt>
                <c:pt idx="315">
                  <c:v>27.708154888213997</c:v>
                </c:pt>
                <c:pt idx="316">
                  <c:v>24.294510713426966</c:v>
                </c:pt>
                <c:pt idx="317">
                  <c:v>11.406426179795197</c:v>
                </c:pt>
                <c:pt idx="318">
                  <c:v>12.354343822300896</c:v>
                </c:pt>
                <c:pt idx="319">
                  <c:v>27.445343583191054</c:v>
                </c:pt>
                <c:pt idx="320">
                  <c:v>14.140504405010232</c:v>
                </c:pt>
                <c:pt idx="321">
                  <c:v>12.617997342553309</c:v>
                </c:pt>
                <c:pt idx="322">
                  <c:v>8.3916080075016612</c:v>
                </c:pt>
                <c:pt idx="323">
                  <c:v>17.256890684882968</c:v>
                </c:pt>
                <c:pt idx="324">
                  <c:v>2.9537848491231635</c:v>
                </c:pt>
                <c:pt idx="325">
                  <c:v>9.2270489994309699</c:v>
                </c:pt>
                <c:pt idx="326">
                  <c:v>15.105520564223276</c:v>
                </c:pt>
                <c:pt idx="327">
                  <c:v>13.515057920832914</c:v>
                </c:pt>
                <c:pt idx="328">
                  <c:v>4.4416851871684102</c:v>
                </c:pt>
                <c:pt idx="329">
                  <c:v>10.368258263642517</c:v>
                </c:pt>
                <c:pt idx="330">
                  <c:v>14.263173127453246</c:v>
                </c:pt>
                <c:pt idx="331">
                  <c:v>10.078255146226015</c:v>
                </c:pt>
                <c:pt idx="332">
                  <c:v>12.299198427916831</c:v>
                </c:pt>
                <c:pt idx="333">
                  <c:v>3.8351290980898964</c:v>
                </c:pt>
                <c:pt idx="334">
                  <c:v>3.3931254633381549</c:v>
                </c:pt>
                <c:pt idx="335">
                  <c:v>4.9113425486254547</c:v>
                </c:pt>
                <c:pt idx="336">
                  <c:v>9.6796602773619167</c:v>
                </c:pt>
                <c:pt idx="337">
                  <c:v>17.56780530877791</c:v>
                </c:pt>
                <c:pt idx="338">
                  <c:v>24.768045043653455</c:v>
                </c:pt>
                <c:pt idx="339">
                  <c:v>13.845542120795374</c:v>
                </c:pt>
                <c:pt idx="340">
                  <c:v>19.565882773514428</c:v>
                </c:pt>
                <c:pt idx="341">
                  <c:v>3.606036887058544</c:v>
                </c:pt>
                <c:pt idx="342">
                  <c:v>8.1423526715744732</c:v>
                </c:pt>
                <c:pt idx="343">
                  <c:v>15.057716391947599</c:v>
                </c:pt>
                <c:pt idx="344">
                  <c:v>16.155755433392727</c:v>
                </c:pt>
                <c:pt idx="345">
                  <c:v>5.1932078492279068</c:v>
                </c:pt>
                <c:pt idx="346">
                  <c:v>4.8609861270195083</c:v>
                </c:pt>
                <c:pt idx="347">
                  <c:v>15.783007957872789</c:v>
                </c:pt>
                <c:pt idx="348">
                  <c:v>5.7600399027567706</c:v>
                </c:pt>
                <c:pt idx="349">
                  <c:v>4.7671067648401717</c:v>
                </c:pt>
                <c:pt idx="350">
                  <c:v>2.8173733280800883</c:v>
                </c:pt>
                <c:pt idx="351">
                  <c:v>18.668104653383171</c:v>
                </c:pt>
                <c:pt idx="352">
                  <c:v>17.549863110441333</c:v>
                </c:pt>
                <c:pt idx="353">
                  <c:v>3.4831710531322249</c:v>
                </c:pt>
                <c:pt idx="354">
                  <c:v>20.746450768918614</c:v>
                </c:pt>
                <c:pt idx="355">
                  <c:v>18.116452383312339</c:v>
                </c:pt>
                <c:pt idx="356">
                  <c:v>18.921679211151218</c:v>
                </c:pt>
                <c:pt idx="357">
                  <c:v>21.607374842508172</c:v>
                </c:pt>
                <c:pt idx="358">
                  <c:v>10.553381386180883</c:v>
                </c:pt>
                <c:pt idx="359">
                  <c:v>19.413907301569253</c:v>
                </c:pt>
                <c:pt idx="360">
                  <c:v>6.2093102280429715</c:v>
                </c:pt>
                <c:pt idx="361">
                  <c:v>18.962625354292509</c:v>
                </c:pt>
                <c:pt idx="362">
                  <c:v>10.389440305999436</c:v>
                </c:pt>
                <c:pt idx="363">
                  <c:v>14.67649221099693</c:v>
                </c:pt>
                <c:pt idx="364">
                  <c:v>11.823393661256862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5344"/>
        <c:axId val="592955736"/>
      </c:lineChart>
      <c:dateAx>
        <c:axId val="592955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5736"/>
        <c:crosses val="autoZero"/>
        <c:auto val="1"/>
        <c:lblOffset val="100"/>
        <c:baseTimeUnit val="days"/>
        <c:majorUnit val="1"/>
        <c:majorTimeUnit val="months"/>
      </c:dateAx>
      <c:valAx>
        <c:axId val="5929557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53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5.0175233651291486E-2</c:v>
                </c:pt>
                <c:pt idx="1">
                  <c:v>5.0196010968255857E-2</c:v>
                </c:pt>
                <c:pt idx="2">
                  <c:v>5.0216787830143585E-2</c:v>
                </c:pt>
                <c:pt idx="3">
                  <c:v>5.0237564236964773E-2</c:v>
                </c:pt>
                <c:pt idx="4">
                  <c:v>5.0258340188729302E-2</c:v>
                </c:pt>
                <c:pt idx="5">
                  <c:v>5.0279115685447164E-2</c:v>
                </c:pt>
                <c:pt idx="6">
                  <c:v>5.029989072712835E-2</c:v>
                </c:pt>
                <c:pt idx="7">
                  <c:v>5.0320665313782743E-2</c:v>
                </c:pt>
                <c:pt idx="8">
                  <c:v>5.0341439445420445E-2</c:v>
                </c:pt>
                <c:pt idx="9">
                  <c:v>5.0362213122051337E-2</c:v>
                </c:pt>
                <c:pt idx="10">
                  <c:v>5.03829863436853E-2</c:v>
                </c:pt>
                <c:pt idx="11">
                  <c:v>5.0403759110332548E-2</c:v>
                </c:pt>
                <c:pt idx="12">
                  <c:v>5.042453142200274E-2</c:v>
                </c:pt>
                <c:pt idx="13">
                  <c:v>5.044530327870609E-2</c:v>
                </c:pt>
                <c:pt idx="14">
                  <c:v>5.0466074680452479E-2</c:v>
                </c:pt>
                <c:pt idx="15">
                  <c:v>5.0486845627251788E-2</c:v>
                </c:pt>
                <c:pt idx="16">
                  <c:v>5.050761611911412E-2</c:v>
                </c:pt>
                <c:pt idx="17">
                  <c:v>5.0528386156049356E-2</c:v>
                </c:pt>
                <c:pt idx="18">
                  <c:v>5.0549155738067487E-2</c:v>
                </c:pt>
                <c:pt idx="19">
                  <c:v>5.0569924865178507E-2</c:v>
                </c:pt>
                <c:pt idx="20">
                  <c:v>5.0590693537392296E-2</c:v>
                </c:pt>
                <c:pt idx="21">
                  <c:v>5.0611461754718846E-2</c:v>
                </c:pt>
                <c:pt idx="22">
                  <c:v>5.0632229517168149E-2</c:v>
                </c:pt>
                <c:pt idx="23">
                  <c:v>5.0652996824750197E-2</c:v>
                </c:pt>
                <c:pt idx="24">
                  <c:v>5.0673763677474871E-2</c:v>
                </c:pt>
                <c:pt idx="25">
                  <c:v>5.0694530075352164E-2</c:v>
                </c:pt>
                <c:pt idx="26">
                  <c:v>5.0715296018392066E-2</c:v>
                </c:pt>
                <c:pt idx="27">
                  <c:v>5.0736061506604459E-2</c:v>
                </c:pt>
                <c:pt idx="28">
                  <c:v>5.0756826539999446E-2</c:v>
                </c:pt>
                <c:pt idx="29">
                  <c:v>5.0777591118586908E-2</c:v>
                </c:pt>
                <c:pt idx="30">
                  <c:v>5.0798355242376726E-2</c:v>
                </c:pt>
                <c:pt idx="31">
                  <c:v>5.0819118911379003E-2</c:v>
                </c:pt>
                <c:pt idx="32">
                  <c:v>5.0839882125603732E-2</c:v>
                </c:pt>
                <c:pt idx="33">
                  <c:v>5.0860644885060681E-2</c:v>
                </c:pt>
                <c:pt idx="34">
                  <c:v>5.0881407189759843E-2</c:v>
                </c:pt>
                <c:pt idx="35">
                  <c:v>5.0902169039711322E-2</c:v>
                </c:pt>
                <c:pt idx="36">
                  <c:v>5.0922930434925108E-2</c:v>
                </c:pt>
                <c:pt idx="37">
                  <c:v>5.0943691375410861E-2</c:v>
                </c:pt>
                <c:pt idx="38">
                  <c:v>5.0964451861178907E-2</c:v>
                </c:pt>
                <c:pt idx="39">
                  <c:v>5.0985211892238903E-2</c:v>
                </c:pt>
                <c:pt idx="40">
                  <c:v>5.1005971468600954E-2</c:v>
                </c:pt>
                <c:pt idx="41">
                  <c:v>5.102673059027505E-2</c:v>
                </c:pt>
                <c:pt idx="42">
                  <c:v>5.1047489257271185E-2</c:v>
                </c:pt>
                <c:pt idx="43">
                  <c:v>5.1068247469599128E-2</c:v>
                </c:pt>
                <c:pt idx="44">
                  <c:v>5.1089005227268981E-2</c:v>
                </c:pt>
                <c:pt idx="45">
                  <c:v>5.1109762530290627E-2</c:v>
                </c:pt>
                <c:pt idx="46">
                  <c:v>5.1130519378674057E-2</c:v>
                </c:pt>
                <c:pt idx="47">
                  <c:v>5.1151275772429262E-2</c:v>
                </c:pt>
                <c:pt idx="48">
                  <c:v>5.1172031711566236E-2</c:v>
                </c:pt>
                <c:pt idx="49">
                  <c:v>5.1192787196094859E-2</c:v>
                </c:pt>
                <c:pt idx="50">
                  <c:v>5.1213542226025012E-2</c:v>
                </c:pt>
                <c:pt idx="51">
                  <c:v>5.1234296801366798E-2</c:v>
                </c:pt>
                <c:pt idx="52">
                  <c:v>5.1255050922130098E-2</c:v>
                </c:pt>
                <c:pt idx="53">
                  <c:v>5.1275804588324904E-2</c:v>
                </c:pt>
                <c:pt idx="54">
                  <c:v>5.1296557799961208E-2</c:v>
                </c:pt>
                <c:pt idx="55">
                  <c:v>5.1317310557048891E-2</c:v>
                </c:pt>
                <c:pt idx="56">
                  <c:v>5.1338062859597945E-2</c:v>
                </c:pt>
                <c:pt idx="57">
                  <c:v>5.1358814707618251E-2</c:v>
                </c:pt>
                <c:pt idx="58">
                  <c:v>5.1379566101119802E-2</c:v>
                </c:pt>
                <c:pt idx="59">
                  <c:v>5.1400317040112699E-2</c:v>
                </c:pt>
                <c:pt idx="60">
                  <c:v>5.1421067524606713E-2</c:v>
                </c:pt>
                <c:pt idx="61">
                  <c:v>5.1441817554611836E-2</c:v>
                </c:pt>
                <c:pt idx="62">
                  <c:v>5.1462567130138061E-2</c:v>
                </c:pt>
                <c:pt idx="63">
                  <c:v>5.1483316251195378E-2</c:v>
                </c:pt>
                <c:pt idx="64">
                  <c:v>5.150406491779367E-2</c:v>
                </c:pt>
                <c:pt idx="65">
                  <c:v>5.1524813129942816E-2</c:v>
                </c:pt>
                <c:pt idx="66">
                  <c:v>5.1545560887653032E-2</c:v>
                </c:pt>
                <c:pt idx="67">
                  <c:v>5.1566308190933975E-2</c:v>
                </c:pt>
                <c:pt idx="68">
                  <c:v>5.158705503979575E-2</c:v>
                </c:pt>
                <c:pt idx="69">
                  <c:v>5.1607801434248347E-2</c:v>
                </c:pt>
                <c:pt idx="70">
                  <c:v>5.1628547374301649E-2</c:v>
                </c:pt>
                <c:pt idx="71">
                  <c:v>5.1649292859965647E-2</c:v>
                </c:pt>
                <c:pt idx="72">
                  <c:v>5.1670037891250221E-2</c:v>
                </c:pt>
                <c:pt idx="73">
                  <c:v>5.1690782468165365E-2</c:v>
                </c:pt>
                <c:pt idx="74">
                  <c:v>5.1711526590720959E-2</c:v>
                </c:pt>
                <c:pt idx="75">
                  <c:v>5.1732270258927217E-2</c:v>
                </c:pt>
                <c:pt idx="76">
                  <c:v>5.1753013472793798E-2</c:v>
                </c:pt>
                <c:pt idx="77">
                  <c:v>5.1773756232330694E-2</c:v>
                </c:pt>
                <c:pt idx="78">
                  <c:v>5.1794498537548007E-2</c:v>
                </c:pt>
                <c:pt idx="79">
                  <c:v>5.181524038845562E-2</c:v>
                </c:pt>
                <c:pt idx="80">
                  <c:v>5.1835981785063413E-2</c:v>
                </c:pt>
                <c:pt idx="81">
                  <c:v>5.1856722727381378E-2</c:v>
                </c:pt>
                <c:pt idx="82">
                  <c:v>5.1877463215419507E-2</c:v>
                </c:pt>
                <c:pt idx="83">
                  <c:v>5.1898203249187681E-2</c:v>
                </c:pt>
                <c:pt idx="84">
                  <c:v>5.1918942828696003E-2</c:v>
                </c:pt>
                <c:pt idx="85">
                  <c:v>5.1939681953954243E-2</c:v>
                </c:pt>
                <c:pt idx="86">
                  <c:v>5.1960420624972393E-2</c:v>
                </c:pt>
                <c:pt idx="87">
                  <c:v>5.1981158841760446E-2</c:v>
                </c:pt>
                <c:pt idx="88">
                  <c:v>5.2001896604328281E-2</c:v>
                </c:pt>
                <c:pt idx="89">
                  <c:v>5.2022633912685891E-2</c:v>
                </c:pt>
                <c:pt idx="90">
                  <c:v>5.2043370766843268E-2</c:v>
                </c:pt>
                <c:pt idx="91">
                  <c:v>5.2064107166810293E-2</c:v>
                </c:pt>
                <c:pt idx="92">
                  <c:v>5.2084843112596958E-2</c:v>
                </c:pt>
                <c:pt idx="93">
                  <c:v>5.2105578604213255E-2</c:v>
                </c:pt>
                <c:pt idx="94">
                  <c:v>5.2126313641668955E-2</c:v>
                </c:pt>
                <c:pt idx="95">
                  <c:v>5.2147048224974159E-2</c:v>
                </c:pt>
                <c:pt idx="96">
                  <c:v>5.216778235413886E-2</c:v>
                </c:pt>
                <c:pt idx="97">
                  <c:v>5.2188516029172828E-2</c:v>
                </c:pt>
                <c:pt idx="98">
                  <c:v>5.2209249250086055E-2</c:v>
                </c:pt>
                <c:pt idx="99">
                  <c:v>5.2229982016888644E-2</c:v>
                </c:pt>
                <c:pt idx="100">
                  <c:v>5.2250714329590366E-2</c:v>
                </c:pt>
                <c:pt idx="101">
                  <c:v>5.2271446188201211E-2</c:v>
                </c:pt>
                <c:pt idx="102">
                  <c:v>5.2292177592731283E-2</c:v>
                </c:pt>
                <c:pt idx="103">
                  <c:v>5.2312908543190241E-2</c:v>
                </c:pt>
                <c:pt idx="104">
                  <c:v>5.2333639039588299E-2</c:v>
                </c:pt>
                <c:pt idx="105">
                  <c:v>5.2354369081935116E-2</c:v>
                </c:pt>
                <c:pt idx="106">
                  <c:v>5.2375098670240906E-2</c:v>
                </c:pt>
                <c:pt idx="107">
                  <c:v>5.239582780451555E-2</c:v>
                </c:pt>
                <c:pt idx="108">
                  <c:v>5.2416556484768929E-2</c:v>
                </c:pt>
                <c:pt idx="109">
                  <c:v>5.2437284711010924E-2</c:v>
                </c:pt>
                <c:pt idx="110">
                  <c:v>5.2458012483251638E-2</c:v>
                </c:pt>
                <c:pt idx="111">
                  <c:v>5.2478739801500952E-2</c:v>
                </c:pt>
                <c:pt idx="112">
                  <c:v>5.2499466665768858E-2</c:v>
                </c:pt>
                <c:pt idx="113">
                  <c:v>5.2520193076065126E-2</c:v>
                </c:pt>
                <c:pt idx="114">
                  <c:v>5.2540919032399859E-2</c:v>
                </c:pt>
                <c:pt idx="115">
                  <c:v>5.2561644534782938E-2</c:v>
                </c:pt>
                <c:pt idx="116">
                  <c:v>5.2582369583224355E-2</c:v>
                </c:pt>
                <c:pt idx="117">
                  <c:v>5.2603094177734101E-2</c:v>
                </c:pt>
                <c:pt idx="118">
                  <c:v>5.2623818318321948E-2</c:v>
                </c:pt>
                <c:pt idx="119">
                  <c:v>5.2644542004997887E-2</c:v>
                </c:pt>
                <c:pt idx="120">
                  <c:v>5.266526523777202E-2</c:v>
                </c:pt>
                <c:pt idx="121">
                  <c:v>5.2685988016654008E-2</c:v>
                </c:pt>
                <c:pt idx="122">
                  <c:v>5.2706710341654063E-2</c:v>
                </c:pt>
                <c:pt idx="123">
                  <c:v>5.2727432212782067E-2</c:v>
                </c:pt>
                <c:pt idx="124">
                  <c:v>5.2748153630047791E-2</c:v>
                </c:pt>
                <c:pt idx="125">
                  <c:v>5.2768874593461336E-2</c:v>
                </c:pt>
                <c:pt idx="126">
                  <c:v>5.2789595103032695E-2</c:v>
                </c:pt>
                <c:pt idx="127">
                  <c:v>5.2810315158771638E-2</c:v>
                </c:pt>
                <c:pt idx="128">
                  <c:v>5.2831034760688157E-2</c:v>
                </c:pt>
                <c:pt idx="129">
                  <c:v>5.2851753908792244E-2</c:v>
                </c:pt>
                <c:pt idx="130">
                  <c:v>5.287247260309378E-2</c:v>
                </c:pt>
                <c:pt idx="131">
                  <c:v>5.2893190843602757E-2</c:v>
                </c:pt>
                <c:pt idx="132">
                  <c:v>5.2913908630329166E-2</c:v>
                </c:pt>
                <c:pt idx="133">
                  <c:v>5.2934625963282779E-2</c:v>
                </c:pt>
                <c:pt idx="134">
                  <c:v>5.2955342842473697E-2</c:v>
                </c:pt>
                <c:pt idx="135">
                  <c:v>5.2976059267911803E-2</c:v>
                </c:pt>
                <c:pt idx="136">
                  <c:v>5.2996775239606976E-2</c:v>
                </c:pt>
                <c:pt idx="137">
                  <c:v>5.3017490757569209E-2</c:v>
                </c:pt>
                <c:pt idx="138">
                  <c:v>5.3038205821808494E-2</c:v>
                </c:pt>
                <c:pt idx="139">
                  <c:v>5.3058920432334601E-2</c:v>
                </c:pt>
                <c:pt idx="140">
                  <c:v>5.3079634589157633E-2</c:v>
                </c:pt>
                <c:pt idx="141">
                  <c:v>5.3100348292287471E-2</c:v>
                </c:pt>
                <c:pt idx="142">
                  <c:v>5.3121061541733995E-2</c:v>
                </c:pt>
                <c:pt idx="143">
                  <c:v>5.314177433750731E-2</c:v>
                </c:pt>
                <c:pt idx="144">
                  <c:v>5.3162486679617184E-2</c:v>
                </c:pt>
                <c:pt idx="145">
                  <c:v>5.318319856807361E-2</c:v>
                </c:pt>
                <c:pt idx="146">
                  <c:v>5.3203910002886469E-2</c:v>
                </c:pt>
                <c:pt idx="147">
                  <c:v>5.3224620984065864E-2</c:v>
                </c:pt>
                <c:pt idx="148">
                  <c:v>5.3245331511621453E-2</c:v>
                </c:pt>
                <c:pt idx="149">
                  <c:v>5.3266041585563452E-2</c:v>
                </c:pt>
                <c:pt idx="150">
                  <c:v>5.328675120590174E-2</c:v>
                </c:pt>
                <c:pt idx="151">
                  <c:v>5.3307460372646089E-2</c:v>
                </c:pt>
                <c:pt idx="152">
                  <c:v>5.33281690858066E-2</c:v>
                </c:pt>
                <c:pt idx="153">
                  <c:v>5.3348877345393043E-2</c:v>
                </c:pt>
                <c:pt idx="154">
                  <c:v>5.3369585151415523E-2</c:v>
                </c:pt>
                <c:pt idx="155">
                  <c:v>5.339029250388392E-2</c:v>
                </c:pt>
                <c:pt idx="156">
                  <c:v>5.3410999402808114E-2</c:v>
                </c:pt>
                <c:pt idx="157">
                  <c:v>5.3431705848198098E-2</c:v>
                </c:pt>
                <c:pt idx="158">
                  <c:v>5.3452411840063864E-2</c:v>
                </c:pt>
                <c:pt idx="159">
                  <c:v>5.3473117378415182E-2</c:v>
                </c:pt>
                <c:pt idx="160">
                  <c:v>5.3493822463262043E-2</c:v>
                </c:pt>
                <c:pt idx="161">
                  <c:v>5.3514527094614441E-2</c:v>
                </c:pt>
                <c:pt idx="162">
                  <c:v>5.3535231272482255E-2</c:v>
                </c:pt>
                <c:pt idx="163">
                  <c:v>5.3555934996875477E-2</c:v>
                </c:pt>
                <c:pt idx="164">
                  <c:v>5.357663826780399E-2</c:v>
                </c:pt>
                <c:pt idx="165">
                  <c:v>5.3597341085277785E-2</c:v>
                </c:pt>
                <c:pt idx="166">
                  <c:v>5.3618043449306631E-2</c:v>
                </c:pt>
                <c:pt idx="167">
                  <c:v>5.3638745359900743E-2</c:v>
                </c:pt>
                <c:pt idx="168">
                  <c:v>5.3659446817069779E-2</c:v>
                </c:pt>
                <c:pt idx="169">
                  <c:v>5.3680147820823733E-2</c:v>
                </c:pt>
                <c:pt idx="170">
                  <c:v>5.3700848371172595E-2</c:v>
                </c:pt>
                <c:pt idx="171">
                  <c:v>5.3721548468126358E-2</c:v>
                </c:pt>
                <c:pt idx="172">
                  <c:v>5.3742248111694792E-2</c:v>
                </c:pt>
                <c:pt idx="173">
                  <c:v>5.3762947301887888E-2</c:v>
                </c:pt>
                <c:pt idx="174">
                  <c:v>5.3783646038715639E-2</c:v>
                </c:pt>
                <c:pt idx="175">
                  <c:v>5.3804344322187926E-2</c:v>
                </c:pt>
                <c:pt idx="176">
                  <c:v>5.3825042152314741E-2</c:v>
                </c:pt>
                <c:pt idx="177">
                  <c:v>5.3845739529105853E-2</c:v>
                </c:pt>
                <c:pt idx="178">
                  <c:v>5.3866436452571366E-2</c:v>
                </c:pt>
                <c:pt idx="179">
                  <c:v>5.3887132922721161E-2</c:v>
                </c:pt>
                <c:pt idx="180">
                  <c:v>5.3907828939565007E-2</c:v>
                </c:pt>
                <c:pt idx="181">
                  <c:v>5.3928524503113119E-2</c:v>
                </c:pt>
                <c:pt idx="182">
                  <c:v>5.3949219613375156E-2</c:v>
                </c:pt>
                <c:pt idx="183">
                  <c:v>5.3969914270361331E-2</c:v>
                </c:pt>
                <c:pt idx="184">
                  <c:v>5.3990608474081193E-2</c:v>
                </c:pt>
                <c:pt idx="185">
                  <c:v>5.4011302224545067E-2</c:v>
                </c:pt>
                <c:pt idx="186">
                  <c:v>5.4031995521762612E-2</c:v>
                </c:pt>
                <c:pt idx="187">
                  <c:v>5.4052688365743819E-2</c:v>
                </c:pt>
                <c:pt idx="188">
                  <c:v>5.407338075649868E-2</c:v>
                </c:pt>
                <c:pt idx="189">
                  <c:v>5.4094072694037078E-2</c:v>
                </c:pt>
                <c:pt idx="190">
                  <c:v>5.4114764178368892E-2</c:v>
                </c:pt>
                <c:pt idx="191">
                  <c:v>5.4135455209504225E-2</c:v>
                </c:pt>
                <c:pt idx="192">
                  <c:v>5.4156145787452738E-2</c:v>
                </c:pt>
                <c:pt idx="193">
                  <c:v>5.4176835912224532E-2</c:v>
                </c:pt>
                <c:pt idx="194">
                  <c:v>5.4197525583829488E-2</c:v>
                </c:pt>
                <c:pt idx="195">
                  <c:v>5.4218214802277599E-2</c:v>
                </c:pt>
                <c:pt idx="196">
                  <c:v>5.4238903567578635E-2</c:v>
                </c:pt>
                <c:pt idx="197">
                  <c:v>5.4259591879742698E-2</c:v>
                </c:pt>
                <c:pt idx="198">
                  <c:v>5.4280279738779559E-2</c:v>
                </c:pt>
                <c:pt idx="199">
                  <c:v>5.430096714469921E-2</c:v>
                </c:pt>
                <c:pt idx="200">
                  <c:v>5.4321654097511642E-2</c:v>
                </c:pt>
                <c:pt idx="201">
                  <c:v>5.4342340597226625E-2</c:v>
                </c:pt>
                <c:pt idx="202">
                  <c:v>5.4363026643854263E-2</c:v>
                </c:pt>
                <c:pt idx="203">
                  <c:v>5.4383712237404326E-2</c:v>
                </c:pt>
                <c:pt idx="204">
                  <c:v>5.4404397377886916E-2</c:v>
                </c:pt>
                <c:pt idx="205">
                  <c:v>5.4425082065311693E-2</c:v>
                </c:pt>
                <c:pt idx="206">
                  <c:v>5.4445766299688871E-2</c:v>
                </c:pt>
                <c:pt idx="207">
                  <c:v>5.4466450081028107E-2</c:v>
                </c:pt>
                <c:pt idx="208">
                  <c:v>5.4487133409339507E-2</c:v>
                </c:pt>
                <c:pt idx="209">
                  <c:v>5.450781628463295E-2</c:v>
                </c:pt>
                <c:pt idx="210">
                  <c:v>5.4528498706918317E-2</c:v>
                </c:pt>
                <c:pt idx="211">
                  <c:v>5.4549180676205601E-2</c:v>
                </c:pt>
                <c:pt idx="212">
                  <c:v>5.4569862192504572E-2</c:v>
                </c:pt>
                <c:pt idx="213">
                  <c:v>5.4590543255825331E-2</c:v>
                </c:pt>
                <c:pt idx="214">
                  <c:v>5.4611223866177762E-2</c:v>
                </c:pt>
                <c:pt idx="215">
                  <c:v>5.4631904023571633E-2</c:v>
                </c:pt>
                <c:pt idx="216">
                  <c:v>5.4652583728017047E-2</c:v>
                </c:pt>
                <c:pt idx="217">
                  <c:v>5.4673262979523886E-2</c:v>
                </c:pt>
                <c:pt idx="218">
                  <c:v>5.469394177810203E-2</c:v>
                </c:pt>
                <c:pt idx="219">
                  <c:v>5.4714620123761472E-2</c:v>
                </c:pt>
                <c:pt idx="220">
                  <c:v>5.4735298016511981E-2</c:v>
                </c:pt>
                <c:pt idx="221">
                  <c:v>5.4755975456363661E-2</c:v>
                </c:pt>
                <c:pt idx="222">
                  <c:v>5.4776652443326281E-2</c:v>
                </c:pt>
                <c:pt idx="223">
                  <c:v>5.4797328977409833E-2</c:v>
                </c:pt>
                <c:pt idx="224">
                  <c:v>5.4818005058624199E-2</c:v>
                </c:pt>
                <c:pt idx="225">
                  <c:v>5.483868068697937E-2</c:v>
                </c:pt>
                <c:pt idx="226">
                  <c:v>5.4859355862485117E-2</c:v>
                </c:pt>
                <c:pt idx="227">
                  <c:v>5.4880030585151542E-2</c:v>
                </c:pt>
                <c:pt idx="228">
                  <c:v>5.4900704854988526E-2</c:v>
                </c:pt>
                <c:pt idx="229">
                  <c:v>5.492137867200584E-2</c:v>
                </c:pt>
                <c:pt idx="230">
                  <c:v>5.4942052036213586E-2</c:v>
                </c:pt>
                <c:pt idx="231">
                  <c:v>5.4962724947621534E-2</c:v>
                </c:pt>
                <c:pt idx="232">
                  <c:v>5.4983397406239677E-2</c:v>
                </c:pt>
                <c:pt idx="233">
                  <c:v>5.5004069412077895E-2</c:v>
                </c:pt>
                <c:pt idx="234">
                  <c:v>5.5024740965146181E-2</c:v>
                </c:pt>
                <c:pt idx="235">
                  <c:v>5.5045412065454415E-2</c:v>
                </c:pt>
                <c:pt idx="236">
                  <c:v>5.5066082713012478E-2</c:v>
                </c:pt>
                <c:pt idx="237">
                  <c:v>5.5086752907830362E-2</c:v>
                </c:pt>
                <c:pt idx="238">
                  <c:v>5.5107422649917838E-2</c:v>
                </c:pt>
                <c:pt idx="239">
                  <c:v>5.5128091939285008E-2</c:v>
                </c:pt>
                <c:pt idx="240">
                  <c:v>5.5148760775941642E-2</c:v>
                </c:pt>
                <c:pt idx="241">
                  <c:v>5.5169429159897733E-2</c:v>
                </c:pt>
                <c:pt idx="242">
                  <c:v>5.5190097091163161E-2</c:v>
                </c:pt>
                <c:pt idx="243">
                  <c:v>5.5210764569747807E-2</c:v>
                </c:pt>
                <c:pt idx="244">
                  <c:v>5.5231431595661663E-2</c:v>
                </c:pt>
                <c:pt idx="245">
                  <c:v>5.5252098168914611E-2</c:v>
                </c:pt>
                <c:pt idx="246">
                  <c:v>5.5272764289516531E-2</c:v>
                </c:pt>
                <c:pt idx="247">
                  <c:v>5.5293429957477415E-2</c:v>
                </c:pt>
                <c:pt idx="248">
                  <c:v>5.5314095172807144E-2</c:v>
                </c:pt>
                <c:pt idx="249">
                  <c:v>5.53347599355156E-2</c:v>
                </c:pt>
                <c:pt idx="250">
                  <c:v>5.5355424245612773E-2</c:v>
                </c:pt>
                <c:pt idx="251">
                  <c:v>5.5376088103108435E-2</c:v>
                </c:pt>
                <c:pt idx="252">
                  <c:v>5.5396751508012577E-2</c:v>
                </c:pt>
                <c:pt idx="253">
                  <c:v>5.5417414460335192E-2</c:v>
                </c:pt>
                <c:pt idx="254">
                  <c:v>5.5438076960086048E-2</c:v>
                </c:pt>
                <c:pt idx="255">
                  <c:v>5.545873900727525E-2</c:v>
                </c:pt>
                <c:pt idx="256">
                  <c:v>5.5479400601912456E-2</c:v>
                </c:pt>
                <c:pt idx="257">
                  <c:v>5.5500061744007768E-2</c:v>
                </c:pt>
                <c:pt idx="258">
                  <c:v>5.5520722433571069E-2</c:v>
                </c:pt>
                <c:pt idx="259">
                  <c:v>5.554138267061224E-2</c:v>
                </c:pt>
                <c:pt idx="260">
                  <c:v>5.556204245514116E-2</c:v>
                </c:pt>
                <c:pt idx="261">
                  <c:v>5.5582701787167822E-2</c:v>
                </c:pt>
                <c:pt idx="262">
                  <c:v>5.5603360666702108E-2</c:v>
                </c:pt>
                <c:pt idx="263">
                  <c:v>5.5624019093753786E-2</c:v>
                </c:pt>
                <c:pt idx="264">
                  <c:v>5.5644677068333072E-2</c:v>
                </c:pt>
                <c:pt idx="265">
                  <c:v>5.5665334590449513E-2</c:v>
                </c:pt>
                <c:pt idx="266">
                  <c:v>5.5685991660113322E-2</c:v>
                </c:pt>
                <c:pt idx="267">
                  <c:v>5.5706648277334271E-2</c:v>
                </c:pt>
                <c:pt idx="268">
                  <c:v>5.572730444212224E-2</c:v>
                </c:pt>
                <c:pt idx="269">
                  <c:v>5.5747960154487332E-2</c:v>
                </c:pt>
                <c:pt idx="270">
                  <c:v>5.5768615414439095E-2</c:v>
                </c:pt>
                <c:pt idx="271">
                  <c:v>5.5789270221987854E-2</c:v>
                </c:pt>
                <c:pt idx="272">
                  <c:v>5.5809924577143157E-2</c:v>
                </c:pt>
                <c:pt idx="273">
                  <c:v>5.5830578479915217E-2</c:v>
                </c:pt>
                <c:pt idx="274">
                  <c:v>5.5851231930313695E-2</c:v>
                </c:pt>
                <c:pt idx="275">
                  <c:v>5.5871884928348693E-2</c:v>
                </c:pt>
                <c:pt idx="276">
                  <c:v>5.5892537474029981E-2</c:v>
                </c:pt>
                <c:pt idx="277">
                  <c:v>5.591318956736744E-2</c:v>
                </c:pt>
                <c:pt idx="278">
                  <c:v>5.5933841208371173E-2</c:v>
                </c:pt>
                <c:pt idx="279">
                  <c:v>5.5954492397050949E-2</c:v>
                </c:pt>
                <c:pt idx="280">
                  <c:v>5.5975143133416651E-2</c:v>
                </c:pt>
                <c:pt idx="281">
                  <c:v>5.5995793417478158E-2</c:v>
                </c:pt>
                <c:pt idx="282">
                  <c:v>5.6016443249245575E-2</c:v>
                </c:pt>
                <c:pt idx="283">
                  <c:v>5.603709262872867E-2</c:v>
                </c:pt>
                <c:pt idx="284">
                  <c:v>5.6057741555937325E-2</c:v>
                </c:pt>
                <c:pt idx="285">
                  <c:v>5.6078390030881421E-2</c:v>
                </c:pt>
                <c:pt idx="286">
                  <c:v>5.609903805357095E-2</c:v>
                </c:pt>
                <c:pt idx="287">
                  <c:v>5.6119685624015904E-2</c:v>
                </c:pt>
                <c:pt idx="288">
                  <c:v>5.6140332742225942E-2</c:v>
                </c:pt>
                <c:pt idx="289">
                  <c:v>5.6160979408211166E-2</c:v>
                </c:pt>
                <c:pt idx="290">
                  <c:v>5.6181625621981347E-2</c:v>
                </c:pt>
                <c:pt idx="291">
                  <c:v>5.6202271383546588E-2</c:v>
                </c:pt>
                <c:pt idx="292">
                  <c:v>5.6222916692916548E-2</c:v>
                </c:pt>
                <c:pt idx="293">
                  <c:v>5.624356155010133E-2</c:v>
                </c:pt>
                <c:pt idx="294">
                  <c:v>5.6264205955110703E-2</c:v>
                </c:pt>
                <c:pt idx="295">
                  <c:v>5.628484990795455E-2</c:v>
                </c:pt>
                <c:pt idx="296">
                  <c:v>5.6305493408642972E-2</c:v>
                </c:pt>
                <c:pt idx="297">
                  <c:v>5.632613645718574E-2</c:v>
                </c:pt>
                <c:pt idx="298">
                  <c:v>5.6346779053592734E-2</c:v>
                </c:pt>
                <c:pt idx="299">
                  <c:v>5.6367421197873836E-2</c:v>
                </c:pt>
                <c:pt idx="300">
                  <c:v>5.6388062890039149E-2</c:v>
                </c:pt>
                <c:pt idx="301">
                  <c:v>5.6408704130098332E-2</c:v>
                </c:pt>
                <c:pt idx="302">
                  <c:v>5.6429344918061376E-2</c:v>
                </c:pt>
                <c:pt idx="303">
                  <c:v>5.6449985253938163E-2</c:v>
                </c:pt>
                <c:pt idx="304">
                  <c:v>5.6470625137738685E-2</c:v>
                </c:pt>
                <c:pt idx="305">
                  <c:v>5.6491264569472711E-2</c:v>
                </c:pt>
                <c:pt idx="306">
                  <c:v>5.6511903549150234E-2</c:v>
                </c:pt>
                <c:pt idx="307">
                  <c:v>5.6532542076781246E-2</c:v>
                </c:pt>
                <c:pt idx="308">
                  <c:v>5.6553180152375405E-2</c:v>
                </c:pt>
                <c:pt idx="309">
                  <c:v>5.6573817775942815E-2</c:v>
                </c:pt>
                <c:pt idx="310">
                  <c:v>5.6594454947493246E-2</c:v>
                </c:pt>
                <c:pt idx="311">
                  <c:v>5.6615091667036689E-2</c:v>
                </c:pt>
                <c:pt idx="312">
                  <c:v>5.6635727934583026E-2</c:v>
                </c:pt>
                <c:pt idx="313">
                  <c:v>5.6656363750142137E-2</c:v>
                </c:pt>
                <c:pt idx="314">
                  <c:v>5.6676999113723904E-2</c:v>
                </c:pt>
                <c:pt idx="315">
                  <c:v>5.6697634025338207E-2</c:v>
                </c:pt>
                <c:pt idx="316">
                  <c:v>5.6718268484995039E-2</c:v>
                </c:pt>
                <c:pt idx="317">
                  <c:v>5.6738902492704281E-2</c:v>
                </c:pt>
                <c:pt idx="318">
                  <c:v>5.6759536048475702E-2</c:v>
                </c:pt>
                <c:pt idx="319">
                  <c:v>5.6780169152319405E-2</c:v>
                </c:pt>
                <c:pt idx="320">
                  <c:v>5.6800801804245162E-2</c:v>
                </c:pt>
                <c:pt idx="321">
                  <c:v>5.6821434004262851E-2</c:v>
                </c:pt>
                <c:pt idx="322">
                  <c:v>5.6842065752382355E-2</c:v>
                </c:pt>
                <c:pt idx="323">
                  <c:v>5.6862697048613776E-2</c:v>
                </c:pt>
                <c:pt idx="324">
                  <c:v>5.6883327892966774E-2</c:v>
                </c:pt>
                <c:pt idx="325">
                  <c:v>5.690395828545123E-2</c:v>
                </c:pt>
                <c:pt idx="326">
                  <c:v>5.6924588226077356E-2</c:v>
                </c:pt>
                <c:pt idx="327">
                  <c:v>5.6945217714854703E-2</c:v>
                </c:pt>
                <c:pt idx="328">
                  <c:v>5.696584675179326E-2</c:v>
                </c:pt>
                <c:pt idx="329">
                  <c:v>5.6986475336903021E-2</c:v>
                </c:pt>
                <c:pt idx="330">
                  <c:v>5.7007103470193866E-2</c:v>
                </c:pt>
                <c:pt idx="331">
                  <c:v>5.7027731151675677E-2</c:v>
                </c:pt>
                <c:pt idx="332">
                  <c:v>5.7048358381358223E-2</c:v>
                </c:pt>
                <c:pt idx="333">
                  <c:v>5.7068985159251608E-2</c:v>
                </c:pt>
                <c:pt idx="334">
                  <c:v>5.7089611485365489E-2</c:v>
                </c:pt>
                <c:pt idx="335">
                  <c:v>5.7110237359709971E-2</c:v>
                </c:pt>
                <c:pt idx="336">
                  <c:v>5.7130862782294824E-2</c:v>
                </c:pt>
                <c:pt idx="337">
                  <c:v>5.7151487753130038E-2</c:v>
                </c:pt>
                <c:pt idx="338">
                  <c:v>5.7172112272225496E-2</c:v>
                </c:pt>
                <c:pt idx="339">
                  <c:v>5.7192736339590967E-2</c:v>
                </c:pt>
                <c:pt idx="340">
                  <c:v>5.7213359955236444E-2</c:v>
                </c:pt>
                <c:pt idx="341">
                  <c:v>5.7233983119171918E-2</c:v>
                </c:pt>
                <c:pt idx="342">
                  <c:v>5.7254605831407047E-2</c:v>
                </c:pt>
                <c:pt idx="343">
                  <c:v>5.7275228091951937E-2</c:v>
                </c:pt>
                <c:pt idx="344">
                  <c:v>5.7295849900816355E-2</c:v>
                </c:pt>
                <c:pt idx="345">
                  <c:v>5.7316471258010183E-2</c:v>
                </c:pt>
                <c:pt idx="346">
                  <c:v>5.7337092163543414E-2</c:v>
                </c:pt>
                <c:pt idx="347">
                  <c:v>5.7357712617425928E-2</c:v>
                </c:pt>
                <c:pt idx="348">
                  <c:v>5.7378332619667495E-2</c:v>
                </c:pt>
                <c:pt idx="349">
                  <c:v>5.7398952170278107E-2</c:v>
                </c:pt>
                <c:pt idx="350">
                  <c:v>5.7419571269267757E-2</c:v>
                </c:pt>
                <c:pt idx="351">
                  <c:v>5.7440189916646102E-2</c:v>
                </c:pt>
                <c:pt idx="352">
                  <c:v>5.7460808112423246E-2</c:v>
                </c:pt>
                <c:pt idx="353">
                  <c:v>5.7481425856608849E-2</c:v>
                </c:pt>
                <c:pt idx="354">
                  <c:v>5.7502043149213124E-2</c:v>
                </c:pt>
                <c:pt idx="355">
                  <c:v>5.7522659990245618E-2</c:v>
                </c:pt>
                <c:pt idx="356">
                  <c:v>5.7543276379716436E-2</c:v>
                </c:pt>
                <c:pt idx="357">
                  <c:v>5.7563892317635458E-2</c:v>
                </c:pt>
                <c:pt idx="358">
                  <c:v>5.7584507804012454E-2</c:v>
                </c:pt>
                <c:pt idx="359">
                  <c:v>5.7605122838857416E-2</c:v>
                </c:pt>
                <c:pt idx="360">
                  <c:v>5.7625737422180225E-2</c:v>
                </c:pt>
                <c:pt idx="361">
                  <c:v>5.7646351553990761E-2</c:v>
                </c:pt>
                <c:pt idx="362">
                  <c:v>5.7666965234298907E-2</c:v>
                </c:pt>
                <c:pt idx="363">
                  <c:v>5.7687578463114543E-2</c:v>
                </c:pt>
                <c:pt idx="364">
                  <c:v>5.770819124044755E-2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2.7094282511497012E-2</c:v>
                </c:pt>
                <c:pt idx="1">
                  <c:v>2.7170039667463688E-2</c:v>
                </c:pt>
                <c:pt idx="2">
                  <c:v>2.7245771056850412E-2</c:v>
                </c:pt>
                <c:pt idx="3">
                  <c:v>2.7321470898348413E-2</c:v>
                </c:pt>
                <c:pt idx="4">
                  <c:v>2.7397134164841578E-2</c:v>
                </c:pt>
                <c:pt idx="5">
                  <c:v>2.7472756568265425E-2</c:v>
                </c:pt>
                <c:pt idx="6">
                  <c:v>2.7548334537920362E-2</c:v>
                </c:pt>
                <c:pt idx="7">
                  <c:v>2.762386519265126E-2</c:v>
                </c:pt>
                <c:pt idx="8">
                  <c:v>2.7699346307356678E-2</c:v>
                </c:pt>
                <c:pt idx="9">
                  <c:v>2.7774776274337699E-2</c:v>
                </c:pt>
                <c:pt idx="10">
                  <c:v>2.7850154060036728E-2</c:v>
                </c:pt>
                <c:pt idx="11">
                  <c:v>2.7925479157750736E-2</c:v>
                </c:pt>
                <c:pt idx="12">
                  <c:v>2.8000751536933089E-2</c:v>
                </c:pt>
                <c:pt idx="13">
                  <c:v>2.8075971589718682E-2</c:v>
                </c:pt>
                <c:pt idx="14">
                  <c:v>2.8151140075323482E-2</c:v>
                </c:pt>
                <c:pt idx="15">
                  <c:v>2.8226258062977926E-2</c:v>
                </c:pt>
                <c:pt idx="16">
                  <c:v>2.8301326874055687E-2</c:v>
                </c:pt>
                <c:pt idx="17">
                  <c:v>2.8376348024054799E-2</c:v>
                </c:pt>
                <c:pt idx="18">
                  <c:v>2.8451323165077147E-2</c:v>
                </c:pt>
                <c:pt idx="19">
                  <c:v>2.8526254029434858E-2</c:v>
                </c:pt>
                <c:pt idx="20">
                  <c:v>2.8601142374988682E-2</c:v>
                </c:pt>
                <c:pt idx="21">
                  <c:v>2.867598993279457E-2</c:v>
                </c:pt>
                <c:pt idx="22">
                  <c:v>2.8750798357599711E-2</c:v>
                </c:pt>
                <c:pt idx="23">
                  <c:v>2.8825569181690342E-2</c:v>
                </c:pt>
                <c:pt idx="24">
                  <c:v>2.8900303772549103E-2</c:v>
                </c:pt>
                <c:pt idx="25">
                  <c:v>2.8975003294732231E-2</c:v>
                </c:pt>
                <c:pt idx="26">
                  <c:v>2.9049668676325552E-2</c:v>
                </c:pt>
                <c:pt idx="27">
                  <c:v>2.9124300580283435E-2</c:v>
                </c:pt>
                <c:pt idx="28">
                  <c:v>2.9198899380899188E-2</c:v>
                </c:pt>
                <c:pt idx="29">
                  <c:v>2.9273465145596537E-2</c:v>
                </c:pt>
                <c:pt idx="30">
                  <c:v>2.9347997622173348E-2</c:v>
                </c:pt>
                <c:pt idx="31">
                  <c:v>2.9422496231568524E-2</c:v>
                </c:pt>
                <c:pt idx="32">
                  <c:v>2.9496960066164223E-2</c:v>
                </c:pt>
                <c:pt idx="33">
                  <c:v>2.9571387893576943E-2</c:v>
                </c:pt>
                <c:pt idx="34">
                  <c:v>2.9645778165833848E-2</c:v>
                </c:pt>
                <c:pt idx="35">
                  <c:v>2.9720129033775865E-2</c:v>
                </c:pt>
                <c:pt idx="36">
                  <c:v>2.9794438366476689E-2</c:v>
                </c:pt>
                <c:pt idx="37">
                  <c:v>2.9868703775417466E-2</c:v>
                </c:pt>
                <c:pt idx="38">
                  <c:v>2.994292264311078E-2</c:v>
                </c:pt>
                <c:pt idx="39">
                  <c:v>3.0017092155826697E-2</c:v>
                </c:pt>
                <c:pt idx="40">
                  <c:v>3.0091209340034966E-2</c:v>
                </c:pt>
                <c:pt idx="41">
                  <c:v>3.0165271102145941E-2</c:v>
                </c:pt>
                <c:pt idx="42">
                  <c:v>3.0239274271103837E-2</c:v>
                </c:pt>
                <c:pt idx="43">
                  <c:v>3.0313215643364765E-2</c:v>
                </c:pt>
                <c:pt idx="44">
                  <c:v>3.0387092029773133E-2</c:v>
                </c:pt>
                <c:pt idx="45">
                  <c:v>3.0460900303839761E-2</c:v>
                </c:pt>
                <c:pt idx="46">
                  <c:v>3.0534637450917584E-2</c:v>
                </c:pt>
                <c:pt idx="47">
                  <c:v>3.0608300617770444E-2</c:v>
                </c:pt>
                <c:pt idx="48">
                  <c:v>3.0681887162035095E-2</c:v>
                </c:pt>
                <c:pt idx="49">
                  <c:v>3.0755394701085757E-2</c:v>
                </c:pt>
                <c:pt idx="50">
                  <c:v>3.08288211598256E-2</c:v>
                </c:pt>
                <c:pt idx="51">
                  <c:v>3.0902164816949042E-2</c:v>
                </c:pt>
                <c:pt idx="52">
                  <c:v>3.0975424349242397E-2</c:v>
                </c:pt>
                <c:pt idx="53">
                  <c:v>3.1048598873518619E-2</c:v>
                </c:pt>
                <c:pt idx="54">
                  <c:v>3.1121687985813589E-2</c:v>
                </c:pt>
                <c:pt idx="55">
                  <c:v>3.1194691797506346E-2</c:v>
                </c:pt>
                <c:pt idx="56">
                  <c:v>3.126761096806354E-2</c:v>
                </c:pt>
                <c:pt idx="57">
                  <c:v>3.1340446734148535E-2</c:v>
                </c:pt>
                <c:pt idx="58">
                  <c:v>3.141320093487756E-2</c:v>
                </c:pt>
                <c:pt idx="59">
                  <c:v>3.1485876033048615E-2</c:v>
                </c:pt>
                <c:pt idx="60">
                  <c:v>3.1558475132213049E-2</c:v>
                </c:pt>
                <c:pt idx="61">
                  <c:v>3.1631001989503818E-2</c:v>
                </c:pt>
                <c:pt idx="62">
                  <c:v>3.1703461024178717E-2</c:v>
                </c:pt>
                <c:pt idx="63">
                  <c:v>3.1775857321880048E-2</c:v>
                </c:pt>
                <c:pt idx="64">
                  <c:v>3.1848196634654269E-2</c:v>
                </c:pt>
                <c:pt idx="65">
                  <c:v>3.1920485376815369E-2</c:v>
                </c:pt>
                <c:pt idx="66">
                  <c:v>3.1992730616773719E-2</c:v>
                </c:pt>
                <c:pt idx="67">
                  <c:v>3.2064940064987786E-2</c:v>
                </c:pt>
                <c:pt idx="68">
                  <c:v>3.2137122058228149E-2</c:v>
                </c:pt>
                <c:pt idx="69">
                  <c:v>3.2209285540372855E-2</c:v>
                </c:pt>
                <c:pt idx="70">
                  <c:v>3.2281440039978439E-2</c:v>
                </c:pt>
                <c:pt idx="71">
                  <c:v>3.2353595644892361E-2</c:v>
                </c:pt>
                <c:pt idx="72">
                  <c:v>3.2425762974190864E-2</c:v>
                </c:pt>
                <c:pt idx="73">
                  <c:v>3.2497953147738866E-2</c:v>
                </c:pt>
                <c:pt idx="74">
                  <c:v>3.2570177753678743E-2</c:v>
                </c:pt>
                <c:pt idx="75">
                  <c:v>3.2642448814158502E-2</c:v>
                </c:pt>
                <c:pt idx="76">
                  <c:v>3.2714778749612032E-2</c:v>
                </c:pt>
                <c:pt idx="77">
                  <c:v>3.2787180341898953E-2</c:v>
                </c:pt>
                <c:pt idx="78">
                  <c:v>3.2859666696605699E-2</c:v>
                </c:pt>
                <c:pt idx="79">
                  <c:v>3.2932251204796772E-2</c:v>
                </c:pt>
                <c:pt idx="80">
                  <c:v>3.3004947504490928E-2</c:v>
                </c:pt>
                <c:pt idx="81">
                  <c:v>3.3077769442118404E-2</c:v>
                </c:pt>
                <c:pt idx="82">
                  <c:v>3.3150731034194227E-2</c:v>
                </c:pt>
                <c:pt idx="83">
                  <c:v>3.3223846429418225E-2</c:v>
                </c:pt>
                <c:pt idx="84">
                  <c:v>3.3297129871386839E-2</c:v>
                </c:pt>
                <c:pt idx="85">
                  <c:v>3.3370595662073128E-2</c:v>
                </c:pt>
                <c:pt idx="86">
                  <c:v>3.3444258126202331E-2</c:v>
                </c:pt>
                <c:pt idx="87">
                  <c:v>3.3518131576619745E-2</c:v>
                </c:pt>
                <c:pt idx="88">
                  <c:v>3.3592230280717103E-2</c:v>
                </c:pt>
                <c:pt idx="89">
                  <c:v>3.3666568427952397E-2</c:v>
                </c:pt>
                <c:pt idx="90">
                  <c:v>3.3741160098468122E-2</c:v>
                </c:pt>
                <c:pt idx="91">
                  <c:v>3.381601923278342E-2</c:v>
                </c:pt>
                <c:pt idx="92">
                  <c:v>3.3891159602507166E-2</c:v>
                </c:pt>
                <c:pt idx="93">
                  <c:v>3.3966594781993736E-2</c:v>
                </c:pt>
                <c:pt idx="94">
                  <c:v>3.4042338120838136E-2</c:v>
                </c:pt>
                <c:pt idx="95">
                  <c:v>3.4118402717086944E-2</c:v>
                </c:pt>
                <c:pt idx="96">
                  <c:v>3.4194801391022212E-2</c:v>
                </c:pt>
                <c:pt idx="97">
                  <c:v>3.4271546659360885E-2</c:v>
                </c:pt>
                <c:pt idx="98">
                  <c:v>3.4348650709700702E-2</c:v>
                </c:pt>
                <c:pt idx="99">
                  <c:v>3.4426125375035366E-2</c:v>
                </c:pt>
                <c:pt idx="100">
                  <c:v>3.4503982108158041E-2</c:v>
                </c:pt>
                <c:pt idx="101">
                  <c:v>3.4582231955772223E-2</c:v>
                </c:pt>
                <c:pt idx="102">
                  <c:v>3.466088553213327E-2</c:v>
                </c:pt>
                <c:pt idx="103">
                  <c:v>3.4739952992051654E-2</c:v>
                </c:pt>
                <c:pt idx="104">
                  <c:v>3.4819444003101774E-2</c:v>
                </c:pt>
                <c:pt idx="105">
                  <c:v>3.4899367716895613E-2</c:v>
                </c:pt>
                <c:pt idx="106">
                  <c:v>3.4979732739300884E-2</c:v>
                </c:pt>
                <c:pt idx="107">
                  <c:v>3.5060547099506269E-2</c:v>
                </c:pt>
                <c:pt idx="108">
                  <c:v>3.514181821786308E-2</c:v>
                </c:pt>
                <c:pt idx="109">
                  <c:v>3.5223552872462281E-2</c:v>
                </c:pt>
                <c:pt idx="110">
                  <c:v>3.5305757164437492E-2</c:v>
                </c:pt>
                <c:pt idx="111">
                  <c:v>3.5388436482019392E-2</c:v>
                </c:pt>
                <c:pt idx="112">
                  <c:v>3.547159546340245E-2</c:v>
                </c:pt>
                <c:pt idx="113">
                  <c:v>3.5555237958522223E-2</c:v>
                </c:pt>
                <c:pt idx="114">
                  <c:v>3.5639366989879635E-2</c:v>
                </c:pt>
                <c:pt idx="115">
                  <c:v>3.5723984712586643E-2</c:v>
                </c:pt>
                <c:pt idx="116">
                  <c:v>3.5809092373845705E-2</c:v>
                </c:pt>
                <c:pt idx="117">
                  <c:v>3.5894690272112798E-2</c:v>
                </c:pt>
                <c:pt idx="118">
                  <c:v>3.5980777716229026E-2</c:v>
                </c:pt>
                <c:pt idx="119">
                  <c:v>3.6067352984840338E-2</c:v>
                </c:pt>
                <c:pt idx="120">
                  <c:v>3.6154413286455918E-2</c:v>
                </c:pt>
                <c:pt idx="121">
                  <c:v>3.6241954720524626E-2</c:v>
                </c:pt>
                <c:pt idx="122">
                  <c:v>3.6329972239934026E-2</c:v>
                </c:pt>
                <c:pt idx="123">
                  <c:v>3.6418459615357876E-2</c:v>
                </c:pt>
                <c:pt idx="124">
                  <c:v>3.6507409401895272E-2</c:v>
                </c:pt>
                <c:pt idx="125">
                  <c:v>3.6596812908457149E-2</c:v>
                </c:pt>
                <c:pt idx="126">
                  <c:v>3.6686660170363469E-2</c:v>
                </c:pt>
                <c:pt idx="127">
                  <c:v>3.6776939925617105E-2</c:v>
                </c:pt>
                <c:pt idx="128">
                  <c:v>3.6867639595317359E-2</c:v>
                </c:pt>
                <c:pt idx="129">
                  <c:v>3.6958745268667999E-2</c:v>
                </c:pt>
                <c:pt idx="130">
                  <c:v>3.7050241693020292E-2</c:v>
                </c:pt>
                <c:pt idx="131">
                  <c:v>3.7142112269372363E-2</c:v>
                </c:pt>
                <c:pt idx="132">
                  <c:v>3.7234339053720519E-2</c:v>
                </c:pt>
                <c:pt idx="133">
                  <c:v>3.7326902764627794E-2</c:v>
                </c:pt>
                <c:pt idx="134">
                  <c:v>3.7419782797338978E-2</c:v>
                </c:pt>
                <c:pt idx="135">
                  <c:v>3.7512957244729916E-2</c:v>
                </c:pt>
                <c:pt idx="136">
                  <c:v>3.7606402925333571E-2</c:v>
                </c:pt>
                <c:pt idx="137">
                  <c:v>3.7700095418634574E-2</c:v>
                </c:pt>
                <c:pt idx="138">
                  <c:v>3.7794009107769908E-2</c:v>
                </c:pt>
                <c:pt idx="139">
                  <c:v>3.7888117229715683E-2</c:v>
                </c:pt>
                <c:pt idx="140">
                  <c:v>3.7982391932978928E-2</c:v>
                </c:pt>
                <c:pt idx="141">
                  <c:v>3.8076804342750264E-2</c:v>
                </c:pt>
                <c:pt idx="142">
                  <c:v>3.81713246334082E-2</c:v>
                </c:pt>
                <c:pt idx="143">
                  <c:v>3.8265922108199422E-2</c:v>
                </c:pt>
                <c:pt idx="144">
                  <c:v>3.8360565285853042E-2</c:v>
                </c:pt>
                <c:pt idx="145">
                  <c:v>3.8455221993819351E-2</c:v>
                </c:pt>
                <c:pt idx="146">
                  <c:v>3.8549859467758706E-2</c:v>
                </c:pt>
                <c:pt idx="147">
                  <c:v>3.8644444456841343E-2</c:v>
                </c:pt>
                <c:pt idx="148">
                  <c:v>3.8738943334356693E-2</c:v>
                </c:pt>
                <c:pt idx="149">
                  <c:v>3.8833322213072424E-2</c:v>
                </c:pt>
                <c:pt idx="150">
                  <c:v>3.8927547064726863E-2</c:v>
                </c:pt>
                <c:pt idx="151">
                  <c:v>3.9021583842987817E-2</c:v>
                </c:pt>
                <c:pt idx="152">
                  <c:v>3.9115398609163909E-2</c:v>
                </c:pt>
                <c:pt idx="153">
                  <c:v>3.9208957659913453E-2</c:v>
                </c:pt>
                <c:pt idx="154">
                  <c:v>3.9302227656160628E-2</c:v>
                </c:pt>
                <c:pt idx="155">
                  <c:v>3.9395175752399647E-2</c:v>
                </c:pt>
                <c:pt idx="156">
                  <c:v>3.9487769725545754E-2</c:v>
                </c:pt>
                <c:pt idx="157">
                  <c:v>3.9579978102476307E-2</c:v>
                </c:pt>
                <c:pt idx="158">
                  <c:v>3.9671770285398061E-2</c:v>
                </c:pt>
                <c:pt idx="159">
                  <c:v>3.9763116674176265E-2</c:v>
                </c:pt>
                <c:pt idx="160">
                  <c:v>3.9853988784768854E-2</c:v>
                </c:pt>
                <c:pt idx="161">
                  <c:v>3.9944359362924599E-2</c:v>
                </c:pt>
                <c:pt idx="162">
                  <c:v>4.0034202492326462E-2</c:v>
                </c:pt>
                <c:pt idx="163">
                  <c:v>4.0123493696393099E-2</c:v>
                </c:pt>
                <c:pt idx="164">
                  <c:v>4.0212210032988437E-2</c:v>
                </c:pt>
                <c:pt idx="165">
                  <c:v>4.0300330181335282E-2</c:v>
                </c:pt>
                <c:pt idx="166">
                  <c:v>4.038783452048058E-2</c:v>
                </c:pt>
                <c:pt idx="167">
                  <c:v>4.0474705198718479E-2</c:v>
                </c:pt>
                <c:pt idx="168">
                  <c:v>4.0560926193441815E-2</c:v>
                </c:pt>
                <c:pt idx="169">
                  <c:v>4.0646483360962105E-2</c:v>
                </c:pt>
                <c:pt idx="170">
                  <c:v>4.0731364475912961E-2</c:v>
                </c:pt>
                <c:pt idx="171">
                  <c:v>4.081555925993012E-2</c:v>
                </c:pt>
                <c:pt idx="172">
                  <c:v>4.0899059399383222E-2</c:v>
                </c:pt>
                <c:pt idx="173">
                  <c:v>4.0981858552019398E-2</c:v>
                </c:pt>
                <c:pt idx="174">
                  <c:v>4.1063952342464689E-2</c:v>
                </c:pt>
                <c:pt idx="175">
                  <c:v>4.1145338346616898E-2</c:v>
                </c:pt>
                <c:pt idx="176">
                  <c:v>4.1226016065051385E-2</c:v>
                </c:pt>
                <c:pt idx="177">
                  <c:v>4.1305986885647877E-2</c:v>
                </c:pt>
                <c:pt idx="178">
                  <c:v>4.1385254035732226E-2</c:v>
                </c:pt>
                <c:pt idx="179">
                  <c:v>4.1463822524110044E-2</c:v>
                </c:pt>
                <c:pt idx="180">
                  <c:v>4.1541699073449546E-2</c:v>
                </c:pt>
                <c:pt idx="181">
                  <c:v>4.1618892043546678E-2</c:v>
                </c:pt>
                <c:pt idx="182">
                  <c:v>4.1695411346077807E-2</c:v>
                </c:pt>
                <c:pt idx="183">
                  <c:v>4.1771268351510682E-2</c:v>
                </c:pt>
                <c:pt idx="184">
                  <c:v>4.1846475788905484E-2</c:v>
                </c:pt>
                <c:pt idx="185">
                  <c:v>4.1921047639390425E-2</c:v>
                </c:pt>
                <c:pt idx="186">
                  <c:v>4.1994999024143588E-2</c:v>
                </c:pt>
                <c:pt idx="187">
                  <c:v>4.2068346087750987E-2</c:v>
                </c:pt>
                <c:pt idx="188">
                  <c:v>4.2141105877841846E-2</c:v>
                </c:pt>
                <c:pt idx="189">
                  <c:v>4.2213296221924698E-2</c:v>
                </c:pt>
                <c:pt idx="190">
                  <c:v>4.2284935602361393E-2</c:v>
                </c:pt>
                <c:pt idx="191">
                  <c:v>4.2356043030422112E-2</c:v>
                </c:pt>
                <c:pt idx="192">
                  <c:v>4.2426637920360076E-2</c:v>
                </c:pt>
                <c:pt idx="193">
                  <c:v>4.249673996443324E-2</c:v>
                </c:pt>
                <c:pt idx="194">
                  <c:v>4.2566369009778955E-2</c:v>
                </c:pt>
                <c:pt idx="195">
                  <c:v>4.2635544938018591E-2</c:v>
                </c:pt>
                <c:pt idx="196">
                  <c:v>4.2704287548432016E-2</c:v>
                </c:pt>
                <c:pt idx="197">
                  <c:v>4.2772616445496583E-2</c:v>
                </c:pt>
                <c:pt idx="198">
                  <c:v>4.2840550931533501E-2</c:v>
                </c:pt>
                <c:pt idx="199">
                  <c:v>4.2908109905145306E-2</c:v>
                </c:pt>
                <c:pt idx="200">
                  <c:v>4.2975311766063562E-2</c:v>
                </c:pt>
                <c:pt idx="201">
                  <c:v>4.3042174326955333E-2</c:v>
                </c:pt>
                <c:pt idx="202">
                  <c:v>4.3108714732662208E-2</c:v>
                </c:pt>
                <c:pt idx="203">
                  <c:v>4.3174949387266806E-2</c:v>
                </c:pt>
                <c:pt idx="204">
                  <c:v>4.3240893889299657E-2</c:v>
                </c:pt>
                <c:pt idx="205">
                  <c:v>4.3306562975315294E-2</c:v>
                </c:pt>
                <c:pt idx="206">
                  <c:v>4.3371970471981207E-2</c:v>
                </c:pt>
                <c:pt idx="207">
                  <c:v>4.3437129256737095E-2</c:v>
                </c:pt>
                <c:pt idx="208">
                  <c:v>4.3502051226996678E-2</c:v>
                </c:pt>
                <c:pt idx="209">
                  <c:v>4.3566747277780385E-2</c:v>
                </c:pt>
                <c:pt idx="210">
                  <c:v>4.3631227287585651E-2</c:v>
                </c:pt>
                <c:pt idx="211">
                  <c:v>4.3695500112222271E-2</c:v>
                </c:pt>
                <c:pt idx="212">
                  <c:v>4.3759573586266892E-2</c:v>
                </c:pt>
                <c:pt idx="213">
                  <c:v>4.3823454531719451E-2</c:v>
                </c:pt>
                <c:pt idx="214">
                  <c:v>4.3887148773381006E-2</c:v>
                </c:pt>
                <c:pt idx="215">
                  <c:v>4.3950661160413601E-2</c:v>
                </c:pt>
                <c:pt idx="216">
                  <c:v>4.4013995593491652E-2</c:v>
                </c:pt>
                <c:pt idx="217">
                  <c:v>4.4077155056910122E-2</c:v>
                </c:pt>
                <c:pt idx="218">
                  <c:v>4.4140141654978232E-2</c:v>
                </c:pt>
                <c:pt idx="219">
                  <c:v>4.4202956651999713E-2</c:v>
                </c:pt>
                <c:pt idx="220">
                  <c:v>4.4265600515120199E-2</c:v>
                </c:pt>
                <c:pt idx="221">
                  <c:v>4.4328072959312327E-2</c:v>
                </c:pt>
                <c:pt idx="222">
                  <c:v>4.4390372993765616E-2</c:v>
                </c:pt>
                <c:pt idx="223">
                  <c:v>4.4452498968955555E-2</c:v>
                </c:pt>
                <c:pt idx="224">
                  <c:v>4.4514448623681181E-2</c:v>
                </c:pt>
                <c:pt idx="225">
                  <c:v>4.4576219131384119E-2</c:v>
                </c:pt>
                <c:pt idx="226">
                  <c:v>4.4637807145093689E-2</c:v>
                </c:pt>
                <c:pt idx="227">
                  <c:v>4.4699208840382983E-2</c:v>
                </c:pt>
                <c:pt idx="228">
                  <c:v>4.4760419955767239E-2</c:v>
                </c:pt>
                <c:pt idx="229">
                  <c:v>4.4821435830030537E-2</c:v>
                </c:pt>
                <c:pt idx="230">
                  <c:v>4.4882251436026262E-2</c:v>
                </c:pt>
                <c:pt idx="231">
                  <c:v>4.4942861410563167E-2</c:v>
                </c:pt>
                <c:pt idx="232">
                  <c:v>4.5003260080059095E-2</c:v>
                </c:pt>
                <c:pt idx="233">
                  <c:v>4.5063441481718834E-2</c:v>
                </c:pt>
                <c:pt idx="234">
                  <c:v>4.5123399380070289E-2</c:v>
                </c:pt>
                <c:pt idx="235">
                  <c:v>4.5183127278772807E-2</c:v>
                </c:pt>
                <c:pt idx="236">
                  <c:v>4.5242618427692692E-2</c:v>
                </c:pt>
                <c:pt idx="237">
                  <c:v>4.5301865825321912E-2</c:v>
                </c:pt>
                <c:pt idx="238">
                  <c:v>4.5360862216697211E-2</c:v>
                </c:pt>
                <c:pt idx="239">
                  <c:v>4.5419600087055444E-2</c:v>
                </c:pt>
                <c:pt idx="240">
                  <c:v>4.5478071651537694E-2</c:v>
                </c:pt>
                <c:pt idx="241">
                  <c:v>4.5536268841327575E-2</c:v>
                </c:pt>
                <c:pt idx="242">
                  <c:v>4.5594183286678205E-2</c:v>
                </c:pt>
                <c:pt idx="243">
                  <c:v>4.5651806297344846E-2</c:v>
                </c:pt>
                <c:pt idx="244">
                  <c:v>4.5709128840998717E-2</c:v>
                </c:pt>
                <c:pt idx="245">
                  <c:v>4.5766141520246856E-2</c:v>
                </c:pt>
                <c:pt idx="246">
                  <c:v>4.5822834548927036E-2</c:v>
                </c:pt>
                <c:pt idx="247">
                  <c:v>4.5879197728381116E-2</c:v>
                </c:pt>
                <c:pt idx="248">
                  <c:v>4.5935220424437088E-2</c:v>
                </c:pt>
                <c:pt idx="249">
                  <c:v>4.5990891545847352E-2</c:v>
                </c:pt>
                <c:pt idx="250">
                  <c:v>4.6046199524939324E-2</c:v>
                </c:pt>
                <c:pt idx="251">
                  <c:v>4.6101132301232819E-2</c:v>
                </c:pt>
                <c:pt idx="252">
                  <c:v>4.6155677308767788E-2</c:v>
                </c:pt>
                <c:pt idx="253">
                  <c:v>4.6209821467865848E-2</c:v>
                </c:pt>
                <c:pt idx="254">
                  <c:v>4.6263551182017963E-2</c:v>
                </c:pt>
                <c:pt idx="255">
                  <c:v>4.6316852340551933E-2</c:v>
                </c:pt>
                <c:pt idx="256">
                  <c:v>4.6369710327684499E-2</c:v>
                </c:pt>
                <c:pt idx="257">
                  <c:v>4.6422110038505104E-2</c:v>
                </c:pt>
                <c:pt idx="258">
                  <c:v>4.6474035902373811E-2</c:v>
                </c:pt>
                <c:pt idx="259">
                  <c:v>4.6525471914141983E-2</c:v>
                </c:pt>
                <c:pt idx="260">
                  <c:v>4.6576401673525246E-2</c:v>
                </c:pt>
                <c:pt idx="261">
                  <c:v>4.662680843287173E-2</c:v>
                </c:pt>
                <c:pt idx="262">
                  <c:v>4.6676675153477752E-2</c:v>
                </c:pt>
                <c:pt idx="263">
                  <c:v>4.6725984570507452E-2</c:v>
                </c:pt>
                <c:pt idx="264">
                  <c:v>4.677471926647405E-2</c:v>
                </c:pt>
                <c:pt idx="265">
                  <c:v>4.6822861753139225E-2</c:v>
                </c:pt>
                <c:pt idx="266">
                  <c:v>4.687039456158467E-2</c:v>
                </c:pt>
                <c:pt idx="267">
                  <c:v>4.6917300340107118E-2</c:v>
                </c:pt>
                <c:pt idx="268">
                  <c:v>4.6963561959486463E-2</c:v>
                </c:pt>
                <c:pt idx="269">
                  <c:v>4.7009162625077261E-2</c:v>
                </c:pt>
                <c:pt idx="270">
                  <c:v>4.7054085995076524E-2</c:v>
                </c:pt>
                <c:pt idx="271">
                  <c:v>4.7098316304229282E-2</c:v>
                </c:pt>
                <c:pt idx="272">
                  <c:v>4.7141838492145663E-2</c:v>
                </c:pt>
                <c:pt idx="273">
                  <c:v>4.7184638335322715E-2</c:v>
                </c:pt>
                <c:pt idx="274">
                  <c:v>4.7226702581890712E-2</c:v>
                </c:pt>
                <c:pt idx="275">
                  <c:v>4.7268019088037815E-2</c:v>
                </c:pt>
                <c:pt idx="276">
                  <c:v>4.7308576955010971E-2</c:v>
                </c:pt>
                <c:pt idx="277">
                  <c:v>4.7348366665543935E-2</c:v>
                </c:pt>
                <c:pt idx="278">
                  <c:v>4.7387380218526585E-2</c:v>
                </c:pt>
                <c:pt idx="279">
                  <c:v>4.7425611260704569E-2</c:v>
                </c:pt>
                <c:pt idx="280">
                  <c:v>4.7463055214183918E-2</c:v>
                </c:pt>
                <c:pt idx="281">
                  <c:v>4.7499709398512446E-2</c:v>
                </c:pt>
                <c:pt idx="282">
                  <c:v>4.7535573146119656E-2</c:v>
                </c:pt>
                <c:pt idx="283">
                  <c:v>4.7570647909917753E-2</c:v>
                </c:pt>
                <c:pt idx="284">
                  <c:v>4.7604937361899927E-2</c:v>
                </c:pt>
                <c:pt idx="285">
                  <c:v>4.7638447481617364E-2</c:v>
                </c:pt>
                <c:pt idx="286">
                  <c:v>4.7671186633473021E-2</c:v>
                </c:pt>
                <c:pt idx="287">
                  <c:v>4.7703165631838518E-2</c:v>
                </c:pt>
                <c:pt idx="288">
                  <c:v>4.773439779307901E-2</c:v>
                </c:pt>
                <c:pt idx="289">
                  <c:v>4.7764898973659958E-2</c:v>
                </c:pt>
                <c:pt idx="290">
                  <c:v>4.7794687593608137E-2</c:v>
                </c:pt>
                <c:pt idx="291">
                  <c:v>4.7823784644705866E-2</c:v>
                </c:pt>
                <c:pt idx="292">
                  <c:v>4.7852213682912197E-2</c:v>
                </c:pt>
                <c:pt idx="293">
                  <c:v>4.788000080462642E-2</c:v>
                </c:pt>
                <c:pt idx="294">
                  <c:v>4.7907174606535784E-2</c:v>
                </c:pt>
                <c:pt idx="295">
                  <c:v>4.7933766128920877E-2</c:v>
                </c:pt>
                <c:pt idx="296">
                  <c:v>4.7959808782427588E-2</c:v>
                </c:pt>
                <c:pt idx="297">
                  <c:v>4.7985338258450375E-2</c:v>
                </c:pt>
                <c:pt idx="298">
                  <c:v>4.8010392423410229E-2</c:v>
                </c:pt>
                <c:pt idx="299">
                  <c:v>4.8035011197347662E-2</c:v>
                </c:pt>
                <c:pt idx="300">
                  <c:v>4.8059236417386561E-2</c:v>
                </c:pt>
                <c:pt idx="301">
                  <c:v>4.8083111686757177E-2</c:v>
                </c:pt>
                <c:pt idx="302">
                  <c:v>4.8106682210195192E-2</c:v>
                </c:pt>
                <c:pt idx="303">
                  <c:v>4.8129994616655819E-2</c:v>
                </c:pt>
                <c:pt idx="304">
                  <c:v>4.8153096770398647E-2</c:v>
                </c:pt>
                <c:pt idx="305">
                  <c:v>4.8176037571606226E-2</c:v>
                </c:pt>
                <c:pt idx="306">
                  <c:v>4.8198866747799426E-2</c:v>
                </c:pt>
                <c:pt idx="307">
                  <c:v>4.822163463740145E-2</c:v>
                </c:pt>
                <c:pt idx="308">
                  <c:v>4.8244391966880712E-2</c:v>
                </c:pt>
                <c:pt idx="309">
                  <c:v>4.8267189622970316E-2</c:v>
                </c:pt>
                <c:pt idx="310">
                  <c:v>4.8290078421515677E-2</c:v>
                </c:pt>
                <c:pt idx="311">
                  <c:v>4.831310887454407E-2</c:v>
                </c:pt>
                <c:pt idx="312">
                  <c:v>4.8336330957177785E-2</c:v>
                </c:pt>
                <c:pt idx="313">
                  <c:v>4.8359793876027478E-2</c:v>
                </c:pt>
                <c:pt idx="314">
                  <c:v>4.8383545840702605E-2</c:v>
                </c:pt>
                <c:pt idx="315">
                  <c:v>4.8407633840062733E-2</c:v>
                </c:pt>
                <c:pt idx="316">
                  <c:v>4.8432103424805979E-2</c:v>
                </c:pt>
                <c:pt idx="317">
                  <c:v>4.8456998497949905E-2</c:v>
                </c:pt>
                <c:pt idx="318">
                  <c:v>4.8482361114705393E-2</c:v>
                </c:pt>
                <c:pt idx="319">
                  <c:v>4.8508231293176503E-2</c:v>
                </c:pt>
                <c:pt idx="320">
                  <c:v>4.8534646837238987E-2</c:v>
                </c:pt>
                <c:pt idx="321">
                  <c:v>4.8561643172858666E-2</c:v>
                </c:pt>
                <c:pt idx="322">
                  <c:v>4.8589253199007303E-2</c:v>
                </c:pt>
                <c:pt idx="323">
                  <c:v>4.8617507154221147E-2</c:v>
                </c:pt>
                <c:pt idx="324">
                  <c:v>4.8646432499724598E-2</c:v>
                </c:pt>
                <c:pt idx="325">
                  <c:v>4.8676053819912107E-2</c:v>
                </c:pt>
                <c:pt idx="326">
                  <c:v>4.8706392740843166E-2</c:v>
                </c:pt>
                <c:pt idx="327">
                  <c:v>4.8737467867264024E-2</c:v>
                </c:pt>
                <c:pt idx="328">
                  <c:v>4.8769294738521041E-2</c:v>
                </c:pt>
                <c:pt idx="329">
                  <c:v>4.8801885803582426E-2</c:v>
                </c:pt>
                <c:pt idx="330">
                  <c:v>4.8835250415231353E-2</c:v>
                </c:pt>
                <c:pt idx="331">
                  <c:v>4.8869394843342996E-2</c:v>
                </c:pt>
                <c:pt idx="332">
                  <c:v>4.8904322307005921E-2</c:v>
                </c:pt>
                <c:pt idx="333">
                  <c:v>4.8940033025100367E-2</c:v>
                </c:pt>
                <c:pt idx="334">
                  <c:v>4.8976524284800246E-2</c:v>
                </c:pt>
                <c:pt idx="335">
                  <c:v>4.9013790527326878E-2</c:v>
                </c:pt>
                <c:pt idx="336">
                  <c:v>4.9051823450148149E-2</c:v>
                </c:pt>
                <c:pt idx="337">
                  <c:v>4.909061212469084E-2</c:v>
                </c:pt>
                <c:pt idx="338">
                  <c:v>4.9130143128517031E-2</c:v>
                </c:pt>
                <c:pt idx="339">
                  <c:v>4.9170400690806929E-2</c:v>
                </c:pt>
                <c:pt idx="340">
                  <c:v>4.9211366849893579E-2</c:v>
                </c:pt>
                <c:pt idx="341">
                  <c:v>4.9253021621509532E-2</c:v>
                </c:pt>
                <c:pt idx="342">
                  <c:v>4.929534317633108E-2</c:v>
                </c:pt>
                <c:pt idx="343">
                  <c:v>4.9338308025345542E-2</c:v>
                </c:pt>
                <c:pt idx="344">
                  <c:v>4.9381891211519272E-2</c:v>
                </c:pt>
                <c:pt idx="345">
                  <c:v>4.9426066506209836E-2</c:v>
                </c:pt>
                <c:pt idx="346">
                  <c:v>4.9470806608746067E-2</c:v>
                </c:pt>
                <c:pt idx="347">
                  <c:v>4.9516083347593345E-2</c:v>
                </c:pt>
                <c:pt idx="348">
                  <c:v>4.9561867881529317E-2</c:v>
                </c:pt>
                <c:pt idx="349">
                  <c:v>4.960813089927673E-2</c:v>
                </c:pt>
                <c:pt idx="350">
                  <c:v>4.9654842816075205E-2</c:v>
                </c:pt>
                <c:pt idx="351">
                  <c:v>4.9701973965721839E-2</c:v>
                </c:pt>
                <c:pt idx="352">
                  <c:v>4.974949478667115E-2</c:v>
                </c:pt>
                <c:pt idx="353">
                  <c:v>4.9797376000857152E-2</c:v>
                </c:pt>
                <c:pt idx="354">
                  <c:v>4.9845588783984561E-2</c:v>
                </c:pt>
                <c:pt idx="355">
                  <c:v>4.989410492612914E-2</c:v>
                </c:pt>
                <c:pt idx="356">
                  <c:v>4.9942896981590962E-2</c:v>
                </c:pt>
                <c:pt idx="357">
                  <c:v>4.9991938407055424E-2</c:v>
                </c:pt>
                <c:pt idx="358">
                  <c:v>5.0041203687235483E-2</c:v>
                </c:pt>
                <c:pt idx="359">
                  <c:v>5.0090668447292715E-2</c:v>
                </c:pt>
                <c:pt idx="360">
                  <c:v>5.0140309551464653E-2</c:v>
                </c:pt>
                <c:pt idx="361">
                  <c:v>5.0190105187457763E-2</c:v>
                </c:pt>
                <c:pt idx="362">
                  <c:v>5.0240034936300679E-2</c:v>
                </c:pt>
                <c:pt idx="363">
                  <c:v>5.0290079827488378E-2</c:v>
                </c:pt>
                <c:pt idx="364">
                  <c:v>5.0340222379382481E-2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8.2427250250989982E-4</c:v>
                </c:pt>
                <c:pt idx="1">
                  <c:v>8.274458704746932E-4</c:v>
                </c:pt>
                <c:pt idx="2">
                  <c:v>8.3181611414357901E-4</c:v>
                </c:pt>
                <c:pt idx="3">
                  <c:v>8.3737000863608158E-4</c:v>
                </c:pt>
                <c:pt idx="4">
                  <c:v>8.4409297009175504E-4</c:v>
                </c:pt>
                <c:pt idx="5">
                  <c:v>8.5196934374092825E-4</c:v>
                </c:pt>
                <c:pt idx="6">
                  <c:v>8.6098268374156504E-4</c:v>
                </c:pt>
                <c:pt idx="7">
                  <c:v>8.7111602301379097E-4</c:v>
                </c:pt>
                <c:pt idx="8">
                  <c:v>8.8222801015521758E-4</c:v>
                </c:pt>
                <c:pt idx="9">
                  <c:v>8.9431561917414806E-4</c:v>
                </c:pt>
                <c:pt idx="10">
                  <c:v>9.0703699201536911E-4</c:v>
                </c:pt>
                <c:pt idx="11">
                  <c:v>9.2039109486113295E-4</c:v>
                </c:pt>
                <c:pt idx="12">
                  <c:v>9.3437733844451418E-4</c:v>
                </c:pt>
                <c:pt idx="13">
                  <c:v>9.4899575915926063E-4</c:v>
                </c:pt>
                <c:pt idx="14">
                  <c:v>9.6424718582069509E-4</c:v>
                </c:pt>
                <c:pt idx="15">
                  <c:v>9.7757517680110094E-4</c:v>
                </c:pt>
                <c:pt idx="16">
                  <c:v>9.8802060665607026E-4</c:v>
                </c:pt>
                <c:pt idx="17">
                  <c:v>9.956959810722664E-4</c:v>
                </c:pt>
                <c:pt idx="18">
                  <c:v>1.0007134021901253E-3</c:v>
                </c:pt>
                <c:pt idx="19">
                  <c:v>1.0031891075241285E-3</c:v>
                </c:pt>
                <c:pt idx="20">
                  <c:v>1.0032394852424252E-3</c:v>
                </c:pt>
                <c:pt idx="21">
                  <c:v>1.0009732850357383E-3</c:v>
                </c:pt>
                <c:pt idx="22">
                  <c:v>9.9638202143985974E-4</c:v>
                </c:pt>
                <c:pt idx="23">
                  <c:v>9.8774144334957178E-4</c:v>
                </c:pt>
                <c:pt idx="24">
                  <c:v>9.7508030939290975E-4</c:v>
                </c:pt>
                <c:pt idx="25">
                  <c:v>9.5854162017223056E-4</c:v>
                </c:pt>
                <c:pt idx="26">
                  <c:v>9.3826537408308946E-4</c:v>
                </c:pt>
                <c:pt idx="27">
                  <c:v>9.1438794353185184E-4</c:v>
                </c:pt>
                <c:pt idx="28">
                  <c:v>8.8704154219184945E-4</c:v>
                </c:pt>
                <c:pt idx="29">
                  <c:v>8.5727928270525847E-4</c:v>
                </c:pt>
                <c:pt idx="30">
                  <c:v>8.2738819654554544E-4</c:v>
                </c:pt>
                <c:pt idx="31">
                  <c:v>7.9739008048355367E-4</c:v>
                </c:pt>
                <c:pt idx="32">
                  <c:v>7.6730417900829474E-4</c:v>
                </c:pt>
                <c:pt idx="33">
                  <c:v>7.3714729962171314E-4</c:v>
                </c:pt>
                <c:pt idx="34">
                  <c:v>7.0693393046354581E-4</c:v>
                </c:pt>
                <c:pt idx="35">
                  <c:v>6.7667635818190815E-4</c:v>
                </c:pt>
                <c:pt idx="36">
                  <c:v>6.4632409136392206E-4</c:v>
                </c:pt>
                <c:pt idx="37">
                  <c:v>6.1725982558274691E-4</c:v>
                </c:pt>
                <c:pt idx="38">
                  <c:v>5.9093945984042156E-4</c:v>
                </c:pt>
                <c:pt idx="39">
                  <c:v>5.6730753845503205E-4</c:v>
                </c:pt>
                <c:pt idx="40">
                  <c:v>5.4630626753723356E-4</c:v>
                </c:pt>
                <c:pt idx="41">
                  <c:v>5.27876449161698E-4</c:v>
                </c:pt>
                <c:pt idx="42">
                  <c:v>5.1195832657502231E-4</c:v>
                </c:pt>
                <c:pt idx="43">
                  <c:v>4.9872740863714281E-4</c:v>
                </c:pt>
                <c:pt idx="44">
                  <c:v>4.8732357985982239E-4</c:v>
                </c:pt>
                <c:pt idx="45">
                  <c:v>4.7770619296945844E-4</c:v>
                </c:pt>
                <c:pt idx="46">
                  <c:v>4.6983575667656607E-4</c:v>
                </c:pt>
                <c:pt idx="47">
                  <c:v>4.6367433293994706E-4</c:v>
                </c:pt>
                <c:pt idx="48">
                  <c:v>4.591858947149236E-4</c:v>
                </c:pt>
                <c:pt idx="49">
                  <c:v>4.563366496598177E-4</c:v>
                </c:pt>
                <c:pt idx="50">
                  <c:v>4.5507355698059669E-4</c:v>
                </c:pt>
                <c:pt idx="51">
                  <c:v>4.5492198283664915E-4</c:v>
                </c:pt>
                <c:pt idx="52">
                  <c:v>4.5461985849349994E-4</c:v>
                </c:pt>
                <c:pt idx="53">
                  <c:v>4.5416493912028947E-4</c:v>
                </c:pt>
                <c:pt idx="54">
                  <c:v>4.5355727932626968E-4</c:v>
                </c:pt>
                <c:pt idx="55">
                  <c:v>4.5279699811734869E-4</c:v>
                </c:pt>
                <c:pt idx="56">
                  <c:v>4.5188429746124579E-4</c:v>
                </c:pt>
                <c:pt idx="57">
                  <c:v>4.5080233561121599E-4</c:v>
                </c:pt>
                <c:pt idx="58">
                  <c:v>4.4934388567768879E-4</c:v>
                </c:pt>
                <c:pt idx="59">
                  <c:v>4.4751414233936847E-4</c:v>
                </c:pt>
                <c:pt idx="60">
                  <c:v>4.4531824769857876E-4</c:v>
                </c:pt>
                <c:pt idx="61">
                  <c:v>4.4276131905387453E-4</c:v>
                </c:pt>
                <c:pt idx="62">
                  <c:v>4.3984847231164694E-4</c:v>
                </c:pt>
                <c:pt idx="63">
                  <c:v>4.3658484127934182E-4</c:v>
                </c:pt>
                <c:pt idx="64">
                  <c:v>4.3297877273341782E-4</c:v>
                </c:pt>
                <c:pt idx="65">
                  <c:v>4.2940165680876383E-4</c:v>
                </c:pt>
                <c:pt idx="66">
                  <c:v>4.2622725715574141E-4</c:v>
                </c:pt>
                <c:pt idx="67">
                  <c:v>4.2345030426816873E-4</c:v>
                </c:pt>
                <c:pt idx="68">
                  <c:v>4.2106578690458705E-4</c:v>
                </c:pt>
                <c:pt idx="69">
                  <c:v>4.1906896593068503E-4</c:v>
                </c:pt>
                <c:pt idx="70">
                  <c:v>4.1745538781579912E-4</c:v>
                </c:pt>
                <c:pt idx="71">
                  <c:v>4.1624582178184443E-4</c:v>
                </c:pt>
                <c:pt idx="72">
                  <c:v>4.1545184650604343E-4</c:v>
                </c:pt>
                <c:pt idx="73">
                  <c:v>4.1506942294672761E-4</c:v>
                </c:pt>
                <c:pt idx="74">
                  <c:v>4.1509490153573123E-4</c:v>
                </c:pt>
                <c:pt idx="75">
                  <c:v>4.1552503712337645E-4</c:v>
                </c:pt>
                <c:pt idx="76">
                  <c:v>4.163570037559566E-4</c:v>
                </c:pt>
                <c:pt idx="77">
                  <c:v>4.175884093242881E-4</c:v>
                </c:pt>
                <c:pt idx="78">
                  <c:v>4.1919565574229046E-4</c:v>
                </c:pt>
                <c:pt idx="79">
                  <c:v>4.2069678483070745E-4</c:v>
                </c:pt>
                <c:pt idx="80">
                  <c:v>4.2177712089743E-4</c:v>
                </c:pt>
                <c:pt idx="81">
                  <c:v>4.2245427883913798E-4</c:v>
                </c:pt>
                <c:pt idx="82">
                  <c:v>4.2274537657762431E-4</c:v>
                </c:pt>
                <c:pt idx="83">
                  <c:v>4.2266695459180608E-4</c:v>
                </c:pt>
                <c:pt idx="84">
                  <c:v>4.2223490429325297E-4</c:v>
                </c:pt>
                <c:pt idx="85">
                  <c:v>4.2150130916591386E-4</c:v>
                </c:pt>
                <c:pt idx="86">
                  <c:v>4.2045617682719496E-4</c:v>
                </c:pt>
                <c:pt idx="87">
                  <c:v>4.1911259146941459E-4</c:v>
                </c:pt>
                <c:pt idx="88">
                  <c:v>4.1748277743416484E-4</c:v>
                </c:pt>
                <c:pt idx="89">
                  <c:v>0</c:v>
                </c:pt>
                <c:pt idx="90">
                  <c:v>9.1514787427144823E-8</c:v>
                </c:pt>
                <c:pt idx="91">
                  <c:v>1.8329582735533234E-7</c:v>
                </c:pt>
                <c:pt idx="92">
                  <c:v>2.7501518484520323E-7</c:v>
                </c:pt>
                <c:pt idx="93">
                  <c:v>3.6591559070374761E-7</c:v>
                </c:pt>
                <c:pt idx="94">
                  <c:v>4.5581113806809319E-7</c:v>
                </c:pt>
                <c:pt idx="95">
                  <c:v>5.4428621482901813E-7</c:v>
                </c:pt>
                <c:pt idx="96">
                  <c:v>6.3089215223409161E-7</c:v>
                </c:pt>
                <c:pt idx="97">
                  <c:v>7.1514437932104136E-7</c:v>
                </c:pt>
                <c:pt idx="98">
                  <c:v>7.9651939548638947E-7</c:v>
                </c:pt>
                <c:pt idx="99">
                  <c:v>8.7505590099516843E-7</c:v>
                </c:pt>
                <c:pt idx="100">
                  <c:v>9.5063468397723015E-7</c:v>
                </c:pt>
                <c:pt idx="101">
                  <c:v>1.0229212767955705E-6</c:v>
                </c:pt>
                <c:pt idx="102">
                  <c:v>1.0915526666470062E-6</c:v>
                </c:pt>
                <c:pt idx="103">
                  <c:v>1.1561352411770931E-6</c:v>
                </c:pt>
                <c:pt idx="104">
                  <c:v>1.2162426329041439E-6</c:v>
                </c:pt>
                <c:pt idx="105">
                  <c:v>1.2714134615362039E-6</c:v>
                </c:pt>
                <c:pt idx="106">
                  <c:v>1.3211640815834564E-6</c:v>
                </c:pt>
                <c:pt idx="107">
                  <c:v>1.3705637699117592E-6</c:v>
                </c:pt>
                <c:pt idx="108">
                  <c:v>1.4227548210016312E-6</c:v>
                </c:pt>
                <c:pt idx="109">
                  <c:v>1.4790502883095609E-6</c:v>
                </c:pt>
                <c:pt idx="110">
                  <c:v>1.540873469599194E-6</c:v>
                </c:pt>
                <c:pt idx="111">
                  <c:v>1.609762541434357E-6</c:v>
                </c:pt>
                <c:pt idx="112">
                  <c:v>1.687374251332938E-6</c:v>
                </c:pt>
                <c:pt idx="113">
                  <c:v>1.780102762875075E-6</c:v>
                </c:pt>
                <c:pt idx="114">
                  <c:v>1.8887235313550075E-6</c:v>
                </c:pt>
                <c:pt idx="115">
                  <c:v>2.0158901537473069E-6</c:v>
                </c:pt>
                <c:pt idx="116">
                  <c:v>2.1644575920504723E-6</c:v>
                </c:pt>
                <c:pt idx="117">
                  <c:v>2.3374929949176478E-6</c:v>
                </c:pt>
                <c:pt idx="118">
                  <c:v>2.5382862719323022E-6</c:v>
                </c:pt>
                <c:pt idx="119">
                  <c:v>2.7703602991871874E-6</c:v>
                </c:pt>
                <c:pt idx="120">
                  <c:v>3.0375831249638512E-6</c:v>
                </c:pt>
                <c:pt idx="121">
                  <c:v>3.3464043802024189E-6</c:v>
                </c:pt>
                <c:pt idx="122">
                  <c:v>3.6872817748102048E-6</c:v>
                </c:pt>
                <c:pt idx="123">
                  <c:v>4.0629364162457849E-6</c:v>
                </c:pt>
                <c:pt idx="124">
                  <c:v>4.4762396275056646E-6</c:v>
                </c:pt>
                <c:pt idx="125">
                  <c:v>4.9302151412199918E-6</c:v>
                </c:pt>
                <c:pt idx="126">
                  <c:v>5.4280404493629206E-6</c:v>
                </c:pt>
                <c:pt idx="127">
                  <c:v>5.9726252261621035E-6</c:v>
                </c:pt>
                <c:pt idx="128">
                  <c:v>6.5568628564985549E-6</c:v>
                </c:pt>
                <c:pt idx="129">
                  <c:v>7.1827546494174816E-6</c:v>
                </c:pt>
                <c:pt idx="130">
                  <c:v>7.8523380530961264E-6</c:v>
                </c:pt>
                <c:pt idx="131">
                  <c:v>8.5676798041871004E-6</c:v>
                </c:pt>
                <c:pt idx="132">
                  <c:v>9.3308682004292523E-6</c:v>
                </c:pt>
                <c:pt idx="133">
                  <c:v>1.0144004475620862E-5</c:v>
                </c:pt>
                <c:pt idx="134">
                  <c:v>1.1009390518400914E-5</c:v>
                </c:pt>
                <c:pt idx="135">
                  <c:v>1.1928577467376624E-5</c:v>
                </c:pt>
                <c:pt idx="136">
                  <c:v>1.2899000696157033E-5</c:v>
                </c:pt>
                <c:pt idx="137">
                  <c:v>1.3922215384049309E-5</c:v>
                </c:pt>
                <c:pt idx="138">
                  <c:v>1.499973877343212E-5</c:v>
                </c:pt>
                <c:pt idx="139">
                  <c:v>1.6133041691894992E-5</c:v>
                </c:pt>
                <c:pt idx="140">
                  <c:v>1.7323539838034375E-5</c:v>
                </c:pt>
                <c:pt idx="141">
                  <c:v>1.8567697303920257E-5</c:v>
                </c:pt>
                <c:pt idx="142">
                  <c:v>1.9866905596382293E-5</c:v>
                </c:pt>
                <c:pt idx="143">
                  <c:v>2.1221713197200274E-5</c:v>
                </c:pt>
                <c:pt idx="144">
                  <c:v>2.2632662365274611E-5</c:v>
                </c:pt>
                <c:pt idx="145">
                  <c:v>2.4100177539083047E-5</c:v>
                </c:pt>
                <c:pt idx="146">
                  <c:v>2.5624558493443313E-5</c:v>
                </c:pt>
                <c:pt idx="147">
                  <c:v>2.7205974026505422E-5</c:v>
                </c:pt>
                <c:pt idx="148">
                  <c:v>2.884490448199881E-5</c:v>
                </c:pt>
                <c:pt idx="149">
                  <c:v>3.0529647154146785E-5</c:v>
                </c:pt>
                <c:pt idx="150">
                  <c:v>3.2260133289998375E-5</c:v>
                </c:pt>
                <c:pt idx="151">
                  <c:v>3.4034655046067437E-5</c:v>
                </c:pt>
                <c:pt idx="152">
                  <c:v>3.585126938610343E-5</c:v>
                </c:pt>
                <c:pt idx="153">
                  <c:v>3.7707796030014966E-5</c:v>
                </c:pt>
                <c:pt idx="154">
                  <c:v>3.9601816939905842E-5</c:v>
                </c:pt>
                <c:pt idx="155">
                  <c:v>4.1513416446226482E-5</c:v>
                </c:pt>
                <c:pt idx="156">
                  <c:v>4.3446416123856032E-5</c:v>
                </c:pt>
                <c:pt idx="157">
                  <c:v>4.5396794755572514E-5</c:v>
                </c:pt>
                <c:pt idx="158">
                  <c:v>4.7360294966640672E-5</c:v>
                </c:pt>
                <c:pt idx="159">
                  <c:v>4.9332435103712189E-5</c:v>
                </c:pt>
                <c:pt idx="160">
                  <c:v>5.1308523067531079E-5</c:v>
                </c:pt>
                <c:pt idx="161">
                  <c:v>5.3283672035904998E-5</c:v>
                </c:pt>
                <c:pt idx="162">
                  <c:v>5.5253818955277041E-5</c:v>
                </c:pt>
                <c:pt idx="163">
                  <c:v>5.7193221379370232E-5</c:v>
                </c:pt>
                <c:pt idx="164">
                  <c:v>5.9114484023548804E-5</c:v>
                </c:pt>
                <c:pt idx="165">
                  <c:v>6.1012586658142094E-5</c:v>
                </c:pt>
                <c:pt idx="166">
                  <c:v>6.2882468430198492E-5</c:v>
                </c:pt>
                <c:pt idx="167">
                  <c:v>6.4719048439774939E-5</c:v>
                </c:pt>
                <c:pt idx="168">
                  <c:v>6.6517246271661931E-5</c:v>
                </c:pt>
                <c:pt idx="169">
                  <c:v>6.8246568319512419E-5</c:v>
                </c:pt>
                <c:pt idx="170">
                  <c:v>6.9926093028025802E-5</c:v>
                </c:pt>
                <c:pt idx="171">
                  <c:v>7.1550857316863284E-5</c:v>
                </c:pt>
                <c:pt idx="172">
                  <c:v>7.3115978502103149E-5</c:v>
                </c:pt>
                <c:pt idx="173">
                  <c:v>7.4615908549356886E-5</c:v>
                </c:pt>
                <c:pt idx="174">
                  <c:v>7.6045113503480142E-5</c:v>
                </c:pt>
                <c:pt idx="175">
                  <c:v>7.7398904714804449E-5</c:v>
                </c:pt>
                <c:pt idx="176">
                  <c:v>7.8673054493496369E-5</c:v>
                </c:pt>
                <c:pt idx="177">
                  <c:v>7.983368613496443E-5</c:v>
                </c:pt>
                <c:pt idx="178">
                  <c:v>8.090534275788517E-5</c:v>
                </c:pt>
                <c:pt idx="179">
                  <c:v>8.1883895637050922E-5</c:v>
                </c:pt>
                <c:pt idx="180">
                  <c:v>8.2765398681721112E-5</c:v>
                </c:pt>
                <c:pt idx="181">
                  <c:v>8.3546096499966617E-5</c:v>
                </c:pt>
                <c:pt idx="182">
                  <c:v>8.4222430865425974E-5</c:v>
                </c:pt>
                <c:pt idx="183">
                  <c:v>8.4763105111912516E-5</c:v>
                </c:pt>
                <c:pt idx="184">
                  <c:v>8.5197277053639217E-5</c:v>
                </c:pt>
                <c:pt idx="185">
                  <c:v>8.5522250064425911E-5</c:v>
                </c:pt>
                <c:pt idx="186">
                  <c:v>8.5735527264435134E-5</c:v>
                </c:pt>
                <c:pt idx="187">
                  <c:v>8.583481007682717E-5</c:v>
                </c:pt>
                <c:pt idx="188">
                  <c:v>8.581799557659055E-5</c:v>
                </c:pt>
                <c:pt idx="189">
                  <c:v>8.5683172736085512E-5</c:v>
                </c:pt>
                <c:pt idx="190">
                  <c:v>8.5429016650532012E-5</c:v>
                </c:pt>
                <c:pt idx="191">
                  <c:v>8.5037353113140567E-5</c:v>
                </c:pt>
                <c:pt idx="192">
                  <c:v>8.4543272597829855E-5</c:v>
                </c:pt>
                <c:pt idx="193">
                  <c:v>8.3946365983624075E-5</c:v>
                </c:pt>
                <c:pt idx="194">
                  <c:v>8.3246341271306091E-5</c:v>
                </c:pt>
                <c:pt idx="195">
                  <c:v>8.244301369603573E-5</c:v>
                </c:pt>
                <c:pt idx="196">
                  <c:v>8.1536295739789157E-5</c:v>
                </c:pt>
                <c:pt idx="197">
                  <c:v>8.052202166184529E-5</c:v>
                </c:pt>
                <c:pt idx="198">
                  <c:v>7.9433504130596531E-5</c:v>
                </c:pt>
                <c:pt idx="199">
                  <c:v>7.827167592423421E-5</c:v>
                </c:pt>
                <c:pt idx="200">
                  <c:v>7.7037491199648069E-5</c:v>
                </c:pt>
                <c:pt idx="201">
                  <c:v>7.5731917923237688E-5</c:v>
                </c:pt>
                <c:pt idx="202">
                  <c:v>7.4355930826881071E-5</c:v>
                </c:pt>
                <c:pt idx="203">
                  <c:v>7.2910504911379218E-5</c:v>
                </c:pt>
                <c:pt idx="204">
                  <c:v>7.1395610578451775E-5</c:v>
                </c:pt>
                <c:pt idx="205">
                  <c:v>6.9808364333172253E-5</c:v>
                </c:pt>
                <c:pt idx="206">
                  <c:v>6.8169710095479451E-5</c:v>
                </c:pt>
                <c:pt idx="207">
                  <c:v>6.6481340582100204E-5</c:v>
                </c:pt>
                <c:pt idx="208">
                  <c:v>6.4744883984707105E-5</c:v>
                </c:pt>
                <c:pt idx="209">
                  <c:v>6.2961899046286646E-5</c:v>
                </c:pt>
                <c:pt idx="210">
                  <c:v>6.1133870786910243E-5</c:v>
                </c:pt>
                <c:pt idx="211">
                  <c:v>5.9286458808386365E-5</c:v>
                </c:pt>
                <c:pt idx="212">
                  <c:v>5.7426082305109257E-5</c:v>
                </c:pt>
                <c:pt idx="213">
                  <c:v>5.5554485036523997E-5</c:v>
                </c:pt>
                <c:pt idx="214">
                  <c:v>5.3673308823039867E-5</c:v>
                </c:pt>
                <c:pt idx="215">
                  <c:v>5.178409471298888E-5</c:v>
                </c:pt>
                <c:pt idx="216">
                  <c:v>4.988828448397401E-5</c:v>
                </c:pt>
                <c:pt idx="217">
                  <c:v>4.7987222409009151E-5</c:v>
                </c:pt>
                <c:pt idx="218">
                  <c:v>4.6081484878648932E-5</c:v>
                </c:pt>
                <c:pt idx="219">
                  <c:v>4.4252862409607814E-5</c:v>
                </c:pt>
                <c:pt idx="220">
                  <c:v>4.2507029021976437E-5</c:v>
                </c:pt>
                <c:pt idx="221">
                  <c:v>4.0846185595137527E-5</c:v>
                </c:pt>
                <c:pt idx="222">
                  <c:v>3.9272455131583354E-5</c:v>
                </c:pt>
                <c:pt idx="223">
                  <c:v>3.7787887477634665E-5</c:v>
                </c:pt>
                <c:pt idx="224">
                  <c:v>3.6394463798618269E-5</c:v>
                </c:pt>
                <c:pt idx="225">
                  <c:v>3.5248258316350358E-5</c:v>
                </c:pt>
                <c:pt idx="226">
                  <c:v>3.4327006195214025E-5</c:v>
                </c:pt>
                <c:pt idx="227">
                  <c:v>3.3634189763051793E-5</c:v>
                </c:pt>
                <c:pt idx="228">
                  <c:v>3.317319642376239E-5</c:v>
                </c:pt>
                <c:pt idx="229">
                  <c:v>3.2947324169951389E-5</c:v>
                </c:pt>
                <c:pt idx="230">
                  <c:v>3.2959786621443229E-5</c:v>
                </c:pt>
                <c:pt idx="231">
                  <c:v>3.321371759839887E-5</c:v>
                </c:pt>
                <c:pt idx="232">
                  <c:v>3.3711297239874454E-5</c:v>
                </c:pt>
                <c:pt idx="233">
                  <c:v>3.4490986029966258E-5</c:v>
                </c:pt>
                <c:pt idx="234">
                  <c:v>3.5469414923570717E-5</c:v>
                </c:pt>
                <c:pt idx="235">
                  <c:v>3.6649144145457243E-5</c:v>
                </c:pt>
                <c:pt idx="236">
                  <c:v>3.8032729667020589E-5</c:v>
                </c:pt>
                <c:pt idx="237">
                  <c:v>3.9622715326001037E-5</c:v>
                </c:pt>
                <c:pt idx="238">
                  <c:v>4.1421683057153911E-5</c:v>
                </c:pt>
                <c:pt idx="239">
                  <c:v>4.3366548189841487E-5</c:v>
                </c:pt>
                <c:pt idx="240">
                  <c:v>4.5295710456906507E-5</c:v>
                </c:pt>
                <c:pt idx="241">
                  <c:v>4.7209553628191795E-5</c:v>
                </c:pt>
                <c:pt idx="242">
                  <c:v>4.9108568583392491E-5</c:v>
                </c:pt>
                <c:pt idx="243">
                  <c:v>5.0993352066776358E-5</c:v>
                </c:pt>
                <c:pt idx="244">
                  <c:v>5.2864605707316254E-5</c:v>
                </c:pt>
                <c:pt idx="245">
                  <c:v>5.4723135393478382E-5</c:v>
                </c:pt>
                <c:pt idx="246">
                  <c:v>5.6568339747914031E-5</c:v>
                </c:pt>
                <c:pt idx="247">
                  <c:v>5.8383531367304473E-5</c:v>
                </c:pt>
                <c:pt idx="248">
                  <c:v>6.0130142743975692E-5</c:v>
                </c:pt>
                <c:pt idx="249">
                  <c:v>6.1807367103375177E-5</c:v>
                </c:pt>
                <c:pt idx="250">
                  <c:v>6.3414363465707699E-5</c:v>
                </c:pt>
                <c:pt idx="251">
                  <c:v>6.4950255702682261E-5</c:v>
                </c:pt>
                <c:pt idx="252">
                  <c:v>6.6414131761269286E-5</c:v>
                </c:pt>
                <c:pt idx="253">
                  <c:v>6.773139076289877E-5</c:v>
                </c:pt>
                <c:pt idx="254">
                  <c:v>6.8969765560466959E-5</c:v>
                </c:pt>
                <c:pt idx="255">
                  <c:v>7.0128173338031825E-5</c:v>
                </c:pt>
                <c:pt idx="256">
                  <c:v>7.1205494110561311E-5</c:v>
                </c:pt>
                <c:pt idx="257">
                  <c:v>7.2200571293503694E-5</c:v>
                </c:pt>
                <c:pt idx="258">
                  <c:v>7.311221262181817E-5</c:v>
                </c:pt>
                <c:pt idx="259">
                  <c:v>7.3939191384779997E-5</c:v>
                </c:pt>
                <c:pt idx="260">
                  <c:v>7.4682807254310097E-5</c:v>
                </c:pt>
                <c:pt idx="261">
                  <c:v>7.5294477394882118E-5</c:v>
                </c:pt>
                <c:pt idx="262">
                  <c:v>7.5787939868217756E-5</c:v>
                </c:pt>
                <c:pt idx="263">
                  <c:v>7.616066931811458E-5</c:v>
                </c:pt>
                <c:pt idx="264">
                  <c:v>7.6410054200568169E-5</c:v>
                </c:pt>
                <c:pt idx="265">
                  <c:v>7.6533818182063015E-5</c:v>
                </c:pt>
                <c:pt idx="266">
                  <c:v>7.6529424814347923E-5</c:v>
                </c:pt>
                <c:pt idx="267">
                  <c:v>7.6451073063921413E-5</c:v>
                </c:pt>
                <c:pt idx="268">
                  <c:v>7.6375014432080422E-5</c:v>
                </c:pt>
                <c:pt idx="269">
                  <c:v>7.6300060156145837E-5</c:v>
                </c:pt>
                <c:pt idx="270">
                  <c:v>7.6225002309099007E-5</c:v>
                </c:pt>
                <c:pt idx="271">
                  <c:v>7.6148614351064151E-5</c:v>
                </c:pt>
                <c:pt idx="272">
                  <c:v>7.6069652042403353E-5</c:v>
                </c:pt>
                <c:pt idx="273">
                  <c:v>7.5986854753996126E-5</c:v>
                </c:pt>
                <c:pt idx="274">
                  <c:v>7.5900496974186713E-5</c:v>
                </c:pt>
                <c:pt idx="275">
                  <c:v>7.5853189617213824E-5</c:v>
                </c:pt>
                <c:pt idx="276">
                  <c:v>7.5898403269760952E-5</c:v>
                </c:pt>
                <c:pt idx="277">
                  <c:v>7.6037582948196866E-5</c:v>
                </c:pt>
                <c:pt idx="278">
                  <c:v>7.6272165443024343E-5</c:v>
                </c:pt>
                <c:pt idx="279">
                  <c:v>7.6603586432055068E-5</c:v>
                </c:pt>
                <c:pt idx="280">
                  <c:v>7.7033288490407364E-5</c:v>
                </c:pt>
                <c:pt idx="281">
                  <c:v>7.7493787113905275E-5</c:v>
                </c:pt>
                <c:pt idx="282">
                  <c:v>7.7925496341935919E-5</c:v>
                </c:pt>
                <c:pt idx="283">
                  <c:v>7.832870467294532E-5</c:v>
                </c:pt>
                <c:pt idx="284">
                  <c:v>7.8703767978418294E-5</c:v>
                </c:pt>
                <c:pt idx="285">
                  <c:v>7.9051111686823688E-5</c:v>
                </c:pt>
                <c:pt idx="286">
                  <c:v>7.9371232853333115E-5</c:v>
                </c:pt>
                <c:pt idx="287">
                  <c:v>7.9664702096145018E-5</c:v>
                </c:pt>
                <c:pt idx="288">
                  <c:v>7.9935623616495452E-5</c:v>
                </c:pt>
                <c:pt idx="289">
                  <c:v>8.0104708332155752E-5</c:v>
                </c:pt>
                <c:pt idx="290">
                  <c:v>8.0125789828475893E-5</c:v>
                </c:pt>
                <c:pt idx="291">
                  <c:v>7.9995493175434649E-5</c:v>
                </c:pt>
                <c:pt idx="292">
                  <c:v>7.9710382821171797E-5</c:v>
                </c:pt>
                <c:pt idx="293">
                  <c:v>7.9266994308175572E-5</c:v>
                </c:pt>
                <c:pt idx="294">
                  <c:v>7.8661868270719779E-5</c:v>
                </c:pt>
                <c:pt idx="295">
                  <c:v>7.8000292277686712E-5</c:v>
                </c:pt>
                <c:pt idx="296">
                  <c:v>7.7353228261206109E-5</c:v>
                </c:pt>
                <c:pt idx="297">
                  <c:v>7.6719689270901133E-5</c:v>
                </c:pt>
                <c:pt idx="298">
                  <c:v>7.6098049566643869E-5</c:v>
                </c:pt>
                <c:pt idx="299">
                  <c:v>7.5486691287242918E-5</c:v>
                </c:pt>
                <c:pt idx="300">
                  <c:v>7.4884001033701184E-5</c:v>
                </c:pt>
                <c:pt idx="301">
                  <c:v>7.4288367367004565E-5</c:v>
                </c:pt>
                <c:pt idx="302">
                  <c:v>7.3704253895843583E-5</c:v>
                </c:pt>
                <c:pt idx="303">
                  <c:v>7.3323086895730766E-5</c:v>
                </c:pt>
                <c:pt idx="304">
                  <c:v>7.3232116373162401E-5</c:v>
                </c:pt>
                <c:pt idx="305">
                  <c:v>7.3433840220156214E-5</c:v>
                </c:pt>
                <c:pt idx="306">
                  <c:v>7.3930694352890172E-5</c:v>
                </c:pt>
                <c:pt idx="307">
                  <c:v>7.4725075425520241E-5</c:v>
                </c:pt>
                <c:pt idx="308">
                  <c:v>7.5819365215062308E-5</c:v>
                </c:pt>
                <c:pt idx="309">
                  <c:v>7.717751875257575E-5</c:v>
                </c:pt>
                <c:pt idx="310">
                  <c:v>7.8689167594929178E-5</c:v>
                </c:pt>
                <c:pt idx="311">
                  <c:v>8.0355947512795653E-5</c:v>
                </c:pt>
                <c:pt idx="312">
                  <c:v>8.2179574609198683E-5</c:v>
                </c:pt>
                <c:pt idx="313">
                  <c:v>8.4161858230649873E-5</c:v>
                </c:pt>
                <c:pt idx="314">
                  <c:v>8.6304713607091461E-5</c:v>
                </c:pt>
                <c:pt idx="315">
                  <c:v>8.8610174012441169E-5</c:v>
                </c:pt>
                <c:pt idx="316">
                  <c:v>9.1083751393362388E-5</c:v>
                </c:pt>
                <c:pt idx="317">
                  <c:v>9.3569555562363608E-5</c:v>
                </c:pt>
                <c:pt idx="318">
                  <c:v>9.5876967745029174E-5</c:v>
                </c:pt>
                <c:pt idx="319">
                  <c:v>9.8004824595631271E-5</c:v>
                </c:pt>
                <c:pt idx="320">
                  <c:v>9.9951678980528952E-5</c:v>
                </c:pt>
                <c:pt idx="321">
                  <c:v>1.0171579375951756E-4</c:v>
                </c:pt>
                <c:pt idx="322">
                  <c:v>1.0329513785245084E-4</c:v>
                </c:pt>
                <c:pt idx="323">
                  <c:v>1.0459868245259811E-4</c:v>
                </c:pt>
                <c:pt idx="324">
                  <c:v>1.056628200263284E-4</c:v>
                </c:pt>
                <c:pt idx="325">
                  <c:v>1.0648418893998514E-4</c:v>
                </c:pt>
                <c:pt idx="326">
                  <c:v>1.0705847748961103E-4</c:v>
                </c:pt>
                <c:pt idx="327">
                  <c:v>1.0738155197092423E-4</c:v>
                </c:pt>
                <c:pt idx="328">
                  <c:v>1.0744961085336509E-4</c:v>
                </c:pt>
                <c:pt idx="329">
                  <c:v>1.0725867454450993E-4</c:v>
                </c:pt>
                <c:pt idx="330">
                  <c:v>1.0682130805006224E-4</c:v>
                </c:pt>
                <c:pt idx="331">
                  <c:v>1.0614361138639114E-4</c:v>
                </c:pt>
                <c:pt idx="332">
                  <c:v>1.053858839925809E-4</c:v>
                </c:pt>
                <c:pt idx="333">
                  <c:v>1.0454173801359341E-4</c:v>
                </c:pt>
                <c:pt idx="334">
                  <c:v>1.0360457424529473E-4</c:v>
                </c:pt>
                <c:pt idx="335">
                  <c:v>1.0256763547956125E-4</c:v>
                </c:pt>
                <c:pt idx="336">
                  <c:v>1.0142407127308284E-4</c:v>
                </c:pt>
                <c:pt idx="337">
                  <c:v>1.0022929789470681E-4</c:v>
                </c:pt>
                <c:pt idx="338">
                  <c:v>9.9070490499066167E-5</c:v>
                </c:pt>
                <c:pt idx="339">
                  <c:v>9.7942632171836138E-5</c:v>
                </c:pt>
                <c:pt idx="340">
                  <c:v>9.6840758970158478E-5</c:v>
                </c:pt>
                <c:pt idx="341">
                  <c:v>9.5759976490566184E-5</c:v>
                </c:pt>
                <c:pt idx="342">
                  <c:v>9.4695481210589497E-5</c:v>
                </c:pt>
                <c:pt idx="343">
                  <c:v>9.3642586416288205E-5</c:v>
                </c:pt>
                <c:pt idx="344">
                  <c:v>9.2610917204383498E-5</c:v>
                </c:pt>
                <c:pt idx="345">
                  <c:v>9.1612810528571848E-5</c:v>
                </c:pt>
                <c:pt idx="346">
                  <c:v>9.0702907837240875E-5</c:v>
                </c:pt>
                <c:pt idx="347">
                  <c:v>8.9880866906158282E-5</c:v>
                </c:pt>
                <c:pt idx="348">
                  <c:v>8.9146256474964913E-5</c:v>
                </c:pt>
                <c:pt idx="349">
                  <c:v>8.8498549268434845E-5</c:v>
                </c:pt>
                <c:pt idx="350">
                  <c:v>8.7937115016789423E-5</c:v>
                </c:pt>
                <c:pt idx="351">
                  <c:v>8.751198887384984E-5</c:v>
                </c:pt>
                <c:pt idx="352">
                  <c:v>8.7158420606256253E-5</c:v>
                </c:pt>
                <c:pt idx="353">
                  <c:v>8.6875413868353187E-5</c:v>
                </c:pt>
                <c:pt idx="354">
                  <c:v>8.6661872349363863E-5</c:v>
                </c:pt>
                <c:pt idx="355">
                  <c:v>8.6516597637917029E-5</c:v>
                </c:pt>
                <c:pt idx="356">
                  <c:v>8.6437134195034695E-5</c:v>
                </c:pt>
                <c:pt idx="357">
                  <c:v>8.6423146684685471E-5</c:v>
                </c:pt>
                <c:pt idx="358">
                  <c:v>8.6469519216477499E-5</c:v>
                </c:pt>
                <c:pt idx="359">
                  <c:v>8.6572814226087321E-5</c:v>
                </c:pt>
                <c:pt idx="360">
                  <c:v>8.6796191750090023E-5</c:v>
                </c:pt>
                <c:pt idx="361">
                  <c:v>8.7089668227281023E-5</c:v>
                </c:pt>
                <c:pt idx="362">
                  <c:v>8.745329331927202E-5</c:v>
                </c:pt>
                <c:pt idx="363">
                  <c:v>8.7886991483490854E-5</c:v>
                </c:pt>
                <c:pt idx="364">
                  <c:v>8.8390574859171874E-5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6520"/>
        <c:axId val="592956912"/>
      </c:lineChart>
      <c:dateAx>
        <c:axId val="5929565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6912"/>
        <c:crosses val="autoZero"/>
        <c:auto val="1"/>
        <c:lblOffset val="100"/>
        <c:baseTimeUnit val="days"/>
        <c:majorUnit val="1"/>
        <c:majorTimeUnit val="months"/>
      </c:dateAx>
      <c:valAx>
        <c:axId val="5929569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6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23.28875502830271</c:v>
                </c:pt>
                <c:pt idx="1">
                  <c:v>23.431539376789686</c:v>
                </c:pt>
                <c:pt idx="2">
                  <c:v>23.58333141270311</c:v>
                </c:pt>
                <c:pt idx="3">
                  <c:v>23.743599489016425</c:v>
                </c:pt>
                <c:pt idx="4">
                  <c:v>23.911812089173409</c:v>
                </c:pt>
                <c:pt idx="5">
                  <c:v>24.087437821140416</c:v>
                </c:pt>
                <c:pt idx="6">
                  <c:v>24.269945424398927</c:v>
                </c:pt>
                <c:pt idx="7">
                  <c:v>24.458803762092277</c:v>
                </c:pt>
                <c:pt idx="8">
                  <c:v>24.656950626113552</c:v>
                </c:pt>
                <c:pt idx="9">
                  <c:v>24.867045453492796</c:v>
                </c:pt>
                <c:pt idx="10">
                  <c:v>25.088138120614335</c:v>
                </c:pt>
                <c:pt idx="11">
                  <c:v>25.319277339676145</c:v>
                </c:pt>
                <c:pt idx="12">
                  <c:v>25.559512088188669</c:v>
                </c:pt>
                <c:pt idx="13">
                  <c:v>25.807891605749308</c:v>
                </c:pt>
                <c:pt idx="14">
                  <c:v>26.06346540070296</c:v>
                </c:pt>
                <c:pt idx="15">
                  <c:v>26.325287158470953</c:v>
                </c:pt>
                <c:pt idx="16">
                  <c:v>26.592406827800612</c:v>
                </c:pt>
                <c:pt idx="17">
                  <c:v>26.863874726498999</c:v>
                </c:pt>
                <c:pt idx="18">
                  <c:v>27.138741448719163</c:v>
                </c:pt>
                <c:pt idx="19">
                  <c:v>27.416057850867567</c:v>
                </c:pt>
                <c:pt idx="20">
                  <c:v>27.694875065129072</c:v>
                </c:pt>
                <c:pt idx="21">
                  <c:v>27.974244516711408</c:v>
                </c:pt>
                <c:pt idx="22">
                  <c:v>28.256426889469882</c:v>
                </c:pt>
                <c:pt idx="23">
                  <c:v>28.544057059872735</c:v>
                </c:pt>
                <c:pt idx="24">
                  <c:v>28.836744496219772</c:v>
                </c:pt>
                <c:pt idx="25">
                  <c:v>29.134100917574223</c:v>
                </c:pt>
                <c:pt idx="26">
                  <c:v>29.43573816976777</c:v>
                </c:pt>
                <c:pt idx="27">
                  <c:v>29.741268229999452</c:v>
                </c:pt>
                <c:pt idx="28">
                  <c:v>30.050303207301024</c:v>
                </c:pt>
                <c:pt idx="29">
                  <c:v>30.362450708302291</c:v>
                </c:pt>
                <c:pt idx="30">
                  <c:v>30.677319193107465</c:v>
                </c:pt>
                <c:pt idx="31">
                  <c:v>30.994521174441122</c:v>
                </c:pt>
                <c:pt idx="32">
                  <c:v>31.31366930073823</c:v>
                </c:pt>
                <c:pt idx="33">
                  <c:v>31.63437636056609</c:v>
                </c:pt>
                <c:pt idx="34">
                  <c:v>31.956255279870042</c:v>
                </c:pt>
                <c:pt idx="35">
                  <c:v>32.278919122335815</c:v>
                </c:pt>
                <c:pt idx="36">
                  <c:v>32.605042759998383</c:v>
                </c:pt>
                <c:pt idx="37">
                  <c:v>32.936910788167154</c:v>
                </c:pt>
                <c:pt idx="38">
                  <c:v>33.273554408369804</c:v>
                </c:pt>
                <c:pt idx="39">
                  <c:v>33.614006081819106</c:v>
                </c:pt>
                <c:pt idx="40">
                  <c:v>33.957298580593353</c:v>
                </c:pt>
                <c:pt idx="41">
                  <c:v>34.302464979659234</c:v>
                </c:pt>
                <c:pt idx="42">
                  <c:v>34.648538658212807</c:v>
                </c:pt>
                <c:pt idx="43">
                  <c:v>34.994555431470893</c:v>
                </c:pt>
                <c:pt idx="44">
                  <c:v>35.339553932518228</c:v>
                </c:pt>
                <c:pt idx="45">
                  <c:v>35.682568439563958</c:v>
                </c:pt>
                <c:pt idx="46">
                  <c:v>36.022633523038365</c:v>
                </c:pt>
                <c:pt idx="47">
                  <c:v>36.358784037936253</c:v>
                </c:pt>
                <c:pt idx="48">
                  <c:v>36.690055121115897</c:v>
                </c:pt>
                <c:pt idx="49">
                  <c:v>37.015482186796753</c:v>
                </c:pt>
                <c:pt idx="50">
                  <c:v>37.335887692230621</c:v>
                </c:pt>
                <c:pt idx="51">
                  <c:v>37.652932666446446</c:v>
                </c:pt>
                <c:pt idx="52">
                  <c:v>37.966910528084384</c:v>
                </c:pt>
                <c:pt idx="53">
                  <c:v>38.278111787204764</c:v>
                </c:pt>
                <c:pt idx="54">
                  <c:v>38.586826823221543</c:v>
                </c:pt>
                <c:pt idx="55">
                  <c:v>38.893345895016495</c:v>
                </c:pt>
                <c:pt idx="56">
                  <c:v>39.197959131750153</c:v>
                </c:pt>
                <c:pt idx="57">
                  <c:v>39.500955396555206</c:v>
                </c:pt>
                <c:pt idx="58">
                  <c:v>39.802622402033769</c:v>
                </c:pt>
                <c:pt idx="59">
                  <c:v>40.103249873921129</c:v>
                </c:pt>
                <c:pt idx="60">
                  <c:v>40.403127399619478</c:v>
                </c:pt>
                <c:pt idx="61">
                  <c:v>40.702544426436333</c:v>
                </c:pt>
                <c:pt idx="62">
                  <c:v>41.001790260260705</c:v>
                </c:pt>
                <c:pt idx="63">
                  <c:v>41.301154063019311</c:v>
                </c:pt>
                <c:pt idx="64">
                  <c:v>41.600619328342205</c:v>
                </c:pt>
                <c:pt idx="65">
                  <c:v>41.899846275509951</c:v>
                </c:pt>
                <c:pt idx="66">
                  <c:v>42.198639620971726</c:v>
                </c:pt>
                <c:pt idx="67">
                  <c:v>42.4968059486648</c:v>
                </c:pt>
                <c:pt idx="68">
                  <c:v>42.794151838176369</c:v>
                </c:pt>
                <c:pt idx="69">
                  <c:v>43.090483864511803</c:v>
                </c:pt>
                <c:pt idx="70">
                  <c:v>43.385608599505645</c:v>
                </c:pt>
                <c:pt idx="71">
                  <c:v>43.679334077358931</c:v>
                </c:pt>
                <c:pt idx="72">
                  <c:v>43.97146802504016</c:v>
                </c:pt>
                <c:pt idx="73">
                  <c:v>44.261817021234229</c:v>
                </c:pt>
                <c:pt idx="74">
                  <c:v>44.550187648097463</c:v>
                </c:pt>
                <c:pt idx="75">
                  <c:v>44.836386493253016</c:v>
                </c:pt>
                <c:pt idx="76">
                  <c:v>45.120220153080631</c:v>
                </c:pt>
                <c:pt idx="77">
                  <c:v>45.40149523496089</c:v>
                </c:pt>
                <c:pt idx="78">
                  <c:v>45.682379679760025</c:v>
                </c:pt>
                <c:pt idx="79">
                  <c:v>45.964593265665783</c:v>
                </c:pt>
                <c:pt idx="80">
                  <c:v>46.247268798098823</c:v>
                </c:pt>
                <c:pt idx="81">
                  <c:v>46.529537653459045</c:v>
                </c:pt>
                <c:pt idx="82">
                  <c:v>46.810531438942654</c:v>
                </c:pt>
                <c:pt idx="83">
                  <c:v>47.089382004038661</c:v>
                </c:pt>
                <c:pt idx="84">
                  <c:v>47.365221441729076</c:v>
                </c:pt>
                <c:pt idx="85">
                  <c:v>47.637182594334234</c:v>
                </c:pt>
                <c:pt idx="86">
                  <c:v>47.904396559924898</c:v>
                </c:pt>
                <c:pt idx="87">
                  <c:v>48.165996202729552</c:v>
                </c:pt>
                <c:pt idx="88">
                  <c:v>48.421114659820191</c:v>
                </c:pt>
                <c:pt idx="89">
                  <c:v>48.668885350094797</c:v>
                </c:pt>
                <c:pt idx="90">
                  <c:v>48.908441981145657</c:v>
                </c:pt>
                <c:pt idx="91">
                  <c:v>49.138918566578226</c:v>
                </c:pt>
                <c:pt idx="92">
                  <c:v>49.361824200356523</c:v>
                </c:pt>
                <c:pt idx="93">
                  <c:v>49.579183189475046</c:v>
                </c:pt>
                <c:pt idx="94">
                  <c:v>49.790896900119037</c:v>
                </c:pt>
                <c:pt idx="95">
                  <c:v>49.996869128973309</c:v>
                </c:pt>
                <c:pt idx="96">
                  <c:v>50.197003739900353</c:v>
                </c:pt>
                <c:pt idx="97">
                  <c:v>50.39120466887011</c:v>
                </c:pt>
                <c:pt idx="98">
                  <c:v>50.579375930213388</c:v>
                </c:pt>
                <c:pt idx="99">
                  <c:v>50.761420319488849</c:v>
                </c:pt>
                <c:pt idx="100">
                  <c:v>50.937241467383103</c:v>
                </c:pt>
                <c:pt idx="101">
                  <c:v>51.106743612916532</c:v>
                </c:pt>
                <c:pt idx="102">
                  <c:v>51.269831087624553</c:v>
                </c:pt>
                <c:pt idx="103">
                  <c:v>51.426408321980844</c:v>
                </c:pt>
                <c:pt idx="104">
                  <c:v>51.576379846196296</c:v>
                </c:pt>
                <c:pt idx="105">
                  <c:v>51.719650297305122</c:v>
                </c:pt>
                <c:pt idx="106">
                  <c:v>51.855531443430486</c:v>
                </c:pt>
                <c:pt idx="107">
                  <c:v>51.983649837533562</c:v>
                </c:pt>
                <c:pt idx="108">
                  <c:v>52.104388814082654</c:v>
                </c:pt>
                <c:pt idx="109">
                  <c:v>52.21813404240023</c:v>
                </c:pt>
                <c:pt idx="110">
                  <c:v>52.325271126589513</c:v>
                </c:pt>
                <c:pt idx="111">
                  <c:v>52.426185605952703</c:v>
                </c:pt>
                <c:pt idx="112">
                  <c:v>52.521262958364524</c:v>
                </c:pt>
                <c:pt idx="113">
                  <c:v>52.61088514297451</c:v>
                </c:pt>
                <c:pt idx="114">
                  <c:v>52.69543887092631</c:v>
                </c:pt>
                <c:pt idx="115">
                  <c:v>52.775309368623105</c:v>
                </c:pt>
                <c:pt idx="116">
                  <c:v>52.85088179514598</c:v>
                </c:pt>
                <c:pt idx="117">
                  <c:v>52.922541240535139</c:v>
                </c:pt>
                <c:pt idx="118">
                  <c:v>52.990672728949228</c:v>
                </c:pt>
                <c:pt idx="119">
                  <c:v>55.939886552800608</c:v>
                </c:pt>
                <c:pt idx="120">
                  <c:v>56.00228263334597</c:v>
                </c:pt>
                <c:pt idx="121">
                  <c:v>56.058433955603249</c:v>
                </c:pt>
                <c:pt idx="122">
                  <c:v>56.108754449151455</c:v>
                </c:pt>
                <c:pt idx="123">
                  <c:v>56.15365073558079</c:v>
                </c:pt>
                <c:pt idx="124">
                  <c:v>56.193529237129397</c:v>
                </c:pt>
                <c:pt idx="125">
                  <c:v>56.228796183766278</c:v>
                </c:pt>
                <c:pt idx="126">
                  <c:v>56.259857606737967</c:v>
                </c:pt>
                <c:pt idx="127">
                  <c:v>56.287119528355653</c:v>
                </c:pt>
                <c:pt idx="128">
                  <c:v>56.310991887577742</c:v>
                </c:pt>
                <c:pt idx="129">
                  <c:v>56.331880310528476</c:v>
                </c:pt>
                <c:pt idx="130">
                  <c:v>56.35019024336539</c:v>
                </c:pt>
                <c:pt idx="131">
                  <c:v>56.366326951181442</c:v>
                </c:pt>
                <c:pt idx="132">
                  <c:v>56.380695520088658</c:v>
                </c:pt>
                <c:pt idx="133">
                  <c:v>56.393700861085463</c:v>
                </c:pt>
                <c:pt idx="134">
                  <c:v>56.404737033571408</c:v>
                </c:pt>
                <c:pt idx="135">
                  <c:v>56.412929241208872</c:v>
                </c:pt>
                <c:pt idx="136">
                  <c:v>56.418280065995994</c:v>
                </c:pt>
                <c:pt idx="137">
                  <c:v>56.420790702394889</c:v>
                </c:pt>
                <c:pt idx="138">
                  <c:v>56.420462383637549</c:v>
                </c:pt>
                <c:pt idx="139">
                  <c:v>56.417296377720966</c:v>
                </c:pt>
                <c:pt idx="140">
                  <c:v>56.411293989070849</c:v>
                </c:pt>
                <c:pt idx="141">
                  <c:v>56.402457884034732</c:v>
                </c:pt>
                <c:pt idx="142">
                  <c:v>56.390789306801487</c:v>
                </c:pt>
                <c:pt idx="143">
                  <c:v>56.376289750722833</c:v>
                </c:pt>
                <c:pt idx="144">
                  <c:v>56.35896071323242</c:v>
                </c:pt>
                <c:pt idx="145">
                  <c:v>56.338803729846283</c:v>
                </c:pt>
                <c:pt idx="146">
                  <c:v>56.31582037013019</c:v>
                </c:pt>
                <c:pt idx="147">
                  <c:v>56.290012236267486</c:v>
                </c:pt>
                <c:pt idx="148">
                  <c:v>56.260506617553055</c:v>
                </c:pt>
                <c:pt idx="149">
                  <c:v>56.226702945089542</c:v>
                </c:pt>
                <c:pt idx="150">
                  <c:v>56.189006690951217</c:v>
                </c:pt>
                <c:pt idx="151">
                  <c:v>56.147823472126049</c:v>
                </c:pt>
                <c:pt idx="152">
                  <c:v>56.103558724137017</c:v>
                </c:pt>
                <c:pt idx="153">
                  <c:v>56.056617699365198</c:v>
                </c:pt>
                <c:pt idx="154">
                  <c:v>56.007405458777825</c:v>
                </c:pt>
                <c:pt idx="155">
                  <c:v>55.956330267047591</c:v>
                </c:pt>
                <c:pt idx="156">
                  <c:v>55.903795316563283</c:v>
                </c:pt>
                <c:pt idx="157">
                  <c:v>55.850205155013739</c:v>
                </c:pt>
                <c:pt idx="158">
                  <c:v>55.795964129888745</c:v>
                </c:pt>
                <c:pt idx="159">
                  <c:v>55.741476383852358</c:v>
                </c:pt>
                <c:pt idx="160">
                  <c:v>55.687145851856208</c:v>
                </c:pt>
                <c:pt idx="161">
                  <c:v>55.633376258374085</c:v>
                </c:pt>
                <c:pt idx="162">
                  <c:v>55.579564057043591</c:v>
                </c:pt>
                <c:pt idx="163">
                  <c:v>55.524841238013714</c:v>
                </c:pt>
                <c:pt idx="164">
                  <c:v>55.469205939530234</c:v>
                </c:pt>
                <c:pt idx="165">
                  <c:v>55.412659380745112</c:v>
                </c:pt>
                <c:pt idx="166">
                  <c:v>55.355202756495771</c:v>
                </c:pt>
                <c:pt idx="167">
                  <c:v>55.29683723222454</c:v>
                </c:pt>
                <c:pt idx="168">
                  <c:v>55.237563941464884</c:v>
                </c:pt>
                <c:pt idx="169">
                  <c:v>55.17738798114955</c:v>
                </c:pt>
                <c:pt idx="170">
                  <c:v>55.116306314379955</c:v>
                </c:pt>
                <c:pt idx="171">
                  <c:v>55.054311865869515</c:v>
                </c:pt>
                <c:pt idx="172">
                  <c:v>54.991413935853167</c:v>
                </c:pt>
                <c:pt idx="173">
                  <c:v>54.927613591743892</c:v>
                </c:pt>
                <c:pt idx="174">
                  <c:v>54.862911864307158</c:v>
                </c:pt>
                <c:pt idx="175">
                  <c:v>54.797309625127177</c:v>
                </c:pt>
                <c:pt idx="176">
                  <c:v>54.730589884579182</c:v>
                </c:pt>
                <c:pt idx="177">
                  <c:v>54.662606970172419</c:v>
                </c:pt>
                <c:pt idx="178">
                  <c:v>54.59345799828116</c:v>
                </c:pt>
                <c:pt idx="179">
                  <c:v>54.523244210649999</c:v>
                </c:pt>
                <c:pt idx="180">
                  <c:v>54.452066746807439</c:v>
                </c:pt>
                <c:pt idx="181">
                  <c:v>54.380026644781182</c:v>
                </c:pt>
                <c:pt idx="182">
                  <c:v>54.307224841727894</c:v>
                </c:pt>
                <c:pt idx="183">
                  <c:v>54.23376596017264</c:v>
                </c:pt>
                <c:pt idx="184">
                  <c:v>54.159746287851441</c:v>
                </c:pt>
                <c:pt idx="185">
                  <c:v>54.085266452105088</c:v>
                </c:pt>
                <c:pt idx="186">
                  <c:v>54.010426988523385</c:v>
                </c:pt>
                <c:pt idx="187">
                  <c:v>53.935328343065777</c:v>
                </c:pt>
                <c:pt idx="188">
                  <c:v>53.860070875475898</c:v>
                </c:pt>
                <c:pt idx="189">
                  <c:v>53.784754861243734</c:v>
                </c:pt>
                <c:pt idx="190">
                  <c:v>53.709229610150473</c:v>
                </c:pt>
                <c:pt idx="191">
                  <c:v>53.633279851262898</c:v>
                </c:pt>
                <c:pt idx="192">
                  <c:v>53.556900912133479</c:v>
                </c:pt>
                <c:pt idx="193">
                  <c:v>53.480092670671922</c:v>
                </c:pt>
                <c:pt idx="194">
                  <c:v>53.40285498706691</c:v>
                </c:pt>
                <c:pt idx="195">
                  <c:v>53.325187706433063</c:v>
                </c:pt>
                <c:pt idx="196">
                  <c:v>53.247090662326165</c:v>
                </c:pt>
                <c:pt idx="197">
                  <c:v>53.168564200706939</c:v>
                </c:pt>
                <c:pt idx="198">
                  <c:v>53.089604083768336</c:v>
                </c:pt>
                <c:pt idx="199">
                  <c:v>53.010210092337005</c:v>
                </c:pt>
                <c:pt idx="200">
                  <c:v>52.930382009479253</c:v>
                </c:pt>
                <c:pt idx="201">
                  <c:v>52.85011962358179</c:v>
                </c:pt>
                <c:pt idx="202">
                  <c:v>52.769422729480951</c:v>
                </c:pt>
                <c:pt idx="203">
                  <c:v>52.688291131245997</c:v>
                </c:pt>
                <c:pt idx="204">
                  <c:v>52.607375862678204</c:v>
                </c:pt>
                <c:pt idx="205">
                  <c:v>52.527127771472138</c:v>
                </c:pt>
                <c:pt idx="206">
                  <c:v>52.447243407772348</c:v>
                </c:pt>
                <c:pt idx="207">
                  <c:v>52.367421883253598</c:v>
                </c:pt>
                <c:pt idx="208">
                  <c:v>52.287362469654752</c:v>
                </c:pt>
                <c:pt idx="209">
                  <c:v>52.206764598701845</c:v>
                </c:pt>
                <c:pt idx="210">
                  <c:v>52.125327863336253</c:v>
                </c:pt>
                <c:pt idx="211">
                  <c:v>52.042749219981516</c:v>
                </c:pt>
                <c:pt idx="212">
                  <c:v>51.958728019532316</c:v>
                </c:pt>
                <c:pt idx="213">
                  <c:v>51.872964318508672</c:v>
                </c:pt>
                <c:pt idx="214">
                  <c:v>51.785158332360936</c:v>
                </c:pt>
                <c:pt idx="215">
                  <c:v>51.695010437863452</c:v>
                </c:pt>
                <c:pt idx="216">
                  <c:v>51.602221170544979</c:v>
                </c:pt>
                <c:pt idx="217">
                  <c:v>51.506491226155688</c:v>
                </c:pt>
                <c:pt idx="218">
                  <c:v>51.408271605144435</c:v>
                </c:pt>
                <c:pt idx="219">
                  <c:v>51.308201844830265</c:v>
                </c:pt>
                <c:pt idx="220">
                  <c:v>51.206281926474645</c:v>
                </c:pt>
                <c:pt idx="221">
                  <c:v>51.102512330846984</c:v>
                </c:pt>
                <c:pt idx="222">
                  <c:v>50.996893560658457</c:v>
                </c:pt>
                <c:pt idx="223">
                  <c:v>50.889426142614283</c:v>
                </c:pt>
                <c:pt idx="224">
                  <c:v>50.780110620100416</c:v>
                </c:pt>
                <c:pt idx="225">
                  <c:v>50.668931019465347</c:v>
                </c:pt>
                <c:pt idx="226">
                  <c:v>50.555890738077458</c:v>
                </c:pt>
                <c:pt idx="227">
                  <c:v>50.440990350263561</c:v>
                </c:pt>
                <c:pt idx="228">
                  <c:v>50.324230447287036</c:v>
                </c:pt>
                <c:pt idx="229">
                  <c:v>50.205611641246364</c:v>
                </c:pt>
                <c:pt idx="230">
                  <c:v>50.085134561932556</c:v>
                </c:pt>
                <c:pt idx="231">
                  <c:v>49.962799857817267</c:v>
                </c:pt>
                <c:pt idx="232">
                  <c:v>49.839906339680226</c:v>
                </c:pt>
                <c:pt idx="233">
                  <c:v>49.717353029613562</c:v>
                </c:pt>
                <c:pt idx="234">
                  <c:v>49.594552535637568</c:v>
                </c:pt>
                <c:pt idx="235">
                  <c:v>49.470906167727826</c:v>
                </c:pt>
                <c:pt idx="236">
                  <c:v>49.345815514844233</c:v>
                </c:pt>
                <c:pt idx="237">
                  <c:v>49.218682449702399</c:v>
                </c:pt>
                <c:pt idx="238">
                  <c:v>49.088909121681432</c:v>
                </c:pt>
                <c:pt idx="239">
                  <c:v>48.955903882363522</c:v>
                </c:pt>
                <c:pt idx="240">
                  <c:v>48.819086058053493</c:v>
                </c:pt>
                <c:pt idx="241">
                  <c:v>48.677858614214799</c:v>
                </c:pt>
                <c:pt idx="242">
                  <c:v>48.531624789410444</c:v>
                </c:pt>
                <c:pt idx="243">
                  <c:v>48.379788085971803</c:v>
                </c:pt>
                <c:pt idx="244">
                  <c:v>48.221752279007774</c:v>
                </c:pt>
                <c:pt idx="245">
                  <c:v>48.056921407724417</c:v>
                </c:pt>
                <c:pt idx="246">
                  <c:v>47.885979232884637</c:v>
                </c:pt>
                <c:pt idx="247">
                  <c:v>47.710074685513106</c:v>
                </c:pt>
                <c:pt idx="248">
                  <c:v>47.529308930110417</c:v>
                </c:pt>
                <c:pt idx="249">
                  <c:v>47.343783429788211</c:v>
                </c:pt>
                <c:pt idx="250">
                  <c:v>47.15359960351612</c:v>
                </c:pt>
                <c:pt idx="251">
                  <c:v>46.958858826498187</c:v>
                </c:pt>
                <c:pt idx="252">
                  <c:v>46.75966243192395</c:v>
                </c:pt>
                <c:pt idx="253">
                  <c:v>46.556120018298245</c:v>
                </c:pt>
                <c:pt idx="254">
                  <c:v>46.348326960067588</c:v>
                </c:pt>
                <c:pt idx="255">
                  <c:v>46.13638446477902</c:v>
                </c:pt>
                <c:pt idx="256">
                  <c:v>45.920393686909001</c:v>
                </c:pt>
                <c:pt idx="257">
                  <c:v>45.700455738674812</c:v>
                </c:pt>
                <c:pt idx="258">
                  <c:v>45.476671681201829</c:v>
                </c:pt>
                <c:pt idx="259">
                  <c:v>45.249142529602679</c:v>
                </c:pt>
                <c:pt idx="260">
                  <c:v>45.016426322911336</c:v>
                </c:pt>
                <c:pt idx="261">
                  <c:v>44.777417282609811</c:v>
                </c:pt>
                <c:pt idx="262">
                  <c:v>44.532714523995644</c:v>
                </c:pt>
                <c:pt idx="263">
                  <c:v>44.282917117005056</c:v>
                </c:pt>
                <c:pt idx="264">
                  <c:v>44.028623857537902</c:v>
                </c:pt>
                <c:pt idx="265">
                  <c:v>43.77043322486702</c:v>
                </c:pt>
                <c:pt idx="266">
                  <c:v>43.508943434940022</c:v>
                </c:pt>
                <c:pt idx="267">
                  <c:v>43.244746957504326</c:v>
                </c:pt>
                <c:pt idx="268">
                  <c:v>42.978433367353226</c:v>
                </c:pt>
                <c:pt idx="269">
                  <c:v>42.710600162940857</c:v>
                </c:pt>
                <c:pt idx="270">
                  <c:v>42.441844570747513</c:v>
                </c:pt>
                <c:pt idx="271">
                  <c:v>42.172763543158204</c:v>
                </c:pt>
                <c:pt idx="272">
                  <c:v>41.903953762426688</c:v>
                </c:pt>
                <c:pt idx="273">
                  <c:v>41.636011636896271</c:v>
                </c:pt>
                <c:pt idx="274">
                  <c:v>41.368688443776968</c:v>
                </c:pt>
                <c:pt idx="275">
                  <c:v>41.101136419632148</c:v>
                </c:pt>
                <c:pt idx="276">
                  <c:v>40.833053867768982</c:v>
                </c:pt>
                <c:pt idx="277">
                  <c:v>40.56414287031658</c:v>
                </c:pt>
                <c:pt idx="278">
                  <c:v>40.294105600171392</c:v>
                </c:pt>
                <c:pt idx="279">
                  <c:v>40.022644318525259</c:v>
                </c:pt>
                <c:pt idx="280">
                  <c:v>39.749461370330714</c:v>
                </c:pt>
                <c:pt idx="281">
                  <c:v>39.474264782113082</c:v>
                </c:pt>
                <c:pt idx="282">
                  <c:v>39.196762256969421</c:v>
                </c:pt>
                <c:pt idx="283">
                  <c:v>38.916656238937499</c:v>
                </c:pt>
                <c:pt idx="284">
                  <c:v>38.633649235769653</c:v>
                </c:pt>
                <c:pt idx="285">
                  <c:v>38.347443817123619</c:v>
                </c:pt>
                <c:pt idx="286">
                  <c:v>38.057742611711362</c:v>
                </c:pt>
                <c:pt idx="287">
                  <c:v>37.764248306849815</c:v>
                </c:pt>
                <c:pt idx="288">
                  <c:v>37.465042470743768</c:v>
                </c:pt>
                <c:pt idx="289">
                  <c:v>37.159138781024978</c:v>
                </c:pt>
                <c:pt idx="290">
                  <c:v>36.847632625369002</c:v>
                </c:pt>
                <c:pt idx="291">
                  <c:v>36.531616227300574</c:v>
                </c:pt>
                <c:pt idx="292">
                  <c:v>36.212181327420161</c:v>
                </c:pt>
                <c:pt idx="293">
                  <c:v>35.890419194956642</c:v>
                </c:pt>
                <c:pt idx="294">
                  <c:v>35.56742063157769</c:v>
                </c:pt>
                <c:pt idx="295">
                  <c:v>35.244266825630376</c:v>
                </c:pt>
                <c:pt idx="296">
                  <c:v>34.92204257982808</c:v>
                </c:pt>
                <c:pt idx="297">
                  <c:v>34.601837577501492</c:v>
                </c:pt>
                <c:pt idx="298">
                  <c:v>34.284741124465832</c:v>
                </c:pt>
                <c:pt idx="299">
                  <c:v>33.971842110261861</c:v>
                </c:pt>
                <c:pt idx="300">
                  <c:v>33.664229012594284</c:v>
                </c:pt>
                <c:pt idx="301">
                  <c:v>33.362989906171165</c:v>
                </c:pt>
                <c:pt idx="302">
                  <c:v>33.066486529210096</c:v>
                </c:pt>
                <c:pt idx="303">
                  <c:v>32.772340505368611</c:v>
                </c:pt>
                <c:pt idx="304">
                  <c:v>32.480545859237751</c:v>
                </c:pt>
                <c:pt idx="305">
                  <c:v>32.191101394773128</c:v>
                </c:pt>
                <c:pt idx="306">
                  <c:v>31.904005926021927</c:v>
                </c:pt>
                <c:pt idx="307">
                  <c:v>31.619258278967127</c:v>
                </c:pt>
                <c:pt idx="308">
                  <c:v>31.336857293863282</c:v>
                </c:pt>
                <c:pt idx="309">
                  <c:v>31.056806143494811</c:v>
                </c:pt>
                <c:pt idx="310">
                  <c:v>30.779111887221774</c:v>
                </c:pt>
                <c:pt idx="311">
                  <c:v>30.503773148395346</c:v>
                </c:pt>
                <c:pt idx="312">
                  <c:v>30.230788572450958</c:v>
                </c:pt>
                <c:pt idx="313">
                  <c:v>29.960156832236716</c:v>
                </c:pt>
                <c:pt idx="314">
                  <c:v>29.691876626331158</c:v>
                </c:pt>
                <c:pt idx="315">
                  <c:v>29.425946686511981</c:v>
                </c:pt>
                <c:pt idx="316">
                  <c:v>29.161293280444873</c:v>
                </c:pt>
                <c:pt idx="317">
                  <c:v>28.897186674183732</c:v>
                </c:pt>
                <c:pt idx="318">
                  <c:v>28.634133310093599</c:v>
                </c:pt>
                <c:pt idx="319">
                  <c:v>28.372626760042319</c:v>
                </c:pt>
                <c:pt idx="320">
                  <c:v>28.113160479414216</c:v>
                </c:pt>
                <c:pt idx="321">
                  <c:v>27.856227807581696</c:v>
                </c:pt>
                <c:pt idx="322">
                  <c:v>27.602321970908967</c:v>
                </c:pt>
                <c:pt idx="323">
                  <c:v>27.351940289115451</c:v>
                </c:pt>
                <c:pt idx="324">
                  <c:v>27.105571783959206</c:v>
                </c:pt>
                <c:pt idx="325">
                  <c:v>26.863709339846217</c:v>
                </c:pt>
                <c:pt idx="326">
                  <c:v>26.626845767621464</c:v>
                </c:pt>
                <c:pt idx="327">
                  <c:v>26.395473737664155</c:v>
                </c:pt>
                <c:pt idx="328">
                  <c:v>26.170085768818765</c:v>
                </c:pt>
                <c:pt idx="329">
                  <c:v>25.951174265233142</c:v>
                </c:pt>
                <c:pt idx="330">
                  <c:v>25.73521069824584</c:v>
                </c:pt>
                <c:pt idx="331">
                  <c:v>25.519193235437022</c:v>
                </c:pt>
                <c:pt idx="332">
                  <c:v>25.304394446228915</c:v>
                </c:pt>
                <c:pt idx="333">
                  <c:v>25.092099097758723</c:v>
                </c:pt>
                <c:pt idx="334">
                  <c:v>24.88359151945188</c:v>
                </c:pt>
                <c:pt idx="335">
                  <c:v>24.680155597161907</c:v>
                </c:pt>
                <c:pt idx="336">
                  <c:v>24.483074759532123</c:v>
                </c:pt>
                <c:pt idx="337">
                  <c:v>24.293628989010084</c:v>
                </c:pt>
                <c:pt idx="338">
                  <c:v>24.113096926262124</c:v>
                </c:pt>
                <c:pt idx="339">
                  <c:v>23.942760671413826</c:v>
                </c:pt>
                <c:pt idx="340">
                  <c:v>23.783901841306982</c:v>
                </c:pt>
                <c:pt idx="341">
                  <c:v>23.637801554895553</c:v>
                </c:pt>
                <c:pt idx="342">
                  <c:v>23.505740426975237</c:v>
                </c:pt>
                <c:pt idx="343">
                  <c:v>23.388998577761168</c:v>
                </c:pt>
                <c:pt idx="344">
                  <c:v>23.285292933511737</c:v>
                </c:pt>
                <c:pt idx="345">
                  <c:v>23.191594442219124</c:v>
                </c:pt>
                <c:pt idx="346">
                  <c:v>23.108063321722138</c:v>
                </c:pt>
                <c:pt idx="347">
                  <c:v>23.034860186679865</c:v>
                </c:pt>
                <c:pt idx="348">
                  <c:v>22.972145575851549</c:v>
                </c:pt>
                <c:pt idx="349">
                  <c:v>22.920079948213981</c:v>
                </c:pt>
                <c:pt idx="350">
                  <c:v>22.878823686435343</c:v>
                </c:pt>
                <c:pt idx="351">
                  <c:v>22.848534804231036</c:v>
                </c:pt>
                <c:pt idx="352">
                  <c:v>22.82937641017514</c:v>
                </c:pt>
                <c:pt idx="353">
                  <c:v>22.82150864042065</c:v>
                </c:pt>
                <c:pt idx="354">
                  <c:v>22.825091554484853</c:v>
                </c:pt>
                <c:pt idx="355">
                  <c:v>22.840285127151915</c:v>
                </c:pt>
                <c:pt idx="356">
                  <c:v>22.86724928609004</c:v>
                </c:pt>
                <c:pt idx="357">
                  <c:v>22.906143817983956</c:v>
                </c:pt>
                <c:pt idx="358">
                  <c:v>22.95797883372126</c:v>
                </c:pt>
                <c:pt idx="359">
                  <c:v>23.023296049864534</c:v>
                </c:pt>
                <c:pt idx="360">
                  <c:v>23.101549922654591</c:v>
                </c:pt>
                <c:pt idx="361">
                  <c:v>23.192200238240062</c:v>
                </c:pt>
                <c:pt idx="362">
                  <c:v>23.294704707945339</c:v>
                </c:pt>
                <c:pt idx="363">
                  <c:v>23.408521237114503</c:v>
                </c:pt>
                <c:pt idx="364">
                  <c:v>23.53310793335428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23.101250995081831</c:v>
                </c:pt>
                <c:pt idx="1">
                  <c:v>16.355762675586458</c:v>
                </c:pt>
                <c:pt idx="2">
                  <c:v>17.54533885282115</c:v>
                </c:pt>
                <c:pt idx="3">
                  <c:v>18.906488349558199</c:v>
                </c:pt>
                <c:pt idx="4">
                  <c:v>13.82241647998549</c:v>
                </c:pt>
                <c:pt idx="5">
                  <c:v>25.009435189390544</c:v>
                </c:pt>
                <c:pt idx="6">
                  <c:v>9.4844479775379558</c:v>
                </c:pt>
                <c:pt idx="7">
                  <c:v>6.4652665892527112</c:v>
                </c:pt>
                <c:pt idx="8">
                  <c:v>1.7940169992223165</c:v>
                </c:pt>
                <c:pt idx="9">
                  <c:v>1.4398157940000385</c:v>
                </c:pt>
                <c:pt idx="10">
                  <c:v>25.724935983615307</c:v>
                </c:pt>
                <c:pt idx="11">
                  <c:v>23.556971548594426</c:v>
                </c:pt>
                <c:pt idx="12">
                  <c:v>5.0986224626630134</c:v>
                </c:pt>
                <c:pt idx="13">
                  <c:v>26.678299040341216</c:v>
                </c:pt>
                <c:pt idx="14">
                  <c:v>27.017209871870158</c:v>
                </c:pt>
                <c:pt idx="15">
                  <c:v>26.59450452050374</c:v>
                </c:pt>
                <c:pt idx="16">
                  <c:v>17.21088810308575</c:v>
                </c:pt>
                <c:pt idx="17">
                  <c:v>3.6416394448467111</c:v>
                </c:pt>
                <c:pt idx="18">
                  <c:v>11.384575570611137</c:v>
                </c:pt>
                <c:pt idx="19">
                  <c:v>5.302246642941272</c:v>
                </c:pt>
                <c:pt idx="20">
                  <c:v>18.179710417565271</c:v>
                </c:pt>
                <c:pt idx="21">
                  <c:v>28.088275265035769</c:v>
                </c:pt>
                <c:pt idx="22">
                  <c:v>27.895270069216462</c:v>
                </c:pt>
                <c:pt idx="23">
                  <c:v>28.53860225327627</c:v>
                </c:pt>
                <c:pt idx="24">
                  <c:v>27.700495759268602</c:v>
                </c:pt>
                <c:pt idx="25">
                  <c:v>28.544649333968628</c:v>
                </c:pt>
                <c:pt idx="26">
                  <c:v>25.025249693082639</c:v>
                </c:pt>
                <c:pt idx="27">
                  <c:v>3.7007321623522555</c:v>
                </c:pt>
                <c:pt idx="28">
                  <c:v>5.9492939886195595</c:v>
                </c:pt>
                <c:pt idx="29">
                  <c:v>4.2338762793447042</c:v>
                </c:pt>
                <c:pt idx="30">
                  <c:v>10.533652366953207</c:v>
                </c:pt>
                <c:pt idx="31">
                  <c:v>13.361832871786694</c:v>
                </c:pt>
                <c:pt idx="32">
                  <c:v>4.9379979399816571</c:v>
                </c:pt>
                <c:pt idx="33">
                  <c:v>13.798592382006463</c:v>
                </c:pt>
                <c:pt idx="34">
                  <c:v>11.481322146093454</c:v>
                </c:pt>
                <c:pt idx="35">
                  <c:v>9.5138770804148418</c:v>
                </c:pt>
                <c:pt idx="36">
                  <c:v>21.542634632161153</c:v>
                </c:pt>
                <c:pt idx="37">
                  <c:v>13.332695174612279</c:v>
                </c:pt>
                <c:pt idx="38">
                  <c:v>33.643448920383086</c:v>
                </c:pt>
                <c:pt idx="39">
                  <c:v>33.732553614857984</c:v>
                </c:pt>
                <c:pt idx="40">
                  <c:v>31.571326364849753</c:v>
                </c:pt>
                <c:pt idx="41">
                  <c:v>14.691765663400586</c:v>
                </c:pt>
                <c:pt idx="42">
                  <c:v>25.926389115633157</c:v>
                </c:pt>
                <c:pt idx="43">
                  <c:v>31.210254318363997</c:v>
                </c:pt>
                <c:pt idx="44">
                  <c:v>17.168158113127983</c:v>
                </c:pt>
                <c:pt idx="45">
                  <c:v>20.394718718047702</c:v>
                </c:pt>
                <c:pt idx="46">
                  <c:v>8.9142490921637609</c:v>
                </c:pt>
                <c:pt idx="47">
                  <c:v>10.815572809932936</c:v>
                </c:pt>
                <c:pt idx="48">
                  <c:v>30.285764343303505</c:v>
                </c:pt>
                <c:pt idx="49">
                  <c:v>16.467934502250269</c:v>
                </c:pt>
                <c:pt idx="50">
                  <c:v>20.481577330625232</c:v>
                </c:pt>
                <c:pt idx="51">
                  <c:v>20.766696972753362</c:v>
                </c:pt>
                <c:pt idx="52">
                  <c:v>34.37551233603596</c:v>
                </c:pt>
                <c:pt idx="53">
                  <c:v>35.347671049007467</c:v>
                </c:pt>
                <c:pt idx="54">
                  <c:v>21.094402779176907</c:v>
                </c:pt>
                <c:pt idx="55">
                  <c:v>29.993548158982044</c:v>
                </c:pt>
                <c:pt idx="56">
                  <c:v>39.819343467656061</c:v>
                </c:pt>
                <c:pt idx="57">
                  <c:v>26.215372980671468</c:v>
                </c:pt>
                <c:pt idx="58">
                  <c:v>35.159406863309449</c:v>
                </c:pt>
                <c:pt idx="59">
                  <c:v>38.568320410110076</c:v>
                </c:pt>
                <c:pt idx="60">
                  <c:v>15.263700998440594</c:v>
                </c:pt>
                <c:pt idx="61">
                  <c:v>35.559934499179583</c:v>
                </c:pt>
                <c:pt idx="62">
                  <c:v>5.3024486112222284</c:v>
                </c:pt>
                <c:pt idx="63">
                  <c:v>12.388679663848652</c:v>
                </c:pt>
                <c:pt idx="64">
                  <c:v>19.571893943637157</c:v>
                </c:pt>
                <c:pt idx="65">
                  <c:v>38.046937637743262</c:v>
                </c:pt>
                <c:pt idx="66">
                  <c:v>29.949956750996847</c:v>
                </c:pt>
                <c:pt idx="67">
                  <c:v>28.44542981748722</c:v>
                </c:pt>
                <c:pt idx="68">
                  <c:v>22.319005312112402</c:v>
                </c:pt>
                <c:pt idx="69">
                  <c:v>14.166371046174206</c:v>
                </c:pt>
                <c:pt idx="70">
                  <c:v>13.552865581916963</c:v>
                </c:pt>
                <c:pt idx="71">
                  <c:v>8.2413187396273049</c:v>
                </c:pt>
                <c:pt idx="72">
                  <c:v>11.047196483579466</c:v>
                </c:pt>
                <c:pt idx="73">
                  <c:v>13.135149432082745</c:v>
                </c:pt>
                <c:pt idx="74">
                  <c:v>11.012293322630111</c:v>
                </c:pt>
                <c:pt idx="75">
                  <c:v>9.7190071511342371</c:v>
                </c:pt>
                <c:pt idx="76">
                  <c:v>12.44135022346056</c:v>
                </c:pt>
                <c:pt idx="77">
                  <c:v>27.952727996098535</c:v>
                </c:pt>
                <c:pt idx="78">
                  <c:v>31.051390252624422</c:v>
                </c:pt>
                <c:pt idx="79">
                  <c:v>44.68211088623756</c:v>
                </c:pt>
                <c:pt idx="80">
                  <c:v>41.926744624670114</c:v>
                </c:pt>
                <c:pt idx="81">
                  <c:v>46.626831125100523</c:v>
                </c:pt>
                <c:pt idx="82">
                  <c:v>45.774273376695604</c:v>
                </c:pt>
                <c:pt idx="83">
                  <c:v>39.288927734323721</c:v>
                </c:pt>
                <c:pt idx="84">
                  <c:v>43.593315996362243</c:v>
                </c:pt>
                <c:pt idx="85">
                  <c:v>43.559244689517797</c:v>
                </c:pt>
                <c:pt idx="86">
                  <c:v>33.636899336447051</c:v>
                </c:pt>
                <c:pt idx="87">
                  <c:v>25.964140668261336</c:v>
                </c:pt>
                <c:pt idx="88">
                  <c:v>6.5908290419476208</c:v>
                </c:pt>
                <c:pt idx="89">
                  <c:v>26.225392319070366</c:v>
                </c:pt>
                <c:pt idx="90">
                  <c:v>28.602002735351999</c:v>
                </c:pt>
                <c:pt idx="91">
                  <c:v>18.853779801001192</c:v>
                </c:pt>
                <c:pt idx="92">
                  <c:v>23.726108831923277</c:v>
                </c:pt>
                <c:pt idx="93">
                  <c:v>42.065926209266003</c:v>
                </c:pt>
                <c:pt idx="94">
                  <c:v>49.885793236729533</c:v>
                </c:pt>
                <c:pt idx="95">
                  <c:v>11.147016006482009</c:v>
                </c:pt>
                <c:pt idx="96">
                  <c:v>38.115101390626599</c:v>
                </c:pt>
                <c:pt idx="97">
                  <c:v>30.24636915141782</c:v>
                </c:pt>
                <c:pt idx="98">
                  <c:v>34.266975047097858</c:v>
                </c:pt>
                <c:pt idx="99">
                  <c:v>51.001299529022837</c:v>
                </c:pt>
                <c:pt idx="100">
                  <c:v>38.705554338831725</c:v>
                </c:pt>
                <c:pt idx="101">
                  <c:v>34.507321923753864</c:v>
                </c:pt>
                <c:pt idx="102">
                  <c:v>6.7921526339205744</c:v>
                </c:pt>
                <c:pt idx="103">
                  <c:v>37.856306082366068</c:v>
                </c:pt>
                <c:pt idx="104">
                  <c:v>41.696272706061251</c:v>
                </c:pt>
                <c:pt idx="105">
                  <c:v>42.867210608215274</c:v>
                </c:pt>
                <c:pt idx="106">
                  <c:v>50.751800950077076</c:v>
                </c:pt>
                <c:pt idx="107">
                  <c:v>38.172747385873365</c:v>
                </c:pt>
                <c:pt idx="108">
                  <c:v>10.159544973333821</c:v>
                </c:pt>
                <c:pt idx="109">
                  <c:v>9.5551655513656346</c:v>
                </c:pt>
                <c:pt idx="110">
                  <c:v>9.0217218040936338</c:v>
                </c:pt>
                <c:pt idx="111">
                  <c:v>28.646512669267427</c:v>
                </c:pt>
                <c:pt idx="112">
                  <c:v>7.9537776703780336</c:v>
                </c:pt>
                <c:pt idx="113">
                  <c:v>35.845189267066495</c:v>
                </c:pt>
                <c:pt idx="114">
                  <c:v>45.091635119824097</c:v>
                </c:pt>
                <c:pt idx="115">
                  <c:v>51.040079509908324</c:v>
                </c:pt>
                <c:pt idx="116">
                  <c:v>36.654201823573509</c:v>
                </c:pt>
                <c:pt idx="117">
                  <c:v>21.831958083972321</c:v>
                </c:pt>
                <c:pt idx="118">
                  <c:v>41.128469635132404</c:v>
                </c:pt>
                <c:pt idx="119">
                  <c:v>43.97663617868379</c:v>
                </c:pt>
                <c:pt idx="120">
                  <c:v>44.769631001221114</c:v>
                </c:pt>
                <c:pt idx="121">
                  <c:v>27.11923039046691</c:v>
                </c:pt>
                <c:pt idx="122">
                  <c:v>10.976597771847143</c:v>
                </c:pt>
                <c:pt idx="123">
                  <c:v>17.22822508970409</c:v>
                </c:pt>
                <c:pt idx="124">
                  <c:v>37.161031159320231</c:v>
                </c:pt>
                <c:pt idx="125">
                  <c:v>36.191394019764168</c:v>
                </c:pt>
                <c:pt idx="126">
                  <c:v>47.779212568003764</c:v>
                </c:pt>
                <c:pt idx="127">
                  <c:v>49.236492327449533</c:v>
                </c:pt>
                <c:pt idx="128">
                  <c:v>54.092872137259477</c:v>
                </c:pt>
                <c:pt idx="129">
                  <c:v>49.977068031647548</c:v>
                </c:pt>
                <c:pt idx="130">
                  <c:v>54.381474220197752</c:v>
                </c:pt>
                <c:pt idx="131">
                  <c:v>42.632536030164019</c:v>
                </c:pt>
                <c:pt idx="132">
                  <c:v>44.719905179688212</c:v>
                </c:pt>
                <c:pt idx="133">
                  <c:v>47.221692172542291</c:v>
                </c:pt>
                <c:pt idx="134">
                  <c:v>51.057420162369105</c:v>
                </c:pt>
                <c:pt idx="135">
                  <c:v>49.091703106134823</c:v>
                </c:pt>
                <c:pt idx="136">
                  <c:v>52.740967716738218</c:v>
                </c:pt>
                <c:pt idx="137">
                  <c:v>51.289421174404183</c:v>
                </c:pt>
                <c:pt idx="138">
                  <c:v>52.78226235819772</c:v>
                </c:pt>
                <c:pt idx="139">
                  <c:v>47.018255492226217</c:v>
                </c:pt>
                <c:pt idx="140">
                  <c:v>48.119676153480718</c:v>
                </c:pt>
                <c:pt idx="141">
                  <c:v>34.808482585180748</c:v>
                </c:pt>
                <c:pt idx="142">
                  <c:v>16.841462515060059</c:v>
                </c:pt>
                <c:pt idx="143">
                  <c:v>13.795219571443269</c:v>
                </c:pt>
                <c:pt idx="144">
                  <c:v>39.380444808760252</c:v>
                </c:pt>
                <c:pt idx="145">
                  <c:v>21.147655384989068</c:v>
                </c:pt>
                <c:pt idx="146">
                  <c:v>39.545040085963201</c:v>
                </c:pt>
                <c:pt idx="147">
                  <c:v>51.180341774648134</c:v>
                </c:pt>
                <c:pt idx="148">
                  <c:v>55.868333897831114</c:v>
                </c:pt>
                <c:pt idx="149">
                  <c:v>47.685206348885536</c:v>
                </c:pt>
                <c:pt idx="150">
                  <c:v>53.10337740148799</c:v>
                </c:pt>
                <c:pt idx="151">
                  <c:v>53.510045838152287</c:v>
                </c:pt>
                <c:pt idx="152">
                  <c:v>42.081265623173117</c:v>
                </c:pt>
                <c:pt idx="153">
                  <c:v>52.263870941417707</c:v>
                </c:pt>
                <c:pt idx="154">
                  <c:v>28.824791442720826</c:v>
                </c:pt>
                <c:pt idx="155">
                  <c:v>29.72633293999246</c:v>
                </c:pt>
                <c:pt idx="156">
                  <c:v>42.162675923576529</c:v>
                </c:pt>
                <c:pt idx="157">
                  <c:v>28.312103879339713</c:v>
                </c:pt>
                <c:pt idx="158">
                  <c:v>21.274436300856035</c:v>
                </c:pt>
                <c:pt idx="159">
                  <c:v>43.001162455824165</c:v>
                </c:pt>
                <c:pt idx="160">
                  <c:v>54.478628946894972</c:v>
                </c:pt>
                <c:pt idx="161">
                  <c:v>52.017156524162949</c:v>
                </c:pt>
                <c:pt idx="162">
                  <c:v>41.419011463175828</c:v>
                </c:pt>
                <c:pt idx="163">
                  <c:v>49.769121312848597</c:v>
                </c:pt>
                <c:pt idx="164">
                  <c:v>45.50915232370113</c:v>
                </c:pt>
                <c:pt idx="165">
                  <c:v>51.144196048332248</c:v>
                </c:pt>
                <c:pt idx="166">
                  <c:v>48.54642259677621</c:v>
                </c:pt>
                <c:pt idx="167">
                  <c:v>49.085508224820877</c:v>
                </c:pt>
                <c:pt idx="168">
                  <c:v>51.630649411691863</c:v>
                </c:pt>
                <c:pt idx="169">
                  <c:v>52.91498847210844</c:v>
                </c:pt>
                <c:pt idx="170">
                  <c:v>30.397569659014064</c:v>
                </c:pt>
                <c:pt idx="171">
                  <c:v>18.603764414496332</c:v>
                </c:pt>
                <c:pt idx="172">
                  <c:v>44.422197895314241</c:v>
                </c:pt>
                <c:pt idx="173">
                  <c:v>39.88065101649989</c:v>
                </c:pt>
                <c:pt idx="174">
                  <c:v>43.260836993084034</c:v>
                </c:pt>
                <c:pt idx="175">
                  <c:v>30.41162936139429</c:v>
                </c:pt>
                <c:pt idx="176">
                  <c:v>11.028122872011339</c:v>
                </c:pt>
                <c:pt idx="177">
                  <c:v>16.449322427179265</c:v>
                </c:pt>
                <c:pt idx="178">
                  <c:v>54.416578875157946</c:v>
                </c:pt>
                <c:pt idx="179">
                  <c:v>52.221615487545257</c:v>
                </c:pt>
                <c:pt idx="180">
                  <c:v>12.610808052089673</c:v>
                </c:pt>
                <c:pt idx="181">
                  <c:v>49.477083739671052</c:v>
                </c:pt>
                <c:pt idx="182">
                  <c:v>47.422861271785507</c:v>
                </c:pt>
                <c:pt idx="183">
                  <c:v>43.06165330677586</c:v>
                </c:pt>
                <c:pt idx="184">
                  <c:v>44.117592719746547</c:v>
                </c:pt>
                <c:pt idx="185">
                  <c:v>51.871484793443678</c:v>
                </c:pt>
                <c:pt idx="186">
                  <c:v>39.980976621209983</c:v>
                </c:pt>
                <c:pt idx="187">
                  <c:v>49.199423415710577</c:v>
                </c:pt>
                <c:pt idx="188">
                  <c:v>53.612116397152114</c:v>
                </c:pt>
                <c:pt idx="189">
                  <c:v>52.800514084586375</c:v>
                </c:pt>
                <c:pt idx="190">
                  <c:v>52.595324560182895</c:v>
                </c:pt>
                <c:pt idx="191">
                  <c:v>51.362056534551442</c:v>
                </c:pt>
                <c:pt idx="192">
                  <c:v>50.962991204264675</c:v>
                </c:pt>
                <c:pt idx="193">
                  <c:v>50.966519303470214</c:v>
                </c:pt>
                <c:pt idx="194">
                  <c:v>50.370593625354672</c:v>
                </c:pt>
                <c:pt idx="195">
                  <c:v>48.810587864530348</c:v>
                </c:pt>
                <c:pt idx="196">
                  <c:v>50.317575920283389</c:v>
                </c:pt>
                <c:pt idx="197">
                  <c:v>49.982333184939399</c:v>
                </c:pt>
                <c:pt idx="198">
                  <c:v>50.732986358490287</c:v>
                </c:pt>
                <c:pt idx="199">
                  <c:v>40.099188662995317</c:v>
                </c:pt>
                <c:pt idx="200">
                  <c:v>39.087725804130862</c:v>
                </c:pt>
                <c:pt idx="201">
                  <c:v>49.554300028100712</c:v>
                </c:pt>
                <c:pt idx="202">
                  <c:v>38.697113370615121</c:v>
                </c:pt>
                <c:pt idx="203">
                  <c:v>45.485322324432296</c:v>
                </c:pt>
                <c:pt idx="204">
                  <c:v>49.876928388288484</c:v>
                </c:pt>
                <c:pt idx="205">
                  <c:v>28.8862727216022</c:v>
                </c:pt>
                <c:pt idx="206">
                  <c:v>50.114231911968702</c:v>
                </c:pt>
                <c:pt idx="207">
                  <c:v>52.946303477744365</c:v>
                </c:pt>
                <c:pt idx="208">
                  <c:v>44.569086193766623</c:v>
                </c:pt>
                <c:pt idx="209">
                  <c:v>26.088804704510988</c:v>
                </c:pt>
                <c:pt idx="210">
                  <c:v>45.019210556161532</c:v>
                </c:pt>
                <c:pt idx="211">
                  <c:v>51.488839179459418</c:v>
                </c:pt>
                <c:pt idx="212">
                  <c:v>51.277306294156368</c:v>
                </c:pt>
                <c:pt idx="213">
                  <c:v>51.480272922839006</c:v>
                </c:pt>
                <c:pt idx="214">
                  <c:v>49.325141211968607</c:v>
                </c:pt>
                <c:pt idx="215">
                  <c:v>46.285179828869452</c:v>
                </c:pt>
                <c:pt idx="216">
                  <c:v>43.062542070702357</c:v>
                </c:pt>
                <c:pt idx="217">
                  <c:v>47.186598741498031</c:v>
                </c:pt>
                <c:pt idx="218">
                  <c:v>50.153026895139881</c:v>
                </c:pt>
                <c:pt idx="219">
                  <c:v>50.957233484356024</c:v>
                </c:pt>
                <c:pt idx="220">
                  <c:v>49.251777713284014</c:v>
                </c:pt>
                <c:pt idx="221">
                  <c:v>47.222837423385641</c:v>
                </c:pt>
                <c:pt idx="222">
                  <c:v>43.455331648095779</c:v>
                </c:pt>
                <c:pt idx="223">
                  <c:v>45.604891480013059</c:v>
                </c:pt>
                <c:pt idx="224">
                  <c:v>31.767385391043781</c:v>
                </c:pt>
                <c:pt idx="225">
                  <c:v>33.02733219409793</c:v>
                </c:pt>
                <c:pt idx="226">
                  <c:v>37.869310559431334</c:v>
                </c:pt>
                <c:pt idx="227">
                  <c:v>31.81050354345626</c:v>
                </c:pt>
                <c:pt idx="228">
                  <c:v>21.866276385356002</c:v>
                </c:pt>
                <c:pt idx="229">
                  <c:v>38.048345827756556</c:v>
                </c:pt>
                <c:pt idx="230">
                  <c:v>39.395292619857983</c:v>
                </c:pt>
                <c:pt idx="231">
                  <c:v>46.91652975745761</c:v>
                </c:pt>
                <c:pt idx="232">
                  <c:v>31.628141708987428</c:v>
                </c:pt>
                <c:pt idx="233">
                  <c:v>24.642027811953092</c:v>
                </c:pt>
                <c:pt idx="234">
                  <c:v>44.078398525161667</c:v>
                </c:pt>
                <c:pt idx="235">
                  <c:v>45.541269062729015</c:v>
                </c:pt>
                <c:pt idx="236">
                  <c:v>32.495770662613232</c:v>
                </c:pt>
                <c:pt idx="237">
                  <c:v>40.823866632029244</c:v>
                </c:pt>
                <c:pt idx="238">
                  <c:v>48.098435452142944</c:v>
                </c:pt>
                <c:pt idx="239">
                  <c:v>47.203630242641559</c:v>
                </c:pt>
                <c:pt idx="240">
                  <c:v>31.825500045478044</c:v>
                </c:pt>
                <c:pt idx="241">
                  <c:v>46.210785836816626</c:v>
                </c:pt>
                <c:pt idx="242">
                  <c:v>21.748750760096367</c:v>
                </c:pt>
                <c:pt idx="243">
                  <c:v>41.924563835714984</c:v>
                </c:pt>
                <c:pt idx="244">
                  <c:v>38.45535406033401</c:v>
                </c:pt>
                <c:pt idx="245">
                  <c:v>32.108337584092602</c:v>
                </c:pt>
                <c:pt idx="246">
                  <c:v>46.5689944102986</c:v>
                </c:pt>
                <c:pt idx="247">
                  <c:v>39.368207341629947</c:v>
                </c:pt>
                <c:pt idx="248">
                  <c:v>44.647111627666959</c:v>
                </c:pt>
                <c:pt idx="249">
                  <c:v>34.737463745719658</c:v>
                </c:pt>
                <c:pt idx="250">
                  <c:v>38.039263959438131</c:v>
                </c:pt>
                <c:pt idx="251">
                  <c:v>21.176245679220962</c:v>
                </c:pt>
                <c:pt idx="252">
                  <c:v>44.735554907344913</c:v>
                </c:pt>
                <c:pt idx="253">
                  <c:v>45.261370081195523</c:v>
                </c:pt>
                <c:pt idx="254">
                  <c:v>31.698645827597776</c:v>
                </c:pt>
                <c:pt idx="255">
                  <c:v>11.239746488897021</c:v>
                </c:pt>
                <c:pt idx="256">
                  <c:v>37.298368508775376</c:v>
                </c:pt>
                <c:pt idx="257">
                  <c:v>40.969261835651857</c:v>
                </c:pt>
                <c:pt idx="258">
                  <c:v>27.277259770077805</c:v>
                </c:pt>
                <c:pt idx="259">
                  <c:v>47.171537935730541</c:v>
                </c:pt>
                <c:pt idx="260">
                  <c:v>45.607450908175238</c:v>
                </c:pt>
                <c:pt idx="261">
                  <c:v>44.43175487854802</c:v>
                </c:pt>
                <c:pt idx="262">
                  <c:v>45.770990534749245</c:v>
                </c:pt>
                <c:pt idx="263">
                  <c:v>44.65515925613898</c:v>
                </c:pt>
                <c:pt idx="264">
                  <c:v>43.491404966038928</c:v>
                </c:pt>
                <c:pt idx="265">
                  <c:v>27.478331438934674</c:v>
                </c:pt>
                <c:pt idx="266">
                  <c:v>17.225086115796245</c:v>
                </c:pt>
                <c:pt idx="267">
                  <c:v>30.491293737158873</c:v>
                </c:pt>
                <c:pt idx="268">
                  <c:v>32.88266938785727</c:v>
                </c:pt>
                <c:pt idx="269">
                  <c:v>14.862280428942672</c:v>
                </c:pt>
                <c:pt idx="270">
                  <c:v>17.07714700439799</c:v>
                </c:pt>
                <c:pt idx="271">
                  <c:v>23.420641794578348</c:v>
                </c:pt>
                <c:pt idx="272">
                  <c:v>28.618948898362724</c:v>
                </c:pt>
                <c:pt idx="273">
                  <c:v>36.996334827318542</c:v>
                </c:pt>
                <c:pt idx="274">
                  <c:v>39.765616819003093</c:v>
                </c:pt>
                <c:pt idx="275">
                  <c:v>36.820297093247817</c:v>
                </c:pt>
                <c:pt idx="276">
                  <c:v>41.158551762543333</c:v>
                </c:pt>
                <c:pt idx="277">
                  <c:v>41.747670723317398</c:v>
                </c:pt>
                <c:pt idx="278">
                  <c:v>14.94467567717273</c:v>
                </c:pt>
                <c:pt idx="279">
                  <c:v>28.76193592209826</c:v>
                </c:pt>
                <c:pt idx="280">
                  <c:v>16.092878799783936</c:v>
                </c:pt>
                <c:pt idx="281">
                  <c:v>38.549688708940025</c:v>
                </c:pt>
                <c:pt idx="282">
                  <c:v>31.112582315244701</c:v>
                </c:pt>
                <c:pt idx="283">
                  <c:v>24.552015342860397</c:v>
                </c:pt>
                <c:pt idx="284">
                  <c:v>27.589355414049884</c:v>
                </c:pt>
                <c:pt idx="285">
                  <c:v>22.334453686280391</c:v>
                </c:pt>
                <c:pt idx="286">
                  <c:v>17.554796274625815</c:v>
                </c:pt>
                <c:pt idx="287">
                  <c:v>37.46684408569984</c:v>
                </c:pt>
                <c:pt idx="288">
                  <c:v>33.708864623608733</c:v>
                </c:pt>
                <c:pt idx="289">
                  <c:v>20.193882664075787</c:v>
                </c:pt>
                <c:pt idx="290">
                  <c:v>34.202101582911418</c:v>
                </c:pt>
                <c:pt idx="291">
                  <c:v>15.38336127000766</c:v>
                </c:pt>
                <c:pt idx="292">
                  <c:v>9.0050688181980298</c:v>
                </c:pt>
                <c:pt idx="293">
                  <c:v>15.280762968791754</c:v>
                </c:pt>
                <c:pt idx="294">
                  <c:v>33.668629699166253</c:v>
                </c:pt>
                <c:pt idx="295">
                  <c:v>18.837749642926603</c:v>
                </c:pt>
                <c:pt idx="296">
                  <c:v>25.85293802687525</c:v>
                </c:pt>
                <c:pt idx="297">
                  <c:v>22.006283143002836</c:v>
                </c:pt>
                <c:pt idx="298">
                  <c:v>17.606158032506315</c:v>
                </c:pt>
                <c:pt idx="299">
                  <c:v>13.791864129305827</c:v>
                </c:pt>
                <c:pt idx="300">
                  <c:v>18.170879081143397</c:v>
                </c:pt>
                <c:pt idx="301">
                  <c:v>26.828186071294652</c:v>
                </c:pt>
                <c:pt idx="302">
                  <c:v>22.527184954384982</c:v>
                </c:pt>
                <c:pt idx="303">
                  <c:v>21.650857485339674</c:v>
                </c:pt>
                <c:pt idx="304">
                  <c:v>20.571115094623313</c:v>
                </c:pt>
                <c:pt idx="305">
                  <c:v>29.681544537616436</c:v>
                </c:pt>
                <c:pt idx="306">
                  <c:v>9.577476803499966</c:v>
                </c:pt>
                <c:pt idx="307">
                  <c:v>14.136567277361534</c:v>
                </c:pt>
                <c:pt idx="308">
                  <c:v>30.106956865377835</c:v>
                </c:pt>
                <c:pt idx="309">
                  <c:v>30.99422612759572</c:v>
                </c:pt>
                <c:pt idx="310">
                  <c:v>29.926606204066029</c:v>
                </c:pt>
                <c:pt idx="311">
                  <c:v>18.143238231305236</c:v>
                </c:pt>
                <c:pt idx="312">
                  <c:v>9.0390924828027508</c:v>
                </c:pt>
                <c:pt idx="313">
                  <c:v>24.304429038982573</c:v>
                </c:pt>
                <c:pt idx="314">
                  <c:v>28.34038753121385</c:v>
                </c:pt>
                <c:pt idx="315">
                  <c:v>28.204450732576277</c:v>
                </c:pt>
                <c:pt idx="316">
                  <c:v>24.728515912742505</c:v>
                </c:pt>
                <c:pt idx="317">
                  <c:v>11.609661674681425</c:v>
                </c:pt>
                <c:pt idx="318">
                  <c:v>12.573901685739932</c:v>
                </c:pt>
                <c:pt idx="319">
                  <c:v>27.931856276348316</c:v>
                </c:pt>
                <c:pt idx="320">
                  <c:v>14.390541306674782</c:v>
                </c:pt>
                <c:pt idx="321">
                  <c:v>12.840564717069508</c:v>
                </c:pt>
                <c:pt idx="322">
                  <c:v>8.5392693825100068</c:v>
                </c:pt>
                <c:pt idx="323">
                  <c:v>17.5598302100388</c:v>
                </c:pt>
                <c:pt idx="324">
                  <c:v>3.0055172834702026</c:v>
                </c:pt>
                <c:pt idx="325">
                  <c:v>9.3882831615105644</c:v>
                </c:pt>
                <c:pt idx="326">
                  <c:v>15.368886830167323</c:v>
                </c:pt>
                <c:pt idx="327">
                  <c:v>13.750179812948632</c:v>
                </c:pt>
                <c:pt idx="328">
                  <c:v>4.518792317909873</c:v>
                </c:pt>
                <c:pt idx="329">
                  <c:v>10.547874446852857</c:v>
                </c:pt>
                <c:pt idx="330">
                  <c:v>14.509759908080785</c:v>
                </c:pt>
                <c:pt idx="331">
                  <c:v>10.252144037096322</c:v>
                </c:pt>
                <c:pt idx="332">
                  <c:v>12.510989211506249</c:v>
                </c:pt>
                <c:pt idx="333">
                  <c:v>3.9010411865048504</c:v>
                </c:pt>
                <c:pt idx="334">
                  <c:v>3.4513292230811508</c:v>
                </c:pt>
                <c:pt idx="335">
                  <c:v>4.9954295120396521</c:v>
                </c:pt>
                <c:pt idx="336">
                  <c:v>9.8450761629290415</c:v>
                </c:pt>
                <c:pt idx="337">
                  <c:v>17.867468247205363</c:v>
                </c:pt>
                <c:pt idx="338">
                  <c:v>25.189754768607347</c:v>
                </c:pt>
                <c:pt idx="339">
                  <c:v>14.08085518366693</c:v>
                </c:pt>
                <c:pt idx="340">
                  <c:v>19.897821080529773</c:v>
                </c:pt>
                <c:pt idx="341">
                  <c:v>3.6671054139068593</c:v>
                </c:pt>
                <c:pt idx="342">
                  <c:v>8.2800019165579055</c:v>
                </c:pt>
                <c:pt idx="343">
                  <c:v>15.311829316978146</c:v>
                </c:pt>
                <c:pt idx="344">
                  <c:v>16.427928430844531</c:v>
                </c:pt>
                <c:pt idx="345">
                  <c:v>5.2805470548475935</c:v>
                </c:pt>
                <c:pt idx="346">
                  <c:v>4.9425992246721</c:v>
                </c:pt>
                <c:pt idx="347">
                  <c:v>16.047548959836789</c:v>
                </c:pt>
                <c:pt idx="348">
                  <c:v>5.8564232141016817</c:v>
                </c:pt>
                <c:pt idx="349">
                  <c:v>4.8467427496533961</c:v>
                </c:pt>
                <c:pt idx="350">
                  <c:v>2.8643607474578738</c:v>
                </c:pt>
                <c:pt idx="351">
                  <c:v>18.978934719479774</c:v>
                </c:pt>
                <c:pt idx="352">
                  <c:v>17.841596581544895</c:v>
                </c:pt>
                <c:pt idx="353">
                  <c:v>3.5409781033683982</c:v>
                </c:pt>
                <c:pt idx="354">
                  <c:v>21.090203904883037</c:v>
                </c:pt>
                <c:pt idx="355">
                  <c:v>18.416144884503534</c:v>
                </c:pt>
                <c:pt idx="356">
                  <c:v>19.234189930191768</c:v>
                </c:pt>
                <c:pt idx="357">
                  <c:v>21.963671785663539</c:v>
                </c:pt>
                <c:pt idx="358">
                  <c:v>10.727124934902417</c:v>
                </c:pt>
                <c:pt idx="359">
                  <c:v>19.733016147152796</c:v>
                </c:pt>
                <c:pt idx="360">
                  <c:v>6.3112111158706776</c:v>
                </c:pt>
                <c:pt idx="361">
                  <c:v>19.273326360074343</c:v>
                </c:pt>
                <c:pt idx="362">
                  <c:v>10.559400217085585</c:v>
                </c:pt>
                <c:pt idx="363">
                  <c:v>14.91620270330109</c:v>
                </c:pt>
                <c:pt idx="364">
                  <c:v>12.016198258147041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23.101250995081831</c:v>
                </c:pt>
                <c:pt idx="1">
                  <c:v>16.355762675586458</c:v>
                </c:pt>
                <c:pt idx="2">
                  <c:v>17.54533885282115</c:v>
                </c:pt>
                <c:pt idx="3">
                  <c:v>18.906488349558199</c:v>
                </c:pt>
                <c:pt idx="4">
                  <c:v>13.82241647998549</c:v>
                </c:pt>
                <c:pt idx="5">
                  <c:v>25.009435189390544</c:v>
                </c:pt>
                <c:pt idx="6">
                  <c:v>9.4844479775379558</c:v>
                </c:pt>
                <c:pt idx="7">
                  <c:v>6.4652665892527112</c:v>
                </c:pt>
                <c:pt idx="8">
                  <c:v>1.7940169992223165</c:v>
                </c:pt>
                <c:pt idx="9">
                  <c:v>1.4398157940000385</c:v>
                </c:pt>
                <c:pt idx="10">
                  <c:v>25.724935983615307</c:v>
                </c:pt>
                <c:pt idx="11">
                  <c:v>23.556971548594426</c:v>
                </c:pt>
                <c:pt idx="12">
                  <c:v>5.0986224626630134</c:v>
                </c:pt>
                <c:pt idx="13">
                  <c:v>26.678299040341216</c:v>
                </c:pt>
                <c:pt idx="14">
                  <c:v>27.017209871870158</c:v>
                </c:pt>
                <c:pt idx="15">
                  <c:v>26.59450452050374</c:v>
                </c:pt>
                <c:pt idx="16">
                  <c:v>17.21088810308575</c:v>
                </c:pt>
                <c:pt idx="17">
                  <c:v>3.6416394448467111</c:v>
                </c:pt>
                <c:pt idx="18">
                  <c:v>11.384575570611137</c:v>
                </c:pt>
                <c:pt idx="19">
                  <c:v>5.302246642941272</c:v>
                </c:pt>
                <c:pt idx="20">
                  <c:v>18.179710417565271</c:v>
                </c:pt>
                <c:pt idx="21">
                  <c:v>28.088275265035769</c:v>
                </c:pt>
                <c:pt idx="22">
                  <c:v>27.895270069216462</c:v>
                </c:pt>
                <c:pt idx="23">
                  <c:v>28.53860225327627</c:v>
                </c:pt>
                <c:pt idx="24">
                  <c:v>27.700495759268602</c:v>
                </c:pt>
                <c:pt idx="25">
                  <c:v>28.544649333968628</c:v>
                </c:pt>
                <c:pt idx="26">
                  <c:v>25.025249693082639</c:v>
                </c:pt>
                <c:pt idx="27">
                  <c:v>3.7007321623522555</c:v>
                </c:pt>
                <c:pt idx="28">
                  <c:v>5.9492939886195595</c:v>
                </c:pt>
                <c:pt idx="29">
                  <c:v>4.2338762793447042</c:v>
                </c:pt>
                <c:pt idx="30">
                  <c:v>10.533652366953207</c:v>
                </c:pt>
                <c:pt idx="31">
                  <c:v>13.361832871786694</c:v>
                </c:pt>
                <c:pt idx="32">
                  <c:v>4.9379979399816571</c:v>
                </c:pt>
                <c:pt idx="33">
                  <c:v>13.798592382006463</c:v>
                </c:pt>
                <c:pt idx="34">
                  <c:v>11.481322146093454</c:v>
                </c:pt>
                <c:pt idx="35">
                  <c:v>9.5138770804148418</c:v>
                </c:pt>
                <c:pt idx="36">
                  <c:v>21.542634632161153</c:v>
                </c:pt>
                <c:pt idx="37">
                  <c:v>13.332695174612279</c:v>
                </c:pt>
                <c:pt idx="38">
                  <c:v>33.643448920383086</c:v>
                </c:pt>
                <c:pt idx="39">
                  <c:v>33.732553614857984</c:v>
                </c:pt>
                <c:pt idx="40">
                  <c:v>31.571326364849753</c:v>
                </c:pt>
                <c:pt idx="41">
                  <c:v>14.691765663400586</c:v>
                </c:pt>
                <c:pt idx="42">
                  <c:v>25.926389115633157</c:v>
                </c:pt>
                <c:pt idx="43">
                  <c:v>31.210254318363997</c:v>
                </c:pt>
                <c:pt idx="44">
                  <c:v>17.168158113127983</c:v>
                </c:pt>
                <c:pt idx="45">
                  <c:v>20.394718718047702</c:v>
                </c:pt>
                <c:pt idx="46">
                  <c:v>8.9142490921637609</c:v>
                </c:pt>
                <c:pt idx="47">
                  <c:v>10.815572809932936</c:v>
                </c:pt>
                <c:pt idx="48">
                  <c:v>30.285764343303505</c:v>
                </c:pt>
                <c:pt idx="49">
                  <c:v>16.467934502250269</c:v>
                </c:pt>
                <c:pt idx="50">
                  <c:v>20.481577330625232</c:v>
                </c:pt>
                <c:pt idx="51">
                  <c:v>20.766696972753362</c:v>
                </c:pt>
                <c:pt idx="52">
                  <c:v>34.37551233603596</c:v>
                </c:pt>
                <c:pt idx="53">
                  <c:v>35.347671049007467</c:v>
                </c:pt>
                <c:pt idx="54">
                  <c:v>21.094402779176907</c:v>
                </c:pt>
                <c:pt idx="55">
                  <c:v>29.993548158982044</c:v>
                </c:pt>
                <c:pt idx="56">
                  <c:v>39.819343467656061</c:v>
                </c:pt>
                <c:pt idx="57">
                  <c:v>26.215372980671468</c:v>
                </c:pt>
                <c:pt idx="58">
                  <c:v>35.159406863309449</c:v>
                </c:pt>
                <c:pt idx="59">
                  <c:v>38.568320410110076</c:v>
                </c:pt>
                <c:pt idx="60">
                  <c:v>15.263700998440594</c:v>
                </c:pt>
                <c:pt idx="61">
                  <c:v>35.559934499179583</c:v>
                </c:pt>
                <c:pt idx="62">
                  <c:v>5.3024486112222284</c:v>
                </c:pt>
                <c:pt idx="63">
                  <c:v>12.388679663848652</c:v>
                </c:pt>
                <c:pt idx="64">
                  <c:v>19.571893943637157</c:v>
                </c:pt>
                <c:pt idx="65">
                  <c:v>38.046937637743262</c:v>
                </c:pt>
                <c:pt idx="66">
                  <c:v>29.949956750996847</c:v>
                </c:pt>
                <c:pt idx="67">
                  <c:v>28.44542981748722</c:v>
                </c:pt>
                <c:pt idx="68">
                  <c:v>22.319005312112402</c:v>
                </c:pt>
                <c:pt idx="69">
                  <c:v>14.166371046174206</c:v>
                </c:pt>
                <c:pt idx="70">
                  <c:v>13.552865581916963</c:v>
                </c:pt>
                <c:pt idx="71">
                  <c:v>8.2413187396273049</c:v>
                </c:pt>
                <c:pt idx="72">
                  <c:v>11.047196483579466</c:v>
                </c:pt>
                <c:pt idx="73">
                  <c:v>13.135149432082745</c:v>
                </c:pt>
                <c:pt idx="74">
                  <c:v>11.012293322630111</c:v>
                </c:pt>
                <c:pt idx="75">
                  <c:v>9.7190071511342371</c:v>
                </c:pt>
                <c:pt idx="76">
                  <c:v>12.44135022346056</c:v>
                </c:pt>
                <c:pt idx="77">
                  <c:v>27.952727996098535</c:v>
                </c:pt>
                <c:pt idx="78">
                  <c:v>31.051390252624422</c:v>
                </c:pt>
                <c:pt idx="79">
                  <c:v>44.68211088623756</c:v>
                </c:pt>
                <c:pt idx="80">
                  <c:v>41.926744624670114</c:v>
                </c:pt>
                <c:pt idx="81">
                  <c:v>46.626831125100523</c:v>
                </c:pt>
                <c:pt idx="82">
                  <c:v>45.774273376695604</c:v>
                </c:pt>
                <c:pt idx="83">
                  <c:v>39.288927734323721</c:v>
                </c:pt>
                <c:pt idx="84">
                  <c:v>43.593315996362243</c:v>
                </c:pt>
                <c:pt idx="85">
                  <c:v>43.559244689517797</c:v>
                </c:pt>
                <c:pt idx="86">
                  <c:v>33.636899336447051</c:v>
                </c:pt>
                <c:pt idx="87">
                  <c:v>25.964140668261336</c:v>
                </c:pt>
                <c:pt idx="88">
                  <c:v>6.5908290419476208</c:v>
                </c:pt>
                <c:pt idx="89">
                  <c:v>26.225392319070366</c:v>
                </c:pt>
                <c:pt idx="90">
                  <c:v>28.602002735351999</c:v>
                </c:pt>
                <c:pt idx="91">
                  <c:v>18.853779801001192</c:v>
                </c:pt>
                <c:pt idx="92">
                  <c:v>23.726108831923277</c:v>
                </c:pt>
                <c:pt idx="93">
                  <c:v>42.065926209266003</c:v>
                </c:pt>
                <c:pt idx="94">
                  <c:v>49.885793236729533</c:v>
                </c:pt>
                <c:pt idx="95">
                  <c:v>11.147016006482009</c:v>
                </c:pt>
                <c:pt idx="96">
                  <c:v>38.115101390626599</c:v>
                </c:pt>
                <c:pt idx="97">
                  <c:v>30.24636915141782</c:v>
                </c:pt>
                <c:pt idx="98">
                  <c:v>34.266975047097858</c:v>
                </c:pt>
                <c:pt idx="99">
                  <c:v>51.001299529022837</c:v>
                </c:pt>
                <c:pt idx="100">
                  <c:v>38.705554338831725</c:v>
                </c:pt>
                <c:pt idx="101">
                  <c:v>34.507321923753864</c:v>
                </c:pt>
                <c:pt idx="102">
                  <c:v>6.7921526339205744</c:v>
                </c:pt>
                <c:pt idx="103">
                  <c:v>37.856306082366068</c:v>
                </c:pt>
                <c:pt idx="104">
                  <c:v>41.696272706061251</c:v>
                </c:pt>
                <c:pt idx="105">
                  <c:v>42.867210608215274</c:v>
                </c:pt>
                <c:pt idx="106">
                  <c:v>50.751800950077076</c:v>
                </c:pt>
                <c:pt idx="107">
                  <c:v>38.172747385873365</c:v>
                </c:pt>
                <c:pt idx="108">
                  <c:v>10.159544973333821</c:v>
                </c:pt>
                <c:pt idx="109">
                  <c:v>9.5551655513656346</c:v>
                </c:pt>
                <c:pt idx="110">
                  <c:v>9.0217218040936338</c:v>
                </c:pt>
                <c:pt idx="111">
                  <c:v>28.646512669267427</c:v>
                </c:pt>
                <c:pt idx="112">
                  <c:v>7.9537776703780336</c:v>
                </c:pt>
                <c:pt idx="113">
                  <c:v>35.845189267066495</c:v>
                </c:pt>
                <c:pt idx="114">
                  <c:v>45.091635119824097</c:v>
                </c:pt>
                <c:pt idx="115">
                  <c:v>51.040079509908324</c:v>
                </c:pt>
                <c:pt idx="116">
                  <c:v>36.654201823573509</c:v>
                </c:pt>
                <c:pt idx="117">
                  <c:v>21.831958083972321</c:v>
                </c:pt>
                <c:pt idx="118">
                  <c:v>41.128469635132404</c:v>
                </c:pt>
                <c:pt idx="119">
                  <c:v>43.97663617868379</c:v>
                </c:pt>
                <c:pt idx="120">
                  <c:v>44.769631001221114</c:v>
                </c:pt>
                <c:pt idx="121">
                  <c:v>27.11923039046691</c:v>
                </c:pt>
                <c:pt idx="122">
                  <c:v>10.976597771847143</c:v>
                </c:pt>
                <c:pt idx="123">
                  <c:v>17.22822508970409</c:v>
                </c:pt>
                <c:pt idx="124">
                  <c:v>37.161031159320231</c:v>
                </c:pt>
                <c:pt idx="125">
                  <c:v>36.191394019764168</c:v>
                </c:pt>
                <c:pt idx="126">
                  <c:v>47.779212568003764</c:v>
                </c:pt>
                <c:pt idx="127">
                  <c:v>49.236492327449533</c:v>
                </c:pt>
                <c:pt idx="128">
                  <c:v>54.092872137259477</c:v>
                </c:pt>
                <c:pt idx="129">
                  <c:v>49.977068031647548</c:v>
                </c:pt>
                <c:pt idx="130">
                  <c:v>54.381474220197752</c:v>
                </c:pt>
                <c:pt idx="131">
                  <c:v>42.632536030164019</c:v>
                </c:pt>
                <c:pt idx="132">
                  <c:v>44.719905179688212</c:v>
                </c:pt>
                <c:pt idx="133">
                  <c:v>47.221692172542291</c:v>
                </c:pt>
                <c:pt idx="134">
                  <c:v>51.057420162369105</c:v>
                </c:pt>
                <c:pt idx="135">
                  <c:v>49.091703106134823</c:v>
                </c:pt>
                <c:pt idx="136">
                  <c:v>52.740967716738218</c:v>
                </c:pt>
                <c:pt idx="137">
                  <c:v>51.289421174404183</c:v>
                </c:pt>
                <c:pt idx="138">
                  <c:v>52.78226235819772</c:v>
                </c:pt>
                <c:pt idx="139">
                  <c:v>47.018255492226217</c:v>
                </c:pt>
                <c:pt idx="140">
                  <c:v>48.119676153480718</c:v>
                </c:pt>
                <c:pt idx="141">
                  <c:v>34.808482585180748</c:v>
                </c:pt>
                <c:pt idx="142">
                  <c:v>16.841462515060059</c:v>
                </c:pt>
                <c:pt idx="143">
                  <c:v>13.795219571443269</c:v>
                </c:pt>
                <c:pt idx="144">
                  <c:v>39.380444808760252</c:v>
                </c:pt>
                <c:pt idx="145">
                  <c:v>21.147655384989068</c:v>
                </c:pt>
                <c:pt idx="146">
                  <c:v>39.545040085963201</c:v>
                </c:pt>
                <c:pt idx="147">
                  <c:v>51.180341774648134</c:v>
                </c:pt>
                <c:pt idx="148">
                  <c:v>55.868333897831114</c:v>
                </c:pt>
                <c:pt idx="149">
                  <c:v>47.685206348885536</c:v>
                </c:pt>
                <c:pt idx="150">
                  <c:v>53.10337740148799</c:v>
                </c:pt>
                <c:pt idx="151">
                  <c:v>53.510045838152287</c:v>
                </c:pt>
                <c:pt idx="152">
                  <c:v>42.081265623173117</c:v>
                </c:pt>
                <c:pt idx="153">
                  <c:v>52.263870941417707</c:v>
                </c:pt>
                <c:pt idx="154">
                  <c:v>28.824791442720826</c:v>
                </c:pt>
                <c:pt idx="155">
                  <c:v>29.72633293999246</c:v>
                </c:pt>
                <c:pt idx="156">
                  <c:v>42.162675923576529</c:v>
                </c:pt>
                <c:pt idx="157">
                  <c:v>28.312103879339713</c:v>
                </c:pt>
                <c:pt idx="158">
                  <c:v>21.274436300856035</c:v>
                </c:pt>
                <c:pt idx="159">
                  <c:v>43.001162455824165</c:v>
                </c:pt>
                <c:pt idx="160">
                  <c:v>54.478628946894972</c:v>
                </c:pt>
                <c:pt idx="161">
                  <c:v>52.017156524162949</c:v>
                </c:pt>
                <c:pt idx="162">
                  <c:v>41.419011463175828</c:v>
                </c:pt>
                <c:pt idx="163">
                  <c:v>49.769121312848597</c:v>
                </c:pt>
                <c:pt idx="164">
                  <c:v>45.50915232370113</c:v>
                </c:pt>
                <c:pt idx="165">
                  <c:v>51.144196048332248</c:v>
                </c:pt>
                <c:pt idx="166">
                  <c:v>48.54642259677621</c:v>
                </c:pt>
                <c:pt idx="167">
                  <c:v>49.085508224820877</c:v>
                </c:pt>
                <c:pt idx="168">
                  <c:v>51.630649411691863</c:v>
                </c:pt>
                <c:pt idx="169">
                  <c:v>52.91498847210844</c:v>
                </c:pt>
                <c:pt idx="170">
                  <c:v>30.397569659014064</c:v>
                </c:pt>
                <c:pt idx="171">
                  <c:v>18.603764414496332</c:v>
                </c:pt>
                <c:pt idx="172">
                  <c:v>44.422197895314241</c:v>
                </c:pt>
                <c:pt idx="173">
                  <c:v>39.88065101649989</c:v>
                </c:pt>
                <c:pt idx="174">
                  <c:v>43.260836993084034</c:v>
                </c:pt>
                <c:pt idx="175">
                  <c:v>30.41162936139429</c:v>
                </c:pt>
                <c:pt idx="176">
                  <c:v>11.028122872011339</c:v>
                </c:pt>
                <c:pt idx="177">
                  <c:v>16.449322427179265</c:v>
                </c:pt>
                <c:pt idx="178">
                  <c:v>54.416578875157946</c:v>
                </c:pt>
                <c:pt idx="179">
                  <c:v>52.221615487545257</c:v>
                </c:pt>
                <c:pt idx="180">
                  <c:v>12.610808052089673</c:v>
                </c:pt>
                <c:pt idx="181">
                  <c:v>49.477083739671052</c:v>
                </c:pt>
                <c:pt idx="182">
                  <c:v>47.422861271785507</c:v>
                </c:pt>
                <c:pt idx="183">
                  <c:v>43.06165330677586</c:v>
                </c:pt>
                <c:pt idx="184">
                  <c:v>44.117592719746547</c:v>
                </c:pt>
                <c:pt idx="185">
                  <c:v>51.871484793443678</c:v>
                </c:pt>
                <c:pt idx="186">
                  <c:v>39.980976621209983</c:v>
                </c:pt>
                <c:pt idx="187">
                  <c:v>49.199423415710577</c:v>
                </c:pt>
                <c:pt idx="188">
                  <c:v>53.612116397152114</c:v>
                </c:pt>
                <c:pt idx="189">
                  <c:v>52.800514084586375</c:v>
                </c:pt>
                <c:pt idx="190">
                  <c:v>52.595324560182895</c:v>
                </c:pt>
                <c:pt idx="191">
                  <c:v>51.362056534551442</c:v>
                </c:pt>
                <c:pt idx="192">
                  <c:v>50.962991204264675</c:v>
                </c:pt>
                <c:pt idx="193">
                  <c:v>50.966519303470214</c:v>
                </c:pt>
                <c:pt idx="194">
                  <c:v>50.370593625354672</c:v>
                </c:pt>
                <c:pt idx="195">
                  <c:v>48.810587864530348</c:v>
                </c:pt>
                <c:pt idx="196">
                  <c:v>50.317575920283389</c:v>
                </c:pt>
                <c:pt idx="197">
                  <c:v>49.982333184939399</c:v>
                </c:pt>
                <c:pt idx="198">
                  <c:v>50.732986358490287</c:v>
                </c:pt>
                <c:pt idx="199">
                  <c:v>40.099188662995317</c:v>
                </c:pt>
                <c:pt idx="200">
                  <c:v>39.087725804130862</c:v>
                </c:pt>
                <c:pt idx="201">
                  <c:v>49.554300028100712</c:v>
                </c:pt>
                <c:pt idx="202">
                  <c:v>38.697113370615121</c:v>
                </c:pt>
                <c:pt idx="203">
                  <c:v>45.485322324432296</c:v>
                </c:pt>
                <c:pt idx="204">
                  <c:v>49.876928388288484</c:v>
                </c:pt>
                <c:pt idx="205">
                  <c:v>28.8862727216022</c:v>
                </c:pt>
                <c:pt idx="206">
                  <c:v>50.114231911968702</c:v>
                </c:pt>
                <c:pt idx="207">
                  <c:v>52.946303477744365</c:v>
                </c:pt>
                <c:pt idx="208">
                  <c:v>44.569086193766623</c:v>
                </c:pt>
                <c:pt idx="209">
                  <c:v>26.088804704510988</c:v>
                </c:pt>
                <c:pt idx="210">
                  <c:v>45.019210556161532</c:v>
                </c:pt>
                <c:pt idx="211">
                  <c:v>51.488839179459418</c:v>
                </c:pt>
                <c:pt idx="212">
                  <c:v>51.277306294156368</c:v>
                </c:pt>
                <c:pt idx="213">
                  <c:v>51.480272922839006</c:v>
                </c:pt>
                <c:pt idx="214">
                  <c:v>49.325141211968607</c:v>
                </c:pt>
                <c:pt idx="215">
                  <c:v>46.285179828869452</c:v>
                </c:pt>
                <c:pt idx="216">
                  <c:v>43.062542070702357</c:v>
                </c:pt>
                <c:pt idx="217">
                  <c:v>47.186598741498031</c:v>
                </c:pt>
                <c:pt idx="218">
                  <c:v>50.153026895139881</c:v>
                </c:pt>
                <c:pt idx="219">
                  <c:v>50.957233484356024</c:v>
                </c:pt>
                <c:pt idx="220">
                  <c:v>49.251777713284014</c:v>
                </c:pt>
                <c:pt idx="221">
                  <c:v>47.222837423385641</c:v>
                </c:pt>
                <c:pt idx="222">
                  <c:v>43.455331648095779</c:v>
                </c:pt>
                <c:pt idx="223">
                  <c:v>45.604891480013059</c:v>
                </c:pt>
                <c:pt idx="224">
                  <c:v>31.767385391043781</c:v>
                </c:pt>
                <c:pt idx="225">
                  <c:v>33.02733219409793</c:v>
                </c:pt>
                <c:pt idx="226">
                  <c:v>37.869310559431334</c:v>
                </c:pt>
                <c:pt idx="227">
                  <c:v>31.81050354345626</c:v>
                </c:pt>
                <c:pt idx="228">
                  <c:v>21.866276385356002</c:v>
                </c:pt>
                <c:pt idx="229">
                  <c:v>38.048345827756556</c:v>
                </c:pt>
                <c:pt idx="230">
                  <c:v>39.395292619857983</c:v>
                </c:pt>
                <c:pt idx="231">
                  <c:v>46.91652975745761</c:v>
                </c:pt>
                <c:pt idx="232">
                  <c:v>31.628141708987428</c:v>
                </c:pt>
                <c:pt idx="233">
                  <c:v>24.642027811953092</c:v>
                </c:pt>
                <c:pt idx="234">
                  <c:v>44.078398525161667</c:v>
                </c:pt>
                <c:pt idx="235">
                  <c:v>45.541269062729015</c:v>
                </c:pt>
                <c:pt idx="236">
                  <c:v>32.495770662613232</c:v>
                </c:pt>
                <c:pt idx="237">
                  <c:v>40.823866632029244</c:v>
                </c:pt>
                <c:pt idx="238">
                  <c:v>48.098435452142944</c:v>
                </c:pt>
                <c:pt idx="239">
                  <c:v>47.203630242641559</c:v>
                </c:pt>
                <c:pt idx="240">
                  <c:v>31.825500045478044</c:v>
                </c:pt>
                <c:pt idx="241">
                  <c:v>46.210785836816626</c:v>
                </c:pt>
                <c:pt idx="242">
                  <c:v>21.748750760096367</c:v>
                </c:pt>
                <c:pt idx="243">
                  <c:v>41.924563835714984</c:v>
                </c:pt>
                <c:pt idx="244">
                  <c:v>38.45535406033401</c:v>
                </c:pt>
                <c:pt idx="245">
                  <c:v>32.108337584092602</c:v>
                </c:pt>
                <c:pt idx="246">
                  <c:v>46.5689944102986</c:v>
                </c:pt>
                <c:pt idx="247">
                  <c:v>39.368207341629947</c:v>
                </c:pt>
                <c:pt idx="248">
                  <c:v>44.647111627666959</c:v>
                </c:pt>
                <c:pt idx="249">
                  <c:v>34.737463745719658</c:v>
                </c:pt>
                <c:pt idx="250">
                  <c:v>38.039263959438131</c:v>
                </c:pt>
                <c:pt idx="251">
                  <c:v>21.176245679220962</c:v>
                </c:pt>
                <c:pt idx="252">
                  <c:v>44.735554907344913</c:v>
                </c:pt>
                <c:pt idx="253">
                  <c:v>45.261370081195523</c:v>
                </c:pt>
                <c:pt idx="254">
                  <c:v>31.698645827597776</c:v>
                </c:pt>
                <c:pt idx="255">
                  <c:v>11.239746488897021</c:v>
                </c:pt>
                <c:pt idx="256">
                  <c:v>37.298368508775376</c:v>
                </c:pt>
                <c:pt idx="257">
                  <c:v>40.969261835651857</c:v>
                </c:pt>
                <c:pt idx="258">
                  <c:v>27.277259770077805</c:v>
                </c:pt>
                <c:pt idx="259">
                  <c:v>47.171537935730541</c:v>
                </c:pt>
                <c:pt idx="260">
                  <c:v>45.607450908175238</c:v>
                </c:pt>
                <c:pt idx="261">
                  <c:v>44.43175487854802</c:v>
                </c:pt>
                <c:pt idx="262">
                  <c:v>45.770990534749245</c:v>
                </c:pt>
                <c:pt idx="263">
                  <c:v>44.65515925613898</c:v>
                </c:pt>
                <c:pt idx="264">
                  <c:v>43.491404966038928</c:v>
                </c:pt>
                <c:pt idx="265">
                  <c:v>27.478331438934674</c:v>
                </c:pt>
                <c:pt idx="266">
                  <c:v>17.225086115796245</c:v>
                </c:pt>
                <c:pt idx="267">
                  <c:v>30.491293737158873</c:v>
                </c:pt>
                <c:pt idx="268">
                  <c:v>32.88266938785727</c:v>
                </c:pt>
                <c:pt idx="269">
                  <c:v>14.862280428942672</c:v>
                </c:pt>
                <c:pt idx="270">
                  <c:v>17.07714700439799</c:v>
                </c:pt>
                <c:pt idx="271">
                  <c:v>23.420641794578348</c:v>
                </c:pt>
                <c:pt idx="272">
                  <c:v>28.618948898362724</c:v>
                </c:pt>
                <c:pt idx="273">
                  <c:v>36.996334827318542</c:v>
                </c:pt>
                <c:pt idx="274">
                  <c:v>39.765616819003093</c:v>
                </c:pt>
                <c:pt idx="275">
                  <c:v>36.820297093247817</c:v>
                </c:pt>
                <c:pt idx="276">
                  <c:v>41.158551762543333</c:v>
                </c:pt>
                <c:pt idx="277">
                  <c:v>41.747670723317398</c:v>
                </c:pt>
                <c:pt idx="278">
                  <c:v>14.94467567717273</c:v>
                </c:pt>
                <c:pt idx="279">
                  <c:v>28.76193592209826</c:v>
                </c:pt>
                <c:pt idx="280">
                  <c:v>16.092878799783936</c:v>
                </c:pt>
                <c:pt idx="281">
                  <c:v>38.549688708940025</c:v>
                </c:pt>
                <c:pt idx="282">
                  <c:v>31.112582315244701</c:v>
                </c:pt>
                <c:pt idx="283">
                  <c:v>24.552015342860397</c:v>
                </c:pt>
                <c:pt idx="284">
                  <c:v>27.589355414049884</c:v>
                </c:pt>
                <c:pt idx="285">
                  <c:v>22.334453686280391</c:v>
                </c:pt>
                <c:pt idx="286">
                  <c:v>17.554796274625815</c:v>
                </c:pt>
                <c:pt idx="287">
                  <c:v>37.46684408569984</c:v>
                </c:pt>
                <c:pt idx="288">
                  <c:v>33.708864623608733</c:v>
                </c:pt>
                <c:pt idx="289">
                  <c:v>20.193882664075787</c:v>
                </c:pt>
                <c:pt idx="290">
                  <c:v>34.202101582911418</c:v>
                </c:pt>
                <c:pt idx="291">
                  <c:v>15.38336127000766</c:v>
                </c:pt>
                <c:pt idx="292">
                  <c:v>9.0050688181980298</c:v>
                </c:pt>
                <c:pt idx="293">
                  <c:v>15.280762968791754</c:v>
                </c:pt>
                <c:pt idx="294">
                  <c:v>33.668629699166253</c:v>
                </c:pt>
                <c:pt idx="295">
                  <c:v>18.837749642926603</c:v>
                </c:pt>
                <c:pt idx="296">
                  <c:v>25.85293802687525</c:v>
                </c:pt>
                <c:pt idx="297">
                  <c:v>22.006283143002836</c:v>
                </c:pt>
                <c:pt idx="298">
                  <c:v>17.606158032506315</c:v>
                </c:pt>
                <c:pt idx="299">
                  <c:v>13.791864129305827</c:v>
                </c:pt>
                <c:pt idx="300">
                  <c:v>18.170879081143397</c:v>
                </c:pt>
                <c:pt idx="301">
                  <c:v>26.828186071294652</c:v>
                </c:pt>
                <c:pt idx="302">
                  <c:v>22.527184954384982</c:v>
                </c:pt>
                <c:pt idx="303">
                  <c:v>21.650857485339674</c:v>
                </c:pt>
                <c:pt idx="304">
                  <c:v>20.571115094623313</c:v>
                </c:pt>
                <c:pt idx="305">
                  <c:v>29.681544537616436</c:v>
                </c:pt>
                <c:pt idx="306">
                  <c:v>9.577476803499966</c:v>
                </c:pt>
                <c:pt idx="307">
                  <c:v>14.136567277361534</c:v>
                </c:pt>
                <c:pt idx="308">
                  <c:v>30.106956865377835</c:v>
                </c:pt>
                <c:pt idx="309">
                  <c:v>30.99422612759572</c:v>
                </c:pt>
                <c:pt idx="310">
                  <c:v>29.926606204066029</c:v>
                </c:pt>
                <c:pt idx="311">
                  <c:v>18.143238231305236</c:v>
                </c:pt>
                <c:pt idx="312">
                  <c:v>9.0390924828027508</c:v>
                </c:pt>
                <c:pt idx="313">
                  <c:v>24.304429038982573</c:v>
                </c:pt>
                <c:pt idx="314">
                  <c:v>28.34038753121385</c:v>
                </c:pt>
                <c:pt idx="315">
                  <c:v>28.204450732576277</c:v>
                </c:pt>
                <c:pt idx="316">
                  <c:v>24.728515912742505</c:v>
                </c:pt>
                <c:pt idx="317">
                  <c:v>11.609661674681425</c:v>
                </c:pt>
                <c:pt idx="318">
                  <c:v>12.573901685739932</c:v>
                </c:pt>
                <c:pt idx="319">
                  <c:v>27.931856276348316</c:v>
                </c:pt>
                <c:pt idx="320">
                  <c:v>14.390541306674782</c:v>
                </c:pt>
                <c:pt idx="321">
                  <c:v>12.840564717069508</c:v>
                </c:pt>
                <c:pt idx="322">
                  <c:v>8.5392693825100068</c:v>
                </c:pt>
                <c:pt idx="323">
                  <c:v>17.5598302100388</c:v>
                </c:pt>
                <c:pt idx="324">
                  <c:v>3.0055172834702026</c:v>
                </c:pt>
                <c:pt idx="325">
                  <c:v>9.3882831615105644</c:v>
                </c:pt>
                <c:pt idx="326">
                  <c:v>15.368886830167323</c:v>
                </c:pt>
                <c:pt idx="327">
                  <c:v>13.750179812948632</c:v>
                </c:pt>
                <c:pt idx="328">
                  <c:v>4.518792317909873</c:v>
                </c:pt>
                <c:pt idx="329">
                  <c:v>10.547874446852857</c:v>
                </c:pt>
                <c:pt idx="330">
                  <c:v>14.509759908080785</c:v>
                </c:pt>
                <c:pt idx="331">
                  <c:v>10.252144037096322</c:v>
                </c:pt>
                <c:pt idx="332">
                  <c:v>12.510989211506249</c:v>
                </c:pt>
                <c:pt idx="333">
                  <c:v>3.9010411865048504</c:v>
                </c:pt>
                <c:pt idx="334">
                  <c:v>3.4513292230811508</c:v>
                </c:pt>
                <c:pt idx="335">
                  <c:v>4.9954295120396521</c:v>
                </c:pt>
                <c:pt idx="336">
                  <c:v>9.8450761629290415</c:v>
                </c:pt>
                <c:pt idx="337">
                  <c:v>17.867468247205363</c:v>
                </c:pt>
                <c:pt idx="338">
                  <c:v>25.189754768607347</c:v>
                </c:pt>
                <c:pt idx="339">
                  <c:v>14.08085518366693</c:v>
                </c:pt>
                <c:pt idx="340">
                  <c:v>19.897821080529773</c:v>
                </c:pt>
                <c:pt idx="341">
                  <c:v>3.6671054139068593</c:v>
                </c:pt>
                <c:pt idx="342">
                  <c:v>8.2800019165579055</c:v>
                </c:pt>
                <c:pt idx="343">
                  <c:v>15.311829316978146</c:v>
                </c:pt>
                <c:pt idx="344">
                  <c:v>16.427928430844531</c:v>
                </c:pt>
                <c:pt idx="345">
                  <c:v>5.2805470548475935</c:v>
                </c:pt>
                <c:pt idx="346">
                  <c:v>4.9425992246721</c:v>
                </c:pt>
                <c:pt idx="347">
                  <c:v>16.047548959836789</c:v>
                </c:pt>
                <c:pt idx="348">
                  <c:v>5.8564232141016817</c:v>
                </c:pt>
                <c:pt idx="349">
                  <c:v>4.8467427496533961</c:v>
                </c:pt>
                <c:pt idx="350">
                  <c:v>2.8643607474578738</c:v>
                </c:pt>
                <c:pt idx="351">
                  <c:v>18.978934719479774</c:v>
                </c:pt>
                <c:pt idx="352">
                  <c:v>17.841596581544895</c:v>
                </c:pt>
                <c:pt idx="353">
                  <c:v>3.5409781033683982</c:v>
                </c:pt>
                <c:pt idx="354">
                  <c:v>21.090203904883037</c:v>
                </c:pt>
                <c:pt idx="355">
                  <c:v>18.416144884503534</c:v>
                </c:pt>
                <c:pt idx="356">
                  <c:v>19.234189930191768</c:v>
                </c:pt>
                <c:pt idx="357">
                  <c:v>21.963671785663539</c:v>
                </c:pt>
                <c:pt idx="358">
                  <c:v>10.727124934902417</c:v>
                </c:pt>
                <c:pt idx="359">
                  <c:v>19.733016147152796</c:v>
                </c:pt>
                <c:pt idx="360">
                  <c:v>6.3112111158706776</c:v>
                </c:pt>
                <c:pt idx="361">
                  <c:v>19.273326360074343</c:v>
                </c:pt>
                <c:pt idx="362">
                  <c:v>10.559400217085585</c:v>
                </c:pt>
                <c:pt idx="363">
                  <c:v>14.91620270330109</c:v>
                </c:pt>
                <c:pt idx="364">
                  <c:v>12.016198258147041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7696"/>
        <c:axId val="592958088"/>
      </c:lineChart>
      <c:dateAx>
        <c:axId val="59295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8088"/>
        <c:crosses val="autoZero"/>
        <c:auto val="1"/>
        <c:lblOffset val="100"/>
        <c:baseTimeUnit val="days"/>
        <c:majorUnit val="1"/>
        <c:majorTimeUnit val="months"/>
      </c:dateAx>
      <c:valAx>
        <c:axId val="5929580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76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5.7728803566307808E-2</c:v>
                </c:pt>
                <c:pt idx="1">
                  <c:v>5.7749415440705311E-2</c:v>
                </c:pt>
                <c:pt idx="2">
                  <c:v>5.7770026863649827E-2</c:v>
                </c:pt>
                <c:pt idx="3">
                  <c:v>5.7790637835151239E-2</c:v>
                </c:pt>
                <c:pt idx="4">
                  <c:v>5.7811248355219537E-2</c:v>
                </c:pt>
                <c:pt idx="5">
                  <c:v>5.7831858423864492E-2</c:v>
                </c:pt>
                <c:pt idx="6">
                  <c:v>5.7852468041096096E-2</c:v>
                </c:pt>
                <c:pt idx="7">
                  <c:v>5.787307720692423E-2</c:v>
                </c:pt>
                <c:pt idx="8">
                  <c:v>5.7893685921358663E-2</c:v>
                </c:pt>
                <c:pt idx="9">
                  <c:v>5.7914294184409389E-2</c:v>
                </c:pt>
                <c:pt idx="10">
                  <c:v>5.7934901996086287E-2</c:v>
                </c:pt>
                <c:pt idx="11">
                  <c:v>5.7955509356399128E-2</c:v>
                </c:pt>
                <c:pt idx="12">
                  <c:v>5.7976116265358014E-2</c:v>
                </c:pt>
                <c:pt idx="13">
                  <c:v>5.7996722722972606E-2</c:v>
                </c:pt>
                <c:pt idx="14">
                  <c:v>5.8017328729253005E-2</c:v>
                </c:pt>
                <c:pt idx="15">
                  <c:v>5.8037934284208871E-2</c:v>
                </c:pt>
                <c:pt idx="16">
                  <c:v>5.8058539387850196E-2</c:v>
                </c:pt>
                <c:pt idx="17">
                  <c:v>5.8079144040186971E-2</c:v>
                </c:pt>
                <c:pt idx="18">
                  <c:v>5.8099748241228967E-2</c:v>
                </c:pt>
                <c:pt idx="19">
                  <c:v>5.8120351990985954E-2</c:v>
                </c:pt>
                <c:pt idx="20">
                  <c:v>5.8140955289468034E-2</c:v>
                </c:pt>
                <c:pt idx="21">
                  <c:v>5.8161558136684978E-2</c:v>
                </c:pt>
                <c:pt idx="22">
                  <c:v>5.8182160532646778E-2</c:v>
                </c:pt>
                <c:pt idx="23">
                  <c:v>5.8202762477363092E-2</c:v>
                </c:pt>
                <c:pt idx="24">
                  <c:v>5.8223363970844023E-2</c:v>
                </c:pt>
                <c:pt idx="25">
                  <c:v>5.8243965013099343E-2</c:v>
                </c:pt>
                <c:pt idx="26">
                  <c:v>5.8264565604139042E-2</c:v>
                </c:pt>
                <c:pt idx="27">
                  <c:v>5.828516574397289E-2</c:v>
                </c:pt>
                <c:pt idx="28">
                  <c:v>5.8305765432610769E-2</c:v>
                </c:pt>
                <c:pt idx="29">
                  <c:v>5.8326364670062671E-2</c:v>
                </c:pt>
                <c:pt idx="30">
                  <c:v>5.8346963456338254E-2</c:v>
                </c:pt>
                <c:pt idx="31">
                  <c:v>5.8367561791447732E-2</c:v>
                </c:pt>
                <c:pt idx="32">
                  <c:v>5.8388159675400654E-2</c:v>
                </c:pt>
                <c:pt idx="33">
                  <c:v>5.8408757108207122E-2</c:v>
                </c:pt>
                <c:pt idx="34">
                  <c:v>5.8429354089877018E-2</c:v>
                </c:pt>
                <c:pt idx="35">
                  <c:v>5.8449950620420112E-2</c:v>
                </c:pt>
                <c:pt idx="36">
                  <c:v>5.8470546699846283E-2</c:v>
                </c:pt>
                <c:pt idx="37">
                  <c:v>5.8491142328165525E-2</c:v>
                </c:pt>
                <c:pt idx="38">
                  <c:v>5.8511737505387608E-2</c:v>
                </c:pt>
                <c:pt idx="39">
                  <c:v>5.8532332231522412E-2</c:v>
                </c:pt>
                <c:pt idx="40">
                  <c:v>5.8552926506579929E-2</c:v>
                </c:pt>
                <c:pt idx="41">
                  <c:v>5.857352033056993E-2</c:v>
                </c:pt>
                <c:pt idx="42">
                  <c:v>5.8594113703502294E-2</c:v>
                </c:pt>
                <c:pt idx="43">
                  <c:v>5.8614706625387016E-2</c:v>
                </c:pt>
                <c:pt idx="44">
                  <c:v>5.8635299096233863E-2</c:v>
                </c:pt>
                <c:pt idx="45">
                  <c:v>5.8655891116052718E-2</c:v>
                </c:pt>
                <c:pt idx="46">
                  <c:v>5.8676482684853572E-2</c:v>
                </c:pt>
                <c:pt idx="47">
                  <c:v>5.8697073802646195E-2</c:v>
                </c:pt>
                <c:pt idx="48">
                  <c:v>5.8717664469440468E-2</c:v>
                </c:pt>
                <c:pt idx="49">
                  <c:v>5.8738254685246273E-2</c:v>
                </c:pt>
                <c:pt idx="50">
                  <c:v>5.875884445007349E-2</c:v>
                </c:pt>
                <c:pt idx="51">
                  <c:v>5.8779433763932111E-2</c:v>
                </c:pt>
                <c:pt idx="52">
                  <c:v>5.8800022626831906E-2</c:v>
                </c:pt>
                <c:pt idx="53">
                  <c:v>5.8820611038782646E-2</c:v>
                </c:pt>
                <c:pt idx="54">
                  <c:v>5.8841198999794432E-2</c:v>
                </c:pt>
                <c:pt idx="55">
                  <c:v>5.8861786509877036E-2</c:v>
                </c:pt>
                <c:pt idx="56">
                  <c:v>5.8882373569040337E-2</c:v>
                </c:pt>
                <c:pt idx="57">
                  <c:v>5.8902960177294107E-2</c:v>
                </c:pt>
                <c:pt idx="58">
                  <c:v>5.8923546334648448E-2</c:v>
                </c:pt>
                <c:pt idx="59">
                  <c:v>5.8944132041113019E-2</c:v>
                </c:pt>
                <c:pt idx="60">
                  <c:v>5.8964717296697812E-2</c:v>
                </c:pt>
                <c:pt idx="61">
                  <c:v>5.8985302101412708E-2</c:v>
                </c:pt>
                <c:pt idx="62">
                  <c:v>5.9005886455267477E-2</c:v>
                </c:pt>
                <c:pt idx="63">
                  <c:v>5.9026470358272111E-2</c:v>
                </c:pt>
                <c:pt idx="64">
                  <c:v>5.9047053810436491E-2</c:v>
                </c:pt>
                <c:pt idx="65">
                  <c:v>5.9067636811770387E-2</c:v>
                </c:pt>
                <c:pt idx="66">
                  <c:v>5.9088219362283791E-2</c:v>
                </c:pt>
                <c:pt idx="67">
                  <c:v>5.9108801461986472E-2</c:v>
                </c:pt>
                <c:pt idx="68">
                  <c:v>5.9129383110888313E-2</c:v>
                </c:pt>
                <c:pt idx="69">
                  <c:v>5.9149964308999194E-2</c:v>
                </c:pt>
                <c:pt idx="70">
                  <c:v>5.9170545056329106E-2</c:v>
                </c:pt>
                <c:pt idx="71">
                  <c:v>5.919112535288782E-2</c:v>
                </c:pt>
                <c:pt idx="72">
                  <c:v>5.9211705198685217E-2</c:v>
                </c:pt>
                <c:pt idx="73">
                  <c:v>5.9232284593731178E-2</c:v>
                </c:pt>
                <c:pt idx="74">
                  <c:v>5.9252863538035473E-2</c:v>
                </c:pt>
                <c:pt idx="75">
                  <c:v>5.9273442031608205E-2</c:v>
                </c:pt>
                <c:pt idx="76">
                  <c:v>5.9294020074459032E-2</c:v>
                </c:pt>
                <c:pt idx="77">
                  <c:v>5.9314597666597947E-2</c:v>
                </c:pt>
                <c:pt idx="78">
                  <c:v>5.933517480803472E-2</c:v>
                </c:pt>
                <c:pt idx="79">
                  <c:v>5.9355751498779342E-2</c:v>
                </c:pt>
                <c:pt idx="80">
                  <c:v>5.9376327738841696E-2</c:v>
                </c:pt>
                <c:pt idx="81">
                  <c:v>5.9396903528231439E-2</c:v>
                </c:pt>
                <c:pt idx="82">
                  <c:v>5.9417478866958674E-2</c:v>
                </c:pt>
                <c:pt idx="83">
                  <c:v>5.9438053755033173E-2</c:v>
                </c:pt>
                <c:pt idx="84">
                  <c:v>5.9458628192464814E-2</c:v>
                </c:pt>
                <c:pt idx="85">
                  <c:v>5.9479202179263481E-2</c:v>
                </c:pt>
                <c:pt idx="86">
                  <c:v>5.9499775715439053E-2</c:v>
                </c:pt>
                <c:pt idx="87">
                  <c:v>5.9520348801001412E-2</c:v>
                </c:pt>
                <c:pt idx="88">
                  <c:v>5.9540921435960327E-2</c:v>
                </c:pt>
                <c:pt idx="89">
                  <c:v>5.9561493620325791E-2</c:v>
                </c:pt>
                <c:pt idx="90">
                  <c:v>5.9582065354107573E-2</c:v>
                </c:pt>
                <c:pt idx="91">
                  <c:v>5.9602636637315555E-2</c:v>
                </c:pt>
                <c:pt idx="92">
                  <c:v>5.9623207469959728E-2</c:v>
                </c:pt>
                <c:pt idx="93">
                  <c:v>5.9643777852049863E-2</c:v>
                </c:pt>
                <c:pt idx="94">
                  <c:v>5.9664347783595729E-2</c:v>
                </c:pt>
                <c:pt idx="95">
                  <c:v>5.968491726460743E-2</c:v>
                </c:pt>
                <c:pt idx="96">
                  <c:v>5.9705486295094624E-2</c:v>
                </c:pt>
                <c:pt idx="97">
                  <c:v>5.9726054875067304E-2</c:v>
                </c:pt>
                <c:pt idx="98">
                  <c:v>5.974662300453535E-2</c:v>
                </c:pt>
                <c:pt idx="99">
                  <c:v>5.9767190683508532E-2</c:v>
                </c:pt>
                <c:pt idx="100">
                  <c:v>5.9787757911996732E-2</c:v>
                </c:pt>
                <c:pt idx="101">
                  <c:v>5.980832469000983E-2</c:v>
                </c:pt>
                <c:pt idx="102">
                  <c:v>5.9828891017557707E-2</c:v>
                </c:pt>
                <c:pt idx="103">
                  <c:v>5.9849456894650245E-2</c:v>
                </c:pt>
                <c:pt idx="104">
                  <c:v>5.9870022321297324E-2</c:v>
                </c:pt>
                <c:pt idx="105">
                  <c:v>5.9890587297508714E-2</c:v>
                </c:pt>
                <c:pt idx="106">
                  <c:v>5.9911151823294408E-2</c:v>
                </c:pt>
                <c:pt idx="107">
                  <c:v>5.9931715898664174E-2</c:v>
                </c:pt>
                <c:pt idx="108">
                  <c:v>5.9952279523627895E-2</c:v>
                </c:pt>
                <c:pt idx="109">
                  <c:v>5.9972842698195562E-2</c:v>
                </c:pt>
                <c:pt idx="110">
                  <c:v>5.9993405422376835E-2</c:v>
                </c:pt>
                <c:pt idx="111">
                  <c:v>6.0013967696181704E-2</c:v>
                </c:pt>
                <c:pt idx="112">
                  <c:v>6.003452951961994E-2</c:v>
                </c:pt>
                <c:pt idx="113">
                  <c:v>6.0055090892701536E-2</c:v>
                </c:pt>
                <c:pt idx="114">
                  <c:v>6.0075651815436261E-2</c:v>
                </c:pt>
                <c:pt idx="115">
                  <c:v>6.0096212287834107E-2</c:v>
                </c:pt>
                <c:pt idx="116">
                  <c:v>6.0116772309904733E-2</c:v>
                </c:pt>
                <c:pt idx="117">
                  <c:v>6.0137331881658131E-2</c:v>
                </c:pt>
                <c:pt idx="118">
                  <c:v>6.0157891003104182E-2</c:v>
                </c:pt>
                <c:pt idx="119">
                  <c:v>6.0178449674252656E-2</c:v>
                </c:pt>
                <c:pt idx="120">
                  <c:v>6.0199007895113545E-2</c:v>
                </c:pt>
                <c:pt idx="121">
                  <c:v>6.0219565665696619E-2</c:v>
                </c:pt>
                <c:pt idx="122">
                  <c:v>6.0240122986011647E-2</c:v>
                </c:pt>
                <c:pt idx="123">
                  <c:v>6.0260679856068734E-2</c:v>
                </c:pt>
                <c:pt idx="124">
                  <c:v>6.0281236275877538E-2</c:v>
                </c:pt>
                <c:pt idx="125">
                  <c:v>6.0301792245448051E-2</c:v>
                </c:pt>
                <c:pt idx="126">
                  <c:v>6.0322347764789931E-2</c:v>
                </c:pt>
                <c:pt idx="127">
                  <c:v>6.0342902833913394E-2</c:v>
                </c:pt>
                <c:pt idx="128">
                  <c:v>6.0363457452827986E-2</c:v>
                </c:pt>
                <c:pt idx="129">
                  <c:v>6.0384011621543589E-2</c:v>
                </c:pt>
                <c:pt idx="130">
                  <c:v>6.0404565340070195E-2</c:v>
                </c:pt>
                <c:pt idx="131">
                  <c:v>6.0425118608417684E-2</c:v>
                </c:pt>
                <c:pt idx="132">
                  <c:v>6.0445671426595828E-2</c:v>
                </c:pt>
                <c:pt idx="133">
                  <c:v>6.0466223794614506E-2</c:v>
                </c:pt>
                <c:pt idx="134">
                  <c:v>6.0486775712483488E-2</c:v>
                </c:pt>
                <c:pt idx="135">
                  <c:v>6.0507327180212879E-2</c:v>
                </c:pt>
                <c:pt idx="136">
                  <c:v>6.0527878197812225E-2</c:v>
                </c:pt>
                <c:pt idx="137">
                  <c:v>6.054842876529163E-2</c:v>
                </c:pt>
                <c:pt idx="138">
                  <c:v>6.0568978882660864E-2</c:v>
                </c:pt>
                <c:pt idx="139">
                  <c:v>6.0589528549929807E-2</c:v>
                </c:pt>
                <c:pt idx="140">
                  <c:v>6.0610077767108229E-2</c:v>
                </c:pt>
                <c:pt idx="141">
                  <c:v>6.0630626534206124E-2</c:v>
                </c:pt>
                <c:pt idx="142">
                  <c:v>6.065117485123326E-2</c:v>
                </c:pt>
                <c:pt idx="143">
                  <c:v>6.0671722718199518E-2</c:v>
                </c:pt>
                <c:pt idx="144">
                  <c:v>6.0692270135114669E-2</c:v>
                </c:pt>
                <c:pt idx="145">
                  <c:v>6.0712817101988815E-2</c:v>
                </c:pt>
                <c:pt idx="146">
                  <c:v>6.0733363618831505E-2</c:v>
                </c:pt>
                <c:pt idx="147">
                  <c:v>6.0753909685652842E-2</c:v>
                </c:pt>
                <c:pt idx="148">
                  <c:v>6.0774455302462595E-2</c:v>
                </c:pt>
                <c:pt idx="149">
                  <c:v>6.0795000469270534E-2</c:v>
                </c:pt>
                <c:pt idx="150">
                  <c:v>6.0815545186086652E-2</c:v>
                </c:pt>
                <c:pt idx="151">
                  <c:v>6.0836089452920718E-2</c:v>
                </c:pt>
                <c:pt idx="152">
                  <c:v>6.0856633269782613E-2</c:v>
                </c:pt>
                <c:pt idx="153">
                  <c:v>6.0877176636682219E-2</c:v>
                </c:pt>
                <c:pt idx="154">
                  <c:v>6.0897719553629305E-2</c:v>
                </c:pt>
                <c:pt idx="155">
                  <c:v>6.0918262020633863E-2</c:v>
                </c:pt>
                <c:pt idx="156">
                  <c:v>6.0938804037705553E-2</c:v>
                </c:pt>
                <c:pt idx="157">
                  <c:v>6.0959345604854477E-2</c:v>
                </c:pt>
                <c:pt idx="158">
                  <c:v>6.0979886722090294E-2</c:v>
                </c:pt>
                <c:pt idx="159">
                  <c:v>6.1000427389422997E-2</c:v>
                </c:pt>
                <c:pt idx="160">
                  <c:v>6.1020967606862354E-2</c:v>
                </c:pt>
                <c:pt idx="161">
                  <c:v>6.1041507374418137E-2</c:v>
                </c:pt>
                <c:pt idx="162">
                  <c:v>6.1062046692100448E-2</c:v>
                </c:pt>
                <c:pt idx="163">
                  <c:v>6.1082585559918835E-2</c:v>
                </c:pt>
                <c:pt idx="164">
                  <c:v>6.1103123977883401E-2</c:v>
                </c:pt>
                <c:pt idx="165">
                  <c:v>6.1123661946003917E-2</c:v>
                </c:pt>
                <c:pt idx="166">
                  <c:v>6.1144199464290151E-2</c:v>
                </c:pt>
                <c:pt idx="167">
                  <c:v>6.1164736532752097E-2</c:v>
                </c:pt>
                <c:pt idx="168">
                  <c:v>6.1185273151399412E-2</c:v>
                </c:pt>
                <c:pt idx="169">
                  <c:v>6.1205809320242201E-2</c:v>
                </c:pt>
                <c:pt idx="170">
                  <c:v>6.1226345039290121E-2</c:v>
                </c:pt>
                <c:pt idx="171">
                  <c:v>6.1246880308553166E-2</c:v>
                </c:pt>
                <c:pt idx="172">
                  <c:v>6.1267415128040993E-2</c:v>
                </c:pt>
                <c:pt idx="173">
                  <c:v>6.1287949497763707E-2</c:v>
                </c:pt>
                <c:pt idx="174">
                  <c:v>6.1308483417730965E-2</c:v>
                </c:pt>
                <c:pt idx="175">
                  <c:v>6.1329016887952649E-2</c:v>
                </c:pt>
                <c:pt idx="176">
                  <c:v>6.134954990843864E-2</c:v>
                </c:pt>
                <c:pt idx="177">
                  <c:v>6.1370082479198819E-2</c:v>
                </c:pt>
                <c:pt idx="178">
                  <c:v>6.1390614600242956E-2</c:v>
                </c:pt>
                <c:pt idx="179">
                  <c:v>6.1411146271581042E-2</c:v>
                </c:pt>
                <c:pt idx="180">
                  <c:v>6.1431677493222737E-2</c:v>
                </c:pt>
                <c:pt idx="181">
                  <c:v>6.1452208265178034E-2</c:v>
                </c:pt>
                <c:pt idx="182">
                  <c:v>6.14727385874567E-2</c:v>
                </c:pt>
                <c:pt idx="183">
                  <c:v>6.1493268460068619E-2</c:v>
                </c:pt>
                <c:pt idx="184">
                  <c:v>6.151379788302367E-2</c:v>
                </c:pt>
                <c:pt idx="185">
                  <c:v>6.1534326856331624E-2</c:v>
                </c:pt>
                <c:pt idx="186">
                  <c:v>6.1554855380002473E-2</c:v>
                </c:pt>
                <c:pt idx="187">
                  <c:v>6.1575383454045875E-2</c:v>
                </c:pt>
                <c:pt idx="188">
                  <c:v>6.1595911078471823E-2</c:v>
                </c:pt>
                <c:pt idx="189">
                  <c:v>6.1616438253290086E-2</c:v>
                </c:pt>
                <c:pt idx="190">
                  <c:v>6.1636964978510546E-2</c:v>
                </c:pt>
                <c:pt idx="191">
                  <c:v>6.1657491254143083E-2</c:v>
                </c:pt>
                <c:pt idx="192">
                  <c:v>6.1678017080197468E-2</c:v>
                </c:pt>
                <c:pt idx="193">
                  <c:v>6.1698542456683582E-2</c:v>
                </c:pt>
                <c:pt idx="194">
                  <c:v>6.1719067383611194E-2</c:v>
                </c:pt>
                <c:pt idx="195">
                  <c:v>6.1739591860990296E-2</c:v>
                </c:pt>
                <c:pt idx="196">
                  <c:v>6.176011588883077E-2</c:v>
                </c:pt>
                <c:pt idx="197">
                  <c:v>6.1780639467142275E-2</c:v>
                </c:pt>
                <c:pt idx="198">
                  <c:v>6.180116259593469E-2</c:v>
                </c:pt>
                <c:pt idx="199">
                  <c:v>6.1821685275218009E-2</c:v>
                </c:pt>
                <c:pt idx="200">
                  <c:v>6.1842207505001891E-2</c:v>
                </c:pt>
                <c:pt idx="201">
                  <c:v>6.1862729285296326E-2</c:v>
                </c:pt>
                <c:pt idx="202">
                  <c:v>6.1883250616111087E-2</c:v>
                </c:pt>
                <c:pt idx="203">
                  <c:v>6.1903771497456052E-2</c:v>
                </c:pt>
                <c:pt idx="204">
                  <c:v>6.1924291929340992E-2</c:v>
                </c:pt>
                <c:pt idx="205">
                  <c:v>6.19448119117759E-2</c:v>
                </c:pt>
                <c:pt idx="206">
                  <c:v>6.1965331444770545E-2</c:v>
                </c:pt>
                <c:pt idx="207">
                  <c:v>6.1985850528334697E-2</c:v>
                </c:pt>
                <c:pt idx="208">
                  <c:v>6.2006369162478238E-2</c:v>
                </c:pt>
                <c:pt idx="209">
                  <c:v>6.2026887347211047E-2</c:v>
                </c:pt>
                <c:pt idx="210">
                  <c:v>6.2047405082542896E-2</c:v>
                </c:pt>
                <c:pt idx="211">
                  <c:v>6.2067922368483776E-2</c:v>
                </c:pt>
                <c:pt idx="212">
                  <c:v>6.2088439205043457E-2</c:v>
                </c:pt>
                <c:pt idx="213">
                  <c:v>6.2108955592231709E-2</c:v>
                </c:pt>
                <c:pt idx="214">
                  <c:v>6.2129471530058412E-2</c:v>
                </c:pt>
                <c:pt idx="215">
                  <c:v>6.2149987018533449E-2</c:v>
                </c:pt>
                <c:pt idx="216">
                  <c:v>6.2170502057666589E-2</c:v>
                </c:pt>
                <c:pt idx="217">
                  <c:v>6.2191016647467824E-2</c:v>
                </c:pt>
                <c:pt idx="218">
                  <c:v>6.2211530787946813E-2</c:v>
                </c:pt>
                <c:pt idx="219">
                  <c:v>6.2232044479113548E-2</c:v>
                </c:pt>
                <c:pt idx="220">
                  <c:v>6.2252557720977687E-2</c:v>
                </c:pt>
                <c:pt idx="221">
                  <c:v>6.2273070513549224E-2</c:v>
                </c:pt>
                <c:pt idx="222">
                  <c:v>6.2293582856838038E-2</c:v>
                </c:pt>
                <c:pt idx="223">
                  <c:v>6.2314094750853789E-2</c:v>
                </c:pt>
                <c:pt idx="224">
                  <c:v>6.2334606195606469E-2</c:v>
                </c:pt>
                <c:pt idx="225">
                  <c:v>6.2355117191105848E-2</c:v>
                </c:pt>
                <c:pt idx="226">
                  <c:v>6.2375627737361806E-2</c:v>
                </c:pt>
                <c:pt idx="227">
                  <c:v>6.2396137834384226E-2</c:v>
                </c:pt>
                <c:pt idx="228">
                  <c:v>6.2416647482182765E-2</c:v>
                </c:pt>
                <c:pt idx="229">
                  <c:v>6.2437156680767415E-2</c:v>
                </c:pt>
                <c:pt idx="230">
                  <c:v>6.2457665430148059E-2</c:v>
                </c:pt>
                <c:pt idx="231">
                  <c:v>6.2478173730334353E-2</c:v>
                </c:pt>
                <c:pt idx="232">
                  <c:v>6.2498681581336292E-2</c:v>
                </c:pt>
                <c:pt idx="233">
                  <c:v>6.2519188983163637E-2</c:v>
                </c:pt>
                <c:pt idx="234">
                  <c:v>6.2539695935826284E-2</c:v>
                </c:pt>
                <c:pt idx="235">
                  <c:v>6.2560202439333995E-2</c:v>
                </c:pt>
                <c:pt idx="236">
                  <c:v>6.2580708493696652E-2</c:v>
                </c:pt>
                <c:pt idx="237">
                  <c:v>6.2601214098924135E-2</c:v>
                </c:pt>
                <c:pt idx="238">
                  <c:v>6.2621719255026215E-2</c:v>
                </c:pt>
                <c:pt idx="239">
                  <c:v>6.2642223962012772E-2</c:v>
                </c:pt>
                <c:pt idx="240">
                  <c:v>6.2662728219893576E-2</c:v>
                </c:pt>
                <c:pt idx="241">
                  <c:v>6.2683232028678509E-2</c:v>
                </c:pt>
                <c:pt idx="242">
                  <c:v>6.2703735388377452E-2</c:v>
                </c:pt>
                <c:pt idx="243">
                  <c:v>6.2724238299000173E-2</c:v>
                </c:pt>
                <c:pt idx="244">
                  <c:v>6.2744740760556555E-2</c:v>
                </c:pt>
                <c:pt idx="245">
                  <c:v>6.2765242773056368E-2</c:v>
                </c:pt>
                <c:pt idx="246">
                  <c:v>6.2785744336509602E-2</c:v>
                </c:pt>
                <c:pt idx="247">
                  <c:v>6.2806245450925807E-2</c:v>
                </c:pt>
                <c:pt idx="248">
                  <c:v>6.2826746116315085E-2</c:v>
                </c:pt>
                <c:pt idx="249">
                  <c:v>6.2847246332687207E-2</c:v>
                </c:pt>
                <c:pt idx="250">
                  <c:v>6.2867746100051941E-2</c:v>
                </c:pt>
                <c:pt idx="251">
                  <c:v>6.288824541841917E-2</c:v>
                </c:pt>
                <c:pt idx="252">
                  <c:v>6.2908744287798662E-2</c:v>
                </c:pt>
                <c:pt idx="253">
                  <c:v>6.2929242708200411E-2</c:v>
                </c:pt>
                <c:pt idx="254">
                  <c:v>6.2949740679634075E-2</c:v>
                </c:pt>
                <c:pt idx="255">
                  <c:v>6.2970238202109535E-2</c:v>
                </c:pt>
                <c:pt idx="256">
                  <c:v>6.2990735275636672E-2</c:v>
                </c:pt>
                <c:pt idx="257">
                  <c:v>6.3011231900225367E-2</c:v>
                </c:pt>
                <c:pt idx="258">
                  <c:v>6.3031728075885279E-2</c:v>
                </c:pt>
                <c:pt idx="259">
                  <c:v>6.30522238026264E-2</c:v>
                </c:pt>
                <c:pt idx="260">
                  <c:v>6.30727190804585E-2</c:v>
                </c:pt>
                <c:pt idx="261">
                  <c:v>6.3093213909391349E-2</c:v>
                </c:pt>
                <c:pt idx="262">
                  <c:v>6.3113708289434939E-2</c:v>
                </c:pt>
                <c:pt idx="263">
                  <c:v>6.3134202220598928E-2</c:v>
                </c:pt>
                <c:pt idx="264">
                  <c:v>6.315469570289331E-2</c:v>
                </c:pt>
                <c:pt idx="265">
                  <c:v>6.3175188736327742E-2</c:v>
                </c:pt>
                <c:pt idx="266">
                  <c:v>6.3195681320912217E-2</c:v>
                </c:pt>
                <c:pt idx="267">
                  <c:v>6.3216173456656505E-2</c:v>
                </c:pt>
                <c:pt idx="268">
                  <c:v>6.3236665143570375E-2</c:v>
                </c:pt>
                <c:pt idx="269">
                  <c:v>6.3257156381663709E-2</c:v>
                </c:pt>
                <c:pt idx="270">
                  <c:v>6.3277647170946388E-2</c:v>
                </c:pt>
                <c:pt idx="271">
                  <c:v>6.3298137511428182E-2</c:v>
                </c:pt>
                <c:pt idx="272">
                  <c:v>6.331862740311886E-2</c:v>
                </c:pt>
                <c:pt idx="273">
                  <c:v>6.3339116846028415E-2</c:v>
                </c:pt>
                <c:pt idx="274">
                  <c:v>6.3359605840166616E-2</c:v>
                </c:pt>
                <c:pt idx="275">
                  <c:v>6.3380094385543123E-2</c:v>
                </c:pt>
                <c:pt idx="276">
                  <c:v>6.3400582482168039E-2</c:v>
                </c:pt>
                <c:pt idx="277">
                  <c:v>6.3421070130051022E-2</c:v>
                </c:pt>
                <c:pt idx="278">
                  <c:v>6.3441557329201842E-2</c:v>
                </c:pt>
                <c:pt idx="279">
                  <c:v>6.3462044079630492E-2</c:v>
                </c:pt>
                <c:pt idx="280">
                  <c:v>6.3482530381346741E-2</c:v>
                </c:pt>
                <c:pt idx="281">
                  <c:v>6.3503016234360471E-2</c:v>
                </c:pt>
                <c:pt idx="282">
                  <c:v>6.352350163868134E-2</c:v>
                </c:pt>
                <c:pt idx="283">
                  <c:v>6.354398659431934E-2</c:v>
                </c:pt>
                <c:pt idx="284">
                  <c:v>6.3564471101284131E-2</c:v>
                </c:pt>
                <c:pt idx="285">
                  <c:v>6.3584955159585704E-2</c:v>
                </c:pt>
                <c:pt idx="286">
                  <c:v>6.3605438769233941E-2</c:v>
                </c:pt>
                <c:pt idx="287">
                  <c:v>6.3625921930238388E-2</c:v>
                </c:pt>
                <c:pt idx="288">
                  <c:v>6.364640464260915E-2</c:v>
                </c:pt>
                <c:pt idx="289">
                  <c:v>6.3666886906355885E-2</c:v>
                </c:pt>
                <c:pt idx="290">
                  <c:v>6.3687368721488585E-2</c:v>
                </c:pt>
                <c:pt idx="291">
                  <c:v>6.3707850088016799E-2</c:v>
                </c:pt>
                <c:pt idx="292">
                  <c:v>6.3728331005950628E-2</c:v>
                </c:pt>
                <c:pt idx="293">
                  <c:v>6.3748811475299844E-2</c:v>
                </c:pt>
                <c:pt idx="294">
                  <c:v>6.3769291496074104E-2</c:v>
                </c:pt>
                <c:pt idx="295">
                  <c:v>6.3789771068283402E-2</c:v>
                </c:pt>
                <c:pt idx="296">
                  <c:v>6.3810250191937506E-2</c:v>
                </c:pt>
                <c:pt idx="297">
                  <c:v>6.3830728867046188E-2</c:v>
                </c:pt>
                <c:pt idx="298">
                  <c:v>6.3851207093619439E-2</c:v>
                </c:pt>
                <c:pt idx="299">
                  <c:v>6.3871684871666917E-2</c:v>
                </c:pt>
                <c:pt idx="300">
                  <c:v>6.3892162201198505E-2</c:v>
                </c:pt>
                <c:pt idx="301">
                  <c:v>6.3912639082223971E-2</c:v>
                </c:pt>
                <c:pt idx="302">
                  <c:v>6.3933115514753308E-2</c:v>
                </c:pt>
                <c:pt idx="303">
                  <c:v>6.3953591498796064E-2</c:v>
                </c:pt>
                <c:pt idx="304">
                  <c:v>6.3974067034362342E-2</c:v>
                </c:pt>
                <c:pt idx="305">
                  <c:v>6.39945421214618E-2</c:v>
                </c:pt>
                <c:pt idx="306">
                  <c:v>6.4015016760104321E-2</c:v>
                </c:pt>
                <c:pt idx="307">
                  <c:v>6.4035490950299673E-2</c:v>
                </c:pt>
                <c:pt idx="308">
                  <c:v>6.4055964692057737E-2</c:v>
                </c:pt>
                <c:pt idx="309">
                  <c:v>6.4076437985388285E-2</c:v>
                </c:pt>
                <c:pt idx="310">
                  <c:v>6.4096910830301196E-2</c:v>
                </c:pt>
                <c:pt idx="311">
                  <c:v>6.411738322680624E-2</c:v>
                </c:pt>
                <c:pt idx="312">
                  <c:v>6.41378551749133E-2</c:v>
                </c:pt>
                <c:pt idx="313">
                  <c:v>6.4158326674632143E-2</c:v>
                </c:pt>
                <c:pt idx="314">
                  <c:v>6.4178797725972542E-2</c:v>
                </c:pt>
                <c:pt idx="315">
                  <c:v>6.4199268328944487E-2</c:v>
                </c:pt>
                <c:pt idx="316">
                  <c:v>6.4219738483557637E-2</c:v>
                </c:pt>
                <c:pt idx="317">
                  <c:v>6.4240208189821874E-2</c:v>
                </c:pt>
                <c:pt idx="318">
                  <c:v>6.4260677447746967E-2</c:v>
                </c:pt>
                <c:pt idx="319">
                  <c:v>6.4281146257342797E-2</c:v>
                </c:pt>
                <c:pt idx="320">
                  <c:v>6.4301614618619135E-2</c:v>
                </c:pt>
                <c:pt idx="321">
                  <c:v>6.4322082531585861E-2</c:v>
                </c:pt>
                <c:pt idx="322">
                  <c:v>6.4342549996252857E-2</c:v>
                </c:pt>
                <c:pt idx="323">
                  <c:v>6.4363017012629781E-2</c:v>
                </c:pt>
                <c:pt idx="324">
                  <c:v>6.4383483580726403E-2</c:v>
                </c:pt>
                <c:pt idx="325">
                  <c:v>6.4403949700552826E-2</c:v>
                </c:pt>
                <c:pt idx="326">
                  <c:v>6.4424415372118599E-2</c:v>
                </c:pt>
                <c:pt idx="327">
                  <c:v>6.4444880595433712E-2</c:v>
                </c:pt>
                <c:pt idx="328">
                  <c:v>6.4465345370507826E-2</c:v>
                </c:pt>
                <c:pt idx="329">
                  <c:v>6.4485809697350932E-2</c:v>
                </c:pt>
                <c:pt idx="330">
                  <c:v>6.4506273575972689E-2</c:v>
                </c:pt>
                <c:pt idx="331">
                  <c:v>6.4526737006382978E-2</c:v>
                </c:pt>
                <c:pt idx="332">
                  <c:v>6.454719998859168E-2</c:v>
                </c:pt>
                <c:pt idx="333">
                  <c:v>6.4567662522608565E-2</c:v>
                </c:pt>
                <c:pt idx="334">
                  <c:v>6.4588124608443404E-2</c:v>
                </c:pt>
                <c:pt idx="335">
                  <c:v>6.4608586246106076E-2</c:v>
                </c:pt>
                <c:pt idx="336">
                  <c:v>6.4629047435606352E-2</c:v>
                </c:pt>
                <c:pt idx="337">
                  <c:v>6.4649508176954001E-2</c:v>
                </c:pt>
                <c:pt idx="338">
                  <c:v>6.4669968470159017E-2</c:v>
                </c:pt>
                <c:pt idx="339">
                  <c:v>6.4690428315231058E-2</c:v>
                </c:pt>
                <c:pt idx="340">
                  <c:v>6.4710887712179893E-2</c:v>
                </c:pt>
                <c:pt idx="341">
                  <c:v>6.4731346661015515E-2</c:v>
                </c:pt>
                <c:pt idx="342">
                  <c:v>6.4751805161747694E-2</c:v>
                </c:pt>
                <c:pt idx="343">
                  <c:v>6.47722632143862E-2</c:v>
                </c:pt>
                <c:pt idx="344">
                  <c:v>6.4792720818940802E-2</c:v>
                </c:pt>
                <c:pt idx="345">
                  <c:v>6.4813177975421271E-2</c:v>
                </c:pt>
                <c:pt idx="346">
                  <c:v>6.4833634683837599E-2</c:v>
                </c:pt>
                <c:pt idx="347">
                  <c:v>6.4854090944199555E-2</c:v>
                </c:pt>
                <c:pt idx="348">
                  <c:v>6.487454675651691E-2</c:v>
                </c:pt>
                <c:pt idx="349">
                  <c:v>6.4895002120799433E-2</c:v>
                </c:pt>
                <c:pt idx="350">
                  <c:v>6.4915457037056895E-2</c:v>
                </c:pt>
                <c:pt idx="351">
                  <c:v>6.4935911505299287E-2</c:v>
                </c:pt>
                <c:pt idx="352">
                  <c:v>6.495636552553638E-2</c:v>
                </c:pt>
                <c:pt idx="353">
                  <c:v>6.4976819097777833E-2</c:v>
                </c:pt>
                <c:pt idx="354">
                  <c:v>6.4997272222033636E-2</c:v>
                </c:pt>
                <c:pt idx="355">
                  <c:v>6.5017724898313561E-2</c:v>
                </c:pt>
                <c:pt idx="356">
                  <c:v>6.5038177126627267E-2</c:v>
                </c:pt>
                <c:pt idx="357">
                  <c:v>6.5058628906984745E-2</c:v>
                </c:pt>
                <c:pt idx="358">
                  <c:v>6.5079080239395765E-2</c:v>
                </c:pt>
                <c:pt idx="359">
                  <c:v>6.5099531123870097E-2</c:v>
                </c:pt>
                <c:pt idx="360">
                  <c:v>6.5119981560417511E-2</c:v>
                </c:pt>
                <c:pt idx="361">
                  <c:v>6.5140431549048E-2</c:v>
                </c:pt>
                <c:pt idx="362">
                  <c:v>6.5160881089771111E-2</c:v>
                </c:pt>
                <c:pt idx="363">
                  <c:v>6.5181330182596947E-2</c:v>
                </c:pt>
                <c:pt idx="364">
                  <c:v>6.5201778827535056E-2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5.0390446624967944E-2</c:v>
                </c:pt>
                <c:pt idx="1">
                  <c:v>5.0440738123195723E-2</c:v>
                </c:pt>
                <c:pt idx="2">
                  <c:v>5.049108395626916E-2</c:v>
                </c:pt>
                <c:pt idx="3">
                  <c:v>5.0541472713352208E-2</c:v>
                </c:pt>
                <c:pt idx="4">
                  <c:v>5.0591894461293356E-2</c:v>
                </c:pt>
                <c:pt idx="5">
                  <c:v>5.0642340703066543E-2</c:v>
                </c:pt>
                <c:pt idx="6">
                  <c:v>5.0692804324729814E-2</c:v>
                </c:pt>
                <c:pt idx="7">
                  <c:v>5.0743279531792633E-2</c:v>
                </c:pt>
                <c:pt idx="8">
                  <c:v>5.0793761775963071E-2</c:v>
                </c:pt>
                <c:pt idx="9">
                  <c:v>5.0844247673315586E-2</c:v>
                </c:pt>
                <c:pt idx="10">
                  <c:v>5.0894734914979124E-2</c:v>
                </c:pt>
                <c:pt idx="11">
                  <c:v>5.0945222171491653E-2</c:v>
                </c:pt>
                <c:pt idx="12">
                  <c:v>5.0995708992003064E-2</c:v>
                </c:pt>
                <c:pt idx="13">
                  <c:v>5.1046195699531137E-2</c:v>
                </c:pt>
                <c:pt idx="14">
                  <c:v>5.1096683283486502E-2</c:v>
                </c:pt>
                <c:pt idx="15">
                  <c:v>5.1147173290681809E-2</c:v>
                </c:pt>
                <c:pt idx="16">
                  <c:v>5.1197667716027059E-2</c:v>
                </c:pt>
                <c:pt idx="17">
                  <c:v>5.1248168894089438E-2</c:v>
                </c:pt>
                <c:pt idx="18">
                  <c:v>5.1298679392660043E-2</c:v>
                </c:pt>
                <c:pt idx="19">
                  <c:v>5.134920190942413E-2</c:v>
                </c:pt>
                <c:pt idx="20">
                  <c:v>5.1399739172775565E-2</c:v>
                </c:pt>
                <c:pt idx="21">
                  <c:v>5.1450293847750524E-2</c:v>
                </c:pt>
                <c:pt idx="22">
                  <c:v>5.1500868447982122E-2</c:v>
                </c:pt>
                <c:pt idx="23">
                  <c:v>5.1551465254496047E-2</c:v>
                </c:pt>
                <c:pt idx="24">
                  <c:v>5.160208624207905E-2</c:v>
                </c:pt>
                <c:pt idx="25">
                  <c:v>5.1652733013858719E-2</c:v>
                </c:pt>
                <c:pt idx="26">
                  <c:v>5.1703406744634223E-2</c:v>
                </c:pt>
                <c:pt idx="27">
                  <c:v>5.1754108133395781E-2</c:v>
                </c:pt>
                <c:pt idx="28">
                  <c:v>5.1804837365366369E-2</c:v>
                </c:pt>
                <c:pt idx="29">
                  <c:v>5.1855594083792894E-2</c:v>
                </c:pt>
                <c:pt idx="30">
                  <c:v>5.1906377371608269E-2</c:v>
                </c:pt>
                <c:pt idx="31">
                  <c:v>5.1957185742980298E-2</c:v>
                </c:pt>
                <c:pt idx="32">
                  <c:v>5.2008017144659899E-2</c:v>
                </c:pt>
                <c:pt idx="33">
                  <c:v>5.2058868966940661E-2</c:v>
                </c:pt>
                <c:pt idx="34">
                  <c:v>5.210973806394506E-2</c:v>
                </c:pt>
                <c:pt idx="35">
                  <c:v>5.2160620782860767E-2</c:v>
                </c:pt>
                <c:pt idx="36">
                  <c:v>5.2211513001664614E-2</c:v>
                </c:pt>
                <c:pt idx="37">
                  <c:v>5.2262410174791871E-2</c:v>
                </c:pt>
                <c:pt idx="38">
                  <c:v>5.2313307386136355E-2</c:v>
                </c:pt>
                <c:pt idx="39">
                  <c:v>5.2364199408701795E-2</c:v>
                </c:pt>
                <c:pt idx="40">
                  <c:v>5.2415080770169688E-2</c:v>
                </c:pt>
                <c:pt idx="41">
                  <c:v>5.2465945823600063E-2</c:v>
                </c:pt>
                <c:pt idx="42">
                  <c:v>5.2516788822444496E-2</c:v>
                </c:pt>
                <c:pt idx="43">
                  <c:v>5.2567603999021266E-2</c:v>
                </c:pt>
                <c:pt idx="44">
                  <c:v>5.2618385645583035E-2</c:v>
                </c:pt>
                <c:pt idx="45">
                  <c:v>5.2669128197097972E-2</c:v>
                </c:pt>
                <c:pt idx="46">
                  <c:v>5.2719826314864257E-2</c:v>
                </c:pt>
                <c:pt idx="47">
                  <c:v>5.2770474970087133E-2</c:v>
                </c:pt>
                <c:pt idx="48">
                  <c:v>5.2821069526565338E-2</c:v>
                </c:pt>
                <c:pt idx="49">
                  <c:v>5.2871605821659846E-2</c:v>
                </c:pt>
                <c:pt idx="50">
                  <c:v>5.2922080244752881E-2</c:v>
                </c:pt>
                <c:pt idx="51">
                  <c:v>5.2972489812446573E-2</c:v>
                </c:pt>
                <c:pt idx="52">
                  <c:v>5.3022832239800546E-2</c:v>
                </c:pt>
                <c:pt idx="53">
                  <c:v>5.3073106006962412E-2</c:v>
                </c:pt>
                <c:pt idx="54">
                  <c:v>5.3123310420605967E-2</c:v>
                </c:pt>
                <c:pt idx="55">
                  <c:v>5.3173445669658495E-2</c:v>
                </c:pt>
                <c:pt idx="56">
                  <c:v>5.3223512874866742E-2</c:v>
                </c:pt>
                <c:pt idx="57">
                  <c:v>5.3273514131824691E-2</c:v>
                </c:pt>
                <c:pt idx="58">
                  <c:v>5.3323452547160713E-2</c:v>
                </c:pt>
                <c:pt idx="59">
                  <c:v>5.3373332267657239E-2</c:v>
                </c:pt>
                <c:pt idx="60">
                  <c:v>5.342315850215331E-2</c:v>
                </c:pt>
                <c:pt idx="61">
                  <c:v>5.3472937536154778E-2</c:v>
                </c:pt>
                <c:pt idx="62">
                  <c:v>5.3522676739153167E-2</c:v>
                </c:pt>
                <c:pt idx="63">
                  <c:v>5.3572384564724129E-2</c:v>
                </c:pt>
                <c:pt idx="64">
                  <c:v>5.3622070543547944E-2</c:v>
                </c:pt>
                <c:pt idx="65">
                  <c:v>5.3671745269557897E-2</c:v>
                </c:pt>
                <c:pt idx="66">
                  <c:v>5.3721420379484408E-2</c:v>
                </c:pt>
                <c:pt idx="67">
                  <c:v>5.377110852611857E-2</c:v>
                </c:pt>
                <c:pt idx="68">
                  <c:v>5.3820823345668366E-2</c:v>
                </c:pt>
                <c:pt idx="69">
                  <c:v>5.3870579419625648E-2</c:v>
                </c:pt>
                <c:pt idx="70">
                  <c:v>5.3920392231599348E-2</c:v>
                </c:pt>
                <c:pt idx="71">
                  <c:v>5.3970278119600999E-2</c:v>
                </c:pt>
                <c:pt idx="72">
                  <c:v>5.4020254224292928E-2</c:v>
                </c:pt>
                <c:pt idx="73">
                  <c:v>5.4070338433725669E-2</c:v>
                </c:pt>
                <c:pt idx="74">
                  <c:v>5.4120549325101006E-2</c:v>
                </c:pt>
                <c:pt idx="75">
                  <c:v>5.4170906104099137E-2</c:v>
                </c:pt>
                <c:pt idx="76">
                  <c:v>5.4221428542304051E-2</c:v>
                </c:pt>
                <c:pt idx="77">
                  <c:v>5.4272136913249364E-2</c:v>
                </c:pt>
                <c:pt idx="78">
                  <c:v>5.4323051927589516E-2</c:v>
                </c:pt>
                <c:pt idx="79">
                  <c:v>5.4374194667876893E-2</c:v>
                </c:pt>
                <c:pt idx="80">
                  <c:v>5.442558652339579E-2</c:v>
                </c:pt>
                <c:pt idx="81">
                  <c:v>5.4477249125469918E-2</c:v>
                </c:pt>
                <c:pt idx="82">
                  <c:v>5.4529204283620576E-2</c:v>
                </c:pt>
                <c:pt idx="83">
                  <c:v>5.4581473922909719E-2</c:v>
                </c:pt>
                <c:pt idx="84">
                  <c:v>5.4634080022756076E-2</c:v>
                </c:pt>
                <c:pt idx="85">
                  <c:v>5.4687044557463628E-2</c:v>
                </c:pt>
                <c:pt idx="86">
                  <c:v>5.474038943865165E-2</c:v>
                </c:pt>
                <c:pt idx="87">
                  <c:v>5.4794136459724085E-2</c:v>
                </c:pt>
                <c:pt idx="88">
                  <c:v>5.4848307242464311E-2</c:v>
                </c:pt>
                <c:pt idx="89">
                  <c:v>5.4902923185791083E-2</c:v>
                </c:pt>
                <c:pt idx="90">
                  <c:v>5.4958005416661189E-2</c:v>
                </c:pt>
                <c:pt idx="91">
                  <c:v>5.5013574743057493E-2</c:v>
                </c:pt>
                <c:pt idx="92">
                  <c:v>5.5069651608955841E-2</c:v>
                </c:pt>
                <c:pt idx="93">
                  <c:v>5.5126256051123333E-2</c:v>
                </c:pt>
                <c:pt idx="94">
                  <c:v>5.5183407657563396E-2</c:v>
                </c:pt>
                <c:pt idx="95">
                  <c:v>5.5241125527389967E-2</c:v>
                </c:pt>
                <c:pt idx="96">
                  <c:v>5.5299428231886417E-2</c:v>
                </c:pt>
                <c:pt idx="97">
                  <c:v>5.5358333776481854E-2</c:v>
                </c:pt>
                <c:pt idx="98">
                  <c:v>5.5417859563362593E-2</c:v>
                </c:pt>
                <c:pt idx="99">
                  <c:v>5.547802235442538E-2</c:v>
                </c:pt>
                <c:pt idx="100">
                  <c:v>5.553883823427655E-2</c:v>
                </c:pt>
                <c:pt idx="101">
                  <c:v>5.5600322572983391E-2</c:v>
                </c:pt>
                <c:pt idx="102">
                  <c:v>5.5662489988293394E-2</c:v>
                </c:pt>
                <c:pt idx="103">
                  <c:v>5.5725354307053436E-2</c:v>
                </c:pt>
                <c:pt idx="104">
                  <c:v>5.5788928525582024E-2</c:v>
                </c:pt>
                <c:pt idx="105">
                  <c:v>5.5853224768776091E-2</c:v>
                </c:pt>
                <c:pt idx="106">
                  <c:v>5.5918254247767675E-2</c:v>
                </c:pt>
                <c:pt idx="107">
                  <c:v>5.5984027215984083E-2</c:v>
                </c:pt>
                <c:pt idx="108">
                  <c:v>5.6050552923509127E-2</c:v>
                </c:pt>
                <c:pt idx="109">
                  <c:v>5.611783956969086E-2</c:v>
                </c:pt>
                <c:pt idx="110">
                  <c:v>5.6185894253992327E-2</c:v>
                </c:pt>
                <c:pt idx="111">
                  <c:v>5.6254722925136544E-2</c:v>
                </c:pt>
                <c:pt idx="112">
                  <c:v>5.6324330328653131E-2</c:v>
                </c:pt>
                <c:pt idx="113">
                  <c:v>5.6394719952992285E-2</c:v>
                </c:pt>
                <c:pt idx="114">
                  <c:v>5.6465893974429998E-2</c:v>
                </c:pt>
                <c:pt idx="115">
                  <c:v>5.6537853201047331E-2</c:v>
                </c:pt>
                <c:pt idx="116">
                  <c:v>5.6610597016123643E-2</c:v>
                </c:pt>
                <c:pt idx="117">
                  <c:v>5.6684123321339298E-2</c:v>
                </c:pt>
                <c:pt idx="118">
                  <c:v>5.6758428480236663E-2</c:v>
                </c:pt>
                <c:pt idx="119">
                  <c:v>5.5608507839918844E-3</c:v>
                </c:pt>
                <c:pt idx="120">
                  <c:v>5.6643861416230739E-3</c:v>
                </c:pt>
                <c:pt idx="121">
                  <c:v>5.7679956576531851E-3</c:v>
                </c:pt>
                <c:pt idx="122">
                  <c:v>5.8716820470893017E-3</c:v>
                </c:pt>
                <c:pt idx="123">
                  <c:v>5.9754477474133838E-3</c:v>
                </c:pt>
                <c:pt idx="124">
                  <c:v>6.0792948995713738E-3</c:v>
                </c:pt>
                <c:pt idx="125">
                  <c:v>6.1832253291329792E-3</c:v>
                </c:pt>
                <c:pt idx="126">
                  <c:v>6.2872405277530612E-3</c:v>
                </c:pt>
                <c:pt idx="127">
                  <c:v>6.3913416350738425E-3</c:v>
                </c:pt>
                <c:pt idx="128">
                  <c:v>6.495529421214799E-3</c:v>
                </c:pt>
                <c:pt idx="129">
                  <c:v>6.5998042700027935E-3</c:v>
                </c:pt>
                <c:pt idx="130">
                  <c:v>6.7041661631001481E-3</c:v>
                </c:pt>
                <c:pt idx="131">
                  <c:v>6.8086146651913752E-3</c:v>
                </c:pt>
                <c:pt idx="132">
                  <c:v>6.9131489103911245E-3</c:v>
                </c:pt>
                <c:pt idx="133">
                  <c:v>7.0177675900356135E-3</c:v>
                </c:pt>
                <c:pt idx="134">
                  <c:v>7.1224689420184284E-3</c:v>
                </c:pt>
                <c:pt idx="135">
                  <c:v>7.2272507418274816E-3</c:v>
                </c:pt>
                <c:pt idx="136">
                  <c:v>7.3321102954347333E-3</c:v>
                </c:pt>
                <c:pt idx="137">
                  <c:v>7.4370444341827022E-3</c:v>
                </c:pt>
                <c:pt idx="138">
                  <c:v>7.5420495118025148E-3</c:v>
                </c:pt>
                <c:pt idx="139">
                  <c:v>7.6471214036871729E-3</c:v>
                </c:pt>
                <c:pt idx="140">
                  <c:v>7.7522555085307102E-3</c:v>
                </c:pt>
                <c:pt idx="141">
                  <c:v>7.8574467524291178E-3</c:v>
                </c:pt>
                <c:pt idx="142">
                  <c:v>7.9626895955228864E-3</c:v>
                </c:pt>
                <c:pt idx="143">
                  <c:v>8.0679780412428355E-3</c:v>
                </c:pt>
                <c:pt idx="144">
                  <c:v>8.1733056482021192E-3</c:v>
                </c:pt>
                <c:pt idx="145">
                  <c:v>8.2786655447565031E-3</c:v>
                </c:pt>
                <c:pt idx="146">
                  <c:v>8.3840504462339878E-3</c:v>
                </c:pt>
                <c:pt idx="147">
                  <c:v>8.4894526748123932E-3</c:v>
                </c:pt>
                <c:pt idx="148">
                  <c:v>8.5948641820007728E-3</c:v>
                </c:pt>
                <c:pt idx="149">
                  <c:v>8.7002765736574408E-3</c:v>
                </c:pt>
                <c:pt idx="150">
                  <c:v>8.8056811374537941E-3</c:v>
                </c:pt>
                <c:pt idx="151">
                  <c:v>8.91106887267013E-3</c:v>
                </c:pt>
                <c:pt idx="152">
                  <c:v>9.0164305221867146E-3</c:v>
                </c:pt>
                <c:pt idx="153">
                  <c:v>9.1217566065109074E-3</c:v>
                </c:pt>
                <c:pt idx="154">
                  <c:v>9.2270374596598592E-3</c:v>
                </c:pt>
                <c:pt idx="155">
                  <c:v>9.3322632666980338E-3</c:v>
                </c:pt>
                <c:pt idx="156">
                  <c:v>9.437424102709667E-3</c:v>
                </c:pt>
                <c:pt idx="157">
                  <c:v>9.5425099729686755E-3</c:v>
                </c:pt>
                <c:pt idx="158">
                  <c:v>9.6475108540535585E-3</c:v>
                </c:pt>
                <c:pt idx="159">
                  <c:v>9.7524167356401754E-3</c:v>
                </c:pt>
                <c:pt idx="160">
                  <c:v>9.8572176626948015E-3</c:v>
                </c:pt>
                <c:pt idx="161">
                  <c:v>9.9619037777799579E-3</c:v>
                </c:pt>
                <c:pt idx="162">
                  <c:v>1.0066465363179384E-2</c:v>
                </c:pt>
                <c:pt idx="163">
                  <c:v>1.017089288254408E-2</c:v>
                </c:pt>
                <c:pt idx="164">
                  <c:v>1.0275177021760279E-2</c:v>
                </c:pt>
                <c:pt idx="165">
                  <c:v>1.0379308728741371E-2</c:v>
                </c:pt>
                <c:pt idx="166">
                  <c:v>1.0483279251850173E-2</c:v>
                </c:pt>
                <c:pt idx="167">
                  <c:v>1.0587080176664721E-2</c:v>
                </c:pt>
                <c:pt idx="168">
                  <c:v>1.0690703460810773E-2</c:v>
                </c:pt>
                <c:pt idx="169">
                  <c:v>1.0794141466596447E-2</c:v>
                </c:pt>
                <c:pt idx="170">
                  <c:v>1.0897386991199579E-2</c:v>
                </c:pt>
                <c:pt idx="171">
                  <c:v>1.1000433294176243E-2</c:v>
                </c:pt>
                <c:pt idx="172">
                  <c:v>1.1103274122078457E-2</c:v>
                </c:pt>
                <c:pt idx="173">
                  <c:v>1.1205903729991791E-2</c:v>
                </c:pt>
                <c:pt idx="174">
                  <c:v>1.1308316899827297E-2</c:v>
                </c:pt>
                <c:pt idx="175">
                  <c:v>1.1410508955228759E-2</c:v>
                </c:pt>
                <c:pt idx="176">
                  <c:v>1.1512475772983215E-2</c:v>
                </c:pt>
                <c:pt idx="177">
                  <c:v>1.1614213790851998E-2</c:v>
                </c:pt>
                <c:pt idx="178">
                  <c:v>1.1715720011769121E-2</c:v>
                </c:pt>
                <c:pt idx="179">
                  <c:v>1.181699200438438E-2</c:v>
                </c:pt>
                <c:pt idx="180">
                  <c:v>1.1918027899959606E-2</c:v>
                </c:pt>
                <c:pt idx="181">
                  <c:v>1.2018826385657273E-2</c:v>
                </c:pt>
                <c:pt idx="182">
                  <c:v>1.2119386694291709E-2</c:v>
                </c:pt>
                <c:pt idx="183">
                  <c:v>1.2219708590643287E-2</c:v>
                </c:pt>
                <c:pt idx="184">
                  <c:v>1.2319792354465153E-2</c:v>
                </c:pt>
                <c:pt idx="185">
                  <c:v>1.2419638760340614E-2</c:v>
                </c:pt>
                <c:pt idx="186">
                  <c:v>1.2519249054575736E-2</c:v>
                </c:pt>
                <c:pt idx="187">
                  <c:v>1.2618624929336741E-2</c:v>
                </c:pt>
                <c:pt idx="188">
                  <c:v>1.2717768494264809E-2</c:v>
                </c:pt>
                <c:pt idx="189">
                  <c:v>1.2816682245821415E-2</c:v>
                </c:pt>
                <c:pt idx="190">
                  <c:v>1.291536903463575E-2</c:v>
                </c:pt>
                <c:pt idx="191">
                  <c:v>1.3013832031140761E-2</c:v>
                </c:pt>
                <c:pt idx="192">
                  <c:v>1.311207468979751E-2</c:v>
                </c:pt>
                <c:pt idx="193">
                  <c:v>1.3210100712216661E-2</c:v>
                </c:pt>
                <c:pt idx="194">
                  <c:v>1.3307914009492468E-2</c:v>
                </c:pt>
                <c:pt idx="195">
                  <c:v>1.3405518664068042E-2</c:v>
                </c:pt>
                <c:pt idx="196">
                  <c:v>1.350291889145038E-2</c:v>
                </c:pt>
                <c:pt idx="197">
                  <c:v>1.3600119002090428E-2</c:v>
                </c:pt>
                <c:pt idx="198">
                  <c:v>1.3697123363737232E-2</c:v>
                </c:pt>
                <c:pt idx="199">
                  <c:v>1.3793936364565069E-2</c:v>
                </c:pt>
                <c:pt idx="200">
                  <c:v>1.3890562377360206E-2</c:v>
                </c:pt>
                <c:pt idx="201">
                  <c:v>1.3987005725037997E-2</c:v>
                </c:pt>
                <c:pt idx="202">
                  <c:v>1.4083270647742695E-2</c:v>
                </c:pt>
                <c:pt idx="203">
                  <c:v>1.4179361271761642E-2</c:v>
                </c:pt>
                <c:pt idx="204">
                  <c:v>1.4275281580461763E-2</c:v>
                </c:pt>
                <c:pt idx="205">
                  <c:v>1.4371035387431438E-2</c:v>
                </c:pt>
                <c:pt idx="206">
                  <c:v>1.4466626311983545E-2</c:v>
                </c:pt>
                <c:pt idx="207">
                  <c:v>1.4562057757146781E-2</c:v>
                </c:pt>
                <c:pt idx="208">
                  <c:v>1.4657332890242774E-2</c:v>
                </c:pt>
                <c:pt idx="209">
                  <c:v>1.4752454626116053E-2</c:v>
                </c:pt>
                <c:pt idx="210">
                  <c:v>1.48474256130527E-2</c:v>
                </c:pt>
                <c:pt idx="211">
                  <c:v>1.4942248221392685E-2</c:v>
                </c:pt>
                <c:pt idx="212">
                  <c:v>1.5036924534809889E-2</c:v>
                </c:pt>
                <c:pt idx="213">
                  <c:v>1.5131456344203674E-2</c:v>
                </c:pt>
                <c:pt idx="214">
                  <c:v>1.5225845144116613E-2</c:v>
                </c:pt>
                <c:pt idx="215">
                  <c:v>1.5320092131565034E-2</c:v>
                </c:pt>
                <c:pt idx="216">
                  <c:v>1.5414198207142845E-2</c:v>
                </c:pt>
                <c:pt idx="217">
                  <c:v>1.5508163978234771E-2</c:v>
                </c:pt>
                <c:pt idx="218">
                  <c:v>1.5601989764153074E-2</c:v>
                </c:pt>
                <c:pt idx="219">
                  <c:v>1.5695675602992381E-2</c:v>
                </c:pt>
                <c:pt idx="220">
                  <c:v>1.5789221259980418E-2</c:v>
                </c:pt>
                <c:pt idx="221">
                  <c:v>1.5882626237088988E-2</c:v>
                </c:pt>
                <c:pt idx="222">
                  <c:v>1.5975889783658468E-2</c:v>
                </c:pt>
                <c:pt idx="223">
                  <c:v>1.6069010907782403E-2</c:v>
                </c:pt>
                <c:pt idx="224">
                  <c:v>1.6161988388194621E-2</c:v>
                </c:pt>
                <c:pt idx="225">
                  <c:v>1.6254820786400816E-2</c:v>
                </c:pt>
                <c:pt idx="226">
                  <c:v>1.634750645880002E-2</c:v>
                </c:pt>
                <c:pt idx="227">
                  <c:v>1.6440043568547832E-2</c:v>
                </c:pt>
                <c:pt idx="228">
                  <c:v>1.6532430096923185E-2</c:v>
                </c:pt>
                <c:pt idx="229">
                  <c:v>1.6624663853974164E-2</c:v>
                </c:pt>
                <c:pt idx="230">
                  <c:v>1.6716742488234581E-2</c:v>
                </c:pt>
                <c:pt idx="231">
                  <c:v>1.6808663495322857E-2</c:v>
                </c:pt>
                <c:pt idx="232">
                  <c:v>1.6900424225257032E-2</c:v>
                </c:pt>
                <c:pt idx="233">
                  <c:v>1.6992021888344665E-2</c:v>
                </c:pt>
                <c:pt idx="234">
                  <c:v>1.7083453559533349E-2</c:v>
                </c:pt>
                <c:pt idx="235">
                  <c:v>1.7174716181137112E-2</c:v>
                </c:pt>
                <c:pt idx="236">
                  <c:v>1.7265806563884076E-2</c:v>
                </c:pt>
                <c:pt idx="237">
                  <c:v>1.7356721386263086E-2</c:v>
                </c:pt>
                <c:pt idx="238">
                  <c:v>1.7447457192179563E-2</c:v>
                </c:pt>
                <c:pt idx="239">
                  <c:v>1.7538010386964089E-2</c:v>
                </c:pt>
                <c:pt idx="240">
                  <c:v>1.7628377231810339E-2</c:v>
                </c:pt>
                <c:pt idx="241">
                  <c:v>1.7718553836751801E-2</c:v>
                </c:pt>
                <c:pt idx="242">
                  <c:v>1.7808536152318814E-2</c:v>
                </c:pt>
                <c:pt idx="243">
                  <c:v>1.7898319960048061E-2</c:v>
                </c:pt>
                <c:pt idx="244">
                  <c:v>1.7987900862045873E-2</c:v>
                </c:pt>
                <c:pt idx="245">
                  <c:v>1.8077274269833604E-2</c:v>
                </c:pt>
                <c:pt idx="246">
                  <c:v>1.8166435392728372E-2</c:v>
                </c:pt>
                <c:pt idx="247">
                  <c:v>1.8255379226033742E-2</c:v>
                </c:pt>
                <c:pt idx="248">
                  <c:v>1.8344100539334579E-2</c:v>
                </c:pt>
                <c:pt idx="249">
                  <c:v>1.843259386520478E-2</c:v>
                </c:pt>
                <c:pt idx="250">
                  <c:v>1.8520853488649066E-2</c:v>
                </c:pt>
                <c:pt idx="251">
                  <c:v>1.8608873437607549E-2</c:v>
                </c:pt>
                <c:pt idx="252">
                  <c:v>1.8696647474855659E-2</c:v>
                </c:pt>
                <c:pt idx="253">
                  <c:v>1.878416909163165E-2</c:v>
                </c:pt>
                <c:pt idx="254">
                  <c:v>1.8871431503319179E-2</c:v>
                </c:pt>
                <c:pt idx="255">
                  <c:v>1.8958427647503339E-2</c:v>
                </c:pt>
                <c:pt idx="256">
                  <c:v>1.9045150184705421E-2</c:v>
                </c:pt>
                <c:pt idx="257">
                  <c:v>1.9131591502083566E-2</c:v>
                </c:pt>
                <c:pt idx="258">
                  <c:v>1.9217743720365037E-2</c:v>
                </c:pt>
                <c:pt idx="259">
                  <c:v>1.9303598704249542E-2</c:v>
                </c:pt>
                <c:pt idx="260">
                  <c:v>1.9389148076493674E-2</c:v>
                </c:pt>
                <c:pt idx="261">
                  <c:v>1.9474383235852918E-2</c:v>
                </c:pt>
                <c:pt idx="262">
                  <c:v>1.9559295379021104E-2</c:v>
                </c:pt>
                <c:pt idx="263">
                  <c:v>1.9643875526667711E-2</c:v>
                </c:pt>
                <c:pt idx="264">
                  <c:v>1.9728114553630959E-2</c:v>
                </c:pt>
                <c:pt idx="265">
                  <c:v>1.9812003223280628E-2</c:v>
                </c:pt>
                <c:pt idx="266">
                  <c:v>1.9895532226017937E-2</c:v>
                </c:pt>
                <c:pt idx="267">
                  <c:v>1.9978692221832874E-2</c:v>
                </c:pt>
                <c:pt idx="268">
                  <c:v>2.0061473886790714E-2</c:v>
                </c:pt>
                <c:pt idx="269">
                  <c:v>2.0143867963271566E-2</c:v>
                </c:pt>
                <c:pt idx="270">
                  <c:v>2.0225865313737691E-2</c:v>
                </c:pt>
                <c:pt idx="271">
                  <c:v>2.0307456977757037E-2</c:v>
                </c:pt>
                <c:pt idx="272">
                  <c:v>2.0388634231964051E-2</c:v>
                </c:pt>
                <c:pt idx="273">
                  <c:v>2.0469388652595386E-2</c:v>
                </c:pt>
                <c:pt idx="274">
                  <c:v>2.054971218019578E-2</c:v>
                </c:pt>
                <c:pt idx="275">
                  <c:v>2.062959718605013E-2</c:v>
                </c:pt>
                <c:pt idx="276">
                  <c:v>2.07090365398622E-2</c:v>
                </c:pt>
                <c:pt idx="277">
                  <c:v>2.0788023678168246E-2</c:v>
                </c:pt>
                <c:pt idx="278">
                  <c:v>2.0866552672945744E-2</c:v>
                </c:pt>
                <c:pt idx="279">
                  <c:v>2.0944618299854608E-2</c:v>
                </c:pt>
                <c:pt idx="280">
                  <c:v>2.1022216105529352E-2</c:v>
                </c:pt>
                <c:pt idx="281">
                  <c:v>2.1099342473328012E-2</c:v>
                </c:pt>
                <c:pt idx="282">
                  <c:v>2.1175994686935436E-2</c:v>
                </c:pt>
                <c:pt idx="283">
                  <c:v>2.1252170991217109E-2</c:v>
                </c:pt>
                <c:pt idx="284">
                  <c:v>2.1327870649722837E-2</c:v>
                </c:pt>
                <c:pt idx="285">
                  <c:v>2.1403093998249724E-2</c:v>
                </c:pt>
                <c:pt idx="286">
                  <c:v>2.1477842493889333E-2</c:v>
                </c:pt>
                <c:pt idx="287">
                  <c:v>2.1552118759005173E-2</c:v>
                </c:pt>
                <c:pt idx="288">
                  <c:v>2.1625926619614058E-2</c:v>
                </c:pt>
                <c:pt idx="289">
                  <c:v>2.1699271137677736E-2</c:v>
                </c:pt>
                <c:pt idx="290">
                  <c:v>2.1772158636849209E-2</c:v>
                </c:pt>
                <c:pt idx="291">
                  <c:v>2.1844596721261898E-2</c:v>
                </c:pt>
                <c:pt idx="292">
                  <c:v>2.1916594286997437E-2</c:v>
                </c:pt>
                <c:pt idx="293">
                  <c:v>2.1988161525921087E-2</c:v>
                </c:pt>
                <c:pt idx="294">
                  <c:v>2.2059309921629869E-2</c:v>
                </c:pt>
                <c:pt idx="295">
                  <c:v>2.2130052237318745E-2</c:v>
                </c:pt>
                <c:pt idx="296">
                  <c:v>2.2200402495433327E-2</c:v>
                </c:pt>
                <c:pt idx="297">
                  <c:v>2.2270375949042995E-2</c:v>
                </c:pt>
                <c:pt idx="298">
                  <c:v>2.233998904493557E-2</c:v>
                </c:pt>
                <c:pt idx="299">
                  <c:v>2.2409259378503684E-2</c:v>
                </c:pt>
                <c:pt idx="300">
                  <c:v>2.2478205640561372E-2</c:v>
                </c:pt>
                <c:pt idx="301">
                  <c:v>2.2546847556299397E-2</c:v>
                </c:pt>
                <c:pt idx="302">
                  <c:v>2.2615205816655808E-2</c:v>
                </c:pt>
                <c:pt idx="303">
                  <c:v>2.268330200244506E-2</c:v>
                </c:pt>
                <c:pt idx="304">
                  <c:v>2.2751158501654749E-2</c:v>
                </c:pt>
                <c:pt idx="305">
                  <c:v>2.281879842038069E-2</c:v>
                </c:pt>
                <c:pt idx="306">
                  <c:v>2.2886245487930699E-2</c:v>
                </c:pt>
                <c:pt idx="307">
                  <c:v>2.295352395668275E-2</c:v>
                </c:pt>
                <c:pt idx="308">
                  <c:v>2.3020658497333452E-2</c:v>
                </c:pt>
                <c:pt idx="309">
                  <c:v>2.3087674090219567E-2</c:v>
                </c:pt>
                <c:pt idx="310">
                  <c:v>2.3154595913435251E-2</c:v>
                </c:pt>
                <c:pt idx="311">
                  <c:v>2.3221449228502392E-2</c:v>
                </c:pt>
                <c:pt idx="312">
                  <c:v>2.3288259264380169E-2</c:v>
                </c:pt>
                <c:pt idx="313">
                  <c:v>2.335505110062144E-2</c:v>
                </c:pt>
                <c:pt idx="314">
                  <c:v>2.3421849550498915E-2</c:v>
                </c:pt>
                <c:pt idx="315">
                  <c:v>2.3488679044931897E-2</c:v>
                </c:pt>
                <c:pt idx="316">
                  <c:v>2.3555563518045441E-2</c:v>
                </c:pt>
                <c:pt idx="317">
                  <c:v>2.3622526295187334E-2</c:v>
                </c:pt>
                <c:pt idx="318">
                  <c:v>2.3689589984214689E-2</c:v>
                </c:pt>
                <c:pt idx="319">
                  <c:v>2.3756776370841642E-2</c:v>
                </c:pt>
                <c:pt idx="320">
                  <c:v>2.3824106318811267E-2</c:v>
                </c:pt>
                <c:pt idx="321">
                  <c:v>2.3891599675621288E-2</c:v>
                </c:pt>
                <c:pt idx="322">
                  <c:v>2.3959275184491213E-2</c:v>
                </c:pt>
                <c:pt idx="323">
                  <c:v>2.4027150403212238E-2</c:v>
                </c:pt>
                <c:pt idx="324">
                  <c:v>2.4095241630467834E-2</c:v>
                </c:pt>
                <c:pt idx="325">
                  <c:v>2.4163563840154764E-2</c:v>
                </c:pt>
                <c:pt idx="326">
                  <c:v>2.4232130624171528E-2</c:v>
                </c:pt>
                <c:pt idx="327">
                  <c:v>2.4300954144073711E-2</c:v>
                </c:pt>
                <c:pt idx="328">
                  <c:v>2.4370045091924895E-2</c:v>
                </c:pt>
                <c:pt idx="329">
                  <c:v>2.4439412660597952E-2</c:v>
                </c:pt>
                <c:pt idx="330">
                  <c:v>2.4509064523705146E-2</c:v>
                </c:pt>
                <c:pt idx="331">
                  <c:v>2.4579006825257901E-2</c:v>
                </c:pt>
                <c:pt idx="332">
                  <c:v>2.4649244179077844E-2</c:v>
                </c:pt>
                <c:pt idx="333">
                  <c:v>2.471977967790235E-2</c:v>
                </c:pt>
                <c:pt idx="334">
                  <c:v>2.4790614912048693E-2</c:v>
                </c:pt>
                <c:pt idx="335">
                  <c:v>2.4861749997424094E-2</c:v>
                </c:pt>
                <c:pt idx="336">
                  <c:v>2.4933183612593734E-2</c:v>
                </c:pt>
                <c:pt idx="337">
                  <c:v>2.5004913044545784E-2</c:v>
                </c:pt>
                <c:pt idx="338">
                  <c:v>2.5076934242723597E-2</c:v>
                </c:pt>
                <c:pt idx="339">
                  <c:v>2.5149241880829645E-2</c:v>
                </c:pt>
                <c:pt idx="340">
                  <c:v>2.5221829425845135E-2</c:v>
                </c:pt>
                <c:pt idx="341">
                  <c:v>2.529468921365334E-2</c:v>
                </c:pt>
                <c:pt idx="342">
                  <c:v>2.5367812530604869E-2</c:v>
                </c:pt>
                <c:pt idx="343">
                  <c:v>2.5441189700319011E-2</c:v>
                </c:pt>
                <c:pt idx="344">
                  <c:v>2.5514810174977615E-2</c:v>
                </c:pt>
                <c:pt idx="345">
                  <c:v>2.5588662630337572E-2</c:v>
                </c:pt>
                <c:pt idx="346">
                  <c:v>2.5662735063664004E-2</c:v>
                </c:pt>
                <c:pt idx="347">
                  <c:v>2.5737014893769956E-2</c:v>
                </c:pt>
                <c:pt idx="348">
                  <c:v>2.5811489062339581E-2</c:v>
                </c:pt>
                <c:pt idx="349">
                  <c:v>2.5886144135709881E-2</c:v>
                </c:pt>
                <c:pt idx="350">
                  <c:v>2.5960966406292241E-2</c:v>
                </c:pt>
                <c:pt idx="351">
                  <c:v>2.6035941992828104E-2</c:v>
                </c:pt>
                <c:pt idx="352">
                  <c:v>2.6111056938693433E-2</c:v>
                </c:pt>
                <c:pt idx="353">
                  <c:v>2.6186297307494184E-2</c:v>
                </c:pt>
                <c:pt idx="354">
                  <c:v>2.6261649275228702E-2</c:v>
                </c:pt>
                <c:pt idx="355">
                  <c:v>2.6337099218333555E-2</c:v>
                </c:pt>
                <c:pt idx="356">
                  <c:v>2.6412633796975366E-2</c:v>
                </c:pt>
                <c:pt idx="357">
                  <c:v>2.6488240033002815E-2</c:v>
                </c:pt>
                <c:pt idx="358">
                  <c:v>2.6563905382029424E-2</c:v>
                </c:pt>
                <c:pt idx="359">
                  <c:v>2.6639617799178714E-2</c:v>
                </c:pt>
                <c:pt idx="360">
                  <c:v>2.6715365798087504E-2</c:v>
                </c:pt>
                <c:pt idx="361">
                  <c:v>2.6791138502831144E-2</c:v>
                </c:pt>
                <c:pt idx="362">
                  <c:v>2.6866925692503863E-2</c:v>
                </c:pt>
                <c:pt idx="363">
                  <c:v>2.6942717838259606E-2</c:v>
                </c:pt>
                <c:pt idx="364">
                  <c:v>2.7018506132690925E-2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8.8963980883391609E-5</c:v>
                </c:pt>
                <c:pt idx="1">
                  <c:v>8.9559396101499854E-5</c:v>
                </c:pt>
                <c:pt idx="2">
                  <c:v>9.0172430299967875E-5</c:v>
                </c:pt>
                <c:pt idx="3">
                  <c:v>9.0803710144546945E-5</c:v>
                </c:pt>
                <c:pt idx="4">
                  <c:v>9.1453883122335344E-5</c:v>
                </c:pt>
                <c:pt idx="5">
                  <c:v>9.2123617253612371E-5</c:v>
                </c:pt>
                <c:pt idx="6">
                  <c:v>9.2813600919036001E-5</c:v>
                </c:pt>
                <c:pt idx="7">
                  <c:v>9.3524542891267498E-5</c:v>
                </c:pt>
                <c:pt idx="8">
                  <c:v>9.42439133745193E-5</c:v>
                </c:pt>
                <c:pt idx="9">
                  <c:v>9.4874986409016371E-5</c:v>
                </c:pt>
                <c:pt idx="10">
                  <c:v>9.5365753939923289E-5</c:v>
                </c:pt>
                <c:pt idx="11">
                  <c:v>9.5722572833437602E-5</c:v>
                </c:pt>
                <c:pt idx="12">
                  <c:v>9.5951961526029184E-5</c:v>
                </c:pt>
                <c:pt idx="13">
                  <c:v>9.6060521388349255E-5</c:v>
                </c:pt>
                <c:pt idx="14">
                  <c:v>9.6054866145026929E-5</c:v>
                </c:pt>
                <c:pt idx="15">
                  <c:v>9.5792917650366102E-5</c:v>
                </c:pt>
                <c:pt idx="16">
                  <c:v>9.5289346577852397E-5</c:v>
                </c:pt>
                <c:pt idx="17">
                  <c:v>9.4554767245511932E-5</c:v>
                </c:pt>
                <c:pt idx="18">
                  <c:v>9.3599526215388845E-5</c:v>
                </c:pt>
                <c:pt idx="19">
                  <c:v>9.2434139634534204E-5</c:v>
                </c:pt>
                <c:pt idx="20">
                  <c:v>9.1068910589054398E-5</c:v>
                </c:pt>
                <c:pt idx="21">
                  <c:v>8.9513231976951572E-5</c:v>
                </c:pt>
                <c:pt idx="22">
                  <c:v>8.7765976693390129E-5</c:v>
                </c:pt>
                <c:pt idx="23">
                  <c:v>8.5792292695811335E-5</c:v>
                </c:pt>
                <c:pt idx="24">
                  <c:v>8.3674963685022229E-5</c:v>
                </c:pt>
                <c:pt idx="25">
                  <c:v>8.142060802390514E-5</c:v>
                </c:pt>
                <c:pt idx="26">
                  <c:v>7.9035568286283894E-5</c:v>
                </c:pt>
                <c:pt idx="27">
                  <c:v>7.6525895059513434E-5</c:v>
                </c:pt>
                <c:pt idx="28">
                  <c:v>7.3897334519908817E-5</c:v>
                </c:pt>
                <c:pt idx="29">
                  <c:v>7.1308003398785501E-5</c:v>
                </c:pt>
                <c:pt idx="30">
                  <c:v>6.8886056367961979E-5</c:v>
                </c:pt>
                <c:pt idx="31">
                  <c:v>6.6627907405758359E-5</c:v>
                </c:pt>
                <c:pt idx="32">
                  <c:v>6.4529921489720228E-5</c:v>
                </c:pt>
                <c:pt idx="33">
                  <c:v>6.2588441810081078E-5</c:v>
                </c:pt>
                <c:pt idx="34">
                  <c:v>6.079981439020333E-5</c:v>
                </c:pt>
                <c:pt idx="35">
                  <c:v>5.916041022534263E-5</c:v>
                </c:pt>
                <c:pt idx="36">
                  <c:v>5.7661230411056475E-5</c:v>
                </c:pt>
                <c:pt idx="37">
                  <c:v>5.6379177037056364E-5</c:v>
                </c:pt>
                <c:pt idx="38">
                  <c:v>5.5338757475503895E-5</c:v>
                </c:pt>
                <c:pt idx="39">
                  <c:v>5.4534894636688736E-5</c:v>
                </c:pt>
                <c:pt idx="40">
                  <c:v>5.3962473712729853E-5</c:v>
                </c:pt>
                <c:pt idx="41">
                  <c:v>5.3616416724830475E-5</c:v>
                </c:pt>
                <c:pt idx="42">
                  <c:v>5.3491749715068089E-5</c:v>
                </c:pt>
                <c:pt idx="43">
                  <c:v>5.3522661335750838E-5</c:v>
                </c:pt>
                <c:pt idx="44">
                  <c:v>5.3574588419552862E-5</c:v>
                </c:pt>
                <c:pt idx="45">
                  <c:v>5.3648458268766581E-5</c:v>
                </c:pt>
                <c:pt idx="46">
                  <c:v>5.3745184401259204E-5</c:v>
                </c:pt>
                <c:pt idx="47">
                  <c:v>5.3865675261795685E-5</c:v>
                </c:pt>
                <c:pt idx="48">
                  <c:v>5.4010842996653006E-5</c:v>
                </c:pt>
                <c:pt idx="49">
                  <c:v>5.4181612311121845E-5</c:v>
                </c:pt>
                <c:pt idx="50">
                  <c:v>5.4376327175036421E-5</c:v>
                </c:pt>
                <c:pt idx="51">
                  <c:v>5.4542892338754362E-5</c:v>
                </c:pt>
                <c:pt idx="52">
                  <c:v>5.4607671736736379E-5</c:v>
                </c:pt>
                <c:pt idx="53">
                  <c:v>5.4572349126785992E-5</c:v>
                </c:pt>
                <c:pt idx="54">
                  <c:v>5.443877203356503E-5</c:v>
                </c:pt>
                <c:pt idx="55">
                  <c:v>5.4208696070013003E-5</c:v>
                </c:pt>
                <c:pt idx="56">
                  <c:v>5.3883797329052113E-5</c:v>
                </c:pt>
                <c:pt idx="57">
                  <c:v>5.3494478346586408E-5</c:v>
                </c:pt>
                <c:pt idx="58">
                  <c:v>5.3095784452307588E-5</c:v>
                </c:pt>
                <c:pt idx="59">
                  <c:v>5.2687550408964939E-5</c:v>
                </c:pt>
                <c:pt idx="60">
                  <c:v>5.2269638744720856E-5</c:v>
                </c:pt>
                <c:pt idx="61">
                  <c:v>5.1841939196261887E-5</c:v>
                </c:pt>
                <c:pt idx="62">
                  <c:v>5.1404368032817923E-5</c:v>
                </c:pt>
                <c:pt idx="63">
                  <c:v>5.0956867263775746E-5</c:v>
                </c:pt>
                <c:pt idx="64">
                  <c:v>5.0499774587260603E-5</c:v>
                </c:pt>
                <c:pt idx="65">
                  <c:v>5.0072906306270616E-5</c:v>
                </c:pt>
                <c:pt idx="66">
                  <c:v>4.9720564195911736E-5</c:v>
                </c:pt>
                <c:pt idx="67">
                  <c:v>4.9441772685243415E-5</c:v>
                </c:pt>
                <c:pt idx="68">
                  <c:v>4.9235616502210419E-5</c:v>
                </c:pt>
                <c:pt idx="69">
                  <c:v>4.910124414261242E-5</c:v>
                </c:pt>
                <c:pt idx="70">
                  <c:v>4.9037871347278617E-5</c:v>
                </c:pt>
                <c:pt idx="71">
                  <c:v>4.901123766827896E-5</c:v>
                </c:pt>
                <c:pt idx="72">
                  <c:v>4.8994995703287859E-5</c:v>
                </c:pt>
                <c:pt idx="73">
                  <c:v>4.8989490419249218E-5</c:v>
                </c:pt>
                <c:pt idx="74">
                  <c:v>4.8995078484679097E-5</c:v>
                </c:pt>
                <c:pt idx="75">
                  <c:v>4.9012128447567162E-5</c:v>
                </c:pt>
                <c:pt idx="76">
                  <c:v>4.9041020924187059E-5</c:v>
                </c:pt>
                <c:pt idx="77">
                  <c:v>4.9082148807360723E-5</c:v>
                </c:pt>
                <c:pt idx="78">
                  <c:v>4.9133379420570224E-5</c:v>
                </c:pt>
                <c:pt idx="79">
                  <c:v>4.9143602053315656E-5</c:v>
                </c:pt>
                <c:pt idx="80">
                  <c:v>4.9078567474399448E-5</c:v>
                </c:pt>
                <c:pt idx="81">
                  <c:v>4.8940446308424472E-5</c:v>
                </c:pt>
                <c:pt idx="82">
                  <c:v>4.8731289950659312E-5</c:v>
                </c:pt>
                <c:pt idx="83">
                  <c:v>4.8453015006397179E-5</c:v>
                </c:pt>
                <c:pt idx="84">
                  <c:v>4.8107388844026766E-5</c:v>
                </c:pt>
                <c:pt idx="85">
                  <c:v>4.7685594118232132E-5</c:v>
                </c:pt>
                <c:pt idx="86">
                  <c:v>4.7220678059998081E-5</c:v>
                </c:pt>
                <c:pt idx="87">
                  <c:v>4.6713725139063736E-5</c:v>
                </c:pt>
                <c:pt idx="88">
                  <c:v>4.6165663270273383E-5</c:v>
                </c:pt>
                <c:pt idx="89">
                  <c:v>4.5577256853871499E-5</c:v>
                </c:pt>
                <c:pt idx="90">
                  <c:v>4.4949099995446567E-5</c:v>
                </c:pt>
                <c:pt idx="91">
                  <c:v>4.4281609770179355E-5</c:v>
                </c:pt>
                <c:pt idx="92">
                  <c:v>4.3572923148035603E-5</c:v>
                </c:pt>
                <c:pt idx="93">
                  <c:v>4.2775426587540272E-5</c:v>
                </c:pt>
                <c:pt idx="94">
                  <c:v>4.1936731443771477E-5</c:v>
                </c:pt>
                <c:pt idx="95">
                  <c:v>4.1056173742930898E-5</c:v>
                </c:pt>
                <c:pt idx="96">
                  <c:v>4.0132963231173671E-5</c:v>
                </c:pt>
                <c:pt idx="97">
                  <c:v>3.916617966284814E-5</c:v>
                </c:pt>
                <c:pt idx="98">
                  <c:v>3.8154768930792575E-5</c:v>
                </c:pt>
                <c:pt idx="99">
                  <c:v>3.7123177689480659E-5</c:v>
                </c:pt>
                <c:pt idx="100">
                  <c:v>3.6080641566906446E-5</c:v>
                </c:pt>
                <c:pt idx="101">
                  <c:v>3.5025998116358706E-5</c:v>
                </c:pt>
                <c:pt idx="102">
                  <c:v>3.3958017168136103E-5</c:v>
                </c:pt>
                <c:pt idx="103">
                  <c:v>3.2875398522855517E-5</c:v>
                </c:pt>
                <c:pt idx="104">
                  <c:v>3.1776769557308945E-5</c:v>
                </c:pt>
                <c:pt idx="105">
                  <c:v>3.0660682733055537E-5</c:v>
                </c:pt>
                <c:pt idx="106">
                  <c:v>2.9525950638445465E-5</c:v>
                </c:pt>
                <c:pt idx="107">
                  <c:v>2.8487457842192757E-5</c:v>
                </c:pt>
                <c:pt idx="108">
                  <c:v>2.7592255535703616E-5</c:v>
                </c:pt>
                <c:pt idx="109">
                  <c:v>2.6841291937567497E-5</c:v>
                </c:pt>
                <c:pt idx="110">
                  <c:v>2.6235957331352658E-5</c:v>
                </c:pt>
                <c:pt idx="111">
                  <c:v>2.5778002370609703E-5</c:v>
                </c:pt>
                <c:pt idx="112">
                  <c:v>2.5469465470587716E-5</c:v>
                </c:pt>
                <c:pt idx="113">
                  <c:v>2.5378418671592553E-5</c:v>
                </c:pt>
                <c:pt idx="114">
                  <c:v>2.5481503454784801E-5</c:v>
                </c:pt>
                <c:pt idx="115">
                  <c:v>2.5782836592962987E-5</c:v>
                </c:pt>
                <c:pt idx="116">
                  <c:v>2.6286979308313894E-5</c:v>
                </c:pt>
                <c:pt idx="117">
                  <c:v>2.6998932376495243E-5</c:v>
                </c:pt>
                <c:pt idx="118">
                  <c:v>2.7924130293219308E-5</c:v>
                </c:pt>
                <c:pt idx="119">
                  <c:v>2.9068434275326607E-5</c:v>
                </c:pt>
                <c:pt idx="120">
                  <c:v>3.0439151037975419E-5</c:v>
                </c:pt>
                <c:pt idx="121">
                  <c:v>3.2066141149712098E-5</c:v>
                </c:pt>
                <c:pt idx="122">
                  <c:v>3.3826614100314191E-5</c:v>
                </c:pt>
                <c:pt idx="123">
                  <c:v>3.5725117370318381E-5</c:v>
                </c:pt>
                <c:pt idx="124">
                  <c:v>3.7766398034798796E-5</c:v>
                </c:pt>
                <c:pt idx="125">
                  <c:v>3.995539321019305E-5</c:v>
                </c:pt>
                <c:pt idx="126">
                  <c:v>4.2297219027223223E-5</c:v>
                </c:pt>
                <c:pt idx="127">
                  <c:v>4.4793993275950811E-5</c:v>
                </c:pt>
                <c:pt idx="128">
                  <c:v>4.7374970258551018E-5</c:v>
                </c:pt>
                <c:pt idx="129">
                  <c:v>5.0042835638309945E-5</c:v>
                </c:pt>
                <c:pt idx="130">
                  <c:v>5.2800222823283326E-5</c:v>
                </c:pt>
                <c:pt idx="131">
                  <c:v>5.5649699163971952E-5</c:v>
                </c:pt>
                <c:pt idx="132">
                  <c:v>5.8593751165684971E-5</c:v>
                </c:pt>
                <c:pt idx="133">
                  <c:v>6.1634768742425334E-5</c:v>
                </c:pt>
                <c:pt idx="134">
                  <c:v>6.4776189139020084E-5</c:v>
                </c:pt>
                <c:pt idx="135">
                  <c:v>6.8016934839130051E-5</c:v>
                </c:pt>
                <c:pt idx="136">
                  <c:v>7.1333507440189114E-5</c:v>
                </c:pt>
                <c:pt idx="137">
                  <c:v>7.4727519479673272E-5</c:v>
                </c:pt>
                <c:pt idx="138">
                  <c:v>7.8200472342324437E-5</c:v>
                </c:pt>
                <c:pt idx="139">
                  <c:v>8.175374676749722E-5</c:v>
                </c:pt>
                <c:pt idx="140">
                  <c:v>8.5388593420044294E-5</c:v>
                </c:pt>
                <c:pt idx="141">
                  <c:v>8.9082674312879851E-5</c:v>
                </c:pt>
                <c:pt idx="142">
                  <c:v>9.2839307529092723E-5</c:v>
                </c:pt>
                <c:pt idx="143">
                  <c:v>9.6657950735503325E-5</c:v>
                </c:pt>
                <c:pt idx="144">
                  <c:v>1.0053840271284498E-4</c:v>
                </c:pt>
                <c:pt idx="145">
                  <c:v>1.0448028448870998E-4</c:v>
                </c:pt>
                <c:pt idx="146">
                  <c:v>1.0848303546835931E-4</c:v>
                </c:pt>
                <c:pt idx="147">
                  <c:v>1.1254591048576701E-4</c:v>
                </c:pt>
                <c:pt idx="148">
                  <c:v>1.1666979077248763E-4</c:v>
                </c:pt>
                <c:pt idx="149">
                  <c:v>1.2080756453054491E-4</c:v>
                </c:pt>
                <c:pt idx="150">
                  <c:v>1.2496144602271346E-4</c:v>
                </c:pt>
                <c:pt idx="151">
                  <c:v>1.2912748768748194E-4</c:v>
                </c:pt>
                <c:pt idx="152">
                  <c:v>1.3330140706485126E-4</c:v>
                </c:pt>
                <c:pt idx="153">
                  <c:v>1.3747859350790451E-4</c:v>
                </c:pt>
                <c:pt idx="154">
                  <c:v>1.4165411688513672E-4</c:v>
                </c:pt>
                <c:pt idx="155">
                  <c:v>1.4576213150692765E-4</c:v>
                </c:pt>
                <c:pt idx="156">
                  <c:v>1.4982349116953811E-4</c:v>
                </c:pt>
                <c:pt idx="157">
                  <c:v>1.5383106645157747E-4</c:v>
                </c:pt>
                <c:pt idx="158">
                  <c:v>1.5777746505851538E-4</c:v>
                </c:pt>
                <c:pt idx="159">
                  <c:v>1.6165505744346827E-4</c:v>
                </c:pt>
                <c:pt idx="160">
                  <c:v>1.6545600453860075E-4</c:v>
                </c:pt>
                <c:pt idx="161">
                  <c:v>1.6917228746753457E-4</c:v>
                </c:pt>
                <c:pt idx="162">
                  <c:v>1.727988694662935E-4</c:v>
                </c:pt>
                <c:pt idx="163">
                  <c:v>1.7626408969878104E-4</c:v>
                </c:pt>
                <c:pt idx="164">
                  <c:v>1.7961671837206231E-4</c:v>
                </c:pt>
                <c:pt idx="165">
                  <c:v>1.8284979602867159E-4</c:v>
                </c:pt>
                <c:pt idx="166">
                  <c:v>1.8595642362559796E-4</c:v>
                </c:pt>
                <c:pt idx="167">
                  <c:v>1.8892978771438781E-4</c:v>
                </c:pt>
                <c:pt idx="168">
                  <c:v>1.9176318476683723E-4</c:v>
                </c:pt>
                <c:pt idx="169">
                  <c:v>1.9437760425459401E-4</c:v>
                </c:pt>
                <c:pt idx="170">
                  <c:v>1.9684072097129584E-4</c:v>
                </c:pt>
                <c:pt idx="171">
                  <c:v>1.9929332053209215E-4</c:v>
                </c:pt>
                <c:pt idx="172">
                  <c:v>2.0157854158805207E-4</c:v>
                </c:pt>
                <c:pt idx="173">
                  <c:v>2.0368808880675125E-4</c:v>
                </c:pt>
                <c:pt idx="174">
                  <c:v>2.0561370993305101E-4</c:v>
                </c:pt>
                <c:pt idx="175">
                  <c:v>2.0734940075153296E-4</c:v>
                </c:pt>
                <c:pt idx="176">
                  <c:v>2.088902664916845E-4</c:v>
                </c:pt>
                <c:pt idx="177">
                  <c:v>2.1015372965731491E-4</c:v>
                </c:pt>
                <c:pt idx="178">
                  <c:v>2.1121166549097634E-4</c:v>
                </c:pt>
                <c:pt idx="179">
                  <c:v>2.1205907088547193E-4</c:v>
                </c:pt>
                <c:pt idx="180">
                  <c:v>2.1269123734416395E-4</c:v>
                </c:pt>
                <c:pt idx="181">
                  <c:v>2.1310375561009445E-4</c:v>
                </c:pt>
                <c:pt idx="182">
                  <c:v>2.1329251806641899E-4</c:v>
                </c:pt>
                <c:pt idx="183">
                  <c:v>2.1318396677929703E-4</c:v>
                </c:pt>
                <c:pt idx="184">
                  <c:v>2.1285651749016393E-4</c:v>
                </c:pt>
                <c:pt idx="185">
                  <c:v>2.1230734977540603E-4</c:v>
                </c:pt>
                <c:pt idx="186">
                  <c:v>2.1153391898786266E-4</c:v>
                </c:pt>
                <c:pt idx="187">
                  <c:v>2.1053394858556196E-4</c:v>
                </c:pt>
                <c:pt idx="188">
                  <c:v>2.093054210891686E-4</c:v>
                </c:pt>
                <c:pt idx="189">
                  <c:v>2.0784656785056518E-4</c:v>
                </c:pt>
                <c:pt idx="190">
                  <c:v>2.06156820614876E-4</c:v>
                </c:pt>
                <c:pt idx="191">
                  <c:v>2.0419374412252936E-4</c:v>
                </c:pt>
                <c:pt idx="192">
                  <c:v>2.0204212574597807E-4</c:v>
                </c:pt>
                <c:pt idx="193">
                  <c:v>1.9970191107282045E-4</c:v>
                </c:pt>
                <c:pt idx="194">
                  <c:v>1.9717316805007137E-4</c:v>
                </c:pt>
                <c:pt idx="195">
                  <c:v>1.9445607080260417E-4</c:v>
                </c:pt>
                <c:pt idx="196">
                  <c:v>1.9155088364960766E-4</c:v>
                </c:pt>
                <c:pt idx="197">
                  <c:v>1.8844813711258921E-4</c:v>
                </c:pt>
                <c:pt idx="198">
                  <c:v>1.8522457939682655E-4</c:v>
                </c:pt>
                <c:pt idx="199">
                  <c:v>1.8188160614107752E-4</c:v>
                </c:pt>
                <c:pt idx="200">
                  <c:v>1.7842060045114504E-4</c:v>
                </c:pt>
                <c:pt idx="201">
                  <c:v>1.7484292303623062E-4</c:v>
                </c:pt>
                <c:pt idx="202">
                  <c:v>1.7114990328096876E-4</c:v>
                </c:pt>
                <c:pt idx="203">
                  <c:v>1.6734283126822278E-4</c:v>
                </c:pt>
                <c:pt idx="204">
                  <c:v>1.6342066425228355E-4</c:v>
                </c:pt>
                <c:pt idx="205">
                  <c:v>1.5937438391147246E-4</c:v>
                </c:pt>
                <c:pt idx="206">
                  <c:v>1.5525224840639261E-4</c:v>
                </c:pt>
                <c:pt idx="207">
                  <c:v>1.5105679598643223E-4</c:v>
                </c:pt>
                <c:pt idx="208">
                  <c:v>1.4679041320695573E-4</c:v>
                </c:pt>
                <c:pt idx="209">
                  <c:v>1.4245532988060549E-4</c:v>
                </c:pt>
                <c:pt idx="210">
                  <c:v>1.3805361496881151E-4</c:v>
                </c:pt>
                <c:pt idx="211">
                  <c:v>1.3364090753534234E-4</c:v>
                </c:pt>
                <c:pt idx="212">
                  <c:v>1.2923001453989864E-4</c:v>
                </c:pt>
                <c:pt idx="213">
                  <c:v>1.2482318214771608E-4</c:v>
                </c:pt>
                <c:pt idx="214">
                  <c:v>1.2042247571703332E-4</c:v>
                </c:pt>
                <c:pt idx="215">
                  <c:v>1.160297843662008E-4</c:v>
                </c:pt>
                <c:pt idx="216">
                  <c:v>1.1164682583922643E-4</c:v>
                </c:pt>
                <c:pt idx="217">
                  <c:v>1.072751515528566E-4</c:v>
                </c:pt>
                <c:pt idx="218">
                  <c:v>1.0291465015993297E-4</c:v>
                </c:pt>
                <c:pt idx="219">
                  <c:v>9.8784826140754447E-5</c:v>
                </c:pt>
                <c:pt idx="220">
                  <c:v>9.4899205169498931E-5</c:v>
                </c:pt>
                <c:pt idx="221">
                  <c:v>9.126189138629089E-5</c:v>
                </c:pt>
                <c:pt idx="222">
                  <c:v>8.7876857536028823E-5</c:v>
                </c:pt>
                <c:pt idx="223">
                  <c:v>8.4747955003733002E-5</c:v>
                </c:pt>
                <c:pt idx="224">
                  <c:v>8.1878923136706811E-5</c:v>
                </c:pt>
                <c:pt idx="225">
                  <c:v>7.9599755899754622E-5</c:v>
                </c:pt>
                <c:pt idx="226">
                  <c:v>7.7860464936894895E-5</c:v>
                </c:pt>
                <c:pt idx="227">
                  <c:v>7.6666900488897899E-5</c:v>
                </c:pt>
                <c:pt idx="228">
                  <c:v>7.6024817925643992E-5</c:v>
                </c:pt>
                <c:pt idx="229">
                  <c:v>7.5939884692282099E-5</c:v>
                </c:pt>
                <c:pt idx="230">
                  <c:v>7.6417686296568902E-5</c:v>
                </c:pt>
                <c:pt idx="231">
                  <c:v>7.7463731370259453E-5</c:v>
                </c:pt>
                <c:pt idx="232">
                  <c:v>7.9081396188643779E-5</c:v>
                </c:pt>
                <c:pt idx="233">
                  <c:v>8.1270842224877418E-5</c:v>
                </c:pt>
                <c:pt idx="234">
                  <c:v>8.3802535183134119E-5</c:v>
                </c:pt>
                <c:pt idx="235">
                  <c:v>8.6678829221229224E-5</c:v>
                </c:pt>
                <c:pt idx="236">
                  <c:v>8.9902264580262383E-5</c:v>
                </c:pt>
                <c:pt idx="237">
                  <c:v>9.3475523527408513E-5</c:v>
                </c:pt>
                <c:pt idx="238">
                  <c:v>9.7401523443429766E-5</c:v>
                </c:pt>
                <c:pt idx="239">
                  <c:v>1.0156249119335494E-4</c:v>
                </c:pt>
                <c:pt idx="240">
                  <c:v>1.0562059206244635E-4</c:v>
                </c:pt>
                <c:pt idx="241">
                  <c:v>1.0957597677637332E-4</c:v>
                </c:pt>
                <c:pt idx="242">
                  <c:v>1.1342902060190527E-4</c:v>
                </c:pt>
                <c:pt idx="243">
                  <c:v>1.1718030996473391E-4</c:v>
                </c:pt>
                <c:pt idx="244">
                  <c:v>1.2083062942497296E-4</c:v>
                </c:pt>
                <c:pt idx="245">
                  <c:v>1.2438094917298177E-4</c:v>
                </c:pt>
                <c:pt idx="246">
                  <c:v>1.2782899797033365E-4</c:v>
                </c:pt>
                <c:pt idx="247">
                  <c:v>1.3116535532517362E-4</c:v>
                </c:pt>
                <c:pt idx="248">
                  <c:v>1.343966926014687E-4</c:v>
                </c:pt>
                <c:pt idx="249">
                  <c:v>1.3752250725943541E-4</c:v>
                </c:pt>
                <c:pt idx="250">
                  <c:v>1.4054219105570642E-4</c:v>
                </c:pt>
                <c:pt idx="251">
                  <c:v>1.4345503086680237E-4</c:v>
                </c:pt>
                <c:pt idx="252">
                  <c:v>1.4626020960114994E-4</c:v>
                </c:pt>
                <c:pt idx="253">
                  <c:v>1.4877839642223783E-4</c:v>
                </c:pt>
                <c:pt idx="254">
                  <c:v>1.5113274958143387E-4</c:v>
                </c:pt>
                <c:pt idx="255">
                  <c:v>1.5332132734652561E-4</c:v>
                </c:pt>
                <c:pt idx="256">
                  <c:v>1.5534209073453205E-4</c:v>
                </c:pt>
                <c:pt idx="257">
                  <c:v>1.5719290615661411E-4</c:v>
                </c:pt>
                <c:pt idx="258">
                  <c:v>1.588715487134375E-4</c:v>
                </c:pt>
                <c:pt idx="259">
                  <c:v>1.6037570606797057E-4</c:v>
                </c:pt>
                <c:pt idx="260">
                  <c:v>1.6170852442745482E-4</c:v>
                </c:pt>
                <c:pt idx="261">
                  <c:v>1.6278753706967607E-4</c:v>
                </c:pt>
                <c:pt idx="262">
                  <c:v>1.6361296013132914E-4</c:v>
                </c:pt>
                <c:pt idx="263">
                  <c:v>1.641795387157205E-4</c:v>
                </c:pt>
                <c:pt idx="264">
                  <c:v>1.6448183080110354E-4</c:v>
                </c:pt>
                <c:pt idx="265">
                  <c:v>1.6451511425266688E-4</c:v>
                </c:pt>
                <c:pt idx="266">
                  <c:v>1.6427410391478274E-4</c:v>
                </c:pt>
                <c:pt idx="267">
                  <c:v>1.6387995886301294E-4</c:v>
                </c:pt>
                <c:pt idx="268">
                  <c:v>1.6351766966957027E-4</c:v>
                </c:pt>
                <c:pt idx="269">
                  <c:v>1.6318504734522376E-4</c:v>
                </c:pt>
                <c:pt idx="270">
                  <c:v>1.6287986914744059E-4</c:v>
                </c:pt>
                <c:pt idx="271">
                  <c:v>1.6259987536059321E-4</c:v>
                </c:pt>
                <c:pt idx="272">
                  <c:v>1.6234276658625275E-4</c:v>
                </c:pt>
                <c:pt idx="273">
                  <c:v>1.6210620162200728E-4</c:v>
                </c:pt>
                <c:pt idx="274">
                  <c:v>1.618911015629745E-4</c:v>
                </c:pt>
                <c:pt idx="275">
                  <c:v>1.6176904557543132E-4</c:v>
                </c:pt>
                <c:pt idx="276">
                  <c:v>1.6183129332474443E-4</c:v>
                </c:pt>
                <c:pt idx="277">
                  <c:v>1.6208060628714925E-4</c:v>
                </c:pt>
                <c:pt idx="278">
                  <c:v>1.6251974332515912E-4</c:v>
                </c:pt>
                <c:pt idx="279">
                  <c:v>1.6315147469389145E-4</c:v>
                </c:pt>
                <c:pt idx="280">
                  <c:v>1.6397859784568789E-4</c:v>
                </c:pt>
                <c:pt idx="281">
                  <c:v>1.648620880495122E-4</c:v>
                </c:pt>
                <c:pt idx="282">
                  <c:v>1.6566925447758475E-4</c:v>
                </c:pt>
                <c:pt idx="283">
                  <c:v>1.6640056080688103E-4</c:v>
                </c:pt>
                <c:pt idx="284">
                  <c:v>1.670566135394121E-4</c:v>
                </c:pt>
                <c:pt idx="285">
                  <c:v>1.6763816500488523E-4</c:v>
                </c:pt>
                <c:pt idx="286">
                  <c:v>1.6814611590701658E-4</c:v>
                </c:pt>
                <c:pt idx="287">
                  <c:v>1.6858151735489902E-4</c:v>
                </c:pt>
                <c:pt idx="288">
                  <c:v>1.6895288168893507E-4</c:v>
                </c:pt>
                <c:pt idx="289">
                  <c:v>1.6912686784885115E-4</c:v>
                </c:pt>
                <c:pt idx="290">
                  <c:v>1.6902618443256695E-4</c:v>
                </c:pt>
                <c:pt idx="291">
                  <c:v>1.6864416552972479E-4</c:v>
                </c:pt>
                <c:pt idx="292">
                  <c:v>1.6797403159452419E-4</c:v>
                </c:pt>
                <c:pt idx="293">
                  <c:v>1.6700894808999376E-4</c:v>
                </c:pt>
                <c:pt idx="294">
                  <c:v>1.657420885077048E-4</c:v>
                </c:pt>
                <c:pt idx="295">
                  <c:v>1.6442650429660801E-4</c:v>
                </c:pt>
                <c:pt idx="296">
                  <c:v>1.6320858129976215E-4</c:v>
                </c:pt>
                <c:pt idx="297">
                  <c:v>1.6208681756029608E-4</c:v>
                </c:pt>
                <c:pt idx="298">
                  <c:v>1.6105831095269247E-4</c:v>
                </c:pt>
                <c:pt idx="299">
                  <c:v>1.6012010253263609E-4</c:v>
                </c:pt>
                <c:pt idx="300">
                  <c:v>1.5926914922806388E-4</c:v>
                </c:pt>
                <c:pt idx="301">
                  <c:v>1.585022975749402E-4</c:v>
                </c:pt>
                <c:pt idx="302">
                  <c:v>1.5782926679248563E-4</c:v>
                </c:pt>
                <c:pt idx="303">
                  <c:v>1.5768655614102292E-4</c:v>
                </c:pt>
                <c:pt idx="304">
                  <c:v>1.5822276062923578E-4</c:v>
                </c:pt>
                <c:pt idx="305">
                  <c:v>1.5944335337212334E-4</c:v>
                </c:pt>
                <c:pt idx="306">
                  <c:v>1.6135368939346314E-4</c:v>
                </c:pt>
                <c:pt idx="307">
                  <c:v>1.6395906027674362E-4</c:v>
                </c:pt>
                <c:pt idx="308">
                  <c:v>1.6726475258280549E-4</c:v>
                </c:pt>
                <c:pt idx="309">
                  <c:v>1.7113707613361726E-4</c:v>
                </c:pt>
                <c:pt idx="310">
                  <c:v>1.7531175145842187E-4</c:v>
                </c:pt>
                <c:pt idx="311">
                  <c:v>1.797921100916277E-4</c:v>
                </c:pt>
                <c:pt idx="312">
                  <c:v>1.8458169788708424E-4</c:v>
                </c:pt>
                <c:pt idx="313">
                  <c:v>1.8968429984334188E-4</c:v>
                </c:pt>
                <c:pt idx="314">
                  <c:v>1.9510396397745411E-4</c:v>
                </c:pt>
                <c:pt idx="315">
                  <c:v>2.0084502382128924E-4</c:v>
                </c:pt>
                <c:pt idx="316">
                  <c:v>2.0691972756924743E-4</c:v>
                </c:pt>
                <c:pt idx="317">
                  <c:v>2.1286870134473271E-4</c:v>
                </c:pt>
                <c:pt idx="318">
                  <c:v>2.1825588336116104E-4</c:v>
                </c:pt>
                <c:pt idx="319">
                  <c:v>2.2307756724300253E-4</c:v>
                </c:pt>
                <c:pt idx="320">
                  <c:v>2.2732928772431897E-4</c:v>
                </c:pt>
                <c:pt idx="321">
                  <c:v>2.3100581684402469E-4</c:v>
                </c:pt>
                <c:pt idx="322">
                  <c:v>2.3410116791651662E-4</c:v>
                </c:pt>
                <c:pt idx="323">
                  <c:v>2.3645474385284538E-4</c:v>
                </c:pt>
                <c:pt idx="324">
                  <c:v>2.3820171465159114E-4</c:v>
                </c:pt>
                <c:pt idx="325">
                  <c:v>2.3933383581340573E-4</c:v>
                </c:pt>
                <c:pt idx="326">
                  <c:v>2.3984074263845822E-4</c:v>
                </c:pt>
                <c:pt idx="327">
                  <c:v>2.397125100336851E-4</c:v>
                </c:pt>
                <c:pt idx="328">
                  <c:v>2.3893999831839651E-4</c:v>
                </c:pt>
                <c:pt idx="329">
                  <c:v>2.375137190105589E-4</c:v>
                </c:pt>
                <c:pt idx="330">
                  <c:v>2.3546071542966752E-4</c:v>
                </c:pt>
                <c:pt idx="331">
                  <c:v>2.3287919166156519E-4</c:v>
                </c:pt>
                <c:pt idx="332">
                  <c:v>2.3024288108448361E-4</c:v>
                </c:pt>
                <c:pt idx="333">
                  <c:v>2.2753861558308584E-4</c:v>
                </c:pt>
                <c:pt idx="334">
                  <c:v>2.2475306103224526E-4</c:v>
                </c:pt>
                <c:pt idx="335">
                  <c:v>2.2187278681741251E-4</c:v>
                </c:pt>
                <c:pt idx="336">
                  <c:v>2.1888435438315973E-4</c:v>
                </c:pt>
                <c:pt idx="337">
                  <c:v>2.1589736202911485E-4</c:v>
                </c:pt>
                <c:pt idx="338">
                  <c:v>2.1306177595191875E-4</c:v>
                </c:pt>
                <c:pt idx="339">
                  <c:v>2.1036777609943866E-4</c:v>
                </c:pt>
                <c:pt idx="340">
                  <c:v>2.0780565762860739E-4</c:v>
                </c:pt>
                <c:pt idx="341">
                  <c:v>2.053658194197344E-4</c:v>
                </c:pt>
                <c:pt idx="342">
                  <c:v>2.0303875951993219E-4</c:v>
                </c:pt>
                <c:pt idx="343">
                  <c:v>2.0081507772897746E-4</c:v>
                </c:pt>
                <c:pt idx="344">
                  <c:v>1.987158790188323E-4</c:v>
                </c:pt>
                <c:pt idx="345">
                  <c:v>1.9676795294170787E-4</c:v>
                </c:pt>
                <c:pt idx="346">
                  <c:v>1.9499027867399119E-4</c:v>
                </c:pt>
                <c:pt idx="347">
                  <c:v>1.9338189201051622E-4</c:v>
                </c:pt>
                <c:pt idx="348">
                  <c:v>1.9194165871988568E-4</c:v>
                </c:pt>
                <c:pt idx="349">
                  <c:v>1.9066826323670949E-4</c:v>
                </c:pt>
                <c:pt idx="350">
                  <c:v>1.8956019735643891E-4</c:v>
                </c:pt>
                <c:pt idx="351">
                  <c:v>1.8871600189182056E-4</c:v>
                </c:pt>
                <c:pt idx="352">
                  <c:v>1.8800765722102423E-4</c:v>
                </c:pt>
                <c:pt idx="353">
                  <c:v>1.8743297964749964E-4</c:v>
                </c:pt>
                <c:pt idx="354">
                  <c:v>1.8698960795546243E-4</c:v>
                </c:pt>
                <c:pt idx="355">
                  <c:v>1.866750012198206E-4</c:v>
                </c:pt>
                <c:pt idx="356">
                  <c:v>1.8648505073922469E-4</c:v>
                </c:pt>
                <c:pt idx="357">
                  <c:v>1.8641802052081011E-4</c:v>
                </c:pt>
                <c:pt idx="358">
                  <c:v>1.8646306009122531E-4</c:v>
                </c:pt>
                <c:pt idx="359">
                  <c:v>1.8661299459952718E-4</c:v>
                </c:pt>
                <c:pt idx="360">
                  <c:v>1.8699284990139506E-4</c:v>
                </c:pt>
                <c:pt idx="361">
                  <c:v>1.8750434649088228E-4</c:v>
                </c:pt>
                <c:pt idx="362">
                  <c:v>1.8814800458759605E-4</c:v>
                </c:pt>
                <c:pt idx="363">
                  <c:v>1.8892410911757531E-4</c:v>
                </c:pt>
                <c:pt idx="364">
                  <c:v>1.8983273145861427E-4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58872"/>
        <c:axId val="592959264"/>
      </c:lineChart>
      <c:dateAx>
        <c:axId val="592958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9264"/>
        <c:crosses val="autoZero"/>
        <c:auto val="1"/>
        <c:lblOffset val="100"/>
        <c:baseTimeUnit val="days"/>
        <c:majorUnit val="1"/>
        <c:majorTimeUnit val="months"/>
      </c:dateAx>
      <c:valAx>
        <c:axId val="5929592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58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23.667923098555494</c:v>
                </c:pt>
                <c:pt idx="1">
                  <c:v>23.812425540872141</c:v>
                </c:pt>
                <c:pt idx="2">
                  <c:v>23.966074111214489</c:v>
                </c:pt>
                <c:pt idx="3">
                  <c:v>24.12832771213019</c:v>
                </c:pt>
                <c:pt idx="4">
                  <c:v>24.298645450416437</c:v>
                </c:pt>
                <c:pt idx="5">
                  <c:v>24.476486630301586</c:v>
                </c:pt>
                <c:pt idx="6">
                  <c:v>24.66131075975256</c:v>
                </c:pt>
                <c:pt idx="7">
                  <c:v>24.852577541657499</c:v>
                </c:pt>
                <c:pt idx="8">
                  <c:v>25.053271818013872</c:v>
                </c:pt>
                <c:pt idx="9">
                  <c:v>25.266096880087474</c:v>
                </c:pt>
                <c:pt idx="10">
                  <c:v>25.490087797250048</c:v>
                </c:pt>
                <c:pt idx="11">
                  <c:v>25.724277159355015</c:v>
                </c:pt>
                <c:pt idx="12">
                  <c:v>25.967697933309044</c:v>
                </c:pt>
                <c:pt idx="13">
                  <c:v>26.219383458301095</c:v>
                </c:pt>
                <c:pt idx="14">
                  <c:v>26.478367451046392</c:v>
                </c:pt>
                <c:pt idx="15">
                  <c:v>26.743695627034118</c:v>
                </c:pt>
                <c:pt idx="16">
                  <c:v>27.014404281364847</c:v>
                </c:pt>
                <c:pt idx="17">
                  <c:v>27.289528259003905</c:v>
                </c:pt>
                <c:pt idx="18">
                  <c:v>27.568102782978084</c:v>
                </c:pt>
                <c:pt idx="19">
                  <c:v>27.849163420297714</c:v>
                </c:pt>
                <c:pt idx="20">
                  <c:v>28.131746103568364</c:v>
                </c:pt>
                <c:pt idx="21">
                  <c:v>28.414887169096943</c:v>
                </c:pt>
                <c:pt idx="22">
                  <c:v>28.700883143933414</c:v>
                </c:pt>
                <c:pt idx="23">
                  <c:v>28.992412977151339</c:v>
                </c:pt>
                <c:pt idx="24">
                  <c:v>29.289078068779993</c:v>
                </c:pt>
                <c:pt idx="25">
                  <c:v>29.590483716096404</c:v>
                </c:pt>
                <c:pt idx="26">
                  <c:v>29.896235379544009</c:v>
                </c:pt>
                <c:pt idx="27">
                  <c:v>30.205938686415578</c:v>
                </c:pt>
                <c:pt idx="28">
                  <c:v>30.519199430400445</c:v>
                </c:pt>
                <c:pt idx="29">
                  <c:v>30.835612840323307</c:v>
                </c:pt>
                <c:pt idx="30">
                  <c:v>31.154773408761081</c:v>
                </c:pt>
                <c:pt idx="31">
                  <c:v>31.476287429662129</c:v>
                </c:pt>
                <c:pt idx="32">
                  <c:v>31.799761363207296</c:v>
                </c:pt>
                <c:pt idx="33">
                  <c:v>32.124801839776175</c:v>
                </c:pt>
                <c:pt idx="34">
                  <c:v>32.45101565678619</c:v>
                </c:pt>
                <c:pt idx="35">
                  <c:v>32.778009778865069</c:v>
                </c:pt>
                <c:pt idx="36">
                  <c:v>33.1085004991833</c:v>
                </c:pt>
                <c:pt idx="37">
                  <c:v>33.444803621146903</c:v>
                </c:pt>
                <c:pt idx="38">
                  <c:v>33.785932394360906</c:v>
                </c:pt>
                <c:pt idx="39">
                  <c:v>34.130903965386771</c:v>
                </c:pt>
                <c:pt idx="40">
                  <c:v>34.478735879423738</c:v>
                </c:pt>
                <c:pt idx="41">
                  <c:v>34.828446072634897</c:v>
                </c:pt>
                <c:pt idx="42">
                  <c:v>35.179052874119101</c:v>
                </c:pt>
                <c:pt idx="43">
                  <c:v>35.52957862989841</c:v>
                </c:pt>
                <c:pt idx="44">
                  <c:v>35.879053202576287</c:v>
                </c:pt>
                <c:pt idx="45">
                  <c:v>36.226496092499268</c:v>
                </c:pt>
                <c:pt idx="46">
                  <c:v>36.570927185185177</c:v>
                </c:pt>
                <c:pt idx="47">
                  <c:v>36.911366744846681</c:v>
                </c:pt>
                <c:pt idx="48">
                  <c:v>37.246835413029075</c:v>
                </c:pt>
                <c:pt idx="49">
                  <c:v>37.576354205475511</c:v>
                </c:pt>
                <c:pt idx="50">
                  <c:v>37.900758419876766</c:v>
                </c:pt>
                <c:pt idx="51">
                  <c:v>38.221736536214379</c:v>
                </c:pt>
                <c:pt idx="52">
                  <c:v>38.539590550974459</c:v>
                </c:pt>
                <c:pt idx="53">
                  <c:v>38.854615573687859</c:v>
                </c:pt>
                <c:pt idx="54">
                  <c:v>39.167106556659796</c:v>
                </c:pt>
                <c:pt idx="55">
                  <c:v>39.477358317835225</c:v>
                </c:pt>
                <c:pt idx="56">
                  <c:v>39.785665532815344</c:v>
                </c:pt>
                <c:pt idx="57">
                  <c:v>40.092320866310111</c:v>
                </c:pt>
                <c:pt idx="58">
                  <c:v>40.397615078720897</c:v>
                </c:pt>
                <c:pt idx="59">
                  <c:v>40.701842416922702</c:v>
                </c:pt>
                <c:pt idx="60">
                  <c:v>41.005296981612069</c:v>
                </c:pt>
                <c:pt idx="61">
                  <c:v>41.308272726373339</c:v>
                </c:pt>
                <c:pt idx="62">
                  <c:v>41.611063457075986</c:v>
                </c:pt>
                <c:pt idx="63">
                  <c:v>41.913962829921928</c:v>
                </c:pt>
                <c:pt idx="64">
                  <c:v>42.216954283834816</c:v>
                </c:pt>
                <c:pt idx="65">
                  <c:v>42.519691209346668</c:v>
                </c:pt>
                <c:pt idx="66">
                  <c:v>42.821973725096051</c:v>
                </c:pt>
                <c:pt idx="67">
                  <c:v>43.123605846554746</c:v>
                </c:pt>
                <c:pt idx="68">
                  <c:v>43.424391624840354</c:v>
                </c:pt>
                <c:pt idx="69">
                  <c:v>43.724135145984754</c:v>
                </c:pt>
                <c:pt idx="70">
                  <c:v>44.022640531711296</c:v>
                </c:pt>
                <c:pt idx="71">
                  <c:v>44.319714389113017</c:v>
                </c:pt>
                <c:pt idx="72">
                  <c:v>44.615162787565097</c:v>
                </c:pt>
                <c:pt idx="73">
                  <c:v>44.908789960134776</c:v>
                </c:pt>
                <c:pt idx="74">
                  <c:v>45.200400177974657</c:v>
                </c:pt>
                <c:pt idx="75">
                  <c:v>45.489797751022586</c:v>
                </c:pt>
                <c:pt idx="76">
                  <c:v>45.776787029901136</c:v>
                </c:pt>
                <c:pt idx="77">
                  <c:v>46.061172406652602</c:v>
                </c:pt>
                <c:pt idx="78">
                  <c:v>46.345154024225103</c:v>
                </c:pt>
                <c:pt idx="79">
                  <c:v>46.630480385813378</c:v>
                </c:pt>
                <c:pt idx="80">
                  <c:v>46.916274134248262</c:v>
                </c:pt>
                <c:pt idx="81">
                  <c:v>47.201654543704755</c:v>
                </c:pt>
                <c:pt idx="82">
                  <c:v>47.485741207334321</c:v>
                </c:pt>
                <c:pt idx="83">
                  <c:v>47.767654046401823</c:v>
                </c:pt>
                <c:pt idx="84">
                  <c:v>48.046513308825126</c:v>
                </c:pt>
                <c:pt idx="85">
                  <c:v>48.321439631921798</c:v>
                </c:pt>
                <c:pt idx="86">
                  <c:v>48.591551447180315</c:v>
                </c:pt>
                <c:pt idx="87">
                  <c:v>48.855969996025067</c:v>
                </c:pt>
                <c:pt idx="88">
                  <c:v>49.113816862916686</c:v>
                </c:pt>
                <c:pt idx="89">
                  <c:v>49.364213981044344</c:v>
                </c:pt>
                <c:pt idx="90">
                  <c:v>49.606283635765237</c:v>
                </c:pt>
                <c:pt idx="91">
                  <c:v>49.839148478543102</c:v>
                </c:pt>
                <c:pt idx="92">
                  <c:v>50.06434021415857</c:v>
                </c:pt>
                <c:pt idx="93">
                  <c:v>50.283914575352824</c:v>
                </c:pt>
                <c:pt idx="94">
                  <c:v>50.497769012250011</c:v>
                </c:pt>
                <c:pt idx="95">
                  <c:v>50.705806741412168</c:v>
                </c:pt>
                <c:pt idx="96">
                  <c:v>50.907931036238068</c:v>
                </c:pt>
                <c:pt idx="97">
                  <c:v>51.1040452302056</c:v>
                </c:pt>
                <c:pt idx="98">
                  <c:v>51.294052721459273</c:v>
                </c:pt>
                <c:pt idx="99">
                  <c:v>51.477857817543821</c:v>
                </c:pt>
                <c:pt idx="100">
                  <c:v>51.65536411345029</c:v>
                </c:pt>
                <c:pt idx="101">
                  <c:v>51.826475295573992</c:v>
                </c:pt>
                <c:pt idx="102">
                  <c:v>51.991095132151038</c:v>
                </c:pt>
                <c:pt idx="103">
                  <c:v>52.149127478560523</c:v>
                </c:pt>
                <c:pt idx="104">
                  <c:v>52.300476276924378</c:v>
                </c:pt>
                <c:pt idx="105">
                  <c:v>52.445045562081674</c:v>
                </c:pt>
                <c:pt idx="106">
                  <c:v>52.582138153418889</c:v>
                </c:pt>
                <c:pt idx="107">
                  <c:v>52.711370343382065</c:v>
                </c:pt>
                <c:pt idx="108">
                  <c:v>52.833129892521633</c:v>
                </c:pt>
                <c:pt idx="109">
                  <c:v>52.947808471316534</c:v>
                </c:pt>
                <c:pt idx="110">
                  <c:v>53.055797625701352</c:v>
                </c:pt>
                <c:pt idx="111">
                  <c:v>53.157488783328567</c:v>
                </c:pt>
                <c:pt idx="112">
                  <c:v>53.253273262247198</c:v>
                </c:pt>
                <c:pt idx="113">
                  <c:v>53.343532928024302</c:v>
                </c:pt>
                <c:pt idx="114">
                  <c:v>53.428657367499937</c:v>
                </c:pt>
                <c:pt idx="115">
                  <c:v>53.509037172064069</c:v>
                </c:pt>
                <c:pt idx="116">
                  <c:v>53.58506279161027</c:v>
                </c:pt>
                <c:pt idx="117">
                  <c:v>53.657124532755134</c:v>
                </c:pt>
                <c:pt idx="118">
                  <c:v>53.725612562078226</c:v>
                </c:pt>
                <c:pt idx="119">
                  <c:v>53.790916907016118</c:v>
                </c:pt>
                <c:pt idx="120">
                  <c:v>53.851610039442072</c:v>
                </c:pt>
                <c:pt idx="121">
                  <c:v>53.906262822332998</c:v>
                </c:pt>
                <c:pt idx="122">
                  <c:v>53.955279280356031</c:v>
                </c:pt>
                <c:pt idx="123">
                  <c:v>53.999050410474297</c:v>
                </c:pt>
                <c:pt idx="124">
                  <c:v>54.037967093133645</c:v>
                </c:pt>
                <c:pt idx="125">
                  <c:v>54.072420098015918</c:v>
                </c:pt>
                <c:pt idx="126">
                  <c:v>54.102800076677809</c:v>
                </c:pt>
                <c:pt idx="127">
                  <c:v>54.129498035390938</c:v>
                </c:pt>
                <c:pt idx="128">
                  <c:v>54.152915347356185</c:v>
                </c:pt>
                <c:pt idx="129">
                  <c:v>54.173442741250113</c:v>
                </c:pt>
                <c:pt idx="130">
                  <c:v>54.191470852817893</c:v>
                </c:pt>
                <c:pt idx="131">
                  <c:v>54.207390221977001</c:v>
                </c:pt>
                <c:pt idx="132">
                  <c:v>54.221591292807268</c:v>
                </c:pt>
                <c:pt idx="133">
                  <c:v>54.234464415082456</c:v>
                </c:pt>
                <c:pt idx="134">
                  <c:v>54.245427797996349</c:v>
                </c:pt>
                <c:pt idx="135">
                  <c:v>54.253641355166287</c:v>
                </c:pt>
                <c:pt idx="136">
                  <c:v>54.259109862081843</c:v>
                </c:pt>
                <c:pt idx="137">
                  <c:v>54.2618356149692</c:v>
                </c:pt>
                <c:pt idx="138">
                  <c:v>54.261820997986078</c:v>
                </c:pt>
                <c:pt idx="139">
                  <c:v>54.259068476003776</c:v>
                </c:pt>
                <c:pt idx="140">
                  <c:v>54.253580592492497</c:v>
                </c:pt>
                <c:pt idx="141">
                  <c:v>54.245362546032801</c:v>
                </c:pt>
                <c:pt idx="142">
                  <c:v>54.234416605331369</c:v>
                </c:pt>
                <c:pt idx="143">
                  <c:v>54.220745647133668</c:v>
                </c:pt>
                <c:pt idx="144">
                  <c:v>54.204352551900435</c:v>
                </c:pt>
                <c:pt idx="145">
                  <c:v>54.185240255994749</c:v>
                </c:pt>
                <c:pt idx="146">
                  <c:v>54.163411742194086</c:v>
                </c:pt>
                <c:pt idx="147">
                  <c:v>54.138870032486729</c:v>
                </c:pt>
                <c:pt idx="148">
                  <c:v>54.110777163186945</c:v>
                </c:pt>
                <c:pt idx="149">
                  <c:v>54.078558863172184</c:v>
                </c:pt>
                <c:pt idx="150">
                  <c:v>54.04260634175958</c:v>
                </c:pt>
                <c:pt idx="151">
                  <c:v>54.003311217294403</c:v>
                </c:pt>
                <c:pt idx="152">
                  <c:v>53.961064921346917</c:v>
                </c:pt>
                <c:pt idx="153">
                  <c:v>53.916258691244288</c:v>
                </c:pt>
                <c:pt idx="154">
                  <c:v>53.869283556517082</c:v>
                </c:pt>
                <c:pt idx="155">
                  <c:v>53.820535853238646</c:v>
                </c:pt>
                <c:pt idx="156">
                  <c:v>53.770403288482242</c:v>
                </c:pt>
                <c:pt idx="157">
                  <c:v>53.719276290599659</c:v>
                </c:pt>
                <c:pt idx="158">
                  <c:v>53.667545051634583</c:v>
                </c:pt>
                <c:pt idx="159">
                  <c:v>53.615599519115811</c:v>
                </c:pt>
                <c:pt idx="160">
                  <c:v>53.563829389977805</c:v>
                </c:pt>
                <c:pt idx="161">
                  <c:v>53.512624105071851</c:v>
                </c:pt>
                <c:pt idx="162">
                  <c:v>53.461404038861467</c:v>
                </c:pt>
                <c:pt idx="163">
                  <c:v>53.409337653468313</c:v>
                </c:pt>
                <c:pt idx="164">
                  <c:v>53.356421863888535</c:v>
                </c:pt>
                <c:pt idx="165">
                  <c:v>53.302658547981295</c:v>
                </c:pt>
                <c:pt idx="166">
                  <c:v>53.248049470559131</c:v>
                </c:pt>
                <c:pt idx="167">
                  <c:v>53.192596276578179</c:v>
                </c:pt>
                <c:pt idx="168">
                  <c:v>53.136300487301853</c:v>
                </c:pt>
                <c:pt idx="169">
                  <c:v>53.079170029080039</c:v>
                </c:pt>
                <c:pt idx="170">
                  <c:v>53.021200065621024</c:v>
                </c:pt>
                <c:pt idx="171">
                  <c:v>52.962391736724356</c:v>
                </c:pt>
                <c:pt idx="172">
                  <c:v>52.902746046518587</c:v>
                </c:pt>
                <c:pt idx="173">
                  <c:v>52.842264051532297</c:v>
                </c:pt>
                <c:pt idx="174">
                  <c:v>52.780946687151086</c:v>
                </c:pt>
                <c:pt idx="175">
                  <c:v>52.718794570981984</c:v>
                </c:pt>
                <c:pt idx="176">
                  <c:v>52.655598602332006</c:v>
                </c:pt>
                <c:pt idx="177">
                  <c:v>52.591220635854718</c:v>
                </c:pt>
                <c:pt idx="178">
                  <c:v>52.525750894480993</c:v>
                </c:pt>
                <c:pt idx="179">
                  <c:v>52.459286235980777</c:v>
                </c:pt>
                <c:pt idx="180">
                  <c:v>52.391923356041232</c:v>
                </c:pt>
                <c:pt idx="181">
                  <c:v>52.323758794094203</c:v>
                </c:pt>
                <c:pt idx="182">
                  <c:v>52.254888939339288</c:v>
                </c:pt>
                <c:pt idx="183">
                  <c:v>52.185415905644902</c:v>
                </c:pt>
                <c:pt idx="184">
                  <c:v>52.115428749532327</c:v>
                </c:pt>
                <c:pt idx="185">
                  <c:v>52.045023434563511</c:v>
                </c:pt>
                <c:pt idx="186">
                  <c:v>51.974295806824678</c:v>
                </c:pt>
                <c:pt idx="187">
                  <c:v>51.903341603089942</c:v>
                </c:pt>
                <c:pt idx="188">
                  <c:v>51.832256460238916</c:v>
                </c:pt>
                <c:pt idx="189">
                  <c:v>51.761135923241689</c:v>
                </c:pt>
                <c:pt idx="190">
                  <c:v>51.689833970175151</c:v>
                </c:pt>
                <c:pt idx="191">
                  <c:v>51.61814410588422</c:v>
                </c:pt>
                <c:pt idx="192">
                  <c:v>51.546058344734007</c:v>
                </c:pt>
                <c:pt idx="193">
                  <c:v>51.473575551547796</c:v>
                </c:pt>
                <c:pt idx="194">
                  <c:v>51.400694580940765</c:v>
                </c:pt>
                <c:pt idx="195">
                  <c:v>51.327414284739973</c:v>
                </c:pt>
                <c:pt idx="196">
                  <c:v>51.253733519980301</c:v>
                </c:pt>
                <c:pt idx="197">
                  <c:v>51.179651989730125</c:v>
                </c:pt>
                <c:pt idx="198">
                  <c:v>51.105162432578744</c:v>
                </c:pt>
                <c:pt idx="199">
                  <c:v>51.030263728169579</c:v>
                </c:pt>
                <c:pt idx="200">
                  <c:v>50.954954790479896</c:v>
                </c:pt>
                <c:pt idx="201">
                  <c:v>50.87923457367652</c:v>
                </c:pt>
                <c:pt idx="202">
                  <c:v>50.803102075725235</c:v>
                </c:pt>
                <c:pt idx="203">
                  <c:v>50.726556343220082</c:v>
                </c:pt>
                <c:pt idx="204">
                  <c:v>50.650223539273171</c:v>
                </c:pt>
                <c:pt idx="205">
                  <c:v>50.574537688227963</c:v>
                </c:pt>
                <c:pt idx="206">
                  <c:v>50.499204326339793</c:v>
                </c:pt>
                <c:pt idx="207">
                  <c:v>50.423933182663298</c:v>
                </c:pt>
                <c:pt idx="208">
                  <c:v>50.348434151868702</c:v>
                </c:pt>
                <c:pt idx="209">
                  <c:v>50.272417293823217</c:v>
                </c:pt>
                <c:pt idx="210">
                  <c:v>50.195592834167968</c:v>
                </c:pt>
                <c:pt idx="211">
                  <c:v>50.117666913272124</c:v>
                </c:pt>
                <c:pt idx="212">
                  <c:v>50.038349211937337</c:v>
                </c:pt>
                <c:pt idx="213">
                  <c:v>49.95735042939836</c:v>
                </c:pt>
                <c:pt idx="214">
                  <c:v>49.874381423801118</c:v>
                </c:pt>
                <c:pt idx="215">
                  <c:v>49.789153212798915</c:v>
                </c:pt>
                <c:pt idx="216">
                  <c:v>49.701376969211424</c:v>
                </c:pt>
                <c:pt idx="217">
                  <c:v>49.610764020436825</c:v>
                </c:pt>
                <c:pt idx="218">
                  <c:v>49.517748451228009</c:v>
                </c:pt>
                <c:pt idx="219">
                  <c:v>49.422934444401633</c:v>
                </c:pt>
                <c:pt idx="220">
                  <c:v>49.326321281957426</c:v>
                </c:pt>
                <c:pt idx="221">
                  <c:v>49.227909260265172</c:v>
                </c:pt>
                <c:pt idx="222">
                  <c:v>49.127698721171853</c:v>
                </c:pt>
                <c:pt idx="223">
                  <c:v>49.025690051862185</c:v>
                </c:pt>
                <c:pt idx="224">
                  <c:v>48.921883675762857</c:v>
                </c:pt>
                <c:pt idx="225">
                  <c:v>48.816255895646023</c:v>
                </c:pt>
                <c:pt idx="226">
                  <c:v>48.70881147603211</c:v>
                </c:pt>
                <c:pt idx="227">
                  <c:v>48.599550928116763</c:v>
                </c:pt>
                <c:pt idx="228">
                  <c:v>48.488474793053157</c:v>
                </c:pt>
                <c:pt idx="229">
                  <c:v>48.375583644341098</c:v>
                </c:pt>
                <c:pt idx="230">
                  <c:v>48.260878083598321</c:v>
                </c:pt>
                <c:pt idx="231">
                  <c:v>48.144358740485238</c:v>
                </c:pt>
                <c:pt idx="232">
                  <c:v>48.027277278481932</c:v>
                </c:pt>
                <c:pt idx="233">
                  <c:v>47.910509172840541</c:v>
                </c:pt>
                <c:pt idx="234">
                  <c:v>47.793500050979539</c:v>
                </c:pt>
                <c:pt idx="235">
                  <c:v>47.675673047201002</c:v>
                </c:pt>
                <c:pt idx="236">
                  <c:v>47.556451498275244</c:v>
                </c:pt>
                <c:pt idx="237">
                  <c:v>47.435258950535051</c:v>
                </c:pt>
                <c:pt idx="238">
                  <c:v>47.311519150548961</c:v>
                </c:pt>
                <c:pt idx="239">
                  <c:v>47.184662968152686</c:v>
                </c:pt>
                <c:pt idx="240">
                  <c:v>47.0541387219453</c:v>
                </c:pt>
                <c:pt idx="241">
                  <c:v>46.919370722802249</c:v>
                </c:pt>
                <c:pt idx="242">
                  <c:v>46.779783475137471</c:v>
                </c:pt>
                <c:pt idx="243">
                  <c:v>46.634801667461595</c:v>
                </c:pt>
                <c:pt idx="244">
                  <c:v>46.483850180592917</c:v>
                </c:pt>
                <c:pt idx="245">
                  <c:v>46.32635407876294</c:v>
                </c:pt>
                <c:pt idx="246">
                  <c:v>46.162972138339732</c:v>
                </c:pt>
                <c:pt idx="247">
                  <c:v>45.994809202687208</c:v>
                </c:pt>
                <c:pt idx="248">
                  <c:v>45.821953718443119</c:v>
                </c:pt>
                <c:pt idx="249">
                  <c:v>45.644503291358077</c:v>
                </c:pt>
                <c:pt idx="250">
                  <c:v>45.462555500998981</c:v>
                </c:pt>
                <c:pt idx="251">
                  <c:v>45.276207901127322</c:v>
                </c:pt>
                <c:pt idx="252">
                  <c:v>45.085558021278445</c:v>
                </c:pt>
                <c:pt idx="253">
                  <c:v>44.890717961811667</c:v>
                </c:pt>
                <c:pt idx="254">
                  <c:v>44.691778318668383</c:v>
                </c:pt>
                <c:pt idx="255">
                  <c:v>44.488836523824332</c:v>
                </c:pt>
                <c:pt idx="256">
                  <c:v>44.281989970525174</c:v>
                </c:pt>
                <c:pt idx="257">
                  <c:v>44.071336022650669</c:v>
                </c:pt>
                <c:pt idx="258">
                  <c:v>43.856972004944353</c:v>
                </c:pt>
                <c:pt idx="259">
                  <c:v>43.638995206469559</c:v>
                </c:pt>
                <c:pt idx="260">
                  <c:v>43.416014656260423</c:v>
                </c:pt>
                <c:pt idx="261">
                  <c:v>43.18696375106903</c:v>
                </c:pt>
                <c:pt idx="262">
                  <c:v>42.952422442125226</c:v>
                </c:pt>
                <c:pt idx="263">
                  <c:v>42.712968235989287</c:v>
                </c:pt>
                <c:pt idx="264">
                  <c:v>42.469178435630035</c:v>
                </c:pt>
                <c:pt idx="265">
                  <c:v>42.221630075960888</c:v>
                </c:pt>
                <c:pt idx="266">
                  <c:v>41.9709000078117</c:v>
                </c:pt>
                <c:pt idx="267">
                  <c:v>41.717556075081554</c:v>
                </c:pt>
                <c:pt idx="268">
                  <c:v>41.462160536277231</c:v>
                </c:pt>
                <c:pt idx="269">
                  <c:v>41.205289805839087</c:v>
                </c:pt>
                <c:pt idx="270">
                  <c:v>40.947520094211463</c:v>
                </c:pt>
                <c:pt idx="271">
                  <c:v>40.689427405018883</c:v>
                </c:pt>
                <c:pt idx="272">
                  <c:v>40.43158753823807</c:v>
                </c:pt>
                <c:pt idx="273">
                  <c:v>40.174576086040318</c:v>
                </c:pt>
                <c:pt idx="274">
                  <c:v>39.91815312202543</c:v>
                </c:pt>
                <c:pt idx="275">
                  <c:v>39.661500497492057</c:v>
                </c:pt>
                <c:pt idx="276">
                  <c:v>39.404326673482316</c:v>
                </c:pt>
                <c:pt idx="277">
                  <c:v>39.146343958756326</c:v>
                </c:pt>
                <c:pt idx="278">
                  <c:v>38.88726466461064</c:v>
                </c:pt>
                <c:pt idx="279">
                  <c:v>38.626801100046535</c:v>
                </c:pt>
                <c:pt idx="280">
                  <c:v>38.364665565178903</c:v>
                </c:pt>
                <c:pt idx="281">
                  <c:v>38.100578523150233</c:v>
                </c:pt>
                <c:pt idx="282">
                  <c:v>37.834260602024557</c:v>
                </c:pt>
                <c:pt idx="283">
                  <c:v>37.565423840447522</c:v>
                </c:pt>
                <c:pt idx="284">
                  <c:v>37.29378023803406</c:v>
                </c:pt>
                <c:pt idx="285">
                  <c:v>37.019041753028674</c:v>
                </c:pt>
                <c:pt idx="286">
                  <c:v>36.740920299398041</c:v>
                </c:pt>
                <c:pt idx="287">
                  <c:v>36.459127746701284</c:v>
                </c:pt>
                <c:pt idx="288">
                  <c:v>36.171810553500244</c:v>
                </c:pt>
                <c:pt idx="289">
                  <c:v>35.878015250322306</c:v>
                </c:pt>
                <c:pt idx="290">
                  <c:v>35.578798023554029</c:v>
                </c:pt>
                <c:pt idx="291">
                  <c:v>35.275212100095125</c:v>
                </c:pt>
                <c:pt idx="292">
                  <c:v>34.968310381709195</c:v>
                </c:pt>
                <c:pt idx="293">
                  <c:v>34.659145462769857</c:v>
                </c:pt>
                <c:pt idx="294">
                  <c:v>34.348769640550358</c:v>
                </c:pt>
                <c:pt idx="295">
                  <c:v>34.038219059464765</c:v>
                </c:pt>
                <c:pt idx="296">
                  <c:v>33.728538077268176</c:v>
                </c:pt>
                <c:pt idx="297">
                  <c:v>33.420778569334104</c:v>
                </c:pt>
                <c:pt idx="298">
                  <c:v>33.11599225667306</c:v>
                </c:pt>
                <c:pt idx="299">
                  <c:v>32.8152306468997</c:v>
                </c:pt>
                <c:pt idx="300">
                  <c:v>32.519545042926261</c:v>
                </c:pt>
                <c:pt idx="301">
                  <c:v>32.22998655537819</c:v>
                </c:pt>
                <c:pt idx="302">
                  <c:v>31.944972380764781</c:v>
                </c:pt>
                <c:pt idx="303">
                  <c:v>31.662194761509312</c:v>
                </c:pt>
                <c:pt idx="304">
                  <c:v>31.381647319821329</c:v>
                </c:pt>
                <c:pt idx="305">
                  <c:v>31.103328668351963</c:v>
                </c:pt>
                <c:pt idx="306">
                  <c:v>30.827237450983926</c:v>
                </c:pt>
                <c:pt idx="307">
                  <c:v>30.553372346649912</c:v>
                </c:pt>
                <c:pt idx="308">
                  <c:v>30.281732073470593</c:v>
                </c:pt>
                <c:pt idx="309">
                  <c:v>30.012325317660796</c:v>
                </c:pt>
                <c:pt idx="310">
                  <c:v>29.745165024566262</c:v>
                </c:pt>
                <c:pt idx="311">
                  <c:v>29.480249533833103</c:v>
                </c:pt>
                <c:pt idx="312">
                  <c:v>29.21757724223265</c:v>
                </c:pt>
                <c:pt idx="313">
                  <c:v>28.957146611030549</c:v>
                </c:pt>
                <c:pt idx="314">
                  <c:v>28.698956166357121</c:v>
                </c:pt>
                <c:pt idx="315">
                  <c:v>28.443004508189905</c:v>
                </c:pt>
                <c:pt idx="316">
                  <c:v>28.18825344989234</c:v>
                </c:pt>
                <c:pt idx="317">
                  <c:v>27.934011831699436</c:v>
                </c:pt>
                <c:pt idx="318">
                  <c:v>27.680777365342973</c:v>
                </c:pt>
                <c:pt idx="319">
                  <c:v>27.429026676442639</c:v>
                </c:pt>
                <c:pt idx="320">
                  <c:v>27.179236426770171</c:v>
                </c:pt>
                <c:pt idx="321">
                  <c:v>26.931883314654076</c:v>
                </c:pt>
                <c:pt idx="322">
                  <c:v>26.687444077185592</c:v>
                </c:pt>
                <c:pt idx="323">
                  <c:v>26.446400150110328</c:v>
                </c:pt>
                <c:pt idx="324">
                  <c:v>26.209219290133714</c:v>
                </c:pt>
                <c:pt idx="325">
                  <c:v>25.976378421097053</c:v>
                </c:pt>
                <c:pt idx="326">
                  <c:v>25.748354555986062</c:v>
                </c:pt>
                <c:pt idx="327">
                  <c:v>25.5256246833125</c:v>
                </c:pt>
                <c:pt idx="328">
                  <c:v>25.308665749361619</c:v>
                </c:pt>
                <c:pt idx="329">
                  <c:v>25.097954711789029</c:v>
                </c:pt>
                <c:pt idx="330">
                  <c:v>24.890079163581657</c:v>
                </c:pt>
                <c:pt idx="331">
                  <c:v>24.682130572992993</c:v>
                </c:pt>
                <c:pt idx="332">
                  <c:v>24.475326937920855</c:v>
                </c:pt>
                <c:pt idx="333">
                  <c:v>24.270911794421384</c:v>
                </c:pt>
                <c:pt idx="334">
                  <c:v>24.070128454230499</c:v>
                </c:pt>
                <c:pt idx="335">
                  <c:v>23.87421998926116</c:v>
                </c:pt>
                <c:pt idx="336">
                  <c:v>23.68442920872754</c:v>
                </c:pt>
                <c:pt idx="337">
                  <c:v>23.501994506456775</c:v>
                </c:pt>
                <c:pt idx="338">
                  <c:v>23.328153854053969</c:v>
                </c:pt>
                <c:pt idx="339">
                  <c:v>23.16414927692303</c:v>
                </c:pt>
                <c:pt idx="340">
                  <c:v>23.011222474741899</c:v>
                </c:pt>
                <c:pt idx="341">
                  <c:v>22.870614799574131</c:v>
                </c:pt>
                <c:pt idx="342">
                  <c:v>22.74356724259043</c:v>
                </c:pt>
                <c:pt idx="343">
                  <c:v>22.631320436705554</c:v>
                </c:pt>
                <c:pt idx="344">
                  <c:v>22.531666846997997</c:v>
                </c:pt>
                <c:pt idx="345">
                  <c:v>22.441676701266623</c:v>
                </c:pt>
                <c:pt idx="346">
                  <c:v>22.361510386190876</c:v>
                </c:pt>
                <c:pt idx="347">
                  <c:v>22.291324705788025</c:v>
                </c:pt>
                <c:pt idx="348">
                  <c:v>22.231276385155347</c:v>
                </c:pt>
                <c:pt idx="349">
                  <c:v>22.181522065436909</c:v>
                </c:pt>
                <c:pt idx="350">
                  <c:v>22.142218306096403</c:v>
                </c:pt>
                <c:pt idx="351">
                  <c:v>22.11351840263745</c:v>
                </c:pt>
                <c:pt idx="352">
                  <c:v>22.095582743495765</c:v>
                </c:pt>
                <c:pt idx="353">
                  <c:v>22.088567619994247</c:v>
                </c:pt>
                <c:pt idx="354">
                  <c:v>22.092629238987481</c:v>
                </c:pt>
                <c:pt idx="355">
                  <c:v>22.107923714701315</c:v>
                </c:pt>
                <c:pt idx="356">
                  <c:v>22.134607103209266</c:v>
                </c:pt>
                <c:pt idx="357">
                  <c:v>22.172835320563465</c:v>
                </c:pt>
                <c:pt idx="358">
                  <c:v>22.223587495089866</c:v>
                </c:pt>
                <c:pt idx="359">
                  <c:v>22.287389354895904</c:v>
                </c:pt>
                <c:pt idx="360">
                  <c:v>22.363712804210827</c:v>
                </c:pt>
                <c:pt idx="361">
                  <c:v>22.45203697939565</c:v>
                </c:pt>
                <c:pt idx="362">
                  <c:v>22.551837973913585</c:v>
                </c:pt>
                <c:pt idx="363">
                  <c:v>22.662591991575773</c:v>
                </c:pt>
                <c:pt idx="364">
                  <c:v>22.783775355730487</c:v>
                </c:pt>
                <c:pt idx="365">
                  <c:v>23.225849227142991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23.477366281175282</c:v>
                </c:pt>
                <c:pt idx="1">
                  <c:v>16.621630129105881</c:v>
                </c:pt>
                <c:pt idx="2">
                  <c:v>17.830088713699926</c:v>
                </c:pt>
                <c:pt idx="3">
                  <c:v>19.212838684999607</c:v>
                </c:pt>
                <c:pt idx="4">
                  <c:v>14.046028634828192</c:v>
                </c:pt>
                <c:pt idx="5">
                  <c:v>25.413375660372743</c:v>
                </c:pt>
                <c:pt idx="6">
                  <c:v>9.6373895725215863</c:v>
                </c:pt>
                <c:pt idx="7">
                  <c:v>6.5693539553197517</c:v>
                </c:pt>
                <c:pt idx="8">
                  <c:v>1.8228529638232358</c:v>
                </c:pt>
                <c:pt idx="9">
                  <c:v>1.4629210940528263</c:v>
                </c:pt>
                <c:pt idx="10">
                  <c:v>26.13708811903393</c:v>
                </c:pt>
                <c:pt idx="11">
                  <c:v>23.933782035772534</c:v>
                </c:pt>
                <c:pt idx="12">
                  <c:v>5.1800475505790526</c:v>
                </c:pt>
                <c:pt idx="13">
                  <c:v>27.103669034246298</c:v>
                </c:pt>
                <c:pt idx="14">
                  <c:v>27.447294497918978</c:v>
                </c:pt>
                <c:pt idx="15">
                  <c:v>27.017191872084616</c:v>
                </c:pt>
                <c:pt idx="16">
                  <c:v>17.484009336530789</c:v>
                </c:pt>
                <c:pt idx="17">
                  <c:v>3.6993406033575189</c:v>
                </c:pt>
                <c:pt idx="18">
                  <c:v>11.56469064949958</c:v>
                </c:pt>
                <c:pt idx="19">
                  <c:v>5.3860089607785717</c:v>
                </c:pt>
                <c:pt idx="20">
                  <c:v>18.466485098800337</c:v>
                </c:pt>
                <c:pt idx="21">
                  <c:v>28.53071409859664</c:v>
                </c:pt>
                <c:pt idx="22">
                  <c:v>28.334045548533449</c:v>
                </c:pt>
                <c:pt idx="23">
                  <c:v>28.986872489153313</c:v>
                </c:pt>
                <c:pt idx="24">
                  <c:v>28.135006118443222</c:v>
                </c:pt>
                <c:pt idx="25">
                  <c:v>28.991798431952724</c:v>
                </c:pt>
                <c:pt idx="26">
                  <c:v>25.416748543600821</c:v>
                </c:pt>
                <c:pt idx="27">
                  <c:v>3.7585515159069072</c:v>
                </c:pt>
                <c:pt idx="28">
                  <c:v>6.0421250479978239</c:v>
                </c:pt>
                <c:pt idx="29">
                  <c:v>4.2998561288072565</c:v>
                </c:pt>
                <c:pt idx="30">
                  <c:v>10.697595529560502</c:v>
                </c:pt>
                <c:pt idx="31">
                  <c:v>13.569523777843923</c:v>
                </c:pt>
                <c:pt idx="32">
                  <c:v>5.0146520548367661</c:v>
                </c:pt>
                <c:pt idx="33">
                  <c:v>14.01251097500284</c:v>
                </c:pt>
                <c:pt idx="34">
                  <c:v>11.659080873539695</c:v>
                </c:pt>
                <c:pt idx="35">
                  <c:v>9.6609788820646152</c:v>
                </c:pt>
                <c:pt idx="36">
                  <c:v>21.875276616648925</c:v>
                </c:pt>
                <c:pt idx="37">
                  <c:v>13.538287628836068</c:v>
                </c:pt>
                <c:pt idx="38">
                  <c:v>34.161522895530275</c:v>
                </c:pt>
                <c:pt idx="39">
                  <c:v>34.251274457842648</c:v>
                </c:pt>
                <c:pt idx="40">
                  <c:v>32.056125445704438</c:v>
                </c:pt>
                <c:pt idx="41">
                  <c:v>14.917043670854572</c:v>
                </c:pt>
                <c:pt idx="42">
                  <c:v>26.323355871681365</c:v>
                </c:pt>
                <c:pt idx="43">
                  <c:v>31.687420262702027</c:v>
                </c:pt>
                <c:pt idx="44">
                  <c:v>17.430249954693394</c:v>
                </c:pt>
                <c:pt idx="45">
                  <c:v>20.705605853411072</c:v>
                </c:pt>
                <c:pt idx="46">
                  <c:v>9.0499311842824692</c:v>
                </c:pt>
                <c:pt idx="47">
                  <c:v>10.979948452799974</c:v>
                </c:pt>
                <c:pt idx="48">
                  <c:v>30.745358003117154</c:v>
                </c:pt>
                <c:pt idx="49">
                  <c:v>16.717462621893169</c:v>
                </c:pt>
                <c:pt idx="50">
                  <c:v>20.791451936673464</c:v>
                </c:pt>
                <c:pt idx="51">
                  <c:v>21.080408993674546</c:v>
                </c:pt>
                <c:pt idx="52">
                  <c:v>34.894020924637005</c:v>
                </c:pt>
                <c:pt idx="53">
                  <c:v>35.880039686112589</c:v>
                </c:pt>
                <c:pt idx="54">
                  <c:v>21.411626438894203</c:v>
                </c:pt>
                <c:pt idx="55">
                  <c:v>30.443923520786591</c:v>
                </c:pt>
                <c:pt idx="56">
                  <c:v>40.416366464784481</c:v>
                </c:pt>
                <c:pt idx="57">
                  <c:v>26.607841117248913</c:v>
                </c:pt>
                <c:pt idx="58">
                  <c:v>35.684990062050225</c:v>
                </c:pt>
                <c:pt idx="59">
                  <c:v>39.144002158251901</c:v>
                </c:pt>
                <c:pt idx="60">
                  <c:v>15.49119171615116</c:v>
                </c:pt>
                <c:pt idx="61">
                  <c:v>36.089131358333908</c:v>
                </c:pt>
                <c:pt idx="62">
                  <c:v>5.3812412638308453</c:v>
                </c:pt>
                <c:pt idx="63">
                  <c:v>12.572497566292022</c:v>
                </c:pt>
                <c:pt idx="64">
                  <c:v>19.861861799342599</c:v>
                </c:pt>
                <c:pt idx="65">
                  <c:v>38.609784608295058</c:v>
                </c:pt>
                <c:pt idx="66">
                  <c:v>30.392360336222069</c:v>
                </c:pt>
                <c:pt idx="67">
                  <c:v>28.864981172160189</c:v>
                </c:pt>
                <c:pt idx="68">
                  <c:v>22.647702681782192</c:v>
                </c:pt>
                <c:pt idx="69">
                  <c:v>14.374689411673517</c:v>
                </c:pt>
                <c:pt idx="70">
                  <c:v>13.751862632488946</c:v>
                </c:pt>
                <c:pt idx="71">
                  <c:v>8.3621442598699076</c:v>
                </c:pt>
                <c:pt idx="72">
                  <c:v>11.208915499033182</c:v>
                </c:pt>
                <c:pt idx="73">
                  <c:v>13.327145305792483</c:v>
                </c:pt>
                <c:pt idx="74">
                  <c:v>11.173018371817706</c:v>
                </c:pt>
                <c:pt idx="75">
                  <c:v>9.8606445395051683</c:v>
                </c:pt>
                <c:pt idx="76">
                  <c:v>12.622390529379588</c:v>
                </c:pt>
                <c:pt idx="77">
                  <c:v>28.358877098679955</c:v>
                </c:pt>
                <c:pt idx="78">
                  <c:v>31.501893596882795</c:v>
                </c:pt>
                <c:pt idx="79">
                  <c:v>45.329418738352871</c:v>
                </c:pt>
                <c:pt idx="80">
                  <c:v>42.533249973207198</c:v>
                </c:pt>
                <c:pt idx="81">
                  <c:v>47.300353414774186</c:v>
                </c:pt>
                <c:pt idx="82">
                  <c:v>46.434535834200268</c:v>
                </c:pt>
                <c:pt idx="83">
                  <c:v>39.854842599257239</c:v>
                </c:pt>
                <c:pt idx="84">
                  <c:v>44.220353530317567</c:v>
                </c:pt>
                <c:pt idx="85">
                  <c:v>44.184926522648418</c:v>
                </c:pt>
                <c:pt idx="86">
                  <c:v>34.119397007454019</c:v>
                </c:pt>
                <c:pt idx="87">
                  <c:v>26.336074771962558</c:v>
                </c:pt>
                <c:pt idx="88">
                  <c:v>6.6851160452449223</c:v>
                </c:pt>
                <c:pt idx="89">
                  <c:v>26.600072487029021</c:v>
                </c:pt>
                <c:pt idx="90">
                  <c:v>29.01010546988536</c:v>
                </c:pt>
                <c:pt idx="91">
                  <c:v>19.122446286861535</c:v>
                </c:pt>
                <c:pt idx="92">
                  <c:v>24.063778107110153</c:v>
                </c:pt>
                <c:pt idx="93">
                  <c:v>42.663862209187471</c:v>
                </c:pt>
                <c:pt idx="94">
                  <c:v>50.59401257451961</c:v>
                </c:pt>
                <c:pt idx="95">
                  <c:v>11.305076682102865</c:v>
                </c:pt>
                <c:pt idx="96">
                  <c:v>38.654915801097822</c:v>
                </c:pt>
                <c:pt idx="97">
                  <c:v>30.67423823900835</c:v>
                </c:pt>
                <c:pt idx="98">
                  <c:v>34.751160771456192</c:v>
                </c:pt>
                <c:pt idx="99">
                  <c:v>51.721122638820589</c:v>
                </c:pt>
                <c:pt idx="100">
                  <c:v>39.251232398706591</c:v>
                </c:pt>
                <c:pt idx="101">
                  <c:v>34.993285440825005</c:v>
                </c:pt>
                <c:pt idx="102">
                  <c:v>6.8877046452273811</c:v>
                </c:pt>
                <c:pt idx="103">
                  <c:v>38.388318301297865</c:v>
                </c:pt>
                <c:pt idx="104">
                  <c:v>42.28165931774587</c:v>
                </c:pt>
                <c:pt idx="105">
                  <c:v>43.468445755990409</c:v>
                </c:pt>
                <c:pt idx="106">
                  <c:v>51.462942039327132</c:v>
                </c:pt>
                <c:pt idx="107">
                  <c:v>38.7071286985379</c:v>
                </c:pt>
                <c:pt idx="108">
                  <c:v>10.301638143003927</c:v>
                </c:pt>
                <c:pt idx="109">
                  <c:v>9.6886854500512545</c:v>
                </c:pt>
                <c:pt idx="110">
                  <c:v>9.1476763706655095</c:v>
                </c:pt>
                <c:pt idx="111">
                  <c:v>29.046108510422702</c:v>
                </c:pt>
                <c:pt idx="112">
                  <c:v>8.0646327199628871</c:v>
                </c:pt>
                <c:pt idx="113">
                  <c:v>36.344361604688984</c:v>
                </c:pt>
                <c:pt idx="114">
                  <c:v>45.719052247738851</c:v>
                </c:pt>
                <c:pt idx="115">
                  <c:v>51.749682653391218</c:v>
                </c:pt>
                <c:pt idx="116">
                  <c:v>37.163385729411502</c:v>
                </c:pt>
                <c:pt idx="117">
                  <c:v>22.134993260836612</c:v>
                </c:pt>
                <c:pt idx="118">
                  <c:v>41.69888984408329</c:v>
                </c:pt>
                <c:pt idx="119">
                  <c:v>42.287243115962823</c:v>
                </c:pt>
                <c:pt idx="120">
                  <c:v>43.050329324467945</c:v>
                </c:pt>
                <c:pt idx="121">
                  <c:v>26.078080635033288</c:v>
                </c:pt>
                <c:pt idx="122">
                  <c:v>10.555311807266522</c:v>
                </c:pt>
                <c:pt idx="123">
                  <c:v>16.567182772899496</c:v>
                </c:pt>
                <c:pt idx="124">
                  <c:v>35.735548313050629</c:v>
                </c:pt>
                <c:pt idx="125">
                  <c:v>34.803452931373599</c:v>
                </c:pt>
                <c:pt idx="126">
                  <c:v>45.947311197570606</c:v>
                </c:pt>
                <c:pt idx="127">
                  <c:v>47.349138435936567</c:v>
                </c:pt>
                <c:pt idx="128">
                  <c:v>52.019803373248301</c:v>
                </c:pt>
                <c:pt idx="129">
                  <c:v>48.062124297349243</c:v>
                </c:pt>
                <c:pt idx="130">
                  <c:v>52.298174370122773</c:v>
                </c:pt>
                <c:pt idx="131">
                  <c:v>40.999629419549336</c:v>
                </c:pt>
                <c:pt idx="132">
                  <c:v>43.007352054431273</c:v>
                </c:pt>
                <c:pt idx="133">
                  <c:v>45.4136391945678</c:v>
                </c:pt>
                <c:pt idx="134">
                  <c:v>49.102819100482741</c:v>
                </c:pt>
                <c:pt idx="135">
                  <c:v>47.212645924597048</c:v>
                </c:pt>
                <c:pt idx="136">
                  <c:v>50.722531034755526</c:v>
                </c:pt>
                <c:pt idx="137">
                  <c:v>49.326819172605248</c:v>
                </c:pt>
                <c:pt idx="138">
                  <c:v>50.762818150527373</c:v>
                </c:pt>
                <c:pt idx="139">
                  <c:v>45.219585272122174</c:v>
                </c:pt>
                <c:pt idx="140">
                  <c:v>46.279114405411391</c:v>
                </c:pt>
                <c:pt idx="141">
                  <c:v>33.477242452671049</c:v>
                </c:pt>
                <c:pt idx="142">
                  <c:v>16.197448298079987</c:v>
                </c:pt>
                <c:pt idx="143">
                  <c:v>13.267760167207447</c:v>
                </c:pt>
                <c:pt idx="144">
                  <c:v>37.874926844836601</c:v>
                </c:pt>
                <c:pt idx="145">
                  <c:v>20.339281490273496</c:v>
                </c:pt>
                <c:pt idx="146">
                  <c:v>38.033616032940756</c:v>
                </c:pt>
                <c:pt idx="147">
                  <c:v>49.224467387318825</c:v>
                </c:pt>
                <c:pt idx="148">
                  <c:v>53.733589471106434</c:v>
                </c:pt>
                <c:pt idx="149">
                  <c:v>45.863390584347414</c:v>
                </c:pt>
                <c:pt idx="150">
                  <c:v>51.074847008973236</c:v>
                </c:pt>
                <c:pt idx="151">
                  <c:v>51.466280969626467</c:v>
                </c:pt>
                <c:pt idx="152">
                  <c:v>40.474257924169095</c:v>
                </c:pt>
                <c:pt idx="153">
                  <c:v>50.268326943942476</c:v>
                </c:pt>
                <c:pt idx="154">
                  <c:v>27.724384855289443</c:v>
                </c:pt>
                <c:pt idx="155">
                  <c:v>28.591710002189672</c:v>
                </c:pt>
                <c:pt idx="156">
                  <c:v>40.553670377735315</c:v>
                </c:pt>
                <c:pt idx="157">
                  <c:v>27.231873659928265</c:v>
                </c:pt>
                <c:pt idx="158">
                  <c:v>20.46289165227833</c:v>
                </c:pt>
                <c:pt idx="159">
                  <c:v>41.361177612363932</c:v>
                </c:pt>
                <c:pt idx="160">
                  <c:v>52.401392487852213</c:v>
                </c:pt>
                <c:pt idx="161">
                  <c:v>50.034255177407587</c:v>
                </c:pt>
                <c:pt idx="162">
                  <c:v>39.840515921471273</c:v>
                </c:pt>
                <c:pt idx="163">
                  <c:v>47.872911396899767</c:v>
                </c:pt>
                <c:pt idx="164">
                  <c:v>43.775739870847787</c:v>
                </c:pt>
                <c:pt idx="165">
                  <c:v>49.196729576609087</c:v>
                </c:pt>
                <c:pt idx="166">
                  <c:v>46.69845259935331</c:v>
                </c:pt>
                <c:pt idx="167">
                  <c:v>47.217630387583689</c:v>
                </c:pt>
                <c:pt idx="168">
                  <c:v>49.666594718069632</c:v>
                </c:pt>
                <c:pt idx="169">
                  <c:v>50.902802270332089</c:v>
                </c:pt>
                <c:pt idx="170">
                  <c:v>29.242083335666784</c:v>
                </c:pt>
                <c:pt idx="171">
                  <c:v>17.896869932709411</c:v>
                </c:pt>
                <c:pt idx="172">
                  <c:v>42.734966895474166</c:v>
                </c:pt>
                <c:pt idx="173">
                  <c:v>38.366565626249155</c:v>
                </c:pt>
                <c:pt idx="174">
                  <c:v>41.619153147046283</c:v>
                </c:pt>
                <c:pt idx="175">
                  <c:v>29.258086790031321</c:v>
                </c:pt>
                <c:pt idx="176">
                  <c:v>10.610015578316304</c:v>
                </c:pt>
                <c:pt idx="177">
                  <c:v>15.825991349994505</c:v>
                </c:pt>
                <c:pt idx="178">
                  <c:v>52.355571002965483</c:v>
                </c:pt>
                <c:pt idx="179">
                  <c:v>50.244784847768777</c:v>
                </c:pt>
                <c:pt idx="180">
                  <c:v>12.133689837614241</c:v>
                </c:pt>
                <c:pt idx="181">
                  <c:v>47.606210499681623</c:v>
                </c:pt>
                <c:pt idx="182">
                  <c:v>45.63069381955922</c:v>
                </c:pt>
                <c:pt idx="183">
                  <c:v>41.435261734341751</c:v>
                </c:pt>
                <c:pt idx="184">
                  <c:v>42.452327006239543</c:v>
                </c:pt>
                <c:pt idx="185">
                  <c:v>49.91475162743339</c:v>
                </c:pt>
                <c:pt idx="186">
                  <c:v>38.473739635460717</c:v>
                </c:pt>
                <c:pt idx="187">
                  <c:v>47.345859544563147</c:v>
                </c:pt>
                <c:pt idx="188">
                  <c:v>51.593637388595717</c:v>
                </c:pt>
                <c:pt idx="189">
                  <c:v>50.813926611733443</c:v>
                </c:pt>
                <c:pt idx="190">
                  <c:v>50.617810269420339</c:v>
                </c:pt>
                <c:pt idx="191">
                  <c:v>49.432256299213087</c:v>
                </c:pt>
                <c:pt idx="192">
                  <c:v>49.049539336620789</c:v>
                </c:pt>
                <c:pt idx="193">
                  <c:v>49.054308827053731</c:v>
                </c:pt>
                <c:pt idx="194">
                  <c:v>48.482117658776126</c:v>
                </c:pt>
                <c:pt idx="195">
                  <c:v>46.981949291895553</c:v>
                </c:pt>
                <c:pt idx="196">
                  <c:v>48.433888039901355</c:v>
                </c:pt>
                <c:pt idx="197">
                  <c:v>48.112610458755348</c:v>
                </c:pt>
                <c:pt idx="198">
                  <c:v>48.836632958299788</c:v>
                </c:pt>
                <c:pt idx="199">
                  <c:v>38.6014726067664</c:v>
                </c:pt>
                <c:pt idx="200">
                  <c:v>37.628923608665218</c:v>
                </c:pt>
                <c:pt idx="201">
                  <c:v>47.706322582079466</c:v>
                </c:pt>
                <c:pt idx="202">
                  <c:v>37.25516215482407</c:v>
                </c:pt>
                <c:pt idx="203">
                  <c:v>43.791774531695211</c:v>
                </c:pt>
                <c:pt idx="204">
                  <c:v>48.021356908459197</c:v>
                </c:pt>
                <c:pt idx="205">
                  <c:v>27.812483766236547</c:v>
                </c:pt>
                <c:pt idx="206">
                  <c:v>48.252847481495046</c:v>
                </c:pt>
                <c:pt idx="207">
                  <c:v>50.981331003513638</c:v>
                </c:pt>
                <c:pt idx="208">
                  <c:v>42.916368228329112</c:v>
                </c:pt>
                <c:pt idx="209">
                  <c:v>25.122171176163004</c:v>
                </c:pt>
                <c:pt idx="210">
                  <c:v>43.352551541114195</c:v>
                </c:pt>
                <c:pt idx="211">
                  <c:v>49.584246228798655</c:v>
                </c:pt>
                <c:pt idx="212">
                  <c:v>49.382112626581652</c:v>
                </c:pt>
                <c:pt idx="213">
                  <c:v>49.579160713005393</c:v>
                </c:pt>
                <c:pt idx="214">
                  <c:v>47.505134401631508</c:v>
                </c:pt>
                <c:pt idx="215">
                  <c:v>44.578768636704346</c:v>
                </c:pt>
                <c:pt idx="216">
                  <c:v>41.476269589925877</c:v>
                </c:pt>
                <c:pt idx="217">
                  <c:v>45.449867761575021</c:v>
                </c:pt>
                <c:pt idx="218">
                  <c:v>48.308664973920052</c:v>
                </c:pt>
                <c:pt idx="219">
                  <c:v>49.084862057373996</c:v>
                </c:pt>
                <c:pt idx="220">
                  <c:v>47.443573713891261</c:v>
                </c:pt>
                <c:pt idx="221">
                  <c:v>45.490553197077091</c:v>
                </c:pt>
                <c:pt idx="222">
                  <c:v>41.862558520293703</c:v>
                </c:pt>
                <c:pt idx="223">
                  <c:v>43.934692214492969</c:v>
                </c:pt>
                <c:pt idx="224">
                  <c:v>30.60490246684498</c:v>
                </c:pt>
                <c:pt idx="225">
                  <c:v>31.819710175417182</c:v>
                </c:pt>
                <c:pt idx="226">
                  <c:v>36.4857404713348</c:v>
                </c:pt>
                <c:pt idx="227">
                  <c:v>30.649203678871924</c:v>
                </c:pt>
                <c:pt idx="228">
                  <c:v>21.068626025784095</c:v>
                </c:pt>
                <c:pt idx="229">
                  <c:v>36.661458270280328</c:v>
                </c:pt>
                <c:pt idx="230">
                  <c:v>37.960393454542135</c:v>
                </c:pt>
                <c:pt idx="231">
                  <c:v>45.208960385118999</c:v>
                </c:pt>
                <c:pt idx="232">
                  <c:v>30.477856866502382</c:v>
                </c:pt>
                <c:pt idx="233">
                  <c:v>23.746479399632406</c:v>
                </c:pt>
                <c:pt idx="234">
                  <c:v>42.477668099648845</c:v>
                </c:pt>
                <c:pt idx="235">
                  <c:v>43.888637225037535</c:v>
                </c:pt>
                <c:pt idx="236">
                  <c:v>31.317418210481467</c:v>
                </c:pt>
                <c:pt idx="237">
                  <c:v>39.344626647236133</c:v>
                </c:pt>
                <c:pt idx="238">
                  <c:v>46.356908122865981</c:v>
                </c:pt>
                <c:pt idx="239">
                  <c:v>45.495787172560547</c:v>
                </c:pt>
                <c:pt idx="240">
                  <c:v>30.674918663049411</c:v>
                </c:pt>
                <c:pt idx="241">
                  <c:v>44.541420962105995</c:v>
                </c:pt>
                <c:pt idx="242">
                  <c:v>20.963688230649055</c:v>
                </c:pt>
                <c:pt idx="243">
                  <c:v>40.4124076773357</c:v>
                </c:pt>
                <c:pt idx="244">
                  <c:v>37.069430958036577</c:v>
                </c:pt>
                <c:pt idx="245">
                  <c:v>30.952091233252382</c:v>
                </c:pt>
                <c:pt idx="246">
                  <c:v>44.893374342793244</c:v>
                </c:pt>
                <c:pt idx="247">
                  <c:v>37.952847428258551</c:v>
                </c:pt>
                <c:pt idx="248">
                  <c:v>43.043291154798752</c:v>
                </c:pt>
                <c:pt idx="249">
                  <c:v>33.490654176939024</c:v>
                </c:pt>
                <c:pt idx="250">
                  <c:v>36.675082358805803</c:v>
                </c:pt>
                <c:pt idx="251">
                  <c:v>20.417448930780491</c:v>
                </c:pt>
                <c:pt idx="252">
                  <c:v>43.133918242578709</c:v>
                </c:pt>
                <c:pt idx="253">
                  <c:v>43.642283722989625</c:v>
                </c:pt>
                <c:pt idx="254">
                  <c:v>30.565695576229629</c:v>
                </c:pt>
                <c:pt idx="255">
                  <c:v>10.838370841466915</c:v>
                </c:pt>
                <c:pt idx="256">
                  <c:v>35.967591904452576</c:v>
                </c:pt>
                <c:pt idx="257">
                  <c:v>39.508798671147076</c:v>
                </c:pt>
                <c:pt idx="258">
                  <c:v>26.305751363998723</c:v>
                </c:pt>
                <c:pt idx="259">
                  <c:v>45.492984016491093</c:v>
                </c:pt>
                <c:pt idx="260">
                  <c:v>43.986027297245386</c:v>
                </c:pt>
                <c:pt idx="261">
                  <c:v>42.853578964266653</c:v>
                </c:pt>
                <c:pt idx="262">
                  <c:v>44.146756874291484</c:v>
                </c:pt>
                <c:pt idx="263">
                  <c:v>43.07201338703284</c:v>
                </c:pt>
                <c:pt idx="264">
                  <c:v>41.950987246282757</c:v>
                </c:pt>
                <c:pt idx="265">
                  <c:v>26.506019238123969</c:v>
                </c:pt>
                <c:pt idx="266">
                  <c:v>16.616178420261527</c:v>
                </c:pt>
                <c:pt idx="267">
                  <c:v>29.414491834850992</c:v>
                </c:pt>
                <c:pt idx="268">
                  <c:v>31.722573630529464</c:v>
                </c:pt>
                <c:pt idx="269">
                  <c:v>14.338467966123421</c:v>
                </c:pt>
                <c:pt idx="270">
                  <c:v>16.475881931775188</c:v>
                </c:pt>
                <c:pt idx="271">
                  <c:v>22.596871156053279</c:v>
                </c:pt>
                <c:pt idx="272">
                  <c:v>27.61337376889816</c:v>
                </c:pt>
                <c:pt idx="273">
                  <c:v>35.697753218697301</c:v>
                </c:pt>
                <c:pt idx="274">
                  <c:v>38.371290966357456</c:v>
                </c:pt>
                <c:pt idx="275">
                  <c:v>35.530604715448007</c:v>
                </c:pt>
                <c:pt idx="276">
                  <c:v>39.71843556719265</c:v>
                </c:pt>
                <c:pt idx="277">
                  <c:v>40.288505117355378</c:v>
                </c:pt>
                <c:pt idx="278">
                  <c:v>14.42289262235202</c:v>
                </c:pt>
                <c:pt idx="279">
                  <c:v>27.75882496102172</c:v>
                </c:pt>
                <c:pt idx="280">
                  <c:v>15.532233440413323</c:v>
                </c:pt>
                <c:pt idx="281">
                  <c:v>37.208177272082011</c:v>
                </c:pt>
                <c:pt idx="282">
                  <c:v>30.031091333509547</c:v>
                </c:pt>
                <c:pt idx="283">
                  <c:v>23.699540290126993</c:v>
                </c:pt>
                <c:pt idx="284">
                  <c:v>26.632517975235835</c:v>
                </c:pt>
                <c:pt idx="285">
                  <c:v>21.560761063669666</c:v>
                </c:pt>
                <c:pt idx="286">
                  <c:v>16.947389060320138</c:v>
                </c:pt>
                <c:pt idx="287">
                  <c:v>36.172001722022848</c:v>
                </c:pt>
                <c:pt idx="288">
                  <c:v>32.545289814923173</c:v>
                </c:pt>
                <c:pt idx="289">
                  <c:v>19.497664745526851</c:v>
                </c:pt>
                <c:pt idx="290">
                  <c:v>33.024364864126653</c:v>
                </c:pt>
                <c:pt idx="291">
                  <c:v>14.854293011169272</c:v>
                </c:pt>
                <c:pt idx="292">
                  <c:v>8.6957490518518163</c:v>
                </c:pt>
                <c:pt idx="293">
                  <c:v>14.756533871632316</c:v>
                </c:pt>
                <c:pt idx="294">
                  <c:v>32.515037219845631</c:v>
                </c:pt>
                <c:pt idx="295">
                  <c:v>18.19312775339089</c:v>
                </c:pt>
                <c:pt idx="296">
                  <c:v>24.96938152043823</c:v>
                </c:pt>
                <c:pt idx="297">
                  <c:v>21.255146187223783</c:v>
                </c:pt>
                <c:pt idx="298">
                  <c:v>17.005973326663856</c:v>
                </c:pt>
                <c:pt idx="299">
                  <c:v>13.322303835774676</c:v>
                </c:pt>
                <c:pt idx="300">
                  <c:v>17.553015116661118</c:v>
                </c:pt>
                <c:pt idx="301">
                  <c:v>25.917103917088447</c:v>
                </c:pt>
                <c:pt idx="302">
                  <c:v>21.763131699780228</c:v>
                </c:pt>
                <c:pt idx="303">
                  <c:v>20.917446111064571</c:v>
                </c:pt>
                <c:pt idx="304">
                  <c:v>19.875142544481598</c:v>
                </c:pt>
                <c:pt idx="305">
                  <c:v>28.678572497917393</c:v>
                </c:pt>
                <c:pt idx="306">
                  <c:v>9.2542344772438412</c:v>
                </c:pt>
                <c:pt idx="307">
                  <c:v>13.660023265504726</c:v>
                </c:pt>
                <c:pt idx="308">
                  <c:v>29.093242911868021</c:v>
                </c:pt>
                <c:pt idx="309">
                  <c:v>29.951849949174097</c:v>
                </c:pt>
                <c:pt idx="310">
                  <c:v>28.921297126013421</c:v>
                </c:pt>
                <c:pt idx="311">
                  <c:v>17.534460009541338</c:v>
                </c:pt>
                <c:pt idx="312">
                  <c:v>8.736139389253184</c:v>
                </c:pt>
                <c:pt idx="313">
                  <c:v>23.490762045075201</c:v>
                </c:pt>
                <c:pt idx="314">
                  <c:v>27.392661963797856</c:v>
                </c:pt>
                <c:pt idx="315">
                  <c:v>27.262311316067247</c:v>
                </c:pt>
                <c:pt idx="316">
                  <c:v>23.903386838316781</c:v>
                </c:pt>
                <c:pt idx="317">
                  <c:v>11.222698951254886</c:v>
                </c:pt>
                <c:pt idx="318">
                  <c:v>12.155261324217815</c:v>
                </c:pt>
                <c:pt idx="319">
                  <c:v>27.002915077482129</c:v>
                </c:pt>
                <c:pt idx="320">
                  <c:v>13.912485035957287</c:v>
                </c:pt>
                <c:pt idx="321">
                  <c:v>12.414480275044898</c:v>
                </c:pt>
                <c:pt idx="322">
                  <c:v>8.2562356292322576</c:v>
                </c:pt>
                <c:pt idx="323">
                  <c:v>16.978477263182864</c:v>
                </c:pt>
                <c:pt idx="324">
                  <c:v>2.9061280164314449</c:v>
                </c:pt>
                <c:pt idx="325">
                  <c:v>9.0781802707372474</c:v>
                </c:pt>
                <c:pt idx="326">
                  <c:v>14.861825943919243</c:v>
                </c:pt>
                <c:pt idx="327">
                  <c:v>13.297049817013313</c:v>
                </c:pt>
                <c:pt idx="328">
                  <c:v>4.3700508043816804</c:v>
                </c:pt>
                <c:pt idx="329">
                  <c:v>10.201082712754518</c:v>
                </c:pt>
                <c:pt idx="330">
                  <c:v>14.03326660081748</c:v>
                </c:pt>
                <c:pt idx="331">
                  <c:v>9.9158604052323405</c:v>
                </c:pt>
                <c:pt idx="332">
                  <c:v>12.101081964996411</c:v>
                </c:pt>
                <c:pt idx="333">
                  <c:v>3.7733720951437393</c:v>
                </c:pt>
                <c:pt idx="334">
                  <c:v>3.33850271061003</c:v>
                </c:pt>
                <c:pt idx="335">
                  <c:v>4.8323027236099234</c:v>
                </c:pt>
                <c:pt idx="336">
                  <c:v>9.5239267014303657</c:v>
                </c:pt>
                <c:pt idx="337">
                  <c:v>17.285237243891171</c:v>
                </c:pt>
                <c:pt idx="338">
                  <c:v>24.369763725702114</c:v>
                </c:pt>
                <c:pt idx="339">
                  <c:v>13.622949997183252</c:v>
                </c:pt>
                <c:pt idx="340">
                  <c:v>19.251390739069695</c:v>
                </c:pt>
                <c:pt idx="341">
                  <c:v>3.5480861092823073</c:v>
                </c:pt>
                <c:pt idx="342">
                  <c:v>8.0115230125616304</c:v>
                </c:pt>
                <c:pt idx="343">
                  <c:v>14.81580814982652</c:v>
                </c:pt>
                <c:pt idx="344">
                  <c:v>15.896240233997869</c:v>
                </c:pt>
                <c:pt idx="345">
                  <c:v>5.1097965733215904</c:v>
                </c:pt>
                <c:pt idx="346">
                  <c:v>4.7829185145684159</c:v>
                </c:pt>
                <c:pt idx="347">
                  <c:v>15.529554844123105</c:v>
                </c:pt>
                <c:pt idx="348">
                  <c:v>5.6675491051213269</c:v>
                </c:pt>
                <c:pt idx="349">
                  <c:v>4.6905652811787242</c:v>
                </c:pt>
                <c:pt idx="350">
                  <c:v>2.7721399424581796</c:v>
                </c:pt>
                <c:pt idx="351">
                  <c:v>18.368399802334519</c:v>
                </c:pt>
                <c:pt idx="352">
                  <c:v>17.268122723137143</c:v>
                </c:pt>
                <c:pt idx="353">
                  <c:v>3.4272552051462521</c:v>
                </c:pt>
                <c:pt idx="354">
                  <c:v>20.41341452379304</c:v>
                </c:pt>
                <c:pt idx="355">
                  <c:v>17.825641140595515</c:v>
                </c:pt>
                <c:pt idx="356">
                  <c:v>18.617947079112561</c:v>
                </c:pt>
                <c:pt idx="357">
                  <c:v>21.260535226190065</c:v>
                </c:pt>
                <c:pt idx="358">
                  <c:v>10.383980283639044</c:v>
                </c:pt>
                <c:pt idx="359">
                  <c:v>19.102278538464518</c:v>
                </c:pt>
                <c:pt idx="360">
                  <c:v>6.1096382413572785</c:v>
                </c:pt>
                <c:pt idx="361">
                  <c:v>18.658231289278806</c:v>
                </c:pt>
                <c:pt idx="362">
                  <c:v>10.222661578371481</c:v>
                </c:pt>
                <c:pt idx="363">
                  <c:v>14.440887252313308</c:v>
                </c:pt>
                <c:pt idx="364">
                  <c:v>11.633582887516203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23.477366281175282</c:v>
                </c:pt>
                <c:pt idx="1">
                  <c:v>16.621630129105881</c:v>
                </c:pt>
                <c:pt idx="2">
                  <c:v>17.830088713699926</c:v>
                </c:pt>
                <c:pt idx="3">
                  <c:v>19.212838684999607</c:v>
                </c:pt>
                <c:pt idx="4">
                  <c:v>14.046028634828192</c:v>
                </c:pt>
                <c:pt idx="5">
                  <c:v>25.413375660372743</c:v>
                </c:pt>
                <c:pt idx="6">
                  <c:v>9.6373895725215863</c:v>
                </c:pt>
                <c:pt idx="7">
                  <c:v>6.5693539553197517</c:v>
                </c:pt>
                <c:pt idx="8">
                  <c:v>1.8228529638232358</c:v>
                </c:pt>
                <c:pt idx="9">
                  <c:v>1.4629210940528263</c:v>
                </c:pt>
                <c:pt idx="10">
                  <c:v>26.13708811903393</c:v>
                </c:pt>
                <c:pt idx="11">
                  <c:v>23.933782035772534</c:v>
                </c:pt>
                <c:pt idx="12">
                  <c:v>5.1800475505790526</c:v>
                </c:pt>
                <c:pt idx="13">
                  <c:v>27.103669034246298</c:v>
                </c:pt>
                <c:pt idx="14">
                  <c:v>27.447294497918978</c:v>
                </c:pt>
                <c:pt idx="15">
                  <c:v>27.017191872084616</c:v>
                </c:pt>
                <c:pt idx="16">
                  <c:v>17.484009336530789</c:v>
                </c:pt>
                <c:pt idx="17">
                  <c:v>3.6993406033575189</c:v>
                </c:pt>
                <c:pt idx="18">
                  <c:v>11.56469064949958</c:v>
                </c:pt>
                <c:pt idx="19">
                  <c:v>5.3860089607785717</c:v>
                </c:pt>
                <c:pt idx="20">
                  <c:v>18.466485098800337</c:v>
                </c:pt>
                <c:pt idx="21">
                  <c:v>28.53071409859664</c:v>
                </c:pt>
                <c:pt idx="22">
                  <c:v>28.334045548533449</c:v>
                </c:pt>
                <c:pt idx="23">
                  <c:v>28.986872489153313</c:v>
                </c:pt>
                <c:pt idx="24">
                  <c:v>28.135006118443222</c:v>
                </c:pt>
                <c:pt idx="25">
                  <c:v>28.991798431952724</c:v>
                </c:pt>
                <c:pt idx="26">
                  <c:v>25.416748543600821</c:v>
                </c:pt>
                <c:pt idx="27">
                  <c:v>3.7585515159069072</c:v>
                </c:pt>
                <c:pt idx="28">
                  <c:v>6.0421250479978239</c:v>
                </c:pt>
                <c:pt idx="29">
                  <c:v>4.2998561288072565</c:v>
                </c:pt>
                <c:pt idx="30">
                  <c:v>10.697595529560502</c:v>
                </c:pt>
                <c:pt idx="31">
                  <c:v>13.569523777843923</c:v>
                </c:pt>
                <c:pt idx="32">
                  <c:v>5.0146520548367661</c:v>
                </c:pt>
                <c:pt idx="33">
                  <c:v>14.01251097500284</c:v>
                </c:pt>
                <c:pt idx="34">
                  <c:v>11.659080873539695</c:v>
                </c:pt>
                <c:pt idx="35">
                  <c:v>9.6609788820646152</c:v>
                </c:pt>
                <c:pt idx="36">
                  <c:v>21.875276616648925</c:v>
                </c:pt>
                <c:pt idx="37">
                  <c:v>13.538287628836068</c:v>
                </c:pt>
                <c:pt idx="38">
                  <c:v>34.161522895530275</c:v>
                </c:pt>
                <c:pt idx="39">
                  <c:v>34.251274457842648</c:v>
                </c:pt>
                <c:pt idx="40">
                  <c:v>32.056125445704438</c:v>
                </c:pt>
                <c:pt idx="41">
                  <c:v>14.917043670854572</c:v>
                </c:pt>
                <c:pt idx="42">
                  <c:v>26.323355871681365</c:v>
                </c:pt>
                <c:pt idx="43">
                  <c:v>31.687420262702027</c:v>
                </c:pt>
                <c:pt idx="44">
                  <c:v>17.430249954693394</c:v>
                </c:pt>
                <c:pt idx="45">
                  <c:v>20.705605853411072</c:v>
                </c:pt>
                <c:pt idx="46">
                  <c:v>9.0499311842824692</c:v>
                </c:pt>
                <c:pt idx="47">
                  <c:v>10.979948452799974</c:v>
                </c:pt>
                <c:pt idx="48">
                  <c:v>30.745358003117154</c:v>
                </c:pt>
                <c:pt idx="49">
                  <c:v>16.717462621893169</c:v>
                </c:pt>
                <c:pt idx="50">
                  <c:v>20.791451936673464</c:v>
                </c:pt>
                <c:pt idx="51">
                  <c:v>21.080408993674546</c:v>
                </c:pt>
                <c:pt idx="52">
                  <c:v>34.894020924637005</c:v>
                </c:pt>
                <c:pt idx="53">
                  <c:v>35.880039686112589</c:v>
                </c:pt>
                <c:pt idx="54">
                  <c:v>21.411626438894203</c:v>
                </c:pt>
                <c:pt idx="55">
                  <c:v>30.443923520786591</c:v>
                </c:pt>
                <c:pt idx="56">
                  <c:v>40.416366464784481</c:v>
                </c:pt>
                <c:pt idx="57">
                  <c:v>26.607841117248913</c:v>
                </c:pt>
                <c:pt idx="58">
                  <c:v>35.684990062050225</c:v>
                </c:pt>
                <c:pt idx="59">
                  <c:v>39.144002158251901</c:v>
                </c:pt>
                <c:pt idx="60">
                  <c:v>15.49119171615116</c:v>
                </c:pt>
                <c:pt idx="61">
                  <c:v>36.089131358333908</c:v>
                </c:pt>
                <c:pt idx="62">
                  <c:v>5.3812412638308453</c:v>
                </c:pt>
                <c:pt idx="63">
                  <c:v>12.572497566292022</c:v>
                </c:pt>
                <c:pt idx="64">
                  <c:v>19.861861799342599</c:v>
                </c:pt>
                <c:pt idx="65">
                  <c:v>38.609784608295058</c:v>
                </c:pt>
                <c:pt idx="66">
                  <c:v>30.392360336222069</c:v>
                </c:pt>
                <c:pt idx="67">
                  <c:v>28.864981172160189</c:v>
                </c:pt>
                <c:pt idx="68">
                  <c:v>22.647702681782192</c:v>
                </c:pt>
                <c:pt idx="69">
                  <c:v>14.374689411673517</c:v>
                </c:pt>
                <c:pt idx="70">
                  <c:v>13.751862632488946</c:v>
                </c:pt>
                <c:pt idx="71">
                  <c:v>8.3621442598699076</c:v>
                </c:pt>
                <c:pt idx="72">
                  <c:v>11.208915499033182</c:v>
                </c:pt>
                <c:pt idx="73">
                  <c:v>13.327145305792483</c:v>
                </c:pt>
                <c:pt idx="74">
                  <c:v>11.173018371817706</c:v>
                </c:pt>
                <c:pt idx="75">
                  <c:v>9.8606445395051683</c:v>
                </c:pt>
                <c:pt idx="76">
                  <c:v>12.622390529379588</c:v>
                </c:pt>
                <c:pt idx="77">
                  <c:v>28.358877098679955</c:v>
                </c:pt>
                <c:pt idx="78">
                  <c:v>31.501893596882795</c:v>
                </c:pt>
                <c:pt idx="79">
                  <c:v>45.329418738352871</c:v>
                </c:pt>
                <c:pt idx="80">
                  <c:v>42.533249973207198</c:v>
                </c:pt>
                <c:pt idx="81">
                  <c:v>47.300353414774186</c:v>
                </c:pt>
                <c:pt idx="82">
                  <c:v>46.434535834200268</c:v>
                </c:pt>
                <c:pt idx="83">
                  <c:v>39.854842599257239</c:v>
                </c:pt>
                <c:pt idx="84">
                  <c:v>44.220353530317567</c:v>
                </c:pt>
                <c:pt idx="85">
                  <c:v>44.184926522648418</c:v>
                </c:pt>
                <c:pt idx="86">
                  <c:v>34.119397007454019</c:v>
                </c:pt>
                <c:pt idx="87">
                  <c:v>26.336074771962558</c:v>
                </c:pt>
                <c:pt idx="88">
                  <c:v>6.6851160452449223</c:v>
                </c:pt>
                <c:pt idx="89">
                  <c:v>26.600072487029021</c:v>
                </c:pt>
                <c:pt idx="90">
                  <c:v>29.01010546988536</c:v>
                </c:pt>
                <c:pt idx="91">
                  <c:v>19.122446286861535</c:v>
                </c:pt>
                <c:pt idx="92">
                  <c:v>24.063778107110153</c:v>
                </c:pt>
                <c:pt idx="93">
                  <c:v>42.663862209187471</c:v>
                </c:pt>
                <c:pt idx="94">
                  <c:v>50.59401257451961</c:v>
                </c:pt>
                <c:pt idx="95">
                  <c:v>11.305076682102865</c:v>
                </c:pt>
                <c:pt idx="96">
                  <c:v>38.654915801097822</c:v>
                </c:pt>
                <c:pt idx="97">
                  <c:v>30.67423823900835</c:v>
                </c:pt>
                <c:pt idx="98">
                  <c:v>34.751160771456192</c:v>
                </c:pt>
                <c:pt idx="99">
                  <c:v>51.721122638820589</c:v>
                </c:pt>
                <c:pt idx="100">
                  <c:v>39.251232398706591</c:v>
                </c:pt>
                <c:pt idx="101">
                  <c:v>34.993285440825005</c:v>
                </c:pt>
                <c:pt idx="102">
                  <c:v>6.8877046452273811</c:v>
                </c:pt>
                <c:pt idx="103">
                  <c:v>38.388318301297865</c:v>
                </c:pt>
                <c:pt idx="104">
                  <c:v>42.28165931774587</c:v>
                </c:pt>
                <c:pt idx="105">
                  <c:v>43.468445755990409</c:v>
                </c:pt>
                <c:pt idx="106">
                  <c:v>51.462942039327132</c:v>
                </c:pt>
                <c:pt idx="107">
                  <c:v>38.7071286985379</c:v>
                </c:pt>
                <c:pt idx="108">
                  <c:v>10.301638143003927</c:v>
                </c:pt>
                <c:pt idx="109">
                  <c:v>9.6886854500512545</c:v>
                </c:pt>
                <c:pt idx="110">
                  <c:v>9.1476763706655095</c:v>
                </c:pt>
                <c:pt idx="111">
                  <c:v>29.046108510422702</c:v>
                </c:pt>
                <c:pt idx="112">
                  <c:v>8.0646327199628871</c:v>
                </c:pt>
                <c:pt idx="113">
                  <c:v>36.344361604688984</c:v>
                </c:pt>
                <c:pt idx="114">
                  <c:v>45.719052247738851</c:v>
                </c:pt>
                <c:pt idx="115">
                  <c:v>51.749682653391218</c:v>
                </c:pt>
                <c:pt idx="116">
                  <c:v>37.163385729411502</c:v>
                </c:pt>
                <c:pt idx="117">
                  <c:v>22.134993260836612</c:v>
                </c:pt>
                <c:pt idx="118">
                  <c:v>41.69888984408329</c:v>
                </c:pt>
                <c:pt idx="119">
                  <c:v>42.287243115962823</c:v>
                </c:pt>
                <c:pt idx="120">
                  <c:v>43.050329324467945</c:v>
                </c:pt>
                <c:pt idx="121">
                  <c:v>26.078080635033288</c:v>
                </c:pt>
                <c:pt idx="122">
                  <c:v>10.555311807266522</c:v>
                </c:pt>
                <c:pt idx="123">
                  <c:v>16.567182772899496</c:v>
                </c:pt>
                <c:pt idx="124">
                  <c:v>35.735548313050629</c:v>
                </c:pt>
                <c:pt idx="125">
                  <c:v>34.803452931373599</c:v>
                </c:pt>
                <c:pt idx="126">
                  <c:v>45.947311197570606</c:v>
                </c:pt>
                <c:pt idx="127">
                  <c:v>47.349138435936567</c:v>
                </c:pt>
                <c:pt idx="128">
                  <c:v>52.019803373248301</c:v>
                </c:pt>
                <c:pt idx="129">
                  <c:v>48.062124297349243</c:v>
                </c:pt>
                <c:pt idx="130">
                  <c:v>52.298174370122773</c:v>
                </c:pt>
                <c:pt idx="131">
                  <c:v>40.999629419549336</c:v>
                </c:pt>
                <c:pt idx="132">
                  <c:v>43.007352054431273</c:v>
                </c:pt>
                <c:pt idx="133">
                  <c:v>45.4136391945678</c:v>
                </c:pt>
                <c:pt idx="134">
                  <c:v>49.102819100482741</c:v>
                </c:pt>
                <c:pt idx="135">
                  <c:v>47.212645924597048</c:v>
                </c:pt>
                <c:pt idx="136">
                  <c:v>50.722531034755526</c:v>
                </c:pt>
                <c:pt idx="137">
                  <c:v>49.326819172605248</c:v>
                </c:pt>
                <c:pt idx="138">
                  <c:v>50.762818150527373</c:v>
                </c:pt>
                <c:pt idx="139">
                  <c:v>45.219585272122174</c:v>
                </c:pt>
                <c:pt idx="140">
                  <c:v>46.279114405411391</c:v>
                </c:pt>
                <c:pt idx="141">
                  <c:v>33.477242452671049</c:v>
                </c:pt>
                <c:pt idx="142">
                  <c:v>16.197448298079987</c:v>
                </c:pt>
                <c:pt idx="143">
                  <c:v>13.267760167207447</c:v>
                </c:pt>
                <c:pt idx="144">
                  <c:v>37.874926844836601</c:v>
                </c:pt>
                <c:pt idx="145">
                  <c:v>20.339281490273496</c:v>
                </c:pt>
                <c:pt idx="146">
                  <c:v>38.033616032940756</c:v>
                </c:pt>
                <c:pt idx="147">
                  <c:v>49.224467387318825</c:v>
                </c:pt>
                <c:pt idx="148">
                  <c:v>53.733589471106434</c:v>
                </c:pt>
                <c:pt idx="149">
                  <c:v>45.863390584347414</c:v>
                </c:pt>
                <c:pt idx="150">
                  <c:v>51.074847008973236</c:v>
                </c:pt>
                <c:pt idx="151">
                  <c:v>51.466280969626467</c:v>
                </c:pt>
                <c:pt idx="152">
                  <c:v>40.474257924169095</c:v>
                </c:pt>
                <c:pt idx="153">
                  <c:v>50.268326943942476</c:v>
                </c:pt>
                <c:pt idx="154">
                  <c:v>27.724384855289443</c:v>
                </c:pt>
                <c:pt idx="155">
                  <c:v>28.591710002189672</c:v>
                </c:pt>
                <c:pt idx="156">
                  <c:v>40.553670377735315</c:v>
                </c:pt>
                <c:pt idx="157">
                  <c:v>27.231873659928265</c:v>
                </c:pt>
                <c:pt idx="158">
                  <c:v>20.46289165227833</c:v>
                </c:pt>
                <c:pt idx="159">
                  <c:v>41.361177612363932</c:v>
                </c:pt>
                <c:pt idx="160">
                  <c:v>52.401392487852213</c:v>
                </c:pt>
                <c:pt idx="161">
                  <c:v>50.034255177407587</c:v>
                </c:pt>
                <c:pt idx="162">
                  <c:v>39.840515921471273</c:v>
                </c:pt>
                <c:pt idx="163">
                  <c:v>47.872911396899767</c:v>
                </c:pt>
                <c:pt idx="164">
                  <c:v>43.775739870847787</c:v>
                </c:pt>
                <c:pt idx="165">
                  <c:v>49.196729576609087</c:v>
                </c:pt>
                <c:pt idx="166">
                  <c:v>46.69845259935331</c:v>
                </c:pt>
                <c:pt idx="167">
                  <c:v>47.217630387583689</c:v>
                </c:pt>
                <c:pt idx="168">
                  <c:v>49.666594718069632</c:v>
                </c:pt>
                <c:pt idx="169">
                  <c:v>50.902802270332089</c:v>
                </c:pt>
                <c:pt idx="170">
                  <c:v>29.242083335666784</c:v>
                </c:pt>
                <c:pt idx="171">
                  <c:v>17.896869932709411</c:v>
                </c:pt>
                <c:pt idx="172">
                  <c:v>42.734966895474166</c:v>
                </c:pt>
                <c:pt idx="173">
                  <c:v>38.366565626249155</c:v>
                </c:pt>
                <c:pt idx="174">
                  <c:v>41.619153147046283</c:v>
                </c:pt>
                <c:pt idx="175">
                  <c:v>29.258086790031321</c:v>
                </c:pt>
                <c:pt idx="176">
                  <c:v>10.610015578316304</c:v>
                </c:pt>
                <c:pt idx="177">
                  <c:v>15.825991349994505</c:v>
                </c:pt>
                <c:pt idx="178">
                  <c:v>52.355571002965483</c:v>
                </c:pt>
                <c:pt idx="179">
                  <c:v>50.244784847768777</c:v>
                </c:pt>
                <c:pt idx="180">
                  <c:v>12.133689837614241</c:v>
                </c:pt>
                <c:pt idx="181">
                  <c:v>47.606210499681623</c:v>
                </c:pt>
                <c:pt idx="182">
                  <c:v>45.63069381955922</c:v>
                </c:pt>
                <c:pt idx="183">
                  <c:v>41.435261734341751</c:v>
                </c:pt>
                <c:pt idx="184">
                  <c:v>42.452327006239543</c:v>
                </c:pt>
                <c:pt idx="185">
                  <c:v>49.91475162743339</c:v>
                </c:pt>
                <c:pt idx="186">
                  <c:v>38.473739635460717</c:v>
                </c:pt>
                <c:pt idx="187">
                  <c:v>47.345859544563147</c:v>
                </c:pt>
                <c:pt idx="188">
                  <c:v>51.593637388595717</c:v>
                </c:pt>
                <c:pt idx="189">
                  <c:v>50.813926611733443</c:v>
                </c:pt>
                <c:pt idx="190">
                  <c:v>50.617810269420339</c:v>
                </c:pt>
                <c:pt idx="191">
                  <c:v>49.432256299213087</c:v>
                </c:pt>
                <c:pt idx="192">
                  <c:v>49.049539336620789</c:v>
                </c:pt>
                <c:pt idx="193">
                  <c:v>49.054308827053731</c:v>
                </c:pt>
                <c:pt idx="194">
                  <c:v>48.482117658776126</c:v>
                </c:pt>
                <c:pt idx="195">
                  <c:v>46.981949291895553</c:v>
                </c:pt>
                <c:pt idx="196">
                  <c:v>48.433888039901355</c:v>
                </c:pt>
                <c:pt idx="197">
                  <c:v>48.112610458755348</c:v>
                </c:pt>
                <c:pt idx="198">
                  <c:v>48.836632958299788</c:v>
                </c:pt>
                <c:pt idx="199">
                  <c:v>38.6014726067664</c:v>
                </c:pt>
                <c:pt idx="200">
                  <c:v>37.628923608665218</c:v>
                </c:pt>
                <c:pt idx="201">
                  <c:v>47.706322582079466</c:v>
                </c:pt>
                <c:pt idx="202">
                  <c:v>37.25516215482407</c:v>
                </c:pt>
                <c:pt idx="203">
                  <c:v>43.791774531695211</c:v>
                </c:pt>
                <c:pt idx="204">
                  <c:v>48.021356908459197</c:v>
                </c:pt>
                <c:pt idx="205">
                  <c:v>27.812483766236547</c:v>
                </c:pt>
                <c:pt idx="206">
                  <c:v>48.252847481495046</c:v>
                </c:pt>
                <c:pt idx="207">
                  <c:v>50.981331003513638</c:v>
                </c:pt>
                <c:pt idx="208">
                  <c:v>42.916368228329112</c:v>
                </c:pt>
                <c:pt idx="209">
                  <c:v>25.122171176163004</c:v>
                </c:pt>
                <c:pt idx="210">
                  <c:v>43.352551541114195</c:v>
                </c:pt>
                <c:pt idx="211">
                  <c:v>49.584246228798655</c:v>
                </c:pt>
                <c:pt idx="212">
                  <c:v>49.382112626581652</c:v>
                </c:pt>
                <c:pt idx="213">
                  <c:v>49.579160713005393</c:v>
                </c:pt>
                <c:pt idx="214">
                  <c:v>47.505134401631508</c:v>
                </c:pt>
                <c:pt idx="215">
                  <c:v>44.578768636704346</c:v>
                </c:pt>
                <c:pt idx="216">
                  <c:v>41.476269589925877</c:v>
                </c:pt>
                <c:pt idx="217">
                  <c:v>45.449867761575021</c:v>
                </c:pt>
                <c:pt idx="218">
                  <c:v>48.308664973920052</c:v>
                </c:pt>
                <c:pt idx="219">
                  <c:v>49.084862057373996</c:v>
                </c:pt>
                <c:pt idx="220">
                  <c:v>47.443573713891261</c:v>
                </c:pt>
                <c:pt idx="221">
                  <c:v>45.490553197077091</c:v>
                </c:pt>
                <c:pt idx="222">
                  <c:v>41.862558520293703</c:v>
                </c:pt>
                <c:pt idx="223">
                  <c:v>43.934692214492969</c:v>
                </c:pt>
                <c:pt idx="224">
                  <c:v>30.60490246684498</c:v>
                </c:pt>
                <c:pt idx="225">
                  <c:v>31.819710175417182</c:v>
                </c:pt>
                <c:pt idx="226">
                  <c:v>36.4857404713348</c:v>
                </c:pt>
                <c:pt idx="227">
                  <c:v>30.649203678871924</c:v>
                </c:pt>
                <c:pt idx="228">
                  <c:v>21.068626025784095</c:v>
                </c:pt>
                <c:pt idx="229">
                  <c:v>36.661458270280328</c:v>
                </c:pt>
                <c:pt idx="230">
                  <c:v>37.960393454542135</c:v>
                </c:pt>
                <c:pt idx="231">
                  <c:v>45.208960385118999</c:v>
                </c:pt>
                <c:pt idx="232">
                  <c:v>30.477856866502382</c:v>
                </c:pt>
                <c:pt idx="233">
                  <c:v>23.746479399632406</c:v>
                </c:pt>
                <c:pt idx="234">
                  <c:v>42.477668099648845</c:v>
                </c:pt>
                <c:pt idx="235">
                  <c:v>43.888637225037535</c:v>
                </c:pt>
                <c:pt idx="236">
                  <c:v>31.317418210481467</c:v>
                </c:pt>
                <c:pt idx="237">
                  <c:v>39.344626647236133</c:v>
                </c:pt>
                <c:pt idx="238">
                  <c:v>46.356908122865981</c:v>
                </c:pt>
                <c:pt idx="239">
                  <c:v>45.495787172560547</c:v>
                </c:pt>
                <c:pt idx="240">
                  <c:v>30.674918663049411</c:v>
                </c:pt>
                <c:pt idx="241">
                  <c:v>44.541420962105995</c:v>
                </c:pt>
                <c:pt idx="242">
                  <c:v>20.963688230649055</c:v>
                </c:pt>
                <c:pt idx="243">
                  <c:v>40.4124076773357</c:v>
                </c:pt>
                <c:pt idx="244">
                  <c:v>37.069430958036577</c:v>
                </c:pt>
                <c:pt idx="245">
                  <c:v>30.952091233252382</c:v>
                </c:pt>
                <c:pt idx="246">
                  <c:v>44.893374342793244</c:v>
                </c:pt>
                <c:pt idx="247">
                  <c:v>37.952847428258551</c:v>
                </c:pt>
                <c:pt idx="248">
                  <c:v>43.043291154798752</c:v>
                </c:pt>
                <c:pt idx="249">
                  <c:v>33.490654176939024</c:v>
                </c:pt>
                <c:pt idx="250">
                  <c:v>36.675082358805803</c:v>
                </c:pt>
                <c:pt idx="251">
                  <c:v>20.417448930780491</c:v>
                </c:pt>
                <c:pt idx="252">
                  <c:v>43.133918242578709</c:v>
                </c:pt>
                <c:pt idx="253">
                  <c:v>43.642283722989625</c:v>
                </c:pt>
                <c:pt idx="254">
                  <c:v>30.565695576229629</c:v>
                </c:pt>
                <c:pt idx="255">
                  <c:v>10.838370841466915</c:v>
                </c:pt>
                <c:pt idx="256">
                  <c:v>35.967591904452576</c:v>
                </c:pt>
                <c:pt idx="257">
                  <c:v>39.508798671147076</c:v>
                </c:pt>
                <c:pt idx="258">
                  <c:v>26.305751363998723</c:v>
                </c:pt>
                <c:pt idx="259">
                  <c:v>45.492984016491093</c:v>
                </c:pt>
                <c:pt idx="260">
                  <c:v>43.986027297245386</c:v>
                </c:pt>
                <c:pt idx="261">
                  <c:v>42.853578964266653</c:v>
                </c:pt>
                <c:pt idx="262">
                  <c:v>44.146756874291484</c:v>
                </c:pt>
                <c:pt idx="263">
                  <c:v>43.07201338703284</c:v>
                </c:pt>
                <c:pt idx="264">
                  <c:v>41.950987246282757</c:v>
                </c:pt>
                <c:pt idx="265">
                  <c:v>26.506019238123969</c:v>
                </c:pt>
                <c:pt idx="266">
                  <c:v>16.616178420261527</c:v>
                </c:pt>
                <c:pt idx="267">
                  <c:v>29.414491834850992</c:v>
                </c:pt>
                <c:pt idx="268">
                  <c:v>31.722573630529464</c:v>
                </c:pt>
                <c:pt idx="269">
                  <c:v>14.338467966123421</c:v>
                </c:pt>
                <c:pt idx="270">
                  <c:v>16.475881931775188</c:v>
                </c:pt>
                <c:pt idx="271">
                  <c:v>22.596871156053279</c:v>
                </c:pt>
                <c:pt idx="272">
                  <c:v>27.61337376889816</c:v>
                </c:pt>
                <c:pt idx="273">
                  <c:v>35.697753218697301</c:v>
                </c:pt>
                <c:pt idx="274">
                  <c:v>38.371290966357456</c:v>
                </c:pt>
                <c:pt idx="275">
                  <c:v>35.530604715448007</c:v>
                </c:pt>
                <c:pt idx="276">
                  <c:v>39.71843556719265</c:v>
                </c:pt>
                <c:pt idx="277">
                  <c:v>40.288505117355378</c:v>
                </c:pt>
                <c:pt idx="278">
                  <c:v>14.42289262235202</c:v>
                </c:pt>
                <c:pt idx="279">
                  <c:v>27.75882496102172</c:v>
                </c:pt>
                <c:pt idx="280">
                  <c:v>15.532233440413323</c:v>
                </c:pt>
                <c:pt idx="281">
                  <c:v>37.208177272082011</c:v>
                </c:pt>
                <c:pt idx="282">
                  <c:v>30.031091333509547</c:v>
                </c:pt>
                <c:pt idx="283">
                  <c:v>23.699540290126993</c:v>
                </c:pt>
                <c:pt idx="284">
                  <c:v>26.632517975235835</c:v>
                </c:pt>
                <c:pt idx="285">
                  <c:v>21.560761063669666</c:v>
                </c:pt>
                <c:pt idx="286">
                  <c:v>16.947389060320138</c:v>
                </c:pt>
                <c:pt idx="287">
                  <c:v>36.172001722022848</c:v>
                </c:pt>
                <c:pt idx="288">
                  <c:v>32.545289814923173</c:v>
                </c:pt>
                <c:pt idx="289">
                  <c:v>19.497664745526851</c:v>
                </c:pt>
                <c:pt idx="290">
                  <c:v>33.024364864126653</c:v>
                </c:pt>
                <c:pt idx="291">
                  <c:v>14.854293011169272</c:v>
                </c:pt>
                <c:pt idx="292">
                  <c:v>8.6957490518518163</c:v>
                </c:pt>
                <c:pt idx="293">
                  <c:v>14.756533871632316</c:v>
                </c:pt>
                <c:pt idx="294">
                  <c:v>32.515037219845631</c:v>
                </c:pt>
                <c:pt idx="295">
                  <c:v>18.19312775339089</c:v>
                </c:pt>
                <c:pt idx="296">
                  <c:v>24.96938152043823</c:v>
                </c:pt>
                <c:pt idx="297">
                  <c:v>21.255146187223783</c:v>
                </c:pt>
                <c:pt idx="298">
                  <c:v>17.005973326663856</c:v>
                </c:pt>
                <c:pt idx="299">
                  <c:v>13.322303835774676</c:v>
                </c:pt>
                <c:pt idx="300">
                  <c:v>17.553015116661118</c:v>
                </c:pt>
                <c:pt idx="301">
                  <c:v>25.917103917088447</c:v>
                </c:pt>
                <c:pt idx="302">
                  <c:v>21.763131699780228</c:v>
                </c:pt>
                <c:pt idx="303">
                  <c:v>20.917446111064571</c:v>
                </c:pt>
                <c:pt idx="304">
                  <c:v>19.875142544481598</c:v>
                </c:pt>
                <c:pt idx="305">
                  <c:v>28.678572497917393</c:v>
                </c:pt>
                <c:pt idx="306">
                  <c:v>9.2542344772438412</c:v>
                </c:pt>
                <c:pt idx="307">
                  <c:v>13.660023265504726</c:v>
                </c:pt>
                <c:pt idx="308">
                  <c:v>29.093242911868021</c:v>
                </c:pt>
                <c:pt idx="309">
                  <c:v>29.951849949174097</c:v>
                </c:pt>
                <c:pt idx="310">
                  <c:v>28.921297126013421</c:v>
                </c:pt>
                <c:pt idx="311">
                  <c:v>17.534460009541338</c:v>
                </c:pt>
                <c:pt idx="312">
                  <c:v>8.736139389253184</c:v>
                </c:pt>
                <c:pt idx="313">
                  <c:v>23.490762045075201</c:v>
                </c:pt>
                <c:pt idx="314">
                  <c:v>27.392661963797856</c:v>
                </c:pt>
                <c:pt idx="315">
                  <c:v>27.262311316067247</c:v>
                </c:pt>
                <c:pt idx="316">
                  <c:v>23.903386838316781</c:v>
                </c:pt>
                <c:pt idx="317">
                  <c:v>11.222698951254886</c:v>
                </c:pt>
                <c:pt idx="318">
                  <c:v>12.155261324217815</c:v>
                </c:pt>
                <c:pt idx="319">
                  <c:v>27.002915077482129</c:v>
                </c:pt>
                <c:pt idx="320">
                  <c:v>13.912485035957287</c:v>
                </c:pt>
                <c:pt idx="321">
                  <c:v>12.414480275044898</c:v>
                </c:pt>
                <c:pt idx="322">
                  <c:v>8.2562356292322576</c:v>
                </c:pt>
                <c:pt idx="323">
                  <c:v>16.978477263182864</c:v>
                </c:pt>
                <c:pt idx="324">
                  <c:v>2.9061280164314449</c:v>
                </c:pt>
                <c:pt idx="325">
                  <c:v>9.0781802707372474</c:v>
                </c:pt>
                <c:pt idx="326">
                  <c:v>14.861825943919243</c:v>
                </c:pt>
                <c:pt idx="327">
                  <c:v>13.297049817013313</c:v>
                </c:pt>
                <c:pt idx="328">
                  <c:v>4.3700508043816804</c:v>
                </c:pt>
                <c:pt idx="329">
                  <c:v>10.201082712754518</c:v>
                </c:pt>
                <c:pt idx="330">
                  <c:v>14.03326660081748</c:v>
                </c:pt>
                <c:pt idx="331">
                  <c:v>9.9158604052323405</c:v>
                </c:pt>
                <c:pt idx="332">
                  <c:v>12.101081964996411</c:v>
                </c:pt>
                <c:pt idx="333">
                  <c:v>3.7733720951437393</c:v>
                </c:pt>
                <c:pt idx="334">
                  <c:v>3.33850271061003</c:v>
                </c:pt>
                <c:pt idx="335">
                  <c:v>4.8323027236099234</c:v>
                </c:pt>
                <c:pt idx="336">
                  <c:v>9.5239267014303657</c:v>
                </c:pt>
                <c:pt idx="337">
                  <c:v>17.285237243891171</c:v>
                </c:pt>
                <c:pt idx="338">
                  <c:v>24.369763725702114</c:v>
                </c:pt>
                <c:pt idx="339">
                  <c:v>13.622949997183252</c:v>
                </c:pt>
                <c:pt idx="340">
                  <c:v>19.251390739069695</c:v>
                </c:pt>
                <c:pt idx="341">
                  <c:v>3.5480861092823073</c:v>
                </c:pt>
                <c:pt idx="342">
                  <c:v>8.0115230125616304</c:v>
                </c:pt>
                <c:pt idx="343">
                  <c:v>14.81580814982652</c:v>
                </c:pt>
                <c:pt idx="344">
                  <c:v>15.896240233997869</c:v>
                </c:pt>
                <c:pt idx="345">
                  <c:v>5.1097965733215904</c:v>
                </c:pt>
                <c:pt idx="346">
                  <c:v>4.7829185145684159</c:v>
                </c:pt>
                <c:pt idx="347">
                  <c:v>15.529554844123105</c:v>
                </c:pt>
                <c:pt idx="348">
                  <c:v>5.6675491051213269</c:v>
                </c:pt>
                <c:pt idx="349">
                  <c:v>4.6905652811787242</c:v>
                </c:pt>
                <c:pt idx="350">
                  <c:v>2.7721399424581796</c:v>
                </c:pt>
                <c:pt idx="351">
                  <c:v>18.368399802334519</c:v>
                </c:pt>
                <c:pt idx="352">
                  <c:v>17.268122723137143</c:v>
                </c:pt>
                <c:pt idx="353">
                  <c:v>3.4272552051462521</c:v>
                </c:pt>
                <c:pt idx="354">
                  <c:v>20.41341452379304</c:v>
                </c:pt>
                <c:pt idx="355">
                  <c:v>17.825641140595515</c:v>
                </c:pt>
                <c:pt idx="356">
                  <c:v>18.617947079112561</c:v>
                </c:pt>
                <c:pt idx="357">
                  <c:v>21.260535226190065</c:v>
                </c:pt>
                <c:pt idx="358">
                  <c:v>10.383980283639044</c:v>
                </c:pt>
                <c:pt idx="359">
                  <c:v>19.102278538464518</c:v>
                </c:pt>
                <c:pt idx="360">
                  <c:v>6.1096382413572785</c:v>
                </c:pt>
                <c:pt idx="361">
                  <c:v>18.658231289278806</c:v>
                </c:pt>
                <c:pt idx="362">
                  <c:v>10.222661578371481</c:v>
                </c:pt>
                <c:pt idx="363">
                  <c:v>14.440887252313308</c:v>
                </c:pt>
                <c:pt idx="364">
                  <c:v>11.633582887516203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60440"/>
        <c:axId val="592960832"/>
      </c:lineChart>
      <c:dateAx>
        <c:axId val="592960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60832"/>
        <c:crosses val="autoZero"/>
        <c:auto val="1"/>
        <c:lblOffset val="100"/>
        <c:baseTimeUnit val="days"/>
        <c:majorUnit val="1"/>
        <c:majorTimeUnit val="months"/>
      </c:dateAx>
      <c:valAx>
        <c:axId val="5929608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60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Ayguesvives M.J.C.</c:v>
            </c:pt>
          </c:strCache>
        </c:strRef>
      </c:tx>
      <c:layout>
        <c:manualLayout>
          <c:xMode val="edge"/>
          <c:yMode val="edge"/>
          <c:x val="2.5483549691423704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11.414745302206452</c:v>
                </c:pt>
                <c:pt idx="3">
                  <c:v>17.348754758868733</c:v>
                </c:pt>
                <c:pt idx="4">
                  <c:v>8.2482187060235059</c:v>
                </c:pt>
                <c:pt idx="5">
                  <c:v>11.628074962909679</c:v>
                </c:pt>
                <c:pt idx="6">
                  <c:v>13.854995715609737</c:v>
                </c:pt>
                <c:pt idx="7">
                  <c:v>5.5288944592079927</c:v>
                </c:pt>
                <c:pt idx="8">
                  <c:v>9.2374739679377225</c:v>
                </c:pt>
                <c:pt idx="9">
                  <c:v>16.732643808732352</c:v>
                </c:pt>
                <c:pt idx="10">
                  <c:v>11.143851917361872</c:v>
                </c:pt>
                <c:pt idx="11">
                  <c:v>10.807504800454717</c:v>
                </c:pt>
                <c:pt idx="12">
                  <c:v>11.205151585577992</c:v>
                </c:pt>
                <c:pt idx="13">
                  <c:v>7.3845352225120671</c:v>
                </c:pt>
                <c:pt idx="14">
                  <c:v>12.26280557061747</c:v>
                </c:pt>
                <c:pt idx="15">
                  <c:v>12.208218312042565</c:v>
                </c:pt>
                <c:pt idx="16">
                  <c:v>9.6312504154306477</c:v>
                </c:pt>
                <c:pt idx="17">
                  <c:v>11.966682324843603</c:v>
                </c:pt>
                <c:pt idx="18">
                  <c:v>25.313020449896406</c:v>
                </c:pt>
                <c:pt idx="19">
                  <c:v>30.696506805555344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10.64472934955233</c:v>
                </c:pt>
                <c:pt idx="3">
                  <c:v>16.387030757723661</c:v>
                </c:pt>
                <c:pt idx="4">
                  <c:v>7.8797261554173312</c:v>
                </c:pt>
                <c:pt idx="5">
                  <c:v>11.17116534415017</c:v>
                </c:pt>
                <c:pt idx="6">
                  <c:v>12.802440007325412</c:v>
                </c:pt>
                <c:pt idx="7">
                  <c:v>5.0401698722333563</c:v>
                </c:pt>
                <c:pt idx="8">
                  <c:v>8.6330734100342159</c:v>
                </c:pt>
                <c:pt idx="9">
                  <c:v>16.2138347869295</c:v>
                </c:pt>
                <c:pt idx="10">
                  <c:v>10.721497584122352</c:v>
                </c:pt>
                <c:pt idx="11">
                  <c:v>10.395916790525702</c:v>
                </c:pt>
                <c:pt idx="12">
                  <c:v>10.782955516442353</c:v>
                </c:pt>
                <c:pt idx="13">
                  <c:v>7.146542921558118</c:v>
                </c:pt>
                <c:pt idx="14">
                  <c:v>11.712889049631936</c:v>
                </c:pt>
                <c:pt idx="15">
                  <c:v>11.795407826161643</c:v>
                </c:pt>
                <c:pt idx="16">
                  <c:v>9.3188774819170686</c:v>
                </c:pt>
                <c:pt idx="17">
                  <c:v>10.931615778268961</c:v>
                </c:pt>
                <c:pt idx="18">
                  <c:v>23.654103134505235</c:v>
                </c:pt>
                <c:pt idx="19">
                  <c:v>29.223618948864836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9.8708038236952174</c:v>
                </c:pt>
                <c:pt idx="3">
                  <c:v>15.415718797578382</c:v>
                </c:pt>
                <c:pt idx="4">
                  <c:v>7.5105764445523944</c:v>
                </c:pt>
                <c:pt idx="5">
                  <c:v>10.712812091300634</c:v>
                </c:pt>
                <c:pt idx="6">
                  <c:v>11.741023512143105</c:v>
                </c:pt>
                <c:pt idx="7">
                  <c:v>4.5507088680973009</c:v>
                </c:pt>
                <c:pt idx="8">
                  <c:v>8.0267307093698896</c:v>
                </c:pt>
                <c:pt idx="9">
                  <c:v>15.692279255918018</c:v>
                </c:pt>
                <c:pt idx="10">
                  <c:v>10.297960996083347</c:v>
                </c:pt>
                <c:pt idx="11">
                  <c:v>9.9832410671263769</c:v>
                </c:pt>
                <c:pt idx="12">
                  <c:v>10.359571126105559</c:v>
                </c:pt>
                <c:pt idx="13">
                  <c:v>6.9083024690058803</c:v>
                </c:pt>
                <c:pt idx="14">
                  <c:v>11.160775325335544</c:v>
                </c:pt>
                <c:pt idx="15">
                  <c:v>11.381351400012351</c:v>
                </c:pt>
                <c:pt idx="16">
                  <c:v>9.0059446336489355</c:v>
                </c:pt>
                <c:pt idx="17">
                  <c:v>9.8892762259112814</c:v>
                </c:pt>
                <c:pt idx="18">
                  <c:v>21.952026465709157</c:v>
                </c:pt>
                <c:pt idx="19">
                  <c:v>27.70712378308766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9.0932233446522392</c:v>
                </c:pt>
                <c:pt idx="3">
                  <c:v>14.435241187971304</c:v>
                </c:pt>
                <c:pt idx="4">
                  <c:v>7.140798540821832</c:v>
                </c:pt>
                <c:pt idx="5">
                  <c:v>10.253067289049739</c:v>
                </c:pt>
                <c:pt idx="6">
                  <c:v>10.671371168592326</c:v>
                </c:pt>
                <c:pt idx="7">
                  <c:v>4.0605813719691692</c:v>
                </c:pt>
                <c:pt idx="8">
                  <c:v>7.418572928487527</c:v>
                </c:pt>
                <c:pt idx="9">
                  <c:v>15.168042458767063</c:v>
                </c:pt>
                <c:pt idx="10">
                  <c:v>9.8732836589655246</c:v>
                </c:pt>
                <c:pt idx="11">
                  <c:v>9.5695162950763688</c:v>
                </c:pt>
                <c:pt idx="12">
                  <c:v>9.9350398182149977</c:v>
                </c:pt>
                <c:pt idx="13">
                  <c:v>6.6698217273303388</c:v>
                </c:pt>
                <c:pt idx="14">
                  <c:v>10.606554335652088</c:v>
                </c:pt>
                <c:pt idx="15">
                  <c:v>10.966086824008849</c:v>
                </c:pt>
                <c:pt idx="16">
                  <c:v>8.6924690827618729</c:v>
                </c:pt>
                <c:pt idx="17">
                  <c:v>8.8402835497906658</c:v>
                </c:pt>
                <c:pt idx="18">
                  <c:v>20.208203329433786</c:v>
                </c:pt>
                <c:pt idx="19">
                  <c:v>26.147274852494878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8.3122503247913198</c:v>
                </c:pt>
                <c:pt idx="3">
                  <c:v>13.446049698253038</c:v>
                </c:pt>
                <c:pt idx="4">
                  <c:v>6.7704217195828988</c:v>
                </c:pt>
                <c:pt idx="5">
                  <c:v>9.791984055418844</c:v>
                </c:pt>
                <c:pt idx="6">
                  <c:v>9.5941405860110933</c:v>
                </c:pt>
                <c:pt idx="7">
                  <c:v>3.5698578896413595</c:v>
                </c:pt>
                <c:pt idx="8">
                  <c:v>6.8087295270504757</c:v>
                </c:pt>
                <c:pt idx="9">
                  <c:v>14.641192106323428</c:v>
                </c:pt>
                <c:pt idx="10">
                  <c:v>9.4475078036353768</c:v>
                </c:pt>
                <c:pt idx="11">
                  <c:v>9.1547817735237746</c:v>
                </c:pt>
                <c:pt idx="12">
                  <c:v>9.509403724667564</c:v>
                </c:pt>
                <c:pt idx="13">
                  <c:v>6.4311086081755855</c:v>
                </c:pt>
                <c:pt idx="14">
                  <c:v>10.050318283174601</c:v>
                </c:pt>
                <c:pt idx="15">
                  <c:v>10.549652617033024</c:v>
                </c:pt>
                <c:pt idx="16">
                  <c:v>8.3784682310901104</c:v>
                </c:pt>
                <c:pt idx="17">
                  <c:v>7.7852833892403233</c:v>
                </c:pt>
                <c:pt idx="18">
                  <c:v>18.424425434405645</c:v>
                </c:pt>
                <c:pt idx="19">
                  <c:v>24.544597189019584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7.5281545102070151</c:v>
                </c:pt>
                <c:pt idx="3">
                  <c:v>12.448624921472284</c:v>
                </c:pt>
                <c:pt idx="4">
                  <c:v>6.3994755512864687</c:v>
                </c:pt>
                <c:pt idx="5">
                  <c:v>9.3296165114188003</c:v>
                </c:pt>
                <c:pt idx="6">
                  <c:v>8.5100201276338456</c:v>
                </c:pt>
                <c:pt idx="7">
                  <c:v>3.0786094481243071</c:v>
                </c:pt>
                <c:pt idx="8">
                  <c:v>6.1973322104074784</c:v>
                </c:pt>
                <c:pt idx="9">
                  <c:v>14.111798353635075</c:v>
                </c:pt>
                <c:pt idx="10">
                  <c:v>9.0206763649251336</c:v>
                </c:pt>
                <c:pt idx="11">
                  <c:v>8.739077416849435</c:v>
                </c:pt>
                <c:pt idx="12">
                  <c:v>9.0827056845837504</c:v>
                </c:pt>
                <c:pt idx="13">
                  <c:v>6.1921710708788238</c:v>
                </c:pt>
                <c:pt idx="14">
                  <c:v>9.4921615609888601</c:v>
                </c:pt>
                <c:pt idx="15">
                  <c:v>10.132088009456579</c:v>
                </c:pt>
                <c:pt idx="16">
                  <c:v>8.0639596650400467</c:v>
                </c:pt>
                <c:pt idx="17">
                  <c:v>6.7249450736620826</c:v>
                </c:pt>
                <c:pt idx="18">
                  <c:v>16.602876539755652</c:v>
                </c:pt>
                <c:pt idx="19">
                  <c:v>22.899912769272056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6.7412124839181695</c:v>
                </c:pt>
                <c:pt idx="3">
                  <c:v>11.443475424226667</c:v>
                </c:pt>
                <c:pt idx="4">
                  <c:v>6.0279898882509597</c:v>
                </c:pt>
                <c:pt idx="5">
                  <c:v>8.8660197489157646</c:v>
                </c:pt>
                <c:pt idx="6">
                  <c:v>7.419726697947195</c:v>
                </c:pt>
                <c:pt idx="7">
                  <c:v>2.5869075351100363</c:v>
                </c:pt>
                <c:pt idx="8">
                  <c:v>5.5845147708565372</c:v>
                </c:pt>
                <c:pt idx="9">
                  <c:v>13.579933771313311</c:v>
                </c:pt>
                <c:pt idx="10">
                  <c:v>9.0153888430585258</c:v>
                </c:pt>
                <c:pt idx="11">
                  <c:v>8.3224437346718396</c:v>
                </c:pt>
                <c:pt idx="12">
                  <c:v>8.6549892221994487</c:v>
                </c:pt>
                <c:pt idx="13">
                  <c:v>5.9530171209703653</c:v>
                </c:pt>
                <c:pt idx="14">
                  <c:v>8.9321806728449644</c:v>
                </c:pt>
                <c:pt idx="15">
                  <c:v>9.7134329251398004</c:v>
                </c:pt>
                <c:pt idx="16">
                  <c:v>7.748961150306986</c:v>
                </c:pt>
                <c:pt idx="17">
                  <c:v>5.6599593299650222</c:v>
                </c:pt>
                <c:pt idx="18">
                  <c:v>14.746138381315948</c:v>
                </c:pt>
                <c:pt idx="19">
                  <c:v>21.214363663326118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5.9517071327857822</c:v>
                </c:pt>
                <c:pt idx="3">
                  <c:v>10.431136679475404</c:v>
                </c:pt>
                <c:pt idx="4">
                  <c:v>5.655994851094194</c:v>
                </c:pt>
                <c:pt idx="5">
                  <c:v>8.4012497967401547</c:v>
                </c:pt>
                <c:pt idx="6">
                  <c:v>6.3240032468117446</c:v>
                </c:pt>
                <c:pt idx="7">
                  <c:v>2.0948240374306644</c:v>
                </c:pt>
                <c:pt idx="8">
                  <c:v>4.970412922042371</c:v>
                </c:pt>
                <c:pt idx="9">
                  <c:v>13.045673311762014</c:v>
                </c:pt>
                <c:pt idx="10">
                  <c:v>9.0153888430585258</c:v>
                </c:pt>
                <c:pt idx="11">
                  <c:v>7.9049218109722688</c:v>
                </c:pt>
                <c:pt idx="12">
                  <c:v>8.226298523696741</c:v>
                </c:pt>
                <c:pt idx="13">
                  <c:v>5.7136548086502774</c:v>
                </c:pt>
                <c:pt idx="14">
                  <c:v>8.3704741477911888</c:v>
                </c:pt>
                <c:pt idx="15">
                  <c:v>9.2937279624196822</c:v>
                </c:pt>
                <c:pt idx="16">
                  <c:v>7.4334906264384299</c:v>
                </c:pt>
                <c:pt idx="17">
                  <c:v>4.5910357814436322</c:v>
                </c:pt>
                <c:pt idx="18">
                  <c:v>12.857188080689543</c:v>
                </c:pt>
                <c:pt idx="19">
                  <c:v>19.48943176504379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5.159927080396681</c:v>
                </c:pt>
                <c:pt idx="3">
                  <c:v>9.4121697821024224</c:v>
                </c:pt>
                <c:pt idx="4">
                  <c:v>5.2835208148375132</c:v>
                </c:pt>
                <c:pt idx="5">
                  <c:v>7.9353635850784139</c:v>
                </c:pt>
                <c:pt idx="6">
                  <c:v>5.2236160078467071</c:v>
                </c:pt>
                <c:pt idx="7">
                  <c:v>1.6024311786423358</c:v>
                </c:pt>
                <c:pt idx="8">
                  <c:v>4.5225618168711677</c:v>
                </c:pt>
                <c:pt idx="9">
                  <c:v>12.509094270219299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7.7966784129979265</c:v>
                </c:pt>
                <c:pt idx="13">
                  <c:v>5.6594022860321269</c:v>
                </c:pt>
                <c:pt idx="14">
                  <c:v>7.807142449410251</c:v>
                </c:pt>
                <c:pt idx="15">
                  <c:v>8.8730143741027341</c:v>
                </c:pt>
                <c:pt idx="16">
                  <c:v>7.1175662012474268</c:v>
                </c:pt>
                <c:pt idx="17">
                  <c:v>3.5189002585329843</c:v>
                </c:pt>
                <c:pt idx="18">
                  <c:v>10.939386049859674</c:v>
                </c:pt>
                <c:pt idx="19">
                  <c:v>17.726953926831712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4.36616608849247</c:v>
                </c:pt>
                <c:pt idx="3">
                  <c:v>8.3871599499978</c:v>
                </c:pt>
                <c:pt idx="4">
                  <c:v>4.910598394697109</c:v>
                </c:pt>
                <c:pt idx="5">
                  <c:v>7.4684189081930183</c:v>
                </c:pt>
                <c:pt idx="6">
                  <c:v>4.1193514934517932</c:v>
                </c:pt>
                <c:pt idx="7">
                  <c:v>1.1098014558686151</c:v>
                </c:pt>
                <c:pt idx="8">
                  <c:v>4.5225618168711677</c:v>
                </c:pt>
                <c:pt idx="9">
                  <c:v>11.970276240575672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7.3661743265498982</c:v>
                </c:pt>
                <c:pt idx="13">
                  <c:v>5.6594022860321269</c:v>
                </c:pt>
                <c:pt idx="14">
                  <c:v>7.2422878798236123</c:v>
                </c:pt>
                <c:pt idx="15">
                  <c:v>8.4513340464803228</c:v>
                </c:pt>
                <c:pt idx="16">
                  <c:v>6.8012061450798527</c:v>
                </c:pt>
                <c:pt idx="17">
                  <c:v>2.7991799196349891</c:v>
                </c:pt>
                <c:pt idx="18">
                  <c:v>8.9964537373305724</c:v>
                </c:pt>
                <c:pt idx="19">
                  <c:v>15.929131310890588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3.5707224298381393</c:v>
                </c:pt>
                <c:pt idx="3">
                  <c:v>7.3567148165347467</c:v>
                </c:pt>
                <c:pt idx="4">
                  <c:v>4.5372584315783229</c:v>
                </c:pt>
                <c:pt idx="5">
                  <c:v>7.0004743855215734</c:v>
                </c:pt>
                <c:pt idx="6">
                  <c:v>3.012013273459905</c:v>
                </c:pt>
                <c:pt idx="7">
                  <c:v>0.62885319369253168</c:v>
                </c:pt>
                <c:pt idx="8">
                  <c:v>4.5225618168711677</c:v>
                </c:pt>
                <c:pt idx="9">
                  <c:v>11.429301065951801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6.9348322871289101</c:v>
                </c:pt>
                <c:pt idx="13">
                  <c:v>5.6594022860321269</c:v>
                </c:pt>
                <c:pt idx="14">
                  <c:v>6.6760144786549249</c:v>
                </c:pt>
                <c:pt idx="15">
                  <c:v>8.0287294773870617</c:v>
                </c:pt>
                <c:pt idx="16">
                  <c:v>6.4844288849396099</c:v>
                </c:pt>
                <c:pt idx="17">
                  <c:v>2.7991799196349891</c:v>
                </c:pt>
                <c:pt idx="18">
                  <c:v>7.0324409900303078</c:v>
                </c:pt>
                <c:pt idx="19">
                  <c:v>14.098531828668172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-149</c:v>
                </c:pt>
                <c:pt idx="1">
                  <c:v>-95.671123368049408</c:v>
                </c:pt>
                <c:pt idx="2">
                  <c:v>-76.652518579610643</c:v>
                </c:pt>
                <c:pt idx="3">
                  <c:v>-59.032766866664041</c:v>
                </c:pt>
                <c:pt idx="4">
                  <c:v>-42.316279646581073</c:v>
                </c:pt>
                <c:pt idx="5">
                  <c:v>-39.735955056098319</c:v>
                </c:pt>
                <c:pt idx="6">
                  <c:v>-29.951926894536374</c:v>
                </c:pt>
                <c:pt idx="7">
                  <c:v>-13.616249159275643</c:v>
                </c:pt>
                <c:pt idx="8">
                  <c:v>14.167084213456304</c:v>
                </c:pt>
                <c:pt idx="9">
                  <c:v>40.269144441431024</c:v>
                </c:pt>
                <c:pt idx="10">
                  <c:v>74.752642849253277</c:v>
                </c:pt>
                <c:pt idx="11">
                  <c:v>86.974776556260707</c:v>
                </c:pt>
                <c:pt idx="12">
                  <c:v>94.385695889118736</c:v>
                </c:pt>
                <c:pt idx="13">
                  <c:v>101.43049021637033</c:v>
                </c:pt>
                <c:pt idx="14">
                  <c:v>114.00228291304641</c:v>
                </c:pt>
                <c:pt idx="15">
                  <c:v>121</c:v>
                </c:pt>
                <c:pt idx="16">
                  <c:v>211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1.7351312034408441</c:v>
                </c:pt>
                <c:pt idx="2">
                  <c:v>2.8063631194991112</c:v>
                </c:pt>
                <c:pt idx="3">
                  <c:v>3.2912079332549764</c:v>
                </c:pt>
                <c:pt idx="4">
                  <c:v>-2.406612247694035</c:v>
                </c:pt>
                <c:pt idx="5">
                  <c:v>0.67423406723011081</c:v>
                </c:pt>
                <c:pt idx="6">
                  <c:v>4.3297278679466773</c:v>
                </c:pt>
                <c:pt idx="7">
                  <c:v>6.1279455044377071</c:v>
                </c:pt>
                <c:pt idx="8">
                  <c:v>9.8235561326386271</c:v>
                </c:pt>
                <c:pt idx="9">
                  <c:v>8.3179148128519209</c:v>
                </c:pt>
                <c:pt idx="10">
                  <c:v>1.2623678424876605</c:v>
                </c:pt>
                <c:pt idx="11">
                  <c:v>1.3286791690194342</c:v>
                </c:pt>
                <c:pt idx="12">
                  <c:v>5.4204208703917116</c:v>
                </c:pt>
                <c:pt idx="13">
                  <c:v>1.4954364327117695</c:v>
                </c:pt>
                <c:pt idx="14">
                  <c:v>1.1692506610293174</c:v>
                </c:pt>
                <c:pt idx="15">
                  <c:v>0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164720"/>
        <c:axId val="591165112"/>
      </c:scatterChart>
      <c:valAx>
        <c:axId val="59116472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591165112"/>
        <c:crosses val="autoZero"/>
        <c:crossBetween val="midCat"/>
        <c:majorUnit val="30"/>
      </c:valAx>
      <c:valAx>
        <c:axId val="59116511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472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646378662125E-2"/>
          <c:y val="9.2762355556217105E-2"/>
          <c:w val="0.13037599489253032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6.5222227024595431E-2</c:v>
                </c:pt>
                <c:pt idx="1">
                  <c:v>6.5242674773787729E-2</c:v>
                </c:pt>
                <c:pt idx="2">
                  <c:v>6.5263122075121943E-2</c:v>
                </c:pt>
                <c:pt idx="3">
                  <c:v>6.5283568928607733E-2</c:v>
                </c:pt>
                <c:pt idx="4">
                  <c:v>6.5304015334254978E-2</c:v>
                </c:pt>
                <c:pt idx="5">
                  <c:v>6.5324461292073449E-2</c:v>
                </c:pt>
                <c:pt idx="6">
                  <c:v>6.5344906802072916E-2</c:v>
                </c:pt>
                <c:pt idx="7">
                  <c:v>6.5365351864263371E-2</c:v>
                </c:pt>
                <c:pt idx="8">
                  <c:v>6.5385796478654362E-2</c:v>
                </c:pt>
                <c:pt idx="9">
                  <c:v>6.5406240645255881E-2</c:v>
                </c:pt>
                <c:pt idx="10">
                  <c:v>6.5426684364077697E-2</c:v>
                </c:pt>
                <c:pt idx="11">
                  <c:v>6.5447127635129582E-2</c:v>
                </c:pt>
                <c:pt idx="12">
                  <c:v>6.5467570458421415E-2</c:v>
                </c:pt>
                <c:pt idx="13">
                  <c:v>6.5488012833962855E-2</c:v>
                </c:pt>
                <c:pt idx="14">
                  <c:v>6.5508454761763896E-2</c:v>
                </c:pt>
                <c:pt idx="15">
                  <c:v>6.5528896241834195E-2</c:v>
                </c:pt>
                <c:pt idx="16">
                  <c:v>6.5549337274183744E-2</c:v>
                </c:pt>
                <c:pt idx="17">
                  <c:v>6.5569777858822093E-2</c:v>
                </c:pt>
                <c:pt idx="18">
                  <c:v>6.5590217995759231E-2</c:v>
                </c:pt>
                <c:pt idx="19">
                  <c:v>6.561065768500482E-2</c:v>
                </c:pt>
                <c:pt idx="20">
                  <c:v>6.5631096926568849E-2</c:v>
                </c:pt>
                <c:pt idx="21">
                  <c:v>6.5651535720461091E-2</c:v>
                </c:pt>
                <c:pt idx="22">
                  <c:v>6.5671974066691202E-2</c:v>
                </c:pt>
                <c:pt idx="23">
                  <c:v>6.5692411965269065E-2</c:v>
                </c:pt>
                <c:pt idx="24">
                  <c:v>6.571284941620445E-2</c:v>
                </c:pt>
                <c:pt idx="25">
                  <c:v>6.5733286419507347E-2</c:v>
                </c:pt>
                <c:pt idx="26">
                  <c:v>6.5753722975187306E-2</c:v>
                </c:pt>
                <c:pt idx="27">
                  <c:v>6.5774159083254319E-2</c:v>
                </c:pt>
                <c:pt idx="28">
                  <c:v>6.5794594743718154E-2</c:v>
                </c:pt>
                <c:pt idx="29">
                  <c:v>6.5815029956588472E-2</c:v>
                </c:pt>
                <c:pt idx="30">
                  <c:v>6.5835464721875264E-2</c:v>
                </c:pt>
                <c:pt idx="31">
                  <c:v>6.5855899039588189E-2</c:v>
                </c:pt>
                <c:pt idx="32">
                  <c:v>6.5876332909737129E-2</c:v>
                </c:pt>
                <c:pt idx="33">
                  <c:v>6.5896766332331852E-2</c:v>
                </c:pt>
                <c:pt idx="34">
                  <c:v>6.591719930738224E-2</c:v>
                </c:pt>
                <c:pt idx="35">
                  <c:v>6.5937631834897953E-2</c:v>
                </c:pt>
                <c:pt idx="36">
                  <c:v>6.5958063914888981E-2</c:v>
                </c:pt>
                <c:pt idx="37">
                  <c:v>6.5978495547364985E-2</c:v>
                </c:pt>
                <c:pt idx="38">
                  <c:v>6.5998926732335733E-2</c:v>
                </c:pt>
                <c:pt idx="39">
                  <c:v>6.6019357469811218E-2</c:v>
                </c:pt>
                <c:pt idx="40">
                  <c:v>6.6039787759800989E-2</c:v>
                </c:pt>
                <c:pt idx="41">
                  <c:v>6.6060217602315036E-2</c:v>
                </c:pt>
                <c:pt idx="42">
                  <c:v>6.6080646997363129E-2</c:v>
                </c:pt>
                <c:pt idx="43">
                  <c:v>6.6101075944954929E-2</c:v>
                </c:pt>
                <c:pt idx="44">
                  <c:v>6.6121504445100426E-2</c:v>
                </c:pt>
                <c:pt idx="45">
                  <c:v>6.6141932497809391E-2</c:v>
                </c:pt>
                <c:pt idx="46">
                  <c:v>6.6162360103091483E-2</c:v>
                </c:pt>
                <c:pt idx="47">
                  <c:v>6.6182787260956694E-2</c:v>
                </c:pt>
                <c:pt idx="48">
                  <c:v>6.6203213971414571E-2</c:v>
                </c:pt>
                <c:pt idx="49">
                  <c:v>6.6223640234475217E-2</c:v>
                </c:pt>
                <c:pt idx="50">
                  <c:v>6.6244066050148182E-2</c:v>
                </c:pt>
                <c:pt idx="51">
                  <c:v>6.6264491418443455E-2</c:v>
                </c:pt>
                <c:pt idx="52">
                  <c:v>6.6284916339370697E-2</c:v>
                </c:pt>
                <c:pt idx="53">
                  <c:v>6.6305340812939678E-2</c:v>
                </c:pt>
                <c:pt idx="54">
                  <c:v>6.6325764839160389E-2</c:v>
                </c:pt>
                <c:pt idx="55">
                  <c:v>6.6346188418042379E-2</c:v>
                </c:pt>
                <c:pt idx="56">
                  <c:v>6.6366611549595639E-2</c:v>
                </c:pt>
                <c:pt idx="57">
                  <c:v>6.6387034233829939E-2</c:v>
                </c:pt>
                <c:pt idx="58">
                  <c:v>6.640745647075505E-2</c:v>
                </c:pt>
                <c:pt idx="59">
                  <c:v>6.6427878260380629E-2</c:v>
                </c:pt>
                <c:pt idx="60">
                  <c:v>6.6448299602716782E-2</c:v>
                </c:pt>
                <c:pt idx="61">
                  <c:v>6.6468720497773054E-2</c:v>
                </c:pt>
                <c:pt idx="62">
                  <c:v>6.6489140945559216E-2</c:v>
                </c:pt>
                <c:pt idx="63">
                  <c:v>6.6509560946085261E-2</c:v>
                </c:pt>
                <c:pt idx="64">
                  <c:v>6.6529980499360958E-2</c:v>
                </c:pt>
                <c:pt idx="65">
                  <c:v>6.6550399605395966E-2</c:v>
                </c:pt>
                <c:pt idx="66">
                  <c:v>6.6570818264200055E-2</c:v>
                </c:pt>
                <c:pt idx="67">
                  <c:v>6.6591236475783216E-2</c:v>
                </c:pt>
                <c:pt idx="68">
                  <c:v>6.661165424015511E-2</c:v>
                </c:pt>
                <c:pt idx="69">
                  <c:v>6.6632071557325617E-2</c:v>
                </c:pt>
                <c:pt idx="70">
                  <c:v>6.6652488427304396E-2</c:v>
                </c:pt>
                <c:pt idx="71">
                  <c:v>6.6672904850101439E-2</c:v>
                </c:pt>
                <c:pt idx="72">
                  <c:v>6.6693320825726293E-2</c:v>
                </c:pt>
                <c:pt idx="73">
                  <c:v>6.6713736354188952E-2</c:v>
                </c:pt>
                <c:pt idx="74">
                  <c:v>6.6734151435499184E-2</c:v>
                </c:pt>
                <c:pt idx="75">
                  <c:v>6.6754566069666649E-2</c:v>
                </c:pt>
                <c:pt idx="76">
                  <c:v>6.6774980256701227E-2</c:v>
                </c:pt>
                <c:pt idx="77">
                  <c:v>6.6795393996612801E-2</c:v>
                </c:pt>
                <c:pt idx="78">
                  <c:v>6.6815807289411028E-2</c:v>
                </c:pt>
                <c:pt idx="79">
                  <c:v>6.6836220135105789E-2</c:v>
                </c:pt>
                <c:pt idx="80">
                  <c:v>6.6856632533706856E-2</c:v>
                </c:pt>
                <c:pt idx="81">
                  <c:v>6.6877044485223885E-2</c:v>
                </c:pt>
                <c:pt idx="82">
                  <c:v>6.6897455989666871E-2</c:v>
                </c:pt>
                <c:pt idx="83">
                  <c:v>6.6917867047045582E-2</c:v>
                </c:pt>
                <c:pt idx="84">
                  <c:v>6.6938277657369677E-2</c:v>
                </c:pt>
                <c:pt idx="85">
                  <c:v>6.6958687820649038E-2</c:v>
                </c:pt>
                <c:pt idx="86">
                  <c:v>6.6979097536893434E-2</c:v>
                </c:pt>
                <c:pt idx="87">
                  <c:v>6.6999506806112746E-2</c:v>
                </c:pt>
                <c:pt idx="88">
                  <c:v>6.7019915628316634E-2</c:v>
                </c:pt>
                <c:pt idx="89">
                  <c:v>6.7040324003514867E-2</c:v>
                </c:pt>
                <c:pt idx="90">
                  <c:v>6.7060731931717327E-2</c:v>
                </c:pt>
                <c:pt idx="91">
                  <c:v>6.7081139412933893E-2</c:v>
                </c:pt>
                <c:pt idx="92">
                  <c:v>6.7101546447174115E-2</c:v>
                </c:pt>
                <c:pt idx="93">
                  <c:v>6.7121953034447984E-2</c:v>
                </c:pt>
                <c:pt idx="94">
                  <c:v>6.714235917476527E-2</c:v>
                </c:pt>
                <c:pt idx="95">
                  <c:v>6.7162764868135633E-2</c:v>
                </c:pt>
                <c:pt idx="96">
                  <c:v>6.7183170114568952E-2</c:v>
                </c:pt>
                <c:pt idx="97">
                  <c:v>6.7203574914074998E-2</c:v>
                </c:pt>
                <c:pt idx="98">
                  <c:v>6.7223979266663542E-2</c:v>
                </c:pt>
                <c:pt idx="99">
                  <c:v>6.7244383172344463E-2</c:v>
                </c:pt>
                <c:pt idx="100">
                  <c:v>6.7264786631127421E-2</c:v>
                </c:pt>
                <c:pt idx="101">
                  <c:v>6.7285189643022297E-2</c:v>
                </c:pt>
                <c:pt idx="102">
                  <c:v>6.7305592208038861E-2</c:v>
                </c:pt>
                <c:pt idx="103">
                  <c:v>6.7325994326186883E-2</c:v>
                </c:pt>
                <c:pt idx="104">
                  <c:v>6.7346395997476133E-2</c:v>
                </c:pt>
                <c:pt idx="105">
                  <c:v>6.7366797221916491E-2</c:v>
                </c:pt>
                <c:pt idx="106">
                  <c:v>6.7387197999517617E-2</c:v>
                </c:pt>
                <c:pt idx="107">
                  <c:v>6.7407598330289392E-2</c:v>
                </c:pt>
                <c:pt idx="108">
                  <c:v>6.7427998214241586E-2</c:v>
                </c:pt>
                <c:pt idx="109">
                  <c:v>6.7448397651383857E-2</c:v>
                </c:pt>
                <c:pt idx="110">
                  <c:v>6.7468796641726198E-2</c:v>
                </c:pt>
                <c:pt idx="111">
                  <c:v>6.7489195185278267E-2</c:v>
                </c:pt>
                <c:pt idx="112">
                  <c:v>6.7509593282049835E-2</c:v>
                </c:pt>
                <c:pt idx="113">
                  <c:v>6.7529990932050782E-2</c:v>
                </c:pt>
                <c:pt idx="114">
                  <c:v>6.7550388135290879E-2</c:v>
                </c:pt>
                <c:pt idx="115">
                  <c:v>6.7570784891779895E-2</c:v>
                </c:pt>
                <c:pt idx="116">
                  <c:v>6.7591181201527489E-2</c:v>
                </c:pt>
                <c:pt idx="117">
                  <c:v>6.7611577064543654E-2</c:v>
                </c:pt>
                <c:pt idx="118">
                  <c:v>6.7631972480838048E-2</c:v>
                </c:pt>
                <c:pt idx="119">
                  <c:v>6.7652367450420442E-2</c:v>
                </c:pt>
                <c:pt idx="120">
                  <c:v>6.7672761973300605E-2</c:v>
                </c:pt>
                <c:pt idx="121">
                  <c:v>6.7693156049488529E-2</c:v>
                </c:pt>
                <c:pt idx="122">
                  <c:v>6.7713549678993762E-2</c:v>
                </c:pt>
                <c:pt idx="123">
                  <c:v>6.7733942861826185E-2</c:v>
                </c:pt>
                <c:pt idx="124">
                  <c:v>6.7754335597995569E-2</c:v>
                </c:pt>
                <c:pt idx="125">
                  <c:v>6.7774727887511682E-2</c:v>
                </c:pt>
                <c:pt idx="126">
                  <c:v>6.7795119730384296E-2</c:v>
                </c:pt>
                <c:pt idx="127">
                  <c:v>6.7815511126623179E-2</c:v>
                </c:pt>
                <c:pt idx="128">
                  <c:v>6.7835902076238214E-2</c:v>
                </c:pt>
                <c:pt idx="129">
                  <c:v>6.7856292579239169E-2</c:v>
                </c:pt>
                <c:pt idx="130">
                  <c:v>6.7876682635635704E-2</c:v>
                </c:pt>
                <c:pt idx="131">
                  <c:v>6.7897072245437701E-2</c:v>
                </c:pt>
                <c:pt idx="132">
                  <c:v>6.7917461408654928E-2</c:v>
                </c:pt>
                <c:pt idx="133">
                  <c:v>6.7937850125297156E-2</c:v>
                </c:pt>
                <c:pt idx="134">
                  <c:v>6.7958238395374154E-2</c:v>
                </c:pt>
                <c:pt idx="135">
                  <c:v>6.7978626218895694E-2</c:v>
                </c:pt>
                <c:pt idx="136">
                  <c:v>6.7999013595871544E-2</c:v>
                </c:pt>
                <c:pt idx="137">
                  <c:v>6.8019400526311585E-2</c:v>
                </c:pt>
                <c:pt idx="138">
                  <c:v>6.8039787010225478E-2</c:v>
                </c:pt>
                <c:pt idx="139">
                  <c:v>6.8060173047623101E-2</c:v>
                </c:pt>
                <c:pt idx="140">
                  <c:v>6.8080558638514116E-2</c:v>
                </c:pt>
                <c:pt idx="141">
                  <c:v>6.8100943782908402E-2</c:v>
                </c:pt>
                <c:pt idx="142">
                  <c:v>6.8121328480815729E-2</c:v>
                </c:pt>
                <c:pt idx="143">
                  <c:v>6.8141712732245868E-2</c:v>
                </c:pt>
                <c:pt idx="144">
                  <c:v>6.8162096537208589E-2</c:v>
                </c:pt>
                <c:pt idx="145">
                  <c:v>6.8182479895713549E-2</c:v>
                </c:pt>
                <c:pt idx="146">
                  <c:v>6.8202862807770742E-2</c:v>
                </c:pt>
                <c:pt idx="147">
                  <c:v>6.8223245273389937E-2</c:v>
                </c:pt>
                <c:pt idx="148">
                  <c:v>6.8243627292580683E-2</c:v>
                </c:pt>
                <c:pt idx="149">
                  <c:v>6.8264008865352971E-2</c:v>
                </c:pt>
                <c:pt idx="150">
                  <c:v>6.828438999171646E-2</c:v>
                </c:pt>
                <c:pt idx="151">
                  <c:v>6.8304770671681031E-2</c:v>
                </c:pt>
                <c:pt idx="152">
                  <c:v>6.8325150905256343E-2</c:v>
                </c:pt>
                <c:pt idx="153">
                  <c:v>6.8345530692452278E-2</c:v>
                </c:pt>
                <c:pt idx="154">
                  <c:v>6.8365910033278604E-2</c:v>
                </c:pt>
                <c:pt idx="155">
                  <c:v>6.8386288927744981E-2</c:v>
                </c:pt>
                <c:pt idx="156">
                  <c:v>6.8406667375861291E-2</c:v>
                </c:pt>
                <c:pt idx="157">
                  <c:v>6.8427045377637302E-2</c:v>
                </c:pt>
                <c:pt idx="158">
                  <c:v>6.8447422933082785E-2</c:v>
                </c:pt>
                <c:pt idx="159">
                  <c:v>6.8467800042207511E-2</c:v>
                </c:pt>
                <c:pt idx="160">
                  <c:v>6.8488176705021248E-2</c:v>
                </c:pt>
                <c:pt idx="161">
                  <c:v>6.8508552921533766E-2</c:v>
                </c:pt>
                <c:pt idx="162">
                  <c:v>6.8528928691754837E-2</c:v>
                </c:pt>
                <c:pt idx="163">
                  <c:v>6.8549304015694229E-2</c:v>
                </c:pt>
                <c:pt idx="164">
                  <c:v>6.8569678893361824E-2</c:v>
                </c:pt>
                <c:pt idx="165">
                  <c:v>6.859005332476717E-2</c:v>
                </c:pt>
                <c:pt idx="166">
                  <c:v>6.8610427309920258E-2</c:v>
                </c:pt>
                <c:pt idx="167">
                  <c:v>6.8630800848830747E-2</c:v>
                </c:pt>
                <c:pt idx="168">
                  <c:v>6.865117394150852E-2</c:v>
                </c:pt>
                <c:pt idx="169">
                  <c:v>6.8671546587963234E-2</c:v>
                </c:pt>
                <c:pt idx="170">
                  <c:v>6.8691918788204659E-2</c:v>
                </c:pt>
                <c:pt idx="171">
                  <c:v>6.8712290542242677E-2</c:v>
                </c:pt>
                <c:pt idx="172">
                  <c:v>6.8732661850087057E-2</c:v>
                </c:pt>
                <c:pt idx="173">
                  <c:v>6.8753032711747458E-2</c:v>
                </c:pt>
                <c:pt idx="174">
                  <c:v>6.8773403127233651E-2</c:v>
                </c:pt>
                <c:pt idx="175">
                  <c:v>6.8793773096555516E-2</c:v>
                </c:pt>
                <c:pt idx="176">
                  <c:v>6.8814142619722712E-2</c:v>
                </c:pt>
                <c:pt idx="177">
                  <c:v>6.8834511696745121E-2</c:v>
                </c:pt>
                <c:pt idx="178">
                  <c:v>6.8854880327632512E-2</c:v>
                </c:pt>
                <c:pt idx="179">
                  <c:v>6.8875248512394543E-2</c:v>
                </c:pt>
                <c:pt idx="180">
                  <c:v>6.8895616251041097E-2</c:v>
                </c:pt>
                <c:pt idx="181">
                  <c:v>6.8915983543581943E-2</c:v>
                </c:pt>
                <c:pt idx="182">
                  <c:v>6.893635039002674E-2</c:v>
                </c:pt>
                <c:pt idx="183">
                  <c:v>6.8956716790385369E-2</c:v>
                </c:pt>
                <c:pt idx="184">
                  <c:v>6.8977082744667489E-2</c:v>
                </c:pt>
                <c:pt idx="185">
                  <c:v>6.8997448252882981E-2</c:v>
                </c:pt>
                <c:pt idx="186">
                  <c:v>6.9017813315041615E-2</c:v>
                </c:pt>
                <c:pt idx="187">
                  <c:v>6.903817793115305E-2</c:v>
                </c:pt>
                <c:pt idx="188">
                  <c:v>6.9058542101227166E-2</c:v>
                </c:pt>
                <c:pt idx="189">
                  <c:v>6.9078905825273734E-2</c:v>
                </c:pt>
                <c:pt idx="190">
                  <c:v>6.9099269103302413E-2</c:v>
                </c:pt>
                <c:pt idx="191">
                  <c:v>6.9119631935323084E-2</c:v>
                </c:pt>
                <c:pt idx="192">
                  <c:v>6.9139994321345516E-2</c:v>
                </c:pt>
                <c:pt idx="193">
                  <c:v>6.9160356261379369E-2</c:v>
                </c:pt>
                <c:pt idx="194">
                  <c:v>6.9180717755434523E-2</c:v>
                </c:pt>
                <c:pt idx="195">
                  <c:v>6.9201078803520638E-2</c:v>
                </c:pt>
                <c:pt idx="196">
                  <c:v>6.9221439405647595E-2</c:v>
                </c:pt>
                <c:pt idx="197">
                  <c:v>6.9241799561825051E-2</c:v>
                </c:pt>
                <c:pt idx="198">
                  <c:v>6.926215927206289E-2</c:v>
                </c:pt>
                <c:pt idx="199">
                  <c:v>6.928251853637088E-2</c:v>
                </c:pt>
                <c:pt idx="200">
                  <c:v>6.930287735475868E-2</c:v>
                </c:pt>
                <c:pt idx="201">
                  <c:v>6.932323572723606E-2</c:v>
                </c:pt>
                <c:pt idx="202">
                  <c:v>6.9343593653812902E-2</c:v>
                </c:pt>
                <c:pt idx="203">
                  <c:v>6.9363951134498864E-2</c:v>
                </c:pt>
                <c:pt idx="204">
                  <c:v>6.9384308169303716E-2</c:v>
                </c:pt>
                <c:pt idx="205">
                  <c:v>6.9404664758237339E-2</c:v>
                </c:pt>
                <c:pt idx="206">
                  <c:v>6.9425020901309392E-2</c:v>
                </c:pt>
                <c:pt idx="207">
                  <c:v>6.9445376598529646E-2</c:v>
                </c:pt>
                <c:pt idx="208">
                  <c:v>6.9465731849907869E-2</c:v>
                </c:pt>
                <c:pt idx="209">
                  <c:v>6.9486086655453944E-2</c:v>
                </c:pt>
                <c:pt idx="210">
                  <c:v>6.9506441015177417E-2</c:v>
                </c:pt>
                <c:pt idx="211">
                  <c:v>6.9526794929088281E-2</c:v>
                </c:pt>
                <c:pt idx="212">
                  <c:v>6.9547148397196085E-2</c:v>
                </c:pt>
                <c:pt idx="213">
                  <c:v>6.9567501419510819E-2</c:v>
                </c:pt>
                <c:pt idx="214">
                  <c:v>6.9587853996042032E-2</c:v>
                </c:pt>
                <c:pt idx="215">
                  <c:v>6.9608206126799604E-2</c:v>
                </c:pt>
                <c:pt idx="216">
                  <c:v>6.9628557811793307E-2</c:v>
                </c:pt>
                <c:pt idx="217">
                  <c:v>6.9648909051032909E-2</c:v>
                </c:pt>
                <c:pt idx="218">
                  <c:v>6.966925984452807E-2</c:v>
                </c:pt>
                <c:pt idx="219">
                  <c:v>6.968961019228867E-2</c:v>
                </c:pt>
                <c:pt idx="220">
                  <c:v>6.970996009432448E-2</c:v>
                </c:pt>
                <c:pt idx="221">
                  <c:v>6.9730309550645048E-2</c:v>
                </c:pt>
                <c:pt idx="222">
                  <c:v>6.9750658561260476E-2</c:v>
                </c:pt>
                <c:pt idx="223">
                  <c:v>6.9771007126180201E-2</c:v>
                </c:pt>
                <c:pt idx="224">
                  <c:v>6.9791355245414216E-2</c:v>
                </c:pt>
                <c:pt idx="225">
                  <c:v>6.9811702918972179E-2</c:v>
                </c:pt>
                <c:pt idx="226">
                  <c:v>6.9832050146863861E-2</c:v>
                </c:pt>
                <c:pt idx="227">
                  <c:v>6.9852396929099031E-2</c:v>
                </c:pt>
                <c:pt idx="228">
                  <c:v>6.9872743265687459E-2</c:v>
                </c:pt>
                <c:pt idx="229">
                  <c:v>6.9893089156638916E-2</c:v>
                </c:pt>
                <c:pt idx="230">
                  <c:v>6.991343460196317E-2</c:v>
                </c:pt>
                <c:pt idx="231">
                  <c:v>6.9933779601669882E-2</c:v>
                </c:pt>
                <c:pt idx="232">
                  <c:v>6.9954124155768932E-2</c:v>
                </c:pt>
                <c:pt idx="233">
                  <c:v>6.9974468264269979E-2</c:v>
                </c:pt>
                <c:pt idx="234">
                  <c:v>6.9994811927182904E-2</c:v>
                </c:pt>
                <c:pt idx="235">
                  <c:v>7.0015155144517366E-2</c:v>
                </c:pt>
                <c:pt idx="236">
                  <c:v>7.0035497916283135E-2</c:v>
                </c:pt>
                <c:pt idx="237">
                  <c:v>7.0055840242490092E-2</c:v>
                </c:pt>
                <c:pt idx="238">
                  <c:v>7.0076182123147784E-2</c:v>
                </c:pt>
                <c:pt idx="239">
                  <c:v>7.0096523558266205E-2</c:v>
                </c:pt>
                <c:pt idx="240">
                  <c:v>7.0116864547854901E-2</c:v>
                </c:pt>
                <c:pt idx="241">
                  <c:v>7.0137205091923754E-2</c:v>
                </c:pt>
                <c:pt idx="242">
                  <c:v>7.0157545190482423E-2</c:v>
                </c:pt>
                <c:pt idx="243">
                  <c:v>7.0177884843540789E-2</c:v>
                </c:pt>
                <c:pt idx="244">
                  <c:v>7.0198224051108621E-2</c:v>
                </c:pt>
                <c:pt idx="245">
                  <c:v>7.0218562813195468E-2</c:v>
                </c:pt>
                <c:pt idx="246">
                  <c:v>7.0238901129811321E-2</c:v>
                </c:pt>
                <c:pt idx="247">
                  <c:v>7.025923900096584E-2</c:v>
                </c:pt>
                <c:pt idx="248">
                  <c:v>7.0279576426668683E-2</c:v>
                </c:pt>
                <c:pt idx="249">
                  <c:v>7.0299913406929843E-2</c:v>
                </c:pt>
                <c:pt idx="250">
                  <c:v>7.0320249941758867E-2</c:v>
                </c:pt>
                <c:pt idx="251">
                  <c:v>7.0340586031165636E-2</c:v>
                </c:pt>
                <c:pt idx="252">
                  <c:v>7.036092167515981E-2</c:v>
                </c:pt>
                <c:pt idx="253">
                  <c:v>7.0381256873751158E-2</c:v>
                </c:pt>
                <c:pt idx="254">
                  <c:v>7.0401591626949561E-2</c:v>
                </c:pt>
                <c:pt idx="255">
                  <c:v>7.0421925934764679E-2</c:v>
                </c:pt>
                <c:pt idx="256">
                  <c:v>7.0442259797206169E-2</c:v>
                </c:pt>
                <c:pt idx="257">
                  <c:v>7.0462593214283914E-2</c:v>
                </c:pt>
                <c:pt idx="258">
                  <c:v>7.0482926186007683E-2</c:v>
                </c:pt>
                <c:pt idx="259">
                  <c:v>7.0503258712387246E-2</c:v>
                </c:pt>
                <c:pt idx="260">
                  <c:v>7.052359079343215E-2</c:v>
                </c:pt>
                <c:pt idx="261">
                  <c:v>7.0543922429152389E-2</c:v>
                </c:pt>
                <c:pt idx="262">
                  <c:v>7.0564253619557621E-2</c:v>
                </c:pt>
                <c:pt idx="263">
                  <c:v>7.0584584364657615E-2</c:v>
                </c:pt>
                <c:pt idx="264">
                  <c:v>7.0604914664462143E-2</c:v>
                </c:pt>
                <c:pt idx="265">
                  <c:v>7.0625244518980862E-2</c:v>
                </c:pt>
                <c:pt idx="266">
                  <c:v>7.0645573928223543E-2</c:v>
                </c:pt>
                <c:pt idx="267">
                  <c:v>7.0665902892200066E-2</c:v>
                </c:pt>
                <c:pt idx="268">
                  <c:v>7.0686231410920092E-2</c:v>
                </c:pt>
                <c:pt idx="269">
                  <c:v>7.0706559484393389E-2</c:v>
                </c:pt>
                <c:pt idx="270">
                  <c:v>7.0726887112629727E-2</c:v>
                </c:pt>
                <c:pt idx="271">
                  <c:v>7.0747214295638877E-2</c:v>
                </c:pt>
                <c:pt idx="272">
                  <c:v>7.0767541033430498E-2</c:v>
                </c:pt>
                <c:pt idx="273">
                  <c:v>7.0787867326014359E-2</c:v>
                </c:pt>
                <c:pt idx="274">
                  <c:v>7.080819317340023E-2</c:v>
                </c:pt>
                <c:pt idx="275">
                  <c:v>7.0828518575597993E-2</c:v>
                </c:pt>
                <c:pt idx="276">
                  <c:v>7.0848843532617195E-2</c:v>
                </c:pt>
                <c:pt idx="277">
                  <c:v>7.0869168044467717E-2</c:v>
                </c:pt>
                <c:pt idx="278">
                  <c:v>7.0889492111159219E-2</c:v>
                </c:pt>
                <c:pt idx="279">
                  <c:v>7.090981573270147E-2</c:v>
                </c:pt>
                <c:pt idx="280">
                  <c:v>7.0930138909104351E-2</c:v>
                </c:pt>
                <c:pt idx="281">
                  <c:v>7.095046164037741E-2</c:v>
                </c:pt>
                <c:pt idx="282">
                  <c:v>7.0970783926530639E-2</c:v>
                </c:pt>
                <c:pt idx="283">
                  <c:v>7.0991105767573476E-2</c:v>
                </c:pt>
                <c:pt idx="284">
                  <c:v>7.1011427163516022E-2</c:v>
                </c:pt>
                <c:pt idx="285">
                  <c:v>7.1031748114367715E-2</c:v>
                </c:pt>
                <c:pt idx="286">
                  <c:v>7.1052068620138437E-2</c:v>
                </c:pt>
                <c:pt idx="287">
                  <c:v>7.1072388680837956E-2</c:v>
                </c:pt>
                <c:pt idx="288">
                  <c:v>7.1092708296476043E-2</c:v>
                </c:pt>
                <c:pt idx="289">
                  <c:v>7.1113027467062245E-2</c:v>
                </c:pt>
                <c:pt idx="290">
                  <c:v>7.1133346192606667E-2</c:v>
                </c:pt>
                <c:pt idx="291">
                  <c:v>7.1153664473118744E-2</c:v>
                </c:pt>
                <c:pt idx="292">
                  <c:v>7.1173982308608358E-2</c:v>
                </c:pt>
                <c:pt idx="293">
                  <c:v>7.1194299699085167E-2</c:v>
                </c:pt>
                <c:pt idx="294">
                  <c:v>7.1214616644559053E-2</c:v>
                </c:pt>
                <c:pt idx="295">
                  <c:v>7.1234933145039675E-2</c:v>
                </c:pt>
                <c:pt idx="296">
                  <c:v>7.1255249200536802E-2</c:v>
                </c:pt>
                <c:pt idx="297">
                  <c:v>7.1275564811060094E-2</c:v>
                </c:pt>
                <c:pt idx="298">
                  <c:v>7.1295879976619431E-2</c:v>
                </c:pt>
                <c:pt idx="299">
                  <c:v>7.1316194697224583E-2</c:v>
                </c:pt>
                <c:pt idx="300">
                  <c:v>7.1336508972885099E-2</c:v>
                </c:pt>
                <c:pt idx="301">
                  <c:v>7.135682280361097E-2</c:v>
                </c:pt>
                <c:pt idx="302">
                  <c:v>7.1377136189411744E-2</c:v>
                </c:pt>
                <c:pt idx="303">
                  <c:v>7.1397449130297191E-2</c:v>
                </c:pt>
                <c:pt idx="304">
                  <c:v>7.1417761626277193E-2</c:v>
                </c:pt>
                <c:pt idx="305">
                  <c:v>7.1438073677361297E-2</c:v>
                </c:pt>
                <c:pt idx="306">
                  <c:v>7.1458385283559384E-2</c:v>
                </c:pt>
                <c:pt idx="307">
                  <c:v>7.1478696444881223E-2</c:v>
                </c:pt>
                <c:pt idx="308">
                  <c:v>7.1499007161336475E-2</c:v>
                </c:pt>
                <c:pt idx="309">
                  <c:v>7.1519317432934909E-2</c:v>
                </c:pt>
                <c:pt idx="310">
                  <c:v>7.1539627259686295E-2</c:v>
                </c:pt>
                <c:pt idx="311">
                  <c:v>7.1559936641600291E-2</c:v>
                </c:pt>
                <c:pt idx="312">
                  <c:v>7.1580245578686669E-2</c:v>
                </c:pt>
                <c:pt idx="313">
                  <c:v>7.1600554070955308E-2</c:v>
                </c:pt>
                <c:pt idx="314">
                  <c:v>7.1620862118415757E-2</c:v>
                </c:pt>
                <c:pt idx="315">
                  <c:v>7.1641169721077896E-2</c:v>
                </c:pt>
                <c:pt idx="316">
                  <c:v>7.1661476878951497E-2</c:v>
                </c:pt>
                <c:pt idx="317">
                  <c:v>7.1681783592046106E-2</c:v>
                </c:pt>
                <c:pt idx="318">
                  <c:v>7.1702089860371604E-2</c:v>
                </c:pt>
                <c:pt idx="319">
                  <c:v>7.1722395683937762E-2</c:v>
                </c:pt>
                <c:pt idx="320">
                  <c:v>7.1742701062754238E-2</c:v>
                </c:pt>
                <c:pt idx="321">
                  <c:v>7.1763005996830803E-2</c:v>
                </c:pt>
                <c:pt idx="322">
                  <c:v>7.1783310486177226E-2</c:v>
                </c:pt>
                <c:pt idx="323">
                  <c:v>7.1803614530803167E-2</c:v>
                </c:pt>
                <c:pt idx="324">
                  <c:v>7.1823918130718395E-2</c:v>
                </c:pt>
                <c:pt idx="325">
                  <c:v>7.1844221285932791E-2</c:v>
                </c:pt>
                <c:pt idx="326">
                  <c:v>7.1864523996455903E-2</c:v>
                </c:pt>
                <c:pt idx="327">
                  <c:v>7.1884826262297613E-2</c:v>
                </c:pt>
                <c:pt idx="328">
                  <c:v>7.1905128083467468E-2</c:v>
                </c:pt>
                <c:pt idx="329">
                  <c:v>7.192542945997546E-2</c:v>
                </c:pt>
                <c:pt idx="330">
                  <c:v>7.1945730391831136E-2</c:v>
                </c:pt>
                <c:pt idx="331">
                  <c:v>7.1966030879044379E-2</c:v>
                </c:pt>
                <c:pt idx="332">
                  <c:v>7.1986330921624736E-2</c:v>
                </c:pt>
                <c:pt idx="333">
                  <c:v>7.2006630519582199E-2</c:v>
                </c:pt>
                <c:pt idx="334">
                  <c:v>7.2026929672926315E-2</c:v>
                </c:pt>
                <c:pt idx="335">
                  <c:v>7.2047228381666856E-2</c:v>
                </c:pt>
                <c:pt idx="336">
                  <c:v>7.206752664581359E-2</c:v>
                </c:pt>
                <c:pt idx="337">
                  <c:v>7.2087824465376177E-2</c:v>
                </c:pt>
                <c:pt idx="338">
                  <c:v>7.2108121840364497E-2</c:v>
                </c:pt>
                <c:pt idx="339">
                  <c:v>7.2128418770788211E-2</c:v>
                </c:pt>
                <c:pt idx="340">
                  <c:v>7.2148715256657087E-2</c:v>
                </c:pt>
                <c:pt idx="341">
                  <c:v>7.2169011297980784E-2</c:v>
                </c:pt>
                <c:pt idx="342">
                  <c:v>7.2189306894769073E-2</c:v>
                </c:pt>
                <c:pt idx="343">
                  <c:v>7.2209602047031723E-2</c:v>
                </c:pt>
                <c:pt idx="344">
                  <c:v>7.2229896754778505E-2</c:v>
                </c:pt>
                <c:pt idx="345">
                  <c:v>7.2250191018019078E-2</c:v>
                </c:pt>
                <c:pt idx="346">
                  <c:v>7.227048483676321E-2</c:v>
                </c:pt>
                <c:pt idx="347">
                  <c:v>7.2290778211020562E-2</c:v>
                </c:pt>
                <c:pt idx="348">
                  <c:v>7.2311071140801014E-2</c:v>
                </c:pt>
                <c:pt idx="349">
                  <c:v>7.2331363626114115E-2</c:v>
                </c:pt>
                <c:pt idx="350">
                  <c:v>7.2351655666969855E-2</c:v>
                </c:pt>
                <c:pt idx="351">
                  <c:v>7.2371947263377673E-2</c:v>
                </c:pt>
                <c:pt idx="352">
                  <c:v>7.239223841534756E-2</c:v>
                </c:pt>
                <c:pt idx="353">
                  <c:v>7.2412529122889063E-2</c:v>
                </c:pt>
                <c:pt idx="354">
                  <c:v>7.2432819386012065E-2</c:v>
                </c:pt>
                <c:pt idx="355">
                  <c:v>7.2453109204726224E-2</c:v>
                </c:pt>
                <c:pt idx="356">
                  <c:v>7.2473398579041309E-2</c:v>
                </c:pt>
                <c:pt idx="357">
                  <c:v>7.2493687508966981E-2</c:v>
                </c:pt>
                <c:pt idx="358">
                  <c:v>7.2513975994513008E-2</c:v>
                </c:pt>
                <c:pt idx="359">
                  <c:v>7.2534264035689161E-2</c:v>
                </c:pt>
                <c:pt idx="360">
                  <c:v>7.2554551632505099E-2</c:v>
                </c:pt>
                <c:pt idx="361">
                  <c:v>7.2574838784970591E-2</c:v>
                </c:pt>
                <c:pt idx="362">
                  <c:v>7.2595125493095408E-2</c:v>
                </c:pt>
                <c:pt idx="363">
                  <c:v>7.261541175688932E-2</c:v>
                </c:pt>
                <c:pt idx="364">
                  <c:v>7.2635697576361874E-2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2.7094282511497012E-2</c:v>
                </c:pt>
                <c:pt idx="1">
                  <c:v>2.7170039667463688E-2</c:v>
                </c:pt>
                <c:pt idx="2">
                  <c:v>2.7245771056850412E-2</c:v>
                </c:pt>
                <c:pt idx="3">
                  <c:v>2.7321470898348413E-2</c:v>
                </c:pt>
                <c:pt idx="4">
                  <c:v>2.7397134164841578E-2</c:v>
                </c:pt>
                <c:pt idx="5">
                  <c:v>2.7472756568265425E-2</c:v>
                </c:pt>
                <c:pt idx="6">
                  <c:v>2.7548334537920362E-2</c:v>
                </c:pt>
                <c:pt idx="7">
                  <c:v>2.762386519265126E-2</c:v>
                </c:pt>
                <c:pt idx="8">
                  <c:v>2.7699346307356678E-2</c:v>
                </c:pt>
                <c:pt idx="9">
                  <c:v>2.7774776274337699E-2</c:v>
                </c:pt>
                <c:pt idx="10">
                  <c:v>2.7850154060036728E-2</c:v>
                </c:pt>
                <c:pt idx="11">
                  <c:v>2.7925479157750736E-2</c:v>
                </c:pt>
                <c:pt idx="12">
                  <c:v>2.8000751536933089E-2</c:v>
                </c:pt>
                <c:pt idx="13">
                  <c:v>2.8075971589718682E-2</c:v>
                </c:pt>
                <c:pt idx="14">
                  <c:v>2.8151140075323482E-2</c:v>
                </c:pt>
                <c:pt idx="15">
                  <c:v>2.8226258062977926E-2</c:v>
                </c:pt>
                <c:pt idx="16">
                  <c:v>2.8301326874055687E-2</c:v>
                </c:pt>
                <c:pt idx="17">
                  <c:v>2.8376348024054799E-2</c:v>
                </c:pt>
                <c:pt idx="18">
                  <c:v>2.8451323165077147E-2</c:v>
                </c:pt>
                <c:pt idx="19">
                  <c:v>2.8526254029434858E-2</c:v>
                </c:pt>
                <c:pt idx="20">
                  <c:v>2.8601142374988682E-2</c:v>
                </c:pt>
                <c:pt idx="21">
                  <c:v>2.867598993279457E-2</c:v>
                </c:pt>
                <c:pt idx="22">
                  <c:v>2.8750798357599711E-2</c:v>
                </c:pt>
                <c:pt idx="23">
                  <c:v>2.8825569181690342E-2</c:v>
                </c:pt>
                <c:pt idx="24">
                  <c:v>2.8900303772549103E-2</c:v>
                </c:pt>
                <c:pt idx="25">
                  <c:v>2.8975003294732231E-2</c:v>
                </c:pt>
                <c:pt idx="26">
                  <c:v>2.9049668676325552E-2</c:v>
                </c:pt>
                <c:pt idx="27">
                  <c:v>2.9124300580283435E-2</c:v>
                </c:pt>
                <c:pt idx="28">
                  <c:v>2.9198899380899188E-2</c:v>
                </c:pt>
                <c:pt idx="29">
                  <c:v>2.9273465145596537E-2</c:v>
                </c:pt>
                <c:pt idx="30">
                  <c:v>2.9347997622173348E-2</c:v>
                </c:pt>
                <c:pt idx="31">
                  <c:v>2.9422496231568524E-2</c:v>
                </c:pt>
                <c:pt idx="32">
                  <c:v>2.9496960066164223E-2</c:v>
                </c:pt>
                <c:pt idx="33">
                  <c:v>2.9571387893576943E-2</c:v>
                </c:pt>
                <c:pt idx="34">
                  <c:v>2.9645778165833848E-2</c:v>
                </c:pt>
                <c:pt idx="35">
                  <c:v>2.9720129033775865E-2</c:v>
                </c:pt>
                <c:pt idx="36">
                  <c:v>2.9794438366476689E-2</c:v>
                </c:pt>
                <c:pt idx="37">
                  <c:v>2.9868703775417466E-2</c:v>
                </c:pt>
                <c:pt idx="38">
                  <c:v>2.994292264311078E-2</c:v>
                </c:pt>
                <c:pt idx="39">
                  <c:v>3.0017092155826697E-2</c:v>
                </c:pt>
                <c:pt idx="40">
                  <c:v>3.0091209340034966E-2</c:v>
                </c:pt>
                <c:pt idx="41">
                  <c:v>3.0165271102145941E-2</c:v>
                </c:pt>
                <c:pt idx="42">
                  <c:v>3.0239274271103837E-2</c:v>
                </c:pt>
                <c:pt idx="43">
                  <c:v>3.0313215643364765E-2</c:v>
                </c:pt>
                <c:pt idx="44">
                  <c:v>3.0387092029773133E-2</c:v>
                </c:pt>
                <c:pt idx="45">
                  <c:v>3.0460900303839761E-2</c:v>
                </c:pt>
                <c:pt idx="46">
                  <c:v>3.0534637450917584E-2</c:v>
                </c:pt>
                <c:pt idx="47">
                  <c:v>3.0608300617770444E-2</c:v>
                </c:pt>
                <c:pt idx="48">
                  <c:v>3.0681887162035095E-2</c:v>
                </c:pt>
                <c:pt idx="49">
                  <c:v>3.0755394701085757E-2</c:v>
                </c:pt>
                <c:pt idx="50">
                  <c:v>3.08288211598256E-2</c:v>
                </c:pt>
                <c:pt idx="51">
                  <c:v>3.0902164816949042E-2</c:v>
                </c:pt>
                <c:pt idx="52">
                  <c:v>3.0975424349242397E-2</c:v>
                </c:pt>
                <c:pt idx="53">
                  <c:v>3.1048598873518619E-2</c:v>
                </c:pt>
                <c:pt idx="54">
                  <c:v>3.1121687985813589E-2</c:v>
                </c:pt>
                <c:pt idx="55">
                  <c:v>3.1194691797506346E-2</c:v>
                </c:pt>
                <c:pt idx="56">
                  <c:v>3.126761096806354E-2</c:v>
                </c:pt>
                <c:pt idx="57">
                  <c:v>3.1340446734148535E-2</c:v>
                </c:pt>
                <c:pt idx="58">
                  <c:v>3.141320093487756E-2</c:v>
                </c:pt>
                <c:pt idx="59">
                  <c:v>3.1485876033048615E-2</c:v>
                </c:pt>
                <c:pt idx="60">
                  <c:v>3.1558475132213049E-2</c:v>
                </c:pt>
                <c:pt idx="61">
                  <c:v>3.1631001989503818E-2</c:v>
                </c:pt>
                <c:pt idx="62">
                  <c:v>3.1703461024178717E-2</c:v>
                </c:pt>
                <c:pt idx="63">
                  <c:v>3.1775857321880048E-2</c:v>
                </c:pt>
                <c:pt idx="64">
                  <c:v>3.1848196634654269E-2</c:v>
                </c:pt>
                <c:pt idx="65">
                  <c:v>3.1920485376815369E-2</c:v>
                </c:pt>
                <c:pt idx="66">
                  <c:v>3.1992730616773719E-2</c:v>
                </c:pt>
                <c:pt idx="67">
                  <c:v>3.2064940064987786E-2</c:v>
                </c:pt>
                <c:pt idx="68">
                  <c:v>3.2137122058228149E-2</c:v>
                </c:pt>
                <c:pt idx="69">
                  <c:v>3.2209285540372855E-2</c:v>
                </c:pt>
                <c:pt idx="70">
                  <c:v>3.2281440039978439E-2</c:v>
                </c:pt>
                <c:pt idx="71">
                  <c:v>3.2353595644892361E-2</c:v>
                </c:pt>
                <c:pt idx="72">
                  <c:v>3.2425762974190864E-2</c:v>
                </c:pt>
                <c:pt idx="73">
                  <c:v>3.2497953147738866E-2</c:v>
                </c:pt>
                <c:pt idx="74">
                  <c:v>3.2570177753678743E-2</c:v>
                </c:pt>
                <c:pt idx="75">
                  <c:v>3.2642448814158502E-2</c:v>
                </c:pt>
                <c:pt idx="76">
                  <c:v>3.2714778749612032E-2</c:v>
                </c:pt>
                <c:pt idx="77">
                  <c:v>3.2787180341898953E-2</c:v>
                </c:pt>
                <c:pt idx="78">
                  <c:v>3.2859666696605699E-2</c:v>
                </c:pt>
                <c:pt idx="79">
                  <c:v>3.2932251204796772E-2</c:v>
                </c:pt>
                <c:pt idx="80">
                  <c:v>3.3004947504490928E-2</c:v>
                </c:pt>
                <c:pt idx="81">
                  <c:v>3.3077769442118404E-2</c:v>
                </c:pt>
                <c:pt idx="82">
                  <c:v>3.3150731034194227E-2</c:v>
                </c:pt>
                <c:pt idx="83">
                  <c:v>3.3223846429418225E-2</c:v>
                </c:pt>
                <c:pt idx="84">
                  <c:v>3.3297129871386839E-2</c:v>
                </c:pt>
                <c:pt idx="85">
                  <c:v>3.3370595662073128E-2</c:v>
                </c:pt>
                <c:pt idx="86">
                  <c:v>3.3444258126202331E-2</c:v>
                </c:pt>
                <c:pt idx="87">
                  <c:v>3.3518131576619745E-2</c:v>
                </c:pt>
                <c:pt idx="88">
                  <c:v>3.3592230280717103E-2</c:v>
                </c:pt>
                <c:pt idx="89">
                  <c:v>3.3666568427952397E-2</c:v>
                </c:pt>
                <c:pt idx="90">
                  <c:v>3.3741160098468122E-2</c:v>
                </c:pt>
                <c:pt idx="91">
                  <c:v>3.381601923278342E-2</c:v>
                </c:pt>
                <c:pt idx="92">
                  <c:v>3.3891159602507166E-2</c:v>
                </c:pt>
                <c:pt idx="93">
                  <c:v>3.3966594781993736E-2</c:v>
                </c:pt>
                <c:pt idx="94">
                  <c:v>3.4042338120838136E-2</c:v>
                </c:pt>
                <c:pt idx="95">
                  <c:v>3.4118402717086944E-2</c:v>
                </c:pt>
                <c:pt idx="96">
                  <c:v>3.4194801391022212E-2</c:v>
                </c:pt>
                <c:pt idx="97">
                  <c:v>3.4271546659360885E-2</c:v>
                </c:pt>
                <c:pt idx="98">
                  <c:v>3.4348650709700702E-2</c:v>
                </c:pt>
                <c:pt idx="99">
                  <c:v>3.4426125375035366E-2</c:v>
                </c:pt>
                <c:pt idx="100">
                  <c:v>3.4503982108158041E-2</c:v>
                </c:pt>
                <c:pt idx="101">
                  <c:v>3.4582231955772223E-2</c:v>
                </c:pt>
                <c:pt idx="102">
                  <c:v>3.466088553213327E-2</c:v>
                </c:pt>
                <c:pt idx="103">
                  <c:v>3.4739952992051654E-2</c:v>
                </c:pt>
                <c:pt idx="104">
                  <c:v>3.4819444003101774E-2</c:v>
                </c:pt>
                <c:pt idx="105">
                  <c:v>3.4899367716895613E-2</c:v>
                </c:pt>
                <c:pt idx="106">
                  <c:v>3.4979732739300884E-2</c:v>
                </c:pt>
                <c:pt idx="107">
                  <c:v>3.5060547099506269E-2</c:v>
                </c:pt>
                <c:pt idx="108">
                  <c:v>3.514181821786308E-2</c:v>
                </c:pt>
                <c:pt idx="109">
                  <c:v>3.5223552872462281E-2</c:v>
                </c:pt>
                <c:pt idx="110">
                  <c:v>3.5305757164437492E-2</c:v>
                </c:pt>
                <c:pt idx="111">
                  <c:v>3.5388436482019392E-2</c:v>
                </c:pt>
                <c:pt idx="112">
                  <c:v>3.547159546340245E-2</c:v>
                </c:pt>
                <c:pt idx="113">
                  <c:v>3.5555237958522223E-2</c:v>
                </c:pt>
                <c:pt idx="114">
                  <c:v>3.5639366989879635E-2</c:v>
                </c:pt>
                <c:pt idx="115">
                  <c:v>3.5723984712586643E-2</c:v>
                </c:pt>
                <c:pt idx="116">
                  <c:v>3.5809092373845705E-2</c:v>
                </c:pt>
                <c:pt idx="117">
                  <c:v>3.5894690272112798E-2</c:v>
                </c:pt>
                <c:pt idx="118">
                  <c:v>3.5980777716229026E-2</c:v>
                </c:pt>
                <c:pt idx="119">
                  <c:v>3.6067352984840338E-2</c:v>
                </c:pt>
                <c:pt idx="120">
                  <c:v>3.6154413286455918E-2</c:v>
                </c:pt>
                <c:pt idx="121">
                  <c:v>3.6241954720524626E-2</c:v>
                </c:pt>
                <c:pt idx="122">
                  <c:v>3.6329972239934026E-2</c:v>
                </c:pt>
                <c:pt idx="123">
                  <c:v>3.6418459615357876E-2</c:v>
                </c:pt>
                <c:pt idx="124">
                  <c:v>3.6507409401895272E-2</c:v>
                </c:pt>
                <c:pt idx="125">
                  <c:v>3.6596812908457149E-2</c:v>
                </c:pt>
                <c:pt idx="126">
                  <c:v>3.6686660170363469E-2</c:v>
                </c:pt>
                <c:pt idx="127">
                  <c:v>3.6776939925617105E-2</c:v>
                </c:pt>
                <c:pt idx="128">
                  <c:v>3.6867639595317359E-2</c:v>
                </c:pt>
                <c:pt idx="129">
                  <c:v>3.6958745268667999E-2</c:v>
                </c:pt>
                <c:pt idx="130">
                  <c:v>3.7050241693020292E-2</c:v>
                </c:pt>
                <c:pt idx="131">
                  <c:v>3.7142112269372363E-2</c:v>
                </c:pt>
                <c:pt idx="132">
                  <c:v>3.7234339053720519E-2</c:v>
                </c:pt>
                <c:pt idx="133">
                  <c:v>3.7326902764627794E-2</c:v>
                </c:pt>
                <c:pt idx="134">
                  <c:v>3.7419782797338978E-2</c:v>
                </c:pt>
                <c:pt idx="135">
                  <c:v>3.7512957244729916E-2</c:v>
                </c:pt>
                <c:pt idx="136">
                  <c:v>3.7606402925333571E-2</c:v>
                </c:pt>
                <c:pt idx="137">
                  <c:v>3.7700095418634574E-2</c:v>
                </c:pt>
                <c:pt idx="138">
                  <c:v>3.7794009107769908E-2</c:v>
                </c:pt>
                <c:pt idx="139">
                  <c:v>3.7888117229715683E-2</c:v>
                </c:pt>
                <c:pt idx="140">
                  <c:v>3.7982391932978928E-2</c:v>
                </c:pt>
                <c:pt idx="141">
                  <c:v>3.8076804342750264E-2</c:v>
                </c:pt>
                <c:pt idx="142">
                  <c:v>3.81713246334082E-2</c:v>
                </c:pt>
                <c:pt idx="143">
                  <c:v>3.8265922108199422E-2</c:v>
                </c:pt>
                <c:pt idx="144">
                  <c:v>3.8360565285853042E-2</c:v>
                </c:pt>
                <c:pt idx="145">
                  <c:v>3.8455221993819351E-2</c:v>
                </c:pt>
                <c:pt idx="146">
                  <c:v>3.8549859467758706E-2</c:v>
                </c:pt>
                <c:pt idx="147">
                  <c:v>3.8644444456841343E-2</c:v>
                </c:pt>
                <c:pt idx="148">
                  <c:v>3.8738943334356693E-2</c:v>
                </c:pt>
                <c:pt idx="149">
                  <c:v>3.8833322213072424E-2</c:v>
                </c:pt>
                <c:pt idx="150">
                  <c:v>3.8927547064726863E-2</c:v>
                </c:pt>
                <c:pt idx="151">
                  <c:v>3.9021583842987817E-2</c:v>
                </c:pt>
                <c:pt idx="152">
                  <c:v>3.9115398609163909E-2</c:v>
                </c:pt>
                <c:pt idx="153">
                  <c:v>3.9208957659913453E-2</c:v>
                </c:pt>
                <c:pt idx="154">
                  <c:v>3.9302227656160628E-2</c:v>
                </c:pt>
                <c:pt idx="155">
                  <c:v>3.9395175752399647E-2</c:v>
                </c:pt>
                <c:pt idx="156">
                  <c:v>3.9487769725545754E-2</c:v>
                </c:pt>
                <c:pt idx="157">
                  <c:v>3.9579978102476307E-2</c:v>
                </c:pt>
                <c:pt idx="158">
                  <c:v>3.9671770285398061E-2</c:v>
                </c:pt>
                <c:pt idx="159">
                  <c:v>3.9763116674176265E-2</c:v>
                </c:pt>
                <c:pt idx="160">
                  <c:v>3.9853988784768854E-2</c:v>
                </c:pt>
                <c:pt idx="161">
                  <c:v>3.9944359362924599E-2</c:v>
                </c:pt>
                <c:pt idx="162">
                  <c:v>4.0034202492326462E-2</c:v>
                </c:pt>
                <c:pt idx="163">
                  <c:v>4.0123493696393099E-2</c:v>
                </c:pt>
                <c:pt idx="164">
                  <c:v>4.0212210032988437E-2</c:v>
                </c:pt>
                <c:pt idx="165">
                  <c:v>4.0300330181335282E-2</c:v>
                </c:pt>
                <c:pt idx="166">
                  <c:v>4.038783452048058E-2</c:v>
                </c:pt>
                <c:pt idx="167">
                  <c:v>4.0474705198718479E-2</c:v>
                </c:pt>
                <c:pt idx="168">
                  <c:v>4.0560926193441815E-2</c:v>
                </c:pt>
                <c:pt idx="169">
                  <c:v>4.0646483360962105E-2</c:v>
                </c:pt>
                <c:pt idx="170">
                  <c:v>4.0731364475912961E-2</c:v>
                </c:pt>
                <c:pt idx="171">
                  <c:v>4.081555925993012E-2</c:v>
                </c:pt>
                <c:pt idx="172">
                  <c:v>4.0899059399383222E-2</c:v>
                </c:pt>
                <c:pt idx="173">
                  <c:v>4.0981858552019398E-2</c:v>
                </c:pt>
                <c:pt idx="174">
                  <c:v>4.1063952342464689E-2</c:v>
                </c:pt>
                <c:pt idx="175">
                  <c:v>4.1145338346616898E-2</c:v>
                </c:pt>
                <c:pt idx="176">
                  <c:v>4.1226016065051385E-2</c:v>
                </c:pt>
                <c:pt idx="177">
                  <c:v>4.1305986885647877E-2</c:v>
                </c:pt>
                <c:pt idx="178">
                  <c:v>4.1385254035732226E-2</c:v>
                </c:pt>
                <c:pt idx="179">
                  <c:v>4.1463822524110044E-2</c:v>
                </c:pt>
                <c:pt idx="180">
                  <c:v>4.1541699073449546E-2</c:v>
                </c:pt>
                <c:pt idx="181">
                  <c:v>4.1618892043546678E-2</c:v>
                </c:pt>
                <c:pt idx="182">
                  <c:v>4.1695411346077807E-2</c:v>
                </c:pt>
                <c:pt idx="183">
                  <c:v>4.1771268351510682E-2</c:v>
                </c:pt>
                <c:pt idx="184">
                  <c:v>4.1846475788905484E-2</c:v>
                </c:pt>
                <c:pt idx="185">
                  <c:v>4.1921047639390425E-2</c:v>
                </c:pt>
                <c:pt idx="186">
                  <c:v>4.1994999024143588E-2</c:v>
                </c:pt>
                <c:pt idx="187">
                  <c:v>4.2068346087750987E-2</c:v>
                </c:pt>
                <c:pt idx="188">
                  <c:v>4.2141105877841846E-2</c:v>
                </c:pt>
                <c:pt idx="189">
                  <c:v>4.2213296221924698E-2</c:v>
                </c:pt>
                <c:pt idx="190">
                  <c:v>4.2284935602361393E-2</c:v>
                </c:pt>
                <c:pt idx="191">
                  <c:v>4.2356043030422112E-2</c:v>
                </c:pt>
                <c:pt idx="192">
                  <c:v>4.2426637920360076E-2</c:v>
                </c:pt>
                <c:pt idx="193">
                  <c:v>4.249673996443324E-2</c:v>
                </c:pt>
                <c:pt idx="194">
                  <c:v>4.2566369009778955E-2</c:v>
                </c:pt>
                <c:pt idx="195">
                  <c:v>4.2635544938018591E-2</c:v>
                </c:pt>
                <c:pt idx="196">
                  <c:v>4.2704287548432016E-2</c:v>
                </c:pt>
                <c:pt idx="197">
                  <c:v>4.2772616445496583E-2</c:v>
                </c:pt>
                <c:pt idx="198">
                  <c:v>4.2840550931533501E-2</c:v>
                </c:pt>
                <c:pt idx="199">
                  <c:v>4.2908109905145306E-2</c:v>
                </c:pt>
                <c:pt idx="200">
                  <c:v>4.2975311766063562E-2</c:v>
                </c:pt>
                <c:pt idx="201">
                  <c:v>4.3042174326955333E-2</c:v>
                </c:pt>
                <c:pt idx="202">
                  <c:v>4.3108714732662208E-2</c:v>
                </c:pt>
                <c:pt idx="203">
                  <c:v>4.3174949387266806E-2</c:v>
                </c:pt>
                <c:pt idx="204">
                  <c:v>4.3240893889299657E-2</c:v>
                </c:pt>
                <c:pt idx="205">
                  <c:v>4.3306562975315294E-2</c:v>
                </c:pt>
                <c:pt idx="206">
                  <c:v>4.3371970471981207E-2</c:v>
                </c:pt>
                <c:pt idx="207">
                  <c:v>4.3437129256737095E-2</c:v>
                </c:pt>
                <c:pt idx="208">
                  <c:v>4.3502051226996678E-2</c:v>
                </c:pt>
                <c:pt idx="209">
                  <c:v>4.3566747277780385E-2</c:v>
                </c:pt>
                <c:pt idx="210">
                  <c:v>4.3631227287585651E-2</c:v>
                </c:pt>
                <c:pt idx="211">
                  <c:v>4.3695500112222271E-2</c:v>
                </c:pt>
                <c:pt idx="212">
                  <c:v>4.3759573586266892E-2</c:v>
                </c:pt>
                <c:pt idx="213">
                  <c:v>4.3823454531719451E-2</c:v>
                </c:pt>
                <c:pt idx="214">
                  <c:v>4.3887148773381006E-2</c:v>
                </c:pt>
                <c:pt idx="215">
                  <c:v>4.3950661160413601E-2</c:v>
                </c:pt>
                <c:pt idx="216">
                  <c:v>4.4013995593491652E-2</c:v>
                </c:pt>
                <c:pt idx="217">
                  <c:v>4.4077155056910122E-2</c:v>
                </c:pt>
                <c:pt idx="218">
                  <c:v>4.4140141654978232E-2</c:v>
                </c:pt>
                <c:pt idx="219">
                  <c:v>4.4202956651999713E-2</c:v>
                </c:pt>
                <c:pt idx="220">
                  <c:v>4.4265600515120199E-2</c:v>
                </c:pt>
                <c:pt idx="221">
                  <c:v>4.4328072959312327E-2</c:v>
                </c:pt>
                <c:pt idx="222">
                  <c:v>4.4390372993765616E-2</c:v>
                </c:pt>
                <c:pt idx="223">
                  <c:v>4.4452498968955555E-2</c:v>
                </c:pt>
                <c:pt idx="224">
                  <c:v>4.4514448623681181E-2</c:v>
                </c:pt>
                <c:pt idx="225">
                  <c:v>4.4576219131384119E-2</c:v>
                </c:pt>
                <c:pt idx="226">
                  <c:v>4.4637807145093689E-2</c:v>
                </c:pt>
                <c:pt idx="227">
                  <c:v>4.4699208840382983E-2</c:v>
                </c:pt>
                <c:pt idx="228">
                  <c:v>4.4760419955767239E-2</c:v>
                </c:pt>
                <c:pt idx="229">
                  <c:v>4.4821435830030537E-2</c:v>
                </c:pt>
                <c:pt idx="230">
                  <c:v>4.4882251436026262E-2</c:v>
                </c:pt>
                <c:pt idx="231">
                  <c:v>4.4942861410563167E-2</c:v>
                </c:pt>
                <c:pt idx="232">
                  <c:v>4.5003260080059095E-2</c:v>
                </c:pt>
                <c:pt idx="233">
                  <c:v>4.5063441481718834E-2</c:v>
                </c:pt>
                <c:pt idx="234">
                  <c:v>4.5123399380070289E-2</c:v>
                </c:pt>
                <c:pt idx="235">
                  <c:v>4.5183127278772807E-2</c:v>
                </c:pt>
                <c:pt idx="236">
                  <c:v>4.5242618427692692E-2</c:v>
                </c:pt>
                <c:pt idx="237">
                  <c:v>4.5301865825321912E-2</c:v>
                </c:pt>
                <c:pt idx="238">
                  <c:v>4.5360862216697211E-2</c:v>
                </c:pt>
                <c:pt idx="239">
                  <c:v>4.5419600087055444E-2</c:v>
                </c:pt>
                <c:pt idx="240">
                  <c:v>4.5478071651537694E-2</c:v>
                </c:pt>
                <c:pt idx="241">
                  <c:v>4.5536268841327575E-2</c:v>
                </c:pt>
                <c:pt idx="242">
                  <c:v>4.5594183286678205E-2</c:v>
                </c:pt>
                <c:pt idx="243">
                  <c:v>4.5651806297344846E-2</c:v>
                </c:pt>
                <c:pt idx="244">
                  <c:v>4.5709128840998717E-2</c:v>
                </c:pt>
                <c:pt idx="245">
                  <c:v>4.5766141520246856E-2</c:v>
                </c:pt>
                <c:pt idx="246">
                  <c:v>4.5822834548927036E-2</c:v>
                </c:pt>
                <c:pt idx="247">
                  <c:v>4.5879197728381116E-2</c:v>
                </c:pt>
                <c:pt idx="248">
                  <c:v>4.5935220424437088E-2</c:v>
                </c:pt>
                <c:pt idx="249">
                  <c:v>4.5990891545847352E-2</c:v>
                </c:pt>
                <c:pt idx="250">
                  <c:v>4.6046199524939324E-2</c:v>
                </c:pt>
                <c:pt idx="251">
                  <c:v>4.6101132301232819E-2</c:v>
                </c:pt>
                <c:pt idx="252">
                  <c:v>4.6155677308767788E-2</c:v>
                </c:pt>
                <c:pt idx="253">
                  <c:v>4.6209821467865848E-2</c:v>
                </c:pt>
                <c:pt idx="254">
                  <c:v>4.6263551182017963E-2</c:v>
                </c:pt>
                <c:pt idx="255">
                  <c:v>4.6316852340551933E-2</c:v>
                </c:pt>
                <c:pt idx="256">
                  <c:v>4.6369710327684499E-2</c:v>
                </c:pt>
                <c:pt idx="257">
                  <c:v>4.6422110038505104E-2</c:v>
                </c:pt>
                <c:pt idx="258">
                  <c:v>4.6474035902373811E-2</c:v>
                </c:pt>
                <c:pt idx="259">
                  <c:v>4.6525471914141983E-2</c:v>
                </c:pt>
                <c:pt idx="260">
                  <c:v>4.6576401673525246E-2</c:v>
                </c:pt>
                <c:pt idx="261">
                  <c:v>4.662680843287173E-2</c:v>
                </c:pt>
                <c:pt idx="262">
                  <c:v>4.6676675153477752E-2</c:v>
                </c:pt>
                <c:pt idx="263">
                  <c:v>4.6725984570507452E-2</c:v>
                </c:pt>
                <c:pt idx="264">
                  <c:v>4.677471926647405E-2</c:v>
                </c:pt>
                <c:pt idx="265">
                  <c:v>4.6822861753139225E-2</c:v>
                </c:pt>
                <c:pt idx="266">
                  <c:v>4.687039456158467E-2</c:v>
                </c:pt>
                <c:pt idx="267">
                  <c:v>4.6917300340107118E-2</c:v>
                </c:pt>
                <c:pt idx="268">
                  <c:v>4.6963561959486463E-2</c:v>
                </c:pt>
                <c:pt idx="269">
                  <c:v>4.7009162625077261E-2</c:v>
                </c:pt>
                <c:pt idx="270">
                  <c:v>4.7054085995076524E-2</c:v>
                </c:pt>
                <c:pt idx="271">
                  <c:v>4.7098316304229282E-2</c:v>
                </c:pt>
                <c:pt idx="272">
                  <c:v>4.7141838492145663E-2</c:v>
                </c:pt>
                <c:pt idx="273">
                  <c:v>4.7184638335322715E-2</c:v>
                </c:pt>
                <c:pt idx="274">
                  <c:v>4.7226702581890712E-2</c:v>
                </c:pt>
                <c:pt idx="275">
                  <c:v>4.7268019088037815E-2</c:v>
                </c:pt>
                <c:pt idx="276">
                  <c:v>4.7308576955010971E-2</c:v>
                </c:pt>
                <c:pt idx="277">
                  <c:v>4.7348366665543935E-2</c:v>
                </c:pt>
                <c:pt idx="278">
                  <c:v>4.7387380218526585E-2</c:v>
                </c:pt>
                <c:pt idx="279">
                  <c:v>4.7425611260704569E-2</c:v>
                </c:pt>
                <c:pt idx="280">
                  <c:v>4.7463055214183918E-2</c:v>
                </c:pt>
                <c:pt idx="281">
                  <c:v>4.7499709398512446E-2</c:v>
                </c:pt>
                <c:pt idx="282">
                  <c:v>4.7535573146119656E-2</c:v>
                </c:pt>
                <c:pt idx="283">
                  <c:v>4.7570647909917753E-2</c:v>
                </c:pt>
                <c:pt idx="284">
                  <c:v>4.7604937361899927E-2</c:v>
                </c:pt>
                <c:pt idx="285">
                  <c:v>4.7638447481617364E-2</c:v>
                </c:pt>
                <c:pt idx="286">
                  <c:v>4.7671186633473021E-2</c:v>
                </c:pt>
                <c:pt idx="287">
                  <c:v>4.7703165631838518E-2</c:v>
                </c:pt>
                <c:pt idx="288">
                  <c:v>4.773439779307901E-2</c:v>
                </c:pt>
                <c:pt idx="289">
                  <c:v>4.7764898973659958E-2</c:v>
                </c:pt>
                <c:pt idx="290">
                  <c:v>4.7794687593608137E-2</c:v>
                </c:pt>
                <c:pt idx="291">
                  <c:v>4.7823784644705866E-2</c:v>
                </c:pt>
                <c:pt idx="292">
                  <c:v>4.7852213682912197E-2</c:v>
                </c:pt>
                <c:pt idx="293">
                  <c:v>4.788000080462642E-2</c:v>
                </c:pt>
                <c:pt idx="294">
                  <c:v>4.7907174606535784E-2</c:v>
                </c:pt>
                <c:pt idx="295">
                  <c:v>4.7933766128920877E-2</c:v>
                </c:pt>
                <c:pt idx="296">
                  <c:v>4.7959808782427588E-2</c:v>
                </c:pt>
                <c:pt idx="297">
                  <c:v>4.7985338258450375E-2</c:v>
                </c:pt>
                <c:pt idx="298">
                  <c:v>4.8010392423410229E-2</c:v>
                </c:pt>
                <c:pt idx="299">
                  <c:v>4.8035011197347662E-2</c:v>
                </c:pt>
                <c:pt idx="300">
                  <c:v>4.8059236417386561E-2</c:v>
                </c:pt>
                <c:pt idx="301">
                  <c:v>4.8083111686757177E-2</c:v>
                </c:pt>
                <c:pt idx="302">
                  <c:v>4.8106682210195192E-2</c:v>
                </c:pt>
                <c:pt idx="303">
                  <c:v>4.8129994616655819E-2</c:v>
                </c:pt>
                <c:pt idx="304">
                  <c:v>4.8153096770398647E-2</c:v>
                </c:pt>
                <c:pt idx="305">
                  <c:v>4.8176037571606226E-2</c:v>
                </c:pt>
                <c:pt idx="306">
                  <c:v>4.8198866747799426E-2</c:v>
                </c:pt>
                <c:pt idx="307">
                  <c:v>4.822163463740145E-2</c:v>
                </c:pt>
                <c:pt idx="308">
                  <c:v>4.8244391966880712E-2</c:v>
                </c:pt>
                <c:pt idx="309">
                  <c:v>4.8267189622970316E-2</c:v>
                </c:pt>
                <c:pt idx="310">
                  <c:v>4.8290078421515677E-2</c:v>
                </c:pt>
                <c:pt idx="311">
                  <c:v>4.831310887454407E-2</c:v>
                </c:pt>
                <c:pt idx="312">
                  <c:v>4.8336330957177785E-2</c:v>
                </c:pt>
                <c:pt idx="313">
                  <c:v>4.8359793876027478E-2</c:v>
                </c:pt>
                <c:pt idx="314">
                  <c:v>4.8383545840702605E-2</c:v>
                </c:pt>
                <c:pt idx="315">
                  <c:v>4.8407633840062733E-2</c:v>
                </c:pt>
                <c:pt idx="316">
                  <c:v>4.8432103424805979E-2</c:v>
                </c:pt>
                <c:pt idx="317">
                  <c:v>4.8456998497949905E-2</c:v>
                </c:pt>
                <c:pt idx="318">
                  <c:v>4.8482361114705393E-2</c:v>
                </c:pt>
                <c:pt idx="319">
                  <c:v>4.8508231293176503E-2</c:v>
                </c:pt>
                <c:pt idx="320">
                  <c:v>4.8534646837238987E-2</c:v>
                </c:pt>
                <c:pt idx="321">
                  <c:v>4.8561643172858666E-2</c:v>
                </c:pt>
                <c:pt idx="322">
                  <c:v>4.8589253199007303E-2</c:v>
                </c:pt>
                <c:pt idx="323">
                  <c:v>4.8617507154221147E-2</c:v>
                </c:pt>
                <c:pt idx="324">
                  <c:v>4.8646432499724598E-2</c:v>
                </c:pt>
                <c:pt idx="325">
                  <c:v>4.8676053819912107E-2</c:v>
                </c:pt>
                <c:pt idx="326">
                  <c:v>4.8706392740843166E-2</c:v>
                </c:pt>
                <c:pt idx="327">
                  <c:v>4.8737467867264024E-2</c:v>
                </c:pt>
                <c:pt idx="328">
                  <c:v>4.8769294738521041E-2</c:v>
                </c:pt>
                <c:pt idx="329">
                  <c:v>4.8801885803582426E-2</c:v>
                </c:pt>
                <c:pt idx="330">
                  <c:v>4.8835250415231353E-2</c:v>
                </c:pt>
                <c:pt idx="331">
                  <c:v>4.8869394843342996E-2</c:v>
                </c:pt>
                <c:pt idx="332">
                  <c:v>4.8904322307005921E-2</c:v>
                </c:pt>
                <c:pt idx="333">
                  <c:v>4.8940033025100367E-2</c:v>
                </c:pt>
                <c:pt idx="334">
                  <c:v>4.8976524284800246E-2</c:v>
                </c:pt>
                <c:pt idx="335">
                  <c:v>4.9013790527326878E-2</c:v>
                </c:pt>
                <c:pt idx="336">
                  <c:v>4.9051823450148149E-2</c:v>
                </c:pt>
                <c:pt idx="337">
                  <c:v>4.909061212469084E-2</c:v>
                </c:pt>
                <c:pt idx="338">
                  <c:v>4.9130143128517031E-2</c:v>
                </c:pt>
                <c:pt idx="339">
                  <c:v>4.9170400690806929E-2</c:v>
                </c:pt>
                <c:pt idx="340">
                  <c:v>4.9211366849893579E-2</c:v>
                </c:pt>
                <c:pt idx="341">
                  <c:v>4.9253021621509532E-2</c:v>
                </c:pt>
                <c:pt idx="342">
                  <c:v>4.929534317633108E-2</c:v>
                </c:pt>
                <c:pt idx="343">
                  <c:v>4.9338308025345542E-2</c:v>
                </c:pt>
                <c:pt idx="344">
                  <c:v>4.9381891211519272E-2</c:v>
                </c:pt>
                <c:pt idx="345">
                  <c:v>4.9426066506209836E-2</c:v>
                </c:pt>
                <c:pt idx="346">
                  <c:v>4.9470806608746067E-2</c:v>
                </c:pt>
                <c:pt idx="347">
                  <c:v>4.9516083347593345E-2</c:v>
                </c:pt>
                <c:pt idx="348">
                  <c:v>4.9561867881529317E-2</c:v>
                </c:pt>
                <c:pt idx="349">
                  <c:v>4.960813089927673E-2</c:v>
                </c:pt>
                <c:pt idx="350">
                  <c:v>4.9654842816075205E-2</c:v>
                </c:pt>
                <c:pt idx="351">
                  <c:v>4.9701973965721839E-2</c:v>
                </c:pt>
                <c:pt idx="352">
                  <c:v>4.974949478667115E-2</c:v>
                </c:pt>
                <c:pt idx="353">
                  <c:v>4.9797376000857152E-2</c:v>
                </c:pt>
                <c:pt idx="354">
                  <c:v>4.9845588783984561E-2</c:v>
                </c:pt>
                <c:pt idx="355">
                  <c:v>4.989410492612914E-2</c:v>
                </c:pt>
                <c:pt idx="356">
                  <c:v>4.9942896981590962E-2</c:v>
                </c:pt>
                <c:pt idx="357">
                  <c:v>4.9991938407055424E-2</c:v>
                </c:pt>
                <c:pt idx="358">
                  <c:v>5.0041203687235483E-2</c:v>
                </c:pt>
                <c:pt idx="359">
                  <c:v>5.0090668447292715E-2</c:v>
                </c:pt>
                <c:pt idx="360">
                  <c:v>5.0140309551464653E-2</c:v>
                </c:pt>
                <c:pt idx="361">
                  <c:v>5.0190105187457763E-2</c:v>
                </c:pt>
                <c:pt idx="362">
                  <c:v>5.0240034936300679E-2</c:v>
                </c:pt>
                <c:pt idx="363">
                  <c:v>5.0290079827488378E-2</c:v>
                </c:pt>
                <c:pt idx="364">
                  <c:v>5.0340222379382481E-2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1.9087402641938253E-4</c:v>
                </c:pt>
                <c:pt idx="1">
                  <c:v>1.9203499295964948E-4</c:v>
                </c:pt>
                <c:pt idx="2">
                  <c:v>1.9330950476432378E-4</c:v>
                </c:pt>
                <c:pt idx="3">
                  <c:v>1.9469747788169304E-4</c:v>
                </c:pt>
                <c:pt idx="4">
                  <c:v>1.9619876612862635E-4</c:v>
                </c:pt>
                <c:pt idx="5">
                  <c:v>1.9781318185083568E-4</c:v>
                </c:pt>
                <c:pt idx="6">
                  <c:v>1.9954051620852696E-4</c:v>
                </c:pt>
                <c:pt idx="7">
                  <c:v>2.0138055899500136E-4</c:v>
                </c:pt>
                <c:pt idx="8">
                  <c:v>2.0330451488718065E-4</c:v>
                </c:pt>
                <c:pt idx="9">
                  <c:v>2.0513797113880252E-4</c:v>
                </c:pt>
                <c:pt idx="10">
                  <c:v>2.0677612080132642E-4</c:v>
                </c:pt>
                <c:pt idx="11">
                  <c:v>2.0822925983826621E-4</c:v>
                </c:pt>
                <c:pt idx="12">
                  <c:v>2.0950800155484641E-4</c:v>
                </c:pt>
                <c:pt idx="13">
                  <c:v>2.106231569710585E-4</c:v>
                </c:pt>
                <c:pt idx="14">
                  <c:v>2.1158562749217189E-4</c:v>
                </c:pt>
                <c:pt idx="15">
                  <c:v>2.1197160922576321E-4</c:v>
                </c:pt>
                <c:pt idx="16">
                  <c:v>2.1173740664351574E-4</c:v>
                </c:pt>
                <c:pt idx="17">
                  <c:v>2.1090858444572654E-4</c:v>
                </c:pt>
                <c:pt idx="18">
                  <c:v>2.0951023138068245E-4</c:v>
                </c:pt>
                <c:pt idx="19">
                  <c:v>2.0756790895986218E-4</c:v>
                </c:pt>
                <c:pt idx="20">
                  <c:v>2.0510677680926588E-4</c:v>
                </c:pt>
                <c:pt idx="21">
                  <c:v>2.0214999493915246E-4</c:v>
                </c:pt>
                <c:pt idx="22">
                  <c:v>1.9869692815177998E-4</c:v>
                </c:pt>
                <c:pt idx="23">
                  <c:v>1.9462520628524727E-4</c:v>
                </c:pt>
                <c:pt idx="24">
                  <c:v>1.9008586983810405E-4</c:v>
                </c:pt>
                <c:pt idx="25">
                  <c:v>1.8509803864572962E-4</c:v>
                </c:pt>
                <c:pt idx="26">
                  <c:v>1.7968017761204946E-4</c:v>
                </c:pt>
                <c:pt idx="27">
                  <c:v>1.738500351553428E-4</c:v>
                </c:pt>
                <c:pt idx="28">
                  <c:v>1.6762459307149971E-4</c:v>
                </c:pt>
                <c:pt idx="29">
                  <c:v>1.6136802271406604E-4</c:v>
                </c:pt>
                <c:pt idx="30">
                  <c:v>1.5545847015401124E-4</c:v>
                </c:pt>
                <c:pt idx="31">
                  <c:v>1.4988876952467652E-4</c:v>
                </c:pt>
                <c:pt idx="32">
                  <c:v>1.4465158511716152E-4</c:v>
                </c:pt>
                <c:pt idx="33">
                  <c:v>1.3973947103183232E-4</c:v>
                </c:pt>
                <c:pt idx="34">
                  <c:v>1.3514492536763123E-4</c:v>
                </c:pt>
                <c:pt idx="35">
                  <c:v>1.3086043913478296E-4</c:v>
                </c:pt>
                <c:pt idx="36">
                  <c:v>1.268666267538327E-4</c:v>
                </c:pt>
                <c:pt idx="37">
                  <c:v>1.2334887980000242E-4</c:v>
                </c:pt>
                <c:pt idx="38">
                  <c:v>1.2040202584961226E-4</c:v>
                </c:pt>
                <c:pt idx="39">
                  <c:v>1.1801375718921128E-4</c:v>
                </c:pt>
                <c:pt idx="40">
                  <c:v>1.1617162038120425E-4</c:v>
                </c:pt>
                <c:pt idx="41">
                  <c:v>1.1486319449946611E-4</c:v>
                </c:pt>
                <c:pt idx="42">
                  <c:v>1.1407625159147112E-4</c:v>
                </c:pt>
                <c:pt idx="43">
                  <c:v>1.1369684783920867E-4</c:v>
                </c:pt>
                <c:pt idx="44">
                  <c:v>1.1341677758925834E-4</c:v>
                </c:pt>
                <c:pt idx="45">
                  <c:v>1.1323638065052088E-4</c:v>
                </c:pt>
                <c:pt idx="46">
                  <c:v>1.1315601467809648E-4</c:v>
                </c:pt>
                <c:pt idx="47">
                  <c:v>1.1317608446229376E-4</c:v>
                </c:pt>
                <c:pt idx="48">
                  <c:v>1.1329707004187194E-4</c:v>
                </c:pt>
                <c:pt idx="49">
                  <c:v>1.135195538642258E-4</c:v>
                </c:pt>
                <c:pt idx="50">
                  <c:v>1.1383879929811617E-4</c:v>
                </c:pt>
                <c:pt idx="51">
                  <c:v>1.1414723292489476E-4</c:v>
                </c:pt>
                <c:pt idx="52">
                  <c:v>1.1426839113527842E-4</c:v>
                </c:pt>
                <c:pt idx="53">
                  <c:v>1.1420534153694489E-4</c:v>
                </c:pt>
                <c:pt idx="54">
                  <c:v>1.1396153708306394E-4</c:v>
                </c:pt>
                <c:pt idx="55">
                  <c:v>1.1354027801133718E-4</c:v>
                </c:pt>
                <c:pt idx="56">
                  <c:v>1.1294473537916759E-4</c:v>
                </c:pt>
                <c:pt idx="57">
                  <c:v>1.122246341834994E-4</c:v>
                </c:pt>
                <c:pt idx="58">
                  <c:v>1.1147179899620929E-4</c:v>
                </c:pt>
                <c:pt idx="59">
                  <c:v>1.1068614135275349E-4</c:v>
                </c:pt>
                <c:pt idx="60">
                  <c:v>1.0986761770514587E-4</c:v>
                </c:pt>
                <c:pt idx="61">
                  <c:v>1.0901622961538019E-4</c:v>
                </c:pt>
                <c:pt idx="62">
                  <c:v>1.0813202355364001E-4</c:v>
                </c:pt>
                <c:pt idx="63">
                  <c:v>1.0721509031615635E-4</c:v>
                </c:pt>
                <c:pt idx="64">
                  <c:v>1.0626634446416524E-4</c:v>
                </c:pt>
                <c:pt idx="65">
                  <c:v>1.0537358939693677E-4</c:v>
                </c:pt>
                <c:pt idx="66">
                  <c:v>1.0462675867531929E-4</c:v>
                </c:pt>
                <c:pt idx="67">
                  <c:v>1.0402376819434909E-4</c:v>
                </c:pt>
                <c:pt idx="68">
                  <c:v>1.0356264090661976E-4</c:v>
                </c:pt>
                <c:pt idx="69">
                  <c:v>1.0324151280751842E-4</c:v>
                </c:pt>
                <c:pt idx="70">
                  <c:v>1.0305863886902768E-4</c:v>
                </c:pt>
                <c:pt idx="71">
                  <c:v>1.0295711713774641E-4</c:v>
                </c:pt>
                <c:pt idx="72">
                  <c:v>1.0289448486711969E-4</c:v>
                </c:pt>
                <c:pt idx="73">
                  <c:v>1.0287116860300424E-4</c:v>
                </c:pt>
                <c:pt idx="74">
                  <c:v>1.0288764054341035E-4</c:v>
                </c:pt>
                <c:pt idx="75">
                  <c:v>1.0294442002449397E-4</c:v>
                </c:pt>
                <c:pt idx="76">
                  <c:v>1.0304207504960066E-4</c:v>
                </c:pt>
                <c:pt idx="77">
                  <c:v>1.0318122388022931E-4</c:v>
                </c:pt>
                <c:pt idx="78">
                  <c:v>1.0335719758712017E-4</c:v>
                </c:pt>
                <c:pt idx="79">
                  <c:v>1.0344803768479206E-4</c:v>
                </c:pt>
                <c:pt idx="80">
                  <c:v>1.0337875155990845E-4</c:v>
                </c:pt>
                <c:pt idx="81">
                  <c:v>1.0315422161908025E-4</c:v>
                </c:pt>
                <c:pt idx="82">
                  <c:v>1.0277910264973349E-4</c:v>
                </c:pt>
                <c:pt idx="83">
                  <c:v>1.0225779002180925E-4</c:v>
                </c:pt>
                <c:pt idx="84">
                  <c:v>1.0159439046453485E-4</c:v>
                </c:pt>
                <c:pt idx="85">
                  <c:v>1.0079153453119165E-4</c:v>
                </c:pt>
                <c:pt idx="86">
                  <c:v>9.9903847055744484E-5</c:v>
                </c:pt>
                <c:pt idx="87">
                  <c:v>9.8934005558257019E-5</c:v>
                </c:pt>
                <c:pt idx="88">
                  <c:v>9.7884399919799167E-5</c:v>
                </c:pt>
                <c:pt idx="89">
                  <c:v>9.6757120996416996E-5</c:v>
                </c:pt>
                <c:pt idx="90">
                  <c:v>9.555394990991044E-5</c:v>
                </c:pt>
                <c:pt idx="91">
                  <c:v>9.4276347764455542E-5</c:v>
                </c:pt>
                <c:pt idx="92">
                  <c:v>9.2920975209751153E-5</c:v>
                </c:pt>
                <c:pt idx="93">
                  <c:v>9.1406582178044215E-5</c:v>
                </c:pt>
                <c:pt idx="94">
                  <c:v>8.9847556592995213E-5</c:v>
                </c:pt>
                <c:pt idx="95">
                  <c:v>8.8243590497435944E-5</c:v>
                </c:pt>
                <c:pt idx="96">
                  <c:v>8.6594253763176777E-5</c:v>
                </c:pt>
                <c:pt idx="97">
                  <c:v>8.4898993469822426E-5</c:v>
                </c:pt>
                <c:pt idx="98">
                  <c:v>8.3157133356466701E-5</c:v>
                </c:pt>
                <c:pt idx="99">
                  <c:v>8.1351517033312107E-5</c:v>
                </c:pt>
                <c:pt idx="100">
                  <c:v>7.9480206925648794E-5</c:v>
                </c:pt>
                <c:pt idx="101">
                  <c:v>7.7540763562157519E-5</c:v>
                </c:pt>
                <c:pt idx="102">
                  <c:v>7.5530497163516752E-5</c:v>
                </c:pt>
                <c:pt idx="103">
                  <c:v>7.3446458809136965E-5</c:v>
                </c:pt>
                <c:pt idx="104">
                  <c:v>7.1285431185223749E-5</c:v>
                </c:pt>
                <c:pt idx="105">
                  <c:v>6.9043918882932047E-5</c:v>
                </c:pt>
                <c:pt idx="106">
                  <c:v>6.6718901171166031E-5</c:v>
                </c:pt>
                <c:pt idx="107">
                  <c:v>6.4531924914228793E-5</c:v>
                </c:pt>
                <c:pt idx="108">
                  <c:v>6.2557716077989118E-5</c:v>
                </c:pt>
                <c:pt idx="109">
                  <c:v>6.0794491567343065E-5</c:v>
                </c:pt>
                <c:pt idx="110">
                  <c:v>5.9241012728617542E-5</c:v>
                </c:pt>
                <c:pt idx="111">
                  <c:v>5.7896385137060498E-5</c:v>
                </c:pt>
                <c:pt idx="112">
                  <c:v>5.6759880570018422E-5</c:v>
                </c:pt>
                <c:pt idx="113">
                  <c:v>5.6006100620233878E-5</c:v>
                </c:pt>
                <c:pt idx="114">
                  <c:v>5.5662174130736519E-5</c:v>
                </c:pt>
                <c:pt idx="115">
                  <c:v>5.5734516125969842E-5</c:v>
                </c:pt>
                <c:pt idx="116">
                  <c:v>5.6230376405634135E-5</c:v>
                </c:pt>
                <c:pt idx="117">
                  <c:v>5.7157821574576446E-5</c:v>
                </c:pt>
                <c:pt idx="118">
                  <c:v>5.8525715416507739E-5</c:v>
                </c:pt>
                <c:pt idx="119">
                  <c:v>6.034369720560825E-5</c:v>
                </c:pt>
                <c:pt idx="120">
                  <c:v>6.2624270815384483E-5</c:v>
                </c:pt>
                <c:pt idx="121">
                  <c:v>6.5423447388372009E-5</c:v>
                </c:pt>
                <c:pt idx="122">
                  <c:v>6.8509279949170566E-5</c:v>
                </c:pt>
                <c:pt idx="123">
                  <c:v>7.1890370480613775E-5</c:v>
                </c:pt>
                <c:pt idx="124">
                  <c:v>7.5575766452282467E-5</c:v>
                </c:pt>
                <c:pt idx="125">
                  <c:v>7.9574941295869491E-5</c:v>
                </c:pt>
                <c:pt idx="126">
                  <c:v>8.3897772168888048E-5</c:v>
                </c:pt>
                <c:pt idx="127">
                  <c:v>8.8545963833388128E-5</c:v>
                </c:pt>
                <c:pt idx="128">
                  <c:v>9.33279949360216E-5</c:v>
                </c:pt>
                <c:pt idx="129">
                  <c:v>9.8247337566543508E-5</c:v>
                </c:pt>
                <c:pt idx="130">
                  <c:v>1.0330731009739249E-4</c:v>
                </c:pt>
                <c:pt idx="131">
                  <c:v>1.0851105516827084E-4</c:v>
                </c:pt>
                <c:pt idx="132">
                  <c:v>1.1386151653567494E-4</c:v>
                </c:pt>
                <c:pt idx="133">
                  <c:v>1.1936141487065546E-4</c:v>
                </c:pt>
                <c:pt idx="134">
                  <c:v>1.2501546249328263E-4</c:v>
                </c:pt>
                <c:pt idx="135">
                  <c:v>1.3081958308064473E-4</c:v>
                </c:pt>
                <c:pt idx="136">
                  <c:v>1.367282864507635E-4</c:v>
                </c:pt>
                <c:pt idx="137">
                  <c:v>1.4274319746734833E-4</c:v>
                </c:pt>
                <c:pt idx="138">
                  <c:v>1.4886573714291258E-4</c:v>
                </c:pt>
                <c:pt idx="139">
                  <c:v>1.5509711129844034E-4</c:v>
                </c:pt>
                <c:pt idx="140">
                  <c:v>1.6143829964673686E-4</c:v>
                </c:pt>
                <c:pt idx="141">
                  <c:v>1.6784253054195932E-4</c:v>
                </c:pt>
                <c:pt idx="142">
                  <c:v>1.7431801572557511E-4</c:v>
                </c:pt>
                <c:pt idx="143">
                  <c:v>1.8086277471962624E-4</c:v>
                </c:pt>
                <c:pt idx="144">
                  <c:v>1.8747553708092871E-4</c:v>
                </c:pt>
                <c:pt idx="145">
                  <c:v>1.9415476819144715E-4</c:v>
                </c:pt>
                <c:pt idx="146">
                  <c:v>2.008986685235027E-4</c:v>
                </c:pt>
                <c:pt idx="147">
                  <c:v>2.0770517437672959E-4</c:v>
                </c:pt>
                <c:pt idx="148">
                  <c:v>2.1457529442409903E-4</c:v>
                </c:pt>
                <c:pt idx="149">
                  <c:v>2.2142555329410842E-4</c:v>
                </c:pt>
                <c:pt idx="150">
                  <c:v>2.2826059639075868E-4</c:v>
                </c:pt>
                <c:pt idx="151">
                  <c:v>2.350736755585748E-4</c:v>
                </c:pt>
                <c:pt idx="152">
                  <c:v>2.418575785715682E-4</c:v>
                </c:pt>
                <c:pt idx="153">
                  <c:v>2.4860464600345627E-4</c:v>
                </c:pt>
                <c:pt idx="154">
                  <c:v>2.5530679078153624E-4</c:v>
                </c:pt>
                <c:pt idx="155">
                  <c:v>2.6185304965247954E-4</c:v>
                </c:pt>
                <c:pt idx="156">
                  <c:v>2.682880074330051E-4</c:v>
                </c:pt>
                <c:pt idx="157">
                  <c:v>2.7460119282415402E-4</c:v>
                </c:pt>
                <c:pt idx="158">
                  <c:v>2.8078183170234807E-4</c:v>
                </c:pt>
                <c:pt idx="159">
                  <c:v>2.8681888697537318E-4</c:v>
                </c:pt>
                <c:pt idx="160">
                  <c:v>2.9270110079471771E-4</c:v>
                </c:pt>
                <c:pt idx="161">
                  <c:v>2.984170389261546E-4</c:v>
                </c:pt>
                <c:pt idx="162">
                  <c:v>3.0396064352926182E-4</c:v>
                </c:pt>
                <c:pt idx="163">
                  <c:v>3.0921110288636543E-4</c:v>
                </c:pt>
                <c:pt idx="164">
                  <c:v>3.1425383145302987E-4</c:v>
                </c:pt>
                <c:pt idx="165">
                  <c:v>3.1907963587784083E-4</c:v>
                </c:pt>
                <c:pt idx="166">
                  <c:v>3.2367948656095901E-4</c:v>
                </c:pt>
                <c:pt idx="167">
                  <c:v>3.2804454880240998E-4</c:v>
                </c:pt>
                <c:pt idx="168">
                  <c:v>3.3216621226287552E-4</c:v>
                </c:pt>
                <c:pt idx="169">
                  <c:v>3.3591309620199626E-4</c:v>
                </c:pt>
                <c:pt idx="170">
                  <c:v>3.3939171375471346E-4</c:v>
                </c:pt>
                <c:pt idx="171">
                  <c:v>3.4259407044839922E-4</c:v>
                </c:pt>
                <c:pt idx="172">
                  <c:v>3.4551249833566209E-4</c:v>
                </c:pt>
                <c:pt idx="173">
                  <c:v>3.4813611342943314E-4</c:v>
                </c:pt>
                <c:pt idx="174">
                  <c:v>3.5045410528718001E-4</c:v>
                </c:pt>
                <c:pt idx="175">
                  <c:v>3.5245947421952255E-4</c:v>
                </c:pt>
                <c:pt idx="176">
                  <c:v>3.5414704167222293E-4</c:v>
                </c:pt>
                <c:pt idx="177">
                  <c:v>3.5538770620517629E-4</c:v>
                </c:pt>
                <c:pt idx="178">
                  <c:v>3.5630438743460143E-4</c:v>
                </c:pt>
                <c:pt idx="179">
                  <c:v>3.5689139893924353E-4</c:v>
                </c:pt>
                <c:pt idx="180">
                  <c:v>3.5714345789790138E-4</c:v>
                </c:pt>
                <c:pt idx="181">
                  <c:v>3.5705568547133513E-4</c:v>
                </c:pt>
                <c:pt idx="182">
                  <c:v>3.5662360437879704E-4</c:v>
                </c:pt>
                <c:pt idx="183">
                  <c:v>3.5573075091100304E-4</c:v>
                </c:pt>
                <c:pt idx="184">
                  <c:v>3.5450829983623441E-4</c:v>
                </c:pt>
                <c:pt idx="185">
                  <c:v>3.5295341788382095E-4</c:v>
                </c:pt>
                <c:pt idx="186">
                  <c:v>3.5106361712009909E-4</c:v>
                </c:pt>
                <c:pt idx="187">
                  <c:v>3.4883674081648351E-4</c:v>
                </c:pt>
                <c:pt idx="188">
                  <c:v>3.4627094783030115E-4</c:v>
                </c:pt>
                <c:pt idx="189">
                  <c:v>3.4336469575713943E-4</c:v>
                </c:pt>
                <c:pt idx="190">
                  <c:v>3.401183115380911E-4</c:v>
                </c:pt>
                <c:pt idx="191">
                  <c:v>3.3645725842471448E-4</c:v>
                </c:pt>
                <c:pt idx="192">
                  <c:v>3.3251462627747959E-4</c:v>
                </c:pt>
                <c:pt idx="193">
                  <c:v>3.2829097830760579E-4</c:v>
                </c:pt>
                <c:pt idx="194">
                  <c:v>3.2378699091434408E-4</c:v>
                </c:pt>
                <c:pt idx="195">
                  <c:v>3.190034307278593E-4</c:v>
                </c:pt>
                <c:pt idx="196">
                  <c:v>3.1394113225729917E-4</c:v>
                </c:pt>
                <c:pt idx="197">
                  <c:v>3.0858468154268854E-4</c:v>
                </c:pt>
                <c:pt idx="198">
                  <c:v>3.0305520633910985E-4</c:v>
                </c:pt>
                <c:pt idx="199">
                  <c:v>2.9735473790166452E-4</c:v>
                </c:pt>
                <c:pt idx="200">
                  <c:v>2.9148524519113082E-4</c:v>
                </c:pt>
                <c:pt idx="201">
                  <c:v>2.8544862281654676E-4</c:v>
                </c:pt>
                <c:pt idx="202">
                  <c:v>2.7924668040244232E-4</c:v>
                </c:pt>
                <c:pt idx="203">
                  <c:v>2.7288113338152365E-4</c:v>
                </c:pt>
                <c:pt idx="204">
                  <c:v>2.6634986855827259E-4</c:v>
                </c:pt>
                <c:pt idx="205">
                  <c:v>2.5963315096232619E-4</c:v>
                </c:pt>
                <c:pt idx="206">
                  <c:v>2.52814052127215E-4</c:v>
                </c:pt>
                <c:pt idx="207">
                  <c:v>2.4589602683790376E-4</c:v>
                </c:pt>
                <c:pt idx="208">
                  <c:v>2.3888227709463366E-4</c:v>
                </c:pt>
                <c:pt idx="209">
                  <c:v>2.3177574737091107E-4</c:v>
                </c:pt>
                <c:pt idx="210">
                  <c:v>2.245791211190688E-4</c:v>
                </c:pt>
                <c:pt idx="211">
                  <c:v>2.1737958721470429E-4</c:v>
                </c:pt>
                <c:pt idx="212">
                  <c:v>2.1019710521489243E-4</c:v>
                </c:pt>
                <c:pt idx="213">
                  <c:v>2.0303438995861257E-4</c:v>
                </c:pt>
                <c:pt idx="214">
                  <c:v>1.9589388811475935E-4</c:v>
                </c:pt>
                <c:pt idx="215">
                  <c:v>1.8877778664730751E-4</c:v>
                </c:pt>
                <c:pt idx="216">
                  <c:v>1.8168802151628617E-4</c:v>
                </c:pt>
                <c:pt idx="217">
                  <c:v>1.7462628644586013E-4</c:v>
                </c:pt>
                <c:pt idx="218">
                  <c:v>1.6759159639040237E-4</c:v>
                </c:pt>
                <c:pt idx="219">
                  <c:v>1.6103716345128229E-4</c:v>
                </c:pt>
                <c:pt idx="220">
                  <c:v>1.5498771144060184E-4</c:v>
                </c:pt>
                <c:pt idx="221">
                  <c:v>1.4944837332596996E-4</c:v>
                </c:pt>
                <c:pt idx="222">
                  <c:v>1.4442419550801317E-4</c:v>
                </c:pt>
                <c:pt idx="223">
                  <c:v>1.3992014940939903E-4</c:v>
                </c:pt>
                <c:pt idx="224">
                  <c:v>1.3594114178246082E-4</c:v>
                </c:pt>
                <c:pt idx="225">
                  <c:v>1.3298684648510779E-4</c:v>
                </c:pt>
                <c:pt idx="226">
                  <c:v>1.3097767007329953E-4</c:v>
                </c:pt>
                <c:pt idx="227">
                  <c:v>1.2992151482004935E-4</c:v>
                </c:pt>
                <c:pt idx="228">
                  <c:v>1.2982625855137442E-4</c:v>
                </c:pt>
                <c:pt idx="229">
                  <c:v>1.3069975926028354E-4</c:v>
                </c:pt>
                <c:pt idx="230">
                  <c:v>1.3254985830714954E-4</c:v>
                </c:pt>
                <c:pt idx="231">
                  <c:v>1.3538438227050296E-4</c:v>
                </c:pt>
                <c:pt idx="232">
                  <c:v>1.3920751789344278E-4</c:v>
                </c:pt>
                <c:pt idx="233">
                  <c:v>1.438340213993693E-4</c:v>
                </c:pt>
                <c:pt idx="234">
                  <c:v>1.4879518205676464E-4</c:v>
                </c:pt>
                <c:pt idx="235">
                  <c:v>1.5409397998754546E-4</c:v>
                </c:pt>
                <c:pt idx="236">
                  <c:v>1.59733720332917E-4</c:v>
                </c:pt>
                <c:pt idx="237">
                  <c:v>1.6571792348521114E-4</c:v>
                </c:pt>
                <c:pt idx="238">
                  <c:v>1.7205045914278492E-4</c:v>
                </c:pt>
                <c:pt idx="239">
                  <c:v>1.7858894162626077E-4</c:v>
                </c:pt>
                <c:pt idx="240">
                  <c:v>1.8482336549737805E-4</c:v>
                </c:pt>
                <c:pt idx="241">
                  <c:v>1.9075394185525326E-4</c:v>
                </c:pt>
                <c:pt idx="242">
                  <c:v>1.9638112293908922E-4</c:v>
                </c:pt>
                <c:pt idx="243">
                  <c:v>2.0170556619615194E-4</c:v>
                </c:pt>
                <c:pt idx="244">
                  <c:v>2.0672809840746728E-4</c:v>
                </c:pt>
                <c:pt idx="245">
                  <c:v>2.1144968005153492E-4</c:v>
                </c:pt>
                <c:pt idx="246">
                  <c:v>2.1586560273259071E-4</c:v>
                </c:pt>
                <c:pt idx="247">
                  <c:v>2.2001732140345743E-4</c:v>
                </c:pt>
                <c:pt idx="248">
                  <c:v>2.241027996216222E-4</c:v>
                </c:pt>
                <c:pt idx="249">
                  <c:v>2.281217257938364E-4</c:v>
                </c:pt>
                <c:pt idx="250">
                  <c:v>2.3207368278339925E-4</c:v>
                </c:pt>
                <c:pt idx="251">
                  <c:v>2.3595814703999135E-4</c:v>
                </c:pt>
                <c:pt idx="252">
                  <c:v>2.397744877768552E-4</c:v>
                </c:pt>
                <c:pt idx="253">
                  <c:v>2.4319691528567288E-4</c:v>
                </c:pt>
                <c:pt idx="254">
                  <c:v>2.4637409094312515E-4</c:v>
                </c:pt>
                <c:pt idx="255">
                  <c:v>2.4930306541094579E-4</c:v>
                </c:pt>
                <c:pt idx="256">
                  <c:v>2.519807390729296E-4</c:v>
                </c:pt>
                <c:pt idx="257">
                  <c:v>2.544038666150963E-4</c:v>
                </c:pt>
                <c:pt idx="258">
                  <c:v>2.5656906258683058E-4</c:v>
                </c:pt>
                <c:pt idx="259">
                  <c:v>2.5847280781949271E-4</c:v>
                </c:pt>
                <c:pt idx="260">
                  <c:v>2.6012037067199394E-4</c:v>
                </c:pt>
                <c:pt idx="261">
                  <c:v>2.6142398578540393E-4</c:v>
                </c:pt>
                <c:pt idx="262">
                  <c:v>2.6232445312224874E-4</c:v>
                </c:pt>
                <c:pt idx="263">
                  <c:v>2.6281341199327845E-4</c:v>
                </c:pt>
                <c:pt idx="264">
                  <c:v>2.6288221842827328E-4</c:v>
                </c:pt>
                <c:pt idx="265">
                  <c:v>2.6252339340372292E-4</c:v>
                </c:pt>
                <c:pt idx="266">
                  <c:v>2.6172856887374685E-4</c:v>
                </c:pt>
                <c:pt idx="267">
                  <c:v>2.6070014639569135E-4</c:v>
                </c:pt>
                <c:pt idx="268">
                  <c:v>2.5977508320120429E-4</c:v>
                </c:pt>
                <c:pt idx="269">
                  <c:v>2.5895038733077805E-4</c:v>
                </c:pt>
                <c:pt idx="270">
                  <c:v>2.5822303984800399E-4</c:v>
                </c:pt>
                <c:pt idx="271">
                  <c:v>2.5758998025402201E-4</c:v>
                </c:pt>
                <c:pt idx="272">
                  <c:v>2.5704809230435454E-4</c:v>
                </c:pt>
                <c:pt idx="273">
                  <c:v>2.5659419035076506E-4</c:v>
                </c:pt>
                <c:pt idx="274">
                  <c:v>2.5623023814892119E-4</c:v>
                </c:pt>
                <c:pt idx="275">
                  <c:v>2.5603124896835401E-4</c:v>
                </c:pt>
                <c:pt idx="276">
                  <c:v>2.5609679035099058E-4</c:v>
                </c:pt>
                <c:pt idx="277">
                  <c:v>2.5643088011487701E-4</c:v>
                </c:pt>
                <c:pt idx="278">
                  <c:v>2.5703754517849127E-4</c:v>
                </c:pt>
                <c:pt idx="279">
                  <c:v>2.5792084227080927E-4</c:v>
                </c:pt>
                <c:pt idx="280">
                  <c:v>2.5908488125336523E-4</c:v>
                </c:pt>
                <c:pt idx="281">
                  <c:v>2.6031929187453616E-4</c:v>
                </c:pt>
                <c:pt idx="282">
                  <c:v>2.6140298355985914E-4</c:v>
                </c:pt>
                <c:pt idx="283">
                  <c:v>2.6233645543145958E-4</c:v>
                </c:pt>
                <c:pt idx="284">
                  <c:v>2.6312042843990886E-4</c:v>
                </c:pt>
                <c:pt idx="285">
                  <c:v>2.6375584711756117E-4</c:v>
                </c:pt>
                <c:pt idx="286">
                  <c:v>2.6424388019439626E-4</c:v>
                </c:pt>
                <c:pt idx="287">
                  <c:v>2.645859199495141E-4</c:v>
                </c:pt>
                <c:pt idx="288">
                  <c:v>2.6479503593374802E-4</c:v>
                </c:pt>
                <c:pt idx="289">
                  <c:v>2.6472962272328207E-4</c:v>
                </c:pt>
                <c:pt idx="290">
                  <c:v>2.6430823924172576E-4</c:v>
                </c:pt>
                <c:pt idx="291">
                  <c:v>2.6352110565740612E-4</c:v>
                </c:pt>
                <c:pt idx="292">
                  <c:v>2.6235830795712288E-4</c:v>
                </c:pt>
                <c:pt idx="293">
                  <c:v>2.6080987236364858E-4</c:v>
                </c:pt>
                <c:pt idx="294">
                  <c:v>2.5886584590576741E-4</c:v>
                </c:pt>
                <c:pt idx="295">
                  <c:v>2.5698262712537491E-4</c:v>
                </c:pt>
                <c:pt idx="296">
                  <c:v>2.5538253443360643E-4</c:v>
                </c:pt>
                <c:pt idx="297">
                  <c:v>2.5406423122579212E-4</c:v>
                </c:pt>
                <c:pt idx="298">
                  <c:v>2.5302409608423732E-4</c:v>
                </c:pt>
                <c:pt idx="299">
                  <c:v>2.5225828299164606E-4</c:v>
                </c:pt>
                <c:pt idx="300">
                  <c:v>2.5176263906045868E-4</c:v>
                </c:pt>
                <c:pt idx="301">
                  <c:v>2.5153262224771722E-4</c:v>
                </c:pt>
                <c:pt idx="302">
                  <c:v>2.5158395474361489E-4</c:v>
                </c:pt>
                <c:pt idx="303">
                  <c:v>2.5266358198151108E-4</c:v>
                </c:pt>
                <c:pt idx="304">
                  <c:v>2.5493471761148912E-4</c:v>
                </c:pt>
                <c:pt idx="305">
                  <c:v>2.5840639741004295E-4</c:v>
                </c:pt>
                <c:pt idx="306">
                  <c:v>2.6308749424100832E-4</c:v>
                </c:pt>
                <c:pt idx="307">
                  <c:v>2.6898681677597121E-4</c:v>
                </c:pt>
                <c:pt idx="308">
                  <c:v>2.7611321458003557E-4</c:v>
                </c:pt>
                <c:pt idx="309">
                  <c:v>2.8414499886596906E-4</c:v>
                </c:pt>
                <c:pt idx="310">
                  <c:v>2.9260725145924336E-4</c:v>
                </c:pt>
                <c:pt idx="311">
                  <c:v>3.0150509944728204E-4</c:v>
                </c:pt>
                <c:pt idx="312">
                  <c:v>3.1084408375941488E-4</c:v>
                </c:pt>
                <c:pt idx="313">
                  <c:v>3.2063019380673663E-4</c:v>
                </c:pt>
                <c:pt idx="314">
                  <c:v>3.3086989988581714E-4</c:v>
                </c:pt>
                <c:pt idx="315">
                  <c:v>3.4157018270475435E-4</c:v>
                </c:pt>
                <c:pt idx="316">
                  <c:v>3.5275153009593297E-4</c:v>
                </c:pt>
                <c:pt idx="317">
                  <c:v>3.6344069155578858E-4</c:v>
                </c:pt>
                <c:pt idx="318">
                  <c:v>3.7288901456722481E-4</c:v>
                </c:pt>
                <c:pt idx="319">
                  <c:v>3.8108844132360171E-4</c:v>
                </c:pt>
                <c:pt idx="320">
                  <c:v>3.8802940111121767E-4</c:v>
                </c:pt>
                <c:pt idx="321">
                  <c:v>3.9370082344789529E-4</c:v>
                </c:pt>
                <c:pt idx="322">
                  <c:v>3.9809016905424866E-4</c:v>
                </c:pt>
                <c:pt idx="323">
                  <c:v>4.010071862967977E-4</c:v>
                </c:pt>
                <c:pt idx="324">
                  <c:v>4.0277715095078101E-4</c:v>
                </c:pt>
                <c:pt idx="325">
                  <c:v>4.0338493458932397E-4</c:v>
                </c:pt>
                <c:pt idx="326">
                  <c:v>4.0281186101160646E-4</c:v>
                </c:pt>
                <c:pt idx="327">
                  <c:v>4.0104006514583721E-4</c:v>
                </c:pt>
                <c:pt idx="328">
                  <c:v>3.9805307468794327E-4</c:v>
                </c:pt>
                <c:pt idx="329">
                  <c:v>3.9383392146669365E-4</c:v>
                </c:pt>
                <c:pt idx="330">
                  <c:v>3.8842601792070061E-4</c:v>
                </c:pt>
                <c:pt idx="331">
                  <c:v>3.8214889342742971E-4</c:v>
                </c:pt>
                <c:pt idx="332">
                  <c:v>3.7600771373822454E-4</c:v>
                </c:pt>
                <c:pt idx="333">
                  <c:v>3.6998234346967348E-4</c:v>
                </c:pt>
                <c:pt idx="334">
                  <c:v>3.6405293716148179E-4</c:v>
                </c:pt>
                <c:pt idx="335">
                  <c:v>3.5819996397205855E-4</c:v>
                </c:pt>
                <c:pt idx="336">
                  <c:v>3.5240425245929209E-4</c:v>
                </c:pt>
                <c:pt idx="337">
                  <c:v>3.468232148665801E-4</c:v>
                </c:pt>
                <c:pt idx="338">
                  <c:v>3.4162584687842299E-4</c:v>
                </c:pt>
                <c:pt idx="339">
                  <c:v>3.367982135321173E-4</c:v>
                </c:pt>
                <c:pt idx="340">
                  <c:v>3.3232656868389352E-4</c:v>
                </c:pt>
                <c:pt idx="341">
                  <c:v>3.2819724687765077E-4</c:v>
                </c:pt>
                <c:pt idx="342">
                  <c:v>3.2439656002083024E-4</c:v>
                </c:pt>
                <c:pt idx="343">
                  <c:v>3.2091070038142353E-4</c:v>
                </c:pt>
                <c:pt idx="344">
                  <c:v>3.1777425525404652E-4</c:v>
                </c:pt>
                <c:pt idx="345">
                  <c:v>3.1503064931990877E-4</c:v>
                </c:pt>
                <c:pt idx="346">
                  <c:v>3.125228902398729E-4</c:v>
                </c:pt>
                <c:pt idx="347">
                  <c:v>3.1024901939640957E-4</c:v>
                </c:pt>
                <c:pt idx="348">
                  <c:v>3.0820684496166839E-4</c:v>
                </c:pt>
                <c:pt idx="349">
                  <c:v>3.0639393086342862E-4</c:v>
                </c:pt>
                <c:pt idx="350">
                  <c:v>3.0480758575883514E-4</c:v>
                </c:pt>
                <c:pt idx="351">
                  <c:v>3.0358860472446227E-4</c:v>
                </c:pt>
                <c:pt idx="352">
                  <c:v>3.0255307789128804E-4</c:v>
                </c:pt>
                <c:pt idx="353">
                  <c:v>3.0169743835673478E-4</c:v>
                </c:pt>
                <c:pt idx="354">
                  <c:v>3.0101790485491896E-4</c:v>
                </c:pt>
                <c:pt idx="355">
                  <c:v>3.005104828478924E-4</c:v>
                </c:pt>
                <c:pt idx="356">
                  <c:v>3.0016965854388162E-4</c:v>
                </c:pt>
                <c:pt idx="357">
                  <c:v>2.9999193284035655E-4</c:v>
                </c:pt>
                <c:pt idx="358">
                  <c:v>2.9996019474147928E-4</c:v>
                </c:pt>
                <c:pt idx="359">
                  <c:v>3.0006335323812987E-4</c:v>
                </c:pt>
                <c:pt idx="360">
                  <c:v>3.0048135392764328E-4</c:v>
                </c:pt>
                <c:pt idx="361">
                  <c:v>3.0107411644904959E-4</c:v>
                </c:pt>
                <c:pt idx="362">
                  <c:v>3.0184326090195064E-4</c:v>
                </c:pt>
                <c:pt idx="363">
                  <c:v>3.0279009465316014E-4</c:v>
                </c:pt>
                <c:pt idx="364">
                  <c:v>3.0391563586325027E-4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61224"/>
        <c:axId val="592961616"/>
      </c:lineChart>
      <c:dateAx>
        <c:axId val="5929612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61616"/>
        <c:crosses val="autoZero"/>
        <c:auto val="1"/>
        <c:lblOffset val="100"/>
        <c:baseTimeUnit val="days"/>
        <c:majorUnit val="1"/>
        <c:majorTimeUnit val="months"/>
      </c:dateAx>
      <c:valAx>
        <c:axId val="5929616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29612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4328"/>
        <c:axId val="591163544"/>
      </c:lineChart>
      <c:dateAx>
        <c:axId val="591164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354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9116354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4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1.6426948974516825E-2</c:v>
                </c:pt>
                <c:pt idx="1">
                  <c:v>1.6342074885294666E-2</c:v>
                </c:pt>
                <c:pt idx="2">
                  <c:v>1.624843877784533E-2</c:v>
                </c:pt>
                <c:pt idx="3">
                  <c:v>1.6145985088446838E-2</c:v>
                </c:pt>
                <c:pt idx="4">
                  <c:v>1.6034659151565617E-2</c:v>
                </c:pt>
                <c:pt idx="5">
                  <c:v>1.5914407423611384E-2</c:v>
                </c:pt>
                <c:pt idx="6">
                  <c:v>1.5785177706895626E-2</c:v>
                </c:pt>
                <c:pt idx="7">
                  <c:v>1.5646919373229557E-2</c:v>
                </c:pt>
                <c:pt idx="8">
                  <c:v>1.5499583587748557E-2</c:v>
                </c:pt>
                <c:pt idx="9">
                  <c:v>1.5349470332432636E-2</c:v>
                </c:pt>
                <c:pt idx="10">
                  <c:v>1.5201866080715417E-2</c:v>
                </c:pt>
                <c:pt idx="11">
                  <c:v>1.5056742937126992E-2</c:v>
                </c:pt>
                <c:pt idx="12">
                  <c:v>1.4914074269080119E-2</c:v>
                </c:pt>
                <c:pt idx="13">
                  <c:v>1.4773834634015876E-2</c:v>
                </c:pt>
                <c:pt idx="14">
                  <c:v>1.4635999706297457E-2</c:v>
                </c:pt>
                <c:pt idx="15">
                  <c:v>1.450336181259859E-2</c:v>
                </c:pt>
                <c:pt idx="16">
                  <c:v>1.4379390730233449E-2</c:v>
                </c:pt>
                <c:pt idx="17">
                  <c:v>1.426406969340596E-2</c:v>
                </c:pt>
                <c:pt idx="18">
                  <c:v>1.415738142359476E-2</c:v>
                </c:pt>
                <c:pt idx="19">
                  <c:v>1.4059386318318953E-2</c:v>
                </c:pt>
                <c:pt idx="20">
                  <c:v>1.3970177004492801E-2</c:v>
                </c:pt>
                <c:pt idx="21">
                  <c:v>1.3889782606036188E-2</c:v>
                </c:pt>
                <c:pt idx="22">
                  <c:v>1.3818230449307854E-2</c:v>
                </c:pt>
                <c:pt idx="23">
                  <c:v>1.3743439642179856E-2</c:v>
                </c:pt>
                <c:pt idx="24">
                  <c:v>1.3659060146007073E-2</c:v>
                </c:pt>
                <c:pt idx="25">
                  <c:v>1.3565112169270857E-2</c:v>
                </c:pt>
                <c:pt idx="26">
                  <c:v>1.346161656836648E-2</c:v>
                </c:pt>
                <c:pt idx="27">
                  <c:v>1.334859473134771E-2</c:v>
                </c:pt>
                <c:pt idx="28">
                  <c:v>1.3226068461963692E-2</c:v>
                </c:pt>
                <c:pt idx="29">
                  <c:v>1.3080390440712525E-2</c:v>
                </c:pt>
                <c:pt idx="30">
                  <c:v>1.2908763624094224E-2</c:v>
                </c:pt>
                <c:pt idx="31">
                  <c:v>1.2711212624980017E-2</c:v>
                </c:pt>
                <c:pt idx="32">
                  <c:v>1.2487763023046888E-2</c:v>
                </c:pt>
                <c:pt idx="33">
                  <c:v>1.2238441042492753E-2</c:v>
                </c:pt>
                <c:pt idx="34">
                  <c:v>1.1963273229809437E-2</c:v>
                </c:pt>
                <c:pt idx="35">
                  <c:v>1.1662286131542425E-2</c:v>
                </c:pt>
                <c:pt idx="36">
                  <c:v>1.1335505972024082E-2</c:v>
                </c:pt>
                <c:pt idx="37">
                  <c:v>1.0987755111963982E-2</c:v>
                </c:pt>
                <c:pt idx="38">
                  <c:v>1.0631159124929837E-2</c:v>
                </c:pt>
                <c:pt idx="39">
                  <c:v>1.026573682978181E-2</c:v>
                </c:pt>
                <c:pt idx="40">
                  <c:v>9.8915053611482381E-3</c:v>
                </c:pt>
                <c:pt idx="41">
                  <c:v>9.5084800585979491E-3</c:v>
                </c:pt>
                <c:pt idx="42">
                  <c:v>9.1166743557358418E-3</c:v>
                </c:pt>
                <c:pt idx="43">
                  <c:v>8.7338549455484894E-3</c:v>
                </c:pt>
                <c:pt idx="44">
                  <c:v>8.3736817191227639E-3</c:v>
                </c:pt>
                <c:pt idx="45">
                  <c:v>8.0361549182281292E-3</c:v>
                </c:pt>
                <c:pt idx="46">
                  <c:v>7.7212737587312131E-3</c:v>
                </c:pt>
                <c:pt idx="47">
                  <c:v>7.4290367128308282E-3</c:v>
                </c:pt>
                <c:pt idx="48">
                  <c:v>7.1594417911862761E-3</c:v>
                </c:pt>
                <c:pt idx="49">
                  <c:v>6.9124868251178861E-3</c:v>
                </c:pt>
                <c:pt idx="50">
                  <c:v>6.6881697487614182E-3</c:v>
                </c:pt>
                <c:pt idx="51">
                  <c:v>6.4953271647118366E-3</c:v>
                </c:pt>
                <c:pt idx="52">
                  <c:v>6.3291309755766738E-3</c:v>
                </c:pt>
                <c:pt idx="53">
                  <c:v>6.1895432557349779E-3</c:v>
                </c:pt>
                <c:pt idx="54">
                  <c:v>6.0765599718407629E-3</c:v>
                </c:pt>
                <c:pt idx="55">
                  <c:v>5.9901777356074727E-3</c:v>
                </c:pt>
                <c:pt idx="56">
                  <c:v>5.9303937054488122E-3</c:v>
                </c:pt>
                <c:pt idx="57">
                  <c:v>5.8979891675062348E-3</c:v>
                </c:pt>
                <c:pt idx="58">
                  <c:v>5.8752144670313061E-3</c:v>
                </c:pt>
                <c:pt idx="59">
                  <c:v>5.8620674930196072E-3</c:v>
                </c:pt>
                <c:pt idx="60">
                  <c:v>5.8585462201400018E-3</c:v>
                </c:pt>
                <c:pt idx="61">
                  <c:v>5.8646486731393872E-3</c:v>
                </c:pt>
                <c:pt idx="62">
                  <c:v>5.8803728912387053E-3</c:v>
                </c:pt>
                <c:pt idx="63">
                  <c:v>5.9057168925465272E-3</c:v>
                </c:pt>
                <c:pt idx="64">
                  <c:v>5.9406786384492193E-3</c:v>
                </c:pt>
                <c:pt idx="65">
                  <c:v>5.9811512160045828E-3</c:v>
                </c:pt>
                <c:pt idx="66">
                  <c:v>6.0182936639871934E-3</c:v>
                </c:pt>
                <c:pt idx="67">
                  <c:v>6.0521035378418341E-3</c:v>
                </c:pt>
                <c:pt idx="68">
                  <c:v>6.082578379142646E-3</c:v>
                </c:pt>
                <c:pt idx="69">
                  <c:v>6.1097157278599433E-3</c:v>
                </c:pt>
                <c:pt idx="70">
                  <c:v>6.1335131346550902E-3</c:v>
                </c:pt>
                <c:pt idx="71">
                  <c:v>6.1397382592733862E-3</c:v>
                </c:pt>
                <c:pt idx="72">
                  <c:v>6.1276056163759437E-3</c:v>
                </c:pt>
                <c:pt idx="73">
                  <c:v>6.0971138597842034E-3</c:v>
                </c:pt>
                <c:pt idx="74">
                  <c:v>6.0482621319652707E-3</c:v>
                </c:pt>
                <c:pt idx="75">
                  <c:v>5.9810501318699541E-3</c:v>
                </c:pt>
                <c:pt idx="76">
                  <c:v>5.8954781827518935E-3</c:v>
                </c:pt>
                <c:pt idx="77">
                  <c:v>5.7915473000063151E-3</c:v>
                </c:pt>
                <c:pt idx="78">
                  <c:v>5.6692594472140811E-3</c:v>
                </c:pt>
                <c:pt idx="79">
                  <c:v>5.5214318993193215E-3</c:v>
                </c:pt>
                <c:pt idx="80">
                  <c:v>5.3521854652729649E-3</c:v>
                </c:pt>
                <c:pt idx="81">
                  <c:v>5.161521540221709E-3</c:v>
                </c:pt>
                <c:pt idx="82">
                  <c:v>4.9494417977750159E-3</c:v>
                </c:pt>
                <c:pt idx="83">
                  <c:v>4.7159482586600588E-3</c:v>
                </c:pt>
                <c:pt idx="84">
                  <c:v>4.4610433593927443E-3</c:v>
                </c:pt>
                <c:pt idx="85">
                  <c:v>4.1935909411772972E-3</c:v>
                </c:pt>
                <c:pt idx="86">
                  <c:v>3.927814511748502E-3</c:v>
                </c:pt>
                <c:pt idx="87">
                  <c:v>3.6637142035071172E-3</c:v>
                </c:pt>
                <c:pt idx="88">
                  <c:v>3.4012904653440592E-3</c:v>
                </c:pt>
                <c:pt idx="89">
                  <c:v>3.1405440573359475E-3</c:v>
                </c:pt>
                <c:pt idx="90">
                  <c:v>2.8814760454338871E-3</c:v>
                </c:pt>
                <c:pt idx="91">
                  <c:v>2.6240877961646717E-3</c:v>
                </c:pt>
                <c:pt idx="92">
                  <c:v>2.3683809713222256E-3</c:v>
                </c:pt>
                <c:pt idx="93">
                  <c:v>2.1232608188530432E-3</c:v>
                </c:pt>
                <c:pt idx="94">
                  <c:v>1.8959280166512716E-3</c:v>
                </c:pt>
                <c:pt idx="95">
                  <c:v>1.6863807805892611E-3</c:v>
                </c:pt>
                <c:pt idx="96">
                  <c:v>1.494617088246287E-3</c:v>
                </c:pt>
                <c:pt idx="97">
                  <c:v>1.3206346219824438E-3</c:v>
                </c:pt>
                <c:pt idx="98">
                  <c:v>1.1644307119960129E-3</c:v>
                </c:pt>
                <c:pt idx="99">
                  <c:v>1.0301090449978268E-3</c:v>
                </c:pt>
                <c:pt idx="100">
                  <c:v>9.0881434673614466E-4</c:v>
                </c:pt>
                <c:pt idx="101">
                  <c:v>8.0054420632486977E-4</c:v>
                </c:pt>
                <c:pt idx="102">
                  <c:v>7.0529583015151479E-4</c:v>
                </c:pt>
                <c:pt idx="103">
                  <c:v>6.2306600015233965E-4</c:v>
                </c:pt>
                <c:pt idx="104">
                  <c:v>5.5385103210521677E-4</c:v>
                </c:pt>
                <c:pt idx="105">
                  <c:v>4.976467339059058E-4</c:v>
                </c:pt>
                <c:pt idx="106">
                  <c:v>4.544483638531743E-4</c:v>
                </c:pt>
                <c:pt idx="107">
                  <c:v>4.2658962930639243E-4</c:v>
                </c:pt>
                <c:pt idx="108">
                  <c:v>4.0517673437820775E-4</c:v>
                </c:pt>
                <c:pt idx="109">
                  <c:v>3.9020667372214804E-4</c:v>
                </c:pt>
                <c:pt idx="110">
                  <c:v>3.8167719026859171E-4</c:v>
                </c:pt>
                <c:pt idx="111">
                  <c:v>3.7958567056874934E-4</c:v>
                </c:pt>
                <c:pt idx="112">
                  <c:v>3.8392820191941989E-4</c:v>
                </c:pt>
                <c:pt idx="113">
                  <c:v>3.9557288823860752E-4</c:v>
                </c:pt>
                <c:pt idx="114">
                  <c:v>4.1041847424419937E-4</c:v>
                </c:pt>
                <c:pt idx="115">
                  <c:v>4.2846258855796745E-4</c:v>
                </c:pt>
                <c:pt idx="116">
                  <c:v>4.4970274661599056E-4</c:v>
                </c:pt>
                <c:pt idx="117">
                  <c:v>4.7413634365652902E-4</c:v>
                </c:pt>
                <c:pt idx="118">
                  <c:v>5.0176064770379909E-4</c:v>
                </c:pt>
                <c:pt idx="119">
                  <c:v>5.3257279255286831E-4</c:v>
                </c:pt>
                <c:pt idx="120">
                  <c:v>5.6656977075363437E-4</c:v>
                </c:pt>
                <c:pt idx="121">
                  <c:v>6.0298877694688351E-4</c:v>
                </c:pt>
                <c:pt idx="122">
                  <c:v>6.3949577233372021E-4</c:v>
                </c:pt>
                <c:pt idx="123">
                  <c:v>6.7608978779039319E-4</c:v>
                </c:pt>
                <c:pt idx="124">
                  <c:v>7.1276981742238947E-4</c:v>
                </c:pt>
                <c:pt idx="125">
                  <c:v>7.4953481832684135E-4</c:v>
                </c:pt>
                <c:pt idx="126">
                  <c:v>7.8638371034575778E-4</c:v>
                </c:pt>
                <c:pt idx="127">
                  <c:v>8.2221265127725739E-4</c:v>
                </c:pt>
                <c:pt idx="128">
                  <c:v>8.5615266279171159E-4</c:v>
                </c:pt>
                <c:pt idx="129">
                  <c:v>8.8820444072128604E-4</c:v>
                </c:pt>
                <c:pt idx="130">
                  <c:v>9.1836874347211474E-4</c:v>
                </c:pt>
                <c:pt idx="131">
                  <c:v>9.4664639609922557E-4</c:v>
                </c:pt>
                <c:pt idx="132">
                  <c:v>9.7303829438895144E-4</c:v>
                </c:pt>
                <c:pt idx="133">
                  <c:v>9.9754540894752869E-4</c:v>
                </c:pt>
                <c:pt idx="134">
                  <c:v>1.0201687892852447E-3</c:v>
                </c:pt>
                <c:pt idx="135">
                  <c:v>1.0415698283706082E-3</c:v>
                </c:pt>
                <c:pt idx="136">
                  <c:v>1.0625050397531661E-3</c:v>
                </c:pt>
                <c:pt idx="137">
                  <c:v>1.0829740591970771E-3</c:v>
                </c:pt>
                <c:pt idx="138">
                  <c:v>1.1029765302431969E-3</c:v>
                </c:pt>
                <c:pt idx="139">
                  <c:v>1.1225121052028217E-3</c:v>
                </c:pt>
                <c:pt idx="140">
                  <c:v>1.1415804460900294E-3</c:v>
                </c:pt>
                <c:pt idx="141">
                  <c:v>1.160390160708454E-3</c:v>
                </c:pt>
                <c:pt idx="142">
                  <c:v>1.1800307512947817E-3</c:v>
                </c:pt>
                <c:pt idx="143">
                  <c:v>1.2004944176077384E-3</c:v>
                </c:pt>
                <c:pt idx="144">
                  <c:v>1.2217802328850305E-3</c:v>
                </c:pt>
                <c:pt idx="145">
                  <c:v>1.2438872817901432E-3</c:v>
                </c:pt>
                <c:pt idx="146">
                  <c:v>1.266814672044568E-3</c:v>
                </c:pt>
                <c:pt idx="147">
                  <c:v>1.2905615461013501E-3</c:v>
                </c:pt>
                <c:pt idx="148">
                  <c:v>1.3151270927894455E-3</c:v>
                </c:pt>
                <c:pt idx="149">
                  <c:v>1.3399149717409568E-3</c:v>
                </c:pt>
                <c:pt idx="150">
                  <c:v>1.3642699835510902E-3</c:v>
                </c:pt>
                <c:pt idx="151">
                  <c:v>1.3881937799536399E-3</c:v>
                </c:pt>
                <c:pt idx="152">
                  <c:v>1.4116881720011604E-3</c:v>
                </c:pt>
                <c:pt idx="153">
                  <c:v>1.4347551248330888E-3</c:v>
                </c:pt>
                <c:pt idx="154">
                  <c:v>1.4573967524513329E-3</c:v>
                </c:pt>
                <c:pt idx="155">
                  <c:v>1.4792687944780337E-3</c:v>
                </c:pt>
                <c:pt idx="156">
                  <c:v>1.5001671152719629E-3</c:v>
                </c:pt>
                <c:pt idx="157">
                  <c:v>1.5200952982384493E-3</c:v>
                </c:pt>
                <c:pt idx="158">
                  <c:v>1.5390570567664576E-3</c:v>
                </c:pt>
                <c:pt idx="159">
                  <c:v>1.5570562214972819E-3</c:v>
                </c:pt>
                <c:pt idx="160">
                  <c:v>1.5740967276120638E-3</c:v>
                </c:pt>
                <c:pt idx="161">
                  <c:v>1.5901826021020166E-3</c:v>
                </c:pt>
                <c:pt idx="162">
                  <c:v>1.6053179510468491E-3</c:v>
                </c:pt>
                <c:pt idx="163">
                  <c:v>1.6186323160784777E-3</c:v>
                </c:pt>
                <c:pt idx="164">
                  <c:v>1.6307216051945587E-3</c:v>
                </c:pt>
                <c:pt idx="165">
                  <c:v>1.6415905814006042E-3</c:v>
                </c:pt>
                <c:pt idx="166">
                  <c:v>1.6512440146013968E-3</c:v>
                </c:pt>
                <c:pt idx="167">
                  <c:v>1.6596866649854585E-3</c:v>
                </c:pt>
                <c:pt idx="168">
                  <c:v>1.6669232664619632E-3</c:v>
                </c:pt>
                <c:pt idx="169">
                  <c:v>1.6720869774191306E-3</c:v>
                </c:pt>
                <c:pt idx="170">
                  <c:v>1.6755272232784361E-3</c:v>
                </c:pt>
                <c:pt idx="171">
                  <c:v>1.6772493567830549E-3</c:v>
                </c:pt>
                <c:pt idx="172">
                  <c:v>1.6772585764693894E-3</c:v>
                </c:pt>
                <c:pt idx="173">
                  <c:v>1.6755427685588118E-3</c:v>
                </c:pt>
                <c:pt idx="174">
                  <c:v>1.6720888517055548E-3</c:v>
                </c:pt>
                <c:pt idx="175">
                  <c:v>1.6669004406540712E-3</c:v>
                </c:pt>
                <c:pt idx="176">
                  <c:v>1.659981138704583E-3</c:v>
                </c:pt>
                <c:pt idx="177">
                  <c:v>1.6509923869786752E-3</c:v>
                </c:pt>
                <c:pt idx="178">
                  <c:v>1.6408057690456299E-3</c:v>
                </c:pt>
                <c:pt idx="179">
                  <c:v>1.6294240035219451E-3</c:v>
                </c:pt>
                <c:pt idx="180">
                  <c:v>1.6168497662666815E-3</c:v>
                </c:pt>
                <c:pt idx="181">
                  <c:v>1.6030856832686044E-3</c:v>
                </c:pt>
                <c:pt idx="182">
                  <c:v>1.5881343235476318E-3</c:v>
                </c:pt>
                <c:pt idx="183">
                  <c:v>1.5714140010246673E-3</c:v>
                </c:pt>
                <c:pt idx="184">
                  <c:v>1.5537929624688702E-3</c:v>
                </c:pt>
                <c:pt idx="185">
                  <c:v>1.5352731546474957E-3</c:v>
                </c:pt>
                <c:pt idx="186">
                  <c:v>1.5158564490224812E-3</c:v>
                </c:pt>
                <c:pt idx="187">
                  <c:v>1.4955446363094313E-3</c:v>
                </c:pt>
                <c:pt idx="188">
                  <c:v>1.474339421044633E-3</c:v>
                </c:pt>
                <c:pt idx="189">
                  <c:v>1.4522424161063994E-3</c:v>
                </c:pt>
                <c:pt idx="190">
                  <c:v>1.4292551373000807E-3</c:v>
                </c:pt>
                <c:pt idx="191">
                  <c:v>1.4055823535950593E-3</c:v>
                </c:pt>
                <c:pt idx="192">
                  <c:v>1.3815648736238886E-3</c:v>
                </c:pt>
                <c:pt idx="193">
                  <c:v>1.3572032404020676E-3</c:v>
                </c:pt>
                <c:pt idx="194">
                  <c:v>1.3324979161657656E-3</c:v>
                </c:pt>
                <c:pt idx="195">
                  <c:v>1.3074492801647311E-3</c:v>
                </c:pt>
                <c:pt idx="196">
                  <c:v>1.2820576264024148E-3</c:v>
                </c:pt>
                <c:pt idx="197">
                  <c:v>1.2569627516561043E-3</c:v>
                </c:pt>
                <c:pt idx="198">
                  <c:v>1.2327446627601148E-3</c:v>
                </c:pt>
                <c:pt idx="199">
                  <c:v>1.2094022232874006E-3</c:v>
                </c:pt>
                <c:pt idx="200">
                  <c:v>1.1869343149065051E-3</c:v>
                </c:pt>
                <c:pt idx="201">
                  <c:v>1.165339842359581E-3</c:v>
                </c:pt>
                <c:pt idx="202">
                  <c:v>1.1446177384482727E-3</c:v>
                </c:pt>
                <c:pt idx="203">
                  <c:v>1.1247669690450507E-3</c:v>
                </c:pt>
                <c:pt idx="204">
                  <c:v>1.1057847524057519E-3</c:v>
                </c:pt>
                <c:pt idx="205">
                  <c:v>1.0866049168293933E-3</c:v>
                </c:pt>
                <c:pt idx="206">
                  <c:v>1.0670240931917624E-3</c:v>
                </c:pt>
                <c:pt idx="207">
                  <c:v>1.0470414213993445E-3</c:v>
                </c:pt>
                <c:pt idx="208">
                  <c:v>1.026656030776869E-3</c:v>
                </c:pt>
                <c:pt idx="209">
                  <c:v>1.0058670413715472E-3</c:v>
                </c:pt>
                <c:pt idx="210">
                  <c:v>9.8467356529190523E-4</c:v>
                </c:pt>
                <c:pt idx="211">
                  <c:v>9.6234453195218029E-4</c:v>
                </c:pt>
                <c:pt idx="212">
                  <c:v>9.3824201072276821E-4</c:v>
                </c:pt>
                <c:pt idx="213">
                  <c:v>9.1236559728209363E-4</c:v>
                </c:pt>
                <c:pt idx="214">
                  <c:v>8.8471479101480562E-4</c:v>
                </c:pt>
                <c:pt idx="215">
                  <c:v>8.5528900057913956E-4</c:v>
                </c:pt>
                <c:pt idx="216">
                  <c:v>8.2408754947076721E-4</c:v>
                </c:pt>
                <c:pt idx="217">
                  <c:v>7.9110968158975427E-4</c:v>
                </c:pt>
                <c:pt idx="218">
                  <c:v>7.5635456680256256E-4</c:v>
                </c:pt>
                <c:pt idx="219">
                  <c:v>7.2065741842098317E-4</c:v>
                </c:pt>
                <c:pt idx="220">
                  <c:v>6.8507794678592611E-4</c:v>
                </c:pt>
                <c:pt idx="221">
                  <c:v>6.4961490240115637E-4</c:v>
                </c:pt>
                <c:pt idx="222">
                  <c:v>6.1426708585482091E-4</c:v>
                </c:pt>
                <c:pt idx="223">
                  <c:v>5.7903334750072585E-4</c:v>
                </c:pt>
                <c:pt idx="224">
                  <c:v>5.4391258712258896E-4</c:v>
                </c:pt>
                <c:pt idx="225">
                  <c:v>5.1114297962136397E-4</c:v>
                </c:pt>
                <c:pt idx="226">
                  <c:v>4.8145295305235627E-4</c:v>
                </c:pt>
                <c:pt idx="227">
                  <c:v>4.5484164778473497E-4</c:v>
                </c:pt>
                <c:pt idx="228">
                  <c:v>4.3130837737295004E-4</c:v>
                </c:pt>
                <c:pt idx="229">
                  <c:v>4.1085261899304228E-4</c:v>
                </c:pt>
                <c:pt idx="230">
                  <c:v>3.9347400388667987E-4</c:v>
                </c:pt>
                <c:pt idx="231">
                  <c:v>3.7917230780583198E-4</c:v>
                </c:pt>
                <c:pt idx="232">
                  <c:v>3.6794744144896086E-4</c:v>
                </c:pt>
                <c:pt idx="233">
                  <c:v>3.6372718165708515E-4</c:v>
                </c:pt>
                <c:pt idx="234">
                  <c:v>3.65676116151609E-4</c:v>
                </c:pt>
                <c:pt idx="235">
                  <c:v>3.7379536132941724E-4</c:v>
                </c:pt>
                <c:pt idx="236">
                  <c:v>3.8808638454734991E-4</c:v>
                </c:pt>
                <c:pt idx="237">
                  <c:v>4.0855067192890725E-4</c:v>
                </c:pt>
                <c:pt idx="238">
                  <c:v>4.351899737133253E-4</c:v>
                </c:pt>
                <c:pt idx="239">
                  <c:v>4.7651996647882959E-4</c:v>
                </c:pt>
                <c:pt idx="240">
                  <c:v>5.3030456089890132E-4</c:v>
                </c:pt>
                <c:pt idx="241">
                  <c:v>5.9654837935968691E-4</c:v>
                </c:pt>
                <c:pt idx="242">
                  <c:v>6.7525664722836276E-4</c:v>
                </c:pt>
                <c:pt idx="243">
                  <c:v>7.664352148165055E-4</c:v>
                </c:pt>
                <c:pt idx="244">
                  <c:v>8.7009057934278719E-4</c:v>
                </c:pt>
                <c:pt idx="245">
                  <c:v>9.862299068880804E-4</c:v>
                </c:pt>
                <c:pt idx="246">
                  <c:v>1.1148610543444857E-3</c:v>
                </c:pt>
                <c:pt idx="247">
                  <c:v>1.2644692773474276E-3</c:v>
                </c:pt>
                <c:pt idx="248">
                  <c:v>1.4311342534567345E-3</c:v>
                </c:pt>
                <c:pt idx="249">
                  <c:v>1.614868494091936E-3</c:v>
                </c:pt>
                <c:pt idx="250">
                  <c:v>1.8156855430911461E-3</c:v>
                </c:pt>
                <c:pt idx="251">
                  <c:v>2.0336000067215604E-3</c:v>
                </c:pt>
                <c:pt idx="252">
                  <c:v>2.2686275836270886E-3</c:v>
                </c:pt>
                <c:pt idx="253">
                  <c:v>2.5138852847175447E-3</c:v>
                </c:pt>
                <c:pt idx="254">
                  <c:v>2.7608542768407592E-3</c:v>
                </c:pt>
                <c:pt idx="255">
                  <c:v>3.009543321800754E-3</c:v>
                </c:pt>
                <c:pt idx="256">
                  <c:v>3.2599614503318422E-3</c:v>
                </c:pt>
                <c:pt idx="257">
                  <c:v>3.5121179648665408E-3</c:v>
                </c:pt>
                <c:pt idx="258">
                  <c:v>3.7660224423269315E-3</c:v>
                </c:pt>
                <c:pt idx="259">
                  <c:v>4.0216847369731043E-3</c:v>
                </c:pt>
                <c:pt idx="260">
                  <c:v>4.2791149831438264E-3</c:v>
                </c:pt>
                <c:pt idx="261">
                  <c:v>4.5246767917419368E-3</c:v>
                </c:pt>
                <c:pt idx="262">
                  <c:v>4.7498639153442067E-3</c:v>
                </c:pt>
                <c:pt idx="263">
                  <c:v>4.9546665811041448E-3</c:v>
                </c:pt>
                <c:pt idx="264">
                  <c:v>5.139074013227502E-3</c:v>
                </c:pt>
                <c:pt idx="265">
                  <c:v>5.3031025982563018E-3</c:v>
                </c:pt>
                <c:pt idx="266">
                  <c:v>5.4467561732190056E-3</c:v>
                </c:pt>
                <c:pt idx="267">
                  <c:v>5.5660709922785928E-3</c:v>
                </c:pt>
                <c:pt idx="268">
                  <c:v>5.667949845261696E-3</c:v>
                </c:pt>
                <c:pt idx="269">
                  <c:v>5.7523711050790046E-3</c:v>
                </c:pt>
                <c:pt idx="270">
                  <c:v>5.8193109708366319E-3</c:v>
                </c:pt>
                <c:pt idx="271">
                  <c:v>5.8687436618248294E-3</c:v>
                </c:pt>
                <c:pt idx="272">
                  <c:v>5.9006416116618001E-3</c:v>
                </c:pt>
                <c:pt idx="273">
                  <c:v>5.9149756623646981E-3</c:v>
                </c:pt>
                <c:pt idx="274">
                  <c:v>5.9117152584978227E-3</c:v>
                </c:pt>
                <c:pt idx="275">
                  <c:v>5.8915843790079622E-3</c:v>
                </c:pt>
                <c:pt idx="276">
                  <c:v>5.8682802317541333E-3</c:v>
                </c:pt>
                <c:pt idx="277">
                  <c:v>5.8417909716288853E-3</c:v>
                </c:pt>
                <c:pt idx="278">
                  <c:v>5.8121047231080554E-3</c:v>
                </c:pt>
                <c:pt idx="279">
                  <c:v>5.7792096153892886E-3</c:v>
                </c:pt>
                <c:pt idx="280">
                  <c:v>5.743093817585314E-3</c:v>
                </c:pt>
                <c:pt idx="281">
                  <c:v>5.7122946393715554E-3</c:v>
                </c:pt>
                <c:pt idx="282">
                  <c:v>5.6907861878372117E-3</c:v>
                </c:pt>
                <c:pt idx="283">
                  <c:v>5.6785766414897756E-3</c:v>
                </c:pt>
                <c:pt idx="284">
                  <c:v>5.6756743406706535E-3</c:v>
                </c:pt>
                <c:pt idx="285">
                  <c:v>5.6820876856686344E-3</c:v>
                </c:pt>
                <c:pt idx="286">
                  <c:v>5.6978250348874784E-3</c:v>
                </c:pt>
                <c:pt idx="287">
                  <c:v>5.7228946029573638E-3</c:v>
                </c:pt>
                <c:pt idx="288">
                  <c:v>5.7573043588679609E-3</c:v>
                </c:pt>
                <c:pt idx="289">
                  <c:v>5.8183001154698015E-3</c:v>
                </c:pt>
                <c:pt idx="290">
                  <c:v>5.9051533190962596E-3</c:v>
                </c:pt>
                <c:pt idx="291">
                  <c:v>6.0178945459236017E-3</c:v>
                </c:pt>
                <c:pt idx="292">
                  <c:v>6.1565528063222269E-3</c:v>
                </c:pt>
                <c:pt idx="293">
                  <c:v>6.3211552634104143E-3</c:v>
                </c:pt>
                <c:pt idx="294">
                  <c:v>6.5117269515859661E-3</c:v>
                </c:pt>
                <c:pt idx="295">
                  <c:v>6.7329591672275991E-3</c:v>
                </c:pt>
                <c:pt idx="296">
                  <c:v>6.9763496125621457E-3</c:v>
                </c:pt>
                <c:pt idx="297">
                  <c:v>7.2419806829809585E-3</c:v>
                </c:pt>
                <c:pt idx="298">
                  <c:v>7.5298808504181023E-3</c:v>
                </c:pt>
                <c:pt idx="299">
                  <c:v>7.8400783470184802E-3</c:v>
                </c:pt>
                <c:pt idx="300">
                  <c:v>8.1726009622516173E-3</c:v>
                </c:pt>
                <c:pt idx="301">
                  <c:v>8.5274758400029974E-3</c:v>
                </c:pt>
                <c:pt idx="302">
                  <c:v>8.9047292756828187E-3</c:v>
                </c:pt>
                <c:pt idx="303">
                  <c:v>9.2910405104438595E-3</c:v>
                </c:pt>
                <c:pt idx="304">
                  <c:v>9.6690539457134524E-3</c:v>
                </c:pt>
                <c:pt idx="305">
                  <c:v>1.0038748299149868E-2</c:v>
                </c:pt>
                <c:pt idx="306">
                  <c:v>1.0400100961461543E-2</c:v>
                </c:pt>
                <c:pt idx="307">
                  <c:v>1.0753088076165632E-2</c:v>
                </c:pt>
                <c:pt idx="308">
                  <c:v>1.109768461925721E-2</c:v>
                </c:pt>
                <c:pt idx="309">
                  <c:v>1.1422008700021436E-2</c:v>
                </c:pt>
                <c:pt idx="310">
                  <c:v>1.1721316057391068E-2</c:v>
                </c:pt>
                <c:pt idx="311">
                  <c:v>1.1995556428902628E-2</c:v>
                </c:pt>
                <c:pt idx="312">
                  <c:v>1.2244679446927547E-2</c:v>
                </c:pt>
                <c:pt idx="313">
                  <c:v>1.2468634870443994E-2</c:v>
                </c:pt>
                <c:pt idx="314">
                  <c:v>1.2667372816698752E-2</c:v>
                </c:pt>
                <c:pt idx="315">
                  <c:v>1.2840843993024679E-2</c:v>
                </c:pt>
                <c:pt idx="316">
                  <c:v>1.2988999928465209E-2</c:v>
                </c:pt>
                <c:pt idx="317">
                  <c:v>1.311456412550008E-2</c:v>
                </c:pt>
                <c:pt idx="318">
                  <c:v>1.3230928587816423E-2</c:v>
                </c:pt>
                <c:pt idx="319">
                  <c:v>1.3338066491019776E-2</c:v>
                </c:pt>
                <c:pt idx="320">
                  <c:v>1.3435951355133854E-2</c:v>
                </c:pt>
                <c:pt idx="321">
                  <c:v>1.3524557128130202E-2</c:v>
                </c:pt>
                <c:pt idx="322">
                  <c:v>1.3603858269516884E-2</c:v>
                </c:pt>
                <c:pt idx="323">
                  <c:v>1.3680103163371806E-2</c:v>
                </c:pt>
                <c:pt idx="324">
                  <c:v>1.3765197556769504E-2</c:v>
                </c:pt>
                <c:pt idx="325">
                  <c:v>1.3859131410193862E-2</c:v>
                </c:pt>
                <c:pt idx="326">
                  <c:v>1.3961806485411558E-2</c:v>
                </c:pt>
                <c:pt idx="327">
                  <c:v>1.4073178704715019E-2</c:v>
                </c:pt>
                <c:pt idx="328">
                  <c:v>1.4193273896679619E-2</c:v>
                </c:pt>
                <c:pt idx="329">
                  <c:v>1.4322117358781103E-2</c:v>
                </c:pt>
                <c:pt idx="330">
                  <c:v>1.4459734045829134E-2</c:v>
                </c:pt>
                <c:pt idx="331">
                  <c:v>1.4602702878084961E-2</c:v>
                </c:pt>
                <c:pt idx="332">
                  <c:v>1.4748266278957305E-2</c:v>
                </c:pt>
                <c:pt idx="333">
                  <c:v>1.4896447962363585E-2</c:v>
                </c:pt>
                <c:pt idx="334">
                  <c:v>1.5047272569558658E-2</c:v>
                </c:pt>
                <c:pt idx="335">
                  <c:v>1.5200765728280476E-2</c:v>
                </c:pt>
                <c:pt idx="336">
                  <c:v>1.5356954111701149E-2</c:v>
                </c:pt>
                <c:pt idx="337">
                  <c:v>1.5510596105688565E-2</c:v>
                </c:pt>
                <c:pt idx="338">
                  <c:v>1.565543419892404E-2</c:v>
                </c:pt>
                <c:pt idx="339">
                  <c:v>1.579149775630263E-2</c:v>
                </c:pt>
                <c:pt idx="340">
                  <c:v>1.5918817525403105E-2</c:v>
                </c:pt>
                <c:pt idx="341">
                  <c:v>1.6037425455305662E-2</c:v>
                </c:pt>
                <c:pt idx="342">
                  <c:v>1.6147354515399729E-2</c:v>
                </c:pt>
                <c:pt idx="343">
                  <c:v>1.6248638513997639E-2</c:v>
                </c:pt>
                <c:pt idx="344">
                  <c:v>1.6341311917199366E-2</c:v>
                </c:pt>
                <c:pt idx="345">
                  <c:v>1.6425409667588011E-2</c:v>
                </c:pt>
                <c:pt idx="346">
                  <c:v>1.6500964196946469E-2</c:v>
                </c:pt>
                <c:pt idx="347">
                  <c:v>1.6568010856568612E-2</c:v>
                </c:pt>
                <c:pt idx="348">
                  <c:v>1.6626584930352569E-2</c:v>
                </c:pt>
                <c:pt idx="349">
                  <c:v>1.6676721453360157E-2</c:v>
                </c:pt>
                <c:pt idx="350">
                  <c:v>1.6718455030765238E-2</c:v>
                </c:pt>
                <c:pt idx="351">
                  <c:v>1.6748366956519416E-2</c:v>
                </c:pt>
                <c:pt idx="352">
                  <c:v>1.6771763147118601E-2</c:v>
                </c:pt>
                <c:pt idx="353">
                  <c:v>1.6788676580463763E-2</c:v>
                </c:pt>
                <c:pt idx="354">
                  <c:v>1.6799139345828922E-2</c:v>
                </c:pt>
                <c:pt idx="355">
                  <c:v>1.6803182499549974E-2</c:v>
                </c:pt>
                <c:pt idx="356">
                  <c:v>1.6800847531912601E-2</c:v>
                </c:pt>
                <c:pt idx="357">
                  <c:v>1.6792125566002587E-2</c:v>
                </c:pt>
                <c:pt idx="358">
                  <c:v>1.6776966017771098E-2</c:v>
                </c:pt>
                <c:pt idx="359">
                  <c:v>1.6755317273292627E-2</c:v>
                </c:pt>
                <c:pt idx="360">
                  <c:v>1.6721840409601074E-2</c:v>
                </c:pt>
                <c:pt idx="361">
                  <c:v>1.6679938434823873E-2</c:v>
                </c:pt>
                <c:pt idx="362">
                  <c:v>1.6629555093118375E-2</c:v>
                </c:pt>
                <c:pt idx="363">
                  <c:v>1.6570633683431965E-2</c:v>
                </c:pt>
                <c:pt idx="364">
                  <c:v>1.6503117283646881E-2</c:v>
                </c:pt>
                <c:pt idx="365" formatCode="0.0000">
                  <c:v>1.6426948974516825E-2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1.7434548847240341E-2</c:v>
                </c:pt>
                <c:pt idx="1">
                  <c:v>1.7348203445612102E-2</c:v>
                </c:pt>
                <c:pt idx="2">
                  <c:v>1.7248758128033208E-2</c:v>
                </c:pt>
                <c:pt idx="3">
                  <c:v>1.7136148472738567E-2</c:v>
                </c:pt>
                <c:pt idx="4">
                  <c:v>1.7010310952536682E-2</c:v>
                </c:pt>
                <c:pt idx="5">
                  <c:v>1.6871183269334462E-2</c:v>
                </c:pt>
                <c:pt idx="6">
                  <c:v>1.6718704688877921E-2</c:v>
                </c:pt>
                <c:pt idx="7">
                  <c:v>1.6552816375110441E-2</c:v>
                </c:pt>
                <c:pt idx="8">
                  <c:v>1.6373461724771568E-2</c:v>
                </c:pt>
                <c:pt idx="9">
                  <c:v>1.6188820237352467E-2</c:v>
                </c:pt>
                <c:pt idx="10">
                  <c:v>1.6006277539716618E-2</c:v>
                </c:pt>
                <c:pt idx="11">
                  <c:v>1.5825804826086792E-2</c:v>
                </c:pt>
                <c:pt idx="12">
                  <c:v>1.5647374951576431E-2</c:v>
                </c:pt>
                <c:pt idx="13">
                  <c:v>1.5470962368676209E-2</c:v>
                </c:pt>
                <c:pt idx="14">
                  <c:v>1.5296543063477028E-2</c:v>
                </c:pt>
                <c:pt idx="15">
                  <c:v>1.5130388741520652E-2</c:v>
                </c:pt>
                <c:pt idx="16">
                  <c:v>1.4978233271144177E-2</c:v>
                </c:pt>
                <c:pt idx="17">
                  <c:v>1.4840065644429551E-2</c:v>
                </c:pt>
                <c:pt idx="18">
                  <c:v>1.471587356758928E-2</c:v>
                </c:pt>
                <c:pt idx="19">
                  <c:v>1.4605724560917086E-2</c:v>
                </c:pt>
                <c:pt idx="20">
                  <c:v>1.4509718536248193E-2</c:v>
                </c:pt>
                <c:pt idx="21">
                  <c:v>1.4427888529719339E-2</c:v>
                </c:pt>
                <c:pt idx="22">
                  <c:v>1.4360264961522373E-2</c:v>
                </c:pt>
                <c:pt idx="23">
                  <c:v>1.4298573523201602E-2</c:v>
                </c:pt>
                <c:pt idx="24">
                  <c:v>1.4234572671049559E-2</c:v>
                </c:pt>
                <c:pt idx="25">
                  <c:v>1.4168283754229219E-2</c:v>
                </c:pt>
                <c:pt idx="26">
                  <c:v>1.4099728027817223E-2</c:v>
                </c:pt>
                <c:pt idx="27">
                  <c:v>1.4028926627669656E-2</c:v>
                </c:pt>
                <c:pt idx="28">
                  <c:v>1.3955900545593211E-2</c:v>
                </c:pt>
                <c:pt idx="29">
                  <c:v>1.3867180229898012E-2</c:v>
                </c:pt>
                <c:pt idx="30">
                  <c:v>1.3756482544116889E-2</c:v>
                </c:pt>
                <c:pt idx="31">
                  <c:v>1.3623830502622551E-2</c:v>
                </c:pt>
                <c:pt idx="32">
                  <c:v>1.3469248109544923E-2</c:v>
                </c:pt>
                <c:pt idx="33">
                  <c:v>1.329276008628905E-2</c:v>
                </c:pt>
                <c:pt idx="34">
                  <c:v>1.3094391599115039E-2</c:v>
                </c:pt>
                <c:pt idx="35">
                  <c:v>1.2874167986704857E-2</c:v>
                </c:pt>
                <c:pt idx="36">
                  <c:v>1.2632114487700777E-2</c:v>
                </c:pt>
                <c:pt idx="37">
                  <c:v>1.2367061474162083E-2</c:v>
                </c:pt>
                <c:pt idx="38">
                  <c:v>1.2087332795766681E-2</c:v>
                </c:pt>
                <c:pt idx="39">
                  <c:v>1.1792949883297115E-2</c:v>
                </c:pt>
                <c:pt idx="40">
                  <c:v>1.1483932930888245E-2</c:v>
                </c:pt>
                <c:pt idx="41">
                  <c:v>1.1160300712513898E-2</c:v>
                </c:pt>
                <c:pt idx="42">
                  <c:v>1.0822070398387219E-2</c:v>
                </c:pt>
                <c:pt idx="43">
                  <c:v>1.0484485163227352E-2</c:v>
                </c:pt>
                <c:pt idx="44">
                  <c:v>1.0161030773741543E-2</c:v>
                </c:pt>
                <c:pt idx="45">
                  <c:v>9.8517122494946475E-3</c:v>
                </c:pt>
                <c:pt idx="46">
                  <c:v>9.5565334765251152E-3</c:v>
                </c:pt>
                <c:pt idx="47">
                  <c:v>9.2754973830327433E-3</c:v>
                </c:pt>
                <c:pt idx="48">
                  <c:v>9.008606114936115E-3</c:v>
                </c:pt>
                <c:pt idx="49">
                  <c:v>8.7558612115187021E-3</c:v>
                </c:pt>
                <c:pt idx="50">
                  <c:v>8.5172637810176088E-3</c:v>
                </c:pt>
                <c:pt idx="51">
                  <c:v>8.3037652734625819E-3</c:v>
                </c:pt>
                <c:pt idx="52">
                  <c:v>8.1165150981362365E-3</c:v>
                </c:pt>
                <c:pt idx="53">
                  <c:v>7.9554653931643363E-3</c:v>
                </c:pt>
                <c:pt idx="54">
                  <c:v>7.8206112779477099E-3</c:v>
                </c:pt>
                <c:pt idx="55">
                  <c:v>7.7119485418626031E-3</c:v>
                </c:pt>
                <c:pt idx="56">
                  <c:v>7.6294735474328685E-3</c:v>
                </c:pt>
                <c:pt idx="57">
                  <c:v>7.5742674149656443E-3</c:v>
                </c:pt>
                <c:pt idx="58">
                  <c:v>7.5311061511529297E-3</c:v>
                </c:pt>
                <c:pt idx="59">
                  <c:v>7.4999869921834527E-3</c:v>
                </c:pt>
                <c:pt idx="60">
                  <c:v>7.4809073031222861E-3</c:v>
                </c:pt>
                <c:pt idx="61">
                  <c:v>7.4738645333894006E-3</c:v>
                </c:pt>
                <c:pt idx="62">
                  <c:v>7.4788561722270164E-3</c:v>
                </c:pt>
                <c:pt idx="63">
                  <c:v>7.4958797041893826E-3</c:v>
                </c:pt>
                <c:pt idx="64">
                  <c:v>7.5249325646027142E-3</c:v>
                </c:pt>
                <c:pt idx="65">
                  <c:v>7.561957861513125E-3</c:v>
                </c:pt>
                <c:pt idx="66">
                  <c:v>7.5960016916363348E-3</c:v>
                </c:pt>
                <c:pt idx="67">
                  <c:v>7.6270610456525591E-3</c:v>
                </c:pt>
                <c:pt idx="68">
                  <c:v>7.6551329006262873E-3</c:v>
                </c:pt>
                <c:pt idx="69">
                  <c:v>7.6802142309689214E-3</c:v>
                </c:pt>
                <c:pt idx="70">
                  <c:v>7.7023020194368725E-3</c:v>
                </c:pt>
                <c:pt idx="71">
                  <c:v>7.7052955126377448E-3</c:v>
                </c:pt>
                <c:pt idx="72">
                  <c:v>7.688108119799743E-3</c:v>
                </c:pt>
                <c:pt idx="73">
                  <c:v>7.6507380537217395E-3</c:v>
                </c:pt>
                <c:pt idx="74">
                  <c:v>7.5931840699618863E-3</c:v>
                </c:pt>
                <c:pt idx="75">
                  <c:v>7.515445541401068E-3</c:v>
                </c:pt>
                <c:pt idx="76">
                  <c:v>7.4175225327826151E-3</c:v>
                </c:pt>
                <c:pt idx="77">
                  <c:v>7.2994158752766524E-3</c:v>
                </c:pt>
                <c:pt idx="78">
                  <c:v>7.161127478776206E-3</c:v>
                </c:pt>
                <c:pt idx="79">
                  <c:v>6.99212951177265E-3</c:v>
                </c:pt>
                <c:pt idx="80">
                  <c:v>6.7964965432377612E-3</c:v>
                </c:pt>
                <c:pt idx="81">
                  <c:v>6.5742302555685346E-3</c:v>
                </c:pt>
                <c:pt idx="82">
                  <c:v>6.3253326584237534E-3</c:v>
                </c:pt>
                <c:pt idx="83">
                  <c:v>6.0498061740937754E-3</c:v>
                </c:pt>
                <c:pt idx="84">
                  <c:v>5.7476537228909009E-3</c:v>
                </c:pt>
                <c:pt idx="85">
                  <c:v>5.4282024009129747E-3</c:v>
                </c:pt>
                <c:pt idx="86">
                  <c:v>5.1075430725765749E-3</c:v>
                </c:pt>
                <c:pt idx="87">
                  <c:v>4.785676304060806E-3</c:v>
                </c:pt>
                <c:pt idx="88">
                  <c:v>4.4626030899465674E-3</c:v>
                </c:pt>
                <c:pt idx="89">
                  <c:v>4.1383248571642143E-3</c:v>
                </c:pt>
                <c:pt idx="90">
                  <c:v>3.8128434689323476E-3</c:v>
                </c:pt>
                <c:pt idx="91">
                  <c:v>3.4861612287129412E-3</c:v>
                </c:pt>
                <c:pt idx="92">
                  <c:v>3.1582808841536959E-3</c:v>
                </c:pt>
                <c:pt idx="93">
                  <c:v>2.8409648638004323E-3</c:v>
                </c:pt>
                <c:pt idx="94">
                  <c:v>2.5447624564457266E-3</c:v>
                </c:pt>
                <c:pt idx="95">
                  <c:v>2.2696718179651288E-3</c:v>
                </c:pt>
                <c:pt idx="96">
                  <c:v>2.0156908552302101E-3</c:v>
                </c:pt>
                <c:pt idx="97">
                  <c:v>1.7828171585475313E-3</c:v>
                </c:pt>
                <c:pt idx="98">
                  <c:v>1.5710479340754085E-3</c:v>
                </c:pt>
                <c:pt idx="99">
                  <c:v>1.3868906844781053E-3</c:v>
                </c:pt>
                <c:pt idx="100">
                  <c:v>1.221026964634611E-3</c:v>
                </c:pt>
                <c:pt idx="101">
                  <c:v>1.0734533184445152E-3</c:v>
                </c:pt>
                <c:pt idx="102">
                  <c:v>9.4416574660124313E-4</c:v>
                </c:pt>
                <c:pt idx="103">
                  <c:v>8.3315964799712122E-4</c:v>
                </c:pt>
                <c:pt idx="104">
                  <c:v>7.4042976115220086E-4</c:v>
                </c:pt>
                <c:pt idx="105">
                  <c:v>6.6597010562084518E-4</c:v>
                </c:pt>
                <c:pt idx="106">
                  <c:v>6.0977392341018076E-4</c:v>
                </c:pt>
                <c:pt idx="107">
                  <c:v>5.758705675004708E-4</c:v>
                </c:pt>
                <c:pt idx="108">
                  <c:v>5.5251223492003092E-4</c:v>
                </c:pt>
                <c:pt idx="109">
                  <c:v>5.3969372296642473E-4</c:v>
                </c:pt>
                <c:pt idx="110">
                  <c:v>5.3741079018471171E-4</c:v>
                </c:pt>
                <c:pt idx="111">
                  <c:v>5.4565872456413295E-4</c:v>
                </c:pt>
                <c:pt idx="112">
                  <c:v>5.6443098866192402E-4</c:v>
                </c:pt>
                <c:pt idx="113">
                  <c:v>5.9562047576967479E-4</c:v>
                </c:pt>
                <c:pt idx="114">
                  <c:v>6.327244688436619E-4</c:v>
                </c:pt>
                <c:pt idx="115">
                  <c:v>6.7573846724370342E-4</c:v>
                </c:pt>
                <c:pt idx="116">
                  <c:v>7.2465775264726404E-4</c:v>
                </c:pt>
                <c:pt idx="117">
                  <c:v>7.7947737608431071E-4</c:v>
                </c:pt>
                <c:pt idx="118">
                  <c:v>8.4019214496589565E-4</c:v>
                </c:pt>
                <c:pt idx="119">
                  <c:v>9.067966101144264E-4</c:v>
                </c:pt>
                <c:pt idx="120">
                  <c:v>9.7928505279235305E-4</c:v>
                </c:pt>
                <c:pt idx="121">
                  <c:v>1.057529856521743E-3</c:v>
                </c:pt>
                <c:pt idx="122">
                  <c:v>1.137501191248643E-3</c:v>
                </c:pt>
                <c:pt idx="123">
                  <c:v>1.219195791654086E-3</c:v>
                </c:pt>
                <c:pt idx="124">
                  <c:v>1.3026102479431929E-3</c:v>
                </c:pt>
                <c:pt idx="125">
                  <c:v>1.3877410019675492E-3</c:v>
                </c:pt>
                <c:pt idx="126">
                  <c:v>1.4745843433311575E-3</c:v>
                </c:pt>
                <c:pt idx="127">
                  <c:v>1.5628744003102874E-3</c:v>
                </c:pt>
                <c:pt idx="128">
                  <c:v>1.6507149658883231E-3</c:v>
                </c:pt>
                <c:pt idx="129">
                  <c:v>1.7381038910671276E-3</c:v>
                </c:pt>
                <c:pt idx="130">
                  <c:v>1.8250389683960588E-3</c:v>
                </c:pt>
                <c:pt idx="131">
                  <c:v>1.9115179327967565E-3</c:v>
                </c:pt>
                <c:pt idx="132">
                  <c:v>1.9975384624017073E-3</c:v>
                </c:pt>
                <c:pt idx="133">
                  <c:v>2.0830981794054374E-3</c:v>
                </c:pt>
                <c:pt idx="134">
                  <c:v>2.1681946509072717E-3</c:v>
                </c:pt>
                <c:pt idx="135">
                  <c:v>2.2531327925750513E-3</c:v>
                </c:pt>
                <c:pt idx="136">
                  <c:v>2.3380307521116269E-3</c:v>
                </c:pt>
                <c:pt idx="137">
                  <c:v>2.4228854264956115E-3</c:v>
                </c:pt>
                <c:pt idx="138">
                  <c:v>2.507693634404405E-3</c:v>
                </c:pt>
                <c:pt idx="139">
                  <c:v>2.5924521161731326E-3</c:v>
                </c:pt>
                <c:pt idx="140">
                  <c:v>2.6771575336153558E-3</c:v>
                </c:pt>
                <c:pt idx="141">
                  <c:v>2.7607538387879596E-3</c:v>
                </c:pt>
                <c:pt idx="142">
                  <c:v>2.843483832433854E-3</c:v>
                </c:pt>
                <c:pt idx="143">
                  <c:v>2.9253306237113797E-3</c:v>
                </c:pt>
                <c:pt idx="144">
                  <c:v>3.0062939862648859E-3</c:v>
                </c:pt>
                <c:pt idx="145">
                  <c:v>3.0863742284543754E-3</c:v>
                </c:pt>
                <c:pt idx="146">
                  <c:v>3.165572183285443E-3</c:v>
                </c:pt>
                <c:pt idx="147">
                  <c:v>3.2438891984409171E-3</c:v>
                </c:pt>
                <c:pt idx="148">
                  <c:v>3.3213271262407737E-3</c:v>
                </c:pt>
                <c:pt idx="149">
                  <c:v>3.3966686511536504E-3</c:v>
                </c:pt>
                <c:pt idx="150">
                  <c:v>3.469613529238236E-3</c:v>
                </c:pt>
                <c:pt idx="151">
                  <c:v>3.5401678287719398E-3</c:v>
                </c:pt>
                <c:pt idx="152">
                  <c:v>3.6083381607592332E-3</c:v>
                </c:pt>
                <c:pt idx="153">
                  <c:v>3.6741316483299485E-3</c:v>
                </c:pt>
                <c:pt idx="154">
                  <c:v>3.73755589615657E-3</c:v>
                </c:pt>
                <c:pt idx="155">
                  <c:v>3.7969889096853282E-3</c:v>
                </c:pt>
                <c:pt idx="156">
                  <c:v>3.8534860715299757E-3</c:v>
                </c:pt>
                <c:pt idx="157">
                  <c:v>3.9070573716249212E-3</c:v>
                </c:pt>
                <c:pt idx="158">
                  <c:v>3.9577131544041404E-3</c:v>
                </c:pt>
                <c:pt idx="159">
                  <c:v>4.005464080266169E-3</c:v>
                </c:pt>
                <c:pt idx="160">
                  <c:v>4.0503210870874926E-3</c:v>
                </c:pt>
                <c:pt idx="161">
                  <c:v>4.0922953516914877E-3</c:v>
                </c:pt>
                <c:pt idx="162">
                  <c:v>4.1313982513384254E-3</c:v>
                </c:pt>
                <c:pt idx="163">
                  <c:v>4.165702438630286E-3</c:v>
                </c:pt>
                <c:pt idx="164">
                  <c:v>4.1964315142128342E-3</c:v>
                </c:pt>
                <c:pt idx="165">
                  <c:v>4.2235985069102823E-3</c:v>
                </c:pt>
                <c:pt idx="166">
                  <c:v>4.2472164389119301E-3</c:v>
                </c:pt>
                <c:pt idx="167">
                  <c:v>4.2672982772629488E-3</c:v>
                </c:pt>
                <c:pt idx="168">
                  <c:v>4.283856885490084E-3</c:v>
                </c:pt>
                <c:pt idx="169">
                  <c:v>4.2949729565940186E-3</c:v>
                </c:pt>
                <c:pt idx="170">
                  <c:v>4.3022773824516469E-3</c:v>
                </c:pt>
                <c:pt idx="171">
                  <c:v>4.3057828322298651E-3</c:v>
                </c:pt>
                <c:pt idx="172">
                  <c:v>4.30550163325049E-3</c:v>
                </c:pt>
                <c:pt idx="173">
                  <c:v>4.3014017315617294E-3</c:v>
                </c:pt>
                <c:pt idx="174">
                  <c:v>4.2934486221396966E-3</c:v>
                </c:pt>
                <c:pt idx="175">
                  <c:v>4.2816506620931109E-3</c:v>
                </c:pt>
                <c:pt idx="176">
                  <c:v>4.2660161831663788E-3</c:v>
                </c:pt>
                <c:pt idx="177">
                  <c:v>4.2449440110372116E-3</c:v>
                </c:pt>
                <c:pt idx="178">
                  <c:v>4.2203679006427054E-3</c:v>
                </c:pt>
                <c:pt idx="179">
                  <c:v>4.1922954885177961E-3</c:v>
                </c:pt>
                <c:pt idx="180">
                  <c:v>4.1607342978077786E-3</c:v>
                </c:pt>
                <c:pt idx="181">
                  <c:v>4.1256917175015477E-3</c:v>
                </c:pt>
                <c:pt idx="182">
                  <c:v>4.0871749817016391E-3</c:v>
                </c:pt>
                <c:pt idx="183">
                  <c:v>4.0439948239124395E-3</c:v>
                </c:pt>
                <c:pt idx="184">
                  <c:v>3.9980773039297044E-3</c:v>
                </c:pt>
                <c:pt idx="185">
                  <c:v>3.949428022852035E-3</c:v>
                </c:pt>
                <c:pt idx="186">
                  <c:v>3.8980523705138925E-3</c:v>
                </c:pt>
                <c:pt idx="187">
                  <c:v>3.8439555090119676E-3</c:v>
                </c:pt>
                <c:pt idx="188">
                  <c:v>3.787142356252157E-3</c:v>
                </c:pt>
                <c:pt idx="189">
                  <c:v>3.7276175693791436E-3</c:v>
                </c:pt>
                <c:pt idx="190">
                  <c:v>3.66538552836961E-3</c:v>
                </c:pt>
                <c:pt idx="191">
                  <c:v>3.5994257976799272E-3</c:v>
                </c:pt>
                <c:pt idx="192">
                  <c:v>3.5313416616608783E-3</c:v>
                </c:pt>
                <c:pt idx="193">
                  <c:v>3.4611358429634284E-3</c:v>
                </c:pt>
                <c:pt idx="194">
                  <c:v>3.3888107583929425E-3</c:v>
                </c:pt>
                <c:pt idx="195">
                  <c:v>3.3143685058901733E-3</c:v>
                </c:pt>
                <c:pt idx="196">
                  <c:v>3.2378108513774918E-3</c:v>
                </c:pt>
                <c:pt idx="197">
                  <c:v>3.1594369948936946E-3</c:v>
                </c:pt>
                <c:pt idx="198">
                  <c:v>3.0804365465935532E-3</c:v>
                </c:pt>
                <c:pt idx="199">
                  <c:v>3.0008087617213828E-3</c:v>
                </c:pt>
                <c:pt idx="200">
                  <c:v>2.9205526468282896E-3</c:v>
                </c:pt>
                <c:pt idx="201">
                  <c:v>2.8396669554521543E-3</c:v>
                </c:pt>
                <c:pt idx="202">
                  <c:v>2.7581501838180597E-3</c:v>
                </c:pt>
                <c:pt idx="203">
                  <c:v>2.6760005666001162E-3</c:v>
                </c:pt>
                <c:pt idx="204">
                  <c:v>2.5932118849787875E-3</c:v>
                </c:pt>
                <c:pt idx="205">
                  <c:v>2.5095241316524649E-3</c:v>
                </c:pt>
                <c:pt idx="206">
                  <c:v>2.4259532754184088E-3</c:v>
                </c:pt>
                <c:pt idx="207">
                  <c:v>2.3424950757606929E-3</c:v>
                </c:pt>
                <c:pt idx="208">
                  <c:v>2.2591453988348282E-3</c:v>
                </c:pt>
                <c:pt idx="209">
                  <c:v>2.1759002172999499E-3</c:v>
                </c:pt>
                <c:pt idx="210">
                  <c:v>2.0927556102275082E-3</c:v>
                </c:pt>
                <c:pt idx="211">
                  <c:v>2.0095908662297393E-3</c:v>
                </c:pt>
                <c:pt idx="212">
                  <c:v>1.9261055955015506E-3</c:v>
                </c:pt>
                <c:pt idx="213">
                  <c:v>1.8422963502084072E-3</c:v>
                </c:pt>
                <c:pt idx="214">
                  <c:v>1.7581597598954242E-3</c:v>
                </c:pt>
                <c:pt idx="215">
                  <c:v>1.6736925326406903E-3</c:v>
                </c:pt>
                <c:pt idx="216">
                  <c:v>1.5888914562011669E-3</c:v>
                </c:pt>
                <c:pt idx="217">
                  <c:v>1.5037533991645218E-3</c:v>
                </c:pt>
                <c:pt idx="218">
                  <c:v>1.4182753120912169E-3</c:v>
                </c:pt>
                <c:pt idx="219">
                  <c:v>1.3342753711526533E-3</c:v>
                </c:pt>
                <c:pt idx="220">
                  <c:v>1.2520024449834356E-3</c:v>
                </c:pt>
                <c:pt idx="221">
                  <c:v>1.1714535103269665E-3</c:v>
                </c:pt>
                <c:pt idx="222">
                  <c:v>1.0926257406750454E-3</c:v>
                </c:pt>
                <c:pt idx="223">
                  <c:v>1.0155165009939947E-3</c:v>
                </c:pt>
                <c:pt idx="224">
                  <c:v>9.4012334241952357E-4</c:v>
                </c:pt>
                <c:pt idx="225">
                  <c:v>8.7030867458072134E-4</c:v>
                </c:pt>
                <c:pt idx="226">
                  <c:v>8.0618715552204336E-4</c:v>
                </c:pt>
                <c:pt idx="227">
                  <c:v>7.4775700891206568E-4</c:v>
                </c:pt>
                <c:pt idx="228">
                  <c:v>6.9501679008403532E-4</c:v>
                </c:pt>
                <c:pt idx="229">
                  <c:v>6.4796536835527881E-4</c:v>
                </c:pt>
                <c:pt idx="230">
                  <c:v>6.0660190935960846E-4</c:v>
                </c:pt>
                <c:pt idx="231">
                  <c:v>5.7092585738021567E-4</c:v>
                </c:pt>
                <c:pt idx="232">
                  <c:v>5.4093691766944239E-4</c:v>
                </c:pt>
                <c:pt idx="233">
                  <c:v>5.2286196614043502E-4</c:v>
                </c:pt>
                <c:pt idx="234">
                  <c:v>5.1488088768003105E-4</c:v>
                </c:pt>
                <c:pt idx="235">
                  <c:v>5.1699528421469618E-4</c:v>
                </c:pt>
                <c:pt idx="236">
                  <c:v>5.2920727543092456E-4</c:v>
                </c:pt>
                <c:pt idx="237">
                  <c:v>5.5151905047231523E-4</c:v>
                </c:pt>
                <c:pt idx="238">
                  <c:v>5.8393322279774805E-4</c:v>
                </c:pt>
                <c:pt idx="239">
                  <c:v>6.376974483798208E-4</c:v>
                </c:pt>
                <c:pt idx="240">
                  <c:v>7.0895106554518894E-4</c:v>
                </c:pt>
                <c:pt idx="241">
                  <c:v>7.9770046453994973E-4</c:v>
                </c:pt>
                <c:pt idx="242">
                  <c:v>9.0395287937666824E-4</c:v>
                </c:pt>
                <c:pt idx="243">
                  <c:v>1.0277164186778696E-3</c:v>
                </c:pt>
                <c:pt idx="244">
                  <c:v>1.1690000965186571E-3</c:v>
                </c:pt>
                <c:pt idx="245">
                  <c:v>1.3278138632591787E-3</c:v>
                </c:pt>
                <c:pt idx="246">
                  <c:v>1.5041686363688363E-3</c:v>
                </c:pt>
                <c:pt idx="247">
                  <c:v>1.7069956266383261E-3</c:v>
                </c:pt>
                <c:pt idx="248">
                  <c:v>1.9300757698978621E-3</c:v>
                </c:pt>
                <c:pt idx="249">
                  <c:v>2.1734246220948624E-3</c:v>
                </c:pt>
                <c:pt idx="250">
                  <c:v>2.4370589822975807E-3</c:v>
                </c:pt>
                <c:pt idx="251">
                  <c:v>2.7209969283194992E-3</c:v>
                </c:pt>
                <c:pt idx="252">
                  <c:v>3.0252578522589422E-3</c:v>
                </c:pt>
                <c:pt idx="253">
                  <c:v>3.3397546476239687E-3</c:v>
                </c:pt>
                <c:pt idx="254">
                  <c:v>3.6532336317032055E-3</c:v>
                </c:pt>
                <c:pt idx="255">
                  <c:v>3.9657039385352427E-3</c:v>
                </c:pt>
                <c:pt idx="256">
                  <c:v>4.2771748516003232E-3</c:v>
                </c:pt>
                <c:pt idx="257">
                  <c:v>4.5876558017103573E-3</c:v>
                </c:pt>
                <c:pt idx="258">
                  <c:v>4.8971563649303157E-3</c:v>
                </c:pt>
                <c:pt idx="259">
                  <c:v>5.2056862605735759E-3</c:v>
                </c:pt>
                <c:pt idx="260">
                  <c:v>5.5132553490564598E-3</c:v>
                </c:pt>
                <c:pt idx="261">
                  <c:v>5.8044355215713887E-3</c:v>
                </c:pt>
                <c:pt idx="262">
                  <c:v>6.0702743004880854E-3</c:v>
                </c:pt>
                <c:pt idx="263">
                  <c:v>6.3107590833283685E-3</c:v>
                </c:pt>
                <c:pt idx="264">
                  <c:v>6.5258760169968032E-3</c:v>
                </c:pt>
                <c:pt idx="265">
                  <c:v>6.7156456617344651E-3</c:v>
                </c:pt>
                <c:pt idx="266">
                  <c:v>6.8800723737206769E-3</c:v>
                </c:pt>
                <c:pt idx="267">
                  <c:v>7.0152352833086472E-3</c:v>
                </c:pt>
                <c:pt idx="268">
                  <c:v>7.1312528668006879E-3</c:v>
                </c:pt>
                <c:pt idx="269">
                  <c:v>7.2281005544145354E-3</c:v>
                </c:pt>
                <c:pt idx="270">
                  <c:v>7.30575137085756E-3</c:v>
                </c:pt>
                <c:pt idx="271">
                  <c:v>7.3641761485245833E-3</c:v>
                </c:pt>
                <c:pt idx="272">
                  <c:v>7.4033437408909906E-3</c:v>
                </c:pt>
                <c:pt idx="273">
                  <c:v>7.4232212358143739E-3</c:v>
                </c:pt>
                <c:pt idx="274">
                  <c:v>7.4237741689329693E-3</c:v>
                </c:pt>
                <c:pt idx="275">
                  <c:v>7.4060123590169785E-3</c:v>
                </c:pt>
                <c:pt idx="276">
                  <c:v>7.3854313536240602E-3</c:v>
                </c:pt>
                <c:pt idx="277">
                  <c:v>7.3620181938334707E-3</c:v>
                </c:pt>
                <c:pt idx="278">
                  <c:v>7.3357598970082887E-3</c:v>
                </c:pt>
                <c:pt idx="279">
                  <c:v>7.3066434882110183E-3</c:v>
                </c:pt>
                <c:pt idx="280">
                  <c:v>7.2746560316882692E-3</c:v>
                </c:pt>
                <c:pt idx="281">
                  <c:v>7.2503769196345207E-3</c:v>
                </c:pt>
                <c:pt idx="282">
                  <c:v>7.2377334214880351E-3</c:v>
                </c:pt>
                <c:pt idx="283">
                  <c:v>7.2367357238886437E-3</c:v>
                </c:pt>
                <c:pt idx="284">
                  <c:v>7.2473941537414726E-3</c:v>
                </c:pt>
                <c:pt idx="285">
                  <c:v>7.2697190507796149E-3</c:v>
                </c:pt>
                <c:pt idx="286">
                  <c:v>7.303720640195928E-3</c:v>
                </c:pt>
                <c:pt idx="287">
                  <c:v>7.349408905203263E-3</c:v>
                </c:pt>
                <c:pt idx="288">
                  <c:v>7.406793459622224E-3</c:v>
                </c:pt>
                <c:pt idx="289">
                  <c:v>7.4906677350978458E-3</c:v>
                </c:pt>
                <c:pt idx="290">
                  <c:v>7.600008698892961E-3</c:v>
                </c:pt>
                <c:pt idx="291">
                  <c:v>7.7348440461173706E-3</c:v>
                </c:pt>
                <c:pt idx="292">
                  <c:v>7.8951998304055346E-3</c:v>
                </c:pt>
                <c:pt idx="293">
                  <c:v>8.0811001868604567E-3</c:v>
                </c:pt>
                <c:pt idx="294">
                  <c:v>8.2925670549690196E-3</c:v>
                </c:pt>
                <c:pt idx="295">
                  <c:v>8.5284583540688359E-3</c:v>
                </c:pt>
                <c:pt idx="296">
                  <c:v>8.7782242823774836E-3</c:v>
                </c:pt>
                <c:pt idx="297">
                  <c:v>9.0419492418105634E-3</c:v>
                </c:pt>
                <c:pt idx="298">
                  <c:v>9.3196486317939642E-3</c:v>
                </c:pt>
                <c:pt idx="299">
                  <c:v>9.6113373465614767E-3</c:v>
                </c:pt>
                <c:pt idx="300">
                  <c:v>9.917029648894753E-3</c:v>
                </c:pt>
                <c:pt idx="301">
                  <c:v>1.0236739043835395E-2</c:v>
                </c:pt>
                <c:pt idx="302">
                  <c:v>1.057047815241843E-2</c:v>
                </c:pt>
                <c:pt idx="303">
                  <c:v>1.0905087394587393E-2</c:v>
                </c:pt>
                <c:pt idx="304">
                  <c:v>1.1225669194281659E-2</c:v>
                </c:pt>
                <c:pt idx="305">
                  <c:v>1.1532192724779284E-2</c:v>
                </c:pt>
                <c:pt idx="306">
                  <c:v>1.1824626078258266E-2</c:v>
                </c:pt>
                <c:pt idx="307">
                  <c:v>1.2102936397828919E-2</c:v>
                </c:pt>
                <c:pt idx="308">
                  <c:v>1.2367090009465282E-2</c:v>
                </c:pt>
                <c:pt idx="309">
                  <c:v>1.2608922220829787E-2</c:v>
                </c:pt>
                <c:pt idx="310">
                  <c:v>1.2829557560386732E-2</c:v>
                </c:pt>
                <c:pt idx="311">
                  <c:v>1.302895141279096E-2</c:v>
                </c:pt>
                <c:pt idx="312">
                  <c:v>1.3207059197722667E-2</c:v>
                </c:pt>
                <c:pt idx="313">
                  <c:v>1.3363836565851257E-2</c:v>
                </c:pt>
                <c:pt idx="314">
                  <c:v>1.3499239594679959E-2</c:v>
                </c:pt>
                <c:pt idx="315">
                  <c:v>1.3613224984557623E-2</c:v>
                </c:pt>
                <c:pt idx="316">
                  <c:v>1.3705750254483706E-2</c:v>
                </c:pt>
                <c:pt idx="317">
                  <c:v>1.3782968287923579E-2</c:v>
                </c:pt>
                <c:pt idx="318">
                  <c:v>1.3858104908593523E-2</c:v>
                </c:pt>
                <c:pt idx="319">
                  <c:v>1.3931142508768682E-2</c:v>
                </c:pt>
                <c:pt idx="320">
                  <c:v>1.4002063386861129E-2</c:v>
                </c:pt>
                <c:pt idx="321">
                  <c:v>1.4070849765425796E-2</c:v>
                </c:pt>
                <c:pt idx="322">
                  <c:v>1.4137483809227172E-2</c:v>
                </c:pt>
                <c:pt idx="323">
                  <c:v>1.4210085867752501E-2</c:v>
                </c:pt>
                <c:pt idx="324">
                  <c:v>1.4296822587168653E-2</c:v>
                </c:pt>
                <c:pt idx="325">
                  <c:v>1.4397687882514141E-2</c:v>
                </c:pt>
                <c:pt idx="326">
                  <c:v>1.4512583426765884E-2</c:v>
                </c:pt>
                <c:pt idx="327">
                  <c:v>1.4641466306092525E-2</c:v>
                </c:pt>
                <c:pt idx="328">
                  <c:v>1.4784365436202136E-2</c:v>
                </c:pt>
                <c:pt idx="329">
                  <c:v>1.4941308507645424E-2</c:v>
                </c:pt>
                <c:pt idx="330">
                  <c:v>1.5112322284570771E-2</c:v>
                </c:pt>
                <c:pt idx="331">
                  <c:v>1.5291755478814534E-2</c:v>
                </c:pt>
                <c:pt idx="332">
                  <c:v>1.5473414453284037E-2</c:v>
                </c:pt>
                <c:pt idx="333">
                  <c:v>1.5657322373022326E-2</c:v>
                </c:pt>
                <c:pt idx="334">
                  <c:v>1.5843503664964922E-2</c:v>
                </c:pt>
                <c:pt idx="335">
                  <c:v>1.6031984069527227E-2</c:v>
                </c:pt>
                <c:pt idx="336">
                  <c:v>1.6222790691987673E-2</c:v>
                </c:pt>
                <c:pt idx="337">
                  <c:v>1.6408600509901741E-2</c:v>
                </c:pt>
                <c:pt idx="338">
                  <c:v>1.6581288219114101E-2</c:v>
                </c:pt>
                <c:pt idx="339">
                  <c:v>1.6740884259918473E-2</c:v>
                </c:pt>
                <c:pt idx="340">
                  <c:v>1.6887420776721541E-2</c:v>
                </c:pt>
                <c:pt idx="341">
                  <c:v>1.7020931347152071E-2</c:v>
                </c:pt>
                <c:pt idx="342">
                  <c:v>1.7141450711159894E-2</c:v>
                </c:pt>
                <c:pt idx="343">
                  <c:v>1.7249014499908569E-2</c:v>
                </c:pt>
                <c:pt idx="344">
                  <c:v>1.7343658964934665E-2</c:v>
                </c:pt>
                <c:pt idx="345">
                  <c:v>1.7425420707127322E-2</c:v>
                </c:pt>
                <c:pt idx="346">
                  <c:v>1.7497558383397439E-2</c:v>
                </c:pt>
                <c:pt idx="347">
                  <c:v>1.7560109122481921E-2</c:v>
                </c:pt>
                <c:pt idx="348">
                  <c:v>1.7613109870767668E-2</c:v>
                </c:pt>
                <c:pt idx="349">
                  <c:v>1.7656597188164199E-2</c:v>
                </c:pt>
                <c:pt idx="350">
                  <c:v>1.7690607044388251E-2</c:v>
                </c:pt>
                <c:pt idx="351">
                  <c:v>1.7712714163176949E-2</c:v>
                </c:pt>
                <c:pt idx="352">
                  <c:v>1.7730310032358483E-2</c:v>
                </c:pt>
                <c:pt idx="353">
                  <c:v>1.7743430156299853E-2</c:v>
                </c:pt>
                <c:pt idx="354">
                  <c:v>1.7752109406252926E-2</c:v>
                </c:pt>
                <c:pt idx="355">
                  <c:v>1.7756381917226546E-2</c:v>
                </c:pt>
                <c:pt idx="356">
                  <c:v>1.7756293256374074E-2</c:v>
                </c:pt>
                <c:pt idx="357">
                  <c:v>1.7751836212799674E-2</c:v>
                </c:pt>
                <c:pt idx="358">
                  <c:v>1.7742959917798957E-2</c:v>
                </c:pt>
                <c:pt idx="359">
                  <c:v>1.7729612768668804E-2</c:v>
                </c:pt>
                <c:pt idx="360">
                  <c:v>1.7704367203279239E-2</c:v>
                </c:pt>
                <c:pt idx="361">
                  <c:v>1.7669629062181898E-2</c:v>
                </c:pt>
                <c:pt idx="362">
                  <c:v>1.7625338649371394E-2</c:v>
                </c:pt>
                <c:pt idx="363">
                  <c:v>1.7571435636433777E-2</c:v>
                </c:pt>
                <c:pt idx="364">
                  <c:v>1.7507859314710172E-2</c:v>
                </c:pt>
                <c:pt idx="365">
                  <c:v>1.7434548847240341E-2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1.8709852057295868E-2</c:v>
                </c:pt>
                <c:pt idx="1">
                  <c:v>1.8650829471439156E-2</c:v>
                </c:pt>
                <c:pt idx="2">
                  <c:v>1.8577812294594442E-2</c:v>
                </c:pt>
                <c:pt idx="3">
                  <c:v>1.8490731786608313E-2</c:v>
                </c:pt>
                <c:pt idx="4">
                  <c:v>1.8389519824076498E-2</c:v>
                </c:pt>
                <c:pt idx="5">
                  <c:v>1.8274109258536429E-2</c:v>
                </c:pt>
                <c:pt idx="6">
                  <c:v>1.8144434274893703E-2</c:v>
                </c:pt>
                <c:pt idx="7">
                  <c:v>1.8000430749434887E-2</c:v>
                </c:pt>
                <c:pt idx="8">
                  <c:v>1.7842036608099823E-2</c:v>
                </c:pt>
                <c:pt idx="9">
                  <c:v>1.767203376242588E-2</c:v>
                </c:pt>
                <c:pt idx="10">
                  <c:v>1.7496307347395518E-2</c:v>
                </c:pt>
                <c:pt idx="11">
                  <c:v>1.7314814380640271E-2</c:v>
                </c:pt>
                <c:pt idx="12">
                  <c:v>1.7127514309576309E-2</c:v>
                </c:pt>
                <c:pt idx="13">
                  <c:v>1.6934369146480794E-2</c:v>
                </c:pt>
                <c:pt idx="14">
                  <c:v>1.6735343603279738E-2</c:v>
                </c:pt>
                <c:pt idx="15">
                  <c:v>1.6539168186866859E-2</c:v>
                </c:pt>
                <c:pt idx="16">
                  <c:v>1.6353994844018737E-2</c:v>
                </c:pt>
                <c:pt idx="17">
                  <c:v>1.6179809560187261E-2</c:v>
                </c:pt>
                <c:pt idx="18">
                  <c:v>1.6016597954065005E-2</c:v>
                </c:pt>
                <c:pt idx="19">
                  <c:v>1.5864433472940111E-2</c:v>
                </c:pt>
                <c:pt idx="20">
                  <c:v>1.5723425077592376E-2</c:v>
                </c:pt>
                <c:pt idx="21">
                  <c:v>1.5593609307404423E-2</c:v>
                </c:pt>
                <c:pt idx="22">
                  <c:v>1.5475020288202421E-2</c:v>
                </c:pt>
                <c:pt idx="23">
                  <c:v>1.5365833348285131E-2</c:v>
                </c:pt>
                <c:pt idx="24">
                  <c:v>1.5263225229346608E-2</c:v>
                </c:pt>
                <c:pt idx="25">
                  <c:v>1.5167222999925286E-2</c:v>
                </c:pt>
                <c:pt idx="26">
                  <c:v>1.5077852408582179E-2</c:v>
                </c:pt>
                <c:pt idx="27">
                  <c:v>1.4995137970265443E-2</c:v>
                </c:pt>
                <c:pt idx="28">
                  <c:v>1.4919103053001993E-2</c:v>
                </c:pt>
                <c:pt idx="29">
                  <c:v>1.4838079094430698E-2</c:v>
                </c:pt>
                <c:pt idx="30">
                  <c:v>1.4743310723407276E-2</c:v>
                </c:pt>
                <c:pt idx="31">
                  <c:v>1.4634820996854175E-2</c:v>
                </c:pt>
                <c:pt idx="32">
                  <c:v>1.4512633457874378E-2</c:v>
                </c:pt>
                <c:pt idx="33">
                  <c:v>1.4376771966358368E-2</c:v>
                </c:pt>
                <c:pt idx="34">
                  <c:v>1.4227260529657544E-2</c:v>
                </c:pt>
                <c:pt idx="35">
                  <c:v>1.4064123133244221E-2</c:v>
                </c:pt>
                <c:pt idx="36">
                  <c:v>1.3887383571341264E-2</c:v>
                </c:pt>
                <c:pt idx="37">
                  <c:v>1.3692454437751177E-2</c:v>
                </c:pt>
                <c:pt idx="38">
                  <c:v>1.3481215689832328E-2</c:v>
                </c:pt>
                <c:pt idx="39">
                  <c:v>1.325369029152117E-2</c:v>
                </c:pt>
                <c:pt idx="40">
                  <c:v>1.3009900330712356E-2</c:v>
                </c:pt>
                <c:pt idx="41">
                  <c:v>1.2749866815521678E-2</c:v>
                </c:pt>
                <c:pt idx="42">
                  <c:v>1.2473609470453534E-2</c:v>
                </c:pt>
                <c:pt idx="43">
                  <c:v>1.2192684093993676E-2</c:v>
                </c:pt>
                <c:pt idx="44">
                  <c:v>1.1918782886787434E-2</c:v>
                </c:pt>
                <c:pt idx="45">
                  <c:v>1.1651915441931013E-2</c:v>
                </c:pt>
                <c:pt idx="46">
                  <c:v>1.1392090223999075E-2</c:v>
                </c:pt>
                <c:pt idx="47">
                  <c:v>1.1139314655839552E-2</c:v>
                </c:pt>
                <c:pt idx="48">
                  <c:v>1.0893595205214848E-2</c:v>
                </c:pt>
                <c:pt idx="49">
                  <c:v>1.0654937471548026E-2</c:v>
                </c:pt>
                <c:pt idx="50">
                  <c:v>1.0423346272600305E-2</c:v>
                </c:pt>
                <c:pt idx="51">
                  <c:v>1.0210236092583216E-2</c:v>
                </c:pt>
                <c:pt idx="52">
                  <c:v>1.0020161703395354E-2</c:v>
                </c:pt>
                <c:pt idx="53">
                  <c:v>9.85306514685012E-3</c:v>
                </c:pt>
                <c:pt idx="54">
                  <c:v>9.7089408369600734E-3</c:v>
                </c:pt>
                <c:pt idx="55">
                  <c:v>9.5877838133856044E-3</c:v>
                </c:pt>
                <c:pt idx="56">
                  <c:v>9.4895896565519878E-3</c:v>
                </c:pt>
                <c:pt idx="57">
                  <c:v>9.4167897065432476E-3</c:v>
                </c:pt>
                <c:pt idx="58">
                  <c:v>9.3578478204933979E-3</c:v>
                </c:pt>
                <c:pt idx="59">
                  <c:v>9.3127605267618822E-3</c:v>
                </c:pt>
                <c:pt idx="60">
                  <c:v>9.2815245157235448E-3</c:v>
                </c:pt>
                <c:pt idx="61">
                  <c:v>9.2641365885486136E-3</c:v>
                </c:pt>
                <c:pt idx="62">
                  <c:v>9.2605936059687605E-3</c:v>
                </c:pt>
                <c:pt idx="63">
                  <c:v>9.270892437070995E-3</c:v>
                </c:pt>
                <c:pt idx="64">
                  <c:v>9.2950299080545931E-3</c:v>
                </c:pt>
                <c:pt idx="65">
                  <c:v>9.3295740201561374E-3</c:v>
                </c:pt>
                <c:pt idx="66">
                  <c:v>9.3631104754470992E-3</c:v>
                </c:pt>
                <c:pt idx="67">
                  <c:v>9.3956356312667449E-3</c:v>
                </c:pt>
                <c:pt idx="68">
                  <c:v>9.4271458076683103E-3</c:v>
                </c:pt>
                <c:pt idx="69">
                  <c:v>9.4576372910636988E-3</c:v>
                </c:pt>
                <c:pt idx="70">
                  <c:v>9.4871063379119245E-3</c:v>
                </c:pt>
                <c:pt idx="71">
                  <c:v>9.497611144274316E-3</c:v>
                </c:pt>
                <c:pt idx="72">
                  <c:v>9.486713324718515E-3</c:v>
                </c:pt>
                <c:pt idx="73">
                  <c:v>9.454410404212639E-3</c:v>
                </c:pt>
                <c:pt idx="74">
                  <c:v>9.4007004723332191E-3</c:v>
                </c:pt>
                <c:pt idx="75">
                  <c:v>9.3255822623254259E-3</c:v>
                </c:pt>
                <c:pt idx="76">
                  <c:v>9.2290552301340159E-3</c:v>
                </c:pt>
                <c:pt idx="77">
                  <c:v>9.1111196334647294E-3</c:v>
                </c:pt>
                <c:pt idx="78">
                  <c:v>8.9717769086868696E-3</c:v>
                </c:pt>
                <c:pt idx="79">
                  <c:v>8.7962995685667809E-3</c:v>
                </c:pt>
                <c:pt idx="80">
                  <c:v>8.5881419171458025E-3</c:v>
                </c:pt>
                <c:pt idx="81">
                  <c:v>8.3473059230455039E-3</c:v>
                </c:pt>
                <c:pt idx="82">
                  <c:v>8.0737939155571693E-3</c:v>
                </c:pt>
                <c:pt idx="83">
                  <c:v>7.7676086893779667E-3</c:v>
                </c:pt>
                <c:pt idx="84">
                  <c:v>7.4287536093734967E-3</c:v>
                </c:pt>
                <c:pt idx="85">
                  <c:v>7.065262318691169E-3</c:v>
                </c:pt>
                <c:pt idx="86">
                  <c:v>6.6950657252370163E-3</c:v>
                </c:pt>
                <c:pt idx="87">
                  <c:v>6.3181650891111114E-3</c:v>
                </c:pt>
                <c:pt idx="88">
                  <c:v>5.9345622415229327E-3</c:v>
                </c:pt>
                <c:pt idx="89">
                  <c:v>5.5442596063603813E-3</c:v>
                </c:pt>
                <c:pt idx="90">
                  <c:v>5.1472602217469271E-3</c:v>
                </c:pt>
                <c:pt idx="91">
                  <c:v>4.7435677616206066E-3</c:v>
                </c:pt>
                <c:pt idx="92">
                  <c:v>4.3331865572961044E-3</c:v>
                </c:pt>
                <c:pt idx="93">
                  <c:v>3.9307790304313889E-3</c:v>
                </c:pt>
                <c:pt idx="94">
                  <c:v>3.5510983508767737E-3</c:v>
                </c:pt>
                <c:pt idx="95">
                  <c:v>3.1941431224916262E-3</c:v>
                </c:pt>
                <c:pt idx="96">
                  <c:v>2.8599117592151332E-3</c:v>
                </c:pt>
                <c:pt idx="97">
                  <c:v>2.5484024123658142E-3</c:v>
                </c:pt>
                <c:pt idx="98">
                  <c:v>2.2596128979100014E-3</c:v>
                </c:pt>
                <c:pt idx="99">
                  <c:v>2.0038617042656944E-3</c:v>
                </c:pt>
                <c:pt idx="100">
                  <c:v>1.7731221969939479E-3</c:v>
                </c:pt>
                <c:pt idx="101">
                  <c:v>1.5673896955407272E-3</c:v>
                </c:pt>
                <c:pt idx="102">
                  <c:v>1.3866587817362077E-3</c:v>
                </c:pt>
                <c:pt idx="103">
                  <c:v>1.230923219680935E-3</c:v>
                </c:pt>
                <c:pt idx="104">
                  <c:v>1.1001758756667532E-3</c:v>
                </c:pt>
                <c:pt idx="105">
                  <c:v>9.944086380652068E-4</c:v>
                </c:pt>
                <c:pt idx="106">
                  <c:v>9.1361233723331783E-4</c:v>
                </c:pt>
                <c:pt idx="107">
                  <c:v>8.6399841347452235E-4</c:v>
                </c:pt>
                <c:pt idx="108">
                  <c:v>8.3092211820112163E-4</c:v>
                </c:pt>
                <c:pt idx="109">
                  <c:v>8.1437520554861155E-4</c:v>
                </c:pt>
                <c:pt idx="110">
                  <c:v>8.1435085148863517E-4</c:v>
                </c:pt>
                <c:pt idx="111">
                  <c:v>8.3084152815375795E-4</c:v>
                </c:pt>
                <c:pt idx="112">
                  <c:v>8.6383694181285621E-4</c:v>
                </c:pt>
                <c:pt idx="113">
                  <c:v>9.162045030576898E-4</c:v>
                </c:pt>
                <c:pt idx="114">
                  <c:v>9.7763602199860264E-4</c:v>
                </c:pt>
                <c:pt idx="115">
                  <c:v>1.0481245300945315E-3</c:v>
                </c:pt>
                <c:pt idx="116">
                  <c:v>1.1276627211481154E-3</c:v>
                </c:pt>
                <c:pt idx="117">
                  <c:v>1.2162429314324496E-3</c:v>
                </c:pt>
                <c:pt idx="118">
                  <c:v>1.3138571198081641E-3</c:v>
                </c:pt>
                <c:pt idx="119">
                  <c:v>1.4204968478430983E-3</c:v>
                </c:pt>
                <c:pt idx="120">
                  <c:v>1.5361532599294889E-3</c:v>
                </c:pt>
                <c:pt idx="121">
                  <c:v>1.6618146367867138E-3</c:v>
                </c:pt>
                <c:pt idx="122">
                  <c:v>1.7912692248192733E-3</c:v>
                </c:pt>
                <c:pt idx="123">
                  <c:v>1.9245109667769217E-3</c:v>
                </c:pt>
                <c:pt idx="124">
                  <c:v>2.0615335298633107E-3</c:v>
                </c:pt>
                <c:pt idx="125">
                  <c:v>2.202330297273002E-3</c:v>
                </c:pt>
                <c:pt idx="126">
                  <c:v>2.3468943597025737E-3</c:v>
                </c:pt>
                <c:pt idx="127">
                  <c:v>2.4958851392861939E-3</c:v>
                </c:pt>
                <c:pt idx="128">
                  <c:v>2.6464273995183188E-3</c:v>
                </c:pt>
                <c:pt idx="129">
                  <c:v>2.7985153650642944E-3</c:v>
                </c:pt>
                <c:pt idx="130">
                  <c:v>2.9521430450633749E-3</c:v>
                </c:pt>
                <c:pt idx="131">
                  <c:v>3.1073042294544636E-3</c:v>
                </c:pt>
                <c:pt idx="132">
                  <c:v>3.2639924853236366E-3</c:v>
                </c:pt>
                <c:pt idx="133">
                  <c:v>3.4222011532722284E-3</c:v>
                </c:pt>
                <c:pt idx="134">
                  <c:v>3.581923343771515E-3</c:v>
                </c:pt>
                <c:pt idx="135">
                  <c:v>3.7430301482790193E-3</c:v>
                </c:pt>
                <c:pt idx="136">
                  <c:v>3.9045215041111875E-3</c:v>
                </c:pt>
                <c:pt idx="137">
                  <c:v>4.0663911158521533E-3</c:v>
                </c:pt>
                <c:pt idx="138">
                  <c:v>4.2286325118056495E-3</c:v>
                </c:pt>
                <c:pt idx="139">
                  <c:v>4.3912390429017654E-3</c:v>
                </c:pt>
                <c:pt idx="140">
                  <c:v>4.5542038813712526E-3</c:v>
                </c:pt>
                <c:pt idx="141">
                  <c:v>4.7154068167825185E-3</c:v>
                </c:pt>
                <c:pt idx="142">
                  <c:v>4.8741537165050012E-3</c:v>
                </c:pt>
                <c:pt idx="143">
                  <c:v>5.0304159961213979E-3</c:v>
                </c:pt>
                <c:pt idx="144">
                  <c:v>5.184193637482376E-3</c:v>
                </c:pt>
                <c:pt idx="145">
                  <c:v>5.3354877368349323E-3</c:v>
                </c:pt>
                <c:pt idx="146">
                  <c:v>5.4843004747203161E-3</c:v>
                </c:pt>
                <c:pt idx="147">
                  <c:v>5.6306350860473092E-3</c:v>
                </c:pt>
                <c:pt idx="148">
                  <c:v>5.7744958300419069E-3</c:v>
                </c:pt>
                <c:pt idx="149">
                  <c:v>5.9138152888844825E-3</c:v>
                </c:pt>
                <c:pt idx="150">
                  <c:v>6.0487242339750712E-3</c:v>
                </c:pt>
                <c:pt idx="151">
                  <c:v>6.1792333685535767E-3</c:v>
                </c:pt>
                <c:pt idx="152">
                  <c:v>6.30535439739471E-3</c:v>
                </c:pt>
                <c:pt idx="153">
                  <c:v>6.4270999704465455E-3</c:v>
                </c:pt>
                <c:pt idx="154">
                  <c:v>6.5444836265021768E-3</c:v>
                </c:pt>
                <c:pt idx="155">
                  <c:v>6.6543203898029035E-3</c:v>
                </c:pt>
                <c:pt idx="156">
                  <c:v>6.7587269802153425E-3</c:v>
                </c:pt>
                <c:pt idx="157">
                  <c:v>6.8577213825930369E-3</c:v>
                </c:pt>
                <c:pt idx="158">
                  <c:v>6.95132223574487E-3</c:v>
                </c:pt>
                <c:pt idx="159">
                  <c:v>7.0395487611375866E-3</c:v>
                </c:pt>
                <c:pt idx="160">
                  <c:v>7.1224206916833017E-3</c:v>
                </c:pt>
                <c:pt idx="161">
                  <c:v>7.1999582004489355E-3</c:v>
                </c:pt>
                <c:pt idx="162">
                  <c:v>7.2721818294026524E-3</c:v>
                </c:pt>
                <c:pt idx="163">
                  <c:v>7.335621938559387E-3</c:v>
                </c:pt>
                <c:pt idx="164">
                  <c:v>7.392359499814879E-3</c:v>
                </c:pt>
                <c:pt idx="165">
                  <c:v>7.4424182632506324E-3</c:v>
                </c:pt>
                <c:pt idx="166">
                  <c:v>7.485821960262754E-3</c:v>
                </c:pt>
                <c:pt idx="167">
                  <c:v>7.5225942126508133E-3</c:v>
                </c:pt>
                <c:pt idx="168">
                  <c:v>7.5527584419444399E-3</c:v>
                </c:pt>
                <c:pt idx="169">
                  <c:v>7.5728596631597584E-3</c:v>
                </c:pt>
                <c:pt idx="170">
                  <c:v>7.58609655261221E-3</c:v>
                </c:pt>
                <c:pt idx="171">
                  <c:v>7.5924917006588554E-3</c:v>
                </c:pt>
                <c:pt idx="172">
                  <c:v>7.5920670822499491E-3</c:v>
                </c:pt>
                <c:pt idx="173">
                  <c:v>7.5847663991843867E-3</c:v>
                </c:pt>
                <c:pt idx="174">
                  <c:v>7.5705290235543411E-3</c:v>
                </c:pt>
                <c:pt idx="175">
                  <c:v>7.5493699071901028E-3</c:v>
                </c:pt>
                <c:pt idx="176">
                  <c:v>7.5213039562584266E-3</c:v>
                </c:pt>
                <c:pt idx="177">
                  <c:v>7.483187060206422E-3</c:v>
                </c:pt>
                <c:pt idx="178">
                  <c:v>7.4385007605387759E-3</c:v>
                </c:pt>
                <c:pt idx="179">
                  <c:v>7.3872591008922921E-3</c:v>
                </c:pt>
                <c:pt idx="180">
                  <c:v>7.3294759150559956E-3</c:v>
                </c:pt>
                <c:pt idx="181">
                  <c:v>7.2651647880515218E-3</c:v>
                </c:pt>
                <c:pt idx="182">
                  <c:v>7.1943390172783984E-3</c:v>
                </c:pt>
                <c:pt idx="183">
                  <c:v>7.1149785615953936E-3</c:v>
                </c:pt>
                <c:pt idx="184">
                  <c:v>7.0305508882346031E-3</c:v>
                </c:pt>
                <c:pt idx="185">
                  <c:v>6.9410661507224459E-3</c:v>
                </c:pt>
                <c:pt idx="186">
                  <c:v>6.8465341125336782E-3</c:v>
                </c:pt>
                <c:pt idx="187">
                  <c:v>6.7469641166094229E-3</c:v>
                </c:pt>
                <c:pt idx="188">
                  <c:v>6.6423650549112022E-3</c:v>
                </c:pt>
                <c:pt idx="189">
                  <c:v>6.5327453377689347E-3</c:v>
                </c:pt>
                <c:pt idx="190">
                  <c:v>6.4181128635161042E-3</c:v>
                </c:pt>
                <c:pt idx="191">
                  <c:v>6.296418215827551E-3</c:v>
                </c:pt>
                <c:pt idx="192">
                  <c:v>6.1708076358263156E-3</c:v>
                </c:pt>
                <c:pt idx="193">
                  <c:v>6.0412859300389412E-3</c:v>
                </c:pt>
                <c:pt idx="194">
                  <c:v>5.9078573408569875E-3</c:v>
                </c:pt>
                <c:pt idx="195">
                  <c:v>5.7705255225508527E-3</c:v>
                </c:pt>
                <c:pt idx="196">
                  <c:v>5.6292935170482736E-3</c:v>
                </c:pt>
                <c:pt idx="197">
                  <c:v>5.4840457572208033E-3</c:v>
                </c:pt>
                <c:pt idx="198">
                  <c:v>5.3368044184969642E-3</c:v>
                </c:pt>
                <c:pt idx="199">
                  <c:v>5.1875687015340627E-3</c:v>
                </c:pt>
                <c:pt idx="200">
                  <c:v>5.0363372706708643E-3</c:v>
                </c:pt>
                <c:pt idx="201">
                  <c:v>4.8831082410236417E-3</c:v>
                </c:pt>
                <c:pt idx="202">
                  <c:v>4.7278791656180374E-3</c:v>
                </c:pt>
                <c:pt idx="203">
                  <c:v>4.5706470226262105E-3</c:v>
                </c:pt>
                <c:pt idx="204">
                  <c:v>4.4114010787552243E-3</c:v>
                </c:pt>
                <c:pt idx="205">
                  <c:v>4.2507710276568538E-3</c:v>
                </c:pt>
                <c:pt idx="206">
                  <c:v>4.0907967192699551E-3</c:v>
                </c:pt>
                <c:pt idx="207">
                  <c:v>3.9314699163377669E-3</c:v>
                </c:pt>
                <c:pt idx="208">
                  <c:v>3.7727826217417038E-3</c:v>
                </c:pt>
                <c:pt idx="209">
                  <c:v>3.6147270768237655E-3</c:v>
                </c:pt>
                <c:pt idx="210">
                  <c:v>3.4572957598368792E-3</c:v>
                </c:pt>
                <c:pt idx="211">
                  <c:v>3.3014402527967567E-3</c:v>
                </c:pt>
                <c:pt idx="212">
                  <c:v>3.1472706573559763E-3</c:v>
                </c:pt>
                <c:pt idx="213">
                  <c:v>2.9947797730233354E-3</c:v>
                </c:pt>
                <c:pt idx="214">
                  <c:v>2.8439607028485064E-3</c:v>
                </c:pt>
                <c:pt idx="215">
                  <c:v>2.6948068484632646E-3</c:v>
                </c:pt>
                <c:pt idx="216">
                  <c:v>2.5473119051104571E-3</c:v>
                </c:pt>
                <c:pt idx="217">
                  <c:v>2.4014698566824592E-3</c:v>
                </c:pt>
                <c:pt idx="218">
                  <c:v>2.2572749707439224E-3</c:v>
                </c:pt>
                <c:pt idx="219">
                  <c:v>2.117480906472043E-3</c:v>
                </c:pt>
                <c:pt idx="220">
                  <c:v>1.9814407447505036E-3</c:v>
                </c:pt>
                <c:pt idx="221">
                  <c:v>1.8491493680723062E-3</c:v>
                </c:pt>
                <c:pt idx="222">
                  <c:v>1.7206020341553711E-3</c:v>
                </c:pt>
                <c:pt idx="223">
                  <c:v>1.5957943644265822E-3</c:v>
                </c:pt>
                <c:pt idx="224">
                  <c:v>1.4747223324563291E-3</c:v>
                </c:pt>
                <c:pt idx="225">
                  <c:v>1.3633384985155793E-3</c:v>
                </c:pt>
                <c:pt idx="226">
                  <c:v>1.2606815482945548E-3</c:v>
                </c:pt>
                <c:pt idx="227">
                  <c:v>1.1667486503418433E-3</c:v>
                </c:pt>
                <c:pt idx="228">
                  <c:v>1.0815374870229103E-3</c:v>
                </c:pt>
                <c:pt idx="229">
                  <c:v>1.0050462274185932E-3</c:v>
                </c:pt>
                <c:pt idx="230">
                  <c:v>9.3727350024393641E-4</c:v>
                </c:pt>
                <c:pt idx="231">
                  <c:v>8.7821836676766935E-4</c:v>
                </c:pt>
                <c:pt idx="232">
                  <c:v>8.2788029371139008E-4</c:v>
                </c:pt>
                <c:pt idx="233">
                  <c:v>7.9613028328027655E-4</c:v>
                </c:pt>
                <c:pt idx="234">
                  <c:v>7.8021077536114111E-4</c:v>
                </c:pt>
                <c:pt idx="235">
                  <c:v>7.8012421292548366E-4</c:v>
                </c:pt>
                <c:pt idx="236">
                  <c:v>7.958738331507784E-4</c:v>
                </c:pt>
                <c:pt idx="237">
                  <c:v>8.2746299516108846E-4</c:v>
                </c:pt>
                <c:pt idx="238">
                  <c:v>8.7489572116315154E-4</c:v>
                </c:pt>
                <c:pt idx="239">
                  <c:v>9.5219266719167662E-4</c:v>
                </c:pt>
                <c:pt idx="240">
                  <c:v>1.0534029022919397E-3</c:v>
                </c:pt>
                <c:pt idx="241">
                  <c:v>1.1785352621348814E-3</c:v>
                </c:pt>
                <c:pt idx="242">
                  <c:v>1.3275997386852645E-3</c:v>
                </c:pt>
                <c:pt idx="243">
                  <c:v>1.5006075223726401E-3</c:v>
                </c:pt>
                <c:pt idx="244">
                  <c:v>1.6975710442607406E-3</c:v>
                </c:pt>
                <c:pt idx="245">
                  <c:v>1.9185040182019904E-3</c:v>
                </c:pt>
                <c:pt idx="246">
                  <c:v>2.1634214829804044E-3</c:v>
                </c:pt>
                <c:pt idx="247">
                  <c:v>2.4400212618365534E-3</c:v>
                </c:pt>
                <c:pt idx="248">
                  <c:v>2.7384389705318573E-3</c:v>
                </c:pt>
                <c:pt idx="249">
                  <c:v>3.0586930030890155E-3</c:v>
                </c:pt>
                <c:pt idx="250">
                  <c:v>3.4008031323732092E-3</c:v>
                </c:pt>
                <c:pt idx="251">
                  <c:v>3.76479054844722E-3</c:v>
                </c:pt>
                <c:pt idx="252">
                  <c:v>4.1506778968064036E-3</c:v>
                </c:pt>
                <c:pt idx="253">
                  <c:v>4.5443545030877689E-3</c:v>
                </c:pt>
                <c:pt idx="254">
                  <c:v>4.931790225964721E-3</c:v>
                </c:pt>
                <c:pt idx="255">
                  <c:v>5.3129932801533929E-3</c:v>
                </c:pt>
                <c:pt idx="256">
                  <c:v>5.6879717651525784E-3</c:v>
                </c:pt>
                <c:pt idx="257">
                  <c:v>6.056733653847254E-3</c:v>
                </c:pt>
                <c:pt idx="258">
                  <c:v>6.4192867811551282E-3</c:v>
                </c:pt>
                <c:pt idx="259">
                  <c:v>6.7756388327695439E-3</c:v>
                </c:pt>
                <c:pt idx="260">
                  <c:v>7.125797333716365E-3</c:v>
                </c:pt>
                <c:pt idx="261">
                  <c:v>7.4525666602939973E-3</c:v>
                </c:pt>
                <c:pt idx="262">
                  <c:v>7.7482318100336673E-3</c:v>
                </c:pt>
                <c:pt idx="263">
                  <c:v>8.012776344509788E-3</c:v>
                </c:pt>
                <c:pt idx="264">
                  <c:v>8.246182280991431E-3</c:v>
                </c:pt>
                <c:pt idx="265">
                  <c:v>8.4484749513722996E-3</c:v>
                </c:pt>
                <c:pt idx="266">
                  <c:v>8.6196586550907651E-3</c:v>
                </c:pt>
                <c:pt idx="267">
                  <c:v>8.7564058570242034E-3</c:v>
                </c:pt>
                <c:pt idx="268">
                  <c:v>8.8728718081919049E-3</c:v>
                </c:pt>
                <c:pt idx="269">
                  <c:v>8.9690286423107484E-3</c:v>
                </c:pt>
                <c:pt idx="270">
                  <c:v>9.044845973701577E-3</c:v>
                </c:pt>
                <c:pt idx="271">
                  <c:v>9.1002911233114912E-3</c:v>
                </c:pt>
                <c:pt idx="272">
                  <c:v>9.1353293449795269E-3</c:v>
                </c:pt>
                <c:pt idx="273">
                  <c:v>9.149924051588933E-3</c:v>
                </c:pt>
                <c:pt idx="274">
                  <c:v>9.1440370413389867E-3</c:v>
                </c:pt>
                <c:pt idx="275">
                  <c:v>9.1199771983288894E-3</c:v>
                </c:pt>
                <c:pt idx="276">
                  <c:v>9.0950136499188747E-3</c:v>
                </c:pt>
                <c:pt idx="277">
                  <c:v>9.0691342374194499E-3</c:v>
                </c:pt>
                <c:pt idx="278">
                  <c:v>9.0423268879297435E-3</c:v>
                </c:pt>
                <c:pt idx="279">
                  <c:v>9.0145796248217048E-3</c:v>
                </c:pt>
                <c:pt idx="280">
                  <c:v>8.9858805783094922E-3</c:v>
                </c:pt>
                <c:pt idx="281">
                  <c:v>8.9672549724332598E-3</c:v>
                </c:pt>
                <c:pt idx="282">
                  <c:v>8.9620265855146E-3</c:v>
                </c:pt>
                <c:pt idx="283">
                  <c:v>8.9702064978330592E-3</c:v>
                </c:pt>
                <c:pt idx="284">
                  <c:v>8.9918059116957643E-3</c:v>
                </c:pt>
                <c:pt idx="285">
                  <c:v>9.0268360048234662E-3</c:v>
                </c:pt>
                <c:pt idx="286">
                  <c:v>9.0753077838222913E-3</c:v>
                </c:pt>
                <c:pt idx="287">
                  <c:v>9.1372319375667664E-3</c:v>
                </c:pt>
                <c:pt idx="288">
                  <c:v>9.2126186906169895E-3</c:v>
                </c:pt>
                <c:pt idx="289">
                  <c:v>9.3126792109890135E-3</c:v>
                </c:pt>
                <c:pt idx="290">
                  <c:v>9.4350725532157086E-3</c:v>
                </c:pt>
                <c:pt idx="291">
                  <c:v>9.5798194726111983E-3</c:v>
                </c:pt>
                <c:pt idx="292">
                  <c:v>9.746939175835332E-3</c:v>
                </c:pt>
                <c:pt idx="293">
                  <c:v>9.9364490780286512E-3</c:v>
                </c:pt>
                <c:pt idx="294">
                  <c:v>1.0148364559911794E-2</c:v>
                </c:pt>
                <c:pt idx="295">
                  <c:v>1.0378212753276776E-2</c:v>
                </c:pt>
                <c:pt idx="296">
                  <c:v>1.061500755308426E-2</c:v>
                </c:pt>
                <c:pt idx="297">
                  <c:v>1.0858837380613402E-2</c:v>
                </c:pt>
                <c:pt idx="298">
                  <c:v>1.1109706080156099E-2</c:v>
                </c:pt>
                <c:pt idx="299">
                  <c:v>1.1367616837545428E-2</c:v>
                </c:pt>
                <c:pt idx="300">
                  <c:v>1.1632572117827237E-2</c:v>
                </c:pt>
                <c:pt idx="301">
                  <c:v>1.1904573602898368E-2</c:v>
                </c:pt>
                <c:pt idx="302">
                  <c:v>1.2183622129170237E-2</c:v>
                </c:pt>
                <c:pt idx="303">
                  <c:v>1.245830336244539E-2</c:v>
                </c:pt>
                <c:pt idx="304">
                  <c:v>1.271731890477493E-2</c:v>
                </c:pt>
                <c:pt idx="305">
                  <c:v>1.2960634300060772E-2</c:v>
                </c:pt>
                <c:pt idx="306">
                  <c:v>1.318821424925487E-2</c:v>
                </c:pt>
                <c:pt idx="307">
                  <c:v>1.3400022756942019E-2</c:v>
                </c:pt>
                <c:pt idx="308">
                  <c:v>1.3596023277810487E-2</c:v>
                </c:pt>
                <c:pt idx="309">
                  <c:v>1.3774360787771403E-2</c:v>
                </c:pt>
                <c:pt idx="310">
                  <c:v>1.3939514219522478E-2</c:v>
                </c:pt>
                <c:pt idx="311">
                  <c:v>1.4091449947679826E-2</c:v>
                </c:pt>
                <c:pt idx="312">
                  <c:v>1.4230134275808014E-2</c:v>
                </c:pt>
                <c:pt idx="313">
                  <c:v>1.435553355826024E-2</c:v>
                </c:pt>
                <c:pt idx="314">
                  <c:v>1.4467614321889557E-2</c:v>
                </c:pt>
                <c:pt idx="315">
                  <c:v>1.4566343387939924E-2</c:v>
                </c:pt>
                <c:pt idx="316">
                  <c:v>1.4651687993715147E-2</c:v>
                </c:pt>
                <c:pt idx="317">
                  <c:v>1.4732239792998227E-2</c:v>
                </c:pt>
                <c:pt idx="318">
                  <c:v>1.4819467443782245E-2</c:v>
                </c:pt>
                <c:pt idx="319">
                  <c:v>1.4913362037315307E-2</c:v>
                </c:pt>
                <c:pt idx="320">
                  <c:v>1.5013913806060966E-2</c:v>
                </c:pt>
                <c:pt idx="321">
                  <c:v>1.512111206152527E-2</c:v>
                </c:pt>
                <c:pt idx="322">
                  <c:v>1.5234945132149603E-2</c:v>
                </c:pt>
                <c:pt idx="323">
                  <c:v>1.5358208984631784E-2</c:v>
                </c:pt>
                <c:pt idx="324">
                  <c:v>1.5492720843301925E-2</c:v>
                </c:pt>
                <c:pt idx="325">
                  <c:v>1.5638468370648216E-2</c:v>
                </c:pt>
                <c:pt idx="326">
                  <c:v>1.5795339159020403E-2</c:v>
                </c:pt>
                <c:pt idx="327">
                  <c:v>1.5963280903908819E-2</c:v>
                </c:pt>
                <c:pt idx="328">
                  <c:v>1.6142320108042282E-2</c:v>
                </c:pt>
                <c:pt idx="329">
                  <c:v>1.6332482830508976E-2</c:v>
                </c:pt>
                <c:pt idx="330">
                  <c:v>1.6533794925185197E-2</c:v>
                </c:pt>
                <c:pt idx="331">
                  <c:v>1.6738210979057758E-2</c:v>
                </c:pt>
                <c:pt idx="332">
                  <c:v>1.6937098285609048E-2</c:v>
                </c:pt>
                <c:pt idx="333">
                  <c:v>1.7130479843897001E-2</c:v>
                </c:pt>
                <c:pt idx="334">
                  <c:v>1.7318380797408148E-2</c:v>
                </c:pt>
                <c:pt idx="335">
                  <c:v>1.7500828324825045E-2</c:v>
                </c:pt>
                <c:pt idx="336">
                  <c:v>1.7677851530570166E-2</c:v>
                </c:pt>
                <c:pt idx="337">
                  <c:v>1.7843602591867555E-2</c:v>
                </c:pt>
                <c:pt idx="338">
                  <c:v>1.7995299270100171E-2</c:v>
                </c:pt>
                <c:pt idx="339">
                  <c:v>1.8132975213796677E-2</c:v>
                </c:pt>
                <c:pt idx="340">
                  <c:v>1.8256665619903367E-2</c:v>
                </c:pt>
                <c:pt idx="341">
                  <c:v>1.8366406943728181E-2</c:v>
                </c:pt>
                <c:pt idx="342">
                  <c:v>1.8462236608873028E-2</c:v>
                </c:pt>
                <c:pt idx="343">
                  <c:v>1.8544192716943613E-2</c:v>
                </c:pt>
                <c:pt idx="344">
                  <c:v>1.8612313757547239E-2</c:v>
                </c:pt>
                <c:pt idx="345">
                  <c:v>1.8666638318096663E-2</c:v>
                </c:pt>
                <c:pt idx="346">
                  <c:v>1.8714065881120585E-2</c:v>
                </c:pt>
                <c:pt idx="347">
                  <c:v>1.8754635726361792E-2</c:v>
                </c:pt>
                <c:pt idx="348">
                  <c:v>1.8788386959610853E-2</c:v>
                </c:pt>
                <c:pt idx="349">
                  <c:v>1.8815358365044041E-2</c:v>
                </c:pt>
                <c:pt idx="350">
                  <c:v>1.8835588258000933E-2</c:v>
                </c:pt>
                <c:pt idx="351">
                  <c:v>1.8847898146394738E-2</c:v>
                </c:pt>
                <c:pt idx="352">
                  <c:v>1.8858208680207992E-2</c:v>
                </c:pt>
                <c:pt idx="353">
                  <c:v>1.8866558378016537E-2</c:v>
                </c:pt>
                <c:pt idx="354">
                  <c:v>1.8872985445686358E-2</c:v>
                </c:pt>
                <c:pt idx="355">
                  <c:v>1.8877527724892526E-2</c:v>
                </c:pt>
                <c:pt idx="356">
                  <c:v>1.8880235689919297E-2</c:v>
                </c:pt>
                <c:pt idx="357">
                  <c:v>1.8881104230376429E-2</c:v>
                </c:pt>
                <c:pt idx="358">
                  <c:v>1.8880082310674975E-2</c:v>
                </c:pt>
                <c:pt idx="359">
                  <c:v>1.8877118532253837E-2</c:v>
                </c:pt>
                <c:pt idx="360">
                  <c:v>1.8866263414522973E-2</c:v>
                </c:pt>
                <c:pt idx="361">
                  <c:v>1.8848677529914811E-2</c:v>
                </c:pt>
                <c:pt idx="362">
                  <c:v>1.8824302492489613E-2</c:v>
                </c:pt>
                <c:pt idx="363">
                  <c:v>1.8793079406901985E-2</c:v>
                </c:pt>
                <c:pt idx="364">
                  <c:v>1.8754949050850855E-2</c:v>
                </c:pt>
                <c:pt idx="365">
                  <c:v>1.8709852057295868E-2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2.0487695395207128E-2</c:v>
                </c:pt>
                <c:pt idx="1">
                  <c:v>2.0473851353277131E-2</c:v>
                </c:pt>
                <c:pt idx="2">
                  <c:v>2.0446480889177471E-2</c:v>
                </c:pt>
                <c:pt idx="3">
                  <c:v>2.0405511781404789E-2</c:v>
                </c:pt>
                <c:pt idx="4">
                  <c:v>2.0350871974771114E-2</c:v>
                </c:pt>
                <c:pt idx="5">
                  <c:v>2.0282489928001423E-2</c:v>
                </c:pt>
                <c:pt idx="6">
                  <c:v>2.0200294961590787E-2</c:v>
                </c:pt>
                <c:pt idx="7">
                  <c:v>2.0104217605203464E-2</c:v>
                </c:pt>
                <c:pt idx="8">
                  <c:v>1.9994189945358235E-2</c:v>
                </c:pt>
                <c:pt idx="9">
                  <c:v>1.9864797617684629E-2</c:v>
                </c:pt>
                <c:pt idx="10">
                  <c:v>1.9718973794446662E-2</c:v>
                </c:pt>
                <c:pt idx="11">
                  <c:v>1.9556654666942608E-2</c:v>
                </c:pt>
                <c:pt idx="12">
                  <c:v>1.937777970202343E-2</c:v>
                </c:pt>
                <c:pt idx="13">
                  <c:v>1.91822920494155E-2</c:v>
                </c:pt>
                <c:pt idx="14">
                  <c:v>1.8970138948716291E-2</c:v>
                </c:pt>
                <c:pt idx="15">
                  <c:v>1.8750048370558312E-2</c:v>
                </c:pt>
                <c:pt idx="16">
                  <c:v>1.8532681624414918E-2</c:v>
                </c:pt>
                <c:pt idx="17">
                  <c:v>1.831801500397711E-2</c:v>
                </c:pt>
                <c:pt idx="18">
                  <c:v>1.81060263884943E-2</c:v>
                </c:pt>
                <c:pt idx="19">
                  <c:v>1.7896794982313682E-2</c:v>
                </c:pt>
                <c:pt idx="20">
                  <c:v>1.7690441369409195E-2</c:v>
                </c:pt>
                <c:pt idx="21">
                  <c:v>1.7487005450345417E-2</c:v>
                </c:pt>
                <c:pt idx="22">
                  <c:v>1.7286525579999115E-2</c:v>
                </c:pt>
                <c:pt idx="23">
                  <c:v>1.709363462000708E-2</c:v>
                </c:pt>
                <c:pt idx="24">
                  <c:v>1.6913738053062562E-2</c:v>
                </c:pt>
                <c:pt idx="25">
                  <c:v>1.6746871268115929E-2</c:v>
                </c:pt>
                <c:pt idx="26">
                  <c:v>1.6593067198448951E-2</c:v>
                </c:pt>
                <c:pt idx="27">
                  <c:v>1.6452356488869179E-2</c:v>
                </c:pt>
                <c:pt idx="28">
                  <c:v>1.632476766326528E-2</c:v>
                </c:pt>
                <c:pt idx="29">
                  <c:v>1.6203109272881558E-2</c:v>
                </c:pt>
                <c:pt idx="30">
                  <c:v>1.607861578818378E-2</c:v>
                </c:pt>
                <c:pt idx="31">
                  <c:v>1.5951312345665155E-2</c:v>
                </c:pt>
                <c:pt idx="32">
                  <c:v>1.5821223646579466E-2</c:v>
                </c:pt>
                <c:pt idx="33">
                  <c:v>1.5688373924141515E-2</c:v>
                </c:pt>
                <c:pt idx="34">
                  <c:v>1.5552786910799801E-2</c:v>
                </c:pt>
                <c:pt idx="35">
                  <c:v>1.5414485805494735E-2</c:v>
                </c:pt>
                <c:pt idx="36">
                  <c:v>1.5273493240884015E-2</c:v>
                </c:pt>
                <c:pt idx="37">
                  <c:v>1.5124921673627115E-2</c:v>
                </c:pt>
                <c:pt idx="38">
                  <c:v>1.4964199408736853E-2</c:v>
                </c:pt>
                <c:pt idx="39">
                  <c:v>1.4791349731636184E-2</c:v>
                </c:pt>
                <c:pt idx="40">
                  <c:v>1.4606395260263666E-2</c:v>
                </c:pt>
                <c:pt idx="41">
                  <c:v>1.4409357793525143E-2</c:v>
                </c:pt>
                <c:pt idx="42">
                  <c:v>1.4200258159640282E-2</c:v>
                </c:pt>
                <c:pt idx="43">
                  <c:v>1.3985888350615301E-2</c:v>
                </c:pt>
                <c:pt idx="44">
                  <c:v>1.3773475508266162E-2</c:v>
                </c:pt>
                <c:pt idx="45">
                  <c:v>1.356303358993074E-2</c:v>
                </c:pt>
                <c:pt idx="46">
                  <c:v>1.3354575559224128E-2</c:v>
                </c:pt>
                <c:pt idx="47">
                  <c:v>1.3148113409480518E-2</c:v>
                </c:pt>
                <c:pt idx="48">
                  <c:v>1.2943658187016824E-2</c:v>
                </c:pt>
                <c:pt idx="49">
                  <c:v>1.2741220014518584E-2</c:v>
                </c:pt>
                <c:pt idx="50">
                  <c:v>1.2540808114345058E-2</c:v>
                </c:pt>
                <c:pt idx="51">
                  <c:v>1.2352304354225623E-2</c:v>
                </c:pt>
                <c:pt idx="52">
                  <c:v>1.2180554074117913E-2</c:v>
                </c:pt>
                <c:pt idx="53">
                  <c:v>1.2025488378679058E-2</c:v>
                </c:pt>
                <c:pt idx="54">
                  <c:v>1.188710109458165E-2</c:v>
                </c:pt>
                <c:pt idx="55">
                  <c:v>1.1765386552404429E-2</c:v>
                </c:pt>
                <c:pt idx="56">
                  <c:v>1.1660339525056219E-2</c:v>
                </c:pt>
                <c:pt idx="57">
                  <c:v>1.1576766318521626E-2</c:v>
                </c:pt>
                <c:pt idx="58">
                  <c:v>1.150789311476213E-2</c:v>
                </c:pt>
                <c:pt idx="59">
                  <c:v>1.1453715621874668E-2</c:v>
                </c:pt>
                <c:pt idx="60">
                  <c:v>1.1414229729213054E-2</c:v>
                </c:pt>
                <c:pt idx="61">
                  <c:v>1.1389431453064609E-2</c:v>
                </c:pt>
                <c:pt idx="62">
                  <c:v>1.1379316882309684E-2</c:v>
                </c:pt>
                <c:pt idx="63">
                  <c:v>1.1383882124115431E-2</c:v>
                </c:pt>
                <c:pt idx="64">
                  <c:v>1.1403123249584082E-2</c:v>
                </c:pt>
                <c:pt idx="65">
                  <c:v>1.1434800141289364E-2</c:v>
                </c:pt>
                <c:pt idx="66">
                  <c:v>1.1469034666935862E-2</c:v>
                </c:pt>
                <c:pt idx="67">
                  <c:v>1.1505822433399213E-2</c:v>
                </c:pt>
                <c:pt idx="68">
                  <c:v>1.1545158965138243E-2</c:v>
                </c:pt>
                <c:pt idx="69">
                  <c:v>1.1587039694631148E-2</c:v>
                </c:pt>
                <c:pt idx="70">
                  <c:v>1.1631459952865223E-2</c:v>
                </c:pt>
                <c:pt idx="71">
                  <c:v>1.1658274328715287E-2</c:v>
                </c:pt>
                <c:pt idx="72">
                  <c:v>1.1662667528783826E-2</c:v>
                </c:pt>
                <c:pt idx="73">
                  <c:v>1.1644636136251454E-2</c:v>
                </c:pt>
                <c:pt idx="74">
                  <c:v>1.1604177302168665E-2</c:v>
                </c:pt>
                <c:pt idx="75">
                  <c:v>1.1541288828255789E-2</c:v>
                </c:pt>
                <c:pt idx="76">
                  <c:v>1.145596924966686E-2</c:v>
                </c:pt>
                <c:pt idx="77">
                  <c:v>1.1348217917791054E-2</c:v>
                </c:pt>
                <c:pt idx="78">
                  <c:v>1.121803545546605E-2</c:v>
                </c:pt>
                <c:pt idx="79">
                  <c:v>1.1047365097438751E-2</c:v>
                </c:pt>
                <c:pt idx="80">
                  <c:v>1.0838474780492623E-2</c:v>
                </c:pt>
                <c:pt idx="81">
                  <c:v>1.0591366535226264E-2</c:v>
                </c:pt>
                <c:pt idx="82">
                  <c:v>1.0306042769714727E-2</c:v>
                </c:pt>
                <c:pt idx="83">
                  <c:v>9.9825063919883397E-3</c:v>
                </c:pt>
                <c:pt idx="84">
                  <c:v>9.6207609325452501E-3</c:v>
                </c:pt>
                <c:pt idx="85">
                  <c:v>9.2263108059140089E-3</c:v>
                </c:pt>
                <c:pt idx="86">
                  <c:v>8.8192889437059083E-3</c:v>
                </c:pt>
                <c:pt idx="87">
                  <c:v>8.3996971078963301E-3</c:v>
                </c:pt>
                <c:pt idx="88">
                  <c:v>7.967537763237267E-3</c:v>
                </c:pt>
                <c:pt idx="89">
                  <c:v>7.5228141176230711E-3</c:v>
                </c:pt>
                <c:pt idx="90">
                  <c:v>7.065530162440165E-3</c:v>
                </c:pt>
                <c:pt idx="91">
                  <c:v>6.5956907129462589E-3</c:v>
                </c:pt>
                <c:pt idx="92">
                  <c:v>6.1133014486270641E-3</c:v>
                </c:pt>
                <c:pt idx="93">
                  <c:v>5.6328942106139215E-3</c:v>
                </c:pt>
                <c:pt idx="94">
                  <c:v>5.1725583173529112E-3</c:v>
                </c:pt>
                <c:pt idx="95">
                  <c:v>4.7322936269203674E-3</c:v>
                </c:pt>
                <c:pt idx="96">
                  <c:v>4.3120999900628986E-3</c:v>
                </c:pt>
                <c:pt idx="97">
                  <c:v>3.9119771860348668E-3</c:v>
                </c:pt>
                <c:pt idx="98">
                  <c:v>3.531924858390571E-3</c:v>
                </c:pt>
                <c:pt idx="99">
                  <c:v>3.1875756465636696E-3</c:v>
                </c:pt>
                <c:pt idx="100">
                  <c:v>2.8734297623096458E-3</c:v>
                </c:pt>
                <c:pt idx="101">
                  <c:v>2.589482018666153E-3</c:v>
                </c:pt>
                <c:pt idx="102">
                  <c:v>2.3357263835324326E-3</c:v>
                </c:pt>
                <c:pt idx="103">
                  <c:v>2.1121558829290815E-3</c:v>
                </c:pt>
                <c:pt idx="104">
                  <c:v>1.9187625043157418E-3</c:v>
                </c:pt>
                <c:pt idx="105">
                  <c:v>1.7555370998546841E-3</c:v>
                </c:pt>
                <c:pt idx="106">
                  <c:v>1.6224692897033762E-3</c:v>
                </c:pt>
                <c:pt idx="107">
                  <c:v>1.5300766163007797E-3</c:v>
                </c:pt>
                <c:pt idx="108">
                  <c:v>1.4638423158582858E-3</c:v>
                </c:pt>
                <c:pt idx="109">
                  <c:v>1.4237536806740241E-3</c:v>
                </c:pt>
                <c:pt idx="110">
                  <c:v>1.4098006166789465E-3</c:v>
                </c:pt>
                <c:pt idx="111">
                  <c:v>1.4219717836879071E-3</c:v>
                </c:pt>
                <c:pt idx="112">
                  <c:v>1.4602510582523609E-3</c:v>
                </c:pt>
                <c:pt idx="113">
                  <c:v>1.5284165816033704E-3</c:v>
                </c:pt>
                <c:pt idx="114">
                  <c:v>1.6108544733164955E-3</c:v>
                </c:pt>
                <c:pt idx="115">
                  <c:v>1.7075539619278877E-3</c:v>
                </c:pt>
                <c:pt idx="116">
                  <c:v>1.8185037569528528E-3</c:v>
                </c:pt>
                <c:pt idx="117">
                  <c:v>1.9436920176056905E-3</c:v>
                </c:pt>
                <c:pt idx="118">
                  <c:v>2.0831063215035165E-3</c:v>
                </c:pt>
                <c:pt idx="119">
                  <c:v>2.2367336333744257E-3</c:v>
                </c:pt>
                <c:pt idx="120">
                  <c:v>2.4045602737617555E-3</c:v>
                </c:pt>
                <c:pt idx="121">
                  <c:v>2.5892006830409006E-3</c:v>
                </c:pt>
                <c:pt idx="122">
                  <c:v>2.7801432243459347E-3</c:v>
                </c:pt>
                <c:pt idx="123">
                  <c:v>2.9773783770008144E-3</c:v>
                </c:pt>
                <c:pt idx="124">
                  <c:v>3.1808961842941228E-3</c:v>
                </c:pt>
                <c:pt idx="125">
                  <c:v>3.390686239446637E-3</c:v>
                </c:pt>
                <c:pt idx="126">
                  <c:v>3.6067376715387383E-3</c:v>
                </c:pt>
                <c:pt idx="127">
                  <c:v>3.8303819305037811E-3</c:v>
                </c:pt>
                <c:pt idx="128">
                  <c:v>4.0578255426401456E-3</c:v>
                </c:pt>
                <c:pt idx="129">
                  <c:v>4.289058430119448E-3</c:v>
                </c:pt>
                <c:pt idx="130">
                  <c:v>4.5240701170723976E-3</c:v>
                </c:pt>
                <c:pt idx="131">
                  <c:v>4.7628497208436335E-3</c:v>
                </c:pt>
                <c:pt idx="132">
                  <c:v>5.0053859432799734E-3</c:v>
                </c:pt>
                <c:pt idx="133">
                  <c:v>5.2516670620501738E-3</c:v>
                </c:pt>
                <c:pt idx="134">
                  <c:v>5.5016809219441591E-3</c:v>
                </c:pt>
                <c:pt idx="135">
                  <c:v>5.7548461257510017E-3</c:v>
                </c:pt>
                <c:pt idx="136">
                  <c:v>6.0085339504295354E-3</c:v>
                </c:pt>
                <c:pt idx="137">
                  <c:v>6.2627346295741626E-3</c:v>
                </c:pt>
                <c:pt idx="138">
                  <c:v>6.5174381249007837E-3</c:v>
                </c:pt>
                <c:pt idx="139">
                  <c:v>6.7726341247082615E-3</c:v>
                </c:pt>
                <c:pt idx="140">
                  <c:v>7.0283120419818452E-3</c:v>
                </c:pt>
                <c:pt idx="141">
                  <c:v>7.2816892634087515E-3</c:v>
                </c:pt>
                <c:pt idx="142">
                  <c:v>7.5313815446533504E-3</c:v>
                </c:pt>
                <c:pt idx="143">
                  <c:v>7.7773443238565105E-3</c:v>
                </c:pt>
                <c:pt idx="144">
                  <c:v>8.0195771358707278E-3</c:v>
                </c:pt>
                <c:pt idx="145">
                  <c:v>8.2580812484082024E-3</c:v>
                </c:pt>
                <c:pt idx="146">
                  <c:v>8.4928596170564703E-3</c:v>
                </c:pt>
                <c:pt idx="147">
                  <c:v>8.7239168405653551E-3</c:v>
                </c:pt>
                <c:pt idx="148">
                  <c:v>8.951259115942696E-3</c:v>
                </c:pt>
                <c:pt idx="149">
                  <c:v>9.1714737053488014E-3</c:v>
                </c:pt>
                <c:pt idx="150">
                  <c:v>9.3851406184740013E-3</c:v>
                </c:pt>
                <c:pt idx="151">
                  <c:v>9.5922757858621244E-3</c:v>
                </c:pt>
                <c:pt idx="152">
                  <c:v>9.7928966971459301E-3</c:v>
                </c:pt>
                <c:pt idx="153">
                  <c:v>9.9870223176491465E-3</c:v>
                </c:pt>
                <c:pt idx="154">
                  <c:v>1.017467300503983E-2</c:v>
                </c:pt>
                <c:pt idx="155">
                  <c:v>1.0350666365660078E-2</c:v>
                </c:pt>
                <c:pt idx="156">
                  <c:v>1.0517783691914194E-2</c:v>
                </c:pt>
                <c:pt idx="157">
                  <c:v>1.0676053716684047E-2</c:v>
                </c:pt>
                <c:pt idx="158">
                  <c:v>1.0825506220882429E-2</c:v>
                </c:pt>
                <c:pt idx="159">
                  <c:v>1.0966171916821209E-2</c:v>
                </c:pt>
                <c:pt idx="160">
                  <c:v>1.1098082331711808E-2</c:v>
                </c:pt>
                <c:pt idx="161">
                  <c:v>1.1221269691044112E-2</c:v>
                </c:pt>
                <c:pt idx="162">
                  <c:v>1.1335766802023008E-2</c:v>
                </c:pt>
                <c:pt idx="163">
                  <c:v>1.1436151729890041E-2</c:v>
                </c:pt>
                <c:pt idx="164">
                  <c:v>1.1525856953714407E-2</c:v>
                </c:pt>
                <c:pt idx="165">
                  <c:v>1.1604919951640792E-2</c:v>
                </c:pt>
                <c:pt idx="166">
                  <c:v>1.1673378167422909E-2</c:v>
                </c:pt>
                <c:pt idx="167">
                  <c:v>1.1731268865581072E-2</c:v>
                </c:pt>
                <c:pt idx="168">
                  <c:v>1.1778628986930557E-2</c:v>
                </c:pt>
                <c:pt idx="169">
                  <c:v>1.1810059120514554E-2</c:v>
                </c:pt>
                <c:pt idx="170">
                  <c:v>1.1830760728297482E-2</c:v>
                </c:pt>
                <c:pt idx="171">
                  <c:v>1.1840769081624389E-2</c:v>
                </c:pt>
                <c:pt idx="172">
                  <c:v>1.1840118490032144E-2</c:v>
                </c:pt>
                <c:pt idx="173">
                  <c:v>1.1828721190832862E-2</c:v>
                </c:pt>
                <c:pt idx="174">
                  <c:v>1.1806482667751174E-2</c:v>
                </c:pt>
                <c:pt idx="175">
                  <c:v>1.1773426273866457E-2</c:v>
                </c:pt>
                <c:pt idx="176">
                  <c:v>1.1729575290891142E-2</c:v>
                </c:pt>
                <c:pt idx="177">
                  <c:v>1.1669814547099472E-2</c:v>
                </c:pt>
                <c:pt idx="178">
                  <c:v>1.1599585568207157E-2</c:v>
                </c:pt>
                <c:pt idx="179">
                  <c:v>1.151891058732854E-2</c:v>
                </c:pt>
                <c:pt idx="180">
                  <c:v>1.1427811505209662E-2</c:v>
                </c:pt>
                <c:pt idx="181">
                  <c:v>1.1326309828220027E-2</c:v>
                </c:pt>
                <c:pt idx="182">
                  <c:v>1.1214426606445595E-2</c:v>
                </c:pt>
                <c:pt idx="183">
                  <c:v>1.1088827332453245E-2</c:v>
                </c:pt>
                <c:pt idx="184">
                  <c:v>1.0954931753192572E-2</c:v>
                </c:pt>
                <c:pt idx="185">
                  <c:v>1.0812756225947403E-2</c:v>
                </c:pt>
                <c:pt idx="186">
                  <c:v>1.0662316479243903E-2</c:v>
                </c:pt>
                <c:pt idx="187">
                  <c:v>1.0503627562982974E-2</c:v>
                </c:pt>
                <c:pt idx="188">
                  <c:v>1.0336703798628635E-2</c:v>
                </c:pt>
                <c:pt idx="189">
                  <c:v>1.0161558729075624E-2</c:v>
                </c:pt>
                <c:pt idx="190">
                  <c:v>9.9782050689640415E-3</c:v>
                </c:pt>
                <c:pt idx="191">
                  <c:v>9.7839569217644182E-3</c:v>
                </c:pt>
                <c:pt idx="192">
                  <c:v>9.5839310381309172E-3</c:v>
                </c:pt>
                <c:pt idx="193">
                  <c:v>9.3781343551597937E-3</c:v>
                </c:pt>
                <c:pt idx="194">
                  <c:v>9.1665729421737795E-3</c:v>
                </c:pt>
                <c:pt idx="195">
                  <c:v>8.9492519652405941E-3</c:v>
                </c:pt>
                <c:pt idx="196">
                  <c:v>8.7261756513260479E-3</c:v>
                </c:pt>
                <c:pt idx="197">
                  <c:v>8.4967962591649248E-3</c:v>
                </c:pt>
                <c:pt idx="198">
                  <c:v>8.2644506694890471E-3</c:v>
                </c:pt>
                <c:pt idx="199">
                  <c:v>8.0291373407561217E-3</c:v>
                </c:pt>
                <c:pt idx="200">
                  <c:v>7.7908539010553045E-3</c:v>
                </c:pt>
                <c:pt idx="201">
                  <c:v>7.5495971288227553E-3</c:v>
                </c:pt>
                <c:pt idx="202">
                  <c:v>7.3053629336128122E-3</c:v>
                </c:pt>
                <c:pt idx="203">
                  <c:v>7.0581463370318299E-3</c:v>
                </c:pt>
                <c:pt idx="204">
                  <c:v>6.8079304597341954E-3</c:v>
                </c:pt>
                <c:pt idx="205">
                  <c:v>6.5559894683405971E-3</c:v>
                </c:pt>
                <c:pt idx="206">
                  <c:v>6.3049968104238125E-3</c:v>
                </c:pt>
                <c:pt idx="207">
                  <c:v>6.0549396476383549E-3</c:v>
                </c:pt>
                <c:pt idx="208">
                  <c:v>5.8058055120087876E-3</c:v>
                </c:pt>
                <c:pt idx="209">
                  <c:v>5.5575823035438222E-3</c:v>
                </c:pt>
                <c:pt idx="210">
                  <c:v>5.3102582880473585E-3</c:v>
                </c:pt>
                <c:pt idx="211">
                  <c:v>5.0663488954648611E-3</c:v>
                </c:pt>
                <c:pt idx="212">
                  <c:v>4.8263911080864913E-3</c:v>
                </c:pt>
                <c:pt idx="213">
                  <c:v>4.5903731828783843E-3</c:v>
                </c:pt>
                <c:pt idx="214">
                  <c:v>4.3582839427108236E-3</c:v>
                </c:pt>
                <c:pt idx="215">
                  <c:v>4.1301127645155689E-3</c:v>
                </c:pt>
                <c:pt idx="216">
                  <c:v>3.9058495674243413E-3</c:v>
                </c:pt>
                <c:pt idx="217">
                  <c:v>3.6854848009218555E-3</c:v>
                </c:pt>
                <c:pt idx="218">
                  <c:v>3.4690094329748126E-3</c:v>
                </c:pt>
                <c:pt idx="219">
                  <c:v>3.2600529451717142E-3</c:v>
                </c:pt>
                <c:pt idx="220">
                  <c:v>3.0573149614499273E-3</c:v>
                </c:pt>
                <c:pt idx="221">
                  <c:v>2.8607877218614912E-3</c:v>
                </c:pt>
                <c:pt idx="222">
                  <c:v>2.670464060217142E-3</c:v>
                </c:pt>
                <c:pt idx="223">
                  <c:v>2.4863373849898446E-3</c:v>
                </c:pt>
                <c:pt idx="224">
                  <c:v>2.3084016601419926E-3</c:v>
                </c:pt>
                <c:pt idx="225">
                  <c:v>2.1467313200548622E-3</c:v>
                </c:pt>
                <c:pt idx="226">
                  <c:v>1.99879702523412E-3</c:v>
                </c:pt>
                <c:pt idx="227">
                  <c:v>1.864594629586637E-3</c:v>
                </c:pt>
                <c:pt idx="228">
                  <c:v>1.7441207788034868E-3</c:v>
                </c:pt>
                <c:pt idx="229">
                  <c:v>1.6373728677016195E-3</c:v>
                </c:pt>
                <c:pt idx="230">
                  <c:v>1.5443489975977096E-3</c:v>
                </c:pt>
                <c:pt idx="231">
                  <c:v>1.4650479336836633E-3</c:v>
                </c:pt>
                <c:pt idx="232">
                  <c:v>1.3994690623687573E-3</c:v>
                </c:pt>
                <c:pt idx="233">
                  <c:v>1.3625640517508036E-3</c:v>
                </c:pt>
                <c:pt idx="234">
                  <c:v>1.3506974668633306E-3</c:v>
                </c:pt>
                <c:pt idx="235">
                  <c:v>1.3638734479733412E-3</c:v>
                </c:pt>
                <c:pt idx="236">
                  <c:v>1.4020974644081557E-3</c:v>
                </c:pt>
                <c:pt idx="237">
                  <c:v>1.4653751210707757E-3</c:v>
                </c:pt>
                <c:pt idx="238">
                  <c:v>1.5537130809537129E-3</c:v>
                </c:pt>
                <c:pt idx="239">
                  <c:v>1.6810086814179092E-3</c:v>
                </c:pt>
                <c:pt idx="240">
                  <c:v>1.8371880674353104E-3</c:v>
                </c:pt>
                <c:pt idx="241">
                  <c:v>2.0222627596567632E-3</c:v>
                </c:pt>
                <c:pt idx="242">
                  <c:v>2.2362456988411733E-3</c:v>
                </c:pt>
                <c:pt idx="243">
                  <c:v>2.4791512967798192E-3</c:v>
                </c:pt>
                <c:pt idx="244">
                  <c:v>2.7509954872165683E-3</c:v>
                </c:pt>
                <c:pt idx="245">
                  <c:v>3.0517957767430652E-3</c:v>
                </c:pt>
                <c:pt idx="246">
                  <c:v>3.3815712956773102E-3</c:v>
                </c:pt>
                <c:pt idx="247">
                  <c:v>3.7456044867275103E-3</c:v>
                </c:pt>
                <c:pt idx="248">
                  <c:v>4.1289465031812567E-3</c:v>
                </c:pt>
                <c:pt idx="249">
                  <c:v>4.5316170409837424E-3</c:v>
                </c:pt>
                <c:pt idx="250">
                  <c:v>4.9536370975739536E-3</c:v>
                </c:pt>
                <c:pt idx="251">
                  <c:v>5.395029005788453E-3</c:v>
                </c:pt>
                <c:pt idx="252">
                  <c:v>5.8558164675846409E-3</c:v>
                </c:pt>
                <c:pt idx="253">
                  <c:v>6.3186947670188639E-3</c:v>
                </c:pt>
                <c:pt idx="254">
                  <c:v>6.7697592690495571E-3</c:v>
                </c:pt>
                <c:pt idx="255">
                  <c:v>7.2090168376896281E-3</c:v>
                </c:pt>
                <c:pt idx="256">
                  <c:v>7.636473928606175E-3</c:v>
                </c:pt>
                <c:pt idx="257">
                  <c:v>8.0521365678142779E-3</c:v>
                </c:pt>
                <c:pt idx="258">
                  <c:v>8.4560103304310297E-3</c:v>
                </c:pt>
                <c:pt idx="259">
                  <c:v>8.8481003195551421E-3</c:v>
                </c:pt>
                <c:pt idx="260">
                  <c:v>9.2284111448993292E-3</c:v>
                </c:pt>
                <c:pt idx="261">
                  <c:v>9.5776315849738849E-3</c:v>
                </c:pt>
                <c:pt idx="262">
                  <c:v>9.8904689987198494E-3</c:v>
                </c:pt>
                <c:pt idx="263">
                  <c:v>1.0166903191506637E-2</c:v>
                </c:pt>
                <c:pt idx="264">
                  <c:v>1.0406912176129263E-2</c:v>
                </c:pt>
                <c:pt idx="265">
                  <c:v>1.0610528504270019E-2</c:v>
                </c:pt>
                <c:pt idx="266">
                  <c:v>1.0777757560288646E-2</c:v>
                </c:pt>
                <c:pt idx="267">
                  <c:v>1.0906409512740075E-2</c:v>
                </c:pt>
                <c:pt idx="268">
                  <c:v>1.1013840968140618E-2</c:v>
                </c:pt>
                <c:pt idx="269">
                  <c:v>1.1100020047862938E-2</c:v>
                </c:pt>
                <c:pt idx="270">
                  <c:v>1.1164912301858426E-2</c:v>
                </c:pt>
                <c:pt idx="271">
                  <c:v>1.1208480945327278E-2</c:v>
                </c:pt>
                <c:pt idx="272">
                  <c:v>1.1230687095691281E-2</c:v>
                </c:pt>
                <c:pt idx="273">
                  <c:v>1.1231490009426399E-2</c:v>
                </c:pt>
                <c:pt idx="274">
                  <c:v>1.1210847319042453E-2</c:v>
                </c:pt>
                <c:pt idx="275">
                  <c:v>1.1173354883361433E-2</c:v>
                </c:pt>
                <c:pt idx="276">
                  <c:v>1.1138406100922172E-2</c:v>
                </c:pt>
                <c:pt idx="277">
                  <c:v>1.1105991361900132E-2</c:v>
                </c:pt>
                <c:pt idx="278">
                  <c:v>1.1076101346810217E-2</c:v>
                </c:pt>
                <c:pt idx="279">
                  <c:v>1.1048726999204443E-2</c:v>
                </c:pt>
                <c:pt idx="280">
                  <c:v>1.1023859498473947E-2</c:v>
                </c:pt>
                <c:pt idx="281">
                  <c:v>1.1011040660430699E-2</c:v>
                </c:pt>
                <c:pt idx="282">
                  <c:v>1.1012440969067457E-2</c:v>
                </c:pt>
                <c:pt idx="283">
                  <c:v>1.102807056549566E-2</c:v>
                </c:pt>
                <c:pt idx="284">
                  <c:v>1.1057939693282228E-2</c:v>
                </c:pt>
                <c:pt idx="285">
                  <c:v>1.1102058542946021E-2</c:v>
                </c:pt>
                <c:pt idx="286">
                  <c:v>1.116043709655979E-2</c:v>
                </c:pt>
                <c:pt idx="287">
                  <c:v>1.123308497224295E-2</c:v>
                </c:pt>
                <c:pt idx="288">
                  <c:v>1.1320011268696367E-2</c:v>
                </c:pt>
                <c:pt idx="289">
                  <c:v>1.1427799467365799E-2</c:v>
                </c:pt>
                <c:pt idx="290">
                  <c:v>1.1551791607157877E-2</c:v>
                </c:pt>
                <c:pt idx="291">
                  <c:v>1.1691996959398744E-2</c:v>
                </c:pt>
                <c:pt idx="292">
                  <c:v>1.1848423528751132E-2</c:v>
                </c:pt>
                <c:pt idx="293">
                  <c:v>1.202107787705636E-2</c:v>
                </c:pt>
                <c:pt idx="294">
                  <c:v>1.2209964947132472E-2</c:v>
                </c:pt>
                <c:pt idx="295">
                  <c:v>1.2410311407277603E-2</c:v>
                </c:pt>
                <c:pt idx="296">
                  <c:v>1.2612643193676911E-2</c:v>
                </c:pt>
                <c:pt idx="297">
                  <c:v>1.2817056505407674E-2</c:v>
                </c:pt>
                <c:pt idx="298">
                  <c:v>1.3023545843734916E-2</c:v>
                </c:pt>
                <c:pt idx="299">
                  <c:v>1.323210503658955E-2</c:v>
                </c:pt>
                <c:pt idx="300">
                  <c:v>1.3442727221807706E-2</c:v>
                </c:pt>
                <c:pt idx="301">
                  <c:v>1.3655404830330795E-2</c:v>
                </c:pt>
                <c:pt idx="302">
                  <c:v>1.3870129569435128E-2</c:v>
                </c:pt>
                <c:pt idx="303">
                  <c:v>1.4079845166006764E-2</c:v>
                </c:pt>
                <c:pt idx="304">
                  <c:v>1.4277910041743962E-2</c:v>
                </c:pt>
                <c:pt idx="305">
                  <c:v>1.4464294129362516E-2</c:v>
                </c:pt>
                <c:pt idx="306">
                  <c:v>1.4638966723144924E-2</c:v>
                </c:pt>
                <c:pt idx="307">
                  <c:v>1.4801896588005431E-2</c:v>
                </c:pt>
                <c:pt idx="308">
                  <c:v>1.4953052068431073E-2</c:v>
                </c:pt>
                <c:pt idx="309">
                  <c:v>1.5096902013107436E-2</c:v>
                </c:pt>
                <c:pt idx="310">
                  <c:v>1.5238231832781045E-2</c:v>
                </c:pt>
                <c:pt idx="311">
                  <c:v>1.5377021798066607E-2</c:v>
                </c:pt>
                <c:pt idx="312">
                  <c:v>1.5513251785206329E-2</c:v>
                </c:pt>
                <c:pt idx="313">
                  <c:v>1.5646901299695391E-2</c:v>
                </c:pt>
                <c:pt idx="314">
                  <c:v>1.5777949499766585E-2</c:v>
                </c:pt>
                <c:pt idx="315">
                  <c:v>1.5906375220071021E-2</c:v>
                </c:pt>
                <c:pt idx="316">
                  <c:v>1.6032156995116717E-2</c:v>
                </c:pt>
                <c:pt idx="317">
                  <c:v>1.6163910024338413E-2</c:v>
                </c:pt>
                <c:pt idx="318">
                  <c:v>1.6308716419053217E-2</c:v>
                </c:pt>
                <c:pt idx="319">
                  <c:v>1.6466570987645982E-2</c:v>
                </c:pt>
                <c:pt idx="320">
                  <c:v>1.6637466947596477E-2</c:v>
                </c:pt>
                <c:pt idx="321">
                  <c:v>1.6821395805177174E-2</c:v>
                </c:pt>
                <c:pt idx="322">
                  <c:v>1.7018347235225426E-2</c:v>
                </c:pt>
                <c:pt idx="323">
                  <c:v>1.7223022516940543E-2</c:v>
                </c:pt>
                <c:pt idx="324">
                  <c:v>1.7430875803366858E-2</c:v>
                </c:pt>
                <c:pt idx="325">
                  <c:v>1.7641881933210889E-2</c:v>
                </c:pt>
                <c:pt idx="326">
                  <c:v>1.7855903510136894E-2</c:v>
                </c:pt>
                <c:pt idx="327">
                  <c:v>1.8072871502148799E-2</c:v>
                </c:pt>
                <c:pt idx="328">
                  <c:v>1.8292807481907262E-2</c:v>
                </c:pt>
                <c:pt idx="329">
                  <c:v>1.8515734263257939E-2</c:v>
                </c:pt>
                <c:pt idx="330">
                  <c:v>1.8741675971258552E-2</c:v>
                </c:pt>
                <c:pt idx="331">
                  <c:v>1.8960095212743319E-2</c:v>
                </c:pt>
                <c:pt idx="332">
                  <c:v>1.9162346236461545E-2</c:v>
                </c:pt>
                <c:pt idx="333">
                  <c:v>1.9348453366077972E-2</c:v>
                </c:pt>
                <c:pt idx="334">
                  <c:v>1.9518444110846907E-2</c:v>
                </c:pt>
                <c:pt idx="335">
                  <c:v>1.9672348835914028E-2</c:v>
                </c:pt>
                <c:pt idx="336">
                  <c:v>1.9810200432365577E-2</c:v>
                </c:pt>
                <c:pt idx="337">
                  <c:v>1.9929060274234824E-2</c:v>
                </c:pt>
                <c:pt idx="338">
                  <c:v>2.0034262169369974E-2</c:v>
                </c:pt>
                <c:pt idx="339">
                  <c:v>2.0125844818768817E-2</c:v>
                </c:pt>
                <c:pt idx="340">
                  <c:v>2.0203848076034089E-2</c:v>
                </c:pt>
                <c:pt idx="341">
                  <c:v>2.0268312665902552E-2</c:v>
                </c:pt>
                <c:pt idx="342">
                  <c:v>2.031927990275971E-2</c:v>
                </c:pt>
                <c:pt idx="343">
                  <c:v>2.0356791408909468E-2</c:v>
                </c:pt>
                <c:pt idx="344">
                  <c:v>2.0380888833161807E-2</c:v>
                </c:pt>
                <c:pt idx="345">
                  <c:v>2.0391613569206619E-2</c:v>
                </c:pt>
                <c:pt idx="346">
                  <c:v>2.0400110424279749E-2</c:v>
                </c:pt>
                <c:pt idx="347">
                  <c:v>2.0406421649666804E-2</c:v>
                </c:pt>
                <c:pt idx="348">
                  <c:v>2.0410589365633117E-2</c:v>
                </c:pt>
                <c:pt idx="349">
                  <c:v>2.0412655510520891E-2</c:v>
                </c:pt>
                <c:pt idx="350">
                  <c:v>2.0412661790324242E-2</c:v>
                </c:pt>
                <c:pt idx="351">
                  <c:v>2.0411183913674066E-2</c:v>
                </c:pt>
                <c:pt idx="352">
                  <c:v>2.0411239748318332E-2</c:v>
                </c:pt>
                <c:pt idx="353">
                  <c:v>2.0412871983250203E-2</c:v>
                </c:pt>
                <c:pt idx="354">
                  <c:v>2.04161234455114E-2</c:v>
                </c:pt>
                <c:pt idx="355">
                  <c:v>2.0421037121371739E-2</c:v>
                </c:pt>
                <c:pt idx="356">
                  <c:v>2.0427670295234405E-2</c:v>
                </c:pt>
                <c:pt idx="357">
                  <c:v>2.0436020816954406E-2</c:v>
                </c:pt>
                <c:pt idx="358">
                  <c:v>2.0446037502712448E-2</c:v>
                </c:pt>
                <c:pt idx="359">
                  <c:v>2.0457669327692961E-2</c:v>
                </c:pt>
                <c:pt idx="360">
                  <c:v>2.0467882055697398E-2</c:v>
                </c:pt>
                <c:pt idx="361">
                  <c:v>2.0476085465736826E-2</c:v>
                </c:pt>
                <c:pt idx="362">
                  <c:v>2.0482224209914603E-2</c:v>
                </c:pt>
                <c:pt idx="363">
                  <c:v>2.0486242676949568E-2</c:v>
                </c:pt>
                <c:pt idx="364">
                  <c:v>2.0488085055161916E-2</c:v>
                </c:pt>
                <c:pt idx="365">
                  <c:v>2.0487695395207128E-2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2.285824156178095E-2</c:v>
                </c:pt>
                <c:pt idx="1">
                  <c:v>2.2903076165972525E-2</c:v>
                </c:pt>
                <c:pt idx="2">
                  <c:v>2.2937548457864169E-2</c:v>
                </c:pt>
                <c:pt idx="3">
                  <c:v>2.296158522454593E-2</c:v>
                </c:pt>
                <c:pt idx="4">
                  <c:v>2.2975112848514251E-2</c:v>
                </c:pt>
                <c:pt idx="5">
                  <c:v>2.2978057576309371E-2</c:v>
                </c:pt>
                <c:pt idx="6">
                  <c:v>2.2970345787446597E-2</c:v>
                </c:pt>
                <c:pt idx="7">
                  <c:v>2.2951904262830201E-2</c:v>
                </c:pt>
                <c:pt idx="8">
                  <c:v>2.2922660453489046E-2</c:v>
                </c:pt>
                <c:pt idx="9">
                  <c:v>2.286700806332357E-2</c:v>
                </c:pt>
                <c:pt idx="10">
                  <c:v>2.2783418615791397E-2</c:v>
                </c:pt>
                <c:pt idx="11">
                  <c:v>2.2671802823986426E-2</c:v>
                </c:pt>
                <c:pt idx="12">
                  <c:v>2.2532075283910172E-2</c:v>
                </c:pt>
                <c:pt idx="13">
                  <c:v>2.2364155174752584E-2</c:v>
                </c:pt>
                <c:pt idx="14">
                  <c:v>2.2167966958791096E-2</c:v>
                </c:pt>
                <c:pt idx="15">
                  <c:v>2.1948426055966863E-2</c:v>
                </c:pt>
                <c:pt idx="16">
                  <c:v>2.171750919263685E-2</c:v>
                </c:pt>
                <c:pt idx="17">
                  <c:v>2.1475173674250655E-2</c:v>
                </c:pt>
                <c:pt idx="18">
                  <c:v>2.1221381304933281E-2</c:v>
                </c:pt>
                <c:pt idx="19">
                  <c:v>2.0956215547302325E-2</c:v>
                </c:pt>
                <c:pt idx="20">
                  <c:v>2.0679810835942943E-2</c:v>
                </c:pt>
                <c:pt idx="21">
                  <c:v>2.0392209156174328E-2</c:v>
                </c:pt>
                <c:pt idx="22">
                  <c:v>2.0093452638670836E-2</c:v>
                </c:pt>
                <c:pt idx="23">
                  <c:v>1.9794539152423889E-2</c:v>
                </c:pt>
                <c:pt idx="24">
                  <c:v>1.9511107993903834E-2</c:v>
                </c:pt>
                <c:pt idx="25">
                  <c:v>1.9243204781647243E-2</c:v>
                </c:pt>
                <c:pt idx="26">
                  <c:v>1.8990871863043348E-2</c:v>
                </c:pt>
                <c:pt idx="27">
                  <c:v>1.8754148513546717E-2</c:v>
                </c:pt>
                <c:pt idx="28">
                  <c:v>1.8533071136304327E-2</c:v>
                </c:pt>
                <c:pt idx="29">
                  <c:v>1.8327292774970212E-2</c:v>
                </c:pt>
                <c:pt idx="30">
                  <c:v>1.8131851454310847E-2</c:v>
                </c:pt>
                <c:pt idx="31">
                  <c:v>1.7946776743670737E-2</c:v>
                </c:pt>
                <c:pt idx="32">
                  <c:v>1.7772096488990915E-2</c:v>
                </c:pt>
                <c:pt idx="33">
                  <c:v>1.7607836945000049E-2</c:v>
                </c:pt>
                <c:pt idx="34">
                  <c:v>1.7454022907486565E-2</c:v>
                </c:pt>
                <c:pt idx="35">
                  <c:v>1.7310677845554252E-2</c:v>
                </c:pt>
                <c:pt idx="36">
                  <c:v>1.7177824033841257E-2</c:v>
                </c:pt>
                <c:pt idx="37">
                  <c:v>1.7051122705992076E-2</c:v>
                </c:pt>
                <c:pt idx="38">
                  <c:v>1.6919643468095571E-2</c:v>
                </c:pt>
                <c:pt idx="39">
                  <c:v>1.6783409886810326E-2</c:v>
                </c:pt>
                <c:pt idx="40">
                  <c:v>1.6642444929155828E-2</c:v>
                </c:pt>
                <c:pt idx="41">
                  <c:v>1.6496770903324898E-2</c:v>
                </c:pt>
                <c:pt idx="42">
                  <c:v>1.6346409399377738E-2</c:v>
                </c:pt>
                <c:pt idx="43">
                  <c:v>1.619349730547295E-2</c:v>
                </c:pt>
                <c:pt idx="44">
                  <c:v>1.6038434367879315E-2</c:v>
                </c:pt>
                <c:pt idx="45">
                  <c:v>1.5881239136554429E-2</c:v>
                </c:pt>
                <c:pt idx="46">
                  <c:v>1.5721929314809646E-2</c:v>
                </c:pt>
                <c:pt idx="47">
                  <c:v>1.5560521731376996E-2</c:v>
                </c:pt>
                <c:pt idx="48">
                  <c:v>1.5397032312267724E-2</c:v>
                </c:pt>
                <c:pt idx="49">
                  <c:v>1.5231476052774232E-2</c:v>
                </c:pt>
                <c:pt idx="50">
                  <c:v>1.5063866989376513E-2</c:v>
                </c:pt>
                <c:pt idx="51">
                  <c:v>1.4902099746307315E-2</c:v>
                </c:pt>
                <c:pt idx="52">
                  <c:v>1.4750461023641978E-2</c:v>
                </c:pt>
                <c:pt idx="53">
                  <c:v>1.4608868854908428E-2</c:v>
                </c:pt>
                <c:pt idx="54">
                  <c:v>1.4477316346616732E-2</c:v>
                </c:pt>
                <c:pt idx="55">
                  <c:v>1.4355796979594469E-2</c:v>
                </c:pt>
                <c:pt idx="56">
                  <c:v>1.4244304571997784E-2</c:v>
                </c:pt>
                <c:pt idx="57">
                  <c:v>1.4150160150581848E-2</c:v>
                </c:pt>
                <c:pt idx="58">
                  <c:v>1.4071243050126426E-2</c:v>
                </c:pt>
                <c:pt idx="59">
                  <c:v>1.4007548000227524E-2</c:v>
                </c:pt>
                <c:pt idx="60">
                  <c:v>1.3959069929448406E-2</c:v>
                </c:pt>
                <c:pt idx="61">
                  <c:v>1.3925803909059099E-2</c:v>
                </c:pt>
                <c:pt idx="62">
                  <c:v>1.3907745096755035E-2</c:v>
                </c:pt>
                <c:pt idx="63">
                  <c:v>1.3904888680417525E-2</c:v>
                </c:pt>
                <c:pt idx="64">
                  <c:v>1.3917229821818653E-2</c:v>
                </c:pt>
                <c:pt idx="65">
                  <c:v>1.3944520010536091E-2</c:v>
                </c:pt>
                <c:pt idx="66">
                  <c:v>1.3978872271217885E-2</c:v>
                </c:pt>
                <c:pt idx="67">
                  <c:v>1.4020281322257577E-2</c:v>
                </c:pt>
                <c:pt idx="68">
                  <c:v>1.4068741743745748E-2</c:v>
                </c:pt>
                <c:pt idx="69">
                  <c:v>1.4124247951219696E-2</c:v>
                </c:pt>
                <c:pt idx="70">
                  <c:v>1.4186794169478366E-2</c:v>
                </c:pt>
                <c:pt idx="71">
                  <c:v>1.4234091668612246E-2</c:v>
                </c:pt>
                <c:pt idx="72">
                  <c:v>1.4258808108154988E-2</c:v>
                </c:pt>
                <c:pt idx="73">
                  <c:v>1.4260938878377474E-2</c:v>
                </c:pt>
                <c:pt idx="74">
                  <c:v>1.4240479911132845E-2</c:v>
                </c:pt>
                <c:pt idx="75">
                  <c:v>1.419742776321397E-2</c:v>
                </c:pt>
                <c:pt idx="76">
                  <c:v>1.4131779699666626E-2</c:v>
                </c:pt>
                <c:pt idx="77">
                  <c:v>1.4043533777148891E-2</c:v>
                </c:pt>
                <c:pt idx="78">
                  <c:v>1.3932689389822823E-2</c:v>
                </c:pt>
                <c:pt idx="79">
                  <c:v>1.3777425988480906E-2</c:v>
                </c:pt>
                <c:pt idx="80">
                  <c:v>1.3578026536035672E-2</c:v>
                </c:pt>
                <c:pt idx="81">
                  <c:v>1.3334493016427126E-2</c:v>
                </c:pt>
                <c:pt idx="82">
                  <c:v>1.3046827795833894E-2</c:v>
                </c:pt>
                <c:pt idx="83">
                  <c:v>1.2715033764096923E-2</c:v>
                </c:pt>
                <c:pt idx="84">
                  <c:v>1.2339114476186009E-2</c:v>
                </c:pt>
                <c:pt idx="85">
                  <c:v>1.1922335848345799E-2</c:v>
                </c:pt>
                <c:pt idx="86">
                  <c:v>1.1486972177476398E-2</c:v>
                </c:pt>
                <c:pt idx="87">
                  <c:v>1.1033025523605949E-2</c:v>
                </c:pt>
                <c:pt idx="88">
                  <c:v>1.0560498772385487E-2</c:v>
                </c:pt>
                <c:pt idx="89">
                  <c:v>1.0069395694716009E-2</c:v>
                </c:pt>
                <c:pt idx="90">
                  <c:v>9.5597210063541483E-3</c:v>
                </c:pt>
                <c:pt idx="91">
                  <c:v>9.0314804275572168E-3</c:v>
                </c:pt>
                <c:pt idx="92">
                  <c:v>8.4846807426986175E-3</c:v>
                </c:pt>
                <c:pt idx="93">
                  <c:v>7.9327789552417951E-3</c:v>
                </c:pt>
                <c:pt idx="94">
                  <c:v>7.3976360332101837E-3</c:v>
                </c:pt>
                <c:pt idx="95">
                  <c:v>6.879252972936652E-3</c:v>
                </c:pt>
                <c:pt idx="96">
                  <c:v>6.3776309579317743E-3</c:v>
                </c:pt>
                <c:pt idx="97">
                  <c:v>5.8927713053571152E-3</c:v>
                </c:pt>
                <c:pt idx="98">
                  <c:v>5.4246754124335321E-3</c:v>
                </c:pt>
                <c:pt idx="99">
                  <c:v>4.9929587516213993E-3</c:v>
                </c:pt>
                <c:pt idx="100">
                  <c:v>4.5943582752344218E-3</c:v>
                </c:pt>
                <c:pt idx="101">
                  <c:v>4.2288688990049939E-3</c:v>
                </c:pt>
                <c:pt idx="102">
                  <c:v>3.8964846814021816E-3</c:v>
                </c:pt>
                <c:pt idx="103">
                  <c:v>3.5971987175557616E-3</c:v>
                </c:pt>
                <c:pt idx="104">
                  <c:v>3.3310030332757055E-3</c:v>
                </c:pt>
                <c:pt idx="105">
                  <c:v>3.0978884789826682E-3</c:v>
                </c:pt>
                <c:pt idx="106">
                  <c:v>2.8978446236863848E-3</c:v>
                </c:pt>
                <c:pt idx="107">
                  <c:v>2.7470809962851402E-3</c:v>
                </c:pt>
                <c:pt idx="108">
                  <c:v>2.6321517386064266E-3</c:v>
                </c:pt>
                <c:pt idx="109">
                  <c:v>2.5530399036978206E-3</c:v>
                </c:pt>
                <c:pt idx="110">
                  <c:v>2.5097338035414297E-3</c:v>
                </c:pt>
                <c:pt idx="111">
                  <c:v>2.5022198378655699E-3</c:v>
                </c:pt>
                <c:pt idx="112">
                  <c:v>2.5304761118220493E-3</c:v>
                </c:pt>
                <c:pt idx="113">
                  <c:v>2.6006378134212204E-3</c:v>
                </c:pt>
                <c:pt idx="114">
                  <c:v>2.6931124352509001E-3</c:v>
                </c:pt>
                <c:pt idx="115">
                  <c:v>2.8078836521599165E-3</c:v>
                </c:pt>
                <c:pt idx="116">
                  <c:v>2.9449343598312275E-3</c:v>
                </c:pt>
                <c:pt idx="117">
                  <c:v>3.1042466259122779E-3</c:v>
                </c:pt>
                <c:pt idx="118">
                  <c:v>3.2858016411184496E-3</c:v>
                </c:pt>
                <c:pt idx="119">
                  <c:v>3.4895796703438772E-3</c:v>
                </c:pt>
                <c:pt idx="120">
                  <c:v>3.7155600037662362E-3</c:v>
                </c:pt>
                <c:pt idx="121">
                  <c:v>3.9678259454773261E-3</c:v>
                </c:pt>
                <c:pt idx="122">
                  <c:v>4.230183639333405E-3</c:v>
                </c:pt>
                <c:pt idx="123">
                  <c:v>4.5026187860716105E-3</c:v>
                </c:pt>
                <c:pt idx="124">
                  <c:v>4.7851164272638552E-3</c:v>
                </c:pt>
                <c:pt idx="125">
                  <c:v>5.0776609228961427E-3</c:v>
                </c:pt>
                <c:pt idx="126">
                  <c:v>5.3802359288869801E-3</c:v>
                </c:pt>
                <c:pt idx="127">
                  <c:v>5.6943411432509045E-3</c:v>
                </c:pt>
                <c:pt idx="128">
                  <c:v>6.0138229746477386E-3</c:v>
                </c:pt>
                <c:pt idx="129">
                  <c:v>6.3386671569113468E-3</c:v>
                </c:pt>
                <c:pt idx="130">
                  <c:v>6.6688588625726788E-3</c:v>
                </c:pt>
                <c:pt idx="131">
                  <c:v>7.0043826904794999E-3</c:v>
                </c:pt>
                <c:pt idx="132">
                  <c:v>7.3452226534661009E-3</c:v>
                </c:pt>
                <c:pt idx="133">
                  <c:v>7.6913621660692367E-3</c:v>
                </c:pt>
                <c:pt idx="134">
                  <c:v>8.0427840322135971E-3</c:v>
                </c:pt>
                <c:pt idx="135">
                  <c:v>8.3986073160606089E-3</c:v>
                </c:pt>
                <c:pt idx="136">
                  <c:v>8.7547289839885033E-3</c:v>
                </c:pt>
                <c:pt idx="137">
                  <c:v>9.1111357438268901E-3</c:v>
                </c:pt>
                <c:pt idx="138">
                  <c:v>9.4678139477425999E-3</c:v>
                </c:pt>
                <c:pt idx="139">
                  <c:v>9.8247495910379484E-3</c:v>
                </c:pt>
                <c:pt idx="140">
                  <c:v>1.0181928310428421E-2</c:v>
                </c:pt>
                <c:pt idx="141">
                  <c:v>1.0535765489084028E-2</c:v>
                </c:pt>
                <c:pt idx="142">
                  <c:v>1.088468254121063E-2</c:v>
                </c:pt>
                <c:pt idx="143">
                  <c:v>1.1228615181812991E-2</c:v>
                </c:pt>
                <c:pt idx="144">
                  <c:v>1.1567562889091935E-2</c:v>
                </c:pt>
                <c:pt idx="145">
                  <c:v>1.1901527537315739E-2</c:v>
                </c:pt>
                <c:pt idx="146">
                  <c:v>1.2230513337112486E-2</c:v>
                </c:pt>
                <c:pt idx="147">
                  <c:v>1.2554526776153723E-2</c:v>
                </c:pt>
                <c:pt idx="148">
                  <c:v>1.2873576559562271E-2</c:v>
                </c:pt>
                <c:pt idx="149">
                  <c:v>1.3182607968020794E-2</c:v>
                </c:pt>
                <c:pt idx="150">
                  <c:v>1.3482499820440717E-2</c:v>
                </c:pt>
                <c:pt idx="151">
                  <c:v>1.3773274793003002E-2</c:v>
                </c:pt>
                <c:pt idx="152">
                  <c:v>1.4054957747813469E-2</c:v>
                </c:pt>
                <c:pt idx="153">
                  <c:v>1.4327575616580955E-2</c:v>
                </c:pt>
                <c:pt idx="154">
                  <c:v>1.459115728436918E-2</c:v>
                </c:pt>
                <c:pt idx="155">
                  <c:v>1.4838519605664461E-2</c:v>
                </c:pt>
                <c:pt idx="156">
                  <c:v>1.5073248690684949E-2</c:v>
                </c:pt>
                <c:pt idx="157">
                  <c:v>1.5295385612806562E-2</c:v>
                </c:pt>
                <c:pt idx="158">
                  <c:v>1.5504972920521344E-2</c:v>
                </c:pt>
                <c:pt idx="159">
                  <c:v>1.5702054471388643E-2</c:v>
                </c:pt>
                <c:pt idx="160">
                  <c:v>1.5886675266175817E-2</c:v>
                </c:pt>
                <c:pt idx="161">
                  <c:v>1.605888128282482E-2</c:v>
                </c:pt>
                <c:pt idx="162">
                  <c:v>1.6218719310501298E-2</c:v>
                </c:pt>
                <c:pt idx="163">
                  <c:v>1.6358600360325635E-2</c:v>
                </c:pt>
                <c:pt idx="164">
                  <c:v>1.6483605077825311E-2</c:v>
                </c:pt>
                <c:pt idx="165">
                  <c:v>1.6593786263597893E-2</c:v>
                </c:pt>
                <c:pt idx="166">
                  <c:v>1.6689196671907838E-2</c:v>
                </c:pt>
                <c:pt idx="167">
                  <c:v>1.6769888808885563E-2</c:v>
                </c:pt>
                <c:pt idx="168">
                  <c:v>1.6835914731256528E-2</c:v>
                </c:pt>
                <c:pt idx="169">
                  <c:v>1.6879716471601341E-2</c:v>
                </c:pt>
                <c:pt idx="170">
                  <c:v>1.690850526245621E-2</c:v>
                </c:pt>
                <c:pt idx="171">
                  <c:v>1.6922330952553268E-2</c:v>
                </c:pt>
                <c:pt idx="172">
                  <c:v>1.69212420442468E-2</c:v>
                </c:pt>
                <c:pt idx="173">
                  <c:v>1.6905112611932907E-2</c:v>
                </c:pt>
                <c:pt idx="174">
                  <c:v>1.6873807095200779E-2</c:v>
                </c:pt>
                <c:pt idx="175">
                  <c:v>1.6827358387813813E-2</c:v>
                </c:pt>
                <c:pt idx="176">
                  <c:v>1.6765799283636185E-2</c:v>
                </c:pt>
                <c:pt idx="177">
                  <c:v>1.6682039651256423E-2</c:v>
                </c:pt>
                <c:pt idx="178">
                  <c:v>1.6583696859978524E-2</c:v>
                </c:pt>
                <c:pt idx="179">
                  <c:v>1.6470802131521769E-2</c:v>
                </c:pt>
                <c:pt idx="180">
                  <c:v>1.6343386223876266E-2</c:v>
                </c:pt>
                <c:pt idx="181">
                  <c:v>1.6201479344910841E-2</c:v>
                </c:pt>
                <c:pt idx="182">
                  <c:v>1.6045111066125613E-2</c:v>
                </c:pt>
                <c:pt idx="183">
                  <c:v>1.5869341580813594E-2</c:v>
                </c:pt>
                <c:pt idx="184">
                  <c:v>1.5681758174454306E-2</c:v>
                </c:pt>
                <c:pt idx="185">
                  <c:v>1.5482384238864647E-2</c:v>
                </c:pt>
                <c:pt idx="186">
                  <c:v>1.527124227796429E-2</c:v>
                </c:pt>
                <c:pt idx="187">
                  <c:v>1.5048353836779667E-2</c:v>
                </c:pt>
                <c:pt idx="188">
                  <c:v>1.4813739430528336E-2</c:v>
                </c:pt>
                <c:pt idx="189">
                  <c:v>1.4567418473243761E-2</c:v>
                </c:pt>
                <c:pt idx="190">
                  <c:v>1.4309409207040578E-2</c:v>
                </c:pt>
                <c:pt idx="191">
                  <c:v>1.4036254067263118E-2</c:v>
                </c:pt>
                <c:pt idx="192">
                  <c:v>1.3755046128296845E-2</c:v>
                </c:pt>
                <c:pt idx="193">
                  <c:v>1.3465795229709261E-2</c:v>
                </c:pt>
                <c:pt idx="194">
                  <c:v>1.3168509995858734E-2</c:v>
                </c:pt>
                <c:pt idx="195">
                  <c:v>1.286319778641503E-2</c:v>
                </c:pt>
                <c:pt idx="196">
                  <c:v>1.2549864646355213E-2</c:v>
                </c:pt>
                <c:pt idx="197">
                  <c:v>1.2227679160258461E-2</c:v>
                </c:pt>
                <c:pt idx="198">
                  <c:v>1.1901583058560745E-2</c:v>
                </c:pt>
                <c:pt idx="199">
                  <c:v>1.1571574108733627E-2</c:v>
                </c:pt>
                <c:pt idx="200">
                  <c:v>1.1237648935014518E-2</c:v>
                </c:pt>
                <c:pt idx="201">
                  <c:v>1.089980299280819E-2</c:v>
                </c:pt>
                <c:pt idx="202">
                  <c:v>1.0558030543168102E-2</c:v>
                </c:pt>
                <c:pt idx="203">
                  <c:v>1.0212324627512807E-2</c:v>
                </c:pt>
                <c:pt idx="204">
                  <c:v>9.8626611154062106E-3</c:v>
                </c:pt>
                <c:pt idx="205">
                  <c:v>9.5104731278692761E-3</c:v>
                </c:pt>
                <c:pt idx="206">
                  <c:v>9.1592026802881088E-3</c:v>
                </c:pt>
                <c:pt idx="207">
                  <c:v>8.8088319741025881E-3</c:v>
                </c:pt>
                <c:pt idx="208">
                  <c:v>8.4593436952702852E-3</c:v>
                </c:pt>
                <c:pt idx="209">
                  <c:v>8.1107210122079443E-3</c:v>
                </c:pt>
                <c:pt idx="210">
                  <c:v>7.7629475740197606E-3</c:v>
                </c:pt>
                <c:pt idx="211">
                  <c:v>7.4199532746984358E-3</c:v>
                </c:pt>
                <c:pt idx="212">
                  <c:v>7.0825542132668517E-3</c:v>
                </c:pt>
                <c:pt idx="213">
                  <c:v>6.7507337727421507E-3</c:v>
                </c:pt>
                <c:pt idx="214">
                  <c:v>6.4244761342831681E-3</c:v>
                </c:pt>
                <c:pt idx="215">
                  <c:v>6.1037662604298175E-3</c:v>
                </c:pt>
                <c:pt idx="216">
                  <c:v>5.7885898783149045E-3</c:v>
                </c:pt>
                <c:pt idx="217">
                  <c:v>5.4789334628975259E-3</c:v>
                </c:pt>
                <c:pt idx="218">
                  <c:v>5.1747842201610118E-3</c:v>
                </c:pt>
                <c:pt idx="219">
                  <c:v>4.8820333930315049E-3</c:v>
                </c:pt>
                <c:pt idx="220">
                  <c:v>4.5992095301909657E-3</c:v>
                </c:pt>
                <c:pt idx="221">
                  <c:v>4.3263015003124775E-3</c:v>
                </c:pt>
                <c:pt idx="222">
                  <c:v>4.0632990696427415E-3</c:v>
                </c:pt>
                <c:pt idx="223">
                  <c:v>3.8101928714874785E-3</c:v>
                </c:pt>
                <c:pt idx="224">
                  <c:v>3.5669743755822273E-3</c:v>
                </c:pt>
                <c:pt idx="225">
                  <c:v>3.3491649878990793E-3</c:v>
                </c:pt>
                <c:pt idx="226">
                  <c:v>3.1528158106863395E-3</c:v>
                </c:pt>
                <c:pt idx="227">
                  <c:v>2.9779211599163407E-3</c:v>
                </c:pt>
                <c:pt idx="228">
                  <c:v>2.8244765453773837E-3</c:v>
                </c:pt>
                <c:pt idx="229">
                  <c:v>2.6924786040253643E-3</c:v>
                </c:pt>
                <c:pt idx="230">
                  <c:v>2.5819250333859829E-3</c:v>
                </c:pt>
                <c:pt idx="231">
                  <c:v>2.492814524961156E-3</c:v>
                </c:pt>
                <c:pt idx="232">
                  <c:v>2.4251466975798138E-3</c:v>
                </c:pt>
                <c:pt idx="233">
                  <c:v>2.3976810508932345E-3</c:v>
                </c:pt>
                <c:pt idx="234">
                  <c:v>2.4045180934380741E-3</c:v>
                </c:pt>
                <c:pt idx="235">
                  <c:v>2.4456641507128087E-3</c:v>
                </c:pt>
                <c:pt idx="236">
                  <c:v>2.5211276096180762E-3</c:v>
                </c:pt>
                <c:pt idx="237">
                  <c:v>2.6309167166118168E-3</c:v>
                </c:pt>
                <c:pt idx="238">
                  <c:v>2.7750411838094458E-3</c:v>
                </c:pt>
                <c:pt idx="239">
                  <c:v>2.9663727571837984E-3</c:v>
                </c:pt>
                <c:pt idx="240">
                  <c:v>3.1893884790641746E-3</c:v>
                </c:pt>
                <c:pt idx="241">
                  <c:v>3.4441023337302311E-3</c:v>
                </c:pt>
                <c:pt idx="242">
                  <c:v>3.7305298988866589E-3</c:v>
                </c:pt>
                <c:pt idx="243">
                  <c:v>4.0486884015052578E-3</c:v>
                </c:pt>
                <c:pt idx="244">
                  <c:v>4.3985967736572713E-3</c:v>
                </c:pt>
                <c:pt idx="245">
                  <c:v>4.7802757083042473E-3</c:v>
                </c:pt>
                <c:pt idx="246">
                  <c:v>5.193747715066247E-3</c:v>
                </c:pt>
                <c:pt idx="247">
                  <c:v>5.6421573007629545E-3</c:v>
                </c:pt>
                <c:pt idx="248">
                  <c:v>6.1067454611479976E-3</c:v>
                </c:pt>
                <c:pt idx="249">
                  <c:v>6.587532908790569E-3</c:v>
                </c:pt>
                <c:pt idx="250">
                  <c:v>7.0845415440793334E-3</c:v>
                </c:pt>
                <c:pt idx="251">
                  <c:v>7.5977944835880834E-3</c:v>
                </c:pt>
                <c:pt idx="252">
                  <c:v>8.1273160881754208E-3</c:v>
                </c:pt>
                <c:pt idx="253">
                  <c:v>8.6521898311613665E-3</c:v>
                </c:pt>
                <c:pt idx="254">
                  <c:v>9.1595405304933236E-3</c:v>
                </c:pt>
                <c:pt idx="255">
                  <c:v>9.6493734889069715E-3</c:v>
                </c:pt>
                <c:pt idx="256">
                  <c:v>1.0121693294068895E-2</c:v>
                </c:pt>
                <c:pt idx="257">
                  <c:v>1.0576503787111582E-2</c:v>
                </c:pt>
                <c:pt idx="258">
                  <c:v>1.1013808031251335E-2</c:v>
                </c:pt>
                <c:pt idx="259">
                  <c:v>1.1433608280567973E-2</c:v>
                </c:pt>
                <c:pt idx="260">
                  <c:v>1.1835905948459971E-2</c:v>
                </c:pt>
                <c:pt idx="261">
                  <c:v>1.2199331931383582E-2</c:v>
                </c:pt>
                <c:pt idx="262">
                  <c:v>1.2520736496992374E-2</c:v>
                </c:pt>
                <c:pt idx="263">
                  <c:v>1.2800095167600551E-2</c:v>
                </c:pt>
                <c:pt idx="264">
                  <c:v>1.3037381416433333E-2</c:v>
                </c:pt>
                <c:pt idx="265">
                  <c:v>1.3232636911777201E-2</c:v>
                </c:pt>
                <c:pt idx="266">
                  <c:v>1.3385868586566867E-2</c:v>
                </c:pt>
                <c:pt idx="267">
                  <c:v>1.3496791433610125E-2</c:v>
                </c:pt>
                <c:pt idx="268">
                  <c:v>1.3586381982777441E-2</c:v>
                </c:pt>
                <c:pt idx="269">
                  <c:v>1.365460436393718E-2</c:v>
                </c:pt>
                <c:pt idx="270">
                  <c:v>1.3701420204469052E-2</c:v>
                </c:pt>
                <c:pt idx="271">
                  <c:v>1.3726788867464467E-2</c:v>
                </c:pt>
                <c:pt idx="272">
                  <c:v>1.3730667690300978E-2</c:v>
                </c:pt>
                <c:pt idx="273">
                  <c:v>1.3713012223044448E-2</c:v>
                </c:pt>
                <c:pt idx="274">
                  <c:v>1.3673776467031142E-2</c:v>
                </c:pt>
                <c:pt idx="275">
                  <c:v>1.3619978784804887E-2</c:v>
                </c:pt>
                <c:pt idx="276">
                  <c:v>1.3573079361143272E-2</c:v>
                </c:pt>
                <c:pt idx="277">
                  <c:v>1.3533071986615094E-2</c:v>
                </c:pt>
                <c:pt idx="278">
                  <c:v>1.3499950997313544E-2</c:v>
                </c:pt>
                <c:pt idx="279">
                  <c:v>1.3473711199816753E-2</c:v>
                </c:pt>
                <c:pt idx="280">
                  <c:v>1.3454347796275584E-2</c:v>
                </c:pt>
                <c:pt idx="281">
                  <c:v>1.3449479972609688E-2</c:v>
                </c:pt>
                <c:pt idx="282">
                  <c:v>1.3459351160960493E-2</c:v>
                </c:pt>
                <c:pt idx="283">
                  <c:v>1.3483969662861089E-2</c:v>
                </c:pt>
                <c:pt idx="284">
                  <c:v>1.3523343853776808E-2</c:v>
                </c:pt>
                <c:pt idx="285">
                  <c:v>1.3577482022047898E-2</c:v>
                </c:pt>
                <c:pt idx="286">
                  <c:v>1.364639220796118E-2</c:v>
                </c:pt>
                <c:pt idx="287">
                  <c:v>1.3730082042688253E-2</c:v>
                </c:pt>
                <c:pt idx="288">
                  <c:v>1.3828558587274982E-2</c:v>
                </c:pt>
                <c:pt idx="289">
                  <c:v>1.394388262096617E-2</c:v>
                </c:pt>
                <c:pt idx="290">
                  <c:v>1.4068942472714995E-2</c:v>
                </c:pt>
                <c:pt idx="291">
                  <c:v>1.420373500461581E-2</c:v>
                </c:pt>
                <c:pt idx="292">
                  <c:v>1.4348256112897929E-2</c:v>
                </c:pt>
                <c:pt idx="293">
                  <c:v>1.450250062214019E-2</c:v>
                </c:pt>
                <c:pt idx="294">
                  <c:v>1.4666462179431794E-2</c:v>
                </c:pt>
                <c:pt idx="295">
                  <c:v>1.4835891758561863E-2</c:v>
                </c:pt>
                <c:pt idx="296">
                  <c:v>1.5003275889264225E-2</c:v>
                </c:pt>
                <c:pt idx="297">
                  <c:v>1.51687226960543E-2</c:v>
                </c:pt>
                <c:pt idx="298">
                  <c:v>1.5332218255484496E-2</c:v>
                </c:pt>
                <c:pt idx="299">
                  <c:v>1.5493747985855868E-2</c:v>
                </c:pt>
                <c:pt idx="300">
                  <c:v>1.5653296667415197E-2</c:v>
                </c:pt>
                <c:pt idx="301">
                  <c:v>1.5810848462505824E-2</c:v>
                </c:pt>
                <c:pt idx="302">
                  <c:v>1.5966386935753068E-2</c:v>
                </c:pt>
                <c:pt idx="303">
                  <c:v>1.6119523394878276E-2</c:v>
                </c:pt>
                <c:pt idx="304">
                  <c:v>1.6268170711469271E-2</c:v>
                </c:pt>
                <c:pt idx="305">
                  <c:v>1.6412307294529898E-2</c:v>
                </c:pt>
                <c:pt idx="306">
                  <c:v>1.6551911059960605E-2</c:v>
                </c:pt>
                <c:pt idx="307">
                  <c:v>1.6686959473222879E-2</c:v>
                </c:pt>
                <c:pt idx="308">
                  <c:v>1.6817429591863824E-2</c:v>
                </c:pt>
                <c:pt idx="309">
                  <c:v>1.6954026914192906E-2</c:v>
                </c:pt>
                <c:pt idx="310">
                  <c:v>1.7101015335988668E-2</c:v>
                </c:pt>
                <c:pt idx="311">
                  <c:v>1.7258391075408049E-2</c:v>
                </c:pt>
                <c:pt idx="312">
                  <c:v>1.7426149439730861E-2</c:v>
                </c:pt>
                <c:pt idx="313">
                  <c:v>1.7604284730353019E-2</c:v>
                </c:pt>
                <c:pt idx="314">
                  <c:v>1.7792790147621376E-2</c:v>
                </c:pt>
                <c:pt idx="315">
                  <c:v>1.7991657695889184E-2</c:v>
                </c:pt>
                <c:pt idx="316">
                  <c:v>1.8200878088299007E-2</c:v>
                </c:pt>
                <c:pt idx="317">
                  <c:v>1.8425346506510381E-2</c:v>
                </c:pt>
                <c:pt idx="318">
                  <c:v>1.8665430571745151E-2</c:v>
                </c:pt>
                <c:pt idx="319">
                  <c:v>1.892112219015412E-2</c:v>
                </c:pt>
                <c:pt idx="320">
                  <c:v>1.9192411124091077E-2</c:v>
                </c:pt>
                <c:pt idx="321">
                  <c:v>1.9479284848774932E-2</c:v>
                </c:pt>
                <c:pt idx="322">
                  <c:v>1.9781728409039519E-2</c:v>
                </c:pt>
                <c:pt idx="323">
                  <c:v>2.0084369417292889E-2</c:v>
                </c:pt>
                <c:pt idx="324">
                  <c:v>2.0376383312955181E-2</c:v>
                </c:pt>
                <c:pt idx="325">
                  <c:v>2.0657725632873655E-2</c:v>
                </c:pt>
                <c:pt idx="326">
                  <c:v>2.0928221841845184E-2</c:v>
                </c:pt>
                <c:pt idx="327">
                  <c:v>2.1187779037018725E-2</c:v>
                </c:pt>
                <c:pt idx="328">
                  <c:v>2.1436412856954759E-2</c:v>
                </c:pt>
                <c:pt idx="329">
                  <c:v>2.1674142717795455E-2</c:v>
                </c:pt>
                <c:pt idx="330">
                  <c:v>2.1900991595601525E-2</c:v>
                </c:pt>
                <c:pt idx="331">
                  <c:v>2.2105101432797536E-2</c:v>
                </c:pt>
                <c:pt idx="332">
                  <c:v>2.2281573774482488E-2</c:v>
                </c:pt>
                <c:pt idx="333">
                  <c:v>2.243043747181914E-2</c:v>
                </c:pt>
                <c:pt idx="334">
                  <c:v>2.2551725436725858E-2</c:v>
                </c:pt>
                <c:pt idx="335">
                  <c:v>2.2645474074947703E-2</c:v>
                </c:pt>
                <c:pt idx="336">
                  <c:v>2.2711722718834152E-2</c:v>
                </c:pt>
                <c:pt idx="337">
                  <c:v>2.275193655603993E-2</c:v>
                </c:pt>
                <c:pt idx="338">
                  <c:v>2.2781545046832719E-2</c:v>
                </c:pt>
                <c:pt idx="339">
                  <c:v>2.2800594141012657E-2</c:v>
                </c:pt>
                <c:pt idx="340">
                  <c:v>2.2809130247419849E-2</c:v>
                </c:pt>
                <c:pt idx="341">
                  <c:v>2.280720001641761E-2</c:v>
                </c:pt>
                <c:pt idx="342">
                  <c:v>2.2794850122357935E-2</c:v>
                </c:pt>
                <c:pt idx="343">
                  <c:v>2.2772127045771542E-2</c:v>
                </c:pt>
                <c:pt idx="344">
                  <c:v>2.2739076855916265E-2</c:v>
                </c:pt>
                <c:pt idx="345">
                  <c:v>2.2695744993084816E-2</c:v>
                </c:pt>
                <c:pt idx="346">
                  <c:v>2.2656453788848691E-2</c:v>
                </c:pt>
                <c:pt idx="347">
                  <c:v>2.2621249617612176E-2</c:v>
                </c:pt>
                <c:pt idx="348">
                  <c:v>2.2590178817615995E-2</c:v>
                </c:pt>
                <c:pt idx="349">
                  <c:v>2.2563287769932373E-2</c:v>
                </c:pt>
                <c:pt idx="350">
                  <c:v>2.2540622977989387E-2</c:v>
                </c:pt>
                <c:pt idx="351">
                  <c:v>2.2524617786522726E-2</c:v>
                </c:pt>
                <c:pt idx="352">
                  <c:v>2.2513895484024229E-2</c:v>
                </c:pt>
                <c:pt idx="353">
                  <c:v>2.2508504126609586E-2</c:v>
                </c:pt>
                <c:pt idx="354">
                  <c:v>2.250849238544619E-2</c:v>
                </c:pt>
                <c:pt idx="355">
                  <c:v>2.2513909644799181E-2</c:v>
                </c:pt>
                <c:pt idx="356">
                  <c:v>2.2524821667161278E-2</c:v>
                </c:pt>
                <c:pt idx="357">
                  <c:v>2.2541229364578984E-2</c:v>
                </c:pt>
                <c:pt idx="358">
                  <c:v>2.2563080218437424E-2</c:v>
                </c:pt>
                <c:pt idx="359">
                  <c:v>2.2590322421472891E-2</c:v>
                </c:pt>
                <c:pt idx="360">
                  <c:v>2.2624332861822284E-2</c:v>
                </c:pt>
                <c:pt idx="361">
                  <c:v>2.2662669062101071E-2</c:v>
                </c:pt>
                <c:pt idx="362">
                  <c:v>2.2705279471863845E-2</c:v>
                </c:pt>
                <c:pt idx="363">
                  <c:v>2.2752112653519372E-2</c:v>
                </c:pt>
                <c:pt idx="364">
                  <c:v>2.2803117184937834E-2</c:v>
                </c:pt>
                <c:pt idx="365">
                  <c:v>2.285824156178095E-2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2.5844698835928964E-2</c:v>
                </c:pt>
                <c:pt idx="1">
                  <c:v>2.5929598041325479E-2</c:v>
                </c:pt>
                <c:pt idx="2">
                  <c:v>2.6006096117477704E-2</c:v>
                </c:pt>
                <c:pt idx="3">
                  <c:v>2.6074115376496634E-2</c:v>
                </c:pt>
                <c:pt idx="4">
                  <c:v>2.6133577341565319E-2</c:v>
                </c:pt>
                <c:pt idx="5">
                  <c:v>2.6184402966936738E-2</c:v>
                </c:pt>
                <c:pt idx="6">
                  <c:v>2.6226512858266483E-2</c:v>
                </c:pt>
                <c:pt idx="7">
                  <c:v>2.6259827492356735E-2</c:v>
                </c:pt>
                <c:pt idx="8">
                  <c:v>2.6284267437265404E-2</c:v>
                </c:pt>
                <c:pt idx="9">
                  <c:v>2.6281148738592768E-2</c:v>
                </c:pt>
                <c:pt idx="10">
                  <c:v>2.6246872429352648E-2</c:v>
                </c:pt>
                <c:pt idx="11">
                  <c:v>2.6181334077633022E-2</c:v>
                </c:pt>
                <c:pt idx="12">
                  <c:v>2.6084432990451198E-2</c:v>
                </c:pt>
                <c:pt idx="13">
                  <c:v>2.5956072995790003E-2</c:v>
                </c:pt>
                <c:pt idx="14">
                  <c:v>2.5796163224190316E-2</c:v>
                </c:pt>
                <c:pt idx="15">
                  <c:v>2.5603931616337297E-2</c:v>
                </c:pt>
                <c:pt idx="16">
                  <c:v>2.5391480102049141E-2</c:v>
                </c:pt>
                <c:pt idx="17">
                  <c:v>2.5158747439620283E-2</c:v>
                </c:pt>
                <c:pt idx="18">
                  <c:v>2.4905678438133794E-2</c:v>
                </c:pt>
                <c:pt idx="19">
                  <c:v>2.4632361844348638E-2</c:v>
                </c:pt>
                <c:pt idx="20">
                  <c:v>2.4338948212812045E-2</c:v>
                </c:pt>
                <c:pt idx="21">
                  <c:v>2.4025481042391033E-2</c:v>
                </c:pt>
                <c:pt idx="22">
                  <c:v>2.369200516655592E-2</c:v>
                </c:pt>
                <c:pt idx="23">
                  <c:v>2.3348144143216575E-2</c:v>
                </c:pt>
                <c:pt idx="24">
                  <c:v>2.301262372878661E-2</c:v>
                </c:pt>
                <c:pt idx="25">
                  <c:v>2.2685495524715993E-2</c:v>
                </c:pt>
                <c:pt idx="26">
                  <c:v>2.2366808416634593E-2</c:v>
                </c:pt>
                <c:pt idx="27">
                  <c:v>2.2056608685268989E-2</c:v>
                </c:pt>
                <c:pt idx="28">
                  <c:v>2.1754940117847534E-2</c:v>
                </c:pt>
                <c:pt idx="29">
                  <c:v>2.1468188687947573E-2</c:v>
                </c:pt>
                <c:pt idx="30">
                  <c:v>2.1197081502063595E-2</c:v>
                </c:pt>
                <c:pt idx="31">
                  <c:v>2.0941654551098372E-2</c:v>
                </c:pt>
                <c:pt idx="32">
                  <c:v>2.0701941346306804E-2</c:v>
                </c:pt>
                <c:pt idx="33">
                  <c:v>2.0477973118324288E-2</c:v>
                </c:pt>
                <c:pt idx="34">
                  <c:v>2.0269779016289499E-2</c:v>
                </c:pt>
                <c:pt idx="35">
                  <c:v>2.0077386306947519E-2</c:v>
                </c:pt>
                <c:pt idx="36">
                  <c:v>1.9900820573710357E-2</c:v>
                </c:pt>
                <c:pt idx="37">
                  <c:v>1.9739773491454244E-2</c:v>
                </c:pt>
                <c:pt idx="38">
                  <c:v>1.9584693758157089E-2</c:v>
                </c:pt>
                <c:pt idx="39">
                  <c:v>1.9435605726248043E-2</c:v>
                </c:pt>
                <c:pt idx="40">
                  <c:v>1.9292532916157488E-2</c:v>
                </c:pt>
                <c:pt idx="41">
                  <c:v>1.9155498091592008E-2</c:v>
                </c:pt>
                <c:pt idx="42">
                  <c:v>1.90245233346726E-2</c:v>
                </c:pt>
                <c:pt idx="43">
                  <c:v>1.8898663015859813E-2</c:v>
                </c:pt>
                <c:pt idx="44">
                  <c:v>1.877160048831809E-2</c:v>
                </c:pt>
                <c:pt idx="45">
                  <c:v>1.8643357874045093E-2</c:v>
                </c:pt>
                <c:pt idx="46">
                  <c:v>1.8513956621962372E-2</c:v>
                </c:pt>
                <c:pt idx="47">
                  <c:v>1.8383417491793543E-2</c:v>
                </c:pt>
                <c:pt idx="48">
                  <c:v>1.8251760537698083E-2</c:v>
                </c:pt>
                <c:pt idx="49">
                  <c:v>1.8119005092073669E-2</c:v>
                </c:pt>
                <c:pt idx="50">
                  <c:v>1.7985169749245689E-2</c:v>
                </c:pt>
                <c:pt idx="51">
                  <c:v>1.7855484330418361E-2</c:v>
                </c:pt>
                <c:pt idx="52">
                  <c:v>1.773020049923401E-2</c:v>
                </c:pt>
                <c:pt idx="53">
                  <c:v>1.7609221134595485E-2</c:v>
                </c:pt>
                <c:pt idx="54">
                  <c:v>1.7492538520687658E-2</c:v>
                </c:pt>
                <c:pt idx="55">
                  <c:v>1.7380145190614454E-2</c:v>
                </c:pt>
                <c:pt idx="56">
                  <c:v>1.7272033910686758E-2</c:v>
                </c:pt>
                <c:pt idx="57">
                  <c:v>1.7177153940115143E-2</c:v>
                </c:pt>
                <c:pt idx="58">
                  <c:v>1.7096465295258108E-2</c:v>
                </c:pt>
                <c:pt idx="59">
                  <c:v>1.7029961563538663E-2</c:v>
                </c:pt>
                <c:pt idx="60">
                  <c:v>1.6977636528379015E-2</c:v>
                </c:pt>
                <c:pt idx="61">
                  <c:v>1.6939484116789461E-2</c:v>
                </c:pt>
                <c:pt idx="62">
                  <c:v>1.6915498346931866E-2</c:v>
                </c:pt>
                <c:pt idx="63">
                  <c:v>1.690567327573406E-2</c:v>
                </c:pt>
                <c:pt idx="64">
                  <c:v>1.6910002946436586E-2</c:v>
                </c:pt>
                <c:pt idx="65">
                  <c:v>1.6930569148045704E-2</c:v>
                </c:pt>
                <c:pt idx="66">
                  <c:v>1.6962153553259227E-2</c:v>
                </c:pt>
                <c:pt idx="67">
                  <c:v>1.7004749826553534E-2</c:v>
                </c:pt>
                <c:pt idx="68">
                  <c:v>1.7058351449257214E-2</c:v>
                </c:pt>
                <c:pt idx="69">
                  <c:v>1.7122951678638317E-2</c:v>
                </c:pt>
                <c:pt idx="70">
                  <c:v>1.7198543507070788E-2</c:v>
                </c:pt>
                <c:pt idx="71">
                  <c:v>1.7260765203482312E-2</c:v>
                </c:pt>
                <c:pt idx="72">
                  <c:v>1.730065369263574E-2</c:v>
                </c:pt>
                <c:pt idx="73">
                  <c:v>1.7318203049950114E-2</c:v>
                </c:pt>
                <c:pt idx="74">
                  <c:v>1.7313407863241273E-2</c:v>
                </c:pt>
                <c:pt idx="75">
                  <c:v>1.7286263315123243E-2</c:v>
                </c:pt>
                <c:pt idx="76">
                  <c:v>1.7236765265355804E-2</c:v>
                </c:pt>
                <c:pt idx="77">
                  <c:v>1.7164910333248243E-2</c:v>
                </c:pt>
                <c:pt idx="78">
                  <c:v>1.7070696546770167E-2</c:v>
                </c:pt>
                <c:pt idx="79">
                  <c:v>1.6929126015738746E-2</c:v>
                </c:pt>
                <c:pt idx="80">
                  <c:v>1.6738158807648864E-2</c:v>
                </c:pt>
                <c:pt idx="81">
                  <c:v>1.6497796632963527E-2</c:v>
                </c:pt>
                <c:pt idx="82">
                  <c:v>1.6208041588584556E-2</c:v>
                </c:pt>
                <c:pt idx="83">
                  <c:v>1.586889631612139E-2</c:v>
                </c:pt>
                <c:pt idx="84">
                  <c:v>1.5480364160213311E-2</c:v>
                </c:pt>
                <c:pt idx="85">
                  <c:v>1.5045028396823911E-2</c:v>
                </c:pt>
                <c:pt idx="86">
                  <c:v>1.4587233800223318E-2</c:v>
                </c:pt>
                <c:pt idx="87">
                  <c:v>1.4106982204918687E-2</c:v>
                </c:pt>
                <c:pt idx="88">
                  <c:v>1.3604276355397332E-2</c:v>
                </c:pt>
                <c:pt idx="89">
                  <c:v>1.3079119978155277E-2</c:v>
                </c:pt>
                <c:pt idx="90">
                  <c:v>1.2531517853698207E-2</c:v>
                </c:pt>
                <c:pt idx="91">
                  <c:v>1.1961475888593184E-2</c:v>
                </c:pt>
                <c:pt idx="92">
                  <c:v>1.1369001187482625E-2</c:v>
                </c:pt>
                <c:pt idx="93">
                  <c:v>1.0764552552293699E-2</c:v>
                </c:pt>
                <c:pt idx="94">
                  <c:v>1.0173177702475437E-2</c:v>
                </c:pt>
                <c:pt idx="95">
                  <c:v>9.5948784262424348E-3</c:v>
                </c:pt>
                <c:pt idx="96">
                  <c:v>9.0296568805654023E-3</c:v>
                </c:pt>
                <c:pt idx="97">
                  <c:v>8.4775155494606416E-3</c:v>
                </c:pt>
                <c:pt idx="98">
                  <c:v>7.9384572021899327E-3</c:v>
                </c:pt>
                <c:pt idx="99">
                  <c:v>7.4337846260193168E-3</c:v>
                </c:pt>
                <c:pt idx="100">
                  <c:v>6.9609176741513889E-3</c:v>
                </c:pt>
                <c:pt idx="101">
                  <c:v>6.5198524178066404E-3</c:v>
                </c:pt>
                <c:pt idx="102">
                  <c:v>6.1105842201581882E-3</c:v>
                </c:pt>
                <c:pt idx="103">
                  <c:v>5.7331076344392679E-3</c:v>
                </c:pt>
                <c:pt idx="104">
                  <c:v>5.3874163021989637E-3</c:v>
                </c:pt>
                <c:pt idx="105">
                  <c:v>5.0735028514199117E-3</c:v>
                </c:pt>
                <c:pt idx="106">
                  <c:v>4.7913587947106089E-3</c:v>
                </c:pt>
                <c:pt idx="107">
                  <c:v>4.5646211897392612E-3</c:v>
                </c:pt>
                <c:pt idx="108">
                  <c:v>4.382835514833764E-3</c:v>
                </c:pt>
                <c:pt idx="109">
                  <c:v>4.2459811930912099E-3</c:v>
                </c:pt>
                <c:pt idx="110">
                  <c:v>4.1540471572453462E-3</c:v>
                </c:pt>
                <c:pt idx="111">
                  <c:v>4.1070196296866292E-3</c:v>
                </c:pt>
                <c:pt idx="112">
                  <c:v>4.1048714201270039E-3</c:v>
                </c:pt>
                <c:pt idx="113">
                  <c:v>4.1577615421947833E-3</c:v>
                </c:pt>
                <c:pt idx="114">
                  <c:v>4.2444076813648529E-3</c:v>
                </c:pt>
                <c:pt idx="115">
                  <c:v>4.3647859121501535E-3</c:v>
                </c:pt>
                <c:pt idx="116">
                  <c:v>4.5188711775143572E-3</c:v>
                </c:pt>
                <c:pt idx="117">
                  <c:v>4.7066372149877304E-3</c:v>
                </c:pt>
                <c:pt idx="118">
                  <c:v>4.9280564827403842E-3</c:v>
                </c:pt>
                <c:pt idx="119">
                  <c:v>5.183100085667287E-3</c:v>
                </c:pt>
                <c:pt idx="120">
                  <c:v>5.4717377014644004E-3</c:v>
                </c:pt>
                <c:pt idx="121">
                  <c:v>5.7992953269679738E-3</c:v>
                </c:pt>
                <c:pt idx="122">
                  <c:v>6.1421666135572156E-3</c:v>
                </c:pt>
                <c:pt idx="123">
                  <c:v>6.5003310662564246E-3</c:v>
                </c:pt>
                <c:pt idx="124">
                  <c:v>6.8737672395660357E-3</c:v>
                </c:pt>
                <c:pt idx="125">
                  <c:v>7.2624527035038472E-3</c:v>
                </c:pt>
                <c:pt idx="126">
                  <c:v>7.6663640095580281E-3</c:v>
                </c:pt>
                <c:pt idx="127">
                  <c:v>8.0868243960125138E-3</c:v>
                </c:pt>
                <c:pt idx="128">
                  <c:v>8.5136588152933783E-3</c:v>
                </c:pt>
                <c:pt idx="129">
                  <c:v>8.9468488393714338E-3</c:v>
                </c:pt>
                <c:pt idx="130">
                  <c:v>9.3863753302310012E-3</c:v>
                </c:pt>
                <c:pt idx="131">
                  <c:v>9.8322184250910702E-3</c:v>
                </c:pt>
                <c:pt idx="132">
                  <c:v>1.0284357521697894E-2</c:v>
                </c:pt>
                <c:pt idx="133">
                  <c:v>1.0742771263682289E-2</c:v>
                </c:pt>
                <c:pt idx="134">
                  <c:v>1.1207437525873746E-2</c:v>
                </c:pt>
                <c:pt idx="135">
                  <c:v>1.1677232167112821E-2</c:v>
                </c:pt>
                <c:pt idx="136">
                  <c:v>1.2146800333111713E-2</c:v>
                </c:pt>
                <c:pt idx="137">
                  <c:v>1.261612505648446E-2</c:v>
                </c:pt>
                <c:pt idx="138">
                  <c:v>1.3085188937764464E-2</c:v>
                </c:pt>
                <c:pt idx="139">
                  <c:v>1.3553974145184753E-2</c:v>
                </c:pt>
                <c:pt idx="140">
                  <c:v>1.4022462413737915E-2</c:v>
                </c:pt>
                <c:pt idx="141">
                  <c:v>1.4486025321040454E-2</c:v>
                </c:pt>
                <c:pt idx="142">
                  <c:v>1.4943227364351041E-2</c:v>
                </c:pt>
                <c:pt idx="143">
                  <c:v>1.5393980972379753E-2</c:v>
                </c:pt>
                <c:pt idx="144">
                  <c:v>1.5838286213220174E-2</c:v>
                </c:pt>
                <c:pt idx="145">
                  <c:v>1.6276146285368116E-2</c:v>
                </c:pt>
                <c:pt idx="146">
                  <c:v>1.6707567440785363E-2</c:v>
                </c:pt>
                <c:pt idx="147">
                  <c:v>1.7132558908499143E-2</c:v>
                </c:pt>
                <c:pt idx="148">
                  <c:v>1.7551132817823882E-2</c:v>
                </c:pt>
                <c:pt idx="149">
                  <c:v>1.7956361920285498E-2</c:v>
                </c:pt>
                <c:pt idx="150">
                  <c:v>1.834936948527123E-2</c:v>
                </c:pt>
                <c:pt idx="151">
                  <c:v>1.8730186547159144E-2</c:v>
                </c:pt>
                <c:pt idx="152">
                  <c:v>1.9098847021477936E-2</c:v>
                </c:pt>
                <c:pt idx="153">
                  <c:v>1.9455387549289462E-2</c:v>
                </c:pt>
                <c:pt idx="154">
                  <c:v>1.9799847341671513E-2</c:v>
                </c:pt>
                <c:pt idx="155">
                  <c:v>2.0122856969822141E-2</c:v>
                </c:pt>
                <c:pt idx="156">
                  <c:v>2.0429049270652668E-2</c:v>
                </c:pt>
                <c:pt idx="157">
                  <c:v>2.0718479487256827E-2</c:v>
                </c:pt>
                <c:pt idx="158">
                  <c:v>2.0991204793724152E-2</c:v>
                </c:pt>
                <c:pt idx="159">
                  <c:v>2.1247284074010862E-2</c:v>
                </c:pt>
                <c:pt idx="160">
                  <c:v>2.148677770106748E-2</c:v>
                </c:pt>
                <c:pt idx="161">
                  <c:v>2.1709747315730638E-2</c:v>
                </c:pt>
                <c:pt idx="162">
                  <c:v>2.1916255605726614E-2</c:v>
                </c:pt>
                <c:pt idx="163">
                  <c:v>2.2096528176664885E-2</c:v>
                </c:pt>
                <c:pt idx="164">
                  <c:v>2.2257525168601681E-2</c:v>
                </c:pt>
                <c:pt idx="165">
                  <c:v>2.2399316223880358E-2</c:v>
                </c:pt>
                <c:pt idx="166">
                  <c:v>2.2521970922170006E-2</c:v>
                </c:pt>
                <c:pt idx="167">
                  <c:v>2.2625558518880831E-2</c:v>
                </c:pt>
                <c:pt idx="168">
                  <c:v>2.2710147684295086E-2</c:v>
                </c:pt>
                <c:pt idx="169">
                  <c:v>2.2766003182643144E-2</c:v>
                </c:pt>
                <c:pt idx="170">
                  <c:v>2.2802533192630432E-2</c:v>
                </c:pt>
                <c:pt idx="171">
                  <c:v>2.2819803326453669E-2</c:v>
                </c:pt>
                <c:pt idx="172">
                  <c:v>2.2817877461790415E-2</c:v>
                </c:pt>
                <c:pt idx="173">
                  <c:v>2.2796584353389843E-2</c:v>
                </c:pt>
                <c:pt idx="174">
                  <c:v>2.2755739812713973E-2</c:v>
                </c:pt>
                <c:pt idx="175">
                  <c:v>2.2695386812744436E-2</c:v>
                </c:pt>
                <c:pt idx="176">
                  <c:v>2.26155681977732E-2</c:v>
                </c:pt>
                <c:pt idx="177">
                  <c:v>2.2507034402267763E-2</c:v>
                </c:pt>
                <c:pt idx="178">
                  <c:v>2.2379599558030826E-2</c:v>
                </c:pt>
                <c:pt idx="179">
                  <c:v>2.2233304656590513E-2</c:v>
                </c:pt>
                <c:pt idx="180">
                  <c:v>2.2068190089524726E-2</c:v>
                </c:pt>
                <c:pt idx="181">
                  <c:v>2.1884295536476462E-2</c:v>
                </c:pt>
                <c:pt idx="182">
                  <c:v>2.1681659853364375E-2</c:v>
                </c:pt>
                <c:pt idx="183">
                  <c:v>2.1453511593920838E-2</c:v>
                </c:pt>
                <c:pt idx="184">
                  <c:v>2.1209626697273512E-2</c:v>
                </c:pt>
                <c:pt idx="185">
                  <c:v>2.0950036612441676E-2</c:v>
                </c:pt>
                <c:pt idx="186">
                  <c:v>2.0674771620339486E-2</c:v>
                </c:pt>
                <c:pt idx="187">
                  <c:v>2.0383860739232033E-2</c:v>
                </c:pt>
                <c:pt idx="188">
                  <c:v>2.0077331630300441E-2</c:v>
                </c:pt>
                <c:pt idx="189">
                  <c:v>1.9755210502584535E-2</c:v>
                </c:pt>
                <c:pt idx="190">
                  <c:v>1.9417522018793123E-2</c:v>
                </c:pt>
                <c:pt idx="191">
                  <c:v>1.9059802574195785E-2</c:v>
                </c:pt>
                <c:pt idx="192">
                  <c:v>1.8691306405284849E-2</c:v>
                </c:pt>
                <c:pt idx="193">
                  <c:v>1.8312047094742458E-2</c:v>
                </c:pt>
                <c:pt idx="194">
                  <c:v>1.792203661802837E-2</c:v>
                </c:pt>
                <c:pt idx="195">
                  <c:v>1.7521285277192523E-2</c:v>
                </c:pt>
                <c:pt idx="196">
                  <c:v>1.710980163397437E-2</c:v>
                </c:pt>
                <c:pt idx="197">
                  <c:v>1.6686525686118808E-2</c:v>
                </c:pt>
                <c:pt idx="198">
                  <c:v>1.6258230224861357E-2</c:v>
                </c:pt>
                <c:pt idx="199">
                  <c:v>1.5824912588338635E-2</c:v>
                </c:pt>
                <c:pt idx="200">
                  <c:v>1.5386568623221963E-2</c:v>
                </c:pt>
                <c:pt idx="201">
                  <c:v>1.4943192651730473E-2</c:v>
                </c:pt>
                <c:pt idx="202">
                  <c:v>1.4494777438752557E-2</c:v>
                </c:pt>
                <c:pt idx="203">
                  <c:v>1.4041314159290101E-2</c:v>
                </c:pt>
                <c:pt idx="204">
                  <c:v>1.358277043146839E-2</c:v>
                </c:pt>
                <c:pt idx="205">
                  <c:v>1.3120406346152608E-2</c:v>
                </c:pt>
                <c:pt idx="206">
                  <c:v>1.2658666324914873E-2</c:v>
                </c:pt>
                <c:pt idx="207">
                  <c:v>1.2197527170214077E-2</c:v>
                </c:pt>
                <c:pt idx="208">
                  <c:v>1.1736966273147E-2</c:v>
                </c:pt>
                <c:pt idx="209">
                  <c:v>1.127696161256612E-2</c:v>
                </c:pt>
                <c:pt idx="210">
                  <c:v>1.081749175459509E-2</c:v>
                </c:pt>
                <c:pt idx="211">
                  <c:v>1.0363685794038336E-2</c:v>
                </c:pt>
                <c:pt idx="212">
                  <c:v>9.9165843068994217E-3</c:v>
                </c:pt>
                <c:pt idx="213">
                  <c:v>9.4761654119010028E-3</c:v>
                </c:pt>
                <c:pt idx="214">
                  <c:v>9.0424082349270362E-3</c:v>
                </c:pt>
                <c:pt idx="215">
                  <c:v>8.6152928890386275E-3</c:v>
                </c:pt>
                <c:pt idx="216">
                  <c:v>8.1948004544514265E-3</c:v>
                </c:pt>
                <c:pt idx="217">
                  <c:v>7.7809129585436187E-3</c:v>
                </c:pt>
                <c:pt idx="218">
                  <c:v>7.3736133558139662E-3</c:v>
                </c:pt>
                <c:pt idx="219">
                  <c:v>6.9826514909536253E-3</c:v>
                </c:pt>
                <c:pt idx="220">
                  <c:v>6.6067140219205666E-3</c:v>
                </c:pt>
                <c:pt idx="221">
                  <c:v>6.2457857039700344E-3</c:v>
                </c:pt>
                <c:pt idx="222">
                  <c:v>5.8998525866339364E-3</c:v>
                </c:pt>
                <c:pt idx="223">
                  <c:v>5.5689019674994445E-3</c:v>
                </c:pt>
                <c:pt idx="224">
                  <c:v>5.2529223458232287E-3</c:v>
                </c:pt>
                <c:pt idx="225">
                  <c:v>4.9745410552506355E-3</c:v>
                </c:pt>
                <c:pt idx="226">
                  <c:v>4.7286038817152968E-3</c:v>
                </c:pt>
                <c:pt idx="227">
                  <c:v>4.5151034191565397E-3</c:v>
                </c:pt>
                <c:pt idx="228">
                  <c:v>4.3340340031221098E-3</c:v>
                </c:pt>
                <c:pt idx="229">
                  <c:v>4.1853916100033301E-3</c:v>
                </c:pt>
                <c:pt idx="230">
                  <c:v>4.0691737563458676E-3</c:v>
                </c:pt>
                <c:pt idx="231">
                  <c:v>3.9853793981689395E-3</c:v>
                </c:pt>
                <c:pt idx="232">
                  <c:v>3.9340088301971004E-3</c:v>
                </c:pt>
                <c:pt idx="233">
                  <c:v>3.9354348457832124E-3</c:v>
                </c:pt>
                <c:pt idx="234">
                  <c:v>3.9798968067836149E-3</c:v>
                </c:pt>
                <c:pt idx="235">
                  <c:v>4.0674037148825774E-3</c:v>
                </c:pt>
                <c:pt idx="236">
                  <c:v>4.1979675650128875E-3</c:v>
                </c:pt>
                <c:pt idx="237">
                  <c:v>4.3715996031152404E-3</c:v>
                </c:pt>
                <c:pt idx="238">
                  <c:v>4.5883129388818791E-3</c:v>
                </c:pt>
                <c:pt idx="239">
                  <c:v>4.8581156952714651E-3</c:v>
                </c:pt>
                <c:pt idx="240">
                  <c:v>5.1583752144646272E-3</c:v>
                </c:pt>
                <c:pt idx="241">
                  <c:v>5.4891072008152984E-3</c:v>
                </c:pt>
                <c:pt idx="242">
                  <c:v>5.8503289495191622E-3</c:v>
                </c:pt>
                <c:pt idx="243">
                  <c:v>6.2420594002596426E-3</c:v>
                </c:pt>
                <c:pt idx="244">
                  <c:v>6.6643191908349643E-3</c:v>
                </c:pt>
                <c:pt idx="245">
                  <c:v>7.1171307107205746E-3</c:v>
                </c:pt>
                <c:pt idx="246">
                  <c:v>7.6005181546021832E-3</c:v>
                </c:pt>
                <c:pt idx="247">
                  <c:v>8.1169748105169564E-3</c:v>
                </c:pt>
                <c:pt idx="248">
                  <c:v>8.6461284032964339E-3</c:v>
                </c:pt>
                <c:pt idx="249">
                  <c:v>9.1880001560307109E-3</c:v>
                </c:pt>
                <c:pt idx="250">
                  <c:v>9.7426123352020583E-3</c:v>
                </c:pt>
                <c:pt idx="251">
                  <c:v>1.0309988272907598E-2</c:v>
                </c:pt>
                <c:pt idx="252">
                  <c:v>1.089015238870669E-2</c:v>
                </c:pt>
                <c:pt idx="253">
                  <c:v>1.1459135728533047E-2</c:v>
                </c:pt>
                <c:pt idx="254">
                  <c:v>1.2006934680756431E-2</c:v>
                </c:pt>
                <c:pt idx="255">
                  <c:v>1.2533553889601562E-2</c:v>
                </c:pt>
                <c:pt idx="256">
                  <c:v>1.3038997089526751E-2</c:v>
                </c:pt>
                <c:pt idx="257">
                  <c:v>1.352326706720733E-2</c:v>
                </c:pt>
                <c:pt idx="258">
                  <c:v>1.3986365623629161E-2</c:v>
                </c:pt>
                <c:pt idx="259">
                  <c:v>1.4428293536385608E-2</c:v>
                </c:pt>
                <c:pt idx="260">
                  <c:v>1.4849050521559749E-2</c:v>
                </c:pt>
                <c:pt idx="261">
                  <c:v>1.5225278763451601E-2</c:v>
                </c:pt>
                <c:pt idx="262">
                  <c:v>1.5554479681855117E-2</c:v>
                </c:pt>
                <c:pt idx="263">
                  <c:v>1.5836625111843618E-2</c:v>
                </c:pt>
                <c:pt idx="264">
                  <c:v>1.6071684644671833E-2</c:v>
                </c:pt>
                <c:pt idx="265">
                  <c:v>1.6259711936561255E-2</c:v>
                </c:pt>
                <c:pt idx="266">
                  <c:v>1.6400717353473714E-2</c:v>
                </c:pt>
                <c:pt idx="267">
                  <c:v>1.6496646671754191E-2</c:v>
                </c:pt>
                <c:pt idx="268">
                  <c:v>1.6571534655901735E-2</c:v>
                </c:pt>
                <c:pt idx="269">
                  <c:v>1.6625341606627455E-2</c:v>
                </c:pt>
                <c:pt idx="270">
                  <c:v>1.6658025416697936E-2</c:v>
                </c:pt>
                <c:pt idx="271">
                  <c:v>1.6669541806323983E-2</c:v>
                </c:pt>
                <c:pt idx="272">
                  <c:v>1.6659844559006241E-2</c:v>
                </c:pt>
                <c:pt idx="273">
                  <c:v>1.6628885757171041E-2</c:v>
                </c:pt>
                <c:pt idx="274">
                  <c:v>1.6576616018024789E-2</c:v>
                </c:pt>
                <c:pt idx="275">
                  <c:v>1.6511621673715657E-2</c:v>
                </c:pt>
                <c:pt idx="276">
                  <c:v>1.6457360736895316E-2</c:v>
                </c:pt>
                <c:pt idx="277">
                  <c:v>1.6413829239774056E-2</c:v>
                </c:pt>
                <c:pt idx="278">
                  <c:v>1.6381023972111677E-2</c:v>
                </c:pt>
                <c:pt idx="279">
                  <c:v>1.6358942364235993E-2</c:v>
                </c:pt>
                <c:pt idx="280">
                  <c:v>1.6347582370215698E-2</c:v>
                </c:pt>
                <c:pt idx="281">
                  <c:v>1.6351983778603012E-2</c:v>
                </c:pt>
                <c:pt idx="282">
                  <c:v>1.6370132665655717E-2</c:v>
                </c:pt>
                <c:pt idx="283">
                  <c:v>1.6402032617069864E-2</c:v>
                </c:pt>
                <c:pt idx="284">
                  <c:v>1.64476872569678E-2</c:v>
                </c:pt>
                <c:pt idx="285">
                  <c:v>1.6507100097844188E-2</c:v>
                </c:pt>
                <c:pt idx="286">
                  <c:v>1.6580274390668906E-2</c:v>
                </c:pt>
                <c:pt idx="287">
                  <c:v>1.6667212974827636E-2</c:v>
                </c:pt>
                <c:pt idx="288">
                  <c:v>1.6767918128124764E-2</c:v>
                </c:pt>
                <c:pt idx="289">
                  <c:v>1.6881452476498009E-2</c:v>
                </c:pt>
                <c:pt idx="290">
                  <c:v>1.6999111731561923E-2</c:v>
                </c:pt>
                <c:pt idx="291">
                  <c:v>1.7120881371280004E-2</c:v>
                </c:pt>
                <c:pt idx="292">
                  <c:v>1.7246746205985916E-2</c:v>
                </c:pt>
                <c:pt idx="293">
                  <c:v>1.7376690333499707E-2</c:v>
                </c:pt>
                <c:pt idx="294">
                  <c:v>1.7510697094178893E-2</c:v>
                </c:pt>
                <c:pt idx="295">
                  <c:v>1.7648427334780555E-2</c:v>
                </c:pt>
                <c:pt idx="296">
                  <c:v>1.7784998645075809E-2</c:v>
                </c:pt>
                <c:pt idx="297">
                  <c:v>1.7920540644631312E-2</c:v>
                </c:pt>
                <c:pt idx="298">
                  <c:v>1.8055037522214969E-2</c:v>
                </c:pt>
                <c:pt idx="299">
                  <c:v>1.8188472953959055E-2</c:v>
                </c:pt>
                <c:pt idx="300">
                  <c:v>1.8320830115083842E-2</c:v>
                </c:pt>
                <c:pt idx="301">
                  <c:v>1.8452091691566558E-2</c:v>
                </c:pt>
                <c:pt idx="302">
                  <c:v>1.8582239891851052E-2</c:v>
                </c:pt>
                <c:pt idx="303">
                  <c:v>1.8717450914331957E-2</c:v>
                </c:pt>
                <c:pt idx="304">
                  <c:v>1.885866050767878E-2</c:v>
                </c:pt>
                <c:pt idx="305">
                  <c:v>1.9005859702275928E-2</c:v>
                </c:pt>
                <c:pt idx="306">
                  <c:v>1.915903900887982E-2</c:v>
                </c:pt>
                <c:pt idx="307">
                  <c:v>1.931818836461368E-2</c:v>
                </c:pt>
                <c:pt idx="308">
                  <c:v>1.9483297078800532E-2</c:v>
                </c:pt>
                <c:pt idx="309">
                  <c:v>1.9663733035275476E-2</c:v>
                </c:pt>
                <c:pt idx="310">
                  <c:v>1.9859822784235384E-2</c:v>
                </c:pt>
                <c:pt idx="311">
                  <c:v>2.007156640600824E-2</c:v>
                </c:pt>
                <c:pt idx="312">
                  <c:v>2.0298962692260784E-2</c:v>
                </c:pt>
                <c:pt idx="313">
                  <c:v>2.0542009002939465E-2</c:v>
                </c:pt>
                <c:pt idx="314">
                  <c:v>2.0800701123027111E-2</c:v>
                </c:pt>
                <c:pt idx="315">
                  <c:v>2.1075033119556899E-2</c:v>
                </c:pt>
                <c:pt idx="316">
                  <c:v>2.1364997198308183E-2</c:v>
                </c:pt>
                <c:pt idx="317">
                  <c:v>2.1669907193655396E-2</c:v>
                </c:pt>
                <c:pt idx="318">
                  <c:v>2.1983514639191223E-2</c:v>
                </c:pt>
                <c:pt idx="319">
                  <c:v>2.230579769003542E-2</c:v>
                </c:pt>
                <c:pt idx="320">
                  <c:v>2.263673266453569E-2</c:v>
                </c:pt>
                <c:pt idx="321">
                  <c:v>2.2976293964402799E-2</c:v>
                </c:pt>
                <c:pt idx="322">
                  <c:v>2.3324453994949292E-2</c:v>
                </c:pt>
                <c:pt idx="323">
                  <c:v>2.3662793618289598E-2</c:v>
                </c:pt>
                <c:pt idx="324">
                  <c:v>2.398183146610056E-2</c:v>
                </c:pt>
                <c:pt idx="325">
                  <c:v>2.4281510729914375E-2</c:v>
                </c:pt>
                <c:pt idx="326">
                  <c:v>2.4561622826774002E-2</c:v>
                </c:pt>
                <c:pt idx="327">
                  <c:v>2.4822056840359194E-2</c:v>
                </c:pt>
                <c:pt idx="328">
                  <c:v>2.5062830441955952E-2</c:v>
                </c:pt>
                <c:pt idx="329">
                  <c:v>2.5283966448168334E-2</c:v>
                </c:pt>
                <c:pt idx="330">
                  <c:v>2.5485492423458881E-2</c:v>
                </c:pt>
                <c:pt idx="331">
                  <c:v>2.5655412506561739E-2</c:v>
                </c:pt>
                <c:pt idx="332">
                  <c:v>2.5794437960950326E-2</c:v>
                </c:pt>
                <c:pt idx="333">
                  <c:v>2.5902606048419055E-2</c:v>
                </c:pt>
                <c:pt idx="334">
                  <c:v>2.5979958081851287E-2</c:v>
                </c:pt>
                <c:pt idx="335">
                  <c:v>2.6026538792112801E-2</c:v>
                </c:pt>
                <c:pt idx="336">
                  <c:v>2.6042395694605792E-2</c:v>
                </c:pt>
                <c:pt idx="337">
                  <c:v>2.6031039613833785E-2</c:v>
                </c:pt>
                <c:pt idx="338">
                  <c:v>2.6010948621786146E-2</c:v>
                </c:pt>
                <c:pt idx="339">
                  <c:v>2.5982176382453943E-2</c:v>
                </c:pt>
                <c:pt idx="340">
                  <c:v>2.5944776565192403E-2</c:v>
                </c:pt>
                <c:pt idx="341">
                  <c:v>2.5898802666603288E-2</c:v>
                </c:pt>
                <c:pt idx="342">
                  <c:v>2.5844307832395875E-2</c:v>
                </c:pt>
                <c:pt idx="343">
                  <c:v>2.5781344678935607E-2</c:v>
                </c:pt>
                <c:pt idx="344">
                  <c:v>2.5709965115199795E-2</c:v>
                </c:pt>
                <c:pt idx="345">
                  <c:v>2.5630220164460153E-2</c:v>
                </c:pt>
                <c:pt idx="346">
                  <c:v>2.5558202023141536E-2</c:v>
                </c:pt>
                <c:pt idx="347">
                  <c:v>2.5493962604884259E-2</c:v>
                </c:pt>
                <c:pt idx="348">
                  <c:v>2.5437553802522783E-2</c:v>
                </c:pt>
                <c:pt idx="349">
                  <c:v>2.5389027643121415E-2</c:v>
                </c:pt>
                <c:pt idx="350">
                  <c:v>2.5348436443606109E-2</c:v>
                </c:pt>
                <c:pt idx="351">
                  <c:v>2.5319841416839291E-2</c:v>
                </c:pt>
                <c:pt idx="352">
                  <c:v>2.5299833418050283E-2</c:v>
                </c:pt>
                <c:pt idx="353">
                  <c:v>2.5288467165513809E-2</c:v>
                </c:pt>
                <c:pt idx="354">
                  <c:v>2.5285798410214059E-2</c:v>
                </c:pt>
                <c:pt idx="355">
                  <c:v>2.529188410114306E-2</c:v>
                </c:pt>
                <c:pt idx="356">
                  <c:v>2.5306800040330465E-2</c:v>
                </c:pt>
                <c:pt idx="357">
                  <c:v>2.5330549676158297E-2</c:v>
                </c:pt>
                <c:pt idx="358">
                  <c:v>2.5363076897494986E-2</c:v>
                </c:pt>
                <c:pt idx="359">
                  <c:v>2.5404326788147795E-2</c:v>
                </c:pt>
                <c:pt idx="360">
                  <c:v>2.5457717788869374E-2</c:v>
                </c:pt>
                <c:pt idx="361">
                  <c:v>2.551918106670403E-2</c:v>
                </c:pt>
                <c:pt idx="362">
                  <c:v>2.5588663560764162E-2</c:v>
                </c:pt>
                <c:pt idx="363">
                  <c:v>2.5666112493656607E-2</c:v>
                </c:pt>
                <c:pt idx="364">
                  <c:v>2.5751475180216275E-2</c:v>
                </c:pt>
                <c:pt idx="365">
                  <c:v>2.5844698835928964E-2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2.9491415403897301E-2</c:v>
                </c:pt>
                <c:pt idx="1">
                  <c:v>2.9616278932400413E-2</c:v>
                </c:pt>
                <c:pt idx="2">
                  <c:v>2.97411671632801E-2</c:v>
                </c:pt>
                <c:pt idx="3">
                  <c:v>2.9866005565653529E-2</c:v>
                </c:pt>
                <c:pt idx="4">
                  <c:v>2.9990718474533287E-2</c:v>
                </c:pt>
                <c:pt idx="5">
                  <c:v>3.0115229097354281E-2</c:v>
                </c:pt>
                <c:pt idx="6">
                  <c:v>3.0239459520885421E-2</c:v>
                </c:pt>
                <c:pt idx="7">
                  <c:v>3.0363330717465522E-2</c:v>
                </c:pt>
                <c:pt idx="8">
                  <c:v>3.0486762551657134E-2</c:v>
                </c:pt>
                <c:pt idx="9">
                  <c:v>3.0590332089088249E-2</c:v>
                </c:pt>
                <c:pt idx="10">
                  <c:v>3.0668765312925211E-2</c:v>
                </c:pt>
                <c:pt idx="11">
                  <c:v>3.0721949248632117E-2</c:v>
                </c:pt>
                <c:pt idx="12">
                  <c:v>3.0749772895972558E-2</c:v>
                </c:pt>
                <c:pt idx="13">
                  <c:v>3.0752127858783649E-2</c:v>
                </c:pt>
                <c:pt idx="14">
                  <c:v>3.0728908974223437E-2</c:v>
                </c:pt>
                <c:pt idx="15">
                  <c:v>3.0661890737308392E-2</c:v>
                </c:pt>
                <c:pt idx="16">
                  <c:v>3.0556398220576597E-2</c:v>
                </c:pt>
                <c:pt idx="17">
                  <c:v>3.0412331590403487E-2</c:v>
                </c:pt>
                <c:pt idx="18">
                  <c:v>3.0229599584802629E-2</c:v>
                </c:pt>
                <c:pt idx="19">
                  <c:v>3.0008287847677593E-2</c:v>
                </c:pt>
                <c:pt idx="20">
                  <c:v>2.9748561655004682E-2</c:v>
                </c:pt>
                <c:pt idx="21">
                  <c:v>2.9450459587968207E-2</c:v>
                </c:pt>
                <c:pt idx="22">
                  <c:v>2.9114024379992547E-2</c:v>
                </c:pt>
                <c:pt idx="23">
                  <c:v>2.8742364870666653E-2</c:v>
                </c:pt>
                <c:pt idx="24">
                  <c:v>2.8354947893827351E-2</c:v>
                </c:pt>
                <c:pt idx="25">
                  <c:v>2.7951829444837095E-2</c:v>
                </c:pt>
                <c:pt idx="26">
                  <c:v>2.7533065317512852E-2</c:v>
                </c:pt>
                <c:pt idx="27">
                  <c:v>2.7098710915174937E-2</c:v>
                </c:pt>
                <c:pt idx="28">
                  <c:v>2.6648821062297354E-2</c:v>
                </c:pt>
                <c:pt idx="29">
                  <c:v>2.6200184819848631E-2</c:v>
                </c:pt>
                <c:pt idx="30">
                  <c:v>2.5771008443778026E-2</c:v>
                </c:pt>
                <c:pt idx="31">
                  <c:v>2.5361339556163848E-2</c:v>
                </c:pt>
                <c:pt idx="32">
                  <c:v>2.4971222235500606E-2</c:v>
                </c:pt>
                <c:pt idx="33">
                  <c:v>2.4600697264149103E-2</c:v>
                </c:pt>
                <c:pt idx="34">
                  <c:v>2.4249802375900884E-2</c:v>
                </c:pt>
                <c:pt idx="35">
                  <c:v>2.3918572503517511E-2</c:v>
                </c:pt>
                <c:pt idx="36">
                  <c:v>2.360704002621845E-2</c:v>
                </c:pt>
                <c:pt idx="37">
                  <c:v>2.3322142035240433E-2</c:v>
                </c:pt>
                <c:pt idx="38">
                  <c:v>2.3060843435041476E-2</c:v>
                </c:pt>
                <c:pt idx="39">
                  <c:v>2.2823169365464677E-2</c:v>
                </c:pt>
                <c:pt idx="40">
                  <c:v>2.2609143415191681E-2</c:v>
                </c:pt>
                <c:pt idx="41">
                  <c:v>2.2418787917475421E-2</c:v>
                </c:pt>
                <c:pt idx="42">
                  <c:v>2.2252124245711474E-2</c:v>
                </c:pt>
                <c:pt idx="43">
                  <c:v>2.2107827580940643E-2</c:v>
                </c:pt>
                <c:pt idx="44">
                  <c:v>2.1969201373100954E-2</c:v>
                </c:pt>
                <c:pt idx="45">
                  <c:v>2.1836269945932033E-2</c:v>
                </c:pt>
                <c:pt idx="46">
                  <c:v>2.1709057128732789E-2</c:v>
                </c:pt>
                <c:pt idx="47">
                  <c:v>2.1587586326071224E-2</c:v>
                </c:pt>
                <c:pt idx="48">
                  <c:v>2.1471880587208142E-2</c:v>
                </c:pt>
                <c:pt idx="49">
                  <c:v>2.1361962675718313E-2</c:v>
                </c:pt>
                <c:pt idx="50">
                  <c:v>2.1257855138979171E-2</c:v>
                </c:pt>
                <c:pt idx="51">
                  <c:v>2.1162136716965586E-2</c:v>
                </c:pt>
                <c:pt idx="52">
                  <c:v>2.1067813462180039E-2</c:v>
                </c:pt>
                <c:pt idx="53">
                  <c:v>2.0974771202008878E-2</c:v>
                </c:pt>
                <c:pt idx="54">
                  <c:v>2.0883001287031622E-2</c:v>
                </c:pt>
                <c:pt idx="55">
                  <c:v>2.0792495225333163E-2</c:v>
                </c:pt>
                <c:pt idx="56">
                  <c:v>2.0703244678014616E-2</c:v>
                </c:pt>
                <c:pt idx="57">
                  <c:v>2.0624236166765637E-2</c:v>
                </c:pt>
                <c:pt idx="58">
                  <c:v>2.0556806736387011E-2</c:v>
                </c:pt>
                <c:pt idx="59">
                  <c:v>2.0500948703890465E-2</c:v>
                </c:pt>
                <c:pt idx="60">
                  <c:v>2.0456654548568907E-2</c:v>
                </c:pt>
                <c:pt idx="61">
                  <c:v>2.0423916869269133E-2</c:v>
                </c:pt>
                <c:pt idx="62">
                  <c:v>2.0402728341633817E-2</c:v>
                </c:pt>
                <c:pt idx="63">
                  <c:v>2.0393081675404871E-2</c:v>
                </c:pt>
                <c:pt idx="64">
                  <c:v>2.0394969571645331E-2</c:v>
                </c:pt>
                <c:pt idx="65">
                  <c:v>2.0413719909947548E-2</c:v>
                </c:pt>
                <c:pt idx="66">
                  <c:v>2.0446768846632355E-2</c:v>
                </c:pt>
                <c:pt idx="67">
                  <c:v>2.0494108779266322E-2</c:v>
                </c:pt>
                <c:pt idx="68">
                  <c:v>2.0555731879507433E-2</c:v>
                </c:pt>
                <c:pt idx="69">
                  <c:v>2.0631630040025356E-2</c:v>
                </c:pt>
                <c:pt idx="70">
                  <c:v>2.0721794821517217E-2</c:v>
                </c:pt>
                <c:pt idx="71">
                  <c:v>2.0801598518126338E-2</c:v>
                </c:pt>
                <c:pt idx="72">
                  <c:v>2.0862038026092058E-2</c:v>
                </c:pt>
                <c:pt idx="73">
                  <c:v>2.0903105734824665E-2</c:v>
                </c:pt>
                <c:pt idx="74">
                  <c:v>2.0924794439044034E-2</c:v>
                </c:pt>
                <c:pt idx="75">
                  <c:v>2.092709741015121E-2</c:v>
                </c:pt>
                <c:pt idx="76">
                  <c:v>2.0910008467534977E-2</c:v>
                </c:pt>
                <c:pt idx="77">
                  <c:v>2.0873522049946341E-2</c:v>
                </c:pt>
                <c:pt idx="78">
                  <c:v>2.081763397797011E-2</c:v>
                </c:pt>
                <c:pt idx="79">
                  <c:v>2.0711462368613973E-2</c:v>
                </c:pt>
                <c:pt idx="80">
                  <c:v>2.0549730043226556E-2</c:v>
                </c:pt>
                <c:pt idx="81">
                  <c:v>2.0332438347375352E-2</c:v>
                </c:pt>
                <c:pt idx="82">
                  <c:v>2.0059588993176457E-2</c:v>
                </c:pt>
                <c:pt idx="83">
                  <c:v>1.9731184237295366E-2</c:v>
                </c:pt>
                <c:pt idx="84">
                  <c:v>1.9347227059014104E-2</c:v>
                </c:pt>
                <c:pt idx="85">
                  <c:v>1.8912525194236647E-2</c:v>
                </c:pt>
                <c:pt idx="86">
                  <c:v>1.8451687096403973E-2</c:v>
                </c:pt>
                <c:pt idx="87">
                  <c:v>1.7964713975679898E-2</c:v>
                </c:pt>
                <c:pt idx="88">
                  <c:v>1.7451608008779426E-2</c:v>
                </c:pt>
                <c:pt idx="89">
                  <c:v>1.6912372422758542E-2</c:v>
                </c:pt>
                <c:pt idx="90">
                  <c:v>1.6347011578768486E-2</c:v>
                </c:pt>
                <c:pt idx="91">
                  <c:v>1.5755531055875453E-2</c:v>
                </c:pt>
                <c:pt idx="92">
                  <c:v>1.5137937734832111E-2</c:v>
                </c:pt>
                <c:pt idx="93">
                  <c:v>1.4503620931857321E-2</c:v>
                </c:pt>
                <c:pt idx="94">
                  <c:v>1.388351978203404E-2</c:v>
                </c:pt>
                <c:pt idx="95">
                  <c:v>1.3277634998044269E-2</c:v>
                </c:pt>
                <c:pt idx="96">
                  <c:v>1.2685967663343047E-2</c:v>
                </c:pt>
                <c:pt idx="97">
                  <c:v>1.2108519186768463E-2</c:v>
                </c:pt>
                <c:pt idx="98">
                  <c:v>1.1545291257029112E-2</c:v>
                </c:pt>
                <c:pt idx="99">
                  <c:v>1.1009736882600188E-2</c:v>
                </c:pt>
                <c:pt idx="100">
                  <c:v>1.04970554128632E-2</c:v>
                </c:pt>
                <c:pt idx="101">
                  <c:v>1.0007245654924212E-2</c:v>
                </c:pt>
                <c:pt idx="102">
                  <c:v>9.5403061274757679E-3</c:v>
                </c:pt>
                <c:pt idx="103">
                  <c:v>9.0962349874748258E-3</c:v>
                </c:pt>
                <c:pt idx="104">
                  <c:v>8.6750299570498568E-3</c:v>
                </c:pt>
                <c:pt idx="105">
                  <c:v>8.2766882501948882E-3</c:v>
                </c:pt>
                <c:pt idx="106">
                  <c:v>7.9012064995792573E-3</c:v>
                </c:pt>
                <c:pt idx="107">
                  <c:v>7.5794133025527061E-3</c:v>
                </c:pt>
                <c:pt idx="108">
                  <c:v>7.301923920968797E-3</c:v>
                </c:pt>
                <c:pt idx="109">
                  <c:v>7.0687198054474841E-3</c:v>
                </c:pt>
                <c:pt idx="110">
                  <c:v>6.8797998387313793E-3</c:v>
                </c:pt>
                <c:pt idx="111">
                  <c:v>6.7351594288980431E-3</c:v>
                </c:pt>
                <c:pt idx="112">
                  <c:v>6.6347724620971259E-3</c:v>
                </c:pt>
                <c:pt idx="113">
                  <c:v>6.5988990483078136E-3</c:v>
                </c:pt>
                <c:pt idx="114">
                  <c:v>6.6140805991921504E-3</c:v>
                </c:pt>
                <c:pt idx="115">
                  <c:v>6.680282647307541E-3</c:v>
                </c:pt>
                <c:pt idx="116">
                  <c:v>6.7974691165539952E-3</c:v>
                </c:pt>
                <c:pt idx="117">
                  <c:v>6.9656022105318788E-3</c:v>
                </c:pt>
                <c:pt idx="118">
                  <c:v>7.184642300832887E-3</c:v>
                </c:pt>
                <c:pt idx="119">
                  <c:v>7.4545478153496504E-3</c:v>
                </c:pt>
                <c:pt idx="120">
                  <c:v>7.7752751265727131E-3</c:v>
                </c:pt>
                <c:pt idx="121">
                  <c:v>8.1534839823744123E-3</c:v>
                </c:pt>
                <c:pt idx="122">
                  <c:v>8.55839015241029E-3</c:v>
                </c:pt>
                <c:pt idx="123">
                  <c:v>8.9899623789963176E-3</c:v>
                </c:pt>
                <c:pt idx="124">
                  <c:v>9.4481679215253547E-3</c:v>
                </c:pt>
                <c:pt idx="125">
                  <c:v>9.9329724974935463E-3</c:v>
                </c:pt>
                <c:pt idx="126">
                  <c:v>1.0444340223404248E-2</c:v>
                </c:pt>
                <c:pt idx="127">
                  <c:v>1.0983142147270072E-2</c:v>
                </c:pt>
                <c:pt idx="128">
                  <c:v>1.1529128863421872E-2</c:v>
                </c:pt>
                <c:pt idx="129">
                  <c:v>1.2082277540513152E-2</c:v>
                </c:pt>
                <c:pt idx="130">
                  <c:v>1.2642564486759116E-2</c:v>
                </c:pt>
                <c:pt idx="131">
                  <c:v>1.3209965133138697E-2</c:v>
                </c:pt>
                <c:pt idx="132">
                  <c:v>1.3784454016694123E-2</c:v>
                </c:pt>
                <c:pt idx="133">
                  <c:v>1.4366004763917244E-2</c:v>
                </c:pt>
                <c:pt idx="134">
                  <c:v>1.495459007407725E-2</c:v>
                </c:pt>
                <c:pt idx="135">
                  <c:v>1.5548794715009936E-2</c:v>
                </c:pt>
                <c:pt idx="136">
                  <c:v>1.6141917331154998E-2</c:v>
                </c:pt>
                <c:pt idx="137">
                  <c:v>1.6733937202586716E-2</c:v>
                </c:pt>
                <c:pt idx="138">
                  <c:v>1.7324833110941299E-2</c:v>
                </c:pt>
                <c:pt idx="139">
                  <c:v>1.791458334089182E-2</c:v>
                </c:pt>
                <c:pt idx="140">
                  <c:v>1.8503165680668329E-2</c:v>
                </c:pt>
                <c:pt idx="141">
                  <c:v>1.9084475169900597E-2</c:v>
                </c:pt>
                <c:pt idx="142">
                  <c:v>1.9657484951647642E-2</c:v>
                </c:pt>
                <c:pt idx="143">
                  <c:v>2.0222081320744198E-2</c:v>
                </c:pt>
                <c:pt idx="144">
                  <c:v>2.0778266044312942E-2</c:v>
                </c:pt>
                <c:pt idx="145">
                  <c:v>2.1326044849881584E-2</c:v>
                </c:pt>
                <c:pt idx="146">
                  <c:v>2.1865427324756728E-2</c:v>
                </c:pt>
                <c:pt idx="147">
                  <c:v>2.2396426816100587E-2</c:v>
                </c:pt>
                <c:pt idx="148">
                  <c:v>2.2919060330511901E-2</c:v>
                </c:pt>
                <c:pt idx="149">
                  <c:v>2.3424487766398033E-2</c:v>
                </c:pt>
                <c:pt idx="150">
                  <c:v>2.3914125803644062E-2</c:v>
                </c:pt>
                <c:pt idx="151">
                  <c:v>2.4388015469701447E-2</c:v>
                </c:pt>
                <c:pt idx="152">
                  <c:v>2.484620141838274E-2</c:v>
                </c:pt>
                <c:pt idx="153">
                  <c:v>2.5288731728569411E-2</c:v>
                </c:pt>
                <c:pt idx="154">
                  <c:v>2.571565770305061E-2</c:v>
                </c:pt>
                <c:pt idx="155">
                  <c:v>2.611551406159732E-2</c:v>
                </c:pt>
                <c:pt idx="156">
                  <c:v>2.6494411100487295E-2</c:v>
                </c:pt>
                <c:pt idx="157">
                  <c:v>2.6852419087520341E-2</c:v>
                </c:pt>
                <c:pt idx="158">
                  <c:v>2.7189610685933965E-2</c:v>
                </c:pt>
                <c:pt idx="159">
                  <c:v>2.7506060678825536E-2</c:v>
                </c:pt>
                <c:pt idx="160">
                  <c:v>2.7801845693907097E-2</c:v>
                </c:pt>
                <c:pt idx="161">
                  <c:v>2.8077043927954577E-2</c:v>
                </c:pt>
                <c:pt idx="162">
                  <c:v>2.8331734871401899E-2</c:v>
                </c:pt>
                <c:pt idx="163">
                  <c:v>2.8553790531233095E-2</c:v>
                </c:pt>
                <c:pt idx="164">
                  <c:v>2.8752093241688776E-2</c:v>
                </c:pt>
                <c:pt idx="165">
                  <c:v>2.8926730656458257E-2</c:v>
                </c:pt>
                <c:pt idx="166">
                  <c:v>2.907779035551258E-2</c:v>
                </c:pt>
                <c:pt idx="167">
                  <c:v>2.9205359522623889E-2</c:v>
                </c:pt>
                <c:pt idx="168">
                  <c:v>2.9309524623808807E-2</c:v>
                </c:pt>
                <c:pt idx="169">
                  <c:v>2.9378205829143134E-2</c:v>
                </c:pt>
                <c:pt idx="170">
                  <c:v>2.9422921896902956E-2</c:v>
                </c:pt>
                <c:pt idx="171">
                  <c:v>2.9443755787390478E-2</c:v>
                </c:pt>
                <c:pt idx="172">
                  <c:v>2.944078830843248E-2</c:v>
                </c:pt>
                <c:pt idx="173">
                  <c:v>2.94137969940238E-2</c:v>
                </c:pt>
                <c:pt idx="174">
                  <c:v>2.9362542729775214E-2</c:v>
                </c:pt>
                <c:pt idx="175">
                  <c:v>2.9287079502174469E-2</c:v>
                </c:pt>
                <c:pt idx="176">
                  <c:v>2.9187461138020145E-2</c:v>
                </c:pt>
                <c:pt idx="177">
                  <c:v>2.905236708113797E-2</c:v>
                </c:pt>
                <c:pt idx="178">
                  <c:v>2.8893976749972752E-2</c:v>
                </c:pt>
                <c:pt idx="179">
                  <c:v>2.8712341438285154E-2</c:v>
                </c:pt>
                <c:pt idx="180">
                  <c:v>2.850751169875863E-2</c:v>
                </c:pt>
                <c:pt idx="181">
                  <c:v>2.827953720494673E-2</c:v>
                </c:pt>
                <c:pt idx="182">
                  <c:v>2.8028466613472507E-2</c:v>
                </c:pt>
                <c:pt idx="183">
                  <c:v>2.7745656302270331E-2</c:v>
                </c:pt>
                <c:pt idx="184">
                  <c:v>2.7443238668293918E-2</c:v>
                </c:pt>
                <c:pt idx="185">
                  <c:v>2.7121253534247953E-2</c:v>
                </c:pt>
                <c:pt idx="186">
                  <c:v>2.6779739271835044E-2</c:v>
                </c:pt>
                <c:pt idx="187">
                  <c:v>2.6418732683938958E-2</c:v>
                </c:pt>
                <c:pt idx="188">
                  <c:v>2.6038268886949642E-2</c:v>
                </c:pt>
                <c:pt idx="189">
                  <c:v>2.5638381192281633E-2</c:v>
                </c:pt>
                <c:pt idx="190">
                  <c:v>2.5219100989016929E-2</c:v>
                </c:pt>
                <c:pt idx="191">
                  <c:v>2.4774537792023429E-2</c:v>
                </c:pt>
                <c:pt idx="192">
                  <c:v>2.4316020919805101E-2</c:v>
                </c:pt>
                <c:pt idx="193">
                  <c:v>2.3843568600026392E-2</c:v>
                </c:pt>
                <c:pt idx="194">
                  <c:v>2.3357197024402865E-2</c:v>
                </c:pt>
                <c:pt idx="195">
                  <c:v>2.285692026309083E-2</c:v>
                </c:pt>
                <c:pt idx="196">
                  <c:v>2.2342750178148907E-2</c:v>
                </c:pt>
                <c:pt idx="197">
                  <c:v>2.1813352771181641E-2</c:v>
                </c:pt>
                <c:pt idx="198">
                  <c:v>2.1277373422001814E-2</c:v>
                </c:pt>
                <c:pt idx="199">
                  <c:v>2.0734809683282011E-2</c:v>
                </c:pt>
                <c:pt idx="200">
                  <c:v>2.0185657214321962E-2</c:v>
                </c:pt>
                <c:pt idx="201">
                  <c:v>1.962990973790495E-2</c:v>
                </c:pt>
                <c:pt idx="202">
                  <c:v>1.9067558997295245E-2</c:v>
                </c:pt>
                <c:pt idx="203">
                  <c:v>1.8498594713660121E-2</c:v>
                </c:pt>
                <c:pt idx="204">
                  <c:v>1.7922975600185468E-2</c:v>
                </c:pt>
                <c:pt idx="205">
                  <c:v>1.7341527321565724E-2</c:v>
                </c:pt>
                <c:pt idx="206">
                  <c:v>1.6760115771298194E-2</c:v>
                </c:pt>
                <c:pt idx="207">
                  <c:v>1.6178711987980602E-2</c:v>
                </c:pt>
                <c:pt idx="208">
                  <c:v>1.5597287689272401E-2</c:v>
                </c:pt>
                <c:pt idx="209">
                  <c:v>1.5015815273131746E-2</c:v>
                </c:pt>
                <c:pt idx="210">
                  <c:v>1.443426781958067E-2</c:v>
                </c:pt>
                <c:pt idx="211">
                  <c:v>1.3859064466189057E-2</c:v>
                </c:pt>
                <c:pt idx="212">
                  <c:v>1.3291515789170859E-2</c:v>
                </c:pt>
                <c:pt idx="213">
                  <c:v>1.2731594160644137E-2</c:v>
                </c:pt>
                <c:pt idx="214">
                  <c:v>1.2179273170280665E-2</c:v>
                </c:pt>
                <c:pt idx="215">
                  <c:v>1.1634527602624295E-2</c:v>
                </c:pt>
                <c:pt idx="216">
                  <c:v>1.1097333414357986E-2</c:v>
                </c:pt>
                <c:pt idx="217">
                  <c:v>1.0567667711612327E-2</c:v>
                </c:pt>
                <c:pt idx="218">
                  <c:v>1.0045508727206708E-2</c:v>
                </c:pt>
                <c:pt idx="219">
                  <c:v>9.5502839124531475E-3</c:v>
                </c:pt>
                <c:pt idx="220">
                  <c:v>9.0810964807331081E-3</c:v>
                </c:pt>
                <c:pt idx="221">
                  <c:v>8.6379259661770388E-3</c:v>
                </c:pt>
                <c:pt idx="222">
                  <c:v>8.2207539220231687E-3</c:v>
                </c:pt>
                <c:pt idx="223">
                  <c:v>7.82956384032946E-3</c:v>
                </c:pt>
                <c:pt idx="224">
                  <c:v>7.4643410714600872E-3</c:v>
                </c:pt>
                <c:pt idx="225">
                  <c:v>7.1545896361003038E-3</c:v>
                </c:pt>
                <c:pt idx="226">
                  <c:v>6.8938591900153078E-3</c:v>
                </c:pt>
                <c:pt idx="227">
                  <c:v>6.682141180779074E-3</c:v>
                </c:pt>
                <c:pt idx="228">
                  <c:v>6.5194295497758336E-3</c:v>
                </c:pt>
                <c:pt idx="229">
                  <c:v>6.4057205799398602E-3</c:v>
                </c:pt>
                <c:pt idx="230">
                  <c:v>6.3410127436048982E-3</c:v>
                </c:pt>
                <c:pt idx="231">
                  <c:v>6.3253065503703493E-3</c:v>
                </c:pt>
                <c:pt idx="232">
                  <c:v>6.3586043948317093E-3</c:v>
                </c:pt>
                <c:pt idx="233">
                  <c:v>6.4537751212095226E-3</c:v>
                </c:pt>
                <c:pt idx="234">
                  <c:v>6.5913776067083475E-3</c:v>
                </c:pt>
                <c:pt idx="235">
                  <c:v>6.7714235858895222E-3</c:v>
                </c:pt>
                <c:pt idx="236">
                  <c:v>6.9939288569403173E-3</c:v>
                </c:pt>
                <c:pt idx="237">
                  <c:v>7.2589068858041339E-3</c:v>
                </c:pt>
                <c:pt idx="238">
                  <c:v>7.5663730411545489E-3</c:v>
                </c:pt>
                <c:pt idx="239">
                  <c:v>7.9253151660075363E-3</c:v>
                </c:pt>
                <c:pt idx="240">
                  <c:v>8.306218974932205E-3</c:v>
                </c:pt>
                <c:pt idx="241">
                  <c:v>8.7091002216879848E-3</c:v>
                </c:pt>
                <c:pt idx="242">
                  <c:v>9.1339759201292323E-3</c:v>
                </c:pt>
                <c:pt idx="243">
                  <c:v>9.58086438282316E-3</c:v>
                </c:pt>
                <c:pt idx="244">
                  <c:v>1.004978525963254E-2</c:v>
                </c:pt>
                <c:pt idx="245">
                  <c:v>1.0540759576198027E-2</c:v>
                </c:pt>
                <c:pt idx="246">
                  <c:v>1.1053809772384052E-2</c:v>
                </c:pt>
                <c:pt idx="247">
                  <c:v>1.1593555288484721E-2</c:v>
                </c:pt>
                <c:pt idx="248">
                  <c:v>1.2147139895581768E-2</c:v>
                </c:pt>
                <c:pt idx="249">
                  <c:v>1.2714586575697288E-2</c:v>
                </c:pt>
                <c:pt idx="250">
                  <c:v>1.3295919430519085E-2</c:v>
                </c:pt>
                <c:pt idx="251">
                  <c:v>1.389116370566503E-2</c:v>
                </c:pt>
                <c:pt idx="252">
                  <c:v>1.4500345814422231E-2</c:v>
                </c:pt>
                <c:pt idx="253">
                  <c:v>1.5093853845959527E-2</c:v>
                </c:pt>
                <c:pt idx="254">
                  <c:v>1.5662707625949589E-2</c:v>
                </c:pt>
                <c:pt idx="255">
                  <c:v>1.6206910825475335E-2</c:v>
                </c:pt>
                <c:pt idx="256">
                  <c:v>1.6726466008885388E-2</c:v>
                </c:pt>
                <c:pt idx="257">
                  <c:v>1.7221374589556419E-2</c:v>
                </c:pt>
                <c:pt idx="258">
                  <c:v>1.7691636785800702E-2</c:v>
                </c:pt>
                <c:pt idx="259">
                  <c:v>1.8137251577028606E-2</c:v>
                </c:pt>
                <c:pt idx="260">
                  <c:v>1.8558216659383134E-2</c:v>
                </c:pt>
                <c:pt idx="261">
                  <c:v>1.8930918342484306E-2</c:v>
                </c:pt>
                <c:pt idx="262">
                  <c:v>1.92507199414199E-2</c:v>
                </c:pt>
                <c:pt idx="263">
                  <c:v>1.9517588371388214E-2</c:v>
                </c:pt>
                <c:pt idx="264">
                  <c:v>1.9731488067669199E-2</c:v>
                </c:pt>
                <c:pt idx="265">
                  <c:v>1.9892486569330819E-2</c:v>
                </c:pt>
                <c:pt idx="266">
                  <c:v>2.0000597509616969E-2</c:v>
                </c:pt>
                <c:pt idx="267">
                  <c:v>2.0060874852695625E-2</c:v>
                </c:pt>
                <c:pt idx="268">
                  <c:v>2.0103013798732139E-2</c:v>
                </c:pt>
                <c:pt idx="269">
                  <c:v>2.0126972321111609E-2</c:v>
                </c:pt>
                <c:pt idx="270">
                  <c:v>2.0132706417944894E-2</c:v>
                </c:pt>
                <c:pt idx="271">
                  <c:v>2.0120170315803876E-2</c:v>
                </c:pt>
                <c:pt idx="272">
                  <c:v>2.0089316674011808E-2</c:v>
                </c:pt>
                <c:pt idx="273">
                  <c:v>2.0040096788679761E-2</c:v>
                </c:pt>
                <c:pt idx="274">
                  <c:v>1.9972460797006701E-2</c:v>
                </c:pt>
                <c:pt idx="275">
                  <c:v>1.9895031892074835E-2</c:v>
                </c:pt>
                <c:pt idx="276">
                  <c:v>1.9831523330859951E-2</c:v>
                </c:pt>
                <c:pt idx="277">
                  <c:v>1.9781931834066242E-2</c:v>
                </c:pt>
                <c:pt idx="278">
                  <c:v>1.9746255071753746E-2</c:v>
                </c:pt>
                <c:pt idx="279">
                  <c:v>1.9724491511558917E-2</c:v>
                </c:pt>
                <c:pt idx="280">
                  <c:v>1.9716640267101394E-2</c:v>
                </c:pt>
                <c:pt idx="281">
                  <c:v>1.9725173633314962E-2</c:v>
                </c:pt>
                <c:pt idx="282">
                  <c:v>1.974493230076544E-2</c:v>
                </c:pt>
                <c:pt idx="283">
                  <c:v>1.9775912203019736E-2</c:v>
                </c:pt>
                <c:pt idx="284">
                  <c:v>1.9818109297856084E-2</c:v>
                </c:pt>
                <c:pt idx="285">
                  <c:v>1.9871519444907677E-2</c:v>
                </c:pt>
                <c:pt idx="286">
                  <c:v>1.9936138283495518E-2</c:v>
                </c:pt>
                <c:pt idx="287">
                  <c:v>2.0011961110265354E-2</c:v>
                </c:pt>
                <c:pt idx="288">
                  <c:v>2.0098982756899916E-2</c:v>
                </c:pt>
                <c:pt idx="289">
                  <c:v>2.0195891125456358E-2</c:v>
                </c:pt>
                <c:pt idx="290">
                  <c:v>2.0293936854777712E-2</c:v>
                </c:pt>
                <c:pt idx="291">
                  <c:v>2.0393097843142249E-2</c:v>
                </c:pt>
                <c:pt idx="292">
                  <c:v>2.0493351550816927E-2</c:v>
                </c:pt>
                <c:pt idx="293">
                  <c:v>2.0594674987305658E-2</c:v>
                </c:pt>
                <c:pt idx="294">
                  <c:v>2.069704469851949E-2</c:v>
                </c:pt>
                <c:pt idx="295">
                  <c:v>2.0807160442580453E-2</c:v>
                </c:pt>
                <c:pt idx="296">
                  <c:v>2.0922768867254096E-2</c:v>
                </c:pt>
                <c:pt idx="297">
                  <c:v>2.1044031576204124E-2</c:v>
                </c:pt>
                <c:pt idx="298">
                  <c:v>2.1170938715834239E-2</c:v>
                </c:pt>
                <c:pt idx="299">
                  <c:v>2.1303480199769357E-2</c:v>
                </c:pt>
                <c:pt idx="300">
                  <c:v>2.1441645658883939E-2</c:v>
                </c:pt>
                <c:pt idx="301">
                  <c:v>2.1585424391266206E-2</c:v>
                </c:pt>
                <c:pt idx="302">
                  <c:v>2.1734805312230005E-2</c:v>
                </c:pt>
                <c:pt idx="303">
                  <c:v>2.1906115956773324E-2</c:v>
                </c:pt>
                <c:pt idx="304">
                  <c:v>2.2100683300088065E-2</c:v>
                </c:pt>
                <c:pt idx="305">
                  <c:v>2.2318519990117212E-2</c:v>
                </c:pt>
                <c:pt idx="306">
                  <c:v>2.2559637868506816E-2</c:v>
                </c:pt>
                <c:pt idx="307">
                  <c:v>2.2824047758101072E-2</c:v>
                </c:pt>
                <c:pt idx="308">
                  <c:v>2.3111759250246656E-2</c:v>
                </c:pt>
                <c:pt idx="309">
                  <c:v>2.3425779486610652E-2</c:v>
                </c:pt>
                <c:pt idx="310">
                  <c:v>2.3759350180931612E-2</c:v>
                </c:pt>
                <c:pt idx="311">
                  <c:v>2.4112470795736623E-2</c:v>
                </c:pt>
                <c:pt idx="312">
                  <c:v>2.4485138860129558E-2</c:v>
                </c:pt>
                <c:pt idx="313">
                  <c:v>2.4877349791924533E-2</c:v>
                </c:pt>
                <c:pt idx="314">
                  <c:v>2.5289096719557751E-2</c:v>
                </c:pt>
                <c:pt idx="315">
                  <c:v>2.5720370304310531E-2</c:v>
                </c:pt>
                <c:pt idx="316">
                  <c:v>2.617115856214693E-2</c:v>
                </c:pt>
                <c:pt idx="317">
                  <c:v>2.6623610137841817E-2</c:v>
                </c:pt>
                <c:pt idx="318">
                  <c:v>2.7061238831875511E-2</c:v>
                </c:pt>
                <c:pt idx="319">
                  <c:v>2.7483986496288675E-2</c:v>
                </c:pt>
                <c:pt idx="320">
                  <c:v>2.7891794640803984E-2</c:v>
                </c:pt>
                <c:pt idx="321">
                  <c:v>2.8284604568557446E-2</c:v>
                </c:pt>
                <c:pt idx="322">
                  <c:v>2.8662357511957424E-2</c:v>
                </c:pt>
                <c:pt idx="323">
                  <c:v>2.9005876967219964E-2</c:v>
                </c:pt>
                <c:pt idx="324">
                  <c:v>2.9312071570688342E-2</c:v>
                </c:pt>
                <c:pt idx="325">
                  <c:v>2.9580864716264102E-2</c:v>
                </c:pt>
                <c:pt idx="326">
                  <c:v>2.9811997494895843E-2</c:v>
                </c:pt>
                <c:pt idx="327">
                  <c:v>3.0005334136628245E-2</c:v>
                </c:pt>
                <c:pt idx="328">
                  <c:v>3.0160897452267528E-2</c:v>
                </c:pt>
                <c:pt idx="329">
                  <c:v>3.0278717669470608E-2</c:v>
                </c:pt>
                <c:pt idx="330">
                  <c:v>3.0358831661808489E-2</c:v>
                </c:pt>
                <c:pt idx="331">
                  <c:v>3.0395912578901688E-2</c:v>
                </c:pt>
                <c:pt idx="332">
                  <c:v>3.0407910709381165E-2</c:v>
                </c:pt>
                <c:pt idx="333">
                  <c:v>3.0394881562077598E-2</c:v>
                </c:pt>
                <c:pt idx="334">
                  <c:v>3.0356883068509026E-2</c:v>
                </c:pt>
                <c:pt idx="335">
                  <c:v>3.0293975073134454E-2</c:v>
                </c:pt>
                <c:pt idx="336">
                  <c:v>3.020621882320744E-2</c:v>
                </c:pt>
                <c:pt idx="337">
                  <c:v>3.0098791202811004E-2</c:v>
                </c:pt>
                <c:pt idx="338">
                  <c:v>2.999091157101403E-2</c:v>
                </c:pt>
                <c:pt idx="339">
                  <c:v>2.9882644076074064E-2</c:v>
                </c:pt>
                <c:pt idx="340">
                  <c:v>2.9774051966999022E-2</c:v>
                </c:pt>
                <c:pt idx="341">
                  <c:v>2.9665197588324248E-2</c:v>
                </c:pt>
                <c:pt idx="342">
                  <c:v>2.9556142374863467E-2</c:v>
                </c:pt>
                <c:pt idx="343">
                  <c:v>2.9446946846102471E-2</c:v>
                </c:pt>
                <c:pt idx="344">
                  <c:v>2.9337670601059327E-2</c:v>
                </c:pt>
                <c:pt idx="345">
                  <c:v>2.9228372312831635E-2</c:v>
                </c:pt>
                <c:pt idx="346">
                  <c:v>2.9129808596759305E-2</c:v>
                </c:pt>
                <c:pt idx="347">
                  <c:v>2.9042038389866569E-2</c:v>
                </c:pt>
                <c:pt idx="348">
                  <c:v>2.89651206206979E-2</c:v>
                </c:pt>
                <c:pt idx="349">
                  <c:v>2.8899114426129881E-2</c:v>
                </c:pt>
                <c:pt idx="350">
                  <c:v>2.8844079368862057E-2</c:v>
                </c:pt>
                <c:pt idx="351">
                  <c:v>2.8805404007338734E-2</c:v>
                </c:pt>
                <c:pt idx="352">
                  <c:v>2.8778032384007519E-2</c:v>
                </c:pt>
                <c:pt idx="353">
                  <c:v>2.876202715449341E-2</c:v>
                </c:pt>
                <c:pt idx="354">
                  <c:v>2.8757452347067676E-2</c:v>
                </c:pt>
                <c:pt idx="355">
                  <c:v>2.8764373582618574E-2</c:v>
                </c:pt>
                <c:pt idx="356">
                  <c:v>2.8782878186698946E-2</c:v>
                </c:pt>
                <c:pt idx="357">
                  <c:v>2.8812971486409569E-2</c:v>
                </c:pt>
                <c:pt idx="358">
                  <c:v>2.8854591340988875E-2</c:v>
                </c:pt>
                <c:pt idx="359">
                  <c:v>2.8907677198160134E-2</c:v>
                </c:pt>
                <c:pt idx="360">
                  <c:v>2.8977301129843827E-2</c:v>
                </c:pt>
                <c:pt idx="361">
                  <c:v>2.9058067590807608E-2</c:v>
                </c:pt>
                <c:pt idx="362">
                  <c:v>2.9149919178696724E-2</c:v>
                </c:pt>
                <c:pt idx="363">
                  <c:v>2.9252798913090787E-2</c:v>
                </c:pt>
                <c:pt idx="364">
                  <c:v>2.9366649967981575E-2</c:v>
                </c:pt>
                <c:pt idx="365">
                  <c:v>2.9491415403897301E-2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3.3981415873899169E-2</c:v>
                </c:pt>
                <c:pt idx="1">
                  <c:v>3.4145719104610173E-2</c:v>
                </c:pt>
                <c:pt idx="2">
                  <c:v>3.4318833864005013E-2</c:v>
                </c:pt>
                <c:pt idx="3">
                  <c:v>3.4500687130098712E-2</c:v>
                </c:pt>
                <c:pt idx="4">
                  <c:v>3.4691204412973846E-2</c:v>
                </c:pt>
                <c:pt idx="5">
                  <c:v>3.4890309538731873E-2</c:v>
                </c:pt>
                <c:pt idx="6">
                  <c:v>3.5097924433890031E-2</c:v>
                </c:pt>
                <c:pt idx="7">
                  <c:v>3.5313968908996601E-2</c:v>
                </c:pt>
                <c:pt idx="8">
                  <c:v>3.5538360442728366E-2</c:v>
                </c:pt>
                <c:pt idx="9">
                  <c:v>3.5757198449380252E-2</c:v>
                </c:pt>
                <c:pt idx="10">
                  <c:v>3.5963932403211385E-2</c:v>
                </c:pt>
                <c:pt idx="11">
                  <c:v>3.6158446950001685E-2</c:v>
                </c:pt>
                <c:pt idx="12">
                  <c:v>3.6340626043653811E-2</c:v>
                </c:pt>
                <c:pt idx="13">
                  <c:v>3.6510353245383501E-2</c:v>
                </c:pt>
                <c:pt idx="14">
                  <c:v>3.6667512022283764E-2</c:v>
                </c:pt>
                <c:pt idx="15">
                  <c:v>3.6781608967513389E-2</c:v>
                </c:pt>
                <c:pt idx="16">
                  <c:v>3.6850444779735647E-2</c:v>
                </c:pt>
                <c:pt idx="17">
                  <c:v>3.6873882069967445E-2</c:v>
                </c:pt>
                <c:pt idx="18">
                  <c:v>3.6851791596903188E-2</c:v>
                </c:pt>
                <c:pt idx="19">
                  <c:v>3.6784258567036897E-2</c:v>
                </c:pt>
                <c:pt idx="20">
                  <c:v>3.6671468456375908E-2</c:v>
                </c:pt>
                <c:pt idx="21">
                  <c:v>3.651345393982601E-2</c:v>
                </c:pt>
                <c:pt idx="22">
                  <c:v>3.6310253554359732E-2</c:v>
                </c:pt>
                <c:pt idx="23">
                  <c:v>3.6044474353218239E-2</c:v>
                </c:pt>
                <c:pt idx="24">
                  <c:v>3.5730029901639246E-2</c:v>
                </c:pt>
                <c:pt idx="25">
                  <c:v>3.5366973423779896E-2</c:v>
                </c:pt>
                <c:pt idx="26">
                  <c:v>3.4955362098111689E-2</c:v>
                </c:pt>
                <c:pt idx="27">
                  <c:v>3.4495256458646123E-2</c:v>
                </c:pt>
                <c:pt idx="28">
                  <c:v>3.39867197969215E-2</c:v>
                </c:pt>
                <c:pt idx="29">
                  <c:v>3.3443624087736018E-2</c:v>
                </c:pt>
                <c:pt idx="30">
                  <c:v>3.2896462939920927E-2</c:v>
                </c:pt>
                <c:pt idx="31">
                  <c:v>3.2345299103830542E-2</c:v>
                </c:pt>
                <c:pt idx="32">
                  <c:v>3.1790192854601745E-2</c:v>
                </c:pt>
                <c:pt idx="33">
                  <c:v>3.1231201946667248E-2</c:v>
                </c:pt>
                <c:pt idx="34">
                  <c:v>3.0668381568415122E-2</c:v>
                </c:pt>
                <c:pt idx="35">
                  <c:v>3.0101784296815353E-2</c:v>
                </c:pt>
                <c:pt idx="36">
                  <c:v>2.9531460051980159E-2</c:v>
                </c:pt>
                <c:pt idx="37">
                  <c:v>2.8980407183724292E-2</c:v>
                </c:pt>
                <c:pt idx="38">
                  <c:v>2.8466094783224608E-2</c:v>
                </c:pt>
                <c:pt idx="39">
                  <c:v>2.7988553685905186E-2</c:v>
                </c:pt>
                <c:pt idx="40">
                  <c:v>2.7547811771712765E-2</c:v>
                </c:pt>
                <c:pt idx="41">
                  <c:v>2.7143894424935543E-2</c:v>
                </c:pt>
                <c:pt idx="42">
                  <c:v>2.6776824993821557E-2</c:v>
                </c:pt>
                <c:pt idx="43">
                  <c:v>2.6453481495550542E-2</c:v>
                </c:pt>
                <c:pt idx="44">
                  <c:v>2.6160091079692731E-2</c:v>
                </c:pt>
                <c:pt idx="45">
                  <c:v>2.5896675419081572E-2</c:v>
                </c:pt>
                <c:pt idx="46">
                  <c:v>2.566325575059826E-2</c:v>
                </c:pt>
                <c:pt idx="47">
                  <c:v>2.5459853248208559E-2</c:v>
                </c:pt>
                <c:pt idx="48">
                  <c:v>2.5286489395659764E-2</c:v>
                </c:pt>
                <c:pt idx="49">
                  <c:v>2.5143186359411793E-2</c:v>
                </c:pt>
                <c:pt idx="50">
                  <c:v>2.5029967361411838E-2</c:v>
                </c:pt>
                <c:pt idx="51">
                  <c:v>2.4945379679577655E-2</c:v>
                </c:pt>
                <c:pt idx="52">
                  <c:v>2.4866383827279005E-2</c:v>
                </c:pt>
                <c:pt idx="53">
                  <c:v>2.4792845582426622E-2</c:v>
                </c:pt>
                <c:pt idx="54">
                  <c:v>2.4724754997213133E-2</c:v>
                </c:pt>
                <c:pt idx="55">
                  <c:v>2.4662102321138857E-2</c:v>
                </c:pt>
                <c:pt idx="56">
                  <c:v>2.4604877981114076E-2</c:v>
                </c:pt>
                <c:pt idx="57">
                  <c:v>2.4560381401760551E-2</c:v>
                </c:pt>
                <c:pt idx="58">
                  <c:v>2.4521750130884687E-2</c:v>
                </c:pt>
                <c:pt idx="59">
                  <c:v>2.4488975039386074E-2</c:v>
                </c:pt>
                <c:pt idx="60">
                  <c:v>2.4462047086994405E-2</c:v>
                </c:pt>
                <c:pt idx="61">
                  <c:v>2.4440957300703677E-2</c:v>
                </c:pt>
                <c:pt idx="62">
                  <c:v>2.4425696753169641E-2</c:v>
                </c:pt>
                <c:pt idx="63">
                  <c:v>2.4416256541180716E-2</c:v>
                </c:pt>
                <c:pt idx="64">
                  <c:v>2.4412627764031334E-2</c:v>
                </c:pt>
                <c:pt idx="65">
                  <c:v>2.4423109681392455E-2</c:v>
                </c:pt>
                <c:pt idx="66">
                  <c:v>2.4449170846803887E-2</c:v>
                </c:pt>
                <c:pt idx="67">
                  <c:v>2.4490802224250079E-2</c:v>
                </c:pt>
                <c:pt idx="68">
                  <c:v>2.4547994546265082E-2</c:v>
                </c:pt>
                <c:pt idx="69">
                  <c:v>2.462073825607887E-2</c:v>
                </c:pt>
                <c:pt idx="70">
                  <c:v>2.4709023449877864E-2</c:v>
                </c:pt>
                <c:pt idx="71">
                  <c:v>2.4790834870960895E-2</c:v>
                </c:pt>
                <c:pt idx="72">
                  <c:v>2.4858853699625181E-2</c:v>
                </c:pt>
                <c:pt idx="73">
                  <c:v>2.4913070519567371E-2</c:v>
                </c:pt>
                <c:pt idx="74">
                  <c:v>2.4953476165025062E-2</c:v>
                </c:pt>
                <c:pt idx="75">
                  <c:v>2.4980061771485835E-2</c:v>
                </c:pt>
                <c:pt idx="76">
                  <c:v>2.4992818826318965E-2</c:v>
                </c:pt>
                <c:pt idx="77">
                  <c:v>2.4991739219488083E-2</c:v>
                </c:pt>
                <c:pt idx="78">
                  <c:v>2.497681612343651E-2</c:v>
                </c:pt>
                <c:pt idx="79">
                  <c:v>2.4914991452863626E-2</c:v>
                </c:pt>
                <c:pt idx="80">
                  <c:v>2.4798025244104974E-2</c:v>
                </c:pt>
                <c:pt idx="81">
                  <c:v>2.4625917400192567E-2</c:v>
                </c:pt>
                <c:pt idx="82">
                  <c:v>2.4398668131867914E-2</c:v>
                </c:pt>
                <c:pt idx="83">
                  <c:v>2.4116278134222232E-2</c:v>
                </c:pt>
                <c:pt idx="84">
                  <c:v>2.3778748763417512E-2</c:v>
                </c:pt>
                <c:pt idx="85">
                  <c:v>2.3389051938731364E-2</c:v>
                </c:pt>
                <c:pt idx="86">
                  <c:v>2.2969182278191821E-2</c:v>
                </c:pt>
                <c:pt idx="87">
                  <c:v>2.2519139940405018E-2</c:v>
                </c:pt>
                <c:pt idx="88">
                  <c:v>2.203892605573924E-2</c:v>
                </c:pt>
                <c:pt idx="89">
                  <c:v>2.1528542823008513E-2</c:v>
                </c:pt>
                <c:pt idx="90">
                  <c:v>2.0987993606111002E-2</c:v>
                </c:pt>
                <c:pt idx="91">
                  <c:v>2.0417283030750372E-2</c:v>
                </c:pt>
                <c:pt idx="92">
                  <c:v>1.9816417081096847E-2</c:v>
                </c:pt>
                <c:pt idx="93">
                  <c:v>1.9189121693299418E-2</c:v>
                </c:pt>
                <c:pt idx="94">
                  <c:v>1.8568524375510393E-2</c:v>
                </c:pt>
                <c:pt idx="95">
                  <c:v>1.7954626173836211E-2</c:v>
                </c:pt>
                <c:pt idx="96">
                  <c:v>1.7347428728821109E-2</c:v>
                </c:pt>
                <c:pt idx="97">
                  <c:v>1.6746934254114769E-2</c:v>
                </c:pt>
                <c:pt idx="98">
                  <c:v>1.6153145514975695E-2</c:v>
                </c:pt>
                <c:pt idx="99">
                  <c:v>1.5573050500164822E-2</c:v>
                </c:pt>
                <c:pt idx="100">
                  <c:v>1.5003684425442122E-2</c:v>
                </c:pt>
                <c:pt idx="101">
                  <c:v>1.4445049965815526E-2</c:v>
                </c:pt>
                <c:pt idx="102">
                  <c:v>1.389715008179703E-2</c:v>
                </c:pt>
                <c:pt idx="103">
                  <c:v>1.3359987984933045E-2</c:v>
                </c:pt>
                <c:pt idx="104">
                  <c:v>1.2833567103666841E-2</c:v>
                </c:pt>
                <c:pt idx="105">
                  <c:v>1.231789104889245E-2</c:v>
                </c:pt>
                <c:pt idx="106">
                  <c:v>1.1812963579676582E-2</c:v>
                </c:pt>
                <c:pt idx="107">
                  <c:v>1.135750966994506E-2</c:v>
                </c:pt>
                <c:pt idx="108">
                  <c:v>1.0947800964737912E-2</c:v>
                </c:pt>
                <c:pt idx="109">
                  <c:v>1.0583820588407062E-2</c:v>
                </c:pt>
                <c:pt idx="110">
                  <c:v>1.0265578827997239E-2</c:v>
                </c:pt>
                <c:pt idx="111">
                  <c:v>9.9930813532432636E-3</c:v>
                </c:pt>
                <c:pt idx="112">
                  <c:v>9.7663021325985946E-3</c:v>
                </c:pt>
                <c:pt idx="113">
                  <c:v>9.6164872449682418E-3</c:v>
                </c:pt>
                <c:pt idx="114">
                  <c:v>9.5366213850178669E-3</c:v>
                </c:pt>
                <c:pt idx="115">
                  <c:v>9.5266587545767747E-3</c:v>
                </c:pt>
                <c:pt idx="116">
                  <c:v>9.5865514406820347E-3</c:v>
                </c:pt>
                <c:pt idx="117">
                  <c:v>9.7162492627108441E-3</c:v>
                </c:pt>
                <c:pt idx="118">
                  <c:v>9.9156996194162319E-3</c:v>
                </c:pt>
                <c:pt idx="119">
                  <c:v>1.0184847335989931E-2</c:v>
                </c:pt>
                <c:pt idx="120">
                  <c:v>1.0523634511108172E-2</c:v>
                </c:pt>
                <c:pt idx="121">
                  <c:v>1.0941257360283802E-2</c:v>
                </c:pt>
                <c:pt idx="122">
                  <c:v>1.1399051455824896E-2</c:v>
                </c:pt>
                <c:pt idx="123">
                  <c:v>1.1896973229229122E-2</c:v>
                </c:pt>
                <c:pt idx="124">
                  <c:v>1.2434977017354472E-2</c:v>
                </c:pt>
                <c:pt idx="125">
                  <c:v>1.3013014973860542E-2</c:v>
                </c:pt>
                <c:pt idx="126">
                  <c:v>1.3631036980487253E-2</c:v>
                </c:pt>
                <c:pt idx="127">
                  <c:v>1.4289553533098208E-2</c:v>
                </c:pt>
                <c:pt idx="128">
                  <c:v>1.4957356300291547E-2</c:v>
                </c:pt>
                <c:pt idx="129">
                  <c:v>1.5634416697768019E-2</c:v>
                </c:pt>
                <c:pt idx="130">
                  <c:v>1.6320705063456922E-2</c:v>
                </c:pt>
                <c:pt idx="131">
                  <c:v>1.701619063585267E-2</c:v>
                </c:pt>
                <c:pt idx="132">
                  <c:v>1.7720841532478906E-2</c:v>
                </c:pt>
                <c:pt idx="133">
                  <c:v>1.8434624728464116E-2</c:v>
                </c:pt>
                <c:pt idx="134">
                  <c:v>1.9157506035041166E-2</c:v>
                </c:pt>
                <c:pt idx="135">
                  <c:v>1.9887477900173447E-2</c:v>
                </c:pt>
                <c:pt idx="136">
                  <c:v>2.0615292909696728E-2</c:v>
                </c:pt>
                <c:pt idx="137">
                  <c:v>2.1340926385996252E-2</c:v>
                </c:pt>
                <c:pt idx="138">
                  <c:v>2.2064353089156906E-2</c:v>
                </c:pt>
                <c:pt idx="139">
                  <c:v>2.2785547220598487E-2</c:v>
                </c:pt>
                <c:pt idx="140">
                  <c:v>2.3504482425493925E-2</c:v>
                </c:pt>
                <c:pt idx="141">
                  <c:v>2.4213321207993951E-2</c:v>
                </c:pt>
                <c:pt idx="142">
                  <c:v>2.4911349528066798E-2</c:v>
                </c:pt>
                <c:pt idx="143">
                  <c:v>2.5598425254015331E-2</c:v>
                </c:pt>
                <c:pt idx="144">
                  <c:v>2.6274552814268055E-2</c:v>
                </c:pt>
                <c:pt idx="145">
                  <c:v>2.6939741540418935E-2</c:v>
                </c:pt>
                <c:pt idx="146">
                  <c:v>2.7594005535454148E-2</c:v>
                </c:pt>
                <c:pt idx="147">
                  <c:v>2.8237363542867735E-2</c:v>
                </c:pt>
                <c:pt idx="148">
                  <c:v>2.8869838815150047E-2</c:v>
                </c:pt>
                <c:pt idx="149">
                  <c:v>2.9480754070222367E-2</c:v>
                </c:pt>
                <c:pt idx="150">
                  <c:v>3.0072118099201954E-2</c:v>
                </c:pt>
                <c:pt idx="151">
                  <c:v>3.0643982851645719E-2</c:v>
                </c:pt>
                <c:pt idx="152">
                  <c:v>3.1196404689049322E-2</c:v>
                </c:pt>
                <c:pt idx="153">
                  <c:v>3.1729444135443222E-2</c:v>
                </c:pt>
                <c:pt idx="154">
                  <c:v>3.224316562815336E-2</c:v>
                </c:pt>
                <c:pt idx="155">
                  <c:v>3.2723687048180648E-2</c:v>
                </c:pt>
                <c:pt idx="156">
                  <c:v>3.3178851531527755E-2</c:v>
                </c:pt>
                <c:pt idx="157">
                  <c:v>3.3608745637410023E-2</c:v>
                </c:pt>
                <c:pt idx="158">
                  <c:v>3.4013458809417627E-2</c:v>
                </c:pt>
                <c:pt idx="159">
                  <c:v>3.4393083042127223E-2</c:v>
                </c:pt>
                <c:pt idx="160">
                  <c:v>3.4747712548129694E-2</c:v>
                </c:pt>
                <c:pt idx="161">
                  <c:v>3.5077443424675683E-2</c:v>
                </c:pt>
                <c:pt idx="162">
                  <c:v>3.5382373320502244E-2</c:v>
                </c:pt>
                <c:pt idx="163">
                  <c:v>3.5648003167460349E-2</c:v>
                </c:pt>
                <c:pt idx="164">
                  <c:v>3.588506536337633E-2</c:v>
                </c:pt>
                <c:pt idx="165">
                  <c:v>3.6093667109850208E-2</c:v>
                </c:pt>
                <c:pt idx="166">
                  <c:v>3.6273915515866478E-2</c:v>
                </c:pt>
                <c:pt idx="167">
                  <c:v>3.6425917209791478E-2</c:v>
                </c:pt>
                <c:pt idx="168">
                  <c:v>3.6549777952523822E-2</c:v>
                </c:pt>
                <c:pt idx="169">
                  <c:v>3.663105602435681E-2</c:v>
                </c:pt>
                <c:pt idx="170">
                  <c:v>3.668370137599497E-2</c:v>
                </c:pt>
                <c:pt idx="171">
                  <c:v>3.6707815256642413E-2</c:v>
                </c:pt>
                <c:pt idx="172">
                  <c:v>3.6703496341751483E-2</c:v>
                </c:pt>
                <c:pt idx="173">
                  <c:v>3.6670465339051855E-2</c:v>
                </c:pt>
                <c:pt idx="174">
                  <c:v>3.6608422267278083E-2</c:v>
                </c:pt>
                <c:pt idx="175">
                  <c:v>3.6517432557767453E-2</c:v>
                </c:pt>
                <c:pt idx="176">
                  <c:v>3.6397561450927526E-2</c:v>
                </c:pt>
                <c:pt idx="177">
                  <c:v>3.6235099835912797E-2</c:v>
                </c:pt>
                <c:pt idx="178">
                  <c:v>3.6044612012522577E-2</c:v>
                </c:pt>
                <c:pt idx="179">
                  <c:v>3.5826160450885505E-2</c:v>
                </c:pt>
                <c:pt idx="180">
                  <c:v>3.5579806731215309E-2</c:v>
                </c:pt>
                <c:pt idx="181">
                  <c:v>3.5305611377710079E-2</c:v>
                </c:pt>
                <c:pt idx="182">
                  <c:v>3.5003633692766017E-2</c:v>
                </c:pt>
                <c:pt idx="183">
                  <c:v>3.4663431510835882E-2</c:v>
                </c:pt>
                <c:pt idx="184">
                  <c:v>3.4299513029977663E-2</c:v>
                </c:pt>
                <c:pt idx="185">
                  <c:v>3.3911927116776965E-2</c:v>
                </c:pt>
                <c:pt idx="186">
                  <c:v>3.3500720888244545E-2</c:v>
                </c:pt>
                <c:pt idx="187">
                  <c:v>3.3065939569291408E-2</c:v>
                </c:pt>
                <c:pt idx="188">
                  <c:v>3.2607626350381912E-2</c:v>
                </c:pt>
                <c:pt idx="189">
                  <c:v>3.212582224417717E-2</c:v>
                </c:pt>
                <c:pt idx="190">
                  <c:v>3.1620565943586074E-2</c:v>
                </c:pt>
                <c:pt idx="191">
                  <c:v>3.1084291663601864E-2</c:v>
                </c:pt>
                <c:pt idx="192">
                  <c:v>3.0530720421528539E-2</c:v>
                </c:pt>
                <c:pt idx="193">
                  <c:v>2.9959875505614145E-2</c:v>
                </c:pt>
                <c:pt idx="194">
                  <c:v>2.9371777716295986E-2</c:v>
                </c:pt>
                <c:pt idx="195">
                  <c:v>2.876644526013809E-2</c:v>
                </c:pt>
                <c:pt idx="196">
                  <c:v>2.8143893642602804E-2</c:v>
                </c:pt>
                <c:pt idx="197">
                  <c:v>2.75022251248523E-2</c:v>
                </c:pt>
                <c:pt idx="198">
                  <c:v>2.6851885914064809E-2</c:v>
                </c:pt>
                <c:pt idx="199">
                  <c:v>2.619287437916528E-2</c:v>
                </c:pt>
                <c:pt idx="200">
                  <c:v>2.5525186530835506E-2</c:v>
                </c:pt>
                <c:pt idx="201">
                  <c:v>2.4848815965019325E-2</c:v>
                </c:pt>
                <c:pt idx="202">
                  <c:v>2.4163753806605019E-2</c:v>
                </c:pt>
                <c:pt idx="203">
                  <c:v>2.346998865364577E-2</c:v>
                </c:pt>
                <c:pt idx="204">
                  <c:v>2.2767469755040293E-2</c:v>
                </c:pt>
                <c:pt idx="205">
                  <c:v>2.2056677632066209E-2</c:v>
                </c:pt>
                <c:pt idx="206">
                  <c:v>2.1345147155243129E-2</c:v>
                </c:pt>
                <c:pt idx="207">
                  <c:v>2.0632843148375012E-2</c:v>
                </c:pt>
                <c:pt idx="208">
                  <c:v>1.9919731201358478E-2</c:v>
                </c:pt>
                <c:pt idx="209">
                  <c:v>1.9205777674150978E-2</c:v>
                </c:pt>
                <c:pt idx="210">
                  <c:v>1.8490949701413309E-2</c:v>
                </c:pt>
                <c:pt idx="211">
                  <c:v>1.77841130307493E-2</c:v>
                </c:pt>
                <c:pt idx="212">
                  <c:v>1.7087136330614424E-2</c:v>
                </c:pt>
                <c:pt idx="213">
                  <c:v>1.6399985249950066E-2</c:v>
                </c:pt>
                <c:pt idx="214">
                  <c:v>1.572262696445853E-2</c:v>
                </c:pt>
                <c:pt idx="215">
                  <c:v>1.505503014735305E-2</c:v>
                </c:pt>
                <c:pt idx="216">
                  <c:v>1.439716494004197E-2</c:v>
                </c:pt>
                <c:pt idx="217">
                  <c:v>1.37490029228668E-2</c:v>
                </c:pt>
                <c:pt idx="218">
                  <c:v>1.3110517085753321E-2</c:v>
                </c:pt>
                <c:pt idx="219">
                  <c:v>1.2511661296629197E-2</c:v>
                </c:pt>
                <c:pt idx="220">
                  <c:v>1.1951864844932172E-2</c:v>
                </c:pt>
                <c:pt idx="221">
                  <c:v>1.1431101671322514E-2</c:v>
                </c:pt>
                <c:pt idx="222">
                  <c:v>1.0949348568366601E-2</c:v>
                </c:pt>
                <c:pt idx="223">
                  <c:v>1.0506585059957357E-2</c:v>
                </c:pt>
                <c:pt idx="224">
                  <c:v>1.0102793280438513E-2</c:v>
                </c:pt>
                <c:pt idx="225">
                  <c:v>9.7750266012505971E-3</c:v>
                </c:pt>
                <c:pt idx="226">
                  <c:v>9.5143827743267677E-3</c:v>
                </c:pt>
                <c:pt idx="227">
                  <c:v>9.3208522908340002E-3</c:v>
                </c:pt>
                <c:pt idx="228">
                  <c:v>9.1944289368853516E-3</c:v>
                </c:pt>
                <c:pt idx="229">
                  <c:v>9.1351095850491573E-3</c:v>
                </c:pt>
                <c:pt idx="230">
                  <c:v>9.1428939860090843E-3</c:v>
                </c:pt>
                <c:pt idx="231">
                  <c:v>9.2177845602515705E-3</c:v>
                </c:pt>
                <c:pt idx="232">
                  <c:v>9.3597861895578973E-3</c:v>
                </c:pt>
                <c:pt idx="233">
                  <c:v>9.5755862207312411E-3</c:v>
                </c:pt>
                <c:pt idx="234">
                  <c:v>9.8352143947312096E-3</c:v>
                </c:pt>
                <c:pt idx="235">
                  <c:v>1.0138686259134557E-2</c:v>
                </c:pt>
                <c:pt idx="236">
                  <c:v>1.0486022850421686E-2</c:v>
                </c:pt>
                <c:pt idx="237">
                  <c:v>1.0877241002411737E-2</c:v>
                </c:pt>
                <c:pt idx="238">
                  <c:v>1.1312359595988915E-2</c:v>
                </c:pt>
                <c:pt idx="239">
                  <c:v>1.1794955396648788E-2</c:v>
                </c:pt>
                <c:pt idx="240">
                  <c:v>1.2287959709685485E-2</c:v>
                </c:pt>
                <c:pt idx="241">
                  <c:v>1.27913883581002E-2</c:v>
                </c:pt>
                <c:pt idx="242">
                  <c:v>1.3305257976993405E-2</c:v>
                </c:pt>
                <c:pt idx="243">
                  <c:v>1.3829586031745215E-2</c:v>
                </c:pt>
                <c:pt idx="244">
                  <c:v>1.4364390836140058E-2</c:v>
                </c:pt>
                <c:pt idx="245">
                  <c:v>1.4909691570345666E-2</c:v>
                </c:pt>
                <c:pt idx="246">
                  <c:v>1.5465508298846178E-2</c:v>
                </c:pt>
                <c:pt idx="247">
                  <c:v>1.6034702938726143E-2</c:v>
                </c:pt>
                <c:pt idx="248">
                  <c:v>1.6610608602331416E-2</c:v>
                </c:pt>
                <c:pt idx="249">
                  <c:v>1.7193246308935768E-2</c:v>
                </c:pt>
                <c:pt idx="250">
                  <c:v>1.7782637826460841E-2</c:v>
                </c:pt>
                <c:pt idx="251">
                  <c:v>1.8378805683210521E-2</c:v>
                </c:pt>
                <c:pt idx="252">
                  <c:v>1.8981773178889005E-2</c:v>
                </c:pt>
                <c:pt idx="253">
                  <c:v>1.9559828539248942E-2</c:v>
                </c:pt>
                <c:pt idx="254">
                  <c:v>2.0109413021690718E-2</c:v>
                </c:pt>
                <c:pt idx="255">
                  <c:v>2.0630528054444056E-2</c:v>
                </c:pt>
                <c:pt idx="256">
                  <c:v>2.1123173713173682E-2</c:v>
                </c:pt>
                <c:pt idx="257">
                  <c:v>2.1587348669918283E-2</c:v>
                </c:pt>
                <c:pt idx="258">
                  <c:v>2.2023050142217917E-2</c:v>
                </c:pt>
                <c:pt idx="259">
                  <c:v>2.2430273842555564E-2</c:v>
                </c:pt>
                <c:pt idx="260">
                  <c:v>2.2809013927137328E-2</c:v>
                </c:pt>
                <c:pt idx="261">
                  <c:v>2.3138159706636095E-2</c:v>
                </c:pt>
                <c:pt idx="262">
                  <c:v>2.341483304119581E-2</c:v>
                </c:pt>
                <c:pt idx="263">
                  <c:v>2.3639000442207625E-2</c:v>
                </c:pt>
                <c:pt idx="264">
                  <c:v>2.3810626133606891E-2</c:v>
                </c:pt>
                <c:pt idx="265">
                  <c:v>2.3929799066344206E-2</c:v>
                </c:pt>
                <c:pt idx="266">
                  <c:v>2.3996542877312874E-2</c:v>
                </c:pt>
                <c:pt idx="267">
                  <c:v>2.4018761741966994E-2</c:v>
                </c:pt>
                <c:pt idx="268">
                  <c:v>2.4028253384726288E-2</c:v>
                </c:pt>
                <c:pt idx="269">
                  <c:v>2.4024975943891344E-2</c:v>
                </c:pt>
                <c:pt idx="270">
                  <c:v>2.400888626175611E-2</c:v>
                </c:pt>
                <c:pt idx="271">
                  <c:v>2.3979940029114178E-2</c:v>
                </c:pt>
                <c:pt idx="272">
                  <c:v>2.3938091930429135E-2</c:v>
                </c:pt>
                <c:pt idx="273">
                  <c:v>2.3883295788701867E-2</c:v>
                </c:pt>
                <c:pt idx="274">
                  <c:v>2.3815504710651879E-2</c:v>
                </c:pt>
                <c:pt idx="275">
                  <c:v>2.3741719479306544E-2</c:v>
                </c:pt>
                <c:pt idx="276">
                  <c:v>2.36831327351281E-2</c:v>
                </c:pt>
                <c:pt idx="277">
                  <c:v>2.3639738882027E-2</c:v>
                </c:pt>
                <c:pt idx="278">
                  <c:v>2.3611533316345502E-2</c:v>
                </c:pt>
                <c:pt idx="279">
                  <c:v>2.3598512261439941E-2</c:v>
                </c:pt>
                <c:pt idx="280">
                  <c:v>2.3600672602485606E-2</c:v>
                </c:pt>
                <c:pt idx="281">
                  <c:v>2.3616582692904363E-2</c:v>
                </c:pt>
                <c:pt idx="282">
                  <c:v>2.3638197828974292E-2</c:v>
                </c:pt>
                <c:pt idx="283">
                  <c:v>2.3665501031476063E-2</c:v>
                </c:pt>
                <c:pt idx="284">
                  <c:v>2.3698475313661285E-2</c:v>
                </c:pt>
                <c:pt idx="285">
                  <c:v>2.3737103619437417E-2</c:v>
                </c:pt>
                <c:pt idx="286">
                  <c:v>2.378136876177896E-2</c:v>
                </c:pt>
                <c:pt idx="287">
                  <c:v>2.3831253360904255E-2</c:v>
                </c:pt>
                <c:pt idx="288">
                  <c:v>2.3886739782542264E-2</c:v>
                </c:pt>
                <c:pt idx="289">
                  <c:v>2.39544666479347E-2</c:v>
                </c:pt>
                <c:pt idx="290">
                  <c:v>2.4027322977511298E-2</c:v>
                </c:pt>
                <c:pt idx="291">
                  <c:v>2.4105289202101934E-2</c:v>
                </c:pt>
                <c:pt idx="292">
                  <c:v>2.4188345244501978E-2</c:v>
                </c:pt>
                <c:pt idx="293">
                  <c:v>2.4276470462643605E-2</c:v>
                </c:pt>
                <c:pt idx="294">
                  <c:v>2.436964359267442E-2</c:v>
                </c:pt>
                <c:pt idx="295">
                  <c:v>2.4490180071920279E-2</c:v>
                </c:pt>
                <c:pt idx="296">
                  <c:v>2.4639824673990132E-2</c:v>
                </c:pt>
                <c:pt idx="297">
                  <c:v>2.4818798525603009E-2</c:v>
                </c:pt>
                <c:pt idx="298">
                  <c:v>2.5027121699615299E-2</c:v>
                </c:pt>
                <c:pt idx="299">
                  <c:v>2.5264814613314236E-2</c:v>
                </c:pt>
                <c:pt idx="300">
                  <c:v>2.5531897760365827E-2</c:v>
                </c:pt>
                <c:pt idx="301">
                  <c:v>2.5828391442686949E-2</c:v>
                </c:pt>
                <c:pt idx="302">
                  <c:v>2.6154315502374091E-2</c:v>
                </c:pt>
                <c:pt idx="303">
                  <c:v>2.6523168914388426E-2</c:v>
                </c:pt>
                <c:pt idx="304">
                  <c:v>2.6928285269223237E-2</c:v>
                </c:pt>
                <c:pt idx="305">
                  <c:v>2.7369691077110656E-2</c:v>
                </c:pt>
                <c:pt idx="306">
                  <c:v>2.7847411203717018E-2</c:v>
                </c:pt>
                <c:pt idx="307">
                  <c:v>2.8361468539685093E-2</c:v>
                </c:pt>
                <c:pt idx="308">
                  <c:v>2.8911883669939867E-2</c:v>
                </c:pt>
                <c:pt idx="309">
                  <c:v>2.9481598911766747E-2</c:v>
                </c:pt>
                <c:pt idx="310">
                  <c:v>3.0048113624651089E-2</c:v>
                </c:pt>
                <c:pt idx="311">
                  <c:v>3.061138620457772E-2</c:v>
                </c:pt>
                <c:pt idx="312">
                  <c:v>3.1171373154839803E-2</c:v>
                </c:pt>
                <c:pt idx="313">
                  <c:v>3.1728029118826606E-2</c:v>
                </c:pt>
                <c:pt idx="314">
                  <c:v>3.2281306912530262E-2</c:v>
                </c:pt>
                <c:pt idx="315">
                  <c:v>3.2831157557448844E-2</c:v>
                </c:pt>
                <c:pt idx="316">
                  <c:v>3.3377530312998033E-2</c:v>
                </c:pt>
                <c:pt idx="317">
                  <c:v>3.3890477758688448E-2</c:v>
                </c:pt>
                <c:pt idx="318">
                  <c:v>3.4356341776083023E-2</c:v>
                </c:pt>
                <c:pt idx="319">
                  <c:v>3.4775019714257289E-2</c:v>
                </c:pt>
                <c:pt idx="320">
                  <c:v>3.5146411139879208E-2</c:v>
                </c:pt>
                <c:pt idx="321">
                  <c:v>3.5470418267591966E-2</c:v>
                </c:pt>
                <c:pt idx="322">
                  <c:v>3.5746946390554202E-2</c:v>
                </c:pt>
                <c:pt idx="323">
                  <c:v>3.5962248720204565E-2</c:v>
                </c:pt>
                <c:pt idx="324">
                  <c:v>3.6133401018220129E-2</c:v>
                </c:pt>
                <c:pt idx="325">
                  <c:v>3.6260321877837759E-2</c:v>
                </c:pt>
                <c:pt idx="326">
                  <c:v>3.6342708268012093E-2</c:v>
                </c:pt>
                <c:pt idx="327">
                  <c:v>3.6380411976473501E-2</c:v>
                </c:pt>
                <c:pt idx="328">
                  <c:v>3.6373478249920557E-2</c:v>
                </c:pt>
                <c:pt idx="329">
                  <c:v>3.6321959493551131E-2</c:v>
                </c:pt>
                <c:pt idx="330">
                  <c:v>3.6225914362128228E-2</c:v>
                </c:pt>
                <c:pt idx="331">
                  <c:v>3.6087437934949819E-2</c:v>
                </c:pt>
                <c:pt idx="332">
                  <c:v>3.5936607258753736E-2</c:v>
                </c:pt>
                <c:pt idx="333">
                  <c:v>3.5773501987765348E-2</c:v>
                </c:pt>
                <c:pt idx="334">
                  <c:v>3.5598201607025128E-2</c:v>
                </c:pt>
                <c:pt idx="335">
                  <c:v>3.5410785190430831E-2</c:v>
                </c:pt>
                <c:pt idx="336">
                  <c:v>3.5211331158307019E-2</c:v>
                </c:pt>
                <c:pt idx="337">
                  <c:v>3.500629712283327E-2</c:v>
                </c:pt>
                <c:pt idx="338">
                  <c:v>3.4809443181215552E-2</c:v>
                </c:pt>
                <c:pt idx="339">
                  <c:v>3.4620845761441449E-2</c:v>
                </c:pt>
                <c:pt idx="340">
                  <c:v>3.4440579470170332E-2</c:v>
                </c:pt>
                <c:pt idx="341">
                  <c:v>3.4268717267780302E-2</c:v>
                </c:pt>
                <c:pt idx="342">
                  <c:v>3.4105330643383835E-2</c:v>
                </c:pt>
                <c:pt idx="343">
                  <c:v>3.3950489789431035E-2</c:v>
                </c:pt>
                <c:pt idx="344">
                  <c:v>3.380426377685207E-2</c:v>
                </c:pt>
                <c:pt idx="345">
                  <c:v>3.3666720729838041E-2</c:v>
                </c:pt>
                <c:pt idx="346">
                  <c:v>3.35426110464387E-2</c:v>
                </c:pt>
                <c:pt idx="347">
                  <c:v>3.3432002415252828E-2</c:v>
                </c:pt>
                <c:pt idx="348">
                  <c:v>3.3334962511581967E-2</c:v>
                </c:pt>
                <c:pt idx="349">
                  <c:v>3.325155926940486E-2</c:v>
                </c:pt>
                <c:pt idx="350">
                  <c:v>3.3181861154133449E-2</c:v>
                </c:pt>
                <c:pt idx="351">
                  <c:v>3.3132656260433234E-2</c:v>
                </c:pt>
                <c:pt idx="352">
                  <c:v>3.3097632037551131E-2</c:v>
                </c:pt>
                <c:pt idx="353">
                  <c:v>3.3076860864393424E-2</c:v>
                </c:pt>
                <c:pt idx="354">
                  <c:v>3.3070416850640084E-2</c:v>
                </c:pt>
                <c:pt idx="355">
                  <c:v>3.3078376114278163E-2</c:v>
                </c:pt>
                <c:pt idx="356">
                  <c:v>3.3100839935389946E-2</c:v>
                </c:pt>
                <c:pt idx="357">
                  <c:v>3.3137815519854383E-2</c:v>
                </c:pt>
                <c:pt idx="358">
                  <c:v>3.3189232693722703E-2</c:v>
                </c:pt>
                <c:pt idx="359">
                  <c:v>3.3255023286108146E-2</c:v>
                </c:pt>
                <c:pt idx="360">
                  <c:v>3.3341521535178401E-2</c:v>
                </c:pt>
                <c:pt idx="361">
                  <c:v>3.3441931987205652E-2</c:v>
                </c:pt>
                <c:pt idx="362">
                  <c:v>3.3556190350834778E-2</c:v>
                </c:pt>
                <c:pt idx="363">
                  <c:v>3.3684232860721558E-2</c:v>
                </c:pt>
                <c:pt idx="364">
                  <c:v>3.3825995941925938E-2</c:v>
                </c:pt>
                <c:pt idx="365">
                  <c:v>3.3981415873899169E-2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3.9520827700564511E-2</c:v>
                </c:pt>
                <c:pt idx="1">
                  <c:v>3.972923108173642E-2</c:v>
                </c:pt>
                <c:pt idx="2">
                  <c:v>3.9954993562792016E-2</c:v>
                </c:pt>
                <c:pt idx="3">
                  <c:v>4.0198040634044752E-2</c:v>
                </c:pt>
                <c:pt idx="4">
                  <c:v>4.0458295940173014E-2</c:v>
                </c:pt>
                <c:pt idx="5">
                  <c:v>4.073568084795947E-2</c:v>
                </c:pt>
                <c:pt idx="6">
                  <c:v>4.1030114014550673E-2</c:v>
                </c:pt>
                <c:pt idx="7">
                  <c:v>4.1341510954804796E-2</c:v>
                </c:pt>
                <c:pt idx="8">
                  <c:v>4.1669783609201066E-2</c:v>
                </c:pt>
                <c:pt idx="9">
                  <c:v>4.2005760168534079E-2</c:v>
                </c:pt>
                <c:pt idx="10">
                  <c:v>4.2342348408848006E-2</c:v>
                </c:pt>
                <c:pt idx="11">
                  <c:v>4.2679427402523992E-2</c:v>
                </c:pt>
                <c:pt idx="12">
                  <c:v>4.301687288501805E-2</c:v>
                </c:pt>
                <c:pt idx="13">
                  <c:v>4.3354557231150816E-2</c:v>
                </c:pt>
                <c:pt idx="14">
                  <c:v>4.3692349430653032E-2</c:v>
                </c:pt>
                <c:pt idx="15">
                  <c:v>4.39914341273073E-2</c:v>
                </c:pt>
                <c:pt idx="16">
                  <c:v>4.4241598511081004E-2</c:v>
                </c:pt>
                <c:pt idx="17">
                  <c:v>4.4442667003884946E-2</c:v>
                </c:pt>
                <c:pt idx="18">
                  <c:v>4.4594471059839831E-2</c:v>
                </c:pt>
                <c:pt idx="19">
                  <c:v>4.4697099692508471E-2</c:v>
                </c:pt>
                <c:pt idx="20">
                  <c:v>4.4750765319786168E-2</c:v>
                </c:pt>
                <c:pt idx="21">
                  <c:v>4.475549626758743E-2</c:v>
                </c:pt>
                <c:pt idx="22">
                  <c:v>4.4711328069587143E-2</c:v>
                </c:pt>
                <c:pt idx="23">
                  <c:v>4.4581020881841044E-2</c:v>
                </c:pt>
                <c:pt idx="24">
                  <c:v>4.4373729198770362E-2</c:v>
                </c:pt>
                <c:pt idx="25">
                  <c:v>4.4089504017646892E-2</c:v>
                </c:pt>
                <c:pt idx="26">
                  <c:v>4.372840408283378E-2</c:v>
                </c:pt>
                <c:pt idx="27">
                  <c:v>4.3290494934803185E-2</c:v>
                </c:pt>
                <c:pt idx="28">
                  <c:v>4.2775847960102996E-2</c:v>
                </c:pt>
                <c:pt idx="29">
                  <c:v>4.2184135834105858E-2</c:v>
                </c:pt>
                <c:pt idx="30">
                  <c:v>4.1554184035007012E-2</c:v>
                </c:pt>
                <c:pt idx="31">
                  <c:v>4.0886071709643201E-2</c:v>
                </c:pt>
                <c:pt idx="32">
                  <c:v>4.0179877525944992E-2</c:v>
                </c:pt>
                <c:pt idx="33">
                  <c:v>3.9435679201652855E-2</c:v>
                </c:pt>
                <c:pt idx="34">
                  <c:v>3.8653553033218539E-2</c:v>
                </c:pt>
                <c:pt idx="35">
                  <c:v>3.7833573424664563E-2</c:v>
                </c:pt>
                <c:pt idx="36">
                  <c:v>3.697581241635909E-2</c:v>
                </c:pt>
                <c:pt idx="37">
                  <c:v>3.6119062786658787E-2</c:v>
                </c:pt>
                <c:pt idx="38">
                  <c:v>3.5300649071043501E-2</c:v>
                </c:pt>
                <c:pt idx="39">
                  <c:v>3.4520613019070757E-2</c:v>
                </c:pt>
                <c:pt idx="40">
                  <c:v>3.3778991889536841E-2</c:v>
                </c:pt>
                <c:pt idx="41">
                  <c:v>3.3075818929957992E-2</c:v>
                </c:pt>
                <c:pt idx="42">
                  <c:v>3.2411123855801166E-2</c:v>
                </c:pt>
                <c:pt idx="43">
                  <c:v>3.1807556527884778E-2</c:v>
                </c:pt>
                <c:pt idx="44">
                  <c:v>3.1265538745739306E-2</c:v>
                </c:pt>
                <c:pt idx="45">
                  <c:v>3.0785087665832163E-2</c:v>
                </c:pt>
                <c:pt idx="46">
                  <c:v>3.0366219847918891E-2</c:v>
                </c:pt>
                <c:pt idx="47">
                  <c:v>3.0008952022682826E-2</c:v>
                </c:pt>
                <c:pt idx="48">
                  <c:v>2.9713301858969858E-2</c:v>
                </c:pt>
                <c:pt idx="49">
                  <c:v>2.9479288731301331E-2</c:v>
                </c:pt>
                <c:pt idx="50">
                  <c:v>2.9306934487202247E-2</c:v>
                </c:pt>
                <c:pt idx="51">
                  <c:v>2.9193085181179849E-2</c:v>
                </c:pt>
                <c:pt idx="52">
                  <c:v>2.9098923310775779E-2</c:v>
                </c:pt>
                <c:pt idx="53">
                  <c:v>2.9024291363413581E-2</c:v>
                </c:pt>
                <c:pt idx="54">
                  <c:v>2.8969177584406074E-2</c:v>
                </c:pt>
                <c:pt idx="55">
                  <c:v>2.8933570649857337E-2</c:v>
                </c:pt>
                <c:pt idx="56">
                  <c:v>2.891745959475267E-2</c:v>
                </c:pt>
                <c:pt idx="57">
                  <c:v>2.8924855871268924E-2</c:v>
                </c:pt>
                <c:pt idx="58">
                  <c:v>2.8933135632483713E-2</c:v>
                </c:pt>
                <c:pt idx="59">
                  <c:v>2.894228821834181E-2</c:v>
                </c:pt>
                <c:pt idx="60">
                  <c:v>2.8952302961312088E-2</c:v>
                </c:pt>
                <c:pt idx="61">
                  <c:v>2.8963169183278223E-2</c:v>
                </c:pt>
                <c:pt idx="62">
                  <c:v>2.8974876192385979E-2</c:v>
                </c:pt>
                <c:pt idx="63">
                  <c:v>2.8987413279977416E-2</c:v>
                </c:pt>
                <c:pt idx="64">
                  <c:v>2.9000769717409541E-2</c:v>
                </c:pt>
                <c:pt idx="65">
                  <c:v>2.9022400552174841E-2</c:v>
                </c:pt>
                <c:pt idx="66">
                  <c:v>2.9055474246720971E-2</c:v>
                </c:pt>
                <c:pt idx="67">
                  <c:v>2.9099979988317523E-2</c:v>
                </c:pt>
                <c:pt idx="68">
                  <c:v>2.9155906773479266E-2</c:v>
                </c:pt>
                <c:pt idx="69">
                  <c:v>2.9223243365373592E-2</c:v>
                </c:pt>
                <c:pt idx="70">
                  <c:v>2.9301978251363756E-2</c:v>
                </c:pt>
                <c:pt idx="71">
                  <c:v>2.9373494699910772E-2</c:v>
                </c:pt>
                <c:pt idx="72">
                  <c:v>2.943375909848589E-2</c:v>
                </c:pt>
                <c:pt idx="73">
                  <c:v>2.9482760319750095E-2</c:v>
                </c:pt>
                <c:pt idx="74">
                  <c:v>2.9520487432601945E-2</c:v>
                </c:pt>
                <c:pt idx="75">
                  <c:v>2.9546929743431441E-2</c:v>
                </c:pt>
                <c:pt idx="76">
                  <c:v>2.9562076837282149E-2</c:v>
                </c:pt>
                <c:pt idx="77">
                  <c:v>2.9565918619109358E-2</c:v>
                </c:pt>
                <c:pt idx="78">
                  <c:v>2.9558446336310256E-2</c:v>
                </c:pt>
                <c:pt idx="79">
                  <c:v>2.9508534208741485E-2</c:v>
                </c:pt>
                <c:pt idx="80">
                  <c:v>2.9408794564756265E-2</c:v>
                </c:pt>
                <c:pt idx="81">
                  <c:v>2.9259225070908515E-2</c:v>
                </c:pt>
                <c:pt idx="82">
                  <c:v>2.9059823663755837E-2</c:v>
                </c:pt>
                <c:pt idx="83">
                  <c:v>2.8810588709467781E-2</c:v>
                </c:pt>
                <c:pt idx="84">
                  <c:v>2.851151916353066E-2</c:v>
                </c:pt>
                <c:pt idx="85">
                  <c:v>2.8165602886787593E-2</c:v>
                </c:pt>
                <c:pt idx="86">
                  <c:v>2.779143386891544E-2</c:v>
                </c:pt>
                <c:pt idx="87">
                  <c:v>2.7389010121624972E-2</c:v>
                </c:pt>
                <c:pt idx="88">
                  <c:v>2.6958330541575069E-2</c:v>
                </c:pt>
                <c:pt idx="89">
                  <c:v>2.6499395000860602E-2</c:v>
                </c:pt>
                <c:pt idx="90">
                  <c:v>2.6012204437444827E-2</c:v>
                </c:pt>
                <c:pt idx="91">
                  <c:v>2.5496760945693489E-2</c:v>
                </c:pt>
                <c:pt idx="92">
                  <c:v>2.4953067866835647E-2</c:v>
                </c:pt>
                <c:pt idx="93">
                  <c:v>2.4378676234351904E-2</c:v>
                </c:pt>
                <c:pt idx="94">
                  <c:v>2.380479743780704E-2</c:v>
                </c:pt>
                <c:pt idx="95">
                  <c:v>2.3231431692422734E-2</c:v>
                </c:pt>
                <c:pt idx="96">
                  <c:v>2.2658579930895817E-2</c:v>
                </c:pt>
                <c:pt idx="97">
                  <c:v>2.2086243801824199E-2</c:v>
                </c:pt>
                <c:pt idx="98">
                  <c:v>2.1514425667921944E-2</c:v>
                </c:pt>
                <c:pt idx="99">
                  <c:v>2.0940147885336248E-2</c:v>
                </c:pt>
                <c:pt idx="100">
                  <c:v>2.0360430695621688E-2</c:v>
                </c:pt>
                <c:pt idx="101">
                  <c:v>1.9775280843018068E-2</c:v>
                </c:pt>
                <c:pt idx="102">
                  <c:v>1.9184706037502119E-2</c:v>
                </c:pt>
                <c:pt idx="103">
                  <c:v>1.8588714972018822E-2</c:v>
                </c:pt>
                <c:pt idx="104">
                  <c:v>1.7987317340169125E-2</c:v>
                </c:pt>
                <c:pt idx="105">
                  <c:v>1.7380523853474092E-2</c:v>
                </c:pt>
                <c:pt idx="106">
                  <c:v>1.6768346258870259E-2</c:v>
                </c:pt>
                <c:pt idx="107">
                  <c:v>1.6193212601195033E-2</c:v>
                </c:pt>
                <c:pt idx="108">
                  <c:v>1.5657563008370543E-2</c:v>
                </c:pt>
                <c:pt idx="109">
                  <c:v>1.5161385891098424E-2</c:v>
                </c:pt>
                <c:pt idx="110">
                  <c:v>1.4704709982146113E-2</c:v>
                </c:pt>
                <c:pt idx="111">
                  <c:v>1.4287558589906432E-2</c:v>
                </c:pt>
                <c:pt idx="112">
                  <c:v>1.3909910356911352E-2</c:v>
                </c:pt>
                <c:pt idx="113">
                  <c:v>1.3615810651905107E-2</c:v>
                </c:pt>
                <c:pt idx="114">
                  <c:v>1.3408181556336824E-2</c:v>
                </c:pt>
                <c:pt idx="115">
                  <c:v>1.3286967747221554E-2</c:v>
                </c:pt>
                <c:pt idx="116">
                  <c:v>1.3252111383375727E-2</c:v>
                </c:pt>
                <c:pt idx="117">
                  <c:v>1.3303551916536788E-2</c:v>
                </c:pt>
                <c:pt idx="118">
                  <c:v>1.3441225902346579E-2</c:v>
                </c:pt>
                <c:pt idx="119">
                  <c:v>1.3665066811373215E-2</c:v>
                </c:pt>
                <c:pt idx="120">
                  <c:v>1.3975004840110264E-2</c:v>
                </c:pt>
                <c:pt idx="121">
                  <c:v>1.4385772751645419E-2</c:v>
                </c:pt>
                <c:pt idx="122">
                  <c:v>1.485500670451907E-2</c:v>
                </c:pt>
                <c:pt idx="123">
                  <c:v>1.538264775239835E-2</c:v>
                </c:pt>
                <c:pt idx="124">
                  <c:v>1.5968634078116647E-2</c:v>
                </c:pt>
                <c:pt idx="125">
                  <c:v>1.6612900865014425E-2</c:v>
                </c:pt>
                <c:pt idx="126">
                  <c:v>1.7315380168068859E-2</c:v>
                </c:pt>
                <c:pt idx="127">
                  <c:v>1.8076152220121482E-2</c:v>
                </c:pt>
                <c:pt idx="128">
                  <c:v>1.8851244277888955E-2</c:v>
                </c:pt>
                <c:pt idx="129">
                  <c:v>1.9640619558079702E-2</c:v>
                </c:pt>
                <c:pt idx="130">
                  <c:v>2.0444239849332007E-2</c:v>
                </c:pt>
                <c:pt idx="131">
                  <c:v>2.1262065479258598E-2</c:v>
                </c:pt>
                <c:pt idx="132">
                  <c:v>2.2094055281653466E-2</c:v>
                </c:pt>
                <c:pt idx="133">
                  <c:v>2.2940166563837554E-2</c:v>
                </c:pt>
                <c:pt idx="134">
                  <c:v>2.3800355073908569E-2</c:v>
                </c:pt>
                <c:pt idx="135">
                  <c:v>2.4671849131513313E-2</c:v>
                </c:pt>
                <c:pt idx="136">
                  <c:v>2.5539868585945355E-2</c:v>
                </c:pt>
                <c:pt idx="137">
                  <c:v>2.6404384801266174E-2</c:v>
                </c:pt>
                <c:pt idx="138">
                  <c:v>2.7265368524525949E-2</c:v>
                </c:pt>
                <c:pt idx="139">
                  <c:v>2.8122789892085696E-2</c:v>
                </c:pt>
                <c:pt idx="140">
                  <c:v>2.8976618434434394E-2</c:v>
                </c:pt>
                <c:pt idx="141">
                  <c:v>2.9817267383921264E-2</c:v>
                </c:pt>
                <c:pt idx="142">
                  <c:v>3.0644398508343194E-2</c:v>
                </c:pt>
                <c:pt idx="143">
                  <c:v>3.1457839020931376E-2</c:v>
                </c:pt>
                <c:pt idx="144">
                  <c:v>3.2257596664027055E-2</c:v>
                </c:pt>
                <c:pt idx="145">
                  <c:v>3.30436850696555E-2</c:v>
                </c:pt>
                <c:pt idx="146">
                  <c:v>3.3816123594114914E-2</c:v>
                </c:pt>
                <c:pt idx="147">
                  <c:v>3.4574937153656643E-2</c:v>
                </c:pt>
                <c:pt idx="148">
                  <c:v>3.5320156059395286E-2</c:v>
                </c:pt>
                <c:pt idx="149">
                  <c:v>3.6039185079235647E-2</c:v>
                </c:pt>
                <c:pt idx="150">
                  <c:v>3.6734793405633265E-2</c:v>
                </c:pt>
                <c:pt idx="151">
                  <c:v>3.7407044666477672E-2</c:v>
                </c:pt>
                <c:pt idx="152">
                  <c:v>3.8056007708347689E-2</c:v>
                </c:pt>
                <c:pt idx="153">
                  <c:v>3.8681756297667583E-2</c:v>
                </c:pt>
                <c:pt idx="154">
                  <c:v>3.9284368822064361E-2</c:v>
                </c:pt>
                <c:pt idx="155">
                  <c:v>3.9847589553006574E-2</c:v>
                </c:pt>
                <c:pt idx="156">
                  <c:v>4.0381011869917036E-2</c:v>
                </c:pt>
                <c:pt idx="157">
                  <c:v>4.0884739374373043E-2</c:v>
                </c:pt>
                <c:pt idx="158">
                  <c:v>4.1358879054294626E-2</c:v>
                </c:pt>
                <c:pt idx="159">
                  <c:v>4.1803540892215739E-2</c:v>
                </c:pt>
                <c:pt idx="160">
                  <c:v>4.2218837474061889E-2</c:v>
                </c:pt>
                <c:pt idx="161">
                  <c:v>4.2604883597462652E-2</c:v>
                </c:pt>
                <c:pt idx="162">
                  <c:v>4.2961795880284655E-2</c:v>
                </c:pt>
                <c:pt idx="163">
                  <c:v>4.3272552515056489E-2</c:v>
                </c:pt>
                <c:pt idx="164">
                  <c:v>4.3549817935482814E-2</c:v>
                </c:pt>
                <c:pt idx="165">
                  <c:v>4.3793719858120063E-2</c:v>
                </c:pt>
                <c:pt idx="166">
                  <c:v>4.4004385891832531E-2</c:v>
                </c:pt>
                <c:pt idx="167">
                  <c:v>4.4181943082758822E-2</c:v>
                </c:pt>
                <c:pt idx="168">
                  <c:v>4.4326517460677076E-2</c:v>
                </c:pt>
                <c:pt idx="169">
                  <c:v>4.4421154444142859E-2</c:v>
                </c:pt>
                <c:pt idx="170">
                  <c:v>4.4482194386599387E-2</c:v>
                </c:pt>
                <c:pt idx="171">
                  <c:v>4.4509758094860116E-2</c:v>
                </c:pt>
                <c:pt idx="172">
                  <c:v>4.4503963353826038E-2</c:v>
                </c:pt>
                <c:pt idx="173">
                  <c:v>4.4464469760885555E-2</c:v>
                </c:pt>
                <c:pt idx="174">
                  <c:v>4.4390911887244353E-2</c:v>
                </c:pt>
                <c:pt idx="175">
                  <c:v>4.4283367382953881E-2</c:v>
                </c:pt>
                <c:pt idx="176">
                  <c:v>4.4141913673902348E-2</c:v>
                </c:pt>
                <c:pt idx="177">
                  <c:v>4.3950495723359372E-2</c:v>
                </c:pt>
                <c:pt idx="178">
                  <c:v>4.3726214657655166E-2</c:v>
                </c:pt>
                <c:pt idx="179">
                  <c:v>4.3469144589909511E-2</c:v>
                </c:pt>
                <c:pt idx="180">
                  <c:v>4.317935858925534E-2</c:v>
                </c:pt>
                <c:pt idx="181">
                  <c:v>4.2856928486044485E-2</c:v>
                </c:pt>
                <c:pt idx="182">
                  <c:v>4.2501924677434896E-2</c:v>
                </c:pt>
                <c:pt idx="183">
                  <c:v>4.21020268418104E-2</c:v>
                </c:pt>
                <c:pt idx="184">
                  <c:v>4.167427032920009E-2</c:v>
                </c:pt>
                <c:pt idx="185">
                  <c:v>4.121871337395358E-2</c:v>
                </c:pt>
                <c:pt idx="186">
                  <c:v>4.0735412155877455E-2</c:v>
                </c:pt>
                <c:pt idx="187">
                  <c:v>4.022442063277875E-2</c:v>
                </c:pt>
                <c:pt idx="188">
                  <c:v>3.9685790373225775E-2</c:v>
                </c:pt>
                <c:pt idx="189">
                  <c:v>3.9119570388080477E-2</c:v>
                </c:pt>
                <c:pt idx="190">
                  <c:v>3.8525806963743414E-2</c:v>
                </c:pt>
                <c:pt idx="191">
                  <c:v>3.7895242970044291E-2</c:v>
                </c:pt>
                <c:pt idx="192">
                  <c:v>3.7243949848840913E-2</c:v>
                </c:pt>
                <c:pt idx="193">
                  <c:v>3.6571956284737035E-2</c:v>
                </c:pt>
                <c:pt idx="194">
                  <c:v>3.5879288010409516E-2</c:v>
                </c:pt>
                <c:pt idx="195">
                  <c:v>3.5165967679536954E-2</c:v>
                </c:pt>
                <c:pt idx="196">
                  <c:v>3.4432014738305608E-2</c:v>
                </c:pt>
                <c:pt idx="197">
                  <c:v>3.3674804796627794E-2</c:v>
                </c:pt>
                <c:pt idx="198">
                  <c:v>3.2906664878297978E-2</c:v>
                </c:pt>
                <c:pt idx="199">
                  <c:v>3.212759449661471E-2</c:v>
                </c:pt>
                <c:pt idx="200">
                  <c:v>3.1337590318135544E-2</c:v>
                </c:pt>
                <c:pt idx="201">
                  <c:v>3.0536646091763493E-2</c:v>
                </c:pt>
                <c:pt idx="202">
                  <c:v>2.9724752578049629E-2</c:v>
                </c:pt>
                <c:pt idx="203">
                  <c:v>2.8901897479157619E-2</c:v>
                </c:pt>
                <c:pt idx="204">
                  <c:v>2.8068020042584057E-2</c:v>
                </c:pt>
                <c:pt idx="205">
                  <c:v>2.7223191295722218E-2</c:v>
                </c:pt>
                <c:pt idx="206">
                  <c:v>2.6376631168214256E-2</c:v>
                </c:pt>
                <c:pt idx="207">
                  <c:v>2.5528298077601451E-2</c:v>
                </c:pt>
                <c:pt idx="208">
                  <c:v>2.4678151282087953E-2</c:v>
                </c:pt>
                <c:pt idx="209">
                  <c:v>2.3826150887936728E-2</c:v>
                </c:pt>
                <c:pt idx="210">
                  <c:v>2.2972257857700563E-2</c:v>
                </c:pt>
                <c:pt idx="211">
                  <c:v>2.2130665588520115E-2</c:v>
                </c:pt>
                <c:pt idx="212">
                  <c:v>2.1303962004389866E-2</c:v>
                </c:pt>
                <c:pt idx="213">
                  <c:v>2.0492104708125264E-2</c:v>
                </c:pt>
                <c:pt idx="214">
                  <c:v>1.9695053337045035E-2</c:v>
                </c:pt>
                <c:pt idx="215">
                  <c:v>1.8912769518404531E-2</c:v>
                </c:pt>
                <c:pt idx="216">
                  <c:v>1.8145216824747262E-2</c:v>
                </c:pt>
                <c:pt idx="217">
                  <c:v>1.739236072932436E-2</c:v>
                </c:pt>
                <c:pt idx="218">
                  <c:v>1.6654168561405096E-2</c:v>
                </c:pt>
                <c:pt idx="219">
                  <c:v>1.597285403844232E-2</c:v>
                </c:pt>
                <c:pt idx="220">
                  <c:v>1.534823554506516E-2</c:v>
                </c:pt>
                <c:pt idx="221">
                  <c:v>1.4780281256731047E-2</c:v>
                </c:pt>
                <c:pt idx="222">
                  <c:v>1.4268963257472352E-2</c:v>
                </c:pt>
                <c:pt idx="223">
                  <c:v>1.3814257364700072E-2</c:v>
                </c:pt>
                <c:pt idx="224">
                  <c:v>1.341614295362813E-2</c:v>
                </c:pt>
                <c:pt idx="225">
                  <c:v>1.3115208032330974E-2</c:v>
                </c:pt>
                <c:pt idx="226">
                  <c:v>1.2897220881994615E-2</c:v>
                </c:pt>
                <c:pt idx="227">
                  <c:v>1.2762171801558404E-2</c:v>
                </c:pt>
                <c:pt idx="228">
                  <c:v>1.2710055031996868E-2</c:v>
                </c:pt>
                <c:pt idx="229">
                  <c:v>1.2740868498682244E-2</c:v>
                </c:pt>
                <c:pt idx="230">
                  <c:v>1.2854613553951027E-2</c:v>
                </c:pt>
                <c:pt idx="231">
                  <c:v>1.3051294719712824E-2</c:v>
                </c:pt>
                <c:pt idx="232">
                  <c:v>1.3330919429784786E-2</c:v>
                </c:pt>
                <c:pt idx="233">
                  <c:v>1.3690646991180144E-2</c:v>
                </c:pt>
                <c:pt idx="234">
                  <c:v>1.4088243606129567E-2</c:v>
                </c:pt>
                <c:pt idx="235">
                  <c:v>1.4523728319042821E-2</c:v>
                </c:pt>
                <c:pt idx="236">
                  <c:v>1.4997127187142044E-2</c:v>
                </c:pt>
                <c:pt idx="237">
                  <c:v>1.5508459264850533E-2</c:v>
                </c:pt>
                <c:pt idx="238">
                  <c:v>1.6057745495528672E-2</c:v>
                </c:pt>
                <c:pt idx="239">
                  <c:v>1.6642662514907512E-2</c:v>
                </c:pt>
                <c:pt idx="240">
                  <c:v>1.7222602958001657E-2</c:v>
                </c:pt>
                <c:pt idx="241">
                  <c:v>1.7797581296725699E-2</c:v>
                </c:pt>
                <c:pt idx="242">
                  <c:v>1.8367612175110189E-2</c:v>
                </c:pt>
                <c:pt idx="243">
                  <c:v>1.893271040028565E-2</c:v>
                </c:pt>
                <c:pt idx="244">
                  <c:v>1.9492890933383827E-2</c:v>
                </c:pt>
                <c:pt idx="245">
                  <c:v>2.0048168880238668E-2</c:v>
                </c:pt>
                <c:pt idx="246">
                  <c:v>2.0598559482032663E-2</c:v>
                </c:pt>
                <c:pt idx="247">
                  <c:v>2.1146936688278793E-2</c:v>
                </c:pt>
                <c:pt idx="248">
                  <c:v>2.1696172303128952E-2</c:v>
                </c:pt>
                <c:pt idx="249">
                  <c:v>2.2246284791999055E-2</c:v>
                </c:pt>
                <c:pt idx="250">
                  <c:v>2.2797293032454553E-2</c:v>
                </c:pt>
                <c:pt idx="251">
                  <c:v>2.3349216315695653E-2</c:v>
                </c:pt>
                <c:pt idx="252">
                  <c:v>2.3902074347109017E-2</c:v>
                </c:pt>
                <c:pt idx="253">
                  <c:v>2.4425986143840742E-2</c:v>
                </c:pt>
                <c:pt idx="254">
                  <c:v>2.4923304840579318E-2</c:v>
                </c:pt>
                <c:pt idx="255">
                  <c:v>2.5394032307972568E-2</c:v>
                </c:pt>
                <c:pt idx="256">
                  <c:v>2.5838169137944646E-2</c:v>
                </c:pt>
                <c:pt idx="257">
                  <c:v>2.6255714595857044E-2</c:v>
                </c:pt>
                <c:pt idx="258">
                  <c:v>2.6646666572905098E-2</c:v>
                </c:pt>
                <c:pt idx="259">
                  <c:v>2.7011021538891258E-2</c:v>
                </c:pt>
                <c:pt idx="260">
                  <c:v>2.734877449419458E-2</c:v>
                </c:pt>
                <c:pt idx="261">
                  <c:v>2.7642076405475644E-2</c:v>
                </c:pt>
                <c:pt idx="262">
                  <c:v>2.7888035347499174E-2</c:v>
                </c:pt>
                <c:pt idx="263">
                  <c:v>2.8086622039284928E-2</c:v>
                </c:pt>
                <c:pt idx="264">
                  <c:v>2.8237805451380629E-2</c:v>
                </c:pt>
                <c:pt idx="265">
                  <c:v>2.8341703254984182E-2</c:v>
                </c:pt>
                <c:pt idx="266">
                  <c:v>2.8398356355374799E-2</c:v>
                </c:pt>
                <c:pt idx="267">
                  <c:v>2.8414859356447757E-2</c:v>
                </c:pt>
                <c:pt idx="268">
                  <c:v>2.8421166806400715E-2</c:v>
                </c:pt>
                <c:pt idx="269">
                  <c:v>2.84172346247791E-2</c:v>
                </c:pt>
                <c:pt idx="270">
                  <c:v>2.840301769876594E-2</c:v>
                </c:pt>
                <c:pt idx="271">
                  <c:v>2.83784700005189E-2</c:v>
                </c:pt>
                <c:pt idx="272">
                  <c:v>2.8343544705292829E-2</c:v>
                </c:pt>
                <c:pt idx="273">
                  <c:v>2.8298194309203755E-2</c:v>
                </c:pt>
                <c:pt idx="274">
                  <c:v>2.824237074736444E-2</c:v>
                </c:pt>
                <c:pt idx="275">
                  <c:v>2.8179904235199123E-2</c:v>
                </c:pt>
                <c:pt idx="276">
                  <c:v>2.8128701463899761E-2</c:v>
                </c:pt>
                <c:pt idx="277">
                  <c:v>2.8088746219790343E-2</c:v>
                </c:pt>
                <c:pt idx="278">
                  <c:v>2.8060023077975012E-2</c:v>
                </c:pt>
                <c:pt idx="279">
                  <c:v>2.8042517280619746E-2</c:v>
                </c:pt>
                <c:pt idx="280">
                  <c:v>2.8036214615498576E-2</c:v>
                </c:pt>
                <c:pt idx="281">
                  <c:v>2.8038026288974924E-2</c:v>
                </c:pt>
                <c:pt idx="282">
                  <c:v>2.8040709029795767E-2</c:v>
                </c:pt>
                <c:pt idx="283">
                  <c:v>2.8044233364048814E-2</c:v>
                </c:pt>
                <c:pt idx="284">
                  <c:v>2.8048569874885305E-2</c:v>
                </c:pt>
                <c:pt idx="285">
                  <c:v>2.8053689193503508E-2</c:v>
                </c:pt>
                <c:pt idx="286">
                  <c:v>2.8059561990400148E-2</c:v>
                </c:pt>
                <c:pt idx="287">
                  <c:v>2.8066158966343933E-2</c:v>
                </c:pt>
                <c:pt idx="288">
                  <c:v>2.8073450843455933E-2</c:v>
                </c:pt>
                <c:pt idx="289">
                  <c:v>2.8103372701669342E-2</c:v>
                </c:pt>
                <c:pt idx="290">
                  <c:v>2.8152019556588581E-2</c:v>
                </c:pt>
                <c:pt idx="291">
                  <c:v>2.8219388326165509E-2</c:v>
                </c:pt>
                <c:pt idx="292">
                  <c:v>2.8305474900302385E-2</c:v>
                </c:pt>
                <c:pt idx="293">
                  <c:v>2.841027393519914E-2</c:v>
                </c:pt>
                <c:pt idx="294">
                  <c:v>2.8533778647591976E-2</c:v>
                </c:pt>
                <c:pt idx="295">
                  <c:v>2.8713667357099033E-2</c:v>
                </c:pt>
                <c:pt idx="296">
                  <c:v>2.8953427928830138E-2</c:v>
                </c:pt>
                <c:pt idx="297">
                  <c:v>2.9253355349479784E-2</c:v>
                </c:pt>
                <c:pt idx="298">
                  <c:v>2.9613509956678934E-2</c:v>
                </c:pt>
                <c:pt idx="299">
                  <c:v>3.0033953013087582E-2</c:v>
                </c:pt>
                <c:pt idx="300">
                  <c:v>3.0514746154635661E-2</c:v>
                </c:pt>
                <c:pt idx="301">
                  <c:v>3.1055950838674393E-2</c:v>
                </c:pt>
                <c:pt idx="302">
                  <c:v>3.1657627792195005E-2</c:v>
                </c:pt>
                <c:pt idx="303">
                  <c:v>3.2319442403043658E-2</c:v>
                </c:pt>
                <c:pt idx="304">
                  <c:v>3.3019331526079762E-2</c:v>
                </c:pt>
                <c:pt idx="305">
                  <c:v>3.3757318249719136E-2</c:v>
                </c:pt>
                <c:pt idx="306">
                  <c:v>3.4533422934387589E-2</c:v>
                </c:pt>
                <c:pt idx="307">
                  <c:v>3.5347662867968324E-2</c:v>
                </c:pt>
                <c:pt idx="308">
                  <c:v>3.6200051920955073E-2</c:v>
                </c:pt>
                <c:pt idx="309">
                  <c:v>3.7054090418913881E-2</c:v>
                </c:pt>
                <c:pt idx="310">
                  <c:v>3.7871785015705012E-2</c:v>
                </c:pt>
                <c:pt idx="311">
                  <c:v>3.8653037060280351E-2</c:v>
                </c:pt>
                <c:pt idx="312">
                  <c:v>3.9397746386923692E-2</c:v>
                </c:pt>
                <c:pt idx="313">
                  <c:v>4.0105811654230938E-2</c:v>
                </c:pt>
                <c:pt idx="314">
                  <c:v>4.0777130683735771E-2</c:v>
                </c:pt>
                <c:pt idx="315">
                  <c:v>4.1411600799036129E-2</c:v>
                </c:pt>
                <c:pt idx="316">
                  <c:v>4.200911916429953E-2</c:v>
                </c:pt>
                <c:pt idx="317">
                  <c:v>4.2531516108871528E-2</c:v>
                </c:pt>
                <c:pt idx="318">
                  <c:v>4.2979042579383259E-2</c:v>
                </c:pt>
                <c:pt idx="319">
                  <c:v>4.3351557200950665E-2</c:v>
                </c:pt>
                <c:pt idx="320">
                  <c:v>4.3648923175351011E-2</c:v>
                </c:pt>
                <c:pt idx="321">
                  <c:v>4.3871008964622787E-2</c:v>
                </c:pt>
                <c:pt idx="322">
                  <c:v>4.4017688974857277E-2</c:v>
                </c:pt>
                <c:pt idx="323">
                  <c:v>4.4079869601589258E-2</c:v>
                </c:pt>
                <c:pt idx="324">
                  <c:v>4.4094153226933337E-2</c:v>
                </c:pt>
                <c:pt idx="325">
                  <c:v>4.406045642873254E-2</c:v>
                </c:pt>
                <c:pt idx="326">
                  <c:v>4.3978427692787127E-2</c:v>
                </c:pt>
                <c:pt idx="327">
                  <c:v>4.3847906544437973E-2</c:v>
                </c:pt>
                <c:pt idx="328">
                  <c:v>4.366896602749952E-2</c:v>
                </c:pt>
                <c:pt idx="329">
                  <c:v>4.3441685485987071E-2</c:v>
                </c:pt>
                <c:pt idx="330">
                  <c:v>4.3166149582036399E-2</c:v>
                </c:pt>
                <c:pt idx="331">
                  <c:v>4.2852362527448652E-2</c:v>
                </c:pt>
                <c:pt idx="332">
                  <c:v>4.2538630581422925E-2</c:v>
                </c:pt>
                <c:pt idx="333">
                  <c:v>4.2225059697172843E-2</c:v>
                </c:pt>
                <c:pt idx="334">
                  <c:v>4.1911753094010268E-2</c:v>
                </c:pt>
                <c:pt idx="335">
                  <c:v>4.1598811276963923E-2</c:v>
                </c:pt>
                <c:pt idx="336">
                  <c:v>4.1286332055838877E-2</c:v>
                </c:pt>
                <c:pt idx="337">
                  <c:v>4.0981324407919233E-2</c:v>
                </c:pt>
                <c:pt idx="338">
                  <c:v>4.0692874166918386E-2</c:v>
                </c:pt>
                <c:pt idx="339">
                  <c:v>4.0421072276785777E-2</c:v>
                </c:pt>
                <c:pt idx="340">
                  <c:v>4.0166006921169062E-2</c:v>
                </c:pt>
                <c:pt idx="341">
                  <c:v>3.9927763873579471E-2</c:v>
                </c:pt>
                <c:pt idx="342">
                  <c:v>3.9706426847519627E-2</c:v>
                </c:pt>
                <c:pt idx="343">
                  <c:v>3.9502077846131141E-2</c:v>
                </c:pt>
                <c:pt idx="344">
                  <c:v>3.9314797512470738E-2</c:v>
                </c:pt>
                <c:pt idx="345">
                  <c:v>3.9144665479364925E-2</c:v>
                </c:pt>
                <c:pt idx="346">
                  <c:v>3.899052955155493E-2</c:v>
                </c:pt>
                <c:pt idx="347">
                  <c:v>3.8852468146192261E-2</c:v>
                </c:pt>
                <c:pt idx="348">
                  <c:v>3.8730559613043988E-2</c:v>
                </c:pt>
                <c:pt idx="349">
                  <c:v>3.8624882558577732E-2</c:v>
                </c:pt>
                <c:pt idx="350">
                  <c:v>3.8535516170954534E-2</c:v>
                </c:pt>
                <c:pt idx="351">
                  <c:v>3.8471235517232555E-2</c:v>
                </c:pt>
                <c:pt idx="352">
                  <c:v>3.8425205713621374E-2</c:v>
                </c:pt>
                <c:pt idx="353">
                  <c:v>3.8397511272131098E-2</c:v>
                </c:pt>
                <c:pt idx="354">
                  <c:v>3.8388238944499144E-2</c:v>
                </c:pt>
                <c:pt idx="355">
                  <c:v>3.839747808157265E-2</c:v>
                </c:pt>
                <c:pt idx="356">
                  <c:v>3.8425347548755373E-2</c:v>
                </c:pt>
                <c:pt idx="357">
                  <c:v>3.8471857346343626E-2</c:v>
                </c:pt>
                <c:pt idx="358">
                  <c:v>3.8536927964970394E-2</c:v>
                </c:pt>
                <c:pt idx="359">
                  <c:v>3.8620482487542872E-2</c:v>
                </c:pt>
                <c:pt idx="360">
                  <c:v>3.872938237833215E-2</c:v>
                </c:pt>
                <c:pt idx="361">
                  <c:v>3.8854843168214623E-2</c:v>
                </c:pt>
                <c:pt idx="362">
                  <c:v>3.8996791173913074E-2</c:v>
                </c:pt>
                <c:pt idx="363">
                  <c:v>3.9155153275310245E-2</c:v>
                </c:pt>
                <c:pt idx="364">
                  <c:v>3.9329856515532863E-2</c:v>
                </c:pt>
                <c:pt idx="365">
                  <c:v>3.9520827700564511E-2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4.6119749434770992E-2</c:v>
                </c:pt>
                <c:pt idx="1">
                  <c:v>4.6349501298548604E-2</c:v>
                </c:pt>
                <c:pt idx="2">
                  <c:v>4.6601544014965975E-2</c:v>
                </c:pt>
                <c:pt idx="3">
                  <c:v>4.6875793446010075E-2</c:v>
                </c:pt>
                <c:pt idx="4">
                  <c:v>4.7172163448239005E-2</c:v>
                </c:pt>
                <c:pt idx="5">
                  <c:v>4.7490565316147031E-2</c:v>
                </c:pt>
                <c:pt idx="6">
                  <c:v>4.7830907226136248E-2</c:v>
                </c:pt>
                <c:pt idx="7">
                  <c:v>4.8193093679425002E-2</c:v>
                </c:pt>
                <c:pt idx="8">
                  <c:v>4.8577024945611252E-2</c:v>
                </c:pt>
                <c:pt idx="9">
                  <c:v>4.8977450290807661E-2</c:v>
                </c:pt>
                <c:pt idx="10">
                  <c:v>4.9385985735998415E-2</c:v>
                </c:pt>
                <c:pt idx="11">
                  <c:v>4.9802499068258829E-2</c:v>
                </c:pt>
                <c:pt idx="12">
                  <c:v>5.0226853233862903E-2</c:v>
                </c:pt>
                <c:pt idx="13">
                  <c:v>5.0658906122829764E-2</c:v>
                </c:pt>
                <c:pt idx="14">
                  <c:v>5.1098510352600289E-2</c:v>
                </c:pt>
                <c:pt idx="15">
                  <c:v>5.1508629107334482E-2</c:v>
                </c:pt>
                <c:pt idx="16">
                  <c:v>5.1875413314644993E-2</c:v>
                </c:pt>
                <c:pt idx="17">
                  <c:v>5.2198662619924591E-2</c:v>
                </c:pt>
                <c:pt idx="18">
                  <c:v>5.2478181405863154E-2</c:v>
                </c:pt>
                <c:pt idx="19">
                  <c:v>5.2714073891782613E-2</c:v>
                </c:pt>
                <c:pt idx="20">
                  <c:v>5.2906588761878072E-2</c:v>
                </c:pt>
                <c:pt idx="21">
                  <c:v>5.3055756897258416E-2</c:v>
                </c:pt>
                <c:pt idx="22">
                  <c:v>5.3161616237026074E-2</c:v>
                </c:pt>
                <c:pt idx="23">
                  <c:v>5.3181159137100205E-2</c:v>
                </c:pt>
                <c:pt idx="24">
                  <c:v>5.3119592352800026E-2</c:v>
                </c:pt>
                <c:pt idx="25">
                  <c:v>5.2976967963305636E-2</c:v>
                </c:pt>
                <c:pt idx="26">
                  <c:v>5.2753346980066958E-2</c:v>
                </c:pt>
                <c:pt idx="27">
                  <c:v>5.2448798346086192E-2</c:v>
                </c:pt>
                <c:pt idx="28">
                  <c:v>5.2063397936341856E-2</c:v>
                </c:pt>
                <c:pt idx="29">
                  <c:v>5.1576692996105726E-2</c:v>
                </c:pt>
                <c:pt idx="30">
                  <c:v>5.1025716946070401E-2</c:v>
                </c:pt>
                <c:pt idx="31">
                  <c:v>5.0410559457006503E-2</c:v>
                </c:pt>
                <c:pt idx="32">
                  <c:v>4.9731311949090244E-2</c:v>
                </c:pt>
                <c:pt idx="33">
                  <c:v>4.8988066796790491E-2</c:v>
                </c:pt>
                <c:pt idx="34">
                  <c:v>4.8180916533984645E-2</c:v>
                </c:pt>
                <c:pt idx="35">
                  <c:v>4.7309953059025245E-2</c:v>
                </c:pt>
                <c:pt idx="36">
                  <c:v>4.6375266839701598E-2</c:v>
                </c:pt>
                <c:pt idx="37">
                  <c:v>4.5404023796087371E-2</c:v>
                </c:pt>
                <c:pt idx="38">
                  <c:v>4.4439338851762641E-2</c:v>
                </c:pt>
                <c:pt idx="39">
                  <c:v>4.3481274672898342E-2</c:v>
                </c:pt>
                <c:pt idx="40">
                  <c:v>4.25298890481558E-2</c:v>
                </c:pt>
                <c:pt idx="41">
                  <c:v>4.1585234970905972E-2</c:v>
                </c:pt>
                <c:pt idx="42">
                  <c:v>4.0647360721133161E-2</c:v>
                </c:pt>
                <c:pt idx="43">
                  <c:v>3.9756166661840169E-2</c:v>
                </c:pt>
                <c:pt idx="44">
                  <c:v>3.8932194994241887E-2</c:v>
                </c:pt>
                <c:pt idx="45">
                  <c:v>3.8175467355091468E-2</c:v>
                </c:pt>
                <c:pt idx="46">
                  <c:v>3.748600356809121E-2</c:v>
                </c:pt>
                <c:pt idx="47">
                  <c:v>3.6863822481585061E-2</c:v>
                </c:pt>
                <c:pt idx="48">
                  <c:v>3.6308942805748132E-2</c:v>
                </c:pt>
                <c:pt idx="49">
                  <c:v>3.5821383950120779E-2</c:v>
                </c:pt>
                <c:pt idx="50">
                  <c:v>3.5401166860915566E-2</c:v>
                </c:pt>
                <c:pt idx="51">
                  <c:v>3.5058253856262087E-2</c:v>
                </c:pt>
                <c:pt idx="52">
                  <c:v>3.476542839418089E-2</c:v>
                </c:pt>
                <c:pt idx="53">
                  <c:v>3.4522497787059826E-2</c:v>
                </c:pt>
                <c:pt idx="54">
                  <c:v>3.4329446172083201E-2</c:v>
                </c:pt>
                <c:pt idx="55">
                  <c:v>3.418625886677145E-2</c:v>
                </c:pt>
                <c:pt idx="56">
                  <c:v>3.4092922184808278E-2</c:v>
                </c:pt>
                <c:pt idx="57">
                  <c:v>3.4048959489318638E-2</c:v>
                </c:pt>
                <c:pt idx="58">
                  <c:v>3.4014518989625236E-2</c:v>
                </c:pt>
                <c:pt idx="59">
                  <c:v>3.3989588117041475E-2</c:v>
                </c:pt>
                <c:pt idx="60">
                  <c:v>3.397415440524644E-2</c:v>
                </c:pt>
                <c:pt idx="61">
                  <c:v>3.3968205455242283E-2</c:v>
                </c:pt>
                <c:pt idx="62">
                  <c:v>3.3971728900260574E-2</c:v>
                </c:pt>
                <c:pt idx="63">
                  <c:v>3.3984712370770699E-2</c:v>
                </c:pt>
                <c:pt idx="64">
                  <c:v>3.4007143459352643E-2</c:v>
                </c:pt>
                <c:pt idx="65">
                  <c:v>3.4043064705109607E-2</c:v>
                </c:pt>
                <c:pt idx="66">
                  <c:v>3.4082524132177335E-2</c:v>
                </c:pt>
                <c:pt idx="67">
                  <c:v>3.4125508964737643E-2</c:v>
                </c:pt>
                <c:pt idx="68">
                  <c:v>3.4172006324415471E-2</c:v>
                </c:pt>
                <c:pt idx="69">
                  <c:v>3.4222003216884296E-2</c:v>
                </c:pt>
                <c:pt idx="70">
                  <c:v>3.4275486518630785E-2</c:v>
                </c:pt>
                <c:pt idx="71">
                  <c:v>3.4316846829008013E-2</c:v>
                </c:pt>
                <c:pt idx="72">
                  <c:v>3.4346535154714579E-2</c:v>
                </c:pt>
                <c:pt idx="73">
                  <c:v>3.4364538925840377E-2</c:v>
                </c:pt>
                <c:pt idx="74">
                  <c:v>3.4370845824175648E-2</c:v>
                </c:pt>
                <c:pt idx="75">
                  <c:v>3.4365443825959172E-2</c:v>
                </c:pt>
                <c:pt idx="76">
                  <c:v>3.4348321244519663E-2</c:v>
                </c:pt>
                <c:pt idx="77">
                  <c:v>3.4319466773028801E-2</c:v>
                </c:pt>
                <c:pt idx="78">
                  <c:v>3.4278870665233364E-2</c:v>
                </c:pt>
                <c:pt idx="79">
                  <c:v>3.4201101190536903E-2</c:v>
                </c:pt>
                <c:pt idx="80">
                  <c:v>3.4082190889674874E-2</c:v>
                </c:pt>
                <c:pt idx="81">
                  <c:v>3.392213471428282E-2</c:v>
                </c:pt>
                <c:pt idx="82">
                  <c:v>3.3720927885194901E-2</c:v>
                </c:pt>
                <c:pt idx="83">
                  <c:v>3.3478566024227642E-2</c:v>
                </c:pt>
                <c:pt idx="84">
                  <c:v>3.3195045286075933E-2</c:v>
                </c:pt>
                <c:pt idx="85">
                  <c:v>3.2873526780504876E-2</c:v>
                </c:pt>
                <c:pt idx="86">
                  <c:v>3.2529594490771703E-2</c:v>
                </c:pt>
                <c:pt idx="87">
                  <c:v>3.2163243768908507E-2</c:v>
                </c:pt>
                <c:pt idx="88">
                  <c:v>3.1774470728405634E-2</c:v>
                </c:pt>
                <c:pt idx="89">
                  <c:v>3.13632723159529E-2</c:v>
                </c:pt>
                <c:pt idx="90">
                  <c:v>3.0929646383115253E-2</c:v>
                </c:pt>
                <c:pt idx="91">
                  <c:v>3.0473591758128422E-2</c:v>
                </c:pt>
                <c:pt idx="92">
                  <c:v>2.9995108317608803E-2</c:v>
                </c:pt>
                <c:pt idx="93">
                  <c:v>2.9486986763159688E-2</c:v>
                </c:pt>
                <c:pt idx="94">
                  <c:v>2.8974764049758892E-2</c:v>
                </c:pt>
                <c:pt idx="95">
                  <c:v>2.845843898983224E-2</c:v>
                </c:pt>
                <c:pt idx="96">
                  <c:v>2.7938011170257151E-2</c:v>
                </c:pt>
                <c:pt idx="97">
                  <c:v>2.7413480965503192E-2</c:v>
                </c:pt>
                <c:pt idx="98">
                  <c:v>2.688484955051576E-2</c:v>
                </c:pt>
                <c:pt idx="99">
                  <c:v>2.6342548627537835E-2</c:v>
                </c:pt>
                <c:pt idx="100">
                  <c:v>2.5783423827468944E-2</c:v>
                </c:pt>
                <c:pt idx="101">
                  <c:v>2.5207483670346798E-2</c:v>
                </c:pt>
                <c:pt idx="102">
                  <c:v>2.4614738084202906E-2</c:v>
                </c:pt>
                <c:pt idx="103">
                  <c:v>2.4005198458626847E-2</c:v>
                </c:pt>
                <c:pt idx="104">
                  <c:v>2.3378877698913735E-2</c:v>
                </c:pt>
                <c:pt idx="105">
                  <c:v>2.2735790279670723E-2</c:v>
                </c:pt>
                <c:pt idx="106">
                  <c:v>2.2075952298719653E-2</c:v>
                </c:pt>
                <c:pt idx="107">
                  <c:v>2.1438640305592994E-2</c:v>
                </c:pt>
                <c:pt idx="108">
                  <c:v>2.0831049474906972E-2</c:v>
                </c:pt>
                <c:pt idx="109">
                  <c:v>2.0253173738880286E-2</c:v>
                </c:pt>
                <c:pt idx="110">
                  <c:v>1.9705062237826983E-2</c:v>
                </c:pt>
                <c:pt idx="111">
                  <c:v>1.9186758558481853E-2</c:v>
                </c:pt>
                <c:pt idx="112">
                  <c:v>1.8698247401851852E-2</c:v>
                </c:pt>
                <c:pt idx="113">
                  <c:v>1.8293690022191129E-2</c:v>
                </c:pt>
                <c:pt idx="114">
                  <c:v>1.798258177257887E-2</c:v>
                </c:pt>
                <c:pt idx="115">
                  <c:v>1.7764863398647253E-2</c:v>
                </c:pt>
                <c:pt idx="116">
                  <c:v>1.7640473000361874E-2</c:v>
                </c:pt>
                <c:pt idx="117">
                  <c:v>1.7609345827964733E-2</c:v>
                </c:pt>
                <c:pt idx="118">
                  <c:v>1.7671414077734215E-2</c:v>
                </c:pt>
                <c:pt idx="119">
                  <c:v>1.7826606687796932E-2</c:v>
                </c:pt>
                <c:pt idx="120">
                  <c:v>1.8074849133910227E-2</c:v>
                </c:pt>
                <c:pt idx="121">
                  <c:v>1.8440321994064566E-2</c:v>
                </c:pt>
                <c:pt idx="122">
                  <c:v>1.8883794927367907E-2</c:v>
                </c:pt>
                <c:pt idx="123">
                  <c:v>1.9405193273694037E-2</c:v>
                </c:pt>
                <c:pt idx="124">
                  <c:v>2.0004438707219168E-2</c:v>
                </c:pt>
                <c:pt idx="125">
                  <c:v>2.0681449064985934E-2</c:v>
                </c:pt>
                <c:pt idx="126">
                  <c:v>2.1436138175199904E-2</c:v>
                </c:pt>
                <c:pt idx="127">
                  <c:v>2.2268745924388662E-2</c:v>
                </c:pt>
                <c:pt idx="128">
                  <c:v>2.3125208681530184E-2</c:v>
                </c:pt>
                <c:pt idx="129">
                  <c:v>2.4005477877766832E-2</c:v>
                </c:pt>
                <c:pt idx="130">
                  <c:v>2.4909502965277181E-2</c:v>
                </c:pt>
                <c:pt idx="131">
                  <c:v>2.583723136317799E-2</c:v>
                </c:pt>
                <c:pt idx="132">
                  <c:v>2.678860840362721E-2</c:v>
                </c:pt>
                <c:pt idx="133">
                  <c:v>2.776357727809517E-2</c:v>
                </c:pt>
                <c:pt idx="134">
                  <c:v>2.8762078983518197E-2</c:v>
                </c:pt>
                <c:pt idx="135">
                  <c:v>2.9780308815048381E-2</c:v>
                </c:pt>
                <c:pt idx="136">
                  <c:v>3.0794063803060434E-2</c:v>
                </c:pt>
                <c:pt idx="137">
                  <c:v>3.1803310743723404E-2</c:v>
                </c:pt>
                <c:pt idx="138">
                  <c:v>3.2808015736872136E-2</c:v>
                </c:pt>
                <c:pt idx="139">
                  <c:v>3.3808144194310129E-2</c:v>
                </c:pt>
                <c:pt idx="140">
                  <c:v>3.4803660846300155E-2</c:v>
                </c:pt>
                <c:pt idx="141">
                  <c:v>3.5783039485237235E-2</c:v>
                </c:pt>
                <c:pt idx="142">
                  <c:v>3.6745728111339422E-2</c:v>
                </c:pt>
                <c:pt idx="143">
                  <c:v>3.7691521809379597E-2</c:v>
                </c:pt>
                <c:pt idx="144">
                  <c:v>3.8620432391441979E-2</c:v>
                </c:pt>
                <c:pt idx="145">
                  <c:v>3.9532478631979569E-2</c:v>
                </c:pt>
                <c:pt idx="146">
                  <c:v>4.0427686062677562E-2</c:v>
                </c:pt>
                <c:pt idx="147">
                  <c:v>4.1306086768623344E-2</c:v>
                </c:pt>
                <c:pt idx="148">
                  <c:v>4.2167719183554171E-2</c:v>
                </c:pt>
                <c:pt idx="149">
                  <c:v>4.299803279231925E-2</c:v>
                </c:pt>
                <c:pt idx="150">
                  <c:v>4.3800820517147142E-2</c:v>
                </c:pt>
                <c:pt idx="151">
                  <c:v>4.457615849715213E-2</c:v>
                </c:pt>
                <c:pt idx="152">
                  <c:v>4.5324128927842142E-2</c:v>
                </c:pt>
                <c:pt idx="153">
                  <c:v>4.6044819709770056E-2</c:v>
                </c:pt>
                <c:pt idx="154">
                  <c:v>4.673832409742483E-2</c:v>
                </c:pt>
                <c:pt idx="155">
                  <c:v>4.738584844748648E-2</c:v>
                </c:pt>
                <c:pt idx="156">
                  <c:v>4.7998925523035793E-2</c:v>
                </c:pt>
                <c:pt idx="157">
                  <c:v>4.8577676898739243E-2</c:v>
                </c:pt>
                <c:pt idx="158">
                  <c:v>4.9122228049093004E-2</c:v>
                </c:pt>
                <c:pt idx="159">
                  <c:v>4.9632707895596255E-2</c:v>
                </c:pt>
                <c:pt idx="160">
                  <c:v>5.0109248354526001E-2</c:v>
                </c:pt>
                <c:pt idx="161">
                  <c:v>5.0551983884159317E-2</c:v>
                </c:pt>
                <c:pt idx="162">
                  <c:v>5.0961051032257641E-2</c:v>
                </c:pt>
                <c:pt idx="163">
                  <c:v>5.1316956438544351E-2</c:v>
                </c:pt>
                <c:pt idx="164">
                  <c:v>5.1634335535672586E-2</c:v>
                </c:pt>
                <c:pt idx="165">
                  <c:v>5.1913337341128289E-2</c:v>
                </c:pt>
                <c:pt idx="166">
                  <c:v>5.2154110744524383E-2</c:v>
                </c:pt>
                <c:pt idx="167">
                  <c:v>5.2356803983976033E-2</c:v>
                </c:pt>
                <c:pt idx="168">
                  <c:v>5.2521564124134265E-2</c:v>
                </c:pt>
                <c:pt idx="169">
                  <c:v>5.2628974528131561E-2</c:v>
                </c:pt>
                <c:pt idx="170">
                  <c:v>5.269793035396101E-2</c:v>
                </c:pt>
                <c:pt idx="171">
                  <c:v>5.2728572360062662E-2</c:v>
                </c:pt>
                <c:pt idx="172">
                  <c:v>5.2721037843660418E-2</c:v>
                </c:pt>
                <c:pt idx="173">
                  <c:v>5.2674921446257322E-2</c:v>
                </c:pt>
                <c:pt idx="174">
                  <c:v>5.2589788234178453E-2</c:v>
                </c:pt>
                <c:pt idx="175">
                  <c:v>5.2465728168950621E-2</c:v>
                </c:pt>
                <c:pt idx="176">
                  <c:v>5.2302830955365767E-2</c:v>
                </c:pt>
                <c:pt idx="177">
                  <c:v>5.2082532569385068E-2</c:v>
                </c:pt>
                <c:pt idx="178">
                  <c:v>5.1824421486074343E-2</c:v>
                </c:pt>
                <c:pt idx="179">
                  <c:v>5.1528583877714133E-2</c:v>
                </c:pt>
                <c:pt idx="180">
                  <c:v>5.1195104716986434E-2</c:v>
                </c:pt>
                <c:pt idx="181">
                  <c:v>5.0824067552819381E-2</c:v>
                </c:pt>
                <c:pt idx="182">
                  <c:v>5.041555428668406E-2</c:v>
                </c:pt>
                <c:pt idx="183">
                  <c:v>4.9955329123922226E-2</c:v>
                </c:pt>
                <c:pt idx="184">
                  <c:v>4.9462905348886393E-2</c:v>
                </c:pt>
                <c:pt idx="185">
                  <c:v>4.8938351083620629E-2</c:v>
                </c:pt>
                <c:pt idx="186">
                  <c:v>4.8381732081470084E-2</c:v>
                </c:pt>
                <c:pt idx="187">
                  <c:v>4.7793111533515086E-2</c:v>
                </c:pt>
                <c:pt idx="188">
                  <c:v>4.7172549875263654E-2</c:v>
                </c:pt>
                <c:pt idx="189">
                  <c:v>4.6520104591884784E-2</c:v>
                </c:pt>
                <c:pt idx="190">
                  <c:v>4.5835830025476379E-2</c:v>
                </c:pt>
                <c:pt idx="191">
                  <c:v>4.51085937511796E-2</c:v>
                </c:pt>
                <c:pt idx="192">
                  <c:v>4.4356980313535993E-2</c:v>
                </c:pt>
                <c:pt idx="193">
                  <c:v>4.3581024227778528E-2</c:v>
                </c:pt>
                <c:pt idx="194">
                  <c:v>4.2780756572486443E-2</c:v>
                </c:pt>
                <c:pt idx="195">
                  <c:v>4.1956204840202189E-2</c:v>
                </c:pt>
                <c:pt idx="196">
                  <c:v>4.11073927863536E-2</c:v>
                </c:pt>
                <c:pt idx="197">
                  <c:v>4.0230714018777383E-2</c:v>
                </c:pt>
                <c:pt idx="198">
                  <c:v>3.9340414443632149E-2</c:v>
                </c:pt>
                <c:pt idx="199">
                  <c:v>3.8436495211021771E-2</c:v>
                </c:pt>
                <c:pt idx="200">
                  <c:v>3.7518954086927618E-2</c:v>
                </c:pt>
                <c:pt idx="201">
                  <c:v>3.658778536526866E-2</c:v>
                </c:pt>
                <c:pt idx="202">
                  <c:v>3.5642979780218922E-2</c:v>
                </c:pt>
                <c:pt idx="203">
                  <c:v>3.4684524419318824E-2</c:v>
                </c:pt>
                <c:pt idx="204">
                  <c:v>3.3712348195481162E-2</c:v>
                </c:pt>
                <c:pt idx="205">
                  <c:v>3.2726681111182147E-2</c:v>
                </c:pt>
                <c:pt idx="206">
                  <c:v>3.1738611186348936E-2</c:v>
                </c:pt>
                <c:pt idx="207">
                  <c:v>3.0748089858220189E-2</c:v>
                </c:pt>
                <c:pt idx="208">
                  <c:v>2.9755069512784851E-2</c:v>
                </c:pt>
                <c:pt idx="209">
                  <c:v>2.8759503494628118E-2</c:v>
                </c:pt>
                <c:pt idx="210">
                  <c:v>2.7761346117783907E-2</c:v>
                </c:pt>
                <c:pt idx="211">
                  <c:v>2.6783870229221879E-2</c:v>
                </c:pt>
                <c:pt idx="212">
                  <c:v>2.5830635811582126E-2</c:v>
                </c:pt>
                <c:pt idx="213">
                  <c:v>2.4901590627627188E-2</c:v>
                </c:pt>
                <c:pt idx="214">
                  <c:v>2.3996685282306793E-2</c:v>
                </c:pt>
                <c:pt idx="215">
                  <c:v>2.3115873149459461E-2</c:v>
                </c:pt>
                <c:pt idx="216">
                  <c:v>2.2259110298414896E-2</c:v>
                </c:pt>
                <c:pt idx="217">
                  <c:v>2.1426355420680138E-2</c:v>
                </c:pt>
                <c:pt idx="218">
                  <c:v>2.061756975649269E-2</c:v>
                </c:pt>
                <c:pt idx="219">
                  <c:v>1.9884652891306639E-2</c:v>
                </c:pt>
                <c:pt idx="220">
                  <c:v>1.9227244842811898E-2</c:v>
                </c:pt>
                <c:pt idx="221">
                  <c:v>1.8645308599860869E-2</c:v>
                </c:pt>
                <c:pt idx="222">
                  <c:v>1.8138812141921475E-2</c:v>
                </c:pt>
                <c:pt idx="223">
                  <c:v>1.7707728205619722E-2</c:v>
                </c:pt>
                <c:pt idx="224">
                  <c:v>1.7352034050808093E-2</c:v>
                </c:pt>
                <c:pt idx="225">
                  <c:v>1.7109294703660852E-2</c:v>
                </c:pt>
                <c:pt idx="226">
                  <c:v>1.6956201191287039E-2</c:v>
                </c:pt>
                <c:pt idx="227">
                  <c:v>1.6892743996450296E-2</c:v>
                </c:pt>
                <c:pt idx="228">
                  <c:v>1.6918917758744396E-2</c:v>
                </c:pt>
                <c:pt idx="229">
                  <c:v>1.7034720996184249E-2</c:v>
                </c:pt>
                <c:pt idx="230">
                  <c:v>1.7240155827064944E-2</c:v>
                </c:pt>
                <c:pt idx="231">
                  <c:v>1.7535227691880373E-2</c:v>
                </c:pt>
                <c:pt idx="232">
                  <c:v>1.7919945074873808E-2</c:v>
                </c:pt>
                <c:pt idx="233">
                  <c:v>1.8385166134314321E-2</c:v>
                </c:pt>
                <c:pt idx="234">
                  <c:v>1.8878965815545774E-2</c:v>
                </c:pt>
                <c:pt idx="235">
                  <c:v>1.9401365752096097E-2</c:v>
                </c:pt>
                <c:pt idx="236">
                  <c:v>1.9952396056130573E-2</c:v>
                </c:pt>
                <c:pt idx="237">
                  <c:v>2.0532076497812132E-2</c:v>
                </c:pt>
                <c:pt idx="238">
                  <c:v>2.1140428406692176E-2</c:v>
                </c:pt>
                <c:pt idx="239">
                  <c:v>2.1770579979304913E-2</c:v>
                </c:pt>
                <c:pt idx="240">
                  <c:v>2.2384946048229604E-2</c:v>
                </c:pt>
                <c:pt idx="241">
                  <c:v>2.298353983879748E-2</c:v>
                </c:pt>
                <c:pt idx="242">
                  <c:v>2.3566374279531031E-2</c:v>
                </c:pt>
                <c:pt idx="243">
                  <c:v>2.413346197402317E-2</c:v>
                </c:pt>
                <c:pt idx="244">
                  <c:v>2.4684815172703583E-2</c:v>
                </c:pt>
                <c:pt idx="245">
                  <c:v>2.52204457443495E-2</c:v>
                </c:pt>
                <c:pt idx="246">
                  <c:v>2.5740365147534423E-2</c:v>
                </c:pt>
                <c:pt idx="247">
                  <c:v>2.6247611480905191E-2</c:v>
                </c:pt>
                <c:pt idx="248">
                  <c:v>2.675136332485405E-2</c:v>
                </c:pt>
                <c:pt idx="249">
                  <c:v>2.7251636786123291E-2</c:v>
                </c:pt>
                <c:pt idx="250">
                  <c:v>2.7748448114895369E-2</c:v>
                </c:pt>
                <c:pt idx="251">
                  <c:v>2.8241813698682689E-2</c:v>
                </c:pt>
                <c:pt idx="252">
                  <c:v>2.873175005506811E-2</c:v>
                </c:pt>
                <c:pt idx="253">
                  <c:v>2.9193807465290132E-2</c:v>
                </c:pt>
                <c:pt idx="254">
                  <c:v>2.9634897237237962E-2</c:v>
                </c:pt>
                <c:pt idx="255">
                  <c:v>3.0055023914666135E-2</c:v>
                </c:pt>
                <c:pt idx="256">
                  <c:v>3.0454191059163731E-2</c:v>
                </c:pt>
                <c:pt idx="257">
                  <c:v>3.0832401212144915E-2</c:v>
                </c:pt>
                <c:pt idx="258">
                  <c:v>3.1189655857120809E-2</c:v>
                </c:pt>
                <c:pt idx="259">
                  <c:v>3.1525955382409709E-2</c:v>
                </c:pt>
                <c:pt idx="260">
                  <c:v>3.1841299042903982E-2</c:v>
                </c:pt>
                <c:pt idx="261">
                  <c:v>3.2120727879585094E-2</c:v>
                </c:pt>
                <c:pt idx="262">
                  <c:v>3.2361188412360881E-2</c:v>
                </c:pt>
                <c:pt idx="263">
                  <c:v>3.2562659269915674E-2</c:v>
                </c:pt>
                <c:pt idx="264">
                  <c:v>3.2725118113233094E-2</c:v>
                </c:pt>
                <c:pt idx="265">
                  <c:v>3.2848716038519341E-2</c:v>
                </c:pt>
                <c:pt idx="266">
                  <c:v>3.2933516651559469E-2</c:v>
                </c:pt>
                <c:pt idx="267">
                  <c:v>3.2983342547442618E-2</c:v>
                </c:pt>
                <c:pt idx="268">
                  <c:v>3.3022692315689189E-2</c:v>
                </c:pt>
                <c:pt idx="269">
                  <c:v>3.3051517997535737E-2</c:v>
                </c:pt>
                <c:pt idx="270">
                  <c:v>3.3069770426198228E-2</c:v>
                </c:pt>
                <c:pt idx="271">
                  <c:v>3.3077399348369126E-2</c:v>
                </c:pt>
                <c:pt idx="272">
                  <c:v>3.3074353546626752E-2</c:v>
                </c:pt>
                <c:pt idx="273">
                  <c:v>3.3060580961427152E-2</c:v>
                </c:pt>
                <c:pt idx="274">
                  <c:v>3.3036028813529322E-2</c:v>
                </c:pt>
                <c:pt idx="275">
                  <c:v>3.3000196498762152E-2</c:v>
                </c:pt>
                <c:pt idx="276">
                  <c:v>3.2968076478976628E-2</c:v>
                </c:pt>
                <c:pt idx="277">
                  <c:v>3.2939636429870835E-2</c:v>
                </c:pt>
                <c:pt idx="278">
                  <c:v>3.2914844396747883E-2</c:v>
                </c:pt>
                <c:pt idx="279">
                  <c:v>3.2893668756382506E-2</c:v>
                </c:pt>
                <c:pt idx="280">
                  <c:v>3.2876078179197486E-2</c:v>
                </c:pt>
                <c:pt idx="281">
                  <c:v>3.2871655351638274E-2</c:v>
                </c:pt>
                <c:pt idx="282">
                  <c:v>3.2876460248055607E-2</c:v>
                </c:pt>
                <c:pt idx="283">
                  <c:v>3.2890471160689071E-2</c:v>
                </c:pt>
                <c:pt idx="284">
                  <c:v>3.2913666489641891E-2</c:v>
                </c:pt>
                <c:pt idx="285">
                  <c:v>3.294602464246045E-2</c:v>
                </c:pt>
                <c:pt idx="286">
                  <c:v>3.2987523934027929E-2</c:v>
                </c:pt>
                <c:pt idx="287">
                  <c:v>3.3038142486132252E-2</c:v>
                </c:pt>
                <c:pt idx="288">
                  <c:v>3.3097858127159235E-2</c:v>
                </c:pt>
                <c:pt idx="289">
                  <c:v>3.3205344263770073E-2</c:v>
                </c:pt>
                <c:pt idx="290">
                  <c:v>3.3361086526790866E-2</c:v>
                </c:pt>
                <c:pt idx="291">
                  <c:v>3.3565118226116554E-2</c:v>
                </c:pt>
                <c:pt idx="292">
                  <c:v>3.3817469818388006E-2</c:v>
                </c:pt>
                <c:pt idx="293">
                  <c:v>3.41181683801021E-2</c:v>
                </c:pt>
                <c:pt idx="294">
                  <c:v>3.4467237080593884E-2</c:v>
                </c:pt>
                <c:pt idx="295">
                  <c:v>3.4891048844151992E-2</c:v>
                </c:pt>
                <c:pt idx="296">
                  <c:v>3.5380395073154304E-2</c:v>
                </c:pt>
                <c:pt idx="297">
                  <c:v>3.5935626734943223E-2</c:v>
                </c:pt>
                <c:pt idx="298">
                  <c:v>3.6556810345817536E-2</c:v>
                </c:pt>
                <c:pt idx="299">
                  <c:v>3.7244012596008416E-2</c:v>
                </c:pt>
                <c:pt idx="300">
                  <c:v>3.7997299747600341E-2</c:v>
                </c:pt>
                <c:pt idx="301">
                  <c:v>3.8816737032341925E-2</c:v>
                </c:pt>
                <c:pt idx="302">
                  <c:v>3.9702388049539981E-2</c:v>
                </c:pt>
                <c:pt idx="303">
                  <c:v>4.0634265452514966E-2</c:v>
                </c:pt>
                <c:pt idx="304">
                  <c:v>4.1573428562959404E-2</c:v>
                </c:pt>
                <c:pt idx="305">
                  <c:v>4.2519848249090941E-2</c:v>
                </c:pt>
                <c:pt idx="306">
                  <c:v>4.3473491957724986E-2</c:v>
                </c:pt>
                <c:pt idx="307">
                  <c:v>4.4434323655433143E-2</c:v>
                </c:pt>
                <c:pt idx="308">
                  <c:v>4.5402303769331208E-2</c:v>
                </c:pt>
                <c:pt idx="309">
                  <c:v>4.6335228731549188E-2</c:v>
                </c:pt>
                <c:pt idx="310">
                  <c:v>4.7206457612488137E-2</c:v>
                </c:pt>
                <c:pt idx="311">
                  <c:v>4.8015847571061206E-2</c:v>
                </c:pt>
                <c:pt idx="312">
                  <c:v>4.876325504959747E-2</c:v>
                </c:pt>
                <c:pt idx="313">
                  <c:v>4.9448536345698152E-2</c:v>
                </c:pt>
                <c:pt idx="314">
                  <c:v>5.0071548183652663E-2</c:v>
                </c:pt>
                <c:pt idx="315">
                  <c:v>5.0632148286473132E-2</c:v>
                </c:pt>
                <c:pt idx="316">
                  <c:v>5.1130195947163275E-2</c:v>
                </c:pt>
                <c:pt idx="317">
                  <c:v>5.1529254056971681E-2</c:v>
                </c:pt>
                <c:pt idx="318">
                  <c:v>5.1849327539290037E-2</c:v>
                </c:pt>
                <c:pt idx="319">
                  <c:v>5.2090267472161722E-2</c:v>
                </c:pt>
                <c:pt idx="320">
                  <c:v>5.2251930310549199E-2</c:v>
                </c:pt>
                <c:pt idx="321">
                  <c:v>5.2334178605656118E-2</c:v>
                </c:pt>
                <c:pt idx="322">
                  <c:v>5.233688172447399E-2</c:v>
                </c:pt>
                <c:pt idx="323">
                  <c:v>5.2254829924397117E-2</c:v>
                </c:pt>
                <c:pt idx="324">
                  <c:v>5.2130309167006401E-2</c:v>
                </c:pt>
                <c:pt idx="325">
                  <c:v>5.1963240833703551E-2</c:v>
                </c:pt>
                <c:pt idx="326">
                  <c:v>5.175322975150471E-2</c:v>
                </c:pt>
                <c:pt idx="327">
                  <c:v>5.1500106420324092E-2</c:v>
                </c:pt>
                <c:pt idx="328">
                  <c:v>5.1203974041135449E-2</c:v>
                </c:pt>
                <c:pt idx="329">
                  <c:v>5.0864940184030046E-2</c:v>
                </c:pt>
                <c:pt idx="330">
                  <c:v>5.048311592400017E-2</c:v>
                </c:pt>
                <c:pt idx="331">
                  <c:v>5.0072101967165356E-2</c:v>
                </c:pt>
                <c:pt idx="332">
                  <c:v>4.9668453601767318E-2</c:v>
                </c:pt>
                <c:pt idx="333">
                  <c:v>4.9272298721169387E-2</c:v>
                </c:pt>
                <c:pt idx="334">
                  <c:v>4.8883761015932579E-2</c:v>
                </c:pt>
                <c:pt idx="335">
                  <c:v>4.8502960148793586E-2</c:v>
                </c:pt>
                <c:pt idx="336">
                  <c:v>4.8130011928989885E-2</c:v>
                </c:pt>
                <c:pt idx="337">
                  <c:v>4.7773212944656945E-2</c:v>
                </c:pt>
                <c:pt idx="338">
                  <c:v>4.7437769447885483E-2</c:v>
                </c:pt>
                <c:pt idx="339">
                  <c:v>4.7123787626727552E-2</c:v>
                </c:pt>
                <c:pt idx="340">
                  <c:v>4.6831370415359702E-2</c:v>
                </c:pt>
                <c:pt idx="341">
                  <c:v>4.6560617944990834E-2</c:v>
                </c:pt>
                <c:pt idx="342">
                  <c:v>4.6311627994726413E-2</c:v>
                </c:pt>
                <c:pt idx="343">
                  <c:v>4.6084496441872777E-2</c:v>
                </c:pt>
                <c:pt idx="344">
                  <c:v>4.5879317712974127E-2</c:v>
                </c:pt>
                <c:pt idx="345">
                  <c:v>4.5696185234358179E-2</c:v>
                </c:pt>
                <c:pt idx="346">
                  <c:v>4.5530763985610741E-2</c:v>
                </c:pt>
                <c:pt idx="347">
                  <c:v>4.5383145862630397E-2</c:v>
                </c:pt>
                <c:pt idx="348">
                  <c:v>4.5253422727271585E-2</c:v>
                </c:pt>
                <c:pt idx="349">
                  <c:v>4.51416867656401E-2</c:v>
                </c:pt>
                <c:pt idx="350">
                  <c:v>4.5048030847449336E-2</c:v>
                </c:pt>
                <c:pt idx="351">
                  <c:v>4.4981621469787174E-2</c:v>
                </c:pt>
                <c:pt idx="352">
                  <c:v>4.4934366102907408E-2</c:v>
                </c:pt>
                <c:pt idx="353">
                  <c:v>4.4906362984159572E-2</c:v>
                </c:pt>
                <c:pt idx="354">
                  <c:v>4.4897712688002446E-2</c:v>
                </c:pt>
                <c:pt idx="355">
                  <c:v>4.4908518500751803E-2</c:v>
                </c:pt>
                <c:pt idx="356">
                  <c:v>4.4938917852972764E-2</c:v>
                </c:pt>
                <c:pt idx="357">
                  <c:v>4.498892043788387E-2</c:v>
                </c:pt>
                <c:pt idx="358">
                  <c:v>4.5058430877591177E-2</c:v>
                </c:pt>
                <c:pt idx="359">
                  <c:v>4.5147356498977796E-2</c:v>
                </c:pt>
                <c:pt idx="360">
                  <c:v>4.5263817832919502E-2</c:v>
                </c:pt>
                <c:pt idx="361">
                  <c:v>4.5398637676819863E-2</c:v>
                </c:pt>
                <c:pt idx="362">
                  <c:v>4.5551728023067277E-2</c:v>
                </c:pt>
                <c:pt idx="363">
                  <c:v>4.5723001536599243E-2</c:v>
                </c:pt>
                <c:pt idx="364">
                  <c:v>4.591237111278737E-2</c:v>
                </c:pt>
                <c:pt idx="365">
                  <c:v>4.6119749434770992E-2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5.3414450806702922E-2</c:v>
                </c:pt>
                <c:pt idx="1">
                  <c:v>5.3644546367586941E-2</c:v>
                </c:pt>
                <c:pt idx="2">
                  <c:v>5.3903301845669944E-2</c:v>
                </c:pt>
                <c:pt idx="3">
                  <c:v>5.4190623574005885E-2</c:v>
                </c:pt>
                <c:pt idx="4">
                  <c:v>5.4506415946086371E-2</c:v>
                </c:pt>
                <c:pt idx="5">
                  <c:v>5.48505806977495E-2</c:v>
                </c:pt>
                <c:pt idx="6">
                  <c:v>5.52230161897889E-2</c:v>
                </c:pt>
                <c:pt idx="7">
                  <c:v>5.5623616689334687E-2</c:v>
                </c:pt>
                <c:pt idx="8">
                  <c:v>5.6052271651991246E-2</c:v>
                </c:pt>
                <c:pt idx="9">
                  <c:v>5.6502423568997956E-2</c:v>
                </c:pt>
                <c:pt idx="10">
                  <c:v>5.6963646025025079E-2</c:v>
                </c:pt>
                <c:pt idx="11">
                  <c:v>5.7435789210297981E-2</c:v>
                </c:pt>
                <c:pt idx="12">
                  <c:v>5.7918697649393724E-2</c:v>
                </c:pt>
                <c:pt idx="13">
                  <c:v>5.841220990884758E-2</c:v>
                </c:pt>
                <c:pt idx="14">
                  <c:v>5.8916158303756599E-2</c:v>
                </c:pt>
                <c:pt idx="15">
                  <c:v>5.9390074063847914E-2</c:v>
                </c:pt>
                <c:pt idx="16">
                  <c:v>5.9815749855555822E-2</c:v>
                </c:pt>
                <c:pt idx="17">
                  <c:v>6.0192955914367297E-2</c:v>
                </c:pt>
                <c:pt idx="18">
                  <c:v>6.0521467569190059E-2</c:v>
                </c:pt>
                <c:pt idx="19">
                  <c:v>6.0801405571308205E-2</c:v>
                </c:pt>
                <c:pt idx="20">
                  <c:v>6.1033057079902982E-2</c:v>
                </c:pt>
                <c:pt idx="21">
                  <c:v>6.1216457868295805E-2</c:v>
                </c:pt>
                <c:pt idx="22">
                  <c:v>6.1351651644460305E-2</c:v>
                </c:pt>
                <c:pt idx="23">
                  <c:v>6.1413721194377602E-2</c:v>
                </c:pt>
                <c:pt idx="24">
                  <c:v>6.1409184979562548E-2</c:v>
                </c:pt>
                <c:pt idx="25">
                  <c:v>6.133810533728315E-2</c:v>
                </c:pt>
                <c:pt idx="26">
                  <c:v>6.1200552121134809E-2</c:v>
                </c:pt>
                <c:pt idx="27">
                  <c:v>6.0996601883641734E-2</c:v>
                </c:pt>
                <c:pt idx="28">
                  <c:v>6.0726337060180845E-2</c:v>
                </c:pt>
                <c:pt idx="29">
                  <c:v>6.0359662262629836E-2</c:v>
                </c:pt>
                <c:pt idx="30">
                  <c:v>5.9937032864154187E-2</c:v>
                </c:pt>
                <c:pt idx="31">
                  <c:v>5.9458544066698794E-2</c:v>
                </c:pt>
                <c:pt idx="32">
                  <c:v>5.8924292867492768E-2</c:v>
                </c:pt>
                <c:pt idx="33">
                  <c:v>5.833437736941386E-2</c:v>
                </c:pt>
                <c:pt idx="34">
                  <c:v>5.7688896091623122E-2</c:v>
                </c:pt>
                <c:pt idx="35">
                  <c:v>5.6987947280144363E-2</c:v>
                </c:pt>
                <c:pt idx="36">
                  <c:v>5.6231628218320506E-2</c:v>
                </c:pt>
                <c:pt idx="37">
                  <c:v>5.5402226932235558E-2</c:v>
                </c:pt>
                <c:pt idx="38">
                  <c:v>5.452480063178524E-2</c:v>
                </c:pt>
                <c:pt idx="39">
                  <c:v>5.3599437799085319E-2</c:v>
                </c:pt>
                <c:pt idx="40">
                  <c:v>5.2626223065108613E-2</c:v>
                </c:pt>
                <c:pt idx="41">
                  <c:v>5.160523660996965E-2</c:v>
                </c:pt>
                <c:pt idx="42">
                  <c:v>5.0536553562823418E-2</c:v>
                </c:pt>
                <c:pt idx="43">
                  <c:v>4.947249957869812E-2</c:v>
                </c:pt>
                <c:pt idx="44">
                  <c:v>4.8443276062703294E-2</c:v>
                </c:pt>
                <c:pt idx="45">
                  <c:v>4.7448921618191871E-2</c:v>
                </c:pt>
                <c:pt idx="46">
                  <c:v>4.6489470898267306E-2</c:v>
                </c:pt>
                <c:pt idx="47">
                  <c:v>4.5564955037327083E-2</c:v>
                </c:pt>
                <c:pt idx="48">
                  <c:v>4.4675402081980897E-2</c:v>
                </c:pt>
                <c:pt idx="49">
                  <c:v>4.382083742239657E-2</c:v>
                </c:pt>
                <c:pt idx="50">
                  <c:v>4.300128422336541E-2</c:v>
                </c:pt>
                <c:pt idx="51">
                  <c:v>4.2255957969165557E-2</c:v>
                </c:pt>
                <c:pt idx="52">
                  <c:v>4.1602440243158588E-2</c:v>
                </c:pt>
                <c:pt idx="53">
                  <c:v>4.1040493294041587E-2</c:v>
                </c:pt>
                <c:pt idx="54">
                  <c:v>4.057009517723071E-2</c:v>
                </c:pt>
                <c:pt idx="55">
                  <c:v>4.0191226287532737E-2</c:v>
                </c:pt>
                <c:pt idx="56">
                  <c:v>3.9903869020885364E-2</c:v>
                </c:pt>
                <c:pt idx="57">
                  <c:v>3.9702351451628509E-2</c:v>
                </c:pt>
                <c:pt idx="58">
                  <c:v>3.9534425218021176E-2</c:v>
                </c:pt>
                <c:pt idx="59">
                  <c:v>3.9400075574505242E-2</c:v>
                </c:pt>
                <c:pt idx="60">
                  <c:v>3.9299288205323017E-2</c:v>
                </c:pt>
                <c:pt idx="61">
                  <c:v>3.9232049100454032E-2</c:v>
                </c:pt>
                <c:pt idx="62">
                  <c:v>3.9198344431492942E-2</c:v>
                </c:pt>
                <c:pt idx="63">
                  <c:v>3.9198160427645269E-2</c:v>
                </c:pt>
                <c:pt idx="64">
                  <c:v>3.9231483251566619E-2</c:v>
                </c:pt>
                <c:pt idx="65">
                  <c:v>3.9297328863080343E-2</c:v>
                </c:pt>
                <c:pt idx="66">
                  <c:v>3.935648710970107E-2</c:v>
                </c:pt>
                <c:pt idx="67">
                  <c:v>3.9408943072792586E-2</c:v>
                </c:pt>
                <c:pt idx="68">
                  <c:v>3.9454681828346334E-2</c:v>
                </c:pt>
                <c:pt idx="69">
                  <c:v>3.9493688471369019E-2</c:v>
                </c:pt>
                <c:pt idx="70">
                  <c:v>3.9525948140453904E-2</c:v>
                </c:pt>
                <c:pt idx="71">
                  <c:v>3.9537289022881054E-2</c:v>
                </c:pt>
                <c:pt idx="72">
                  <c:v>3.9533353104034642E-2</c:v>
                </c:pt>
                <c:pt idx="73">
                  <c:v>3.9514126441114704E-2</c:v>
                </c:pt>
                <c:pt idx="74">
                  <c:v>3.947959548474933E-2</c:v>
                </c:pt>
                <c:pt idx="75">
                  <c:v>3.9429747135016416E-2</c:v>
                </c:pt>
                <c:pt idx="76">
                  <c:v>3.9364568797342576E-2</c:v>
                </c:pt>
                <c:pt idx="77">
                  <c:v>3.9284048438530339E-2</c:v>
                </c:pt>
                <c:pt idx="78">
                  <c:v>3.9188175943741368E-2</c:v>
                </c:pt>
                <c:pt idx="79">
                  <c:v>3.905579683031199E-2</c:v>
                </c:pt>
                <c:pt idx="80">
                  <c:v>3.8887978753301598E-2</c:v>
                </c:pt>
                <c:pt idx="81">
                  <c:v>3.86847143434466E-2</c:v>
                </c:pt>
                <c:pt idx="82">
                  <c:v>3.8445996546603113E-2</c:v>
                </c:pt>
                <c:pt idx="83">
                  <c:v>3.8171818737276243E-2</c:v>
                </c:pt>
                <c:pt idx="84">
                  <c:v>3.7862174832277246E-2</c:v>
                </c:pt>
                <c:pt idx="85">
                  <c:v>3.7526192739535856E-2</c:v>
                </c:pt>
                <c:pt idx="86">
                  <c:v>3.7178014939184136E-2</c:v>
                </c:pt>
                <c:pt idx="87">
                  <c:v>3.6817633657037913E-2</c:v>
                </c:pt>
                <c:pt idx="88">
                  <c:v>3.6445041737971959E-2</c:v>
                </c:pt>
                <c:pt idx="89">
                  <c:v>3.6060232684895201E-2</c:v>
                </c:pt>
                <c:pt idx="90">
                  <c:v>3.5663200697650665E-2</c:v>
                </c:pt>
                <c:pt idx="91">
                  <c:v>3.5253940712053219E-2</c:v>
                </c:pt>
                <c:pt idx="92">
                  <c:v>3.4832448438829051E-2</c:v>
                </c:pt>
                <c:pt idx="93">
                  <c:v>3.4392778656124993E-2</c:v>
                </c:pt>
                <c:pt idx="94">
                  <c:v>3.3956208462228653E-2</c:v>
                </c:pt>
                <c:pt idx="95">
                  <c:v>3.3522732241463793E-2</c:v>
                </c:pt>
                <c:pt idx="96">
                  <c:v>3.3092344839310867E-2</c:v>
                </c:pt>
                <c:pt idx="97">
                  <c:v>3.2665041552382416E-2</c:v>
                </c:pt>
                <c:pt idx="98">
                  <c:v>3.2240818118097127E-2</c:v>
                </c:pt>
                <c:pt idx="99">
                  <c:v>3.1798466395646152E-2</c:v>
                </c:pt>
                <c:pt idx="100">
                  <c:v>3.1328867925836737E-2</c:v>
                </c:pt>
                <c:pt idx="101">
                  <c:v>3.0832031265856642E-2</c:v>
                </c:pt>
                <c:pt idx="102">
                  <c:v>3.0307966694229121E-2</c:v>
                </c:pt>
                <c:pt idx="103">
                  <c:v>2.975668629757278E-2</c:v>
                </c:pt>
                <c:pt idx="104">
                  <c:v>2.9178204058076741E-2</c:v>
                </c:pt>
                <c:pt idx="105">
                  <c:v>2.857253594031273E-2</c:v>
                </c:pt>
                <c:pt idx="106">
                  <c:v>2.7939699978411368E-2</c:v>
                </c:pt>
                <c:pt idx="107">
                  <c:v>2.7308656652780094E-2</c:v>
                </c:pt>
                <c:pt idx="108">
                  <c:v>2.6685343442170033E-2</c:v>
                </c:pt>
                <c:pt idx="109">
                  <c:v>2.6069764590696848E-2</c:v>
                </c:pt>
                <c:pt idx="110">
                  <c:v>2.5461997212591996E-2</c:v>
                </c:pt>
                <c:pt idx="111">
                  <c:v>2.4862113677648786E-2</c:v>
                </c:pt>
                <c:pt idx="112">
                  <c:v>2.4270111623604772E-2</c:v>
                </c:pt>
                <c:pt idx="113">
                  <c:v>2.3751277735838502E-2</c:v>
                </c:pt>
                <c:pt idx="114">
                  <c:v>2.3326719281142078E-2</c:v>
                </c:pt>
                <c:pt idx="115">
                  <c:v>2.2996376998372411E-2</c:v>
                </c:pt>
                <c:pt idx="116">
                  <c:v>2.2760189053779783E-2</c:v>
                </c:pt>
                <c:pt idx="117">
                  <c:v>2.2618090835229029E-2</c:v>
                </c:pt>
                <c:pt idx="118">
                  <c:v>2.2570014746183153E-2</c:v>
                </c:pt>
                <c:pt idx="119">
                  <c:v>2.2615889999754391E-2</c:v>
                </c:pt>
                <c:pt idx="120">
                  <c:v>2.275564241271838E-2</c:v>
                </c:pt>
                <c:pt idx="121">
                  <c:v>2.3025812375633378E-2</c:v>
                </c:pt>
                <c:pt idx="122">
                  <c:v>2.3397444765593967E-2</c:v>
                </c:pt>
                <c:pt idx="123">
                  <c:v>2.3870446967171121E-2</c:v>
                </c:pt>
                <c:pt idx="124">
                  <c:v>2.4444721781400822E-2</c:v>
                </c:pt>
                <c:pt idx="125">
                  <c:v>2.5120167203016422E-2</c:v>
                </c:pt>
                <c:pt idx="126">
                  <c:v>2.5896676197350806E-2</c:v>
                </c:pt>
                <c:pt idx="127">
                  <c:v>2.6775045614797627E-2</c:v>
                </c:pt>
                <c:pt idx="128">
                  <c:v>2.7690119128078197E-2</c:v>
                </c:pt>
                <c:pt idx="129">
                  <c:v>2.8641833830554259E-2</c:v>
                </c:pt>
                <c:pt idx="130">
                  <c:v>2.9630124141368046E-2</c:v>
                </c:pt>
                <c:pt idx="131">
                  <c:v>3.0654921722953282E-2</c:v>
                </c:pt>
                <c:pt idx="132">
                  <c:v>3.1716155398789588E-2</c:v>
                </c:pt>
                <c:pt idx="133">
                  <c:v>3.2813751071355417E-2</c:v>
                </c:pt>
                <c:pt idx="134">
                  <c:v>3.3947631639940516E-2</c:v>
                </c:pt>
                <c:pt idx="135">
                  <c:v>3.5112873793470251E-2</c:v>
                </c:pt>
                <c:pt idx="136">
                  <c:v>3.6272955243950737E-2</c:v>
                </c:pt>
                <c:pt idx="137">
                  <c:v>3.742783778931618E-2</c:v>
                </c:pt>
                <c:pt idx="138">
                  <c:v>3.8577482432088778E-2</c:v>
                </c:pt>
                <c:pt idx="139">
                  <c:v>3.9721849388970283E-2</c:v>
                </c:pt>
                <c:pt idx="140">
                  <c:v>4.0860898098301852E-2</c:v>
                </c:pt>
                <c:pt idx="141">
                  <c:v>4.1981105539455298E-2</c:v>
                </c:pt>
                <c:pt idx="142">
                  <c:v>4.3081306325158407E-2</c:v>
                </c:pt>
                <c:pt idx="143">
                  <c:v>4.4161262390011863E-2</c:v>
                </c:pt>
                <c:pt idx="144">
                  <c:v>4.5220990008615514E-2</c:v>
                </c:pt>
                <c:pt idx="145">
                  <c:v>4.6260513517192542E-2</c:v>
                </c:pt>
                <c:pt idx="146">
                  <c:v>4.7279865066860362E-2</c:v>
                </c:pt>
                <c:pt idx="147">
                  <c:v>4.8279084378431196E-2</c:v>
                </c:pt>
                <c:pt idx="148">
                  <c:v>4.9258218496132627E-2</c:v>
                </c:pt>
                <c:pt idx="149">
                  <c:v>5.0200693819698827E-2</c:v>
                </c:pt>
                <c:pt idx="150">
                  <c:v>5.1111409115742502E-2</c:v>
                </c:pt>
                <c:pt idx="151">
                  <c:v>5.1990453552813926E-2</c:v>
                </c:pt>
                <c:pt idx="152">
                  <c:v>5.2837923205985828E-2</c:v>
                </c:pt>
                <c:pt idx="153">
                  <c:v>5.3653920651313858E-2</c:v>
                </c:pt>
                <c:pt idx="154">
                  <c:v>5.4438554560577022E-2</c:v>
                </c:pt>
                <c:pt idx="155">
                  <c:v>5.5170486940322581E-2</c:v>
                </c:pt>
                <c:pt idx="156">
                  <c:v>5.5863246897794337E-2</c:v>
                </c:pt>
                <c:pt idx="157">
                  <c:v>5.6516974454438242E-2</c:v>
                </c:pt>
                <c:pt idx="158">
                  <c:v>5.7131814046945929E-2</c:v>
                </c:pt>
                <c:pt idx="159">
                  <c:v>5.7707914012312768E-2</c:v>
                </c:pt>
                <c:pt idx="160">
                  <c:v>5.8245426073595639E-2</c:v>
                </c:pt>
                <c:pt idx="161">
                  <c:v>5.8744504825027966E-2</c:v>
                </c:pt>
                <c:pt idx="162">
                  <c:v>5.9205307217439551E-2</c:v>
                </c:pt>
                <c:pt idx="163">
                  <c:v>5.9605894264695126E-2</c:v>
                </c:pt>
                <c:pt idx="164">
                  <c:v>5.9962940493048754E-2</c:v>
                </c:pt>
                <c:pt idx="165">
                  <c:v>6.0276616512434211E-2</c:v>
                </c:pt>
                <c:pt idx="166">
                  <c:v>6.0547092784097978E-2</c:v>
                </c:pt>
                <c:pt idx="167">
                  <c:v>6.0774539028630926E-2</c:v>
                </c:pt>
                <c:pt idx="168">
                  <c:v>6.0959123635926017E-2</c:v>
                </c:pt>
                <c:pt idx="169">
                  <c:v>6.1078993570929913E-2</c:v>
                </c:pt>
                <c:pt idx="170">
                  <c:v>6.1155605974872074E-2</c:v>
                </c:pt>
                <c:pt idx="171">
                  <c:v>6.1189121799140468E-2</c:v>
                </c:pt>
                <c:pt idx="172">
                  <c:v>6.117969809909219E-2</c:v>
                </c:pt>
                <c:pt idx="173">
                  <c:v>6.1126862341838027E-2</c:v>
                </c:pt>
                <c:pt idx="174">
                  <c:v>6.1030107747099403E-2</c:v>
                </c:pt>
                <c:pt idx="175">
                  <c:v>6.0889536652715383E-2</c:v>
                </c:pt>
                <c:pt idx="176">
                  <c:v>6.0705251107554183E-2</c:v>
                </c:pt>
                <c:pt idx="177">
                  <c:v>6.0456171261270696E-2</c:v>
                </c:pt>
                <c:pt idx="178">
                  <c:v>6.0164347764840004E-2</c:v>
                </c:pt>
                <c:pt idx="179">
                  <c:v>5.9829878965709925E-2</c:v>
                </c:pt>
                <c:pt idx="180">
                  <c:v>5.9452861856994728E-2</c:v>
                </c:pt>
                <c:pt idx="181">
                  <c:v>5.9033391824065216E-2</c:v>
                </c:pt>
                <c:pt idx="182">
                  <c:v>5.8571562391663591E-2</c:v>
                </c:pt>
                <c:pt idx="183">
                  <c:v>5.8051155410256405E-2</c:v>
                </c:pt>
                <c:pt idx="184">
                  <c:v>5.749413714012739E-2</c:v>
                </c:pt>
                <c:pt idx="185">
                  <c:v>5.6900585843081254E-2</c:v>
                </c:pt>
                <c:pt idx="186">
                  <c:v>5.6270577095672757E-2</c:v>
                </c:pt>
                <c:pt idx="187">
                  <c:v>5.5604183569097188E-2</c:v>
                </c:pt>
                <c:pt idx="188">
                  <c:v>5.4901474809382379E-2</c:v>
                </c:pt>
                <c:pt idx="189">
                  <c:v>5.4162517015882587E-2</c:v>
                </c:pt>
                <c:pt idx="190">
                  <c:v>5.3387372822140032E-2</c:v>
                </c:pt>
                <c:pt idx="191">
                  <c:v>5.2562979398627106E-2</c:v>
                </c:pt>
                <c:pt idx="192">
                  <c:v>5.1710441544003082E-2</c:v>
                </c:pt>
                <c:pt idx="193">
                  <c:v>5.0829799881547323E-2</c:v>
                </c:pt>
                <c:pt idx="194">
                  <c:v>4.9921091103792004E-2</c:v>
                </c:pt>
                <c:pt idx="195">
                  <c:v>4.8984347800111273E-2</c:v>
                </c:pt>
                <c:pt idx="196">
                  <c:v>4.8019598282334285E-2</c:v>
                </c:pt>
                <c:pt idx="197">
                  <c:v>4.7022174906011328E-2</c:v>
                </c:pt>
                <c:pt idx="198">
                  <c:v>4.6008309347351804E-2</c:v>
                </c:pt>
                <c:pt idx="199">
                  <c:v>4.4978004612759137E-2</c:v>
                </c:pt>
                <c:pt idx="200">
                  <c:v>4.3931259772084341E-2</c:v>
                </c:pt>
                <c:pt idx="201">
                  <c:v>4.286806985285959E-2</c:v>
                </c:pt>
                <c:pt idx="202">
                  <c:v>4.1788425734832067E-2</c:v>
                </c:pt>
                <c:pt idx="203">
                  <c:v>4.069231404542839E-2</c:v>
                </c:pt>
                <c:pt idx="204">
                  <c:v>3.9579653139174435E-2</c:v>
                </c:pt>
                <c:pt idx="205">
                  <c:v>3.84512172755705E-2</c:v>
                </c:pt>
                <c:pt idx="206">
                  <c:v>3.7320017317725308E-2</c:v>
                </c:pt>
                <c:pt idx="207">
                  <c:v>3.6185997389341244E-2</c:v>
                </c:pt>
                <c:pt idx="208">
                  <c:v>3.5049102697858998E-2</c:v>
                </c:pt>
                <c:pt idx="209">
                  <c:v>3.3909279545800544E-2</c:v>
                </c:pt>
                <c:pt idx="210">
                  <c:v>3.276647534329738E-2</c:v>
                </c:pt>
                <c:pt idx="211">
                  <c:v>3.165583604828149E-2</c:v>
                </c:pt>
                <c:pt idx="212">
                  <c:v>3.0581971527074574E-2</c:v>
                </c:pt>
                <c:pt idx="213">
                  <c:v>2.9544818511585497E-2</c:v>
                </c:pt>
                <c:pt idx="214">
                  <c:v>2.8544317599882619E-2</c:v>
                </c:pt>
                <c:pt idx="215">
                  <c:v>2.7580413144292742E-2</c:v>
                </c:pt>
                <c:pt idx="216">
                  <c:v>2.6653053139382803E-2</c:v>
                </c:pt>
                <c:pt idx="217">
                  <c:v>2.5762189110041977E-2</c:v>
                </c:pt>
                <c:pt idx="218">
                  <c:v>2.4907775999405486E-2</c:v>
                </c:pt>
                <c:pt idx="219">
                  <c:v>2.4152360109487635E-2</c:v>
                </c:pt>
                <c:pt idx="220">
                  <c:v>2.3495018164933365E-2</c:v>
                </c:pt>
                <c:pt idx="221">
                  <c:v>2.2935708180905592E-2</c:v>
                </c:pt>
                <c:pt idx="222">
                  <c:v>2.24743944125879E-2</c:v>
                </c:pt>
                <c:pt idx="223">
                  <c:v>2.2111047051811217E-2</c:v>
                </c:pt>
                <c:pt idx="224">
                  <c:v>2.18456419231025E-2</c:v>
                </c:pt>
                <c:pt idx="225">
                  <c:v>2.170586549465145E-2</c:v>
                </c:pt>
                <c:pt idx="226">
                  <c:v>2.1656541420123066E-2</c:v>
                </c:pt>
                <c:pt idx="227">
                  <c:v>2.1697661111363564E-2</c:v>
                </c:pt>
                <c:pt idx="228">
                  <c:v>2.1829220042255962E-2</c:v>
                </c:pt>
                <c:pt idx="229">
                  <c:v>2.2051217467856956E-2</c:v>
                </c:pt>
                <c:pt idx="230">
                  <c:v>2.2363656143876216E-2</c:v>
                </c:pt>
                <c:pt idx="231">
                  <c:v>2.2766542046235721E-2</c:v>
                </c:pt>
                <c:pt idx="232">
                  <c:v>2.3259884090151683E-2</c:v>
                </c:pt>
                <c:pt idx="233">
                  <c:v>2.3823413893521616E-2</c:v>
                </c:pt>
                <c:pt idx="234">
                  <c:v>2.4394552484552606E-2</c:v>
                </c:pt>
                <c:pt idx="235">
                  <c:v>2.4973322424237322E-2</c:v>
                </c:pt>
                <c:pt idx="236">
                  <c:v>2.5559755973572757E-2</c:v>
                </c:pt>
                <c:pt idx="237">
                  <c:v>2.615387074249707E-2</c:v>
                </c:pt>
                <c:pt idx="238">
                  <c:v>2.675568505972542E-2</c:v>
                </c:pt>
                <c:pt idx="239">
                  <c:v>2.7359536275118713E-2</c:v>
                </c:pt>
                <c:pt idx="240">
                  <c:v>2.7937719339480083E-2</c:v>
                </c:pt>
                <c:pt idx="241">
                  <c:v>2.8490244984626739E-2</c:v>
                </c:pt>
                <c:pt idx="242">
                  <c:v>2.9017123169234559E-2</c:v>
                </c:pt>
                <c:pt idx="243">
                  <c:v>2.9518363033266926E-2</c:v>
                </c:pt>
                <c:pt idx="244">
                  <c:v>2.9993972852256273E-2</c:v>
                </c:pt>
                <c:pt idx="245">
                  <c:v>3.0443959991272588E-2</c:v>
                </c:pt>
                <c:pt idx="246">
                  <c:v>3.0868330858825389E-2</c:v>
                </c:pt>
                <c:pt idx="247">
                  <c:v>3.1275828150152625E-2</c:v>
                </c:pt>
                <c:pt idx="248">
                  <c:v>3.168677020969262E-2</c:v>
                </c:pt>
                <c:pt idx="249">
                  <c:v>3.2101174749930343E-2</c:v>
                </c:pt>
                <c:pt idx="250">
                  <c:v>3.251905993348593E-2</c:v>
                </c:pt>
                <c:pt idx="251">
                  <c:v>3.2940444379343931E-2</c:v>
                </c:pt>
                <c:pt idx="252">
                  <c:v>3.3365347167723346E-2</c:v>
                </c:pt>
                <c:pt idx="253">
                  <c:v>3.3773398479222928E-2</c:v>
                </c:pt>
                <c:pt idx="254">
                  <c:v>3.417029974202445E-2</c:v>
                </c:pt>
                <c:pt idx="255">
                  <c:v>3.455606114039577E-2</c:v>
                </c:pt>
                <c:pt idx="256">
                  <c:v>3.4930692433380678E-2</c:v>
                </c:pt>
                <c:pt idx="257">
                  <c:v>3.5294202933999853E-2</c:v>
                </c:pt>
                <c:pt idx="258">
                  <c:v>3.5646601488776838E-2</c:v>
                </c:pt>
                <c:pt idx="259">
                  <c:v>3.5987896457763201E-2</c:v>
                </c:pt>
                <c:pt idx="260">
                  <c:v>3.6318095693484369E-2</c:v>
                </c:pt>
                <c:pt idx="261">
                  <c:v>3.6623629621459701E-2</c:v>
                </c:pt>
                <c:pt idx="262">
                  <c:v>3.6895726659165989E-2</c:v>
                </c:pt>
                <c:pt idx="263">
                  <c:v>3.7134372076804707E-2</c:v>
                </c:pt>
                <c:pt idx="264">
                  <c:v>3.7339550793732267E-2</c:v>
                </c:pt>
                <c:pt idx="265">
                  <c:v>3.7511446563948558E-2</c:v>
                </c:pt>
                <c:pt idx="266">
                  <c:v>3.7650144825115757E-2</c:v>
                </c:pt>
                <c:pt idx="267">
                  <c:v>3.7754643301062658E-2</c:v>
                </c:pt>
                <c:pt idx="268">
                  <c:v>3.7845344297338213E-2</c:v>
                </c:pt>
                <c:pt idx="269">
                  <c:v>3.7922193109778762E-2</c:v>
                </c:pt>
                <c:pt idx="270">
                  <c:v>3.7985133269007813E-2</c:v>
                </c:pt>
                <c:pt idx="271">
                  <c:v>3.8034106699795907E-2</c:v>
                </c:pt>
                <c:pt idx="272">
                  <c:v>3.8069053881465427E-2</c:v>
                </c:pt>
                <c:pt idx="273">
                  <c:v>3.8089914007815862E-2</c:v>
                </c:pt>
                <c:pt idx="274">
                  <c:v>3.8096625147547664E-2</c:v>
                </c:pt>
                <c:pt idx="275">
                  <c:v>3.8083670080805175E-2</c:v>
                </c:pt>
                <c:pt idx="276">
                  <c:v>3.8064635585685402E-2</c:v>
                </c:pt>
                <c:pt idx="277">
                  <c:v>3.8039469484385587E-2</c:v>
                </c:pt>
                <c:pt idx="278">
                  <c:v>3.800811947479632E-2</c:v>
                </c:pt>
                <c:pt idx="279">
                  <c:v>3.79705332005194E-2</c:v>
                </c:pt>
                <c:pt idx="280">
                  <c:v>3.7926658321243589E-2</c:v>
                </c:pt>
                <c:pt idx="281">
                  <c:v>3.7914354134831268E-2</c:v>
                </c:pt>
                <c:pt idx="282">
                  <c:v>3.793456660022048E-2</c:v>
                </c:pt>
                <c:pt idx="283">
                  <c:v>3.7987304958262975E-2</c:v>
                </c:pt>
                <c:pt idx="284">
                  <c:v>3.8072578638500956E-2</c:v>
                </c:pt>
                <c:pt idx="285">
                  <c:v>3.8190396903975223E-2</c:v>
                </c:pt>
                <c:pt idx="286">
                  <c:v>3.8340768496396706E-2</c:v>
                </c:pt>
                <c:pt idx="287">
                  <c:v>3.8523701280941874E-2</c:v>
                </c:pt>
                <c:pt idx="288">
                  <c:v>3.8739201891192628E-2</c:v>
                </c:pt>
                <c:pt idx="289">
                  <c:v>3.903800970037663E-2</c:v>
                </c:pt>
                <c:pt idx="290">
                  <c:v>3.9425700281421193E-2</c:v>
                </c:pt>
                <c:pt idx="291">
                  <c:v>3.9902356369735013E-2</c:v>
                </c:pt>
                <c:pt idx="292">
                  <c:v>4.0468054969510864E-2</c:v>
                </c:pt>
                <c:pt idx="293">
                  <c:v>4.1122866385913642E-2</c:v>
                </c:pt>
                <c:pt idx="294">
                  <c:v>4.186685325711903E-2</c:v>
                </c:pt>
                <c:pt idx="295">
                  <c:v>4.2682744503268338E-2</c:v>
                </c:pt>
                <c:pt idx="296">
                  <c:v>4.3532894476406292E-2</c:v>
                </c:pt>
                <c:pt idx="297">
                  <c:v>4.4417673105761231E-2</c:v>
                </c:pt>
                <c:pt idx="298">
                  <c:v>4.5337102089805424E-2</c:v>
                </c:pt>
                <c:pt idx="299">
                  <c:v>4.6291201047451318E-2</c:v>
                </c:pt>
                <c:pt idx="300">
                  <c:v>4.7279987208081443E-2</c:v>
                </c:pt>
                <c:pt idx="301">
                  <c:v>4.8303475101441902E-2</c:v>
                </c:pt>
                <c:pt idx="302">
                  <c:v>4.9361676247639118E-2</c:v>
                </c:pt>
                <c:pt idx="303">
                  <c:v>5.042513008803292E-2</c:v>
                </c:pt>
                <c:pt idx="304">
                  <c:v>5.1442704744853539E-2</c:v>
                </c:pt>
                <c:pt idx="305">
                  <c:v>5.2414285887396266E-2</c:v>
                </c:pt>
                <c:pt idx="306">
                  <c:v>5.3339755788658745E-2</c:v>
                </c:pt>
                <c:pt idx="307">
                  <c:v>5.4218993756911228E-2</c:v>
                </c:pt>
                <c:pt idx="308">
                  <c:v>5.5051876566813339E-2</c:v>
                </c:pt>
                <c:pt idx="309">
                  <c:v>5.5813827776842857E-2</c:v>
                </c:pt>
                <c:pt idx="310">
                  <c:v>5.6522138306346968E-2</c:v>
                </c:pt>
                <c:pt idx="311">
                  <c:v>5.7176670872549046E-2</c:v>
                </c:pt>
                <c:pt idx="312">
                  <c:v>5.7777287771055667E-2</c:v>
                </c:pt>
                <c:pt idx="313">
                  <c:v>5.8323851371893554E-2</c:v>
                </c:pt>
                <c:pt idx="314">
                  <c:v>5.8816224615023165E-2</c:v>
                </c:pt>
                <c:pt idx="315">
                  <c:v>5.925427150658269E-2</c:v>
                </c:pt>
                <c:pt idx="316">
                  <c:v>5.9637857614229579E-2</c:v>
                </c:pt>
                <c:pt idx="317">
                  <c:v>5.9927195554303397E-2</c:v>
                </c:pt>
                <c:pt idx="318">
                  <c:v>6.0151775274336967E-2</c:v>
                </c:pt>
                <c:pt idx="319">
                  <c:v>6.0311460547681793E-2</c:v>
                </c:pt>
                <c:pt idx="320">
                  <c:v>6.0406119698141608E-2</c:v>
                </c:pt>
                <c:pt idx="321">
                  <c:v>6.0435626187439605E-2</c:v>
                </c:pt>
                <c:pt idx="322">
                  <c:v>6.0399859202942739E-2</c:v>
                </c:pt>
                <c:pt idx="323">
                  <c:v>6.029233737398846E-2</c:v>
                </c:pt>
                <c:pt idx="324">
                  <c:v>6.013754070032673E-2</c:v>
                </c:pt>
                <c:pt idx="325">
                  <c:v>5.9935380581960414E-2</c:v>
                </c:pt>
                <c:pt idx="326">
                  <c:v>5.9685403192279635E-2</c:v>
                </c:pt>
                <c:pt idx="327">
                  <c:v>5.9387414921249791E-2</c:v>
                </c:pt>
                <c:pt idx="328">
                  <c:v>5.9041536387918647E-2</c:v>
                </c:pt>
                <c:pt idx="329">
                  <c:v>5.8647892928538177E-2</c:v>
                </c:pt>
                <c:pt idx="330">
                  <c:v>5.8206613635536947E-2</c:v>
                </c:pt>
                <c:pt idx="331">
                  <c:v>5.7735595861300927E-2</c:v>
                </c:pt>
                <c:pt idx="332">
                  <c:v>5.7274783540176309E-2</c:v>
                </c:pt>
                <c:pt idx="333">
                  <c:v>5.6824324405431094E-2</c:v>
                </c:pt>
                <c:pt idx="334">
                  <c:v>5.6384361218768907E-2</c:v>
                </c:pt>
                <c:pt idx="335">
                  <c:v>5.5955032007693563E-2</c:v>
                </c:pt>
                <c:pt idx="336">
                  <c:v>5.5536470302120798E-2</c:v>
                </c:pt>
                <c:pt idx="337">
                  <c:v>5.5138997768596126E-2</c:v>
                </c:pt>
                <c:pt idx="338">
                  <c:v>5.4769120264492786E-2</c:v>
                </c:pt>
                <c:pt idx="339">
                  <c:v>5.442696036142141E-2</c:v>
                </c:pt>
                <c:pt idx="340">
                  <c:v>5.4112636957721123E-2</c:v>
                </c:pt>
                <c:pt idx="341">
                  <c:v>5.3826265860143302E-2</c:v>
                </c:pt>
                <c:pt idx="342">
                  <c:v>5.3567960365485306E-2</c:v>
                </c:pt>
                <c:pt idx="343">
                  <c:v>5.3337831841576977E-2</c:v>
                </c:pt>
                <c:pt idx="344">
                  <c:v>5.3135990309113847E-2</c:v>
                </c:pt>
                <c:pt idx="345">
                  <c:v>5.2962545022922407E-2</c:v>
                </c:pt>
                <c:pt idx="346">
                  <c:v>5.2807467664543972E-2</c:v>
                </c:pt>
                <c:pt idx="347">
                  <c:v>5.2670865681720434E-2</c:v>
                </c:pt>
                <c:pt idx="348">
                  <c:v>5.2552846616725636E-2</c:v>
                </c:pt>
                <c:pt idx="349">
                  <c:v>5.245351847666338E-2</c:v>
                </c:pt>
                <c:pt idx="350">
                  <c:v>5.2372990104997123E-2</c:v>
                </c:pt>
                <c:pt idx="351">
                  <c:v>5.2319015255637313E-2</c:v>
                </c:pt>
                <c:pt idx="352">
                  <c:v>5.2281507192194682E-2</c:v>
                </c:pt>
                <c:pt idx="353">
                  <c:v>5.2260578643632059E-2</c:v>
                </c:pt>
                <c:pt idx="354">
                  <c:v>5.2256344308277462E-2</c:v>
                </c:pt>
                <c:pt idx="355">
                  <c:v>5.2268921168829002E-2</c:v>
                </c:pt>
                <c:pt idx="356">
                  <c:v>5.2298464951246092E-2</c:v>
                </c:pt>
                <c:pt idx="357">
                  <c:v>5.2344981612862052E-2</c:v>
                </c:pt>
                <c:pt idx="358">
                  <c:v>5.2408353799855277E-2</c:v>
                </c:pt>
                <c:pt idx="359">
                  <c:v>5.2488466436965746E-2</c:v>
                </c:pt>
                <c:pt idx="360">
                  <c:v>5.2595431742496201E-2</c:v>
                </c:pt>
                <c:pt idx="361">
                  <c:v>5.2721484887825222E-2</c:v>
                </c:pt>
                <c:pt idx="362">
                  <c:v>5.2866519115609349E-2</c:v>
                </c:pt>
                <c:pt idx="363">
                  <c:v>5.3030428523732374E-2</c:v>
                </c:pt>
                <c:pt idx="364">
                  <c:v>5.3213107608418408E-2</c:v>
                </c:pt>
                <c:pt idx="365">
                  <c:v>5.3414450806702922E-2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2760"/>
        <c:axId val="591162368"/>
      </c:lineChart>
      <c:dateAx>
        <c:axId val="591162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2368"/>
        <c:crosses val="autoZero"/>
        <c:auto val="1"/>
        <c:lblOffset val="100"/>
        <c:baseTimeUnit val="days"/>
      </c:dateAx>
      <c:valAx>
        <c:axId val="5911623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27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161584"/>
        <c:axId val="591161192"/>
      </c:scatterChart>
      <c:valAx>
        <c:axId val="5911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1192"/>
        <c:crosses val="autoZero"/>
        <c:crossBetween val="midCat"/>
      </c:valAx>
      <c:valAx>
        <c:axId val="59116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15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26.134459452639362</c:v>
                </c:pt>
                <c:pt idx="1">
                  <c:v>26.288223280937508</c:v>
                </c:pt>
                <c:pt idx="2">
                  <c:v>26.452241711472645</c:v>
                </c:pt>
                <c:pt idx="3">
                  <c:v>26.626132222085161</c:v>
                </c:pt>
                <c:pt idx="4">
                  <c:v>26.809512289587794</c:v>
                </c:pt>
                <c:pt idx="5">
                  <c:v>27.001999389290297</c:v>
                </c:pt>
                <c:pt idx="6">
                  <c:v>27.20321099665658</c:v>
                </c:pt>
                <c:pt idx="7">
                  <c:v>27.412764590824473</c:v>
                </c:pt>
                <c:pt idx="8">
                  <c:v>27.632339721011213</c:v>
                </c:pt>
                <c:pt idx="9">
                  <c:v>27.863399291900556</c:v>
                </c:pt>
                <c:pt idx="10">
                  <c:v>28.105235809712728</c:v>
                </c:pt>
                <c:pt idx="11">
                  <c:v>28.357141776387969</c:v>
                </c:pt>
                <c:pt idx="12">
                  <c:v>28.618409696125923</c:v>
                </c:pt>
                <c:pt idx="13">
                  <c:v>28.888332073936432</c:v>
                </c:pt>
                <c:pt idx="14">
                  <c:v>29.166201412454569</c:v>
                </c:pt>
                <c:pt idx="15">
                  <c:v>29.451310215807826</c:v>
                </c:pt>
                <c:pt idx="16">
                  <c:v>29.742950988911993</c:v>
                </c:pt>
                <c:pt idx="17">
                  <c:v>30.040416235477878</c:v>
                </c:pt>
                <c:pt idx="18">
                  <c:v>30.342998458838359</c:v>
                </c:pt>
                <c:pt idx="19">
                  <c:v>30.649990163537048</c:v>
                </c:pt>
                <c:pt idx="20">
                  <c:v>30.960683853845595</c:v>
                </c:pt>
                <c:pt idx="21">
                  <c:v>31.274372032377869</c:v>
                </c:pt>
                <c:pt idx="22">
                  <c:v>31.593448940601338</c:v>
                </c:pt>
                <c:pt idx="23">
                  <c:v>31.920298824971539</c:v>
                </c:pt>
                <c:pt idx="24">
                  <c:v>32.254199197845139</c:v>
                </c:pt>
                <c:pt idx="25">
                  <c:v>32.594427570720605</c:v>
                </c:pt>
                <c:pt idx="26">
                  <c:v>32.940261456939126</c:v>
                </c:pt>
                <c:pt idx="27">
                  <c:v>33.290978368837386</c:v>
                </c:pt>
                <c:pt idx="28">
                  <c:v>33.64585581871215</c:v>
                </c:pt>
                <c:pt idx="29">
                  <c:v>34.004171319392377</c:v>
                </c:pt>
                <c:pt idx="30">
                  <c:v>34.365202381870972</c:v>
                </c:pt>
                <c:pt idx="31">
                  <c:v>34.72822652048697</c:v>
                </c:pt>
                <c:pt idx="32">
                  <c:v>35.092521247324271</c:v>
                </c:pt>
                <c:pt idx="33">
                  <c:v>35.457364073828131</c:v>
                </c:pt>
                <c:pt idx="34">
                  <c:v>35.822032513319783</c:v>
                </c:pt>
                <c:pt idx="35">
                  <c:v>36.185804077796639</c:v>
                </c:pt>
                <c:pt idx="36">
                  <c:v>36.550654839082355</c:v>
                </c:pt>
                <c:pt idx="37">
                  <c:v>36.918697711519364</c:v>
                </c:pt>
                <c:pt idx="38">
                  <c:v>37.289415473833543</c:v>
                </c:pt>
                <c:pt idx="39">
                  <c:v>37.662290903945859</c:v>
                </c:pt>
                <c:pt idx="40">
                  <c:v>38.036806779730668</c:v>
                </c:pt>
                <c:pt idx="41">
                  <c:v>38.412445879867299</c:v>
                </c:pt>
                <c:pt idx="42">
                  <c:v>38.788690982246777</c:v>
                </c:pt>
                <c:pt idx="43">
                  <c:v>39.165024865046142</c:v>
                </c:pt>
                <c:pt idx="44">
                  <c:v>39.540930306242913</c:v>
                </c:pt>
                <c:pt idx="45">
                  <c:v>39.915890084113926</c:v>
                </c:pt>
                <c:pt idx="46">
                  <c:v>40.289386976852882</c:v>
                </c:pt>
                <c:pt idx="47">
                  <c:v>40.660903762453898</c:v>
                </c:pt>
                <c:pt idx="48">
                  <c:v>41.029923218970993</c:v>
                </c:pt>
                <c:pt idx="49">
                  <c:v>41.395928125036882</c:v>
                </c:pt>
                <c:pt idx="50">
                  <c:v>41.760505025624298</c:v>
                </c:pt>
                <c:pt idx="51">
                  <c:v>42.125391162632567</c:v>
                </c:pt>
                <c:pt idx="52">
                  <c:v>42.490295356828057</c:v>
                </c:pt>
                <c:pt idx="53">
                  <c:v>42.854926430320901</c:v>
                </c:pt>
                <c:pt idx="54">
                  <c:v>43.218993204449568</c:v>
                </c:pt>
                <c:pt idx="55">
                  <c:v>43.582204500592447</c:v>
                </c:pt>
                <c:pt idx="56">
                  <c:v>43.944269140623511</c:v>
                </c:pt>
                <c:pt idx="57">
                  <c:v>44.304895945598503</c:v>
                </c:pt>
                <c:pt idx="58">
                  <c:v>44.663793737155252</c:v>
                </c:pt>
                <c:pt idx="59">
                  <c:v>45.02067133731741</c:v>
                </c:pt>
                <c:pt idx="60">
                  <c:v>45.375237567060893</c:v>
                </c:pt>
                <c:pt idx="61">
                  <c:v>45.727201247880501</c:v>
                </c:pt>
                <c:pt idx="62">
                  <c:v>46.076271201823175</c:v>
                </c:pt>
                <c:pt idx="63">
                  <c:v>46.422156249964615</c:v>
                </c:pt>
                <c:pt idx="64">
                  <c:v>46.766393543793157</c:v>
                </c:pt>
                <c:pt idx="65">
                  <c:v>47.110502177270661</c:v>
                </c:pt>
                <c:pt idx="66">
                  <c:v>47.454163885675371</c:v>
                </c:pt>
                <c:pt idx="67">
                  <c:v>47.797060404352045</c:v>
                </c:pt>
                <c:pt idx="68">
                  <c:v>48.138873467893745</c:v>
                </c:pt>
                <c:pt idx="69">
                  <c:v>48.479284812011088</c:v>
                </c:pt>
                <c:pt idx="70">
                  <c:v>48.817976171616465</c:v>
                </c:pt>
                <c:pt idx="71">
                  <c:v>49.15462928178188</c:v>
                </c:pt>
                <c:pt idx="72">
                  <c:v>49.488925877612616</c:v>
                </c:pt>
                <c:pt idx="73">
                  <c:v>49.820547694593138</c:v>
                </c:pt>
                <c:pt idx="74">
                  <c:v>50.149176467718959</c:v>
                </c:pt>
                <c:pt idx="75">
                  <c:v>50.474493931958982</c:v>
                </c:pt>
                <c:pt idx="76">
                  <c:v>50.796181822222259</c:v>
                </c:pt>
                <c:pt idx="77">
                  <c:v>51.113921874435619</c:v>
                </c:pt>
                <c:pt idx="78">
                  <c:v>51.428772714531185</c:v>
                </c:pt>
                <c:pt idx="79">
                  <c:v>51.741738793160764</c:v>
                </c:pt>
                <c:pt idx="80">
                  <c:v>52.052420589144873</c:v>
                </c:pt>
                <c:pt idx="81">
                  <c:v>52.360418576574219</c:v>
                </c:pt>
                <c:pt idx="82">
                  <c:v>52.665333232878979</c:v>
                </c:pt>
                <c:pt idx="83">
                  <c:v>52.966765032336113</c:v>
                </c:pt>
                <c:pt idx="84">
                  <c:v>53.264314452768303</c:v>
                </c:pt>
                <c:pt idx="85">
                  <c:v>53.557581969350579</c:v>
                </c:pt>
                <c:pt idx="86">
                  <c:v>53.846168058901092</c:v>
                </c:pt>
                <c:pt idx="87">
                  <c:v>54.129673195444049</c:v>
                </c:pt>
                <c:pt idx="88">
                  <c:v>54.407697857663578</c:v>
                </c:pt>
                <c:pt idx="89">
                  <c:v>54.67984251999961</c:v>
                </c:pt>
                <c:pt idx="90">
                  <c:v>54.945707658951036</c:v>
                </c:pt>
                <c:pt idx="91">
                  <c:v>55.204893749207258</c:v>
                </c:pt>
                <c:pt idx="92">
                  <c:v>55.457893991097805</c:v>
                </c:pt>
                <c:pt idx="93">
                  <c:v>55.705359584252747</c:v>
                </c:pt>
                <c:pt idx="94">
                  <c:v>55.947128011499132</c:v>
                </c:pt>
                <c:pt idx="95">
                  <c:v>56.183036752909956</c:v>
                </c:pt>
                <c:pt idx="96">
                  <c:v>56.412923291624921</c:v>
                </c:pt>
                <c:pt idx="97">
                  <c:v>56.636625109080754</c:v>
                </c:pt>
                <c:pt idx="98">
                  <c:v>56.853979687485847</c:v>
                </c:pt>
                <c:pt idx="99">
                  <c:v>57.064824508050719</c:v>
                </c:pt>
                <c:pt idx="100">
                  <c:v>57.268997052252033</c:v>
                </c:pt>
                <c:pt idx="101">
                  <c:v>57.466334803056512</c:v>
                </c:pt>
                <c:pt idx="102">
                  <c:v>57.656675241747877</c:v>
                </c:pt>
                <c:pt idx="103">
                  <c:v>57.839855849184097</c:v>
                </c:pt>
                <c:pt idx="104">
                  <c:v>58.015714107966048</c:v>
                </c:pt>
                <c:pt idx="105">
                  <c:v>58.184087499789896</c:v>
                </c:pt>
                <c:pt idx="106">
                  <c:v>58.345029069343582</c:v>
                </c:pt>
                <c:pt idx="107">
                  <c:v>58.498822093728393</c:v>
                </c:pt>
                <c:pt idx="108">
                  <c:v>58.645649406167543</c:v>
                </c:pt>
                <c:pt idx="109">
                  <c:v>58.785693840815554</c:v>
                </c:pt>
                <c:pt idx="110">
                  <c:v>58.919138229897776</c:v>
                </c:pt>
                <c:pt idx="111">
                  <c:v>59.046165405918984</c:v>
                </c:pt>
                <c:pt idx="112">
                  <c:v>59.16695820260793</c:v>
                </c:pt>
                <c:pt idx="113">
                  <c:v>59.281699453347493</c:v>
                </c:pt>
                <c:pt idx="114">
                  <c:v>59.390571990003806</c:v>
                </c:pt>
                <c:pt idx="115">
                  <c:v>59.493758645853291</c:v>
                </c:pt>
                <c:pt idx="116">
                  <c:v>59.59144225421894</c:v>
                </c:pt>
                <c:pt idx="117">
                  <c:v>59.683805648769649</c:v>
                </c:pt>
                <c:pt idx="118">
                  <c:v>59.771031661245175</c:v>
                </c:pt>
                <c:pt idx="119">
                  <c:v>59.853303124941888</c:v>
                </c:pt>
                <c:pt idx="120">
                  <c:v>59.930062512554493</c:v>
                </c:pt>
                <c:pt idx="121">
                  <c:v>60.000824526005559</c:v>
                </c:pt>
                <c:pt idx="122">
                  <c:v>60.065880344914532</c:v>
                </c:pt>
                <c:pt idx="123">
                  <c:v>60.125521145774314</c:v>
                </c:pt>
                <c:pt idx="124">
                  <c:v>60.180038108636758</c:v>
                </c:pt>
                <c:pt idx="125">
                  <c:v>60.229722412449441</c:v>
                </c:pt>
                <c:pt idx="126">
                  <c:v>60.274865234782922</c:v>
                </c:pt>
                <c:pt idx="127">
                  <c:v>60.315757753540368</c:v>
                </c:pt>
                <c:pt idx="128">
                  <c:v>60.352691147695957</c:v>
                </c:pt>
                <c:pt idx="129">
                  <c:v>60.385956596050946</c:v>
                </c:pt>
                <c:pt idx="130">
                  <c:v>60.41584527721362</c:v>
                </c:pt>
                <c:pt idx="131">
                  <c:v>60.442648369313346</c:v>
                </c:pt>
                <c:pt idx="132">
                  <c:v>60.46665705071895</c:v>
                </c:pt>
                <c:pt idx="133">
                  <c:v>60.488162500131878</c:v>
                </c:pt>
                <c:pt idx="134">
                  <c:v>60.506215565791351</c:v>
                </c:pt>
                <c:pt idx="135">
                  <c:v>60.519835495556308</c:v>
                </c:pt>
                <c:pt idx="136">
                  <c:v>60.529266066729491</c:v>
                </c:pt>
                <c:pt idx="137">
                  <c:v>60.534751056919667</c:v>
                </c:pt>
                <c:pt idx="138">
                  <c:v>60.536534242970603</c:v>
                </c:pt>
                <c:pt idx="139">
                  <c:v>60.534859402417865</c:v>
                </c:pt>
                <c:pt idx="140">
                  <c:v>60.529970312002114</c:v>
                </c:pt>
                <c:pt idx="141">
                  <c:v>60.522110750659238</c:v>
                </c:pt>
                <c:pt idx="142">
                  <c:v>60.511524494151985</c:v>
                </c:pt>
                <c:pt idx="143">
                  <c:v>60.498455320677856</c:v>
                </c:pt>
                <c:pt idx="144">
                  <c:v>60.483147006711391</c:v>
                </c:pt>
                <c:pt idx="145">
                  <c:v>60.465843330922411</c:v>
                </c:pt>
                <c:pt idx="146">
                  <c:v>60.446788069173429</c:v>
                </c:pt>
                <c:pt idx="147">
                  <c:v>60.426224999595433</c:v>
                </c:pt>
                <c:pt idx="148">
                  <c:v>60.403347174462404</c:v>
                </c:pt>
                <c:pt idx="149">
                  <c:v>60.377316043831947</c:v>
                </c:pt>
                <c:pt idx="150">
                  <c:v>60.348327984913652</c:v>
                </c:pt>
                <c:pt idx="151">
                  <c:v>60.316579372828286</c:v>
                </c:pt>
                <c:pt idx="152">
                  <c:v>60.28226658497006</c:v>
                </c:pt>
                <c:pt idx="153">
                  <c:v>60.245585996328323</c:v>
                </c:pt>
                <c:pt idx="154">
                  <c:v>60.20673398434883</c:v>
                </c:pt>
                <c:pt idx="155">
                  <c:v>60.16590692414902</c:v>
                </c:pt>
                <c:pt idx="156">
                  <c:v>60.123301192208388</c:v>
                </c:pt>
                <c:pt idx="157">
                  <c:v>60.079113165053002</c:v>
                </c:pt>
                <c:pt idx="158">
                  <c:v>60.033539218262639</c:v>
                </c:pt>
                <c:pt idx="159">
                  <c:v>59.986775728700948</c:v>
                </c:pt>
                <c:pt idx="160">
                  <c:v>59.939019072054158</c:v>
                </c:pt>
                <c:pt idx="161">
                  <c:v>59.890465624746867</c:v>
                </c:pt>
                <c:pt idx="162">
                  <c:v>59.840574788222355</c:v>
                </c:pt>
                <c:pt idx="163">
                  <c:v>59.788765333419931</c:v>
                </c:pt>
                <c:pt idx="164">
                  <c:v>59.73517269252001</c:v>
                </c:pt>
                <c:pt idx="165">
                  <c:v>59.67993229765645</c:v>
                </c:pt>
                <c:pt idx="166">
                  <c:v>59.623179580415936</c:v>
                </c:pt>
                <c:pt idx="167">
                  <c:v>59.565049972514892</c:v>
                </c:pt>
                <c:pt idx="168">
                  <c:v>59.505678906175305</c:v>
                </c:pt>
                <c:pt idx="169">
                  <c:v>59.445201812973906</c:v>
                </c:pt>
                <c:pt idx="170">
                  <c:v>59.383754124800078</c:v>
                </c:pt>
                <c:pt idx="171">
                  <c:v>59.321471273642963</c:v>
                </c:pt>
                <c:pt idx="172">
                  <c:v>59.258488691197385</c:v>
                </c:pt>
                <c:pt idx="173">
                  <c:v>59.194941809457461</c:v>
                </c:pt>
                <c:pt idx="174">
                  <c:v>59.130966059991621</c:v>
                </c:pt>
                <c:pt idx="175">
                  <c:v>59.066696875030175</c:v>
                </c:pt>
                <c:pt idx="176">
                  <c:v>59.001844204390153</c:v>
                </c:pt>
                <c:pt idx="177">
                  <c:v>58.93605931120193</c:v>
                </c:pt>
                <c:pt idx="178">
                  <c:v>58.869389596631351</c:v>
                </c:pt>
                <c:pt idx="179">
                  <c:v>58.801882461737847</c:v>
                </c:pt>
                <c:pt idx="180">
                  <c:v>58.733585307707216</c:v>
                </c:pt>
                <c:pt idx="181">
                  <c:v>58.664545535785145</c:v>
                </c:pt>
                <c:pt idx="182">
                  <c:v>58.594810546876403</c:v>
                </c:pt>
                <c:pt idx="183">
                  <c:v>58.524427742341402</c:v>
                </c:pt>
                <c:pt idx="184">
                  <c:v>58.453444523309422</c:v>
                </c:pt>
                <c:pt idx="185">
                  <c:v>58.381908290760066</c:v>
                </c:pt>
                <c:pt idx="186">
                  <c:v>58.309866446136894</c:v>
                </c:pt>
                <c:pt idx="187">
                  <c:v>58.237366390338039</c:v>
                </c:pt>
                <c:pt idx="188">
                  <c:v>58.16445552455427</c:v>
                </c:pt>
                <c:pt idx="189">
                  <c:v>58.091181250009683</c:v>
                </c:pt>
                <c:pt idx="190">
                  <c:v>58.017605639611645</c:v>
                </c:pt>
                <c:pt idx="191">
                  <c:v>57.943723050248806</c:v>
                </c:pt>
                <c:pt idx="192">
                  <c:v>57.869479309469796</c:v>
                </c:pt>
                <c:pt idx="193">
                  <c:v>57.79482024425441</c:v>
                </c:pt>
                <c:pt idx="194">
                  <c:v>57.719691681933391</c:v>
                </c:pt>
                <c:pt idx="195">
                  <c:v>57.644039449760953</c:v>
                </c:pt>
                <c:pt idx="196">
                  <c:v>57.567809375049549</c:v>
                </c:pt>
                <c:pt idx="197">
                  <c:v>57.490947285071684</c:v>
                </c:pt>
                <c:pt idx="198">
                  <c:v>57.41339900700342</c:v>
                </c:pt>
                <c:pt idx="199">
                  <c:v>57.335110368100665</c:v>
                </c:pt>
                <c:pt idx="200">
                  <c:v>57.256027195858771</c:v>
                </c:pt>
                <c:pt idx="201">
                  <c:v>57.176095317151137</c:v>
                </c:pt>
                <c:pt idx="202">
                  <c:v>57.095260559496403</c:v>
                </c:pt>
                <c:pt idx="203">
                  <c:v>57.013468750077301</c:v>
                </c:pt>
                <c:pt idx="204">
                  <c:v>56.93112279869716</c:v>
                </c:pt>
                <c:pt idx="205">
                  <c:v>56.848557899240404</c:v>
                </c:pt>
                <c:pt idx="206">
                  <c:v>56.765618304830113</c:v>
                </c:pt>
                <c:pt idx="207">
                  <c:v>56.682148269144818</c:v>
                </c:pt>
                <c:pt idx="208">
                  <c:v>56.597992045211143</c:v>
                </c:pt>
                <c:pt idx="209">
                  <c:v>56.512993886824034</c:v>
                </c:pt>
                <c:pt idx="210">
                  <c:v>56.426998046890368</c:v>
                </c:pt>
                <c:pt idx="211">
                  <c:v>56.339848779248342</c:v>
                </c:pt>
                <c:pt idx="212">
                  <c:v>56.251390337034337</c:v>
                </c:pt>
                <c:pt idx="213">
                  <c:v>56.161466973637495</c:v>
                </c:pt>
                <c:pt idx="214">
                  <c:v>56.06992294211274</c:v>
                </c:pt>
                <c:pt idx="215">
                  <c:v>55.976602496542711</c:v>
                </c:pt>
                <c:pt idx="216">
                  <c:v>55.881349889747796</c:v>
                </c:pt>
                <c:pt idx="217">
                  <c:v>55.784009375376627</c:v>
                </c:pt>
                <c:pt idx="218">
                  <c:v>55.685296484568553</c:v>
                </c:pt>
                <c:pt idx="219">
                  <c:v>55.585872576838092</c:v>
                </c:pt>
                <c:pt idx="220">
                  <c:v>55.485500645913589</c:v>
                </c:pt>
                <c:pt idx="221">
                  <c:v>55.383943686424757</c:v>
                </c:pt>
                <c:pt idx="222">
                  <c:v>55.280964692545652</c:v>
                </c:pt>
                <c:pt idx="223">
                  <c:v>55.176326658330595</c:v>
                </c:pt>
                <c:pt idx="224">
                  <c:v>55.069792578113265</c:v>
                </c:pt>
                <c:pt idx="225">
                  <c:v>54.961125446466866</c:v>
                </c:pt>
                <c:pt idx="226">
                  <c:v>54.850088257272731</c:v>
                </c:pt>
                <c:pt idx="227">
                  <c:v>54.736444004977656</c:v>
                </c:pt>
                <c:pt idx="228">
                  <c:v>54.619955684490762</c:v>
                </c:pt>
                <c:pt idx="229">
                  <c:v>54.500386288376255</c:v>
                </c:pt>
                <c:pt idx="230">
                  <c:v>54.377498812426353</c:v>
                </c:pt>
                <c:pt idx="231">
                  <c:v>54.251056250417605</c:v>
                </c:pt>
                <c:pt idx="232">
                  <c:v>54.121586786237145</c:v>
                </c:pt>
                <c:pt idx="233">
                  <c:v>53.989645690537458</c:v>
                </c:pt>
                <c:pt idx="234">
                  <c:v>53.855036588139569</c:v>
                </c:pt>
                <c:pt idx="235">
                  <c:v>53.717563101463014</c:v>
                </c:pt>
                <c:pt idx="236">
                  <c:v>53.577028854972951</c:v>
                </c:pt>
                <c:pt idx="237">
                  <c:v>53.433237472801864</c:v>
                </c:pt>
                <c:pt idx="238">
                  <c:v>53.285992577974682</c:v>
                </c:pt>
                <c:pt idx="239">
                  <c:v>53.135097794733667</c:v>
                </c:pt>
                <c:pt idx="240">
                  <c:v>52.980356748042894</c:v>
                </c:pt>
                <c:pt idx="241">
                  <c:v>52.821573059234233</c:v>
                </c:pt>
                <c:pt idx="242">
                  <c:v>52.658550353740736</c:v>
                </c:pt>
                <c:pt idx="243">
                  <c:v>52.491092255511987</c:v>
                </c:pt>
                <c:pt idx="244">
                  <c:v>52.319002388008599</c:v>
                </c:pt>
                <c:pt idx="245">
                  <c:v>52.142084374278781</c:v>
                </c:pt>
                <c:pt idx="246">
                  <c:v>51.960430761719394</c:v>
                </c:pt>
                <c:pt idx="247">
                  <c:v>51.774278553216057</c:v>
                </c:pt>
                <c:pt idx="248">
                  <c:v>51.583648064559597</c:v>
                </c:pt>
                <c:pt idx="249">
                  <c:v>51.388559611554122</c:v>
                </c:pt>
                <c:pt idx="250">
                  <c:v>51.189033508161081</c:v>
                </c:pt>
                <c:pt idx="251">
                  <c:v>50.985090069033731</c:v>
                </c:pt>
                <c:pt idx="252">
                  <c:v>50.776749609643595</c:v>
                </c:pt>
                <c:pt idx="253">
                  <c:v>50.564032443240279</c:v>
                </c:pt>
                <c:pt idx="254">
                  <c:v>50.346958885960547</c:v>
                </c:pt>
                <c:pt idx="255">
                  <c:v>50.125549252450995</c:v>
                </c:pt>
                <c:pt idx="256">
                  <c:v>49.899823857704177</c:v>
                </c:pt>
                <c:pt idx="257">
                  <c:v>49.669803016207048</c:v>
                </c:pt>
                <c:pt idx="258">
                  <c:v>49.435507041462031</c:v>
                </c:pt>
                <c:pt idx="259">
                  <c:v>49.196956249698999</c:v>
                </c:pt>
                <c:pt idx="260">
                  <c:v>48.953825604745987</c:v>
                </c:pt>
                <c:pt idx="261">
                  <c:v>48.705925500585828</c:v>
                </c:pt>
                <c:pt idx="262">
                  <c:v>48.453479401434642</c:v>
                </c:pt>
                <c:pt idx="263">
                  <c:v>48.196710769180207</c:v>
                </c:pt>
                <c:pt idx="264">
                  <c:v>47.935843065401002</c:v>
                </c:pt>
                <c:pt idx="265">
                  <c:v>47.671099753884064</c:v>
                </c:pt>
                <c:pt idx="266">
                  <c:v>47.402704296796585</c:v>
                </c:pt>
                <c:pt idx="267">
                  <c:v>47.130880156744809</c:v>
                </c:pt>
                <c:pt idx="268">
                  <c:v>46.855850796078869</c:v>
                </c:pt>
                <c:pt idx="269">
                  <c:v>46.577839677528075</c:v>
                </c:pt>
                <c:pt idx="270">
                  <c:v>46.297070263209754</c:v>
                </c:pt>
                <c:pt idx="271">
                  <c:v>46.013766016691392</c:v>
                </c:pt>
                <c:pt idx="272">
                  <c:v>45.728150399973885</c:v>
                </c:pt>
                <c:pt idx="273">
                  <c:v>45.440446874685591</c:v>
                </c:pt>
                <c:pt idx="274">
                  <c:v>45.149571987743755</c:v>
                </c:pt>
                <c:pt idx="275">
                  <c:v>44.85452354223068</c:v>
                </c:pt>
                <c:pt idx="276">
                  <c:v>44.555646889493801</c:v>
                </c:pt>
                <c:pt idx="277">
                  <c:v>44.253287381678817</c:v>
                </c:pt>
                <c:pt idx="278">
                  <c:v>43.947790368732868</c:v>
                </c:pt>
                <c:pt idx="279">
                  <c:v>43.639501202751745</c:v>
                </c:pt>
                <c:pt idx="280">
                  <c:v>43.328765234351152</c:v>
                </c:pt>
                <c:pt idx="281">
                  <c:v>43.015927814984963</c:v>
                </c:pt>
                <c:pt idx="282">
                  <c:v>42.701334296416363</c:v>
                </c:pt>
                <c:pt idx="283">
                  <c:v>42.38533002913131</c:v>
                </c:pt>
                <c:pt idx="284">
                  <c:v>42.068260364397432</c:v>
                </c:pt>
                <c:pt idx="285">
                  <c:v>41.750470654280591</c:v>
                </c:pt>
                <c:pt idx="286">
                  <c:v>41.432306248764512</c:v>
                </c:pt>
                <c:pt idx="287">
                  <c:v>41.114112499821928</c:v>
                </c:pt>
                <c:pt idx="288">
                  <c:v>40.794480916239053</c:v>
                </c:pt>
                <c:pt idx="289">
                  <c:v>40.472066207968496</c:v>
                </c:pt>
                <c:pt idx="290">
                  <c:v>40.147308528865686</c:v>
                </c:pt>
                <c:pt idx="291">
                  <c:v>39.820648032114178</c:v>
                </c:pt>
                <c:pt idx="292">
                  <c:v>39.492524871343214</c:v>
                </c:pt>
                <c:pt idx="293">
                  <c:v>39.163379200062323</c:v>
                </c:pt>
                <c:pt idx="294">
                  <c:v>38.833651172020474</c:v>
                </c:pt>
                <c:pt idx="295">
                  <c:v>38.503780940367974</c:v>
                </c:pt>
                <c:pt idx="296">
                  <c:v>38.174208658604357</c:v>
                </c:pt>
                <c:pt idx="297">
                  <c:v>37.845374480821192</c:v>
                </c:pt>
                <c:pt idx="298">
                  <c:v>37.517718559949259</c:v>
                </c:pt>
                <c:pt idx="299">
                  <c:v>37.191681049810725</c:v>
                </c:pt>
                <c:pt idx="300">
                  <c:v>36.867702103658978</c:v>
                </c:pt>
                <c:pt idx="301">
                  <c:v>36.546221874980262</c:v>
                </c:pt>
                <c:pt idx="302">
                  <c:v>36.225510222451497</c:v>
                </c:pt>
                <c:pt idx="303">
                  <c:v>35.903877633098247</c:v>
                </c:pt>
                <c:pt idx="304">
                  <c:v>35.581825205251306</c:v>
                </c:pt>
                <c:pt idx="305">
                  <c:v>35.259854036343413</c:v>
                </c:pt>
                <c:pt idx="306">
                  <c:v>34.93846522444926</c:v>
                </c:pt>
                <c:pt idx="307">
                  <c:v>34.618159867204454</c:v>
                </c:pt>
                <c:pt idx="308">
                  <c:v>34.299439062713645</c:v>
                </c:pt>
                <c:pt idx="309">
                  <c:v>33.982803908901822</c:v>
                </c:pt>
                <c:pt idx="310">
                  <c:v>33.668755503274895</c:v>
                </c:pt>
                <c:pt idx="311">
                  <c:v>33.357794943731278</c:v>
                </c:pt>
                <c:pt idx="312">
                  <c:v>33.05042332837558</c:v>
                </c:pt>
                <c:pt idx="313">
                  <c:v>32.747141755299111</c:v>
                </c:pt>
                <c:pt idx="314">
                  <c:v>32.448451321595343</c:v>
                </c:pt>
                <c:pt idx="315">
                  <c:v>32.15485312566161</c:v>
                </c:pt>
                <c:pt idx="316">
                  <c:v>31.863997273133801</c:v>
                </c:pt>
                <c:pt idx="317">
                  <c:v>31.573628527365088</c:v>
                </c:pt>
                <c:pt idx="318">
                  <c:v>31.284389972450612</c:v>
                </c:pt>
                <c:pt idx="319">
                  <c:v>30.996924692571966</c:v>
                </c:pt>
                <c:pt idx="320">
                  <c:v>30.711875772323193</c:v>
                </c:pt>
                <c:pt idx="321">
                  <c:v>30.429886294994503</c:v>
                </c:pt>
                <c:pt idx="322">
                  <c:v>30.151599345752039</c:v>
                </c:pt>
                <c:pt idx="323">
                  <c:v>29.877658008478051</c:v>
                </c:pt>
                <c:pt idx="324">
                  <c:v>29.608705366130124</c:v>
                </c:pt>
                <c:pt idx="325">
                  <c:v>29.345384505630605</c:v>
                </c:pt>
                <c:pt idx="326">
                  <c:v>29.088338508689777</c:v>
                </c:pt>
                <c:pt idx="327">
                  <c:v>28.838210459712094</c:v>
                </c:pt>
                <c:pt idx="328">
                  <c:v>28.595643444449109</c:v>
                </c:pt>
                <c:pt idx="329">
                  <c:v>28.3612805461511</c:v>
                </c:pt>
                <c:pt idx="330">
                  <c:v>28.133171001655448</c:v>
                </c:pt>
                <c:pt idx="331">
                  <c:v>27.909383161605469</c:v>
                </c:pt>
                <c:pt idx="332">
                  <c:v>27.690588771817936</c:v>
                </c:pt>
                <c:pt idx="333">
                  <c:v>27.47745958077056</c:v>
                </c:pt>
                <c:pt idx="334">
                  <c:v>27.270667337074077</c:v>
                </c:pt>
                <c:pt idx="335">
                  <c:v>27.070883785294633</c:v>
                </c:pt>
                <c:pt idx="336">
                  <c:v>26.878780675027521</c:v>
                </c:pt>
                <c:pt idx="337">
                  <c:v>26.695029756480029</c:v>
                </c:pt>
                <c:pt idx="338">
                  <c:v>26.520302772335711</c:v>
                </c:pt>
                <c:pt idx="339">
                  <c:v>26.355271473979307</c:v>
                </c:pt>
                <c:pt idx="340">
                  <c:v>26.200607607666669</c:v>
                </c:pt>
                <c:pt idx="341">
                  <c:v>26.056982923205943</c:v>
                </c:pt>
                <c:pt idx="342">
                  <c:v>25.925069164644391</c:v>
                </c:pt>
                <c:pt idx="343">
                  <c:v>25.805538081191479</c:v>
                </c:pt>
                <c:pt idx="344">
                  <c:v>25.697524217457001</c:v>
                </c:pt>
                <c:pt idx="345">
                  <c:v>25.599867370242045</c:v>
                </c:pt>
                <c:pt idx="346">
                  <c:v>25.512797163388797</c:v>
                </c:pt>
                <c:pt idx="347">
                  <c:v>25.436543233351316</c:v>
                </c:pt>
                <c:pt idx="348">
                  <c:v>25.371335205028355</c:v>
                </c:pt>
                <c:pt idx="349">
                  <c:v>25.317402707965208</c:v>
                </c:pt>
                <c:pt idx="350">
                  <c:v>25.274975373538147</c:v>
                </c:pt>
                <c:pt idx="351">
                  <c:v>25.244282829763339</c:v>
                </c:pt>
                <c:pt idx="352">
                  <c:v>25.225554704521166</c:v>
                </c:pt>
                <c:pt idx="353">
                  <c:v>25.219020629859543</c:v>
                </c:pt>
                <c:pt idx="354">
                  <c:v>25.224910232873423</c:v>
                </c:pt>
                <c:pt idx="355">
                  <c:v>25.243453143756341</c:v>
                </c:pt>
                <c:pt idx="356">
                  <c:v>25.274878991280083</c:v>
                </c:pt>
                <c:pt idx="357">
                  <c:v>25.31941740636168</c:v>
                </c:pt>
                <c:pt idx="358">
                  <c:v>25.377373550588196</c:v>
                </c:pt>
                <c:pt idx="359">
                  <c:v>25.44864449043726</c:v>
                </c:pt>
                <c:pt idx="360">
                  <c:v>25.532847696260134</c:v>
                </c:pt>
                <c:pt idx="361">
                  <c:v>25.629600651819128</c:v>
                </c:pt>
                <c:pt idx="362">
                  <c:v>25.738520827311376</c:v>
                </c:pt>
                <c:pt idx="363">
                  <c:v>25.859225700847034</c:v>
                </c:pt>
                <c:pt idx="364">
                  <c:v>25.991332750523398</c:v>
                </c:pt>
                <c:pt idx="365">
                  <c:v>26.13445945127771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26.029385778605938</c:v>
                </c:pt>
                <c:pt idx="1">
                  <c:v>26.190948611199854</c:v>
                </c:pt>
                <c:pt idx="2">
                  <c:v>26.362606952587765</c:v>
                </c:pt>
                <c:pt idx="3">
                  <c:v>26.543768478333948</c:v>
                </c:pt>
                <c:pt idx="4">
                  <c:v>26.733840868473056</c:v>
                </c:pt>
                <c:pt idx="5">
                  <c:v>26.932231799860794</c:v>
                </c:pt>
                <c:pt idx="6">
                  <c:v>27.138348952929181</c:v>
                </c:pt>
                <c:pt idx="7">
                  <c:v>27.351600001752377</c:v>
                </c:pt>
                <c:pt idx="8">
                  <c:v>27.575271609372329</c:v>
                </c:pt>
                <c:pt idx="9">
                  <c:v>27.812337789258788</c:v>
                </c:pt>
                <c:pt idx="10">
                  <c:v>28.061737255911744</c:v>
                </c:pt>
                <c:pt idx="11">
                  <c:v>28.322408719999451</c:v>
                </c:pt>
                <c:pt idx="12">
                  <c:v>28.593290895330057</c:v>
                </c:pt>
                <c:pt idx="13">
                  <c:v>28.87332249326365</c:v>
                </c:pt>
                <c:pt idx="14">
                  <c:v>29.16144222803414</c:v>
                </c:pt>
                <c:pt idx="15">
                  <c:v>29.456588808766433</c:v>
                </c:pt>
                <c:pt idx="16">
                  <c:v>29.757700950812012</c:v>
                </c:pt>
                <c:pt idx="17">
                  <c:v>30.063717365477764</c:v>
                </c:pt>
                <c:pt idx="18">
                  <c:v>30.373576765613894</c:v>
                </c:pt>
                <c:pt idx="19">
                  <c:v>30.686217862793381</c:v>
                </c:pt>
                <c:pt idx="20">
                  <c:v>31.000579370451824</c:v>
                </c:pt>
                <c:pt idx="21">
                  <c:v>31.315600000321865</c:v>
                </c:pt>
                <c:pt idx="22">
                  <c:v>31.633810677193104</c:v>
                </c:pt>
                <c:pt idx="23">
                  <c:v>31.95816093246852</c:v>
                </c:pt>
                <c:pt idx="24">
                  <c:v>32.288217382904676</c:v>
                </c:pt>
                <c:pt idx="25">
                  <c:v>32.623546647067585</c:v>
                </c:pt>
                <c:pt idx="26">
                  <c:v>32.963715342272607</c:v>
                </c:pt>
                <c:pt idx="27">
                  <c:v>33.308290087165574</c:v>
                </c:pt>
                <c:pt idx="28">
                  <c:v>33.656837499886748</c:v>
                </c:pt>
                <c:pt idx="29">
                  <c:v>34.008924198150638</c:v>
                </c:pt>
                <c:pt idx="30">
                  <c:v>34.364116800257136</c:v>
                </c:pt>
                <c:pt idx="31">
                  <c:v>34.721981924719046</c:v>
                </c:pt>
                <c:pt idx="32">
                  <c:v>35.082086188266317</c:v>
                </c:pt>
                <c:pt idx="33">
                  <c:v>35.443996210076975</c:v>
                </c:pt>
                <c:pt idx="34">
                  <c:v>35.807278608344497</c:v>
                </c:pt>
                <c:pt idx="35">
                  <c:v>36.171500000730155</c:v>
                </c:pt>
                <c:pt idx="36">
                  <c:v>36.539657944839981</c:v>
                </c:pt>
                <c:pt idx="37">
                  <c:v>36.914316618336102</c:v>
                </c:pt>
                <c:pt idx="38">
                  <c:v>37.29439256619662</c:v>
                </c:pt>
                <c:pt idx="39">
                  <c:v>37.678802332282068</c:v>
                </c:pt>
                <c:pt idx="40">
                  <c:v>38.066462463805713</c:v>
                </c:pt>
                <c:pt idx="41">
                  <c:v>38.456289504734535</c:v>
                </c:pt>
                <c:pt idx="42">
                  <c:v>38.847200000099839</c:v>
                </c:pt>
                <c:pt idx="43">
                  <c:v>39.238110495837667</c:v>
                </c:pt>
                <c:pt idx="44">
                  <c:v>39.627937536872921</c:v>
                </c:pt>
                <c:pt idx="45">
                  <c:v>40.01559766754508</c:v>
                </c:pt>
                <c:pt idx="46">
                  <c:v>40.400007434295752</c:v>
                </c:pt>
                <c:pt idx="47">
                  <c:v>40.780083381863577</c:v>
                </c:pt>
                <c:pt idx="48">
                  <c:v>41.154742055306478</c:v>
                </c:pt>
                <c:pt idx="49">
                  <c:v>41.522900000214577</c:v>
                </c:pt>
                <c:pt idx="50">
                  <c:v>41.885478152361301</c:v>
                </c:pt>
                <c:pt idx="51">
                  <c:v>42.244336443234765</c:v>
                </c:pt>
                <c:pt idx="52">
                  <c:v>42.599799909189876</c:v>
                </c:pt>
                <c:pt idx="53">
                  <c:v>42.952193586475083</c:v>
                </c:pt>
                <c:pt idx="54">
                  <c:v>43.301842510527266</c:v>
                </c:pt>
                <c:pt idx="55">
                  <c:v>43.649071719949795</c:v>
                </c:pt>
                <c:pt idx="56">
                  <c:v>43.994206249900159</c:v>
                </c:pt>
                <c:pt idx="57">
                  <c:v>44.337571136866295</c:v>
                </c:pt>
                <c:pt idx="58">
                  <c:v>44.679491417349446</c:v>
                </c:pt>
                <c:pt idx="59">
                  <c:v>45.020292128063737</c:v>
                </c:pt>
                <c:pt idx="60">
                  <c:v>45.36029830529754</c:v>
                </c:pt>
                <c:pt idx="61">
                  <c:v>45.699834985285996</c:v>
                </c:pt>
                <c:pt idx="62">
                  <c:v>46.039227204769851</c:v>
                </c:pt>
                <c:pt idx="63">
                  <c:v>46.378799999877813</c:v>
                </c:pt>
                <c:pt idx="64">
                  <c:v>46.718535313422663</c:v>
                </c:pt>
                <c:pt idx="65">
                  <c:v>47.058053935691717</c:v>
                </c:pt>
                <c:pt idx="66">
                  <c:v>47.397139176247379</c:v>
                </c:pt>
                <c:pt idx="67">
                  <c:v>47.735574343960202</c:v>
                </c:pt>
                <c:pt idx="68">
                  <c:v>48.07314274787371</c:v>
                </c:pt>
                <c:pt idx="69">
                  <c:v>48.409627696712107</c:v>
                </c:pt>
                <c:pt idx="70">
                  <c:v>48.74481249982491</c:v>
                </c:pt>
                <c:pt idx="71">
                  <c:v>49.078480466322176</c:v>
                </c:pt>
                <c:pt idx="72">
                  <c:v>49.410414905074447</c:v>
                </c:pt>
                <c:pt idx="73">
                  <c:v>49.740399125165176</c:v>
                </c:pt>
                <c:pt idx="74">
                  <c:v>50.06821643579751</c:v>
                </c:pt>
                <c:pt idx="75">
                  <c:v>50.393650145828722</c:v>
                </c:pt>
                <c:pt idx="76">
                  <c:v>50.71648356442207</c:v>
                </c:pt>
                <c:pt idx="77">
                  <c:v>51.036500000208619</c:v>
                </c:pt>
                <c:pt idx="78">
                  <c:v>51.356137226335704</c:v>
                </c:pt>
                <c:pt idx="79">
                  <c:v>51.677327404809851</c:v>
                </c:pt>
                <c:pt idx="80">
                  <c:v>51.999095425701569</c:v>
                </c:pt>
                <c:pt idx="81">
                  <c:v>52.320466180624706</c:v>
                </c:pt>
                <c:pt idx="82">
                  <c:v>52.640464558399152</c:v>
                </c:pt>
                <c:pt idx="83">
                  <c:v>52.958115451357187</c:v>
                </c:pt>
                <c:pt idx="84">
                  <c:v>53.272443749569355</c:v>
                </c:pt>
                <c:pt idx="85">
                  <c:v>53.582474343744778</c:v>
                </c:pt>
                <c:pt idx="86">
                  <c:v>53.887232123634647</c:v>
                </c:pt>
                <c:pt idx="87">
                  <c:v>54.185741981225348</c:v>
                </c:pt>
                <c:pt idx="88">
                  <c:v>54.477028807305864</c:v>
                </c:pt>
                <c:pt idx="89">
                  <c:v>54.760117492292615</c:v>
                </c:pt>
                <c:pt idx="90">
                  <c:v>55.034032924287018</c:v>
                </c:pt>
                <c:pt idx="91">
                  <c:v>55.297799998521803</c:v>
                </c:pt>
                <c:pt idx="92">
                  <c:v>55.553116125028041</c:v>
                </c:pt>
                <c:pt idx="93">
                  <c:v>55.80225655872907</c:v>
                </c:pt>
                <c:pt idx="94">
                  <c:v>56.045112954346202</c:v>
                </c:pt>
                <c:pt idx="95">
                  <c:v>56.281576967239381</c:v>
                </c:pt>
                <c:pt idx="96">
                  <c:v>56.511540251597765</c:v>
                </c:pt>
                <c:pt idx="97">
                  <c:v>56.734894460865426</c:v>
                </c:pt>
                <c:pt idx="98">
                  <c:v>56.951531249657272</c:v>
                </c:pt>
                <c:pt idx="99">
                  <c:v>57.161342273546119</c:v>
                </c:pt>
                <c:pt idx="100">
                  <c:v>57.364219187093639</c:v>
                </c:pt>
                <c:pt idx="101">
                  <c:v>57.560053644329308</c:v>
                </c:pt>
                <c:pt idx="102">
                  <c:v>57.748737299176199</c:v>
                </c:pt>
                <c:pt idx="103">
                  <c:v>57.930161807579658</c:v>
                </c:pt>
                <c:pt idx="104">
                  <c:v>58.104218823249859</c:v>
                </c:pt>
                <c:pt idx="105">
                  <c:v>58.270800000429155</c:v>
                </c:pt>
                <c:pt idx="106">
                  <c:v>58.429128862544907</c:v>
                </c:pt>
                <c:pt idx="107">
                  <c:v>58.578790086827112</c:v>
                </c:pt>
                <c:pt idx="108">
                  <c:v>58.720217056199907</c:v>
                </c:pt>
                <c:pt idx="109">
                  <c:v>58.853843149649244</c:v>
                </c:pt>
                <c:pt idx="110">
                  <c:v>58.980101750205662</c:v>
                </c:pt>
                <c:pt idx="111">
                  <c:v>59.099426240367549</c:v>
                </c:pt>
                <c:pt idx="112">
                  <c:v>59.212250001356004</c:v>
                </c:pt>
                <c:pt idx="113">
                  <c:v>59.319006414817906</c:v>
                </c:pt>
                <c:pt idx="114">
                  <c:v>59.420128863358073</c:v>
                </c:pt>
                <c:pt idx="115">
                  <c:v>59.516050729261977</c:v>
                </c:pt>
                <c:pt idx="116">
                  <c:v>59.607205394868345</c:v>
                </c:pt>
                <c:pt idx="117">
                  <c:v>59.694026240493578</c:v>
                </c:pt>
                <c:pt idx="118">
                  <c:v>59.776946647890973</c:v>
                </c:pt>
                <c:pt idx="119">
                  <c:v>59.856400001049039</c:v>
                </c:pt>
                <c:pt idx="120">
                  <c:v>59.930797232128683</c:v>
                </c:pt>
                <c:pt idx="121">
                  <c:v>59.998549272652177</c:v>
                </c:pt>
                <c:pt idx="122">
                  <c:v>60.060089504931661</c:v>
                </c:pt>
                <c:pt idx="123">
                  <c:v>60.115851312662883</c:v>
                </c:pt>
                <c:pt idx="124">
                  <c:v>60.166268076295296</c:v>
                </c:pt>
                <c:pt idx="125">
                  <c:v>60.211773179418273</c:v>
                </c:pt>
                <c:pt idx="126">
                  <c:v>60.252800000645223</c:v>
                </c:pt>
                <c:pt idx="127">
                  <c:v>60.289781924869331</c:v>
                </c:pt>
                <c:pt idx="128">
                  <c:v>60.323152333098861</c:v>
                </c:pt>
                <c:pt idx="129">
                  <c:v>60.353344606927465</c:v>
                </c:pt>
                <c:pt idx="130">
                  <c:v>60.380792128986535</c:v>
                </c:pt>
                <c:pt idx="131">
                  <c:v>60.405928280630278</c:v>
                </c:pt>
                <c:pt idx="132">
                  <c:v>60.4291864430798</c:v>
                </c:pt>
                <c:pt idx="133">
                  <c:v>60.451000000536439</c:v>
                </c:pt>
                <c:pt idx="134">
                  <c:v>60.470718877469857</c:v>
                </c:pt>
                <c:pt idx="135">
                  <c:v>60.487404081704355</c:v>
                </c:pt>
                <c:pt idx="136">
                  <c:v>60.501055612867432</c:v>
                </c:pt>
                <c:pt idx="137">
                  <c:v>60.511673469575385</c:v>
                </c:pt>
                <c:pt idx="138">
                  <c:v>60.519257653398178</c:v>
                </c:pt>
                <c:pt idx="139">
                  <c:v>60.523808163989862</c:v>
                </c:pt>
                <c:pt idx="140">
                  <c:v>60.525325000472364</c:v>
                </c:pt>
                <c:pt idx="141">
                  <c:v>60.523808164202741</c:v>
                </c:pt>
                <c:pt idx="142">
                  <c:v>60.519257653371561</c:v>
                </c:pt>
                <c:pt idx="143">
                  <c:v>60.511673470107574</c:v>
                </c:pt>
                <c:pt idx="144">
                  <c:v>60.501055612787603</c:v>
                </c:pt>
                <c:pt idx="145">
                  <c:v>60.487404082236552</c:v>
                </c:pt>
                <c:pt idx="146">
                  <c:v>60.470718878481009</c:v>
                </c:pt>
                <c:pt idx="147">
                  <c:v>60.451000000536439</c:v>
                </c:pt>
                <c:pt idx="148">
                  <c:v>60.427308455694991</c:v>
                </c:pt>
                <c:pt idx="149">
                  <c:v>60.398994169331026</c:v>
                </c:pt>
                <c:pt idx="150">
                  <c:v>60.366490525432994</c:v>
                </c:pt>
                <c:pt idx="151">
                  <c:v>60.330230904583424</c:v>
                </c:pt>
                <c:pt idx="152">
                  <c:v>60.290648688296116</c:v>
                </c:pt>
                <c:pt idx="153">
                  <c:v>60.248177260213666</c:v>
                </c:pt>
                <c:pt idx="154">
                  <c:v>60.203250000346451</c:v>
                </c:pt>
                <c:pt idx="155">
                  <c:v>60.156300291844772</c:v>
                </c:pt>
                <c:pt idx="156">
                  <c:v>60.107761516395421</c:v>
                </c:pt>
                <c:pt idx="157">
                  <c:v>60.058067055605349</c:v>
                </c:pt>
                <c:pt idx="158">
                  <c:v>60.007650291786661</c:v>
                </c:pt>
                <c:pt idx="159">
                  <c:v>59.956944606666056</c:v>
                </c:pt>
                <c:pt idx="160">
                  <c:v>59.906383381943613</c:v>
                </c:pt>
                <c:pt idx="161">
                  <c:v>59.856399999931455</c:v>
                </c:pt>
                <c:pt idx="162">
                  <c:v>59.806344387866559</c:v>
                </c:pt>
                <c:pt idx="163">
                  <c:v>59.755277551098594</c:v>
                </c:pt>
                <c:pt idx="164">
                  <c:v>59.703199489893656</c:v>
                </c:pt>
                <c:pt idx="165">
                  <c:v>59.650110203959045</c:v>
                </c:pt>
                <c:pt idx="166">
                  <c:v>59.59600969385356</c:v>
                </c:pt>
                <c:pt idx="167">
                  <c:v>59.540897959284486</c:v>
                </c:pt>
                <c:pt idx="168">
                  <c:v>59.48477499997243</c:v>
                </c:pt>
                <c:pt idx="169">
                  <c:v>59.427640816276629</c:v>
                </c:pt>
                <c:pt idx="170">
                  <c:v>59.369495408050717</c:v>
                </c:pt>
                <c:pt idx="171">
                  <c:v>59.310338775574095</c:v>
                </c:pt>
                <c:pt idx="172">
                  <c:v>59.250170918514151</c:v>
                </c:pt>
                <c:pt idx="173">
                  <c:v>59.188991836671313</c:v>
                </c:pt>
                <c:pt idx="174">
                  <c:v>59.126801530471333</c:v>
                </c:pt>
                <c:pt idx="175">
                  <c:v>59.06359999999404</c:v>
                </c:pt>
                <c:pt idx="176">
                  <c:v>58.99915249651032</c:v>
                </c:pt>
                <c:pt idx="177">
                  <c:v>58.933296501277276</c:v>
                </c:pt>
                <c:pt idx="178">
                  <c:v>58.866140360644614</c:v>
                </c:pt>
                <c:pt idx="179">
                  <c:v>58.797792419764605</c:v>
                </c:pt>
                <c:pt idx="180">
                  <c:v>58.728361024035664</c:v>
                </c:pt>
                <c:pt idx="181">
                  <c:v>58.657954519015867</c:v>
                </c:pt>
                <c:pt idx="182">
                  <c:v>58.586681249877437</c:v>
                </c:pt>
                <c:pt idx="183">
                  <c:v>58.51464956253767</c:v>
                </c:pt>
                <c:pt idx="184">
                  <c:v>58.441967802388319</c:v>
                </c:pt>
                <c:pt idx="185">
                  <c:v>58.368744314794561</c:v>
                </c:pt>
                <c:pt idx="186">
                  <c:v>58.295087445327752</c:v>
                </c:pt>
                <c:pt idx="187">
                  <c:v>58.22110553929317</c:v>
                </c:pt>
                <c:pt idx="188">
                  <c:v>58.146906942435145</c:v>
                </c:pt>
                <c:pt idx="189">
                  <c:v>58.072599999886009</c:v>
                </c:pt>
                <c:pt idx="190">
                  <c:v>57.998022193834196</c:v>
                </c:pt>
                <c:pt idx="191">
                  <c:v>57.922938775457439</c:v>
                </c:pt>
                <c:pt idx="192">
                  <c:v>57.847349744882173</c:v>
                </c:pt>
                <c:pt idx="193">
                  <c:v>57.771255101981964</c:v>
                </c:pt>
                <c:pt idx="194">
                  <c:v>57.694654846869938</c:v>
                </c:pt>
                <c:pt idx="195">
                  <c:v>57.617548979446291</c:v>
                </c:pt>
                <c:pt idx="196">
                  <c:v>57.539937499910593</c:v>
                </c:pt>
                <c:pt idx="197">
                  <c:v>57.461820408089885</c:v>
                </c:pt>
                <c:pt idx="198">
                  <c:v>57.383197704050687</c:v>
                </c:pt>
                <c:pt idx="199">
                  <c:v>57.304069387753103</c:v>
                </c:pt>
                <c:pt idx="200">
                  <c:v>57.224435459004191</c:v>
                </c:pt>
                <c:pt idx="201">
                  <c:v>57.144295918209743</c:v>
                </c:pt>
                <c:pt idx="202">
                  <c:v>57.06365076518351</c:v>
                </c:pt>
                <c:pt idx="203">
                  <c:v>56.982499999925494</c:v>
                </c:pt>
                <c:pt idx="204">
                  <c:v>56.901547868004329</c:v>
                </c:pt>
                <c:pt idx="205">
                  <c:v>56.821281924205167</c:v>
                </c:pt>
                <c:pt idx="206">
                  <c:v>56.74137713192696</c:v>
                </c:pt>
                <c:pt idx="207">
                  <c:v>56.661508454848082</c:v>
                </c:pt>
                <c:pt idx="208">
                  <c:v>56.581350856600331</c:v>
                </c:pt>
                <c:pt idx="209">
                  <c:v>56.500579300363142</c:v>
                </c:pt>
                <c:pt idx="210">
                  <c:v>56.418868750054386</c:v>
                </c:pt>
                <c:pt idx="211">
                  <c:v>56.335894169418943</c:v>
                </c:pt>
                <c:pt idx="212">
                  <c:v>56.25133052105749</c:v>
                </c:pt>
                <c:pt idx="213">
                  <c:v>56.164852769938967</c:v>
                </c:pt>
                <c:pt idx="214">
                  <c:v>56.076135878717267</c:v>
                </c:pt>
                <c:pt idx="215">
                  <c:v>55.984854811123981</c:v>
                </c:pt>
                <c:pt idx="216">
                  <c:v>55.890684530125668</c:v>
                </c:pt>
                <c:pt idx="217">
                  <c:v>55.793300000578164</c:v>
                </c:pt>
                <c:pt idx="218">
                  <c:v>55.693188776341927</c:v>
                </c:pt>
                <c:pt idx="219">
                  <c:v>55.591055102167388</c:v>
                </c:pt>
                <c:pt idx="220">
                  <c:v>55.486898979757505</c:v>
                </c:pt>
                <c:pt idx="221">
                  <c:v>55.380720408526919</c:v>
                </c:pt>
                <c:pt idx="222">
                  <c:v>55.272519387411215</c:v>
                </c:pt>
                <c:pt idx="223">
                  <c:v>55.162295918432733</c:v>
                </c:pt>
                <c:pt idx="224">
                  <c:v>55.050050000101329</c:v>
                </c:pt>
                <c:pt idx="225">
                  <c:v>54.935781632842762</c:v>
                </c:pt>
                <c:pt idx="226">
                  <c:v>54.8194908157257</c:v>
                </c:pt>
                <c:pt idx="227">
                  <c:v>54.701177550799081</c:v>
                </c:pt>
                <c:pt idx="228">
                  <c:v>54.580841836572759</c:v>
                </c:pt>
                <c:pt idx="229">
                  <c:v>54.458483673312834</c:v>
                </c:pt>
                <c:pt idx="230">
                  <c:v>54.334103060593563</c:v>
                </c:pt>
                <c:pt idx="231">
                  <c:v>54.207699999213219</c:v>
                </c:pt>
                <c:pt idx="232">
                  <c:v>54.080682980561889</c:v>
                </c:pt>
                <c:pt idx="233">
                  <c:v>53.954027113531325</c:v>
                </c:pt>
                <c:pt idx="234">
                  <c:v>53.827082324719854</c:v>
                </c:pt>
                <c:pt idx="235">
                  <c:v>53.699198541683813</c:v>
                </c:pt>
                <c:pt idx="236">
                  <c:v>53.569725691473913</c:v>
                </c:pt>
                <c:pt idx="237">
                  <c:v>53.438013702311686</c:v>
                </c:pt>
                <c:pt idx="238">
                  <c:v>53.303412499651316</c:v>
                </c:pt>
                <c:pt idx="239">
                  <c:v>53.165272010170987</c:v>
                </c:pt>
                <c:pt idx="240">
                  <c:v>53.022942164061327</c:v>
                </c:pt>
                <c:pt idx="241">
                  <c:v>52.875772885552479</c:v>
                </c:pt>
                <c:pt idx="242">
                  <c:v>52.723114103477975</c:v>
                </c:pt>
                <c:pt idx="243">
                  <c:v>52.564315742041387</c:v>
                </c:pt>
                <c:pt idx="244">
                  <c:v>52.398727731539736</c:v>
                </c:pt>
                <c:pt idx="245">
                  <c:v>52.225699999928473</c:v>
                </c:pt>
                <c:pt idx="246">
                  <c:v>52.045972903764678</c:v>
                </c:pt>
                <c:pt idx="247">
                  <c:v>51.860792419527264</c:v>
                </c:pt>
                <c:pt idx="248">
                  <c:v>51.670266890898347</c:v>
                </c:pt>
                <c:pt idx="249">
                  <c:v>51.47450466422098</c:v>
                </c:pt>
                <c:pt idx="250">
                  <c:v>51.273614084933477</c:v>
                </c:pt>
                <c:pt idx="251">
                  <c:v>51.067703497835566</c:v>
                </c:pt>
                <c:pt idx="252">
                  <c:v>50.856881248950955</c:v>
                </c:pt>
                <c:pt idx="253">
                  <c:v>50.641255685580632</c:v>
                </c:pt>
                <c:pt idx="254">
                  <c:v>50.420935148798989</c:v>
                </c:pt>
                <c:pt idx="255">
                  <c:v>50.196027988514729</c:v>
                </c:pt>
                <c:pt idx="256">
                  <c:v>49.966642547185927</c:v>
                </c:pt>
                <c:pt idx="257">
                  <c:v>49.73288717227323</c:v>
                </c:pt>
                <c:pt idx="258">
                  <c:v>49.494870207511951</c:v>
                </c:pt>
                <c:pt idx="259">
                  <c:v>49.252699999511243</c:v>
                </c:pt>
                <c:pt idx="260">
                  <c:v>49.00480553957501</c:v>
                </c:pt>
                <c:pt idx="261">
                  <c:v>48.749976967700889</c:v>
                </c:pt>
                <c:pt idx="262">
                  <c:v>48.488864359459178</c:v>
                </c:pt>
                <c:pt idx="263">
                  <c:v>48.222117784619329</c:v>
                </c:pt>
                <c:pt idx="264">
                  <c:v>47.950387317474402</c:v>
                </c:pt>
                <c:pt idx="265">
                  <c:v>47.674323032636728</c:v>
                </c:pt>
                <c:pt idx="266">
                  <c:v>47.394574999902396</c:v>
                </c:pt>
                <c:pt idx="267">
                  <c:v>47.111793294974731</c:v>
                </c:pt>
                <c:pt idx="268">
                  <c:v>46.826627988607754</c:v>
                </c:pt>
                <c:pt idx="269">
                  <c:v>46.539729154402657</c:v>
                </c:pt>
                <c:pt idx="270">
                  <c:v>46.251746866080374</c:v>
                </c:pt>
                <c:pt idx="271">
                  <c:v>45.963331195286344</c:v>
                </c:pt>
                <c:pt idx="272">
                  <c:v>45.675132215941062</c:v>
                </c:pt>
                <c:pt idx="273">
                  <c:v>45.387800000049175</c:v>
                </c:pt>
                <c:pt idx="274">
                  <c:v>45.101063684493838</c:v>
                </c:pt>
                <c:pt idx="275">
                  <c:v>44.814002332304213</c:v>
                </c:pt>
                <c:pt idx="276">
                  <c:v>44.526290907311655</c:v>
                </c:pt>
                <c:pt idx="277">
                  <c:v>44.23760437305485</c:v>
                </c:pt>
                <c:pt idx="278">
                  <c:v>43.947617692846265</c:v>
                </c:pt>
                <c:pt idx="279">
                  <c:v>43.656005830743482</c:v>
                </c:pt>
                <c:pt idx="280">
                  <c:v>43.362443750165404</c:v>
                </c:pt>
                <c:pt idx="281">
                  <c:v>43.066606413812508</c:v>
                </c:pt>
                <c:pt idx="282">
                  <c:v>42.768168786128186</c:v>
                </c:pt>
                <c:pt idx="283">
                  <c:v>42.466805830544658</c:v>
                </c:pt>
                <c:pt idx="284">
                  <c:v>42.162192510427644</c:v>
                </c:pt>
                <c:pt idx="285">
                  <c:v>41.854003789568587</c:v>
                </c:pt>
                <c:pt idx="286">
                  <c:v>41.541914631160246</c:v>
                </c:pt>
                <c:pt idx="287">
                  <c:v>41.225599998980762</c:v>
                </c:pt>
                <c:pt idx="288">
                  <c:v>40.902965215034783</c:v>
                </c:pt>
                <c:pt idx="289">
                  <c:v>40.57292682182576</c:v>
                </c:pt>
                <c:pt idx="290">
                  <c:v>40.236676621224198</c:v>
                </c:pt>
                <c:pt idx="291">
                  <c:v>39.895406413823366</c:v>
                </c:pt>
                <c:pt idx="292">
                  <c:v>39.55030799867319</c:v>
                </c:pt>
                <c:pt idx="293">
                  <c:v>39.202573177324872</c:v>
                </c:pt>
                <c:pt idx="294">
                  <c:v>38.853393749147656</c:v>
                </c:pt>
                <c:pt idx="295">
                  <c:v>38.503961515692723</c:v>
                </c:pt>
                <c:pt idx="296">
                  <c:v>38.155468275770545</c:v>
                </c:pt>
                <c:pt idx="297">
                  <c:v>37.809105830692815</c:v>
                </c:pt>
                <c:pt idx="298">
                  <c:v>37.466065980041662</c:v>
                </c:pt>
                <c:pt idx="299">
                  <c:v>37.12754052478288</c:v>
                </c:pt>
                <c:pt idx="300">
                  <c:v>36.794721264551796</c:v>
                </c:pt>
                <c:pt idx="301">
                  <c:v>36.468800000101325</c:v>
                </c:pt>
                <c:pt idx="302">
                  <c:v>36.147989030581499</c:v>
                </c:pt>
                <c:pt idx="303">
                  <c:v>35.82970612240689</c:v>
                </c:pt>
                <c:pt idx="304">
                  <c:v>35.513951275364626</c:v>
                </c:pt>
                <c:pt idx="305">
                  <c:v>35.200724489720798</c:v>
                </c:pt>
                <c:pt idx="306">
                  <c:v>34.890025765342372</c:v>
                </c:pt>
                <c:pt idx="307">
                  <c:v>34.581855101989845</c:v>
                </c:pt>
                <c:pt idx="308">
                  <c:v>34.27621250022203</c:v>
                </c:pt>
                <c:pt idx="309">
                  <c:v>33.973097959373682</c:v>
                </c:pt>
                <c:pt idx="310">
                  <c:v>33.672511479631069</c:v>
                </c:pt>
                <c:pt idx="311">
                  <c:v>33.374453061499764</c:v>
                </c:pt>
                <c:pt idx="312">
                  <c:v>33.078922704154891</c:v>
                </c:pt>
                <c:pt idx="313">
                  <c:v>32.785920408634205</c:v>
                </c:pt>
                <c:pt idx="314">
                  <c:v>32.495446173500802</c:v>
                </c:pt>
                <c:pt idx="315">
                  <c:v>32.207500000670549</c:v>
                </c:pt>
                <c:pt idx="316">
                  <c:v>31.920908145420253</c:v>
                </c:pt>
                <c:pt idx="317">
                  <c:v>31.634858017521246</c:v>
                </c:pt>
                <c:pt idx="318">
                  <c:v>31.349891345335969</c:v>
                </c:pt>
                <c:pt idx="319">
                  <c:v>31.06654985483204</c:v>
                </c:pt>
                <c:pt idx="320">
                  <c:v>30.785375273813095</c:v>
                </c:pt>
                <c:pt idx="321">
                  <c:v>30.506909329763481</c:v>
                </c:pt>
                <c:pt idx="322">
                  <c:v>30.231693751178682</c:v>
                </c:pt>
                <c:pt idx="323">
                  <c:v>29.960270262882112</c:v>
                </c:pt>
                <c:pt idx="324">
                  <c:v>29.693180594486847</c:v>
                </c:pt>
                <c:pt idx="325">
                  <c:v>29.430966473157916</c:v>
                </c:pt>
                <c:pt idx="326">
                  <c:v>29.174169625501548</c:v>
                </c:pt>
                <c:pt idx="327">
                  <c:v>28.923331779667315</c:v>
                </c:pt>
                <c:pt idx="328">
                  <c:v>28.678994661409938</c:v>
                </c:pt>
                <c:pt idx="329">
                  <c:v>28.441700000315905</c:v>
                </c:pt>
                <c:pt idx="330">
                  <c:v>28.207583473516365</c:v>
                </c:pt>
                <c:pt idx="331">
                  <c:v>27.973358600693093</c:v>
                </c:pt>
                <c:pt idx="332">
                  <c:v>27.740433874513421</c:v>
                </c:pt>
                <c:pt idx="333">
                  <c:v>27.510217784664462</c:v>
                </c:pt>
                <c:pt idx="334">
                  <c:v>27.284118822376637</c:v>
                </c:pt>
                <c:pt idx="335">
                  <c:v>27.063545481434893</c:v>
                </c:pt>
                <c:pt idx="336">
                  <c:v>26.849906250834465</c:v>
                </c:pt>
                <c:pt idx="337">
                  <c:v>26.644609620528563</c:v>
                </c:pt>
                <c:pt idx="338">
                  <c:v>26.449064085206818</c:v>
                </c:pt>
                <c:pt idx="339">
                  <c:v>26.264678132959773</c:v>
                </c:pt>
                <c:pt idx="340">
                  <c:v>26.092860257838453</c:v>
                </c:pt>
                <c:pt idx="341">
                  <c:v>25.935018950594319</c:v>
                </c:pt>
                <c:pt idx="342">
                  <c:v>25.79256269814713</c:v>
                </c:pt>
                <c:pt idx="343">
                  <c:v>25.66689999997616</c:v>
                </c:pt>
                <c:pt idx="344">
                  <c:v>25.555530099996496</c:v>
                </c:pt>
                <c:pt idx="345">
                  <c:v>25.455132654522149</c:v>
                </c:pt>
                <c:pt idx="346">
                  <c:v>25.36588673825775</c:v>
                </c:pt>
                <c:pt idx="347">
                  <c:v>25.287971434422904</c:v>
                </c:pt>
                <c:pt idx="348">
                  <c:v>25.221565825705017</c:v>
                </c:pt>
                <c:pt idx="349">
                  <c:v>25.166848991598403</c:v>
                </c:pt>
                <c:pt idx="350">
                  <c:v>25.124000013619661</c:v>
                </c:pt>
                <c:pt idx="351">
                  <c:v>25.093197974775517</c:v>
                </c:pt>
                <c:pt idx="352">
                  <c:v>25.074621957008326</c:v>
                </c:pt>
                <c:pt idx="353">
                  <c:v>25.068451038641591</c:v>
                </c:pt>
                <c:pt idx="354">
                  <c:v>25.074864302894898</c:v>
                </c:pt>
                <c:pt idx="355">
                  <c:v>25.094040829581878</c:v>
                </c:pt>
                <c:pt idx="356">
                  <c:v>25.126159702028549</c:v>
                </c:pt>
                <c:pt idx="357">
                  <c:v>25.171400003135204</c:v>
                </c:pt>
                <c:pt idx="358">
                  <c:v>25.230875189503035</c:v>
                </c:pt>
                <c:pt idx="359">
                  <c:v>25.305184458891553</c:v>
                </c:pt>
                <c:pt idx="360">
                  <c:v>25.393735488057139</c:v>
                </c:pt>
                <c:pt idx="361">
                  <c:v>25.495935955742993</c:v>
                </c:pt>
                <c:pt idx="362">
                  <c:v>25.611193542182445</c:v>
                </c:pt>
                <c:pt idx="363">
                  <c:v>25.738915922343732</c:v>
                </c:pt>
                <c:pt idx="364">
                  <c:v>25.878510774572693</c:v>
                </c:pt>
                <c:pt idx="365">
                  <c:v>26.029385776917138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25.81968983853487</c:v>
                </c:pt>
                <c:pt idx="1">
                  <c:v>25.015272489823854</c:v>
                </c:pt>
                <c:pt idx="2">
                  <c:v>27.472426453662738</c:v>
                </c:pt>
                <c:pt idx="3">
                  <c:v>24.427777295299801</c:v>
                </c:pt>
                <c:pt idx="4">
                  <c:v>27.076162439381022</c:v>
                </c:pt>
                <c:pt idx="5">
                  <c:v>27.963119643763427</c:v>
                </c:pt>
                <c:pt idx="6">
                  <c:v>14.031962129731935</c:v>
                </c:pt>
                <c:pt idx="7">
                  <c:v>20.064125599545072</c:v>
                </c:pt>
                <c:pt idx="8">
                  <c:v>26.291265960705861</c:v>
                </c:pt>
                <c:pt idx="9">
                  <c:v>14.840705904124258</c:v>
                </c:pt>
                <c:pt idx="10">
                  <c:v>28.774012285280158</c:v>
                </c:pt>
                <c:pt idx="11">
                  <c:v>28.636326712021056</c:v>
                </c:pt>
                <c:pt idx="12">
                  <c:v>16.901313212419812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29.889326692258766</c:v>
                </c:pt>
                <c:pt idx="18">
                  <c:v>31.224540909778487</c:v>
                </c:pt>
                <c:pt idx="19">
                  <c:v>10.158617938876899</c:v>
                </c:pt>
                <c:pt idx="20">
                  <c:v>20.344723444640852</c:v>
                </c:pt>
                <c:pt idx="21">
                  <c:v>31.443251036621696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19.765771987607742</c:v>
                </c:pt>
                <c:pt idx="28">
                  <c:v>24.438772504901799</c:v>
                </c:pt>
                <c:pt idx="29">
                  <c:v>10.973075209769302</c:v>
                </c:pt>
                <c:pt idx="30">
                  <c:v>22.393686095850722</c:v>
                </c:pt>
                <c:pt idx="31">
                  <c:v>27.773324166847818</c:v>
                </c:pt>
                <c:pt idx="32">
                  <c:v>31.04236433925411</c:v>
                </c:pt>
                <c:pt idx="33">
                  <c:v>27.850010824525498</c:v>
                </c:pt>
                <c:pt idx="34">
                  <c:v>29.1914143774355</c:v>
                </c:pt>
                <c:pt idx="35">
                  <c:v>36.34952786245141</c:v>
                </c:pt>
                <c:pt idx="36">
                  <c:v>37.913350711029565</c:v>
                </c:pt>
                <c:pt idx="37">
                  <c:v>24.755005366085477</c:v>
                </c:pt>
                <c:pt idx="38">
                  <c:v>37.708985818537435</c:v>
                </c:pt>
                <c:pt idx="39">
                  <c:v>37.811685305334407</c:v>
                </c:pt>
                <c:pt idx="40">
                  <c:v>35.390836884509106</c:v>
                </c:pt>
                <c:pt idx="41">
                  <c:v>33.522126825040729</c:v>
                </c:pt>
                <c:pt idx="42">
                  <c:v>38.964390120778035</c:v>
                </c:pt>
                <c:pt idx="43">
                  <c:v>40.487434831791077</c:v>
                </c:pt>
                <c:pt idx="44">
                  <c:v>40.730011197654498</c:v>
                </c:pt>
                <c:pt idx="45">
                  <c:v>40.824287994702445</c:v>
                </c:pt>
                <c:pt idx="46">
                  <c:v>41.302237931814616</c:v>
                </c:pt>
                <c:pt idx="47">
                  <c:v>41.977734594143215</c:v>
                </c:pt>
                <c:pt idx="48">
                  <c:v>41.235106126634335</c:v>
                </c:pt>
                <c:pt idx="49">
                  <c:v>39.639407492619156</c:v>
                </c:pt>
                <c:pt idx="50">
                  <c:v>41.874871627810187</c:v>
                </c:pt>
                <c:pt idx="51">
                  <c:v>39.365531433595841</c:v>
                </c:pt>
                <c:pt idx="52">
                  <c:v>40.864561185039193</c:v>
                </c:pt>
                <c:pt idx="53">
                  <c:v>41.700793464247006</c:v>
                </c:pt>
                <c:pt idx="54">
                  <c:v>41.717998173912889</c:v>
                </c:pt>
                <c:pt idx="55">
                  <c:v>42.62355723611401</c:v>
                </c:pt>
                <c:pt idx="56">
                  <c:v>44.691622932804918</c:v>
                </c:pt>
                <c:pt idx="57">
                  <c:v>43.393091127418728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29.944510502068969</c:v>
                </c:pt>
                <c:pt idx="61">
                  <c:v>39.924133521636918</c:v>
                </c:pt>
                <c:pt idx="62">
                  <c:v>32.295079329869516</c:v>
                </c:pt>
                <c:pt idx="63">
                  <c:v>45.312703719886137</c:v>
                </c:pt>
                <c:pt idx="64">
                  <c:v>24.720173237036324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44.764426477667158</c:v>
                </c:pt>
                <c:pt idx="68">
                  <c:v>45.253306652586467</c:v>
                </c:pt>
                <c:pt idx="69">
                  <c:v>35.768760137724279</c:v>
                </c:pt>
                <c:pt idx="70">
                  <c:v>43.865300261572678</c:v>
                </c:pt>
                <c:pt idx="71">
                  <c:v>45.683346556341533</c:v>
                </c:pt>
                <c:pt idx="72">
                  <c:v>40.234319557946243</c:v>
                </c:pt>
                <c:pt idx="73">
                  <c:v>34.275990691254492</c:v>
                </c:pt>
                <c:pt idx="74">
                  <c:v>51.528895224299958</c:v>
                </c:pt>
                <c:pt idx="75">
                  <c:v>25.74376126702278</c:v>
                </c:pt>
                <c:pt idx="76">
                  <c:v>31.959695723000372</c:v>
                </c:pt>
                <c:pt idx="77">
                  <c:v>46.728461228850939</c:v>
                </c:pt>
                <c:pt idx="78">
                  <c:v>52.177110378201441</c:v>
                </c:pt>
                <c:pt idx="79">
                  <c:v>51.739394586450686</c:v>
                </c:pt>
                <c:pt idx="80">
                  <c:v>50.590016829396532</c:v>
                </c:pt>
                <c:pt idx="81">
                  <c:v>52.429868509754343</c:v>
                </c:pt>
                <c:pt idx="82">
                  <c:v>51.706853506641295</c:v>
                </c:pt>
                <c:pt idx="83">
                  <c:v>50.650647588143606</c:v>
                </c:pt>
                <c:pt idx="84">
                  <c:v>54.179948097742042</c:v>
                </c:pt>
                <c:pt idx="85">
                  <c:v>53.631049698889107</c:v>
                </c:pt>
                <c:pt idx="86">
                  <c:v>52.658123194281352</c:v>
                </c:pt>
                <c:pt idx="87">
                  <c:v>54.496222253055954</c:v>
                </c:pt>
                <c:pt idx="88">
                  <c:v>54.590031723801168</c:v>
                </c:pt>
                <c:pt idx="89">
                  <c:v>49.035449054954384</c:v>
                </c:pt>
                <c:pt idx="90">
                  <c:v>50.125309607744178</c:v>
                </c:pt>
                <c:pt idx="91">
                  <c:v>43.183256148076218</c:v>
                </c:pt>
                <c:pt idx="92">
                  <c:v>51.063430423468454</c:v>
                </c:pt>
                <c:pt idx="93">
                  <c:v>56.358160230802568</c:v>
                </c:pt>
                <c:pt idx="94">
                  <c:v>58.338550286510831</c:v>
                </c:pt>
                <c:pt idx="95">
                  <c:v>58.925500878405153</c:v>
                </c:pt>
                <c:pt idx="96">
                  <c:v>56.811227959193118</c:v>
                </c:pt>
                <c:pt idx="97">
                  <c:v>54.816109955651925</c:v>
                </c:pt>
                <c:pt idx="98">
                  <c:v>51.284257833174017</c:v>
                </c:pt>
                <c:pt idx="99">
                  <c:v>57.431465085598646</c:v>
                </c:pt>
                <c:pt idx="100">
                  <c:v>57.80661489847374</c:v>
                </c:pt>
                <c:pt idx="101">
                  <c:v>57.16977965777064</c:v>
                </c:pt>
                <c:pt idx="102">
                  <c:v>58.311942637393507</c:v>
                </c:pt>
                <c:pt idx="103">
                  <c:v>57.317133350603086</c:v>
                </c:pt>
                <c:pt idx="104">
                  <c:v>57.589029120758397</c:v>
                </c:pt>
                <c:pt idx="105">
                  <c:v>51.189407245873092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57.532999013855843</c:v>
                </c:pt>
                <c:pt idx="109">
                  <c:v>50.447436278195291</c:v>
                </c:pt>
                <c:pt idx="110">
                  <c:v>56.950308189704678</c:v>
                </c:pt>
                <c:pt idx="111">
                  <c:v>61.518685977469168</c:v>
                </c:pt>
                <c:pt idx="112">
                  <c:v>60.576716442775776</c:v>
                </c:pt>
                <c:pt idx="113">
                  <c:v>57.276493751473431</c:v>
                </c:pt>
                <c:pt idx="114">
                  <c:v>55.011025243549312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46.272317689396395</c:v>
                </c:pt>
                <c:pt idx="118">
                  <c:v>53.368157207245993</c:v>
                </c:pt>
                <c:pt idx="119">
                  <c:v>60.260535835391735</c:v>
                </c:pt>
                <c:pt idx="120">
                  <c:v>56.919945297038041</c:v>
                </c:pt>
                <c:pt idx="121">
                  <c:v>40.444664400159141</c:v>
                </c:pt>
                <c:pt idx="122">
                  <c:v>59.833471224448644</c:v>
                </c:pt>
                <c:pt idx="123">
                  <c:v>55.569460873367788</c:v>
                </c:pt>
                <c:pt idx="124">
                  <c:v>58.993355519975921</c:v>
                </c:pt>
                <c:pt idx="125">
                  <c:v>62.888390720107274</c:v>
                </c:pt>
                <c:pt idx="126">
                  <c:v>58.152952169417603</c:v>
                </c:pt>
                <c:pt idx="127">
                  <c:v>57.718187862260137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55.50428873596136</c:v>
                </c:pt>
                <c:pt idx="132">
                  <c:v>62.466176005743364</c:v>
                </c:pt>
                <c:pt idx="133">
                  <c:v>61.499322120098213</c:v>
                </c:pt>
                <c:pt idx="134">
                  <c:v>61.883239006526935</c:v>
                </c:pt>
                <c:pt idx="135">
                  <c:v>52.836978218882514</c:v>
                </c:pt>
                <c:pt idx="136">
                  <c:v>56.920827652240035</c:v>
                </c:pt>
                <c:pt idx="137">
                  <c:v>62.196197916934416</c:v>
                </c:pt>
                <c:pt idx="138">
                  <c:v>60.966167385308943</c:v>
                </c:pt>
                <c:pt idx="139">
                  <c:v>61.160542885736888</c:v>
                </c:pt>
                <c:pt idx="140">
                  <c:v>59.215074303893267</c:v>
                </c:pt>
                <c:pt idx="141">
                  <c:v>59.915343833320051</c:v>
                </c:pt>
                <c:pt idx="142">
                  <c:v>55.585260349029333</c:v>
                </c:pt>
                <c:pt idx="143">
                  <c:v>26.001334753599281</c:v>
                </c:pt>
                <c:pt idx="144">
                  <c:v>56.074384360716962</c:v>
                </c:pt>
                <c:pt idx="145">
                  <c:v>59.949871504131856</c:v>
                </c:pt>
                <c:pt idx="146">
                  <c:v>59.872524660282878</c:v>
                </c:pt>
                <c:pt idx="147">
                  <c:v>58.893102499621982</c:v>
                </c:pt>
                <c:pt idx="148">
                  <c:v>60.005838604518864</c:v>
                </c:pt>
                <c:pt idx="149">
                  <c:v>59.235447555070827</c:v>
                </c:pt>
                <c:pt idx="150">
                  <c:v>60.201047487090179</c:v>
                </c:pt>
                <c:pt idx="151">
                  <c:v>61.029409506694016</c:v>
                </c:pt>
                <c:pt idx="152">
                  <c:v>60.469553797129123</c:v>
                </c:pt>
                <c:pt idx="153">
                  <c:v>57.408695514870161</c:v>
                </c:pt>
                <c:pt idx="154">
                  <c:v>56.649023658356676</c:v>
                </c:pt>
                <c:pt idx="155">
                  <c:v>43.624994616930465</c:v>
                </c:pt>
                <c:pt idx="156">
                  <c:v>58.308075737012821</c:v>
                </c:pt>
                <c:pt idx="157">
                  <c:v>53.888415995131361</c:v>
                </c:pt>
                <c:pt idx="158">
                  <c:v>61.825772248847073</c:v>
                </c:pt>
                <c:pt idx="159">
                  <c:v>57.898701564439953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57.291729611874956</c:v>
                </c:pt>
                <c:pt idx="163">
                  <c:v>61.075275136442549</c:v>
                </c:pt>
                <c:pt idx="164">
                  <c:v>52.838885669161783</c:v>
                </c:pt>
                <c:pt idx="165">
                  <c:v>55.051597615589515</c:v>
                </c:pt>
                <c:pt idx="166">
                  <c:v>60.496565061953568</c:v>
                </c:pt>
                <c:pt idx="167">
                  <c:v>59.643028752560177</c:v>
                </c:pt>
                <c:pt idx="168">
                  <c:v>57.817123290426146</c:v>
                </c:pt>
                <c:pt idx="169">
                  <c:v>56.988879002316459</c:v>
                </c:pt>
                <c:pt idx="170">
                  <c:v>58.21085404536079</c:v>
                </c:pt>
                <c:pt idx="171">
                  <c:v>52.532940622341521</c:v>
                </c:pt>
                <c:pt idx="172">
                  <c:v>59.462179190219061</c:v>
                </c:pt>
                <c:pt idx="173">
                  <c:v>53.377678678761548</c:v>
                </c:pt>
                <c:pt idx="174">
                  <c:v>58.686977834802818</c:v>
                </c:pt>
                <c:pt idx="175">
                  <c:v>55.730397600386027</c:v>
                </c:pt>
                <c:pt idx="176">
                  <c:v>57.645147266339038</c:v>
                </c:pt>
                <c:pt idx="177">
                  <c:v>57.559954834573851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52.079984666293029</c:v>
                </c:pt>
                <c:pt idx="181">
                  <c:v>57.002748716265671</c:v>
                </c:pt>
                <c:pt idx="182">
                  <c:v>53.87379302070552</c:v>
                </c:pt>
                <c:pt idx="183">
                  <c:v>50.483737643611768</c:v>
                </c:pt>
                <c:pt idx="184">
                  <c:v>48.796596745729502</c:v>
                </c:pt>
                <c:pt idx="185">
                  <c:v>57.87508432107736</c:v>
                </c:pt>
                <c:pt idx="186">
                  <c:v>56.501784231476087</c:v>
                </c:pt>
                <c:pt idx="187">
                  <c:v>53.104663915061565</c:v>
                </c:pt>
                <c:pt idx="188">
                  <c:v>58.837681305863043</c:v>
                </c:pt>
                <c:pt idx="189">
                  <c:v>58.42671028153908</c:v>
                </c:pt>
                <c:pt idx="190">
                  <c:v>57.577022545392943</c:v>
                </c:pt>
                <c:pt idx="191">
                  <c:v>58.243264696264866</c:v>
                </c:pt>
                <c:pt idx="192">
                  <c:v>59.300969895752004</c:v>
                </c:pt>
                <c:pt idx="193">
                  <c:v>55.053807149848517</c:v>
                </c:pt>
                <c:pt idx="194">
                  <c:v>58.425013192463943</c:v>
                </c:pt>
                <c:pt idx="195">
                  <c:v>59.682824722317406</c:v>
                </c:pt>
                <c:pt idx="196">
                  <c:v>58.694583788185525</c:v>
                </c:pt>
                <c:pt idx="197">
                  <c:v>57.888056189789317</c:v>
                </c:pt>
                <c:pt idx="198">
                  <c:v>54.83409502353642</c:v>
                </c:pt>
                <c:pt idx="199">
                  <c:v>57.925852793246442</c:v>
                </c:pt>
                <c:pt idx="200">
                  <c:v>57.010821173837634</c:v>
                </c:pt>
                <c:pt idx="201">
                  <c:v>53.578238473295933</c:v>
                </c:pt>
                <c:pt idx="202">
                  <c:v>54.375496718092663</c:v>
                </c:pt>
                <c:pt idx="203">
                  <c:v>55.212338097424414</c:v>
                </c:pt>
                <c:pt idx="204">
                  <c:v>55.317819769739138</c:v>
                </c:pt>
                <c:pt idx="205">
                  <c:v>56.522396659484173</c:v>
                </c:pt>
                <c:pt idx="206">
                  <c:v>56.237487014663813</c:v>
                </c:pt>
                <c:pt idx="207">
                  <c:v>57.287857875556988</c:v>
                </c:pt>
                <c:pt idx="208">
                  <c:v>58.386184765777948</c:v>
                </c:pt>
                <c:pt idx="209">
                  <c:v>57.892402465153239</c:v>
                </c:pt>
                <c:pt idx="210">
                  <c:v>50.981621896708326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56.092480847378184</c:v>
                </c:pt>
                <c:pt idx="215">
                  <c:v>52.936123470546605</c:v>
                </c:pt>
                <c:pt idx="216">
                  <c:v>56.311096677498618</c:v>
                </c:pt>
                <c:pt idx="217">
                  <c:v>56.389246381378285</c:v>
                </c:pt>
                <c:pt idx="218">
                  <c:v>54.87487901548878</c:v>
                </c:pt>
                <c:pt idx="219">
                  <c:v>55.210634376515713</c:v>
                </c:pt>
                <c:pt idx="220">
                  <c:v>55.479223820400136</c:v>
                </c:pt>
                <c:pt idx="221">
                  <c:v>51.455396116933656</c:v>
                </c:pt>
                <c:pt idx="222">
                  <c:v>54.32605328693775</c:v>
                </c:pt>
                <c:pt idx="223">
                  <c:v>51.451294762618211</c:v>
                </c:pt>
                <c:pt idx="224">
                  <c:v>51.299776685989691</c:v>
                </c:pt>
                <c:pt idx="225">
                  <c:v>56.168421438709679</c:v>
                </c:pt>
                <c:pt idx="226">
                  <c:v>54.459997130630313</c:v>
                </c:pt>
                <c:pt idx="227">
                  <c:v>55.604090749056766</c:v>
                </c:pt>
                <c:pt idx="228">
                  <c:v>54.149035020517147</c:v>
                </c:pt>
                <c:pt idx="229">
                  <c:v>52.532669315171944</c:v>
                </c:pt>
                <c:pt idx="230">
                  <c:v>51.308352268844715</c:v>
                </c:pt>
                <c:pt idx="231">
                  <c:v>52.975167716922265</c:v>
                </c:pt>
                <c:pt idx="232">
                  <c:v>53.054891406226311</c:v>
                </c:pt>
                <c:pt idx="233">
                  <c:v>55.9528605164124</c:v>
                </c:pt>
                <c:pt idx="234">
                  <c:v>53.332836013800012</c:v>
                </c:pt>
                <c:pt idx="235">
                  <c:v>53.598539486969429</c:v>
                </c:pt>
                <c:pt idx="236">
                  <c:v>49.950195766823477</c:v>
                </c:pt>
                <c:pt idx="237">
                  <c:v>53.423762617483668</c:v>
                </c:pt>
                <c:pt idx="238">
                  <c:v>52.471560857407106</c:v>
                </c:pt>
                <c:pt idx="239">
                  <c:v>53.825007614477727</c:v>
                </c:pt>
                <c:pt idx="240">
                  <c:v>53.392910497519651</c:v>
                </c:pt>
                <c:pt idx="241">
                  <c:v>51.895427977541566</c:v>
                </c:pt>
                <c:pt idx="242">
                  <c:v>51.83189151482037</c:v>
                </c:pt>
                <c:pt idx="243">
                  <c:v>53.126958868503813</c:v>
                </c:pt>
                <c:pt idx="244">
                  <c:v>50.943890407811566</c:v>
                </c:pt>
                <c:pt idx="245">
                  <c:v>53.385719153898613</c:v>
                </c:pt>
                <c:pt idx="246">
                  <c:v>53.038083158550982</c:v>
                </c:pt>
                <c:pt idx="247">
                  <c:v>52.253818490500642</c:v>
                </c:pt>
                <c:pt idx="248">
                  <c:v>54.048993300295933</c:v>
                </c:pt>
                <c:pt idx="249">
                  <c:v>52.847504684614634</c:v>
                </c:pt>
                <c:pt idx="250">
                  <c:v>46.460443083143332</c:v>
                </c:pt>
                <c:pt idx="251">
                  <c:v>49.540166553764124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50.900576803696573</c:v>
                </c:pt>
                <c:pt idx="255">
                  <c:v>48.380443853441712</c:v>
                </c:pt>
                <c:pt idx="256">
                  <c:v>48.09542285224876</c:v>
                </c:pt>
                <c:pt idx="257">
                  <c:v>48.958278323972046</c:v>
                </c:pt>
                <c:pt idx="258">
                  <c:v>47.140487034967791</c:v>
                </c:pt>
                <c:pt idx="259">
                  <c:v>51.345185269403622</c:v>
                </c:pt>
                <c:pt idx="260">
                  <c:v>49.64819390324049</c:v>
                </c:pt>
                <c:pt idx="261">
                  <c:v>48.373399952604053</c:v>
                </c:pt>
                <c:pt idx="262">
                  <c:v>49.837145014855793</c:v>
                </c:pt>
                <c:pt idx="263">
                  <c:v>48.627472839036514</c:v>
                </c:pt>
                <c:pt idx="264">
                  <c:v>47.364931992857663</c:v>
                </c:pt>
                <c:pt idx="265">
                  <c:v>44.179127561148483</c:v>
                </c:pt>
                <c:pt idx="266">
                  <c:v>40.512868531707113</c:v>
                </c:pt>
                <c:pt idx="267">
                  <c:v>46.527927467994083</c:v>
                </c:pt>
                <c:pt idx="268">
                  <c:v>45.350079953012298</c:v>
                </c:pt>
                <c:pt idx="269">
                  <c:v>44.445052403607114</c:v>
                </c:pt>
                <c:pt idx="270">
                  <c:v>42.089507508036213</c:v>
                </c:pt>
                <c:pt idx="271">
                  <c:v>45.134596389109774</c:v>
                </c:pt>
                <c:pt idx="272">
                  <c:v>39.258046137495292</c:v>
                </c:pt>
                <c:pt idx="273">
                  <c:v>44.088165069651787</c:v>
                </c:pt>
                <c:pt idx="274">
                  <c:v>43.352276629554488</c:v>
                </c:pt>
                <c:pt idx="275">
                  <c:v>41.859424132175342</c:v>
                </c:pt>
                <c:pt idx="276">
                  <c:v>44.881229188425152</c:v>
                </c:pt>
                <c:pt idx="277">
                  <c:v>45.528311712611483</c:v>
                </c:pt>
                <c:pt idx="278">
                  <c:v>40.753647143943134</c:v>
                </c:pt>
                <c:pt idx="279">
                  <c:v>44.062156348589909</c:v>
                </c:pt>
                <c:pt idx="280">
                  <c:v>43.274258019273653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43.136286710165194</c:v>
                </c:pt>
                <c:pt idx="284">
                  <c:v>41.118712487030926</c:v>
                </c:pt>
                <c:pt idx="285">
                  <c:v>39.212191078905711</c:v>
                </c:pt>
                <c:pt idx="286">
                  <c:v>43.45780557148769</c:v>
                </c:pt>
                <c:pt idx="287">
                  <c:v>40.90072354329984</c:v>
                </c:pt>
                <c:pt idx="288">
                  <c:v>39.25450354106809</c:v>
                </c:pt>
                <c:pt idx="289">
                  <c:v>36.49082251593331</c:v>
                </c:pt>
                <c:pt idx="290">
                  <c:v>40.595682285029085</c:v>
                </c:pt>
                <c:pt idx="291">
                  <c:v>39.260964769799557</c:v>
                </c:pt>
                <c:pt idx="292">
                  <c:v>33.080208038674293</c:v>
                </c:pt>
                <c:pt idx="293">
                  <c:v>24.658725492939233</c:v>
                </c:pt>
                <c:pt idx="294">
                  <c:v>36.777912321684994</c:v>
                </c:pt>
                <c:pt idx="295">
                  <c:v>38.121231488419959</c:v>
                </c:pt>
                <c:pt idx="296">
                  <c:v>39.472897554741962</c:v>
                </c:pt>
                <c:pt idx="297">
                  <c:v>37.235103928768822</c:v>
                </c:pt>
                <c:pt idx="298">
                  <c:v>37.759644135743372</c:v>
                </c:pt>
                <c:pt idx="299">
                  <c:v>36.161643424321802</c:v>
                </c:pt>
                <c:pt idx="300">
                  <c:v>36.883267903412836</c:v>
                </c:pt>
                <c:pt idx="301">
                  <c:v>30.389582180422003</c:v>
                </c:pt>
                <c:pt idx="302">
                  <c:v>32.225870251285528</c:v>
                </c:pt>
                <c:pt idx="303">
                  <c:v>35.005693815920047</c:v>
                </c:pt>
                <c:pt idx="304">
                  <c:v>32.902406059457448</c:v>
                </c:pt>
                <c:pt idx="305">
                  <c:v>32.454853760099304</c:v>
                </c:pt>
                <c:pt idx="306">
                  <c:v>31.704368019491852</c:v>
                </c:pt>
                <c:pt idx="307">
                  <c:v>22.319752291324583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25.868696727513875</c:v>
                </c:pt>
                <c:pt idx="312">
                  <c:v>23.871171034928089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31.04926746236552</c:v>
                </c:pt>
                <c:pt idx="317">
                  <c:v>19.84263142805246</c:v>
                </c:pt>
                <c:pt idx="318">
                  <c:v>29.001692225643055</c:v>
                </c:pt>
                <c:pt idx="319">
                  <c:v>30.583445229560123</c:v>
                </c:pt>
                <c:pt idx="320">
                  <c:v>29.428386616561589</c:v>
                </c:pt>
                <c:pt idx="321">
                  <c:v>28.461608184939823</c:v>
                </c:pt>
                <c:pt idx="322">
                  <c:v>29.760900399703338</c:v>
                </c:pt>
                <c:pt idx="323">
                  <c:v>30.755738511673645</c:v>
                </c:pt>
                <c:pt idx="324">
                  <c:v>29.244111126722764</c:v>
                </c:pt>
                <c:pt idx="325">
                  <c:v>30.738398160711071</c:v>
                </c:pt>
                <c:pt idx="326">
                  <c:v>30.216505837462773</c:v>
                </c:pt>
                <c:pt idx="327">
                  <c:v>28.331820487180057</c:v>
                </c:pt>
                <c:pt idx="328">
                  <c:v>25.716385889252038</c:v>
                </c:pt>
                <c:pt idx="329">
                  <c:v>27.213789763808492</c:v>
                </c:pt>
                <c:pt idx="330">
                  <c:v>25.74929122512259</c:v>
                </c:pt>
                <c:pt idx="331">
                  <c:v>19.489438693359329</c:v>
                </c:pt>
                <c:pt idx="332">
                  <c:v>27.334557288633277</c:v>
                </c:pt>
                <c:pt idx="333">
                  <c:v>26.225428056883853</c:v>
                </c:pt>
                <c:pt idx="334">
                  <c:v>26.861538170544915</c:v>
                </c:pt>
                <c:pt idx="335">
                  <c:v>9.5659847348518507</c:v>
                </c:pt>
                <c:pt idx="336">
                  <c:v>16.831353899278419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23.185833675036029</c:v>
                </c:pt>
                <c:pt idx="340">
                  <c:v>22.326722541325999</c:v>
                </c:pt>
                <c:pt idx="341">
                  <c:v>18.567301939285336</c:v>
                </c:pt>
                <c:pt idx="342">
                  <c:v>10.545859216009614</c:v>
                </c:pt>
                <c:pt idx="343">
                  <c:v>22.599335595679641</c:v>
                </c:pt>
                <c:pt idx="344">
                  <c:v>18.967198725102847</c:v>
                </c:pt>
                <c:pt idx="345">
                  <c:v>25.182974084445021</c:v>
                </c:pt>
                <c:pt idx="346">
                  <c:v>25.628630345535896</c:v>
                </c:pt>
                <c:pt idx="347">
                  <c:v>25.793549080224839</c:v>
                </c:pt>
                <c:pt idx="348">
                  <c:v>25.480565606345994</c:v>
                </c:pt>
                <c:pt idx="349">
                  <c:v>25.377084616872267</c:v>
                </c:pt>
                <c:pt idx="350">
                  <c:v>25.511567876955379</c:v>
                </c:pt>
                <c:pt idx="351">
                  <c:v>25.730204802155043</c:v>
                </c:pt>
                <c:pt idx="352">
                  <c:v>25.266435662050515</c:v>
                </c:pt>
                <c:pt idx="353">
                  <c:v>25.824781167990668</c:v>
                </c:pt>
                <c:pt idx="354">
                  <c:v>23.167622051420128</c:v>
                </c:pt>
                <c:pt idx="355">
                  <c:v>25.028510849440355</c:v>
                </c:pt>
                <c:pt idx="356">
                  <c:v>21.278593952413768</c:v>
                </c:pt>
                <c:pt idx="357">
                  <c:v>24.134963342063681</c:v>
                </c:pt>
                <c:pt idx="358">
                  <c:v>16.698245889929026</c:v>
                </c:pt>
                <c:pt idx="359">
                  <c:v>24.848198087219174</c:v>
                </c:pt>
                <c:pt idx="360">
                  <c:v>25.062175747198527</c:v>
                </c:pt>
                <c:pt idx="361">
                  <c:v>21.18504333390667</c:v>
                </c:pt>
                <c:pt idx="362">
                  <c:v>24.833306177671162</c:v>
                </c:pt>
                <c:pt idx="363">
                  <c:v>25.966265464195352</c:v>
                </c:pt>
                <c:pt idx="364">
                  <c:v>25.625929752628863</c:v>
                </c:pt>
                <c:pt idx="365">
                  <c:v>16.672977949317147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25.81968983853487</c:v>
                </c:pt>
                <c:pt idx="1">
                  <c:v>18.278523071587834</c:v>
                </c:pt>
                <c:pt idx="2">
                  <c:v>19.609955786088271</c:v>
                </c:pt>
                <c:pt idx="3">
                  <c:v>21.133532714507599</c:v>
                </c:pt>
                <c:pt idx="4">
                  <c:v>15.449640446024226</c:v>
                </c:pt>
                <c:pt idx="5">
                  <c:v>27.963119643763427</c:v>
                </c:pt>
                <c:pt idx="6">
                  <c:v>10.601271757204351</c:v>
                </c:pt>
                <c:pt idx="7">
                  <c:v>7.2266627589678558</c:v>
                </c:pt>
                <c:pt idx="8">
                  <c:v>2.0054336596299489</c:v>
                </c:pt>
                <c:pt idx="9">
                  <c:v>1.6096036898484984</c:v>
                </c:pt>
                <c:pt idx="10">
                  <c:v>28.774012285280158</c:v>
                </c:pt>
                <c:pt idx="11">
                  <c:v>26.349829264471197</c:v>
                </c:pt>
                <c:pt idx="12">
                  <c:v>5.7010574671777974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4.0733631460345157</c:v>
                </c:pt>
                <c:pt idx="18">
                  <c:v>12.736280748471817</c:v>
                </c:pt>
                <c:pt idx="19">
                  <c:v>5.931733441060147</c:v>
                </c:pt>
                <c:pt idx="20">
                  <c:v>20.344723444640852</c:v>
                </c:pt>
                <c:pt idx="21">
                  <c:v>31.443251036621696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4.1428174867501824</c:v>
                </c:pt>
                <c:pt idx="28">
                  <c:v>6.6605820850436555</c:v>
                </c:pt>
                <c:pt idx="29">
                  <c:v>4.740495949735684</c:v>
                </c:pt>
                <c:pt idx="30">
                  <c:v>11.795418656157024</c:v>
                </c:pt>
                <c:pt idx="31">
                  <c:v>14.964357454119552</c:v>
                </c:pt>
                <c:pt idx="32">
                  <c:v>5.5303387992291695</c:v>
                </c:pt>
                <c:pt idx="33">
                  <c:v>15.456163777376622</c:v>
                </c:pt>
                <c:pt idx="34">
                  <c:v>12.861161825841268</c:v>
                </c:pt>
                <c:pt idx="35">
                  <c:v>10.657899152628056</c:v>
                </c:pt>
                <c:pt idx="36">
                  <c:v>24.138836194969276</c:v>
                </c:pt>
                <c:pt idx="37">
                  <c:v>14.939112746644939</c:v>
                </c:pt>
                <c:pt idx="38">
                  <c:v>37.708985818537435</c:v>
                </c:pt>
                <c:pt idx="39">
                  <c:v>37.811685305334407</c:v>
                </c:pt>
                <c:pt idx="40">
                  <c:v>35.390836884509106</c:v>
                </c:pt>
                <c:pt idx="41">
                  <c:v>16.467407770056141</c:v>
                </c:pt>
                <c:pt idx="42">
                  <c:v>29.065475263880423</c:v>
                </c:pt>
                <c:pt idx="43">
                  <c:v>34.993562112245606</c:v>
                </c:pt>
                <c:pt idx="44">
                  <c:v>19.247976869975208</c:v>
                </c:pt>
                <c:pt idx="45">
                  <c:v>22.867859428411002</c:v>
                </c:pt>
                <c:pt idx="46">
                  <c:v>9.9950374369449744</c:v>
                </c:pt>
                <c:pt idx="47">
                  <c:v>12.127807925071878</c:v>
                </c:pt>
                <c:pt idx="48">
                  <c:v>33.969071298955853</c:v>
                </c:pt>
                <c:pt idx="49">
                  <c:v>18.469685062672355</c:v>
                </c:pt>
                <c:pt idx="50">
                  <c:v>22.973758251877197</c:v>
                </c:pt>
                <c:pt idx="51">
                  <c:v>23.29533986187252</c:v>
                </c:pt>
                <c:pt idx="52">
                  <c:v>38.568887132211124</c:v>
                </c:pt>
                <c:pt idx="53">
                  <c:v>39.662858999159958</c:v>
                </c:pt>
                <c:pt idx="54">
                  <c:v>23.668229263135206</c:v>
                </c:pt>
                <c:pt idx="55">
                  <c:v>33.658357426587166</c:v>
                </c:pt>
                <c:pt idx="56">
                  <c:v>44.691622932804918</c:v>
                </c:pt>
                <c:pt idx="57">
                  <c:v>29.42184145893901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17.13282312482924</c:v>
                </c:pt>
                <c:pt idx="61">
                  <c:v>39.924133521636918</c:v>
                </c:pt>
                <c:pt idx="62">
                  <c:v>5.9525051818972594</c:v>
                </c:pt>
                <c:pt idx="63">
                  <c:v>13.90853028234581</c:v>
                </c:pt>
                <c:pt idx="64">
                  <c:v>21.975887605393641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31.948609179489321</c:v>
                </c:pt>
                <c:pt idx="68">
                  <c:v>25.068368912421153</c:v>
                </c:pt>
                <c:pt idx="69">
                  <c:v>15.911660794320486</c:v>
                </c:pt>
                <c:pt idx="70">
                  <c:v>15.223632578471896</c:v>
                </c:pt>
                <c:pt idx="71">
                  <c:v>9.2579465024583136</c:v>
                </c:pt>
                <c:pt idx="72">
                  <c:v>12.410878643906345</c:v>
                </c:pt>
                <c:pt idx="73">
                  <c:v>14.757675406312261</c:v>
                </c:pt>
                <c:pt idx="74">
                  <c:v>12.373517908140943</c:v>
                </c:pt>
                <c:pt idx="75">
                  <c:v>10.92118628792228</c:v>
                </c:pt>
                <c:pt idx="76">
                  <c:v>13.981312401571639</c:v>
                </c:pt>
                <c:pt idx="77">
                  <c:v>31.418196174077071</c:v>
                </c:pt>
                <c:pt idx="78">
                  <c:v>34.904369552468353</c:v>
                </c:pt>
                <c:pt idx="79">
                  <c:v>50.234997575447132</c:v>
                </c:pt>
                <c:pt idx="80">
                  <c:v>47.139796606521649</c:v>
                </c:pt>
                <c:pt idx="81">
                  <c:v>52.429868509754343</c:v>
                </c:pt>
                <c:pt idx="82">
                  <c:v>51.474779602422245</c:v>
                </c:pt>
                <c:pt idx="83">
                  <c:v>44.183137870817539</c:v>
                </c:pt>
                <c:pt idx="84">
                  <c:v>49.028869325953984</c:v>
                </c:pt>
                <c:pt idx="85">
                  <c:v>48.994260077929241</c:v>
                </c:pt>
                <c:pt idx="86">
                  <c:v>37.834288179977094</c:v>
                </c:pt>
                <c:pt idx="87">
                  <c:v>29.204893491010175</c:v>
                </c:pt>
                <c:pt idx="88">
                  <c:v>7.4135138302037999</c:v>
                </c:pt>
                <c:pt idx="89">
                  <c:v>29.503478833438599</c:v>
                </c:pt>
                <c:pt idx="90">
                  <c:v>32.18021341648307</c:v>
                </c:pt>
                <c:pt idx="91">
                  <c:v>21.212891476860474</c:v>
                </c:pt>
                <c:pt idx="92">
                  <c:v>26.697858206884817</c:v>
                </c:pt>
                <c:pt idx="93">
                  <c:v>47.343837738987432</c:v>
                </c:pt>
                <c:pt idx="94">
                  <c:v>56.151929184528953</c:v>
                </c:pt>
                <c:pt idx="95">
                  <c:v>12.545697981752618</c:v>
                </c:pt>
                <c:pt idx="96">
                  <c:v>42.906868707081934</c:v>
                </c:pt>
                <c:pt idx="97">
                  <c:v>34.050244215079729</c:v>
                </c:pt>
                <c:pt idx="98">
                  <c:v>38.580608702450547</c:v>
                </c:pt>
                <c:pt idx="99">
                  <c:v>57.431465085598646</c:v>
                </c:pt>
                <c:pt idx="100">
                  <c:v>43.586407956996283</c:v>
                </c:pt>
                <c:pt idx="101">
                  <c:v>38.86129092095922</c:v>
                </c:pt>
                <c:pt idx="102">
                  <c:v>7.649092402290953</c:v>
                </c:pt>
                <c:pt idx="103">
                  <c:v>42.641060018180362</c:v>
                </c:pt>
                <c:pt idx="104">
                  <c:v>46.97141752243315</c:v>
                </c:pt>
                <c:pt idx="105">
                  <c:v>48.295083112497515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11.447788100584928</c:v>
                </c:pt>
                <c:pt idx="109">
                  <c:v>10.767816319918481</c:v>
                </c:pt>
                <c:pt idx="110">
                  <c:v>10.167666266828219</c:v>
                </c:pt>
                <c:pt idx="111">
                  <c:v>32.289969460350619</c:v>
                </c:pt>
                <c:pt idx="112">
                  <c:v>8.965843891335517</c:v>
                </c:pt>
                <c:pt idx="113">
                  <c:v>40.413183902580123</c:v>
                </c:pt>
                <c:pt idx="114">
                  <c:v>50.844613338252024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24.622721783491027</c:v>
                </c:pt>
                <c:pt idx="118">
                  <c:v>46.39367580536959</c:v>
                </c:pt>
                <c:pt idx="119">
                  <c:v>47.053660640524839</c:v>
                </c:pt>
                <c:pt idx="120">
                  <c:v>47.908312853327253</c:v>
                </c:pt>
                <c:pt idx="121">
                  <c:v>29.022308398905604</c:v>
                </c:pt>
                <c:pt idx="122">
                  <c:v>11.747878059892431</c:v>
                </c:pt>
                <c:pt idx="123">
                  <c:v>18.441057881737198</c:v>
                </c:pt>
                <c:pt idx="124">
                  <c:v>39.785146491631558</c:v>
                </c:pt>
                <c:pt idx="125">
                  <c:v>38.751716239906216</c:v>
                </c:pt>
                <c:pt idx="126">
                  <c:v>51.168319629936128</c:v>
                </c:pt>
                <c:pt idx="127">
                  <c:v>52.736028845901252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45.684319274324466</c:v>
                </c:pt>
                <c:pt idx="132">
                  <c:v>47.927761376881968</c:v>
                </c:pt>
                <c:pt idx="133">
                  <c:v>50.616223849595862</c:v>
                </c:pt>
                <c:pt idx="134">
                  <c:v>54.736041583822292</c:v>
                </c:pt>
                <c:pt idx="135">
                  <c:v>52.634793539297888</c:v>
                </c:pt>
                <c:pt idx="136">
                  <c:v>56.556166793207801</c:v>
                </c:pt>
                <c:pt idx="137">
                  <c:v>55.006178167101751</c:v>
                </c:pt>
                <c:pt idx="138">
                  <c:v>56.61518335402711</c:v>
                </c:pt>
                <c:pt idx="139">
                  <c:v>50.436877186067662</c:v>
                </c:pt>
                <c:pt idx="140">
                  <c:v>51.625490184686939</c:v>
                </c:pt>
                <c:pt idx="141">
                  <c:v>37.345084800727079</c:v>
                </c:pt>
                <c:pt idx="142">
                  <c:v>18.068164126565222</c:v>
                </c:pt>
                <c:pt idx="143">
                  <c:v>14.801811476446485</c:v>
                </c:pt>
                <c:pt idx="144">
                  <c:v>42.267932525446327</c:v>
                </c:pt>
                <c:pt idx="145">
                  <c:v>22.697109973902517</c:v>
                </c:pt>
                <c:pt idx="146">
                  <c:v>42.455449203203713</c:v>
                </c:pt>
                <c:pt idx="147">
                  <c:v>54.960704782415895</c:v>
                </c:pt>
                <c:pt idx="148">
                  <c:v>60.005838604518864</c:v>
                </c:pt>
                <c:pt idx="149">
                  <c:v>51.218857910302901</c:v>
                </c:pt>
                <c:pt idx="150">
                  <c:v>57.04945901755724</c:v>
                </c:pt>
                <c:pt idx="151">
                  <c:v>57.494200860365737</c:v>
                </c:pt>
                <c:pt idx="152">
                  <c:v>45.214268599133042</c:v>
                </c:pt>
                <c:pt idx="153">
                  <c:v>56.169218736647579</c:v>
                </c:pt>
                <c:pt idx="154">
                  <c:v>30.973635617965055</c:v>
                </c:pt>
                <c:pt idx="155">
                  <c:v>31.946739858272853</c:v>
                </c:pt>
                <c:pt idx="156">
                  <c:v>45.325105045218677</c:v>
                </c:pt>
                <c:pt idx="157">
                  <c:v>30.433909774704386</c:v>
                </c:pt>
                <c:pt idx="158">
                  <c:v>22.869458792934246</c:v>
                </c:pt>
                <c:pt idx="159">
                  <c:v>46.24488047527133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44.559557730363608</c:v>
                </c:pt>
                <c:pt idx="163">
                  <c:v>53.556395839006143</c:v>
                </c:pt>
                <c:pt idx="164">
                  <c:v>48.975446707056449</c:v>
                </c:pt>
                <c:pt idx="165">
                  <c:v>55.051597615589515</c:v>
                </c:pt>
                <c:pt idx="166">
                  <c:v>52.260023597220375</c:v>
                </c:pt>
                <c:pt idx="167">
                  <c:v>52.847634768541397</c:v>
                </c:pt>
                <c:pt idx="168">
                  <c:v>55.597304479230928</c:v>
                </c:pt>
                <c:pt idx="169">
                  <c:v>56.988879002316459</c:v>
                </c:pt>
                <c:pt idx="170">
                  <c:v>32.730021682200295</c:v>
                </c:pt>
                <c:pt idx="171">
                  <c:v>20.029883022334907</c:v>
                </c:pt>
                <c:pt idx="172">
                  <c:v>47.854010135138665</c:v>
                </c:pt>
                <c:pt idx="173">
                  <c:v>42.963820938862277</c:v>
                </c:pt>
                <c:pt idx="174">
                  <c:v>46.613902783213994</c:v>
                </c:pt>
                <c:pt idx="175">
                  <c:v>32.765805035038589</c:v>
                </c:pt>
                <c:pt idx="176">
                  <c:v>11.880480966442279</c:v>
                </c:pt>
                <c:pt idx="177">
                  <c:v>17.72291056524255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13.592289784633799</c:v>
                </c:pt>
                <c:pt idx="181">
                  <c:v>53.364825045434749</c:v>
                </c:pt>
                <c:pt idx="182">
                  <c:v>51.153794354440024</c:v>
                </c:pt>
                <c:pt idx="183">
                  <c:v>46.45181506185299</c:v>
                </c:pt>
                <c:pt idx="184">
                  <c:v>47.597680431516388</c:v>
                </c:pt>
                <c:pt idx="185">
                  <c:v>55.977533866686564</c:v>
                </c:pt>
                <c:pt idx="186">
                  <c:v>43.142471418214612</c:v>
                </c:pt>
                <c:pt idx="187">
                  <c:v>53.104663915061565</c:v>
                </c:pt>
                <c:pt idx="188">
                  <c:v>57.878978410526365</c:v>
                </c:pt>
                <c:pt idx="189">
                  <c:v>57.008966931100225</c:v>
                </c:pt>
                <c:pt idx="190">
                  <c:v>56.794134483752543</c:v>
                </c:pt>
                <c:pt idx="191">
                  <c:v>55.468020004712891</c:v>
                </c:pt>
                <c:pt idx="192">
                  <c:v>55.043355308161978</c:v>
                </c:pt>
                <c:pt idx="193">
                  <c:v>55.053807149848517</c:v>
                </c:pt>
                <c:pt idx="194">
                  <c:v>54.41612491902108</c:v>
                </c:pt>
                <c:pt idx="195">
                  <c:v>52.735885408591649</c:v>
                </c:pt>
                <c:pt idx="196">
                  <c:v>54.371826471078215</c:v>
                </c:pt>
                <c:pt idx="197">
                  <c:v>54.015740287741643</c:v>
                </c:pt>
                <c:pt idx="198">
                  <c:v>54.83409502353642</c:v>
                </c:pt>
                <c:pt idx="199">
                  <c:v>43.339189578106165</c:v>
                </c:pt>
                <c:pt idx="200">
                  <c:v>42.25050970382113</c:v>
                </c:pt>
                <c:pt idx="201">
                  <c:v>53.578238473295933</c:v>
                </c:pt>
                <c:pt idx="202">
                  <c:v>41.838189358231013</c:v>
                </c:pt>
                <c:pt idx="203">
                  <c:v>49.187771752604625</c:v>
                </c:pt>
                <c:pt idx="204">
                  <c:v>53.946312409245607</c:v>
                </c:pt>
                <c:pt idx="205">
                  <c:v>31.238412232576479</c:v>
                </c:pt>
                <c:pt idx="206">
                  <c:v>54.215788856289556</c:v>
                </c:pt>
                <c:pt idx="207">
                  <c:v>57.287857875556988</c:v>
                </c:pt>
                <c:pt idx="208">
                  <c:v>48.224876559014</c:v>
                </c:pt>
                <c:pt idx="209">
                  <c:v>28.226140331971251</c:v>
                </c:pt>
                <c:pt idx="210">
                  <c:v>48.723607643157962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53.411007004295008</c:v>
                </c:pt>
                <c:pt idx="215">
                  <c:v>50.123561808845096</c:v>
                </c:pt>
                <c:pt idx="216">
                  <c:v>46.637715132198046</c:v>
                </c:pt>
                <c:pt idx="217">
                  <c:v>51.111952077105194</c:v>
                </c:pt>
                <c:pt idx="218">
                  <c:v>54.332748853929772</c:v>
                </c:pt>
                <c:pt idx="219">
                  <c:v>55.210634376515713</c:v>
                </c:pt>
                <c:pt idx="220">
                  <c:v>53.368196158968736</c:v>
                </c:pt>
                <c:pt idx="221">
                  <c:v>51.174752157074352</c:v>
                </c:pt>
                <c:pt idx="222">
                  <c:v>47.096070780429145</c:v>
                </c:pt>
                <c:pt idx="223">
                  <c:v>49.432192256833318</c:v>
                </c:pt>
                <c:pt idx="224">
                  <c:v>34.434049183141909</c:v>
                </c:pt>
                <c:pt idx="225">
                  <c:v>35.80424854569857</c:v>
                </c:pt>
                <c:pt idx="226">
                  <c:v>41.059455281918638</c:v>
                </c:pt>
                <c:pt idx="227">
                  <c:v>34.492817172505404</c:v>
                </c:pt>
                <c:pt idx="228">
                  <c:v>23.7111936390138</c:v>
                </c:pt>
                <c:pt idx="229">
                  <c:v>41.267906742620291</c:v>
                </c:pt>
                <c:pt idx="230">
                  <c:v>42.734151235178174</c:v>
                </c:pt>
                <c:pt idx="231">
                  <c:v>50.901484207997285</c:v>
                </c:pt>
                <c:pt idx="232">
                  <c:v>34.314596443296274</c:v>
                </c:pt>
                <c:pt idx="233">
                  <c:v>26.736640305397735</c:v>
                </c:pt>
                <c:pt idx="234">
                  <c:v>47.838012413011192</c:v>
                </c:pt>
                <c:pt idx="235">
                  <c:v>49.432047469032206</c:v>
                </c:pt>
                <c:pt idx="236">
                  <c:v>35.272113036318324</c:v>
                </c:pt>
                <c:pt idx="237">
                  <c:v>44.320137226655227</c:v>
                </c:pt>
                <c:pt idx="238">
                  <c:v>52.22741043450786</c:v>
                </c:pt>
                <c:pt idx="239">
                  <c:v>51.261446441089191</c:v>
                </c:pt>
                <c:pt idx="240">
                  <c:v>34.560025212837637</c:v>
                </c:pt>
                <c:pt idx="241">
                  <c:v>50.19463807526521</c:v>
                </c:pt>
                <c:pt idx="242">
                  <c:v>23.620245790352179</c:v>
                </c:pt>
                <c:pt idx="243">
                  <c:v>45.547484211643088</c:v>
                </c:pt>
                <c:pt idx="244">
                  <c:v>41.781708726458092</c:v>
                </c:pt>
                <c:pt idx="245">
                  <c:v>34.887142841763286</c:v>
                </c:pt>
                <c:pt idx="246">
                  <c:v>50.613785061005359</c:v>
                </c:pt>
                <c:pt idx="247">
                  <c:v>42.788869503837894</c:v>
                </c:pt>
                <c:pt idx="248">
                  <c:v>48.535234655731763</c:v>
                </c:pt>
                <c:pt idx="249">
                  <c:v>37.762310807517167</c:v>
                </c:pt>
                <c:pt idx="250">
                  <c:v>41.358098928250357</c:v>
                </c:pt>
                <c:pt idx="251">
                  <c:v>23.021414742686368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34.477083902677009</c:v>
                </c:pt>
                <c:pt idx="255">
                  <c:v>12.223278965362864</c:v>
                </c:pt>
                <c:pt idx="256">
                  <c:v>40.579971644327586</c:v>
                </c:pt>
                <c:pt idx="257">
                  <c:v>44.581227026029133</c:v>
                </c:pt>
                <c:pt idx="258">
                  <c:v>29.679623391031399</c:v>
                </c:pt>
                <c:pt idx="259">
                  <c:v>51.345185269403622</c:v>
                </c:pt>
                <c:pt idx="260">
                  <c:v>49.64819390324049</c:v>
                </c:pt>
                <c:pt idx="261">
                  <c:v>48.373399952604053</c:v>
                </c:pt>
                <c:pt idx="262">
                  <c:v>49.837145014855793</c:v>
                </c:pt>
                <c:pt idx="263">
                  <c:v>48.627472839036514</c:v>
                </c:pt>
                <c:pt idx="264">
                  <c:v>47.364931992857663</c:v>
                </c:pt>
                <c:pt idx="265">
                  <c:v>29.921731998627919</c:v>
                </c:pt>
                <c:pt idx="266">
                  <c:v>18.755906715386104</c:v>
                </c:pt>
                <c:pt idx="267">
                  <c:v>33.211453043454441</c:v>
                </c:pt>
                <c:pt idx="268">
                  <c:v>35.821400729717986</c:v>
                </c:pt>
                <c:pt idx="269">
                  <c:v>16.187841918894211</c:v>
                </c:pt>
                <c:pt idx="270">
                  <c:v>18.602894205834854</c:v>
                </c:pt>
                <c:pt idx="271">
                  <c:v>25.518378749246448</c:v>
                </c:pt>
                <c:pt idx="272">
                  <c:v>31.188139645431519</c:v>
                </c:pt>
                <c:pt idx="273">
                  <c:v>40.327145280923233</c:v>
                </c:pt>
                <c:pt idx="274">
                  <c:v>43.352276629554488</c:v>
                </c:pt>
                <c:pt idx="275">
                  <c:v>40.143760949327643</c:v>
                </c:pt>
                <c:pt idx="276">
                  <c:v>44.881229188425152</c:v>
                </c:pt>
                <c:pt idx="277">
                  <c:v>45.528311712611483</c:v>
                </c:pt>
                <c:pt idx="278">
                  <c:v>16.293099954607833</c:v>
                </c:pt>
                <c:pt idx="279">
                  <c:v>31.367297118616886</c:v>
                </c:pt>
                <c:pt idx="280">
                  <c:v>17.548821616357319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26.785250123811227</c:v>
                </c:pt>
                <c:pt idx="284">
                  <c:v>30.103507451905998</c:v>
                </c:pt>
                <c:pt idx="285">
                  <c:v>24.370031771951442</c:v>
                </c:pt>
                <c:pt idx="286">
                  <c:v>19.155105573311868</c:v>
                </c:pt>
                <c:pt idx="287">
                  <c:v>40.90072354329984</c:v>
                </c:pt>
                <c:pt idx="288">
                  <c:v>36.799667391262751</c:v>
                </c:pt>
                <c:pt idx="289">
                  <c:v>22.042435631773536</c:v>
                </c:pt>
                <c:pt idx="290">
                  <c:v>37.346057245873183</c:v>
                </c:pt>
                <c:pt idx="291">
                  <c:v>16.793460125031597</c:v>
                </c:pt>
                <c:pt idx="292">
                  <c:v>9.8306802490761367</c:v>
                </c:pt>
                <c:pt idx="293">
                  <c:v>16.684725803993821</c:v>
                </c:pt>
                <c:pt idx="294">
                  <c:v>36.777912321684994</c:v>
                </c:pt>
                <c:pt idx="295">
                  <c:v>20.573889340077748</c:v>
                </c:pt>
                <c:pt idx="296">
                  <c:v>28.2419792149011</c:v>
                </c:pt>
                <c:pt idx="297">
                  <c:v>24.040497879559585</c:v>
                </c:pt>
                <c:pt idx="298">
                  <c:v>19.233918165480482</c:v>
                </c:pt>
                <c:pt idx="299">
                  <c:v>15.067333161140329</c:v>
                </c:pt>
                <c:pt idx="300">
                  <c:v>19.854812458916342</c:v>
                </c:pt>
                <c:pt idx="301">
                  <c:v>29.3220009018155</c:v>
                </c:pt>
                <c:pt idx="302">
                  <c:v>24.621492990289379</c:v>
                </c:pt>
                <c:pt idx="303">
                  <c:v>23.665498138332531</c:v>
                </c:pt>
                <c:pt idx="304">
                  <c:v>22.486877676037054</c:v>
                </c:pt>
                <c:pt idx="305">
                  <c:v>32.454853760099304</c:v>
                </c:pt>
                <c:pt idx="306">
                  <c:v>10.468864298833669</c:v>
                </c:pt>
                <c:pt idx="307">
                  <c:v>15.455106960094916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19.844249986469961</c:v>
                </c:pt>
                <c:pt idx="312">
                  <c:v>9.8849729798773893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27.064762788256044</c:v>
                </c:pt>
                <c:pt idx="317">
                  <c:v>12.702152937245639</c:v>
                </c:pt>
                <c:pt idx="318">
                  <c:v>13.758756818225411</c:v>
                </c:pt>
                <c:pt idx="319">
                  <c:v>30.583445229560123</c:v>
                </c:pt>
                <c:pt idx="320">
                  <c:v>15.750429615271896</c:v>
                </c:pt>
                <c:pt idx="321">
                  <c:v>14.054470914940168</c:v>
                </c:pt>
                <c:pt idx="322">
                  <c:v>9.3458798744435434</c:v>
                </c:pt>
                <c:pt idx="323">
                  <c:v>19.227045068109739</c:v>
                </c:pt>
                <c:pt idx="324">
                  <c:v>3.2899819154484451</c:v>
                </c:pt>
                <c:pt idx="325">
                  <c:v>10.278366140590718</c:v>
                </c:pt>
                <c:pt idx="326">
                  <c:v>16.831646111782767</c:v>
                </c:pt>
                <c:pt idx="327">
                  <c:v>15.059424063829844</c:v>
                </c:pt>
                <c:pt idx="328">
                  <c:v>4.9483997142232434</c:v>
                </c:pt>
                <c:pt idx="329">
                  <c:v>11.553111110093653</c:v>
                </c:pt>
                <c:pt idx="330">
                  <c:v>15.896713130581345</c:v>
                </c:pt>
                <c:pt idx="331">
                  <c:v>11.231443237143051</c:v>
                </c:pt>
                <c:pt idx="332">
                  <c:v>13.708695759180129</c:v>
                </c:pt>
                <c:pt idx="333">
                  <c:v>4.2741382628299682</c:v>
                </c:pt>
                <c:pt idx="334">
                  <c:v>3.7818096126626846</c:v>
                </c:pt>
                <c:pt idx="335">
                  <c:v>5.4743334478505794</c:v>
                </c:pt>
                <c:pt idx="336">
                  <c:v>10.791017679000701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15.440939541659018</c:v>
                </c:pt>
                <c:pt idx="340">
                  <c:v>21.826504567364843</c:v>
                </c:pt>
                <c:pt idx="341">
                  <c:v>4.0211432628816821</c:v>
                </c:pt>
                <c:pt idx="342">
                  <c:v>9.0806995451959285</c:v>
                </c:pt>
                <c:pt idx="343">
                  <c:v>16.798350230133536</c:v>
                </c:pt>
                <c:pt idx="344">
                  <c:v>18.025308578937228</c:v>
                </c:pt>
                <c:pt idx="345">
                  <c:v>5.7926876685391901</c:v>
                </c:pt>
                <c:pt idx="346">
                  <c:v>5.4225063858743683</c:v>
                </c:pt>
                <c:pt idx="347">
                  <c:v>17.612986284081934</c:v>
                </c:pt>
                <c:pt idx="348">
                  <c:v>6.4263461453721913</c:v>
                </c:pt>
                <c:pt idx="349">
                  <c:v>5.3189404420936306</c:v>
                </c:pt>
                <c:pt idx="350">
                  <c:v>3.1437381524563768</c:v>
                </c:pt>
                <c:pt idx="351">
                  <c:v>20.840708639345607</c:v>
                </c:pt>
                <c:pt idx="352">
                  <c:v>19.592991564846962</c:v>
                </c:pt>
                <c:pt idx="353">
                  <c:v>3.8875159176609211</c:v>
                </c:pt>
                <c:pt idx="354">
                  <c:v>23.167622051420128</c:v>
                </c:pt>
                <c:pt idx="355">
                  <c:v>20.230342253974886</c:v>
                </c:pt>
                <c:pt idx="356">
                  <c:v>21.131639372627937</c:v>
                </c:pt>
                <c:pt idx="357">
                  <c:v>24.134963342063681</c:v>
                </c:pt>
                <c:pt idx="358">
                  <c:v>11.784328637445499</c:v>
                </c:pt>
                <c:pt idx="359">
                  <c:v>21.686424318093195</c:v>
                </c:pt>
                <c:pt idx="360">
                  <c:v>6.9337026321042519</c:v>
                </c:pt>
                <c:pt idx="361">
                  <c:v>21.18504333390667</c:v>
                </c:pt>
                <c:pt idx="362">
                  <c:v>11.604576675527719</c:v>
                </c:pt>
                <c:pt idx="363">
                  <c:v>16.396573835703258</c:v>
                </c:pt>
                <c:pt idx="364">
                  <c:v>13.208782751209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27.351600000000001</c:v>
                </c:pt>
                <c:pt idx="21">
                  <c:v>31.3156</c:v>
                </c:pt>
                <c:pt idx="35">
                  <c:v>36.171499999999995</c:v>
                </c:pt>
                <c:pt idx="49">
                  <c:v>41.5229</c:v>
                </c:pt>
                <c:pt idx="63">
                  <c:v>46.378799999999998</c:v>
                </c:pt>
                <c:pt idx="77">
                  <c:v>51.036500000000004</c:v>
                </c:pt>
                <c:pt idx="91">
                  <c:v>55.297799999999995</c:v>
                </c:pt>
                <c:pt idx="105">
                  <c:v>58.270799999999994</c:v>
                </c:pt>
                <c:pt idx="119">
                  <c:v>59.856399999999994</c:v>
                </c:pt>
                <c:pt idx="133">
                  <c:v>60.451000000000001</c:v>
                </c:pt>
                <c:pt idx="147">
                  <c:v>60.451000000000001</c:v>
                </c:pt>
                <c:pt idx="161">
                  <c:v>59.856399999999994</c:v>
                </c:pt>
                <c:pt idx="175">
                  <c:v>59.063599999999994</c:v>
                </c:pt>
                <c:pt idx="189">
                  <c:v>58.072600000000001</c:v>
                </c:pt>
                <c:pt idx="203">
                  <c:v>56.982500000000002</c:v>
                </c:pt>
                <c:pt idx="217">
                  <c:v>55.793300000000002</c:v>
                </c:pt>
                <c:pt idx="231">
                  <c:v>54.207700000000003</c:v>
                </c:pt>
                <c:pt idx="245">
                  <c:v>52.225699999999996</c:v>
                </c:pt>
                <c:pt idx="259">
                  <c:v>49.252699999999997</c:v>
                </c:pt>
                <c:pt idx="273">
                  <c:v>45.387799999999999</c:v>
                </c:pt>
                <c:pt idx="287">
                  <c:v>41.2256</c:v>
                </c:pt>
                <c:pt idx="301">
                  <c:v>36.468800000000002</c:v>
                </c:pt>
                <c:pt idx="315">
                  <c:v>32.207499999999996</c:v>
                </c:pt>
                <c:pt idx="329">
                  <c:v>28.441699999999997</c:v>
                </c:pt>
                <c:pt idx="343">
                  <c:v>25.666899999999998</c:v>
                </c:pt>
                <c:pt idx="357">
                  <c:v>25.171399999999998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160408"/>
        <c:axId val="591160016"/>
      </c:lineChart>
      <c:dateAx>
        <c:axId val="591160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0016"/>
        <c:crosses val="autoZero"/>
        <c:auto val="1"/>
        <c:lblOffset val="100"/>
        <c:baseTimeUnit val="days"/>
        <c:majorUnit val="1"/>
        <c:majorTimeUnit val="months"/>
      </c:dateAx>
      <c:valAx>
        <c:axId val="5911600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04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3.5160141988257433E-2</c:v>
                </c:pt>
                <c:pt idx="1">
                  <c:v>3.5814218839945379E-2</c:v>
                </c:pt>
                <c:pt idx="2">
                  <c:v>3.6404616331258334E-2</c:v>
                </c:pt>
                <c:pt idx="3">
                  <c:v>3.7057848487852409E-2</c:v>
                </c:pt>
                <c:pt idx="4">
                  <c:v>3.7689586474169957E-2</c:v>
                </c:pt>
                <c:pt idx="5">
                  <c:v>3.8341946448881427E-2</c:v>
                </c:pt>
                <c:pt idx="6">
                  <c:v>3.8972840951881783E-2</c:v>
                </c:pt>
                <c:pt idx="7">
                  <c:v>3.9624329909229573E-2</c:v>
                </c:pt>
                <c:pt idx="8">
                  <c:v>4.0275376664189545E-2</c:v>
                </c:pt>
                <c:pt idx="9">
                  <c:v>4.0905001158062261E-2</c:v>
                </c:pt>
                <c:pt idx="10">
                  <c:v>4.1555178649042103E-2</c:v>
                </c:pt>
                <c:pt idx="11">
                  <c:v>4.2183962481488459E-2</c:v>
                </c:pt>
                <c:pt idx="12">
                  <c:v>4.2833271869111102E-2</c:v>
                </c:pt>
                <c:pt idx="13">
                  <c:v>4.3482140533743198E-2</c:v>
                </c:pt>
                <c:pt idx="14">
                  <c:v>4.4067836894654967E-2</c:v>
                </c:pt>
                <c:pt idx="15">
                  <c:v>4.4715867590207271E-2</c:v>
                </c:pt>
                <c:pt idx="16">
                  <c:v>4.5342575266103836E-2</c:v>
                </c:pt>
                <c:pt idx="17">
                  <c:v>4.5989740724655205E-2</c:v>
                </c:pt>
                <c:pt idx="18">
                  <c:v>4.6615611633599709E-2</c:v>
                </c:pt>
                <c:pt idx="19">
                  <c:v>4.7261913010396485E-2</c:v>
                </c:pt>
                <c:pt idx="20">
                  <c:v>4.7907775705909629E-2</c:v>
                </c:pt>
                <c:pt idx="21">
                  <c:v>4.8532386718368549E-2</c:v>
                </c:pt>
                <c:pt idx="22">
                  <c:v>4.917738707154904E-2</c:v>
                </c:pt>
                <c:pt idx="23">
                  <c:v>4.9801164116477038E-2</c:v>
                </c:pt>
                <c:pt idx="24">
                  <c:v>5.0466074680452479E-2</c:v>
                </c:pt>
                <c:pt idx="25">
                  <c:v>5.1109762530290627E-2</c:v>
                </c:pt>
                <c:pt idx="26">
                  <c:v>5.1690782468165365E-2</c:v>
                </c:pt>
                <c:pt idx="27">
                  <c:v>5.2333639039588299E-2</c:v>
                </c:pt>
                <c:pt idx="28">
                  <c:v>5.2955342842473697E-2</c:v>
                </c:pt>
                <c:pt idx="29">
                  <c:v>5.3597341085277785E-2</c:v>
                </c:pt>
                <c:pt idx="30">
                  <c:v>5.4218214802277599E-2</c:v>
                </c:pt>
                <c:pt idx="31">
                  <c:v>5.4859355862485117E-2</c:v>
                </c:pt>
                <c:pt idx="32">
                  <c:v>5.5500061744007768E-2</c:v>
                </c:pt>
                <c:pt idx="33">
                  <c:v>5.6119685624015904E-2</c:v>
                </c:pt>
                <c:pt idx="34">
                  <c:v>5.6759536048475702E-2</c:v>
                </c:pt>
                <c:pt idx="35">
                  <c:v>5.7378332619667495E-2</c:v>
                </c:pt>
                <c:pt idx="36">
                  <c:v>5.8017328729253005E-2</c:v>
                </c:pt>
                <c:pt idx="37">
                  <c:v>5.8655891116052718E-2</c:v>
                </c:pt>
                <c:pt idx="38">
                  <c:v>5.9232284593731178E-2</c:v>
                </c:pt>
                <c:pt idx="39">
                  <c:v>5.9870022321297324E-2</c:v>
                </c:pt>
                <c:pt idx="40">
                  <c:v>6.0486775712483488E-2</c:v>
                </c:pt>
                <c:pt idx="41">
                  <c:v>6.1123661946003917E-2</c:v>
                </c:pt>
                <c:pt idx="42">
                  <c:v>6.1739591860990296E-2</c:v>
                </c:pt>
                <c:pt idx="43">
                  <c:v>6.2375627737361806E-2</c:v>
                </c:pt>
                <c:pt idx="44">
                  <c:v>6.3011231900225367E-2</c:v>
                </c:pt>
                <c:pt idx="45">
                  <c:v>6.3625921930238388E-2</c:v>
                </c:pt>
                <c:pt idx="46">
                  <c:v>6.4260677447746967E-2</c:v>
                </c:pt>
                <c:pt idx="47">
                  <c:v>6.487454675651691E-2</c:v>
                </c:pt>
                <c:pt idx="48">
                  <c:v>6.5508454761763896E-2</c:v>
                </c:pt>
                <c:pt idx="49">
                  <c:v>6.6141932497809391E-2</c:v>
                </c:pt>
                <c:pt idx="50">
                  <c:v>6.6713736354188952E-2</c:v>
                </c:pt>
                <c:pt idx="51">
                  <c:v>6.7346395997476133E-2</c:v>
                </c:pt>
                <c:pt idx="52">
                  <c:v>6.7958238395374154E-2</c:v>
                </c:pt>
                <c:pt idx="53">
                  <c:v>6.859005332476717E-2</c:v>
                </c:pt>
                <c:pt idx="54">
                  <c:v>6.9201078803520638E-2</c:v>
                </c:pt>
                <c:pt idx="55">
                  <c:v>6.9832050146863861E-2</c:v>
                </c:pt>
                <c:pt idx="56">
                  <c:v>7.0462593214283914E-2</c:v>
                </c:pt>
                <c:pt idx="57">
                  <c:v>7.1072388680837956E-2</c:v>
                </c:pt>
                <c:pt idx="58">
                  <c:v>7.1702089860371604E-2</c:v>
                </c:pt>
                <c:pt idx="59">
                  <c:v>7.2311071140801014E-2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5.4730442030563778E-2</c:v>
                </c:pt>
                <c:pt idx="1">
                  <c:v>5.6186122396455318E-2</c:v>
                </c:pt>
                <c:pt idx="2">
                  <c:v>5.7486637756741392E-2</c:v>
                </c:pt>
                <c:pt idx="3">
                  <c:v>5.9109749789824577E-2</c:v>
                </c:pt>
                <c:pt idx="4">
                  <c:v>6.1309610311627141E-2</c:v>
                </c:pt>
                <c:pt idx="5">
                  <c:v>6.3893446223477604E-2</c:v>
                </c:pt>
                <c:pt idx="6">
                  <c:v>6.5683802260677604E-2</c:v>
                </c:pt>
                <c:pt idx="7">
                  <c:v>6.6945078573521569E-2</c:v>
                </c:pt>
                <c:pt idx="8">
                  <c:v>6.7941040189340982E-2</c:v>
                </c:pt>
                <c:pt idx="9">
                  <c:v>6.8323607499834071E-2</c:v>
                </c:pt>
                <c:pt idx="10">
                  <c:v>6.8031784827218222E-2</c:v>
                </c:pt>
                <c:pt idx="11">
                  <c:v>6.8289351647876653E-2</c:v>
                </c:pt>
                <c:pt idx="12">
                  <c:v>6.9189543663199585E-2</c:v>
                </c:pt>
                <c:pt idx="13">
                  <c:v>7.0180605825164055E-2</c:v>
                </c:pt>
                <c:pt idx="14">
                  <c:v>7.1080445864866448E-2</c:v>
                </c:pt>
                <c:pt idx="15">
                  <c:v>7.2323640833670502E-2</c:v>
                </c:pt>
                <c:pt idx="16">
                  <c:v>7.0224264052039676E-3</c:v>
                </c:pt>
                <c:pt idx="17">
                  <c:v>1.0280508719457E-2</c:v>
                </c:pt>
                <c:pt idx="18">
                  <c:v>1.3309000339256701E-2</c:v>
                </c:pt>
                <c:pt idx="19">
                  <c:v>1.6254091132893046E-2</c:v>
                </c:pt>
                <c:pt idx="20">
                  <c:v>1.9041477483448015E-2</c:v>
                </c:pt>
                <c:pt idx="21">
                  <c:v>2.1465767306133633E-2</c:v>
                </c:pt>
                <c:pt idx="22">
                  <c:v>2.3607723593999416E-2</c:v>
                </c:pt>
                <c:pt idx="23">
                  <c:v>2.5733064679282974E-2</c:v>
                </c:pt>
                <c:pt idx="24">
                  <c:v>2.8151140075323482E-2</c:v>
                </c:pt>
                <c:pt idx="25">
                  <c:v>3.0460900303839761E-2</c:v>
                </c:pt>
                <c:pt idx="26">
                  <c:v>3.2497953147738866E-2</c:v>
                </c:pt>
                <c:pt idx="27">
                  <c:v>3.4819444003101774E-2</c:v>
                </c:pt>
                <c:pt idx="28">
                  <c:v>3.7419782797338978E-2</c:v>
                </c:pt>
                <c:pt idx="29">
                  <c:v>4.0300330181335282E-2</c:v>
                </c:pt>
                <c:pt idx="30">
                  <c:v>4.2635544938018591E-2</c:v>
                </c:pt>
                <c:pt idx="31">
                  <c:v>4.4637807145093689E-2</c:v>
                </c:pt>
                <c:pt idx="32">
                  <c:v>4.6422110038505104E-2</c:v>
                </c:pt>
                <c:pt idx="33">
                  <c:v>4.7703165631838518E-2</c:v>
                </c:pt>
                <c:pt idx="34">
                  <c:v>4.8482361114705393E-2</c:v>
                </c:pt>
                <c:pt idx="35">
                  <c:v>4.9561867881529317E-2</c:v>
                </c:pt>
                <c:pt idx="36">
                  <c:v>5.1096683283486502E-2</c:v>
                </c:pt>
                <c:pt idx="37">
                  <c:v>5.2669128197097972E-2</c:v>
                </c:pt>
                <c:pt idx="38">
                  <c:v>5.4070338433725669E-2</c:v>
                </c:pt>
                <c:pt idx="39">
                  <c:v>5.5788928525582024E-2</c:v>
                </c:pt>
                <c:pt idx="40">
                  <c:v>7.1224689420184284E-3</c:v>
                </c:pt>
                <c:pt idx="41">
                  <c:v>1.0379308728741371E-2</c:v>
                </c:pt>
                <c:pt idx="42">
                  <c:v>1.3405518664068042E-2</c:v>
                </c:pt>
                <c:pt idx="43">
                  <c:v>1.634750645880002E-2</c:v>
                </c:pt>
                <c:pt idx="44">
                  <c:v>1.9131591502083566E-2</c:v>
                </c:pt>
                <c:pt idx="45">
                  <c:v>2.1552118759005173E-2</c:v>
                </c:pt>
                <c:pt idx="46">
                  <c:v>2.3689589984214689E-2</c:v>
                </c:pt>
                <c:pt idx="47">
                  <c:v>2.5811489062339581E-2</c:v>
                </c:pt>
                <c:pt idx="48">
                  <c:v>2.8151140075323482E-2</c:v>
                </c:pt>
                <c:pt idx="49">
                  <c:v>3.0460900303839761E-2</c:v>
                </c:pt>
                <c:pt idx="50">
                  <c:v>3.2497953147738866E-2</c:v>
                </c:pt>
                <c:pt idx="51">
                  <c:v>3.4819444003101774E-2</c:v>
                </c:pt>
                <c:pt idx="52">
                  <c:v>3.7419782797338978E-2</c:v>
                </c:pt>
                <c:pt idx="53">
                  <c:v>4.0300330181335282E-2</c:v>
                </c:pt>
                <c:pt idx="54">
                  <c:v>4.2635544938018591E-2</c:v>
                </c:pt>
                <c:pt idx="55">
                  <c:v>4.4637807145093689E-2</c:v>
                </c:pt>
                <c:pt idx="56">
                  <c:v>4.6422110038505104E-2</c:v>
                </c:pt>
                <c:pt idx="57">
                  <c:v>4.7703165631838518E-2</c:v>
                </c:pt>
                <c:pt idx="58">
                  <c:v>4.8482361114705393E-2</c:v>
                </c:pt>
                <c:pt idx="59">
                  <c:v>4.9561867881529317E-2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6.3363950671093934E-4</c:v>
                </c:pt>
                <c:pt idx="1">
                  <c:v>3.1296312822405424E-4</c:v>
                </c:pt>
                <c:pt idx="2">
                  <c:v>2.833876236630978E-4</c:v>
                </c:pt>
                <c:pt idx="3">
                  <c:v>2.2296188600795733E-4</c:v>
                </c:pt>
                <c:pt idx="4">
                  <c:v>3.2205723522763045E-4</c:v>
                </c:pt>
                <c:pt idx="5">
                  <c:v>7.4583414138634828E-4</c:v>
                </c:pt>
                <c:pt idx="6">
                  <c:v>7.1124947235995742E-4</c:v>
                </c:pt>
                <c:pt idx="7">
                  <c:v>3.0475424657698091E-4</c:v>
                </c:pt>
                <c:pt idx="8">
                  <c:v>5.7017126436372705E-4</c:v>
                </c:pt>
                <c:pt idx="9">
                  <c:v>5.7252789720660152E-4</c:v>
                </c:pt>
                <c:pt idx="10">
                  <c:v>9.197904276127889E-4</c:v>
                </c:pt>
                <c:pt idx="11">
                  <c:v>6.9378836571088842E-4</c:v>
                </c:pt>
                <c:pt idx="12">
                  <c:v>7.9894334626581733E-4</c:v>
                </c:pt>
                <c:pt idx="13">
                  <c:v>3.9533466059675618E-4</c:v>
                </c:pt>
                <c:pt idx="14">
                  <c:v>3.4922852330491284E-4</c:v>
                </c:pt>
                <c:pt idx="15">
                  <c:v>2.8476224897773576E-4</c:v>
                </c:pt>
                <c:pt idx="16">
                  <c:v>3.9346389524435584E-4</c:v>
                </c:pt>
                <c:pt idx="17">
                  <c:v>8.9624238028805777E-4</c:v>
                </c:pt>
                <c:pt idx="18">
                  <c:v>8.4919289216655442E-4</c:v>
                </c:pt>
                <c:pt idx="19">
                  <c:v>3.6903991684370945E-4</c:v>
                </c:pt>
                <c:pt idx="20">
                  <c:v>6.8493821776458908E-4</c:v>
                </c:pt>
                <c:pt idx="21">
                  <c:v>6.8215315328252622E-4</c:v>
                </c:pt>
                <c:pt idx="22">
                  <c:v>1.1419499163771915E-3</c:v>
                </c:pt>
                <c:pt idx="23">
                  <c:v>8.3781412269247119E-4</c:v>
                </c:pt>
                <c:pt idx="24">
                  <c:v>9.6424718582069509E-4</c:v>
                </c:pt>
                <c:pt idx="25">
                  <c:v>4.7770619296945844E-4</c:v>
                </c:pt>
                <c:pt idx="26">
                  <c:v>4.1506942294672761E-4</c:v>
                </c:pt>
                <c:pt idx="27">
                  <c:v>1.2162426329041439E-6</c:v>
                </c:pt>
                <c:pt idx="28">
                  <c:v>1.1009390518400914E-5</c:v>
                </c:pt>
                <c:pt idx="29">
                  <c:v>6.1012586658142094E-5</c:v>
                </c:pt>
                <c:pt idx="30">
                  <c:v>8.244301369603573E-5</c:v>
                </c:pt>
                <c:pt idx="31">
                  <c:v>3.4327006195214025E-5</c:v>
                </c:pt>
                <c:pt idx="32">
                  <c:v>7.2200571293503694E-5</c:v>
                </c:pt>
                <c:pt idx="33">
                  <c:v>7.9664702096145018E-5</c:v>
                </c:pt>
                <c:pt idx="34">
                  <c:v>9.5876967745029174E-5</c:v>
                </c:pt>
                <c:pt idx="35">
                  <c:v>8.9146256474964913E-5</c:v>
                </c:pt>
                <c:pt idx="36">
                  <c:v>9.6054866145026929E-5</c:v>
                </c:pt>
                <c:pt idx="37">
                  <c:v>5.3648458268766581E-5</c:v>
                </c:pt>
                <c:pt idx="38">
                  <c:v>4.8989490419249218E-5</c:v>
                </c:pt>
                <c:pt idx="39">
                  <c:v>3.1776769557308945E-5</c:v>
                </c:pt>
                <c:pt idx="40">
                  <c:v>6.4776189139020084E-5</c:v>
                </c:pt>
                <c:pt idx="41">
                  <c:v>1.8284979602867159E-4</c:v>
                </c:pt>
                <c:pt idx="42">
                  <c:v>1.9445607080260417E-4</c:v>
                </c:pt>
                <c:pt idx="43">
                  <c:v>7.7860464936894895E-5</c:v>
                </c:pt>
                <c:pt idx="44">
                  <c:v>1.5719290615661411E-4</c:v>
                </c:pt>
                <c:pt idx="45">
                  <c:v>1.6858151735489902E-4</c:v>
                </c:pt>
                <c:pt idx="46">
                  <c:v>2.1825588336116104E-4</c:v>
                </c:pt>
                <c:pt idx="47">
                  <c:v>1.9194165871988568E-4</c:v>
                </c:pt>
                <c:pt idx="48">
                  <c:v>2.1158562749217189E-4</c:v>
                </c:pt>
                <c:pt idx="49">
                  <c:v>1.1323638065052088E-4</c:v>
                </c:pt>
                <c:pt idx="50">
                  <c:v>1.0287116860300424E-4</c:v>
                </c:pt>
                <c:pt idx="51">
                  <c:v>7.1285431185223749E-5</c:v>
                </c:pt>
                <c:pt idx="52">
                  <c:v>1.2501546249328263E-4</c:v>
                </c:pt>
                <c:pt idx="53">
                  <c:v>3.1907963587784083E-4</c:v>
                </c:pt>
                <c:pt idx="54">
                  <c:v>3.190034307278593E-4</c:v>
                </c:pt>
                <c:pt idx="55">
                  <c:v>1.3097767007329953E-4</c:v>
                </c:pt>
                <c:pt idx="56">
                  <c:v>2.544038666150963E-4</c:v>
                </c:pt>
                <c:pt idx="57">
                  <c:v>2.645859199495141E-4</c:v>
                </c:pt>
                <c:pt idx="58">
                  <c:v>3.7288901456722481E-4</c:v>
                </c:pt>
                <c:pt idx="59">
                  <c:v>3.0820684496166839E-4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159624"/>
        <c:axId val="591158840"/>
      </c:lineChart>
      <c:dateAx>
        <c:axId val="59115962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5884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911588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5962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3.5038350211114011E-4</c:v>
                </c:pt>
                <c:pt idx="6">
                  <c:v>1.0070217026481032E-3</c:v>
                </c:pt>
                <c:pt idx="7">
                  <c:v>1.6850947157873719E-3</c:v>
                </c:pt>
                <c:pt idx="8">
                  <c:v>2.3627074824372762E-3</c:v>
                </c:pt>
                <c:pt idx="9">
                  <c:v>3.0180238510286728E-3</c:v>
                </c:pt>
                <c:pt idx="10">
                  <c:v>3.6947318833164822E-3</c:v>
                </c:pt>
                <c:pt idx="11">
                  <c:v>4.3491732872290578E-3</c:v>
                </c:pt>
                <c:pt idx="12">
                  <c:v>5.0249777931370421E-3</c:v>
                </c:pt>
                <c:pt idx="13">
                  <c:v>5.7003235923197559E-3</c:v>
                </c:pt>
                <c:pt idx="14">
                  <c:v>6.3099193371884965E-3</c:v>
                </c:pt>
                <c:pt idx="15">
                  <c:v>6.9843929739001887E-3</c:v>
                </c:pt>
                <c:pt idx="16">
                  <c:v>7.6366735035391375E-3</c:v>
                </c:pt>
                <c:pt idx="17">
                  <c:v>8.3102465971891526E-3</c:v>
                </c:pt>
                <c:pt idx="18">
                  <c:v>8.9616562155379054E-3</c:v>
                </c:pt>
                <c:pt idx="19">
                  <c:v>9.634329968512434E-3</c:v>
                </c:pt>
                <c:pt idx="20">
                  <c:v>1.0306547139780742E-2</c:v>
                </c:pt>
                <c:pt idx="21">
                  <c:v>1.0956645451473124E-2</c:v>
                </c:pt>
                <c:pt idx="22">
                  <c:v>1.1627965092465109E-2</c:v>
                </c:pt>
                <c:pt idx="23">
                  <c:v>1.2277195406518948E-2</c:v>
                </c:pt>
                <c:pt idx="24">
                  <c:v>1.2947618715598241E-2</c:v>
                </c:pt>
                <c:pt idx="25">
                  <c:v>1.3617586970474771E-2</c:v>
                </c:pt>
                <c:pt idx="26">
                  <c:v>1.4222328715909782E-2</c:v>
                </c:pt>
                <c:pt idx="27">
                  <c:v>1.4891431753042528E-2</c:v>
                </c:pt>
                <c:pt idx="28">
                  <c:v>1.5538518399114909E-2</c:v>
                </c:pt>
                <c:pt idx="29">
                  <c:v>1.6206728063897891E-2</c:v>
                </c:pt>
                <c:pt idx="30">
                  <c:v>1.6852950733444394E-2</c:v>
                </c:pt>
                <c:pt idx="31">
                  <c:v>1.7520268218689794E-2</c:v>
                </c:pt>
                <c:pt idx="32">
                  <c:v>1.8187132757830682E-2</c:v>
                </c:pt>
                <c:pt idx="33">
                  <c:v>1.8832054562200939E-2</c:v>
                </c:pt>
                <c:pt idx="34">
                  <c:v>1.9498028717787719E-2</c:v>
                </c:pt>
                <c:pt idx="35">
                  <c:v>2.014208943608331E-2</c:v>
                </c:pt>
                <c:pt idx="36">
                  <c:v>2.0828621232850342E-2</c:v>
                </c:pt>
                <c:pt idx="37">
                  <c:v>2.1493240205760378E-2</c:v>
                </c:pt>
                <c:pt idx="38">
                  <c:v>2.2093153462547366E-2</c:v>
                </c:pt>
                <c:pt idx="39">
                  <c:v>2.2756914125941941E-2</c:v>
                </c:pt>
                <c:pt idx="40">
                  <c:v>2.3398834185535899E-2</c:v>
                </c:pt>
                <c:pt idx="41">
                  <c:v>2.4061708609606214E-2</c:v>
                </c:pt>
                <c:pt idx="42">
                  <c:v>2.3502771590992434E-2</c:v>
                </c:pt>
                <c:pt idx="43">
                  <c:v>2.4164760959026622E-2</c:v>
                </c:pt>
                <c:pt idx="44">
                  <c:v>2.4826300997450736E-2</c:v>
                </c:pt>
                <c:pt idx="45">
                  <c:v>2.5466073500264065E-2</c:v>
                </c:pt>
                <c:pt idx="46">
                  <c:v>2.6126730264295885E-2</c:v>
                </c:pt>
                <c:pt idx="47">
                  <c:v>2.6765648556274148E-2</c:v>
                </c:pt>
                <c:pt idx="48">
                  <c:v>2.7425423225242974E-2</c:v>
                </c:pt>
                <c:pt idx="49">
                  <c:v>2.8084750067843146E-2</c:v>
                </c:pt>
                <c:pt idx="50">
                  <c:v>2.8679886423489821E-2</c:v>
                </c:pt>
                <c:pt idx="51">
                  <c:v>2.9338361790995339E-2</c:v>
                </c:pt>
                <c:pt idx="52">
                  <c:v>2.9975170463851432E-2</c:v>
                </c:pt>
                <c:pt idx="53">
                  <c:v>3.0632766648849043E-2</c:v>
                </c:pt>
                <c:pt idx="54">
                  <c:v>3.1268725068113713E-2</c:v>
                </c:pt>
                <c:pt idx="55">
                  <c:v>3.1925443244469311E-2</c:v>
                </c:pt>
                <c:pt idx="56">
                  <c:v>3.2581715669070734E-2</c:v>
                </c:pt>
                <c:pt idx="57">
                  <c:v>3.3216393885395747E-2</c:v>
                </c:pt>
                <c:pt idx="58">
                  <c:v>3.3871790068812337E-2</c:v>
                </c:pt>
                <c:pt idx="59">
                  <c:v>3.4505620876086752E-2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1.218174743324718E-3</c:v>
                </c:pt>
                <c:pt idx="6">
                  <c:v>3.4761788195418974E-3</c:v>
                </c:pt>
                <c:pt idx="7">
                  <c:v>5.7254983312409009E-3</c:v>
                </c:pt>
                <c:pt idx="8">
                  <c:v>7.8764239561840248E-3</c:v>
                </c:pt>
                <c:pt idx="9">
                  <c:v>9.8010917956628911E-3</c:v>
                </c:pt>
                <c:pt idx="10">
                  <c:v>1.1571842932511053E-2</c:v>
                </c:pt>
                <c:pt idx="11">
                  <c:v>1.3267850326868551E-2</c:v>
                </c:pt>
                <c:pt idx="12">
                  <c:v>1.5068271461392111E-2</c:v>
                </c:pt>
                <c:pt idx="13">
                  <c:v>1.6834122511342253E-2</c:v>
                </c:pt>
                <c:pt idx="14">
                  <c:v>1.8388569730501327E-2</c:v>
                </c:pt>
                <c:pt idx="15">
                  <c:v>2.0135465677545056E-2</c:v>
                </c:pt>
                <c:pt idx="16">
                  <c:v>2.2025577830258363E-2</c:v>
                </c:pt>
                <c:pt idx="17">
                  <c:v>2.4093730881663968E-2</c:v>
                </c:pt>
                <c:pt idx="18">
                  <c:v>2.5823447545453678E-2</c:v>
                </c:pt>
                <c:pt idx="19">
                  <c:v>2.735431747249736E-2</c:v>
                </c:pt>
                <c:pt idx="20">
                  <c:v>2.8740878393790754E-2</c:v>
                </c:pt>
                <c:pt idx="21">
                  <c:v>2.9794384530125322E-2</c:v>
                </c:pt>
                <c:pt idx="22">
                  <c:v>3.0526691406488202E-2</c:v>
                </c:pt>
                <c:pt idx="23">
                  <c:v>3.1425757296922818E-2</c:v>
                </c:pt>
                <c:pt idx="24">
                  <c:v>3.2610856450164899E-2</c:v>
                </c:pt>
                <c:pt idx="25">
                  <c:v>3.3813006895692652E-2</c:v>
                </c:pt>
                <c:pt idx="26">
                  <c:v>3.4881332567135506E-2</c:v>
                </c:pt>
                <c:pt idx="27">
                  <c:v>3.6167292035680559E-2</c:v>
                </c:pt>
                <c:pt idx="28">
                  <c:v>3.7793084826577221E-2</c:v>
                </c:pt>
                <c:pt idx="29">
                  <c:v>3.9665405563574119E-2</c:v>
                </c:pt>
                <c:pt idx="30">
                  <c:v>4.1035510435846266E-2</c:v>
                </c:pt>
                <c:pt idx="31">
                  <c:v>4.2077322823044792E-2</c:v>
                </c:pt>
                <c:pt idx="32">
                  <c:v>4.2943571213723032E-2</c:v>
                </c:pt>
                <c:pt idx="33">
                  <c:v>4.3404066777782767E-2</c:v>
                </c:pt>
                <c:pt idx="34">
                  <c:v>4.3429491771065538E-2</c:v>
                </c:pt>
                <c:pt idx="35">
                  <c:v>4.3786069699041384E-2</c:v>
                </c:pt>
                <c:pt idx="36">
                  <c:v>4.4579124454273499E-2</c:v>
                </c:pt>
                <c:pt idx="37">
                  <c:v>4.5396695323181108E-2</c:v>
                </c:pt>
                <c:pt idx="38">
                  <c:v>4.6133369019195965E-2</c:v>
                </c:pt>
                <c:pt idx="39">
                  <c:v>4.7104858795214373E-2</c:v>
                </c:pt>
                <c:pt idx="40">
                  <c:v>7.5866599697945632E-3</c:v>
                </c:pt>
                <c:pt idx="41">
                  <c:v>1.0168674348427697E-2</c:v>
                </c:pt>
                <c:pt idx="42">
                  <c:v>1.254656679144164E-2</c:v>
                </c:pt>
                <c:pt idx="43">
                  <c:v>1.4841576076544299E-2</c:v>
                </c:pt>
                <c:pt idx="44">
                  <c:v>1.7006519332975683E-2</c:v>
                </c:pt>
                <c:pt idx="45">
                  <c:v>1.8871908345316744E-2</c:v>
                </c:pt>
                <c:pt idx="46">
                  <c:v>2.0497212645160336E-2</c:v>
                </c:pt>
                <c:pt idx="47">
                  <c:v>2.2129750881940996E-2</c:v>
                </c:pt>
                <c:pt idx="48">
                  <c:v>2.453715651101741E-2</c:v>
                </c:pt>
                <c:pt idx="49">
                  <c:v>2.7605915523675709E-2</c:v>
                </c:pt>
                <c:pt idx="50">
                  <c:v>3.0306544743346927E-2</c:v>
                </c:pt>
                <c:pt idx="51">
                  <c:v>3.3335228094342841E-2</c:v>
                </c:pt>
                <c:pt idx="52">
                  <c:v>3.6594919941283603E-2</c:v>
                </c:pt>
                <c:pt idx="53">
                  <c:v>4.0154772274675184E-2</c:v>
                </c:pt>
                <c:pt idx="54">
                  <c:v>4.3146530417742357E-2</c:v>
                </c:pt>
                <c:pt idx="55">
                  <c:v>4.5806958018782422E-2</c:v>
                </c:pt>
                <c:pt idx="56">
                  <c:v>4.8222304521682746E-2</c:v>
                </c:pt>
                <c:pt idx="57">
                  <c:v>5.0072063104317693E-2</c:v>
                </c:pt>
                <c:pt idx="58">
                  <c:v>5.1379594992050789E-2</c:v>
                </c:pt>
                <c:pt idx="59">
                  <c:v>5.2960871671943792E-2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1.0952536303201412E-7</c:v>
                </c:pt>
                <c:pt idx="1">
                  <c:v>4.1501499952006763E-7</c:v>
                </c:pt>
                <c:pt idx="2">
                  <c:v>1.3000048192398459E-6</c:v>
                </c:pt>
                <c:pt idx="3">
                  <c:v>2.7435424340511193E-6</c:v>
                </c:pt>
                <c:pt idx="4">
                  <c:v>1.3696452199134055E-5</c:v>
                </c:pt>
                <c:pt idx="5">
                  <c:v>6.710155057241621E-5</c:v>
                </c:pt>
                <c:pt idx="6">
                  <c:v>8.787701218205262E-5</c:v>
                </c:pt>
                <c:pt idx="7">
                  <c:v>3.6258918325373811E-5</c:v>
                </c:pt>
                <c:pt idx="8">
                  <c:v>7.6071760573930046E-5</c:v>
                </c:pt>
                <c:pt idx="9">
                  <c:v>8.3877925552331225E-5</c:v>
                </c:pt>
                <c:pt idx="10">
                  <c:v>1.0092688526507399E-4</c:v>
                </c:pt>
                <c:pt idx="11">
                  <c:v>9.3836361471388941E-5</c:v>
                </c:pt>
                <c:pt idx="12">
                  <c:v>1.0110209356053965E-4</c:v>
                </c:pt>
                <c:pt idx="13">
                  <c:v>5.6448816181937003E-5</c:v>
                </c:pt>
                <c:pt idx="14">
                  <c:v>5.149820712388836E-5</c:v>
                </c:pt>
                <c:pt idx="15">
                  <c:v>3.3304069358455921E-5</c:v>
                </c:pt>
                <c:pt idx="16">
                  <c:v>6.7463250819753125E-5</c:v>
                </c:pt>
                <c:pt idx="17">
                  <c:v>1.889387599429462E-4</c:v>
                </c:pt>
                <c:pt idx="18">
                  <c:v>2.0068047781357509E-4</c:v>
                </c:pt>
                <c:pt idx="19">
                  <c:v>8.0515062386833869E-5</c:v>
                </c:pt>
                <c:pt idx="20">
                  <c:v>1.6205114308900752E-4</c:v>
                </c:pt>
                <c:pt idx="21">
                  <c:v>1.7337945507877028E-4</c:v>
                </c:pt>
                <c:pt idx="22">
                  <c:v>2.2598386367792586E-4</c:v>
                </c:pt>
                <c:pt idx="23">
                  <c:v>1.9775215394683763E-4</c:v>
                </c:pt>
                <c:pt idx="24">
                  <c:v>2.1844762936917963E-4</c:v>
                </c:pt>
                <c:pt idx="25">
                  <c:v>1.1647349586399969E-4</c:v>
                </c:pt>
                <c:pt idx="26">
                  <c:v>1.0581285265297113E-4</c:v>
                </c:pt>
                <c:pt idx="27">
                  <c:v>7.3727144510644425E-5</c:v>
                </c:pt>
                <c:pt idx="28">
                  <c:v>1.2819711572777104E-4</c:v>
                </c:pt>
                <c:pt idx="29">
                  <c:v>3.2592572765678066E-4</c:v>
                </c:pt>
                <c:pt idx="30">
                  <c:v>3.2522783773882984E-4</c:v>
                </c:pt>
                <c:pt idx="31">
                  <c:v>1.3363226752323838E-4</c:v>
                </c:pt>
                <c:pt idx="32">
                  <c:v>2.5926210354748993E-4</c:v>
                </c:pt>
                <c:pt idx="33">
                  <c:v>2.6938385767338532E-4</c:v>
                </c:pt>
                <c:pt idx="34">
                  <c:v>3.8061699488398966E-4</c:v>
                </c:pt>
                <c:pt idx="35">
                  <c:v>3.1401734018862075E-4</c:v>
                </c:pt>
                <c:pt idx="36">
                  <c:v>3.557529527641835E-4</c:v>
                </c:pt>
                <c:pt idx="37">
                  <c:v>1.8124659841048523E-4</c:v>
                </c:pt>
                <c:pt idx="38">
                  <c:v>1.6467452116401815E-4</c:v>
                </c:pt>
                <c:pt idx="39">
                  <c:v>1.2258464175326749E-4</c:v>
                </c:pt>
                <c:pt idx="40">
                  <c:v>1.9186045102296642E-4</c:v>
                </c:pt>
                <c:pt idx="41">
                  <c:v>4.6291269771997853E-4</c:v>
                </c:pt>
                <c:pt idx="42">
                  <c:v>4.4977519766408494E-4</c:v>
                </c:pt>
                <c:pt idx="43">
                  <c:v>1.8674947265964292E-4</c:v>
                </c:pt>
                <c:pt idx="44">
                  <c:v>3.5647306400597223E-4</c:v>
                </c:pt>
                <c:pt idx="45">
                  <c:v>3.6538826026800069E-4</c:v>
                </c:pt>
                <c:pt idx="46">
                  <c:v>5.3525012609005314E-4</c:v>
                </c:pt>
                <c:pt idx="47">
                  <c:v>4.3028252643040462E-4</c:v>
                </c:pt>
                <c:pt idx="48">
                  <c:v>4.9305827615918796E-4</c:v>
                </c:pt>
                <c:pt idx="49">
                  <c:v>2.4601970095697079E-4</c:v>
                </c:pt>
                <c:pt idx="50">
                  <c:v>2.2353618967506554E-4</c:v>
                </c:pt>
                <c:pt idx="51">
                  <c:v>1.7144213899589054E-4</c:v>
                </c:pt>
                <c:pt idx="52">
                  <c:v>2.5552378631816175E-4</c:v>
                </c:pt>
                <c:pt idx="53">
                  <c:v>5.9989966778317618E-4</c:v>
                </c:pt>
                <c:pt idx="54">
                  <c:v>5.7432255758933998E-4</c:v>
                </c:pt>
                <c:pt idx="55">
                  <c:v>2.4046857631025245E-4</c:v>
                </c:pt>
                <c:pt idx="56">
                  <c:v>4.5540431096286442E-4</c:v>
                </c:pt>
                <c:pt idx="57">
                  <c:v>4.6290264113067661E-4</c:v>
                </c:pt>
                <c:pt idx="58">
                  <c:v>6.9763093884838594E-4</c:v>
                </c:pt>
                <c:pt idx="59">
                  <c:v>5.4976260872930608E-4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158056"/>
        <c:axId val="591165504"/>
      </c:lineChart>
      <c:dateAx>
        <c:axId val="591158056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655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911655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115805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9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950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951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85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5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785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785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4133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33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4163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63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56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5065" name="Groupe 1"/>
        <xdr:cNvGrpSpPr>
          <a:grpSpLocks/>
        </xdr:cNvGrpSpPr>
      </xdr:nvGrpSpPr>
      <xdr:grpSpPr bwMode="auto">
        <a:xfrm>
          <a:off x="8782050" y="2724150"/>
          <a:ext cx="8810625" cy="5038725"/>
          <a:chOff x="12715662" y="8254361"/>
          <a:chExt cx="8021762" cy="4954782"/>
        </a:xfrm>
      </xdr:grpSpPr>
      <xdr:pic>
        <xdr:nvPicPr>
          <xdr:cNvPr id="43115066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5067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29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29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2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29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8287798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8287802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8287803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7815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7815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77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24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2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1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30">
        <f>Tmaj</f>
        <v>44926</v>
      </c>
      <c r="D2" s="1230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31" t="str">
        <f>Station</f>
        <v>Ayguesvives M.J.C.</v>
      </c>
      <c r="D3" s="1232"/>
      <c r="E3" s="1232"/>
      <c r="F3" s="1232"/>
      <c r="G3" s="1232"/>
      <c r="H3" s="1233"/>
      <c r="K3" s="21"/>
      <c r="L3" s="30"/>
      <c r="M3" s="30"/>
      <c r="N3" s="208" t="s">
        <v>160</v>
      </c>
      <c r="O3" s="716">
        <f>Salim_i</f>
        <v>7.0000000000000007E-2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34">
        <f>T0</f>
        <v>43250</v>
      </c>
      <c r="D4" s="1235"/>
      <c r="H4" s="33" t="s">
        <v>299</v>
      </c>
      <c r="I4" s="656">
        <f>Azi_pvG</f>
        <v>31</v>
      </c>
      <c r="J4" s="656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28">
        <f>Tservice</f>
        <v>43297</v>
      </c>
      <c r="D5" s="1229"/>
      <c r="E5" s="95"/>
      <c r="H5" s="33" t="s">
        <v>15</v>
      </c>
      <c r="I5" s="657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8"/>
      <c r="B7" s="534"/>
      <c r="C7" s="52"/>
      <c r="D7" s="829"/>
      <c r="E7" s="29"/>
      <c r="F7" s="534"/>
      <c r="G7" s="534"/>
      <c r="H7" s="694"/>
      <c r="I7" s="534"/>
      <c r="J7" s="22" t="s">
        <v>396</v>
      </c>
      <c r="K7" s="1236" t="s">
        <v>393</v>
      </c>
      <c r="L7" s="1237"/>
      <c r="M7" s="1218" t="b">
        <f>IF(K7="début",TRUE,FALSE)</f>
        <v>0</v>
      </c>
      <c r="N7" s="804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Ayguesvives M.J.C.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[3]!Inter_net</f>
        <v>2</v>
      </c>
      <c r="L8" s="558">
        <f>[3]!Inter_tai</f>
        <v>7</v>
      </c>
      <c r="N8" s="15"/>
    </row>
    <row r="9" spans="1:29" ht="15.75" x14ac:dyDescent="0.25">
      <c r="A9" s="29" t="s">
        <v>274</v>
      </c>
      <c r="B9" s="149">
        <f>AVERAGE(B11:B30)</f>
        <v>10284.867084032609</v>
      </c>
      <c r="C9" s="882">
        <f t="shared" ref="C9:J9" si="0">AVERAGE(C11:C30)</f>
        <v>374.48369616373759</v>
      </c>
      <c r="D9" s="883">
        <f t="shared" si="0"/>
        <v>2.067651798356541</v>
      </c>
      <c r="E9" s="149">
        <f t="shared" si="0"/>
        <v>376.5513479620941</v>
      </c>
      <c r="F9" s="149">
        <f t="shared" si="0"/>
        <v>10661.418431994702</v>
      </c>
      <c r="G9" s="149">
        <f t="shared" si="0"/>
        <v>11074.46477716775</v>
      </c>
      <c r="H9" s="889">
        <f t="shared" si="0"/>
        <v>274.11081689719452</v>
      </c>
      <c r="I9" s="890">
        <f t="shared" si="0"/>
        <v>1.4422656155614522</v>
      </c>
      <c r="J9" s="149">
        <f t="shared" si="0"/>
        <v>10008.93458566106</v>
      </c>
      <c r="K9" s="341" t="s">
        <v>6</v>
      </c>
      <c r="L9" s="21"/>
      <c r="P9" s="15"/>
    </row>
    <row r="10" spans="1:29" s="239" customFormat="1" ht="51" customHeight="1" x14ac:dyDescent="0.25">
      <c r="A10" s="173" t="s">
        <v>52</v>
      </c>
      <c r="B10" s="173" t="s">
        <v>107</v>
      </c>
      <c r="C10" s="331" t="s">
        <v>61</v>
      </c>
      <c r="D10" s="332" t="s">
        <v>98</v>
      </c>
      <c r="E10" s="173" t="s">
        <v>97</v>
      </c>
      <c r="F10" s="173" t="s">
        <v>110</v>
      </c>
      <c r="G10" s="173" t="s">
        <v>109</v>
      </c>
      <c r="H10" s="331" t="s">
        <v>62</v>
      </c>
      <c r="I10" s="332" t="s">
        <v>63</v>
      </c>
      <c r="J10" s="173" t="s">
        <v>108</v>
      </c>
      <c r="K10" s="331" t="s">
        <v>55</v>
      </c>
      <c r="L10" s="332" t="s">
        <v>56</v>
      </c>
      <c r="M10" s="331" t="s">
        <v>268</v>
      </c>
      <c r="N10" s="332" t="s">
        <v>269</v>
      </c>
      <c r="O10" s="100" t="s">
        <v>270</v>
      </c>
      <c r="P10" s="100" t="s">
        <v>271</v>
      </c>
      <c r="Q10" s="100" t="s">
        <v>272</v>
      </c>
      <c r="R10" s="100" t="s">
        <v>273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'2018'!An</f>
        <v>2018</v>
      </c>
      <c r="B11" s="139">
        <f>'2018'!Prod_an</f>
        <v>4357.929335365</v>
      </c>
      <c r="C11" s="143">
        <f>'2018'!Wh_Psa</f>
        <v>36.932606393934712</v>
      </c>
      <c r="D11" s="328">
        <f>'2018'!Wh_Pvg</f>
        <v>0.21713339725458305</v>
      </c>
      <c r="E11" s="139">
        <f t="shared" ref="E11:E16" si="1">C11+D11</f>
        <v>37.149739791189297</v>
      </c>
      <c r="F11" s="139">
        <f t="shared" ref="F11:F16" si="2">B11+E11</f>
        <v>4395.079075156189</v>
      </c>
      <c r="G11" s="139">
        <f>'2018'!F$9</f>
        <v>4406.4542317714358</v>
      </c>
      <c r="H11" s="145">
        <f>'2018'!Wh_gain_sa</f>
        <v>0</v>
      </c>
      <c r="I11" s="328">
        <f>'2018'!Wh_gain_vg</f>
        <v>0</v>
      </c>
      <c r="J11" s="139">
        <f>'2018'!Prod_an_s</f>
        <v>4357.929335365</v>
      </c>
      <c r="K11" s="860" t="str">
        <f>IF('2018'!Acti_net,'2018'!Tnet,"")</f>
        <v/>
      </c>
      <c r="L11" s="861" t="str">
        <f>IF('2018'!Acti_tai,'2018'!Ttai,"")</f>
        <v/>
      </c>
      <c r="M11" s="872">
        <v>0</v>
      </c>
      <c r="N11" s="873">
        <v>0</v>
      </c>
      <c r="O11" s="369">
        <f>+'2018'!$AJ$3</f>
        <v>0</v>
      </c>
      <c r="P11" s="369">
        <f>+'2018'!$AJ$4</f>
        <v>0</v>
      </c>
      <c r="Q11" s="369">
        <f>+'2018'!$AK$3</f>
        <v>0</v>
      </c>
      <c r="R11" s="369">
        <f>+'2018'!$AK$4</f>
        <v>0</v>
      </c>
      <c r="S11" s="866"/>
      <c r="T11" s="866"/>
    </row>
    <row r="12" spans="1:29" s="19" customFormat="1" ht="12.75" x14ac:dyDescent="0.2">
      <c r="A12" s="144">
        <f>'2019'!An</f>
        <v>2019</v>
      </c>
      <c r="B12" s="137">
        <f>'2019'!Prod_an</f>
        <v>11580.737999999994</v>
      </c>
      <c r="C12" s="145">
        <f>'2019'!Wh_Psa</f>
        <v>285.97822596912249</v>
      </c>
      <c r="D12" s="329">
        <f>'2019'!Wh_Pvg</f>
        <v>1.0249109382217445</v>
      </c>
      <c r="E12" s="137">
        <f t="shared" si="1"/>
        <v>287.00313690734424</v>
      </c>
      <c r="F12" s="137">
        <f t="shared" si="2"/>
        <v>11867.741136907338</v>
      </c>
      <c r="G12" s="137">
        <f>'2019'!F$9</f>
        <v>11969.569422816698</v>
      </c>
      <c r="H12" s="145">
        <f>'2019'!Wh_gain_sa</f>
        <v>0</v>
      </c>
      <c r="I12" s="329">
        <f>'2019'!Wh_gain_vg</f>
        <v>0</v>
      </c>
      <c r="J12" s="137">
        <f>'2019'!Prod_an_s</f>
        <v>11580.737999999994</v>
      </c>
      <c r="K12" s="862" t="str">
        <f>IF('2019'!Acti_net,'2019'!Tnet,"")</f>
        <v/>
      </c>
      <c r="L12" s="863" t="str">
        <f>IF('2019'!Acti_tai,'2019'!Ttai,"")</f>
        <v/>
      </c>
      <c r="M12" s="874">
        <f>O12+P11+(K11="")*M11</f>
        <v>0</v>
      </c>
      <c r="N12" s="875">
        <f>Q12+R11+(L11="")*N11</f>
        <v>0</v>
      </c>
      <c r="O12" s="369">
        <f>+'2019'!$AJ$3</f>
        <v>0</v>
      </c>
      <c r="P12" s="369">
        <f>+'2019'!$AJ$4</f>
        <v>0</v>
      </c>
      <c r="Q12" s="369">
        <f>+'2019'!$AK$3</f>
        <v>0</v>
      </c>
      <c r="R12" s="369">
        <f>+'2019'!$AK$4</f>
        <v>0</v>
      </c>
      <c r="S12" s="866"/>
      <c r="T12" s="866"/>
    </row>
    <row r="13" spans="1:29" s="19" customFormat="1" ht="12.75" x14ac:dyDescent="0.2">
      <c r="A13" s="144">
        <f>'2020'!An</f>
        <v>2020</v>
      </c>
      <c r="B13" s="137">
        <f>'2020'!Prod_an</f>
        <v>11134.546999999991</v>
      </c>
      <c r="C13" s="145">
        <f>'2020'!Wh_Psa</f>
        <v>455.92146644226523</v>
      </c>
      <c r="D13" s="329">
        <f>'2020'!Wh_Pvg</f>
        <v>1.6939645180345639</v>
      </c>
      <c r="E13" s="137">
        <f t="shared" si="1"/>
        <v>457.61543096029982</v>
      </c>
      <c r="F13" s="137">
        <f t="shared" si="2"/>
        <v>11592.162430960292</v>
      </c>
      <c r="G13" s="137">
        <f>'2020'!F$9</f>
        <v>11785.490754079019</v>
      </c>
      <c r="H13" s="145">
        <f>'2020'!Wh_gain_sa</f>
        <v>0</v>
      </c>
      <c r="I13" s="329">
        <f>'2020'!Wh_gain_vg</f>
        <v>0</v>
      </c>
      <c r="J13" s="137">
        <f>'2020'!Prod_an_s</f>
        <v>11134.546999999991</v>
      </c>
      <c r="K13" s="862" t="str">
        <f>IF('2020'!Acti_net,'2020'!Tnet,"")</f>
        <v/>
      </c>
      <c r="L13" s="863" t="str">
        <f>IF('2020'!Acti_tai,'2020'!Ttai,"")</f>
        <v/>
      </c>
      <c r="M13" s="874">
        <f t="shared" ref="M13:M20" si="3">O13+P12+(K12="")*M12</f>
        <v>0</v>
      </c>
      <c r="N13" s="875">
        <f>Q13+R12+(L12="")*N12</f>
        <v>0</v>
      </c>
      <c r="O13" s="369">
        <f>+'2020'!$AJ$3</f>
        <v>0</v>
      </c>
      <c r="P13" s="369">
        <f>+'2020'!$AJ$4</f>
        <v>0</v>
      </c>
      <c r="Q13" s="369">
        <f>+'2020'!$AK$3</f>
        <v>0</v>
      </c>
      <c r="R13" s="369">
        <f>+'2020'!$AK$4</f>
        <v>0</v>
      </c>
      <c r="S13" s="866"/>
      <c r="T13" s="866"/>
    </row>
    <row r="14" spans="1:29" s="19" customFormat="1" ht="12.75" x14ac:dyDescent="0.2">
      <c r="A14" s="144">
        <f>'2021'!An</f>
        <v>2021</v>
      </c>
      <c r="B14" s="137">
        <f>'2021'!Prod_an</f>
        <v>10959.695999999994</v>
      </c>
      <c r="C14" s="145">
        <f>'2021'!Wh_Psa</f>
        <v>249.67904070489021</v>
      </c>
      <c r="D14" s="329">
        <f>'2021'!Wh_Pvg</f>
        <v>2.2191368537490663</v>
      </c>
      <c r="E14" s="137">
        <f t="shared" si="1"/>
        <v>251.89817755863928</v>
      </c>
      <c r="F14" s="137">
        <f t="shared" si="2"/>
        <v>11211.594177558634</v>
      </c>
      <c r="G14" s="137">
        <f>'2021'!F$9</f>
        <v>11484.148809822093</v>
      </c>
      <c r="H14" s="145">
        <f>'2021'!Wh_gain_sa</f>
        <v>317.16402703247957</v>
      </c>
      <c r="I14" s="329">
        <f>'2021'!Wh_gain_vg</f>
        <v>-6.4182154756231125E-2</v>
      </c>
      <c r="J14" s="137">
        <f>'2021'!Prod_an_s</f>
        <v>10642.718296004463</v>
      </c>
      <c r="K14" s="862">
        <f>IF('2021'!Acti_net,'2021'!Tnet,"")</f>
        <v>44306</v>
      </c>
      <c r="L14" s="863" t="str">
        <f>IF('2021'!Acti_tai,'2021'!Ttai,"")</f>
        <v/>
      </c>
      <c r="M14" s="874">
        <f t="shared" si="3"/>
        <v>0</v>
      </c>
      <c r="N14" s="875">
        <f>Q14+R13+(L13="")*N13</f>
        <v>0</v>
      </c>
      <c r="O14" s="369">
        <f>+'2021'!$AJ$3</f>
        <v>0</v>
      </c>
      <c r="P14" s="369">
        <f>+'2021'!$AJ$4</f>
        <v>316.95550226913861</v>
      </c>
      <c r="Q14" s="369">
        <f>+'2021'!$AK$3</f>
        <v>0</v>
      </c>
      <c r="R14" s="369">
        <f>+'2021'!$AK$4</f>
        <v>-6.4182154756231125E-2</v>
      </c>
      <c r="S14" s="866"/>
      <c r="T14" s="866"/>
    </row>
    <row r="15" spans="1:29" s="19" customFormat="1" ht="12.75" x14ac:dyDescent="0.2">
      <c r="A15" s="363">
        <f>'2022'!An</f>
        <v>2022</v>
      </c>
      <c r="B15" s="364">
        <f>'2022'!Prod_an</f>
        <v>11015.42600000001</v>
      </c>
      <c r="C15" s="365">
        <f>'2022'!Wh_Psa</f>
        <v>464.549706459432</v>
      </c>
      <c r="D15" s="366">
        <f>'2022'!Wh_Pvg</f>
        <v>3.1671333457043644</v>
      </c>
      <c r="E15" s="364">
        <f t="shared" si="1"/>
        <v>467.71683980513637</v>
      </c>
      <c r="F15" s="364">
        <f t="shared" si="2"/>
        <v>11483.142839805147</v>
      </c>
      <c r="G15" s="364">
        <f>'2022'!F$9</f>
        <v>11846.812532293097</v>
      </c>
      <c r="H15" s="365">
        <f>'2022'!Wh_gain_sa</f>
        <v>310.77354477397688</v>
      </c>
      <c r="I15" s="366">
        <f>'2022'!Wh_gain_vg</f>
        <v>-9.003125290007441E-2</v>
      </c>
      <c r="J15" s="364">
        <f>'2022'!Prod_an_s</f>
        <v>10702.293430020551</v>
      </c>
      <c r="K15" s="864" t="str">
        <f>IF('2022'!Acti_net,'2022'!Tnet,"")</f>
        <v/>
      </c>
      <c r="L15" s="865" t="str">
        <f>IF('2022'!Acti_tai,'2022'!Ttai,"")</f>
        <v/>
      </c>
      <c r="M15" s="876">
        <f t="shared" si="3"/>
        <v>316.95550226913861</v>
      </c>
      <c r="N15" s="877">
        <f t="shared" ref="N15:N20" si="4">Q15+R14+(L14="")*N14</f>
        <v>-6.4182154756231125E-2</v>
      </c>
      <c r="O15" s="369">
        <f>+'2022'!$AJ$3</f>
        <v>0</v>
      </c>
      <c r="P15" s="369">
        <f>+'2022'!$AJ$4</f>
        <v>310.86714697088564</v>
      </c>
      <c r="Q15" s="369">
        <f>+'2022'!$AK$3</f>
        <v>0</v>
      </c>
      <c r="R15" s="369">
        <f>+'2022'!$AK$4</f>
        <v>-8.9393106680328849E-2</v>
      </c>
      <c r="S15" s="866"/>
      <c r="T15" s="866"/>
    </row>
    <row r="16" spans="1:29" s="19" customFormat="1" ht="12.75" x14ac:dyDescent="0.2">
      <c r="A16" s="361">
        <f>'2023'!An</f>
        <v>2023</v>
      </c>
      <c r="B16" s="362">
        <f>'2023'!Prod_an</f>
        <v>10662.630904715661</v>
      </c>
      <c r="C16" s="145">
        <f>'2023'!Wh_Psa</f>
        <v>722.4916974460001</v>
      </c>
      <c r="D16" s="329">
        <f>'2023'!Wh_Pvg</f>
        <v>3.8592625157259541</v>
      </c>
      <c r="E16" s="362">
        <f t="shared" si="1"/>
        <v>726.35095996172606</v>
      </c>
      <c r="F16" s="362">
        <f t="shared" si="2"/>
        <v>11388.981864677387</v>
      </c>
      <c r="G16" s="362">
        <f>'2023'!F$9</f>
        <v>11846.467047160882</v>
      </c>
      <c r="H16" s="145">
        <f>'2023'!Wh_gain_sa</f>
        <v>209.9046771866158</v>
      </c>
      <c r="I16" s="329">
        <f>'2023'!Wh_gain_vg</f>
        <v>-7.598548009116346E-2</v>
      </c>
      <c r="J16" s="362">
        <f>'2023'!Prod_an_s</f>
        <v>10452.693092755935</v>
      </c>
      <c r="K16" s="862" t="str">
        <f>IF('2023'!Acti_net,'2023'!Tnet,"")</f>
        <v/>
      </c>
      <c r="L16" s="863" t="str">
        <f>IF('2023'!Acti_tai,'2023'!Ttai,"")</f>
        <v/>
      </c>
      <c r="M16" s="874">
        <f t="shared" si="3"/>
        <v>627.82264924002425</v>
      </c>
      <c r="N16" s="875">
        <f t="shared" si="4"/>
        <v>-0.15357526143655997</v>
      </c>
      <c r="O16" s="369">
        <f>+'2023'!$AJ$3</f>
        <v>0</v>
      </c>
      <c r="P16" s="369">
        <f>+'2023'!$AJ$4</f>
        <v>209.9046771866158</v>
      </c>
      <c r="Q16" s="369">
        <f>+'2023'!$AK$3</f>
        <v>0</v>
      </c>
      <c r="R16" s="369">
        <f>+'2023'!$AK$4</f>
        <v>-7.598548009116346E-2</v>
      </c>
      <c r="S16" s="866"/>
      <c r="T16" s="866"/>
    </row>
    <row r="17" spans="1:30" s="19" customFormat="1" ht="12.75" x14ac:dyDescent="0.2">
      <c r="A17" s="361">
        <f>'2024'!An</f>
        <v>2024</v>
      </c>
      <c r="B17" s="362">
        <f>'2024'!Prod_an</f>
        <v>10963.752562229922</v>
      </c>
      <c r="C17" s="145">
        <f>'2024'!Wh_Psa</f>
        <v>345.1392493368059</v>
      </c>
      <c r="D17" s="329">
        <f>'2024'!Wh_Pvg</f>
        <v>4.8235135779367502</v>
      </c>
      <c r="E17" s="362">
        <f>C17+D17</f>
        <v>349.96276291474265</v>
      </c>
      <c r="F17" s="362">
        <f>B17+E17</f>
        <v>11313.715325144665</v>
      </c>
      <c r="G17" s="362">
        <f>'2024'!F$9</f>
        <v>11862.952306838662</v>
      </c>
      <c r="H17" s="145">
        <f>'2024'!Wh_gain_sa</f>
        <v>556.88896572175872</v>
      </c>
      <c r="I17" s="329">
        <f>'2024'!Wh_gain_vg</f>
        <v>-0.24486115593349211</v>
      </c>
      <c r="J17" s="362">
        <f>'2024'!Prod_an_s</f>
        <v>10407.187916483712</v>
      </c>
      <c r="K17" s="862">
        <f>IF('2024'!Acti_net,'2024'!Tnet,"")</f>
        <v>45412</v>
      </c>
      <c r="L17" s="863" t="str">
        <f>IF('2024'!Acti_tai,'2024'!Ttai,"")</f>
        <v/>
      </c>
      <c r="M17" s="874">
        <f t="shared" si="3"/>
        <v>880.29722764644566</v>
      </c>
      <c r="N17" s="875">
        <f t="shared" si="4"/>
        <v>-0.22956074152772343</v>
      </c>
      <c r="O17" s="369">
        <f>+'2024'!$AJ$3</f>
        <v>42.569901219805558</v>
      </c>
      <c r="P17" s="369">
        <f>+'2024'!$AJ$4</f>
        <v>513.94715617869883</v>
      </c>
      <c r="Q17" s="369">
        <f>+'2024'!$AK$3</f>
        <v>0</v>
      </c>
      <c r="R17" s="369">
        <f>+'2024'!$AK$4</f>
        <v>-0.24486115593349211</v>
      </c>
      <c r="S17" s="866"/>
      <c r="T17" s="866"/>
    </row>
    <row r="18" spans="1:30" s="19" customFormat="1" ht="12.75" x14ac:dyDescent="0.2">
      <c r="A18" s="361">
        <f>'2025'!An</f>
        <v>2025</v>
      </c>
      <c r="B18" s="362">
        <f>'2025'!Prod_an</f>
        <v>10755.608361595179</v>
      </c>
      <c r="C18" s="145">
        <f>'2025'!Wh_Psa</f>
        <v>452.88267972139681</v>
      </c>
      <c r="D18" s="329">
        <f>'2025'!Wh_Pvg</f>
        <v>1.1191523040830476</v>
      </c>
      <c r="E18" s="362">
        <f>C18+D18</f>
        <v>454.00183202547987</v>
      </c>
      <c r="F18" s="362">
        <f>B18+E18</f>
        <v>11209.61019362066</v>
      </c>
      <c r="G18" s="362">
        <f>'2025'!F$9</f>
        <v>11847.581814747755</v>
      </c>
      <c r="H18" s="145">
        <f>'2025'!Wh_gain_sa</f>
        <v>494.49003201937273</v>
      </c>
      <c r="I18" s="329">
        <f>'2025'!Wh_gain_vg</f>
        <v>4.1940637952231814</v>
      </c>
      <c r="J18" s="362">
        <f>'2025'!Prod_an_s</f>
        <v>10256.407799812889</v>
      </c>
      <c r="K18" s="862" t="str">
        <f>IF('2025'!Acti_net,'2025'!Tnet,"")</f>
        <v/>
      </c>
      <c r="L18" s="863">
        <f>IF('2025'!Acti_tai,'2025'!Ttai,"")</f>
        <v>45747</v>
      </c>
      <c r="M18" s="874">
        <f t="shared" si="3"/>
        <v>513.94715617869883</v>
      </c>
      <c r="N18" s="875">
        <f t="shared" si="4"/>
        <v>-0.51439205605447791</v>
      </c>
      <c r="O18" s="369">
        <f>+'2025'!$AJ$3</f>
        <v>0</v>
      </c>
      <c r="P18" s="369">
        <f>+'2025'!$AJ$4</f>
        <v>494.49003201937273</v>
      </c>
      <c r="Q18" s="369">
        <f>+'2025'!$AK$3</f>
        <v>-3.9970158593262362E-2</v>
      </c>
      <c r="R18" s="369">
        <f>+'2025'!$AK$4</f>
        <v>4.222863869796563</v>
      </c>
      <c r="S18" s="866"/>
      <c r="T18" s="866"/>
    </row>
    <row r="19" spans="1:30" s="19" customFormat="1" ht="12.75" x14ac:dyDescent="0.2">
      <c r="A19" s="361">
        <f>'2026'!An</f>
        <v>2026</v>
      </c>
      <c r="B19" s="362">
        <f>'2026'!Prod_an</f>
        <v>10833.734462009643</v>
      </c>
      <c r="C19" s="145">
        <f>'2026'!Wh_Psa</f>
        <v>285.5943321702145</v>
      </c>
      <c r="D19" s="329">
        <f>'2026'!Wh_Pvg</f>
        <v>0.94850966746346832</v>
      </c>
      <c r="E19" s="362">
        <f>C19+D19</f>
        <v>286.54284183767794</v>
      </c>
      <c r="F19" s="362">
        <f>B19+E19</f>
        <v>11120.277303847321</v>
      </c>
      <c r="G19" s="362">
        <f>'2026'!F$9</f>
        <v>11847.731795168469</v>
      </c>
      <c r="H19" s="145">
        <f>'2026'!Wh_gain_sa</f>
        <v>483.34828437630705</v>
      </c>
      <c r="I19" s="329">
        <f>'2026'!Wh_gain_vg</f>
        <v>5.2691481988944435</v>
      </c>
      <c r="J19" s="362">
        <f>'2026'!Prod_an_s</f>
        <v>10344.744718167964</v>
      </c>
      <c r="K19" s="862">
        <f>IF('2026'!Acti_net,'2026'!Tnet,"")</f>
        <v>46142</v>
      </c>
      <c r="L19" s="863" t="str">
        <f>IF('2026'!Acti_tai,'2026'!Ttai,"")</f>
        <v/>
      </c>
      <c r="M19" s="874">
        <f t="shared" si="3"/>
        <v>1107.3257642986562</v>
      </c>
      <c r="N19" s="875">
        <f t="shared" si="4"/>
        <v>4.222863869796563</v>
      </c>
      <c r="O19" s="369">
        <f>+'2026'!$AJ$3</f>
        <v>98.888576100584544</v>
      </c>
      <c r="P19" s="369">
        <f>+'2026'!$AJ$4</f>
        <v>384.35954614731736</v>
      </c>
      <c r="Q19" s="369">
        <f>+'2026'!$AK$3</f>
        <v>0</v>
      </c>
      <c r="R19" s="369">
        <f>+'2026'!$AK$4</f>
        <v>5.2691481988944435</v>
      </c>
      <c r="S19" s="866"/>
      <c r="T19" s="866"/>
    </row>
    <row r="20" spans="1:30" s="19" customFormat="1" ht="12.75" x14ac:dyDescent="0.2">
      <c r="A20" s="361">
        <f>'2027'!An</f>
        <v>2027</v>
      </c>
      <c r="B20" s="362">
        <f>'2027'!Prod_an</f>
        <v>10584.608214410693</v>
      </c>
      <c r="C20" s="145">
        <f>'2027'!Wh_Psa</f>
        <v>445.66795699331379</v>
      </c>
      <c r="D20" s="329">
        <f>'2027'!Wh_Pvg</f>
        <v>1.6038008653918667</v>
      </c>
      <c r="E20" s="362">
        <f>C20+D20</f>
        <v>447.27175785870566</v>
      </c>
      <c r="F20" s="362">
        <f>B20+E20</f>
        <v>11031.879972269398</v>
      </c>
      <c r="G20" s="362">
        <f>'2027'!F$9</f>
        <v>11847.43905697939</v>
      </c>
      <c r="H20" s="145">
        <f>'2027'!Wh_gain_sa</f>
        <v>368.53863786143432</v>
      </c>
      <c r="I20" s="329">
        <f>'2027'!Wh_gain_vg</f>
        <v>5.4345042051778591</v>
      </c>
      <c r="J20" s="362">
        <f>'2027'!Prod_an_s</f>
        <v>10210.086268000106</v>
      </c>
      <c r="K20" s="862" t="str">
        <f>IF('2027'!Acti_net,'2027'!Tnet,"")</f>
        <v/>
      </c>
      <c r="L20" s="863" t="str">
        <f>IF('2027'!Acti_tai,'2027'!Ttai,"")</f>
        <v/>
      </c>
      <c r="M20" s="874">
        <f t="shared" si="3"/>
        <v>384.35954614731736</v>
      </c>
      <c r="N20" s="875">
        <f t="shared" si="4"/>
        <v>9.4920120686910074</v>
      </c>
      <c r="O20" s="369">
        <f>+'2027'!$AJ$3</f>
        <v>0</v>
      </c>
      <c r="P20" s="369">
        <f>+'2027'!$AJ$4</f>
        <v>368.53863786143432</v>
      </c>
      <c r="Q20" s="369">
        <f>+'2027'!$AK$3</f>
        <v>0</v>
      </c>
      <c r="R20" s="369">
        <f>+'2027'!$AK$4</f>
        <v>5.4345042051778591</v>
      </c>
      <c r="S20" s="866"/>
      <c r="T20" s="866"/>
    </row>
    <row r="21" spans="1:30" s="19" customFormat="1" ht="12.75" x14ac:dyDescent="0.2">
      <c r="A21" s="709"/>
      <c r="B21" s="710"/>
      <c r="C21" s="711"/>
      <c r="D21" s="708"/>
      <c r="E21" s="710"/>
      <c r="F21" s="710"/>
      <c r="G21" s="710"/>
      <c r="H21" s="711"/>
      <c r="I21" s="708"/>
      <c r="J21" s="710"/>
      <c r="K21" s="878"/>
      <c r="L21" s="879"/>
      <c r="M21" s="868"/>
      <c r="N21" s="869"/>
      <c r="O21" s="10"/>
      <c r="P21" s="10"/>
      <c r="Q21" s="10"/>
      <c r="R21" s="10"/>
      <c r="S21" s="866"/>
      <c r="T21" s="866"/>
    </row>
    <row r="22" spans="1:30" s="19" customFormat="1" ht="12.75" x14ac:dyDescent="0.2">
      <c r="A22" s="709"/>
      <c r="B22" s="710"/>
      <c r="C22" s="711"/>
      <c r="D22" s="708"/>
      <c r="E22" s="710"/>
      <c r="F22" s="710"/>
      <c r="G22" s="710"/>
      <c r="H22" s="711"/>
      <c r="I22" s="708"/>
      <c r="J22" s="710"/>
      <c r="K22" s="878"/>
      <c r="L22" s="879"/>
      <c r="M22" s="868"/>
      <c r="N22" s="869"/>
      <c r="O22" s="10"/>
      <c r="P22" s="867"/>
      <c r="Q22" s="10"/>
      <c r="R22" s="867"/>
      <c r="S22" s="866"/>
      <c r="T22" s="866"/>
    </row>
    <row r="23" spans="1:30" s="19" customFormat="1" ht="12.75" x14ac:dyDescent="0.2">
      <c r="A23" s="709"/>
      <c r="B23" s="710"/>
      <c r="C23" s="711"/>
      <c r="D23" s="708"/>
      <c r="E23" s="710"/>
      <c r="F23" s="710"/>
      <c r="G23" s="710"/>
      <c r="H23" s="711"/>
      <c r="I23" s="708"/>
      <c r="J23" s="710"/>
      <c r="K23" s="878"/>
      <c r="L23" s="879"/>
      <c r="M23" s="868"/>
      <c r="N23" s="869"/>
      <c r="O23" s="10"/>
      <c r="P23" s="867"/>
      <c r="Q23" s="10"/>
      <c r="S23" s="866"/>
      <c r="T23" s="866"/>
    </row>
    <row r="24" spans="1:30" s="19" customFormat="1" ht="12.75" x14ac:dyDescent="0.2">
      <c r="A24" s="709"/>
      <c r="B24" s="710"/>
      <c r="C24" s="711"/>
      <c r="D24" s="708"/>
      <c r="E24" s="710"/>
      <c r="F24" s="710"/>
      <c r="G24" s="710"/>
      <c r="H24" s="711"/>
      <c r="I24" s="708"/>
      <c r="J24" s="710"/>
      <c r="K24" s="878"/>
      <c r="L24" s="879"/>
      <c r="M24" s="868"/>
      <c r="N24" s="869"/>
      <c r="O24" s="10"/>
      <c r="P24" s="867"/>
      <c r="Q24" s="10"/>
      <c r="R24" s="867"/>
      <c r="S24" s="866"/>
      <c r="T24" s="866"/>
    </row>
    <row r="25" spans="1:30" s="19" customFormat="1" ht="12.75" x14ac:dyDescent="0.2">
      <c r="A25" s="709"/>
      <c r="B25" s="710"/>
      <c r="C25" s="711"/>
      <c r="D25" s="708"/>
      <c r="E25" s="710"/>
      <c r="F25" s="710"/>
      <c r="G25" s="710"/>
      <c r="H25" s="711"/>
      <c r="I25" s="708"/>
      <c r="J25" s="710"/>
      <c r="K25" s="878"/>
      <c r="L25" s="879"/>
      <c r="M25" s="868"/>
      <c r="N25" s="869"/>
      <c r="O25" s="10"/>
      <c r="P25" s="867"/>
      <c r="Q25" s="10"/>
      <c r="R25" s="867"/>
      <c r="S25" s="866"/>
      <c r="T25" s="866"/>
    </row>
    <row r="26" spans="1:30" s="19" customFormat="1" ht="12.75" x14ac:dyDescent="0.2">
      <c r="A26" s="709"/>
      <c r="B26" s="710"/>
      <c r="C26" s="711"/>
      <c r="D26" s="708"/>
      <c r="E26" s="710"/>
      <c r="F26" s="710"/>
      <c r="G26" s="710"/>
      <c r="H26" s="711"/>
      <c r="I26" s="708"/>
      <c r="J26" s="710"/>
      <c r="K26" s="878"/>
      <c r="L26" s="879"/>
      <c r="M26" s="868"/>
      <c r="N26" s="869"/>
      <c r="O26" s="10"/>
      <c r="P26" s="867"/>
      <c r="Q26" s="10"/>
      <c r="R26" s="867"/>
      <c r="S26" s="866"/>
      <c r="T26" s="866"/>
    </row>
    <row r="27" spans="1:30" s="19" customFormat="1" ht="12.75" x14ac:dyDescent="0.2">
      <c r="A27" s="709"/>
      <c r="B27" s="710"/>
      <c r="C27" s="711"/>
      <c r="D27" s="708"/>
      <c r="E27" s="710"/>
      <c r="F27" s="710"/>
      <c r="G27" s="710"/>
      <c r="H27" s="711"/>
      <c r="I27" s="708"/>
      <c r="J27" s="710"/>
      <c r="K27" s="878"/>
      <c r="L27" s="879"/>
      <c r="M27" s="868"/>
      <c r="N27" s="869"/>
      <c r="O27" s="10"/>
      <c r="P27" s="867"/>
      <c r="Q27" s="10"/>
      <c r="R27" s="867"/>
      <c r="S27" s="866"/>
      <c r="T27" s="866"/>
    </row>
    <row r="28" spans="1:30" s="19" customFormat="1" ht="12.75" x14ac:dyDescent="0.2">
      <c r="A28" s="709"/>
      <c r="B28" s="710"/>
      <c r="C28" s="711"/>
      <c r="D28" s="708"/>
      <c r="E28" s="710"/>
      <c r="F28" s="710"/>
      <c r="G28" s="710"/>
      <c r="H28" s="711"/>
      <c r="I28" s="708"/>
      <c r="J28" s="710"/>
      <c r="K28" s="878"/>
      <c r="L28" s="879"/>
      <c r="M28" s="868"/>
      <c r="N28" s="869"/>
      <c r="O28" s="10"/>
      <c r="P28" s="10"/>
      <c r="Q28" s="10"/>
      <c r="R28" s="10"/>
      <c r="S28" s="866"/>
      <c r="T28" s="866"/>
    </row>
    <row r="29" spans="1:30" s="19" customFormat="1" ht="12.75" x14ac:dyDescent="0.2">
      <c r="A29" s="709"/>
      <c r="B29" s="710"/>
      <c r="C29" s="711"/>
      <c r="D29" s="708"/>
      <c r="E29" s="710"/>
      <c r="F29" s="710"/>
      <c r="G29" s="710"/>
      <c r="H29" s="711"/>
      <c r="I29" s="708"/>
      <c r="J29" s="710"/>
      <c r="K29" s="878"/>
      <c r="L29" s="879"/>
      <c r="M29" s="868"/>
      <c r="N29" s="869"/>
      <c r="O29" s="10"/>
      <c r="P29" s="10"/>
      <c r="Q29" s="10"/>
      <c r="R29" s="10"/>
      <c r="S29" s="866"/>
      <c r="T29" s="866"/>
    </row>
    <row r="30" spans="1:30" s="19" customFormat="1" ht="12.75" x14ac:dyDescent="0.2">
      <c r="A30" s="712"/>
      <c r="B30" s="713"/>
      <c r="C30" s="714"/>
      <c r="D30" s="715"/>
      <c r="E30" s="713"/>
      <c r="F30" s="713"/>
      <c r="G30" s="713"/>
      <c r="H30" s="714"/>
      <c r="I30" s="715"/>
      <c r="J30" s="713"/>
      <c r="K30" s="880"/>
      <c r="L30" s="881"/>
      <c r="M30" s="870"/>
      <c r="N30" s="871"/>
      <c r="O30" s="10"/>
      <c r="P30" s="10"/>
      <c r="Q30" s="10"/>
      <c r="R30" s="10"/>
      <c r="S30" s="866"/>
      <c r="T30" s="866"/>
      <c r="AD30" s="30"/>
    </row>
    <row r="31" spans="1:30" s="4" customFormat="1" x14ac:dyDescent="0.25">
      <c r="A31" s="884" t="s">
        <v>390</v>
      </c>
      <c r="B31" s="885">
        <f>SUM(B11:B15)/1000</f>
        <v>49.048336335364993</v>
      </c>
      <c r="C31" s="886">
        <f t="shared" ref="C31:J31" si="5">SUM(C11:C15)/1000</f>
        <v>1.4930610459696445</v>
      </c>
      <c r="D31" s="887">
        <f t="shared" si="5"/>
        <v>8.3222790529643223E-3</v>
      </c>
      <c r="E31" s="885">
        <f t="shared" si="5"/>
        <v>1.501383325022609</v>
      </c>
      <c r="F31" s="885">
        <f t="shared" si="5"/>
        <v>50.549719660387595</v>
      </c>
      <c r="G31" s="885">
        <f t="shared" si="5"/>
        <v>51.49247575078234</v>
      </c>
      <c r="H31" s="886">
        <f t="shared" si="5"/>
        <v>0.62793757180645637</v>
      </c>
      <c r="I31" s="887">
        <f t="shared" si="5"/>
        <v>-1.5421340765630554E-4</v>
      </c>
      <c r="J31" s="885">
        <f t="shared" si="5"/>
        <v>48.418226061390001</v>
      </c>
      <c r="K31" s="1215" t="s">
        <v>10</v>
      </c>
      <c r="L31" s="3"/>
      <c r="M31" s="1216" t="s">
        <v>391</v>
      </c>
      <c r="N31" s="1216" t="s">
        <v>395</v>
      </c>
      <c r="O31" s="1216" t="s">
        <v>395</v>
      </c>
      <c r="P31" s="3"/>
      <c r="Q31" s="3"/>
      <c r="R31" s="77"/>
      <c r="S31" s="134"/>
      <c r="T31" s="77"/>
      <c r="U31" s="77"/>
      <c r="V31" s="77"/>
      <c r="W31" s="77"/>
      <c r="X31" s="888"/>
      <c r="Y31" s="3"/>
      <c r="Z31" s="3"/>
      <c r="AA31" s="3"/>
      <c r="AB31" s="3"/>
    </row>
    <row r="32" spans="1:30" ht="15.75" x14ac:dyDescent="0.25">
      <c r="A32" s="1219" t="s">
        <v>394</v>
      </c>
      <c r="B32" s="1220">
        <f>IF(K16&lt;&gt;"",B15-H16-C16+C15-D16+D15,B16)</f>
        <v>10662.630904715661</v>
      </c>
      <c r="J32" s="355" t="s">
        <v>248</v>
      </c>
      <c r="K32" s="68">
        <f>[1]!Inter_net</f>
        <v>2</v>
      </c>
      <c r="L32" s="68">
        <f>[1]!Inter_tai</f>
        <v>7</v>
      </c>
      <c r="M32" s="1217">
        <f>Inter_net</f>
        <v>2</v>
      </c>
      <c r="N32" s="1217">
        <f>CHOOSE(Inter_net,N33,N34,N35,N36)</f>
        <v>424.09237547474686</v>
      </c>
      <c r="O32" s="1221">
        <f>CHOOSE(Inter_net,O33,O34,O35,O36)</f>
        <v>3.9773708690149588E-2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274</v>
      </c>
      <c r="B33" s="1161">
        <f t="shared" ref="B33:J33" si="6">AVERAGE(B35:B54)</f>
        <v>3.8795494290458143E-2</v>
      </c>
      <c r="C33" s="1162">
        <f t="shared" si="6"/>
        <v>3.9084703063699849E-2</v>
      </c>
      <c r="D33" s="1163">
        <f t="shared" si="6"/>
        <v>3.6488095235012226E-4</v>
      </c>
      <c r="E33" s="1161">
        <f t="shared" si="6"/>
        <v>3.6872178071788213E-2</v>
      </c>
      <c r="F33" s="1162">
        <f t="shared" si="6"/>
        <v>3.3528834529675901E-2</v>
      </c>
      <c r="G33" s="1163">
        <f t="shared" si="6"/>
        <v>1.7819613698610541E-4</v>
      </c>
      <c r="H33" s="1164">
        <f t="shared" si="6"/>
        <v>2.5065944342326847E-2</v>
      </c>
      <c r="I33" s="1165">
        <f t="shared" si="6"/>
        <v>1.2179565293228571E-4</v>
      </c>
      <c r="J33" s="1166">
        <f t="shared" si="6"/>
        <v>6.7465133026702054E-2</v>
      </c>
      <c r="K33" s="341"/>
      <c r="L33" s="21"/>
      <c r="M33" s="369">
        <v>1</v>
      </c>
      <c r="N33" s="1222">
        <f>O33*$B$32</f>
        <v>424.09237547474686</v>
      </c>
      <c r="O33" s="1223">
        <f>AVERAGE(H19:H20)/AVERAGE(B19:B20)</f>
        <v>3.9773708690149588E-2</v>
      </c>
      <c r="P33" s="15"/>
    </row>
    <row r="34" spans="1:28" s="239" customFormat="1" ht="41.25" customHeight="1" x14ac:dyDescent="0.2">
      <c r="A34" s="173" t="s">
        <v>52</v>
      </c>
      <c r="B34" s="1167" t="s">
        <v>376</v>
      </c>
      <c r="C34" s="1168" t="s">
        <v>377</v>
      </c>
      <c r="D34" s="1169" t="s">
        <v>378</v>
      </c>
      <c r="E34" s="1167" t="s">
        <v>379</v>
      </c>
      <c r="F34" s="331" t="s">
        <v>380</v>
      </c>
      <c r="G34" s="332" t="s">
        <v>381</v>
      </c>
      <c r="H34" s="331" t="s">
        <v>382</v>
      </c>
      <c r="I34" s="332" t="s">
        <v>383</v>
      </c>
      <c r="J34" s="173" t="s">
        <v>384</v>
      </c>
      <c r="K34" s="331" t="s">
        <v>385</v>
      </c>
      <c r="L34" s="331" t="s">
        <v>386</v>
      </c>
      <c r="M34" s="369">
        <v>2</v>
      </c>
      <c r="N34" s="1224">
        <f>O34*$B$32</f>
        <v>424.09237547474686</v>
      </c>
      <c r="O34" s="1225">
        <f>AVERAGE(H19:H20)/AVERAGE(B19:B20)</f>
        <v>3.9773708690149588E-2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2018</v>
      </c>
      <c r="B35" s="1170">
        <f>'2018'!L$379</f>
        <v>4.6980329107725316E-3</v>
      </c>
      <c r="C35" s="1171">
        <f>'2018'!O$379</f>
        <v>1.4199399321951033E-2</v>
      </c>
      <c r="D35" s="1172">
        <f>'2018'!P$379</f>
        <v>9.3040382020895675E-5</v>
      </c>
      <c r="E35" s="1170">
        <f>'2018'!Wh_Ppv/Recap!B11</f>
        <v>2.5877376710289469E-3</v>
      </c>
      <c r="F35" s="1171">
        <f>'2018'!Wh_Psa/'2018'!D$9</f>
        <v>8.4529321930039529E-3</v>
      </c>
      <c r="G35" s="1172">
        <f>'2018'!Wh_Pvg/'2018'!E$9</f>
        <v>4.9278672711253576E-5</v>
      </c>
      <c r="H35" s="1173">
        <f>H11/'2018'!Z$9</f>
        <v>0</v>
      </c>
      <c r="I35" s="1174">
        <f>I11/'2018'!AA$9</f>
        <v>0</v>
      </c>
      <c r="J35" s="1175">
        <f>1-B11/G11</f>
        <v>1.1012232024688151E-2</v>
      </c>
      <c r="K35" s="860" t="str">
        <f>K11</f>
        <v/>
      </c>
      <c r="L35" s="1176">
        <f>(K35&lt;&gt;"")*('2018'!O$383-'2018'!O$381)</f>
        <v>0</v>
      </c>
      <c r="M35" s="369">
        <v>3</v>
      </c>
      <c r="N35" s="1224">
        <f>O35*$B$32</f>
        <v>446.19700281437127</v>
      </c>
      <c r="O35" s="1225">
        <f>AVERAGE(H18:H20)/AVERAGE(B18:B20)</f>
        <v>4.1846801863603469E-2</v>
      </c>
      <c r="P35" s="369"/>
      <c r="Q35" s="369"/>
      <c r="R35" s="369"/>
      <c r="S35" s="866"/>
      <c r="T35" s="866"/>
    </row>
    <row r="36" spans="1:28" s="19" customFormat="1" ht="12.75" x14ac:dyDescent="0.2">
      <c r="A36" s="144">
        <f t="shared" ref="A36:A44" si="7">A12</f>
        <v>2019</v>
      </c>
      <c r="B36" s="1161">
        <f>'2019'!L$379</f>
        <v>1.2623277181907477E-2</v>
      </c>
      <c r="C36" s="1162">
        <f>'2019'!O$379</f>
        <v>3.2029580356675087E-2</v>
      </c>
      <c r="D36" s="1163">
        <f>'2019'!P$379</f>
        <v>1.9553416447521324E-4</v>
      </c>
      <c r="E36" s="1161">
        <f>'2019'!Wh_Ppv/Recap!B12</f>
        <v>8.5781075074727754E-3</v>
      </c>
      <c r="F36" s="1162">
        <f>'2019'!Wh_Psa/'2019'!D$9</f>
        <v>2.4484271937245897E-2</v>
      </c>
      <c r="G36" s="1163">
        <f>'2019'!Wh_Pvg/'2019'!E$9</f>
        <v>8.5633961257515763E-5</v>
      </c>
      <c r="H36" s="1177">
        <f>H12/'2019'!Z$9</f>
        <v>0</v>
      </c>
      <c r="I36" s="1178">
        <f>I12/'2019'!AA$9</f>
        <v>0</v>
      </c>
      <c r="J36" s="1179">
        <f t="shared" ref="J36:J44" si="8">1-B12/G12</f>
        <v>3.2484996667925481E-2</v>
      </c>
      <c r="K36" s="862" t="str">
        <f t="shared" ref="K36:K44" si="9">K12</f>
        <v/>
      </c>
      <c r="L36" s="1180">
        <f>(K36&lt;&gt;"")*('2019'!O$383-'2019'!O$381)</f>
        <v>0</v>
      </c>
      <c r="M36" s="369">
        <v>4</v>
      </c>
      <c r="N36" s="1224">
        <f>O36*$B$32</f>
        <v>470.44279886385408</v>
      </c>
      <c r="O36" s="1225">
        <f>AVERAGE(H17:H20)/AVERAGE(B17:B20)</f>
        <v>4.4120705580814559E-2</v>
      </c>
      <c r="P36" s="369"/>
      <c r="Q36" s="369"/>
      <c r="R36" s="369"/>
      <c r="S36" s="866"/>
      <c r="T36" s="866"/>
    </row>
    <row r="37" spans="1:28" s="19" customFormat="1" ht="12.75" x14ac:dyDescent="0.2">
      <c r="A37" s="144">
        <f t="shared" si="7"/>
        <v>2020</v>
      </c>
      <c r="B37" s="1161">
        <f>'2020'!L$379</f>
        <v>2.0485415482358049E-2</v>
      </c>
      <c r="C37" s="1162">
        <f>'2020'!O$379</f>
        <v>4.4166805651362238E-2</v>
      </c>
      <c r="D37" s="1163">
        <f>'2020'!P$379</f>
        <v>3.0961706887984924E-4</v>
      </c>
      <c r="E37" s="1161">
        <f>'2020'!Wh_Ppv/Recap!B13</f>
        <v>1.6671419666160758E-2</v>
      </c>
      <c r="F37" s="1162">
        <f>'2020'!Wh_Psa/'2020'!D$9</f>
        <v>4.0275122779894493E-2</v>
      </c>
      <c r="G37" s="1163">
        <f>'2020'!Wh_Pvg/'2020'!E$9</f>
        <v>1.4375491578859137E-4</v>
      </c>
      <c r="H37" s="1177">
        <f>H13/'2020'!Z$9</f>
        <v>0</v>
      </c>
      <c r="I37" s="1178">
        <f>I13/'2020'!AA$9</f>
        <v>0</v>
      </c>
      <c r="J37" s="1179">
        <f t="shared" si="8"/>
        <v>5.5232638815123858E-2</v>
      </c>
      <c r="K37" s="862" t="str">
        <f t="shared" si="9"/>
        <v/>
      </c>
      <c r="L37" s="1180">
        <f>(K37&lt;&gt;"")*('2020'!O$383-'2020'!O$381)</f>
        <v>0</v>
      </c>
      <c r="M37" s="369"/>
      <c r="N37" s="1226" t="s">
        <v>392</v>
      </c>
      <c r="O37" s="1227"/>
      <c r="P37" s="369"/>
      <c r="Q37" s="369"/>
      <c r="R37" s="369"/>
      <c r="S37" s="866"/>
      <c r="T37" s="866"/>
    </row>
    <row r="38" spans="1:28" s="19" customFormat="1" ht="12.75" x14ac:dyDescent="0.2">
      <c r="A38" s="144">
        <f t="shared" si="7"/>
        <v>2021</v>
      </c>
      <c r="B38" s="1161">
        <f>'2021'!L$379</f>
        <v>2.7106233356505284E-2</v>
      </c>
      <c r="C38" s="1162">
        <f>'2021'!O$379</f>
        <v>2.306864241705291E-2</v>
      </c>
      <c r="D38" s="1163">
        <f>'2021'!P$379</f>
        <v>4.2369997328448522E-4</v>
      </c>
      <c r="E38" s="1161">
        <f>'2021'!Wh_Ppv/Recap!B14</f>
        <v>2.4305450568618988E-2</v>
      </c>
      <c r="F38" s="1162">
        <f>'2021'!Wh_Psa/'2021'!D$9</f>
        <v>2.2240989009378057E-2</v>
      </c>
      <c r="G38" s="1163">
        <f>'2021'!Wh_Pvg/'2021'!E$9</f>
        <v>1.9327389647250901E-4</v>
      </c>
      <c r="H38" s="1177">
        <f>H14/'2021'!Z$9</f>
        <v>2.9094378984682184E-2</v>
      </c>
      <c r="I38" s="1178">
        <f>I14/'2021'!AA$9</f>
        <v>-5.5898919044949797E-6</v>
      </c>
      <c r="J38" s="1179">
        <f t="shared" si="8"/>
        <v>4.5667538666300356E-2</v>
      </c>
      <c r="K38" s="862">
        <f t="shared" si="9"/>
        <v>44306</v>
      </c>
      <c r="L38" s="1180">
        <f>(K38&lt;&gt;"")*('2021'!O$383-'2021'!O$381)</f>
        <v>4.1728153322544911E-2</v>
      </c>
      <c r="M38" s="369"/>
      <c r="N38" s="369"/>
      <c r="O38" s="369"/>
      <c r="P38" s="369"/>
      <c r="Q38" s="369"/>
      <c r="R38" s="369"/>
      <c r="S38" s="866"/>
      <c r="T38" s="866"/>
    </row>
    <row r="39" spans="1:28" s="19" customFormat="1" ht="12.75" x14ac:dyDescent="0.2">
      <c r="A39" s="363">
        <f t="shared" si="7"/>
        <v>2022</v>
      </c>
      <c r="B39" s="1181">
        <f>'2022'!L$379</f>
        <v>3.4843493717710318E-2</v>
      </c>
      <c r="C39" s="1182">
        <f>'2022'!O$379</f>
        <v>5.4012454682629565E-2</v>
      </c>
      <c r="D39" s="1183">
        <f>'2022'!P$379</f>
        <v>5.4087085538341822E-4</v>
      </c>
      <c r="E39" s="1181">
        <f>'2022'!Wh_Ppv/Recap!B15</f>
        <v>3.1657874740773459E-2</v>
      </c>
      <c r="F39" s="1182">
        <f>'2022'!Wh_Psa/'2022'!D$9</f>
        <v>4.0878522946332305E-2</v>
      </c>
      <c r="G39" s="1183">
        <f>'2022'!Wh_Pvg/'2022'!E$9</f>
        <v>2.6741741248463818E-4</v>
      </c>
      <c r="H39" s="1184">
        <f>H15/'2022'!Z$9</f>
        <v>2.8141175678074299E-2</v>
      </c>
      <c r="I39" s="1185">
        <f>I15/'2022'!AA$9</f>
        <v>-7.6018032919082971E-6</v>
      </c>
      <c r="J39" s="1186">
        <f t="shared" si="8"/>
        <v>7.017807786075958E-2</v>
      </c>
      <c r="K39" s="864" t="str">
        <f t="shared" si="9"/>
        <v/>
      </c>
      <c r="L39" s="1187">
        <f>(K39&lt;&gt;"")*('2022'!O$383-'2022'!O$381)</f>
        <v>0</v>
      </c>
      <c r="M39" s="369"/>
      <c r="N39" s="369"/>
      <c r="O39" s="369"/>
      <c r="P39" s="369"/>
      <c r="Q39" s="369"/>
      <c r="R39" s="369"/>
      <c r="S39" s="866"/>
      <c r="T39" s="866"/>
    </row>
    <row r="40" spans="1:28" s="19" customFormat="1" ht="12.75" x14ac:dyDescent="0.2">
      <c r="A40" s="1188">
        <f t="shared" si="7"/>
        <v>2023</v>
      </c>
      <c r="B40" s="1189">
        <f>'2023'!L$379</f>
        <v>4.2519144958889955E-2</v>
      </c>
      <c r="C40" s="1190">
        <f>'2023'!O$379</f>
        <v>6.8729700111012842E-2</v>
      </c>
      <c r="D40" s="1191">
        <f>'2023'!P$379</f>
        <v>6.8159299755324798E-4</v>
      </c>
      <c r="E40" s="1189">
        <f>'2023'!Wh_Ppv/Recap!B16</f>
        <v>4.014522011221569E-2</v>
      </c>
      <c r="F40" s="1190">
        <f>'2023'!Wh_Psa/'2023'!D$9</f>
        <v>6.5144012790875103E-2</v>
      </c>
      <c r="G40" s="1191">
        <f>'2023'!Wh_Pvg/'2023'!E$9</f>
        <v>3.25891198840011E-4</v>
      </c>
      <c r="H40" s="1189">
        <f>H16/'2023'!Z$9</f>
        <v>1.9306283320639071E-2</v>
      </c>
      <c r="I40" s="1192">
        <f>I16/'2023'!AA$9</f>
        <v>-6.4165106935424306E-6</v>
      </c>
      <c r="J40" s="1191">
        <f t="shared" si="8"/>
        <v>9.99315777212193E-2</v>
      </c>
      <c r="K40" s="862" t="str">
        <f t="shared" si="9"/>
        <v/>
      </c>
      <c r="L40" s="1180">
        <f>(K40&lt;&gt;"")*('2023'!O$383-'2023'!O$381)</f>
        <v>0</v>
      </c>
      <c r="M40" s="369"/>
      <c r="N40" s="369"/>
      <c r="O40" s="369"/>
      <c r="P40" s="369"/>
      <c r="Q40" s="369"/>
      <c r="R40" s="369"/>
      <c r="S40" s="866"/>
      <c r="T40" s="866"/>
    </row>
    <row r="41" spans="1:28" s="19" customFormat="1" ht="12.75" x14ac:dyDescent="0.2">
      <c r="A41" s="1188">
        <f t="shared" si="7"/>
        <v>2024</v>
      </c>
      <c r="B41" s="1189">
        <f>'2024'!L$379</f>
        <v>5.0133677652093291E-2</v>
      </c>
      <c r="C41" s="1190">
        <f>'2024'!O$379</f>
        <v>2.6941497204858986E-2</v>
      </c>
      <c r="D41" s="1191">
        <f>'2024'!P$379</f>
        <v>8.2231513972307708E-4</v>
      </c>
      <c r="E41" s="1189">
        <f>'2024'!Wh_Ppv/Recap!B17</f>
        <v>4.8532047364579563E-2</v>
      </c>
      <c r="F41" s="1190">
        <f>'2024'!Wh_Psa/'2024'!D$9</f>
        <v>3.0022953657557198E-2</v>
      </c>
      <c r="G41" s="1191">
        <f>'2024'!Wh_Pvg/'2024'!E$9</f>
        <v>4.0678201872511934E-4</v>
      </c>
      <c r="H41" s="1189">
        <f>H17/'2024'!Z$9</f>
        <v>5.1034746540862604E-2</v>
      </c>
      <c r="I41" s="1192">
        <f>I17/'2024'!AA$9</f>
        <v>-2.0649908766422108E-5</v>
      </c>
      <c r="J41" s="1191">
        <f t="shared" si="8"/>
        <v>7.5798985054536305E-2</v>
      </c>
      <c r="K41" s="862">
        <f t="shared" si="9"/>
        <v>45412</v>
      </c>
      <c r="L41" s="1180">
        <f>(K41&lt;&gt;"")*('2024'!O$383-'2024'!O$381)</f>
        <v>6.7644183757509163E-2</v>
      </c>
      <c r="M41" s="369"/>
      <c r="N41" s="369"/>
      <c r="O41" s="369"/>
      <c r="P41" s="369"/>
      <c r="Q41" s="369"/>
      <c r="R41" s="369"/>
      <c r="S41" s="866"/>
      <c r="T41" s="866"/>
    </row>
    <row r="42" spans="1:28" s="19" customFormat="1" ht="12.75" x14ac:dyDescent="0.2">
      <c r="A42" s="1188">
        <f t="shared" si="7"/>
        <v>2025</v>
      </c>
      <c r="B42" s="1189">
        <f>'2025'!L$379</f>
        <v>5.770819124044755E-2</v>
      </c>
      <c r="C42" s="1190">
        <f>'2025'!O$379</f>
        <v>5.0340222379382481E-2</v>
      </c>
      <c r="D42" s="1191">
        <f>'2025'!P$379</f>
        <v>8.8390574859171874E-5</v>
      </c>
      <c r="E42" s="1189">
        <f>'2025'!Wh_Ppv/Recap!B18</f>
        <v>5.6908474479342615E-2</v>
      </c>
      <c r="F42" s="1190">
        <f>'2025'!Wh_Psa/'2025'!D$9</f>
        <v>3.9839451575600704E-2</v>
      </c>
      <c r="G42" s="1191">
        <f>'2025'!Wh_Pvg/'2025'!E$9</f>
        <v>9.4472338122122789E-5</v>
      </c>
      <c r="H42" s="1189">
        <f>H18/'2025'!Z$9</f>
        <v>4.5616510474193364E-2</v>
      </c>
      <c r="I42" s="1192">
        <f>I18/'2025'!AA$9</f>
        <v>3.5418506056060988E-4</v>
      </c>
      <c r="J42" s="1191">
        <f t="shared" si="8"/>
        <v>9.2168466968786666E-2</v>
      </c>
      <c r="K42" s="862" t="str">
        <f t="shared" si="9"/>
        <v/>
      </c>
      <c r="L42" s="1180">
        <f>(K42&lt;&gt;"")*('2025'!O$383-'2025'!O$381)</f>
        <v>0</v>
      </c>
      <c r="M42" s="369"/>
      <c r="N42" s="369"/>
      <c r="O42" s="369"/>
      <c r="P42" s="369"/>
      <c r="Q42" s="369"/>
      <c r="R42" s="369"/>
      <c r="S42" s="866"/>
      <c r="T42" s="866"/>
    </row>
    <row r="43" spans="1:28" s="19" customFormat="1" ht="12.75" x14ac:dyDescent="0.2">
      <c r="A43" s="1188">
        <f t="shared" si="7"/>
        <v>2026</v>
      </c>
      <c r="B43" s="1189">
        <f>'2026'!L$379</f>
        <v>6.5201778827535056E-2</v>
      </c>
      <c r="C43" s="1190">
        <f>'2026'!O$379</f>
        <v>2.7018506132690925E-2</v>
      </c>
      <c r="D43" s="1191">
        <f>'2026'!P$379</f>
        <v>1.8983273145861427E-4</v>
      </c>
      <c r="E43" s="1189">
        <f>'2026'!Wh_Ppv/Recap!B19</f>
        <v>6.5414542425052444E-2</v>
      </c>
      <c r="F43" s="1190">
        <f>'2026'!Wh_Psa/'2026'!D$9</f>
        <v>2.4743024045581853E-2</v>
      </c>
      <c r="G43" s="1191">
        <f>'2026'!Wh_Pvg/'2026'!E$9</f>
        <v>8.0065343080383371E-5</v>
      </c>
      <c r="H43" s="1189">
        <f>H19/'2026'!Z$9</f>
        <v>4.3855525160089011E-2</v>
      </c>
      <c r="I43" s="1192">
        <f>I19/'2026'!AA$9</f>
        <v>4.4500629197392823E-4</v>
      </c>
      <c r="J43" s="1191">
        <f t="shared" si="8"/>
        <v>8.5585777150385622E-2</v>
      </c>
      <c r="K43" s="862">
        <f t="shared" si="9"/>
        <v>46142</v>
      </c>
      <c r="L43" s="1180">
        <f>(K43&lt;&gt;"")*('2026'!O$383-'2026'!O$381)</f>
        <v>5.1197577696244778E-2</v>
      </c>
      <c r="M43" s="369"/>
      <c r="N43" s="369"/>
      <c r="O43" s="369"/>
      <c r="P43" s="369"/>
      <c r="Q43" s="369"/>
      <c r="R43" s="369"/>
      <c r="S43" s="866"/>
      <c r="T43" s="866"/>
    </row>
    <row r="44" spans="1:28" s="19" customFormat="1" ht="12.75" x14ac:dyDescent="0.2">
      <c r="A44" s="1188">
        <f t="shared" si="7"/>
        <v>2027</v>
      </c>
      <c r="B44" s="1189">
        <f>'2027'!L$379</f>
        <v>7.2635697576361874E-2</v>
      </c>
      <c r="C44" s="1190">
        <f>'2027'!O$379</f>
        <v>5.0340222379382481E-2</v>
      </c>
      <c r="D44" s="1191">
        <f>'2027'!P$379</f>
        <v>3.0391563586325027E-4</v>
      </c>
      <c r="E44" s="1189">
        <f>'2027'!Wh_Ppv/Recap!B20</f>
        <v>7.3920906182636928E-2</v>
      </c>
      <c r="F44" s="1190">
        <f>'2027'!Wh_Psa/'2027'!D$9</f>
        <v>3.9207064361289415E-2</v>
      </c>
      <c r="G44" s="1191">
        <f>'2027'!Wh_Pvg/'2027'!E$9</f>
        <v>1.353916123789096E-4</v>
      </c>
      <c r="H44" s="1189">
        <f>H20/'2027'!Z$9</f>
        <v>3.3610823264727904E-2</v>
      </c>
      <c r="I44" s="1192">
        <f>I20/'2027'!AA$9</f>
        <v>4.5902329144468672E-4</v>
      </c>
      <c r="J44" s="1191">
        <f t="shared" si="8"/>
        <v>0.10659103933729519</v>
      </c>
      <c r="K44" s="862" t="str">
        <f t="shared" si="9"/>
        <v/>
      </c>
      <c r="L44" s="1180">
        <f>(K44&lt;&gt;"")*('2027'!O$383-'2027'!O$381)</f>
        <v>0</v>
      </c>
      <c r="M44" s="369"/>
      <c r="N44" s="369"/>
      <c r="O44" s="369"/>
      <c r="P44" s="369"/>
      <c r="Q44" s="369"/>
      <c r="R44" s="369"/>
      <c r="S44" s="866"/>
      <c r="T44" s="866"/>
    </row>
    <row r="45" spans="1:28" s="19" customFormat="1" ht="12.75" x14ac:dyDescent="0.2">
      <c r="A45" s="709"/>
      <c r="B45" s="868"/>
      <c r="C45" s="1193"/>
      <c r="D45" s="1194"/>
      <c r="E45" s="868"/>
      <c r="F45" s="1193"/>
      <c r="G45" s="1194"/>
      <c r="H45" s="1195"/>
      <c r="I45" s="710"/>
      <c r="J45" s="1194"/>
      <c r="K45" s="878"/>
      <c r="L45" s="1194"/>
      <c r="M45" s="10"/>
      <c r="N45" s="10"/>
      <c r="O45" s="10"/>
      <c r="P45" s="10"/>
      <c r="Q45" s="10"/>
      <c r="R45" s="10"/>
      <c r="S45" s="866"/>
      <c r="T45" s="866"/>
    </row>
    <row r="46" spans="1:28" s="19" customFormat="1" ht="12.75" x14ac:dyDescent="0.2">
      <c r="A46" s="709"/>
      <c r="B46" s="868"/>
      <c r="C46" s="1193"/>
      <c r="D46" s="1194"/>
      <c r="E46" s="868"/>
      <c r="F46" s="1193"/>
      <c r="G46" s="1194"/>
      <c r="H46" s="1195"/>
      <c r="I46" s="710"/>
      <c r="J46" s="1194"/>
      <c r="K46" s="878"/>
      <c r="L46" s="1194"/>
      <c r="M46" s="10"/>
      <c r="N46" s="10"/>
      <c r="O46" s="10"/>
      <c r="P46" s="867"/>
      <c r="Q46" s="10"/>
      <c r="R46" s="867"/>
      <c r="S46" s="866"/>
      <c r="T46" s="866"/>
    </row>
    <row r="47" spans="1:28" s="19" customFormat="1" ht="12.75" x14ac:dyDescent="0.2">
      <c r="A47" s="709"/>
      <c r="B47" s="868"/>
      <c r="C47" s="1193"/>
      <c r="D47" s="1194"/>
      <c r="E47" s="868"/>
      <c r="F47" s="1193"/>
      <c r="G47" s="1194"/>
      <c r="H47" s="1195"/>
      <c r="I47" s="710"/>
      <c r="J47" s="1194"/>
      <c r="K47" s="878"/>
      <c r="L47" s="1194"/>
      <c r="M47" s="10"/>
      <c r="N47" s="10"/>
      <c r="O47" s="10"/>
      <c r="P47" s="867"/>
      <c r="Q47" s="10"/>
      <c r="S47" s="866"/>
      <c r="T47" s="866"/>
    </row>
    <row r="48" spans="1:28" s="19" customFormat="1" ht="12.75" x14ac:dyDescent="0.2">
      <c r="A48" s="709"/>
      <c r="B48" s="868"/>
      <c r="C48" s="1193"/>
      <c r="D48" s="1194"/>
      <c r="E48" s="868"/>
      <c r="F48" s="1193"/>
      <c r="G48" s="1194"/>
      <c r="H48" s="1195"/>
      <c r="I48" s="710"/>
      <c r="J48" s="1194"/>
      <c r="K48" s="878"/>
      <c r="L48" s="1194"/>
      <c r="M48" s="10"/>
      <c r="N48" s="10"/>
      <c r="O48" s="10"/>
      <c r="P48" s="867"/>
      <c r="Q48" s="10"/>
      <c r="R48" s="867"/>
      <c r="S48" s="866"/>
      <c r="T48" s="866"/>
    </row>
    <row r="49" spans="1:30" s="19" customFormat="1" ht="12.75" x14ac:dyDescent="0.2">
      <c r="A49" s="709"/>
      <c r="B49" s="868"/>
      <c r="C49" s="1193"/>
      <c r="D49" s="1194"/>
      <c r="E49" s="868"/>
      <c r="F49" s="1193"/>
      <c r="G49" s="1194"/>
      <c r="H49" s="1195"/>
      <c r="I49" s="710"/>
      <c r="J49" s="1194"/>
      <c r="K49" s="878"/>
      <c r="L49" s="1194"/>
      <c r="M49" s="10"/>
      <c r="N49" s="10"/>
      <c r="O49" s="10"/>
      <c r="P49" s="867"/>
      <c r="Q49" s="10"/>
      <c r="R49" s="867"/>
      <c r="S49" s="866"/>
      <c r="T49" s="866"/>
    </row>
    <row r="50" spans="1:30" s="19" customFormat="1" ht="12.75" x14ac:dyDescent="0.2">
      <c r="A50" s="709"/>
      <c r="B50" s="868"/>
      <c r="C50" s="1193"/>
      <c r="D50" s="1194"/>
      <c r="E50" s="868"/>
      <c r="F50" s="1193"/>
      <c r="G50" s="1194"/>
      <c r="H50" s="1195"/>
      <c r="I50" s="710"/>
      <c r="J50" s="1194"/>
      <c r="K50" s="878"/>
      <c r="L50" s="1194"/>
      <c r="M50" s="10"/>
      <c r="N50" s="10"/>
      <c r="O50" s="10"/>
      <c r="P50" s="867"/>
      <c r="Q50" s="10"/>
      <c r="R50" s="867"/>
      <c r="S50" s="866"/>
      <c r="T50" s="866"/>
    </row>
    <row r="51" spans="1:30" s="19" customFormat="1" ht="12.75" x14ac:dyDescent="0.2">
      <c r="A51" s="709"/>
      <c r="B51" s="868"/>
      <c r="C51" s="1193"/>
      <c r="D51" s="1194"/>
      <c r="E51" s="868"/>
      <c r="F51" s="1193"/>
      <c r="G51" s="1194"/>
      <c r="H51" s="1195"/>
      <c r="I51" s="710"/>
      <c r="J51" s="1194"/>
      <c r="K51" s="878"/>
      <c r="L51" s="1194"/>
      <c r="M51" s="10"/>
      <c r="N51" s="10"/>
      <c r="O51" s="10"/>
      <c r="P51" s="867"/>
      <c r="Q51" s="10"/>
      <c r="R51" s="867"/>
      <c r="S51" s="866"/>
      <c r="T51" s="866"/>
    </row>
    <row r="52" spans="1:30" s="19" customFormat="1" ht="12.75" x14ac:dyDescent="0.2">
      <c r="A52" s="709"/>
      <c r="B52" s="868"/>
      <c r="C52" s="1193"/>
      <c r="D52" s="1194"/>
      <c r="E52" s="868"/>
      <c r="F52" s="1193"/>
      <c r="G52" s="1194"/>
      <c r="H52" s="1195"/>
      <c r="I52" s="710"/>
      <c r="J52" s="1194"/>
      <c r="K52" s="878"/>
      <c r="L52" s="1194"/>
      <c r="M52" s="10"/>
      <c r="N52" s="10"/>
      <c r="O52" s="10"/>
      <c r="P52" s="10"/>
      <c r="Q52" s="10"/>
      <c r="R52" s="10"/>
      <c r="S52" s="866"/>
      <c r="T52" s="866"/>
    </row>
    <row r="53" spans="1:30" s="19" customFormat="1" ht="12.75" x14ac:dyDescent="0.2">
      <c r="A53" s="709"/>
      <c r="B53" s="868"/>
      <c r="C53" s="1193"/>
      <c r="D53" s="1194"/>
      <c r="E53" s="868"/>
      <c r="F53" s="1193"/>
      <c r="G53" s="1194"/>
      <c r="H53" s="1195"/>
      <c r="I53" s="710"/>
      <c r="J53" s="1194"/>
      <c r="K53" s="878"/>
      <c r="L53" s="1194"/>
      <c r="M53" s="10"/>
      <c r="N53" s="10"/>
      <c r="O53" s="10"/>
      <c r="P53" s="10"/>
      <c r="Q53" s="10"/>
      <c r="R53" s="10"/>
      <c r="S53" s="866"/>
      <c r="T53" s="866"/>
    </row>
    <row r="54" spans="1:30" s="19" customFormat="1" ht="12.75" x14ac:dyDescent="0.2">
      <c r="A54" s="712"/>
      <c r="B54" s="870"/>
      <c r="C54" s="713"/>
      <c r="D54" s="1196"/>
      <c r="E54" s="870"/>
      <c r="F54" s="713"/>
      <c r="G54" s="1196"/>
      <c r="H54" s="1197"/>
      <c r="I54" s="713"/>
      <c r="J54" s="1196"/>
      <c r="K54" s="880"/>
      <c r="L54" s="1196"/>
      <c r="M54" s="10"/>
      <c r="N54" s="10"/>
      <c r="O54" s="10"/>
      <c r="P54" s="10"/>
      <c r="Q54" s="10"/>
      <c r="R54" s="10"/>
      <c r="S54" s="866"/>
      <c r="T54" s="866"/>
      <c r="AD54" s="30"/>
    </row>
    <row r="55" spans="1:30" s="19" customFormat="1" ht="12.75" x14ac:dyDescent="0.2">
      <c r="A55" s="1198"/>
      <c r="B55" s="710"/>
      <c r="C55" s="711"/>
      <c r="D55" s="708"/>
      <c r="E55" s="710"/>
      <c r="F55" s="710"/>
      <c r="G55" s="710"/>
      <c r="H55" s="711"/>
      <c r="I55" s="708"/>
      <c r="J55" s="710"/>
      <c r="K55" s="1199"/>
      <c r="L55" s="1199"/>
      <c r="M55" s="710"/>
      <c r="N55" s="1200"/>
      <c r="O55" s="10"/>
      <c r="P55" s="10"/>
      <c r="Q55" s="10"/>
      <c r="R55" s="10"/>
      <c r="S55" s="866"/>
      <c r="T55" s="866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2.9389985427194976</v>
      </c>
      <c r="C57" s="368">
        <f t="shared" ref="C57:N57" si="10">MIN(C$61:C$80)</f>
        <v>3.9278396340842585</v>
      </c>
      <c r="D57" s="368">
        <f t="shared" si="10"/>
        <v>4.9316357504883177</v>
      </c>
      <c r="E57" s="368">
        <f t="shared" si="10"/>
        <v>5.7004521370308598</v>
      </c>
      <c r="F57" s="368">
        <f t="shared" si="10"/>
        <v>6.016684549007179</v>
      </c>
      <c r="G57" s="368">
        <f t="shared" si="10"/>
        <v>5.9165103449461531</v>
      </c>
      <c r="H57" s="368">
        <f t="shared" si="10"/>
        <v>5.6934262933254063</v>
      </c>
      <c r="I57" s="368">
        <f t="shared" si="10"/>
        <v>5.392772830653783</v>
      </c>
      <c r="J57" s="368">
        <f t="shared" si="10"/>
        <v>4.8673992991461397</v>
      </c>
      <c r="K57" s="368">
        <f t="shared" si="10"/>
        <v>4.0055637399037129</v>
      </c>
      <c r="L57" s="368">
        <f t="shared" si="10"/>
        <v>3.0717163756883048</v>
      </c>
      <c r="M57" s="368">
        <f t="shared" si="10"/>
        <v>2.5132315116078798</v>
      </c>
      <c r="N57" s="368">
        <f t="shared" si="10"/>
        <v>4.6068240852407509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3.0603404996651253</v>
      </c>
      <c r="C58" s="368">
        <f t="shared" ref="C58:N58" si="11">AVERAGE(C$61:C$80)</f>
        <v>4.0886937774914012</v>
      </c>
      <c r="D58" s="368">
        <f t="shared" si="11"/>
        <v>5.1311843851701973</v>
      </c>
      <c r="E58" s="368">
        <f t="shared" si="11"/>
        <v>5.9377354108994247</v>
      </c>
      <c r="F58" s="368">
        <f t="shared" si="11"/>
        <v>6.2697383797582962</v>
      </c>
      <c r="G58" s="368">
        <f t="shared" si="11"/>
        <v>6.2096790989674497</v>
      </c>
      <c r="H58" s="368">
        <f t="shared" si="11"/>
        <v>5.9763135054043328</v>
      </c>
      <c r="I58" s="368">
        <f t="shared" si="11"/>
        <v>5.6600337316695182</v>
      </c>
      <c r="J58" s="368">
        <f t="shared" si="11"/>
        <v>5.1066442195191657</v>
      </c>
      <c r="K58" s="368">
        <f t="shared" si="11"/>
        <v>4.2003269784185386</v>
      </c>
      <c r="L58" s="368">
        <f t="shared" si="11"/>
        <v>3.2196662101442364</v>
      </c>
      <c r="M58" s="368">
        <f t="shared" si="11"/>
        <v>2.6357183692703048</v>
      </c>
      <c r="N58" s="368">
        <f t="shared" si="11"/>
        <v>4.7963795967778555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3.2347423209425838</v>
      </c>
      <c r="C59" s="368">
        <f t="shared" ref="C59:N59" si="12">MAX(C$61:C$80)</f>
        <v>4.318860203115289</v>
      </c>
      <c r="D59" s="368">
        <f t="shared" si="12"/>
        <v>5.4187461946312663</v>
      </c>
      <c r="E59" s="368">
        <f t="shared" si="12"/>
        <v>6.2606216283891509</v>
      </c>
      <c r="F59" s="368">
        <f t="shared" si="12"/>
        <v>6.5091507292970938</v>
      </c>
      <c r="G59" s="368">
        <f t="shared" si="12"/>
        <v>6.6100909577380964</v>
      </c>
      <c r="H59" s="368">
        <f t="shared" si="12"/>
        <v>6.361801430243248</v>
      </c>
      <c r="I59" s="368">
        <f t="shared" si="12"/>
        <v>6.0242458213247794</v>
      </c>
      <c r="J59" s="368">
        <f t="shared" si="12"/>
        <v>5.4360181991092098</v>
      </c>
      <c r="K59" s="368">
        <f t="shared" si="12"/>
        <v>4.4707817314676301</v>
      </c>
      <c r="L59" s="368">
        <f t="shared" si="12"/>
        <v>3.4255679867194826</v>
      </c>
      <c r="M59" s="368">
        <f t="shared" si="12"/>
        <v>2.8009916369636083</v>
      </c>
      <c r="N59" s="368">
        <f t="shared" si="12"/>
        <v>5.0184996805094366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4"/>
      <c r="C61" s="344"/>
      <c r="D61" s="344"/>
      <c r="E61" s="345"/>
      <c r="F61" s="344"/>
      <c r="G61" s="344">
        <f>AVERAGE('2018'!$V$166:$V$195)/Pc</f>
        <v>6.6100909577380964</v>
      </c>
      <c r="H61" s="344">
        <f>AVERAGE('2018'!$V$196:$V$226)/Pc</f>
        <v>6.361801430243248</v>
      </c>
      <c r="I61" s="344">
        <f>AVERAGE('2018'!$V$227:$V$257)/Pc</f>
        <v>6.0242458213247794</v>
      </c>
      <c r="J61" s="346">
        <f>AVERAGE('2018'!$V$258:$V$287)/Pc</f>
        <v>5.4360181991092098</v>
      </c>
      <c r="K61" s="347">
        <f>AVERAGE('2018'!$V$288:$V$318)/Pc</f>
        <v>4.4707817314676301</v>
      </c>
      <c r="L61" s="344">
        <f>AVERAGE('2018'!$V$319:$V$348)/Pc</f>
        <v>3.4255679867194826</v>
      </c>
      <c r="M61" s="348">
        <f>AVERAGE('2018'!$V$349:$V$379)/Pc</f>
        <v>2.8009916369636083</v>
      </c>
      <c r="N61" s="352">
        <f t="shared" ref="N61:N66" si="13">AVERAGE(B61:M61)</f>
        <v>5.0184996805094366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49">
        <f>AVERAGE('2019'!$V$15:$V$45)/Pc</f>
        <v>3.2347423209425838</v>
      </c>
      <c r="C62" s="349">
        <f>AVERAGE('2019'!$V$46:$V$73)/Pc</f>
        <v>4.318860203115289</v>
      </c>
      <c r="D62" s="349">
        <f>AVERAGE('2019'!$V$74:$V$104)/Pc</f>
        <v>5.4187461946312663</v>
      </c>
      <c r="E62" s="350">
        <f>AVERAGE('2019'!$V$105:$V$134)/Pc</f>
        <v>6.2606216283891509</v>
      </c>
      <c r="F62" s="349">
        <f>AVERAGE('2019'!$V$135:$V$165)/Pc</f>
        <v>6.5091507292970938</v>
      </c>
      <c r="G62" s="349">
        <f>AVERAGE('2019'!$V$166:$V$195)/Pc</f>
        <v>6.4066190327216033</v>
      </c>
      <c r="H62" s="349">
        <f>AVERAGE('2019'!$V$196:$V$226)/Pc</f>
        <v>6.1691055444217424</v>
      </c>
      <c r="I62" s="349">
        <f>AVERAGE('2019'!$V$227:$V$257)/Pc</f>
        <v>5.8460746404030228</v>
      </c>
      <c r="J62" s="347">
        <f>AVERAGE('2019'!$V$258:$V$287)/Pc</f>
        <v>5.2789352941811769</v>
      </c>
      <c r="K62" s="347">
        <f>AVERAGE('2019'!$V$288:$V$318)/Pc</f>
        <v>4.3453379170795143</v>
      </c>
      <c r="L62" s="349">
        <f>AVERAGE('2019'!$V$319:$V$348)/Pc</f>
        <v>3.3326820989824584</v>
      </c>
      <c r="M62" s="351">
        <f>AVERAGE('2019'!$V$349:$V$379)/Pc</f>
        <v>2.7272880361567498</v>
      </c>
      <c r="N62" s="353">
        <f t="shared" si="13"/>
        <v>4.9873469700268034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49">
        <f>AVERAGE('2020'!$V$15:$V$45)/Pc</f>
        <v>3.1515833752697433</v>
      </c>
      <c r="C63" s="349">
        <f>AVERAGE('2020'!$V$46:$V$74)/Pc</f>
        <v>4.2292645689462924</v>
      </c>
      <c r="D63" s="349">
        <f>AVERAGE('2020'!$V$75:$V$105)/Pc</f>
        <v>5.318918884688518</v>
      </c>
      <c r="E63" s="350">
        <f>AVERAGE('2020'!$V$106:$V$135)/Pc</f>
        <v>6.1256998093261634</v>
      </c>
      <c r="F63" s="349">
        <f>AVERAGE('2020'!$V$136:$V$166)/Pc</f>
        <v>6.3535926788811476</v>
      </c>
      <c r="G63" s="349">
        <f>AVERAGE('2020'!$V$167:$V$196)/Pc</f>
        <v>6.247077025697763</v>
      </c>
      <c r="H63" s="349">
        <f>AVERAGE('2020'!$V$197:$V$227)/Pc</f>
        <v>6.0153379346100895</v>
      </c>
      <c r="I63" s="349">
        <f>AVERAGE('2020'!$V$228:$V$258)/Pc</f>
        <v>5.6987051266873046</v>
      </c>
      <c r="J63" s="347">
        <f>AVERAGE('2020'!$V$259:$V$288)/Pc</f>
        <v>5.134657451390261</v>
      </c>
      <c r="K63" s="347">
        <f>AVERAGE('2020'!$V$289:$V$319)/Pc</f>
        <v>4.2166008594591515</v>
      </c>
      <c r="L63" s="349">
        <f>AVERAGE('2020'!$V$320:$V$349)/Pc</f>
        <v>3.232978589263495</v>
      </c>
      <c r="M63" s="351">
        <f>AVERAGE('2020'!$V$350:$V$380)/Pc</f>
        <v>2.6664147044511108</v>
      </c>
      <c r="N63" s="354">
        <f t="shared" si="13"/>
        <v>4.8659025840559194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49">
        <f>AVERAGE('2021'!$V$15:$V$45)/Pc</f>
        <v>3.0874112780256358</v>
      </c>
      <c r="C64" s="349">
        <f>AVERAGE('2021'!$V$46:$V$73)/Pc</f>
        <v>4.1262360090190624</v>
      </c>
      <c r="D64" s="349">
        <f>AVERAGE('2021'!$V$74:$V$104)/Pc</f>
        <v>5.1815500417565055</v>
      </c>
      <c r="E64" s="350">
        <f>AVERAGE('2021'!$V$105:$V$134)/Pc</f>
        <v>6.0893840487123949</v>
      </c>
      <c r="F64" s="349">
        <f>AVERAGE('2021'!$V$135:$V$165)/Pc</f>
        <v>6.4993969658669171</v>
      </c>
      <c r="G64" s="349">
        <f>AVERAGE('2021'!$V$166:$V$195)/Pc</f>
        <v>6.3937925193528784</v>
      </c>
      <c r="H64" s="349">
        <f>AVERAGE('2021'!$V$196:$V$226)/Pc</f>
        <v>6.1598061590494622</v>
      </c>
      <c r="I64" s="349">
        <f>AVERAGE('2021'!$V$227:$V$257)/Pc</f>
        <v>5.8335226082884244</v>
      </c>
      <c r="J64" s="347">
        <f>AVERAGE('2021'!$V$258:$V$287)/Pc</f>
        <v>5.2633065477090533</v>
      </c>
      <c r="K64" s="347">
        <f>AVERAGE('2021'!$V$288:$V$318)/Pc</f>
        <v>4.3289137514448708</v>
      </c>
      <c r="L64" s="349">
        <f>AVERAGE('2021'!$V$319:$V$348)/Pc</f>
        <v>3.3168802357528913</v>
      </c>
      <c r="M64" s="351">
        <f>AVERAGE('2021'!$V$349:$V$379)/Pc</f>
        <v>2.7123901893180893</v>
      </c>
      <c r="N64" s="353">
        <f t="shared" si="13"/>
        <v>4.9160491961913486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3.1301363355645386</v>
      </c>
      <c r="C65" s="546">
        <f>AVERAGE('2022'!$V$46:$V$73)/Pc</f>
        <v>4.1745023168473807</v>
      </c>
      <c r="D65" s="546">
        <f>AVERAGE('2022'!$V$74:$V$104)/Pc</f>
        <v>5.2311982356880868</v>
      </c>
      <c r="E65" s="548">
        <f>AVERAGE('2022'!$V$105:$V$134)/Pc</f>
        <v>6.0362162680530416</v>
      </c>
      <c r="F65" s="546">
        <f>AVERAGE('2022'!$V$135:$V$165)/Pc</f>
        <v>6.2662319768368828</v>
      </c>
      <c r="G65" s="546">
        <f>AVERAGE('2022'!$V$166:$V$195)/Pc</f>
        <v>6.1568096293611685</v>
      </c>
      <c r="H65" s="546">
        <f>AVERAGE('2022'!$V$196:$V$226)/Pc</f>
        <v>5.9207192473753425</v>
      </c>
      <c r="I65" s="546">
        <f>AVERAGE('2022'!$V$227:$V$257)/Pc</f>
        <v>5.6048214553816695</v>
      </c>
      <c r="J65" s="546">
        <f>AVERAGE('2022'!$V$258:$V$287)/Pc</f>
        <v>5.0552038489685449</v>
      </c>
      <c r="K65" s="546">
        <f>AVERAGE('2022'!$V$288:$V$318)/Pc</f>
        <v>4.1576005432148433</v>
      </c>
      <c r="L65" s="546">
        <f>AVERAGE('2022'!$V$319:$V$348)/Pc</f>
        <v>3.1862420245183412</v>
      </c>
      <c r="M65" s="547">
        <f>AVERAGE('2022'!$V$349:$V$379)/Pc</f>
        <v>2.6056088428202466</v>
      </c>
      <c r="N65" s="553">
        <f t="shared" si="13"/>
        <v>4.7937742270525074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3.0089978327683808</v>
      </c>
      <c r="C66" s="546">
        <f>AVERAGE('2023'!$V$46:$V$73)/Pc</f>
        <v>4.0193008542475201</v>
      </c>
      <c r="D66" s="546">
        <f>AVERAGE('2023'!$V$74:$V$104)/Pc</f>
        <v>5.044168285396335</v>
      </c>
      <c r="E66" s="548">
        <f>AVERAGE('2023'!$V$105:$V$134)/Pc</f>
        <v>5.8283414894560872</v>
      </c>
      <c r="F66" s="546">
        <f>AVERAGE('2023'!$V$135:$V$165)/Pc</f>
        <v>6.0566399917306768</v>
      </c>
      <c r="G66" s="546">
        <f>AVERAGE('2023'!$V$166:$V$195)/Pc</f>
        <v>5.9561135568221912</v>
      </c>
      <c r="H66" s="546">
        <f>AVERAGE('2023'!$V$196:$V$226)/Pc</f>
        <v>5.7348031749275039</v>
      </c>
      <c r="I66" s="546">
        <f>AVERAGE('2023'!$V$227:$V$257)/Pc</f>
        <v>5.436855996901226</v>
      </c>
      <c r="J66" s="546">
        <f>AVERAGE('2023'!$V$258:$V$287)/Pc</f>
        <v>4.910607107023746</v>
      </c>
      <c r="K66" s="546">
        <f>AVERAGE('2023'!$V$288:$V$318)/Pc</f>
        <v>4.0449433484864983</v>
      </c>
      <c r="L66" s="546">
        <f>AVERAGE('2023'!$V$319:$V$348)/Pc</f>
        <v>3.1047450061676964</v>
      </c>
      <c r="M66" s="547">
        <f>AVERAGE('2023'!$V$349:$V$379)/Pc</f>
        <v>2.5427401639462475</v>
      </c>
      <c r="N66" s="553">
        <f t="shared" si="13"/>
        <v>4.6406880673228423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2.9389985427194976</v>
      </c>
      <c r="C67" s="546">
        <f>AVERAGE('2024'!$V$46:$V$73)/Pc</f>
        <v>3.9278396340842585</v>
      </c>
      <c r="D67" s="546">
        <f>AVERAGE('2024'!$V$74:$V$104)/Pc</f>
        <v>4.9316357504883177</v>
      </c>
      <c r="E67" s="548">
        <f>AVERAGE('2024'!$V$105:$V$134)/Pc</f>
        <v>5.7004521370308598</v>
      </c>
      <c r="F67" s="546">
        <f>AVERAGE('2024'!$V$135:$V$165)/Pc</f>
        <v>6.3554637691900453</v>
      </c>
      <c r="G67" s="546">
        <f>AVERAGE('2024'!$V$166:$V$195)/Pc</f>
        <v>6.2459677111084453</v>
      </c>
      <c r="H67" s="546">
        <f>AVERAGE('2024'!$V$196:$V$226)/Pc</f>
        <v>6.0069497963327798</v>
      </c>
      <c r="I67" s="546">
        <f>AVERAGE('2024'!$V$227:$V$257)/Pc</f>
        <v>5.6859175615964839</v>
      </c>
      <c r="J67" s="546">
        <f>AVERAGE('2024'!$V$258:$V$287)/Pc</f>
        <v>5.1264477712953243</v>
      </c>
      <c r="K67" s="546">
        <f>AVERAGE('2024'!$V$288:$V$318)/Pc</f>
        <v>4.2139173332929456</v>
      </c>
      <c r="L67" s="546">
        <f>AVERAGE('2024'!$V$319:$V$348)/Pc</f>
        <v>3.226369407334992</v>
      </c>
      <c r="M67" s="547">
        <f>AVERAGE('2024'!$V$349:$V$379)/Pc</f>
        <v>2.6372927790739631</v>
      </c>
      <c r="N67" s="553">
        <f>AVERAGE(B67:M67)</f>
        <v>4.7497710161289932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3.0433793990040683</v>
      </c>
      <c r="C68" s="546">
        <f>AVERAGE('2025'!$V$46:$V$73)/Pc</f>
        <v>4.0625643287385556</v>
      </c>
      <c r="D68" s="546">
        <f>AVERAGE('2025'!$V$74:$V$104)/Pc</f>
        <v>5.0949741934101889</v>
      </c>
      <c r="E68" s="548">
        <f>AVERAGE('2025'!$V$105:$V$134)/Pc</f>
        <v>5.8852325137883499</v>
      </c>
      <c r="F68" s="546">
        <f>AVERAGE('2025'!$V$135:$V$165)/Pc</f>
        <v>6.1142792009511808</v>
      </c>
      <c r="G68" s="546">
        <f>AVERAGE('2025'!$V$166:$V$195)/Pc</f>
        <v>6.013259122106053</v>
      </c>
      <c r="H68" s="546">
        <f>AVERAGE('2025'!$V$196:$V$226)/Pc</f>
        <v>5.7863854214192454</v>
      </c>
      <c r="I68" s="546">
        <f>AVERAGE('2025'!$V$227:$V$257)/Pc</f>
        <v>5.4802296673772908</v>
      </c>
      <c r="J68" s="546">
        <f>AVERAGE('2025'!$V$258:$V$287)/Pc</f>
        <v>4.9466183722183068</v>
      </c>
      <c r="K68" s="546">
        <f>AVERAGE('2025'!$V$288:$V$318)/Pc</f>
        <v>4.0707781612472713</v>
      </c>
      <c r="L68" s="546">
        <f>AVERAGE('2025'!$V$319:$V$348)/Pc</f>
        <v>3.121951201599499</v>
      </c>
      <c r="M68" s="547">
        <f>AVERAGE('2025'!$V$349:$V$379)/Pc</f>
        <v>2.5542610988962005</v>
      </c>
      <c r="N68" s="553">
        <f>AVERAGE(B68:M68)</f>
        <v>4.6811593900630166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2.9504709731324992</v>
      </c>
      <c r="C69" s="546">
        <f>AVERAGE('2026'!$V$46:$V$73)/Pc</f>
        <v>3.9398204067053775</v>
      </c>
      <c r="D69" s="546">
        <f>AVERAGE('2026'!$V$74:$V$104)/Pc</f>
        <v>4.9436753397869628</v>
      </c>
      <c r="E69" s="548">
        <f>AVERAGE('2026'!$V$105:$V$134)/Pc</f>
        <v>5.7220793806919827</v>
      </c>
      <c r="F69" s="546">
        <f>AVERAGE('2026'!$V$135:$V$165)/Pc</f>
        <v>6.2562055560635406</v>
      </c>
      <c r="G69" s="546">
        <f>AVERAGE('2026'!$V$166:$V$195)/Pc</f>
        <v>6.1505510898201514</v>
      </c>
      <c r="H69" s="546">
        <f>AVERAGE('2026'!$V$196:$V$226)/Pc</f>
        <v>5.9148000523385047</v>
      </c>
      <c r="I69" s="546">
        <f>AVERAGE('2026'!$V$227:$V$257)/Pc</f>
        <v>5.5971916080811992</v>
      </c>
      <c r="J69" s="546">
        <f>AVERAGE('2026'!$V$258:$V$287)/Pc</f>
        <v>5.0472483041498863</v>
      </c>
      <c r="K69" s="546">
        <f>AVERAGE('2026'!$V$288:$V$318)/Pc</f>
        <v>4.1488323985889499</v>
      </c>
      <c r="L69" s="546">
        <f>AVERAGE('2026'!$V$319:$V$348)/Pc</f>
        <v>3.1775291754152009</v>
      </c>
      <c r="M69" s="547">
        <f>AVERAGE('2026'!$V$349:$V$379)/Pc</f>
        <v>2.5969647294689491</v>
      </c>
      <c r="N69" s="553">
        <f>AVERAGE(B69:M69)</f>
        <v>4.7037807511869341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2.9973444395591868</v>
      </c>
      <c r="C70" s="546">
        <f>AVERAGE('2027'!$V$46:$V$73)/Pc</f>
        <v>3.9998556757188797</v>
      </c>
      <c r="D70" s="546">
        <f>AVERAGE('2027'!$V$74:$V$104)/Pc</f>
        <v>5.0157925406855899</v>
      </c>
      <c r="E70" s="548">
        <f>AVERAGE('2027'!$V$105:$V$134)/Pc</f>
        <v>5.7915914226467962</v>
      </c>
      <c r="F70" s="546">
        <f>AVERAGE('2027'!$V$135:$V$165)/Pc</f>
        <v>6.016684549007179</v>
      </c>
      <c r="G70" s="546">
        <f>AVERAGE('2027'!$V$166:$V$195)/Pc</f>
        <v>5.9165103449461531</v>
      </c>
      <c r="H70" s="546">
        <f>AVERAGE('2027'!$V$196:$V$226)/Pc</f>
        <v>5.6934262933254063</v>
      </c>
      <c r="I70" s="546">
        <f>AVERAGE('2027'!$V$227:$V$257)/Pc</f>
        <v>5.392772830653783</v>
      </c>
      <c r="J70" s="546">
        <f>AVERAGE('2027'!$V$258:$V$287)/Pc</f>
        <v>4.8673992991461397</v>
      </c>
      <c r="K70" s="546">
        <f>AVERAGE('2027'!$V$288:$V$318)/Pc</f>
        <v>4.0055637399037129</v>
      </c>
      <c r="L70" s="546">
        <f>AVERAGE('2027'!$V$319:$V$348)/Pc</f>
        <v>3.0717163756883048</v>
      </c>
      <c r="M70" s="547">
        <f>AVERAGE('2027'!$V$349:$V$379)/Pc</f>
        <v>2.5132315116078798</v>
      </c>
      <c r="N70" s="553">
        <f>AVERAGE(B70:M70)</f>
        <v>4.6068240852407509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'2022'!An+1</f>
        <v>2023</v>
      </c>
      <c r="K1" s="1295"/>
      <c r="L1" s="113" t="str">
        <f>"Calcul pertes et enveloppes en "&amp;TEXT(An,0)</f>
        <v>Calcul pertes et enveloppes en 2023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209.9046771866158</v>
      </c>
      <c r="AK4" s="836">
        <f>AM12-AK12</f>
        <v>-7.598548009116346E-2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209.9046771866158</v>
      </c>
      <c r="AA5" s="236">
        <f>Wh_Pvg_s-Wh_Pvg</f>
        <v>-7.598548009116346E-2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10662.630904715661</v>
      </c>
      <c r="AK6" s="515">
        <f>SUMIF(AK15:AK380,"FAUX",Wh)</f>
        <v>10662.630904715661</v>
      </c>
      <c r="AL6" s="515">
        <f>SUMIF(AJ15:AJ380,"FAUX",Wh_s)</f>
        <v>10452.693092755935</v>
      </c>
      <c r="AM6" s="515">
        <f>SUMIF(AK15:AK380,"FAUX",Wh_s)</f>
        <v>10452.693092755935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AND(YEAR(Tnet)=An,Resal_2023="I")</f>
        <v>1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AND(YEAR(Tnet)=An,Resal_2023&lt;&gt;"I")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11090.684569360785</v>
      </c>
      <c r="AK8" s="515">
        <f>SUMIF(AK15:AK380,"FAUX",Wh_sa)</f>
        <v>11842.180855030003</v>
      </c>
      <c r="AL8" s="515">
        <f>SUMIF(AJ15:AJ380,"FAUX",Wh_pvt_s)</f>
        <v>10872.350400152918</v>
      </c>
      <c r="AM8" s="515">
        <f>SUMIF(AK15:AK380,"FAUX",Wh_sa_s)</f>
        <v>11842.180855030003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11090.684569360785</v>
      </c>
      <c r="E9" s="183">
        <f>SUM(E$15:E$380)</f>
        <v>11842.180855030003</v>
      </c>
      <c r="F9" s="183">
        <f>SUM(F$15:F$380)</f>
        <v>11846.467047160882</v>
      </c>
      <c r="H9" s="1296">
        <f>+SUM(Wh)</f>
        <v>10662.630904715661</v>
      </c>
      <c r="I9" s="1297"/>
      <c r="J9" s="1298"/>
      <c r="K9" s="190"/>
      <c r="L9" s="231"/>
      <c r="M9" s="231"/>
      <c r="N9" s="231"/>
      <c r="O9" s="222">
        <f>Tnet_2023</f>
        <v>44927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10452.693092755935</v>
      </c>
      <c r="Y9" s="1291"/>
      <c r="Z9" s="515">
        <f>SUM(Z$15:Z$380)</f>
        <v>10872.350400152918</v>
      </c>
      <c r="AA9" s="515">
        <f>SUM(AA$15:AA$380)</f>
        <v>11842.180855030003</v>
      </c>
      <c r="AB9" s="515">
        <f>F9</f>
        <v>11846.467047160882</v>
      </c>
      <c r="AC9" s="324">
        <f>IF(An_Tnet,Tnet,'2022'!Tnet_s)</f>
        <v>44927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IF(Inflex,'2022'!Resal+('2022'!Salim-'2022'!Resal)*(1-EXP(-(Tnet-'2022'!Tnet)/('2022'!Tau_j))),IF(An_Tnet,Resal_2023,'2022'!Resal))</f>
        <v>5.4048799816579576E-2</v>
      </c>
      <c r="P10" s="420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IF(OR(Inflex,GainD),'2022'!Resal_s+('2022'!Salim-'2022'!Resal_s)*(1-EXP(('2022'!Tnet_s-Tnet)/('2022'!Tau_j))),IF(Acti_net,'2022'!Resal+('2022'!Salim-'2022'!Resal)*(1-EXP(('2022'!Tnet-Tnet)/'2022'!Tau_j)),'2022'!Resal_s))</f>
        <v>7.5616167112916827E-2</v>
      </c>
      <c r="AD10" s="427"/>
      <c r="AE10" s="427"/>
      <c r="AF10" s="259"/>
      <c r="AG10" s="260"/>
      <c r="AH10" s="261"/>
      <c r="AI10" s="472"/>
      <c r="AJ10" s="515">
        <f>SUMIF(AJ15:AJ380,"FAUX",Wh_sa)</f>
        <v>11842.180855030003</v>
      </c>
      <c r="AK10" s="515">
        <f>SUMIF(AK15:AK380,"FAUX",Wh_hp)</f>
        <v>11846.467047160882</v>
      </c>
      <c r="AL10" s="515">
        <f>SUMIF(AJ15:AJ380,"FAUX",Wh_sa_s)</f>
        <v>11842.180855030003</v>
      </c>
      <c r="AM10" s="515">
        <f>SUMIF(AK15:AK380,"FAUX",Wh_hp)</f>
        <v>11846.467047160882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428.05366464512372</v>
      </c>
      <c r="E11" s="51">
        <f>(E$9-D$9)*Prod_an/D$9</f>
        <v>722.4916974460001</v>
      </c>
      <c r="F11" s="185">
        <f>(F$9-E$9)*Prod_an/E$9</f>
        <v>3.8592625157259541</v>
      </c>
      <c r="G11" s="184" t="s">
        <v>6</v>
      </c>
      <c r="K11" s="193"/>
      <c r="L11" s="210">
        <f>Tvie_2023</f>
        <v>44375</v>
      </c>
      <c r="M11" s="846"/>
      <c r="N11" s="846"/>
      <c r="O11" s="201">
        <f>IF(An_Tnet,Salim_2023,'2022'!Salim)</f>
        <v>0.1</v>
      </c>
      <c r="P11" s="255">
        <f>Ttai_2023</f>
        <v>43101</v>
      </c>
      <c r="Q11" s="271">
        <f>Dens_2023</f>
        <v>0.5</v>
      </c>
      <c r="R11" s="276"/>
      <c r="S11" s="229"/>
      <c r="T11" s="229"/>
      <c r="U11" s="265">
        <f>Htf_2023</f>
        <v>1.3347755132032451</v>
      </c>
      <c r="V11" s="427"/>
      <c r="W11" s="518"/>
      <c r="X11" s="525" t="s">
        <v>43</v>
      </c>
      <c r="Y11" s="50">
        <f>Z$9-Prod_an_s</f>
        <v>419.65730739698301</v>
      </c>
      <c r="Z11" s="51">
        <f>(AA$9-Z$9)*Prod_an_s/Z$9</f>
        <v>932.3963746326159</v>
      </c>
      <c r="AA11" s="185">
        <f>(AB$9-AA$9)*Prod_an_s/AA$9</f>
        <v>3.7832770356347907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Pspv_2023</f>
        <v>-1.1999999999999999E-3</v>
      </c>
      <c r="M12" s="211"/>
      <c r="N12" s="211"/>
      <c r="O12" s="204">
        <f>IF(An_Tnet,Tau_2023*365,'2022'!Tau_j)</f>
        <v>949</v>
      </c>
      <c r="P12" s="280">
        <f>INDEX(Croivg,MIN(MAX(Ttai-$A$15,0)+1,366))</f>
        <v>2.3909964587625958E-6</v>
      </c>
      <c r="Q12" s="279">
        <f>'2022'!Df</f>
        <v>0.5</v>
      </c>
      <c r="R12" s="277"/>
      <c r="S12" s="278"/>
      <c r="T12" s="278"/>
      <c r="U12" s="266">
        <f>'2022'!Hdf</f>
        <v>1.034775513203245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0.5</v>
      </c>
      <c r="AF12" s="202"/>
      <c r="AG12" s="202"/>
      <c r="AH12" s="202"/>
      <c r="AI12" s="296">
        <f>'2022'!Hdf_s</f>
        <v>1.034775513203245</v>
      </c>
      <c r="AJ12" s="835">
        <f>IF($AJ8=0,0,($AJ10-$AJ8)*$AJ6/$AJ8)</f>
        <v>722.4916974460001</v>
      </c>
      <c r="AK12" s="836">
        <f>IF($AK8=0,0,($AK10-$AK8)*$AK6/$AK8)</f>
        <v>3.8592625157259541</v>
      </c>
      <c r="AL12" s="835">
        <f>IF($AL8=0,0,($AL10-$AL8)*$AL6/$AL8)</f>
        <v>932.3963746326159</v>
      </c>
      <c r="AM12" s="836">
        <f>IF($AM8=0,0,($AM10-$AM8)*$AM6/$AM8)</f>
        <v>3.7832770356347907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722.4916974460001</v>
      </c>
      <c r="AK13" s="73">
        <f>+AK11+AK12</f>
        <v>3.8592625157259541</v>
      </c>
      <c r="AL13" s="73">
        <f>+AL11+AL12</f>
        <v>932.3963746326159</v>
      </c>
      <c r="AM13" s="73">
        <f>+AM11+AM12</f>
        <v>3.7832770356347907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2023</v>
      </c>
      <c r="W14" s="840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44927</v>
      </c>
      <c r="B15" s="409">
        <f>'2022'!Wh/'2022'!Env_an*'2023'!Env_an</f>
        <v>23.559179800919885</v>
      </c>
      <c r="C15" s="843"/>
      <c r="D15" s="392">
        <f t="shared" ref="D15:D78" si="0">Wh/(1-Ppv)</f>
        <v>24.410232976496946</v>
      </c>
      <c r="E15" s="399">
        <f t="shared" ref="E15:E79" si="1">Wh_pvt/(1-Psa)</f>
        <v>25.805803917435441</v>
      </c>
      <c r="F15" s="399">
        <f t="shared" ref="F15:F78" si="2">Wh_sa/(1-Pvg*MEDIAN((-Sdif+Wh/Env_an)/Csdif,0,1))</f>
        <v>25.81965493673108</v>
      </c>
      <c r="G15" s="123">
        <f>+Wh_hp/MaxiM</f>
        <v>0.99194253588391468</v>
      </c>
      <c r="H15" s="413" t="b">
        <f>Wh_hp&gt;='2022'!Maxi_hp</f>
        <v>0</v>
      </c>
      <c r="I15" s="395">
        <f>IF(H15,Wh_hp,'2022'!Maxi_hp)</f>
        <v>25.81968983853487</v>
      </c>
      <c r="J15" s="84">
        <f>IF(H15,An,'2022'!An_max)</f>
        <v>2022</v>
      </c>
      <c r="K15" s="196">
        <f t="shared" ref="K15:K78" si="3">t</f>
        <v>44927</v>
      </c>
      <c r="L15" s="146">
        <f>IF(t&lt;Tvie,1-EXP((T0-t)*PertePVj)+'2022'!Pspv,1-EXP((T0-t)*PertePVj)+Pspv)</f>
        <v>3.4864606839127045E-2</v>
      </c>
      <c r="M15" s="847"/>
      <c r="N15" s="847"/>
      <c r="O15" s="48">
        <f>IF(t&lt;Tnet,'2022'!Resal+('2022'!Salim-'2022'!Resal)*(1-EXP(('2022'!Tnet-t)/('2022'!Tau_j))),Resal+(Salim-Resal)*(1-EXP((Tnet-t)/(Tau_j))))*Salcycl</f>
        <v>5.4079731265244263E-2</v>
      </c>
      <c r="P15" s="301">
        <f>(INDEX(Models!$BJ15:$BT15,,T15)*(1-R15)+INDEX(Models!$BJ15:$BT15,,T15+1)*R15-ERP_i)*Q15*Ramure*Pc/MaxiM</f>
        <v>5.4269450382305059E-4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3.4776230502182592E-2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1.0347762305021826</v>
      </c>
      <c r="V15" s="381">
        <f t="shared" ref="V15:V78" si="9">MaxiM*(1-Ppv)*(1-Pvg)*(1-Psa)</f>
        <v>23.750400667399749</v>
      </c>
      <c r="W15" s="401">
        <f t="shared" ref="W15:W78" si="10">Wh*(A15&gt;Tmaj)</f>
        <v>23.559179800919885</v>
      </c>
      <c r="X15" s="156">
        <f t="shared" ref="X15:X78" si="11">t</f>
        <v>44927</v>
      </c>
      <c r="Y15" s="384">
        <f t="shared" ref="Y15:Y78" si="12">Wh_pvt_s*(1-Ppv)</f>
        <v>23.021713499117379</v>
      </c>
      <c r="Z15" s="384">
        <f>Wh_sa_s*(1-Psa_s)</f>
        <v>23.853351210880337</v>
      </c>
      <c r="AA15" s="385">
        <f t="shared" ref="AA15:AA78" si="13">Wh_hp*(1-Pvg_s*MEDIAN((-Sdif+Wh/Env_an)/Csdif,0,1))</f>
        <v>25.805803917435441</v>
      </c>
      <c r="AB15" s="196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7.5659441294752702E-2</v>
      </c>
      <c r="AD15" s="230">
        <f>(INDEX(Models!$BJ15:$BT15,,AH15)*(1-AF15)+INDEX(Models!$BJ15:$BT15,,AH15+1)*AF15-ERP_i)*AE15*Ramure*Pc/MaxiM</f>
        <v>5.4269450382305059E-4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3.4776230502182592E-2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1.0347762305021826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44928</v>
      </c>
      <c r="B16" s="410">
        <f>'2022'!Wh/'2022'!Env_an*'2023'!Env_an</f>
        <v>16.680011969726387</v>
      </c>
      <c r="C16" s="843"/>
      <c r="D16" s="392">
        <f t="shared" si="0"/>
        <v>17.282939758234942</v>
      </c>
      <c r="E16" s="384">
        <f t="shared" si="1"/>
        <v>18.271925831386632</v>
      </c>
      <c r="F16" s="384">
        <f t="shared" si="2"/>
        <v>18.277592946212422</v>
      </c>
      <c r="G16" s="110">
        <f t="shared" ref="G16:G79" si="21">+Wh_hp/MaxiM</f>
        <v>0.69785914277257233</v>
      </c>
      <c r="H16" s="413" t="b">
        <f>Wh_hp&gt;='2022'!Maxi_hp</f>
        <v>0</v>
      </c>
      <c r="I16" s="389">
        <f>IF(H16,Wh_hp,'2022'!Maxi_hp)</f>
        <v>25.015272489823854</v>
      </c>
      <c r="J16" s="85">
        <f>IF(H16,An,'2022'!An_max)</f>
        <v>2020</v>
      </c>
      <c r="K16" s="196">
        <f t="shared" si="3"/>
        <v>44928</v>
      </c>
      <c r="L16" s="147">
        <f>IF(t&lt;Tvie,1-EXP((T0-t)*PertePVj)+'2022'!Pspv,1-EXP((T0-t)*PertePVj)+Pspv)</f>
        <v>3.4885719498112235E-2</v>
      </c>
      <c r="M16" s="847"/>
      <c r="N16" s="847"/>
      <c r="O16" s="48">
        <f>IF(t&lt;Tnet,'2022'!Resal+('2022'!Salim-'2022'!Resal)*(1-EXP(('2022'!Tnet-t)/('2022'!Tau_j))),Resal+(Salim-Resal)*(1-EXP((Tnet-t)/(Tau_j))))*Salcycl</f>
        <v>5.4125989908127586E-2</v>
      </c>
      <c r="P16" s="168">
        <f>(INDEX(Models!$BJ16:$BT16,,T16)*(1-R16)+INDEX(Models!$BJ16:$BT16,,T16+1)*R16-ERP_i)*Q16*Ramure*Pc/MaxiM</f>
        <v>5.4529617462436544E-4</v>
      </c>
      <c r="Q16" s="304">
        <f t="shared" si="4"/>
        <v>0.5</v>
      </c>
      <c r="R16" s="176">
        <f t="shared" si="5"/>
        <v>3.479375927057915E-2</v>
      </c>
      <c r="S16" s="814">
        <f t="shared" si="6"/>
        <v>1</v>
      </c>
      <c r="T16" s="175">
        <f t="shared" si="7"/>
        <v>7</v>
      </c>
      <c r="U16" s="250">
        <f t="shared" si="8"/>
        <v>1.0347937592705791</v>
      </c>
      <c r="V16" s="382">
        <f t="shared" si="9"/>
        <v>23.896064342958134</v>
      </c>
      <c r="W16" s="401">
        <f t="shared" si="10"/>
        <v>16.680011969726387</v>
      </c>
      <c r="X16" s="157">
        <f t="shared" si="11"/>
        <v>44928</v>
      </c>
      <c r="Y16" s="384">
        <f t="shared" si="12"/>
        <v>16.299880634032597</v>
      </c>
      <c r="Z16" s="384">
        <f t="shared" ref="Z16:Z78" si="22">Wh_sa_s*(1-Psa_s)</f>
        <v>16.889067920076968</v>
      </c>
      <c r="AA16" s="385">
        <f t="shared" si="13"/>
        <v>18.271925831386632</v>
      </c>
      <c r="AB16" s="196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7.5682110581592715E-2</v>
      </c>
      <c r="AD16" s="230">
        <f>(INDEX(Models!$BJ16:$BT16,,AH16)*(1-AF16)+INDEX(Models!$BJ16:$BT16,,AH16+1)*AF16-ERP_i)*AE16*Ramure*Pc/MaxiM</f>
        <v>5.4529617462436544E-4</v>
      </c>
      <c r="AE16" s="304">
        <f t="shared" si="15"/>
        <v>0.5</v>
      </c>
      <c r="AF16" s="176">
        <f t="shared" ref="AF16:AF78" si="23">(Hp_vg_s-AG16)/(INDEX(Echel_vg,AH16+1)-AG16)</f>
        <v>3.479375927057915E-2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1.0347937592705791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44929</v>
      </c>
      <c r="B17" s="410">
        <f>'2022'!Wh/'2022'!Env_an*'2023'!Env_an</f>
        <v>17.893194307234797</v>
      </c>
      <c r="C17" s="843"/>
      <c r="D17" s="392">
        <f t="shared" si="0"/>
        <v>18.540380239821548</v>
      </c>
      <c r="E17" s="384">
        <f t="shared" si="1"/>
        <v>19.602281203067076</v>
      </c>
      <c r="F17" s="384">
        <f t="shared" si="2"/>
        <v>19.609104890741321</v>
      </c>
      <c r="G17" s="110">
        <f t="shared" si="21"/>
        <v>0.74382267755262665</v>
      </c>
      <c r="H17" s="413" t="b">
        <f>Wh_hp&gt;='2022'!Maxi_hp</f>
        <v>0</v>
      </c>
      <c r="I17" s="389">
        <f>IF(H17,Wh_hp,'2022'!Maxi_hp)</f>
        <v>27.472426453662738</v>
      </c>
      <c r="J17" s="85">
        <f>IF(H17,An,'2022'!An_max)</f>
        <v>2019</v>
      </c>
      <c r="K17" s="196">
        <f t="shared" si="3"/>
        <v>44929</v>
      </c>
      <c r="L17" s="147">
        <f>IF(t&lt;Tvie,1-EXP((T0-t)*PertePVj)+'2022'!Pspv,1-EXP((T0-t)*PertePVj)+Pspv)</f>
        <v>3.4906831694676101E-2</v>
      </c>
      <c r="M17" s="847"/>
      <c r="N17" s="847"/>
      <c r="O17" s="48">
        <f>IF(t&lt;Tnet,'2022'!Resal+('2022'!Salim-'2022'!Resal)*(1-EXP(('2022'!Tnet-t)/('2022'!Tau_j))),Resal+(Salim-Resal)*(1-EXP((Tnet-t)/(Tau_j))))*Salcycl</f>
        <v>5.417231557107622E-2</v>
      </c>
      <c r="P17" s="168">
        <f>(INDEX(Models!$BJ17:$BT17,,T17)*(1-R17)+INDEX(Models!$BJ17:$BT17,,T17+1)*R17-ERP_i)*Q17*Ramure*Pc/MaxiM</f>
        <v>5.4866063802686102E-4</v>
      </c>
      <c r="Q17" s="304">
        <f t="shared" si="4"/>
        <v>0.5</v>
      </c>
      <c r="R17" s="176">
        <f t="shared" si="5"/>
        <v>3.4812021227872858E-2</v>
      </c>
      <c r="S17" s="814">
        <f t="shared" si="6"/>
        <v>1</v>
      </c>
      <c r="T17" s="175">
        <f t="shared" si="7"/>
        <v>7</v>
      </c>
      <c r="U17" s="250">
        <f t="shared" si="8"/>
        <v>1.0348120212278729</v>
      </c>
      <c r="V17" s="382">
        <f t="shared" si="9"/>
        <v>24.050896646636129</v>
      </c>
      <c r="W17" s="401">
        <f t="shared" si="10"/>
        <v>17.893194307234797</v>
      </c>
      <c r="X17" s="157">
        <f t="shared" si="11"/>
        <v>44929</v>
      </c>
      <c r="Y17" s="384">
        <f t="shared" si="12"/>
        <v>17.485839880207916</v>
      </c>
      <c r="Z17" s="384">
        <f t="shared" si="22"/>
        <v>18.118292051442612</v>
      </c>
      <c r="AA17" s="385">
        <f t="shared" si="13"/>
        <v>19.602281203067076</v>
      </c>
      <c r="AB17" s="196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7.570492108807568E-2</v>
      </c>
      <c r="AD17" s="230">
        <f>(INDEX(Models!$BJ17:$BT17,,AH17)*(1-AF17)+INDEX(Models!$BJ17:$BT17,,AH17+1)*AF17-ERP_i)*AE17*Ramure*Pc/MaxiM</f>
        <v>5.4866063802686102E-4</v>
      </c>
      <c r="AE17" s="304">
        <f t="shared" si="15"/>
        <v>0.5</v>
      </c>
      <c r="AF17" s="176">
        <f>(Hp_vg_s-AG17)/(INDEX(Echel_vg,AH17+1)-AG17)</f>
        <v>3.4812021227872858E-2</v>
      </c>
      <c r="AG17" s="814">
        <f>INDEX(Echel_vg,AH17)</f>
        <v>1</v>
      </c>
      <c r="AH17" s="175">
        <f t="shared" si="16"/>
        <v>7</v>
      </c>
      <c r="AI17" s="224">
        <f t="shared" si="17"/>
        <v>1.0348120212278729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44930</v>
      </c>
      <c r="B18" s="410">
        <f>'2022'!Wh/'2022'!Env_an*'2023'!Env_an</f>
        <v>19.281340515065679</v>
      </c>
      <c r="C18" s="843"/>
      <c r="D18" s="392">
        <f t="shared" si="0"/>
        <v>19.979171900977875</v>
      </c>
      <c r="E18" s="384">
        <f t="shared" si="1"/>
        <v>21.124515588815594</v>
      </c>
      <c r="F18" s="384">
        <f t="shared" si="2"/>
        <v>21.132797585269763</v>
      </c>
      <c r="G18" s="110">
        <f t="shared" si="21"/>
        <v>0.79614910755867885</v>
      </c>
      <c r="H18" s="413" t="b">
        <f>Wh_hp&gt;='2022'!Maxi_hp</f>
        <v>0</v>
      </c>
      <c r="I18" s="389">
        <f>IF(H18,Wh_hp,'2022'!Maxi_hp)</f>
        <v>24.427777295299801</v>
      </c>
      <c r="J18" s="85">
        <f>IF(H18,An,'2022'!An_max)</f>
        <v>2019</v>
      </c>
      <c r="K18" s="196">
        <f t="shared" si="3"/>
        <v>44930</v>
      </c>
      <c r="L18" s="147">
        <f>IF(t&lt;Tvie,1-EXP((T0-t)*PertePVj)+'2022'!Pspv,1-EXP((T0-t)*PertePVj)+Pspv)</f>
        <v>3.4927943428828524E-2</v>
      </c>
      <c r="M18" s="847"/>
      <c r="N18" s="847"/>
      <c r="O18" s="48">
        <f>IF(t&lt;Tnet,'2022'!Resal+('2022'!Salim-'2022'!Resal)*(1-EXP(('2022'!Tnet-t)/('2022'!Tau_j))),Resal+(Salim-Resal)*(1-EXP((Tnet-t)/(Tau_j))))*Salcycl</f>
        <v>5.4218695951737041E-2</v>
      </c>
      <c r="P18" s="168">
        <f>(INDEX(Models!$BJ18:$BT18,,T18)*(1-R18)+INDEX(Models!$BJ18:$BT18,,T18+1)*R18-ERP_i)*Q18*Ramure*Pc/MaxiM</f>
        <v>5.5277922283610047E-4</v>
      </c>
      <c r="Q18" s="304">
        <f t="shared" si="4"/>
        <v>0.5</v>
      </c>
      <c r="R18" s="176">
        <f t="shared" si="5"/>
        <v>3.4831046946649957E-2</v>
      </c>
      <c r="S18" s="814">
        <f t="shared" si="6"/>
        <v>1</v>
      </c>
      <c r="T18" s="175">
        <f t="shared" si="7"/>
        <v>7</v>
      </c>
      <c r="U18" s="250">
        <f t="shared" si="8"/>
        <v>1.03483104694665</v>
      </c>
      <c r="V18" s="382">
        <f t="shared" si="9"/>
        <v>24.214355322719843</v>
      </c>
      <c r="W18" s="401">
        <f t="shared" si="10"/>
        <v>19.281340515065679</v>
      </c>
      <c r="X18" s="157">
        <f t="shared" si="11"/>
        <v>44930</v>
      </c>
      <c r="Y18" s="384">
        <f t="shared" si="12"/>
        <v>18.842840172802994</v>
      </c>
      <c r="Z18" s="384">
        <f>Wh_sa_s*(1-Psa_s)</f>
        <v>19.524801329084369</v>
      </c>
      <c r="AA18" s="385">
        <f t="shared" si="13"/>
        <v>21.124515588815594</v>
      </c>
      <c r="AB18" s="196">
        <f>t</f>
        <v>44930</v>
      </c>
      <c r="AC18" s="119">
        <f>IF(OR(t&lt;Tnet,NoTnet),'2022'!Resal_s+('2022'!Salim-'2022'!Resal_s)*(1-EXP(('2022'!Tnet_s-t)/'2022'!Tau_j)),Resal_s+(Salim-Resal_s)*(1-EXP((Tnet_s-t)/Tau_j)))*Salcycl</f>
        <v>7.5727855297102978E-2</v>
      </c>
      <c r="AD18" s="230">
        <f>(INDEX(Models!$BJ18:$BT18,,AH18)*(1-AF18)+INDEX(Models!$BJ18:$BT18,,AH18+1)*AF18-ERP_i)*AE18*Ramure*Pc/MaxiM</f>
        <v>5.5277922283610047E-4</v>
      </c>
      <c r="AE18" s="304">
        <f t="shared" si="15"/>
        <v>0.5</v>
      </c>
      <c r="AF18" s="176">
        <f t="shared" si="23"/>
        <v>3.4831046946649957E-2</v>
      </c>
      <c r="AG18" s="814">
        <f t="shared" si="24"/>
        <v>1</v>
      </c>
      <c r="AH18" s="175">
        <f t="shared" si="16"/>
        <v>7</v>
      </c>
      <c r="AI18" s="224">
        <f t="shared" si="17"/>
        <v>1.03483104694665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44931</v>
      </c>
      <c r="B19" s="410">
        <f>'2022'!Wh/'2022'!Env_an*'2023'!Env_an</f>
        <v>14.096465810998851</v>
      </c>
      <c r="C19" s="843"/>
      <c r="D19" s="392">
        <f t="shared" si="0"/>
        <v>14.606965445358153</v>
      </c>
      <c r="E19" s="384">
        <f t="shared" si="1"/>
        <v>15.445095406240855</v>
      </c>
      <c r="F19" s="384">
        <f t="shared" si="2"/>
        <v>15.448517407218974</v>
      </c>
      <c r="G19" s="110">
        <f t="shared" si="21"/>
        <v>0.57786374517689498</v>
      </c>
      <c r="H19" s="413" t="b">
        <f>Wh_hp&gt;='2022'!Maxi_hp</f>
        <v>0</v>
      </c>
      <c r="I19" s="389">
        <f>IF(H19,Wh_hp,'2022'!Maxi_hp)</f>
        <v>27.076162439381022</v>
      </c>
      <c r="J19" s="85">
        <f>IF(H19,An,'2022'!An_max)</f>
        <v>2019</v>
      </c>
      <c r="K19" s="196">
        <f t="shared" si="3"/>
        <v>44931</v>
      </c>
      <c r="L19" s="147">
        <f>IF(t&lt;Tvie,1-EXP((T0-t)*PertePVj)+'2022'!Pspv,1-EXP((T0-t)*PertePVj)+Pspv)</f>
        <v>3.494905470057983E-2</v>
      </c>
      <c r="M19" s="847"/>
      <c r="N19" s="847"/>
      <c r="O19" s="48">
        <f>IF(t&lt;Tnet,'2022'!Resal+('2022'!Salim-'2022'!Resal)*(1-EXP(('2022'!Tnet-t)/('2022'!Tau_j))),Resal+(Salim-Resal)*(1-EXP((Tnet-t)/(Tau_j))))*Salcycl</f>
        <v>5.4265120340016841E-2</v>
      </c>
      <c r="P19" s="168">
        <f>(INDEX(Models!$BJ19:$BT19,,T19)*(1-R19)+INDEX(Models!$BJ19:$BT19,,T19+1)*R19-ERP_i)*Q19*Ramure*Pc/MaxiM</f>
        <v>5.5764244658999677E-4</v>
      </c>
      <c r="Q19" s="304">
        <f t="shared" si="4"/>
        <v>0.5</v>
      </c>
      <c r="R19" s="176">
        <f t="shared" si="5"/>
        <v>3.4850868266186996E-2</v>
      </c>
      <c r="S19" s="814">
        <f t="shared" si="6"/>
        <v>1</v>
      </c>
      <c r="T19" s="175">
        <f t="shared" si="7"/>
        <v>7</v>
      </c>
      <c r="U19" s="250">
        <f t="shared" si="8"/>
        <v>1.034850868266187</v>
      </c>
      <c r="V19" s="382">
        <f t="shared" si="9"/>
        <v>24.385898231480276</v>
      </c>
      <c r="W19" s="401">
        <f t="shared" si="10"/>
        <v>14.096465810998851</v>
      </c>
      <c r="X19" s="157">
        <f t="shared" si="11"/>
        <v>44931</v>
      </c>
      <c r="Y19" s="384">
        <f t="shared" si="12"/>
        <v>13.776213765660916</v>
      </c>
      <c r="Z19" s="384">
        <f t="shared" si="22"/>
        <v>14.275115560232583</v>
      </c>
      <c r="AA19" s="385">
        <f t="shared" si="13"/>
        <v>15.445095406240855</v>
      </c>
      <c r="AB19" s="196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7.5750897954021165E-2</v>
      </c>
      <c r="AD19" s="230">
        <f>(INDEX(Models!$BJ19:$BT19,,AH19)*(1-AF19)+INDEX(Models!$BJ19:$BT19,,AH19+1)*AF19-ERP_i)*AE19*Ramure*Pc/MaxiM</f>
        <v>5.5764244658999677E-4</v>
      </c>
      <c r="AE19" s="304">
        <f t="shared" si="15"/>
        <v>0.5</v>
      </c>
      <c r="AF19" s="176">
        <f t="shared" si="23"/>
        <v>3.4850868266186996E-2</v>
      </c>
      <c r="AG19" s="814">
        <f t="shared" si="24"/>
        <v>1</v>
      </c>
      <c r="AH19" s="175">
        <f t="shared" si="16"/>
        <v>7</v>
      </c>
      <c r="AI19" s="224">
        <f t="shared" si="17"/>
        <v>1.034850868266187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44932</v>
      </c>
      <c r="B20" s="410">
        <f>'2022'!Wh/'2022'!Env_an*'2023'!Env_an</f>
        <v>25.505259772255975</v>
      </c>
      <c r="C20" s="843"/>
      <c r="D20" s="392">
        <f t="shared" si="0"/>
        <v>26.429503897911552</v>
      </c>
      <c r="E20" s="384">
        <f t="shared" si="1"/>
        <v>27.947369690705916</v>
      </c>
      <c r="F20" s="384">
        <f t="shared" si="2"/>
        <v>27.963119643763427</v>
      </c>
      <c r="G20" s="110">
        <f t="shared" si="21"/>
        <v>1.0382771042356751</v>
      </c>
      <c r="H20" s="413" t="b">
        <f>Wh_hp&gt;='2022'!Maxi_hp</f>
        <v>1</v>
      </c>
      <c r="I20" s="389">
        <f>IF(H20,Wh_hp,'2022'!Maxi_hp)</f>
        <v>27.963119643763427</v>
      </c>
      <c r="J20" s="85">
        <f>IF(H20,An,'2022'!An_max)</f>
        <v>2023</v>
      </c>
      <c r="K20" s="196">
        <f t="shared" si="3"/>
        <v>44932</v>
      </c>
      <c r="L20" s="147">
        <f>IF(t&lt;Tvie,1-EXP((T0-t)*PertePVj)+'2022'!Pspv,1-EXP((T0-t)*PertePVj)+Pspv)</f>
        <v>3.4970165509940122E-2</v>
      </c>
      <c r="M20" s="847"/>
      <c r="N20" s="847"/>
      <c r="O20" s="48">
        <f>IF(t&lt;Tnet,'2022'!Resal+('2022'!Salim-'2022'!Resal)*(1-EXP(('2022'!Tnet-t)/('2022'!Tau_j))),Resal+(Salim-Resal)*(1-EXP((Tnet-t)/(Tau_j))))*Salcycl</f>
        <v>5.4311579572339605E-2</v>
      </c>
      <c r="P20" s="168">
        <f>(INDEX(Models!$BJ20:$BT20,,T20)*(1-R20)+INDEX(Models!$BJ20:$BT20,,T20+1)*R20-ERP_i)*Q20*Ramure*Pc/MaxiM</f>
        <v>5.6324019845278525E-4</v>
      </c>
      <c r="Q20" s="304">
        <f t="shared" si="4"/>
        <v>0.5</v>
      </c>
      <c r="R20" s="176">
        <f t="shared" si="5"/>
        <v>3.4871518344237407E-2</v>
      </c>
      <c r="S20" s="814">
        <f t="shared" si="6"/>
        <v>1</v>
      </c>
      <c r="T20" s="175">
        <f t="shared" si="7"/>
        <v>7</v>
      </c>
      <c r="U20" s="250">
        <f t="shared" si="8"/>
        <v>1.0348715183442374</v>
      </c>
      <c r="V20" s="382">
        <f t="shared" si="9"/>
        <v>24.564983344240851</v>
      </c>
      <c r="W20" s="401">
        <f t="shared" si="10"/>
        <v>25.505259772255975</v>
      </c>
      <c r="X20" s="157">
        <f t="shared" si="11"/>
        <v>44932</v>
      </c>
      <c r="Y20" s="384">
        <f t="shared" si="12"/>
        <v>24.926416344947189</v>
      </c>
      <c r="Z20" s="384">
        <f t="shared" si="22"/>
        <v>25.829684693757454</v>
      </c>
      <c r="AA20" s="385">
        <f t="shared" si="13"/>
        <v>27.947369690705916</v>
      </c>
      <c r="AB20" s="196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7.5774035996407627E-2</v>
      </c>
      <c r="AD20" s="230">
        <f>(INDEX(Models!$BJ20:$BT20,,AH20)*(1-AF20)+INDEX(Models!$BJ20:$BT20,,AH20+1)*AF20-ERP_i)*AE20*Ramure*Pc/MaxiM</f>
        <v>5.6324019845278525E-4</v>
      </c>
      <c r="AE20" s="304">
        <f t="shared" si="15"/>
        <v>0.5</v>
      </c>
      <c r="AF20" s="176">
        <f t="shared" si="23"/>
        <v>3.4871518344237407E-2</v>
      </c>
      <c r="AG20" s="814">
        <f t="shared" si="24"/>
        <v>1</v>
      </c>
      <c r="AH20" s="175">
        <f t="shared" si="16"/>
        <v>7</v>
      </c>
      <c r="AI20" s="224">
        <f t="shared" si="17"/>
        <v>1.0348715183442374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44933</v>
      </c>
      <c r="B21" s="410">
        <f>'2022'!Wh/'2022'!Env_an*'2023'!Env_an</f>
        <v>9.6724660833683451</v>
      </c>
      <c r="C21" s="843"/>
      <c r="D21" s="392">
        <f t="shared" si="0"/>
        <v>10.023190300126471</v>
      </c>
      <c r="E21" s="384">
        <f t="shared" si="1"/>
        <v>10.599350493531592</v>
      </c>
      <c r="F21" s="384">
        <f t="shared" si="2"/>
        <v>10.600133547091398</v>
      </c>
      <c r="G21" s="110">
        <f t="shared" si="21"/>
        <v>0.39059611052525989</v>
      </c>
      <c r="H21" s="413" t="b">
        <f>Wh_hp&gt;='2022'!Maxi_hp</f>
        <v>0</v>
      </c>
      <c r="I21" s="389">
        <f>IF(H21,Wh_hp,'2022'!Maxi_hp)</f>
        <v>14.031962129731935</v>
      </c>
      <c r="J21" s="85">
        <f>IF(H21,An,'2022'!An_max)</f>
        <v>2021</v>
      </c>
      <c r="K21" s="196">
        <f t="shared" si="3"/>
        <v>44933</v>
      </c>
      <c r="L21" s="147">
        <f>IF(t&lt;Tvie,1-EXP((T0-t)*PertePVj)+'2022'!Pspv,1-EXP((T0-t)*PertePVj)+Pspv)</f>
        <v>3.4991275856919614E-2</v>
      </c>
      <c r="M21" s="847"/>
      <c r="N21" s="847"/>
      <c r="O21" s="48">
        <f>IF(t&lt;Tnet,'2022'!Resal+('2022'!Salim-'2022'!Resal)*(1-EXP(('2022'!Tnet-t)/('2022'!Tau_j))),Resal+(Salim-Resal)*(1-EXP((Tnet-t)/(Tau_j))))*Salcycl</f>
        <v>5.4358065973639687E-2</v>
      </c>
      <c r="P21" s="168">
        <f>(INDEX(Models!$BJ21:$BT21,,T21)*(1-R21)+INDEX(Models!$BJ21:$BT21,,T21+1)*R21-ERP_i)*Q21*Ramure*Pc/MaxiM</f>
        <v>5.6956191651351482E-4</v>
      </c>
      <c r="Q21" s="304">
        <f t="shared" si="4"/>
        <v>0.5</v>
      </c>
      <c r="R21" s="176">
        <f t="shared" si="5"/>
        <v>3.4893031710875322E-2</v>
      </c>
      <c r="S21" s="814">
        <f t="shared" si="6"/>
        <v>1</v>
      </c>
      <c r="T21" s="175">
        <f t="shared" si="7"/>
        <v>7</v>
      </c>
      <c r="U21" s="250">
        <f t="shared" si="8"/>
        <v>1.0348930317108753</v>
      </c>
      <c r="V21" s="382">
        <f t="shared" si="9"/>
        <v>24.75106875156667</v>
      </c>
      <c r="W21" s="401">
        <f t="shared" si="10"/>
        <v>9.6724660833683451</v>
      </c>
      <c r="X21" s="157">
        <f t="shared" si="11"/>
        <v>44933</v>
      </c>
      <c r="Y21" s="384">
        <f t="shared" si="12"/>
        <v>9.4531760383889729</v>
      </c>
      <c r="Z21" s="384">
        <f t="shared" si="22"/>
        <v>9.7959487845908484</v>
      </c>
      <c r="AA21" s="385">
        <f t="shared" si="13"/>
        <v>10.599350493531592</v>
      </c>
      <c r="AB21" s="196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7.5797258467019346E-2</v>
      </c>
      <c r="AD21" s="230">
        <f>(INDEX(Models!$BJ21:$BT21,,AH21)*(1-AF21)+INDEX(Models!$BJ21:$BT21,,AH21+1)*AF21-ERP_i)*AE21*Ramure*Pc/MaxiM</f>
        <v>5.6956191651351482E-4</v>
      </c>
      <c r="AE21" s="304">
        <f t="shared" si="15"/>
        <v>0.5</v>
      </c>
      <c r="AF21" s="176">
        <f t="shared" si="23"/>
        <v>3.4893031710875322E-2</v>
      </c>
      <c r="AG21" s="814">
        <f t="shared" si="24"/>
        <v>1</v>
      </c>
      <c r="AH21" s="175">
        <f t="shared" si="16"/>
        <v>7</v>
      </c>
      <c r="AI21" s="224">
        <f t="shared" si="17"/>
        <v>1.0348930317108753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44934</v>
      </c>
      <c r="B22" s="410">
        <f>'2022'!Wh/'2022'!Env_an*'2023'!Env_an</f>
        <v>6.5934175313825358</v>
      </c>
      <c r="C22" s="843"/>
      <c r="D22" s="392">
        <f t="shared" si="0"/>
        <v>6.8326447240974533</v>
      </c>
      <c r="E22" s="384">
        <f t="shared" si="1"/>
        <v>7.2257590625794013</v>
      </c>
      <c r="F22" s="384">
        <f t="shared" si="2"/>
        <v>7.2257590625794013</v>
      </c>
      <c r="G22" s="110">
        <f t="shared" si="21"/>
        <v>0.26418048897016838</v>
      </c>
      <c r="H22" s="413" t="b">
        <f>Wh_hp&gt;='2022'!Maxi_hp</f>
        <v>0</v>
      </c>
      <c r="I22" s="389">
        <f>IF(H22,Wh_hp,'2022'!Maxi_hp)</f>
        <v>20.064125599545072</v>
      </c>
      <c r="J22" s="85">
        <f>IF(H22,An,'2022'!An_max)</f>
        <v>2021</v>
      </c>
      <c r="K22" s="196">
        <f t="shared" si="3"/>
        <v>44934</v>
      </c>
      <c r="L22" s="147">
        <f>IF(t&lt;Tvie,1-EXP((T0-t)*PertePVj)+'2022'!Pspv,1-EXP((T0-t)*PertePVj)+Pspv)</f>
        <v>3.5012385741528186E-2</v>
      </c>
      <c r="M22" s="847"/>
      <c r="N22" s="847"/>
      <c r="O22" s="48">
        <f>IF(t&lt;Tnet,'2022'!Resal+('2022'!Salim-'2022'!Resal)*(1-EXP(('2022'!Tnet-t)/('2022'!Tau_j))),Resal+(Salim-Resal)*(1-EXP((Tnet-t)/(Tau_j))))*Salcycl</f>
        <v>5.4404573288057742E-2</v>
      </c>
      <c r="P22" s="168">
        <f>(INDEX(Models!$BJ22:$BT22,,T22)*(1-R22)+INDEX(Models!$BJ22:$BT22,,T22+1)*R22-ERP_i)*Q22*Ramure*Pc/MaxiM</f>
        <v>5.7659675843481297E-4</v>
      </c>
      <c r="Q22" s="304">
        <f t="shared" si="4"/>
        <v>0.5</v>
      </c>
      <c r="R22" s="176">
        <f t="shared" si="5"/>
        <v>3.4915444324473688E-2</v>
      </c>
      <c r="S22" s="814">
        <f t="shared" si="6"/>
        <v>1</v>
      </c>
      <c r="T22" s="175">
        <f t="shared" si="7"/>
        <v>7</v>
      </c>
      <c r="U22" s="250">
        <f t="shared" si="8"/>
        <v>1.0349154443244737</v>
      </c>
      <c r="V22" s="382">
        <f t="shared" si="9"/>
        <v>24.943612656236102</v>
      </c>
      <c r="W22" s="401">
        <f t="shared" si="10"/>
        <v>6.5934175313825358</v>
      </c>
      <c r="X22" s="157">
        <f t="shared" si="11"/>
        <v>44934</v>
      </c>
      <c r="Y22" s="384">
        <f t="shared" si="12"/>
        <v>6.4440888495934541</v>
      </c>
      <c r="Z22" s="384">
        <f t="shared" si="22"/>
        <v>6.6778979899605275</v>
      </c>
      <c r="AA22" s="385">
        <f t="shared" si="13"/>
        <v>7.2257590625794013</v>
      </c>
      <c r="AB22" s="196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7.5820556411315229E-2</v>
      </c>
      <c r="AD22" s="230">
        <f>(INDEX(Models!$BJ22:$BT22,,AH22)*(1-AF22)+INDEX(Models!$BJ22:$BT22,,AH22+1)*AF22-ERP_i)*AE22*Ramure*Pc/MaxiM</f>
        <v>5.7659675843481297E-4</v>
      </c>
      <c r="AE22" s="304">
        <f t="shared" si="15"/>
        <v>0.5</v>
      </c>
      <c r="AF22" s="176">
        <f t="shared" si="23"/>
        <v>3.4915444324473688E-2</v>
      </c>
      <c r="AG22" s="814">
        <f t="shared" si="24"/>
        <v>1</v>
      </c>
      <c r="AH22" s="175">
        <f t="shared" si="16"/>
        <v>7</v>
      </c>
      <c r="AI22" s="224">
        <f t="shared" si="17"/>
        <v>1.0349154443244737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44935</v>
      </c>
      <c r="B23" s="410">
        <f>'2022'!Wh/'2022'!Env_an*'2023'!Env_an</f>
        <v>1.8295715983652769</v>
      </c>
      <c r="C23" s="843"/>
      <c r="D23" s="392">
        <f t="shared" si="0"/>
        <v>1.895994927487971</v>
      </c>
      <c r="E23" s="384">
        <f t="shared" si="1"/>
        <v>2.0051791299943775</v>
      </c>
      <c r="F23" s="384">
        <f t="shared" si="2"/>
        <v>2.0051791299943775</v>
      </c>
      <c r="G23" s="110">
        <f t="shared" si="21"/>
        <v>7.2716568612613552E-2</v>
      </c>
      <c r="H23" s="413" t="b">
        <f>Wh_hp&gt;='2022'!Maxi_hp</f>
        <v>0</v>
      </c>
      <c r="I23" s="389">
        <f>IF(H23,Wh_hp,'2022'!Maxi_hp)</f>
        <v>26.291265960705861</v>
      </c>
      <c r="J23" s="85">
        <f>IF(H23,An,'2022'!An_max)</f>
        <v>2020</v>
      </c>
      <c r="K23" s="196">
        <f t="shared" si="3"/>
        <v>44935</v>
      </c>
      <c r="L23" s="147">
        <f>IF(t&lt;Tvie,1-EXP((T0-t)*PertePVj)+'2022'!Pspv,1-EXP((T0-t)*PertePVj)+Pspv)</f>
        <v>3.5033495163776164E-2</v>
      </c>
      <c r="M23" s="847"/>
      <c r="N23" s="847"/>
      <c r="O23" s="48">
        <f>IF(t&lt;Tnet,'2022'!Resal+('2022'!Salim-'2022'!Resal)*(1-EXP(('2022'!Tnet-t)/('2022'!Tau_j))),Resal+(Salim-Resal)*(1-EXP((Tnet-t)/(Tau_j))))*Salcycl</f>
        <v>5.4451096599391006E-2</v>
      </c>
      <c r="P23" s="168">
        <f>(INDEX(Models!$BJ23:$BT23,,T23)*(1-R23)+INDEX(Models!$BJ23:$BT23,,T23+1)*R23-ERP_i)*Q23*Ramure*Pc/MaxiM</f>
        <v>5.8425156570997825E-4</v>
      </c>
      <c r="Q23" s="304">
        <f t="shared" si="4"/>
        <v>0.5</v>
      </c>
      <c r="R23" s="176">
        <f t="shared" si="5"/>
        <v>3.4938793629894604E-2</v>
      </c>
      <c r="S23" s="814">
        <f t="shared" si="6"/>
        <v>1</v>
      </c>
      <c r="T23" s="175">
        <f t="shared" si="7"/>
        <v>7</v>
      </c>
      <c r="U23" s="250">
        <f t="shared" si="8"/>
        <v>1.0349387936298946</v>
      </c>
      <c r="V23" s="382">
        <f t="shared" si="9"/>
        <v>25.145612659962318</v>
      </c>
      <c r="W23" s="401">
        <f t="shared" si="10"/>
        <v>1.8295715983652769</v>
      </c>
      <c r="X23" s="157">
        <f t="shared" si="11"/>
        <v>44935</v>
      </c>
      <c r="Y23" s="384">
        <f t="shared" si="12"/>
        <v>1.7881779623371272</v>
      </c>
      <c r="Z23" s="384">
        <f t="shared" si="22"/>
        <v>1.8530984789369664</v>
      </c>
      <c r="AA23" s="385">
        <f t="shared" si="13"/>
        <v>2.0051791299943775</v>
      </c>
      <c r="AB23" s="196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7.5843922761073962E-2</v>
      </c>
      <c r="AD23" s="230">
        <f>(INDEX(Models!$BJ23:$BT23,,AH23)*(1-AF23)+INDEX(Models!$BJ23:$BT23,,AH23+1)*AF23-ERP_i)*AE23*Ramure*Pc/MaxiM</f>
        <v>5.8425156570997825E-4</v>
      </c>
      <c r="AE23" s="304">
        <f t="shared" si="15"/>
        <v>0.5</v>
      </c>
      <c r="AF23" s="176">
        <f t="shared" si="23"/>
        <v>3.4938793629894604E-2</v>
      </c>
      <c r="AG23" s="814">
        <f t="shared" si="24"/>
        <v>1</v>
      </c>
      <c r="AH23" s="175">
        <f t="shared" si="16"/>
        <v>7</v>
      </c>
      <c r="AI23" s="224">
        <f t="shared" si="17"/>
        <v>1.0349387936298946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44936</v>
      </c>
      <c r="B24" s="410">
        <f>'2022'!Wh/'2022'!Env_an*'2023'!Env_an</f>
        <v>1.468345694649241</v>
      </c>
      <c r="C24" s="843"/>
      <c r="D24" s="392">
        <f t="shared" si="0"/>
        <v>1.5216878601879289</v>
      </c>
      <c r="E24" s="384">
        <f t="shared" si="1"/>
        <v>1.6093961391094931</v>
      </c>
      <c r="F24" s="384">
        <f t="shared" si="2"/>
        <v>1.6093961391094931</v>
      </c>
      <c r="G24" s="110">
        <f t="shared" si="21"/>
        <v>5.7866266090405641E-2</v>
      </c>
      <c r="H24" s="413" t="b">
        <f>Wh_hp&gt;='2022'!Maxi_hp</f>
        <v>0</v>
      </c>
      <c r="I24" s="389">
        <f>IF(H24,Wh_hp,'2022'!Maxi_hp)</f>
        <v>14.840705904124258</v>
      </c>
      <c r="J24" s="85">
        <f>IF(H24,An,'2022'!An_max)</f>
        <v>2019</v>
      </c>
      <c r="K24" s="196">
        <f t="shared" si="3"/>
        <v>44936</v>
      </c>
      <c r="L24" s="147">
        <f>IF(t&lt;Tvie,1-EXP((T0-t)*PertePVj)+'2022'!Pspv,1-EXP((T0-t)*PertePVj)+Pspv)</f>
        <v>3.5054604123673651E-2</v>
      </c>
      <c r="M24" s="847"/>
      <c r="N24" s="847"/>
      <c r="O24" s="48">
        <f>IF(t&lt;Tnet,'2022'!Resal+('2022'!Salim-'2022'!Resal)*(1-EXP(('2022'!Tnet-t)/('2022'!Tau_j))),Resal+(Salim-Resal)*(1-EXP((Tnet-t)/(Tau_j))))*Salcycl</f>
        <v>5.449763224242276E-2</v>
      </c>
      <c r="P24" s="168">
        <f>(INDEX(Models!$BJ24:$BT24,,T24)*(1-R24)+INDEX(Models!$BJ24:$BT24,,T24+1)*R24-ERP_i)*Q24*Ramure*Pc/MaxiM</f>
        <v>5.9224583420032723E-4</v>
      </c>
      <c r="Q24" s="304">
        <f t="shared" si="4"/>
        <v>0.5</v>
      </c>
      <c r="R24" s="176">
        <f t="shared" si="5"/>
        <v>3.4963118618976496E-2</v>
      </c>
      <c r="S24" s="814">
        <f t="shared" si="6"/>
        <v>1</v>
      </c>
      <c r="T24" s="175">
        <f t="shared" si="7"/>
        <v>7</v>
      </c>
      <c r="U24" s="250">
        <f t="shared" si="8"/>
        <v>1.0349631186189765</v>
      </c>
      <c r="V24" s="382">
        <f t="shared" si="9"/>
        <v>25.359785107540052</v>
      </c>
      <c r="W24" s="401">
        <f t="shared" si="10"/>
        <v>1.468345694649241</v>
      </c>
      <c r="X24" s="157">
        <f t="shared" si="11"/>
        <v>44936</v>
      </c>
      <c r="Y24" s="384">
        <f t="shared" si="12"/>
        <v>1.4351589598783996</v>
      </c>
      <c r="Z24" s="384">
        <f t="shared" si="22"/>
        <v>1.4872955153851408</v>
      </c>
      <c r="AA24" s="385">
        <f t="shared" si="13"/>
        <v>1.6093961391094931</v>
      </c>
      <c r="AB24" s="196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7.5867352205723979E-2</v>
      </c>
      <c r="AD24" s="230">
        <f>(INDEX(Models!$BJ24:$BT24,,AH24)*(1-AF24)+INDEX(Models!$BJ24:$BT24,,AH24+1)*AF24-ERP_i)*AE24*Ramure*Pc/MaxiM</f>
        <v>5.9224583420032723E-4</v>
      </c>
      <c r="AE24" s="304">
        <f t="shared" si="15"/>
        <v>0.5</v>
      </c>
      <c r="AF24" s="176">
        <f t="shared" si="23"/>
        <v>3.4963118618976496E-2</v>
      </c>
      <c r="AG24" s="814">
        <f t="shared" si="24"/>
        <v>1</v>
      </c>
      <c r="AH24" s="175">
        <f t="shared" si="16"/>
        <v>7</v>
      </c>
      <c r="AI24" s="224">
        <f t="shared" si="17"/>
        <v>1.0349631186189765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44937</v>
      </c>
      <c r="B25" s="410">
        <f>'2022'!Wh/'2022'!Env_an*'2023'!Env_an</f>
        <v>26.234579530336465</v>
      </c>
      <c r="C25" s="843"/>
      <c r="D25" s="392">
        <f t="shared" si="0"/>
        <v>27.18822592972872</v>
      </c>
      <c r="E25" s="384">
        <f t="shared" si="1"/>
        <v>28.756738589614791</v>
      </c>
      <c r="F25" s="384">
        <f t="shared" si="2"/>
        <v>28.774012285280151</v>
      </c>
      <c r="G25" s="110">
        <f t="shared" si="21"/>
        <v>1.0253824281395247</v>
      </c>
      <c r="H25" s="413" t="b">
        <f>Wh_hp&gt;='2022'!Maxi_hp</f>
        <v>1</v>
      </c>
      <c r="I25" s="389">
        <f>IF(H25,Wh_hp,'2022'!Maxi_hp)</f>
        <v>28.774012285280151</v>
      </c>
      <c r="J25" s="85">
        <f>IF(H25,An,'2022'!An_max)</f>
        <v>2023</v>
      </c>
      <c r="K25" s="196">
        <f t="shared" si="3"/>
        <v>44937</v>
      </c>
      <c r="L25" s="147">
        <f>IF(t&lt;Tvie,1-EXP((T0-t)*PertePVj)+'2022'!Pspv,1-EXP((T0-t)*PertePVj)+Pspv)</f>
        <v>3.5075712621230638E-2</v>
      </c>
      <c r="M25" s="847"/>
      <c r="N25" s="847"/>
      <c r="O25" s="48">
        <f>IF(t&lt;Tnet,'2022'!Resal+('2022'!Salim-'2022'!Resal)*(1-EXP(('2022'!Tnet-t)/('2022'!Tau_j))),Resal+(Salim-Resal)*(1-EXP((Tnet-t)/(Tau_j))))*Salcycl</f>
        <v>5.4544177706317622E-2</v>
      </c>
      <c r="P25" s="168">
        <f>(INDEX(Models!$BJ25:$BT25,,T25)*(1-R25)+INDEX(Models!$BJ25:$BT25,,T25+1)*R25-ERP_i)*Q25*Ramure*Pc/MaxiM</f>
        <v>6.0032280149530223E-4</v>
      </c>
      <c r="Q25" s="304">
        <f t="shared" si="4"/>
        <v>0.5</v>
      </c>
      <c r="R25" s="176">
        <f t="shared" si="5"/>
        <v>3.4988459893396051E-2</v>
      </c>
      <c r="S25" s="814">
        <f t="shared" si="6"/>
        <v>1</v>
      </c>
      <c r="T25" s="175">
        <f t="shared" si="7"/>
        <v>7</v>
      </c>
      <c r="U25" s="250">
        <f t="shared" si="8"/>
        <v>1.0349884598933961</v>
      </c>
      <c r="V25" s="382">
        <f t="shared" si="9"/>
        <v>25.585165895554724</v>
      </c>
      <c r="W25" s="401">
        <f t="shared" si="10"/>
        <v>26.234579530336465</v>
      </c>
      <c r="X25" s="157">
        <f t="shared" si="11"/>
        <v>44937</v>
      </c>
      <c r="Y25" s="384">
        <f t="shared" si="12"/>
        <v>25.642250704311177</v>
      </c>
      <c r="Z25" s="384">
        <f t="shared" si="22"/>
        <v>26.574365512105327</v>
      </c>
      <c r="AA25" s="385">
        <f t="shared" si="13"/>
        <v>28.756738589614791</v>
      </c>
      <c r="AB25" s="196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7.5890841053081193E-2</v>
      </c>
      <c r="AD25" s="230">
        <f>(INDEX(Models!$BJ25:$BT25,,AH25)*(1-AF25)+INDEX(Models!$BJ25:$BT25,,AH25+1)*AF25-ERP_i)*AE25*Ramure*Pc/MaxiM</f>
        <v>6.0032280149530223E-4</v>
      </c>
      <c r="AE25" s="304">
        <f t="shared" si="15"/>
        <v>0.5</v>
      </c>
      <c r="AF25" s="176">
        <f t="shared" si="23"/>
        <v>3.4988459893396051E-2</v>
      </c>
      <c r="AG25" s="814">
        <f t="shared" si="24"/>
        <v>1</v>
      </c>
      <c r="AH25" s="175">
        <f t="shared" si="16"/>
        <v>7</v>
      </c>
      <c r="AI25" s="224">
        <f t="shared" si="17"/>
        <v>1.0349884598933961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44938</v>
      </c>
      <c r="B26" s="410">
        <f>'2022'!Wh/'2022'!Env_an*'2023'!Env_an</f>
        <v>24.023572201416822</v>
      </c>
      <c r="C26" s="843"/>
      <c r="D26" s="392">
        <f t="shared" si="0"/>
        <v>24.897391485186006</v>
      </c>
      <c r="E26" s="384">
        <f t="shared" si="1"/>
        <v>26.335040617396654</v>
      </c>
      <c r="F26" s="384">
        <f t="shared" si="2"/>
        <v>26.349479784003996</v>
      </c>
      <c r="G26" s="110">
        <f t="shared" si="21"/>
        <v>0.93034035503476442</v>
      </c>
      <c r="H26" s="413" t="b">
        <f>Wh_hp&gt;='2022'!Maxi_hp</f>
        <v>0</v>
      </c>
      <c r="I26" s="389">
        <f>IF(H26,Wh_hp,'2022'!Maxi_hp)</f>
        <v>28.636326712021056</v>
      </c>
      <c r="J26" s="85">
        <f>IF(H26,An,'2022'!An_max)</f>
        <v>2020</v>
      </c>
      <c r="K26" s="196">
        <f t="shared" si="3"/>
        <v>44938</v>
      </c>
      <c r="L26" s="147">
        <f>IF(t&lt;Tvie,1-EXP((T0-t)*PertePVj)+'2022'!Pspv,1-EXP((T0-t)*PertePVj)+Pspv)</f>
        <v>3.5096820656457452E-2</v>
      </c>
      <c r="M26" s="847"/>
      <c r="N26" s="847"/>
      <c r="O26" s="48">
        <f>IF(t&lt;Tnet,'2022'!Resal+('2022'!Salim-'2022'!Resal)*(1-EXP(('2022'!Tnet-t)/('2022'!Tau_j))),Resal+(Salim-Resal)*(1-EXP((Tnet-t)/(Tau_j))))*Salcycl</f>
        <v>5.4590731531317743E-2</v>
      </c>
      <c r="P26" s="168">
        <f>(INDEX(Models!$BJ26:$BT26,,T26)*(1-R26)+INDEX(Models!$BJ26:$BT26,,T26+1)*R26-ERP_i)*Q26*Ramure*Pc/MaxiM</f>
        <v>6.0849106528429984E-4</v>
      </c>
      <c r="Q26" s="304">
        <f t="shared" si="4"/>
        <v>0.5</v>
      </c>
      <c r="R26" s="176">
        <f t="shared" si="5"/>
        <v>3.5014859729998626E-2</v>
      </c>
      <c r="S26" s="814">
        <f t="shared" si="6"/>
        <v>1</v>
      </c>
      <c r="T26" s="175">
        <f t="shared" si="7"/>
        <v>7</v>
      </c>
      <c r="U26" s="250">
        <f t="shared" si="8"/>
        <v>1.0350148597299986</v>
      </c>
      <c r="V26" s="382">
        <f t="shared" si="9"/>
        <v>25.82078456064102</v>
      </c>
      <c r="W26" s="401">
        <f t="shared" si="10"/>
        <v>24.023572201416822</v>
      </c>
      <c r="X26" s="157">
        <f t="shared" si="11"/>
        <v>44938</v>
      </c>
      <c r="Y26" s="384">
        <f t="shared" si="12"/>
        <v>23.481721813667111</v>
      </c>
      <c r="Z26" s="384">
        <f t="shared" si="22"/>
        <v>24.335832150167182</v>
      </c>
      <c r="AA26" s="385">
        <f t="shared" si="13"/>
        <v>26.335040617396654</v>
      </c>
      <c r="AB26" s="196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7.591438708124934E-2</v>
      </c>
      <c r="AD26" s="230">
        <f>(INDEX(Models!$BJ26:$BT26,,AH26)*(1-AF26)+INDEX(Models!$BJ26:$BT26,,AH26+1)*AF26-ERP_i)*AE26*Ramure*Pc/MaxiM</f>
        <v>6.0849106528429984E-4</v>
      </c>
      <c r="AE26" s="304">
        <f t="shared" si="15"/>
        <v>0.5</v>
      </c>
      <c r="AF26" s="176">
        <f t="shared" si="23"/>
        <v>3.5014859729998626E-2</v>
      </c>
      <c r="AG26" s="814">
        <f t="shared" si="24"/>
        <v>1</v>
      </c>
      <c r="AH26" s="175">
        <f t="shared" si="16"/>
        <v>7</v>
      </c>
      <c r="AI26" s="224">
        <f t="shared" si="17"/>
        <v>1.0350148597299986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44939</v>
      </c>
      <c r="B27" s="410">
        <f>'2022'!Wh/'2022'!Env_an*'2023'!Env_an</f>
        <v>5.1995912386963834</v>
      </c>
      <c r="C27" s="843"/>
      <c r="D27" s="392">
        <f t="shared" si="0"/>
        <v>5.3888359943870832</v>
      </c>
      <c r="E27" s="384">
        <f t="shared" si="1"/>
        <v>5.7002840873933565</v>
      </c>
      <c r="F27" s="384">
        <f t="shared" si="2"/>
        <v>5.7002840873933565</v>
      </c>
      <c r="G27" s="110">
        <f t="shared" si="21"/>
        <v>0.19935739849813314</v>
      </c>
      <c r="H27" s="413" t="b">
        <f>Wh_hp&gt;='2022'!Maxi_hp</f>
        <v>0</v>
      </c>
      <c r="I27" s="389">
        <f>IF(H27,Wh_hp,'2022'!Maxi_hp)</f>
        <v>16.901313212419812</v>
      </c>
      <c r="J27" s="85">
        <f>IF(H27,An,'2022'!An_max)</f>
        <v>2020</v>
      </c>
      <c r="K27" s="196">
        <f t="shared" si="3"/>
        <v>44939</v>
      </c>
      <c r="L27" s="147">
        <f>IF(t&lt;Tvie,1-EXP((T0-t)*PertePVj)+'2022'!Pspv,1-EXP((T0-t)*PertePVj)+Pspv)</f>
        <v>3.5117928229364083E-2</v>
      </c>
      <c r="M27" s="847"/>
      <c r="N27" s="847"/>
      <c r="O27" s="48">
        <f>IF(t&lt;Tnet,'2022'!Resal+('2022'!Salim-'2022'!Resal)*(1-EXP(('2022'!Tnet-t)/('2022'!Tau_j))),Resal+(Salim-Resal)*(1-EXP((Tnet-t)/(Tau_j))))*Salcycl</f>
        <v>5.4637293200011872E-2</v>
      </c>
      <c r="P27" s="168">
        <f>(INDEX(Models!$BJ27:$BT27,,T27)*(1-R27)+INDEX(Models!$BJ27:$BT27,,T27+1)*R27-ERP_i)*Q27*Ramure*Pc/MaxiM</f>
        <v>6.1675989998528826E-4</v>
      </c>
      <c r="Q27" s="304">
        <f t="shared" si="4"/>
        <v>0.5</v>
      </c>
      <c r="R27" s="176">
        <f t="shared" si="5"/>
        <v>3.5042362148680173E-2</v>
      </c>
      <c r="S27" s="814">
        <f t="shared" si="6"/>
        <v>1</v>
      </c>
      <c r="T27" s="175">
        <f t="shared" si="7"/>
        <v>7</v>
      </c>
      <c r="U27" s="250">
        <f t="shared" si="8"/>
        <v>1.0350423621486802</v>
      </c>
      <c r="V27" s="382">
        <f t="shared" si="9"/>
        <v>26.065670892935042</v>
      </c>
      <c r="W27" s="401">
        <f t="shared" si="10"/>
        <v>5.1995912386963834</v>
      </c>
      <c r="X27" s="157">
        <f t="shared" si="11"/>
        <v>44939</v>
      </c>
      <c r="Y27" s="384">
        <f t="shared" si="12"/>
        <v>5.0824352387219376</v>
      </c>
      <c r="Z27" s="384">
        <f t="shared" si="22"/>
        <v>5.2674159748820513</v>
      </c>
      <c r="AA27" s="385">
        <f t="shared" si="13"/>
        <v>5.7002840873933565</v>
      </c>
      <c r="AB27" s="196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7.5937989383481549E-2</v>
      </c>
      <c r="AD27" s="230">
        <f>(INDEX(Models!$BJ27:$BT27,,AH27)*(1-AF27)+INDEX(Models!$BJ27:$BT27,,AH27+1)*AF27-ERP_i)*AE27*Ramure*Pc/MaxiM</f>
        <v>6.1675989998528826E-4</v>
      </c>
      <c r="AE27" s="304">
        <f t="shared" si="15"/>
        <v>0.5</v>
      </c>
      <c r="AF27" s="176">
        <f t="shared" si="23"/>
        <v>3.5042362148680173E-2</v>
      </c>
      <c r="AG27" s="814">
        <f t="shared" si="24"/>
        <v>1</v>
      </c>
      <c r="AH27" s="175">
        <f t="shared" si="16"/>
        <v>7</v>
      </c>
      <c r="AI27" s="224">
        <f t="shared" si="17"/>
        <v>1.0350423621486802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44940</v>
      </c>
      <c r="B28" s="410">
        <f>'2022'!Wh/'2022'!Env_an*'2023'!Env_an</f>
        <v>27.206495324739628</v>
      </c>
      <c r="C28" s="843"/>
      <c r="D28" s="392">
        <f t="shared" si="0"/>
        <v>28.197322019681465</v>
      </c>
      <c r="E28" s="384">
        <f t="shared" si="1"/>
        <v>29.828457292495614</v>
      </c>
      <c r="F28" s="384">
        <f t="shared" si="2"/>
        <v>29.847115895042656</v>
      </c>
      <c r="G28" s="110">
        <f t="shared" si="21"/>
        <v>1.0337264061663218</v>
      </c>
      <c r="H28" s="413" t="b">
        <f>Wh_hp&gt;='2022'!Maxi_hp</f>
        <v>1</v>
      </c>
      <c r="I28" s="389">
        <f>IF(H28,Wh_hp,'2022'!Maxi_hp)</f>
        <v>29.847115895042656</v>
      </c>
      <c r="J28" s="85">
        <f>IF(H28,An,'2022'!An_max)</f>
        <v>2023</v>
      </c>
      <c r="K28" s="196">
        <f t="shared" si="3"/>
        <v>44940</v>
      </c>
      <c r="L28" s="147">
        <f>IF(t&lt;Tvie,1-EXP((T0-t)*PertePVj)+'2022'!Pspv,1-EXP((T0-t)*PertePVj)+Pspv)</f>
        <v>3.5139035339960635E-2</v>
      </c>
      <c r="M28" s="847"/>
      <c r="N28" s="847"/>
      <c r="O28" s="48">
        <f>IF(t&lt;Tnet,'2022'!Resal+('2022'!Salim-'2022'!Resal)*(1-EXP(('2022'!Tnet-t)/('2022'!Tau_j))),Resal+(Salim-Resal)*(1-EXP((Tnet-t)/(Tau_j))))*Salcycl</f>
        <v>5.4683863024472132E-2</v>
      </c>
      <c r="P28" s="168">
        <f>(INDEX(Models!$BJ28:$BT28,,T28)*(1-R28)+INDEX(Models!$BJ28:$BT28,,T28+1)*R28-ERP_i)*Q28*Ramure*Pc/MaxiM</f>
        <v>6.2513921320418633E-4</v>
      </c>
      <c r="Q28" s="304">
        <f t="shared" si="4"/>
        <v>0.5</v>
      </c>
      <c r="R28" s="176">
        <f t="shared" si="5"/>
        <v>3.5071012982913929E-2</v>
      </c>
      <c r="S28" s="814">
        <f t="shared" si="6"/>
        <v>1</v>
      </c>
      <c r="T28" s="175">
        <f t="shared" si="7"/>
        <v>7</v>
      </c>
      <c r="U28" s="250">
        <f t="shared" si="8"/>
        <v>1.0350710129829139</v>
      </c>
      <c r="V28" s="382">
        <f t="shared" si="9"/>
        <v>26.318854933422518</v>
      </c>
      <c r="W28" s="401">
        <f t="shared" si="10"/>
        <v>27.206495324739628</v>
      </c>
      <c r="X28" s="157">
        <f t="shared" si="11"/>
        <v>44940</v>
      </c>
      <c r="Y28" s="384">
        <f t="shared" si="12"/>
        <v>26.594113984287908</v>
      </c>
      <c r="Z28" s="384">
        <f t="shared" si="22"/>
        <v>27.562638513060918</v>
      </c>
      <c r="AA28" s="385">
        <f t="shared" si="13"/>
        <v>29.828457292495614</v>
      </c>
      <c r="AB28" s="196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7.5961648207825333E-2</v>
      </c>
      <c r="AD28" s="230">
        <f>(INDEX(Models!$BJ28:$BT28,,AH28)*(1-AF28)+INDEX(Models!$BJ28:$BT28,,AH28+1)*AF28-ERP_i)*AE28*Ramure*Pc/MaxiM</f>
        <v>6.2513921320418633E-4</v>
      </c>
      <c r="AE28" s="304">
        <f t="shared" si="15"/>
        <v>0.5</v>
      </c>
      <c r="AF28" s="176">
        <f t="shared" si="23"/>
        <v>3.5071012982913929E-2</v>
      </c>
      <c r="AG28" s="814">
        <f t="shared" si="24"/>
        <v>1</v>
      </c>
      <c r="AH28" s="175">
        <f t="shared" si="16"/>
        <v>7</v>
      </c>
      <c r="AI28" s="224">
        <f t="shared" si="17"/>
        <v>1.0350710129829139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44941</v>
      </c>
      <c r="B29" s="410">
        <f>'2022'!Wh/'2022'!Env_an*'2023'!Env_an</f>
        <v>27.551989919904585</v>
      </c>
      <c r="C29" s="843"/>
      <c r="D29" s="392">
        <f t="shared" si="0"/>
        <v>28.556023770287965</v>
      </c>
      <c r="E29" s="384">
        <f t="shared" si="1"/>
        <v>30.209397445983633</v>
      </c>
      <c r="F29" s="384">
        <f t="shared" si="2"/>
        <v>30.22855145041326</v>
      </c>
      <c r="G29" s="110">
        <f t="shared" si="21"/>
        <v>1.0365931566084636</v>
      </c>
      <c r="H29" s="413" t="b">
        <f>Wh_hp&gt;='2022'!Maxi_hp</f>
        <v>1</v>
      </c>
      <c r="I29" s="389">
        <f>IF(H29,Wh_hp,'2022'!Maxi_hp)</f>
        <v>30.22855145041326</v>
      </c>
      <c r="J29" s="85">
        <f>IF(H29,An,'2022'!An_max)</f>
        <v>2023</v>
      </c>
      <c r="K29" s="196">
        <f t="shared" si="3"/>
        <v>44941</v>
      </c>
      <c r="L29" s="147">
        <f>IF(t&lt;Tvie,1-EXP((T0-t)*PertePVj)+'2022'!Pspv,1-EXP((T0-t)*PertePVj)+Pspv)</f>
        <v>3.5160141988257433E-2</v>
      </c>
      <c r="M29" s="847"/>
      <c r="N29" s="847"/>
      <c r="O29" s="48">
        <f>IF(t&lt;Tnet,'2022'!Resal+('2022'!Salim-'2022'!Resal)*(1-EXP(('2022'!Tnet-t)/('2022'!Tau_j))),Resal+(Salim-Resal)*(1-EXP((Tnet-t)/(Tau_j))))*Salcycl</f>
        <v>5.4730442030563778E-2</v>
      </c>
      <c r="P29" s="168">
        <f>(INDEX(Models!$BJ29:$BT29,,T29)*(1-R29)+INDEX(Models!$BJ29:$BT29,,T29+1)*R29-ERP_i)*Q29*Ramure*Pc/MaxiM</f>
        <v>6.3363950671093934E-4</v>
      </c>
      <c r="Q29" s="304">
        <f t="shared" si="4"/>
        <v>0.5</v>
      </c>
      <c r="R29" s="176">
        <f t="shared" si="5"/>
        <v>3.5100859953017149E-2</v>
      </c>
      <c r="S29" s="814">
        <f t="shared" si="6"/>
        <v>1</v>
      </c>
      <c r="T29" s="175">
        <f t="shared" si="7"/>
        <v>7</v>
      </c>
      <c r="U29" s="250">
        <f t="shared" si="8"/>
        <v>1.0351008599530171</v>
      </c>
      <c r="V29" s="382">
        <f t="shared" si="9"/>
        <v>26.579366981400373</v>
      </c>
      <c r="W29" s="401">
        <f t="shared" si="10"/>
        <v>27.551989919904585</v>
      </c>
      <c r="X29" s="157">
        <f t="shared" si="11"/>
        <v>44941</v>
      </c>
      <c r="Y29" s="384">
        <f t="shared" si="12"/>
        <v>26.932467781724828</v>
      </c>
      <c r="Z29" s="384">
        <f t="shared" si="22"/>
        <v>27.913925360862368</v>
      </c>
      <c r="AA29" s="385">
        <f t="shared" si="13"/>
        <v>30.209397445983633</v>
      </c>
      <c r="AB29" s="196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7.5985364793379959E-2</v>
      </c>
      <c r="AD29" s="230">
        <f>(INDEX(Models!$BJ29:$BT29,,AH29)*(1-AF29)+INDEX(Models!$BJ29:$BT29,,AH29+1)*AF29-ERP_i)*AE29*Ramure*Pc/MaxiM</f>
        <v>6.3363950671093934E-4</v>
      </c>
      <c r="AE29" s="304">
        <f t="shared" si="15"/>
        <v>0.5</v>
      </c>
      <c r="AF29" s="176">
        <f t="shared" si="23"/>
        <v>3.5100859953017149E-2</v>
      </c>
      <c r="AG29" s="814">
        <f t="shared" si="24"/>
        <v>1</v>
      </c>
      <c r="AH29" s="175">
        <f t="shared" si="16"/>
        <v>7</v>
      </c>
      <c r="AI29" s="224">
        <f t="shared" si="17"/>
        <v>1.0351008599530171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44942</v>
      </c>
      <c r="B30" s="410">
        <f>'2022'!Wh/'2022'!Env_an*'2023'!Env_an</f>
        <v>27.120833591530591</v>
      </c>
      <c r="C30" s="843"/>
      <c r="D30" s="392">
        <f t="shared" si="0"/>
        <v>28.109770400098032</v>
      </c>
      <c r="E30" s="384">
        <f t="shared" si="1"/>
        <v>29.738772064372416</v>
      </c>
      <c r="F30" s="384">
        <f t="shared" si="2"/>
        <v>29.757828642764935</v>
      </c>
      <c r="G30" s="110">
        <f t="shared" si="21"/>
        <v>1.0102265688655996</v>
      </c>
      <c r="H30" s="413" t="b">
        <f>Wh_hp&gt;='2022'!Maxi_hp</f>
        <v>1</v>
      </c>
      <c r="I30" s="389">
        <f>IF(H30,Wh_hp,'2022'!Maxi_hp)</f>
        <v>29.757828642764935</v>
      </c>
      <c r="J30" s="85">
        <f>IF(H30,An,'2022'!An_max)</f>
        <v>2023</v>
      </c>
      <c r="K30" s="196">
        <f t="shared" si="3"/>
        <v>44942</v>
      </c>
      <c r="L30" s="147">
        <f>IF(t&lt;Tvie,1-EXP((T0-t)*PertePVj)+'2022'!Pspv,1-EXP((T0-t)*PertePVj)+Pspv)</f>
        <v>3.5181248174264358E-2</v>
      </c>
      <c r="M30" s="847"/>
      <c r="N30" s="847"/>
      <c r="O30" s="48">
        <f>IF(t&lt;Tnet,'2022'!Resal+('2022'!Salim-'2022'!Resal)*(1-EXP(('2022'!Tnet-t)/('2022'!Tau_j))),Resal+(Salim-Resal)*(1-EXP((Tnet-t)/(Tau_j))))*Salcycl</f>
        <v>5.4777031840731516E-2</v>
      </c>
      <c r="P30" s="168">
        <f>(INDEX(Models!$BJ30:$BT30,,T30)*(1-R30)+INDEX(Models!$BJ30:$BT30,,T30+1)*R30-ERP_i)*Q30*Ramure*Pc/MaxiM</f>
        <v>6.4038874009552077E-4</v>
      </c>
      <c r="Q30" s="304">
        <f t="shared" si="4"/>
        <v>0.5</v>
      </c>
      <c r="R30" s="176">
        <f t="shared" si="5"/>
        <v>3.5131952742253336E-2</v>
      </c>
      <c r="S30" s="814">
        <f t="shared" si="6"/>
        <v>1</v>
      </c>
      <c r="T30" s="175">
        <f t="shared" si="7"/>
        <v>7</v>
      </c>
      <c r="U30" s="250">
        <f t="shared" si="8"/>
        <v>1.0351319527422533</v>
      </c>
      <c r="V30" s="382">
        <f t="shared" si="9"/>
        <v>26.846288176705777</v>
      </c>
      <c r="W30" s="401">
        <f t="shared" si="10"/>
        <v>27.120833591530591</v>
      </c>
      <c r="X30" s="157">
        <f t="shared" si="11"/>
        <v>44942</v>
      </c>
      <c r="Y30" s="384">
        <f t="shared" si="12"/>
        <v>26.511630763983504</v>
      </c>
      <c r="Z30" s="384">
        <f t="shared" si="22"/>
        <v>27.478353539268692</v>
      </c>
      <c r="AA30" s="385">
        <f t="shared" si="13"/>
        <v>29.738772064372416</v>
      </c>
      <c r="AB30" s="196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7.600914120498424E-2</v>
      </c>
      <c r="AD30" s="230">
        <f>(INDEX(Models!$BJ30:$BT30,,AH30)*(1-AF30)+INDEX(Models!$BJ30:$BT30,,AH30+1)*AF30-ERP_i)*AE30*Ramure*Pc/MaxiM</f>
        <v>6.4038874009552077E-4</v>
      </c>
      <c r="AE30" s="304">
        <f t="shared" si="15"/>
        <v>0.5</v>
      </c>
      <c r="AF30" s="176">
        <f t="shared" si="23"/>
        <v>3.5131952742253336E-2</v>
      </c>
      <c r="AG30" s="814">
        <f t="shared" si="24"/>
        <v>1</v>
      </c>
      <c r="AH30" s="175">
        <f t="shared" si="16"/>
        <v>7</v>
      </c>
      <c r="AI30" s="224">
        <f t="shared" si="17"/>
        <v>1.0351319527422533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44943</v>
      </c>
      <c r="B31" s="410">
        <f>'2022'!Wh/'2022'!Env_an*'2023'!Env_an</f>
        <v>17.551488918745829</v>
      </c>
      <c r="C31" s="843"/>
      <c r="D31" s="392">
        <f t="shared" si="0"/>
        <v>18.191886132452385</v>
      </c>
      <c r="E31" s="384">
        <f t="shared" si="1"/>
        <v>19.247081071390586</v>
      </c>
      <c r="F31" s="384">
        <f t="shared" si="2"/>
        <v>19.253239082591357</v>
      </c>
      <c r="G31" s="110">
        <f t="shared" si="21"/>
        <v>0.64700022069634999</v>
      </c>
      <c r="H31" s="413" t="b">
        <f>Wh_hp&gt;='2022'!Maxi_hp</f>
        <v>0</v>
      </c>
      <c r="I31" s="389">
        <f>IF(H31,Wh_hp,'2022'!Maxi_hp)</f>
        <v>19.2546417129969</v>
      </c>
      <c r="J31" s="85">
        <f>IF(H31,An,'2022'!An_max)</f>
        <v>2022</v>
      </c>
      <c r="K31" s="196">
        <f t="shared" si="3"/>
        <v>44943</v>
      </c>
      <c r="L31" s="147">
        <f>IF(t&lt;Tvie,1-EXP((T0-t)*PertePVj)+'2022'!Pspv,1-EXP((T0-t)*PertePVj)+Pspv)</f>
        <v>3.5202353897991735E-2</v>
      </c>
      <c r="M31" s="847"/>
      <c r="N31" s="847"/>
      <c r="O31" s="48">
        <f>IF(t&lt;Tnet,'2022'!Resal+('2022'!Salim-'2022'!Resal)*(1-EXP(('2022'!Tnet-t)/('2022'!Tau_j))),Resal+(Salim-Resal)*(1-EXP((Tnet-t)/(Tau_j))))*Salcycl</f>
        <v>5.4823634556549594E-2</v>
      </c>
      <c r="P31" s="168">
        <f>(INDEX(Models!$BJ31:$BT31,,T31)*(1-R31)+INDEX(Models!$BJ31:$BT31,,T31+1)*R31-ERP_i)*Q31*Ramure*Pc/MaxiM</f>
        <v>6.4482476822902348E-4</v>
      </c>
      <c r="Q31" s="304">
        <f t="shared" si="4"/>
        <v>0.5</v>
      </c>
      <c r="R31" s="176">
        <f t="shared" si="5"/>
        <v>3.5164343075865689E-2</v>
      </c>
      <c r="S31" s="814">
        <f t="shared" si="6"/>
        <v>1</v>
      </c>
      <c r="T31" s="175">
        <f t="shared" si="7"/>
        <v>7</v>
      </c>
      <c r="U31" s="250">
        <f t="shared" si="8"/>
        <v>1.0351643430758657</v>
      </c>
      <c r="V31" s="382">
        <f t="shared" si="9"/>
        <v>27.118666449132384</v>
      </c>
      <c r="W31" s="401">
        <f t="shared" si="10"/>
        <v>17.551488918745829</v>
      </c>
      <c r="X31" s="157">
        <f t="shared" si="11"/>
        <v>44943</v>
      </c>
      <c r="Y31" s="384">
        <f t="shared" si="12"/>
        <v>17.157641158597144</v>
      </c>
      <c r="Z31" s="384">
        <f t="shared" si="22"/>
        <v>17.783668137995296</v>
      </c>
      <c r="AA31" s="385">
        <f t="shared" si="13"/>
        <v>19.247081071390586</v>
      </c>
      <c r="AB31" s="196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7.603298016812278E-2</v>
      </c>
      <c r="AD31" s="230">
        <f>(INDEX(Models!$BJ31:$BT31,,AH31)*(1-AF31)+INDEX(Models!$BJ31:$BT31,,AH31+1)*AF31-ERP_i)*AE31*Ramure*Pc/MaxiM</f>
        <v>6.4482476822902348E-4</v>
      </c>
      <c r="AE31" s="304">
        <f t="shared" si="15"/>
        <v>0.5</v>
      </c>
      <c r="AF31" s="176">
        <f t="shared" si="23"/>
        <v>3.5164343075865689E-2</v>
      </c>
      <c r="AG31" s="814">
        <f t="shared" si="24"/>
        <v>1</v>
      </c>
      <c r="AH31" s="175">
        <f t="shared" si="16"/>
        <v>7</v>
      </c>
      <c r="AI31" s="224">
        <f t="shared" si="17"/>
        <v>1.0351643430758657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44944</v>
      </c>
      <c r="B32" s="410">
        <f>'2022'!Wh/'2022'!Env_an*'2023'!Env_an</f>
        <v>3.7137104806412435</v>
      </c>
      <c r="C32" s="843"/>
      <c r="D32" s="392">
        <f t="shared" si="0"/>
        <v>3.8492960011296664</v>
      </c>
      <c r="E32" s="384">
        <f t="shared" si="1"/>
        <v>4.0727699153382195</v>
      </c>
      <c r="F32" s="384">
        <f t="shared" si="2"/>
        <v>4.0727699153382195</v>
      </c>
      <c r="G32" s="110">
        <f t="shared" si="21"/>
        <v>0.13547126810122925</v>
      </c>
      <c r="H32" s="413" t="b">
        <f>Wh_hp&gt;='2022'!Maxi_hp</f>
        <v>0</v>
      </c>
      <c r="I32" s="389">
        <f>IF(H32,Wh_hp,'2022'!Maxi_hp)</f>
        <v>29.889326692258766</v>
      </c>
      <c r="J32" s="85">
        <f>IF(H32,An,'2022'!An_max)</f>
        <v>2021</v>
      </c>
      <c r="K32" s="196">
        <f t="shared" si="3"/>
        <v>44944</v>
      </c>
      <c r="L32" s="147">
        <f>IF(t&lt;Tvie,1-EXP((T0-t)*PertePVj)+'2022'!Pspv,1-EXP((T0-t)*PertePVj)+Pspv)</f>
        <v>3.5223459159449445E-2</v>
      </c>
      <c r="M32" s="847"/>
      <c r="N32" s="847"/>
      <c r="O32" s="48">
        <f>IF(t&lt;Tnet,'2022'!Resal+('2022'!Salim-'2022'!Resal)*(1-EXP(('2022'!Tnet-t)/('2022'!Tau_j))),Resal+(Salim-Resal)*(1-EXP((Tnet-t)/(Tau_j))))*Salcycl</f>
        <v>5.4870252642296613E-2</v>
      </c>
      <c r="P32" s="168">
        <f>(INDEX(Models!$BJ32:$BT32,,T32)*(1-R32)+INDEX(Models!$BJ32:$BT32,,T32+1)*R32-ERP_i)*Q32*Ramure*Pc/MaxiM</f>
        <v>6.470353726705973E-4</v>
      </c>
      <c r="Q32" s="304">
        <f t="shared" si="4"/>
        <v>0.5</v>
      </c>
      <c r="R32" s="176">
        <f t="shared" si="5"/>
        <v>3.5198084803150786E-2</v>
      </c>
      <c r="S32" s="814">
        <f t="shared" si="6"/>
        <v>1</v>
      </c>
      <c r="T32" s="175">
        <f t="shared" si="7"/>
        <v>7</v>
      </c>
      <c r="U32" s="250">
        <f t="shared" si="8"/>
        <v>1.0351980848031508</v>
      </c>
      <c r="V32" s="382">
        <f t="shared" si="9"/>
        <v>27.395532872868525</v>
      </c>
      <c r="W32" s="401">
        <f t="shared" si="10"/>
        <v>3.7137104806412435</v>
      </c>
      <c r="X32" s="157">
        <f t="shared" si="11"/>
        <v>44944</v>
      </c>
      <c r="Y32" s="384">
        <f t="shared" si="12"/>
        <v>3.6304615738044705</v>
      </c>
      <c r="Z32" s="384">
        <f t="shared" si="22"/>
        <v>3.763007722639558</v>
      </c>
      <c r="AA32" s="385">
        <f t="shared" si="13"/>
        <v>4.0727699153382195</v>
      </c>
      <c r="AB32" s="196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7.6056884905794597E-2</v>
      </c>
      <c r="AD32" s="230">
        <f>(INDEX(Models!$BJ32:$BT32,,AH32)*(1-AF32)+INDEX(Models!$BJ32:$BT32,,AH32+1)*AF32-ERP_i)*AE32*Ramure*Pc/MaxiM</f>
        <v>6.470353726705973E-4</v>
      </c>
      <c r="AE32" s="304">
        <f t="shared" si="15"/>
        <v>0.5</v>
      </c>
      <c r="AF32" s="176">
        <f t="shared" si="23"/>
        <v>3.5198084803150786E-2</v>
      </c>
      <c r="AG32" s="814">
        <f t="shared" si="24"/>
        <v>1</v>
      </c>
      <c r="AH32" s="175">
        <f t="shared" si="16"/>
        <v>7</v>
      </c>
      <c r="AI32" s="224">
        <f t="shared" si="17"/>
        <v>1.0351980848031508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44945</v>
      </c>
      <c r="B33" s="410">
        <f>'2022'!Wh/'2022'!Env_an*'2023'!Env_an</f>
        <v>11.609918959647695</v>
      </c>
      <c r="C33" s="843"/>
      <c r="D33" s="392">
        <f t="shared" si="0"/>
        <v>12.034053943542705</v>
      </c>
      <c r="E33" s="384">
        <f t="shared" si="1"/>
        <v>12.733328742273184</v>
      </c>
      <c r="F33" s="384">
        <f t="shared" si="2"/>
        <v>12.734735500170268</v>
      </c>
      <c r="G33" s="110">
        <f t="shared" si="21"/>
        <v>0.41927019654094005</v>
      </c>
      <c r="H33" s="413" t="b">
        <f>Wh_hp&gt;='2022'!Maxi_hp</f>
        <v>0</v>
      </c>
      <c r="I33" s="389">
        <f>IF(H33,Wh_hp,'2022'!Maxi_hp)</f>
        <v>31.224540909778487</v>
      </c>
      <c r="J33" s="85">
        <f>IF(H33,An,'2022'!An_max)</f>
        <v>2021</v>
      </c>
      <c r="K33" s="196">
        <f t="shared" si="3"/>
        <v>44945</v>
      </c>
      <c r="L33" s="147">
        <f>IF(t&lt;Tvie,1-EXP((T0-t)*PertePVj)+'2022'!Pspv,1-EXP((T0-t)*PertePVj)+Pspv)</f>
        <v>3.5244563958647925E-2</v>
      </c>
      <c r="M33" s="847"/>
      <c r="N33" s="847"/>
      <c r="O33" s="48">
        <f>IF(t&lt;Tnet,'2022'!Resal+('2022'!Salim-'2022'!Resal)*(1-EXP(('2022'!Tnet-t)/('2022'!Tau_j))),Resal+(Salim-Resal)*(1-EXP((Tnet-t)/(Tau_j))))*Salcycl</f>
        <v>5.4916888810776325E-2</v>
      </c>
      <c r="P33" s="168">
        <f>(INDEX(Models!$BJ33:$BT33,,T33)*(1-R33)+INDEX(Models!$BJ33:$BT33,,T33+1)*R33-ERP_i)*Q33*Ramure*Pc/MaxiM</f>
        <v>6.47107604555035E-4</v>
      </c>
      <c r="Q33" s="304">
        <f t="shared" si="4"/>
        <v>0.5</v>
      </c>
      <c r="R33" s="176">
        <f t="shared" si="5"/>
        <v>3.5233233982667311E-2</v>
      </c>
      <c r="S33" s="814">
        <f t="shared" si="6"/>
        <v>1</v>
      </c>
      <c r="T33" s="175">
        <f t="shared" si="7"/>
        <v>7</v>
      </c>
      <c r="U33" s="250">
        <f t="shared" si="8"/>
        <v>1.0352332339826673</v>
      </c>
      <c r="V33" s="382">
        <f t="shared" si="9"/>
        <v>27.675918784344066</v>
      </c>
      <c r="W33" s="401">
        <f t="shared" si="10"/>
        <v>11.609918959647695</v>
      </c>
      <c r="X33" s="157">
        <f t="shared" si="11"/>
        <v>44945</v>
      </c>
      <c r="Y33" s="384">
        <f t="shared" si="12"/>
        <v>11.349929149641904</v>
      </c>
      <c r="Z33" s="384">
        <f t="shared" si="22"/>
        <v>11.764566153898732</v>
      </c>
      <c r="AA33" s="385">
        <f t="shared" si="13"/>
        <v>12.733328742273184</v>
      </c>
      <c r="AB33" s="196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7.6080858979024932E-2</v>
      </c>
      <c r="AD33" s="230">
        <f>(INDEX(Models!$BJ33:$BT33,,AH33)*(1-AF33)+INDEX(Models!$BJ33:$BT33,,AH33+1)*AF33-ERP_i)*AE33*Ramure*Pc/MaxiM</f>
        <v>6.47107604555035E-4</v>
      </c>
      <c r="AE33" s="304">
        <f t="shared" si="15"/>
        <v>0.5</v>
      </c>
      <c r="AF33" s="176">
        <f t="shared" si="23"/>
        <v>3.5233233982667311E-2</v>
      </c>
      <c r="AG33" s="814">
        <f t="shared" si="24"/>
        <v>1</v>
      </c>
      <c r="AH33" s="175">
        <f t="shared" si="16"/>
        <v>7</v>
      </c>
      <c r="AI33" s="224">
        <f t="shared" si="17"/>
        <v>1.0352332339826673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44946</v>
      </c>
      <c r="B34" s="410">
        <f>'2022'!Wh/'2022'!Env_an*'2023'!Env_an</f>
        <v>5.4072233682572328</v>
      </c>
      <c r="C34" s="843"/>
      <c r="D34" s="392">
        <f t="shared" si="0"/>
        <v>5.6048833244114507</v>
      </c>
      <c r="E34" s="384">
        <f t="shared" si="1"/>
        <v>5.9308646774093914</v>
      </c>
      <c r="F34" s="384">
        <f t="shared" si="2"/>
        <v>5.9308646774093914</v>
      </c>
      <c r="G34" s="110">
        <f t="shared" si="21"/>
        <v>0.19327454116137538</v>
      </c>
      <c r="H34" s="413" t="b">
        <f>Wh_hp&gt;='2022'!Maxi_hp</f>
        <v>0</v>
      </c>
      <c r="I34" s="389">
        <f>IF(H34,Wh_hp,'2022'!Maxi_hp)</f>
        <v>10.158617938876899</v>
      </c>
      <c r="J34" s="85">
        <f>IF(H34,An,'2022'!An_max)</f>
        <v>2020</v>
      </c>
      <c r="K34" s="196">
        <f t="shared" si="3"/>
        <v>44946</v>
      </c>
      <c r="L34" s="147">
        <f>IF(t&lt;Tvie,1-EXP((T0-t)*PertePVj)+'2022'!Pspv,1-EXP((T0-t)*PertePVj)+Pspv)</f>
        <v>3.5265668295597054E-2</v>
      </c>
      <c r="M34" s="847"/>
      <c r="N34" s="847"/>
      <c r="O34" s="48">
        <f>IF(t&lt;Tnet,'2022'!Resal+('2022'!Salim-'2022'!Resal)*(1-EXP(('2022'!Tnet-t)/('2022'!Tau_j))),Resal+(Salim-Resal)*(1-EXP((Tnet-t)/(Tau_j))))*Salcycl</f>
        <v>5.4963545912554798E-2</v>
      </c>
      <c r="P34" s="168">
        <f>(INDEX(Models!$BJ34:$BT34,,T34)*(1-R34)+INDEX(Models!$BJ34:$BT34,,T34+1)*R34-ERP_i)*Q34*Ramure*Pc/MaxiM</f>
        <v>6.4513056284801001E-4</v>
      </c>
      <c r="Q34" s="304">
        <f t="shared" si="4"/>
        <v>0.5</v>
      </c>
      <c r="R34" s="176">
        <f t="shared" si="5"/>
        <v>3.5269848970692852E-2</v>
      </c>
      <c r="S34" s="814">
        <f t="shared" si="6"/>
        <v>1</v>
      </c>
      <c r="T34" s="175">
        <f t="shared" si="7"/>
        <v>7</v>
      </c>
      <c r="U34" s="250">
        <f t="shared" si="8"/>
        <v>1.0352698489706929</v>
      </c>
      <c r="V34" s="382">
        <f t="shared" si="9"/>
        <v>27.95885568130959</v>
      </c>
      <c r="W34" s="401">
        <f t="shared" si="10"/>
        <v>5.4072233682572328</v>
      </c>
      <c r="X34" s="157">
        <f t="shared" si="11"/>
        <v>44946</v>
      </c>
      <c r="Y34" s="384">
        <f t="shared" si="12"/>
        <v>5.2862586620554044</v>
      </c>
      <c r="Z34" s="384">
        <f t="shared" si="22"/>
        <v>5.4794967778498505</v>
      </c>
      <c r="AA34" s="385">
        <f t="shared" si="13"/>
        <v>5.9308646774093914</v>
      </c>
      <c r="AB34" s="196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7.6104906132624647E-2</v>
      </c>
      <c r="AD34" s="230">
        <f>(INDEX(Models!$BJ34:$BT34,,AH34)*(1-AF34)+INDEX(Models!$BJ34:$BT34,,AH34+1)*AF34-ERP_i)*AE34*Ramure*Pc/MaxiM</f>
        <v>6.4513056284801001E-4</v>
      </c>
      <c r="AE34" s="304">
        <f t="shared" si="15"/>
        <v>0.5</v>
      </c>
      <c r="AF34" s="176">
        <f t="shared" si="23"/>
        <v>3.5269848970692852E-2</v>
      </c>
      <c r="AG34" s="814">
        <f t="shared" si="24"/>
        <v>1</v>
      </c>
      <c r="AH34" s="175">
        <f t="shared" si="16"/>
        <v>7</v>
      </c>
      <c r="AI34" s="224">
        <f t="shared" si="17"/>
        <v>1.0352698489706929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44947</v>
      </c>
      <c r="B35" s="410">
        <f>'2022'!Wh/'2022'!Env_an*'2023'!Env_an</f>
        <v>18.539761693318564</v>
      </c>
      <c r="C35" s="843"/>
      <c r="D35" s="392">
        <f t="shared" si="0"/>
        <v>19.217899328515799</v>
      </c>
      <c r="E35" s="384">
        <f t="shared" si="1"/>
        <v>20.336621489609453</v>
      </c>
      <c r="F35" s="384">
        <f t="shared" si="2"/>
        <v>20.343263258158981</v>
      </c>
      <c r="G35" s="110">
        <f t="shared" si="21"/>
        <v>0.65622203427427372</v>
      </c>
      <c r="H35" s="413" t="b">
        <f>Wh_hp&gt;='2022'!Maxi_hp</f>
        <v>0</v>
      </c>
      <c r="I35" s="389">
        <f>IF(H35,Wh_hp,'2022'!Maxi_hp)</f>
        <v>20.344723444640852</v>
      </c>
      <c r="J35" s="85">
        <f>IF(H35,An,'2022'!An_max)</f>
        <v>2022</v>
      </c>
      <c r="K35" s="196">
        <f t="shared" si="3"/>
        <v>44947</v>
      </c>
      <c r="L35" s="147">
        <f>IF(t&lt;Tvie,1-EXP((T0-t)*PertePVj)+'2022'!Pspv,1-EXP((T0-t)*PertePVj)+Pspv)</f>
        <v>3.5286772170307047E-2</v>
      </c>
      <c r="M35" s="847"/>
      <c r="N35" s="847"/>
      <c r="O35" s="48">
        <f>IF(t&lt;Tnet,'2022'!Resal+('2022'!Salim-'2022'!Resal)*(1-EXP(('2022'!Tnet-t)/('2022'!Tau_j))),Resal+(Salim-Resal)*(1-EXP((Tnet-t)/(Tau_j))))*Salcycl</f>
        <v>5.5010226829723841E-2</v>
      </c>
      <c r="P35" s="168">
        <f>(INDEX(Models!$BJ35:$BT35,,T35)*(1-R35)+INDEX(Models!$BJ35:$BT35,,T35+1)*R35-ERP_i)*Q35*Ramure*Pc/MaxiM</f>
        <v>6.4119261238105836E-4</v>
      </c>
      <c r="Q35" s="304">
        <f t="shared" si="4"/>
        <v>0.5</v>
      </c>
      <c r="R35" s="176">
        <f t="shared" si="5"/>
        <v>3.530799051303446E-2</v>
      </c>
      <c r="S35" s="814">
        <f t="shared" si="6"/>
        <v>1</v>
      </c>
      <c r="T35" s="175">
        <f t="shared" si="7"/>
        <v>7</v>
      </c>
      <c r="U35" s="250">
        <f t="shared" si="8"/>
        <v>1.0353079905130345</v>
      </c>
      <c r="V35" s="382">
        <f t="shared" si="9"/>
        <v>28.243375281578789</v>
      </c>
      <c r="W35" s="401">
        <f t="shared" si="10"/>
        <v>18.539761693318564</v>
      </c>
      <c r="X35" s="157">
        <f t="shared" si="11"/>
        <v>44947</v>
      </c>
      <c r="Y35" s="384">
        <f t="shared" si="12"/>
        <v>18.125431727132806</v>
      </c>
      <c r="Z35" s="384">
        <f t="shared" si="22"/>
        <v>18.788414219124409</v>
      </c>
      <c r="AA35" s="385">
        <f t="shared" si="13"/>
        <v>20.336621489609453</v>
      </c>
      <c r="AB35" s="196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7.6129030147710011E-2</v>
      </c>
      <c r="AD35" s="230">
        <f>(INDEX(Models!$BJ35:$BT35,,AH35)*(1-AF35)+INDEX(Models!$BJ35:$BT35,,AH35+1)*AF35-ERP_i)*AE35*Ramure*Pc/MaxiM</f>
        <v>6.4119261238105836E-4</v>
      </c>
      <c r="AE35" s="304">
        <f t="shared" si="15"/>
        <v>0.5</v>
      </c>
      <c r="AF35" s="176">
        <f t="shared" si="23"/>
        <v>3.530799051303446E-2</v>
      </c>
      <c r="AG35" s="814">
        <f t="shared" si="24"/>
        <v>1</v>
      </c>
      <c r="AH35" s="175">
        <f t="shared" si="16"/>
        <v>7</v>
      </c>
      <c r="AI35" s="224">
        <f t="shared" si="17"/>
        <v>1.0353079905130345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44948</v>
      </c>
      <c r="B36" s="410">
        <f>'2022'!Wh/'2022'!Env_an*'2023'!Env_an</f>
        <v>28.6447997353633</v>
      </c>
      <c r="C36" s="843"/>
      <c r="D36" s="392">
        <f t="shared" si="0"/>
        <v>29.693203676424893</v>
      </c>
      <c r="E36" s="384">
        <f t="shared" si="1"/>
        <v>31.423272741614905</v>
      </c>
      <c r="F36" s="384">
        <f t="shared" si="2"/>
        <v>31.443251036621696</v>
      </c>
      <c r="G36" s="110">
        <f t="shared" si="21"/>
        <v>1.0040762762424644</v>
      </c>
      <c r="H36" s="413" t="b">
        <f>Wh_hp&gt;='2022'!Maxi_hp</f>
        <v>1</v>
      </c>
      <c r="I36" s="389">
        <f>IF(H36,Wh_hp,'2022'!Maxi_hp)</f>
        <v>31.443251036621696</v>
      </c>
      <c r="J36" s="85">
        <f>IF(H36,An,'2022'!An_max)</f>
        <v>2023</v>
      </c>
      <c r="K36" s="196">
        <f t="shared" si="3"/>
        <v>44948</v>
      </c>
      <c r="L36" s="147">
        <f>IF(t&lt;Tvie,1-EXP((T0-t)*PertePVj)+'2022'!Pspv,1-EXP((T0-t)*PertePVj)+Pspv)</f>
        <v>3.5307875582788008E-2</v>
      </c>
      <c r="M36" s="847"/>
      <c r="N36" s="847"/>
      <c r="O36" s="48">
        <f>IF(t&lt;Tnet,'2022'!Resal+('2022'!Salim-'2022'!Resal)*(1-EXP(('2022'!Tnet-t)/('2022'!Tau_j))),Resal+(Salim-Resal)*(1-EXP((Tnet-t)/(Tau_j))))*Salcycl</f>
        <v>5.5056934375228926E-2</v>
      </c>
      <c r="P36" s="168">
        <f>(INDEX(Models!$BJ36:$BT36,,T36)*(1-R36)+INDEX(Models!$BJ36:$BT36,,T36+1)*R36-ERP_i)*Q36*Ramure*Pc/MaxiM</f>
        <v>6.3537625239585714E-4</v>
      </c>
      <c r="Q36" s="304">
        <f t="shared" si="4"/>
        <v>0.5</v>
      </c>
      <c r="R36" s="176">
        <f t="shared" si="5"/>
        <v>3.534772184030377E-2</v>
      </c>
      <c r="S36" s="814">
        <f t="shared" si="6"/>
        <v>1</v>
      </c>
      <c r="T36" s="175">
        <f t="shared" si="7"/>
        <v>7</v>
      </c>
      <c r="U36" s="250">
        <f t="shared" si="8"/>
        <v>1.0353477218403038</v>
      </c>
      <c r="V36" s="382">
        <f t="shared" si="9"/>
        <v>28.528509649247155</v>
      </c>
      <c r="W36" s="401">
        <f t="shared" si="10"/>
        <v>28.6447997353633</v>
      </c>
      <c r="X36" s="157">
        <f t="shared" si="11"/>
        <v>44948</v>
      </c>
      <c r="Y36" s="384">
        <f t="shared" si="12"/>
        <v>28.005291049589619</v>
      </c>
      <c r="Z36" s="384">
        <f t="shared" si="22"/>
        <v>29.030288877405447</v>
      </c>
      <c r="AA36" s="385">
        <f t="shared" si="13"/>
        <v>31.423272741614905</v>
      </c>
      <c r="AB36" s="196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7.6153234702391437E-2</v>
      </c>
      <c r="AD36" s="230">
        <f>(INDEX(Models!$BJ36:$BT36,,AH36)*(1-AF36)+INDEX(Models!$BJ36:$BT36,,AH36+1)*AF36-ERP_i)*AE36*Ramure*Pc/MaxiM</f>
        <v>6.3537625239585714E-4</v>
      </c>
      <c r="AE36" s="304">
        <f t="shared" si="15"/>
        <v>0.5</v>
      </c>
      <c r="AF36" s="176">
        <f t="shared" si="23"/>
        <v>3.534772184030377E-2</v>
      </c>
      <c r="AG36" s="814">
        <f t="shared" si="24"/>
        <v>1</v>
      </c>
      <c r="AH36" s="175">
        <f t="shared" si="16"/>
        <v>7</v>
      </c>
      <c r="AI36" s="224">
        <f t="shared" si="17"/>
        <v>1.0353477218403038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44949</v>
      </c>
      <c r="B37" s="410">
        <f>'2022'!Wh/'2022'!Env_an*'2023'!Env_an</f>
        <v>28.448249299091017</v>
      </c>
      <c r="C37" s="843"/>
      <c r="D37" s="392">
        <f t="shared" si="0"/>
        <v>29.490104570395939</v>
      </c>
      <c r="E37" s="384">
        <f t="shared" si="1"/>
        <v>31.209883742280866</v>
      </c>
      <c r="F37" s="384">
        <f t="shared" si="2"/>
        <v>31.229128004818328</v>
      </c>
      <c r="G37" s="110">
        <f t="shared" si="21"/>
        <v>0.98720727399855945</v>
      </c>
      <c r="H37" s="413" t="b">
        <f>Wh_hp&gt;='2022'!Maxi_hp</f>
        <v>0</v>
      </c>
      <c r="I37" s="389">
        <f>IF(H37,Wh_hp,'2022'!Maxi_hp)</f>
        <v>31.229210353885971</v>
      </c>
      <c r="J37" s="85">
        <f>IF(H37,An,'2022'!An_max)</f>
        <v>2022</v>
      </c>
      <c r="K37" s="196">
        <f t="shared" si="3"/>
        <v>44949</v>
      </c>
      <c r="L37" s="147">
        <f>IF(t&lt;Tvie,1-EXP((T0-t)*PertePVj)+'2022'!Pspv,1-EXP((T0-t)*PertePVj)+Pspv)</f>
        <v>3.532897853305015E-2</v>
      </c>
      <c r="M37" s="847"/>
      <c r="N37" s="847"/>
      <c r="O37" s="48">
        <f>IF(t&lt;Tnet,'2022'!Resal+('2022'!Salim-'2022'!Resal)*(1-EXP(('2022'!Tnet-t)/('2022'!Tau_j))),Resal+(Salim-Resal)*(1-EXP((Tnet-t)/(Tau_j))))*Salcycl</f>
        <v>5.5103671198720151E-2</v>
      </c>
      <c r="P37" s="168">
        <f>(INDEX(Models!$BJ37:$BT37,,T37)*(1-R37)+INDEX(Models!$BJ37:$BT37,,T37+1)*R37-ERP_i)*Q37*Ramure*Pc/MaxiM</f>
        <v>6.2768905026269999E-4</v>
      </c>
      <c r="Q37" s="304">
        <f t="shared" si="4"/>
        <v>0.5</v>
      </c>
      <c r="R37" s="176">
        <f t="shared" si="5"/>
        <v>3.538910876677015E-2</v>
      </c>
      <c r="S37" s="814">
        <f t="shared" si="6"/>
        <v>1</v>
      </c>
      <c r="T37" s="175">
        <f t="shared" si="7"/>
        <v>7</v>
      </c>
      <c r="U37" s="250">
        <f t="shared" si="8"/>
        <v>1.0353891087667701</v>
      </c>
      <c r="V37" s="382">
        <f t="shared" si="9"/>
        <v>28.816565477179374</v>
      </c>
      <c r="W37" s="401">
        <f t="shared" si="10"/>
        <v>28.448249299091017</v>
      </c>
      <c r="X37" s="157">
        <f t="shared" si="11"/>
        <v>44949</v>
      </c>
      <c r="Y37" s="384">
        <f t="shared" si="12"/>
        <v>27.813773136634406</v>
      </c>
      <c r="Z37" s="384">
        <f t="shared" si="22"/>
        <v>28.83239209812557</v>
      </c>
      <c r="AA37" s="385">
        <f t="shared" si="13"/>
        <v>31.209883742280866</v>
      </c>
      <c r="AB37" s="196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7.6177523241922437E-2</v>
      </c>
      <c r="AD37" s="230">
        <f>(INDEX(Models!$BJ37:$BT37,,AH37)*(1-AF37)+INDEX(Models!$BJ37:$BT37,,AH37+1)*AF37-ERP_i)*AE37*Ramure*Pc/MaxiM</f>
        <v>6.2768905026269999E-4</v>
      </c>
      <c r="AE37" s="304">
        <f t="shared" si="15"/>
        <v>0.5</v>
      </c>
      <c r="AF37" s="176">
        <f t="shared" si="23"/>
        <v>3.538910876677015E-2</v>
      </c>
      <c r="AG37" s="814">
        <f t="shared" si="24"/>
        <v>1</v>
      </c>
      <c r="AH37" s="175">
        <f t="shared" si="16"/>
        <v>7</v>
      </c>
      <c r="AI37" s="224">
        <f t="shared" si="17"/>
        <v>1.0353891087667701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44950</v>
      </c>
      <c r="B38" s="410">
        <f>'2022'!Wh/'2022'!Env_an*'2023'!Env_an</f>
        <v>29.104686740678542</v>
      </c>
      <c r="C38" s="843"/>
      <c r="D38" s="392">
        <f t="shared" si="0"/>
        <v>30.171242611502525</v>
      </c>
      <c r="E38" s="384">
        <f t="shared" si="1"/>
        <v>31.932324339460287</v>
      </c>
      <c r="F38" s="384">
        <f t="shared" si="2"/>
        <v>31.952048296686144</v>
      </c>
      <c r="G38" s="110">
        <f t="shared" si="21"/>
        <v>0.99980873005191717</v>
      </c>
      <c r="H38" s="413" t="b">
        <f>Wh_hp&gt;='2022'!Maxi_hp</f>
        <v>0</v>
      </c>
      <c r="I38" s="389">
        <f>IF(H38,Wh_hp,'2022'!Maxi_hp)</f>
        <v>31.952049540874114</v>
      </c>
      <c r="J38" s="85">
        <f>IF(H38,An,'2022'!An_max)</f>
        <v>2022</v>
      </c>
      <c r="K38" s="196">
        <f t="shared" si="3"/>
        <v>44950</v>
      </c>
      <c r="L38" s="147">
        <f>IF(t&lt;Tvie,1-EXP((T0-t)*PertePVj)+'2022'!Pspv,1-EXP((T0-t)*PertePVj)+Pspv)</f>
        <v>3.5350081021103465E-2</v>
      </c>
      <c r="M38" s="847"/>
      <c r="N38" s="847"/>
      <c r="O38" s="48">
        <f>IF(t&lt;Tnet,'2022'!Resal+('2022'!Salim-'2022'!Resal)*(1-EXP(('2022'!Tnet-t)/('2022'!Tau_j))),Resal+(Salim-Resal)*(1-EXP((Tnet-t)/(Tau_j))))*Salcycl</f>
        <v>5.5150439699796966E-2</v>
      </c>
      <c r="P38" s="168">
        <f>(INDEX(Models!$BJ38:$BT38,,T38)*(1-R38)+INDEX(Models!$BJ38:$BT38,,T38+1)*R38-ERP_i)*Q38*Ramure*Pc/MaxiM</f>
        <v>6.1746724936772646E-4</v>
      </c>
      <c r="Q38" s="304">
        <f t="shared" si="4"/>
        <v>0.5</v>
      </c>
      <c r="R38" s="176">
        <f t="shared" si="5"/>
        <v>3.5432219792907782E-2</v>
      </c>
      <c r="S38" s="814">
        <f t="shared" si="6"/>
        <v>1</v>
      </c>
      <c r="T38" s="175">
        <f t="shared" si="7"/>
        <v>7</v>
      </c>
      <c r="U38" s="250">
        <f t="shared" si="8"/>
        <v>1.0354322197929078</v>
      </c>
      <c r="V38" s="382">
        <f t="shared" si="9"/>
        <v>29.110249747437322</v>
      </c>
      <c r="W38" s="401">
        <f t="shared" si="10"/>
        <v>29.104686740678542</v>
      </c>
      <c r="X38" s="157">
        <f t="shared" si="11"/>
        <v>44950</v>
      </c>
      <c r="Y38" s="384">
        <f t="shared" si="12"/>
        <v>28.456227821904267</v>
      </c>
      <c r="Z38" s="384">
        <f t="shared" si="22"/>
        <v>29.499020589796782</v>
      </c>
      <c r="AA38" s="385">
        <f t="shared" si="13"/>
        <v>31.932324339460287</v>
      </c>
      <c r="AB38" s="196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7.6201898859475051E-2</v>
      </c>
      <c r="AD38" s="230">
        <f>(INDEX(Models!$BJ38:$BT38,,AH38)*(1-AF38)+INDEX(Models!$BJ38:$BT38,,AH38+1)*AF38-ERP_i)*AE38*Ramure*Pc/MaxiM</f>
        <v>6.1746724936772646E-4</v>
      </c>
      <c r="AE38" s="304">
        <f t="shared" si="15"/>
        <v>0.5</v>
      </c>
      <c r="AF38" s="176">
        <f t="shared" si="23"/>
        <v>3.5432219792907782E-2</v>
      </c>
      <c r="AG38" s="814">
        <f t="shared" si="24"/>
        <v>1</v>
      </c>
      <c r="AH38" s="175">
        <f t="shared" si="16"/>
        <v>7</v>
      </c>
      <c r="AI38" s="224">
        <f t="shared" si="17"/>
        <v>1.0354322197929078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44951</v>
      </c>
      <c r="B39" s="410">
        <f>'2022'!Wh/'2022'!Env_an*'2023'!Env_an</f>
        <v>28.250357712641922</v>
      </c>
      <c r="C39" s="843"/>
      <c r="D39" s="392">
        <f t="shared" si="0"/>
        <v>29.286246912958593</v>
      </c>
      <c r="E39" s="384">
        <f t="shared" si="1"/>
        <v>30.997207261952976</v>
      </c>
      <c r="F39" s="384">
        <f t="shared" si="2"/>
        <v>31.014914114391363</v>
      </c>
      <c r="G39" s="110">
        <f t="shared" si="21"/>
        <v>0.96056446060761858</v>
      </c>
      <c r="H39" s="413" t="b">
        <f>Wh_hp&gt;='2022'!Maxi_hp</f>
        <v>0</v>
      </c>
      <c r="I39" s="389">
        <f>IF(H39,Wh_hp,'2022'!Maxi_hp)</f>
        <v>31.015158927984054</v>
      </c>
      <c r="J39" s="85">
        <f>IF(H39,An,'2022'!An_max)</f>
        <v>2022</v>
      </c>
      <c r="K39" s="196">
        <f t="shared" si="3"/>
        <v>44951</v>
      </c>
      <c r="L39" s="147">
        <f>IF(t&lt;Tvie,1-EXP((T0-t)*PertePVj)+'2022'!Pspv,1-EXP((T0-t)*PertePVj)+Pspv)</f>
        <v>3.5371183046958056E-2</v>
      </c>
      <c r="M39" s="847"/>
      <c r="N39" s="847"/>
      <c r="O39" s="48">
        <f>IF(t&lt;Tnet,'2022'!Resal+('2022'!Salim-'2022'!Resal)*(1-EXP(('2022'!Tnet-t)/('2022'!Tau_j))),Resal+(Salim-Resal)*(1-EXP((Tnet-t)/(Tau_j))))*Salcycl</f>
        <v>5.5197241949421501E-2</v>
      </c>
      <c r="P39" s="168">
        <f>(INDEX(Models!$BJ39:$BT39,,T39)*(1-R39)+INDEX(Models!$BJ39:$BT39,,T39+1)*R39-ERP_i)*Q39*Ramure*Pc/MaxiM</f>
        <v>6.0496758141599292E-4</v>
      </c>
      <c r="Q39" s="304">
        <f t="shared" si="4"/>
        <v>0.5</v>
      </c>
      <c r="R39" s="176">
        <f t="shared" si="5"/>
        <v>3.5477126211752807E-2</v>
      </c>
      <c r="S39" s="814">
        <f t="shared" si="6"/>
        <v>1</v>
      </c>
      <c r="T39" s="175">
        <f t="shared" si="7"/>
        <v>7</v>
      </c>
      <c r="U39" s="250">
        <f t="shared" si="8"/>
        <v>1.0354771262117528</v>
      </c>
      <c r="V39" s="382">
        <f t="shared" si="9"/>
        <v>29.409161278771876</v>
      </c>
      <c r="W39" s="401">
        <f t="shared" si="10"/>
        <v>28.250357712641922</v>
      </c>
      <c r="X39" s="157">
        <f t="shared" si="11"/>
        <v>44951</v>
      </c>
      <c r="Y39" s="384">
        <f t="shared" si="12"/>
        <v>27.621570147643091</v>
      </c>
      <c r="Z39" s="384">
        <f t="shared" si="22"/>
        <v>28.634402852374777</v>
      </c>
      <c r="AA39" s="385">
        <f t="shared" si="13"/>
        <v>30.997207261952976</v>
      </c>
      <c r="AB39" s="196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7.6226364188569554E-2</v>
      </c>
      <c r="AD39" s="230">
        <f>(INDEX(Models!$BJ39:$BT39,,AH39)*(1-AF39)+INDEX(Models!$BJ39:$BT39,,AH39+1)*AF39-ERP_i)*AE39*Ramure*Pc/MaxiM</f>
        <v>6.0496758141599292E-4</v>
      </c>
      <c r="AE39" s="304">
        <f t="shared" si="15"/>
        <v>0.5</v>
      </c>
      <c r="AF39" s="176">
        <f t="shared" si="23"/>
        <v>3.5477126211752807E-2</v>
      </c>
      <c r="AG39" s="814">
        <f t="shared" si="24"/>
        <v>1</v>
      </c>
      <c r="AH39" s="175">
        <f t="shared" si="16"/>
        <v>7</v>
      </c>
      <c r="AI39" s="224">
        <f t="shared" si="17"/>
        <v>1.0354771262117528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44952</v>
      </c>
      <c r="B40" s="410">
        <f>'2022'!Wh/'2022'!Env_an*'2023'!Env_an</f>
        <v>29.111741752122853</v>
      </c>
      <c r="C40" s="843"/>
      <c r="D40" s="392">
        <f t="shared" si="0"/>
        <v>30.179876531851647</v>
      </c>
      <c r="E40" s="384">
        <f t="shared" si="1"/>
        <v>31.944628110632312</v>
      </c>
      <c r="F40" s="384">
        <f t="shared" si="2"/>
        <v>31.962949705956781</v>
      </c>
      <c r="G40" s="110">
        <f t="shared" si="21"/>
        <v>0.9797509158566553</v>
      </c>
      <c r="H40" s="413" t="b">
        <f>Wh_hp&gt;='2022'!Maxi_hp</f>
        <v>0</v>
      </c>
      <c r="I40" s="389">
        <f>IF(H40,Wh_hp,'2022'!Maxi_hp)</f>
        <v>31.963076487742448</v>
      </c>
      <c r="J40" s="85">
        <f>IF(H40,An,'2022'!An_max)</f>
        <v>2022</v>
      </c>
      <c r="K40" s="196">
        <f t="shared" si="3"/>
        <v>44952</v>
      </c>
      <c r="L40" s="147">
        <f>IF(t&lt;Tvie,1-EXP((T0-t)*PertePVj)+'2022'!Pspv,1-EXP((T0-t)*PertePVj)+Pspv)</f>
        <v>3.5392284610624249E-2</v>
      </c>
      <c r="M40" s="847"/>
      <c r="N40" s="847"/>
      <c r="O40" s="48">
        <f>IF(t&lt;Tnet,'2022'!Resal+('2022'!Salim-'2022'!Resal)*(1-EXP(('2022'!Tnet-t)/('2022'!Tau_j))),Resal+(Salim-Resal)*(1-EXP((Tnet-t)/(Tau_j))))*Salcycl</f>
        <v>5.5244079620175454E-2</v>
      </c>
      <c r="P40" s="168">
        <f>(INDEX(Models!$BJ40:$BT40,,T40)*(1-R40)+INDEX(Models!$BJ40:$BT40,,T40+1)*R40-ERP_i)*Q40*Ramure*Pc/MaxiM</f>
        <v>5.902744537348752E-4</v>
      </c>
      <c r="Q40" s="304">
        <f t="shared" si="4"/>
        <v>0.5</v>
      </c>
      <c r="R40" s="176">
        <f t="shared" si="5"/>
        <v>3.5523902219188441E-2</v>
      </c>
      <c r="S40" s="814">
        <f t="shared" si="6"/>
        <v>1</v>
      </c>
      <c r="T40" s="175">
        <f t="shared" si="7"/>
        <v>7</v>
      </c>
      <c r="U40" s="250">
        <f t="shared" si="8"/>
        <v>1.0355239022191884</v>
      </c>
      <c r="V40" s="382">
        <f t="shared" si="9"/>
        <v>29.712903885051404</v>
      </c>
      <c r="W40" s="401">
        <f t="shared" si="10"/>
        <v>29.111741752122853</v>
      </c>
      <c r="X40" s="157">
        <f t="shared" si="11"/>
        <v>44952</v>
      </c>
      <c r="Y40" s="384">
        <f t="shared" si="12"/>
        <v>28.464436202559185</v>
      </c>
      <c r="Z40" s="384">
        <f t="shared" si="22"/>
        <v>29.50882078635372</v>
      </c>
      <c r="AA40" s="385">
        <f t="shared" si="13"/>
        <v>31.944628110632312</v>
      </c>
      <c r="AB40" s="196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7.6250921308045172E-2</v>
      </c>
      <c r="AD40" s="230">
        <f>(INDEX(Models!$BJ40:$BT40,,AH40)*(1-AF40)+INDEX(Models!$BJ40:$BT40,,AH40+1)*AF40-ERP_i)*AE40*Ramure*Pc/MaxiM</f>
        <v>5.902744537348752E-4</v>
      </c>
      <c r="AE40" s="304">
        <f t="shared" si="15"/>
        <v>0.5</v>
      </c>
      <c r="AF40" s="176">
        <f t="shared" si="23"/>
        <v>3.5523902219188441E-2</v>
      </c>
      <c r="AG40" s="814">
        <f t="shared" si="24"/>
        <v>1</v>
      </c>
      <c r="AH40" s="175">
        <f t="shared" si="16"/>
        <v>7</v>
      </c>
      <c r="AI40" s="224">
        <f t="shared" si="17"/>
        <v>1.0355239022191884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44953</v>
      </c>
      <c r="B41" s="410">
        <f>'2022'!Wh/'2022'!Env_an*'2023'!Env_an</f>
        <v>25.522888417403664</v>
      </c>
      <c r="C41" s="843"/>
      <c r="D41" s="392">
        <f t="shared" si="0"/>
        <v>26.45992390869543</v>
      </c>
      <c r="E41" s="384">
        <f t="shared" si="1"/>
        <v>28.008542967440579</v>
      </c>
      <c r="F41" s="384">
        <f t="shared" si="2"/>
        <v>28.021172649553161</v>
      </c>
      <c r="G41" s="110">
        <f t="shared" si="21"/>
        <v>0.85006111594523026</v>
      </c>
      <c r="H41" s="413" t="b">
        <f>Wh_hp&gt;='2022'!Maxi_hp</f>
        <v>0</v>
      </c>
      <c r="I41" s="389">
        <f>IF(H41,Wh_hp,'2022'!Maxi_hp)</f>
        <v>28.021974293111494</v>
      </c>
      <c r="J41" s="85">
        <f>IF(H41,An,'2022'!An_max)</f>
        <v>2022</v>
      </c>
      <c r="K41" s="196">
        <f t="shared" si="3"/>
        <v>44953</v>
      </c>
      <c r="L41" s="147">
        <f>IF(t&lt;Tvie,1-EXP((T0-t)*PertePVj)+'2022'!Pspv,1-EXP((T0-t)*PertePVj)+Pspv)</f>
        <v>3.5413385712112035E-2</v>
      </c>
      <c r="M41" s="847"/>
      <c r="N41" s="847"/>
      <c r="O41" s="48">
        <f>IF(t&lt;Tnet,'2022'!Resal+('2022'!Salim-'2022'!Resal)*(1-EXP(('2022'!Tnet-t)/('2022'!Tau_j))),Resal+(Salim-Resal)*(1-EXP((Tnet-t)/(Tau_j))))*Salcycl</f>
        <v>5.5290953925928622E-2</v>
      </c>
      <c r="P41" s="168">
        <f>(INDEX(Models!$BJ41:$BT41,,T41)*(1-R41)+INDEX(Models!$BJ41:$BT41,,T41+1)*R41-ERP_i)*Q41*Ramure*Pc/MaxiM</f>
        <v>5.7347010570258554E-4</v>
      </c>
      <c r="Q41" s="304">
        <f t="shared" si="4"/>
        <v>0.5</v>
      </c>
      <c r="R41" s="176">
        <f t="shared" si="5"/>
        <v>3.5572625028281513E-2</v>
      </c>
      <c r="S41" s="814">
        <f t="shared" si="6"/>
        <v>1</v>
      </c>
      <c r="T41" s="175">
        <f t="shared" si="7"/>
        <v>7</v>
      </c>
      <c r="U41" s="250">
        <f t="shared" si="8"/>
        <v>1.0355726250282815</v>
      </c>
      <c r="V41" s="382">
        <f t="shared" si="9"/>
        <v>30.021081507872406</v>
      </c>
      <c r="W41" s="401">
        <f t="shared" si="10"/>
        <v>25.522888417403664</v>
      </c>
      <c r="X41" s="157">
        <f t="shared" si="11"/>
        <v>44953</v>
      </c>
      <c r="Y41" s="384">
        <f t="shared" si="12"/>
        <v>24.955954016656509</v>
      </c>
      <c r="Z41" s="384">
        <f t="shared" si="22"/>
        <v>25.872175341226768</v>
      </c>
      <c r="AA41" s="385">
        <f t="shared" si="13"/>
        <v>28.008542967440579</v>
      </c>
      <c r="AB41" s="196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7.6275571660307268E-2</v>
      </c>
      <c r="AD41" s="230">
        <f>(INDEX(Models!$BJ41:$BT41,,AH41)*(1-AF41)+INDEX(Models!$BJ41:$BT41,,AH41+1)*AF41-ERP_i)*AE41*Ramure*Pc/MaxiM</f>
        <v>5.7347010570258554E-4</v>
      </c>
      <c r="AE41" s="304">
        <f t="shared" si="15"/>
        <v>0.5</v>
      </c>
      <c r="AF41" s="176">
        <f t="shared" si="23"/>
        <v>3.5572625028281513E-2</v>
      </c>
      <c r="AG41" s="814">
        <f t="shared" si="24"/>
        <v>1</v>
      </c>
      <c r="AH41" s="175">
        <f t="shared" si="16"/>
        <v>7</v>
      </c>
      <c r="AI41" s="224">
        <f t="shared" si="17"/>
        <v>1.0355726250282815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44954</v>
      </c>
      <c r="B42" s="410">
        <f>'2022'!Wh/'2022'!Env_an*'2023'!Env_an</f>
        <v>3.7743989749902402</v>
      </c>
      <c r="C42" s="843"/>
      <c r="D42" s="392">
        <f t="shared" si="0"/>
        <v>3.9130561082504256</v>
      </c>
      <c r="E42" s="384">
        <f t="shared" si="1"/>
        <v>4.1422811030922011</v>
      </c>
      <c r="F42" s="384">
        <f t="shared" si="2"/>
        <v>4.1422811030922011</v>
      </c>
      <c r="G42" s="110">
        <f t="shared" si="21"/>
        <v>0.12436186583736744</v>
      </c>
      <c r="H42" s="413" t="b">
        <f>Wh_hp&gt;='2022'!Maxi_hp</f>
        <v>0</v>
      </c>
      <c r="I42" s="389">
        <f>IF(H42,Wh_hp,'2022'!Maxi_hp)</f>
        <v>19.765771987607742</v>
      </c>
      <c r="J42" s="85">
        <f>IF(H42,An,'2022'!An_max)</f>
        <v>2020</v>
      </c>
      <c r="K42" s="196">
        <f t="shared" si="3"/>
        <v>44954</v>
      </c>
      <c r="L42" s="147">
        <f>IF(t&lt;Tvie,1-EXP((T0-t)*PertePVj)+'2022'!Pspv,1-EXP((T0-t)*PertePVj)+Pspv)</f>
        <v>3.5434486351431517E-2</v>
      </c>
      <c r="M42" s="847"/>
      <c r="N42" s="847"/>
      <c r="O42" s="48">
        <f>IF(t&lt;Tnet,'2022'!Resal+('2022'!Salim-'2022'!Resal)*(1-EXP(('2022'!Tnet-t)/('2022'!Tau_j))),Resal+(Salim-Resal)*(1-EXP((Tnet-t)/(Tau_j))))*Salcycl</f>
        <v>5.5337865571378028E-2</v>
      </c>
      <c r="P42" s="168">
        <f>(INDEX(Models!$BJ42:$BT42,,T42)*(1-R42)+INDEX(Models!$BJ42:$BT42,,T42+1)*R42-ERP_i)*Q42*Ramure*Pc/MaxiM</f>
        <v>5.5463427501882979E-4</v>
      </c>
      <c r="Q42" s="304">
        <f t="shared" si="4"/>
        <v>0.5</v>
      </c>
      <c r="R42" s="176">
        <f t="shared" si="5"/>
        <v>3.5623374987789003E-2</v>
      </c>
      <c r="S42" s="814">
        <f t="shared" si="6"/>
        <v>1</v>
      </c>
      <c r="T42" s="175">
        <f t="shared" si="7"/>
        <v>7</v>
      </c>
      <c r="U42" s="250">
        <f t="shared" si="8"/>
        <v>1.035623374987789</v>
      </c>
      <c r="V42" s="382">
        <f t="shared" si="9"/>
        <v>30.333298222497696</v>
      </c>
      <c r="W42" s="401">
        <f t="shared" si="10"/>
        <v>3.7743989749902402</v>
      </c>
      <c r="X42" s="157">
        <f t="shared" si="11"/>
        <v>44954</v>
      </c>
      <c r="Y42" s="384">
        <f t="shared" si="12"/>
        <v>3.6906434729276927</v>
      </c>
      <c r="Z42" s="384">
        <f t="shared" si="22"/>
        <v>3.82622374603406</v>
      </c>
      <c r="AA42" s="385">
        <f t="shared" si="13"/>
        <v>4.1422811030922011</v>
      </c>
      <c r="AB42" s="196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7.6300315983433661E-2</v>
      </c>
      <c r="AD42" s="230">
        <f>(INDEX(Models!$BJ42:$BT42,,AH42)*(1-AF42)+INDEX(Models!$BJ42:$BT42,,AH42+1)*AF42-ERP_i)*AE42*Ramure*Pc/MaxiM</f>
        <v>5.5463427501882979E-4</v>
      </c>
      <c r="AE42" s="304">
        <f t="shared" si="15"/>
        <v>0.5</v>
      </c>
      <c r="AF42" s="176">
        <f t="shared" si="23"/>
        <v>3.5623374987789003E-2</v>
      </c>
      <c r="AG42" s="814">
        <f t="shared" si="24"/>
        <v>1</v>
      </c>
      <c r="AH42" s="175">
        <f t="shared" si="16"/>
        <v>7</v>
      </c>
      <c r="AI42" s="224">
        <f t="shared" si="17"/>
        <v>1.035623374987789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44955</v>
      </c>
      <c r="B43" s="410">
        <f>'2022'!Wh/'2022'!Env_an*'2023'!Env_an</f>
        <v>6.0678540117208133</v>
      </c>
      <c r="C43" s="843"/>
      <c r="D43" s="392">
        <f t="shared" si="0"/>
        <v>6.2909016183946704</v>
      </c>
      <c r="E43" s="384">
        <f t="shared" si="1"/>
        <v>6.6597506755889819</v>
      </c>
      <c r="F43" s="384">
        <f t="shared" si="2"/>
        <v>6.6597506755889819</v>
      </c>
      <c r="G43" s="110">
        <f t="shared" si="21"/>
        <v>0.19787214635395828</v>
      </c>
      <c r="H43" s="413" t="b">
        <f>Wh_hp&gt;='2022'!Maxi_hp</f>
        <v>0</v>
      </c>
      <c r="I43" s="389">
        <f>IF(H43,Wh_hp,'2022'!Maxi_hp)</f>
        <v>24.438772504901799</v>
      </c>
      <c r="J43" s="85">
        <f>IF(H43,An,'2022'!An_max)</f>
        <v>2020</v>
      </c>
      <c r="K43" s="196">
        <f t="shared" si="3"/>
        <v>44955</v>
      </c>
      <c r="L43" s="147">
        <f>IF(t&lt;Tvie,1-EXP((T0-t)*PertePVj)+'2022'!Pspv,1-EXP((T0-t)*PertePVj)+Pspv)</f>
        <v>3.5455586528592799E-2</v>
      </c>
      <c r="M43" s="847"/>
      <c r="N43" s="847"/>
      <c r="O43" s="48">
        <f>IF(t&lt;Tnet,'2022'!Resal+('2022'!Salim-'2022'!Resal)*(1-EXP(('2022'!Tnet-t)/('2022'!Tau_j))),Resal+(Salim-Resal)*(1-EXP((Tnet-t)/(Tau_j))))*Salcycl</f>
        <v>5.5384814711804634E-2</v>
      </c>
      <c r="P43" s="168">
        <f>(INDEX(Models!$BJ43:$BT43,,T43)*(1-R43)+INDEX(Models!$BJ43:$BT43,,T43+1)*R43-ERP_i)*Q43*Ramure*Pc/MaxiM</f>
        <v>5.338439165630995E-4</v>
      </c>
      <c r="Q43" s="304">
        <f t="shared" si="4"/>
        <v>0.5</v>
      </c>
      <c r="R43" s="176">
        <f t="shared" si="5"/>
        <v>3.5676235704960257E-2</v>
      </c>
      <c r="S43" s="814">
        <f t="shared" si="6"/>
        <v>1</v>
      </c>
      <c r="T43" s="175">
        <f t="shared" si="7"/>
        <v>7</v>
      </c>
      <c r="U43" s="250">
        <f t="shared" si="8"/>
        <v>1.0356762357049603</v>
      </c>
      <c r="V43" s="382">
        <f t="shared" si="9"/>
        <v>30.649158239389287</v>
      </c>
      <c r="W43" s="401">
        <f t="shared" si="10"/>
        <v>6.0678540117208133</v>
      </c>
      <c r="X43" s="157">
        <f t="shared" si="11"/>
        <v>44955</v>
      </c>
      <c r="Y43" s="384">
        <f t="shared" si="12"/>
        <v>5.9333411166303378</v>
      </c>
      <c r="Z43" s="384">
        <f t="shared" si="22"/>
        <v>6.1514441779577265</v>
      </c>
      <c r="AA43" s="385">
        <f t="shared" si="13"/>
        <v>6.6597506755889819</v>
      </c>
      <c r="AB43" s="196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7.6325154257565586E-2</v>
      </c>
      <c r="AD43" s="230">
        <f>(INDEX(Models!$BJ43:$BT43,,AH43)*(1-AF43)+INDEX(Models!$BJ43:$BT43,,AH43+1)*AF43-ERP_i)*AE43*Ramure*Pc/MaxiM</f>
        <v>5.338439165630995E-4</v>
      </c>
      <c r="AE43" s="304">
        <f t="shared" si="15"/>
        <v>0.5</v>
      </c>
      <c r="AF43" s="176">
        <f t="shared" si="23"/>
        <v>3.5676235704960257E-2</v>
      </c>
      <c r="AG43" s="814">
        <f t="shared" si="24"/>
        <v>1</v>
      </c>
      <c r="AH43" s="175">
        <f t="shared" si="16"/>
        <v>7</v>
      </c>
      <c r="AI43" s="224">
        <f t="shared" si="17"/>
        <v>1.0356762357049603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44956</v>
      </c>
      <c r="B44" s="410">
        <f>'2022'!Wh/'2022'!Env_an*'2023'!Env_an</f>
        <v>4.3183492658669209</v>
      </c>
      <c r="C44" s="843"/>
      <c r="D44" s="392">
        <f t="shared" si="0"/>
        <v>4.477184951651247</v>
      </c>
      <c r="E44" s="384">
        <f t="shared" si="1"/>
        <v>4.7399276791527933</v>
      </c>
      <c r="F44" s="384">
        <f t="shared" si="2"/>
        <v>4.7399276791527933</v>
      </c>
      <c r="G44" s="110">
        <f t="shared" si="21"/>
        <v>0.13937305548202389</v>
      </c>
      <c r="H44" s="413" t="b">
        <f>Wh_hp&gt;='2022'!Maxi_hp</f>
        <v>0</v>
      </c>
      <c r="I44" s="389">
        <f>IF(H44,Wh_hp,'2022'!Maxi_hp)</f>
        <v>10.973075209769302</v>
      </c>
      <c r="J44" s="85">
        <f>IF(H44,An,'2022'!An_max)</f>
        <v>2020</v>
      </c>
      <c r="K44" s="196">
        <f t="shared" si="3"/>
        <v>44956</v>
      </c>
      <c r="L44" s="147">
        <f>IF(t&lt;Tvie,1-EXP((T0-t)*PertePVj)+'2022'!Pspv,1-EXP((T0-t)*PertePVj)+Pspv)</f>
        <v>3.5476686243606094E-2</v>
      </c>
      <c r="M44" s="847"/>
      <c r="N44" s="847"/>
      <c r="O44" s="48">
        <f>IF(t&lt;Tnet,'2022'!Resal+('2022'!Salim-'2022'!Resal)*(1-EXP(('2022'!Tnet-t)/('2022'!Tau_j))),Resal+(Salim-Resal)*(1-EXP((Tnet-t)/(Tau_j))))*Salcycl</f>
        <v>5.5431800923280795E-2</v>
      </c>
      <c r="P44" s="168">
        <f>(INDEX(Models!$BJ44:$BT44,,T44)*(1-R44)+INDEX(Models!$BJ44:$BT44,,T44+1)*R44-ERP_i)*Q44*Ramure*Pc/MaxiM</f>
        <v>5.1223797371083681E-4</v>
      </c>
      <c r="Q44" s="304">
        <f t="shared" si="4"/>
        <v>0.5</v>
      </c>
      <c r="R44" s="176">
        <f t="shared" si="5"/>
        <v>3.5731294172756334E-2</v>
      </c>
      <c r="S44" s="814">
        <f t="shared" si="6"/>
        <v>1</v>
      </c>
      <c r="T44" s="175">
        <f t="shared" si="7"/>
        <v>7</v>
      </c>
      <c r="U44" s="250">
        <f t="shared" si="8"/>
        <v>1.0357312941727563</v>
      </c>
      <c r="V44" s="382">
        <f t="shared" si="9"/>
        <v>30.968232908877329</v>
      </c>
      <c r="W44" s="401">
        <f t="shared" si="10"/>
        <v>4.3183492658669209</v>
      </c>
      <c r="X44" s="157">
        <f t="shared" si="11"/>
        <v>44956</v>
      </c>
      <c r="Y44" s="384">
        <f t="shared" si="12"/>
        <v>4.222715663497528</v>
      </c>
      <c r="Z44" s="384">
        <f t="shared" si="22"/>
        <v>4.3780337947995358</v>
      </c>
      <c r="AA44" s="385">
        <f t="shared" si="13"/>
        <v>4.7399276791527933</v>
      </c>
      <c r="AB44" s="196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7.6350085665851788E-2</v>
      </c>
      <c r="AD44" s="230">
        <f>(INDEX(Models!$BJ44:$BT44,,AH44)*(1-AF44)+INDEX(Models!$BJ44:$BT44,,AH44+1)*AF44-ERP_i)*AE44*Ramure*Pc/MaxiM</f>
        <v>5.1223797371083681E-4</v>
      </c>
      <c r="AE44" s="304">
        <f t="shared" si="15"/>
        <v>0.5</v>
      </c>
      <c r="AF44" s="176">
        <f t="shared" si="23"/>
        <v>3.5731294172756334E-2</v>
      </c>
      <c r="AG44" s="814">
        <f t="shared" si="24"/>
        <v>1</v>
      </c>
      <c r="AH44" s="175">
        <f t="shared" si="16"/>
        <v>7</v>
      </c>
      <c r="AI44" s="224">
        <f t="shared" si="17"/>
        <v>1.0357312941727563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44957</v>
      </c>
      <c r="B45" s="410">
        <f>'2022'!Wh/'2022'!Env_an*'2023'!Env_an</f>
        <v>10.744054361398241</v>
      </c>
      <c r="C45" s="843"/>
      <c r="D45" s="392">
        <f t="shared" si="0"/>
        <v>11.139481278359519</v>
      </c>
      <c r="E45" s="384">
        <f t="shared" si="1"/>
        <v>11.793786684491744</v>
      </c>
      <c r="F45" s="384">
        <f t="shared" si="2"/>
        <v>11.794145811100645</v>
      </c>
      <c r="G45" s="110">
        <f t="shared" si="21"/>
        <v>0.34321108497141395</v>
      </c>
      <c r="H45" s="413" t="b">
        <f>Wh_hp&gt;='2022'!Maxi_hp</f>
        <v>0</v>
      </c>
      <c r="I45" s="389">
        <f>IF(H45,Wh_hp,'2022'!Maxi_hp)</f>
        <v>22.393686095850722</v>
      </c>
      <c r="J45" s="85">
        <f>IF(H45,An,'2022'!An_max)</f>
        <v>2020</v>
      </c>
      <c r="K45" s="196">
        <f t="shared" si="3"/>
        <v>44957</v>
      </c>
      <c r="L45" s="147">
        <f>IF(t&lt;Tvie,1-EXP((T0-t)*PertePVj)+'2022'!Pspv,1-EXP((T0-t)*PertePVj)+Pspv)</f>
        <v>3.5497785496481506E-2</v>
      </c>
      <c r="M45" s="847"/>
      <c r="N45" s="847"/>
      <c r="O45" s="48">
        <f>IF(t&lt;Tnet,'2022'!Resal+('2022'!Salim-'2022'!Resal)*(1-EXP(('2022'!Tnet-t)/('2022'!Tau_j))),Resal+(Salim-Resal)*(1-EXP((Tnet-t)/(Tau_j))))*Salcycl</f>
        <v>5.5478823183448454E-2</v>
      </c>
      <c r="P45" s="168">
        <f>(INDEX(Models!$BJ45:$BT45,,T45)*(1-R45)+INDEX(Models!$BJ45:$BT45,,T45+1)*R45-ERP_i)*Q45*Ramure*Pc/MaxiM</f>
        <v>4.9146865207240768E-4</v>
      </c>
      <c r="Q45" s="304">
        <f t="shared" si="4"/>
        <v>0.5</v>
      </c>
      <c r="R45" s="176">
        <f t="shared" si="5"/>
        <v>3.5788640901614377E-2</v>
      </c>
      <c r="S45" s="814">
        <f t="shared" si="6"/>
        <v>1</v>
      </c>
      <c r="T45" s="175">
        <f t="shared" si="7"/>
        <v>7</v>
      </c>
      <c r="U45" s="250">
        <f t="shared" si="8"/>
        <v>1.0357886409016144</v>
      </c>
      <c r="V45" s="382">
        <f t="shared" si="9"/>
        <v>31.290076185421583</v>
      </c>
      <c r="W45" s="401">
        <f t="shared" si="10"/>
        <v>10.744054361398241</v>
      </c>
      <c r="X45" s="157">
        <f t="shared" si="11"/>
        <v>44957</v>
      </c>
      <c r="Y45" s="384">
        <f t="shared" si="12"/>
        <v>10.506356328092405</v>
      </c>
      <c r="Z45" s="384">
        <f t="shared" si="22"/>
        <v>10.893034946011602</v>
      </c>
      <c r="AA45" s="385">
        <f t="shared" si="13"/>
        <v>11.793786684491744</v>
      </c>
      <c r="AB45" s="196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7.6375108570056305E-2</v>
      </c>
      <c r="AD45" s="230">
        <f>(INDEX(Models!$BJ45:$BT45,,AH45)*(1-AF45)+INDEX(Models!$BJ45:$BT45,,AH45+1)*AF45-ERP_i)*AE45*Ramure*Pc/MaxiM</f>
        <v>4.9146865207240768E-4</v>
      </c>
      <c r="AE45" s="304">
        <f t="shared" si="15"/>
        <v>0.5</v>
      </c>
      <c r="AF45" s="176">
        <f t="shared" si="23"/>
        <v>3.5788640901614377E-2</v>
      </c>
      <c r="AG45" s="814">
        <f t="shared" si="24"/>
        <v>1</v>
      </c>
      <c r="AH45" s="175">
        <f t="shared" si="16"/>
        <v>7</v>
      </c>
      <c r="AI45" s="224">
        <f t="shared" si="17"/>
        <v>1.0357886409016144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44958</v>
      </c>
      <c r="B46" s="410">
        <f>'2022'!Wh/'2022'!Env_an*'2023'!Env_an</f>
        <v>13.629018277828827</v>
      </c>
      <c r="C46" s="843"/>
      <c r="D46" s="392">
        <f t="shared" si="0"/>
        <v>14.130933261204092</v>
      </c>
      <c r="E46" s="384">
        <f t="shared" si="1"/>
        <v>14.961694513294308</v>
      </c>
      <c r="F46" s="384">
        <f t="shared" si="2"/>
        <v>14.963015916567604</v>
      </c>
      <c r="G46" s="110">
        <f t="shared" si="21"/>
        <v>0.43093784073181701</v>
      </c>
      <c r="H46" s="413" t="b">
        <f>Wh_hp&gt;='2022'!Maxi_hp</f>
        <v>0</v>
      </c>
      <c r="I46" s="389">
        <f>IF(H46,Wh_hp,'2022'!Maxi_hp)</f>
        <v>27.773324166847818</v>
      </c>
      <c r="J46" s="85">
        <f>IF(H46,An,'2022'!An_max)</f>
        <v>2019</v>
      </c>
      <c r="K46" s="196">
        <f t="shared" si="3"/>
        <v>44958</v>
      </c>
      <c r="L46" s="147">
        <f>IF(t&lt;Tvie,1-EXP((T0-t)*PertePVj)+'2022'!Pspv,1-EXP((T0-t)*PertePVj)+Pspv)</f>
        <v>3.5518884287229026E-2</v>
      </c>
      <c r="M46" s="847"/>
      <c r="N46" s="847"/>
      <c r="O46" s="48">
        <f>IF(t&lt;Tnet,'2022'!Resal+('2022'!Salim-'2022'!Resal)*(1-EXP(('2022'!Tnet-t)/('2022'!Tau_j))),Resal+(Salim-Resal)*(1-EXP((Tnet-t)/(Tau_j))))*Salcycl</f>
        <v>5.5525879862875084E-2</v>
      </c>
      <c r="P46" s="168">
        <f>(INDEX(Models!$BJ46:$BT46,,T46)*(1-R46)+INDEX(Models!$BJ46:$BT46,,T46+1)*R46-ERP_i)*Q46*Ramure*Pc/MaxiM</f>
        <v>4.7152145353107812E-4</v>
      </c>
      <c r="Q46" s="304">
        <f t="shared" si="4"/>
        <v>0.5</v>
      </c>
      <c r="R46" s="176">
        <f t="shared" si="5"/>
        <v>3.5848370055878487E-2</v>
      </c>
      <c r="S46" s="814">
        <f t="shared" si="6"/>
        <v>1</v>
      </c>
      <c r="T46" s="175">
        <f t="shared" si="7"/>
        <v>7</v>
      </c>
      <c r="U46" s="250">
        <f t="shared" si="8"/>
        <v>1.0358483700558785</v>
      </c>
      <c r="V46" s="382">
        <f t="shared" si="9"/>
        <v>31.614292713610748</v>
      </c>
      <c r="W46" s="401">
        <f t="shared" si="10"/>
        <v>13.629018277828827</v>
      </c>
      <c r="X46" s="157">
        <f t="shared" si="11"/>
        <v>44958</v>
      </c>
      <c r="Y46" s="384">
        <f t="shared" si="12"/>
        <v>13.327795868420289</v>
      </c>
      <c r="Z46" s="384">
        <f t="shared" si="22"/>
        <v>13.818617753413221</v>
      </c>
      <c r="AA46" s="385">
        <f t="shared" si="13"/>
        <v>14.961694513294308</v>
      </c>
      <c r="AB46" s="196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7.640022050078614E-2</v>
      </c>
      <c r="AD46" s="230">
        <f>(INDEX(Models!$BJ46:$BT46,,AH46)*(1-AF46)+INDEX(Models!$BJ46:$BT46,,AH46+1)*AF46-ERP_i)*AE46*Ramure*Pc/MaxiM</f>
        <v>4.7152145353107812E-4</v>
      </c>
      <c r="AE46" s="304">
        <f t="shared" si="15"/>
        <v>0.5</v>
      </c>
      <c r="AF46" s="176">
        <f t="shared" si="23"/>
        <v>3.5848370055878487E-2</v>
      </c>
      <c r="AG46" s="814">
        <f t="shared" si="24"/>
        <v>1</v>
      </c>
      <c r="AH46" s="175">
        <f t="shared" si="16"/>
        <v>7</v>
      </c>
      <c r="AI46" s="224">
        <f t="shared" si="17"/>
        <v>1.0358483700558785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44959</v>
      </c>
      <c r="B47" s="410">
        <f>'2022'!Wh/'2022'!Env_an*'2023'!Env_an</f>
        <v>5.0368437775362045</v>
      </c>
      <c r="C47" s="843"/>
      <c r="D47" s="392">
        <f t="shared" si="0"/>
        <v>5.2224495435252942</v>
      </c>
      <c r="E47" s="384">
        <f t="shared" si="1"/>
        <v>5.5297544125619504</v>
      </c>
      <c r="F47" s="384">
        <f t="shared" si="2"/>
        <v>5.5297544125619504</v>
      </c>
      <c r="G47" s="110">
        <f t="shared" si="21"/>
        <v>0.15762330617645687</v>
      </c>
      <c r="H47" s="413" t="b">
        <f>Wh_hp&gt;='2022'!Maxi_hp</f>
        <v>0</v>
      </c>
      <c r="I47" s="389">
        <f>IF(H47,Wh_hp,'2022'!Maxi_hp)</f>
        <v>31.04236433925411</v>
      </c>
      <c r="J47" s="85">
        <f>IF(H47,An,'2022'!An_max)</f>
        <v>2021</v>
      </c>
      <c r="K47" s="196">
        <f t="shared" si="3"/>
        <v>44959</v>
      </c>
      <c r="L47" s="147">
        <f>IF(t&lt;Tvie,1-EXP((T0-t)*PertePVj)+'2022'!Pspv,1-EXP((T0-t)*PertePVj)+Pspv)</f>
        <v>3.553998261585898E-2</v>
      </c>
      <c r="M47" s="847"/>
      <c r="N47" s="847"/>
      <c r="O47" s="48">
        <f>IF(t&lt;Tnet,'2022'!Resal+('2022'!Salim-'2022'!Resal)*(1-EXP(('2022'!Tnet-t)/('2022'!Tau_j))),Resal+(Salim-Resal)*(1-EXP((Tnet-t)/(Tau_j))))*Salcycl</f>
        <v>5.5572968726884296E-2</v>
      </c>
      <c r="P47" s="168">
        <f>(INDEX(Models!$BJ47:$BT47,,T47)*(1-R47)+INDEX(Models!$BJ47:$BT47,,T47+1)*R47-ERP_i)*Q47*Ramure*Pc/MaxiM</f>
        <v>4.5238096698881612E-4</v>
      </c>
      <c r="Q47" s="304">
        <f t="shared" si="4"/>
        <v>0.5</v>
      </c>
      <c r="R47" s="176">
        <f t="shared" si="5"/>
        <v>3.5910579595025416E-2</v>
      </c>
      <c r="S47" s="814">
        <f t="shared" si="6"/>
        <v>1</v>
      </c>
      <c r="T47" s="175">
        <f t="shared" si="7"/>
        <v>7</v>
      </c>
      <c r="U47" s="250">
        <f t="shared" si="8"/>
        <v>1.0359105795950254</v>
      </c>
      <c r="V47" s="382">
        <f t="shared" si="9"/>
        <v>31.940487275666158</v>
      </c>
      <c r="W47" s="401">
        <f t="shared" si="10"/>
        <v>5.0368437775362045</v>
      </c>
      <c r="X47" s="157">
        <f t="shared" si="11"/>
        <v>44959</v>
      </c>
      <c r="Y47" s="384">
        <f t="shared" si="12"/>
        <v>4.9256329304231263</v>
      </c>
      <c r="Z47" s="384">
        <f t="shared" si="22"/>
        <v>5.1071406192479456</v>
      </c>
      <c r="AA47" s="385">
        <f t="shared" si="13"/>
        <v>5.5297544125619504</v>
      </c>
      <c r="AB47" s="196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7.6425418162143391E-2</v>
      </c>
      <c r="AD47" s="230">
        <f>(INDEX(Models!$BJ47:$BT47,,AH47)*(1-AF47)+INDEX(Models!$BJ47:$BT47,,AH47+1)*AF47-ERP_i)*AE47*Ramure*Pc/MaxiM</f>
        <v>4.5238096698881612E-4</v>
      </c>
      <c r="AE47" s="304">
        <f t="shared" si="15"/>
        <v>0.5</v>
      </c>
      <c r="AF47" s="176">
        <f t="shared" si="23"/>
        <v>3.5910579595025416E-2</v>
      </c>
      <c r="AG47" s="814">
        <f t="shared" si="24"/>
        <v>1</v>
      </c>
      <c r="AH47" s="175">
        <f t="shared" si="16"/>
        <v>7</v>
      </c>
      <c r="AI47" s="224">
        <f t="shared" si="17"/>
        <v>1.0359105795950254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44960</v>
      </c>
      <c r="B48" s="410">
        <f>'2022'!Wh/'2022'!Env_an*'2023'!Env_an</f>
        <v>14.075088053429338</v>
      </c>
      <c r="C48" s="843"/>
      <c r="D48" s="392">
        <f t="shared" si="0"/>
        <v>14.594068912595569</v>
      </c>
      <c r="E48" s="384">
        <f t="shared" si="1"/>
        <v>15.453599458109805</v>
      </c>
      <c r="F48" s="384">
        <f t="shared" si="2"/>
        <v>15.454904527682189</v>
      </c>
      <c r="G48" s="110">
        <f t="shared" si="21"/>
        <v>0.43603730335825541</v>
      </c>
      <c r="H48" s="413" t="b">
        <f>Wh_hp&gt;='2022'!Maxi_hp</f>
        <v>0</v>
      </c>
      <c r="I48" s="389">
        <f>IF(H48,Wh_hp,'2022'!Maxi_hp)</f>
        <v>27.850010824525498</v>
      </c>
      <c r="J48" s="85">
        <f>IF(H48,An,'2022'!An_max)</f>
        <v>2020</v>
      </c>
      <c r="K48" s="196">
        <f t="shared" si="3"/>
        <v>44960</v>
      </c>
      <c r="L48" s="147">
        <f>IF(t&lt;Tvie,1-EXP((T0-t)*PertePVj)+'2022'!Pspv,1-EXP((T0-t)*PertePVj)+Pspv)</f>
        <v>3.5561080482381359E-2</v>
      </c>
      <c r="M48" s="847"/>
      <c r="N48" s="847"/>
      <c r="O48" s="48">
        <f>IF(t&lt;Tnet,'2022'!Resal+('2022'!Salim-'2022'!Resal)*(1-EXP(('2022'!Tnet-t)/('2022'!Tau_j))),Resal+(Salim-Resal)*(1-EXP((Tnet-t)/(Tau_j))))*Salcycl</f>
        <v>5.5620086947650721E-2</v>
      </c>
      <c r="P48" s="168">
        <f>(INDEX(Models!$BJ48:$BT48,,T48)*(1-R48)+INDEX(Models!$BJ48:$BT48,,T48+1)*R48-ERP_i)*Q48*Ramure*Pc/MaxiM</f>
        <v>4.3403103764094617E-4</v>
      </c>
      <c r="Q48" s="304">
        <f t="shared" si="4"/>
        <v>0.5</v>
      </c>
      <c r="R48" s="176">
        <f t="shared" si="5"/>
        <v>3.5975371419805224E-2</v>
      </c>
      <c r="S48" s="814">
        <f t="shared" si="6"/>
        <v>1</v>
      </c>
      <c r="T48" s="175">
        <f t="shared" si="7"/>
        <v>7</v>
      </c>
      <c r="U48" s="250">
        <f t="shared" si="8"/>
        <v>1.0359753714198052</v>
      </c>
      <c r="V48" s="382">
        <f t="shared" si="9"/>
        <v>32.268264795683905</v>
      </c>
      <c r="W48" s="401">
        <f t="shared" si="10"/>
        <v>14.075088053429338</v>
      </c>
      <c r="X48" s="157">
        <f t="shared" si="11"/>
        <v>44960</v>
      </c>
      <c r="Y48" s="384">
        <f t="shared" si="12"/>
        <v>13.764627535388348</v>
      </c>
      <c r="Z48" s="384">
        <f t="shared" si="22"/>
        <v>14.272161001417251</v>
      </c>
      <c r="AA48" s="385">
        <f t="shared" si="13"/>
        <v>15.453599458109805</v>
      </c>
      <c r="AB48" s="196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7.6450697450460528E-2</v>
      </c>
      <c r="AD48" s="230">
        <f>(INDEX(Models!$BJ48:$BT48,,AH48)*(1-AF48)+INDEX(Models!$BJ48:$BT48,,AH48+1)*AF48-ERP_i)*AE48*Ramure*Pc/MaxiM</f>
        <v>4.3403103764094617E-4</v>
      </c>
      <c r="AE48" s="304">
        <f t="shared" si="15"/>
        <v>0.5</v>
      </c>
      <c r="AF48" s="176">
        <f t="shared" si="23"/>
        <v>3.5975371419805224E-2</v>
      </c>
      <c r="AG48" s="814">
        <f t="shared" si="24"/>
        <v>1</v>
      </c>
      <c r="AH48" s="175">
        <f t="shared" si="16"/>
        <v>7</v>
      </c>
      <c r="AI48" s="224">
        <f t="shared" si="17"/>
        <v>1.0359753714198052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44961</v>
      </c>
      <c r="B49" s="410">
        <f>'2022'!Wh/'2022'!Env_an*'2023'!Env_an</f>
        <v>11.711613243994162</v>
      </c>
      <c r="C49" s="843"/>
      <c r="D49" s="392">
        <f t="shared" si="0"/>
        <v>12.143713000172626</v>
      </c>
      <c r="E49" s="384">
        <f t="shared" si="1"/>
        <v>12.859569635241673</v>
      </c>
      <c r="F49" s="384">
        <f t="shared" si="2"/>
        <v>12.860023198597977</v>
      </c>
      <c r="G49" s="110">
        <f t="shared" si="21"/>
        <v>0.35914550612067708</v>
      </c>
      <c r="H49" s="413" t="b">
        <f>Wh_hp&gt;='2022'!Maxi_hp</f>
        <v>0</v>
      </c>
      <c r="I49" s="389">
        <f>IF(H49,Wh_hp,'2022'!Maxi_hp)</f>
        <v>29.1914143774355</v>
      </c>
      <c r="J49" s="85">
        <f>IF(H49,An,'2022'!An_max)</f>
        <v>2019</v>
      </c>
      <c r="K49" s="196">
        <f t="shared" si="3"/>
        <v>44961</v>
      </c>
      <c r="L49" s="147">
        <f>IF(t&lt;Tvie,1-EXP((T0-t)*PertePVj)+'2022'!Pspv,1-EXP((T0-t)*PertePVj)+Pspv)</f>
        <v>3.5582177886806267E-2</v>
      </c>
      <c r="M49" s="847"/>
      <c r="N49" s="847"/>
      <c r="O49" s="48">
        <f>IF(t&lt;Tnet,'2022'!Resal+('2022'!Salim-'2022'!Resal)*(1-EXP(('2022'!Tnet-t)/('2022'!Tau_j))),Resal+(Salim-Resal)*(1-EXP((Tnet-t)/(Tau_j))))*Salcycl</f>
        <v>5.5667231126245484E-2</v>
      </c>
      <c r="P49" s="168">
        <f>(INDEX(Models!$BJ49:$BT49,,T49)*(1-R49)+INDEX(Models!$BJ49:$BT49,,T49+1)*R49-ERP_i)*Q49*Ramure*Pc/MaxiM</f>
        <v>4.1645492272474001E-4</v>
      </c>
      <c r="Q49" s="304">
        <f t="shared" si="4"/>
        <v>0.5</v>
      </c>
      <c r="R49" s="176">
        <f t="shared" si="5"/>
        <v>3.604285152342479E-2</v>
      </c>
      <c r="S49" s="814">
        <f t="shared" si="6"/>
        <v>1</v>
      </c>
      <c r="T49" s="175">
        <f t="shared" si="7"/>
        <v>7</v>
      </c>
      <c r="U49" s="250">
        <f t="shared" si="8"/>
        <v>1.0360428515234248</v>
      </c>
      <c r="V49" s="382">
        <f t="shared" si="9"/>
        <v>32.597230336536363</v>
      </c>
      <c r="W49" s="401">
        <f t="shared" si="10"/>
        <v>11.711613243994162</v>
      </c>
      <c r="X49" s="157">
        <f t="shared" si="11"/>
        <v>44961</v>
      </c>
      <c r="Y49" s="384">
        <f t="shared" si="12"/>
        <v>11.453542267765586</v>
      </c>
      <c r="Z49" s="384">
        <f t="shared" si="22"/>
        <v>11.876120500001797</v>
      </c>
      <c r="AA49" s="385">
        <f t="shared" si="13"/>
        <v>12.859569635241673</v>
      </c>
      <c r="AB49" s="196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7.6476053486637066E-2</v>
      </c>
      <c r="AD49" s="230">
        <f>(INDEX(Models!$BJ49:$BT49,,AH49)*(1-AF49)+INDEX(Models!$BJ49:$BT49,,AH49+1)*AF49-ERP_i)*AE49*Ramure*Pc/MaxiM</f>
        <v>4.1645492272474001E-4</v>
      </c>
      <c r="AE49" s="304">
        <f t="shared" si="15"/>
        <v>0.5</v>
      </c>
      <c r="AF49" s="176">
        <f t="shared" si="23"/>
        <v>3.604285152342479E-2</v>
      </c>
      <c r="AG49" s="814">
        <f t="shared" si="24"/>
        <v>1</v>
      </c>
      <c r="AH49" s="175">
        <f t="shared" si="16"/>
        <v>7</v>
      </c>
      <c r="AI49" s="224">
        <f t="shared" si="17"/>
        <v>1.0360428515234248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44962</v>
      </c>
      <c r="B50" s="410">
        <f>'2022'!Wh/'2022'!Env_an*'2023'!Env_an</f>
        <v>9.7048889938894938</v>
      </c>
      <c r="C50" s="843"/>
      <c r="D50" s="392">
        <f t="shared" si="0"/>
        <v>10.063170830624856</v>
      </c>
      <c r="E50" s="384">
        <f t="shared" si="1"/>
        <v>10.656914393388309</v>
      </c>
      <c r="F50" s="384">
        <f t="shared" si="2"/>
        <v>10.656914393388309</v>
      </c>
      <c r="G50" s="110">
        <f t="shared" si="21"/>
        <v>0.29462185403351226</v>
      </c>
      <c r="H50" s="413" t="b">
        <f>Wh_hp&gt;='2022'!Maxi_hp</f>
        <v>0</v>
      </c>
      <c r="I50" s="389">
        <f>IF(H50,Wh_hp,'2022'!Maxi_hp)</f>
        <v>36.34952786245141</v>
      </c>
      <c r="J50" s="85">
        <f>IF(H50,An,'2022'!An_max)</f>
        <v>2020</v>
      </c>
      <c r="K50" s="196">
        <f t="shared" si="3"/>
        <v>44962</v>
      </c>
      <c r="L50" s="147">
        <f>IF(t&lt;Tvie,1-EXP((T0-t)*PertePVj)+'2022'!Pspv,1-EXP((T0-t)*PertePVj)+Pspv)</f>
        <v>3.5603274829143917E-2</v>
      </c>
      <c r="M50" s="847"/>
      <c r="N50" s="847"/>
      <c r="O50" s="48">
        <f>IF(t&lt;Tnet,'2022'!Resal+('2022'!Salim-'2022'!Resal)*(1-EXP(('2022'!Tnet-t)/('2022'!Tau_j))),Resal+(Salim-Resal)*(1-EXP((Tnet-t)/(Tau_j))))*Salcycl</f>
        <v>5.5714397324221662E-2</v>
      </c>
      <c r="P50" s="168">
        <f>(INDEX(Models!$BJ50:$BT50,,T50)*(1-R50)+INDEX(Models!$BJ50:$BT50,,T50+1)*R50-ERP_i)*Q50*Ramure*Pc/MaxiM</f>
        <v>3.9963543383374938E-4</v>
      </c>
      <c r="Q50" s="304">
        <f t="shared" si="4"/>
        <v>0.5</v>
      </c>
      <c r="R50" s="176">
        <f t="shared" si="5"/>
        <v>3.6113130147893413E-2</v>
      </c>
      <c r="S50" s="814">
        <f t="shared" si="6"/>
        <v>1</v>
      </c>
      <c r="T50" s="175">
        <f t="shared" si="7"/>
        <v>7</v>
      </c>
      <c r="U50" s="250">
        <f t="shared" si="8"/>
        <v>1.0361131301478934</v>
      </c>
      <c r="V50" s="382">
        <f t="shared" si="9"/>
        <v>32.926989099941835</v>
      </c>
      <c r="W50" s="401">
        <f t="shared" si="10"/>
        <v>9.7048889938894938</v>
      </c>
      <c r="X50" s="157">
        <f t="shared" si="11"/>
        <v>44962</v>
      </c>
      <c r="Y50" s="384">
        <f t="shared" si="12"/>
        <v>9.4912498833036416</v>
      </c>
      <c r="Z50" s="384">
        <f t="shared" si="22"/>
        <v>9.8416446630116212</v>
      </c>
      <c r="AA50" s="385">
        <f t="shared" si="13"/>
        <v>10.656914393388309</v>
      </c>
      <c r="AB50" s="196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7.6501480661465476E-2</v>
      </c>
      <c r="AD50" s="230">
        <f>(INDEX(Models!$BJ50:$BT50,,AH50)*(1-AF50)+INDEX(Models!$BJ50:$BT50,,AH50+1)*AF50-ERP_i)*AE50*Ramure*Pc/MaxiM</f>
        <v>3.9963543383374938E-4</v>
      </c>
      <c r="AE50" s="304">
        <f t="shared" si="15"/>
        <v>0.5</v>
      </c>
      <c r="AF50" s="176">
        <f t="shared" si="23"/>
        <v>3.6113130147893413E-2</v>
      </c>
      <c r="AG50" s="814">
        <f t="shared" si="24"/>
        <v>1</v>
      </c>
      <c r="AH50" s="175">
        <f t="shared" si="16"/>
        <v>7</v>
      </c>
      <c r="AI50" s="224">
        <f t="shared" si="17"/>
        <v>1.0361131301478934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44963</v>
      </c>
      <c r="B51" s="410">
        <f>'2022'!Wh/'2022'!Env_an*'2023'!Env_an</f>
        <v>21.975553397671554</v>
      </c>
      <c r="C51" s="843"/>
      <c r="D51" s="392">
        <f t="shared" si="0"/>
        <v>22.787337987283436</v>
      </c>
      <c r="E51" s="384">
        <f t="shared" si="1"/>
        <v>24.133034127050273</v>
      </c>
      <c r="F51" s="384">
        <f t="shared" si="2"/>
        <v>24.137804481415781</v>
      </c>
      <c r="G51" s="110">
        <f t="shared" si="21"/>
        <v>0.66059196607297332</v>
      </c>
      <c r="H51" s="413" t="b">
        <f>Wh_hp&gt;='2022'!Maxi_hp</f>
        <v>0</v>
      </c>
      <c r="I51" s="389">
        <f>IF(H51,Wh_hp,'2022'!Maxi_hp)</f>
        <v>37.913350711029565</v>
      </c>
      <c r="J51" s="85">
        <f>IF(H51,An,'2022'!An_max)</f>
        <v>2020</v>
      </c>
      <c r="K51" s="196">
        <f t="shared" si="3"/>
        <v>44963</v>
      </c>
      <c r="L51" s="147">
        <f>IF(t&lt;Tvie,1-EXP((T0-t)*PertePVj)+'2022'!Pspv,1-EXP((T0-t)*PertePVj)+Pspv)</f>
        <v>3.5624371309404414E-2</v>
      </c>
      <c r="M51" s="847"/>
      <c r="N51" s="847"/>
      <c r="O51" s="48">
        <f>IF(t&lt;Tnet,'2022'!Resal+('2022'!Salim-'2022'!Resal)*(1-EXP(('2022'!Tnet-t)/('2022'!Tau_j))),Resal+(Salim-Resal)*(1-EXP((Tnet-t)/(Tau_j))))*Salcycl</f>
        <v>5.5761581104237082E-2</v>
      </c>
      <c r="P51" s="168">
        <f>(INDEX(Models!$BJ51:$BT51,,T51)*(1-R51)+INDEX(Models!$BJ51:$BT51,,T51+1)*R51-ERP_i)*Q51*Ramure*Pc/MaxiM</f>
        <v>3.8351905182407446E-4</v>
      </c>
      <c r="Q51" s="304">
        <f t="shared" si="4"/>
        <v>0.5</v>
      </c>
      <c r="R51" s="176">
        <f t="shared" si="5"/>
        <v>3.6186321945649969E-2</v>
      </c>
      <c r="S51" s="814">
        <f t="shared" si="6"/>
        <v>1</v>
      </c>
      <c r="T51" s="175">
        <f t="shared" si="7"/>
        <v>7</v>
      </c>
      <c r="U51" s="250">
        <f t="shared" si="8"/>
        <v>1.03618632194565</v>
      </c>
      <c r="V51" s="382">
        <f t="shared" si="9"/>
        <v>33.260270641921394</v>
      </c>
      <c r="W51" s="401">
        <f t="shared" si="10"/>
        <v>21.975553397671554</v>
      </c>
      <c r="X51" s="157">
        <f t="shared" si="11"/>
        <v>44963</v>
      </c>
      <c r="Y51" s="384">
        <f t="shared" si="12"/>
        <v>21.492274002812056</v>
      </c>
      <c r="Z51" s="384">
        <f t="shared" si="22"/>
        <v>22.28620608340519</v>
      </c>
      <c r="AA51" s="385">
        <f t="shared" si="13"/>
        <v>24.133034127050273</v>
      </c>
      <c r="AB51" s="196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7.6526972693210085E-2</v>
      </c>
      <c r="AD51" s="230">
        <f>(INDEX(Models!$BJ51:$BT51,,AH51)*(1-AF51)+INDEX(Models!$BJ51:$BT51,,AH51+1)*AF51-ERP_i)*AE51*Ramure*Pc/MaxiM</f>
        <v>3.8351905182407446E-4</v>
      </c>
      <c r="AE51" s="304">
        <f t="shared" si="15"/>
        <v>0.5</v>
      </c>
      <c r="AF51" s="176">
        <f t="shared" si="23"/>
        <v>3.6186321945649969E-2</v>
      </c>
      <c r="AG51" s="814">
        <f t="shared" si="24"/>
        <v>1</v>
      </c>
      <c r="AH51" s="175">
        <f t="shared" si="16"/>
        <v>7</v>
      </c>
      <c r="AI51" s="224">
        <f t="shared" si="17"/>
        <v>1.03618632194565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44964</v>
      </c>
      <c r="B52" s="410">
        <f>'2022'!Wh/'2022'!Env_an*'2023'!Env_an</f>
        <v>13.600861511638223</v>
      </c>
      <c r="C52" s="843"/>
      <c r="D52" s="392">
        <f t="shared" si="0"/>
        <v>14.103590589186902</v>
      </c>
      <c r="E52" s="384">
        <f t="shared" si="1"/>
        <v>14.937218493755749</v>
      </c>
      <c r="F52" s="384">
        <f t="shared" si="2"/>
        <v>14.938043192486703</v>
      </c>
      <c r="G52" s="110">
        <f t="shared" si="21"/>
        <v>0.40466801395604513</v>
      </c>
      <c r="H52" s="413" t="b">
        <f>Wh_hp&gt;='2022'!Maxi_hp</f>
        <v>0</v>
      </c>
      <c r="I52" s="389">
        <f>IF(H52,Wh_hp,'2022'!Maxi_hp)</f>
        <v>24.755005366085477</v>
      </c>
      <c r="J52" s="85">
        <f>IF(H52,An,'2022'!An_max)</f>
        <v>2021</v>
      </c>
      <c r="K52" s="196">
        <f t="shared" si="3"/>
        <v>44964</v>
      </c>
      <c r="L52" s="147">
        <f>IF(t&lt;Tvie,1-EXP((T0-t)*PertePVj)+'2022'!Pspv,1-EXP((T0-t)*PertePVj)+Pspv)</f>
        <v>3.5645467327597859E-2</v>
      </c>
      <c r="M52" s="847"/>
      <c r="N52" s="847"/>
      <c r="O52" s="48">
        <f>IF(t&lt;Tnet,'2022'!Resal+('2022'!Salim-'2022'!Resal)*(1-EXP(('2022'!Tnet-t)/('2022'!Tau_j))),Resal+(Salim-Resal)*(1-EXP((Tnet-t)/(Tau_j))))*Salcycl</f>
        <v>5.5808777579127639E-2</v>
      </c>
      <c r="P52" s="168">
        <f>(INDEX(Models!$BJ52:$BT52,,T52)*(1-R52)+INDEX(Models!$BJ52:$BT52,,T52+1)*R52-ERP_i)*Q52*Ramure*Pc/MaxiM</f>
        <v>3.6877315448461567E-4</v>
      </c>
      <c r="Q52" s="304">
        <f t="shared" si="4"/>
        <v>0.5</v>
      </c>
      <c r="R52" s="176">
        <f t="shared" si="5"/>
        <v>3.6262546146590857E-2</v>
      </c>
      <c r="S52" s="814">
        <f t="shared" si="6"/>
        <v>1</v>
      </c>
      <c r="T52" s="175">
        <f t="shared" si="7"/>
        <v>7</v>
      </c>
      <c r="U52" s="250">
        <f t="shared" si="8"/>
        <v>1.0362625461465909</v>
      </c>
      <c r="V52" s="382">
        <f t="shared" si="9"/>
        <v>33.599385299384643</v>
      </c>
      <c r="W52" s="401">
        <f t="shared" si="10"/>
        <v>13.600861511638223</v>
      </c>
      <c r="X52" s="157">
        <f t="shared" si="11"/>
        <v>44964</v>
      </c>
      <c r="Y52" s="384">
        <f t="shared" si="12"/>
        <v>13.3020525438404</v>
      </c>
      <c r="Z52" s="384">
        <f t="shared" si="22"/>
        <v>13.793736735988567</v>
      </c>
      <c r="AA52" s="385">
        <f t="shared" si="13"/>
        <v>14.937218493755749</v>
      </c>
      <c r="AB52" s="196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7.6552522696591407E-2</v>
      </c>
      <c r="AD52" s="230">
        <f>(INDEX(Models!$BJ52:$BT52,,AH52)*(1-AF52)+INDEX(Models!$BJ52:$BT52,,AH52+1)*AF52-ERP_i)*AE52*Ramure*Pc/MaxiM</f>
        <v>3.6877315448461567E-4</v>
      </c>
      <c r="AE52" s="304">
        <f t="shared" si="15"/>
        <v>0.5</v>
      </c>
      <c r="AF52" s="176">
        <f t="shared" si="23"/>
        <v>3.6262546146590857E-2</v>
      </c>
      <c r="AG52" s="814">
        <f t="shared" si="24"/>
        <v>1</v>
      </c>
      <c r="AH52" s="175">
        <f t="shared" si="16"/>
        <v>7</v>
      </c>
      <c r="AI52" s="224">
        <f t="shared" si="17"/>
        <v>1.0362625461465909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44965</v>
      </c>
      <c r="B53" s="410">
        <f>'2022'!Wh/'2022'!Env_an*'2023'!Env_an</f>
        <v>34.320666321518956</v>
      </c>
      <c r="C53" s="843"/>
      <c r="D53" s="392">
        <f t="shared" si="0"/>
        <v>35.590040747888182</v>
      </c>
      <c r="E53" s="384">
        <f t="shared" si="1"/>
        <v>37.695563440897715</v>
      </c>
      <c r="F53" s="384">
        <f t="shared" si="2"/>
        <v>37.708985818537435</v>
      </c>
      <c r="G53" s="110">
        <f t="shared" si="21"/>
        <v>1.0111167718204532</v>
      </c>
      <c r="H53" s="413" t="b">
        <f>Wh_hp&gt;='2022'!Maxi_hp</f>
        <v>1</v>
      </c>
      <c r="I53" s="389">
        <f>IF(H53,Wh_hp,'2022'!Maxi_hp)</f>
        <v>37.708985818537435</v>
      </c>
      <c r="J53" s="85">
        <f>IF(H53,An,'2022'!An_max)</f>
        <v>2023</v>
      </c>
      <c r="K53" s="196">
        <f t="shared" si="3"/>
        <v>44965</v>
      </c>
      <c r="L53" s="147">
        <f>IF(t&lt;Tvie,1-EXP((T0-t)*PertePVj)+'2022'!Pspv,1-EXP((T0-t)*PertePVj)+Pspv)</f>
        <v>3.5666562883734355E-2</v>
      </c>
      <c r="M53" s="847"/>
      <c r="N53" s="847"/>
      <c r="O53" s="48">
        <f>IF(t&lt;Tnet,'2022'!Resal+('2022'!Salim-'2022'!Resal)*(1-EXP(('2022'!Tnet-t)/('2022'!Tau_j))),Resal+(Salim-Resal)*(1-EXP((Tnet-t)/(Tau_j))))*Salcycl</f>
        <v>5.5855981468767538E-2</v>
      </c>
      <c r="P53" s="168">
        <f>(INDEX(Models!$BJ53:$BT53,,T53)*(1-R53)+INDEX(Models!$BJ53:$BT53,,T53+1)*R53-ERP_i)*Q53*Ramure*Pc/MaxiM</f>
        <v>3.5594639708183985E-4</v>
      </c>
      <c r="Q53" s="304">
        <f t="shared" si="4"/>
        <v>0.5</v>
      </c>
      <c r="R53" s="176">
        <f t="shared" si="5"/>
        <v>3.634192673061043E-2</v>
      </c>
      <c r="S53" s="814">
        <f t="shared" si="6"/>
        <v>1</v>
      </c>
      <c r="T53" s="175">
        <f t="shared" si="7"/>
        <v>7</v>
      </c>
      <c r="U53" s="250">
        <f t="shared" si="8"/>
        <v>1.0363419267306104</v>
      </c>
      <c r="V53" s="382">
        <f t="shared" si="9"/>
        <v>33.943326110323262</v>
      </c>
      <c r="W53" s="401">
        <f t="shared" si="10"/>
        <v>34.320666321518956</v>
      </c>
      <c r="X53" s="157">
        <f t="shared" si="11"/>
        <v>44965</v>
      </c>
      <c r="Y53" s="384">
        <f t="shared" si="12"/>
        <v>33.5673938334224</v>
      </c>
      <c r="Z53" s="384">
        <f t="shared" si="22"/>
        <v>34.808907937281575</v>
      </c>
      <c r="AA53" s="385">
        <f t="shared" si="13"/>
        <v>37.695563440897715</v>
      </c>
      <c r="AB53" s="196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7.6578123262226364E-2</v>
      </c>
      <c r="AD53" s="230">
        <f>(INDEX(Models!$BJ53:$BT53,,AH53)*(1-AF53)+INDEX(Models!$BJ53:$BT53,,AH53+1)*AF53-ERP_i)*AE53*Ramure*Pc/MaxiM</f>
        <v>3.5594639708183985E-4</v>
      </c>
      <c r="AE53" s="304">
        <f t="shared" si="15"/>
        <v>0.5</v>
      </c>
      <c r="AF53" s="176">
        <f t="shared" si="23"/>
        <v>3.634192673061043E-2</v>
      </c>
      <c r="AG53" s="814">
        <f t="shared" si="24"/>
        <v>1</v>
      </c>
      <c r="AH53" s="175">
        <f t="shared" si="16"/>
        <v>7</v>
      </c>
      <c r="AI53" s="224">
        <f t="shared" si="17"/>
        <v>1.0363419267306104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44966</v>
      </c>
      <c r="B54" s="410">
        <f>'2022'!Wh/'2022'!Env_an*'2023'!Env_an</f>
        <v>34.412041315238518</v>
      </c>
      <c r="C54" s="843"/>
      <c r="D54" s="392">
        <f t="shared" si="0"/>
        <v>35.685575944279634</v>
      </c>
      <c r="E54" s="384">
        <f t="shared" si="1"/>
        <v>37.798640413880989</v>
      </c>
      <c r="F54" s="384">
        <f t="shared" si="2"/>
        <v>37.811685305334414</v>
      </c>
      <c r="G54" s="110">
        <f t="shared" si="21"/>
        <v>1.0035267302787514</v>
      </c>
      <c r="H54" s="413" t="b">
        <f>Wh_hp&gt;='2022'!Maxi_hp</f>
        <v>1</v>
      </c>
      <c r="I54" s="389">
        <f>IF(H54,Wh_hp,'2022'!Maxi_hp)</f>
        <v>37.811685305334414</v>
      </c>
      <c r="J54" s="85">
        <f>IF(H54,An,'2022'!An_max)</f>
        <v>2023</v>
      </c>
      <c r="K54" s="196">
        <f t="shared" si="3"/>
        <v>44966</v>
      </c>
      <c r="L54" s="147">
        <f>IF(t&lt;Tvie,1-EXP((T0-t)*PertePVj)+'2022'!Pspv,1-EXP((T0-t)*PertePVj)+Pspv)</f>
        <v>3.5687657977824007E-2</v>
      </c>
      <c r="M54" s="847"/>
      <c r="N54" s="847"/>
      <c r="O54" s="48">
        <f>IF(t&lt;Tnet,'2022'!Resal+('2022'!Salim-'2022'!Resal)*(1-EXP(('2022'!Tnet-t)/('2022'!Tau_j))),Resal+(Salim-Resal)*(1-EXP((Tnet-t)/(Tau_j))))*Salcycl</f>
        <v>5.590318716398493E-2</v>
      </c>
      <c r="P54" s="168">
        <f>(INDEX(Models!$BJ54:$BT54,,T54)*(1-R54)+INDEX(Models!$BJ54:$BT54,,T54+1)*R54-ERP_i)*Q54*Ramure*Pc/MaxiM</f>
        <v>3.44996298051402E-4</v>
      </c>
      <c r="Q54" s="304">
        <f t="shared" si="4"/>
        <v>0.5</v>
      </c>
      <c r="R54" s="176">
        <f t="shared" si="5"/>
        <v>3.6424592605765138E-2</v>
      </c>
      <c r="S54" s="814">
        <f t="shared" si="6"/>
        <v>1</v>
      </c>
      <c r="T54" s="175">
        <f t="shared" si="7"/>
        <v>7</v>
      </c>
      <c r="U54" s="250">
        <f t="shared" si="8"/>
        <v>1.0364245926057651</v>
      </c>
      <c r="V54" s="382">
        <f t="shared" si="9"/>
        <v>34.291105834001883</v>
      </c>
      <c r="W54" s="401">
        <f t="shared" si="10"/>
        <v>34.412041315238518</v>
      </c>
      <c r="X54" s="157">
        <f t="shared" si="11"/>
        <v>44966</v>
      </c>
      <c r="Y54" s="384">
        <f t="shared" si="12"/>
        <v>33.657511500880062</v>
      </c>
      <c r="Z54" s="384">
        <f t="shared" si="22"/>
        <v>34.903122187879298</v>
      </c>
      <c r="AA54" s="385">
        <f t="shared" si="13"/>
        <v>37.798640413880989</v>
      </c>
      <c r="AB54" s="196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7.6603766545485494E-2</v>
      </c>
      <c r="AD54" s="230">
        <f>(INDEX(Models!$BJ54:$BT54,,AH54)*(1-AF54)+INDEX(Models!$BJ54:$BT54,,AH54+1)*AF54-ERP_i)*AE54*Ramure*Pc/MaxiM</f>
        <v>3.44996298051402E-4</v>
      </c>
      <c r="AE54" s="304">
        <f t="shared" si="15"/>
        <v>0.5</v>
      </c>
      <c r="AF54" s="176">
        <f t="shared" si="23"/>
        <v>3.6424592605765138E-2</v>
      </c>
      <c r="AG54" s="814">
        <f t="shared" si="24"/>
        <v>1</v>
      </c>
      <c r="AH54" s="175">
        <f t="shared" si="16"/>
        <v>7</v>
      </c>
      <c r="AI54" s="224">
        <f t="shared" si="17"/>
        <v>1.0364245926057651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44967</v>
      </c>
      <c r="B55" s="410">
        <f>'2022'!Wh/'2022'!Env_an*'2023'!Env_an</f>
        <v>32.207673965550541</v>
      </c>
      <c r="C55" s="843"/>
      <c r="D55" s="392">
        <f t="shared" si="0"/>
        <v>33.400359126686432</v>
      </c>
      <c r="E55" s="384">
        <f t="shared" si="1"/>
        <v>35.379877000442072</v>
      </c>
      <c r="F55" s="384">
        <f t="shared" si="2"/>
        <v>35.390570790697595</v>
      </c>
      <c r="G55" s="110">
        <f t="shared" si="21"/>
        <v>0.92970474533449476</v>
      </c>
      <c r="H55" s="413" t="b">
        <f>Wh_hp&gt;='2022'!Maxi_hp</f>
        <v>0</v>
      </c>
      <c r="I55" s="389">
        <f>IF(H55,Wh_hp,'2022'!Maxi_hp)</f>
        <v>35.390836884509106</v>
      </c>
      <c r="J55" s="85">
        <f>IF(H55,An,'2022'!An_max)</f>
        <v>2022</v>
      </c>
      <c r="K55" s="196">
        <f t="shared" si="3"/>
        <v>44967</v>
      </c>
      <c r="L55" s="147">
        <f>IF(t&lt;Tvie,1-EXP((T0-t)*PertePVj)+'2022'!Pspv,1-EXP((T0-t)*PertePVj)+Pspv)</f>
        <v>3.5708752609876916E-2</v>
      </c>
      <c r="M55" s="847"/>
      <c r="N55" s="847"/>
      <c r="O55" s="48">
        <f>IF(t&lt;Tnet,'2022'!Resal+('2022'!Salim-'2022'!Resal)*(1-EXP(('2022'!Tnet-t)/('2022'!Tau_j))),Resal+(Salim-Resal)*(1-EXP((Tnet-t)/(Tau_j))))*Salcycl</f>
        <v>5.5950388796741989E-2</v>
      </c>
      <c r="P55" s="168">
        <f>(INDEX(Models!$BJ55:$BT55,,T55)*(1-R55)+INDEX(Models!$BJ55:$BT55,,T55+1)*R55-ERP_i)*Q55*Ramure*Pc/MaxiM</f>
        <v>3.35879535632199E-4</v>
      </c>
      <c r="Q55" s="304">
        <f t="shared" si="4"/>
        <v>0.5</v>
      </c>
      <c r="R55" s="176">
        <f t="shared" si="5"/>
        <v>3.651067779216266E-2</v>
      </c>
      <c r="S55" s="814">
        <f t="shared" si="6"/>
        <v>1</v>
      </c>
      <c r="T55" s="175">
        <f t="shared" si="7"/>
        <v>7</v>
      </c>
      <c r="U55" s="250">
        <f t="shared" si="8"/>
        <v>1.0365106777921627</v>
      </c>
      <c r="V55" s="382">
        <f t="shared" si="9"/>
        <v>34.64173753093467</v>
      </c>
      <c r="W55" s="401">
        <f t="shared" si="10"/>
        <v>32.207673965550541</v>
      </c>
      <c r="X55" s="157">
        <f t="shared" si="11"/>
        <v>44967</v>
      </c>
      <c r="Y55" s="384">
        <f t="shared" si="12"/>
        <v>31.502176847908952</v>
      </c>
      <c r="Z55" s="384">
        <f t="shared" si="22"/>
        <v>32.668736684243825</v>
      </c>
      <c r="AA55" s="385">
        <f t="shared" si="13"/>
        <v>35.379877000442072</v>
      </c>
      <c r="AB55" s="196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7.6629444363652641E-2</v>
      </c>
      <c r="AD55" s="230">
        <f>(INDEX(Models!$BJ55:$BT55,,AH55)*(1-AF55)+INDEX(Models!$BJ55:$BT55,,AH55+1)*AF55-ERP_i)*AE55*Ramure*Pc/MaxiM</f>
        <v>3.35879535632199E-4</v>
      </c>
      <c r="AE55" s="304">
        <f t="shared" si="15"/>
        <v>0.5</v>
      </c>
      <c r="AF55" s="176">
        <f t="shared" si="23"/>
        <v>3.651067779216266E-2</v>
      </c>
      <c r="AG55" s="814">
        <f t="shared" si="24"/>
        <v>1</v>
      </c>
      <c r="AH55" s="175">
        <f t="shared" si="16"/>
        <v>7</v>
      </c>
      <c r="AI55" s="224">
        <f t="shared" si="17"/>
        <v>1.0365106777921627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44968</v>
      </c>
      <c r="B56" s="410">
        <f>'2022'!Wh/'2022'!Env_an*'2023'!Env_an</f>
        <v>14.988050973887001</v>
      </c>
      <c r="C56" s="843"/>
      <c r="D56" s="392">
        <f t="shared" si="0"/>
        <v>15.543414803243367</v>
      </c>
      <c r="E56" s="384">
        <f t="shared" si="1"/>
        <v>16.465439578472846</v>
      </c>
      <c r="F56" s="384">
        <f t="shared" si="2"/>
        <v>16.466431174827086</v>
      </c>
      <c r="G56" s="110">
        <f t="shared" si="21"/>
        <v>0.42818564627249922</v>
      </c>
      <c r="H56" s="413" t="b">
        <f>Wh_hp&gt;='2022'!Maxi_hp</f>
        <v>0</v>
      </c>
      <c r="I56" s="389">
        <f>IF(H56,Wh_hp,'2022'!Maxi_hp)</f>
        <v>33.522126825040729</v>
      </c>
      <c r="J56" s="85">
        <f>IF(H56,An,'2022'!An_max)</f>
        <v>2021</v>
      </c>
      <c r="K56" s="196">
        <f t="shared" si="3"/>
        <v>44968</v>
      </c>
      <c r="L56" s="147">
        <f>IF(t&lt;Tvie,1-EXP((T0-t)*PertePVj)+'2022'!Pspv,1-EXP((T0-t)*PertePVj)+Pspv)</f>
        <v>3.5729846779903297E-2</v>
      </c>
      <c r="M56" s="847"/>
      <c r="N56" s="847"/>
      <c r="O56" s="48">
        <f>IF(t&lt;Tnet,'2022'!Resal+('2022'!Salim-'2022'!Resal)*(1-EXP(('2022'!Tnet-t)/('2022'!Tau_j))),Resal+(Salim-Resal)*(1-EXP((Tnet-t)/(Tau_j))))*Salcycl</f>
        <v>5.5997580315738829E-2</v>
      </c>
      <c r="P56" s="168">
        <f>(INDEX(Models!$BJ56:$BT56,,T56)*(1-R56)+INDEX(Models!$BJ56:$BT56,,T56+1)*R56-ERP_i)*Q56*Ramure*Pc/MaxiM</f>
        <v>3.2855256097150381E-4</v>
      </c>
      <c r="Q56" s="304">
        <f t="shared" si="4"/>
        <v>0.5</v>
      </c>
      <c r="R56" s="176">
        <f t="shared" si="5"/>
        <v>3.6600321611679476E-2</v>
      </c>
      <c r="S56" s="814">
        <f t="shared" si="6"/>
        <v>1</v>
      </c>
      <c r="T56" s="175">
        <f t="shared" si="7"/>
        <v>7</v>
      </c>
      <c r="U56" s="250">
        <f t="shared" si="8"/>
        <v>1.0366003216116795</v>
      </c>
      <c r="V56" s="382">
        <f t="shared" si="9"/>
        <v>34.994234554521569</v>
      </c>
      <c r="W56" s="401">
        <f t="shared" si="10"/>
        <v>14.988050973887001</v>
      </c>
      <c r="X56" s="157">
        <f t="shared" si="11"/>
        <v>44968</v>
      </c>
      <c r="Y56" s="384">
        <f t="shared" si="12"/>
        <v>14.660068041331265</v>
      </c>
      <c r="Z56" s="384">
        <f t="shared" si="22"/>
        <v>15.203278865756902</v>
      </c>
      <c r="AA56" s="385">
        <f t="shared" si="13"/>
        <v>16.465439578472846</v>
      </c>
      <c r="AB56" s="196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7.6655148300207657E-2</v>
      </c>
      <c r="AD56" s="230">
        <f>(INDEX(Models!$BJ56:$BT56,,AH56)*(1-AF56)+INDEX(Models!$BJ56:$BT56,,AH56+1)*AF56-ERP_i)*AE56*Ramure*Pc/MaxiM</f>
        <v>3.2855256097150381E-4</v>
      </c>
      <c r="AE56" s="304">
        <f t="shared" si="15"/>
        <v>0.5</v>
      </c>
      <c r="AF56" s="176">
        <f t="shared" si="23"/>
        <v>3.6600321611679476E-2</v>
      </c>
      <c r="AG56" s="814">
        <f t="shared" si="24"/>
        <v>1</v>
      </c>
      <c r="AH56" s="175">
        <f t="shared" si="16"/>
        <v>7</v>
      </c>
      <c r="AI56" s="224">
        <f t="shared" si="17"/>
        <v>1.0366003216116795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44969</v>
      </c>
      <c r="B57" s="410">
        <f>'2022'!Wh/'2022'!Env_an*'2023'!Env_an</f>
        <v>26.449482170791256</v>
      </c>
      <c r="C57" s="843"/>
      <c r="D57" s="392">
        <f t="shared" si="0"/>
        <v>27.430135305680032</v>
      </c>
      <c r="E57" s="384">
        <f t="shared" si="1"/>
        <v>29.058724412451944</v>
      </c>
      <c r="F57" s="384">
        <f t="shared" si="2"/>
        <v>29.064735749088921</v>
      </c>
      <c r="G57" s="110">
        <f t="shared" si="21"/>
        <v>0.7481809692594118</v>
      </c>
      <c r="H57" s="413" t="b">
        <f>Wh_hp&gt;='2022'!Maxi_hp</f>
        <v>0</v>
      </c>
      <c r="I57" s="389">
        <f>IF(H57,Wh_hp,'2022'!Maxi_hp)</f>
        <v>38.964390120778035</v>
      </c>
      <c r="J57" s="85">
        <f>IF(H57,An,'2022'!An_max)</f>
        <v>2019</v>
      </c>
      <c r="K57" s="196">
        <f t="shared" si="3"/>
        <v>44969</v>
      </c>
      <c r="L57" s="147">
        <f>IF(t&lt;Tvie,1-EXP((T0-t)*PertePVj)+'2022'!Pspv,1-EXP((T0-t)*PertePVj)+Pspv)</f>
        <v>3.5750940487913253E-2</v>
      </c>
      <c r="M57" s="847"/>
      <c r="N57" s="847"/>
      <c r="O57" s="48">
        <f>IF(t&lt;Tnet,'2022'!Resal+('2022'!Salim-'2022'!Resal)*(1-EXP(('2022'!Tnet-t)/('2022'!Tau_j))),Resal+(Salim-Resal)*(1-EXP((Tnet-t)/(Tau_j))))*Salcycl</f>
        <v>5.604475556656046E-2</v>
      </c>
      <c r="P57" s="168">
        <f>(INDEX(Models!$BJ57:$BT57,,T57)*(1-R57)+INDEX(Models!$BJ57:$BT57,,T57+1)*R57-ERP_i)*Q57*Ramure*Pc/MaxiM</f>
        <v>3.2297214952979809E-4</v>
      </c>
      <c r="Q57" s="304">
        <f t="shared" si="4"/>
        <v>0.5</v>
      </c>
      <c r="R57" s="176">
        <f t="shared" si="5"/>
        <v>3.6693668883593045E-2</v>
      </c>
      <c r="S57" s="814">
        <f t="shared" si="6"/>
        <v>1</v>
      </c>
      <c r="T57" s="175">
        <f t="shared" si="7"/>
        <v>7</v>
      </c>
      <c r="U57" s="250">
        <f t="shared" si="8"/>
        <v>1.036693668883593</v>
      </c>
      <c r="V57" s="382">
        <f t="shared" si="9"/>
        <v>35.347610552206689</v>
      </c>
      <c r="W57" s="401">
        <f t="shared" si="10"/>
        <v>26.449482170791256</v>
      </c>
      <c r="X57" s="157">
        <f t="shared" si="11"/>
        <v>44969</v>
      </c>
      <c r="Y57" s="384">
        <f t="shared" si="12"/>
        <v>25.871261392732837</v>
      </c>
      <c r="Z57" s="384">
        <f t="shared" si="22"/>
        <v>26.830476148790627</v>
      </c>
      <c r="AA57" s="385">
        <f t="shared" si="13"/>
        <v>29.058724412451944</v>
      </c>
      <c r="AB57" s="196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7.668086981500441E-2</v>
      </c>
      <c r="AD57" s="230">
        <f>(INDEX(Models!$BJ57:$BT57,,AH57)*(1-AF57)+INDEX(Models!$BJ57:$BT57,,AH57+1)*AF57-ERP_i)*AE57*Ramure*Pc/MaxiM</f>
        <v>3.2297214952979809E-4</v>
      </c>
      <c r="AE57" s="304">
        <f t="shared" si="15"/>
        <v>0.5</v>
      </c>
      <c r="AF57" s="176">
        <f t="shared" si="23"/>
        <v>3.6693668883593045E-2</v>
      </c>
      <c r="AG57" s="814">
        <f t="shared" si="24"/>
        <v>1</v>
      </c>
      <c r="AH57" s="175">
        <f t="shared" si="16"/>
        <v>7</v>
      </c>
      <c r="AI57" s="224">
        <f t="shared" si="17"/>
        <v>1.036693668883593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44970</v>
      </c>
      <c r="B58" s="410">
        <f>'2022'!Wh/'2022'!Env_an*'2023'!Env_an</f>
        <v>31.840199990011691</v>
      </c>
      <c r="C58" s="843"/>
      <c r="D58" s="392">
        <f t="shared" si="0"/>
        <v>33.021444206094763</v>
      </c>
      <c r="E58" s="384">
        <f t="shared" si="1"/>
        <v>34.983749476352251</v>
      </c>
      <c r="F58" s="384">
        <f t="shared" si="2"/>
        <v>34.993187565949768</v>
      </c>
      <c r="G58" s="110">
        <f t="shared" si="21"/>
        <v>0.89181632662107424</v>
      </c>
      <c r="H58" s="413" t="b">
        <f>Wh_hp&gt;='2022'!Maxi_hp</f>
        <v>0</v>
      </c>
      <c r="I58" s="389">
        <f>IF(H58,Wh_hp,'2022'!Maxi_hp)</f>
        <v>40.487434831791077</v>
      </c>
      <c r="J58" s="85">
        <f>IF(H58,An,'2022'!An_max)</f>
        <v>2019</v>
      </c>
      <c r="K58" s="196">
        <f t="shared" si="3"/>
        <v>44970</v>
      </c>
      <c r="L58" s="147">
        <f>IF(t&lt;Tvie,1-EXP((T0-t)*PertePVj)+'2022'!Pspv,1-EXP((T0-t)*PertePVj)+Pspv)</f>
        <v>3.5772033733916776E-2</v>
      </c>
      <c r="M58" s="847"/>
      <c r="N58" s="847"/>
      <c r="O58" s="48">
        <f>IF(t&lt;Tnet,'2022'!Resal+('2022'!Salim-'2022'!Resal)*(1-EXP(('2022'!Tnet-t)/('2022'!Tau_j))),Resal+(Salim-Resal)*(1-EXP((Tnet-t)/(Tau_j))))*Salcycl</f>
        <v>5.6091908375456877E-2</v>
      </c>
      <c r="P58" s="168">
        <f>(INDEX(Models!$BJ58:$BT58,,T58)*(1-R58)+INDEX(Models!$BJ58:$BT58,,T58+1)*R58-ERP_i)*Q58*Ramure*Pc/MaxiM</f>
        <v>3.1899173404678394E-4</v>
      </c>
      <c r="Q58" s="304">
        <f t="shared" si="4"/>
        <v>0.5</v>
      </c>
      <c r="R58" s="176">
        <f t="shared" si="5"/>
        <v>3.6790870126216735E-2</v>
      </c>
      <c r="S58" s="814">
        <f t="shared" si="6"/>
        <v>1</v>
      </c>
      <c r="T58" s="175">
        <f t="shared" si="7"/>
        <v>7</v>
      </c>
      <c r="U58" s="250">
        <f t="shared" si="8"/>
        <v>1.0367908701262167</v>
      </c>
      <c r="V58" s="382">
        <f t="shared" si="9"/>
        <v>35.700883181973047</v>
      </c>
      <c r="W58" s="401">
        <f t="shared" si="10"/>
        <v>31.840199990011691</v>
      </c>
      <c r="X58" s="157">
        <f t="shared" si="11"/>
        <v>44970</v>
      </c>
      <c r="Y58" s="384">
        <f t="shared" si="12"/>
        <v>31.144818817506462</v>
      </c>
      <c r="Z58" s="384">
        <f t="shared" si="22"/>
        <v>32.30026498620753</v>
      </c>
      <c r="AA58" s="385">
        <f t="shared" si="13"/>
        <v>34.983749476352251</v>
      </c>
      <c r="AB58" s="196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7.6706600359079932E-2</v>
      </c>
      <c r="AD58" s="230">
        <f>(INDEX(Models!$BJ58:$BT58,,AH58)*(1-AF58)+INDEX(Models!$BJ58:$BT58,,AH58+1)*AF58-ERP_i)*AE58*Ramure*Pc/MaxiM</f>
        <v>3.1899173404678394E-4</v>
      </c>
      <c r="AE58" s="304">
        <f t="shared" si="15"/>
        <v>0.5</v>
      </c>
      <c r="AF58" s="176">
        <f t="shared" si="23"/>
        <v>3.6790870126216735E-2</v>
      </c>
      <c r="AG58" s="814">
        <f t="shared" si="24"/>
        <v>1</v>
      </c>
      <c r="AH58" s="175">
        <f t="shared" si="16"/>
        <v>7</v>
      </c>
      <c r="AI58" s="224">
        <f t="shared" si="17"/>
        <v>1.0367908701262167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44971</v>
      </c>
      <c r="B59" s="410">
        <f>'2022'!Wh/'2022'!Env_an*'2023'!Env_an</f>
        <v>17.514802715827567</v>
      </c>
      <c r="C59" s="843"/>
      <c r="D59" s="392">
        <f t="shared" si="0"/>
        <v>18.164984296964938</v>
      </c>
      <c r="E59" s="384">
        <f t="shared" si="1"/>
        <v>19.245402580522487</v>
      </c>
      <c r="F59" s="384">
        <f t="shared" si="2"/>
        <v>19.247015238788244</v>
      </c>
      <c r="G59" s="110">
        <f t="shared" si="21"/>
        <v>0.48569308510894166</v>
      </c>
      <c r="H59" s="413" t="b">
        <f>Wh_hp&gt;='2022'!Maxi_hp</f>
        <v>0</v>
      </c>
      <c r="I59" s="389">
        <f>IF(H59,Wh_hp,'2022'!Maxi_hp)</f>
        <v>40.730011197654498</v>
      </c>
      <c r="J59" s="85">
        <f>IF(H59,An,'2022'!An_max)</f>
        <v>2019</v>
      </c>
      <c r="K59" s="196">
        <f t="shared" si="3"/>
        <v>44971</v>
      </c>
      <c r="L59" s="147">
        <f>IF(t&lt;Tvie,1-EXP((T0-t)*PertePVj)+'2022'!Pspv,1-EXP((T0-t)*PertePVj)+Pspv)</f>
        <v>3.5793126517924191E-2</v>
      </c>
      <c r="M59" s="847"/>
      <c r="N59" s="847"/>
      <c r="O59" s="48">
        <f>IF(t&lt;Tnet,'2022'!Resal+('2022'!Salim-'2022'!Resal)*(1-EXP(('2022'!Tnet-t)/('2022'!Tau_j))),Resal+(Salim-Resal)*(1-EXP((Tnet-t)/(Tau_j))))*Salcycl</f>
        <v>5.6139032635825273E-2</v>
      </c>
      <c r="P59" s="168">
        <f>(INDEX(Models!$BJ59:$BT59,,T59)*(1-R59)+INDEX(Models!$BJ59:$BT59,,T59+1)*R59-ERP_i)*Q59*Ramure*Pc/MaxiM</f>
        <v>3.1565877942352514E-4</v>
      </c>
      <c r="Q59" s="304">
        <f t="shared" si="4"/>
        <v>0.5</v>
      </c>
      <c r="R59" s="176">
        <f t="shared" si="5"/>
        <v>3.6892081764605678E-2</v>
      </c>
      <c r="S59" s="814">
        <f t="shared" si="6"/>
        <v>1</v>
      </c>
      <c r="T59" s="175">
        <f t="shared" si="7"/>
        <v>7</v>
      </c>
      <c r="U59" s="250">
        <f t="shared" si="8"/>
        <v>1.0368920817646057</v>
      </c>
      <c r="V59" s="382">
        <f t="shared" si="9"/>
        <v>36.053099646146698</v>
      </c>
      <c r="W59" s="401">
        <f t="shared" si="10"/>
        <v>17.514802715827567</v>
      </c>
      <c r="X59" s="157">
        <f t="shared" si="11"/>
        <v>44971</v>
      </c>
      <c r="Y59" s="384">
        <f t="shared" si="12"/>
        <v>17.1326621472273</v>
      </c>
      <c r="Z59" s="384">
        <f t="shared" si="22"/>
        <v>17.768657970001279</v>
      </c>
      <c r="AA59" s="385">
        <f t="shared" si="13"/>
        <v>19.245402580522487</v>
      </c>
      <c r="AB59" s="196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7.6732331492808739E-2</v>
      </c>
      <c r="AD59" s="230">
        <f>(INDEX(Models!$BJ59:$BT59,,AH59)*(1-AF59)+INDEX(Models!$BJ59:$BT59,,AH59+1)*AF59-ERP_i)*AE59*Ramure*Pc/MaxiM</f>
        <v>3.1565877942352514E-4</v>
      </c>
      <c r="AE59" s="304">
        <f t="shared" si="15"/>
        <v>0.5</v>
      </c>
      <c r="AF59" s="176">
        <f t="shared" si="23"/>
        <v>3.6892081764605678E-2</v>
      </c>
      <c r="AG59" s="814">
        <f t="shared" si="24"/>
        <v>1</v>
      </c>
      <c r="AH59" s="175">
        <f t="shared" si="16"/>
        <v>7</v>
      </c>
      <c r="AI59" s="224">
        <f t="shared" si="17"/>
        <v>1.0368920817646057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44972</v>
      </c>
      <c r="B60" s="410">
        <f>'2022'!Wh/'2022'!Env_an*'2023'!Env_an</f>
        <v>20.806645240225119</v>
      </c>
      <c r="C60" s="843"/>
      <c r="D60" s="392">
        <f t="shared" si="0"/>
        <v>21.579498107918294</v>
      </c>
      <c r="E60" s="384">
        <f t="shared" si="1"/>
        <v>22.864145802466052</v>
      </c>
      <c r="F60" s="384">
        <f t="shared" si="2"/>
        <v>22.866922113978735</v>
      </c>
      <c r="G60" s="110">
        <f t="shared" si="21"/>
        <v>0.571450220585487</v>
      </c>
      <c r="H60" s="413" t="b">
        <f>Wh_hp&gt;='2022'!Maxi_hp</f>
        <v>0</v>
      </c>
      <c r="I60" s="389">
        <f>IF(H60,Wh_hp,'2022'!Maxi_hp)</f>
        <v>40.824287994702445</v>
      </c>
      <c r="J60" s="85">
        <f>IF(H60,An,'2022'!An_max)</f>
        <v>2019</v>
      </c>
      <c r="K60" s="196">
        <f t="shared" si="3"/>
        <v>44972</v>
      </c>
      <c r="L60" s="147">
        <f>IF(t&lt;Tvie,1-EXP((T0-t)*PertePVj)+'2022'!Pspv,1-EXP((T0-t)*PertePVj)+Pspv)</f>
        <v>3.5814218839945379E-2</v>
      </c>
      <c r="M60" s="847"/>
      <c r="N60" s="847"/>
      <c r="O60" s="48">
        <f>IF(t&lt;Tnet,'2022'!Resal+('2022'!Salim-'2022'!Resal)*(1-EXP(('2022'!Tnet-t)/('2022'!Tau_j))),Resal+(Salim-Resal)*(1-EXP((Tnet-t)/(Tau_j))))*Salcycl</f>
        <v>5.6186122396455318E-2</v>
      </c>
      <c r="P60" s="168">
        <f>(INDEX(Models!$BJ60:$BT60,,T60)*(1-R60)+INDEX(Models!$BJ60:$BT60,,T60+1)*R60-ERP_i)*Q60*Ramure*Pc/MaxiM</f>
        <v>3.1296312822405424E-4</v>
      </c>
      <c r="Q60" s="304">
        <f t="shared" si="4"/>
        <v>0.5</v>
      </c>
      <c r="R60" s="176">
        <f t="shared" si="5"/>
        <v>3.6997466344403929E-2</v>
      </c>
      <c r="S60" s="814">
        <f t="shared" si="6"/>
        <v>1</v>
      </c>
      <c r="T60" s="175">
        <f t="shared" si="7"/>
        <v>7</v>
      </c>
      <c r="U60" s="250">
        <f t="shared" si="8"/>
        <v>1.0369974663444039</v>
      </c>
      <c r="V60" s="382">
        <f t="shared" si="9"/>
        <v>36.403274447961131</v>
      </c>
      <c r="W60" s="401">
        <f t="shared" si="10"/>
        <v>20.806645240225119</v>
      </c>
      <c r="X60" s="157">
        <f t="shared" si="11"/>
        <v>44972</v>
      </c>
      <c r="Y60" s="384">
        <f t="shared" si="12"/>
        <v>20.353131137633508</v>
      </c>
      <c r="Z60" s="384">
        <f t="shared" si="22"/>
        <v>21.109138441292668</v>
      </c>
      <c r="AA60" s="385">
        <f t="shared" si="13"/>
        <v>22.864145802466052</v>
      </c>
      <c r="AB60" s="196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7.6758055006108855E-2</v>
      </c>
      <c r="AD60" s="230">
        <f>(INDEX(Models!$BJ60:$BT60,,AH60)*(1-AF60)+INDEX(Models!$BJ60:$BT60,,AH60+1)*AF60-ERP_i)*AE60*Ramure*Pc/MaxiM</f>
        <v>3.1296312822405424E-4</v>
      </c>
      <c r="AE60" s="304">
        <f t="shared" si="15"/>
        <v>0.5</v>
      </c>
      <c r="AF60" s="176">
        <f t="shared" si="23"/>
        <v>3.6997466344403929E-2</v>
      </c>
      <c r="AG60" s="814">
        <f t="shared" si="24"/>
        <v>1</v>
      </c>
      <c r="AH60" s="175">
        <f t="shared" si="16"/>
        <v>7</v>
      </c>
      <c r="AI60" s="224">
        <f t="shared" si="17"/>
        <v>1.0369974663444039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44973</v>
      </c>
      <c r="B61" s="410">
        <f>'2022'!Wh/'2022'!Env_an*'2023'!Env_an</f>
        <v>9.0943495025832402</v>
      </c>
      <c r="C61" s="843"/>
      <c r="D61" s="392">
        <f t="shared" si="0"/>
        <v>9.4323610929848556</v>
      </c>
      <c r="E61" s="384">
        <f t="shared" si="1"/>
        <v>9.9943765903277839</v>
      </c>
      <c r="F61" s="384">
        <f t="shared" si="2"/>
        <v>9.9943765903277839</v>
      </c>
      <c r="G61" s="110">
        <f t="shared" si="21"/>
        <v>0.24738551364333441</v>
      </c>
      <c r="H61" s="413" t="b">
        <f>Wh_hp&gt;='2022'!Maxi_hp</f>
        <v>0</v>
      </c>
      <c r="I61" s="389">
        <f>IF(H61,Wh_hp,'2022'!Maxi_hp)</f>
        <v>41.302237931814616</v>
      </c>
      <c r="J61" s="85">
        <f>IF(H61,An,'2022'!An_max)</f>
        <v>2019</v>
      </c>
      <c r="K61" s="196">
        <f t="shared" si="3"/>
        <v>44973</v>
      </c>
      <c r="L61" s="147">
        <f>IF(t&lt;Tvie,1-EXP((T0-t)*PertePVj)+'2022'!Pspv,1-EXP((T0-t)*PertePVj)+Pspv)</f>
        <v>3.5835310699990665E-2</v>
      </c>
      <c r="M61" s="847"/>
      <c r="N61" s="847"/>
      <c r="O61" s="48">
        <f>IF(t&lt;Tnet,'2022'!Resal+('2022'!Salim-'2022'!Resal)*(1-EXP(('2022'!Tnet-t)/('2022'!Tau_j))),Resal+(Salim-Resal)*(1-EXP((Tnet-t)/(Tau_j))))*Salcycl</f>
        <v>5.6233171950597474E-2</v>
      </c>
      <c r="P61" s="168">
        <f>(INDEX(Models!$BJ61:$BT61,,T61)*(1-R61)+INDEX(Models!$BJ61:$BT61,,T61+1)*R61-ERP_i)*Q61*Ramure*Pc/MaxiM</f>
        <v>3.108949786642347E-4</v>
      </c>
      <c r="Q61" s="304">
        <f t="shared" si="4"/>
        <v>0.5</v>
      </c>
      <c r="R61" s="176">
        <f t="shared" si="5"/>
        <v>3.7107192751876683E-2</v>
      </c>
      <c r="S61" s="814">
        <f t="shared" si="6"/>
        <v>1</v>
      </c>
      <c r="T61" s="175">
        <f t="shared" si="7"/>
        <v>7</v>
      </c>
      <c r="U61" s="250">
        <f t="shared" si="8"/>
        <v>1.0371071927518767</v>
      </c>
      <c r="V61" s="382">
        <f t="shared" si="9"/>
        <v>36.750422371522845</v>
      </c>
      <c r="W61" s="401">
        <f t="shared" si="10"/>
        <v>9.0943495025832402</v>
      </c>
      <c r="X61" s="157">
        <f t="shared" si="11"/>
        <v>44973</v>
      </c>
      <c r="Y61" s="384">
        <f t="shared" si="12"/>
        <v>8.8963193829692386</v>
      </c>
      <c r="Z61" s="384">
        <f t="shared" si="22"/>
        <v>9.2269707464894122</v>
      </c>
      <c r="AA61" s="385">
        <f t="shared" si="13"/>
        <v>9.9943765903277839</v>
      </c>
      <c r="AB61" s="196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7.6783763039411687E-2</v>
      </c>
      <c r="AD61" s="230">
        <f>(INDEX(Models!$BJ61:$BT61,,AH61)*(1-AF61)+INDEX(Models!$BJ61:$BT61,,AH61+1)*AF61-ERP_i)*AE61*Ramure*Pc/MaxiM</f>
        <v>3.108949786642347E-4</v>
      </c>
      <c r="AE61" s="304">
        <f t="shared" si="15"/>
        <v>0.5</v>
      </c>
      <c r="AF61" s="176">
        <f t="shared" si="23"/>
        <v>3.7107192751876683E-2</v>
      </c>
      <c r="AG61" s="814">
        <f t="shared" si="24"/>
        <v>1</v>
      </c>
      <c r="AH61" s="175">
        <f t="shared" si="16"/>
        <v>7</v>
      </c>
      <c r="AI61" s="224">
        <f t="shared" si="17"/>
        <v>1.0371071927518767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44974</v>
      </c>
      <c r="B62" s="410">
        <f>'2022'!Wh/'2022'!Env_an*'2023'!Env_an</f>
        <v>11.034144652121489</v>
      </c>
      <c r="C62" s="843"/>
      <c r="D62" s="392">
        <f t="shared" si="0"/>
        <v>11.444503366648764</v>
      </c>
      <c r="E62" s="384">
        <f t="shared" si="1"/>
        <v>12.127013838948814</v>
      </c>
      <c r="F62" s="384">
        <f t="shared" si="2"/>
        <v>12.127013838948814</v>
      </c>
      <c r="G62" s="110">
        <f t="shared" si="21"/>
        <v>0.29737589610574827</v>
      </c>
      <c r="H62" s="413" t="b">
        <f>Wh_hp&gt;='2022'!Maxi_hp</f>
        <v>0</v>
      </c>
      <c r="I62" s="389">
        <f>IF(H62,Wh_hp,'2022'!Maxi_hp)</f>
        <v>41.977734594143215</v>
      </c>
      <c r="J62" s="85">
        <f>IF(H62,An,'2022'!An_max)</f>
        <v>2019</v>
      </c>
      <c r="K62" s="196">
        <f t="shared" si="3"/>
        <v>44974</v>
      </c>
      <c r="L62" s="147">
        <f>IF(t&lt;Tvie,1-EXP((T0-t)*PertePVj)+'2022'!Pspv,1-EXP((T0-t)*PertePVj)+Pspv)</f>
        <v>3.5856402098070041E-2</v>
      </c>
      <c r="M62" s="847"/>
      <c r="N62" s="847"/>
      <c r="O62" s="48">
        <f>IF(t&lt;Tnet,'2022'!Resal+('2022'!Salim-'2022'!Resal)*(1-EXP(('2022'!Tnet-t)/('2022'!Tau_j))),Resal+(Salim-Resal)*(1-EXP((Tnet-t)/(Tau_j))))*Salcycl</f>
        <v>5.6280175924925832E-2</v>
      </c>
      <c r="P62" s="168">
        <f>(INDEX(Models!$BJ62:$BT62,,T62)*(1-R62)+INDEX(Models!$BJ62:$BT62,,T62+1)*R62-ERP_i)*Q62*Ramure*Pc/MaxiM</f>
        <v>3.0944503773241858E-4</v>
      </c>
      <c r="Q62" s="304">
        <f t="shared" si="4"/>
        <v>0.5</v>
      </c>
      <c r="R62" s="176">
        <f t="shared" si="5"/>
        <v>3.7221436440170619E-2</v>
      </c>
      <c r="S62" s="814">
        <f t="shared" si="6"/>
        <v>1</v>
      </c>
      <c r="T62" s="175">
        <f t="shared" si="7"/>
        <v>7</v>
      </c>
      <c r="U62" s="250">
        <f t="shared" si="8"/>
        <v>1.0372214364401706</v>
      </c>
      <c r="V62" s="382">
        <f t="shared" si="9"/>
        <v>37.093558473517604</v>
      </c>
      <c r="W62" s="401">
        <f t="shared" si="10"/>
        <v>11.034144652121489</v>
      </c>
      <c r="X62" s="157">
        <f t="shared" si="11"/>
        <v>44974</v>
      </c>
      <c r="Y62" s="384">
        <f t="shared" si="12"/>
        <v>10.79411264881637</v>
      </c>
      <c r="Z62" s="384">
        <f t="shared" si="22"/>
        <v>11.195544597615342</v>
      </c>
      <c r="AA62" s="385">
        <f t="shared" si="13"/>
        <v>12.127013838948814</v>
      </c>
      <c r="AB62" s="196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7.6809448204127148E-2</v>
      </c>
      <c r="AD62" s="230">
        <f>(INDEX(Models!$BJ62:$BT62,,AH62)*(1-AF62)+INDEX(Models!$BJ62:$BT62,,AH62+1)*AF62-ERP_i)*AE62*Ramure*Pc/MaxiM</f>
        <v>3.0944503773241858E-4</v>
      </c>
      <c r="AE62" s="304">
        <f t="shared" si="15"/>
        <v>0.5</v>
      </c>
      <c r="AF62" s="176">
        <f t="shared" si="23"/>
        <v>3.7221436440170619E-2</v>
      </c>
      <c r="AG62" s="814">
        <f t="shared" si="24"/>
        <v>1</v>
      </c>
      <c r="AH62" s="175">
        <f t="shared" si="16"/>
        <v>7</v>
      </c>
      <c r="AI62" s="224">
        <f t="shared" si="17"/>
        <v>1.0372214364401706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44975</v>
      </c>
      <c r="B63" s="410">
        <f>'2022'!Wh/'2022'!Env_an*'2023'!Env_an</f>
        <v>30.897952681627494</v>
      </c>
      <c r="C63" s="843"/>
      <c r="D63" s="392">
        <f t="shared" si="0"/>
        <v>32.047745445614126</v>
      </c>
      <c r="E63" s="384">
        <f t="shared" si="1"/>
        <v>33.960651453435908</v>
      </c>
      <c r="F63" s="384">
        <f t="shared" si="2"/>
        <v>33.968520308201775</v>
      </c>
      <c r="G63" s="110">
        <f t="shared" si="21"/>
        <v>0.82538532892643623</v>
      </c>
      <c r="H63" s="413" t="b">
        <f>Wh_hp&gt;='2022'!Maxi_hp</f>
        <v>0</v>
      </c>
      <c r="I63" s="389">
        <f>IF(H63,Wh_hp,'2022'!Maxi_hp)</f>
        <v>41.235106126634335</v>
      </c>
      <c r="J63" s="85">
        <f>IF(H63,An,'2022'!An_max)</f>
        <v>2019</v>
      </c>
      <c r="K63" s="196">
        <f t="shared" si="3"/>
        <v>44975</v>
      </c>
      <c r="L63" s="147">
        <f>IF(t&lt;Tvie,1-EXP((T0-t)*PertePVj)+'2022'!Pspv,1-EXP((T0-t)*PertePVj)+Pspv)</f>
        <v>3.5877493034193721E-2</v>
      </c>
      <c r="M63" s="847"/>
      <c r="N63" s="847"/>
      <c r="O63" s="48">
        <f>IF(t&lt;Tnet,'2022'!Resal+('2022'!Salim-'2022'!Resal)*(1-EXP(('2022'!Tnet-t)/('2022'!Tau_j))),Resal+(Salim-Resal)*(1-EXP((Tnet-t)/(Tau_j))))*Salcycl</f>
        <v>5.632712936748601E-2</v>
      </c>
      <c r="P63" s="168">
        <f>(INDEX(Models!$BJ63:$BT63,,T63)*(1-R63)+INDEX(Models!$BJ63:$BT63,,T63+1)*R63-ERP_i)*Q63*Ramure*Pc/MaxiM</f>
        <v>3.0860466204731825E-4</v>
      </c>
      <c r="Q63" s="304">
        <f t="shared" si="4"/>
        <v>0.5</v>
      </c>
      <c r="R63" s="176">
        <f t="shared" si="5"/>
        <v>3.7340379661819467E-2</v>
      </c>
      <c r="S63" s="814">
        <f t="shared" si="6"/>
        <v>1</v>
      </c>
      <c r="T63" s="175">
        <f t="shared" si="7"/>
        <v>7</v>
      </c>
      <c r="U63" s="250">
        <f t="shared" si="8"/>
        <v>1.0373403796618195</v>
      </c>
      <c r="V63" s="382">
        <f t="shared" si="9"/>
        <v>37.431698079933213</v>
      </c>
      <c r="W63" s="401">
        <f t="shared" si="10"/>
        <v>30.897952681627494</v>
      </c>
      <c r="X63" s="157">
        <f t="shared" si="11"/>
        <v>44975</v>
      </c>
      <c r="Y63" s="384">
        <f t="shared" si="12"/>
        <v>30.226475901607728</v>
      </c>
      <c r="Z63" s="384">
        <f t="shared" si="22"/>
        <v>31.351281277245139</v>
      </c>
      <c r="AA63" s="385">
        <f t="shared" si="13"/>
        <v>33.960651453435908</v>
      </c>
      <c r="AB63" s="196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7.6835103701368215E-2</v>
      </c>
      <c r="AD63" s="230">
        <f>(INDEX(Models!$BJ63:$BT63,,AH63)*(1-AF63)+INDEX(Models!$BJ63:$BT63,,AH63+1)*AF63-ERP_i)*AE63*Ramure*Pc/MaxiM</f>
        <v>3.0860466204731825E-4</v>
      </c>
      <c r="AE63" s="304">
        <f t="shared" si="15"/>
        <v>0.5</v>
      </c>
      <c r="AF63" s="176">
        <f t="shared" si="23"/>
        <v>3.7340379661819467E-2</v>
      </c>
      <c r="AG63" s="814">
        <f t="shared" si="24"/>
        <v>1</v>
      </c>
      <c r="AH63" s="175">
        <f t="shared" si="16"/>
        <v>7</v>
      </c>
      <c r="AI63" s="224">
        <f t="shared" si="17"/>
        <v>1.0373403796618195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44976</v>
      </c>
      <c r="B64" s="410">
        <f>'2022'!Wh/'2022'!Env_an*'2023'!Env_an</f>
        <v>16.800881233476435</v>
      </c>
      <c r="C64" s="843"/>
      <c r="D64" s="392">
        <f t="shared" si="0"/>
        <v>17.426466703694885</v>
      </c>
      <c r="E64" s="384">
        <f t="shared" si="1"/>
        <v>18.467557292525029</v>
      </c>
      <c r="F64" s="384">
        <f t="shared" si="2"/>
        <v>18.468736128725663</v>
      </c>
      <c r="G64" s="110">
        <f t="shared" si="21"/>
        <v>0.44478435101185665</v>
      </c>
      <c r="H64" s="413" t="b">
        <f>Wh_hp&gt;='2022'!Maxi_hp</f>
        <v>0</v>
      </c>
      <c r="I64" s="389">
        <f>IF(H64,Wh_hp,'2022'!Maxi_hp)</f>
        <v>39.639407492619156</v>
      </c>
      <c r="J64" s="85">
        <f>IF(H64,An,'2022'!An_max)</f>
        <v>2021</v>
      </c>
      <c r="K64" s="196">
        <f t="shared" si="3"/>
        <v>44976</v>
      </c>
      <c r="L64" s="147">
        <f>IF(t&lt;Tvie,1-EXP((T0-t)*PertePVj)+'2022'!Pspv,1-EXP((T0-t)*PertePVj)+Pspv)</f>
        <v>3.5898583508371697E-2</v>
      </c>
      <c r="M64" s="847"/>
      <c r="N64" s="847"/>
      <c r="O64" s="48">
        <f>IF(t&lt;Tnet,'2022'!Resal+('2022'!Salim-'2022'!Resal)*(1-EXP(('2022'!Tnet-t)/('2022'!Tau_j))),Resal+(Salim-Resal)*(1-EXP((Tnet-t)/(Tau_j))))*Salcycl</f>
        <v>5.6374027833748161E-2</v>
      </c>
      <c r="P64" s="168">
        <f>(INDEX(Models!$BJ64:$BT64,,T64)*(1-R64)+INDEX(Models!$BJ64:$BT64,,T64+1)*R64-ERP_i)*Q64*Ramure*Pc/MaxiM</f>
        <v>3.0836598828111391E-4</v>
      </c>
      <c r="Q64" s="304">
        <f t="shared" si="4"/>
        <v>0.5</v>
      </c>
      <c r="R64" s="176">
        <f t="shared" si="5"/>
        <v>3.7464211707505024E-2</v>
      </c>
      <c r="S64" s="814">
        <f t="shared" si="6"/>
        <v>1</v>
      </c>
      <c r="T64" s="175">
        <f t="shared" si="7"/>
        <v>7</v>
      </c>
      <c r="U64" s="250">
        <f t="shared" si="8"/>
        <v>1.037464211707505</v>
      </c>
      <c r="V64" s="382">
        <f t="shared" si="9"/>
        <v>37.763856780900845</v>
      </c>
      <c r="W64" s="401">
        <f t="shared" si="10"/>
        <v>16.800881233476435</v>
      </c>
      <c r="X64" s="157">
        <f t="shared" si="11"/>
        <v>44976</v>
      </c>
      <c r="Y64" s="384">
        <f t="shared" si="12"/>
        <v>16.436123850931168</v>
      </c>
      <c r="Z64" s="384">
        <f t="shared" si="22"/>
        <v>17.048127478893594</v>
      </c>
      <c r="AA64" s="385">
        <f t="shared" si="13"/>
        <v>18.467557292525029</v>
      </c>
      <c r="AB64" s="196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7.686072343774264E-2</v>
      </c>
      <c r="AD64" s="230">
        <f>(INDEX(Models!$BJ64:$BT64,,AH64)*(1-AF64)+INDEX(Models!$BJ64:$BT64,,AH64+1)*AF64-ERP_i)*AE64*Ramure*Pc/MaxiM</f>
        <v>3.0836598828111391E-4</v>
      </c>
      <c r="AE64" s="304">
        <f t="shared" si="15"/>
        <v>0.5</v>
      </c>
      <c r="AF64" s="176">
        <f t="shared" si="23"/>
        <v>3.7464211707505024E-2</v>
      </c>
      <c r="AG64" s="814">
        <f t="shared" si="24"/>
        <v>1</v>
      </c>
      <c r="AH64" s="175">
        <f t="shared" si="16"/>
        <v>7</v>
      </c>
      <c r="AI64" s="224">
        <f t="shared" si="17"/>
        <v>1.037464211707505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44977</v>
      </c>
      <c r="B65" s="410">
        <f>'2022'!Wh/'2022'!Env_an*'2023'!Env_an</f>
        <v>20.895744693760225</v>
      </c>
      <c r="C65" s="843"/>
      <c r="D65" s="392">
        <f t="shared" si="0"/>
        <v>21.674277671516226</v>
      </c>
      <c r="E65" s="384">
        <f t="shared" si="1"/>
        <v>22.970280842688449</v>
      </c>
      <c r="F65" s="384">
        <f t="shared" si="2"/>
        <v>22.972799228119243</v>
      </c>
      <c r="G65" s="110">
        <f t="shared" si="21"/>
        <v>0.54846692079183412</v>
      </c>
      <c r="H65" s="413" t="b">
        <f>Wh_hp&gt;='2022'!Maxi_hp</f>
        <v>0</v>
      </c>
      <c r="I65" s="389">
        <f>IF(H65,Wh_hp,'2022'!Maxi_hp)</f>
        <v>41.874871627810187</v>
      </c>
      <c r="J65" s="85">
        <f>IF(H65,An,'2022'!An_max)</f>
        <v>2020</v>
      </c>
      <c r="K65" s="196">
        <f t="shared" si="3"/>
        <v>44977</v>
      </c>
      <c r="L65" s="147">
        <f>IF(t&lt;Tvie,1-EXP((T0-t)*PertePVj)+'2022'!Pspv,1-EXP((T0-t)*PertePVj)+Pspv)</f>
        <v>3.5919673520614183E-2</v>
      </c>
      <c r="M65" s="847"/>
      <c r="N65" s="847"/>
      <c r="O65" s="48">
        <f>IF(t&lt;Tnet,'2022'!Resal+('2022'!Salim-'2022'!Resal)*(1-EXP(('2022'!Tnet-t)/('2022'!Tau_j))),Resal+(Salim-Resal)*(1-EXP((Tnet-t)/(Tau_j))))*Salcycl</f>
        <v>5.6420867469922517E-2</v>
      </c>
      <c r="P65" s="168">
        <f>(INDEX(Models!$BJ65:$BT65,,T65)*(1-R65)+INDEX(Models!$BJ65:$BT65,,T65+1)*R65-ERP_i)*Q65*Ramure*Pc/MaxiM</f>
        <v>3.0870728132316829E-4</v>
      </c>
      <c r="Q65" s="304">
        <f t="shared" si="4"/>
        <v>0.5</v>
      </c>
      <c r="R65" s="176">
        <f t="shared" si="5"/>
        <v>3.7593129151051174E-2</v>
      </c>
      <c r="S65" s="814">
        <f t="shared" si="6"/>
        <v>1</v>
      </c>
      <c r="T65" s="175">
        <f t="shared" si="7"/>
        <v>7</v>
      </c>
      <c r="U65" s="250">
        <f t="shared" si="8"/>
        <v>1.0375931291510512</v>
      </c>
      <c r="V65" s="382">
        <f t="shared" si="9"/>
        <v>38.090873790526565</v>
      </c>
      <c r="W65" s="401">
        <f t="shared" si="10"/>
        <v>20.895744693760225</v>
      </c>
      <c r="X65" s="157">
        <f t="shared" si="11"/>
        <v>44977</v>
      </c>
      <c r="Y65" s="384">
        <f t="shared" si="12"/>
        <v>20.442533634815948</v>
      </c>
      <c r="Z65" s="384">
        <f t="shared" si="22"/>
        <v>21.204180889644007</v>
      </c>
      <c r="AA65" s="385">
        <f t="shared" si="13"/>
        <v>22.970280842688449</v>
      </c>
      <c r="AB65" s="196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7.6886302137076382E-2</v>
      </c>
      <c r="AD65" s="230">
        <f>(INDEX(Models!$BJ65:$BT65,,AH65)*(1-AF65)+INDEX(Models!$BJ65:$BT65,,AH65+1)*AF65-ERP_i)*AE65*Ramure*Pc/MaxiM</f>
        <v>3.0870728132316829E-4</v>
      </c>
      <c r="AE65" s="304">
        <f t="shared" si="15"/>
        <v>0.5</v>
      </c>
      <c r="AF65" s="176">
        <f t="shared" si="23"/>
        <v>3.7593129151051174E-2</v>
      </c>
      <c r="AG65" s="814">
        <f t="shared" si="24"/>
        <v>1</v>
      </c>
      <c r="AH65" s="175">
        <f t="shared" si="16"/>
        <v>7</v>
      </c>
      <c r="AI65" s="224">
        <f t="shared" si="17"/>
        <v>1.0375931291510512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44978</v>
      </c>
      <c r="B66" s="410">
        <f>'2022'!Wh/'2022'!Env_an*'2023'!Env_an</f>
        <v>21.186697316563041</v>
      </c>
      <c r="C66" s="843"/>
      <c r="D66" s="392">
        <f t="shared" si="0"/>
        <v>21.976551341441969</v>
      </c>
      <c r="E66" s="384">
        <f t="shared" si="1"/>
        <v>23.291783506037863</v>
      </c>
      <c r="F66" s="384">
        <f t="shared" si="2"/>
        <v>23.29437279107357</v>
      </c>
      <c r="G66" s="110">
        <f t="shared" si="21"/>
        <v>0.55142001868996227</v>
      </c>
      <c r="H66" s="413" t="b">
        <f>Wh_hp&gt;='2022'!Maxi_hp</f>
        <v>0</v>
      </c>
      <c r="I66" s="389">
        <f>IF(H66,Wh_hp,'2022'!Maxi_hp)</f>
        <v>39.365531433595841</v>
      </c>
      <c r="J66" s="85">
        <f>IF(H66,An,'2022'!An_max)</f>
        <v>2019</v>
      </c>
      <c r="K66" s="196">
        <f t="shared" si="3"/>
        <v>44978</v>
      </c>
      <c r="L66" s="147">
        <f>IF(t&lt;Tvie,1-EXP((T0-t)*PertePVj)+'2022'!Pspv,1-EXP((T0-t)*PertePVj)+Pspv)</f>
        <v>3.5940763070931393E-2</v>
      </c>
      <c r="M66" s="847"/>
      <c r="N66" s="847"/>
      <c r="O66" s="48">
        <f>IF(t&lt;Tnet,'2022'!Resal+('2022'!Salim-'2022'!Resal)*(1-EXP(('2022'!Tnet-t)/('2022'!Tau_j))),Resal+(Salim-Resal)*(1-EXP((Tnet-t)/(Tau_j))))*Salcycl</f>
        <v>5.6467645092740659E-2</v>
      </c>
      <c r="P66" s="168">
        <f>(INDEX(Models!$BJ66:$BT66,,T66)*(1-R66)+INDEX(Models!$BJ66:$BT66,,T66+1)*R66-ERP_i)*Q66*Ramure*Pc/MaxiM</f>
        <v>3.0934153391959352E-4</v>
      </c>
      <c r="Q66" s="304">
        <f t="shared" si="4"/>
        <v>0.5</v>
      </c>
      <c r="R66" s="176">
        <f t="shared" si="5"/>
        <v>3.7727336100623177E-2</v>
      </c>
      <c r="S66" s="814">
        <f t="shared" si="6"/>
        <v>1</v>
      </c>
      <c r="T66" s="175">
        <f t="shared" si="7"/>
        <v>7</v>
      </c>
      <c r="U66" s="250">
        <f t="shared" si="8"/>
        <v>1.0377273361006232</v>
      </c>
      <c r="V66" s="382">
        <f t="shared" si="9"/>
        <v>38.414452165002189</v>
      </c>
      <c r="W66" s="401">
        <f t="shared" si="10"/>
        <v>21.186697316563041</v>
      </c>
      <c r="X66" s="157">
        <f t="shared" si="11"/>
        <v>44978</v>
      </c>
      <c r="Y66" s="384">
        <f t="shared" si="12"/>
        <v>20.727629992941214</v>
      </c>
      <c r="Z66" s="384">
        <f t="shared" si="22"/>
        <v>21.500369685754347</v>
      </c>
      <c r="AA66" s="385">
        <f t="shared" si="13"/>
        <v>23.291783506037863</v>
      </c>
      <c r="AB66" s="196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7.6911835446999297E-2</v>
      </c>
      <c r="AD66" s="230">
        <f>(INDEX(Models!$BJ66:$BT66,,AH66)*(1-AF66)+INDEX(Models!$BJ66:$BT66,,AH66+1)*AF66-ERP_i)*AE66*Ramure*Pc/MaxiM</f>
        <v>3.0934153391959352E-4</v>
      </c>
      <c r="AE66" s="304">
        <f t="shared" si="15"/>
        <v>0.5</v>
      </c>
      <c r="AF66" s="176">
        <f t="shared" si="23"/>
        <v>3.7727336100623177E-2</v>
      </c>
      <c r="AG66" s="814">
        <f t="shared" si="24"/>
        <v>1</v>
      </c>
      <c r="AH66" s="175">
        <f t="shared" si="16"/>
        <v>7</v>
      </c>
      <c r="AI66" s="224">
        <f t="shared" si="17"/>
        <v>1.0377273361006232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44979</v>
      </c>
      <c r="B67" s="410">
        <f>'2022'!Wh/'2022'!Env_an*'2023'!Env_an</f>
        <v>35.070866723593433</v>
      </c>
      <c r="C67" s="843"/>
      <c r="D67" s="392">
        <f t="shared" si="0"/>
        <v>36.379127529494646</v>
      </c>
      <c r="E67" s="384">
        <f t="shared" si="1"/>
        <v>38.558220623892637</v>
      </c>
      <c r="F67" s="384">
        <f t="shared" si="2"/>
        <v>38.568549209734002</v>
      </c>
      <c r="G67" s="110">
        <f t="shared" si="21"/>
        <v>0.90536925741319663</v>
      </c>
      <c r="H67" s="413" t="b">
        <f>Wh_hp&gt;='2022'!Maxi_hp</f>
        <v>0</v>
      </c>
      <c r="I67" s="389">
        <f>IF(H67,Wh_hp,'2022'!Maxi_hp)</f>
        <v>40.864561185039193</v>
      </c>
      <c r="J67" s="85">
        <f>IF(H67,An,'2022'!An_max)</f>
        <v>2020</v>
      </c>
      <c r="K67" s="196">
        <f t="shared" si="3"/>
        <v>44979</v>
      </c>
      <c r="L67" s="147">
        <f>IF(t&lt;Tvie,1-EXP((T0-t)*PertePVj)+'2022'!Pspv,1-EXP((T0-t)*PertePVj)+Pspv)</f>
        <v>3.5961852159333209E-2</v>
      </c>
      <c r="M67" s="847"/>
      <c r="N67" s="847"/>
      <c r="O67" s="48">
        <f>IF(t&lt;Tnet,'2022'!Resal+('2022'!Salim-'2022'!Resal)*(1-EXP(('2022'!Tnet-t)/('2022'!Tau_j))),Resal+(Salim-Resal)*(1-EXP((Tnet-t)/(Tau_j))))*Salcycl</f>
        <v>5.6514358264958882E-2</v>
      </c>
      <c r="P67" s="168">
        <f>(INDEX(Models!$BJ67:$BT67,,T67)*(1-R67)+INDEX(Models!$BJ67:$BT67,,T67+1)*R67-ERP_i)*Q67*Ramure*Pc/MaxiM</f>
        <v>3.0964070901284547E-4</v>
      </c>
      <c r="Q67" s="304">
        <f t="shared" si="4"/>
        <v>0.5</v>
      </c>
      <c r="R67" s="176">
        <f t="shared" si="5"/>
        <v>3.7867044456064702E-2</v>
      </c>
      <c r="S67" s="814">
        <f t="shared" si="6"/>
        <v>1</v>
      </c>
      <c r="T67" s="175">
        <f t="shared" si="7"/>
        <v>7</v>
      </c>
      <c r="U67" s="250">
        <f t="shared" si="8"/>
        <v>1.0378670444560647</v>
      </c>
      <c r="V67" s="382">
        <f t="shared" si="9"/>
        <v>38.734912399871163</v>
      </c>
      <c r="W67" s="401">
        <f t="shared" si="10"/>
        <v>35.070866723593433</v>
      </c>
      <c r="X67" s="157">
        <f t="shared" si="11"/>
        <v>44979</v>
      </c>
      <c r="Y67" s="384">
        <f t="shared" si="12"/>
        <v>34.311712647676245</v>
      </c>
      <c r="Z67" s="384">
        <f t="shared" si="22"/>
        <v>35.591654463602389</v>
      </c>
      <c r="AA67" s="385">
        <f t="shared" si="13"/>
        <v>38.558220623892637</v>
      </c>
      <c r="AB67" s="196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7.6937320039400764E-2</v>
      </c>
      <c r="AD67" s="230">
        <f>(INDEX(Models!$BJ67:$BT67,,AH67)*(1-AF67)+INDEX(Models!$BJ67:$BT67,,AH67+1)*AF67-ERP_i)*AE67*Ramure*Pc/MaxiM</f>
        <v>3.0964070901284547E-4</v>
      </c>
      <c r="AE67" s="304">
        <f t="shared" si="15"/>
        <v>0.5</v>
      </c>
      <c r="AF67" s="176">
        <f t="shared" si="23"/>
        <v>3.7867044456064702E-2</v>
      </c>
      <c r="AG67" s="814">
        <f t="shared" si="24"/>
        <v>1</v>
      </c>
      <c r="AH67" s="175">
        <f t="shared" si="16"/>
        <v>7</v>
      </c>
      <c r="AI67" s="224">
        <f t="shared" si="17"/>
        <v>1.0378670444560647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44980</v>
      </c>
      <c r="B68" s="410">
        <f>'2022'!Wh/'2022'!Env_an*'2023'!Env_an</f>
        <v>36.062821833181523</v>
      </c>
      <c r="C68" s="843"/>
      <c r="D68" s="392">
        <f t="shared" si="0"/>
        <v>37.40890421854003</v>
      </c>
      <c r="E68" s="384">
        <f t="shared" si="1"/>
        <v>39.651640891787125</v>
      </c>
      <c r="F68" s="384">
        <f t="shared" si="2"/>
        <v>39.662577777656395</v>
      </c>
      <c r="G68" s="110">
        <f t="shared" si="21"/>
        <v>0.92341215816613076</v>
      </c>
      <c r="H68" s="413" t="b">
        <f>Wh_hp&gt;='2022'!Maxi_hp</f>
        <v>0</v>
      </c>
      <c r="I68" s="389">
        <f>IF(H68,Wh_hp,'2022'!Maxi_hp)</f>
        <v>41.700793464247006</v>
      </c>
      <c r="J68" s="85">
        <f>IF(H68,An,'2022'!An_max)</f>
        <v>2020</v>
      </c>
      <c r="K68" s="196">
        <f t="shared" si="3"/>
        <v>44980</v>
      </c>
      <c r="L68" s="147">
        <f>IF(t&lt;Tvie,1-EXP((T0-t)*PertePVj)+'2022'!Pspv,1-EXP((T0-t)*PertePVj)+Pspv)</f>
        <v>3.5982940785829844E-2</v>
      </c>
      <c r="M68" s="847"/>
      <c r="N68" s="847"/>
      <c r="O68" s="48">
        <f>IF(t&lt;Tnet,'2022'!Resal+('2022'!Salim-'2022'!Resal)*(1-EXP(('2022'!Tnet-t)/('2022'!Tau_j))),Resal+(Salim-Resal)*(1-EXP((Tnet-t)/(Tau_j))))*Salcycl</f>
        <v>5.6561005365899579E-2</v>
      </c>
      <c r="P68" s="168">
        <f>(INDEX(Models!$BJ68:$BT68,,T68)*(1-R68)+INDEX(Models!$BJ68:$BT68,,T68+1)*R68-ERP_i)*Q68*Ramure*Pc/MaxiM</f>
        <v>3.0960910718204007E-4</v>
      </c>
      <c r="Q68" s="304">
        <f t="shared" si="4"/>
        <v>0.5</v>
      </c>
      <c r="R68" s="176">
        <f t="shared" si="5"/>
        <v>3.8012474172291366E-2</v>
      </c>
      <c r="S68" s="814">
        <f t="shared" si="6"/>
        <v>1</v>
      </c>
      <c r="T68" s="175">
        <f t="shared" si="7"/>
        <v>7</v>
      </c>
      <c r="U68" s="250">
        <f t="shared" si="8"/>
        <v>1.0380124741722914</v>
      </c>
      <c r="V68" s="382">
        <f t="shared" si="9"/>
        <v>39.052550975103976</v>
      </c>
      <c r="W68" s="401">
        <f t="shared" si="10"/>
        <v>36.062821833181523</v>
      </c>
      <c r="X68" s="157">
        <f t="shared" si="11"/>
        <v>44980</v>
      </c>
      <c r="Y68" s="384">
        <f t="shared" si="12"/>
        <v>35.28296789500277</v>
      </c>
      <c r="Z68" s="384">
        <f t="shared" si="22"/>
        <v>36.599941419879123</v>
      </c>
      <c r="AA68" s="385">
        <f t="shared" si="13"/>
        <v>39.651640891787125</v>
      </c>
      <c r="AB68" s="196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7.6962753703847059E-2</v>
      </c>
      <c r="AD68" s="230">
        <f>(INDEX(Models!$BJ68:$BT68,,AH68)*(1-AF68)+INDEX(Models!$BJ68:$BT68,,AH68+1)*AF68-ERP_i)*AE68*Ramure*Pc/MaxiM</f>
        <v>3.0960910718204007E-4</v>
      </c>
      <c r="AE68" s="304">
        <f t="shared" si="15"/>
        <v>0.5</v>
      </c>
      <c r="AF68" s="176">
        <f t="shared" si="23"/>
        <v>3.8012474172291366E-2</v>
      </c>
      <c r="AG68" s="814">
        <f t="shared" si="24"/>
        <v>1</v>
      </c>
      <c r="AH68" s="175">
        <f t="shared" si="16"/>
        <v>7</v>
      </c>
      <c r="AI68" s="224">
        <f t="shared" si="17"/>
        <v>1.0380124741722914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44981</v>
      </c>
      <c r="B69" s="410">
        <f>'2022'!Wh/'2022'!Env_an*'2023'!Env_an</f>
        <v>21.52126601846318</v>
      </c>
      <c r="C69" s="843"/>
      <c r="D69" s="392">
        <f t="shared" si="0"/>
        <v>22.325058054995296</v>
      </c>
      <c r="E69" s="384">
        <f t="shared" si="1"/>
        <v>23.664657162342202</v>
      </c>
      <c r="F69" s="384">
        <f t="shared" si="2"/>
        <v>23.667236363761582</v>
      </c>
      <c r="G69" s="110">
        <f t="shared" si="21"/>
        <v>0.54656418737857992</v>
      </c>
      <c r="H69" s="413" t="b">
        <f>Wh_hp&gt;='2022'!Maxi_hp</f>
        <v>0</v>
      </c>
      <c r="I69" s="389">
        <f>IF(H69,Wh_hp,'2022'!Maxi_hp)</f>
        <v>41.717998173912889</v>
      </c>
      <c r="J69" s="85">
        <f>IF(H69,An,'2022'!An_max)</f>
        <v>2020</v>
      </c>
      <c r="K69" s="196">
        <f t="shared" si="3"/>
        <v>44981</v>
      </c>
      <c r="L69" s="147">
        <f>IF(t&lt;Tvie,1-EXP((T0-t)*PertePVj)+'2022'!Pspv,1-EXP((T0-t)*PertePVj)+Pspv)</f>
        <v>3.6004028950431512E-2</v>
      </c>
      <c r="M69" s="847"/>
      <c r="N69" s="847"/>
      <c r="O69" s="48">
        <f>IF(t&lt;Tnet,'2022'!Resal+('2022'!Salim-'2022'!Resal)*(1-EXP(('2022'!Tnet-t)/('2022'!Tau_j))),Resal+(Salim-Resal)*(1-EXP((Tnet-t)/(Tau_j))))*Salcycl</f>
        <v>5.6607585656411934E-2</v>
      </c>
      <c r="P69" s="168">
        <f>(INDEX(Models!$BJ69:$BT69,,T69)*(1-R69)+INDEX(Models!$BJ69:$BT69,,T69+1)*R69-ERP_i)*Q69*Ramure*Pc/MaxiM</f>
        <v>3.0925229471133442E-4</v>
      </c>
      <c r="Q69" s="304">
        <f t="shared" si="4"/>
        <v>0.5</v>
      </c>
      <c r="R69" s="176">
        <f t="shared" si="5"/>
        <v>3.8163853528622393E-2</v>
      </c>
      <c r="S69" s="814">
        <f t="shared" si="6"/>
        <v>1</v>
      </c>
      <c r="T69" s="175">
        <f t="shared" si="7"/>
        <v>7</v>
      </c>
      <c r="U69" s="250">
        <f t="shared" si="8"/>
        <v>1.0381638535286224</v>
      </c>
      <c r="V69" s="382">
        <f t="shared" si="9"/>
        <v>39.367664188657564</v>
      </c>
      <c r="W69" s="401">
        <f t="shared" si="10"/>
        <v>21.52126601846318</v>
      </c>
      <c r="X69" s="157">
        <f t="shared" si="11"/>
        <v>44981</v>
      </c>
      <c r="Y69" s="384">
        <f t="shared" si="12"/>
        <v>21.056331992411252</v>
      </c>
      <c r="Z69" s="384">
        <f t="shared" si="22"/>
        <v>21.842759331748844</v>
      </c>
      <c r="AA69" s="385">
        <f t="shared" si="13"/>
        <v>23.664657162342202</v>
      </c>
      <c r="AB69" s="196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7.6988135433145435E-2</v>
      </c>
      <c r="AD69" s="230">
        <f>(INDEX(Models!$BJ69:$BT69,,AH69)*(1-AF69)+INDEX(Models!$BJ69:$BT69,,AH69+1)*AF69-ERP_i)*AE69*Ramure*Pc/MaxiM</f>
        <v>3.0925229471133442E-4</v>
      </c>
      <c r="AE69" s="304">
        <f t="shared" si="15"/>
        <v>0.5</v>
      </c>
      <c r="AF69" s="176">
        <f t="shared" si="23"/>
        <v>3.8163853528622393E-2</v>
      </c>
      <c r="AG69" s="814">
        <f t="shared" si="24"/>
        <v>1</v>
      </c>
      <c r="AH69" s="175">
        <f t="shared" si="16"/>
        <v>7</v>
      </c>
      <c r="AI69" s="224">
        <f t="shared" si="17"/>
        <v>1.0381638535286224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44982</v>
      </c>
      <c r="B70" s="410">
        <f>'2022'!Wh/'2022'!Env_an*'2023'!Env_an</f>
        <v>30.600618343604577</v>
      </c>
      <c r="C70" s="843"/>
      <c r="D70" s="392">
        <f t="shared" si="0"/>
        <v>31.744207107721959</v>
      </c>
      <c r="E70" s="384">
        <f t="shared" si="1"/>
        <v>33.65065463838372</v>
      </c>
      <c r="F70" s="384">
        <f t="shared" si="2"/>
        <v>33.657645470659816</v>
      </c>
      <c r="G70" s="110">
        <f t="shared" si="21"/>
        <v>0.77109647798710457</v>
      </c>
      <c r="H70" s="413" t="b">
        <f>Wh_hp&gt;='2022'!Maxi_hp</f>
        <v>0</v>
      </c>
      <c r="I70" s="389">
        <f>IF(H70,Wh_hp,'2022'!Maxi_hp)</f>
        <v>42.62355723611401</v>
      </c>
      <c r="J70" s="85">
        <f>IF(H70,An,'2022'!An_max)</f>
        <v>2019</v>
      </c>
      <c r="K70" s="196">
        <f t="shared" si="3"/>
        <v>44982</v>
      </c>
      <c r="L70" s="147">
        <f>IF(t&lt;Tvie,1-EXP((T0-t)*PertePVj)+'2022'!Pspv,1-EXP((T0-t)*PertePVj)+Pspv)</f>
        <v>3.6025116653148205E-2</v>
      </c>
      <c r="M70" s="847"/>
      <c r="N70" s="847"/>
      <c r="O70" s="48">
        <f>IF(t&lt;Tnet,'2022'!Resal+('2022'!Salim-'2022'!Resal)*(1-EXP(('2022'!Tnet-t)/('2022'!Tau_j))),Resal+(Salim-Resal)*(1-EXP((Tnet-t)/(Tau_j))))*Salcycl</f>
        <v>5.6654099337704093E-2</v>
      </c>
      <c r="P70" s="168">
        <f>(INDEX(Models!$BJ70:$BT70,,T70)*(1-R70)+INDEX(Models!$BJ70:$BT70,,T70+1)*R70-ERP_i)*Q70*Ramure*Pc/MaxiM</f>
        <v>3.0857562139376918E-4</v>
      </c>
      <c r="Q70" s="304">
        <f t="shared" si="4"/>
        <v>0.5</v>
      </c>
      <c r="R70" s="176">
        <f t="shared" si="5"/>
        <v>3.8321419403903878E-2</v>
      </c>
      <c r="S70" s="814">
        <f t="shared" si="6"/>
        <v>1</v>
      </c>
      <c r="T70" s="175">
        <f t="shared" si="7"/>
        <v>7</v>
      </c>
      <c r="U70" s="250">
        <f t="shared" si="8"/>
        <v>1.0383214194039039</v>
      </c>
      <c r="V70" s="382">
        <f t="shared" si="9"/>
        <v>39.680548214259439</v>
      </c>
      <c r="W70" s="401">
        <f t="shared" si="10"/>
        <v>30.600618343604577</v>
      </c>
      <c r="X70" s="157">
        <f t="shared" si="11"/>
        <v>44982</v>
      </c>
      <c r="Y70" s="384">
        <f t="shared" si="12"/>
        <v>29.940193367757352</v>
      </c>
      <c r="Z70" s="384">
        <f t="shared" si="22"/>
        <v>31.05910110832675</v>
      </c>
      <c r="AA70" s="385">
        <f t="shared" si="13"/>
        <v>33.65065463838372</v>
      </c>
      <c r="AB70" s="196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7.7013465500338552E-2</v>
      </c>
      <c r="AD70" s="230">
        <f>(INDEX(Models!$BJ70:$BT70,,AH70)*(1-AF70)+INDEX(Models!$BJ70:$BT70,,AH70+1)*AF70-ERP_i)*AE70*Ramure*Pc/MaxiM</f>
        <v>3.0857562139376918E-4</v>
      </c>
      <c r="AE70" s="304">
        <f t="shared" si="15"/>
        <v>0.5</v>
      </c>
      <c r="AF70" s="176">
        <f t="shared" si="23"/>
        <v>3.8321419403903878E-2</v>
      </c>
      <c r="AG70" s="814">
        <f t="shared" si="24"/>
        <v>1</v>
      </c>
      <c r="AH70" s="175">
        <f t="shared" si="16"/>
        <v>7</v>
      </c>
      <c r="AI70" s="224">
        <f t="shared" si="17"/>
        <v>1.0383214194039039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44983</v>
      </c>
      <c r="B71" s="410">
        <f>'2022'!Wh/'2022'!Env_an*'2023'!Env_an</f>
        <v>40.625462993090295</v>
      </c>
      <c r="C71" s="843"/>
      <c r="D71" s="392">
        <f t="shared" si="0"/>
        <v>42.144616429958589</v>
      </c>
      <c r="E71" s="384">
        <f t="shared" si="1"/>
        <v>44.677876492869075</v>
      </c>
      <c r="F71" s="384">
        <f t="shared" si="2"/>
        <v>44.691622932804925</v>
      </c>
      <c r="G71" s="110">
        <f t="shared" si="21"/>
        <v>1.0158524665485094</v>
      </c>
      <c r="H71" s="413" t="b">
        <f>Wh_hp&gt;='2022'!Maxi_hp</f>
        <v>1</v>
      </c>
      <c r="I71" s="389">
        <f>IF(H71,Wh_hp,'2022'!Maxi_hp)</f>
        <v>44.691622932804925</v>
      </c>
      <c r="J71" s="85">
        <f>IF(H71,An,'2022'!An_max)</f>
        <v>2023</v>
      </c>
      <c r="K71" s="196">
        <f t="shared" si="3"/>
        <v>44983</v>
      </c>
      <c r="L71" s="147">
        <f>IF(t&lt;Tvie,1-EXP((T0-t)*PertePVj)+'2022'!Pspv,1-EXP((T0-t)*PertePVj)+Pspv)</f>
        <v>3.6046203893990138E-2</v>
      </c>
      <c r="M71" s="847"/>
      <c r="N71" s="847"/>
      <c r="O71" s="48">
        <f>IF(t&lt;Tnet,'2022'!Resal+('2022'!Salim-'2022'!Resal)*(1-EXP(('2022'!Tnet-t)/('2022'!Tau_j))),Resal+(Salim-Resal)*(1-EXP((Tnet-t)/(Tau_j))))*Salcycl</f>
        <v>5.6700547603573161E-2</v>
      </c>
      <c r="P71" s="168">
        <f>(INDEX(Models!$BJ71:$BT71,,T71)*(1-R71)+INDEX(Models!$BJ71:$BT71,,T71+1)*R71-ERP_i)*Q71*Ramure*Pc/MaxiM</f>
        <v>3.0758426375612655E-4</v>
      </c>
      <c r="Q71" s="304">
        <f t="shared" si="4"/>
        <v>0.5</v>
      </c>
      <c r="R71" s="176">
        <f t="shared" si="5"/>
        <v>3.8485417557243107E-2</v>
      </c>
      <c r="S71" s="814">
        <f t="shared" si="6"/>
        <v>1</v>
      </c>
      <c r="T71" s="175">
        <f t="shared" si="7"/>
        <v>7</v>
      </c>
      <c r="U71" s="250">
        <f t="shared" si="8"/>
        <v>1.0384854175572431</v>
      </c>
      <c r="V71" s="382">
        <f t="shared" si="9"/>
        <v>39.991499091517277</v>
      </c>
      <c r="W71" s="401">
        <f t="shared" si="10"/>
        <v>40.625462993090295</v>
      </c>
      <c r="X71" s="157">
        <f t="shared" si="11"/>
        <v>44983</v>
      </c>
      <c r="Y71" s="384">
        <f t="shared" si="12"/>
        <v>39.749549511994104</v>
      </c>
      <c r="Z71" s="384">
        <f t="shared" si="22"/>
        <v>41.235948935069793</v>
      </c>
      <c r="AA71" s="385">
        <f t="shared" si="13"/>
        <v>44.677876492869075</v>
      </c>
      <c r="AB71" s="196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7.7038745526516628E-2</v>
      </c>
      <c r="AD71" s="230">
        <f>(INDEX(Models!$BJ71:$BT71,,AH71)*(1-AF71)+INDEX(Models!$BJ71:$BT71,,AH71+1)*AF71-ERP_i)*AE71*Ramure*Pc/MaxiM</f>
        <v>3.0758426375612655E-4</v>
      </c>
      <c r="AE71" s="304">
        <f t="shared" si="15"/>
        <v>0.5</v>
      </c>
      <c r="AF71" s="176">
        <f t="shared" si="23"/>
        <v>3.8485417557243107E-2</v>
      </c>
      <c r="AG71" s="814">
        <f t="shared" si="24"/>
        <v>1</v>
      </c>
      <c r="AH71" s="175">
        <f t="shared" si="16"/>
        <v>7</v>
      </c>
      <c r="AI71" s="224">
        <f t="shared" si="17"/>
        <v>1.0384854175572431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44984</v>
      </c>
      <c r="B72" s="410">
        <f>'2022'!Wh/'2022'!Env_an*'2023'!Env_an</f>
        <v>26.746208520007752</v>
      </c>
      <c r="C72" s="843"/>
      <c r="D72" s="392">
        <f t="shared" si="0"/>
        <v>27.746966423289603</v>
      </c>
      <c r="E72" s="384">
        <f t="shared" si="1"/>
        <v>29.416248284557373</v>
      </c>
      <c r="F72" s="384">
        <f t="shared" si="2"/>
        <v>29.420930438618942</v>
      </c>
      <c r="G72" s="110">
        <f t="shared" si="21"/>
        <v>0.66356657986065681</v>
      </c>
      <c r="H72" s="413" t="b">
        <f>Wh_hp&gt;='2022'!Maxi_hp</f>
        <v>0</v>
      </c>
      <c r="I72" s="389">
        <f>IF(H72,Wh_hp,'2022'!Maxi_hp)</f>
        <v>43.393091127418728</v>
      </c>
      <c r="J72" s="85">
        <f>IF(H72,An,'2022'!An_max)</f>
        <v>2019</v>
      </c>
      <c r="K72" s="196">
        <f t="shared" si="3"/>
        <v>44984</v>
      </c>
      <c r="L72" s="147">
        <f>IF(t&lt;Tvie,1-EXP((T0-t)*PertePVj)+'2022'!Pspv,1-EXP((T0-t)*PertePVj)+Pspv)</f>
        <v>3.6067290672967302E-2</v>
      </c>
      <c r="M72" s="847"/>
      <c r="N72" s="847"/>
      <c r="O72" s="48">
        <f>IF(t&lt;Tnet,'2022'!Resal+('2022'!Salim-'2022'!Resal)*(1-EXP(('2022'!Tnet-t)/('2022'!Tau_j))),Resal+(Salim-Resal)*(1-EXP((Tnet-t)/(Tau_j))))*Salcycl</f>
        <v>5.6746932685637248E-2</v>
      </c>
      <c r="P72" s="168">
        <f>(INDEX(Models!$BJ72:$BT72,,T72)*(1-R72)+INDEX(Models!$BJ72:$BT72,,T72+1)*R72-ERP_i)*Q72*Ramure*Pc/MaxiM</f>
        <v>3.0632799972786067E-4</v>
      </c>
      <c r="Q72" s="304">
        <f t="shared" si="4"/>
        <v>0.5</v>
      </c>
      <c r="R72" s="176">
        <f t="shared" si="5"/>
        <v>3.8656102914129242E-2</v>
      </c>
      <c r="S72" s="814">
        <f t="shared" si="6"/>
        <v>1</v>
      </c>
      <c r="T72" s="175">
        <f t="shared" si="7"/>
        <v>7</v>
      </c>
      <c r="U72" s="250">
        <f t="shared" si="8"/>
        <v>1.0386561029141292</v>
      </c>
      <c r="V72" s="382">
        <f t="shared" si="9"/>
        <v>40.300810923222286</v>
      </c>
      <c r="W72" s="401">
        <f t="shared" si="10"/>
        <v>26.746208520007752</v>
      </c>
      <c r="X72" s="157">
        <f t="shared" si="11"/>
        <v>44984</v>
      </c>
      <c r="Y72" s="384">
        <f t="shared" si="12"/>
        <v>26.170112916682285</v>
      </c>
      <c r="Z72" s="384">
        <f t="shared" si="22"/>
        <v>27.149315158060034</v>
      </c>
      <c r="AA72" s="385">
        <f t="shared" si="13"/>
        <v>29.416248284557373</v>
      </c>
      <c r="AB72" s="196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7.7063978538942646E-2</v>
      </c>
      <c r="AD72" s="230">
        <f>(INDEX(Models!$BJ72:$BT72,,AH72)*(1-AF72)+INDEX(Models!$BJ72:$BT72,,AH72+1)*AF72-ERP_i)*AE72*Ramure*Pc/MaxiM</f>
        <v>3.0632799972786067E-4</v>
      </c>
      <c r="AE72" s="304">
        <f t="shared" si="15"/>
        <v>0.5</v>
      </c>
      <c r="AF72" s="176">
        <f t="shared" si="23"/>
        <v>3.8656102914129242E-2</v>
      </c>
      <c r="AG72" s="814">
        <f t="shared" si="24"/>
        <v>1</v>
      </c>
      <c r="AH72" s="175">
        <f t="shared" si="16"/>
        <v>7</v>
      </c>
      <c r="AI72" s="224">
        <f t="shared" si="17"/>
        <v>1.0386561029141292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44985</v>
      </c>
      <c r="B73" s="410">
        <f>'2022'!Wh/'2022'!Env_an*'2023'!Env_an</f>
        <v>35.871517609926364</v>
      </c>
      <c r="C73" s="843"/>
      <c r="D73" s="392">
        <f t="shared" si="0"/>
        <v>37.214529583027513</v>
      </c>
      <c r="E73" s="384">
        <f t="shared" si="1"/>
        <v>39.455326093011415</v>
      </c>
      <c r="F73" s="384">
        <f t="shared" si="2"/>
        <v>39.465353810771575</v>
      </c>
      <c r="G73" s="110">
        <f t="shared" si="21"/>
        <v>0.8832990832891805</v>
      </c>
      <c r="H73" s="413" t="b">
        <f>Wh_hp&gt;='2022'!Maxi_hp</f>
        <v>0</v>
      </c>
      <c r="I73" s="389">
        <f>IF(H73,Wh_hp,'2022'!Maxi_hp)</f>
        <v>39.465776394788492</v>
      </c>
      <c r="J73" s="85">
        <f>IF(H73,An,'2022'!An_max)</f>
        <v>2022</v>
      </c>
      <c r="K73" s="196">
        <f t="shared" si="3"/>
        <v>44985</v>
      </c>
      <c r="L73" s="147">
        <f>IF(t&lt;Tvie,1-EXP((T0-t)*PertePVj)+'2022'!Pspv,1-EXP((T0-t)*PertePVj)+Pspv)</f>
        <v>3.6088376990089911E-2</v>
      </c>
      <c r="M73" s="847"/>
      <c r="N73" s="847"/>
      <c r="O73" s="48">
        <f>IF(t&lt;Tnet,'2022'!Resal+('2022'!Salim-'2022'!Resal)*(1-EXP(('2022'!Tnet-t)/('2022'!Tau_j))),Resal+(Salim-Resal)*(1-EXP((Tnet-t)/(Tau_j))))*Salcycl</f>
        <v>5.6793257891253571E-2</v>
      </c>
      <c r="P73" s="168">
        <f>(INDEX(Models!$BJ73:$BT73,,T73)*(1-R73)+INDEX(Models!$BJ73:$BT73,,T73+1)*R73-ERP_i)*Q73*Ramure*Pc/MaxiM</f>
        <v>3.0490140192315719E-4</v>
      </c>
      <c r="Q73" s="304">
        <f t="shared" si="4"/>
        <v>0.5</v>
      </c>
      <c r="R73" s="176">
        <f t="shared" si="5"/>
        <v>3.8833739857681904E-2</v>
      </c>
      <c r="S73" s="814">
        <f t="shared" si="6"/>
        <v>1</v>
      </c>
      <c r="T73" s="175">
        <f t="shared" si="7"/>
        <v>7</v>
      </c>
      <c r="U73" s="250">
        <f t="shared" si="8"/>
        <v>1.0388337398576819</v>
      </c>
      <c r="V73" s="382">
        <f t="shared" si="9"/>
        <v>40.608775795525787</v>
      </c>
      <c r="W73" s="401">
        <f t="shared" si="10"/>
        <v>35.871517609926364</v>
      </c>
      <c r="X73" s="157">
        <f t="shared" si="11"/>
        <v>44985</v>
      </c>
      <c r="Y73" s="384">
        <f t="shared" si="12"/>
        <v>35.099634733215581</v>
      </c>
      <c r="Z73" s="384">
        <f t="shared" si="22"/>
        <v>36.413747791123704</v>
      </c>
      <c r="AA73" s="385">
        <f t="shared" si="13"/>
        <v>39.455326093011415</v>
      </c>
      <c r="AB73" s="196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7.7089169019096085E-2</v>
      </c>
      <c r="AD73" s="230">
        <f>(INDEX(Models!$BJ73:$BT73,,AH73)*(1-AF73)+INDEX(Models!$BJ73:$BT73,,AH73+1)*AF73-ERP_i)*AE73*Ramure*Pc/MaxiM</f>
        <v>3.0490140192315719E-4</v>
      </c>
      <c r="AE73" s="304">
        <f t="shared" si="15"/>
        <v>0.5</v>
      </c>
      <c r="AF73" s="176">
        <f t="shared" si="23"/>
        <v>3.8833739857681904E-2</v>
      </c>
      <c r="AG73" s="814">
        <f t="shared" si="24"/>
        <v>1</v>
      </c>
      <c r="AH73" s="175">
        <f t="shared" si="16"/>
        <v>7</v>
      </c>
      <c r="AI73" s="224">
        <f t="shared" si="17"/>
        <v>1.0388337398576819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44986</v>
      </c>
      <c r="B74" s="410">
        <f>'2022'!Wh/'2022'!Env_an*'2023'!Env_an</f>
        <v>39.349664217713723</v>
      </c>
      <c r="C74" s="843"/>
      <c r="D74" s="392">
        <f t="shared" si="0"/>
        <v>40.823789321422773</v>
      </c>
      <c r="E74" s="384">
        <f t="shared" si="1"/>
        <v>43.284033329988794</v>
      </c>
      <c r="F74" s="384">
        <f t="shared" si="2"/>
        <v>43.296447371121381</v>
      </c>
      <c r="G74" s="110">
        <f t="shared" si="21"/>
        <v>0.96170960525891869</v>
      </c>
      <c r="H74" s="413" t="b">
        <f>Wh_hp&gt;='2022'!Maxi_hp</f>
        <v>0</v>
      </c>
      <c r="I74" s="389">
        <f>IF(H74,Wh_hp,'2022'!Maxi_hp)</f>
        <v>43.296598895095009</v>
      </c>
      <c r="J74" s="85">
        <f>IF(H74,An,'2022'!An_max)</f>
        <v>2022</v>
      </c>
      <c r="K74" s="196">
        <f t="shared" si="3"/>
        <v>44986</v>
      </c>
      <c r="L74" s="147">
        <f>IF(t&lt;Tvie,1-EXP((T0-t)*PertePVj)+'2022'!Pspv,1-EXP((T0-t)*PertePVj)+Pspv)</f>
        <v>3.6109462845368069E-2</v>
      </c>
      <c r="M74" s="847"/>
      <c r="N74" s="847"/>
      <c r="O74" s="48">
        <f>IF(t&lt;Tnet,'2022'!Resal+('2022'!Salim-'2022'!Resal)*(1-EXP(('2022'!Tnet-t)/('2022'!Tau_j))),Resal+(Salim-Resal)*(1-EXP((Tnet-t)/(Tau_j))))*Salcycl</f>
        <v>5.6839527633887901E-2</v>
      </c>
      <c r="P74" s="168">
        <f>(INDEX(Models!$BJ74:$BT74,,T74)*(1-R74)+INDEX(Models!$BJ74:$BT74,,T74+1)*R74-ERP_i)*Q74*Ramure*Pc/MaxiM</f>
        <v>3.0330603242931367E-4</v>
      </c>
      <c r="Q74" s="304">
        <f t="shared" si="4"/>
        <v>0.5</v>
      </c>
      <c r="R74" s="176">
        <f t="shared" si="5"/>
        <v>3.9018602524717005E-2</v>
      </c>
      <c r="S74" s="814">
        <f t="shared" si="6"/>
        <v>1</v>
      </c>
      <c r="T74" s="175">
        <f t="shared" si="7"/>
        <v>7</v>
      </c>
      <c r="U74" s="250">
        <f t="shared" si="8"/>
        <v>1.039018602524717</v>
      </c>
      <c r="V74" s="382">
        <f t="shared" si="9"/>
        <v>40.915689348095277</v>
      </c>
      <c r="W74" s="401">
        <f t="shared" si="10"/>
        <v>39.349664217713723</v>
      </c>
      <c r="X74" s="157">
        <f t="shared" si="11"/>
        <v>44986</v>
      </c>
      <c r="Y74" s="384">
        <f t="shared" si="12"/>
        <v>38.503778060726283</v>
      </c>
      <c r="Z74" s="384">
        <f t="shared" si="22"/>
        <v>39.946214405619095</v>
      </c>
      <c r="AA74" s="385">
        <f t="shared" si="13"/>
        <v>43.284033329988794</v>
      </c>
      <c r="AB74" s="196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7.7114322940351726E-2</v>
      </c>
      <c r="AD74" s="230">
        <f>(INDEX(Models!$BJ74:$BT74,,AH74)*(1-AF74)+INDEX(Models!$BJ74:$BT74,,AH74+1)*AF74-ERP_i)*AE74*Ramure*Pc/MaxiM</f>
        <v>3.0330603242931367E-4</v>
      </c>
      <c r="AE74" s="304">
        <f t="shared" si="15"/>
        <v>0.5</v>
      </c>
      <c r="AF74" s="176">
        <f t="shared" si="23"/>
        <v>3.9018602524717005E-2</v>
      </c>
      <c r="AG74" s="814">
        <f t="shared" si="24"/>
        <v>1</v>
      </c>
      <c r="AH74" s="175">
        <f t="shared" si="16"/>
        <v>7</v>
      </c>
      <c r="AI74" s="224">
        <f t="shared" si="17"/>
        <v>1.039018602524717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44987</v>
      </c>
      <c r="B75" s="410">
        <f>'2022'!Wh/'2022'!Env_an*'2023'!Env_an</f>
        <v>15.573001123832826</v>
      </c>
      <c r="C75" s="843"/>
      <c r="D75" s="392">
        <f t="shared" si="0"/>
        <v>16.156753485005407</v>
      </c>
      <c r="E75" s="384">
        <f t="shared" si="1"/>
        <v>17.131279101571945</v>
      </c>
      <c r="F75" s="384">
        <f t="shared" si="2"/>
        <v>17.131853155754829</v>
      </c>
      <c r="G75" s="110">
        <f t="shared" si="21"/>
        <v>0.37768387325076375</v>
      </c>
      <c r="H75" s="413" t="b">
        <f>Wh_hp&gt;='2022'!Maxi_hp</f>
        <v>0</v>
      </c>
      <c r="I75" s="389">
        <f>IF(H75,Wh_hp,'2022'!Maxi_hp)</f>
        <v>29.944510502068969</v>
      </c>
      <c r="J75" s="85">
        <f>IF(H75,An,'2022'!An_max)</f>
        <v>2020</v>
      </c>
      <c r="K75" s="196">
        <f t="shared" si="3"/>
        <v>44987</v>
      </c>
      <c r="L75" s="147">
        <f>IF(t&lt;Tvie,1-EXP((T0-t)*PertePVj)+'2022'!Pspv,1-EXP((T0-t)*PertePVj)+Pspv)</f>
        <v>3.6130548238811878E-2</v>
      </c>
      <c r="M75" s="847"/>
      <c r="N75" s="847"/>
      <c r="O75" s="48">
        <f>IF(t&lt;Tnet,'2022'!Resal+('2022'!Salim-'2022'!Resal)*(1-EXP(('2022'!Tnet-t)/('2022'!Tau_j))),Resal+(Salim-Resal)*(1-EXP((Tnet-t)/(Tau_j))))*Salcycl</f>
        <v>5.6885747455781996E-2</v>
      </c>
      <c r="P75" s="168">
        <f>(INDEX(Models!$BJ75:$BT75,,T75)*(1-R75)+INDEX(Models!$BJ75:$BT75,,T75+1)*R75-ERP_i)*Q75*Ramure*Pc/MaxiM</f>
        <v>3.0154349531392809E-4</v>
      </c>
      <c r="Q75" s="304">
        <f t="shared" si="4"/>
        <v>0.5</v>
      </c>
      <c r="R75" s="176">
        <f t="shared" si="5"/>
        <v>3.9210975106273915E-2</v>
      </c>
      <c r="S75" s="814">
        <f t="shared" si="6"/>
        <v>1</v>
      </c>
      <c r="T75" s="175">
        <f t="shared" si="7"/>
        <v>7</v>
      </c>
      <c r="U75" s="250">
        <f t="shared" si="8"/>
        <v>1.0392109751062739</v>
      </c>
      <c r="V75" s="382">
        <f t="shared" si="9"/>
        <v>41.221847077908336</v>
      </c>
      <c r="W75" s="401">
        <f t="shared" si="10"/>
        <v>15.573001123832826</v>
      </c>
      <c r="X75" s="157">
        <f t="shared" si="11"/>
        <v>44987</v>
      </c>
      <c r="Y75" s="384">
        <f t="shared" si="12"/>
        <v>15.238565611597235</v>
      </c>
      <c r="Z75" s="384">
        <f t="shared" si="22"/>
        <v>15.809781691652573</v>
      </c>
      <c r="AA75" s="385">
        <f t="shared" si="13"/>
        <v>17.131279101571945</v>
      </c>
      <c r="AB75" s="196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7.7139447795121982E-2</v>
      </c>
      <c r="AD75" s="230">
        <f>(INDEX(Models!$BJ75:$BT75,,AH75)*(1-AF75)+INDEX(Models!$BJ75:$BT75,,AH75+1)*AF75-ERP_i)*AE75*Ramure*Pc/MaxiM</f>
        <v>3.0154349531392809E-4</v>
      </c>
      <c r="AE75" s="304">
        <f t="shared" si="15"/>
        <v>0.5</v>
      </c>
      <c r="AF75" s="176">
        <f t="shared" si="23"/>
        <v>3.9210975106273915E-2</v>
      </c>
      <c r="AG75" s="814">
        <f t="shared" si="24"/>
        <v>1</v>
      </c>
      <c r="AH75" s="175">
        <f t="shared" si="16"/>
        <v>7</v>
      </c>
      <c r="AI75" s="224">
        <f t="shared" si="17"/>
        <v>1.0392109751062739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44988</v>
      </c>
      <c r="B76" s="410">
        <f>'2022'!Wh/'2022'!Env_an*'2023'!Env_an</f>
        <v>36.280698844688168</v>
      </c>
      <c r="C76" s="843"/>
      <c r="D76" s="392">
        <f t="shared" si="0"/>
        <v>37.641500565102341</v>
      </c>
      <c r="E76" s="384">
        <f t="shared" si="1"/>
        <v>39.913874220478327</v>
      </c>
      <c r="F76" s="384">
        <f t="shared" si="2"/>
        <v>39.923676940565684</v>
      </c>
      <c r="G76" s="110">
        <f t="shared" si="21"/>
        <v>0.87360658858877571</v>
      </c>
      <c r="H76" s="413" t="b">
        <f>Wh_hp&gt;='2022'!Maxi_hp</f>
        <v>0</v>
      </c>
      <c r="I76" s="389">
        <f>IF(H76,Wh_hp,'2022'!Maxi_hp)</f>
        <v>39.924133521636918</v>
      </c>
      <c r="J76" s="85">
        <f>IF(H76,An,'2022'!An_max)</f>
        <v>2022</v>
      </c>
      <c r="K76" s="196">
        <f t="shared" si="3"/>
        <v>44988</v>
      </c>
      <c r="L76" s="147">
        <f>IF(t&lt;Tvie,1-EXP((T0-t)*PertePVj)+'2022'!Pspv,1-EXP((T0-t)*PertePVj)+Pspv)</f>
        <v>3.6151633170431553E-2</v>
      </c>
      <c r="M76" s="847"/>
      <c r="N76" s="847"/>
      <c r="O76" s="48">
        <f>IF(t&lt;Tnet,'2022'!Resal+('2022'!Salim-'2022'!Resal)*(1-EXP(('2022'!Tnet-t)/('2022'!Tau_j))),Resal+(Salim-Resal)*(1-EXP((Tnet-t)/(Tau_j))))*Salcycl</f>
        <v>5.6931924042846214E-2</v>
      </c>
      <c r="P76" s="168">
        <f>(INDEX(Models!$BJ76:$BT76,,T76)*(1-R76)+INDEX(Models!$BJ76:$BT76,,T76+1)*R76-ERP_i)*Q76*Ramure*Pc/MaxiM</f>
        <v>2.9961544629876415E-4</v>
      </c>
      <c r="Q76" s="304">
        <f t="shared" si="4"/>
        <v>0.5</v>
      </c>
      <c r="R76" s="176">
        <f t="shared" si="5"/>
        <v>3.9411152152188711E-2</v>
      </c>
      <c r="S76" s="814">
        <f t="shared" si="6"/>
        <v>1</v>
      </c>
      <c r="T76" s="175">
        <f t="shared" si="7"/>
        <v>7</v>
      </c>
      <c r="U76" s="250">
        <f t="shared" si="8"/>
        <v>1.0394111521521887</v>
      </c>
      <c r="V76" s="382">
        <f t="shared" si="9"/>
        <v>41.527544337353817</v>
      </c>
      <c r="W76" s="401">
        <f t="shared" si="10"/>
        <v>36.280698844688168</v>
      </c>
      <c r="X76" s="157">
        <f t="shared" si="11"/>
        <v>44988</v>
      </c>
      <c r="Y76" s="384">
        <f t="shared" si="12"/>
        <v>35.502330959435412</v>
      </c>
      <c r="Z76" s="384">
        <f t="shared" si="22"/>
        <v>36.833937973267403</v>
      </c>
      <c r="AA76" s="385">
        <f t="shared" si="13"/>
        <v>39.913874220478327</v>
      </c>
      <c r="AB76" s="196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7.7164552611400497E-2</v>
      </c>
      <c r="AD76" s="230">
        <f>(INDEX(Models!$BJ76:$BT76,,AH76)*(1-AF76)+INDEX(Models!$BJ76:$BT76,,AH76+1)*AF76-ERP_i)*AE76*Ramure*Pc/MaxiM</f>
        <v>2.9961544629876415E-4</v>
      </c>
      <c r="AE76" s="304">
        <f t="shared" si="15"/>
        <v>0.5</v>
      </c>
      <c r="AF76" s="176">
        <f t="shared" si="23"/>
        <v>3.9411152152188711E-2</v>
      </c>
      <c r="AG76" s="814">
        <f t="shared" si="24"/>
        <v>1</v>
      </c>
      <c r="AH76" s="175">
        <f t="shared" si="16"/>
        <v>7</v>
      </c>
      <c r="AI76" s="224">
        <f t="shared" si="17"/>
        <v>1.0394111521521887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44989</v>
      </c>
      <c r="B77" s="410">
        <f>'2022'!Wh/'2022'!Env_an*'2023'!Env_an</f>
        <v>5.4099524946659781</v>
      </c>
      <c r="C77" s="843"/>
      <c r="D77" s="392">
        <f t="shared" si="0"/>
        <v>5.6129895819307514</v>
      </c>
      <c r="E77" s="384">
        <f t="shared" si="1"/>
        <v>5.9521304595214541</v>
      </c>
      <c r="F77" s="384">
        <f t="shared" si="2"/>
        <v>5.9521304595214541</v>
      </c>
      <c r="G77" s="110">
        <f t="shared" si="21"/>
        <v>0.12928389160504392</v>
      </c>
      <c r="H77" s="413" t="b">
        <f>Wh_hp&gt;='2022'!Maxi_hp</f>
        <v>0</v>
      </c>
      <c r="I77" s="389">
        <f>IF(H77,Wh_hp,'2022'!Maxi_hp)</f>
        <v>32.295079329869516</v>
      </c>
      <c r="J77" s="85">
        <f>IF(H77,An,'2022'!An_max)</f>
        <v>2021</v>
      </c>
      <c r="K77" s="196">
        <f t="shared" si="3"/>
        <v>44989</v>
      </c>
      <c r="L77" s="147">
        <f>IF(t&lt;Tvie,1-EXP((T0-t)*PertePVj)+'2022'!Pspv,1-EXP((T0-t)*PertePVj)+Pspv)</f>
        <v>3.6172717640236975E-2</v>
      </c>
      <c r="M77" s="847"/>
      <c r="N77" s="847"/>
      <c r="O77" s="48">
        <f>IF(t&lt;Tnet,'2022'!Resal+('2022'!Salim-'2022'!Resal)*(1-EXP(('2022'!Tnet-t)/('2022'!Tau_j))),Resal+(Salim-Resal)*(1-EXP((Tnet-t)/(Tau_j))))*Salcycl</f>
        <v>5.6978065231784183E-2</v>
      </c>
      <c r="P77" s="168">
        <f>(INDEX(Models!$BJ77:$BT77,,T77)*(1-R77)+INDEX(Models!$BJ77:$BT77,,T77+1)*R77-ERP_i)*Q77*Ramure*Pc/MaxiM</f>
        <v>2.9752360043623692E-4</v>
      </c>
      <c r="Q77" s="304">
        <f t="shared" si="4"/>
        <v>0.5</v>
      </c>
      <c r="R77" s="176">
        <f t="shared" si="5"/>
        <v>3.9619438879247681E-2</v>
      </c>
      <c r="S77" s="814">
        <f t="shared" si="6"/>
        <v>1</v>
      </c>
      <c r="T77" s="175">
        <f t="shared" si="7"/>
        <v>7</v>
      </c>
      <c r="U77" s="250">
        <f t="shared" si="8"/>
        <v>1.0396194388792477</v>
      </c>
      <c r="V77" s="382">
        <f t="shared" si="9"/>
        <v>41.833076332848989</v>
      </c>
      <c r="W77" s="401">
        <f t="shared" si="10"/>
        <v>5.4099524946659781</v>
      </c>
      <c r="X77" s="157">
        <f t="shared" si="11"/>
        <v>44989</v>
      </c>
      <c r="Y77" s="384">
        <f t="shared" si="12"/>
        <v>5.2940021669339039</v>
      </c>
      <c r="Z77" s="384">
        <f t="shared" si="22"/>
        <v>5.4926876047464264</v>
      </c>
      <c r="AA77" s="385">
        <f t="shared" si="13"/>
        <v>5.9521304595214541</v>
      </c>
      <c r="AB77" s="196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7.7189647958752244E-2</v>
      </c>
      <c r="AD77" s="230">
        <f>(INDEX(Models!$BJ77:$BT77,,AH77)*(1-AF77)+INDEX(Models!$BJ77:$BT77,,AH77+1)*AF77-ERP_i)*AE77*Ramure*Pc/MaxiM</f>
        <v>2.9752360043623692E-4</v>
      </c>
      <c r="AE77" s="304">
        <f t="shared" si="15"/>
        <v>0.5</v>
      </c>
      <c r="AF77" s="176">
        <f t="shared" si="23"/>
        <v>3.9619438879247681E-2</v>
      </c>
      <c r="AG77" s="814">
        <f t="shared" si="24"/>
        <v>1</v>
      </c>
      <c r="AH77" s="175">
        <f t="shared" si="16"/>
        <v>7</v>
      </c>
      <c r="AI77" s="224">
        <f t="shared" si="17"/>
        <v>1.0396194388792477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44990</v>
      </c>
      <c r="B78" s="410">
        <f>'2022'!Wh/'2022'!Env_an*'2023'!Env_an</f>
        <v>12.639921084025623</v>
      </c>
      <c r="C78" s="843"/>
      <c r="D78" s="392">
        <f t="shared" si="0"/>
        <v>13.114587876319526</v>
      </c>
      <c r="E78" s="384">
        <f t="shared" si="1"/>
        <v>13.907660831061502</v>
      </c>
      <c r="F78" s="384">
        <f t="shared" si="2"/>
        <v>13.907660831061502</v>
      </c>
      <c r="G78" s="110">
        <f t="shared" si="21"/>
        <v>0.29987107969801163</v>
      </c>
      <c r="H78" s="413" t="b">
        <f>Wh_hp&gt;='2022'!Maxi_hp</f>
        <v>0</v>
      </c>
      <c r="I78" s="389">
        <f>IF(H78,Wh_hp,'2022'!Maxi_hp)</f>
        <v>45.312703719886137</v>
      </c>
      <c r="J78" s="85">
        <f>IF(H78,An,'2022'!An_max)</f>
        <v>2019</v>
      </c>
      <c r="K78" s="196">
        <f t="shared" si="3"/>
        <v>44990</v>
      </c>
      <c r="L78" s="147">
        <f>IF(t&lt;Tvie,1-EXP((T0-t)*PertePVj)+'2022'!Pspv,1-EXP((T0-t)*PertePVj)+Pspv)</f>
        <v>3.6193801648238468E-2</v>
      </c>
      <c r="M78" s="847"/>
      <c r="N78" s="847"/>
      <c r="O78" s="48">
        <f>IF(t&lt;Tnet,'2022'!Resal+('2022'!Salim-'2022'!Resal)*(1-EXP(('2022'!Tnet-t)/('2022'!Tau_j))),Resal+(Salim-Resal)*(1-EXP((Tnet-t)/(Tau_j))))*Salcycl</f>
        <v>5.7024180009532584E-2</v>
      </c>
      <c r="P78" s="168">
        <f>(INDEX(Models!$BJ78:$BT78,,T78)*(1-R78)+INDEX(Models!$BJ78:$BT78,,T78+1)*R78-ERP_i)*Q78*Ramure*Pc/MaxiM</f>
        <v>2.9526973788871505E-4</v>
      </c>
      <c r="Q78" s="304">
        <f t="shared" si="4"/>
        <v>0.5</v>
      </c>
      <c r="R78" s="176">
        <f t="shared" si="5"/>
        <v>3.9836151482385063E-2</v>
      </c>
      <c r="S78" s="814">
        <f t="shared" si="6"/>
        <v>1</v>
      </c>
      <c r="T78" s="175">
        <f t="shared" si="7"/>
        <v>7</v>
      </c>
      <c r="U78" s="250">
        <f t="shared" si="8"/>
        <v>1.0398361514823851</v>
      </c>
      <c r="V78" s="382">
        <f t="shared" si="9"/>
        <v>42.13873812228114</v>
      </c>
      <c r="W78" s="401">
        <f t="shared" si="10"/>
        <v>12.639921084025623</v>
      </c>
      <c r="X78" s="157">
        <f t="shared" si="11"/>
        <v>44990</v>
      </c>
      <c r="Y78" s="384">
        <f t="shared" si="12"/>
        <v>12.369280888760819</v>
      </c>
      <c r="Z78" s="384">
        <f t="shared" si="22"/>
        <v>12.833784333317173</v>
      </c>
      <c r="AA78" s="385">
        <f t="shared" si="13"/>
        <v>13.907660831061502</v>
      </c>
      <c r="AB78" s="196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7.7214745943899044E-2</v>
      </c>
      <c r="AD78" s="230">
        <f>(INDEX(Models!$BJ78:$BT78,,AH78)*(1-AF78)+INDEX(Models!$BJ78:$BT78,,AH78+1)*AF78-ERP_i)*AE78*Ramure*Pc/MaxiM</f>
        <v>2.9526973788871505E-4</v>
      </c>
      <c r="AE78" s="304">
        <f t="shared" si="15"/>
        <v>0.5</v>
      </c>
      <c r="AF78" s="176">
        <f t="shared" si="23"/>
        <v>3.9836151482385063E-2</v>
      </c>
      <c r="AG78" s="814">
        <f t="shared" si="24"/>
        <v>1</v>
      </c>
      <c r="AH78" s="175">
        <f t="shared" si="16"/>
        <v>7</v>
      </c>
      <c r="AI78" s="224">
        <f t="shared" si="17"/>
        <v>1.0398361514823851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44991</v>
      </c>
      <c r="B79" s="410">
        <f>'2022'!Wh/'2022'!Env_an*'2023'!Env_an</f>
        <v>19.968921539271491</v>
      </c>
      <c r="C79" s="843"/>
      <c r="D79" s="392">
        <f t="shared" ref="D79:D142" si="25">Wh/(1-Ppv)</f>
        <v>20.719267430583084</v>
      </c>
      <c r="E79" s="384">
        <f t="shared" si="1"/>
        <v>21.973289162777494</v>
      </c>
      <c r="F79" s="384">
        <f t="shared" ref="F79:F142" si="26">Wh_sa/(1-Pvg*MEDIAN((-Sdif+Wh/Env_an)/Csdif,0,1))</f>
        <v>21.974856404360764</v>
      </c>
      <c r="G79" s="110">
        <f t="shared" si="21"/>
        <v>0.47036698083399003</v>
      </c>
      <c r="H79" s="413" t="b">
        <f>Wh_hp&gt;='2022'!Maxi_hp</f>
        <v>0</v>
      </c>
      <c r="I79" s="389">
        <f>IF(H79,Wh_hp,'2022'!Maxi_hp)</f>
        <v>24.720173237036324</v>
      </c>
      <c r="J79" s="85">
        <f>IF(H79,An,'2022'!An_max)</f>
        <v>2019</v>
      </c>
      <c r="K79" s="196">
        <f t="shared" ref="K79:K142" si="27">t</f>
        <v>44991</v>
      </c>
      <c r="L79" s="147">
        <f>IF(t&lt;Tvie,1-EXP((T0-t)*PertePVj)+'2022'!Pspv,1-EXP((T0-t)*PertePVj)+Pspv)</f>
        <v>3.6214885194446024E-2</v>
      </c>
      <c r="M79" s="847"/>
      <c r="N79" s="847"/>
      <c r="O79" s="48">
        <f>IF(t&lt;Tnet,'2022'!Resal+('2022'!Salim-'2022'!Resal)*(1-EXP(('2022'!Tnet-t)/('2022'!Tau_j))),Resal+(Salim-Resal)*(1-EXP((Tnet-t)/(Tau_j))))*Salcycl</f>
        <v>5.707027850517303E-2</v>
      </c>
      <c r="P79" s="168">
        <f>(INDEX(Models!$BJ79:$BT79,,T79)*(1-R79)+INDEX(Models!$BJ79:$BT79,,T79+1)*R79-ERP_i)*Q79*Ramure*Pc/MaxiM</f>
        <v>2.9285785856360833E-4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4.0061617448323927E-2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1.0400616174483239</v>
      </c>
      <c r="V79" s="382">
        <f t="shared" ref="V79:V142" si="33">MaxiM*(1-Ppv)*(1-Pvg)*(1-Psa)</f>
        <v>42.44451281746467</v>
      </c>
      <c r="W79" s="401">
        <f t="shared" ref="W79:W142" si="34">Wh*(A79&gt;Tmaj)</f>
        <v>19.968921539271491</v>
      </c>
      <c r="X79" s="157">
        <f t="shared" ref="X79:X142" si="35">t</f>
        <v>44991</v>
      </c>
      <c r="Y79" s="384">
        <f t="shared" ref="Y79:Y142" si="36">Wh_pvt_s*(1-Ppv)</f>
        <v>19.54177963772182</v>
      </c>
      <c r="Z79" s="384">
        <f t="shared" ref="Z79:Z142" si="37">Wh_sa_s*(1-Psa_s)</f>
        <v>20.276075379795031</v>
      </c>
      <c r="AA79" s="385">
        <f t="shared" ref="AA79:AA142" si="38">Wh_hp*(1-Pvg_s*MEDIAN((-Sdif+Wh/Env_an)/Csdif,0,1))</f>
        <v>21.973289162777494</v>
      </c>
      <c r="AB79" s="196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7.723986019614773E-2</v>
      </c>
      <c r="AD79" s="230">
        <f>(INDEX(Models!$BJ79:$BT79,,AH79)*(1-AF79)+INDEX(Models!$BJ79:$BT79,,AH79+1)*AF79-ERP_i)*AE79*Ramure*Pc/MaxiM</f>
        <v>2.9285785856360833E-4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4.0061617448323927E-2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1.0400616174483239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10">
        <f>'2022'!Wh/'2022'!Env_an*'2023'!Env_an</f>
        <v>38.8189555303139</v>
      </c>
      <c r="C80" s="843"/>
      <c r="D80" s="392">
        <f t="shared" si="25"/>
        <v>40.278485451453697</v>
      </c>
      <c r="E80" s="384">
        <f t="shared" ref="E80:E143" si="47">Wh_pvt/(1-Psa)</f>
        <v>42.718405807727287</v>
      </c>
      <c r="F80" s="384">
        <f t="shared" si="26"/>
        <v>42.729189927281247</v>
      </c>
      <c r="G80" s="110">
        <f t="shared" ref="G80:G143" si="48">+Wh_hp/MaxiM</f>
        <v>0.90801013543130826</v>
      </c>
      <c r="H80" s="413" t="b">
        <f>Wh_hp&gt;='2022'!Maxi_hp</f>
        <v>0</v>
      </c>
      <c r="I80" s="389">
        <f>IF(H80,Wh_hp,'2022'!Maxi_hp)</f>
        <v>42.729535510180014</v>
      </c>
      <c r="J80" s="85">
        <f>IF(H80,An,'2022'!An_max)</f>
        <v>2022</v>
      </c>
      <c r="K80" s="196">
        <f t="shared" si="27"/>
        <v>44992</v>
      </c>
      <c r="L80" s="147">
        <f>IF(t&lt;Tvie,1-EXP((T0-t)*PertePVj)+'2022'!Pspv,1-EXP((T0-t)*PertePVj)+Pspv)</f>
        <v>3.6235968278869858E-2</v>
      </c>
      <c r="M80" s="847"/>
      <c r="N80" s="847"/>
      <c r="O80" s="48">
        <f>IF(t&lt;Tnet,'2022'!Resal+('2022'!Salim-'2022'!Resal)*(1-EXP(('2022'!Tnet-t)/('2022'!Tau_j))),Resal+(Salim-Resal)*(1-EXP((Tnet-t)/(Tau_j))))*Salcycl</f>
        <v>5.7116371974541967E-2</v>
      </c>
      <c r="P80" s="168">
        <f>(INDEX(Models!$BJ80:$BT80,,T80)*(1-R80)+INDEX(Models!$BJ80:$BT80,,T80+1)*R80-ERP_i)*Q80*Ramure*Pc/MaxiM</f>
        <v>2.9055107988024749E-4</v>
      </c>
      <c r="Q80" s="304">
        <f t="shared" si="28"/>
        <v>0.5</v>
      </c>
      <c r="R80" s="176">
        <f t="shared" si="29"/>
        <v>4.0296175870985218E-2</v>
      </c>
      <c r="S80" s="814">
        <f t="shared" si="30"/>
        <v>1</v>
      </c>
      <c r="T80" s="175">
        <f t="shared" si="31"/>
        <v>7</v>
      </c>
      <c r="U80" s="250">
        <f t="shared" si="32"/>
        <v>1.0402961758709852</v>
      </c>
      <c r="V80" s="382">
        <f t="shared" si="33"/>
        <v>42.750044294826068</v>
      </c>
      <c r="W80" s="401">
        <f t="shared" si="34"/>
        <v>38.8189555303139</v>
      </c>
      <c r="X80" s="157">
        <f t="shared" si="35"/>
        <v>44992</v>
      </c>
      <c r="Y80" s="384">
        <f t="shared" si="36"/>
        <v>37.989426944931388</v>
      </c>
      <c r="Z80" s="384">
        <f t="shared" si="37"/>
        <v>39.417767933389548</v>
      </c>
      <c r="AA80" s="385">
        <f t="shared" si="38"/>
        <v>42.718405807727287</v>
      </c>
      <c r="AB80" s="196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7.7265005843001E-2</v>
      </c>
      <c r="AD80" s="230">
        <f>(INDEX(Models!$BJ80:$BT80,,AH80)*(1-AF80)+INDEX(Models!$BJ80:$BT80,,AH80+1)*AF80-ERP_i)*AE80*Ramure*Pc/MaxiM</f>
        <v>2.9055107988024749E-4</v>
      </c>
      <c r="AE80" s="304">
        <f t="shared" si="40"/>
        <v>0.5</v>
      </c>
      <c r="AF80" s="176">
        <f t="shared" si="41"/>
        <v>4.0296175870985218E-2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1.0402961758709852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10">
        <f>'2022'!Wh/'2022'!Env_an*'2023'!Env_an</f>
        <v>30.557836600097801</v>
      </c>
      <c r="C81" s="843"/>
      <c r="D81" s="392">
        <f t="shared" si="25"/>
        <v>31.707455425414743</v>
      </c>
      <c r="E81" s="384">
        <f t="shared" si="47"/>
        <v>33.629819040861307</v>
      </c>
      <c r="F81" s="384">
        <f t="shared" si="26"/>
        <v>33.635500693449977</v>
      </c>
      <c r="G81" s="110">
        <f t="shared" si="48"/>
        <v>0.70965255030215169</v>
      </c>
      <c r="H81" s="413" t="b">
        <f>Wh_hp&gt;='2022'!Maxi_hp</f>
        <v>0</v>
      </c>
      <c r="I81" s="389">
        <f>IF(H81,Wh_hp,'2022'!Maxi_hp)</f>
        <v>33.636353545695187</v>
      </c>
      <c r="J81" s="85">
        <f>IF(H81,An,'2022'!An_max)</f>
        <v>2022</v>
      </c>
      <c r="K81" s="196">
        <f t="shared" si="27"/>
        <v>44993</v>
      </c>
      <c r="L81" s="147">
        <f>IF(t&lt;Tvie,1-EXP((T0-t)*PertePVj)+'2022'!Pspv,1-EXP((T0-t)*PertePVj)+Pspv)</f>
        <v>3.6257050901520073E-2</v>
      </c>
      <c r="M81" s="847"/>
      <c r="N81" s="847"/>
      <c r="O81" s="48">
        <f>IF(t&lt;Tnet,'2022'!Resal+('2022'!Salim-'2022'!Resal)*(1-EXP(('2022'!Tnet-t)/('2022'!Tau_j))),Resal+(Salim-Resal)*(1-EXP((Tnet-t)/(Tau_j))))*Salcycl</f>
        <v>5.7162472777829411E-2</v>
      </c>
      <c r="P81" s="168">
        <f>(INDEX(Models!$BJ81:$BT81,,T81)*(1-R81)+INDEX(Models!$BJ81:$BT81,,T81+1)*R81-ERP_i)*Q81*Ramure*Pc/MaxiM</f>
        <v>2.8858191467268161E-4</v>
      </c>
      <c r="Q81" s="304">
        <f t="shared" si="28"/>
        <v>0.5</v>
      </c>
      <c r="R81" s="176">
        <f t="shared" si="29"/>
        <v>4.0540177767911301E-2</v>
      </c>
      <c r="S81" s="814">
        <f t="shared" si="30"/>
        <v>1</v>
      </c>
      <c r="T81" s="175">
        <f t="shared" si="31"/>
        <v>7</v>
      </c>
      <c r="U81" s="250">
        <f t="shared" si="32"/>
        <v>1.0405401777679113</v>
      </c>
      <c r="V81" s="382">
        <f t="shared" si="33"/>
        <v>43.05512508765635</v>
      </c>
      <c r="W81" s="401">
        <f t="shared" si="34"/>
        <v>30.557836600097801</v>
      </c>
      <c r="X81" s="157">
        <f t="shared" si="35"/>
        <v>44993</v>
      </c>
      <c r="Y81" s="384">
        <f t="shared" si="36"/>
        <v>29.905486894207595</v>
      </c>
      <c r="Z81" s="384">
        <f t="shared" si="37"/>
        <v>31.030563618838688</v>
      </c>
      <c r="AA81" s="385">
        <f t="shared" si="38"/>
        <v>33.629819040861307</v>
      </c>
      <c r="AB81" s="196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7.7290199476376567E-2</v>
      </c>
      <c r="AD81" s="230">
        <f>(INDEX(Models!$BJ81:$BT81,,AH81)*(1-AF81)+INDEX(Models!$BJ81:$BT81,,AH81+1)*AF81-ERP_i)*AE81*Ramure*Pc/MaxiM</f>
        <v>2.8858191467268161E-4</v>
      </c>
      <c r="AE81" s="304">
        <f t="shared" si="40"/>
        <v>0.5</v>
      </c>
      <c r="AF81" s="176">
        <f t="shared" si="41"/>
        <v>4.0540177767911301E-2</v>
      </c>
      <c r="AG81" s="814">
        <f t="shared" si="49"/>
        <v>1</v>
      </c>
      <c r="AH81" s="175">
        <f t="shared" si="42"/>
        <v>7</v>
      </c>
      <c r="AI81" s="224">
        <f t="shared" si="43"/>
        <v>1.0405401777679113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10">
        <f>'2022'!Wh/'2022'!Env_an*'2023'!Env_an</f>
        <v>29.022916635140142</v>
      </c>
      <c r="C82" s="843"/>
      <c r="D82" s="392">
        <f t="shared" si="25"/>
        <v>30.115448897476917</v>
      </c>
      <c r="E82" s="384">
        <f t="shared" si="47"/>
        <v>31.942854715280898</v>
      </c>
      <c r="F82" s="384">
        <f t="shared" si="26"/>
        <v>31.94769180685504</v>
      </c>
      <c r="G82" s="110">
        <f t="shared" si="48"/>
        <v>0.66926379845468975</v>
      </c>
      <c r="H82" s="413" t="b">
        <f>Wh_hp&gt;='2022'!Maxi_hp</f>
        <v>0</v>
      </c>
      <c r="I82" s="389">
        <f>IF(H82,Wh_hp,'2022'!Maxi_hp)</f>
        <v>44.764426477667158</v>
      </c>
      <c r="J82" s="85">
        <f>IF(H82,An,'2022'!An_max)</f>
        <v>2021</v>
      </c>
      <c r="K82" s="196">
        <f t="shared" si="27"/>
        <v>44994</v>
      </c>
      <c r="L82" s="147">
        <f>IF(t&lt;Tvie,1-EXP((T0-t)*PertePVj)+'2022'!Pspv,1-EXP((T0-t)*PertePVj)+Pspv)</f>
        <v>3.627813306240666E-2</v>
      </c>
      <c r="M82" s="847"/>
      <c r="N82" s="847"/>
      <c r="O82" s="48">
        <f>IF(t&lt;Tnet,'2022'!Resal+('2022'!Salim-'2022'!Resal)*(1-EXP(('2022'!Tnet-t)/('2022'!Tau_j))),Resal+(Salim-Resal)*(1-EXP((Tnet-t)/(Tau_j))))*Salcycl</f>
        <v>5.720859435051634E-2</v>
      </c>
      <c r="P82" s="168">
        <f>(INDEX(Models!$BJ82:$BT82,,T82)*(1-R82)+INDEX(Models!$BJ82:$BT82,,T82+1)*R82-ERP_i)*Q82*Ramure*Pc/MaxiM</f>
        <v>2.869455054042628E-4</v>
      </c>
      <c r="Q82" s="304">
        <f t="shared" si="28"/>
        <v>0.5</v>
      </c>
      <c r="R82" s="176">
        <f t="shared" si="29"/>
        <v>4.0793986396863602E-2</v>
      </c>
      <c r="S82" s="814">
        <f t="shared" si="30"/>
        <v>1</v>
      </c>
      <c r="T82" s="175">
        <f t="shared" si="31"/>
        <v>7</v>
      </c>
      <c r="U82" s="250">
        <f t="shared" si="32"/>
        <v>1.0407939863968636</v>
      </c>
      <c r="V82" s="382">
        <f t="shared" si="33"/>
        <v>43.359557729361079</v>
      </c>
      <c r="W82" s="401">
        <f t="shared" si="34"/>
        <v>29.022916635140142</v>
      </c>
      <c r="X82" s="157">
        <f t="shared" si="35"/>
        <v>44994</v>
      </c>
      <c r="Y82" s="384">
        <f t="shared" si="36"/>
        <v>28.403946355808056</v>
      </c>
      <c r="Z82" s="384">
        <f t="shared" si="37"/>
        <v>29.473178237686891</v>
      </c>
      <c r="AA82" s="385">
        <f t="shared" si="38"/>
        <v>31.942854715280898</v>
      </c>
      <c r="AB82" s="196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7.7315459109938492E-2</v>
      </c>
      <c r="AD82" s="230">
        <f>(INDEX(Models!$BJ82:$BT82,,AH82)*(1-AF82)+INDEX(Models!$BJ82:$BT82,,AH82+1)*AF82-ERP_i)*AE82*Ramure*Pc/MaxiM</f>
        <v>2.869455054042628E-4</v>
      </c>
      <c r="AE82" s="304">
        <f t="shared" si="40"/>
        <v>0.5</v>
      </c>
      <c r="AF82" s="176">
        <f t="shared" si="41"/>
        <v>4.0793986396863602E-2</v>
      </c>
      <c r="AG82" s="814">
        <f t="shared" si="49"/>
        <v>1</v>
      </c>
      <c r="AH82" s="175">
        <f t="shared" si="42"/>
        <v>7</v>
      </c>
      <c r="AI82" s="224">
        <f t="shared" si="43"/>
        <v>1.0407939863968636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10">
        <f>'2022'!Wh/'2022'!Env_an*'2023'!Env_an</f>
        <v>22.772222780969276</v>
      </c>
      <c r="C83" s="843"/>
      <c r="D83" s="392">
        <f t="shared" si="25"/>
        <v>23.629972217294053</v>
      </c>
      <c r="E83" s="384">
        <f t="shared" si="47"/>
        <v>25.06506635442755</v>
      </c>
      <c r="F83" s="384">
        <f t="shared" si="26"/>
        <v>25.067332478083962</v>
      </c>
      <c r="G83" s="110">
        <f t="shared" si="48"/>
        <v>0.52144151693083762</v>
      </c>
      <c r="H83" s="413" t="b">
        <f>Wh_hp&gt;='2022'!Maxi_hp</f>
        <v>0</v>
      </c>
      <c r="I83" s="389">
        <f>IF(H83,Wh_hp,'2022'!Maxi_hp)</f>
        <v>45.253306652586467</v>
      </c>
      <c r="J83" s="85">
        <f>IF(H83,An,'2022'!An_max)</f>
        <v>2021</v>
      </c>
      <c r="K83" s="196">
        <f t="shared" si="27"/>
        <v>44995</v>
      </c>
      <c r="L83" s="147">
        <f>IF(t&lt;Tvie,1-EXP((T0-t)*PertePVj)+'2022'!Pspv,1-EXP((T0-t)*PertePVj)+Pspv)</f>
        <v>3.6299214761539834E-2</v>
      </c>
      <c r="M83" s="847"/>
      <c r="N83" s="847"/>
      <c r="O83" s="48">
        <f>IF(t&lt;Tnet,'2022'!Resal+('2022'!Salim-'2022'!Resal)*(1-EXP(('2022'!Tnet-t)/('2022'!Tau_j))),Resal+(Salim-Resal)*(1-EXP((Tnet-t)/(Tau_j))))*Salcycl</f>
        <v>5.7254751168053293E-2</v>
      </c>
      <c r="P83" s="168">
        <f>(INDEX(Models!$BJ83:$BT83,,T83)*(1-R83)+INDEX(Models!$BJ83:$BT83,,T83+1)*R83-ERP_i)*Q83*Ramure*Pc/MaxiM</f>
        <v>2.8563722463256905E-4</v>
      </c>
      <c r="Q83" s="304">
        <f t="shared" si="28"/>
        <v>0.5</v>
      </c>
      <c r="R83" s="176">
        <f t="shared" si="29"/>
        <v>4.1057977571665516E-2</v>
      </c>
      <c r="S83" s="814">
        <f t="shared" si="30"/>
        <v>1</v>
      </c>
      <c r="T83" s="175">
        <f t="shared" si="31"/>
        <v>7</v>
      </c>
      <c r="U83" s="250">
        <f t="shared" si="32"/>
        <v>1.0410579775716655</v>
      </c>
      <c r="V83" s="382">
        <f t="shared" si="33"/>
        <v>43.663144739372079</v>
      </c>
      <c r="W83" s="401">
        <f t="shared" si="34"/>
        <v>22.772222780969276</v>
      </c>
      <c r="X83" s="157">
        <f t="shared" si="35"/>
        <v>44995</v>
      </c>
      <c r="Y83" s="384">
        <f t="shared" si="36"/>
        <v>22.287039669875838</v>
      </c>
      <c r="Z83" s="384">
        <f t="shared" si="37"/>
        <v>23.126513967051594</v>
      </c>
      <c r="AA83" s="385">
        <f t="shared" si="38"/>
        <v>25.06506635442755</v>
      </c>
      <c r="AB83" s="196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7.7340804128113838E-2</v>
      </c>
      <c r="AD83" s="230">
        <f>(INDEX(Models!$BJ83:$BT83,,AH83)*(1-AF83)+INDEX(Models!$BJ83:$BT83,,AH83+1)*AF83-ERP_i)*AE83*Ramure*Pc/MaxiM</f>
        <v>2.8563722463256905E-4</v>
      </c>
      <c r="AE83" s="304">
        <f t="shared" si="40"/>
        <v>0.5</v>
      </c>
      <c r="AF83" s="176">
        <f t="shared" si="41"/>
        <v>4.1057977571665516E-2</v>
      </c>
      <c r="AG83" s="814">
        <f t="shared" si="49"/>
        <v>1</v>
      </c>
      <c r="AH83" s="175">
        <f t="shared" si="42"/>
        <v>7</v>
      </c>
      <c r="AI83" s="224">
        <f t="shared" si="43"/>
        <v>1.0410579775716655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10">
        <f>'2022'!Wh/'2022'!Env_an*'2023'!Env_an</f>
        <v>14.454102216390005</v>
      </c>
      <c r="C84" s="843"/>
      <c r="D84" s="392">
        <f t="shared" si="25"/>
        <v>14.9988654491513</v>
      </c>
      <c r="E84" s="384">
        <f t="shared" si="47"/>
        <v>15.910555534821412</v>
      </c>
      <c r="F84" s="384">
        <f t="shared" si="26"/>
        <v>15.910741605001187</v>
      </c>
      <c r="G84" s="110">
        <f t="shared" si="48"/>
        <v>0.32866895206636376</v>
      </c>
      <c r="H84" s="413" t="b">
        <f>Wh_hp&gt;='2022'!Maxi_hp</f>
        <v>0</v>
      </c>
      <c r="I84" s="389">
        <f>IF(H84,Wh_hp,'2022'!Maxi_hp)</f>
        <v>35.768760137724279</v>
      </c>
      <c r="J84" s="85">
        <f>IF(H84,An,'2022'!An_max)</f>
        <v>2021</v>
      </c>
      <c r="K84" s="196">
        <f t="shared" si="27"/>
        <v>44996</v>
      </c>
      <c r="L84" s="147">
        <f>IF(t&lt;Tvie,1-EXP((T0-t)*PertePVj)+'2022'!Pspv,1-EXP((T0-t)*PertePVj)+Pspv)</f>
        <v>3.6320295998929698E-2</v>
      </c>
      <c r="M84" s="847"/>
      <c r="N84" s="847"/>
      <c r="O84" s="48">
        <f>IF(t&lt;Tnet,'2022'!Resal+('2022'!Salim-'2022'!Resal)*(1-EXP(('2022'!Tnet-t)/('2022'!Tau_j))),Resal+(Salim-Resal)*(1-EXP((Tnet-t)/(Tau_j))))*Salcycl</f>
        <v>5.7300958704729871E-2</v>
      </c>
      <c r="P84" s="168">
        <f>(INDEX(Models!$BJ84:$BT84,,T84)*(1-R84)+INDEX(Models!$BJ84:$BT84,,T84+1)*R84-ERP_i)*Q84*Ramure*Pc/MaxiM</f>
        <v>2.8465268737381914E-4</v>
      </c>
      <c r="Q84" s="304">
        <f t="shared" si="28"/>
        <v>0.5</v>
      </c>
      <c r="R84" s="176">
        <f t="shared" si="29"/>
        <v>4.1332539976264515E-2</v>
      </c>
      <c r="S84" s="814">
        <f t="shared" si="30"/>
        <v>1</v>
      </c>
      <c r="T84" s="175">
        <f t="shared" si="31"/>
        <v>7</v>
      </c>
      <c r="U84" s="250">
        <f t="shared" si="32"/>
        <v>1.0413325399762645</v>
      </c>
      <c r="V84" s="382">
        <f t="shared" si="33"/>
        <v>43.965688622815051</v>
      </c>
      <c r="W84" s="401">
        <f t="shared" si="34"/>
        <v>14.454102216390005</v>
      </c>
      <c r="X84" s="157">
        <f t="shared" si="35"/>
        <v>44996</v>
      </c>
      <c r="Y84" s="384">
        <f t="shared" si="36"/>
        <v>14.146447456772595</v>
      </c>
      <c r="Z84" s="384">
        <f t="shared" si="37"/>
        <v>14.679615434504246</v>
      </c>
      <c r="AA84" s="385">
        <f t="shared" si="38"/>
        <v>15.910555534821412</v>
      </c>
      <c r="AB84" s="196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7.7366255227428349E-2</v>
      </c>
      <c r="AD84" s="230">
        <f>(INDEX(Models!$BJ84:$BT84,,AH84)*(1-AF84)+INDEX(Models!$BJ84:$BT84,,AH84+1)*AF84-ERP_i)*AE84*Ramure*Pc/MaxiM</f>
        <v>2.8465268737381914E-4</v>
      </c>
      <c r="AE84" s="304">
        <f t="shared" si="40"/>
        <v>0.5</v>
      </c>
      <c r="AF84" s="176">
        <f t="shared" si="41"/>
        <v>4.1332539976264515E-2</v>
      </c>
      <c r="AG84" s="814">
        <f t="shared" si="49"/>
        <v>1</v>
      </c>
      <c r="AH84" s="175">
        <f t="shared" si="42"/>
        <v>7</v>
      </c>
      <c r="AI84" s="224">
        <f t="shared" si="43"/>
        <v>1.0413325399762645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10">
        <f>'2022'!Wh/'2022'!Env_an*'2023'!Env_an</f>
        <v>13.828193493682601</v>
      </c>
      <c r="C85" s="843"/>
      <c r="D85" s="392">
        <f t="shared" si="25"/>
        <v>14.349680644582358</v>
      </c>
      <c r="E85" s="384">
        <f t="shared" si="47"/>
        <v>15.222657963594491</v>
      </c>
      <c r="F85" s="384">
        <f t="shared" si="26"/>
        <v>15.222734430026476</v>
      </c>
      <c r="G85" s="110">
        <f t="shared" si="48"/>
        <v>0.31229445041113157</v>
      </c>
      <c r="H85" s="413" t="b">
        <f>Wh_hp&gt;='2022'!Maxi_hp</f>
        <v>0</v>
      </c>
      <c r="I85" s="389">
        <f>IF(H85,Wh_hp,'2022'!Maxi_hp)</f>
        <v>43.865300261572678</v>
      </c>
      <c r="J85" s="85">
        <f>IF(H85,An,'2022'!An_max)</f>
        <v>2020</v>
      </c>
      <c r="K85" s="196">
        <f t="shared" si="27"/>
        <v>44997</v>
      </c>
      <c r="L85" s="147">
        <f>IF(t&lt;Tvie,1-EXP((T0-t)*PertePVj)+'2022'!Pspv,1-EXP((T0-t)*PertePVj)+Pspv)</f>
        <v>3.6341376774586355E-2</v>
      </c>
      <c r="M85" s="847"/>
      <c r="N85" s="847"/>
      <c r="O85" s="48">
        <f>IF(t&lt;Tnet,'2022'!Resal+('2022'!Salim-'2022'!Resal)*(1-EXP(('2022'!Tnet-t)/('2022'!Tau_j))),Resal+(Salim-Resal)*(1-EXP((Tnet-t)/(Tau_j))))*Salcycl</f>
        <v>5.7347233387223681E-2</v>
      </c>
      <c r="P85" s="168">
        <f>(INDEX(Models!$BJ85:$BT85,,T85)*(1-R85)+INDEX(Models!$BJ85:$BT85,,T85+1)*R85-ERP_i)*Q85*Ramure*Pc/MaxiM</f>
        <v>2.8398776321968421E-4</v>
      </c>
      <c r="Q85" s="304">
        <f t="shared" si="28"/>
        <v>0.5</v>
      </c>
      <c r="R85" s="176">
        <f t="shared" si="29"/>
        <v>4.1618075475877703E-2</v>
      </c>
      <c r="S85" s="814">
        <f t="shared" si="30"/>
        <v>1</v>
      </c>
      <c r="T85" s="175">
        <f t="shared" si="31"/>
        <v>7</v>
      </c>
      <c r="U85" s="250">
        <f t="shared" si="32"/>
        <v>1.0416180754758777</v>
      </c>
      <c r="V85" s="382">
        <f t="shared" si="33"/>
        <v>44.266991871861073</v>
      </c>
      <c r="W85" s="401">
        <f t="shared" si="34"/>
        <v>13.828193493682601</v>
      </c>
      <c r="X85" s="157">
        <f t="shared" si="35"/>
        <v>44997</v>
      </c>
      <c r="Y85" s="384">
        <f t="shared" si="36"/>
        <v>13.534150309971793</v>
      </c>
      <c r="Z85" s="384">
        <f t="shared" si="37"/>
        <v>14.044548540096404</v>
      </c>
      <c r="AA85" s="385">
        <f t="shared" si="38"/>
        <v>15.222657963594491</v>
      </c>
      <c r="AB85" s="196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7.7391834350845679E-2</v>
      </c>
      <c r="AD85" s="230">
        <f>(INDEX(Models!$BJ85:$BT85,,AH85)*(1-AF85)+INDEX(Models!$BJ85:$BT85,,AH85+1)*AF85-ERP_i)*AE85*Ramure*Pc/MaxiM</f>
        <v>2.8398776321968421E-4</v>
      </c>
      <c r="AE85" s="304">
        <f t="shared" si="40"/>
        <v>0.5</v>
      </c>
      <c r="AF85" s="176">
        <f t="shared" si="41"/>
        <v>4.1618075475877703E-2</v>
      </c>
      <c r="AG85" s="814">
        <f t="shared" si="49"/>
        <v>1</v>
      </c>
      <c r="AH85" s="175">
        <f t="shared" si="42"/>
        <v>7</v>
      </c>
      <c r="AI85" s="224">
        <f t="shared" si="43"/>
        <v>1.0416180754758777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10">
        <f>'2022'!Wh/'2022'!Env_an*'2023'!Env_an</f>
        <v>8.4087750882179115</v>
      </c>
      <c r="C86" s="843"/>
      <c r="D86" s="392">
        <f t="shared" si="25"/>
        <v>8.7260766769340616</v>
      </c>
      <c r="E86" s="384">
        <f t="shared" si="47"/>
        <v>9.2573916407791561</v>
      </c>
      <c r="F86" s="384">
        <f t="shared" si="26"/>
        <v>9.2573916407791561</v>
      </c>
      <c r="G86" s="110">
        <f t="shared" si="48"/>
        <v>0.18862425146050743</v>
      </c>
      <c r="H86" s="413" t="b">
        <f>Wh_hp&gt;='2022'!Maxi_hp</f>
        <v>0</v>
      </c>
      <c r="I86" s="389">
        <f>IF(H86,Wh_hp,'2022'!Maxi_hp)</f>
        <v>45.683346556341533</v>
      </c>
      <c r="J86" s="85">
        <f>IF(H86,An,'2022'!An_max)</f>
        <v>2021</v>
      </c>
      <c r="K86" s="196">
        <f t="shared" si="27"/>
        <v>44998</v>
      </c>
      <c r="L86" s="147">
        <f>IF(t&lt;Tvie,1-EXP((T0-t)*PertePVj)+'2022'!Pspv,1-EXP((T0-t)*PertePVj)+Pspv)</f>
        <v>3.6362457088519907E-2</v>
      </c>
      <c r="M86" s="847"/>
      <c r="N86" s="847"/>
      <c r="O86" s="48">
        <f>IF(t&lt;Tnet,'2022'!Resal+('2022'!Salim-'2022'!Resal)*(1-EXP(('2022'!Tnet-t)/('2022'!Tau_j))),Resal+(Salim-Resal)*(1-EXP((Tnet-t)/(Tau_j))))*Salcycl</f>
        <v>5.7393592543350185E-2</v>
      </c>
      <c r="P86" s="168">
        <f>(INDEX(Models!$BJ86:$BT86,,T86)*(1-R86)+INDEX(Models!$BJ86:$BT86,,T86+1)*R86-ERP_i)*Q86*Ramure*Pc/MaxiM</f>
        <v>2.8357658111259523E-4</v>
      </c>
      <c r="Q86" s="304">
        <f t="shared" si="28"/>
        <v>0.5</v>
      </c>
      <c r="R86" s="176">
        <f t="shared" si="29"/>
        <v>4.1914999423985133E-2</v>
      </c>
      <c r="S86" s="814">
        <f t="shared" si="30"/>
        <v>1</v>
      </c>
      <c r="T86" s="175">
        <f t="shared" si="31"/>
        <v>7</v>
      </c>
      <c r="U86" s="250">
        <f t="shared" si="32"/>
        <v>1.0419149994239851</v>
      </c>
      <c r="V86" s="382">
        <f t="shared" si="33"/>
        <v>44.566859730054965</v>
      </c>
      <c r="W86" s="401">
        <f t="shared" si="34"/>
        <v>8.4087750882179115</v>
      </c>
      <c r="X86" s="157">
        <f t="shared" si="35"/>
        <v>44998</v>
      </c>
      <c r="Y86" s="384">
        <f t="shared" si="36"/>
        <v>8.2301458361798332</v>
      </c>
      <c r="Z86" s="384">
        <f t="shared" si="37"/>
        <v>8.5407069252550443</v>
      </c>
      <c r="AA86" s="385">
        <f t="shared" si="38"/>
        <v>9.2573916407791561</v>
      </c>
      <c r="AB86" s="196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7.7417564615835183E-2</v>
      </c>
      <c r="AD86" s="230">
        <f>(INDEX(Models!$BJ86:$BT86,,AH86)*(1-AF86)+INDEX(Models!$BJ86:$BT86,,AH86+1)*AF86-ERP_i)*AE86*Ramure*Pc/MaxiM</f>
        <v>2.8357658111259523E-4</v>
      </c>
      <c r="AE86" s="304">
        <f t="shared" si="40"/>
        <v>0.5</v>
      </c>
      <c r="AF86" s="176">
        <f t="shared" si="41"/>
        <v>4.1914999423985133E-2</v>
      </c>
      <c r="AG86" s="814">
        <f t="shared" si="49"/>
        <v>1</v>
      </c>
      <c r="AH86" s="175">
        <f t="shared" si="42"/>
        <v>7</v>
      </c>
      <c r="AI86" s="224">
        <f t="shared" si="43"/>
        <v>1.0419149994239851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10">
        <f>'2022'!Wh/'2022'!Env_an*'2023'!Env_an</f>
        <v>11.271707724182074</v>
      </c>
      <c r="C87" s="843"/>
      <c r="D87" s="392">
        <f t="shared" si="25"/>
        <v>11.69729675269039</v>
      </c>
      <c r="E87" s="384">
        <f t="shared" si="47"/>
        <v>12.410135616977762</v>
      </c>
      <c r="F87" s="384">
        <f t="shared" si="26"/>
        <v>12.410135616977762</v>
      </c>
      <c r="G87" s="110">
        <f t="shared" si="48"/>
        <v>0.25116436769089429</v>
      </c>
      <c r="H87" s="413" t="b">
        <f>Wh_hp&gt;='2022'!Maxi_hp</f>
        <v>0</v>
      </c>
      <c r="I87" s="389">
        <f>IF(H87,Wh_hp,'2022'!Maxi_hp)</f>
        <v>40.234319557946243</v>
      </c>
      <c r="J87" s="85">
        <f>IF(H87,An,'2022'!An_max)</f>
        <v>2020</v>
      </c>
      <c r="K87" s="196">
        <f t="shared" si="27"/>
        <v>44999</v>
      </c>
      <c r="L87" s="147">
        <f>IF(t&lt;Tvie,1-EXP((T0-t)*PertePVj)+'2022'!Pspv,1-EXP((T0-t)*PertePVj)+Pspv)</f>
        <v>3.638353694074057E-2</v>
      </c>
      <c r="M87" s="847"/>
      <c r="N87" s="847"/>
      <c r="O87" s="48">
        <f>IF(t&lt;Tnet,'2022'!Resal+('2022'!Salim-'2022'!Resal)*(1-EXP(('2022'!Tnet-t)/('2022'!Tau_j))),Resal+(Salim-Resal)*(1-EXP((Tnet-t)/(Tau_j))))*Salcycl</f>
        <v>5.7440054346559209E-2</v>
      </c>
      <c r="P87" s="168">
        <f>(INDEX(Models!$BJ87:$BT87,,T87)*(1-R87)+INDEX(Models!$BJ87:$BT87,,T87+1)*R87-ERP_i)*Q87*Ramure*Pc/MaxiM</f>
        <v>2.8337693047560217E-4</v>
      </c>
      <c r="Q87" s="304">
        <f t="shared" si="28"/>
        <v>0.5</v>
      </c>
      <c r="R87" s="176">
        <f t="shared" si="29"/>
        <v>4.2223740963807765E-2</v>
      </c>
      <c r="S87" s="814">
        <f t="shared" si="30"/>
        <v>1</v>
      </c>
      <c r="T87" s="175">
        <f t="shared" si="31"/>
        <v>7</v>
      </c>
      <c r="U87" s="250">
        <f t="shared" si="32"/>
        <v>1.0422237409638078</v>
      </c>
      <c r="V87" s="382">
        <f t="shared" si="33"/>
        <v>44.865096453944588</v>
      </c>
      <c r="W87" s="401">
        <f t="shared" si="34"/>
        <v>11.271707724182074</v>
      </c>
      <c r="X87" s="157">
        <f t="shared" si="35"/>
        <v>44999</v>
      </c>
      <c r="Y87" s="384">
        <f t="shared" si="36"/>
        <v>11.032494655091657</v>
      </c>
      <c r="Z87" s="384">
        <f t="shared" si="37"/>
        <v>11.449051648688149</v>
      </c>
      <c r="AA87" s="385">
        <f t="shared" si="38"/>
        <v>12.410135616977762</v>
      </c>
      <c r="AB87" s="196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7.7443470236924411E-2</v>
      </c>
      <c r="AD87" s="230">
        <f>(INDEX(Models!$BJ87:$BT87,,AH87)*(1-AF87)+INDEX(Models!$BJ87:$BT87,,AH87+1)*AF87-ERP_i)*AE87*Ramure*Pc/MaxiM</f>
        <v>2.8337693047560217E-4</v>
      </c>
      <c r="AE87" s="304">
        <f t="shared" si="40"/>
        <v>0.5</v>
      </c>
      <c r="AF87" s="176">
        <f t="shared" si="41"/>
        <v>4.2223740963807765E-2</v>
      </c>
      <c r="AG87" s="814">
        <f t="shared" si="49"/>
        <v>1</v>
      </c>
      <c r="AH87" s="175">
        <f t="shared" si="42"/>
        <v>7</v>
      </c>
      <c r="AI87" s="224">
        <f t="shared" si="43"/>
        <v>1.0422237409638078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10">
        <f>'2022'!Wh/'2022'!Env_an*'2023'!Env_an</f>
        <v>13.402140943312551</v>
      </c>
      <c r="C88" s="843"/>
      <c r="D88" s="392">
        <f t="shared" si="25"/>
        <v>13.908473588038534</v>
      </c>
      <c r="E88" s="384">
        <f t="shared" si="47"/>
        <v>14.756791940790349</v>
      </c>
      <c r="F88" s="384">
        <f t="shared" si="26"/>
        <v>14.756791940790349</v>
      </c>
      <c r="G88" s="110">
        <f t="shared" si="48"/>
        <v>0.29667618676836149</v>
      </c>
      <c r="H88" s="413" t="b">
        <f>Wh_hp&gt;='2022'!Maxi_hp</f>
        <v>0</v>
      </c>
      <c r="I88" s="389">
        <f>IF(H88,Wh_hp,'2022'!Maxi_hp)</f>
        <v>34.275990691254492</v>
      </c>
      <c r="J88" s="85">
        <f>IF(H88,An,'2022'!An_max)</f>
        <v>2020</v>
      </c>
      <c r="K88" s="196">
        <f t="shared" si="27"/>
        <v>45000</v>
      </c>
      <c r="L88" s="147">
        <f>IF(t&lt;Tvie,1-EXP((T0-t)*PertePVj)+'2022'!Pspv,1-EXP((T0-t)*PertePVj)+Pspv)</f>
        <v>3.6404616331258334E-2</v>
      </c>
      <c r="M88" s="847"/>
      <c r="N88" s="847"/>
      <c r="O88" s="48">
        <f>IF(t&lt;Tnet,'2022'!Resal+('2022'!Salim-'2022'!Resal)*(1-EXP(('2022'!Tnet-t)/('2022'!Tau_j))),Resal+(Salim-Resal)*(1-EXP((Tnet-t)/(Tau_j))))*Salcycl</f>
        <v>5.7486637756741392E-2</v>
      </c>
      <c r="P88" s="168">
        <f>(INDEX(Models!$BJ88:$BT88,,T88)*(1-R88)+INDEX(Models!$BJ88:$BT88,,T88+1)*R88-ERP_i)*Q88*Ramure*Pc/MaxiM</f>
        <v>2.833876236630978E-4</v>
      </c>
      <c r="Q88" s="304">
        <f t="shared" si="28"/>
        <v>0.5</v>
      </c>
      <c r="R88" s="176">
        <f t="shared" si="29"/>
        <v>4.2544743322786571E-2</v>
      </c>
      <c r="S88" s="814">
        <f t="shared" si="30"/>
        <v>1</v>
      </c>
      <c r="T88" s="175">
        <f t="shared" si="31"/>
        <v>7</v>
      </c>
      <c r="U88" s="250">
        <f t="shared" si="32"/>
        <v>1.0425447433227866</v>
      </c>
      <c r="V88" s="382">
        <f t="shared" si="33"/>
        <v>45.161504495471256</v>
      </c>
      <c r="W88" s="401">
        <f t="shared" si="34"/>
        <v>13.402140943312551</v>
      </c>
      <c r="X88" s="157">
        <f t="shared" si="35"/>
        <v>45000</v>
      </c>
      <c r="Y88" s="384">
        <f t="shared" si="36"/>
        <v>13.117992016124665</v>
      </c>
      <c r="Z88" s="384">
        <f t="shared" si="37"/>
        <v>13.613589519472294</v>
      </c>
      <c r="AA88" s="385">
        <f t="shared" si="38"/>
        <v>14.756791940790349</v>
      </c>
      <c r="AB88" s="196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7.7469576443511753E-2</v>
      </c>
      <c r="AD88" s="230">
        <f>(INDEX(Models!$BJ88:$BT88,,AH88)*(1-AF88)+INDEX(Models!$BJ88:$BT88,,AH88+1)*AF88-ERP_i)*AE88*Ramure*Pc/MaxiM</f>
        <v>2.833876236630978E-4</v>
      </c>
      <c r="AE88" s="304">
        <f t="shared" si="40"/>
        <v>0.5</v>
      </c>
      <c r="AF88" s="176">
        <f t="shared" si="41"/>
        <v>4.2544743322786571E-2</v>
      </c>
      <c r="AG88" s="814">
        <f t="shared" si="49"/>
        <v>1</v>
      </c>
      <c r="AH88" s="175">
        <f t="shared" si="42"/>
        <v>7</v>
      </c>
      <c r="AI88" s="224">
        <f t="shared" si="43"/>
        <v>1.0425447433227866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10">
        <f>'2022'!Wh/'2022'!Env_an*'2023'!Env_an</f>
        <v>11.236171598626729</v>
      </c>
      <c r="C89" s="843"/>
      <c r="D89" s="392">
        <f t="shared" si="25"/>
        <v>11.660929046524899</v>
      </c>
      <c r="E89" s="384">
        <f t="shared" si="47"/>
        <v>12.372776480381479</v>
      </c>
      <c r="F89" s="384">
        <f t="shared" si="26"/>
        <v>12.372776480381479</v>
      </c>
      <c r="G89" s="110">
        <f t="shared" si="48"/>
        <v>0.24711837890704763</v>
      </c>
      <c r="H89" s="413" t="b">
        <f>Wh_hp&gt;='2022'!Maxi_hp</f>
        <v>0</v>
      </c>
      <c r="I89" s="389">
        <f>IF(H89,Wh_hp,'2022'!Maxi_hp)</f>
        <v>51.528895224299958</v>
      </c>
      <c r="J89" s="85">
        <f>IF(H89,An,'2022'!An_max)</f>
        <v>2020</v>
      </c>
      <c r="K89" s="196">
        <f t="shared" si="27"/>
        <v>45001</v>
      </c>
      <c r="L89" s="147">
        <f>IF(t&lt;Tvie,1-EXP((T0-t)*PertePVj)+'2022'!Pspv,1-EXP((T0-t)*PertePVj)+Pspv)</f>
        <v>3.6425695260083303E-2</v>
      </c>
      <c r="M89" s="847"/>
      <c r="N89" s="847"/>
      <c r="O89" s="48">
        <f>IF(t&lt;Tnet,'2022'!Resal+('2022'!Salim-'2022'!Resal)*(1-EXP(('2022'!Tnet-t)/('2022'!Tau_j))),Resal+(Salim-Resal)*(1-EXP((Tnet-t)/(Tau_j))))*Salcycl</f>
        <v>5.753336245791723E-2</v>
      </c>
      <c r="P89" s="168">
        <f>(INDEX(Models!$BJ89:$BT89,,T89)*(1-R89)+INDEX(Models!$BJ89:$BT89,,T89+1)*R89-ERP_i)*Q89*Ramure*Pc/MaxiM</f>
        <v>2.8360768606367501E-4</v>
      </c>
      <c r="Q89" s="304">
        <f t="shared" si="28"/>
        <v>0.5</v>
      </c>
      <c r="R89" s="176">
        <f t="shared" si="29"/>
        <v>4.2878464098449864E-2</v>
      </c>
      <c r="S89" s="814">
        <f t="shared" si="30"/>
        <v>1</v>
      </c>
      <c r="T89" s="175">
        <f t="shared" si="31"/>
        <v>7</v>
      </c>
      <c r="U89" s="250">
        <f t="shared" si="32"/>
        <v>1.0428784640984499</v>
      </c>
      <c r="V89" s="382">
        <f t="shared" si="33"/>
        <v>45.455886299030226</v>
      </c>
      <c r="W89" s="401">
        <f t="shared" si="34"/>
        <v>11.236171598626729</v>
      </c>
      <c r="X89" s="157">
        <f t="shared" si="35"/>
        <v>45001</v>
      </c>
      <c r="Y89" s="384">
        <f t="shared" si="36"/>
        <v>10.998176327514157</v>
      </c>
      <c r="Z89" s="384">
        <f t="shared" si="37"/>
        <v>11.413936915309019</v>
      </c>
      <c r="AA89" s="385">
        <f t="shared" si="38"/>
        <v>12.372776480381479</v>
      </c>
      <c r="AB89" s="196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7.7495909393725457E-2</v>
      </c>
      <c r="AD89" s="230">
        <f>(INDEX(Models!$BJ89:$BT89,,AH89)*(1-AF89)+INDEX(Models!$BJ89:$BT89,,AH89+1)*AF89-ERP_i)*AE89*Ramure*Pc/MaxiM</f>
        <v>2.8360768606367501E-4</v>
      </c>
      <c r="AE89" s="304">
        <f t="shared" si="40"/>
        <v>0.5</v>
      </c>
      <c r="AF89" s="176">
        <f t="shared" si="41"/>
        <v>4.2878464098449864E-2</v>
      </c>
      <c r="AG89" s="814">
        <f t="shared" si="49"/>
        <v>1</v>
      </c>
      <c r="AH89" s="175">
        <f t="shared" si="42"/>
        <v>7</v>
      </c>
      <c r="AI89" s="224">
        <f t="shared" si="43"/>
        <v>1.0428784640984499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10">
        <f>'2022'!Wh/'2022'!Env_an*'2023'!Env_an</f>
        <v>9.9166236289463878</v>
      </c>
      <c r="C90" s="843"/>
      <c r="D90" s="392">
        <f t="shared" si="25"/>
        <v>10.29172375594233</v>
      </c>
      <c r="E90" s="384">
        <f t="shared" si="47"/>
        <v>10.920530626364139</v>
      </c>
      <c r="F90" s="384">
        <f t="shared" si="26"/>
        <v>10.920530626364139</v>
      </c>
      <c r="G90" s="110">
        <f t="shared" si="48"/>
        <v>0.21670449738731762</v>
      </c>
      <c r="H90" s="413" t="b">
        <f>Wh_hp&gt;='2022'!Maxi_hp</f>
        <v>0</v>
      </c>
      <c r="I90" s="389">
        <f>IF(H90,Wh_hp,'2022'!Maxi_hp)</f>
        <v>25.74376126702278</v>
      </c>
      <c r="J90" s="85">
        <f>IF(H90,An,'2022'!An_max)</f>
        <v>2021</v>
      </c>
      <c r="K90" s="196">
        <f t="shared" si="27"/>
        <v>45002</v>
      </c>
      <c r="L90" s="147">
        <f>IF(t&lt;Tvie,1-EXP((T0-t)*PertePVj)+'2022'!Pspv,1-EXP((T0-t)*PertePVj)+Pspv)</f>
        <v>3.644677372722558E-2</v>
      </c>
      <c r="M90" s="847"/>
      <c r="N90" s="847"/>
      <c r="O90" s="48">
        <f>IF(t&lt;Tnet,'2022'!Resal+('2022'!Salim-'2022'!Resal)*(1-EXP(('2022'!Tnet-t)/('2022'!Tau_j))),Resal+(Salim-Resal)*(1-EXP((Tnet-t)/(Tau_j))))*Salcycl</f>
        <v>5.7580248793383151E-2</v>
      </c>
      <c r="P90" s="168">
        <f>(INDEX(Models!$BJ90:$BT90,,T90)*(1-R90)+INDEX(Models!$BJ90:$BT90,,T90+1)*R90-ERP_i)*Q90*Ramure*Pc/MaxiM</f>
        <v>2.8403636373528824E-4</v>
      </c>
      <c r="Q90" s="304">
        <f t="shared" si="28"/>
        <v>0.5</v>
      </c>
      <c r="R90" s="176">
        <f t="shared" si="29"/>
        <v>4.3225375533908261E-2</v>
      </c>
      <c r="S90" s="814">
        <f t="shared" si="30"/>
        <v>1</v>
      </c>
      <c r="T90" s="175">
        <f t="shared" si="31"/>
        <v>7</v>
      </c>
      <c r="U90" s="250">
        <f t="shared" si="32"/>
        <v>1.0432253755339083</v>
      </c>
      <c r="V90" s="382">
        <f t="shared" si="33"/>
        <v>45.748044303442704</v>
      </c>
      <c r="W90" s="401">
        <f t="shared" si="34"/>
        <v>9.9166236289463878</v>
      </c>
      <c r="X90" s="157">
        <f t="shared" si="35"/>
        <v>45002</v>
      </c>
      <c r="Y90" s="384">
        <f t="shared" si="36"/>
        <v>9.7067810821892042</v>
      </c>
      <c r="Z90" s="384">
        <f t="shared" si="37"/>
        <v>10.073943833634459</v>
      </c>
      <c r="AA90" s="385">
        <f t="shared" si="38"/>
        <v>10.920530626364139</v>
      </c>
      <c r="AB90" s="196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7.752249608511369E-2</v>
      </c>
      <c r="AD90" s="230">
        <f>(INDEX(Models!$BJ90:$BT90,,AH90)*(1-AF90)+INDEX(Models!$BJ90:$BT90,,AH90+1)*AF90-ERP_i)*AE90*Ramure*Pc/MaxiM</f>
        <v>2.8403636373528824E-4</v>
      </c>
      <c r="AE90" s="304">
        <f t="shared" si="40"/>
        <v>0.5</v>
      </c>
      <c r="AF90" s="176">
        <f t="shared" si="41"/>
        <v>4.3225375533908261E-2</v>
      </c>
      <c r="AG90" s="814">
        <f t="shared" si="49"/>
        <v>1</v>
      </c>
      <c r="AH90" s="175">
        <f t="shared" si="42"/>
        <v>7</v>
      </c>
      <c r="AI90" s="224">
        <f t="shared" si="43"/>
        <v>1.0432253755339083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10">
        <f>'2022'!Wh/'2022'!Env_an*'2023'!Env_an</f>
        <v>12.694356417314541</v>
      </c>
      <c r="C91" s="843"/>
      <c r="D91" s="392">
        <f t="shared" si="25"/>
        <v>13.174813565009202</v>
      </c>
      <c r="E91" s="384">
        <f t="shared" si="47"/>
        <v>13.980470584990346</v>
      </c>
      <c r="F91" s="384">
        <f t="shared" si="26"/>
        <v>13.980470584990346</v>
      </c>
      <c r="G91" s="110">
        <f t="shared" si="48"/>
        <v>0.27565930447902215</v>
      </c>
      <c r="H91" s="413" t="b">
        <f>Wh_hp&gt;='2022'!Maxi_hp</f>
        <v>0</v>
      </c>
      <c r="I91" s="389">
        <f>IF(H91,Wh_hp,'2022'!Maxi_hp)</f>
        <v>31.959695723000372</v>
      </c>
      <c r="J91" s="85">
        <f>IF(H91,An,'2022'!An_max)</f>
        <v>2019</v>
      </c>
      <c r="K91" s="196">
        <f t="shared" si="27"/>
        <v>45003</v>
      </c>
      <c r="L91" s="147">
        <f>IF(t&lt;Tvie,1-EXP((T0-t)*PertePVj)+'2022'!Pspv,1-EXP((T0-t)*PertePVj)+Pspv)</f>
        <v>3.646785173269549E-2</v>
      </c>
      <c r="M91" s="847"/>
      <c r="N91" s="847"/>
      <c r="O91" s="48">
        <f>IF(t&lt;Tnet,'2022'!Resal+('2022'!Salim-'2022'!Resal)*(1-EXP(('2022'!Tnet-t)/('2022'!Tau_j))),Resal+(Salim-Resal)*(1-EXP((Tnet-t)/(Tau_j))))*Salcycl</f>
        <v>5.7627317698884128E-2</v>
      </c>
      <c r="P91" s="168">
        <f>(INDEX(Models!$BJ91:$BT91,,T91)*(1-R91)+INDEX(Models!$BJ91:$BT91,,T91+1)*R91-ERP_i)*Q91*Ramure*Pc/MaxiM</f>
        <v>2.8467313100105732E-4</v>
      </c>
      <c r="Q91" s="304">
        <f t="shared" si="28"/>
        <v>0.5</v>
      </c>
      <c r="R91" s="176">
        <f t="shared" si="29"/>
        <v>4.3585964781083675E-2</v>
      </c>
      <c r="S91" s="814">
        <f t="shared" si="30"/>
        <v>1</v>
      </c>
      <c r="T91" s="175">
        <f t="shared" si="31"/>
        <v>7</v>
      </c>
      <c r="U91" s="250">
        <f t="shared" si="32"/>
        <v>1.0435859647810837</v>
      </c>
      <c r="V91" s="382">
        <f t="shared" si="33"/>
        <v>46.037780945257204</v>
      </c>
      <c r="W91" s="401">
        <f t="shared" si="34"/>
        <v>12.694356417314541</v>
      </c>
      <c r="X91" s="157">
        <f t="shared" si="35"/>
        <v>45003</v>
      </c>
      <c r="Y91" s="384">
        <f t="shared" si="36"/>
        <v>12.425993842299164</v>
      </c>
      <c r="Z91" s="384">
        <f t="shared" si="37"/>
        <v>12.896293979027597</v>
      </c>
      <c r="AA91" s="385">
        <f t="shared" si="38"/>
        <v>13.980470584990346</v>
      </c>
      <c r="AB91" s="196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7.7549364262941123E-2</v>
      </c>
      <c r="AD91" s="230">
        <f>(INDEX(Models!$BJ91:$BT91,,AH91)*(1-AF91)+INDEX(Models!$BJ91:$BT91,,AH91+1)*AF91-ERP_i)*AE91*Ramure*Pc/MaxiM</f>
        <v>2.8467313100105732E-4</v>
      </c>
      <c r="AE91" s="304">
        <f t="shared" si="40"/>
        <v>0.5</v>
      </c>
      <c r="AF91" s="176">
        <f t="shared" si="41"/>
        <v>4.3585964781083675E-2</v>
      </c>
      <c r="AG91" s="814">
        <f t="shared" si="49"/>
        <v>1</v>
      </c>
      <c r="AH91" s="175">
        <f t="shared" si="42"/>
        <v>7</v>
      </c>
      <c r="AI91" s="224">
        <f t="shared" si="43"/>
        <v>1.0435859647810837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10">
        <f>'2022'!Wh/'2022'!Env_an*'2023'!Env_an</f>
        <v>28.521247703763084</v>
      </c>
      <c r="C92" s="843"/>
      <c r="D92" s="392">
        <f t="shared" si="25"/>
        <v>29.601370000187519</v>
      </c>
      <c r="E92" s="384">
        <f t="shared" si="47"/>
        <v>31.4131081534934</v>
      </c>
      <c r="F92" s="384">
        <f t="shared" si="26"/>
        <v>31.41715341812149</v>
      </c>
      <c r="G92" s="110">
        <f t="shared" si="48"/>
        <v>0.61558205241333297</v>
      </c>
      <c r="H92" s="413" t="b">
        <f>Wh_hp&gt;='2022'!Maxi_hp</f>
        <v>0</v>
      </c>
      <c r="I92" s="389">
        <f>IF(H92,Wh_hp,'2022'!Maxi_hp)</f>
        <v>46.728461228850939</v>
      </c>
      <c r="J92" s="85">
        <f>IF(H92,An,'2022'!An_max)</f>
        <v>2020</v>
      </c>
      <c r="K92" s="196">
        <f t="shared" si="27"/>
        <v>45004</v>
      </c>
      <c r="L92" s="147">
        <f>IF(t&lt;Tvie,1-EXP((T0-t)*PertePVj)+'2022'!Pspv,1-EXP((T0-t)*PertePVj)+Pspv)</f>
        <v>3.6488929276502803E-2</v>
      </c>
      <c r="M92" s="847"/>
      <c r="N92" s="847"/>
      <c r="O92" s="48">
        <f>IF(t&lt;Tnet,'2022'!Resal+('2022'!Salim-'2022'!Resal)*(1-EXP(('2022'!Tnet-t)/('2022'!Tau_j))),Resal+(Salim-Resal)*(1-EXP((Tnet-t)/(Tau_j))))*Salcycl</f>
        <v>5.7674590634368736E-2</v>
      </c>
      <c r="P92" s="168">
        <f>(INDEX(Models!$BJ92:$BT92,,T92)*(1-R92)+INDEX(Models!$BJ92:$BT92,,T92+1)*R92-ERP_i)*Q92*Ramure*Pc/MaxiM</f>
        <v>2.8551769804214118E-4</v>
      </c>
      <c r="Q92" s="304">
        <f t="shared" si="28"/>
        <v>0.5</v>
      </c>
      <c r="R92" s="176">
        <f t="shared" si="29"/>
        <v>4.396073414960755E-2</v>
      </c>
      <c r="S92" s="814">
        <f t="shared" si="30"/>
        <v>1</v>
      </c>
      <c r="T92" s="175">
        <f t="shared" si="31"/>
        <v>7</v>
      </c>
      <c r="U92" s="250">
        <f t="shared" si="32"/>
        <v>1.0439607341496075</v>
      </c>
      <c r="V92" s="382">
        <f t="shared" si="33"/>
        <v>46.324898660992012</v>
      </c>
      <c r="W92" s="401">
        <f t="shared" si="34"/>
        <v>28.521247703763084</v>
      </c>
      <c r="X92" s="157">
        <f t="shared" si="35"/>
        <v>45004</v>
      </c>
      <c r="Y92" s="384">
        <f t="shared" si="36"/>
        <v>27.918877770438673</v>
      </c>
      <c r="Z92" s="384">
        <f t="shared" si="37"/>
        <v>28.976187839206126</v>
      </c>
      <c r="AA92" s="385">
        <f t="shared" si="38"/>
        <v>31.4131081534934</v>
      </c>
      <c r="AB92" s="196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7.7576542326846118E-2</v>
      </c>
      <c r="AD92" s="230">
        <f>(INDEX(Models!$BJ92:$BT92,,AH92)*(1-AF92)+INDEX(Models!$BJ92:$BT92,,AH92+1)*AF92-ERP_i)*AE92*Ramure*Pc/MaxiM</f>
        <v>2.8551769804214118E-4</v>
      </c>
      <c r="AE92" s="304">
        <f t="shared" si="40"/>
        <v>0.5</v>
      </c>
      <c r="AF92" s="176">
        <f t="shared" si="41"/>
        <v>4.396073414960755E-2</v>
      </c>
      <c r="AG92" s="814">
        <f t="shared" si="49"/>
        <v>1</v>
      </c>
      <c r="AH92" s="175">
        <f t="shared" si="42"/>
        <v>7</v>
      </c>
      <c r="AI92" s="224">
        <f t="shared" si="43"/>
        <v>1.0439607341496075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10">
        <f>'2022'!Wh/'2022'!Env_an*'2023'!Env_an</f>
        <v>31.683009877389114</v>
      </c>
      <c r="C93" s="843"/>
      <c r="D93" s="392">
        <f t="shared" si="25"/>
        <v>32.883589955769772</v>
      </c>
      <c r="E93" s="384">
        <f t="shared" si="47"/>
        <v>34.897973930896363</v>
      </c>
      <c r="F93" s="384">
        <f t="shared" si="26"/>
        <v>34.903399503290871</v>
      </c>
      <c r="G93" s="110">
        <f t="shared" si="48"/>
        <v>0.67963443881040608</v>
      </c>
      <c r="H93" s="413" t="b">
        <f>Wh_hp&gt;='2022'!Maxi_hp</f>
        <v>0</v>
      </c>
      <c r="I93" s="389">
        <f>IF(H93,Wh_hp,'2022'!Maxi_hp)</f>
        <v>52.177110378201441</v>
      </c>
      <c r="J93" s="85">
        <f>IF(H93,An,'2022'!An_max)</f>
        <v>2019</v>
      </c>
      <c r="K93" s="196">
        <f t="shared" si="27"/>
        <v>45005</v>
      </c>
      <c r="L93" s="147">
        <f>IF(t&lt;Tvie,1-EXP((T0-t)*PertePVj)+'2022'!Pspv,1-EXP((T0-t)*PertePVj)+Pspv)</f>
        <v>3.6510006358657955E-2</v>
      </c>
      <c r="M93" s="847"/>
      <c r="N93" s="847"/>
      <c r="O93" s="48">
        <f>IF(t&lt;Tnet,'2022'!Resal+('2022'!Salim-'2022'!Resal)*(1-EXP(('2022'!Tnet-t)/('2022'!Tau_j))),Resal+(Salim-Resal)*(1-EXP((Tnet-t)/(Tau_j))))*Salcycl</f>
        <v>5.7722089514863989E-2</v>
      </c>
      <c r="P93" s="168">
        <f>(INDEX(Models!$BJ93:$BT93,,T93)*(1-R93)+INDEX(Models!$BJ93:$BT93,,T93+1)*R93-ERP_i)*Q93*Ramure*Pc/MaxiM</f>
        <v>2.8655521594814903E-4</v>
      </c>
      <c r="Q93" s="304">
        <f t="shared" si="28"/>
        <v>0.5</v>
      </c>
      <c r="R93" s="176">
        <f t="shared" si="29"/>
        <v>4.4350201339180551E-2</v>
      </c>
      <c r="S93" s="814">
        <f t="shared" si="30"/>
        <v>1</v>
      </c>
      <c r="T93" s="175">
        <f t="shared" si="31"/>
        <v>7</v>
      </c>
      <c r="U93" s="250">
        <f t="shared" si="32"/>
        <v>1.0443502013391806</v>
      </c>
      <c r="V93" s="382">
        <f t="shared" si="33"/>
        <v>46.611609813320612</v>
      </c>
      <c r="W93" s="401">
        <f t="shared" si="34"/>
        <v>31.683009877389114</v>
      </c>
      <c r="X93" s="157">
        <f t="shared" si="35"/>
        <v>45005</v>
      </c>
      <c r="Y93" s="384">
        <f t="shared" si="36"/>
        <v>31.014501535990227</v>
      </c>
      <c r="Z93" s="384">
        <f t="shared" si="37"/>
        <v>32.189749494726293</v>
      </c>
      <c r="AA93" s="385">
        <f t="shared" si="38"/>
        <v>34.897973930896363</v>
      </c>
      <c r="AB93" s="196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7.7604059236584658E-2</v>
      </c>
      <c r="AD93" s="230">
        <f>(INDEX(Models!$BJ93:$BT93,,AH93)*(1-AF93)+INDEX(Models!$BJ93:$BT93,,AH93+1)*AF93-ERP_i)*AE93*Ramure*Pc/MaxiM</f>
        <v>2.8655521594814903E-4</v>
      </c>
      <c r="AE93" s="304">
        <f t="shared" si="40"/>
        <v>0.5</v>
      </c>
      <c r="AF93" s="176">
        <f t="shared" si="41"/>
        <v>4.4350201339180551E-2</v>
      </c>
      <c r="AG93" s="814">
        <f t="shared" si="49"/>
        <v>1</v>
      </c>
      <c r="AH93" s="175">
        <f t="shared" si="42"/>
        <v>7</v>
      </c>
      <c r="AI93" s="224">
        <f t="shared" si="43"/>
        <v>1.0443502013391806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10">
        <f>'2022'!Wh/'2022'!Env_an*'2023'!Env_an</f>
        <v>45.591112681340043</v>
      </c>
      <c r="C94" s="843"/>
      <c r="D94" s="392">
        <f t="shared" si="25"/>
        <v>47.319754561790823</v>
      </c>
      <c r="E94" s="384">
        <f t="shared" si="47"/>
        <v>50.221014357147581</v>
      </c>
      <c r="F94" s="384">
        <f t="shared" si="26"/>
        <v>50.234875420407874</v>
      </c>
      <c r="G94" s="110">
        <f t="shared" si="48"/>
        <v>0.97208733390752478</v>
      </c>
      <c r="H94" s="413" t="b">
        <f>Wh_hp&gt;='2022'!Maxi_hp</f>
        <v>0</v>
      </c>
      <c r="I94" s="389">
        <f>IF(H94,Wh_hp,'2022'!Maxi_hp)</f>
        <v>51.739394586450686</v>
      </c>
      <c r="J94" s="85">
        <f>IF(H94,An,'2022'!An_max)</f>
        <v>2020</v>
      </c>
      <c r="K94" s="196">
        <f t="shared" si="27"/>
        <v>45006</v>
      </c>
      <c r="L94" s="147">
        <f>IF(t&lt;Tvie,1-EXP((T0-t)*PertePVj)+'2022'!Pspv,1-EXP((T0-t)*PertePVj)+Pspv)</f>
        <v>3.6531082979170827E-2</v>
      </c>
      <c r="M94" s="847"/>
      <c r="N94" s="847"/>
      <c r="O94" s="48">
        <f>IF(t&lt;Tnet,'2022'!Resal+('2022'!Salim-'2022'!Resal)*(1-EXP(('2022'!Tnet-t)/('2022'!Tau_j))),Resal+(Salim-Resal)*(1-EXP((Tnet-t)/(Tau_j))))*Salcycl</f>
        <v>5.7769836640980628E-2</v>
      </c>
      <c r="P94" s="168">
        <f>(INDEX(Models!$BJ94:$BT94,,T94)*(1-R94)+INDEX(Models!$BJ94:$BT94,,T94+1)*R94-ERP_i)*Q94*Ramure*Pc/MaxiM</f>
        <v>2.8737987259321414E-4</v>
      </c>
      <c r="Q94" s="304">
        <f t="shared" si="28"/>
        <v>0.5</v>
      </c>
      <c r="R94" s="176">
        <f t="shared" si="29"/>
        <v>4.4754899653000502E-2</v>
      </c>
      <c r="S94" s="814">
        <f t="shared" si="30"/>
        <v>1</v>
      </c>
      <c r="T94" s="175">
        <f t="shared" si="31"/>
        <v>7</v>
      </c>
      <c r="U94" s="250">
        <f t="shared" si="32"/>
        <v>1.0447548996530005</v>
      </c>
      <c r="V94" s="382">
        <f t="shared" si="33"/>
        <v>46.899685564595529</v>
      </c>
      <c r="W94" s="401">
        <f t="shared" si="34"/>
        <v>45.591112681340043</v>
      </c>
      <c r="X94" s="157">
        <f t="shared" si="35"/>
        <v>45006</v>
      </c>
      <c r="Y94" s="384">
        <f t="shared" si="36"/>
        <v>44.630057061445385</v>
      </c>
      <c r="Z94" s="384">
        <f t="shared" si="37"/>
        <v>46.322259361980571</v>
      </c>
      <c r="AA94" s="385">
        <f t="shared" si="38"/>
        <v>50.221014357147581</v>
      </c>
      <c r="AB94" s="196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7.7631944417548948E-2</v>
      </c>
      <c r="AD94" s="230">
        <f>(INDEX(Models!$BJ94:$BT94,,AH94)*(1-AF94)+INDEX(Models!$BJ94:$BT94,,AH94+1)*AF94-ERP_i)*AE94*Ramure*Pc/MaxiM</f>
        <v>2.8737987259321414E-4</v>
      </c>
      <c r="AE94" s="304">
        <f t="shared" si="40"/>
        <v>0.5</v>
      </c>
      <c r="AF94" s="176">
        <f t="shared" si="41"/>
        <v>4.4754899653000502E-2</v>
      </c>
      <c r="AG94" s="814">
        <f t="shared" si="49"/>
        <v>1</v>
      </c>
      <c r="AH94" s="175">
        <f t="shared" si="42"/>
        <v>7</v>
      </c>
      <c r="AI94" s="224">
        <f t="shared" si="43"/>
        <v>1.0447548996530005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10">
        <f>'2022'!Wh/'2022'!Env_an*'2023'!Env_an</f>
        <v>42.779817289024855</v>
      </c>
      <c r="C95" s="843"/>
      <c r="D95" s="392">
        <f t="shared" si="25"/>
        <v>44.402836847661526</v>
      </c>
      <c r="E95" s="384">
        <f t="shared" si="47"/>
        <v>47.127656861086081</v>
      </c>
      <c r="F95" s="384">
        <f t="shared" si="26"/>
        <v>47.139411689438262</v>
      </c>
      <c r="G95" s="110">
        <f t="shared" si="48"/>
        <v>0.90654291778580998</v>
      </c>
      <c r="H95" s="413" t="b">
        <f>Wh_hp&gt;='2022'!Maxi_hp</f>
        <v>0</v>
      </c>
      <c r="I95" s="389">
        <f>IF(H95,Wh_hp,'2022'!Maxi_hp)</f>
        <v>50.590016829396532</v>
      </c>
      <c r="J95" s="85">
        <f>IF(H95,An,'2022'!An_max)</f>
        <v>2019</v>
      </c>
      <c r="K95" s="196">
        <f t="shared" si="27"/>
        <v>45007</v>
      </c>
      <c r="L95" s="147">
        <f>IF(t&lt;Tvie,1-EXP((T0-t)*PertePVj)+'2022'!Pspv,1-EXP((T0-t)*PertePVj)+Pspv)</f>
        <v>3.6552159138051744E-2</v>
      </c>
      <c r="M95" s="847"/>
      <c r="N95" s="847"/>
      <c r="O95" s="48">
        <f>IF(t&lt;Tnet,'2022'!Resal+('2022'!Salim-'2022'!Resal)*(1-EXP(('2022'!Tnet-t)/('2022'!Tau_j))),Resal+(Salim-Resal)*(1-EXP((Tnet-t)/(Tau_j))))*Salcycl</f>
        <v>5.7817854629528008E-2</v>
      </c>
      <c r="P95" s="168">
        <f>(INDEX(Models!$BJ95:$BT95,,T95)*(1-R95)+INDEX(Models!$BJ95:$BT95,,T95+1)*R95-ERP_i)*Q95*Ramure*Pc/MaxiM</f>
        <v>2.8776879747770625E-4</v>
      </c>
      <c r="Q95" s="304">
        <f t="shared" si="28"/>
        <v>0.5</v>
      </c>
      <c r="R95" s="176">
        <f t="shared" si="29"/>
        <v>4.5175378189705295E-2</v>
      </c>
      <c r="S95" s="814">
        <f t="shared" si="30"/>
        <v>1</v>
      </c>
      <c r="T95" s="175">
        <f t="shared" si="31"/>
        <v>7</v>
      </c>
      <c r="U95" s="250">
        <f t="shared" si="32"/>
        <v>1.0451753781897053</v>
      </c>
      <c r="V95" s="382">
        <f t="shared" si="33"/>
        <v>47.1882500539989</v>
      </c>
      <c r="W95" s="401">
        <f t="shared" si="34"/>
        <v>42.779817289024855</v>
      </c>
      <c r="X95" s="157">
        <f t="shared" si="35"/>
        <v>45007</v>
      </c>
      <c r="Y95" s="384">
        <f t="shared" si="36"/>
        <v>41.878873562504495</v>
      </c>
      <c r="Z95" s="384">
        <f t="shared" si="37"/>
        <v>43.467712299855876</v>
      </c>
      <c r="AA95" s="385">
        <f t="shared" si="38"/>
        <v>47.127656861086081</v>
      </c>
      <c r="AB95" s="196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7.766022766670308E-2</v>
      </c>
      <c r="AD95" s="230">
        <f>(INDEX(Models!$BJ95:$BT95,,AH95)*(1-AF95)+INDEX(Models!$BJ95:$BT95,,AH95+1)*AF95-ERP_i)*AE95*Ramure*Pc/MaxiM</f>
        <v>2.8776879747770625E-4</v>
      </c>
      <c r="AE95" s="304">
        <f t="shared" si="40"/>
        <v>0.5</v>
      </c>
      <c r="AF95" s="176">
        <f t="shared" si="41"/>
        <v>4.5175378189705295E-2</v>
      </c>
      <c r="AG95" s="814">
        <f t="shared" si="49"/>
        <v>1</v>
      </c>
      <c r="AH95" s="175">
        <f t="shared" si="42"/>
        <v>7</v>
      </c>
      <c r="AI95" s="224">
        <f t="shared" si="43"/>
        <v>1.0451753781897053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10">
        <f>'2022'!Wh/'2022'!Env_an*'2023'!Env_an</f>
        <v>47.575690028316068</v>
      </c>
      <c r="C96" s="843"/>
      <c r="D96" s="392">
        <f t="shared" si="25"/>
        <v>49.381740001984916</v>
      </c>
      <c r="E96" s="384">
        <f t="shared" si="47"/>
        <v>52.414782526588745</v>
      </c>
      <c r="F96" s="384">
        <f t="shared" si="26"/>
        <v>52.42986850975435</v>
      </c>
      <c r="G96" s="110">
        <f t="shared" si="48"/>
        <v>1.0020910044790494</v>
      </c>
      <c r="H96" s="413" t="b">
        <f>Wh_hp&gt;='2022'!Maxi_hp</f>
        <v>1</v>
      </c>
      <c r="I96" s="389">
        <f>IF(H96,Wh_hp,'2022'!Maxi_hp)</f>
        <v>52.42986850975435</v>
      </c>
      <c r="J96" s="85">
        <f>IF(H96,An,'2022'!An_max)</f>
        <v>2023</v>
      </c>
      <c r="K96" s="196">
        <f t="shared" si="27"/>
        <v>45008</v>
      </c>
      <c r="L96" s="147">
        <f>IF(t&lt;Tvie,1-EXP((T0-t)*PertePVj)+'2022'!Pspv,1-EXP((T0-t)*PertePVj)+Pspv)</f>
        <v>3.6573234835310588E-2</v>
      </c>
      <c r="M96" s="847"/>
      <c r="N96" s="847"/>
      <c r="O96" s="48">
        <f>IF(t&lt;Tnet,'2022'!Resal+('2022'!Salim-'2022'!Resal)*(1-EXP(('2022'!Tnet-t)/('2022'!Tau_j))),Resal+(Salim-Resal)*(1-EXP((Tnet-t)/(Tau_j))))*Salcycl</f>
        <v>5.7866166344680357E-2</v>
      </c>
      <c r="P96" s="168">
        <f>(INDEX(Models!$BJ96:$BT96,,T96)*(1-R96)+INDEX(Models!$BJ96:$BT96,,T96+1)*R96-ERP_i)*Q96*Ramure*Pc/MaxiM</f>
        <v>2.8773642952769561E-4</v>
      </c>
      <c r="Q96" s="304">
        <f t="shared" si="28"/>
        <v>0.5</v>
      </c>
      <c r="R96" s="176">
        <f t="shared" si="29"/>
        <v>4.5612202011082292E-2</v>
      </c>
      <c r="S96" s="814">
        <f t="shared" si="30"/>
        <v>1</v>
      </c>
      <c r="T96" s="175">
        <f t="shared" si="31"/>
        <v>7</v>
      </c>
      <c r="U96" s="250">
        <f t="shared" si="32"/>
        <v>1.0456122020110823</v>
      </c>
      <c r="V96" s="382">
        <f t="shared" si="33"/>
        <v>47.476416628496665</v>
      </c>
      <c r="W96" s="401">
        <f t="shared" si="34"/>
        <v>47.575690028316068</v>
      </c>
      <c r="X96" s="157">
        <f t="shared" si="35"/>
        <v>45008</v>
      </c>
      <c r="Y96" s="384">
        <f t="shared" si="36"/>
        <v>46.574683529563899</v>
      </c>
      <c r="Z96" s="384">
        <f t="shared" si="37"/>
        <v>48.342733681062271</v>
      </c>
      <c r="AA96" s="385">
        <f t="shared" si="38"/>
        <v>52.414782526588745</v>
      </c>
      <c r="AB96" s="196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7.7688939059526202E-2</v>
      </c>
      <c r="AD96" s="230">
        <f>(INDEX(Models!$BJ96:$BT96,,AH96)*(1-AF96)+INDEX(Models!$BJ96:$BT96,,AH96+1)*AF96-ERP_i)*AE96*Ramure*Pc/MaxiM</f>
        <v>2.8773642952769561E-4</v>
      </c>
      <c r="AE96" s="304">
        <f t="shared" si="40"/>
        <v>0.5</v>
      </c>
      <c r="AF96" s="176">
        <f t="shared" si="41"/>
        <v>4.5612202011082292E-2</v>
      </c>
      <c r="AG96" s="814">
        <f t="shared" si="49"/>
        <v>1</v>
      </c>
      <c r="AH96" s="175">
        <f t="shared" si="42"/>
        <v>7</v>
      </c>
      <c r="AI96" s="224">
        <f t="shared" si="43"/>
        <v>1.0456122020110823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10">
        <f>'2022'!Wh/'2022'!Env_an*'2023'!Env_an</f>
        <v>46.705949115561175</v>
      </c>
      <c r="C97" s="843"/>
      <c r="D97" s="392">
        <f t="shared" si="25"/>
        <v>48.480042835330565</v>
      </c>
      <c r="E97" s="384">
        <f t="shared" si="47"/>
        <v>51.460358966774301</v>
      </c>
      <c r="F97" s="384">
        <f t="shared" si="26"/>
        <v>51.474679790457643</v>
      </c>
      <c r="G97" s="110">
        <f t="shared" si="48"/>
        <v>0.97785382827219935</v>
      </c>
      <c r="H97" s="413" t="b">
        <f>Wh_hp&gt;='2022'!Maxi_hp</f>
        <v>0</v>
      </c>
      <c r="I97" s="389">
        <f>IF(H97,Wh_hp,'2022'!Maxi_hp)</f>
        <v>51.706853506641295</v>
      </c>
      <c r="J97" s="85">
        <f>IF(H97,An,'2022'!An_max)</f>
        <v>2021</v>
      </c>
      <c r="K97" s="196">
        <f t="shared" si="27"/>
        <v>45009</v>
      </c>
      <c r="L97" s="147">
        <f>IF(t&lt;Tvie,1-EXP((T0-t)*PertePVj)+'2022'!Pspv,1-EXP((T0-t)*PertePVj)+Pspv)</f>
        <v>3.6594310070957571E-2</v>
      </c>
      <c r="M97" s="847"/>
      <c r="N97" s="847"/>
      <c r="O97" s="48">
        <f>IF(t&lt;Tnet,'2022'!Resal+('2022'!Salim-'2022'!Resal)*(1-EXP(('2022'!Tnet-t)/('2022'!Tau_j))),Resal+(Salim-Resal)*(1-EXP((Tnet-t)/(Tau_j))))*Salcycl</f>
        <v>5.7914794830094277E-2</v>
      </c>
      <c r="P97" s="168">
        <f>(INDEX(Models!$BJ97:$BT97,,T97)*(1-R97)+INDEX(Models!$BJ97:$BT97,,T97+1)*R97-ERP_i)*Q97*Ramure*Pc/MaxiM</f>
        <v>2.8729669977167163E-4</v>
      </c>
      <c r="Q97" s="304">
        <f t="shared" si="28"/>
        <v>0.5</v>
      </c>
      <c r="R97" s="176">
        <f t="shared" si="29"/>
        <v>4.6065952282618117E-2</v>
      </c>
      <c r="S97" s="814">
        <f t="shared" si="30"/>
        <v>1</v>
      </c>
      <c r="T97" s="175">
        <f t="shared" si="31"/>
        <v>7</v>
      </c>
      <c r="U97" s="250">
        <f t="shared" si="32"/>
        <v>1.0460659522826181</v>
      </c>
      <c r="V97" s="382">
        <f t="shared" si="33"/>
        <v>47.763298861511302</v>
      </c>
      <c r="W97" s="401">
        <f t="shared" si="34"/>
        <v>46.705949115561175</v>
      </c>
      <c r="X97" s="157">
        <f t="shared" si="35"/>
        <v>45009</v>
      </c>
      <c r="Y97" s="384">
        <f t="shared" si="36"/>
        <v>45.724156203142861</v>
      </c>
      <c r="Z97" s="384">
        <f t="shared" si="37"/>
        <v>47.460957186697307</v>
      </c>
      <c r="AA97" s="385">
        <f t="shared" si="38"/>
        <v>51.460358966774301</v>
      </c>
      <c r="AB97" s="196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7.7718108858494978E-2</v>
      </c>
      <c r="AD97" s="230">
        <f>(INDEX(Models!$BJ97:$BT97,,AH97)*(1-AF97)+INDEX(Models!$BJ97:$BT97,,AH97+1)*AF97-ERP_i)*AE97*Ramure*Pc/MaxiM</f>
        <v>2.8729669977167163E-4</v>
      </c>
      <c r="AE97" s="304">
        <f t="shared" si="40"/>
        <v>0.5</v>
      </c>
      <c r="AF97" s="176">
        <f t="shared" si="41"/>
        <v>4.6065952282618117E-2</v>
      </c>
      <c r="AG97" s="814">
        <f t="shared" si="49"/>
        <v>1</v>
      </c>
      <c r="AH97" s="175">
        <f t="shared" si="42"/>
        <v>7</v>
      </c>
      <c r="AI97" s="224">
        <f t="shared" si="43"/>
        <v>1.0460659522826181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10">
        <f>'2022'!Wh/'2022'!Env_an*'2023'!Env_an</f>
        <v>40.088757477058209</v>
      </c>
      <c r="C98" s="843"/>
      <c r="D98" s="392">
        <f t="shared" si="25"/>
        <v>41.612411955123868</v>
      </c>
      <c r="E98" s="384">
        <f t="shared" si="47"/>
        <v>44.172835748173377</v>
      </c>
      <c r="F98" s="384">
        <f t="shared" si="26"/>
        <v>44.182497253473784</v>
      </c>
      <c r="G98" s="110">
        <f t="shared" si="48"/>
        <v>0.83429134282650341</v>
      </c>
      <c r="H98" s="413" t="b">
        <f>Wh_hp&gt;='2022'!Maxi_hp</f>
        <v>0</v>
      </c>
      <c r="I98" s="389">
        <f>IF(H98,Wh_hp,'2022'!Maxi_hp)</f>
        <v>50.650647588143606</v>
      </c>
      <c r="J98" s="85">
        <f>IF(H98,An,'2022'!An_max)</f>
        <v>2020</v>
      </c>
      <c r="K98" s="196">
        <f t="shared" si="27"/>
        <v>45010</v>
      </c>
      <c r="L98" s="147">
        <f>IF(t&lt;Tvie,1-EXP((T0-t)*PertePVj)+'2022'!Pspv,1-EXP((T0-t)*PertePVj)+Pspv)</f>
        <v>3.6615384845002798E-2</v>
      </c>
      <c r="M98" s="847"/>
      <c r="N98" s="847"/>
      <c r="O98" s="48">
        <f>IF(t&lt;Tnet,'2022'!Resal+('2022'!Salim-'2022'!Resal)*(1-EXP(('2022'!Tnet-t)/('2022'!Tau_j))),Resal+(Salim-Resal)*(1-EXP((Tnet-t)/(Tau_j))))*Salcycl</f>
        <v>5.7963763242331164E-2</v>
      </c>
      <c r="P98" s="168">
        <f>(INDEX(Models!$BJ98:$BT98,,T98)*(1-R98)+INDEX(Models!$BJ98:$BT98,,T98+1)*R98-ERP_i)*Q98*Ramure*Pc/MaxiM</f>
        <v>2.864629483755952E-4</v>
      </c>
      <c r="Q98" s="304">
        <f t="shared" si="28"/>
        <v>0.5</v>
      </c>
      <c r="R98" s="176">
        <f t="shared" si="29"/>
        <v>4.653722638376645E-2</v>
      </c>
      <c r="S98" s="814">
        <f t="shared" si="30"/>
        <v>1</v>
      </c>
      <c r="T98" s="175">
        <f t="shared" si="31"/>
        <v>7</v>
      </c>
      <c r="U98" s="250">
        <f t="shared" si="32"/>
        <v>1.0465372263837665</v>
      </c>
      <c r="V98" s="382">
        <f t="shared" si="33"/>
        <v>48.048010565970955</v>
      </c>
      <c r="W98" s="401">
        <f t="shared" si="34"/>
        <v>40.088757477058209</v>
      </c>
      <c r="X98" s="157">
        <f t="shared" si="35"/>
        <v>45010</v>
      </c>
      <c r="Y98" s="384">
        <f t="shared" si="36"/>
        <v>39.246840664731884</v>
      </c>
      <c r="Z98" s="384">
        <f t="shared" si="37"/>
        <v>40.738496387984704</v>
      </c>
      <c r="AA98" s="385">
        <f t="shared" si="38"/>
        <v>44.172835748173377</v>
      </c>
      <c r="AB98" s="196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7.7747767423572964E-2</v>
      </c>
      <c r="AD98" s="230">
        <f>(INDEX(Models!$BJ98:$BT98,,AH98)*(1-AF98)+INDEX(Models!$BJ98:$BT98,,AH98+1)*AF98-ERP_i)*AE98*Ramure*Pc/MaxiM</f>
        <v>2.864629483755952E-4</v>
      </c>
      <c r="AE98" s="304">
        <f t="shared" si="40"/>
        <v>0.5</v>
      </c>
      <c r="AF98" s="176">
        <f t="shared" si="41"/>
        <v>4.653722638376645E-2</v>
      </c>
      <c r="AG98" s="814">
        <f t="shared" si="49"/>
        <v>1</v>
      </c>
      <c r="AH98" s="175">
        <f t="shared" si="42"/>
        <v>7</v>
      </c>
      <c r="AI98" s="224">
        <f t="shared" si="43"/>
        <v>1.0465372263837665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10">
        <f>'2022'!Wh/'2022'!Env_an*'2023'!Env_an</f>
        <v>44.480957313235329</v>
      </c>
      <c r="C99" s="843"/>
      <c r="D99" s="392">
        <f t="shared" si="25"/>
        <v>46.172556285795224</v>
      </c>
      <c r="E99" s="384">
        <f t="shared" si="47"/>
        <v>49.016133908252513</v>
      </c>
      <c r="F99" s="384">
        <f t="shared" si="26"/>
        <v>49.028528174942949</v>
      </c>
      <c r="G99" s="110">
        <f t="shared" si="48"/>
        <v>0.92033563178410205</v>
      </c>
      <c r="H99" s="413" t="b">
        <f>Wh_hp&gt;='2022'!Maxi_hp</f>
        <v>0</v>
      </c>
      <c r="I99" s="389">
        <f>IF(H99,Wh_hp,'2022'!Maxi_hp)</f>
        <v>54.179948097742042</v>
      </c>
      <c r="J99" s="85">
        <f>IF(H99,An,'2022'!An_max)</f>
        <v>2019</v>
      </c>
      <c r="K99" s="196">
        <f t="shared" si="27"/>
        <v>45011</v>
      </c>
      <c r="L99" s="147">
        <f>IF(t&lt;Tvie,1-EXP((T0-t)*PertePVj)+'2022'!Pspv,1-EXP((T0-t)*PertePVj)+Pspv)</f>
        <v>3.6636459157456371E-2</v>
      </c>
      <c r="M99" s="847"/>
      <c r="N99" s="847"/>
      <c r="O99" s="48">
        <f>IF(t&lt;Tnet,'2022'!Resal+('2022'!Salim-'2022'!Resal)*(1-EXP(('2022'!Tnet-t)/('2022'!Tau_j))),Resal+(Salim-Resal)*(1-EXP((Tnet-t)/(Tau_j))))*Salcycl</f>
        <v>5.8013094785889112E-2</v>
      </c>
      <c r="P99" s="168">
        <f>(INDEX(Models!$BJ99:$BT99,,T99)*(1-R99)+INDEX(Models!$BJ99:$BT99,,T99+1)*R99-ERP_i)*Q99*Ramure*Pc/MaxiM</f>
        <v>2.852478494792527E-4</v>
      </c>
      <c r="Q99" s="304">
        <f t="shared" si="28"/>
        <v>0.5</v>
      </c>
      <c r="R99" s="176">
        <f t="shared" si="29"/>
        <v>4.7026637984608488E-2</v>
      </c>
      <c r="S99" s="814">
        <f t="shared" si="30"/>
        <v>1</v>
      </c>
      <c r="T99" s="175">
        <f t="shared" si="31"/>
        <v>7</v>
      </c>
      <c r="U99" s="250">
        <f t="shared" si="32"/>
        <v>1.0470266379846085</v>
      </c>
      <c r="V99" s="382">
        <f t="shared" si="33"/>
        <v>48.329665796868987</v>
      </c>
      <c r="W99" s="401">
        <f t="shared" si="34"/>
        <v>44.480957313235329</v>
      </c>
      <c r="X99" s="157">
        <f t="shared" si="35"/>
        <v>45011</v>
      </c>
      <c r="Y99" s="384">
        <f t="shared" si="36"/>
        <v>43.547654037600701</v>
      </c>
      <c r="Z99" s="384">
        <f t="shared" si="37"/>
        <v>45.203759734891527</v>
      </c>
      <c r="AA99" s="385">
        <f t="shared" si="38"/>
        <v>49.016133908252513</v>
      </c>
      <c r="AB99" s="196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7.777794512510755E-2</v>
      </c>
      <c r="AD99" s="230">
        <f>(INDEX(Models!$BJ99:$BT99,,AH99)*(1-AF99)+INDEX(Models!$BJ99:$BT99,,AH99+1)*AF99-ERP_i)*AE99*Ramure*Pc/MaxiM</f>
        <v>2.852478494792527E-4</v>
      </c>
      <c r="AE99" s="304">
        <f t="shared" si="40"/>
        <v>0.5</v>
      </c>
      <c r="AF99" s="176">
        <f t="shared" si="41"/>
        <v>4.7026637984608488E-2</v>
      </c>
      <c r="AG99" s="814">
        <f t="shared" si="49"/>
        <v>1</v>
      </c>
      <c r="AH99" s="175">
        <f t="shared" si="42"/>
        <v>7</v>
      </c>
      <c r="AI99" s="224">
        <f t="shared" si="43"/>
        <v>1.0470266379846085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10">
        <f>'2022'!Wh/'2022'!Env_an*'2023'!Env_an</f>
        <v>44.446384033965103</v>
      </c>
      <c r="C100" s="843"/>
      <c r="D100" s="392">
        <f t="shared" si="25"/>
        <v>46.137677468701646</v>
      </c>
      <c r="E100" s="384">
        <f t="shared" si="47"/>
        <v>48.981692291508175</v>
      </c>
      <c r="F100" s="384">
        <f t="shared" si="26"/>
        <v>48.993894497059379</v>
      </c>
      <c r="G100" s="110">
        <f t="shared" si="48"/>
        <v>0.91436416658834141</v>
      </c>
      <c r="H100" s="413" t="b">
        <f>Wh_hp&gt;='2022'!Maxi_hp</f>
        <v>0</v>
      </c>
      <c r="I100" s="389">
        <f>IF(H100,Wh_hp,'2022'!Maxi_hp)</f>
        <v>53.631049698889107</v>
      </c>
      <c r="J100" s="85">
        <f>IF(H100,An,'2022'!An_max)</f>
        <v>2019</v>
      </c>
      <c r="K100" s="196">
        <f t="shared" si="27"/>
        <v>45012</v>
      </c>
      <c r="L100" s="147">
        <f>IF(t&lt;Tvie,1-EXP((T0-t)*PertePVj)+'2022'!Pspv,1-EXP((T0-t)*PertePVj)+Pspv)</f>
        <v>3.6657533008328504E-2</v>
      </c>
      <c r="M100" s="847"/>
      <c r="N100" s="847"/>
      <c r="O100" s="48">
        <f>IF(t&lt;Tnet,'2022'!Resal+('2022'!Salim-'2022'!Resal)*(1-EXP(('2022'!Tnet-t)/('2022'!Tau_j))),Resal+(Salim-Resal)*(1-EXP((Tnet-t)/(Tau_j))))*Salcycl</f>
        <v>5.8062812650096718E-2</v>
      </c>
      <c r="P100" s="168">
        <f>(INDEX(Models!$BJ100:$BT100,,T100)*(1-R100)+INDEX(Models!$BJ100:$BT100,,T100+1)*R100-ERP_i)*Q100*Ramure*Pc/MaxiM</f>
        <v>2.8375668480684326E-4</v>
      </c>
      <c r="Q100" s="304">
        <f t="shared" si="28"/>
        <v>0.5</v>
      </c>
      <c r="R100" s="176">
        <f t="shared" si="29"/>
        <v>4.7534817085387315E-2</v>
      </c>
      <c r="S100" s="814">
        <f t="shared" si="30"/>
        <v>1</v>
      </c>
      <c r="T100" s="175">
        <f t="shared" si="31"/>
        <v>7</v>
      </c>
      <c r="U100" s="250">
        <f t="shared" si="32"/>
        <v>1.0475348170853873</v>
      </c>
      <c r="V100" s="382">
        <f t="shared" si="33"/>
        <v>48.607374323765775</v>
      </c>
      <c r="W100" s="401">
        <f t="shared" si="34"/>
        <v>44.446384033965103</v>
      </c>
      <c r="X100" s="157">
        <f t="shared" si="35"/>
        <v>45012</v>
      </c>
      <c r="Y100" s="384">
        <f t="shared" si="36"/>
        <v>43.514653053316756</v>
      </c>
      <c r="Z100" s="384">
        <f t="shared" si="37"/>
        <v>45.170491849284332</v>
      </c>
      <c r="AA100" s="385">
        <f t="shared" si="38"/>
        <v>48.981692291508175</v>
      </c>
      <c r="AB100" s="196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7.7808672259463377E-2</v>
      </c>
      <c r="AD100" s="230">
        <f>(INDEX(Models!$BJ100:$BT100,,AH100)*(1-AF100)+INDEX(Models!$BJ100:$BT100,,AH100+1)*AF100-ERP_i)*AE100*Ramure*Pc/MaxiM</f>
        <v>2.8375668480684326E-4</v>
      </c>
      <c r="AE100" s="304">
        <f t="shared" si="40"/>
        <v>0.5</v>
      </c>
      <c r="AF100" s="176">
        <f t="shared" si="41"/>
        <v>4.7534817085387315E-2</v>
      </c>
      <c r="AG100" s="814">
        <f t="shared" si="49"/>
        <v>1</v>
      </c>
      <c r="AH100" s="175">
        <f t="shared" si="42"/>
        <v>7</v>
      </c>
      <c r="AI100" s="224">
        <f t="shared" si="43"/>
        <v>1.0475348170853873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10">
        <f>'2022'!Wh/'2022'!Env_an*'2023'!Env_an</f>
        <v>34.322110245925103</v>
      </c>
      <c r="C101" s="843"/>
      <c r="D101" s="392">
        <f t="shared" si="25"/>
        <v>35.628929736083705</v>
      </c>
      <c r="E101" s="384">
        <f t="shared" si="47"/>
        <v>37.827178275619644</v>
      </c>
      <c r="F101" s="384">
        <f t="shared" si="26"/>
        <v>37.833309081443332</v>
      </c>
      <c r="G101" s="110">
        <f t="shared" si="48"/>
        <v>0.70208299054294621</v>
      </c>
      <c r="H101" s="413" t="b">
        <f>Wh_hp&gt;='2022'!Maxi_hp</f>
        <v>0</v>
      </c>
      <c r="I101" s="389">
        <f>IF(H101,Wh_hp,'2022'!Maxi_hp)</f>
        <v>52.658123194281352</v>
      </c>
      <c r="J101" s="85">
        <f>IF(H101,An,'2022'!An_max)</f>
        <v>2019</v>
      </c>
      <c r="K101" s="196">
        <f t="shared" si="27"/>
        <v>45013</v>
      </c>
      <c r="L101" s="147">
        <f>IF(t&lt;Tvie,1-EXP((T0-t)*PertePVj)+'2022'!Pspv,1-EXP((T0-t)*PertePVj)+Pspv)</f>
        <v>3.6678606397629189E-2</v>
      </c>
      <c r="M101" s="847"/>
      <c r="N101" s="847"/>
      <c r="O101" s="48">
        <f>IF(t&lt;Tnet,'2022'!Resal+('2022'!Salim-'2022'!Resal)*(1-EXP(('2022'!Tnet-t)/('2022'!Tau_j))),Resal+(Salim-Resal)*(1-EXP((Tnet-t)/(Tau_j))))*Salcycl</f>
        <v>5.8112939948067745E-2</v>
      </c>
      <c r="P101" s="168">
        <f>(INDEX(Models!$BJ101:$BT101,,T101)*(1-R101)+INDEX(Models!$BJ101:$BT101,,T101+1)*R101-ERP_i)*Q101*Ramure*Pc/MaxiM</f>
        <v>2.8205548534358571E-4</v>
      </c>
      <c r="Q101" s="304">
        <f t="shared" si="28"/>
        <v>0.5</v>
      </c>
      <c r="R101" s="176">
        <f t="shared" si="29"/>
        <v>4.8062410015185852E-2</v>
      </c>
      <c r="S101" s="814">
        <f t="shared" si="30"/>
        <v>1</v>
      </c>
      <c r="T101" s="175">
        <f t="shared" si="31"/>
        <v>7</v>
      </c>
      <c r="U101" s="250">
        <f t="shared" si="32"/>
        <v>1.0480624100151859</v>
      </c>
      <c r="V101" s="382">
        <f t="shared" si="33"/>
        <v>48.88024795474287</v>
      </c>
      <c r="W101" s="401">
        <f t="shared" si="34"/>
        <v>34.322110245925103</v>
      </c>
      <c r="X101" s="157">
        <f t="shared" si="35"/>
        <v>45013</v>
      </c>
      <c r="Y101" s="384">
        <f t="shared" si="36"/>
        <v>33.603262268527075</v>
      </c>
      <c r="Z101" s="384">
        <f t="shared" si="37"/>
        <v>34.882711514239929</v>
      </c>
      <c r="AA101" s="385">
        <f t="shared" si="38"/>
        <v>37.827178275619644</v>
      </c>
      <c r="AB101" s="196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7.783997896764823E-2</v>
      </c>
      <c r="AD101" s="230">
        <f>(INDEX(Models!$BJ101:$BT101,,AH101)*(1-AF101)+INDEX(Models!$BJ101:$BT101,,AH101+1)*AF101-ERP_i)*AE101*Ramure*Pc/MaxiM</f>
        <v>2.8205548534358571E-4</v>
      </c>
      <c r="AE101" s="304">
        <f t="shared" si="40"/>
        <v>0.5</v>
      </c>
      <c r="AF101" s="176">
        <f t="shared" si="41"/>
        <v>4.8062410015185852E-2</v>
      </c>
      <c r="AG101" s="814">
        <f t="shared" si="49"/>
        <v>1</v>
      </c>
      <c r="AH101" s="175">
        <f t="shared" si="42"/>
        <v>7</v>
      </c>
      <c r="AI101" s="224">
        <f t="shared" si="43"/>
        <v>1.0480624100151859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10">
        <f>'2022'!Wh/'2022'!Env_an*'2023'!Env_an</f>
        <v>26.493172510139743</v>
      </c>
      <c r="C102" s="843"/>
      <c r="D102" s="392">
        <f t="shared" si="25"/>
        <v>27.502505648067974</v>
      </c>
      <c r="E102" s="384">
        <f t="shared" si="47"/>
        <v>29.200934172839116</v>
      </c>
      <c r="F102" s="384">
        <f t="shared" si="26"/>
        <v>29.203728216252657</v>
      </c>
      <c r="G102" s="110">
        <f t="shared" si="48"/>
        <v>0.53895595314301259</v>
      </c>
      <c r="H102" s="413" t="b">
        <f>Wh_hp&gt;='2022'!Maxi_hp</f>
        <v>0</v>
      </c>
      <c r="I102" s="389">
        <f>IF(H102,Wh_hp,'2022'!Maxi_hp)</f>
        <v>54.496222253055954</v>
      </c>
      <c r="J102" s="85">
        <f>IF(H102,An,'2022'!An_max)</f>
        <v>2021</v>
      </c>
      <c r="K102" s="196">
        <f t="shared" si="27"/>
        <v>45014</v>
      </c>
      <c r="L102" s="147">
        <f>IF(t&lt;Tvie,1-EXP((T0-t)*PertePVj)+'2022'!Pspv,1-EXP((T0-t)*PertePVj)+Pspv)</f>
        <v>3.669967932536853E-2</v>
      </c>
      <c r="M102" s="847"/>
      <c r="N102" s="847"/>
      <c r="O102" s="48">
        <f>IF(t&lt;Tnet,'2022'!Resal+('2022'!Salim-'2022'!Resal)*(1-EXP(('2022'!Tnet-t)/('2022'!Tau_j))),Resal+(Salim-Resal)*(1-EXP((Tnet-t)/(Tau_j))))*Salcycl</f>
        <v>5.8163499657860752E-2</v>
      </c>
      <c r="P102" s="168">
        <f>(INDEX(Models!$BJ102:$BT102,,T102)*(1-R102)+INDEX(Models!$BJ102:$BT102,,T102+1)*R102-ERP_i)*Q102*Ramure*Pc/MaxiM</f>
        <v>2.8015238329572864E-4</v>
      </c>
      <c r="Q102" s="304">
        <f t="shared" si="28"/>
        <v>0.5</v>
      </c>
      <c r="R102" s="176">
        <f t="shared" si="29"/>
        <v>4.8610079385817739E-2</v>
      </c>
      <c r="S102" s="814">
        <f t="shared" si="30"/>
        <v>1</v>
      </c>
      <c r="T102" s="175">
        <f t="shared" si="31"/>
        <v>7</v>
      </c>
      <c r="U102" s="250">
        <f t="shared" si="32"/>
        <v>1.0486100793858177</v>
      </c>
      <c r="V102" s="382">
        <f t="shared" si="33"/>
        <v>49.147401519108342</v>
      </c>
      <c r="W102" s="401">
        <f t="shared" si="34"/>
        <v>26.493172510139743</v>
      </c>
      <c r="X102" s="157">
        <f t="shared" si="35"/>
        <v>45014</v>
      </c>
      <c r="Y102" s="384">
        <f t="shared" si="36"/>
        <v>25.938789746602648</v>
      </c>
      <c r="Z102" s="384">
        <f t="shared" si="37"/>
        <v>26.927002088441998</v>
      </c>
      <c r="AA102" s="385">
        <f t="shared" si="38"/>
        <v>29.200934172839116</v>
      </c>
      <c r="AB102" s="196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7.7871895157114082E-2</v>
      </c>
      <c r="AD102" s="230">
        <f>(INDEX(Models!$BJ102:$BT102,,AH102)*(1-AF102)+INDEX(Models!$BJ102:$BT102,,AH102+1)*AF102-ERP_i)*AE102*Ramure*Pc/MaxiM</f>
        <v>2.8015238329572864E-4</v>
      </c>
      <c r="AE102" s="304">
        <f t="shared" si="40"/>
        <v>0.5</v>
      </c>
      <c r="AF102" s="176">
        <f t="shared" si="41"/>
        <v>4.8610079385817739E-2</v>
      </c>
      <c r="AG102" s="814">
        <f t="shared" si="49"/>
        <v>1</v>
      </c>
      <c r="AH102" s="175">
        <f t="shared" si="42"/>
        <v>7</v>
      </c>
      <c r="AI102" s="224">
        <f t="shared" si="43"/>
        <v>1.0486100793858177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10">
        <f>'2022'!Wh/'2022'!Env_an*'2023'!Env_an</f>
        <v>6.7251519270262428</v>
      </c>
      <c r="C103" s="843"/>
      <c r="D103" s="392">
        <f t="shared" si="25"/>
        <v>6.9815185363268535</v>
      </c>
      <c r="E103" s="384">
        <f t="shared" si="47"/>
        <v>7.4130666105021676</v>
      </c>
      <c r="F103" s="384">
        <f t="shared" si="26"/>
        <v>7.4130666105021676</v>
      </c>
      <c r="G103" s="110">
        <f t="shared" si="48"/>
        <v>0.13607692586766054</v>
      </c>
      <c r="H103" s="413" t="b">
        <f>Wh_hp&gt;='2022'!Maxi_hp</f>
        <v>0</v>
      </c>
      <c r="I103" s="389">
        <f>IF(H103,Wh_hp,'2022'!Maxi_hp)</f>
        <v>54.590031723801168</v>
      </c>
      <c r="J103" s="85">
        <f>IF(H103,An,'2022'!An_max)</f>
        <v>2019</v>
      </c>
      <c r="K103" s="196">
        <f t="shared" si="27"/>
        <v>45015</v>
      </c>
      <c r="L103" s="147">
        <f>IF(t&lt;Tvie,1-EXP((T0-t)*PertePVj)+'2022'!Pspv,1-EXP((T0-t)*PertePVj)+Pspv)</f>
        <v>3.672075179155674E-2</v>
      </c>
      <c r="M103" s="847"/>
      <c r="N103" s="847"/>
      <c r="O103" s="48">
        <f>IF(t&lt;Tnet,'2022'!Resal+('2022'!Salim-'2022'!Resal)*(1-EXP(('2022'!Tnet-t)/('2022'!Tau_j))),Resal+(Salim-Resal)*(1-EXP((Tnet-t)/(Tau_j))))*Salcycl</f>
        <v>5.8214514565933489E-2</v>
      </c>
      <c r="P103" s="168">
        <f>(INDEX(Models!$BJ103:$BT103,,T103)*(1-R103)+INDEX(Models!$BJ103:$BT103,,T103+1)*R103-ERP_i)*Q103*Ramure*Pc/MaxiM</f>
        <v>2.7805484592504515E-4</v>
      </c>
      <c r="Q103" s="304">
        <f t="shared" si="28"/>
        <v>0.5</v>
      </c>
      <c r="R103" s="176">
        <f t="shared" si="29"/>
        <v>4.9178503996788692E-2</v>
      </c>
      <c r="S103" s="814">
        <f t="shared" si="30"/>
        <v>1</v>
      </c>
      <c r="T103" s="175">
        <f t="shared" si="31"/>
        <v>7</v>
      </c>
      <c r="U103" s="250">
        <f t="shared" si="32"/>
        <v>1.0491785039967887</v>
      </c>
      <c r="V103" s="382">
        <f t="shared" si="33"/>
        <v>49.407950121403921</v>
      </c>
      <c r="W103" s="401">
        <f t="shared" si="34"/>
        <v>6.7251519270262428</v>
      </c>
      <c r="X103" s="157">
        <f t="shared" si="35"/>
        <v>45015</v>
      </c>
      <c r="Y103" s="384">
        <f t="shared" si="36"/>
        <v>6.5845489849061751</v>
      </c>
      <c r="Z103" s="384">
        <f t="shared" si="37"/>
        <v>6.8355557302334304</v>
      </c>
      <c r="AA103" s="385">
        <f t="shared" si="38"/>
        <v>7.4130666105021676</v>
      </c>
      <c r="AB103" s="196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7.7904450426841076E-2</v>
      </c>
      <c r="AD103" s="230">
        <f>(INDEX(Models!$BJ103:$BT103,,AH103)*(1-AF103)+INDEX(Models!$BJ103:$BT103,,AH103+1)*AF103-ERP_i)*AE103*Ramure*Pc/MaxiM</f>
        <v>2.7805484592504515E-4</v>
      </c>
      <c r="AE103" s="304">
        <f t="shared" si="40"/>
        <v>0.5</v>
      </c>
      <c r="AF103" s="176">
        <f t="shared" si="41"/>
        <v>4.9178503996788692E-2</v>
      </c>
      <c r="AG103" s="814">
        <f t="shared" si="49"/>
        <v>1</v>
      </c>
      <c r="AH103" s="175">
        <f t="shared" si="42"/>
        <v>7</v>
      </c>
      <c r="AI103" s="224">
        <f t="shared" si="43"/>
        <v>1.0491785039967887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10">
        <f>'2022'!Wh/'2022'!Env_an*'2023'!Env_an</f>
        <v>26.760001561515683</v>
      </c>
      <c r="C104" s="843"/>
      <c r="D104" s="392">
        <f t="shared" si="25"/>
        <v>27.780715723563272</v>
      </c>
      <c r="E104" s="384">
        <f t="shared" si="47"/>
        <v>29.499535894786927</v>
      </c>
      <c r="F104" s="384">
        <f t="shared" si="26"/>
        <v>29.502311999426578</v>
      </c>
      <c r="G104" s="110">
        <f t="shared" si="48"/>
        <v>0.53875545470805419</v>
      </c>
      <c r="H104" s="413" t="b">
        <f>Wh_hp&gt;='2022'!Maxi_hp</f>
        <v>0</v>
      </c>
      <c r="I104" s="389">
        <f>IF(H104,Wh_hp,'2022'!Maxi_hp)</f>
        <v>49.035449054954384</v>
      </c>
      <c r="J104" s="85">
        <f>IF(H104,An,'2022'!An_max)</f>
        <v>2021</v>
      </c>
      <c r="K104" s="196">
        <f t="shared" si="27"/>
        <v>45016</v>
      </c>
      <c r="L104" s="147">
        <f>IF(t&lt;Tvie,1-EXP((T0-t)*PertePVj)+'2022'!Pspv,1-EXP((T0-t)*PertePVj)+Pspv)</f>
        <v>3.6741823796203811E-2</v>
      </c>
      <c r="M104" s="847"/>
      <c r="N104" s="847"/>
      <c r="O104" s="48">
        <f>IF(t&lt;Tnet,'2022'!Resal+('2022'!Salim-'2022'!Resal)*(1-EXP(('2022'!Tnet-t)/('2022'!Tau_j))),Resal+(Salim-Resal)*(1-EXP((Tnet-t)/(Tau_j))))*Salcycl</f>
        <v>5.8266007212927094E-2</v>
      </c>
      <c r="P104" s="168">
        <f>(INDEX(Models!$BJ104:$BT104,,T104)*(1-R104)+INDEX(Models!$BJ104:$BT104,,T104+1)*R104-ERP_i)*Q104*Ramure*Pc/MaxiM</f>
        <v>2.7576965030445279E-4</v>
      </c>
      <c r="Q104" s="304">
        <f t="shared" si="28"/>
        <v>0.5</v>
      </c>
      <c r="R104" s="176">
        <f t="shared" si="29"/>
        <v>4.9768378686987358E-2</v>
      </c>
      <c r="S104" s="814">
        <f t="shared" si="30"/>
        <v>1</v>
      </c>
      <c r="T104" s="175">
        <f t="shared" si="31"/>
        <v>7</v>
      </c>
      <c r="U104" s="250">
        <f t="shared" si="32"/>
        <v>1.0497683786869874</v>
      </c>
      <c r="V104" s="382">
        <f t="shared" si="33"/>
        <v>49.661009151756744</v>
      </c>
      <c r="W104" s="401">
        <f t="shared" si="34"/>
        <v>26.760001561515683</v>
      </c>
      <c r="X104" s="157">
        <f t="shared" si="35"/>
        <v>45016</v>
      </c>
      <c r="Y104" s="384">
        <f t="shared" si="36"/>
        <v>26.201017986687113</v>
      </c>
      <c r="Z104" s="384">
        <f t="shared" si="37"/>
        <v>27.200410683193386</v>
      </c>
      <c r="AA104" s="385">
        <f t="shared" si="38"/>
        <v>29.499535894786927</v>
      </c>
      <c r="AB104" s="196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7.7937673995740295E-2</v>
      </c>
      <c r="AD104" s="230">
        <f>(INDEX(Models!$BJ104:$BT104,,AH104)*(1-AF104)+INDEX(Models!$BJ104:$BT104,,AH104+1)*AF104-ERP_i)*AE104*Ramure*Pc/MaxiM</f>
        <v>2.7576965030445279E-4</v>
      </c>
      <c r="AE104" s="304">
        <f t="shared" si="40"/>
        <v>0.5</v>
      </c>
      <c r="AF104" s="176">
        <f t="shared" si="41"/>
        <v>4.9768378686987358E-2</v>
      </c>
      <c r="AG104" s="814">
        <f t="shared" si="49"/>
        <v>1</v>
      </c>
      <c r="AH104" s="175">
        <f t="shared" si="42"/>
        <v>7</v>
      </c>
      <c r="AI104" s="224">
        <f t="shared" si="43"/>
        <v>1.0497683786869874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10">
        <f>'2022'!Wh/'2022'!Env_an*'2023'!Env_an</f>
        <v>29.185202940196689</v>
      </c>
      <c r="C105" s="843"/>
      <c r="D105" s="392">
        <f t="shared" si="25"/>
        <v>30.299085032109275</v>
      </c>
      <c r="E105" s="384">
        <f t="shared" si="47"/>
        <v>32.175495578144144</v>
      </c>
      <c r="F105" s="384">
        <f t="shared" si="26"/>
        <v>32.179073826215003</v>
      </c>
      <c r="G105" s="110">
        <f t="shared" si="48"/>
        <v>0.58471226105645047</v>
      </c>
      <c r="H105" s="413" t="b">
        <f>Wh_hp&gt;='2022'!Maxi_hp</f>
        <v>0</v>
      </c>
      <c r="I105" s="389">
        <f>IF(H105,Wh_hp,'2022'!Maxi_hp)</f>
        <v>50.125309607744178</v>
      </c>
      <c r="J105" s="85">
        <f>IF(H105,An,'2022'!An_max)</f>
        <v>2021</v>
      </c>
      <c r="K105" s="196">
        <f t="shared" si="27"/>
        <v>45017</v>
      </c>
      <c r="L105" s="147">
        <f>IF(t&lt;Tvie,1-EXP((T0-t)*PertePVj)+'2022'!Pspv,1-EXP((T0-t)*PertePVj)+Pspv)</f>
        <v>3.6762895339319847E-2</v>
      </c>
      <c r="M105" s="847"/>
      <c r="N105" s="847"/>
      <c r="O105" s="48">
        <f>IF(t&lt;Tnet,'2022'!Resal+('2022'!Salim-'2022'!Resal)*(1-EXP(('2022'!Tnet-t)/('2022'!Tau_j))),Resal+(Salim-Resal)*(1-EXP((Tnet-t)/(Tau_j))))*Salcycl</f>
        <v>5.8317999841763384E-2</v>
      </c>
      <c r="P105" s="168">
        <f>(INDEX(Models!$BJ105:$BT105,,T105)*(1-R105)+INDEX(Models!$BJ105:$BT105,,T105+1)*R105-ERP_i)*Q105*Ramure*Pc/MaxiM</f>
        <v>2.7330286047369057E-4</v>
      </c>
      <c r="Q105" s="304">
        <f t="shared" si="28"/>
        <v>0.5</v>
      </c>
      <c r="R105" s="176">
        <f t="shared" si="29"/>
        <v>5.0380414128558426E-2</v>
      </c>
      <c r="S105" s="814">
        <f t="shared" si="30"/>
        <v>1</v>
      </c>
      <c r="T105" s="175">
        <f t="shared" si="31"/>
        <v>7</v>
      </c>
      <c r="U105" s="250">
        <f t="shared" si="32"/>
        <v>1.0503804141285584</v>
      </c>
      <c r="V105" s="382">
        <f t="shared" si="33"/>
        <v>49.905694294067928</v>
      </c>
      <c r="W105" s="401">
        <f t="shared" si="34"/>
        <v>29.185202940196689</v>
      </c>
      <c r="X105" s="157">
        <f t="shared" si="35"/>
        <v>45017</v>
      </c>
      <c r="Y105" s="384">
        <f t="shared" si="36"/>
        <v>28.576086325002407</v>
      </c>
      <c r="Z105" s="384">
        <f t="shared" si="37"/>
        <v>29.666720879766064</v>
      </c>
      <c r="AA105" s="385">
        <f t="shared" si="38"/>
        <v>32.175495578144144</v>
      </c>
      <c r="AB105" s="196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7.7971594634340752E-2</v>
      </c>
      <c r="AD105" s="230">
        <f>(INDEX(Models!$BJ105:$BT105,,AH105)*(1-AF105)+INDEX(Models!$BJ105:$BT105,,AH105+1)*AF105-ERP_i)*AE105*Ramure*Pc/MaxiM</f>
        <v>2.7330286047369057E-4</v>
      </c>
      <c r="AE105" s="304">
        <f t="shared" si="40"/>
        <v>0.5</v>
      </c>
      <c r="AF105" s="176">
        <f t="shared" si="41"/>
        <v>5.0380414128558426E-2</v>
      </c>
      <c r="AG105" s="814">
        <f t="shared" si="49"/>
        <v>1</v>
      </c>
      <c r="AH105" s="175">
        <f t="shared" si="42"/>
        <v>7</v>
      </c>
      <c r="AI105" s="224">
        <f t="shared" si="43"/>
        <v>1.0503804141285584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10">
        <f>'2022'!Wh/'2022'!Env_an*'2023'!Env_an</f>
        <v>19.238308293275516</v>
      </c>
      <c r="C106" s="843"/>
      <c r="D106" s="392">
        <f t="shared" si="25"/>
        <v>19.972994242828864</v>
      </c>
      <c r="E106" s="384">
        <f t="shared" si="47"/>
        <v>21.21109687745065</v>
      </c>
      <c r="F106" s="384">
        <f t="shared" si="26"/>
        <v>21.211783220795372</v>
      </c>
      <c r="G106" s="110">
        <f t="shared" si="48"/>
        <v>0.38359181054874508</v>
      </c>
      <c r="H106" s="413" t="b">
        <f>Wh_hp&gt;='2022'!Maxi_hp</f>
        <v>0</v>
      </c>
      <c r="I106" s="389">
        <f>IF(H106,Wh_hp,'2022'!Maxi_hp)</f>
        <v>43.183256148076218</v>
      </c>
      <c r="J106" s="85">
        <f>IF(H106,An,'2022'!An_max)</f>
        <v>2020</v>
      </c>
      <c r="K106" s="196">
        <f t="shared" si="27"/>
        <v>45018</v>
      </c>
      <c r="L106" s="147">
        <f>IF(t&lt;Tvie,1-EXP((T0-t)*PertePVj)+'2022'!Pspv,1-EXP((T0-t)*PertePVj)+Pspv)</f>
        <v>3.6783966420915061E-2</v>
      </c>
      <c r="M106" s="847"/>
      <c r="N106" s="847"/>
      <c r="O106" s="48">
        <f>IF(t&lt;Tnet,'2022'!Resal+('2022'!Salim-'2022'!Resal)*(1-EXP(('2022'!Tnet-t)/('2022'!Tau_j))),Resal+(Salim-Resal)*(1-EXP((Tnet-t)/(Tau_j))))*Salcycl</f>
        <v>5.8370514347987471E-2</v>
      </c>
      <c r="P106" s="168">
        <f>(INDEX(Models!$BJ106:$BT106,,T106)*(1-R106)+INDEX(Models!$BJ106:$BT106,,T106+1)*R106-ERP_i)*Q106*Ramure*Pc/MaxiM</f>
        <v>2.7065980639169335E-4</v>
      </c>
      <c r="Q106" s="304">
        <f t="shared" si="28"/>
        <v>0.5</v>
      </c>
      <c r="R106" s="176">
        <f t="shared" si="29"/>
        <v>5.1015336558221991E-2</v>
      </c>
      <c r="S106" s="814">
        <f t="shared" si="30"/>
        <v>1</v>
      </c>
      <c r="T106" s="175">
        <f t="shared" si="31"/>
        <v>7</v>
      </c>
      <c r="U106" s="250">
        <f t="shared" si="32"/>
        <v>1.051015336558222</v>
      </c>
      <c r="V106" s="382">
        <f t="shared" si="33"/>
        <v>50.141121544858152</v>
      </c>
      <c r="W106" s="401">
        <f t="shared" si="34"/>
        <v>19.238308293275516</v>
      </c>
      <c r="X106" s="157">
        <f t="shared" si="35"/>
        <v>45018</v>
      </c>
      <c r="Y106" s="384">
        <f t="shared" si="36"/>
        <v>18.837133350319643</v>
      </c>
      <c r="Z106" s="384">
        <f t="shared" si="37"/>
        <v>19.556498951045565</v>
      </c>
      <c r="AA106" s="385">
        <f t="shared" si="38"/>
        <v>21.21109687745065</v>
      </c>
      <c r="AB106" s="196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7.8006240599658744E-2</v>
      </c>
      <c r="AD106" s="230">
        <f>(INDEX(Models!$BJ106:$BT106,,AH106)*(1-AF106)+INDEX(Models!$BJ106:$BT106,,AH106+1)*AF106-ERP_i)*AE106*Ramure*Pc/MaxiM</f>
        <v>2.7065980639169335E-4</v>
      </c>
      <c r="AE106" s="304">
        <f t="shared" si="40"/>
        <v>0.5</v>
      </c>
      <c r="AF106" s="176">
        <f t="shared" si="41"/>
        <v>5.1015336558221991E-2</v>
      </c>
      <c r="AG106" s="814">
        <f t="shared" si="49"/>
        <v>1</v>
      </c>
      <c r="AH106" s="175">
        <f t="shared" si="42"/>
        <v>7</v>
      </c>
      <c r="AI106" s="224">
        <f t="shared" si="43"/>
        <v>1.051015336558222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10">
        <f>'2022'!Wh/'2022'!Env_an*'2023'!Env_an</f>
        <v>24.210133740057515</v>
      </c>
      <c r="C107" s="843"/>
      <c r="D107" s="392">
        <f t="shared" si="25"/>
        <v>25.135237071508698</v>
      </c>
      <c r="E107" s="384">
        <f t="shared" si="47"/>
        <v>26.694845293757009</v>
      </c>
      <c r="F107" s="384">
        <f t="shared" si="26"/>
        <v>26.696690636575717</v>
      </c>
      <c r="G107" s="110">
        <f t="shared" si="48"/>
        <v>0.480561532794885</v>
      </c>
      <c r="H107" s="413" t="b">
        <f>Wh_hp&gt;='2022'!Maxi_hp</f>
        <v>0</v>
      </c>
      <c r="I107" s="389">
        <f>IF(H107,Wh_hp,'2022'!Maxi_hp)</f>
        <v>51.063430423468454</v>
      </c>
      <c r="J107" s="85">
        <f>IF(H107,An,'2022'!An_max)</f>
        <v>2021</v>
      </c>
      <c r="K107" s="196">
        <f t="shared" si="27"/>
        <v>45019</v>
      </c>
      <c r="L107" s="147">
        <f>IF(t&lt;Tvie,1-EXP((T0-t)*PertePVj)+'2022'!Pspv,1-EXP((T0-t)*PertePVj)+Pspv)</f>
        <v>3.6805037040999557E-2</v>
      </c>
      <c r="M107" s="847"/>
      <c r="N107" s="847"/>
      <c r="O107" s="48">
        <f>IF(t&lt;Tnet,'2022'!Resal+('2022'!Salim-'2022'!Resal)*(1-EXP(('2022'!Tnet-t)/('2022'!Tau_j))),Resal+(Salim-Resal)*(1-EXP((Tnet-t)/(Tau_j))))*Salcycl</f>
        <v>5.8423572232241018E-2</v>
      </c>
      <c r="P107" s="168">
        <f>(INDEX(Models!$BJ107:$BT107,,T107)*(1-R107)+INDEX(Models!$BJ107:$BT107,,T107+1)*R107-ERP_i)*Q107*Ramure*Pc/MaxiM</f>
        <v>2.6783217896737013E-4</v>
      </c>
      <c r="Q107" s="304">
        <f t="shared" si="28"/>
        <v>0.5</v>
      </c>
      <c r="R107" s="176">
        <f t="shared" si="29"/>
        <v>5.1673887441110233E-2</v>
      </c>
      <c r="S107" s="814">
        <f t="shared" si="30"/>
        <v>1</v>
      </c>
      <c r="T107" s="175">
        <f t="shared" si="31"/>
        <v>7</v>
      </c>
      <c r="U107" s="250">
        <f t="shared" si="32"/>
        <v>1.0516738874411102</v>
      </c>
      <c r="V107" s="382">
        <f t="shared" si="33"/>
        <v>50.368830978972035</v>
      </c>
      <c r="W107" s="401">
        <f t="shared" si="34"/>
        <v>24.210133740057515</v>
      </c>
      <c r="X107" s="157">
        <f t="shared" si="35"/>
        <v>45019</v>
      </c>
      <c r="Y107" s="384">
        <f t="shared" si="36"/>
        <v>23.705707312168609</v>
      </c>
      <c r="Z107" s="384">
        <f t="shared" si="37"/>
        <v>24.611535798882361</v>
      </c>
      <c r="AA107" s="385">
        <f t="shared" si="38"/>
        <v>26.694845293757009</v>
      </c>
      <c r="AB107" s="196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7.8041639573084964E-2</v>
      </c>
      <c r="AD107" s="230">
        <f>(INDEX(Models!$BJ107:$BT107,,AH107)*(1-AF107)+INDEX(Models!$BJ107:$BT107,,AH107+1)*AF107-ERP_i)*AE107*Ramure*Pc/MaxiM</f>
        <v>2.6783217896737013E-4</v>
      </c>
      <c r="AE107" s="304">
        <f t="shared" si="40"/>
        <v>0.5</v>
      </c>
      <c r="AF107" s="176">
        <f t="shared" si="41"/>
        <v>5.1673887441110233E-2</v>
      </c>
      <c r="AG107" s="814">
        <f t="shared" si="49"/>
        <v>1</v>
      </c>
      <c r="AH107" s="175">
        <f t="shared" si="42"/>
        <v>7</v>
      </c>
      <c r="AI107" s="224">
        <f t="shared" si="43"/>
        <v>1.0516738874411102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10">
        <f>'2022'!Wh/'2022'!Env_an*'2023'!Env_an</f>
        <v>42.924321146217586</v>
      </c>
      <c r="C108" s="843"/>
      <c r="D108" s="392">
        <f t="shared" si="25"/>
        <v>44.565494836467828</v>
      </c>
      <c r="E108" s="384">
        <f t="shared" si="47"/>
        <v>47.333420474494638</v>
      </c>
      <c r="F108" s="384">
        <f t="shared" si="26"/>
        <v>47.34323820275462</v>
      </c>
      <c r="G108" s="110">
        <f t="shared" si="48"/>
        <v>0.84841081924578154</v>
      </c>
      <c r="H108" s="413" t="b">
        <f>Wh_hp&gt;='2022'!Maxi_hp</f>
        <v>0</v>
      </c>
      <c r="I108" s="389">
        <f>IF(H108,Wh_hp,'2022'!Maxi_hp)</f>
        <v>56.358160230802568</v>
      </c>
      <c r="J108" s="85">
        <f>IF(H108,An,'2022'!An_max)</f>
        <v>2020</v>
      </c>
      <c r="K108" s="196">
        <f t="shared" si="27"/>
        <v>45020</v>
      </c>
      <c r="L108" s="147">
        <f>IF(t&lt;Tvie,1-EXP((T0-t)*PertePVj)+'2022'!Pspv,1-EXP((T0-t)*PertePVj)+Pspv)</f>
        <v>3.6826107199583326E-2</v>
      </c>
      <c r="M108" s="847"/>
      <c r="N108" s="847"/>
      <c r="O108" s="48">
        <f>IF(t&lt;Tnet,'2022'!Resal+('2022'!Salim-'2022'!Resal)*(1-EXP(('2022'!Tnet-t)/('2022'!Tau_j))),Resal+(Salim-Resal)*(1-EXP((Tnet-t)/(Tau_j))))*Salcycl</f>
        <v>5.8477194554707686E-2</v>
      </c>
      <c r="P108" s="168">
        <f>(INDEX(Models!$BJ108:$BT108,,T108)*(1-R108)+INDEX(Models!$BJ108:$BT108,,T108+1)*R108-ERP_i)*Q108*Ramure*Pc/MaxiM</f>
        <v>2.6467112812067527E-4</v>
      </c>
      <c r="Q108" s="304">
        <f t="shared" si="28"/>
        <v>0.5</v>
      </c>
      <c r="R108" s="176">
        <f t="shared" si="29"/>
        <v>5.2356823062021718E-2</v>
      </c>
      <c r="S108" s="814">
        <f t="shared" si="30"/>
        <v>1</v>
      </c>
      <c r="T108" s="175">
        <f t="shared" si="31"/>
        <v>7</v>
      </c>
      <c r="U108" s="250">
        <f t="shared" si="32"/>
        <v>1.0523568230620217</v>
      </c>
      <c r="V108" s="382">
        <f t="shared" si="33"/>
        <v>50.590893228054107</v>
      </c>
      <c r="W108" s="401">
        <f t="shared" si="34"/>
        <v>42.924321146217586</v>
      </c>
      <c r="X108" s="157">
        <f t="shared" si="35"/>
        <v>45020</v>
      </c>
      <c r="Y108" s="384">
        <f t="shared" si="36"/>
        <v>42.0307225245312</v>
      </c>
      <c r="Z108" s="384">
        <f t="shared" si="37"/>
        <v>43.637730256918999</v>
      </c>
      <c r="AA108" s="385">
        <f t="shared" si="38"/>
        <v>47.333420474494638</v>
      </c>
      <c r="AB108" s="196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7.8077818601067273E-2</v>
      </c>
      <c r="AD108" s="230">
        <f>(INDEX(Models!$BJ108:$BT108,,AH108)*(1-AF108)+INDEX(Models!$BJ108:$BT108,,AH108+1)*AF108-ERP_i)*AE108*Ramure*Pc/MaxiM</f>
        <v>2.6467112812067527E-4</v>
      </c>
      <c r="AE108" s="304">
        <f t="shared" si="40"/>
        <v>0.5</v>
      </c>
      <c r="AF108" s="176">
        <f t="shared" si="41"/>
        <v>5.2356823062021718E-2</v>
      </c>
      <c r="AG108" s="814">
        <f t="shared" si="49"/>
        <v>1</v>
      </c>
      <c r="AH108" s="175">
        <f t="shared" si="42"/>
        <v>7</v>
      </c>
      <c r="AI108" s="224">
        <f t="shared" si="43"/>
        <v>1.0523568230620217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10">
        <f>'2022'!Wh/'2022'!Env_an*'2023'!Env_an</f>
        <v>50.904024348396042</v>
      </c>
      <c r="C109" s="843"/>
      <c r="D109" s="392">
        <f t="shared" si="25"/>
        <v>52.85145111694829</v>
      </c>
      <c r="E109" s="384">
        <f t="shared" si="47"/>
        <v>56.137242626172039</v>
      </c>
      <c r="F109" s="384">
        <f t="shared" si="26"/>
        <v>56.15192918452896</v>
      </c>
      <c r="G109" s="110">
        <f t="shared" si="48"/>
        <v>1.0019058973129338</v>
      </c>
      <c r="H109" s="413" t="b">
        <f>Wh_hp&gt;='2022'!Maxi_hp</f>
        <v>0</v>
      </c>
      <c r="I109" s="389">
        <f>IF(H109,Wh_hp,'2022'!Maxi_hp)</f>
        <v>58.338550286510831</v>
      </c>
      <c r="J109" s="85">
        <f>IF(H109,An,'2022'!An_max)</f>
        <v>2020</v>
      </c>
      <c r="K109" s="196">
        <f t="shared" si="27"/>
        <v>45021</v>
      </c>
      <c r="L109" s="147">
        <f>IF(t&lt;Tvie,1-EXP((T0-t)*PertePVj)+'2022'!Pspv,1-EXP((T0-t)*PertePVj)+Pspv)</f>
        <v>3.6847176896676583E-2</v>
      </c>
      <c r="M109" s="847"/>
      <c r="N109" s="847"/>
      <c r="O109" s="48">
        <f>IF(t&lt;Tnet,'2022'!Resal+('2022'!Salim-'2022'!Resal)*(1-EXP(('2022'!Tnet-t)/('2022'!Tau_j))),Resal+(Salim-Resal)*(1-EXP((Tnet-t)/(Tau_j))))*Salcycl</f>
        <v>5.8531401891333129E-2</v>
      </c>
      <c r="P109" s="168">
        <f>(INDEX(Models!$BJ109:$BT109,,T109)*(1-R109)+INDEX(Models!$BJ109:$BT109,,T109+1)*R109-ERP_i)*Q109*Ramure*Pc/MaxiM</f>
        <v>2.6155037894884739E-4</v>
      </c>
      <c r="Q109" s="304">
        <f t="shared" si="28"/>
        <v>0.5</v>
      </c>
      <c r="R109" s="176">
        <f t="shared" si="29"/>
        <v>5.3064914038833066E-2</v>
      </c>
      <c r="S109" s="814">
        <f t="shared" si="30"/>
        <v>1</v>
      </c>
      <c r="T109" s="175">
        <f t="shared" si="31"/>
        <v>7</v>
      </c>
      <c r="U109" s="250">
        <f t="shared" si="32"/>
        <v>1.0530649140388331</v>
      </c>
      <c r="V109" s="382">
        <f t="shared" si="33"/>
        <v>50.807191059478072</v>
      </c>
      <c r="W109" s="401">
        <f t="shared" si="34"/>
        <v>50.904024348396042</v>
      </c>
      <c r="X109" s="157">
        <f t="shared" si="35"/>
        <v>45021</v>
      </c>
      <c r="Y109" s="384">
        <f t="shared" si="36"/>
        <v>49.845174396611064</v>
      </c>
      <c r="Z109" s="384">
        <f t="shared" si="37"/>
        <v>51.75209291917723</v>
      </c>
      <c r="AA109" s="385">
        <f t="shared" si="38"/>
        <v>56.137242626172039</v>
      </c>
      <c r="AB109" s="196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7.8114804038315722E-2</v>
      </c>
      <c r="AD109" s="230">
        <f>(INDEX(Models!$BJ109:$BT109,,AH109)*(1-AF109)+INDEX(Models!$BJ109:$BT109,,AH109+1)*AF109-ERP_i)*AE109*Ramure*Pc/MaxiM</f>
        <v>2.6155037894884739E-4</v>
      </c>
      <c r="AE109" s="304">
        <f t="shared" si="40"/>
        <v>0.5</v>
      </c>
      <c r="AF109" s="176">
        <f t="shared" si="41"/>
        <v>5.3064914038833066E-2</v>
      </c>
      <c r="AG109" s="814">
        <f t="shared" si="49"/>
        <v>1</v>
      </c>
      <c r="AH109" s="175">
        <f t="shared" si="42"/>
        <v>7</v>
      </c>
      <c r="AI109" s="224">
        <f t="shared" si="43"/>
        <v>1.0530649140388331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10">
        <f>'2022'!Wh/'2022'!Env_an*'2023'!Env_an</f>
        <v>11.374598153732913</v>
      </c>
      <c r="C110" s="843"/>
      <c r="D110" s="392">
        <f t="shared" si="25"/>
        <v>11.810012605290192</v>
      </c>
      <c r="E110" s="384">
        <f t="shared" si="47"/>
        <v>12.544975211302191</v>
      </c>
      <c r="F110" s="384">
        <f t="shared" si="26"/>
        <v>12.544975211302191</v>
      </c>
      <c r="G110" s="110">
        <f t="shared" si="48"/>
        <v>0.22289665441685161</v>
      </c>
      <c r="H110" s="413" t="b">
        <f>Wh_hp&gt;='2022'!Maxi_hp</f>
        <v>0</v>
      </c>
      <c r="I110" s="389">
        <f>IF(H110,Wh_hp,'2022'!Maxi_hp)</f>
        <v>58.925500878405153</v>
      </c>
      <c r="J110" s="85">
        <f>IF(H110,An,'2022'!An_max)</f>
        <v>2020</v>
      </c>
      <c r="K110" s="196">
        <f t="shared" si="27"/>
        <v>45022</v>
      </c>
      <c r="L110" s="147">
        <f>IF(t&lt;Tvie,1-EXP((T0-t)*PertePVj)+'2022'!Pspv,1-EXP((T0-t)*PertePVj)+Pspv)</f>
        <v>3.6868246132289319E-2</v>
      </c>
      <c r="M110" s="847"/>
      <c r="N110" s="847"/>
      <c r="O110" s="48">
        <f>IF(t&lt;Tnet,'2022'!Resal+('2022'!Salim-'2022'!Resal)*(1-EXP(('2022'!Tnet-t)/('2022'!Tau_j))),Resal+(Salim-Resal)*(1-EXP((Tnet-t)/(Tau_j))))*Salcycl</f>
        <v>5.8586214291587148E-2</v>
      </c>
      <c r="P110" s="168">
        <f>(INDEX(Models!$BJ110:$BT110,,T110)*(1-R110)+INDEX(Models!$BJ110:$BT110,,T110+1)*R110-ERP_i)*Q110*Ramure*Pc/MaxiM</f>
        <v>2.584679446959673E-4</v>
      </c>
      <c r="Q110" s="304">
        <f t="shared" si="28"/>
        <v>0.5</v>
      </c>
      <c r="R110" s="176">
        <f t="shared" si="29"/>
        <v>5.379894475265723E-2</v>
      </c>
      <c r="S110" s="814">
        <f t="shared" si="30"/>
        <v>1</v>
      </c>
      <c r="T110" s="175">
        <f t="shared" si="31"/>
        <v>7</v>
      </c>
      <c r="U110" s="250">
        <f t="shared" si="32"/>
        <v>1.0537989447526572</v>
      </c>
      <c r="V110" s="382">
        <f t="shared" si="33"/>
        <v>51.017626148213047</v>
      </c>
      <c r="W110" s="401">
        <f t="shared" si="34"/>
        <v>11.374598153732913</v>
      </c>
      <c r="X110" s="157">
        <f t="shared" si="35"/>
        <v>45022</v>
      </c>
      <c r="Y110" s="384">
        <f t="shared" si="36"/>
        <v>11.138187743550425</v>
      </c>
      <c r="Z110" s="384">
        <f t="shared" si="37"/>
        <v>11.564552511971579</v>
      </c>
      <c r="AA110" s="385">
        <f t="shared" si="38"/>
        <v>12.544975211302191</v>
      </c>
      <c r="AB110" s="196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7.8152621493210742E-2</v>
      </c>
      <c r="AD110" s="230">
        <f>(INDEX(Models!$BJ110:$BT110,,AH110)*(1-AF110)+INDEX(Models!$BJ110:$BT110,,AH110+1)*AF110-ERP_i)*AE110*Ramure*Pc/MaxiM</f>
        <v>2.584679446959673E-4</v>
      </c>
      <c r="AE110" s="304">
        <f t="shared" si="40"/>
        <v>0.5</v>
      </c>
      <c r="AF110" s="176">
        <f t="shared" si="41"/>
        <v>5.379894475265723E-2</v>
      </c>
      <c r="AG110" s="814">
        <f t="shared" si="49"/>
        <v>1</v>
      </c>
      <c r="AH110" s="175">
        <f t="shared" si="42"/>
        <v>7</v>
      </c>
      <c r="AI110" s="224">
        <f t="shared" si="43"/>
        <v>1.0537989447526572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10">
        <f>'2022'!Wh/'2022'!Env_an*'2023'!Env_an</f>
        <v>38.893467712053862</v>
      </c>
      <c r="C111" s="843"/>
      <c r="D111" s="392">
        <f t="shared" si="25"/>
        <v>40.383175385781627</v>
      </c>
      <c r="E111" s="384">
        <f t="shared" si="47"/>
        <v>42.898833838218195</v>
      </c>
      <c r="F111" s="384">
        <f t="shared" si="26"/>
        <v>42.906024754163454</v>
      </c>
      <c r="G111" s="110">
        <f t="shared" si="48"/>
        <v>0.75924359101060535</v>
      </c>
      <c r="H111" s="413" t="b">
        <f>Wh_hp&gt;='2022'!Maxi_hp</f>
        <v>0</v>
      </c>
      <c r="I111" s="389">
        <f>IF(H111,Wh_hp,'2022'!Maxi_hp)</f>
        <v>56.811227959193118</v>
      </c>
      <c r="J111" s="85">
        <f>IF(H111,An,'2022'!An_max)</f>
        <v>2021</v>
      </c>
      <c r="K111" s="196">
        <f t="shared" si="27"/>
        <v>45023</v>
      </c>
      <c r="L111" s="147">
        <f>IF(t&lt;Tvie,1-EXP((T0-t)*PertePVj)+'2022'!Pspv,1-EXP((T0-t)*PertePVj)+Pspv)</f>
        <v>3.688931490643186E-2</v>
      </c>
      <c r="M111" s="847"/>
      <c r="N111" s="847"/>
      <c r="O111" s="48">
        <f>IF(t&lt;Tnet,'2022'!Resal+('2022'!Salim-'2022'!Resal)*(1-EXP(('2022'!Tnet-t)/('2022'!Tau_j))),Resal+(Salim-Resal)*(1-EXP((Tnet-t)/(Tau_j))))*Salcycl</f>
        <v>5.8641651237507357E-2</v>
      </c>
      <c r="P111" s="168">
        <f>(INDEX(Models!$BJ111:$BT111,,T111)*(1-R111)+INDEX(Models!$BJ111:$BT111,,T111+1)*R111-ERP_i)*Q111*Ramure*Pc/MaxiM</f>
        <v>2.5542170505251727E-4</v>
      </c>
      <c r="Q111" s="304">
        <f t="shared" si="28"/>
        <v>0.5</v>
      </c>
      <c r="R111" s="176">
        <f t="shared" si="29"/>
        <v>5.4559712689226547E-2</v>
      </c>
      <c r="S111" s="814">
        <f t="shared" si="30"/>
        <v>1</v>
      </c>
      <c r="T111" s="175">
        <f t="shared" si="31"/>
        <v>7</v>
      </c>
      <c r="U111" s="250">
        <f t="shared" si="32"/>
        <v>1.0545597126892265</v>
      </c>
      <c r="V111" s="382">
        <f t="shared" si="33"/>
        <v>51.222100242918067</v>
      </c>
      <c r="W111" s="401">
        <f t="shared" si="34"/>
        <v>38.893467712053862</v>
      </c>
      <c r="X111" s="157">
        <f t="shared" si="35"/>
        <v>45023</v>
      </c>
      <c r="Y111" s="384">
        <f t="shared" si="36"/>
        <v>38.085748239864586</v>
      </c>
      <c r="Z111" s="384">
        <f t="shared" si="37"/>
        <v>39.544518433168953</v>
      </c>
      <c r="AA111" s="385">
        <f t="shared" si="38"/>
        <v>42.898833838218195</v>
      </c>
      <c r="AB111" s="196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7.8191295775059289E-2</v>
      </c>
      <c r="AD111" s="230">
        <f>(INDEX(Models!$BJ111:$BT111,,AH111)*(1-AF111)+INDEX(Models!$BJ111:$BT111,,AH111+1)*AF111-ERP_i)*AE111*Ramure*Pc/MaxiM</f>
        <v>2.5542170505251727E-4</v>
      </c>
      <c r="AE111" s="304">
        <f t="shared" si="40"/>
        <v>0.5</v>
      </c>
      <c r="AF111" s="176">
        <f t="shared" si="41"/>
        <v>5.4559712689226547E-2</v>
      </c>
      <c r="AG111" s="814">
        <f t="shared" si="49"/>
        <v>1</v>
      </c>
      <c r="AH111" s="175">
        <f t="shared" si="42"/>
        <v>7</v>
      </c>
      <c r="AI111" s="224">
        <f t="shared" si="43"/>
        <v>1.0545597126892265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10">
        <f>'2022'!Wh/'2022'!Env_an*'2023'!Env_an</f>
        <v>30.864193345809511</v>
      </c>
      <c r="C112" s="843"/>
      <c r="D112" s="392">
        <f t="shared" si="25"/>
        <v>32.047062711539411</v>
      </c>
      <c r="E112" s="384">
        <f t="shared" si="47"/>
        <v>34.045453609858463</v>
      </c>
      <c r="F112" s="384">
        <f t="shared" si="26"/>
        <v>34.049139728707985</v>
      </c>
      <c r="G112" s="110">
        <f t="shared" si="48"/>
        <v>0.60014458566049489</v>
      </c>
      <c r="H112" s="413" t="b">
        <f>Wh_hp&gt;='2022'!Maxi_hp</f>
        <v>0</v>
      </c>
      <c r="I112" s="389">
        <f>IF(H112,Wh_hp,'2022'!Maxi_hp)</f>
        <v>54.816109955651925</v>
      </c>
      <c r="J112" s="85">
        <f>IF(H112,An,'2022'!An_max)</f>
        <v>2021</v>
      </c>
      <c r="K112" s="196">
        <f t="shared" si="27"/>
        <v>45024</v>
      </c>
      <c r="L112" s="147">
        <f>IF(t&lt;Tvie,1-EXP((T0-t)*PertePVj)+'2022'!Pspv,1-EXP((T0-t)*PertePVj)+Pspv)</f>
        <v>3.6910383219114086E-2</v>
      </c>
      <c r="M112" s="847"/>
      <c r="N112" s="847"/>
      <c r="O112" s="48">
        <f>IF(t&lt;Tnet,'2022'!Resal+('2022'!Salim-'2022'!Resal)*(1-EXP(('2022'!Tnet-t)/('2022'!Tau_j))),Resal+(Salim-Resal)*(1-EXP((Tnet-t)/(Tau_j))))*Salcycl</f>
        <v>5.8697731603739887E-2</v>
      </c>
      <c r="P112" s="168">
        <f>(INDEX(Models!$BJ112:$BT112,,T112)*(1-R112)+INDEX(Models!$BJ112:$BT112,,T112+1)*R112-ERP_i)*Q112*Ramure*Pc/MaxiM</f>
        <v>2.524094006870476E-4</v>
      </c>
      <c r="Q112" s="304">
        <f t="shared" si="28"/>
        <v>0.5</v>
      </c>
      <c r="R112" s="176">
        <f t="shared" si="29"/>
        <v>5.5348027685872658E-2</v>
      </c>
      <c r="S112" s="814">
        <f t="shared" si="30"/>
        <v>1</v>
      </c>
      <c r="T112" s="175">
        <f t="shared" si="31"/>
        <v>7</v>
      </c>
      <c r="U112" s="250">
        <f t="shared" si="32"/>
        <v>1.0553480276858727</v>
      </c>
      <c r="V112" s="382">
        <f t="shared" si="33"/>
        <v>51.420515171334571</v>
      </c>
      <c r="W112" s="401">
        <f t="shared" si="34"/>
        <v>30.864193345809511</v>
      </c>
      <c r="X112" s="157">
        <f t="shared" si="35"/>
        <v>45024</v>
      </c>
      <c r="Y112" s="384">
        <f t="shared" si="36"/>
        <v>30.223725358976065</v>
      </c>
      <c r="Z112" s="384">
        <f t="shared" si="37"/>
        <v>31.382048806629712</v>
      </c>
      <c r="AA112" s="385">
        <f t="shared" si="38"/>
        <v>34.045453609858463</v>
      </c>
      <c r="AB112" s="196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7.823085084281306E-2</v>
      </c>
      <c r="AD112" s="230">
        <f>(INDEX(Models!$BJ112:$BT112,,AH112)*(1-AF112)+INDEX(Models!$BJ112:$BT112,,AH112+1)*AF112-ERP_i)*AE112*Ramure*Pc/MaxiM</f>
        <v>2.524094006870476E-4</v>
      </c>
      <c r="AE112" s="304">
        <f t="shared" si="40"/>
        <v>0.5</v>
      </c>
      <c r="AF112" s="176">
        <f t="shared" si="41"/>
        <v>5.5348027685872658E-2</v>
      </c>
      <c r="AG112" s="814">
        <f t="shared" si="49"/>
        <v>1</v>
      </c>
      <c r="AH112" s="175">
        <f t="shared" si="42"/>
        <v>7</v>
      </c>
      <c r="AI112" s="224">
        <f t="shared" si="43"/>
        <v>1.0553480276858727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10">
        <f>'2022'!Wh/'2022'!Env_an*'2023'!Env_an</f>
        <v>34.96709017724735</v>
      </c>
      <c r="C113" s="843"/>
      <c r="D113" s="392">
        <f t="shared" si="25"/>
        <v>36.307997199274631</v>
      </c>
      <c r="E113" s="384">
        <f t="shared" si="47"/>
        <v>38.574416750587424</v>
      </c>
      <c r="F113" s="384">
        <f t="shared" si="26"/>
        <v>38.579606070474625</v>
      </c>
      <c r="G113" s="110">
        <f t="shared" si="48"/>
        <v>0.67741121658966441</v>
      </c>
      <c r="H113" s="413" t="b">
        <f>Wh_hp&gt;='2022'!Maxi_hp</f>
        <v>0</v>
      </c>
      <c r="I113" s="389">
        <f>IF(H113,Wh_hp,'2022'!Maxi_hp)</f>
        <v>51.284257833174017</v>
      </c>
      <c r="J113" s="85">
        <f>IF(H113,An,'2022'!An_max)</f>
        <v>2020</v>
      </c>
      <c r="K113" s="196">
        <f t="shared" si="27"/>
        <v>45025</v>
      </c>
      <c r="L113" s="147">
        <f>IF(t&lt;Tvie,1-EXP((T0-t)*PertePVj)+'2022'!Pspv,1-EXP((T0-t)*PertePVj)+Pspv)</f>
        <v>3.6931451070346212E-2</v>
      </c>
      <c r="M113" s="847"/>
      <c r="N113" s="847"/>
      <c r="O113" s="48">
        <f>IF(t&lt;Tnet,'2022'!Resal+('2022'!Salim-'2022'!Resal)*(1-EXP(('2022'!Tnet-t)/('2022'!Tau_j))),Resal+(Salim-Resal)*(1-EXP((Tnet-t)/(Tau_j))))*Salcycl</f>
        <v>5.8754473618276529E-2</v>
      </c>
      <c r="P113" s="168">
        <f>(INDEX(Models!$BJ113:$BT113,,T113)*(1-R113)+INDEX(Models!$BJ113:$BT113,,T113+1)*R113-ERP_i)*Q113*Ramure*Pc/MaxiM</f>
        <v>2.4942862755754017E-4</v>
      </c>
      <c r="Q113" s="304">
        <f t="shared" si="28"/>
        <v>0.5</v>
      </c>
      <c r="R113" s="176">
        <f t="shared" si="29"/>
        <v>5.6164711078412255E-2</v>
      </c>
      <c r="S113" s="814">
        <f t="shared" si="30"/>
        <v>1</v>
      </c>
      <c r="T113" s="175">
        <f t="shared" si="31"/>
        <v>7</v>
      </c>
      <c r="U113" s="250">
        <f t="shared" si="32"/>
        <v>1.0561647110784123</v>
      </c>
      <c r="V113" s="382">
        <f t="shared" si="33"/>
        <v>51.612772847028793</v>
      </c>
      <c r="W113" s="401">
        <f t="shared" si="34"/>
        <v>34.96709017724735</v>
      </c>
      <c r="X113" s="157">
        <f t="shared" si="35"/>
        <v>45025</v>
      </c>
      <c r="Y113" s="384">
        <f t="shared" si="36"/>
        <v>34.242043470480731</v>
      </c>
      <c r="Z113" s="384">
        <f t="shared" si="37"/>
        <v>35.555146628489787</v>
      </c>
      <c r="AA113" s="385">
        <f t="shared" si="38"/>
        <v>38.574416750587424</v>
      </c>
      <c r="AB113" s="196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7.827130975484313E-2</v>
      </c>
      <c r="AD113" s="230">
        <f>(INDEX(Models!$BJ113:$BT113,,AH113)*(1-AF113)+INDEX(Models!$BJ113:$BT113,,AH113+1)*AF113-ERP_i)*AE113*Ramure*Pc/MaxiM</f>
        <v>2.4942862755754017E-4</v>
      </c>
      <c r="AE113" s="304">
        <f t="shared" si="40"/>
        <v>0.5</v>
      </c>
      <c r="AF113" s="176">
        <f t="shared" si="41"/>
        <v>5.6164711078412255E-2</v>
      </c>
      <c r="AG113" s="814">
        <f t="shared" si="49"/>
        <v>1</v>
      </c>
      <c r="AH113" s="175">
        <f t="shared" si="42"/>
        <v>7</v>
      </c>
      <c r="AI113" s="224">
        <f t="shared" si="43"/>
        <v>1.0561647110784123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10">
        <f>'2022'!Wh/'2022'!Env_an*'2023'!Env_an</f>
        <v>52.043575784142639</v>
      </c>
      <c r="C114" s="843"/>
      <c r="D114" s="392">
        <f t="shared" si="25"/>
        <v>54.04050867868709</v>
      </c>
      <c r="E114" s="384">
        <f t="shared" si="47"/>
        <v>57.417330692420258</v>
      </c>
      <c r="F114" s="384">
        <f t="shared" si="26"/>
        <v>57.431465085598639</v>
      </c>
      <c r="G114" s="110">
        <f t="shared" si="48"/>
        <v>1.0047256205209432</v>
      </c>
      <c r="H114" s="413" t="b">
        <f>Wh_hp&gt;='2022'!Maxi_hp</f>
        <v>1</v>
      </c>
      <c r="I114" s="389">
        <f>IF(H114,Wh_hp,'2022'!Maxi_hp)</f>
        <v>57.431465085598639</v>
      </c>
      <c r="J114" s="85">
        <f>IF(H114,An,'2022'!An_max)</f>
        <v>2023</v>
      </c>
      <c r="K114" s="196">
        <f t="shared" si="27"/>
        <v>45026</v>
      </c>
      <c r="L114" s="147">
        <f>IF(t&lt;Tvie,1-EXP((T0-t)*PertePVj)+'2022'!Pspv,1-EXP((T0-t)*PertePVj)+Pspv)</f>
        <v>3.6952518460138341E-2</v>
      </c>
      <c r="M114" s="847"/>
      <c r="N114" s="847"/>
      <c r="O114" s="48">
        <f>IF(t&lt;Tnet,'2022'!Resal+('2022'!Salim-'2022'!Resal)*(1-EXP(('2022'!Tnet-t)/('2022'!Tau_j))),Resal+(Salim-Resal)*(1-EXP((Tnet-t)/(Tau_j))))*Salcycl</f>
        <v>5.8811894823577189E-2</v>
      </c>
      <c r="P114" s="168">
        <f>(INDEX(Models!$BJ114:$BT114,,T114)*(1-R114)+INDEX(Models!$BJ114:$BT114,,T114+1)*R114-ERP_i)*Q114*Ramure*Pc/MaxiM</f>
        <v>2.4610887354719062E-4</v>
      </c>
      <c r="Q114" s="304">
        <f t="shared" si="28"/>
        <v>0.5</v>
      </c>
      <c r="R114" s="176">
        <f t="shared" si="29"/>
        <v>5.7010594742217924E-2</v>
      </c>
      <c r="S114" s="814">
        <f t="shared" si="30"/>
        <v>1</v>
      </c>
      <c r="T114" s="175">
        <f t="shared" si="31"/>
        <v>7</v>
      </c>
      <c r="U114" s="250">
        <f t="shared" si="32"/>
        <v>1.0570105947422179</v>
      </c>
      <c r="V114" s="382">
        <f t="shared" si="33"/>
        <v>51.798794338655782</v>
      </c>
      <c r="W114" s="401">
        <f t="shared" si="34"/>
        <v>52.043575784142639</v>
      </c>
      <c r="X114" s="157">
        <f t="shared" si="35"/>
        <v>45026</v>
      </c>
      <c r="Y114" s="384">
        <f t="shared" si="36"/>
        <v>50.965267052401295</v>
      </c>
      <c r="Z114" s="384">
        <f t="shared" si="37"/>
        <v>52.920824808046376</v>
      </c>
      <c r="AA114" s="385">
        <f t="shared" si="38"/>
        <v>57.417330692420258</v>
      </c>
      <c r="AB114" s="196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7.8312694619352446E-2</v>
      </c>
      <c r="AD114" s="230">
        <f>(INDEX(Models!$BJ114:$BT114,,AH114)*(1-AF114)+INDEX(Models!$BJ114:$BT114,,AH114+1)*AF114-ERP_i)*AE114*Ramure*Pc/MaxiM</f>
        <v>2.4610887354719062E-4</v>
      </c>
      <c r="AE114" s="304">
        <f t="shared" si="40"/>
        <v>0.5</v>
      </c>
      <c r="AF114" s="176">
        <f t="shared" si="41"/>
        <v>5.7010594742217924E-2</v>
      </c>
      <c r="AG114" s="814">
        <f t="shared" si="49"/>
        <v>1</v>
      </c>
      <c r="AH114" s="175">
        <f t="shared" si="42"/>
        <v>7</v>
      </c>
      <c r="AI114" s="224">
        <f t="shared" si="43"/>
        <v>1.0570105947422179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10">
        <f>'2022'!Wh/'2022'!Env_an*'2023'!Env_an</f>
        <v>39.496762661664988</v>
      </c>
      <c r="C115" s="843"/>
      <c r="D115" s="392">
        <f t="shared" si="25"/>
        <v>41.013166474357426</v>
      </c>
      <c r="E115" s="384">
        <f t="shared" si="47"/>
        <v>43.578641631811529</v>
      </c>
      <c r="F115" s="384">
        <f t="shared" si="26"/>
        <v>43.58558124394613</v>
      </c>
      <c r="G115" s="110">
        <f t="shared" si="48"/>
        <v>0.75980431463368436</v>
      </c>
      <c r="H115" s="413" t="b">
        <f>Wh_hp&gt;='2022'!Maxi_hp</f>
        <v>0</v>
      </c>
      <c r="I115" s="389">
        <f>IF(H115,Wh_hp,'2022'!Maxi_hp)</f>
        <v>57.80661489847374</v>
      </c>
      <c r="J115" s="85">
        <f>IF(H115,An,'2022'!An_max)</f>
        <v>2020</v>
      </c>
      <c r="K115" s="196">
        <f t="shared" si="27"/>
        <v>45027</v>
      </c>
      <c r="L115" s="147">
        <f>IF(t&lt;Tvie,1-EXP((T0-t)*PertePVj)+'2022'!Pspv,1-EXP((T0-t)*PertePVj)+Pspv)</f>
        <v>3.6973585388500464E-2</v>
      </c>
      <c r="M115" s="847"/>
      <c r="N115" s="847"/>
      <c r="O115" s="48">
        <f>IF(t&lt;Tnet,'2022'!Resal+('2022'!Salim-'2022'!Resal)*(1-EXP(('2022'!Tnet-t)/('2022'!Tau_j))),Resal+(Salim-Resal)*(1-EXP((Tnet-t)/(Tau_j))))*Salcycl</f>
        <v>5.8870012037762841E-2</v>
      </c>
      <c r="P115" s="168">
        <f>(INDEX(Models!$BJ115:$BT115,,T115)*(1-R115)+INDEX(Models!$BJ115:$BT115,,T115+1)*R115-ERP_i)*Q115*Ramure*Pc/MaxiM</f>
        <v>2.4235817731797302E-4</v>
      </c>
      <c r="Q115" s="304">
        <f t="shared" si="28"/>
        <v>0.5</v>
      </c>
      <c r="R115" s="176">
        <f t="shared" si="29"/>
        <v>5.7886520021755983E-2</v>
      </c>
      <c r="S115" s="814">
        <f t="shared" si="30"/>
        <v>1</v>
      </c>
      <c r="T115" s="175">
        <f t="shared" si="31"/>
        <v>7</v>
      </c>
      <c r="U115" s="250">
        <f t="shared" si="32"/>
        <v>1.057886520021756</v>
      </c>
      <c r="V115" s="382">
        <f t="shared" si="33"/>
        <v>51.978486582705678</v>
      </c>
      <c r="W115" s="401">
        <f t="shared" si="34"/>
        <v>39.496762661664988</v>
      </c>
      <c r="X115" s="157">
        <f t="shared" si="35"/>
        <v>45027</v>
      </c>
      <c r="Y115" s="384">
        <f t="shared" si="36"/>
        <v>38.679027594994793</v>
      </c>
      <c r="Z115" s="384">
        <f t="shared" si="37"/>
        <v>40.164036009955694</v>
      </c>
      <c r="AA115" s="385">
        <f t="shared" si="38"/>
        <v>43.578641631811529</v>
      </c>
      <c r="AB115" s="196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7.8355026545004647E-2</v>
      </c>
      <c r="AD115" s="230">
        <f>(INDEX(Models!$BJ115:$BT115,,AH115)*(1-AF115)+INDEX(Models!$BJ115:$BT115,,AH115+1)*AF115-ERP_i)*AE115*Ramure*Pc/MaxiM</f>
        <v>2.4235817731797302E-4</v>
      </c>
      <c r="AE115" s="304">
        <f t="shared" si="40"/>
        <v>0.5</v>
      </c>
      <c r="AF115" s="176">
        <f t="shared" si="41"/>
        <v>5.7886520021755983E-2</v>
      </c>
      <c r="AG115" s="814">
        <f t="shared" si="49"/>
        <v>1</v>
      </c>
      <c r="AH115" s="175">
        <f t="shared" si="42"/>
        <v>7</v>
      </c>
      <c r="AI115" s="224">
        <f t="shared" si="43"/>
        <v>1.057886520021756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10">
        <f>'2022'!Wh/'2022'!Env_an*'2023'!Env_an</f>
        <v>35.212912606588439</v>
      </c>
      <c r="C116" s="843"/>
      <c r="D116" s="392">
        <f t="shared" si="25"/>
        <v>36.565645948315769</v>
      </c>
      <c r="E116" s="384">
        <f t="shared" si="47"/>
        <v>38.855346496254981</v>
      </c>
      <c r="F116" s="384">
        <f t="shared" si="26"/>
        <v>38.860307445576332</v>
      </c>
      <c r="G116" s="110">
        <f t="shared" si="48"/>
        <v>0.67512632433769049</v>
      </c>
      <c r="H116" s="413" t="b">
        <f>Wh_hp&gt;='2022'!Maxi_hp</f>
        <v>0</v>
      </c>
      <c r="I116" s="389">
        <f>IF(H116,Wh_hp,'2022'!Maxi_hp)</f>
        <v>57.16977965777064</v>
      </c>
      <c r="J116" s="85">
        <f>IF(H116,An,'2022'!An_max)</f>
        <v>2019</v>
      </c>
      <c r="K116" s="196">
        <f t="shared" si="27"/>
        <v>45028</v>
      </c>
      <c r="L116" s="147">
        <f>IF(t&lt;Tvie,1-EXP((T0-t)*PertePVj)+'2022'!Pspv,1-EXP((T0-t)*PertePVj)+Pspv)</f>
        <v>3.6994651855442907E-2</v>
      </c>
      <c r="M116" s="847"/>
      <c r="N116" s="847"/>
      <c r="O116" s="48">
        <f>IF(t&lt;Tnet,'2022'!Resal+('2022'!Salim-'2022'!Resal)*(1-EXP(('2022'!Tnet-t)/('2022'!Tau_j))),Resal+(Salim-Resal)*(1-EXP((Tnet-t)/(Tau_j))))*Salcycl</f>
        <v>5.8928841315567908E-2</v>
      </c>
      <c r="P116" s="168">
        <f>(INDEX(Models!$BJ116:$BT116,,T116)*(1-R116)+INDEX(Models!$BJ116:$BT116,,T116+1)*R116-ERP_i)*Q116*Ramure*Pc/MaxiM</f>
        <v>2.3817307679492247E-4</v>
      </c>
      <c r="Q116" s="304">
        <f t="shared" si="28"/>
        <v>0.5</v>
      </c>
      <c r="R116" s="176">
        <f t="shared" si="29"/>
        <v>5.8793336542933172E-2</v>
      </c>
      <c r="S116" s="814">
        <f t="shared" si="30"/>
        <v>1</v>
      </c>
      <c r="T116" s="175">
        <f t="shared" si="31"/>
        <v>7</v>
      </c>
      <c r="U116" s="250">
        <f t="shared" si="32"/>
        <v>1.0587933365429332</v>
      </c>
      <c r="V116" s="382">
        <f t="shared" si="33"/>
        <v>52.151752037591358</v>
      </c>
      <c r="W116" s="401">
        <f t="shared" si="34"/>
        <v>35.212912606588439</v>
      </c>
      <c r="X116" s="157">
        <f t="shared" si="35"/>
        <v>45028</v>
      </c>
      <c r="Y116" s="384">
        <f t="shared" si="36"/>
        <v>34.484405264745128</v>
      </c>
      <c r="Z116" s="384">
        <f t="shared" si="37"/>
        <v>35.809152390676715</v>
      </c>
      <c r="AA116" s="385">
        <f t="shared" si="38"/>
        <v>38.855346496254981</v>
      </c>
      <c r="AB116" s="196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7.8398325591353762E-2</v>
      </c>
      <c r="AD116" s="230">
        <f>(INDEX(Models!$BJ116:$BT116,,AH116)*(1-AF116)+INDEX(Models!$BJ116:$BT116,,AH116+1)*AF116-ERP_i)*AE116*Ramure*Pc/MaxiM</f>
        <v>2.3817307679492247E-4</v>
      </c>
      <c r="AE116" s="304">
        <f t="shared" si="40"/>
        <v>0.5</v>
      </c>
      <c r="AF116" s="176">
        <f t="shared" si="41"/>
        <v>5.8793336542933172E-2</v>
      </c>
      <c r="AG116" s="814">
        <f t="shared" si="49"/>
        <v>1</v>
      </c>
      <c r="AH116" s="175">
        <f t="shared" si="42"/>
        <v>7</v>
      </c>
      <c r="AI116" s="224">
        <f t="shared" si="43"/>
        <v>1.0587933365429332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10">
        <f>'2022'!Wh/'2022'!Env_an*'2023'!Env_an</f>
        <v>6.9310778770555848</v>
      </c>
      <c r="C117" s="843"/>
      <c r="D117" s="392">
        <f t="shared" si="25"/>
        <v>7.1974984489466021</v>
      </c>
      <c r="E117" s="384">
        <f t="shared" si="47"/>
        <v>7.6486819428701009</v>
      </c>
      <c r="F117" s="384">
        <f t="shared" si="26"/>
        <v>7.6486819428701009</v>
      </c>
      <c r="G117" s="110">
        <f t="shared" si="48"/>
        <v>0.13244760492761826</v>
      </c>
      <c r="H117" s="413" t="b">
        <f>Wh_hp&gt;='2022'!Maxi_hp</f>
        <v>0</v>
      </c>
      <c r="I117" s="389">
        <f>IF(H117,Wh_hp,'2022'!Maxi_hp)</f>
        <v>58.311942637393507</v>
      </c>
      <c r="J117" s="85">
        <f>IF(H117,An,'2022'!An_max)</f>
        <v>2019</v>
      </c>
      <c r="K117" s="196">
        <f t="shared" si="27"/>
        <v>45029</v>
      </c>
      <c r="L117" s="147">
        <f>IF(t&lt;Tvie,1-EXP((T0-t)*PertePVj)+'2022'!Pspv,1-EXP((T0-t)*PertePVj)+Pspv)</f>
        <v>3.7015717860975662E-2</v>
      </c>
      <c r="M117" s="847"/>
      <c r="N117" s="847"/>
      <c r="O117" s="48">
        <f>IF(t&lt;Tnet,'2022'!Resal+('2022'!Salim-'2022'!Resal)*(1-EXP(('2022'!Tnet-t)/('2022'!Tau_j))),Resal+(Salim-Resal)*(1-EXP((Tnet-t)/(Tau_j))))*Salcycl</f>
        <v>5.8988397908750871E-2</v>
      </c>
      <c r="P117" s="168">
        <f>(INDEX(Models!$BJ117:$BT117,,T117)*(1-R117)+INDEX(Models!$BJ117:$BT117,,T117+1)*R117-ERP_i)*Q117*Ramure*Pc/MaxiM</f>
        <v>2.3354912744982269E-4</v>
      </c>
      <c r="Q117" s="304">
        <f t="shared" si="28"/>
        <v>0.5</v>
      </c>
      <c r="R117" s="176">
        <f t="shared" si="29"/>
        <v>5.9731900902685986E-2</v>
      </c>
      <c r="S117" s="814">
        <f t="shared" si="30"/>
        <v>1</v>
      </c>
      <c r="T117" s="175">
        <f t="shared" si="31"/>
        <v>7</v>
      </c>
      <c r="U117" s="250">
        <f t="shared" si="32"/>
        <v>1.059731900902686</v>
      </c>
      <c r="V117" s="382">
        <f t="shared" si="33"/>
        <v>52.318493291381273</v>
      </c>
      <c r="W117" s="401">
        <f t="shared" si="34"/>
        <v>6.9310778770555848</v>
      </c>
      <c r="X117" s="157">
        <f t="shared" si="35"/>
        <v>45029</v>
      </c>
      <c r="Y117" s="384">
        <f t="shared" si="36"/>
        <v>6.7877866958175046</v>
      </c>
      <c r="Z117" s="384">
        <f t="shared" si="37"/>
        <v>7.0486993627145873</v>
      </c>
      <c r="AA117" s="385">
        <f t="shared" si="38"/>
        <v>7.6486819428701009</v>
      </c>
      <c r="AB117" s="196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7.8442610718674435E-2</v>
      </c>
      <c r="AD117" s="230">
        <f>(INDEX(Models!$BJ117:$BT117,,AH117)*(1-AF117)+INDEX(Models!$BJ117:$BT117,,AH117+1)*AF117-ERP_i)*AE117*Ramure*Pc/MaxiM</f>
        <v>2.3354912744982269E-4</v>
      </c>
      <c r="AE117" s="304">
        <f t="shared" si="40"/>
        <v>0.5</v>
      </c>
      <c r="AF117" s="176">
        <f t="shared" si="41"/>
        <v>5.9731900902685986E-2</v>
      </c>
      <c r="AG117" s="814">
        <f t="shared" si="49"/>
        <v>1</v>
      </c>
      <c r="AH117" s="175">
        <f t="shared" si="42"/>
        <v>7</v>
      </c>
      <c r="AI117" s="224">
        <f t="shared" si="43"/>
        <v>1.059731900902686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10">
        <f>'2022'!Wh/'2022'!Env_an*'2023'!Env_an</f>
        <v>38.630861146313336</v>
      </c>
      <c r="C118" s="843"/>
      <c r="D118" s="392">
        <f t="shared" si="25"/>
        <v>40.116652931889661</v>
      </c>
      <c r="E118" s="384">
        <f t="shared" si="47"/>
        <v>42.634143521534753</v>
      </c>
      <c r="F118" s="384">
        <f t="shared" si="26"/>
        <v>42.640213441755932</v>
      </c>
      <c r="G118" s="110">
        <f t="shared" si="48"/>
        <v>0.73606239152911934</v>
      </c>
      <c r="H118" s="413" t="b">
        <f>Wh_hp&gt;='2022'!Maxi_hp</f>
        <v>0</v>
      </c>
      <c r="I118" s="389">
        <f>IF(H118,Wh_hp,'2022'!Maxi_hp)</f>
        <v>57.317133350603086</v>
      </c>
      <c r="J118" s="85">
        <f>IF(H118,An,'2022'!An_max)</f>
        <v>2021</v>
      </c>
      <c r="K118" s="196">
        <f t="shared" si="27"/>
        <v>45030</v>
      </c>
      <c r="L118" s="147">
        <f>IF(t&lt;Tvie,1-EXP((T0-t)*PertePVj)+'2022'!Pspv,1-EXP((T0-t)*PertePVj)+Pspv)</f>
        <v>3.7036783405108832E-2</v>
      </c>
      <c r="M118" s="847"/>
      <c r="N118" s="847"/>
      <c r="O118" s="48">
        <f>IF(t&lt;Tnet,'2022'!Resal+('2022'!Salim-'2022'!Resal)*(1-EXP(('2022'!Tnet-t)/('2022'!Tau_j))),Resal+(Salim-Resal)*(1-EXP((Tnet-t)/(Tau_j))))*Salcycl</f>
        <v>5.9048696225678661E-2</v>
      </c>
      <c r="P118" s="168">
        <f>(INDEX(Models!$BJ118:$BT118,,T118)*(1-R118)+INDEX(Models!$BJ118:$BT118,,T118+1)*R118-ERP_i)*Q118*Ramure*Pc/MaxiM</f>
        <v>2.2848088472919698E-4</v>
      </c>
      <c r="Q118" s="304">
        <f t="shared" si="28"/>
        <v>0.5</v>
      </c>
      <c r="R118" s="176">
        <f t="shared" si="29"/>
        <v>6.0703075230424064E-2</v>
      </c>
      <c r="S118" s="814">
        <f t="shared" si="30"/>
        <v>1</v>
      </c>
      <c r="T118" s="175">
        <f t="shared" si="31"/>
        <v>7</v>
      </c>
      <c r="U118" s="250">
        <f t="shared" si="32"/>
        <v>1.0607030752304241</v>
      </c>
      <c r="V118" s="382">
        <f t="shared" si="33"/>
        <v>52.478613069579417</v>
      </c>
      <c r="W118" s="401">
        <f t="shared" si="34"/>
        <v>38.630861146313336</v>
      </c>
      <c r="X118" s="157">
        <f t="shared" si="35"/>
        <v>45030</v>
      </c>
      <c r="Y118" s="384">
        <f t="shared" si="36"/>
        <v>37.832782469317571</v>
      </c>
      <c r="Z118" s="384">
        <f t="shared" si="37"/>
        <v>39.287879139451533</v>
      </c>
      <c r="AA118" s="385">
        <f t="shared" si="38"/>
        <v>42.634143521534753</v>
      </c>
      <c r="AB118" s="196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7.8487899736815483E-2</v>
      </c>
      <c r="AD118" s="230">
        <f>(INDEX(Models!$BJ118:$BT118,,AH118)*(1-AF118)+INDEX(Models!$BJ118:$BT118,,AH118+1)*AF118-ERP_i)*AE118*Ramure*Pc/MaxiM</f>
        <v>2.2848088472919698E-4</v>
      </c>
      <c r="AE118" s="304">
        <f t="shared" si="40"/>
        <v>0.5</v>
      </c>
      <c r="AF118" s="176">
        <f t="shared" si="41"/>
        <v>6.0703075230424064E-2</v>
      </c>
      <c r="AG118" s="814">
        <f t="shared" si="49"/>
        <v>1</v>
      </c>
      <c r="AH118" s="175">
        <f t="shared" si="42"/>
        <v>7</v>
      </c>
      <c r="AI118" s="224">
        <f t="shared" si="43"/>
        <v>1.0607030752304241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10">
        <f>'2022'!Wh/'2022'!Env_an*'2023'!Env_an</f>
        <v>42.549686993230218</v>
      </c>
      <c r="C119" s="843"/>
      <c r="D119" s="392">
        <f t="shared" si="25"/>
        <v>44.187168384323705</v>
      </c>
      <c r="E119" s="384">
        <f t="shared" si="47"/>
        <v>46.963148331543664</v>
      </c>
      <c r="F119" s="384">
        <f t="shared" si="26"/>
        <v>46.970755054368013</v>
      </c>
      <c r="G119" s="110">
        <f t="shared" si="48"/>
        <v>0.80838803112129798</v>
      </c>
      <c r="H119" s="413" t="b">
        <f>Wh_hp&gt;='2022'!Maxi_hp</f>
        <v>0</v>
      </c>
      <c r="I119" s="389">
        <f>IF(H119,Wh_hp,'2022'!Maxi_hp)</f>
        <v>57.589029120758397</v>
      </c>
      <c r="J119" s="85">
        <f>IF(H119,An,'2022'!An_max)</f>
        <v>2021</v>
      </c>
      <c r="K119" s="196">
        <f t="shared" si="27"/>
        <v>45031</v>
      </c>
      <c r="L119" s="147">
        <f>IF(t&lt;Tvie,1-EXP((T0-t)*PertePVj)+'2022'!Pspv,1-EXP((T0-t)*PertePVj)+Pspv)</f>
        <v>3.7057848487852409E-2</v>
      </c>
      <c r="M119" s="847"/>
      <c r="N119" s="847"/>
      <c r="O119" s="48">
        <f>IF(t&lt;Tnet,'2022'!Resal+('2022'!Salim-'2022'!Resal)*(1-EXP(('2022'!Tnet-t)/('2022'!Tau_j))),Resal+(Salim-Resal)*(1-EXP((Tnet-t)/(Tau_j))))*Salcycl</f>
        <v>5.9109749789824577E-2</v>
      </c>
      <c r="P119" s="168">
        <f>(INDEX(Models!$BJ119:$BT119,,T119)*(1-R119)+INDEX(Models!$BJ119:$BT119,,T119+1)*R119-ERP_i)*Q119*Ramure*Pc/MaxiM</f>
        <v>2.2296188600795733E-4</v>
      </c>
      <c r="Q119" s="304">
        <f t="shared" si="28"/>
        <v>0.5</v>
      </c>
      <c r="R119" s="176">
        <f t="shared" si="29"/>
        <v>6.1707725616143128E-2</v>
      </c>
      <c r="S119" s="814">
        <f t="shared" si="30"/>
        <v>1</v>
      </c>
      <c r="T119" s="175">
        <f t="shared" si="31"/>
        <v>7</v>
      </c>
      <c r="U119" s="250">
        <f t="shared" si="32"/>
        <v>1.0617077256161431</v>
      </c>
      <c r="V119" s="382">
        <f t="shared" si="33"/>
        <v>52.632014237104315</v>
      </c>
      <c r="W119" s="401">
        <f t="shared" si="34"/>
        <v>42.549686993230218</v>
      </c>
      <c r="X119" s="157">
        <f t="shared" si="35"/>
        <v>45031</v>
      </c>
      <c r="Y119" s="384">
        <f t="shared" si="36"/>
        <v>41.671258643085402</v>
      </c>
      <c r="Z119" s="384">
        <f t="shared" si="37"/>
        <v>43.274934613307053</v>
      </c>
      <c r="AA119" s="385">
        <f t="shared" si="38"/>
        <v>46.963148331543664</v>
      </c>
      <c r="AB119" s="196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7.8534209252733467E-2</v>
      </c>
      <c r="AD119" s="230">
        <f>(INDEX(Models!$BJ119:$BT119,,AH119)*(1-AF119)+INDEX(Models!$BJ119:$BT119,,AH119+1)*AF119-ERP_i)*AE119*Ramure*Pc/MaxiM</f>
        <v>2.2296188600795733E-4</v>
      </c>
      <c r="AE119" s="304">
        <f t="shared" si="40"/>
        <v>0.5</v>
      </c>
      <c r="AF119" s="176">
        <f t="shared" si="41"/>
        <v>6.1707725616143128E-2</v>
      </c>
      <c r="AG119" s="814">
        <f t="shared" si="49"/>
        <v>1</v>
      </c>
      <c r="AH119" s="175">
        <f t="shared" si="42"/>
        <v>7</v>
      </c>
      <c r="AI119" s="224">
        <f t="shared" si="43"/>
        <v>1.0617077256161431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10">
        <f>'2022'!Wh/'2022'!Env_an*'2023'!Env_an</f>
        <v>43.744908183089564</v>
      </c>
      <c r="C120" s="843"/>
      <c r="D120" s="392">
        <f t="shared" si="25"/>
        <v>45.429380225060136</v>
      </c>
      <c r="E120" s="384">
        <f t="shared" si="47"/>
        <v>48.286572593109952</v>
      </c>
      <c r="F120" s="384">
        <f t="shared" si="26"/>
        <v>48.294489420107105</v>
      </c>
      <c r="G120" s="110">
        <f t="shared" si="48"/>
        <v>0.82879400007810811</v>
      </c>
      <c r="H120" s="413" t="b">
        <f>Wh_hp&gt;='2022'!Maxi_hp</f>
        <v>0</v>
      </c>
      <c r="I120" s="389">
        <f>IF(H120,Wh_hp,'2022'!Maxi_hp)</f>
        <v>51.189407245873092</v>
      </c>
      <c r="J120" s="85">
        <f>IF(H120,An,'2022'!An_max)</f>
        <v>2020</v>
      </c>
      <c r="K120" s="196">
        <f t="shared" si="27"/>
        <v>45032</v>
      </c>
      <c r="L120" s="147">
        <f>IF(t&lt;Tvie,1-EXP((T0-t)*PertePVj)+'2022'!Pspv,1-EXP((T0-t)*PertePVj)+Pspv)</f>
        <v>3.7078913109216717E-2</v>
      </c>
      <c r="M120" s="847"/>
      <c r="N120" s="847"/>
      <c r="O120" s="48">
        <f>IF(t&lt;Tnet,'2022'!Resal+('2022'!Salim-'2022'!Resal)*(1-EXP(('2022'!Tnet-t)/('2022'!Tau_j))),Resal+(Salim-Resal)*(1-EXP((Tnet-t)/(Tau_j))))*Salcycl</f>
        <v>5.9171571196948235E-2</v>
      </c>
      <c r="P120" s="168">
        <f>(INDEX(Models!$BJ120:$BT120,,T120)*(1-R120)+INDEX(Models!$BJ120:$BT120,,T120+1)*R120-ERP_i)*Q120*Ramure*Pc/MaxiM</f>
        <v>2.1698463199823357E-4</v>
      </c>
      <c r="Q120" s="304">
        <f t="shared" si="28"/>
        <v>0.5</v>
      </c>
      <c r="R120" s="176">
        <f t="shared" si="29"/>
        <v>6.2746720400328471E-2</v>
      </c>
      <c r="S120" s="814">
        <f t="shared" si="30"/>
        <v>1</v>
      </c>
      <c r="T120" s="175">
        <f t="shared" si="31"/>
        <v>7</v>
      </c>
      <c r="U120" s="250">
        <f t="shared" si="32"/>
        <v>1.0627467204003285</v>
      </c>
      <c r="V120" s="382">
        <f t="shared" si="33"/>
        <v>52.778599806620562</v>
      </c>
      <c r="W120" s="401">
        <f t="shared" si="34"/>
        <v>43.744908183089564</v>
      </c>
      <c r="X120" s="157">
        <f t="shared" si="35"/>
        <v>45032</v>
      </c>
      <c r="Y120" s="384">
        <f t="shared" si="36"/>
        <v>42.842418508538017</v>
      </c>
      <c r="Z120" s="384">
        <f t="shared" si="37"/>
        <v>44.492138651645611</v>
      </c>
      <c r="AA120" s="385">
        <f t="shared" si="38"/>
        <v>48.286572593109952</v>
      </c>
      <c r="AB120" s="196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7.8581554616402288E-2</v>
      </c>
      <c r="AD120" s="230">
        <f>(INDEX(Models!$BJ120:$BT120,,AH120)*(1-AF120)+INDEX(Models!$BJ120:$BT120,,AH120+1)*AF120-ERP_i)*AE120*Ramure*Pc/MaxiM</f>
        <v>2.1698463199823357E-4</v>
      </c>
      <c r="AE120" s="304">
        <f t="shared" si="40"/>
        <v>0.5</v>
      </c>
      <c r="AF120" s="176">
        <f t="shared" si="41"/>
        <v>6.2746720400328471E-2</v>
      </c>
      <c r="AG120" s="814">
        <f t="shared" si="49"/>
        <v>1</v>
      </c>
      <c r="AH120" s="175">
        <f t="shared" si="42"/>
        <v>7</v>
      </c>
      <c r="AI120" s="224">
        <f t="shared" si="43"/>
        <v>1.0627467204003285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10">
        <f>'2022'!Wh/'2022'!Env_an*'2023'!Env_an</f>
        <v>51.791329941692858</v>
      </c>
      <c r="C121" s="843"/>
      <c r="D121" s="392">
        <f t="shared" si="25"/>
        <v>53.786819731099854</v>
      </c>
      <c r="E121" s="384">
        <f t="shared" si="47"/>
        <v>57.173441184074996</v>
      </c>
      <c r="F121" s="384">
        <f t="shared" si="26"/>
        <v>57.185115013436324</v>
      </c>
      <c r="G121" s="110">
        <f t="shared" si="48"/>
        <v>0.97870901255373599</v>
      </c>
      <c r="H121" s="413" t="b">
        <f>Wh_hp&gt;='2022'!Maxi_hp</f>
        <v>0</v>
      </c>
      <c r="I121" s="389">
        <f>IF(H121,Wh_hp,'2022'!Maxi_hp)</f>
        <v>57.185200009577123</v>
      </c>
      <c r="J121" s="85">
        <f>IF(H121,An,'2022'!An_max)</f>
        <v>2022</v>
      </c>
      <c r="K121" s="196">
        <f t="shared" si="27"/>
        <v>45033</v>
      </c>
      <c r="L121" s="147">
        <f>IF(t&lt;Tvie,1-EXP((T0-t)*PertePVj)+'2022'!Pspv,1-EXP((T0-t)*PertePVj)+Pspv)</f>
        <v>3.7099977269211749E-2</v>
      </c>
      <c r="M121" s="847"/>
      <c r="N121" s="847"/>
      <c r="O121" s="48">
        <f>IF(t&lt;Tnet,'2022'!Resal+('2022'!Salim-'2022'!Resal)*(1-EXP(('2022'!Tnet-t)/('2022'!Tau_j))),Resal+(Salim-Resal)*(1-EXP((Tnet-t)/(Tau_j))))*Salcycl</f>
        <v>5.9234172070763001E-2</v>
      </c>
      <c r="P121" s="168">
        <f>(INDEX(Models!$BJ121:$BT121,,T121)*(1-R121)+INDEX(Models!$BJ121:$BT121,,T121+1)*R121-ERP_i)*Q121*Ramure*Pc/MaxiM</f>
        <v>2.1054297517595019E-4</v>
      </c>
      <c r="Q121" s="304">
        <f t="shared" si="28"/>
        <v>0.5</v>
      </c>
      <c r="R121" s="176">
        <f t="shared" si="29"/>
        <v>6.3820928321134618E-2</v>
      </c>
      <c r="S121" s="814">
        <f t="shared" si="30"/>
        <v>1</v>
      </c>
      <c r="T121" s="175">
        <f t="shared" si="31"/>
        <v>7</v>
      </c>
      <c r="U121" s="250">
        <f t="shared" si="32"/>
        <v>1.0638209283211346</v>
      </c>
      <c r="V121" s="382">
        <f t="shared" si="33"/>
        <v>52.917667708587153</v>
      </c>
      <c r="W121" s="401">
        <f t="shared" si="34"/>
        <v>51.791329941692858</v>
      </c>
      <c r="X121" s="157">
        <f t="shared" si="35"/>
        <v>45033</v>
      </c>
      <c r="Y121" s="384">
        <f t="shared" si="36"/>
        <v>50.723547612247316</v>
      </c>
      <c r="Z121" s="384">
        <f t="shared" si="37"/>
        <v>52.677896370170536</v>
      </c>
      <c r="AA121" s="385">
        <f t="shared" si="38"/>
        <v>57.173441184074996</v>
      </c>
      <c r="AB121" s="196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7.8629949864844562E-2</v>
      </c>
      <c r="AD121" s="230">
        <f>(INDEX(Models!$BJ121:$BT121,,AH121)*(1-AF121)+INDEX(Models!$BJ121:$BT121,,AH121+1)*AF121-ERP_i)*AE121*Ramure*Pc/MaxiM</f>
        <v>2.1054297517595019E-4</v>
      </c>
      <c r="AE121" s="304">
        <f t="shared" si="40"/>
        <v>0.5</v>
      </c>
      <c r="AF121" s="176">
        <f t="shared" si="41"/>
        <v>6.3820928321134618E-2</v>
      </c>
      <c r="AG121" s="814">
        <f t="shared" si="49"/>
        <v>1</v>
      </c>
      <c r="AH121" s="175">
        <f t="shared" si="42"/>
        <v>7</v>
      </c>
      <c r="AI121" s="224">
        <f t="shared" si="43"/>
        <v>1.0638209283211346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10">
        <f>'2022'!Wh/'2022'!Env_an*'2023'!Env_an</f>
        <v>38.954921022749708</v>
      </c>
      <c r="C122" s="843"/>
      <c r="D122" s="392">
        <f t="shared" si="25"/>
        <v>40.456716451573151</v>
      </c>
      <c r="E122" s="384">
        <f t="shared" si="47"/>
        <v>43.006922126535891</v>
      </c>
      <c r="F122" s="384">
        <f t="shared" si="26"/>
        <v>43.012371246572002</v>
      </c>
      <c r="G122" s="110">
        <f t="shared" si="48"/>
        <v>0.73426527217134163</v>
      </c>
      <c r="H122" s="413" t="b">
        <f>Wh_hp&gt;='2022'!Maxi_hp</f>
        <v>0</v>
      </c>
      <c r="I122" s="389">
        <f>IF(H122,Wh_hp,'2022'!Maxi_hp)</f>
        <v>43.013146001877296</v>
      </c>
      <c r="J122" s="85">
        <f>IF(H122,An,'2022'!An_max)</f>
        <v>2022</v>
      </c>
      <c r="K122" s="196">
        <f t="shared" si="27"/>
        <v>45034</v>
      </c>
      <c r="L122" s="147">
        <f>IF(t&lt;Tvie,1-EXP((T0-t)*PertePVj)+'2022'!Pspv,1-EXP((T0-t)*PertePVj)+Pspv)</f>
        <v>3.7121040967847609E-2</v>
      </c>
      <c r="M122" s="847"/>
      <c r="N122" s="847"/>
      <c r="O122" s="48">
        <f>IF(t&lt;Tnet,'2022'!Resal+('2022'!Salim-'2022'!Resal)*(1-EXP(('2022'!Tnet-t)/('2022'!Tau_j))),Resal+(Salim-Resal)*(1-EXP((Tnet-t)/(Tau_j))))*Salcycl</f>
        <v>5.9297563016936498E-2</v>
      </c>
      <c r="P122" s="168">
        <f>(INDEX(Models!$BJ122:$BT122,,T122)*(1-R122)+INDEX(Models!$BJ122:$BT122,,T122+1)*R122-ERP_i)*Q122*Ramure*Pc/MaxiM</f>
        <v>2.0418273402017289E-4</v>
      </c>
      <c r="Q122" s="304">
        <f t="shared" si="28"/>
        <v>0.5</v>
      </c>
      <c r="R122" s="176">
        <f t="shared" si="29"/>
        <v>6.4931216514768408E-2</v>
      </c>
      <c r="S122" s="814">
        <f t="shared" si="30"/>
        <v>1</v>
      </c>
      <c r="T122" s="175">
        <f t="shared" si="31"/>
        <v>7</v>
      </c>
      <c r="U122" s="250">
        <f t="shared" si="32"/>
        <v>1.0649312165147684</v>
      </c>
      <c r="V122" s="382">
        <f t="shared" si="33"/>
        <v>53.048813946380939</v>
      </c>
      <c r="W122" s="401">
        <f t="shared" si="34"/>
        <v>38.954921022749708</v>
      </c>
      <c r="X122" s="157">
        <f t="shared" si="35"/>
        <v>45034</v>
      </c>
      <c r="Y122" s="384">
        <f t="shared" si="36"/>
        <v>38.152309912347661</v>
      </c>
      <c r="Z122" s="384">
        <f t="shared" si="37"/>
        <v>39.6231629681646</v>
      </c>
      <c r="AA122" s="385">
        <f t="shared" si="38"/>
        <v>43.006922126535891</v>
      </c>
      <c r="AB122" s="196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7.8679407664085321E-2</v>
      </c>
      <c r="AD122" s="230">
        <f>(INDEX(Models!$BJ122:$BT122,,AH122)*(1-AF122)+INDEX(Models!$BJ122:$BT122,,AH122+1)*AF122-ERP_i)*AE122*Ramure*Pc/MaxiM</f>
        <v>2.0418273402017289E-4</v>
      </c>
      <c r="AE122" s="304">
        <f t="shared" si="40"/>
        <v>0.5</v>
      </c>
      <c r="AF122" s="176">
        <f t="shared" si="41"/>
        <v>6.4931216514768408E-2</v>
      </c>
      <c r="AG122" s="814">
        <f t="shared" si="49"/>
        <v>1</v>
      </c>
      <c r="AH122" s="175">
        <f t="shared" si="42"/>
        <v>7</v>
      </c>
      <c r="AI122" s="224">
        <f t="shared" si="43"/>
        <v>1.0649312165147684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10">
        <f>'2022'!Wh/'2022'!Env_an*'2023'!Env_an</f>
        <v>10.367795400049548</v>
      </c>
      <c r="C123" s="843"/>
      <c r="D123" s="392">
        <f t="shared" si="25"/>
        <v>10.767731609544157</v>
      </c>
      <c r="E123" s="384">
        <f t="shared" si="47"/>
        <v>11.4472611022056</v>
      </c>
      <c r="F123" s="384">
        <f t="shared" si="26"/>
        <v>11.4472611022056</v>
      </c>
      <c r="G123" s="110">
        <f t="shared" si="48"/>
        <v>0.19494582404642105</v>
      </c>
      <c r="H123" s="413" t="b">
        <f>Wh_hp&gt;='2022'!Maxi_hp</f>
        <v>0</v>
      </c>
      <c r="I123" s="389">
        <f>IF(H123,Wh_hp,'2022'!Maxi_hp)</f>
        <v>57.532999013855843</v>
      </c>
      <c r="J123" s="85">
        <f>IF(H123,An,'2022'!An_max)</f>
        <v>2021</v>
      </c>
      <c r="K123" s="196">
        <f t="shared" si="27"/>
        <v>45035</v>
      </c>
      <c r="L123" s="147">
        <f>IF(t&lt;Tvie,1-EXP((T0-t)*PertePVj)+'2022'!Pspv,1-EXP((T0-t)*PertePVj)+Pspv)</f>
        <v>3.7142104205134398E-2</v>
      </c>
      <c r="M123" s="847"/>
      <c r="N123" s="847"/>
      <c r="O123" s="48">
        <f>IF(t&lt;Tnet,'2022'!Resal+('2022'!Salim-'2022'!Resal)*(1-EXP(('2022'!Tnet-t)/('2022'!Tau_j))),Resal+(Salim-Resal)*(1-EXP((Tnet-t)/(Tau_j))))*Salcycl</f>
        <v>5.9361753575317186E-2</v>
      </c>
      <c r="P123" s="168">
        <f>(INDEX(Models!$BJ123:$BT123,,T123)*(1-R123)+INDEX(Models!$BJ123:$BT123,,T123+1)*R123-ERP_i)*Q123*Ramure*Pc/MaxiM</f>
        <v>1.9803638279437886E-4</v>
      </c>
      <c r="Q123" s="304">
        <f t="shared" si="28"/>
        <v>0.5</v>
      </c>
      <c r="R123" s="176">
        <f t="shared" si="29"/>
        <v>6.6078448365550324E-2</v>
      </c>
      <c r="S123" s="814">
        <f t="shared" si="30"/>
        <v>1</v>
      </c>
      <c r="T123" s="175">
        <f t="shared" si="31"/>
        <v>7</v>
      </c>
      <c r="U123" s="250">
        <f t="shared" si="32"/>
        <v>1.0660784483655503</v>
      </c>
      <c r="V123" s="382">
        <f t="shared" si="33"/>
        <v>53.172424954753843</v>
      </c>
      <c r="W123" s="401">
        <f t="shared" si="34"/>
        <v>10.367795400049548</v>
      </c>
      <c r="X123" s="157">
        <f t="shared" si="35"/>
        <v>45035</v>
      </c>
      <c r="Y123" s="384">
        <f t="shared" si="36"/>
        <v>10.154317596975902</v>
      </c>
      <c r="Z123" s="384">
        <f t="shared" si="37"/>
        <v>10.546018931062756</v>
      </c>
      <c r="AA123" s="385">
        <f t="shared" si="38"/>
        <v>11.4472611022056</v>
      </c>
      <c r="AB123" s="196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7.8729939248891392E-2</v>
      </c>
      <c r="AD123" s="230">
        <f>(INDEX(Models!$BJ123:$BT123,,AH123)*(1-AF123)+INDEX(Models!$BJ123:$BT123,,AH123+1)*AF123-ERP_i)*AE123*Ramure*Pc/MaxiM</f>
        <v>1.9803638279437886E-4</v>
      </c>
      <c r="AE123" s="304">
        <f t="shared" si="40"/>
        <v>0.5</v>
      </c>
      <c r="AF123" s="176">
        <f t="shared" si="41"/>
        <v>6.6078448365550324E-2</v>
      </c>
      <c r="AG123" s="814">
        <f t="shared" si="49"/>
        <v>1</v>
      </c>
      <c r="AH123" s="175">
        <f t="shared" si="42"/>
        <v>7</v>
      </c>
      <c r="AI123" s="224">
        <f t="shared" si="43"/>
        <v>1.0660784483655503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10">
        <f>'2022'!Wh/'2022'!Env_an*'2023'!Env_an</f>
        <v>9.7510992724783883</v>
      </c>
      <c r="C124" s="843"/>
      <c r="D124" s="392">
        <f t="shared" si="25"/>
        <v>10.127468059052534</v>
      </c>
      <c r="E124" s="384">
        <f t="shared" si="47"/>
        <v>10.767335858659816</v>
      </c>
      <c r="F124" s="384">
        <f t="shared" si="26"/>
        <v>10.767335858659816</v>
      </c>
      <c r="G124" s="110">
        <f t="shared" si="48"/>
        <v>0.1829504291042035</v>
      </c>
      <c r="H124" s="413" t="b">
        <f>Wh_hp&gt;='2022'!Maxi_hp</f>
        <v>0</v>
      </c>
      <c r="I124" s="389">
        <f>IF(H124,Wh_hp,'2022'!Maxi_hp)</f>
        <v>50.447436278195291</v>
      </c>
      <c r="J124" s="85">
        <f>IF(H124,An,'2022'!An_max)</f>
        <v>2019</v>
      </c>
      <c r="K124" s="196">
        <f t="shared" si="27"/>
        <v>45036</v>
      </c>
      <c r="L124" s="147">
        <f>IF(t&lt;Tvie,1-EXP((T0-t)*PertePVj)+'2022'!Pspv,1-EXP((T0-t)*PertePVj)+Pspv)</f>
        <v>3.716316698108222E-2</v>
      </c>
      <c r="M124" s="847"/>
      <c r="N124" s="847"/>
      <c r="O124" s="48">
        <f>IF(t&lt;Tnet,'2022'!Resal+('2022'!Salim-'2022'!Resal)*(1-EXP(('2022'!Tnet-t)/('2022'!Tau_j))),Resal+(Salim-Resal)*(1-EXP((Tnet-t)/(Tau_j))))*Salcycl</f>
        <v>5.942675217032975E-2</v>
      </c>
      <c r="P124" s="168">
        <f>(INDEX(Models!$BJ124:$BT124,,T124)*(1-R124)+INDEX(Models!$BJ124:$BT124,,T124+1)*R124-ERP_i)*Q124*Ramure*Pc/MaxiM</f>
        <v>1.9209727741791282E-4</v>
      </c>
      <c r="Q124" s="304">
        <f t="shared" si="28"/>
        <v>0.5</v>
      </c>
      <c r="R124" s="176">
        <f t="shared" si="29"/>
        <v>6.726348120275194E-2</v>
      </c>
      <c r="S124" s="814">
        <f t="shared" si="30"/>
        <v>1</v>
      </c>
      <c r="T124" s="175">
        <f t="shared" si="31"/>
        <v>7</v>
      </c>
      <c r="U124" s="250">
        <f t="shared" si="32"/>
        <v>1.0672634812027519</v>
      </c>
      <c r="V124" s="382">
        <f t="shared" si="33"/>
        <v>53.288894486841698</v>
      </c>
      <c r="W124" s="401">
        <f t="shared" si="34"/>
        <v>9.7510992724783883</v>
      </c>
      <c r="X124" s="157">
        <f t="shared" si="35"/>
        <v>45036</v>
      </c>
      <c r="Y124" s="384">
        <f t="shared" si="36"/>
        <v>9.5504444080238056</v>
      </c>
      <c r="Z124" s="384">
        <f t="shared" si="37"/>
        <v>9.9190684033959879</v>
      </c>
      <c r="AA124" s="385">
        <f t="shared" si="38"/>
        <v>10.767335858659816</v>
      </c>
      <c r="AB124" s="196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7.878155436022681E-2</v>
      </c>
      <c r="AD124" s="230">
        <f>(INDEX(Models!$BJ124:$BT124,,AH124)*(1-AF124)+INDEX(Models!$BJ124:$BT124,,AH124+1)*AF124-ERP_i)*AE124*Ramure*Pc/MaxiM</f>
        <v>1.9209727741791282E-4</v>
      </c>
      <c r="AE124" s="304">
        <f t="shared" si="40"/>
        <v>0.5</v>
      </c>
      <c r="AF124" s="176">
        <f t="shared" si="41"/>
        <v>6.726348120275194E-2</v>
      </c>
      <c r="AG124" s="814">
        <f t="shared" si="49"/>
        <v>1</v>
      </c>
      <c r="AH124" s="175">
        <f t="shared" si="42"/>
        <v>7</v>
      </c>
      <c r="AI124" s="224">
        <f t="shared" si="43"/>
        <v>1.0672634812027519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10">
        <f>'2022'!Wh/'2022'!Env_an*'2023'!Env_an</f>
        <v>9.2067838333404115</v>
      </c>
      <c r="C125" s="843"/>
      <c r="D125" s="392">
        <f t="shared" si="25"/>
        <v>9.562352542902012</v>
      </c>
      <c r="E125" s="384">
        <f t="shared" si="47"/>
        <v>10.167226964744374</v>
      </c>
      <c r="F125" s="384">
        <f t="shared" si="26"/>
        <v>10.167226964744374</v>
      </c>
      <c r="G125" s="110">
        <f t="shared" si="48"/>
        <v>0.17238401872897618</v>
      </c>
      <c r="H125" s="413" t="b">
        <f>Wh_hp&gt;='2022'!Maxi_hp</f>
        <v>0</v>
      </c>
      <c r="I125" s="389">
        <f>IF(H125,Wh_hp,'2022'!Maxi_hp)</f>
        <v>56.950308189704678</v>
      </c>
      <c r="J125" s="85">
        <f>IF(H125,An,'2022'!An_max)</f>
        <v>2021</v>
      </c>
      <c r="K125" s="196">
        <f t="shared" si="27"/>
        <v>45037</v>
      </c>
      <c r="L125" s="147">
        <f>IF(t&lt;Tvie,1-EXP((T0-t)*PertePVj)+'2022'!Pspv,1-EXP((T0-t)*PertePVj)+Pspv)</f>
        <v>3.7184229295701178E-2</v>
      </c>
      <c r="M125" s="847"/>
      <c r="N125" s="847"/>
      <c r="O125" s="48">
        <f>IF(t&lt;Tnet,'2022'!Resal+('2022'!Salim-'2022'!Resal)*(1-EXP(('2022'!Tnet-t)/('2022'!Tau_j))),Resal+(Salim-Resal)*(1-EXP((Tnet-t)/(Tau_j))))*Salcycl</f>
        <v>5.9492566059537122E-2</v>
      </c>
      <c r="P125" s="168">
        <f>(INDEX(Models!$BJ125:$BT125,,T125)*(1-R125)+INDEX(Models!$BJ125:$BT125,,T125+1)*R125-ERP_i)*Q125*Ramure*Pc/MaxiM</f>
        <v>1.8635979310600986E-4</v>
      </c>
      <c r="Q125" s="304">
        <f t="shared" si="28"/>
        <v>0.5</v>
      </c>
      <c r="R125" s="176">
        <f t="shared" si="29"/>
        <v>6.8487163842035681E-2</v>
      </c>
      <c r="S125" s="814">
        <f t="shared" si="30"/>
        <v>1</v>
      </c>
      <c r="T125" s="175">
        <f t="shared" si="31"/>
        <v>7</v>
      </c>
      <c r="U125" s="250">
        <f t="shared" si="32"/>
        <v>1.0684871638420357</v>
      </c>
      <c r="V125" s="382">
        <f t="shared" si="33"/>
        <v>53.398616222553414</v>
      </c>
      <c r="W125" s="401">
        <f t="shared" si="34"/>
        <v>9.2067838333404115</v>
      </c>
      <c r="X125" s="157">
        <f t="shared" si="35"/>
        <v>45037</v>
      </c>
      <c r="Y125" s="384">
        <f t="shared" si="36"/>
        <v>9.0174447600676721</v>
      </c>
      <c r="Z125" s="384">
        <f t="shared" si="37"/>
        <v>9.3657011387250328</v>
      </c>
      <c r="AA125" s="385">
        <f t="shared" si="38"/>
        <v>10.167226964744374</v>
      </c>
      <c r="AB125" s="196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7.8834261180427315E-2</v>
      </c>
      <c r="AD125" s="230">
        <f>(INDEX(Models!$BJ125:$BT125,,AH125)*(1-AF125)+INDEX(Models!$BJ125:$BT125,,AH125+1)*AF125-ERP_i)*AE125*Ramure*Pc/MaxiM</f>
        <v>1.8635979310600986E-4</v>
      </c>
      <c r="AE125" s="304">
        <f t="shared" si="40"/>
        <v>0.5</v>
      </c>
      <c r="AF125" s="176">
        <f t="shared" si="41"/>
        <v>6.8487163842035681E-2</v>
      </c>
      <c r="AG125" s="814">
        <f t="shared" si="49"/>
        <v>1</v>
      </c>
      <c r="AH125" s="175">
        <f t="shared" si="42"/>
        <v>7</v>
      </c>
      <c r="AI125" s="224">
        <f t="shared" si="43"/>
        <v>1.0684871638420357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10">
        <f>'2022'!Wh/'2022'!Env_an*'2023'!Env_an</f>
        <v>29.234346136812146</v>
      </c>
      <c r="C126" s="843"/>
      <c r="D126" s="392">
        <f t="shared" si="25"/>
        <v>30.364049436562116</v>
      </c>
      <c r="E126" s="384">
        <f t="shared" si="47"/>
        <v>32.287039734880949</v>
      </c>
      <c r="F126" s="384">
        <f t="shared" si="26"/>
        <v>32.289095011751165</v>
      </c>
      <c r="G126" s="110">
        <f t="shared" si="48"/>
        <v>0.54635208945051095</v>
      </c>
      <c r="H126" s="413" t="b">
        <f>Wh_hp&gt;='2022'!Maxi_hp</f>
        <v>0</v>
      </c>
      <c r="I126" s="389">
        <f>IF(H126,Wh_hp,'2022'!Maxi_hp)</f>
        <v>61.518685977469168</v>
      </c>
      <c r="J126" s="85">
        <f>IF(H126,An,'2022'!An_max)</f>
        <v>2021</v>
      </c>
      <c r="K126" s="196">
        <f t="shared" si="27"/>
        <v>45038</v>
      </c>
      <c r="L126" s="147">
        <f>IF(t&lt;Tvie,1-EXP((T0-t)*PertePVj)+'2022'!Pspv,1-EXP((T0-t)*PertePVj)+Pspv)</f>
        <v>3.7205291149001486E-2</v>
      </c>
      <c r="M126" s="847"/>
      <c r="N126" s="847"/>
      <c r="O126" s="48">
        <f>IF(t&lt;Tnet,'2022'!Resal+('2022'!Salim-'2022'!Resal)*(1-EXP(('2022'!Tnet-t)/('2022'!Tau_j))),Resal+(Salim-Resal)*(1-EXP((Tnet-t)/(Tau_j))))*Salcycl</f>
        <v>5.9559201280424391E-2</v>
      </c>
      <c r="P126" s="168">
        <f>(INDEX(Models!$BJ126:$BT126,,T126)*(1-R126)+INDEX(Models!$BJ126:$BT126,,T126+1)*R126-ERP_i)*Q126*Ramure*Pc/MaxiM</f>
        <v>1.8081872203179478E-4</v>
      </c>
      <c r="Q126" s="304">
        <f t="shared" si="28"/>
        <v>0.5</v>
      </c>
      <c r="R126" s="176">
        <f t="shared" si="29"/>
        <v>6.9750333970165279E-2</v>
      </c>
      <c r="S126" s="814">
        <f t="shared" si="30"/>
        <v>1</v>
      </c>
      <c r="T126" s="175">
        <f t="shared" si="31"/>
        <v>7</v>
      </c>
      <c r="U126" s="250">
        <f t="shared" si="32"/>
        <v>1.0697503339701653</v>
      </c>
      <c r="V126" s="382">
        <f t="shared" si="33"/>
        <v>53.501983795794928</v>
      </c>
      <c r="W126" s="401">
        <f t="shared" si="34"/>
        <v>29.234346136812146</v>
      </c>
      <c r="X126" s="157">
        <f t="shared" si="35"/>
        <v>45038</v>
      </c>
      <c r="Y126" s="384">
        <f t="shared" si="36"/>
        <v>28.63349307918806</v>
      </c>
      <c r="Z126" s="384">
        <f t="shared" si="37"/>
        <v>29.739977604737089</v>
      </c>
      <c r="AA126" s="385">
        <f t="shared" si="38"/>
        <v>32.287039734880949</v>
      </c>
      <c r="AB126" s="196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7.8888066266173409E-2</v>
      </c>
      <c r="AD126" s="230">
        <f>(INDEX(Models!$BJ126:$BT126,,AH126)*(1-AF126)+INDEX(Models!$BJ126:$BT126,,AH126+1)*AF126-ERP_i)*AE126*Ramure*Pc/MaxiM</f>
        <v>1.8081872203179478E-4</v>
      </c>
      <c r="AE126" s="304">
        <f t="shared" si="40"/>
        <v>0.5</v>
      </c>
      <c r="AF126" s="176">
        <f t="shared" si="41"/>
        <v>6.9750333970165279E-2</v>
      </c>
      <c r="AG126" s="814">
        <f t="shared" si="49"/>
        <v>1</v>
      </c>
      <c r="AH126" s="175">
        <f t="shared" si="42"/>
        <v>7</v>
      </c>
      <c r="AI126" s="224">
        <f t="shared" si="43"/>
        <v>1.0697503339701653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10">
        <f>'2022'!Wh/'2022'!Env_an*'2023'!Env_an</f>
        <v>8.1170484837400121</v>
      </c>
      <c r="C127" s="843"/>
      <c r="D127" s="392">
        <f t="shared" si="25"/>
        <v>8.4309001447670191</v>
      </c>
      <c r="E127" s="384">
        <f t="shared" si="47"/>
        <v>8.9654819095967788</v>
      </c>
      <c r="F127" s="384">
        <f t="shared" si="26"/>
        <v>8.9654819095967788</v>
      </c>
      <c r="G127" s="110">
        <f t="shared" si="48"/>
        <v>0.15141262001345099</v>
      </c>
      <c r="H127" s="413" t="b">
        <f>Wh_hp&gt;='2022'!Maxi_hp</f>
        <v>0</v>
      </c>
      <c r="I127" s="389">
        <f>IF(H127,Wh_hp,'2022'!Maxi_hp)</f>
        <v>60.576716442775776</v>
      </c>
      <c r="J127" s="85">
        <f>IF(H127,An,'2022'!An_max)</f>
        <v>2021</v>
      </c>
      <c r="K127" s="196">
        <f t="shared" si="27"/>
        <v>45039</v>
      </c>
      <c r="L127" s="147">
        <f>IF(t&lt;Tvie,1-EXP((T0-t)*PertePVj)+'2022'!Pspv,1-EXP((T0-t)*PertePVj)+Pspv)</f>
        <v>3.7226352540993025E-2</v>
      </c>
      <c r="M127" s="847"/>
      <c r="N127" s="847"/>
      <c r="O127" s="48">
        <f>IF(t&lt;Tnet,'2022'!Resal+('2022'!Salim-'2022'!Resal)*(1-EXP(('2022'!Tnet-t)/('2022'!Tau_j))),Resal+(Salim-Resal)*(1-EXP((Tnet-t)/(Tau_j))))*Salcycl</f>
        <v>5.962666259551927E-2</v>
      </c>
      <c r="P127" s="168">
        <f>(INDEX(Models!$BJ127:$BT127,,T127)*(1-R127)+INDEX(Models!$BJ127:$BT127,,T127+1)*R127-ERP_i)*Q127*Ramure*Pc/MaxiM</f>
        <v>1.7546875138936899E-4</v>
      </c>
      <c r="Q127" s="304">
        <f t="shared" si="28"/>
        <v>0.5</v>
      </c>
      <c r="R127" s="176">
        <f t="shared" si="29"/>
        <v>7.1053815372585261E-2</v>
      </c>
      <c r="S127" s="814">
        <f t="shared" si="30"/>
        <v>1</v>
      </c>
      <c r="T127" s="175">
        <f t="shared" si="31"/>
        <v>7</v>
      </c>
      <c r="U127" s="250">
        <f t="shared" si="32"/>
        <v>1.0710538153725853</v>
      </c>
      <c r="V127" s="382">
        <f t="shared" si="33"/>
        <v>53.599390821297725</v>
      </c>
      <c r="W127" s="401">
        <f t="shared" si="34"/>
        <v>8.1170484837400121</v>
      </c>
      <c r="X127" s="157">
        <f t="shared" si="35"/>
        <v>45039</v>
      </c>
      <c r="Y127" s="384">
        <f t="shared" si="36"/>
        <v>7.9503153003838998</v>
      </c>
      <c r="Z127" s="384">
        <f t="shared" si="37"/>
        <v>8.2577201000117828</v>
      </c>
      <c r="AA127" s="385">
        <f t="shared" si="38"/>
        <v>8.9654819095967788</v>
      </c>
      <c r="AB127" s="196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7.8942974479419573E-2</v>
      </c>
      <c r="AD127" s="230">
        <f>(INDEX(Models!$BJ127:$BT127,,AH127)*(1-AF127)+INDEX(Models!$BJ127:$BT127,,AH127+1)*AF127-ERP_i)*AE127*Ramure*Pc/MaxiM</f>
        <v>1.7546875138936899E-4</v>
      </c>
      <c r="AE127" s="304">
        <f t="shared" si="40"/>
        <v>0.5</v>
      </c>
      <c r="AF127" s="176">
        <f t="shared" si="41"/>
        <v>7.1053815372585261E-2</v>
      </c>
      <c r="AG127" s="814">
        <f t="shared" si="49"/>
        <v>1</v>
      </c>
      <c r="AH127" s="175">
        <f t="shared" si="42"/>
        <v>7</v>
      </c>
      <c r="AI127" s="224">
        <f t="shared" si="43"/>
        <v>1.0710538153725853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10">
        <f>'2022'!Wh/'2022'!Env_an*'2023'!Env_an</f>
        <v>36.581233815831581</v>
      </c>
      <c r="C128" s="843"/>
      <c r="D128" s="392">
        <f t="shared" si="25"/>
        <v>37.99650536151092</v>
      </c>
      <c r="E128" s="384">
        <f t="shared" si="47"/>
        <v>40.408700878886322</v>
      </c>
      <c r="F128" s="384">
        <f t="shared" si="26"/>
        <v>40.412464306818357</v>
      </c>
      <c r="G128" s="110">
        <f t="shared" si="48"/>
        <v>0.68127345263024008</v>
      </c>
      <c r="H128" s="413" t="b">
        <f>Wh_hp&gt;='2022'!Maxi_hp</f>
        <v>0</v>
      </c>
      <c r="I128" s="389">
        <f>IF(H128,Wh_hp,'2022'!Maxi_hp)</f>
        <v>57.276493751473431</v>
      </c>
      <c r="J128" s="85">
        <f>IF(H128,An,'2022'!An_max)</f>
        <v>2021</v>
      </c>
      <c r="K128" s="196">
        <f t="shared" si="27"/>
        <v>45040</v>
      </c>
      <c r="L128" s="147">
        <f>IF(t&lt;Tvie,1-EXP((T0-t)*PertePVj)+'2022'!Pspv,1-EXP((T0-t)*PertePVj)+Pspv)</f>
        <v>3.7247413471686121E-2</v>
      </c>
      <c r="M128" s="847"/>
      <c r="N128" s="847"/>
      <c r="O128" s="48">
        <f>IF(t&lt;Tnet,'2022'!Resal+('2022'!Salim-'2022'!Resal)*(1-EXP(('2022'!Tnet-t)/('2022'!Tau_j))),Resal+(Salim-Resal)*(1-EXP((Tnet-t)/(Tau_j))))*Salcycl</f>
        <v>5.9694953436025489E-2</v>
      </c>
      <c r="P128" s="168">
        <f>(INDEX(Models!$BJ128:$BT128,,T128)*(1-R128)+INDEX(Models!$BJ128:$BT128,,T128+1)*R128-ERP_i)*Q128*Ramure*Pc/MaxiM</f>
        <v>1.7095009385476192E-4</v>
      </c>
      <c r="Q128" s="304">
        <f t="shared" si="28"/>
        <v>0.5</v>
      </c>
      <c r="R128" s="176">
        <f t="shared" si="29"/>
        <v>7.2398415004534256E-2</v>
      </c>
      <c r="S128" s="814">
        <f t="shared" si="30"/>
        <v>1</v>
      </c>
      <c r="T128" s="175">
        <f t="shared" si="31"/>
        <v>7</v>
      </c>
      <c r="U128" s="250">
        <f t="shared" si="32"/>
        <v>1.0723984150045343</v>
      </c>
      <c r="V128" s="382">
        <f t="shared" si="33"/>
        <v>53.691196225353742</v>
      </c>
      <c r="W128" s="401">
        <f t="shared" si="34"/>
        <v>36.581233815831581</v>
      </c>
      <c r="X128" s="157">
        <f t="shared" si="35"/>
        <v>45040</v>
      </c>
      <c r="Y128" s="384">
        <f t="shared" si="36"/>
        <v>35.830237702302831</v>
      </c>
      <c r="Z128" s="384">
        <f t="shared" si="37"/>
        <v>37.21645436602428</v>
      </c>
      <c r="AA128" s="385">
        <f t="shared" si="38"/>
        <v>40.408700878886322</v>
      </c>
      <c r="AB128" s="196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7.8998988916518284E-2</v>
      </c>
      <c r="AD128" s="230">
        <f>(INDEX(Models!$BJ128:$BT128,,AH128)*(1-AF128)+INDEX(Models!$BJ128:$BT128,,AH128+1)*AF128-ERP_i)*AE128*Ramure*Pc/MaxiM</f>
        <v>1.7095009385476192E-4</v>
      </c>
      <c r="AE128" s="304">
        <f t="shared" si="40"/>
        <v>0.5</v>
      </c>
      <c r="AF128" s="176">
        <f t="shared" si="41"/>
        <v>7.2398415004534256E-2</v>
      </c>
      <c r="AG128" s="814">
        <f t="shared" si="49"/>
        <v>1</v>
      </c>
      <c r="AH128" s="175">
        <f t="shared" si="42"/>
        <v>7</v>
      </c>
      <c r="AI128" s="224">
        <f t="shared" si="43"/>
        <v>1.0723984150045343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10">
        <f>'2022'!Wh/'2022'!Env_an*'2023'!Env_an</f>
        <v>46.017790946786477</v>
      </c>
      <c r="C129" s="843"/>
      <c r="D129" s="392">
        <f t="shared" si="25"/>
        <v>47.79919396133981</v>
      </c>
      <c r="E129" s="384">
        <f t="shared" si="47"/>
        <v>50.837446999546572</v>
      </c>
      <c r="F129" s="384">
        <f t="shared" si="26"/>
        <v>50.844213831593109</v>
      </c>
      <c r="G129" s="110">
        <f t="shared" si="48"/>
        <v>0.8556732340401676</v>
      </c>
      <c r="H129" s="413" t="b">
        <f>Wh_hp&gt;='2022'!Maxi_hp</f>
        <v>0</v>
      </c>
      <c r="I129" s="389">
        <f>IF(H129,Wh_hp,'2022'!Maxi_hp)</f>
        <v>55.011025243549312</v>
      </c>
      <c r="J129" s="85">
        <f>IF(H129,An,'2022'!An_max)</f>
        <v>2020</v>
      </c>
      <c r="K129" s="196">
        <f t="shared" si="27"/>
        <v>45041</v>
      </c>
      <c r="L129" s="147">
        <f>IF(t&lt;Tvie,1-EXP((T0-t)*PertePVj)+'2022'!Pspv,1-EXP((T0-t)*PertePVj)+Pspv)</f>
        <v>3.7268473941090764E-2</v>
      </c>
      <c r="M129" s="847"/>
      <c r="N129" s="847"/>
      <c r="O129" s="48">
        <f>IF(t&lt;Tnet,'2022'!Resal+('2022'!Salim-'2022'!Resal)*(1-EXP(('2022'!Tnet-t)/('2022'!Tau_j))),Resal+(Salim-Resal)*(1-EXP((Tnet-t)/(Tau_j))))*Salcycl</f>
        <v>5.9764075844207114E-2</v>
      </c>
      <c r="P129" s="168">
        <f>(INDEX(Models!$BJ129:$BT129,,T129)*(1-R129)+INDEX(Models!$BJ129:$BT129,,T129+1)*R129-ERP_i)*Q129*Ramure*Pc/MaxiM</f>
        <v>1.6764835945504316E-4</v>
      </c>
      <c r="Q129" s="304">
        <f t="shared" si="28"/>
        <v>0.5</v>
      </c>
      <c r="R129" s="176">
        <f t="shared" si="29"/>
        <v>7.3784919907513791E-2</v>
      </c>
      <c r="S129" s="814">
        <f t="shared" si="30"/>
        <v>1</v>
      </c>
      <c r="T129" s="175">
        <f t="shared" si="31"/>
        <v>7</v>
      </c>
      <c r="U129" s="250">
        <f t="shared" si="32"/>
        <v>1.0737849199075138</v>
      </c>
      <c r="V129" s="382">
        <f t="shared" si="33"/>
        <v>53.777772382118762</v>
      </c>
      <c r="W129" s="401">
        <f t="shared" si="34"/>
        <v>46.017790946786477</v>
      </c>
      <c r="X129" s="157">
        <f t="shared" si="35"/>
        <v>45041</v>
      </c>
      <c r="Y129" s="384">
        <f t="shared" si="36"/>
        <v>45.073584487135406</v>
      </c>
      <c r="Z129" s="384">
        <f t="shared" si="37"/>
        <v>46.818436154938347</v>
      </c>
      <c r="AA129" s="385">
        <f t="shared" si="38"/>
        <v>50.837446999546572</v>
      </c>
      <c r="AB129" s="196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7.9056110835858284E-2</v>
      </c>
      <c r="AD129" s="230">
        <f>(INDEX(Models!$BJ129:$BT129,,AH129)*(1-AF129)+INDEX(Models!$BJ129:$BT129,,AH129+1)*AF129-ERP_i)*AE129*Ramure*Pc/MaxiM</f>
        <v>1.6764835945504316E-4</v>
      </c>
      <c r="AE129" s="304">
        <f t="shared" si="40"/>
        <v>0.5</v>
      </c>
      <c r="AF129" s="176">
        <f t="shared" si="41"/>
        <v>7.3784919907513791E-2</v>
      </c>
      <c r="AG129" s="814">
        <f t="shared" si="49"/>
        <v>1</v>
      </c>
      <c r="AH129" s="175">
        <f t="shared" si="42"/>
        <v>7</v>
      </c>
      <c r="AI129" s="224">
        <f t="shared" si="43"/>
        <v>1.0737849199075138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10">
        <f>'2022'!Wh/'2022'!Env_an*'2023'!Env_an</f>
        <v>52.088633727368652</v>
      </c>
      <c r="C130" s="843"/>
      <c r="D130" s="392">
        <f t="shared" si="25"/>
        <v>54.10622982114851</v>
      </c>
      <c r="E130" s="384">
        <f t="shared" si="47"/>
        <v>57.549657796081952</v>
      </c>
      <c r="F130" s="384">
        <f t="shared" si="26"/>
        <v>57.558740425608597</v>
      </c>
      <c r="G130" s="110">
        <f t="shared" si="48"/>
        <v>0.96711290013920503</v>
      </c>
      <c r="H130" s="413" t="b">
        <f>Wh_hp&gt;='2022'!Maxi_hp</f>
        <v>0</v>
      </c>
      <c r="I130" s="389">
        <f>IF(H130,Wh_hp,'2022'!Maxi_hp)</f>
        <v>57.558841512192636</v>
      </c>
      <c r="J130" s="85">
        <f>IF(H130,An,'2022'!An_max)</f>
        <v>2022</v>
      </c>
      <c r="K130" s="196">
        <f t="shared" si="27"/>
        <v>45042</v>
      </c>
      <c r="L130" s="147">
        <f>IF(t&lt;Tvie,1-EXP((T0-t)*PertePVj)+'2022'!Pspv,1-EXP((T0-t)*PertePVj)+Pspv)</f>
        <v>3.7289533949217059E-2</v>
      </c>
      <c r="M130" s="847"/>
      <c r="N130" s="847"/>
      <c r="O130" s="48">
        <f>IF(t&lt;Tnet,'2022'!Resal+('2022'!Salim-'2022'!Resal)*(1-EXP(('2022'!Tnet-t)/('2022'!Tau_j))),Resal+(Salim-Resal)*(1-EXP((Tnet-t)/(Tau_j))))*Salcycl</f>
        <v>5.9834030414823366E-2</v>
      </c>
      <c r="P130" s="168">
        <f>(INDEX(Models!$BJ130:$BT130,,T130)*(1-R130)+INDEX(Models!$BJ130:$BT130,,T130+1)*R130-ERP_i)*Q130*Ramure*Pc/MaxiM</f>
        <v>1.6557475549063309E-4</v>
      </c>
      <c r="Q130" s="304">
        <f t="shared" si="28"/>
        <v>0.5</v>
      </c>
      <c r="R130" s="176">
        <f t="shared" si="29"/>
        <v>7.5214093974229179E-2</v>
      </c>
      <c r="S130" s="814">
        <f t="shared" si="30"/>
        <v>1</v>
      </c>
      <c r="T130" s="175">
        <f t="shared" si="31"/>
        <v>7</v>
      </c>
      <c r="U130" s="250">
        <f t="shared" si="32"/>
        <v>1.0752140939742292</v>
      </c>
      <c r="V130" s="382">
        <f t="shared" si="33"/>
        <v>53.859511700351462</v>
      </c>
      <c r="W130" s="401">
        <f t="shared" si="34"/>
        <v>52.088633727368652</v>
      </c>
      <c r="X130" s="157">
        <f t="shared" si="35"/>
        <v>45042</v>
      </c>
      <c r="Y130" s="384">
        <f t="shared" si="36"/>
        <v>51.020434074355805</v>
      </c>
      <c r="Z130" s="384">
        <f t="shared" si="37"/>
        <v>52.996654626235753</v>
      </c>
      <c r="AA130" s="385">
        <f t="shared" si="38"/>
        <v>57.549657796081952</v>
      </c>
      <c r="AB130" s="196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7.9114339584416715E-2</v>
      </c>
      <c r="AD130" s="230">
        <f>(INDEX(Models!$BJ130:$BT130,,AH130)*(1-AF130)+INDEX(Models!$BJ130:$BT130,,AH130+1)*AF130-ERP_i)*AE130*Ramure*Pc/MaxiM</f>
        <v>1.6557475549063309E-4</v>
      </c>
      <c r="AE130" s="304">
        <f t="shared" si="40"/>
        <v>0.5</v>
      </c>
      <c r="AF130" s="176">
        <f t="shared" si="41"/>
        <v>7.5214093974229179E-2</v>
      </c>
      <c r="AG130" s="814">
        <f t="shared" si="49"/>
        <v>1</v>
      </c>
      <c r="AH130" s="175">
        <f t="shared" si="42"/>
        <v>7</v>
      </c>
      <c r="AI130" s="224">
        <f t="shared" si="43"/>
        <v>1.0752140939742292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10">
        <f>'2022'!Wh/'2022'!Env_an*'2023'!Env_an</f>
        <v>37.4073340507491</v>
      </c>
      <c r="C131" s="843"/>
      <c r="D131" s="392">
        <f t="shared" si="25"/>
        <v>38.857116114528047</v>
      </c>
      <c r="E131" s="384">
        <f t="shared" si="47"/>
        <v>41.333172199594649</v>
      </c>
      <c r="F131" s="384">
        <f t="shared" si="26"/>
        <v>41.337000761358269</v>
      </c>
      <c r="G131" s="110">
        <f t="shared" si="48"/>
        <v>0.69348999818932999</v>
      </c>
      <c r="H131" s="413" t="b">
        <f>Wh_hp&gt;='2022'!Maxi_hp</f>
        <v>0</v>
      </c>
      <c r="I131" s="389">
        <f>IF(H131,Wh_hp,'2022'!Maxi_hp)</f>
        <v>41.337669114089941</v>
      </c>
      <c r="J131" s="85">
        <f>IF(H131,An,'2022'!An_max)</f>
        <v>2022</v>
      </c>
      <c r="K131" s="196">
        <f t="shared" si="27"/>
        <v>45043</v>
      </c>
      <c r="L131" s="147">
        <f>IF(t&lt;Tvie,1-EXP((T0-t)*PertePVj)+'2022'!Pspv,1-EXP((T0-t)*PertePVj)+Pspv)</f>
        <v>3.7310593496075108E-2</v>
      </c>
      <c r="M131" s="847"/>
      <c r="N131" s="847"/>
      <c r="O131" s="48">
        <f>IF(t&lt;Tnet,'2022'!Resal+('2022'!Salim-'2022'!Resal)*(1-EXP(('2022'!Tnet-t)/('2022'!Tau_j))),Resal+(Salim-Resal)*(1-EXP((Tnet-t)/(Tau_j))))*Salcycl</f>
        <v>5.9904816235974365E-2</v>
      </c>
      <c r="P131" s="168">
        <f>(INDEX(Models!$BJ131:$BT131,,T131)*(1-R131)+INDEX(Models!$BJ131:$BT131,,T131+1)*R131-ERP_i)*Q131*Ramure*Pc/MaxiM</f>
        <v>1.6474256636755569E-4</v>
      </c>
      <c r="Q131" s="304">
        <f t="shared" si="28"/>
        <v>0.5</v>
      </c>
      <c r="R131" s="176">
        <f t="shared" si="29"/>
        <v>7.6686674566510016E-2</v>
      </c>
      <c r="S131" s="814">
        <f t="shared" si="30"/>
        <v>1</v>
      </c>
      <c r="T131" s="175">
        <f t="shared" si="31"/>
        <v>7</v>
      </c>
      <c r="U131" s="250">
        <f t="shared" si="32"/>
        <v>1.07668667456651</v>
      </c>
      <c r="V131" s="382">
        <f t="shared" si="33"/>
        <v>53.936806473199496</v>
      </c>
      <c r="W131" s="401">
        <f t="shared" si="34"/>
        <v>37.4073340507491</v>
      </c>
      <c r="X131" s="157">
        <f t="shared" si="35"/>
        <v>45043</v>
      </c>
      <c r="Y131" s="384">
        <f t="shared" si="36"/>
        <v>36.640606855057079</v>
      </c>
      <c r="Z131" s="384">
        <f t="shared" si="37"/>
        <v>38.060673159498087</v>
      </c>
      <c r="AA131" s="385">
        <f t="shared" si="38"/>
        <v>41.333172199594649</v>
      </c>
      <c r="AB131" s="196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7.9173672523703831E-2</v>
      </c>
      <c r="AD131" s="230">
        <f>(INDEX(Models!$BJ131:$BT131,,AH131)*(1-AF131)+INDEX(Models!$BJ131:$BT131,,AH131+1)*AF131-ERP_i)*AE131*Ramure*Pc/MaxiM</f>
        <v>1.6474256636755569E-4</v>
      </c>
      <c r="AE131" s="304">
        <f t="shared" si="40"/>
        <v>0.5</v>
      </c>
      <c r="AF131" s="176">
        <f t="shared" si="41"/>
        <v>7.6686674566510016E-2</v>
      </c>
      <c r="AG131" s="814">
        <f t="shared" si="49"/>
        <v>1</v>
      </c>
      <c r="AH131" s="175">
        <f t="shared" si="42"/>
        <v>7</v>
      </c>
      <c r="AI131" s="224">
        <f t="shared" si="43"/>
        <v>1.07668667456651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10">
        <f>'2022'!Wh/'2022'!Env_an*'2023'!Env_an</f>
        <v>22.280583954283337</v>
      </c>
      <c r="C132" s="843"/>
      <c r="D132" s="392">
        <f t="shared" si="25"/>
        <v>23.144610513096438</v>
      </c>
      <c r="E132" s="384">
        <f t="shared" si="47"/>
        <v>24.621308733276358</v>
      </c>
      <c r="F132" s="384">
        <f t="shared" si="26"/>
        <v>24.621962470829232</v>
      </c>
      <c r="G132" s="110">
        <f t="shared" si="48"/>
        <v>0.41246945501100857</v>
      </c>
      <c r="H132" s="413" t="b">
        <f>Wh_hp&gt;='2022'!Maxi_hp</f>
        <v>0</v>
      </c>
      <c r="I132" s="389">
        <f>IF(H132,Wh_hp,'2022'!Maxi_hp)</f>
        <v>46.272317689396395</v>
      </c>
      <c r="J132" s="85">
        <f>IF(H132,An,'2022'!An_max)</f>
        <v>2019</v>
      </c>
      <c r="K132" s="196">
        <f t="shared" si="27"/>
        <v>45044</v>
      </c>
      <c r="L132" s="147">
        <f>IF(t&lt;Tvie,1-EXP((T0-t)*PertePVj)+'2022'!Pspv,1-EXP((T0-t)*PertePVj)+Pspv)</f>
        <v>3.7331652581675125E-2</v>
      </c>
      <c r="M132" s="847"/>
      <c r="N132" s="847"/>
      <c r="O132" s="48">
        <f>IF(t&lt;Tnet,'2022'!Resal+('2022'!Salim-'2022'!Resal)*(1-EXP(('2022'!Tnet-t)/('2022'!Tau_j))),Resal+(Salim-Resal)*(1-EXP((Tnet-t)/(Tau_j))))*Salcycl</f>
        <v>5.9976430829776439E-2</v>
      </c>
      <c r="P132" s="168">
        <f>(INDEX(Models!$BJ132:$BT132,,T132)*(1-R132)+INDEX(Models!$BJ132:$BT132,,T132+1)*R132-ERP_i)*Q132*Ramure*Pc/MaxiM</f>
        <v>1.651670679701514E-4</v>
      </c>
      <c r="Q132" s="304">
        <f t="shared" si="28"/>
        <v>0.5</v>
      </c>
      <c r="R132" s="176">
        <f t="shared" si="29"/>
        <v>7.8203368992236344E-2</v>
      </c>
      <c r="S132" s="814">
        <f t="shared" si="30"/>
        <v>1</v>
      </c>
      <c r="T132" s="175">
        <f t="shared" si="31"/>
        <v>7</v>
      </c>
      <c r="U132" s="250">
        <f t="shared" si="32"/>
        <v>1.0782033689922363</v>
      </c>
      <c r="V132" s="382">
        <f t="shared" si="33"/>
        <v>54.010048876441417</v>
      </c>
      <c r="W132" s="401">
        <f t="shared" si="34"/>
        <v>22.280583954283337</v>
      </c>
      <c r="X132" s="157">
        <f t="shared" si="35"/>
        <v>45044</v>
      </c>
      <c r="Y132" s="384">
        <f t="shared" si="36"/>
        <v>21.82413558511681</v>
      </c>
      <c r="Z132" s="384">
        <f t="shared" si="37"/>
        <v>22.670461372958378</v>
      </c>
      <c r="AA132" s="385">
        <f t="shared" si="38"/>
        <v>24.621308733276358</v>
      </c>
      <c r="AB132" s="196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7.9234104955654028E-2</v>
      </c>
      <c r="AD132" s="230">
        <f>(INDEX(Models!$BJ132:$BT132,,AH132)*(1-AF132)+INDEX(Models!$BJ132:$BT132,,AH132+1)*AF132-ERP_i)*AE132*Ramure*Pc/MaxiM</f>
        <v>1.651670679701514E-4</v>
      </c>
      <c r="AE132" s="304">
        <f t="shared" si="40"/>
        <v>0.5</v>
      </c>
      <c r="AF132" s="176">
        <f t="shared" si="41"/>
        <v>7.8203368992236344E-2</v>
      </c>
      <c r="AG132" s="814">
        <f t="shared" si="49"/>
        <v>1</v>
      </c>
      <c r="AH132" s="175">
        <f t="shared" si="42"/>
        <v>7</v>
      </c>
      <c r="AI132" s="224">
        <f t="shared" si="43"/>
        <v>1.0782033689922363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10">
        <f>'2022'!Wh/'2022'!Env_an*'2023'!Env_an</f>
        <v>41.973659622816129</v>
      </c>
      <c r="C133" s="843"/>
      <c r="D133" s="392">
        <f t="shared" si="25"/>
        <v>43.602324663898145</v>
      </c>
      <c r="E133" s="384">
        <f t="shared" si="47"/>
        <v>46.387863450122182</v>
      </c>
      <c r="F133" s="384">
        <f t="shared" si="26"/>
        <v>46.393129217373492</v>
      </c>
      <c r="G133" s="110">
        <f t="shared" si="48"/>
        <v>0.77610403038225972</v>
      </c>
      <c r="H133" s="413" t="b">
        <f>Wh_hp&gt;='2022'!Maxi_hp</f>
        <v>0</v>
      </c>
      <c r="I133" s="389">
        <f>IF(H133,Wh_hp,'2022'!Maxi_hp)</f>
        <v>53.368157207245993</v>
      </c>
      <c r="J133" s="85">
        <f>IF(H133,An,'2022'!An_max)</f>
        <v>2019</v>
      </c>
      <c r="K133" s="196">
        <f t="shared" si="27"/>
        <v>45045</v>
      </c>
      <c r="L133" s="147">
        <f>IF(t&lt;Tvie,1-EXP((T0-t)*PertePVj)+'2022'!Pspv,1-EXP((T0-t)*PertePVj)+Pspv)</f>
        <v>3.7352711206026991E-2</v>
      </c>
      <c r="M133" s="847"/>
      <c r="N133" s="847"/>
      <c r="O133" s="48">
        <f>IF(t&lt;Tnet,'2022'!Resal+('2022'!Salim-'2022'!Resal)*(1-EXP(('2022'!Tnet-t)/('2022'!Tau_j))),Resal+(Salim-Resal)*(1-EXP((Tnet-t)/(Tau_j))))*Salcycl</f>
        <v>6.0048870093341276E-2</v>
      </c>
      <c r="P133" s="168">
        <f>(INDEX(Models!$BJ133:$BT133,,T133)*(1-R133)+INDEX(Models!$BJ133:$BT133,,T133+1)*R133-ERP_i)*Q133*Ramure*Pc/MaxiM</f>
        <v>1.6686543777245019E-4</v>
      </c>
      <c r="Q133" s="304">
        <f t="shared" si="28"/>
        <v>0.5</v>
      </c>
      <c r="R133" s="176">
        <f t="shared" si="29"/>
        <v>7.9764850848915714E-2</v>
      </c>
      <c r="S133" s="814">
        <f t="shared" si="30"/>
        <v>1</v>
      </c>
      <c r="T133" s="175">
        <f t="shared" si="31"/>
        <v>7</v>
      </c>
      <c r="U133" s="250">
        <f t="shared" si="32"/>
        <v>1.0797648508489157</v>
      </c>
      <c r="V133" s="382">
        <f t="shared" si="33"/>
        <v>54.079630971948752</v>
      </c>
      <c r="W133" s="401">
        <f t="shared" si="34"/>
        <v>41.973659622816129</v>
      </c>
      <c r="X133" s="157">
        <f t="shared" si="35"/>
        <v>45045</v>
      </c>
      <c r="Y133" s="384">
        <f t="shared" si="36"/>
        <v>41.114192651054701</v>
      </c>
      <c r="Z133" s="384">
        <f t="shared" si="37"/>
        <v>42.709508591213634</v>
      </c>
      <c r="AA133" s="385">
        <f t="shared" si="38"/>
        <v>46.387863450122182</v>
      </c>
      <c r="AB133" s="196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7.9295630049088989E-2</v>
      </c>
      <c r="AD133" s="230">
        <f>(INDEX(Models!$BJ133:$BT133,,AH133)*(1-AF133)+INDEX(Models!$BJ133:$BT133,,AH133+1)*AF133-ERP_i)*AE133*Ramure*Pc/MaxiM</f>
        <v>1.6686543777245019E-4</v>
      </c>
      <c r="AE133" s="304">
        <f t="shared" si="40"/>
        <v>0.5</v>
      </c>
      <c r="AF133" s="176">
        <f t="shared" si="41"/>
        <v>7.9764850848915714E-2</v>
      </c>
      <c r="AG133" s="814">
        <f t="shared" si="49"/>
        <v>1</v>
      </c>
      <c r="AH133" s="175">
        <f t="shared" si="42"/>
        <v>7</v>
      </c>
      <c r="AI133" s="224">
        <f t="shared" si="43"/>
        <v>1.0797648508489157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10">
        <f>'2022'!Wh/'2022'!Env_an*'2023'!Env_an</f>
        <v>42.566345013399101</v>
      </c>
      <c r="C134" s="843"/>
      <c r="D134" s="392">
        <f t="shared" si="25"/>
        <v>44.21897477851104</v>
      </c>
      <c r="E134" s="384">
        <f t="shared" si="47"/>
        <v>47.047575123494369</v>
      </c>
      <c r="F134" s="384">
        <f t="shared" si="26"/>
        <v>47.053125663444284</v>
      </c>
      <c r="G134" s="110">
        <f t="shared" si="48"/>
        <v>0.78610016076175038</v>
      </c>
      <c r="H134" s="413" t="b">
        <f>Wh_hp&gt;='2022'!Maxi_hp</f>
        <v>0</v>
      </c>
      <c r="I134" s="389">
        <f>IF(H134,Wh_hp,'2022'!Maxi_hp)</f>
        <v>60.260535835391735</v>
      </c>
      <c r="J134" s="85">
        <f>IF(H134,An,'2022'!An_max)</f>
        <v>2019</v>
      </c>
      <c r="K134" s="196">
        <f t="shared" si="27"/>
        <v>45046</v>
      </c>
      <c r="L134" s="147">
        <f>IF(t&lt;Tvie,1-EXP((T0-t)*PertePVj)+'2022'!Pspv,1-EXP((T0-t)*PertePVj)+Pspv)</f>
        <v>3.7373769369141031E-2</v>
      </c>
      <c r="M134" s="847"/>
      <c r="N134" s="847"/>
      <c r="O134" s="48">
        <f>IF(t&lt;Tnet,'2022'!Resal+('2022'!Salim-'2022'!Resal)*(1-EXP(('2022'!Tnet-t)/('2022'!Tau_j))),Resal+(Salim-Resal)*(1-EXP((Tnet-t)/(Tau_j))))*Salcycl</f>
        <v>6.0122128240585895E-2</v>
      </c>
      <c r="P134" s="168">
        <f>(INDEX(Models!$BJ134:$BT134,,T134)*(1-R134)+INDEX(Models!$BJ134:$BT134,,T134+1)*R134-ERP_i)*Q134*Ramure*Pc/MaxiM</f>
        <v>1.6985665974850615E-4</v>
      </c>
      <c r="Q134" s="304">
        <f t="shared" si="28"/>
        <v>0.5</v>
      </c>
      <c r="R134" s="176">
        <f t="shared" si="29"/>
        <v>8.1371756243283189E-2</v>
      </c>
      <c r="S134" s="814">
        <f t="shared" si="30"/>
        <v>1</v>
      </c>
      <c r="T134" s="175">
        <f t="shared" si="31"/>
        <v>7</v>
      </c>
      <c r="U134" s="250">
        <f t="shared" si="32"/>
        <v>1.0813717562432832</v>
      </c>
      <c r="V134" s="382">
        <f t="shared" si="33"/>
        <v>54.145944708956655</v>
      </c>
      <c r="W134" s="401">
        <f t="shared" si="34"/>
        <v>42.566345013399101</v>
      </c>
      <c r="X134" s="157">
        <f t="shared" si="35"/>
        <v>45046</v>
      </c>
      <c r="Y134" s="384">
        <f t="shared" si="36"/>
        <v>41.695156381338435</v>
      </c>
      <c r="Z134" s="384">
        <f t="shared" si="37"/>
        <v>43.313962423414779</v>
      </c>
      <c r="AA134" s="385">
        <f t="shared" si="38"/>
        <v>47.047575123494369</v>
      </c>
      <c r="AB134" s="196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7.9358238767445355E-2</v>
      </c>
      <c r="AD134" s="230">
        <f>(INDEX(Models!$BJ134:$BT134,,AH134)*(1-AF134)+INDEX(Models!$BJ134:$BT134,,AH134+1)*AF134-ERP_i)*AE134*Ramure*Pc/MaxiM</f>
        <v>1.6985665974850615E-4</v>
      </c>
      <c r="AE134" s="304">
        <f t="shared" si="40"/>
        <v>0.5</v>
      </c>
      <c r="AF134" s="176">
        <f t="shared" si="41"/>
        <v>8.1371756243283189E-2</v>
      </c>
      <c r="AG134" s="814">
        <f t="shared" si="49"/>
        <v>1</v>
      </c>
      <c r="AH134" s="175">
        <f t="shared" si="42"/>
        <v>7</v>
      </c>
      <c r="AI134" s="224">
        <f t="shared" si="43"/>
        <v>1.0813717562432832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10">
        <f>'2022'!Wh/'2022'!Env_an*'2023'!Env_an</f>
        <v>43.334878498802979</v>
      </c>
      <c r="C135" s="843"/>
      <c r="D135" s="392">
        <f t="shared" si="25"/>
        <v>45.018331209404906</v>
      </c>
      <c r="E135" s="384">
        <f t="shared" si="47"/>
        <v>47.901839832322096</v>
      </c>
      <c r="F135" s="384">
        <f t="shared" si="26"/>
        <v>47.907792958932497</v>
      </c>
      <c r="G135" s="110">
        <f t="shared" si="48"/>
        <v>0.79938521046820488</v>
      </c>
      <c r="H135" s="413" t="b">
        <f>Wh_hp&gt;='2022'!Maxi_hp</f>
        <v>0</v>
      </c>
      <c r="I135" s="389">
        <f>IF(H135,Wh_hp,'2022'!Maxi_hp)</f>
        <v>56.919945297038041</v>
      </c>
      <c r="J135" s="85">
        <f>IF(H135,An,'2022'!An_max)</f>
        <v>2019</v>
      </c>
      <c r="K135" s="196">
        <f t="shared" si="27"/>
        <v>45047</v>
      </c>
      <c r="L135" s="147">
        <f>IF(t&lt;Tvie,1-EXP((T0-t)*PertePVj)+'2022'!Pspv,1-EXP((T0-t)*PertePVj)+Pspv)</f>
        <v>3.7394827071027238E-2</v>
      </c>
      <c r="M135" s="847"/>
      <c r="N135" s="847"/>
      <c r="O135" s="48">
        <f>IF(t&lt;Tnet,'2022'!Resal+('2022'!Salim-'2022'!Resal)*(1-EXP(('2022'!Tnet-t)/('2022'!Tau_j))),Resal+(Salim-Resal)*(1-EXP((Tnet-t)/(Tau_j))))*Salcycl</f>
        <v>6.0196197745446996E-2</v>
      </c>
      <c r="P135" s="168">
        <f>(INDEX(Models!$BJ135:$BT135,,T135)*(1-R135)+INDEX(Models!$BJ135:$BT135,,T135+1)*R135-ERP_i)*Q135*Ramure*Pc/MaxiM</f>
        <v>1.7416730047883011E-4</v>
      </c>
      <c r="Q135" s="304">
        <f t="shared" si="28"/>
        <v>0.5</v>
      </c>
      <c r="R135" s="176">
        <f t="shared" si="29"/>
        <v>8.3024679898119125E-2</v>
      </c>
      <c r="S135" s="814">
        <f t="shared" si="30"/>
        <v>1</v>
      </c>
      <c r="T135" s="175">
        <f t="shared" si="31"/>
        <v>7</v>
      </c>
      <c r="U135" s="250">
        <f t="shared" si="32"/>
        <v>1.0830246798981191</v>
      </c>
      <c r="V135" s="382">
        <f t="shared" si="33"/>
        <v>54.207552291540622</v>
      </c>
      <c r="W135" s="401">
        <f t="shared" si="34"/>
        <v>43.334878498802979</v>
      </c>
      <c r="X135" s="157">
        <f t="shared" si="35"/>
        <v>45047</v>
      </c>
      <c r="Y135" s="384">
        <f t="shared" si="36"/>
        <v>42.4483697113061</v>
      </c>
      <c r="Z135" s="384">
        <f t="shared" si="37"/>
        <v>44.097383750957896</v>
      </c>
      <c r="AA135" s="385">
        <f t="shared" si="38"/>
        <v>47.901839832322096</v>
      </c>
      <c r="AB135" s="196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7.9421919798519258E-2</v>
      </c>
      <c r="AD135" s="230">
        <f>(INDEX(Models!$BJ135:$BT135,,AH135)*(1-AF135)+INDEX(Models!$BJ135:$BT135,,AH135+1)*AF135-ERP_i)*AE135*Ramure*Pc/MaxiM</f>
        <v>1.7416730047883011E-4</v>
      </c>
      <c r="AE135" s="304">
        <f t="shared" si="40"/>
        <v>0.5</v>
      </c>
      <c r="AF135" s="176">
        <f t="shared" si="41"/>
        <v>8.3024679898119125E-2</v>
      </c>
      <c r="AG135" s="814">
        <f t="shared" si="49"/>
        <v>1</v>
      </c>
      <c r="AH135" s="175">
        <f t="shared" si="42"/>
        <v>7</v>
      </c>
      <c r="AI135" s="224">
        <f t="shared" si="43"/>
        <v>1.0830246798981191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10">
        <f>'2022'!Wh/'2022'!Env_an*'2023'!Env_an</f>
        <v>26.250663434590177</v>
      </c>
      <c r="C136" s="843"/>
      <c r="D136" s="392">
        <f t="shared" si="25"/>
        <v>27.271033260110894</v>
      </c>
      <c r="E136" s="384">
        <f t="shared" si="47"/>
        <v>29.020106084658828</v>
      </c>
      <c r="F136" s="384">
        <f t="shared" si="26"/>
        <v>29.02147700883922</v>
      </c>
      <c r="G136" s="110">
        <f t="shared" si="48"/>
        <v>0.48370297883298063</v>
      </c>
      <c r="H136" s="413" t="b">
        <f>Wh_hp&gt;='2022'!Maxi_hp</f>
        <v>0</v>
      </c>
      <c r="I136" s="389">
        <f>IF(H136,Wh_hp,'2022'!Maxi_hp)</f>
        <v>40.444664400159141</v>
      </c>
      <c r="J136" s="85">
        <f>IF(H136,An,'2022'!An_max)</f>
        <v>2021</v>
      </c>
      <c r="K136" s="196">
        <f t="shared" si="27"/>
        <v>45048</v>
      </c>
      <c r="L136" s="147">
        <f>IF(t&lt;Tvie,1-EXP((T0-t)*PertePVj)+'2022'!Pspv,1-EXP((T0-t)*PertePVj)+Pspv)</f>
        <v>3.7415884311695714E-2</v>
      </c>
      <c r="M136" s="847"/>
      <c r="N136" s="847"/>
      <c r="O136" s="48">
        <f>IF(t&lt;Tnet,'2022'!Resal+('2022'!Salim-'2022'!Resal)*(1-EXP(('2022'!Tnet-t)/('2022'!Tau_j))),Resal+(Salim-Resal)*(1-EXP((Tnet-t)/(Tau_j))))*Salcycl</f>
        <v>6.027106928711614E-2</v>
      </c>
      <c r="P136" s="168">
        <f>(INDEX(Models!$BJ136:$BT136,,T136)*(1-R136)+INDEX(Models!$BJ136:$BT136,,T136+1)*R136-ERP_i)*Q136*Ramure*Pc/MaxiM</f>
        <v>1.7993846827632251E-4</v>
      </c>
      <c r="Q136" s="304">
        <f t="shared" si="28"/>
        <v>0.5</v>
      </c>
      <c r="R136" s="176">
        <f t="shared" si="29"/>
        <v>8.4724171159380246E-2</v>
      </c>
      <c r="S136" s="814">
        <f t="shared" si="30"/>
        <v>1</v>
      </c>
      <c r="T136" s="175">
        <f t="shared" si="31"/>
        <v>7</v>
      </c>
      <c r="U136" s="250">
        <f t="shared" si="32"/>
        <v>1.0847241711593802</v>
      </c>
      <c r="V136" s="382">
        <f t="shared" si="33"/>
        <v>54.26301046345462</v>
      </c>
      <c r="W136" s="401">
        <f t="shared" si="34"/>
        <v>26.250663434590177</v>
      </c>
      <c r="X136" s="157">
        <f t="shared" si="35"/>
        <v>45048</v>
      </c>
      <c r="Y136" s="384">
        <f t="shared" si="36"/>
        <v>25.71388950484388</v>
      </c>
      <c r="Z136" s="384">
        <f t="shared" si="37"/>
        <v>26.713394794029959</v>
      </c>
      <c r="AA136" s="385">
        <f t="shared" si="38"/>
        <v>29.020106084658828</v>
      </c>
      <c r="AB136" s="196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7.9486659487033651E-2</v>
      </c>
      <c r="AD136" s="230">
        <f>(INDEX(Models!$BJ136:$BT136,,AH136)*(1-AF136)+INDEX(Models!$BJ136:$BT136,,AH136+1)*AF136-ERP_i)*AE136*Ramure*Pc/MaxiM</f>
        <v>1.7993846827632251E-4</v>
      </c>
      <c r="AE136" s="304">
        <f t="shared" si="40"/>
        <v>0.5</v>
      </c>
      <c r="AF136" s="176">
        <f t="shared" si="41"/>
        <v>8.4724171159380246E-2</v>
      </c>
      <c r="AG136" s="814">
        <f t="shared" si="49"/>
        <v>1</v>
      </c>
      <c r="AH136" s="175">
        <f t="shared" si="42"/>
        <v>7</v>
      </c>
      <c r="AI136" s="224">
        <f t="shared" si="43"/>
        <v>1.0847241711593802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10">
        <f>'2022'!Wh/'2022'!Env_an*'2023'!Env_an</f>
        <v>10.625242904396956</v>
      </c>
      <c r="C137" s="843"/>
      <c r="D137" s="392">
        <f t="shared" si="25"/>
        <v>11.038490212206645</v>
      </c>
      <c r="E137" s="384">
        <f t="shared" si="47"/>
        <v>11.747407883924179</v>
      </c>
      <c r="F137" s="384">
        <f t="shared" si="26"/>
        <v>11.747407883924179</v>
      </c>
      <c r="G137" s="110">
        <f t="shared" si="48"/>
        <v>0.1955942453758677</v>
      </c>
      <c r="H137" s="413" t="b">
        <f>Wh_hp&gt;='2022'!Maxi_hp</f>
        <v>0</v>
      </c>
      <c r="I137" s="389">
        <f>IF(H137,Wh_hp,'2022'!Maxi_hp)</f>
        <v>59.833471224448644</v>
      </c>
      <c r="J137" s="85">
        <f>IF(H137,An,'2022'!An_max)</f>
        <v>2021</v>
      </c>
      <c r="K137" s="196">
        <f t="shared" si="27"/>
        <v>45049</v>
      </c>
      <c r="L137" s="147">
        <f>IF(t&lt;Tvie,1-EXP((T0-t)*PertePVj)+'2022'!Pspv,1-EXP((T0-t)*PertePVj)+Pspv)</f>
        <v>3.7436941091156563E-2</v>
      </c>
      <c r="M137" s="847"/>
      <c r="N137" s="847"/>
      <c r="O137" s="48">
        <f>IF(t&lt;Tnet,'2022'!Resal+('2022'!Salim-'2022'!Resal)*(1-EXP(('2022'!Tnet-t)/('2022'!Tau_j))),Resal+(Salim-Resal)*(1-EXP((Tnet-t)/(Tau_j))))*Salcycl</f>
        <v>6.0346731697948269E-2</v>
      </c>
      <c r="P137" s="168">
        <f>(INDEX(Models!$BJ137:$BT137,,T137)*(1-R137)+INDEX(Models!$BJ137:$BT137,,T137+1)*R137-ERP_i)*Q137*Ramure*Pc/MaxiM</f>
        <v>1.8660485043554159E-4</v>
      </c>
      <c r="Q137" s="304">
        <f t="shared" si="28"/>
        <v>0.5</v>
      </c>
      <c r="R137" s="176">
        <f t="shared" si="29"/>
        <v>8.6470729918718403E-2</v>
      </c>
      <c r="S137" s="814">
        <f t="shared" si="30"/>
        <v>1</v>
      </c>
      <c r="T137" s="175">
        <f t="shared" si="31"/>
        <v>7</v>
      </c>
      <c r="U137" s="250">
        <f t="shared" si="32"/>
        <v>1.0864707299187184</v>
      </c>
      <c r="V137" s="382">
        <f t="shared" si="33"/>
        <v>54.312744028432611</v>
      </c>
      <c r="W137" s="401">
        <f t="shared" si="34"/>
        <v>10.625242904396956</v>
      </c>
      <c r="X137" s="157">
        <f t="shared" si="35"/>
        <v>45049</v>
      </c>
      <c r="Y137" s="384">
        <f t="shared" si="36"/>
        <v>10.408072016410733</v>
      </c>
      <c r="Z137" s="384">
        <f t="shared" si="37"/>
        <v>10.812872902279535</v>
      </c>
      <c r="AA137" s="385">
        <f t="shared" si="38"/>
        <v>11.747407883924179</v>
      </c>
      <c r="AB137" s="196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7.955244177087907E-2</v>
      </c>
      <c r="AD137" s="230">
        <f>(INDEX(Models!$BJ137:$BT137,,AH137)*(1-AF137)+INDEX(Models!$BJ137:$BT137,,AH137+1)*AF137-ERP_i)*AE137*Ramure*Pc/MaxiM</f>
        <v>1.8660485043554159E-4</v>
      </c>
      <c r="AE137" s="304">
        <f t="shared" si="40"/>
        <v>0.5</v>
      </c>
      <c r="AF137" s="176">
        <f t="shared" si="41"/>
        <v>8.6470729918718403E-2</v>
      </c>
      <c r="AG137" s="814">
        <f t="shared" si="49"/>
        <v>1</v>
      </c>
      <c r="AH137" s="175">
        <f t="shared" si="42"/>
        <v>7</v>
      </c>
      <c r="AI137" s="224">
        <f t="shared" si="43"/>
        <v>1.0864707299187184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10">
        <f>'2022'!Wh/'2022'!Env_an*'2023'!Env_an</f>
        <v>16.677048373061613</v>
      </c>
      <c r="C138" s="843"/>
      <c r="D138" s="392">
        <f t="shared" si="25"/>
        <v>17.326047412141079</v>
      </c>
      <c r="E138" s="384">
        <f t="shared" si="47"/>
        <v>18.440266824639696</v>
      </c>
      <c r="F138" s="384">
        <f t="shared" si="26"/>
        <v>18.440301635774354</v>
      </c>
      <c r="G138" s="110">
        <f t="shared" si="48"/>
        <v>0.30674607833242251</v>
      </c>
      <c r="H138" s="413" t="b">
        <f>Wh_hp&gt;='2022'!Maxi_hp</f>
        <v>0</v>
      </c>
      <c r="I138" s="389">
        <f>IF(H138,Wh_hp,'2022'!Maxi_hp)</f>
        <v>55.569460873367788</v>
      </c>
      <c r="J138" s="85">
        <f>IF(H138,An,'2022'!An_max)</f>
        <v>2020</v>
      </c>
      <c r="K138" s="196">
        <f t="shared" si="27"/>
        <v>45050</v>
      </c>
      <c r="L138" s="147">
        <f>IF(t&lt;Tvie,1-EXP((T0-t)*PertePVj)+'2022'!Pspv,1-EXP((T0-t)*PertePVj)+Pspv)</f>
        <v>3.7457997409419887E-2</v>
      </c>
      <c r="M138" s="847"/>
      <c r="N138" s="847"/>
      <c r="O138" s="48">
        <f>IF(t&lt;Tnet,'2022'!Resal+('2022'!Salim-'2022'!Resal)*(1-EXP(('2022'!Tnet-t)/('2022'!Tau_j))),Resal+(Salim-Resal)*(1-EXP((Tnet-t)/(Tau_j))))*Salcycl</f>
        <v>6.0423171914725737E-2</v>
      </c>
      <c r="P138" s="168">
        <f>(INDEX(Models!$BJ138:$BT138,,T138)*(1-R138)+INDEX(Models!$BJ138:$BT138,,T138+1)*R138-ERP_i)*Q138*Ramure*Pc/MaxiM</f>
        <v>1.9418478989303121E-4</v>
      </c>
      <c r="Q138" s="304">
        <f t="shared" si="28"/>
        <v>0.5</v>
      </c>
      <c r="R138" s="176">
        <f t="shared" si="29"/>
        <v>8.8264802468492665E-2</v>
      </c>
      <c r="S138" s="814">
        <f t="shared" si="30"/>
        <v>1</v>
      </c>
      <c r="T138" s="175">
        <f t="shared" si="31"/>
        <v>7</v>
      </c>
      <c r="U138" s="250">
        <f t="shared" si="32"/>
        <v>1.0882648024684927</v>
      </c>
      <c r="V138" s="382">
        <f t="shared" si="33"/>
        <v>54.357146181062149</v>
      </c>
      <c r="W138" s="401">
        <f t="shared" si="34"/>
        <v>16.677048373061613</v>
      </c>
      <c r="X138" s="157">
        <f t="shared" si="35"/>
        <v>45050</v>
      </c>
      <c r="Y138" s="384">
        <f t="shared" si="36"/>
        <v>16.336327016477433</v>
      </c>
      <c r="Z138" s="384">
        <f t="shared" si="37"/>
        <v>16.97206664489439</v>
      </c>
      <c r="AA138" s="385">
        <f t="shared" si="38"/>
        <v>18.440266824639696</v>
      </c>
      <c r="AB138" s="196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7.9619248121915009E-2</v>
      </c>
      <c r="AD138" s="230">
        <f>(INDEX(Models!$BJ138:$BT138,,AH138)*(1-AF138)+INDEX(Models!$BJ138:$BT138,,AH138+1)*AF138-ERP_i)*AE138*Ramure*Pc/MaxiM</f>
        <v>1.9418478989303121E-4</v>
      </c>
      <c r="AE138" s="304">
        <f t="shared" si="40"/>
        <v>0.5</v>
      </c>
      <c r="AF138" s="176">
        <f t="shared" si="41"/>
        <v>8.8264802468492665E-2</v>
      </c>
      <c r="AG138" s="814">
        <f t="shared" si="49"/>
        <v>1</v>
      </c>
      <c r="AH138" s="175">
        <f t="shared" si="42"/>
        <v>7</v>
      </c>
      <c r="AI138" s="224">
        <f t="shared" si="43"/>
        <v>1.0882648024684927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10">
        <f>'2022'!Wh/'2022'!Env_an*'2023'!Env_an</f>
        <v>35.972720497145268</v>
      </c>
      <c r="C139" s="843"/>
      <c r="D139" s="392">
        <f t="shared" si="25"/>
        <v>37.373441709736767</v>
      </c>
      <c r="E139" s="384">
        <f t="shared" si="47"/>
        <v>39.780156066704734</v>
      </c>
      <c r="F139" s="384">
        <f t="shared" si="26"/>
        <v>39.784318391918561</v>
      </c>
      <c r="G139" s="110">
        <f t="shared" si="48"/>
        <v>0.66123958929061533</v>
      </c>
      <c r="H139" s="413" t="b">
        <f>Wh_hp&gt;='2022'!Maxi_hp</f>
        <v>0</v>
      </c>
      <c r="I139" s="389">
        <f>IF(H139,Wh_hp,'2022'!Maxi_hp)</f>
        <v>58.993355519975921</v>
      </c>
      <c r="J139" s="85">
        <f>IF(H139,An,'2022'!An_max)</f>
        <v>2020</v>
      </c>
      <c r="K139" s="196">
        <f t="shared" si="27"/>
        <v>45051</v>
      </c>
      <c r="L139" s="147">
        <f>IF(t&lt;Tvie,1-EXP((T0-t)*PertePVj)+'2022'!Pspv,1-EXP((T0-t)*PertePVj)+Pspv)</f>
        <v>3.7479053266495789E-2</v>
      </c>
      <c r="M139" s="847"/>
      <c r="N139" s="847"/>
      <c r="O139" s="48">
        <f>IF(t&lt;Tnet,'2022'!Resal+('2022'!Salim-'2022'!Resal)*(1-EXP(('2022'!Tnet-t)/('2022'!Tau_j))),Resal+(Salim-Resal)*(1-EXP((Tnet-t)/(Tau_j))))*Salcycl</f>
        <v>6.0500374933982276E-2</v>
      </c>
      <c r="P139" s="168">
        <f>(INDEX(Models!$BJ139:$BT139,,T139)*(1-R139)+INDEX(Models!$BJ139:$BT139,,T139+1)*R139-ERP_i)*Q139*Ramure*Pc/MaxiM</f>
        <v>2.0269769626540978E-4</v>
      </c>
      <c r="Q139" s="304">
        <f t="shared" si="28"/>
        <v>0.5</v>
      </c>
      <c r="R139" s="176">
        <f t="shared" si="29"/>
        <v>9.0106777308438524E-2</v>
      </c>
      <c r="S139" s="814">
        <f t="shared" si="30"/>
        <v>1</v>
      </c>
      <c r="T139" s="175">
        <f t="shared" si="31"/>
        <v>7</v>
      </c>
      <c r="U139" s="250">
        <f t="shared" si="32"/>
        <v>1.0901067773084385</v>
      </c>
      <c r="V139" s="382">
        <f t="shared" si="33"/>
        <v>54.396610049084373</v>
      </c>
      <c r="W139" s="401">
        <f t="shared" si="34"/>
        <v>35.972720497145268</v>
      </c>
      <c r="X139" s="157">
        <f t="shared" si="35"/>
        <v>45051</v>
      </c>
      <c r="Y139" s="384">
        <f t="shared" si="36"/>
        <v>35.238077128993467</v>
      </c>
      <c r="Z139" s="384">
        <f t="shared" si="37"/>
        <v>36.610192483166735</v>
      </c>
      <c r="AA139" s="385">
        <f t="shared" si="38"/>
        <v>39.780156066704734</v>
      </c>
      <c r="AB139" s="196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7.96870574922455E-2</v>
      </c>
      <c r="AD139" s="230">
        <f>(INDEX(Models!$BJ139:$BT139,,AH139)*(1-AF139)+INDEX(Models!$BJ139:$BT139,,AH139+1)*AF139-ERP_i)*AE139*Ramure*Pc/MaxiM</f>
        <v>2.0269769626540978E-4</v>
      </c>
      <c r="AE139" s="304">
        <f t="shared" si="40"/>
        <v>0.5</v>
      </c>
      <c r="AF139" s="176">
        <f t="shared" si="41"/>
        <v>9.0106777308438524E-2</v>
      </c>
      <c r="AG139" s="814">
        <f t="shared" si="49"/>
        <v>1</v>
      </c>
      <c r="AH139" s="175">
        <f t="shared" si="42"/>
        <v>7</v>
      </c>
      <c r="AI139" s="224">
        <f t="shared" si="43"/>
        <v>1.0901067773084385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10">
        <f>'2022'!Wh/'2022'!Env_an*'2023'!Env_an</f>
        <v>35.034591454322737</v>
      </c>
      <c r="C140" s="843"/>
      <c r="D140" s="392">
        <f t="shared" si="25"/>
        <v>36.399579646325421</v>
      </c>
      <c r="E140" s="384">
        <f t="shared" si="47"/>
        <v>38.746795573721954</v>
      </c>
      <c r="F140" s="384">
        <f t="shared" si="26"/>
        <v>38.750831701169091</v>
      </c>
      <c r="G140" s="110">
        <f t="shared" si="48"/>
        <v>0.64357566062204907</v>
      </c>
      <c r="H140" s="413" t="b">
        <f>Wh_hp&gt;='2022'!Maxi_hp</f>
        <v>0</v>
      </c>
      <c r="I140" s="389">
        <f>IF(H140,Wh_hp,'2022'!Maxi_hp)</f>
        <v>62.888390720107274</v>
      </c>
      <c r="J140" s="85">
        <f>IF(H140,An,'2022'!An_max)</f>
        <v>2019</v>
      </c>
      <c r="K140" s="196">
        <f t="shared" si="27"/>
        <v>45052</v>
      </c>
      <c r="L140" s="147">
        <f>IF(t&lt;Tvie,1-EXP((T0-t)*PertePVj)+'2022'!Pspv,1-EXP((T0-t)*PertePVj)+Pspv)</f>
        <v>3.7500108662394484E-2</v>
      </c>
      <c r="M140" s="847"/>
      <c r="N140" s="847"/>
      <c r="O140" s="48">
        <f>IF(t&lt;Tnet,'2022'!Resal+('2022'!Salim-'2022'!Resal)*(1-EXP(('2022'!Tnet-t)/('2022'!Tau_j))),Resal+(Salim-Resal)*(1-EXP((Tnet-t)/(Tau_j))))*Salcycl</f>
        <v>6.0578323772106084E-2</v>
      </c>
      <c r="P140" s="168">
        <f>(INDEX(Models!$BJ140:$BT140,,T140)*(1-R140)+INDEX(Models!$BJ140:$BT140,,T140+1)*R140-ERP_i)*Q140*Ramure*Pc/MaxiM</f>
        <v>2.121639624652508E-4</v>
      </c>
      <c r="Q140" s="304">
        <f t="shared" si="28"/>
        <v>0.5</v>
      </c>
      <c r="R140" s="176">
        <f t="shared" si="29"/>
        <v>9.1996980925243443E-2</v>
      </c>
      <c r="S140" s="814">
        <f t="shared" si="30"/>
        <v>1</v>
      </c>
      <c r="T140" s="175">
        <f t="shared" si="31"/>
        <v>7</v>
      </c>
      <c r="U140" s="250">
        <f t="shared" si="32"/>
        <v>1.0919969809252434</v>
      </c>
      <c r="V140" s="382">
        <f t="shared" si="33"/>
        <v>54.431528699636139</v>
      </c>
      <c r="W140" s="401">
        <f t="shared" si="34"/>
        <v>35.034591454322737</v>
      </c>
      <c r="X140" s="157">
        <f t="shared" si="35"/>
        <v>45052</v>
      </c>
      <c r="Y140" s="384">
        <f t="shared" si="36"/>
        <v>34.31938902423942</v>
      </c>
      <c r="Z140" s="384">
        <f t="shared" si="37"/>
        <v>35.656512102609256</v>
      </c>
      <c r="AA140" s="385">
        <f t="shared" si="38"/>
        <v>38.746795573721954</v>
      </c>
      <c r="AB140" s="196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7.9755846266898286E-2</v>
      </c>
      <c r="AD140" s="230">
        <f>(INDEX(Models!$BJ140:$BT140,,AH140)*(1-AF140)+INDEX(Models!$BJ140:$BT140,,AH140+1)*AF140-ERP_i)*AE140*Ramure*Pc/MaxiM</f>
        <v>2.121639624652508E-4</v>
      </c>
      <c r="AE140" s="304">
        <f t="shared" si="40"/>
        <v>0.5</v>
      </c>
      <c r="AF140" s="176">
        <f t="shared" si="41"/>
        <v>9.1996980925243443E-2</v>
      </c>
      <c r="AG140" s="814">
        <f t="shared" si="49"/>
        <v>1</v>
      </c>
      <c r="AH140" s="175">
        <f t="shared" si="42"/>
        <v>7</v>
      </c>
      <c r="AI140" s="224">
        <f t="shared" si="43"/>
        <v>1.0919969809252434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10">
        <f>'2022'!Wh/'2022'!Env_an*'2023'!Env_an</f>
        <v>46.252615750622745</v>
      </c>
      <c r="C141" s="843"/>
      <c r="D141" s="392">
        <f t="shared" si="25"/>
        <v>48.055722371501929</v>
      </c>
      <c r="E141" s="384">
        <f t="shared" si="47"/>
        <v>51.158865656517214</v>
      </c>
      <c r="F141" s="384">
        <f t="shared" si="26"/>
        <v>51.167803050326775</v>
      </c>
      <c r="G141" s="110">
        <f t="shared" si="48"/>
        <v>0.84921867614084057</v>
      </c>
      <c r="H141" s="413" t="b">
        <f>Wh_hp&gt;='2022'!Maxi_hp</f>
        <v>0</v>
      </c>
      <c r="I141" s="389">
        <f>IF(H141,Wh_hp,'2022'!Maxi_hp)</f>
        <v>58.152952169417603</v>
      </c>
      <c r="J141" s="85">
        <f>IF(H141,An,'2022'!An_max)</f>
        <v>2020</v>
      </c>
      <c r="K141" s="196">
        <f t="shared" si="27"/>
        <v>45053</v>
      </c>
      <c r="L141" s="147">
        <f>IF(t&lt;Tvie,1-EXP((T0-t)*PertePVj)+'2022'!Pspv,1-EXP((T0-t)*PertePVj)+Pspv)</f>
        <v>3.7521163597125852E-2</v>
      </c>
      <c r="M141" s="847"/>
      <c r="N141" s="847"/>
      <c r="O141" s="48">
        <f>IF(t&lt;Tnet,'2022'!Resal+('2022'!Salim-'2022'!Resal)*(1-EXP(('2022'!Tnet-t)/('2022'!Tau_j))),Resal+(Salim-Resal)*(1-EXP((Tnet-t)/(Tau_j))))*Salcycl</f>
        <v>6.0656999430947482E-2</v>
      </c>
      <c r="P141" s="168">
        <f>(INDEX(Models!$BJ141:$BT141,,T141)*(1-R141)+INDEX(Models!$BJ141:$BT141,,T141+1)*R141-ERP_i)*Q141*Ramure*Pc/MaxiM</f>
        <v>2.226048749914032E-4</v>
      </c>
      <c r="Q141" s="304">
        <f t="shared" si="28"/>
        <v>0.5</v>
      </c>
      <c r="R141" s="176">
        <f t="shared" si="29"/>
        <v>9.3935673568334765E-2</v>
      </c>
      <c r="S141" s="814">
        <f t="shared" si="30"/>
        <v>1</v>
      </c>
      <c r="T141" s="175">
        <f t="shared" si="31"/>
        <v>7</v>
      </c>
      <c r="U141" s="250">
        <f t="shared" si="32"/>
        <v>1.0939356735683348</v>
      </c>
      <c r="V141" s="382">
        <f t="shared" si="33"/>
        <v>54.462295132335221</v>
      </c>
      <c r="W141" s="401">
        <f t="shared" si="34"/>
        <v>46.252615750622745</v>
      </c>
      <c r="X141" s="157">
        <f t="shared" si="35"/>
        <v>45053</v>
      </c>
      <c r="Y141" s="384">
        <f t="shared" si="36"/>
        <v>45.308767367888855</v>
      </c>
      <c r="Z141" s="384">
        <f t="shared" si="37"/>
        <v>47.075079112621154</v>
      </c>
      <c r="AA141" s="385">
        <f t="shared" si="38"/>
        <v>51.158865656517214</v>
      </c>
      <c r="AB141" s="196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7.9825588223843322E-2</v>
      </c>
      <c r="AD141" s="230">
        <f>(INDEX(Models!$BJ141:$BT141,,AH141)*(1-AF141)+INDEX(Models!$BJ141:$BT141,,AH141+1)*AF141-ERP_i)*AE141*Ramure*Pc/MaxiM</f>
        <v>2.226048749914032E-4</v>
      </c>
      <c r="AE141" s="304">
        <f t="shared" si="40"/>
        <v>0.5</v>
      </c>
      <c r="AF141" s="176">
        <f t="shared" si="41"/>
        <v>9.3935673568334765E-2</v>
      </c>
      <c r="AG141" s="814">
        <f t="shared" si="49"/>
        <v>1</v>
      </c>
      <c r="AH141" s="175">
        <f t="shared" si="42"/>
        <v>7</v>
      </c>
      <c r="AI141" s="224">
        <f t="shared" si="43"/>
        <v>1.0939356735683348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10">
        <f>'2022'!Wh/'2022'!Env_an*'2023'!Env_an</f>
        <v>47.663874374230588</v>
      </c>
      <c r="C142" s="843"/>
      <c r="D142" s="392">
        <f t="shared" si="25"/>
        <v>49.523080668209381</v>
      </c>
      <c r="E142" s="384">
        <f t="shared" si="47"/>
        <v>52.725432625680007</v>
      </c>
      <c r="F142" s="384">
        <f t="shared" si="26"/>
        <v>52.735565089726968</v>
      </c>
      <c r="G142" s="110">
        <f t="shared" si="48"/>
        <v>0.87470153989682498</v>
      </c>
      <c r="H142" s="413" t="b">
        <f>Wh_hp&gt;='2022'!Maxi_hp</f>
        <v>0</v>
      </c>
      <c r="I142" s="389">
        <f>IF(H142,Wh_hp,'2022'!Maxi_hp)</f>
        <v>57.718187862260137</v>
      </c>
      <c r="J142" s="85">
        <f>IF(H142,An,'2022'!An_max)</f>
        <v>2021</v>
      </c>
      <c r="K142" s="196">
        <f t="shared" si="27"/>
        <v>45054</v>
      </c>
      <c r="L142" s="147">
        <f>IF(t&lt;Tvie,1-EXP((T0-t)*PertePVj)+'2022'!Pspv,1-EXP((T0-t)*PertePVj)+Pspv)</f>
        <v>3.7542218070700219E-2</v>
      </c>
      <c r="M142" s="847"/>
      <c r="N142" s="847"/>
      <c r="O142" s="48">
        <f>IF(t&lt;Tnet,'2022'!Resal+('2022'!Salim-'2022'!Resal)*(1-EXP(('2022'!Tnet-t)/('2022'!Tau_j))),Resal+(Salim-Resal)*(1-EXP((Tnet-t)/(Tau_j))))*Salcycl</f>
        <v>6.0736380869654813E-2</v>
      </c>
      <c r="P142" s="168">
        <f>(INDEX(Models!$BJ142:$BT142,,T142)*(1-R142)+INDEX(Models!$BJ142:$BT142,,T142+1)*R142-ERP_i)*Q142*Ramure*Pc/MaxiM</f>
        <v>2.3401271818548219E-4</v>
      </c>
      <c r="Q142" s="304">
        <f t="shared" si="28"/>
        <v>0.5</v>
      </c>
      <c r="R142" s="176">
        <f t="shared" si="29"/>
        <v>9.5923045047214606E-2</v>
      </c>
      <c r="S142" s="814">
        <f t="shared" si="30"/>
        <v>1</v>
      </c>
      <c r="T142" s="175">
        <f t="shared" si="31"/>
        <v>7</v>
      </c>
      <c r="U142" s="250">
        <f t="shared" si="32"/>
        <v>1.0959230450472146</v>
      </c>
      <c r="V142" s="382">
        <f t="shared" si="33"/>
        <v>54.489303913941477</v>
      </c>
      <c r="W142" s="401">
        <f t="shared" si="34"/>
        <v>47.663874374230588</v>
      </c>
      <c r="X142" s="157">
        <f t="shared" si="35"/>
        <v>45054</v>
      </c>
      <c r="Y142" s="384">
        <f t="shared" si="36"/>
        <v>46.69158737061268</v>
      </c>
      <c r="Z142" s="384">
        <f t="shared" si="37"/>
        <v>48.51286804187589</v>
      </c>
      <c r="AA142" s="385">
        <f t="shared" si="38"/>
        <v>52.725432625680007</v>
      </c>
      <c r="AB142" s="196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7.9896254502279454E-2</v>
      </c>
      <c r="AD142" s="230">
        <f>(INDEX(Models!$BJ142:$BT142,,AH142)*(1-AF142)+INDEX(Models!$BJ142:$BT142,,AH142+1)*AF142-ERP_i)*AE142*Ramure*Pc/MaxiM</f>
        <v>2.3401271818548219E-4</v>
      </c>
      <c r="AE142" s="304">
        <f t="shared" si="40"/>
        <v>0.5</v>
      </c>
      <c r="AF142" s="176">
        <f t="shared" si="41"/>
        <v>9.5923045047214606E-2</v>
      </c>
      <c r="AG142" s="814">
        <f t="shared" si="49"/>
        <v>1</v>
      </c>
      <c r="AH142" s="175">
        <f t="shared" si="42"/>
        <v>7</v>
      </c>
      <c r="AI142" s="224">
        <f t="shared" si="43"/>
        <v>1.0959230450472146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10">
        <f>'2022'!Wh/'2022'!Env_an*'2023'!Env_an</f>
        <v>52.365691172013044</v>
      </c>
      <c r="C143" s="843"/>
      <c r="D143" s="392">
        <f t="shared" ref="D143:D206" si="50">Wh/(1-Ppv)</f>
        <v>54.409489635079652</v>
      </c>
      <c r="E143" s="384">
        <f t="shared" si="47"/>
        <v>57.932753767308988</v>
      </c>
      <c r="F143" s="384">
        <f t="shared" ref="F143:F206" si="51">Wh_sa/(1-Pvg*MEDIAN((-Sdif+Wh/Env_an)/Csdif,0,1))</f>
        <v>57.946190089075131</v>
      </c>
      <c r="G143" s="110">
        <f t="shared" si="48"/>
        <v>0.96059618650400824</v>
      </c>
      <c r="H143" s="413" t="b">
        <f>Wh_hp&gt;='2022'!Maxi_hp</f>
        <v>0</v>
      </c>
      <c r="I143" s="389">
        <f>IF(H143,Wh_hp,'2022'!Maxi_hp)</f>
        <v>57.946357888755081</v>
      </c>
      <c r="J143" s="85">
        <f>IF(H143,An,'2022'!An_max)</f>
        <v>2022</v>
      </c>
      <c r="K143" s="196">
        <f t="shared" ref="K143:K206" si="52">t</f>
        <v>45055</v>
      </c>
      <c r="L143" s="147">
        <f>IF(t&lt;Tvie,1-EXP((T0-t)*PertePVj)+'2022'!Pspv,1-EXP((T0-t)*PertePVj)+Pspv)</f>
        <v>3.7563272083127576E-2</v>
      </c>
      <c r="M143" s="847"/>
      <c r="N143" s="847"/>
      <c r="O143" s="48">
        <f>IF(t&lt;Tnet,'2022'!Resal+('2022'!Salim-'2022'!Resal)*(1-EXP(('2022'!Tnet-t)/('2022'!Tau_j))),Resal+(Salim-Resal)*(1-EXP((Tnet-t)/(Tau_j))))*Salcycl</f>
        <v>6.0816444983450672E-2</v>
      </c>
      <c r="P143" s="168">
        <f>(INDEX(Models!$BJ143:$BT143,,T143)*(1-R143)+INDEX(Models!$BJ143:$BT143,,T143+1)*R143-ERP_i)*Q143*Ramure*Pc/MaxiM</f>
        <v>2.4570203468480395E-4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9.7959210577621691E-2</v>
      </c>
      <c r="S143" s="814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1.0979592105776217</v>
      </c>
      <c r="V143" s="382">
        <f t="shared" ref="V143:V206" si="58">MaxiM*(1-Ppv)*(1-Pvg)*(1-Psa)</f>
        <v>54.512986540855216</v>
      </c>
      <c r="W143" s="401">
        <f t="shared" ref="W143:W206" si="59">Wh*(A143&gt;Tmaj)</f>
        <v>52.365691172013044</v>
      </c>
      <c r="X143" s="157">
        <f t="shared" ref="X143:X206" si="60">t</f>
        <v>45055</v>
      </c>
      <c r="Y143" s="384">
        <f t="shared" ref="Y143:Y206" si="61">Wh_pvt_s*(1-Ppv)</f>
        <v>51.297875782681679</v>
      </c>
      <c r="Z143" s="384">
        <f t="shared" ref="Z143:Z206" si="62">Wh_sa_s*(1-Psa_s)</f>
        <v>53.299998113862898</v>
      </c>
      <c r="AA143" s="385">
        <f t="shared" ref="AA143:AA206" si="63">Wh_hp*(1-Pvg_s*MEDIAN((-Sdif+Wh/Env_an)/Csdif,0,1))</f>
        <v>57.932753767308988</v>
      </c>
      <c r="AB143" s="196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7.9967813580101521E-2</v>
      </c>
      <c r="AD143" s="230">
        <f>(INDEX(Models!$BJ143:$BT143,,AH143)*(1-AF143)+INDEX(Models!$BJ143:$BT143,,AH143+1)*AF143-ERP_i)*AE143*Ramure*Pc/MaxiM</f>
        <v>2.4570203468480395E-4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9.7959210577621691E-2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1.0979592105776217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10">
        <f>'2022'!Wh/'2022'!Env_an*'2023'!Env_an</f>
        <v>48.381773521029992</v>
      </c>
      <c r="C144" s="843"/>
      <c r="D144" s="392">
        <f t="shared" si="50"/>
        <v>50.271181995163296</v>
      </c>
      <c r="E144" s="384">
        <f t="shared" ref="E144:E169" si="72">Wh_pvt/(1-Psa)</f>
        <v>53.531072643689704</v>
      </c>
      <c r="F144" s="384">
        <f t="shared" si="51"/>
        <v>53.54264599123649</v>
      </c>
      <c r="G144" s="110">
        <f t="shared" ref="G144:G169" si="73">+Wh_hp/MaxiM</f>
        <v>0.88715292151498715</v>
      </c>
      <c r="H144" s="413" t="b">
        <f>Wh_hp&gt;='2022'!Maxi_hp</f>
        <v>0</v>
      </c>
      <c r="I144" s="389">
        <f>IF(H144,Wh_hp,'2022'!Maxi_hp)</f>
        <v>53.543110487793705</v>
      </c>
      <c r="J144" s="85">
        <f>IF(H144,An,'2022'!An_max)</f>
        <v>2022</v>
      </c>
      <c r="K144" s="196">
        <f t="shared" si="52"/>
        <v>45056</v>
      </c>
      <c r="L144" s="147">
        <f>IF(t&lt;Tvie,1-EXP((T0-t)*PertePVj)+'2022'!Pspv,1-EXP((T0-t)*PertePVj)+Pspv)</f>
        <v>3.7584325634417916E-2</v>
      </c>
      <c r="M144" s="847"/>
      <c r="N144" s="847"/>
      <c r="O144" s="48">
        <f>IF(t&lt;Tnet,'2022'!Resal+('2022'!Salim-'2022'!Resal)*(1-EXP(('2022'!Tnet-t)/('2022'!Tau_j))),Resal+(Salim-Resal)*(1-EXP((Tnet-t)/(Tau_j))))*Salcycl</f>
        <v>6.0897166590041914E-2</v>
      </c>
      <c r="P144" s="168">
        <f>(INDEX(Models!$BJ144:$BT144,,T144)*(1-R144)+INDEX(Models!$BJ144:$BT144,,T144+1)*R144-ERP_i)*Q144*Ramure*Pc/MaxiM</f>
        <v>2.5767882038975798E-4</v>
      </c>
      <c r="Q144" s="304">
        <f t="shared" si="53"/>
        <v>0.5</v>
      </c>
      <c r="R144" s="176">
        <f t="shared" si="54"/>
        <v>0.10004420670565262</v>
      </c>
      <c r="S144" s="814">
        <f t="shared" si="55"/>
        <v>1</v>
      </c>
      <c r="T144" s="175">
        <f t="shared" si="56"/>
        <v>7</v>
      </c>
      <c r="U144" s="250">
        <f t="shared" si="57"/>
        <v>1.1000442067056526</v>
      </c>
      <c r="V144" s="382">
        <f t="shared" si="58"/>
        <v>54.533736822494234</v>
      </c>
      <c r="W144" s="401">
        <f t="shared" si="59"/>
        <v>48.381773521029992</v>
      </c>
      <c r="X144" s="157">
        <f t="shared" si="60"/>
        <v>45056</v>
      </c>
      <c r="Y144" s="384">
        <f t="shared" si="61"/>
        <v>47.39553922753246</v>
      </c>
      <c r="Z144" s="384">
        <f t="shared" si="62"/>
        <v>49.246433209616292</v>
      </c>
      <c r="AA144" s="385">
        <f t="shared" si="63"/>
        <v>53.531072643689704</v>
      </c>
      <c r="AB144" s="196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8.0040231261431435E-2</v>
      </c>
      <c r="AD144" s="230">
        <f>(INDEX(Models!$BJ144:$BT144,,AH144)*(1-AF144)+INDEX(Models!$BJ144:$BT144,,AH144+1)*AF144-ERP_i)*AE144*Ramure*Pc/MaxiM</f>
        <v>2.5767882038975798E-4</v>
      </c>
      <c r="AE144" s="304">
        <f t="shared" si="65"/>
        <v>0.5</v>
      </c>
      <c r="AF144" s="176">
        <f t="shared" si="66"/>
        <v>0.10004420670565262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1.1000442067056526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10">
        <f>'2022'!Wh/'2022'!Env_an*'2023'!Env_an</f>
        <v>52.646057994363886</v>
      </c>
      <c r="C145" s="843"/>
      <c r="D145" s="392">
        <f t="shared" si="50"/>
        <v>54.703192256617591</v>
      </c>
      <c r="E145" s="384">
        <f t="shared" si="72"/>
        <v>58.255528046947241</v>
      </c>
      <c r="F145" s="384">
        <f t="shared" si="51"/>
        <v>58.27047299170097</v>
      </c>
      <c r="G145" s="110">
        <f t="shared" si="73"/>
        <v>0.96504982689234242</v>
      </c>
      <c r="H145" s="413" t="b">
        <f>Wh_hp&gt;='2022'!Maxi_hp</f>
        <v>0</v>
      </c>
      <c r="I145" s="389">
        <f>IF(H145,Wh_hp,'2022'!Maxi_hp)</f>
        <v>58.27063661578876</v>
      </c>
      <c r="J145" s="85">
        <f>IF(H145,An,'2022'!An_max)</f>
        <v>2022</v>
      </c>
      <c r="K145" s="196">
        <f t="shared" si="52"/>
        <v>45057</v>
      </c>
      <c r="L145" s="147">
        <f>IF(t&lt;Tvie,1-EXP((T0-t)*PertePVj)+'2022'!Pspv,1-EXP((T0-t)*PertePVj)+Pspv)</f>
        <v>3.7605378724581563E-2</v>
      </c>
      <c r="M145" s="847"/>
      <c r="N145" s="847"/>
      <c r="O145" s="48">
        <f>IF(t&lt;Tnet,'2022'!Resal+('2022'!Salim-'2022'!Resal)*(1-EXP(('2022'!Tnet-t)/('2022'!Tau_j))),Resal+(Salim-Resal)*(1-EXP((Tnet-t)/(Tau_j))))*Salcycl</f>
        <v>6.0978518424326673E-2</v>
      </c>
      <c r="P145" s="168">
        <f>(INDEX(Models!$BJ145:$BT145,,T145)*(1-R145)+INDEX(Models!$BJ145:$BT145,,T145+1)*R145-ERP_i)*Q145*Ramure*Pc/MaxiM</f>
        <v>2.6994863314176926E-4</v>
      </c>
      <c r="Q145" s="304">
        <f t="shared" si="53"/>
        <v>0.5</v>
      </c>
      <c r="R145" s="176">
        <f t="shared" si="54"/>
        <v>0.10217798734067118</v>
      </c>
      <c r="S145" s="814">
        <f t="shared" si="55"/>
        <v>1</v>
      </c>
      <c r="T145" s="175">
        <f t="shared" si="56"/>
        <v>7</v>
      </c>
      <c r="U145" s="250">
        <f t="shared" si="57"/>
        <v>1.1021779873406712</v>
      </c>
      <c r="V145" s="382">
        <f t="shared" si="58"/>
        <v>54.551948546547962</v>
      </c>
      <c r="W145" s="401">
        <f t="shared" si="59"/>
        <v>52.646057994363886</v>
      </c>
      <c r="X145" s="157">
        <f t="shared" si="60"/>
        <v>45057</v>
      </c>
      <c r="Y145" s="384">
        <f t="shared" si="61"/>
        <v>51.573260592305694</v>
      </c>
      <c r="Z145" s="384">
        <f t="shared" si="62"/>
        <v>53.588475509098302</v>
      </c>
      <c r="AA145" s="385">
        <f t="shared" si="63"/>
        <v>58.255528046947241</v>
      </c>
      <c r="AB145" s="196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8.0113470675054851E-2</v>
      </c>
      <c r="AD145" s="230">
        <f>(INDEX(Models!$BJ145:$BT145,,AH145)*(1-AF145)+INDEX(Models!$BJ145:$BT145,,AH145+1)*AF145-ERP_i)*AE145*Ramure*Pc/MaxiM</f>
        <v>2.6994863314176926E-4</v>
      </c>
      <c r="AE145" s="304">
        <f t="shared" si="65"/>
        <v>0.5</v>
      </c>
      <c r="AF145" s="176">
        <f t="shared" si="66"/>
        <v>0.10217798734067118</v>
      </c>
      <c r="AG145" s="814">
        <f t="shared" si="74"/>
        <v>1</v>
      </c>
      <c r="AH145" s="175">
        <f t="shared" si="67"/>
        <v>7</v>
      </c>
      <c r="AI145" s="224">
        <f t="shared" si="68"/>
        <v>1.1021779873406712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10">
        <f>'2022'!Wh/'2022'!Env_an*'2023'!Env_an</f>
        <v>41.272387463650198</v>
      </c>
      <c r="C146" s="843"/>
      <c r="D146" s="392">
        <f t="shared" si="50"/>
        <v>42.886035951404985</v>
      </c>
      <c r="E146" s="384">
        <f t="shared" si="72"/>
        <v>45.674971213073711</v>
      </c>
      <c r="F146" s="384">
        <f t="shared" si="51"/>
        <v>45.683385162540148</v>
      </c>
      <c r="G146" s="110">
        <f t="shared" si="73"/>
        <v>0.75627320799221875</v>
      </c>
      <c r="H146" s="413" t="b">
        <f>Wh_hp&gt;='2022'!Maxi_hp</f>
        <v>0</v>
      </c>
      <c r="I146" s="389">
        <f>IF(H146,Wh_hp,'2022'!Maxi_hp)</f>
        <v>55.50428873596136</v>
      </c>
      <c r="J146" s="85">
        <f>IF(H146,An,'2022'!An_max)</f>
        <v>2019</v>
      </c>
      <c r="K146" s="196">
        <f t="shared" si="52"/>
        <v>45058</v>
      </c>
      <c r="L146" s="147">
        <f>IF(t&lt;Tvie,1-EXP((T0-t)*PertePVj)+'2022'!Pspv,1-EXP((T0-t)*PertePVj)+Pspv)</f>
        <v>3.762643135362851E-2</v>
      </c>
      <c r="M146" s="847"/>
      <c r="N146" s="847"/>
      <c r="O146" s="48">
        <f>IF(t&lt;Tnet,'2022'!Resal+('2022'!Salim-'2022'!Resal)*(1-EXP(('2022'!Tnet-t)/('2022'!Tau_j))),Resal+(Salim-Resal)*(1-EXP((Tnet-t)/(Tau_j))))*Salcycl</f>
        <v>6.1060471142025306E-2</v>
      </c>
      <c r="P146" s="168">
        <f>(INDEX(Models!$BJ146:$BT146,,T146)*(1-R146)+INDEX(Models!$BJ146:$BT146,,T146+1)*R146-ERP_i)*Q146*Ramure*Pc/MaxiM</f>
        <v>2.8251654859328014E-4</v>
      </c>
      <c r="Q146" s="304">
        <f t="shared" si="53"/>
        <v>0.5</v>
      </c>
      <c r="R146" s="176">
        <f t="shared" si="54"/>
        <v>0.10436041992936862</v>
      </c>
      <c r="S146" s="814">
        <f t="shared" si="55"/>
        <v>1</v>
      </c>
      <c r="T146" s="175">
        <f t="shared" si="56"/>
        <v>7</v>
      </c>
      <c r="U146" s="250">
        <f t="shared" si="57"/>
        <v>1.1043604199293686</v>
      </c>
      <c r="V146" s="382">
        <f t="shared" si="58"/>
        <v>54.568015474987426</v>
      </c>
      <c r="W146" s="401">
        <f t="shared" si="59"/>
        <v>41.272387463650198</v>
      </c>
      <c r="X146" s="157">
        <f t="shared" si="60"/>
        <v>45058</v>
      </c>
      <c r="Y146" s="384">
        <f t="shared" si="61"/>
        <v>40.431632757561651</v>
      </c>
      <c r="Z146" s="384">
        <f t="shared" si="62"/>
        <v>42.012409811328098</v>
      </c>
      <c r="AA146" s="385">
        <f t="shared" si="63"/>
        <v>45.674971213073711</v>
      </c>
      <c r="AB146" s="196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8.0187492284554837E-2</v>
      </c>
      <c r="AD146" s="230">
        <f>(INDEX(Models!$BJ146:$BT146,,AH146)*(1-AF146)+INDEX(Models!$BJ146:$BT146,,AH146+1)*AF146-ERP_i)*AE146*Ramure*Pc/MaxiM</f>
        <v>2.8251654859328014E-4</v>
      </c>
      <c r="AE146" s="304">
        <f t="shared" si="65"/>
        <v>0.5</v>
      </c>
      <c r="AF146" s="176">
        <f t="shared" si="66"/>
        <v>0.10436041992936862</v>
      </c>
      <c r="AG146" s="814">
        <f t="shared" si="74"/>
        <v>1</v>
      </c>
      <c r="AH146" s="175">
        <f t="shared" si="67"/>
        <v>7</v>
      </c>
      <c r="AI146" s="224">
        <f t="shared" si="68"/>
        <v>1.1043604199293686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10">
        <f>'2022'!Wh/'2022'!Env_an*'2023'!Env_an</f>
        <v>43.293482984228511</v>
      </c>
      <c r="C147" s="843"/>
      <c r="D147" s="392">
        <f t="shared" si="50"/>
        <v>44.987135423777765</v>
      </c>
      <c r="E147" s="384">
        <f t="shared" si="72"/>
        <v>47.916919301136161</v>
      </c>
      <c r="F147" s="384">
        <f t="shared" si="51"/>
        <v>47.926893456651918</v>
      </c>
      <c r="G147" s="110">
        <f t="shared" si="73"/>
        <v>0.79310836828484865</v>
      </c>
      <c r="H147" s="413" t="b">
        <f>Wh_hp&gt;='2022'!Maxi_hp</f>
        <v>0</v>
      </c>
      <c r="I147" s="389">
        <f>IF(H147,Wh_hp,'2022'!Maxi_hp)</f>
        <v>62.466176005743364</v>
      </c>
      <c r="J147" s="85">
        <f>IF(H147,An,'2022'!An_max)</f>
        <v>2019</v>
      </c>
      <c r="K147" s="196">
        <f t="shared" si="52"/>
        <v>45059</v>
      </c>
      <c r="L147" s="147">
        <f>IF(t&lt;Tvie,1-EXP((T0-t)*PertePVj)+'2022'!Pspv,1-EXP((T0-t)*PertePVj)+Pspv)</f>
        <v>3.7647483521568749E-2</v>
      </c>
      <c r="M147" s="847"/>
      <c r="N147" s="847"/>
      <c r="O147" s="48">
        <f>IF(t&lt;Tnet,'2022'!Resal+('2022'!Salim-'2022'!Resal)*(1-EXP(('2022'!Tnet-t)/('2022'!Tau_j))),Resal+(Salim-Resal)*(1-EXP((Tnet-t)/(Tau_j))))*Salcycl</f>
        <v>6.1142993332814852E-2</v>
      </c>
      <c r="P147" s="168">
        <f>(INDEX(Models!$BJ147:$BT147,,T147)*(1-R147)+INDEX(Models!$BJ147:$BT147,,T147+1)*R147-ERP_i)*Q147*Ramure*Pc/MaxiM</f>
        <v>2.9538711447190665E-4</v>
      </c>
      <c r="Q147" s="304">
        <f t="shared" si="53"/>
        <v>0.5</v>
      </c>
      <c r="R147" s="176">
        <f t="shared" si="54"/>
        <v>0.10659128180463973</v>
      </c>
      <c r="S147" s="814">
        <f t="shared" si="55"/>
        <v>1</v>
      </c>
      <c r="T147" s="175">
        <f t="shared" si="56"/>
        <v>7</v>
      </c>
      <c r="U147" s="250">
        <f t="shared" si="57"/>
        <v>1.1065912818046397</v>
      </c>
      <c r="V147" s="382">
        <f t="shared" si="58"/>
        <v>54.582331342835481</v>
      </c>
      <c r="W147" s="401">
        <f t="shared" si="59"/>
        <v>43.293482984228511</v>
      </c>
      <c r="X147" s="157">
        <f t="shared" si="60"/>
        <v>45059</v>
      </c>
      <c r="Y147" s="384">
        <f t="shared" si="61"/>
        <v>42.411837135468872</v>
      </c>
      <c r="Z147" s="384">
        <f t="shared" si="62"/>
        <v>44.070999357561746</v>
      </c>
      <c r="AA147" s="385">
        <f t="shared" si="63"/>
        <v>47.916919301136161</v>
      </c>
      <c r="AB147" s="196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8.0262253910869052E-2</v>
      </c>
      <c r="AD147" s="230">
        <f>(INDEX(Models!$BJ147:$BT147,,AH147)*(1-AF147)+INDEX(Models!$BJ147:$BT147,,AH147+1)*AF147-ERP_i)*AE147*Ramure*Pc/MaxiM</f>
        <v>2.9538711447190665E-4</v>
      </c>
      <c r="AE147" s="304">
        <f t="shared" si="65"/>
        <v>0.5</v>
      </c>
      <c r="AF147" s="176">
        <f t="shared" si="66"/>
        <v>0.10659128180463973</v>
      </c>
      <c r="AG147" s="814">
        <f t="shared" si="74"/>
        <v>1</v>
      </c>
      <c r="AH147" s="175">
        <f t="shared" si="67"/>
        <v>7</v>
      </c>
      <c r="AI147" s="224">
        <f t="shared" si="68"/>
        <v>1.1065912818046397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10">
        <f>'2022'!Wh/'2022'!Env_an*'2023'!Env_an</f>
        <v>45.715779110008491</v>
      </c>
      <c r="C148" s="843"/>
      <c r="D148" s="392">
        <f t="shared" si="50"/>
        <v>47.505231600069607</v>
      </c>
      <c r="E148" s="384">
        <f t="shared" si="72"/>
        <v>50.603483062323662</v>
      </c>
      <c r="F148" s="384">
        <f t="shared" si="51"/>
        <v>50.615472375549935</v>
      </c>
      <c r="G148" s="110">
        <f t="shared" si="73"/>
        <v>0.83729751989381107</v>
      </c>
      <c r="H148" s="413" t="b">
        <f>Wh_hp&gt;='2022'!Maxi_hp</f>
        <v>0</v>
      </c>
      <c r="I148" s="389">
        <f>IF(H148,Wh_hp,'2022'!Maxi_hp)</f>
        <v>61.499322120098213</v>
      </c>
      <c r="J148" s="85">
        <f>IF(H148,An,'2022'!An_max)</f>
        <v>2019</v>
      </c>
      <c r="K148" s="196">
        <f t="shared" si="52"/>
        <v>45060</v>
      </c>
      <c r="L148" s="147">
        <f>IF(t&lt;Tvie,1-EXP((T0-t)*PertePVj)+'2022'!Pspv,1-EXP((T0-t)*PertePVj)+Pspv)</f>
        <v>3.7668535228412493E-2</v>
      </c>
      <c r="M148" s="847"/>
      <c r="N148" s="847"/>
      <c r="O148" s="48">
        <f>IF(t&lt;Tnet,'2022'!Resal+('2022'!Salim-'2022'!Resal)*(1-EXP(('2022'!Tnet-t)/('2022'!Tau_j))),Resal+(Salim-Resal)*(1-EXP((Tnet-t)/(Tau_j))))*Salcycl</f>
        <v>6.1226051543492074E-2</v>
      </c>
      <c r="P148" s="168">
        <f>(INDEX(Models!$BJ148:$BT148,,T148)*(1-R148)+INDEX(Models!$BJ148:$BT148,,T148+1)*R148-ERP_i)*Q148*Ramure*Pc/MaxiM</f>
        <v>3.0856430346306554E-4</v>
      </c>
      <c r="Q148" s="304">
        <f t="shared" si="53"/>
        <v>0.5</v>
      </c>
      <c r="R148" s="176">
        <f t="shared" si="54"/>
        <v>0.10887025674400119</v>
      </c>
      <c r="S148" s="814">
        <f t="shared" si="55"/>
        <v>1</v>
      </c>
      <c r="T148" s="175">
        <f t="shared" si="56"/>
        <v>7</v>
      </c>
      <c r="U148" s="250">
        <f t="shared" si="57"/>
        <v>1.1088702567440012</v>
      </c>
      <c r="V148" s="382">
        <f t="shared" si="58"/>
        <v>54.595289858340578</v>
      </c>
      <c r="W148" s="401">
        <f t="shared" si="59"/>
        <v>45.715779110008491</v>
      </c>
      <c r="X148" s="157">
        <f t="shared" si="60"/>
        <v>45060</v>
      </c>
      <c r="Y148" s="384">
        <f t="shared" si="61"/>
        <v>44.785092449000942</v>
      </c>
      <c r="Z148" s="384">
        <f t="shared" si="62"/>
        <v>46.538115076213195</v>
      </c>
      <c r="AA148" s="385">
        <f t="shared" si="63"/>
        <v>50.603483062323662</v>
      </c>
      <c r="AB148" s="196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8.033771076792337E-2</v>
      </c>
      <c r="AD148" s="230">
        <f>(INDEX(Models!$BJ148:$BT148,,AH148)*(1-AF148)+INDEX(Models!$BJ148:$BT148,,AH148+1)*AF148-ERP_i)*AE148*Ramure*Pc/MaxiM</f>
        <v>3.0856430346306554E-4</v>
      </c>
      <c r="AE148" s="304">
        <f t="shared" si="65"/>
        <v>0.5</v>
      </c>
      <c r="AF148" s="176">
        <f t="shared" si="66"/>
        <v>0.10887025674400119</v>
      </c>
      <c r="AG148" s="814">
        <f t="shared" si="74"/>
        <v>1</v>
      </c>
      <c r="AH148" s="175">
        <f t="shared" si="67"/>
        <v>7</v>
      </c>
      <c r="AI148" s="224">
        <f t="shared" si="68"/>
        <v>1.1088702567440012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10">
        <f>'2022'!Wh/'2022'!Env_an*'2023'!Env_an</f>
        <v>49.429485099314341</v>
      </c>
      <c r="C149" s="843"/>
      <c r="D149" s="392">
        <f t="shared" si="50"/>
        <v>51.365426794259221</v>
      </c>
      <c r="E149" s="384">
        <f t="shared" si="72"/>
        <v>54.720307524733002</v>
      </c>
      <c r="F149" s="384">
        <f t="shared" si="51"/>
        <v>54.735548105984101</v>
      </c>
      <c r="G149" s="110">
        <f t="shared" si="73"/>
        <v>0.90515788669377695</v>
      </c>
      <c r="H149" s="413" t="b">
        <f>Wh_hp&gt;='2022'!Maxi_hp</f>
        <v>0</v>
      </c>
      <c r="I149" s="389">
        <f>IF(H149,Wh_hp,'2022'!Maxi_hp)</f>
        <v>61.883239006526935</v>
      </c>
      <c r="J149" s="85">
        <f>IF(H149,An,'2022'!An_max)</f>
        <v>2019</v>
      </c>
      <c r="K149" s="196">
        <f t="shared" si="52"/>
        <v>45061</v>
      </c>
      <c r="L149" s="147">
        <f>IF(t&lt;Tvie,1-EXP((T0-t)*PertePVj)+'2022'!Pspv,1-EXP((T0-t)*PertePVj)+Pspv)</f>
        <v>3.7689586474169957E-2</v>
      </c>
      <c r="M149" s="847"/>
      <c r="N149" s="847"/>
      <c r="O149" s="48">
        <f>IF(t&lt;Tnet,'2022'!Resal+('2022'!Salim-'2022'!Resal)*(1-EXP(('2022'!Tnet-t)/('2022'!Tau_j))),Resal+(Salim-Resal)*(1-EXP((Tnet-t)/(Tau_j))))*Salcycl</f>
        <v>6.1309610311627141E-2</v>
      </c>
      <c r="P149" s="168">
        <f>(INDEX(Models!$BJ149:$BT149,,T149)*(1-R149)+INDEX(Models!$BJ149:$BT149,,T149+1)*R149-ERP_i)*Q149*Ramure*Pc/MaxiM</f>
        <v>3.2205723522763045E-4</v>
      </c>
      <c r="Q149" s="304">
        <f t="shared" si="53"/>
        <v>0.5</v>
      </c>
      <c r="R149" s="176">
        <f t="shared" si="54"/>
        <v>0.11119693177302503</v>
      </c>
      <c r="S149" s="814">
        <f t="shared" si="55"/>
        <v>1</v>
      </c>
      <c r="T149" s="175">
        <f t="shared" si="56"/>
        <v>7</v>
      </c>
      <c r="U149" s="250">
        <f t="shared" si="57"/>
        <v>1.111196931773025</v>
      </c>
      <c r="V149" s="382">
        <f t="shared" si="58"/>
        <v>54.606305995588592</v>
      </c>
      <c r="W149" s="401">
        <f t="shared" si="59"/>
        <v>49.429485099314341</v>
      </c>
      <c r="X149" s="157">
        <f t="shared" si="60"/>
        <v>45061</v>
      </c>
      <c r="Y149" s="384">
        <f t="shared" si="61"/>
        <v>48.423497356545262</v>
      </c>
      <c r="Z149" s="384">
        <f t="shared" si="62"/>
        <v>50.320038810684132</v>
      </c>
      <c r="AA149" s="385">
        <f t="shared" si="63"/>
        <v>54.720307524733002</v>
      </c>
      <c r="AB149" s="196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8.0413815511910208E-2</v>
      </c>
      <c r="AD149" s="230">
        <f>(INDEX(Models!$BJ149:$BT149,,AH149)*(1-AF149)+INDEX(Models!$BJ149:$BT149,,AH149+1)*AF149-ERP_i)*AE149*Ramure*Pc/MaxiM</f>
        <v>3.2205723522763045E-4</v>
      </c>
      <c r="AE149" s="304">
        <f t="shared" si="65"/>
        <v>0.5</v>
      </c>
      <c r="AF149" s="176">
        <f t="shared" si="66"/>
        <v>0.11119693177302503</v>
      </c>
      <c r="AG149" s="814">
        <f t="shared" si="74"/>
        <v>1</v>
      </c>
      <c r="AH149" s="175">
        <f t="shared" si="67"/>
        <v>7</v>
      </c>
      <c r="AI149" s="224">
        <f t="shared" si="68"/>
        <v>1.111196931773025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10">
        <f>'2022'!Wh/'2022'!Env_an*'2023'!Env_an</f>
        <v>47.526703610829912</v>
      </c>
      <c r="C150" s="843"/>
      <c r="D150" s="392">
        <f t="shared" si="50"/>
        <v>49.389201887721953</v>
      </c>
      <c r="E150" s="384">
        <f t="shared" si="72"/>
        <v>52.619717469013935</v>
      </c>
      <c r="F150" s="384">
        <f t="shared" si="51"/>
        <v>52.634117333165051</v>
      </c>
      <c r="G150" s="110">
        <f t="shared" si="73"/>
        <v>0.87016657653333329</v>
      </c>
      <c r="H150" s="413" t="b">
        <f>Wh_hp&gt;='2022'!Maxi_hp</f>
        <v>0</v>
      </c>
      <c r="I150" s="389">
        <f>IF(H150,Wh_hp,'2022'!Maxi_hp)</f>
        <v>52.836978218882514</v>
      </c>
      <c r="J150" s="85">
        <f>IF(H150,An,'2022'!An_max)</f>
        <v>2019</v>
      </c>
      <c r="K150" s="196">
        <f t="shared" si="52"/>
        <v>45062</v>
      </c>
      <c r="L150" s="147">
        <f>IF(t&lt;Tvie,1-EXP((T0-t)*PertePVj)+'2022'!Pspv,1-EXP((T0-t)*PertePVj)+Pspv)</f>
        <v>3.7710637258851022E-2</v>
      </c>
      <c r="M150" s="847"/>
      <c r="N150" s="847"/>
      <c r="O150" s="48">
        <f>IF(t&lt;Tnet,'2022'!Resal+('2022'!Salim-'2022'!Resal)*(1-EXP(('2022'!Tnet-t)/('2022'!Tau_j))),Resal+(Salim-Resal)*(1-EXP((Tnet-t)/(Tau_j))))*Salcycl</f>
        <v>6.1393632210099365E-2</v>
      </c>
      <c r="P150" s="168">
        <f>(INDEX(Models!$BJ150:$BT150,,T150)*(1-R150)+INDEX(Models!$BJ150:$BT150,,T150+1)*R150-ERP_i)*Q150*Ramure*Pc/MaxiM</f>
        <v>3.3585054184492126E-4</v>
      </c>
      <c r="Q150" s="304">
        <f t="shared" si="53"/>
        <v>0.5</v>
      </c>
      <c r="R150" s="176">
        <f t="shared" si="54"/>
        <v>0.11357079424970062</v>
      </c>
      <c r="S150" s="814">
        <f t="shared" si="55"/>
        <v>1</v>
      </c>
      <c r="T150" s="175">
        <f t="shared" si="56"/>
        <v>7</v>
      </c>
      <c r="U150" s="250">
        <f t="shared" si="57"/>
        <v>1.1135707942497006</v>
      </c>
      <c r="V150" s="382">
        <f t="shared" si="58"/>
        <v>54.614535618557582</v>
      </c>
      <c r="W150" s="401">
        <f t="shared" si="59"/>
        <v>47.526703610829912</v>
      </c>
      <c r="X150" s="157">
        <f t="shared" si="60"/>
        <v>45062</v>
      </c>
      <c r="Y150" s="384">
        <f t="shared" si="61"/>
        <v>46.559725251792869</v>
      </c>
      <c r="Z150" s="384">
        <f t="shared" si="62"/>
        <v>48.384329136886869</v>
      </c>
      <c r="AA150" s="385">
        <f t="shared" si="63"/>
        <v>52.619717469013935</v>
      </c>
      <c r="AB150" s="196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8.0490518304685926E-2</v>
      </c>
      <c r="AD150" s="230">
        <f>(INDEX(Models!$BJ150:$BT150,,AH150)*(1-AF150)+INDEX(Models!$BJ150:$BT150,,AH150+1)*AF150-ERP_i)*AE150*Ramure*Pc/MaxiM</f>
        <v>3.3585054184492126E-4</v>
      </c>
      <c r="AE150" s="304">
        <f t="shared" si="65"/>
        <v>0.5</v>
      </c>
      <c r="AF150" s="176">
        <f t="shared" si="66"/>
        <v>0.11357079424970062</v>
      </c>
      <c r="AG150" s="814">
        <f t="shared" si="74"/>
        <v>1</v>
      </c>
      <c r="AH150" s="175">
        <f t="shared" si="67"/>
        <v>7</v>
      </c>
      <c r="AI150" s="224">
        <f t="shared" si="68"/>
        <v>1.1135707942497006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10">
        <f>'2022'!Wh/'2022'!Env_an*'2023'!Env_an</f>
        <v>51.059887964966492</v>
      </c>
      <c r="C151" s="843"/>
      <c r="D151" s="392">
        <f t="shared" si="50"/>
        <v>53.062007036984596</v>
      </c>
      <c r="E151" s="384">
        <f t="shared" si="72"/>
        <v>56.537845081354135</v>
      </c>
      <c r="F151" s="384">
        <f t="shared" si="51"/>
        <v>56.555787360428909</v>
      </c>
      <c r="G151" s="110">
        <f t="shared" si="73"/>
        <v>0.93479009229717569</v>
      </c>
      <c r="H151" s="413" t="b">
        <f>Wh_hp&gt;='2022'!Maxi_hp</f>
        <v>0</v>
      </c>
      <c r="I151" s="389">
        <f>IF(H151,Wh_hp,'2022'!Maxi_hp)</f>
        <v>56.920827652240035</v>
      </c>
      <c r="J151" s="85">
        <f>IF(H151,An,'2022'!An_max)</f>
        <v>2021</v>
      </c>
      <c r="K151" s="196">
        <f t="shared" si="52"/>
        <v>45063</v>
      </c>
      <c r="L151" s="147">
        <f>IF(t&lt;Tvie,1-EXP((T0-t)*PertePVj)+'2022'!Pspv,1-EXP((T0-t)*PertePVj)+Pspv)</f>
        <v>3.7731687582465791E-2</v>
      </c>
      <c r="M151" s="847"/>
      <c r="N151" s="847"/>
      <c r="O151" s="48">
        <f>IF(t&lt;Tnet,'2022'!Resal+('2022'!Salim-'2022'!Resal)*(1-EXP(('2022'!Tnet-t)/('2022'!Tau_j))),Resal+(Salim-Resal)*(1-EXP((Tnet-t)/(Tau_j))))*Salcycl</f>
        <v>6.1478077902828582E-2</v>
      </c>
      <c r="P151" s="168">
        <f>(INDEX(Models!$BJ151:$BT151,,T151)*(1-R151)+INDEX(Models!$BJ151:$BT151,,T151+1)*R151-ERP_i)*Q151*Ramure*Pc/MaxiM</f>
        <v>3.4982240088178633E-4</v>
      </c>
      <c r="Q151" s="304">
        <f t="shared" si="53"/>
        <v>0.5</v>
      </c>
      <c r="R151" s="176">
        <f t="shared" si="54"/>
        <v>0.11599122926568484</v>
      </c>
      <c r="S151" s="814">
        <f t="shared" si="55"/>
        <v>1</v>
      </c>
      <c r="T151" s="175">
        <f t="shared" si="56"/>
        <v>7</v>
      </c>
      <c r="U151" s="250">
        <f t="shared" si="57"/>
        <v>1.1159912292656848</v>
      </c>
      <c r="V151" s="382">
        <f t="shared" si="58"/>
        <v>54.619988674034438</v>
      </c>
      <c r="W151" s="401">
        <f t="shared" si="59"/>
        <v>51.059887964966492</v>
      </c>
      <c r="X151" s="157">
        <f t="shared" si="60"/>
        <v>45063</v>
      </c>
      <c r="Y151" s="384">
        <f t="shared" si="61"/>
        <v>50.021321514778933</v>
      </c>
      <c r="Z151" s="384">
        <f t="shared" si="62"/>
        <v>51.982717158282952</v>
      </c>
      <c r="AA151" s="385">
        <f t="shared" si="63"/>
        <v>56.537845081354135</v>
      </c>
      <c r="AB151" s="196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8.0567766891657455E-2</v>
      </c>
      <c r="AD151" s="230">
        <f>(INDEX(Models!$BJ151:$BT151,,AH151)*(1-AF151)+INDEX(Models!$BJ151:$BT151,,AH151+1)*AF151-ERP_i)*AE151*Ramure*Pc/MaxiM</f>
        <v>3.4982240088178633E-4</v>
      </c>
      <c r="AE151" s="304">
        <f t="shared" si="65"/>
        <v>0.5</v>
      </c>
      <c r="AF151" s="176">
        <f t="shared" si="66"/>
        <v>0.11599122926568484</v>
      </c>
      <c r="AG151" s="814">
        <f t="shared" si="74"/>
        <v>1</v>
      </c>
      <c r="AH151" s="175">
        <f t="shared" si="67"/>
        <v>7</v>
      </c>
      <c r="AI151" s="224">
        <f t="shared" si="68"/>
        <v>1.1159912292656848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10">
        <f>'2022'!Wh/'2022'!Env_an*'2023'!Env_an</f>
        <v>49.654834949007054</v>
      </c>
      <c r="C152" s="843"/>
      <c r="D152" s="392">
        <f t="shared" si="50"/>
        <v>51.602989045832864</v>
      </c>
      <c r="E152" s="384">
        <f t="shared" si="72"/>
        <v>54.98822391763494</v>
      </c>
      <c r="F152" s="384">
        <f t="shared" si="51"/>
        <v>55.005643356177885</v>
      </c>
      <c r="G152" s="110">
        <f t="shared" si="73"/>
        <v>0.9090087945400176</v>
      </c>
      <c r="H152" s="413" t="b">
        <f>Wh_hp&gt;='2022'!Maxi_hp</f>
        <v>0</v>
      </c>
      <c r="I152" s="389">
        <f>IF(H152,Wh_hp,'2022'!Maxi_hp)</f>
        <v>62.196197916934416</v>
      </c>
      <c r="J152" s="85">
        <f>IF(H152,An,'2022'!An_max)</f>
        <v>2020</v>
      </c>
      <c r="K152" s="196">
        <f t="shared" si="52"/>
        <v>45064</v>
      </c>
      <c r="L152" s="147">
        <f>IF(t&lt;Tvie,1-EXP((T0-t)*PertePVj)+'2022'!Pspv,1-EXP((T0-t)*PertePVj)+Pspv)</f>
        <v>3.7752737445024588E-2</v>
      </c>
      <c r="M152" s="847"/>
      <c r="N152" s="847"/>
      <c r="O152" s="48">
        <f>IF(t&lt;Tnet,'2022'!Resal+('2022'!Salim-'2022'!Resal)*(1-EXP(('2022'!Tnet-t)/('2022'!Tau_j))),Resal+(Salim-Resal)*(1-EXP((Tnet-t)/(Tau_j))))*Salcycl</f>
        <v>6.1562906211932028E-2</v>
      </c>
      <c r="P152" s="168">
        <f>(INDEX(Models!$BJ152:$BT152,,T152)*(1-R152)+INDEX(Models!$BJ152:$BT152,,T152+1)*R152-ERP_i)*Q152*Ramure*Pc/MaxiM</f>
        <v>3.6397429656050536E-4</v>
      </c>
      <c r="Q152" s="304">
        <f t="shared" si="53"/>
        <v>0.5</v>
      </c>
      <c r="R152" s="176">
        <f t="shared" si="54"/>
        <v>0.11845751740005928</v>
      </c>
      <c r="S152" s="814">
        <f t="shared" si="55"/>
        <v>1</v>
      </c>
      <c r="T152" s="175">
        <f t="shared" si="56"/>
        <v>7</v>
      </c>
      <c r="U152" s="250">
        <f t="shared" si="57"/>
        <v>1.1184575174000593</v>
      </c>
      <c r="V152" s="382">
        <f t="shared" si="58"/>
        <v>54.622668493244802</v>
      </c>
      <c r="W152" s="401">
        <f t="shared" si="59"/>
        <v>49.654834949007054</v>
      </c>
      <c r="X152" s="157">
        <f t="shared" si="60"/>
        <v>45064</v>
      </c>
      <c r="Y152" s="384">
        <f t="shared" si="61"/>
        <v>48.645131279333356</v>
      </c>
      <c r="Z152" s="384">
        <f t="shared" si="62"/>
        <v>50.553670737571103</v>
      </c>
      <c r="AA152" s="385">
        <f t="shared" si="63"/>
        <v>54.98822391763494</v>
      </c>
      <c r="AB152" s="196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8.0645506694418945E-2</v>
      </c>
      <c r="AD152" s="230">
        <f>(INDEX(Models!$BJ152:$BT152,,AH152)*(1-AF152)+INDEX(Models!$BJ152:$BT152,,AH152+1)*AF152-ERP_i)*AE152*Ramure*Pc/MaxiM</f>
        <v>3.6397429656050536E-4</v>
      </c>
      <c r="AE152" s="304">
        <f t="shared" si="65"/>
        <v>0.5</v>
      </c>
      <c r="AF152" s="176">
        <f t="shared" si="66"/>
        <v>0.11845751740005928</v>
      </c>
      <c r="AG152" s="814">
        <f t="shared" si="74"/>
        <v>1</v>
      </c>
      <c r="AH152" s="175">
        <f t="shared" si="67"/>
        <v>7</v>
      </c>
      <c r="AI152" s="224">
        <f t="shared" si="68"/>
        <v>1.1184575174000593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10">
        <f>'2022'!Wh/'2022'!Env_an*'2023'!Env_an</f>
        <v>51.100312721301322</v>
      </c>
      <c r="C153" s="843"/>
      <c r="D153" s="392">
        <f t="shared" si="50"/>
        <v>53.106340299992929</v>
      </c>
      <c r="E153" s="384">
        <f t="shared" si="72"/>
        <v>56.595333626576767</v>
      </c>
      <c r="F153" s="384">
        <f t="shared" si="51"/>
        <v>56.614778410558536</v>
      </c>
      <c r="G153" s="110">
        <f t="shared" si="73"/>
        <v>0.9354836890894942</v>
      </c>
      <c r="H153" s="413" t="b">
        <f>Wh_hp&gt;='2022'!Maxi_hp</f>
        <v>0</v>
      </c>
      <c r="I153" s="389">
        <f>IF(H153,Wh_hp,'2022'!Maxi_hp)</f>
        <v>60.966167385308943</v>
      </c>
      <c r="J153" s="85">
        <f>IF(H153,An,'2022'!An_max)</f>
        <v>2020</v>
      </c>
      <c r="K153" s="196">
        <f t="shared" si="52"/>
        <v>45065</v>
      </c>
      <c r="L153" s="147">
        <f>IF(t&lt;Tvie,1-EXP((T0-t)*PertePVj)+'2022'!Pspv,1-EXP((T0-t)*PertePVj)+Pspv)</f>
        <v>3.7773786846537295E-2</v>
      </c>
      <c r="M153" s="847"/>
      <c r="N153" s="847"/>
      <c r="O153" s="48">
        <f>IF(t&lt;Tnet,'2022'!Resal+('2022'!Salim-'2022'!Resal)*(1-EXP(('2022'!Tnet-t)/('2022'!Tau_j))),Resal+(Salim-Resal)*(1-EXP((Tnet-t)/(Tau_j))))*Salcycl</f>
        <v>6.1648074196446377E-2</v>
      </c>
      <c r="P153" s="168">
        <f>(INDEX(Models!$BJ153:$BT153,,T153)*(1-R153)+INDEX(Models!$BJ153:$BT153,,T153+1)*R153-ERP_i)*Q153*Ramure*Pc/MaxiM</f>
        <v>3.7830724206287596E-4</v>
      </c>
      <c r="Q153" s="304">
        <f t="shared" si="53"/>
        <v>0.5</v>
      </c>
      <c r="R153" s="176">
        <f t="shared" si="54"/>
        <v>0.12096883286043703</v>
      </c>
      <c r="S153" s="814">
        <f t="shared" si="55"/>
        <v>1</v>
      </c>
      <c r="T153" s="175">
        <f t="shared" si="56"/>
        <v>7</v>
      </c>
      <c r="U153" s="250">
        <f t="shared" si="57"/>
        <v>1.120968832860437</v>
      </c>
      <c r="V153" s="382">
        <f t="shared" si="58"/>
        <v>54.622578549562981</v>
      </c>
      <c r="W153" s="401">
        <f t="shared" si="59"/>
        <v>51.100312721301322</v>
      </c>
      <c r="X153" s="157">
        <f t="shared" si="60"/>
        <v>45065</v>
      </c>
      <c r="Y153" s="384">
        <f t="shared" si="61"/>
        <v>50.061502609626551</v>
      </c>
      <c r="Z153" s="384">
        <f t="shared" si="62"/>
        <v>52.026749973441419</v>
      </c>
      <c r="AA153" s="385">
        <f t="shared" si="63"/>
        <v>56.595333626576767</v>
      </c>
      <c r="AB153" s="196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8.0723680918279292E-2</v>
      </c>
      <c r="AD153" s="230">
        <f>(INDEX(Models!$BJ153:$BT153,,AH153)*(1-AF153)+INDEX(Models!$BJ153:$BT153,,AH153+1)*AF153-ERP_i)*AE153*Ramure*Pc/MaxiM</f>
        <v>3.7830724206287596E-4</v>
      </c>
      <c r="AE153" s="304">
        <f t="shared" si="65"/>
        <v>0.5</v>
      </c>
      <c r="AF153" s="176">
        <f t="shared" si="66"/>
        <v>0.12096883286043703</v>
      </c>
      <c r="AG153" s="814">
        <f t="shared" si="74"/>
        <v>1</v>
      </c>
      <c r="AH153" s="175">
        <f t="shared" si="67"/>
        <v>7</v>
      </c>
      <c r="AI153" s="224">
        <f t="shared" si="68"/>
        <v>1.120968832860437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10">
        <f>'2022'!Wh/'2022'!Env_an*'2023'!Env_an</f>
        <v>45.520154808617406</v>
      </c>
      <c r="C154" s="843"/>
      <c r="D154" s="392">
        <f t="shared" si="50"/>
        <v>47.308158905849979</v>
      </c>
      <c r="E154" s="384">
        <f t="shared" si="72"/>
        <v>50.420814111614604</v>
      </c>
      <c r="F154" s="384">
        <f t="shared" si="51"/>
        <v>50.435911142711781</v>
      </c>
      <c r="G154" s="110">
        <f t="shared" si="73"/>
        <v>0.83332349157632601</v>
      </c>
      <c r="H154" s="413" t="b">
        <f>Wh_hp&gt;='2022'!Maxi_hp</f>
        <v>0</v>
      </c>
      <c r="I154" s="389">
        <f>IF(H154,Wh_hp,'2022'!Maxi_hp)</f>
        <v>61.160542885736888</v>
      </c>
      <c r="J154" s="85">
        <f>IF(H154,An,'2022'!An_max)</f>
        <v>2021</v>
      </c>
      <c r="K154" s="196">
        <f t="shared" si="52"/>
        <v>45066</v>
      </c>
      <c r="L154" s="147">
        <f>IF(t&lt;Tvie,1-EXP((T0-t)*PertePVj)+'2022'!Pspv,1-EXP((T0-t)*PertePVj)+Pspv)</f>
        <v>3.7794835787014126E-2</v>
      </c>
      <c r="M154" s="847"/>
      <c r="N154" s="847"/>
      <c r="O154" s="48">
        <f>IF(t&lt;Tnet,'2022'!Resal+('2022'!Salim-'2022'!Resal)*(1-EXP(('2022'!Tnet-t)/('2022'!Tau_j))),Resal+(Salim-Resal)*(1-EXP((Tnet-t)/(Tau_j))))*Salcycl</f>
        <v>6.1733537242660466E-2</v>
      </c>
      <c r="P154" s="168">
        <f>(INDEX(Models!$BJ154:$BT154,,T154)*(1-R154)+INDEX(Models!$BJ154:$BT154,,T154+1)*R154-ERP_i)*Q154*Ramure*Pc/MaxiM</f>
        <v>3.9282176517689582E-4</v>
      </c>
      <c r="Q154" s="304">
        <f t="shared" si="53"/>
        <v>0.5</v>
      </c>
      <c r="R154" s="176">
        <f t="shared" si="54"/>
        <v>0.12352424204503354</v>
      </c>
      <c r="S154" s="814">
        <f t="shared" si="55"/>
        <v>1</v>
      </c>
      <c r="T154" s="175">
        <f t="shared" si="56"/>
        <v>7</v>
      </c>
      <c r="U154" s="250">
        <f t="shared" si="57"/>
        <v>1.1235242420450335</v>
      </c>
      <c r="V154" s="382">
        <f t="shared" si="58"/>
        <v>54.619722448488339</v>
      </c>
      <c r="W154" s="401">
        <f t="shared" si="59"/>
        <v>45.520154808617406</v>
      </c>
      <c r="X154" s="157">
        <f t="shared" si="60"/>
        <v>45066</v>
      </c>
      <c r="Y154" s="384">
        <f t="shared" si="61"/>
        <v>44.595033948522321</v>
      </c>
      <c r="Z154" s="384">
        <f t="shared" si="62"/>
        <v>46.346699858961813</v>
      </c>
      <c r="AA154" s="385">
        <f t="shared" si="63"/>
        <v>50.420814111614604</v>
      </c>
      <c r="AB154" s="196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8.080223067469873E-2</v>
      </c>
      <c r="AD154" s="230">
        <f>(INDEX(Models!$BJ154:$BT154,,AH154)*(1-AF154)+INDEX(Models!$BJ154:$BT154,,AH154+1)*AF154-ERP_i)*AE154*Ramure*Pc/MaxiM</f>
        <v>3.9282176517689582E-4</v>
      </c>
      <c r="AE154" s="304">
        <f t="shared" si="65"/>
        <v>0.5</v>
      </c>
      <c r="AF154" s="176">
        <f t="shared" si="66"/>
        <v>0.12352424204503354</v>
      </c>
      <c r="AG154" s="814">
        <f t="shared" si="74"/>
        <v>1</v>
      </c>
      <c r="AH154" s="175">
        <f t="shared" si="67"/>
        <v>7</v>
      </c>
      <c r="AI154" s="224">
        <f t="shared" si="68"/>
        <v>1.1235242420450335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10">
        <f>'2022'!Wh/'2022'!Env_an*'2023'!Env_an</f>
        <v>46.586646189472823</v>
      </c>
      <c r="C155" s="843"/>
      <c r="D155" s="392">
        <f t="shared" si="50"/>
        <v>48.417600569052034</v>
      </c>
      <c r="E155" s="384">
        <f t="shared" si="72"/>
        <v>51.607966296485266</v>
      </c>
      <c r="F155" s="384">
        <f t="shared" si="51"/>
        <v>51.624586720197726</v>
      </c>
      <c r="G155" s="110">
        <f t="shared" si="73"/>
        <v>0.85294191678929154</v>
      </c>
      <c r="H155" s="413" t="b">
        <f>Wh_hp&gt;='2022'!Maxi_hp</f>
        <v>0</v>
      </c>
      <c r="I155" s="389">
        <f>IF(H155,Wh_hp,'2022'!Maxi_hp)</f>
        <v>59.215074303893267</v>
      </c>
      <c r="J155" s="85">
        <f>IF(H155,An,'2022'!An_max)</f>
        <v>2020</v>
      </c>
      <c r="K155" s="196">
        <f t="shared" si="52"/>
        <v>45067</v>
      </c>
      <c r="L155" s="147">
        <f>IF(t&lt;Tvie,1-EXP((T0-t)*PertePVj)+'2022'!Pspv,1-EXP((T0-t)*PertePVj)+Pspv)</f>
        <v>3.7815884266465184E-2</v>
      </c>
      <c r="M155" s="847"/>
      <c r="N155" s="847"/>
      <c r="O155" s="48">
        <f>IF(t&lt;Tnet,'2022'!Resal+('2022'!Salim-'2022'!Resal)*(1-EXP(('2022'!Tnet-t)/('2022'!Tau_j))),Resal+(Salim-Resal)*(1-EXP((Tnet-t)/(Tau_j))))*Salcycl</f>
        <v>6.181924916600532E-2</v>
      </c>
      <c r="P155" s="168">
        <f>(INDEX(Models!$BJ155:$BT155,,T155)*(1-R155)+INDEX(Models!$BJ155:$BT155,,T155+1)*R155-ERP_i)*Q155*Ramure*Pc/MaxiM</f>
        <v>4.0751789545583403E-4</v>
      </c>
      <c r="Q155" s="304">
        <f t="shared" si="53"/>
        <v>0.5</v>
      </c>
      <c r="R155" s="176">
        <f t="shared" si="54"/>
        <v>0.12612270255759928</v>
      </c>
      <c r="S155" s="814">
        <f t="shared" si="55"/>
        <v>1</v>
      </c>
      <c r="T155" s="175">
        <f t="shared" si="56"/>
        <v>7</v>
      </c>
      <c r="U155" s="250">
        <f t="shared" si="57"/>
        <v>1.1261227025575993</v>
      </c>
      <c r="V155" s="382">
        <f t="shared" si="58"/>
        <v>54.614103922415573</v>
      </c>
      <c r="W155" s="401">
        <f t="shared" si="59"/>
        <v>46.586646189472823</v>
      </c>
      <c r="X155" s="157">
        <f t="shared" si="60"/>
        <v>45067</v>
      </c>
      <c r="Y155" s="384">
        <f t="shared" si="61"/>
        <v>45.640104201355101</v>
      </c>
      <c r="Z155" s="384">
        <f t="shared" si="62"/>
        <v>47.433857465585696</v>
      </c>
      <c r="AA155" s="385">
        <f t="shared" si="63"/>
        <v>51.607966296485266</v>
      </c>
      <c r="AB155" s="196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8.0881095118523358E-2</v>
      </c>
      <c r="AD155" s="230">
        <f>(INDEX(Models!$BJ155:$BT155,,AH155)*(1-AF155)+INDEX(Models!$BJ155:$BT155,,AH155+1)*AF155-ERP_i)*AE155*Ramure*Pc/MaxiM</f>
        <v>4.0751789545583403E-4</v>
      </c>
      <c r="AE155" s="304">
        <f t="shared" si="65"/>
        <v>0.5</v>
      </c>
      <c r="AF155" s="176">
        <f t="shared" si="66"/>
        <v>0.12612270255759928</v>
      </c>
      <c r="AG155" s="814">
        <f t="shared" si="74"/>
        <v>1</v>
      </c>
      <c r="AH155" s="175">
        <f t="shared" si="67"/>
        <v>7</v>
      </c>
      <c r="AI155" s="224">
        <f t="shared" si="68"/>
        <v>1.1261227025575993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10">
        <f>'2022'!Wh/'2022'!Env_an*'2023'!Env_an</f>
        <v>33.699643758469598</v>
      </c>
      <c r="C156" s="843"/>
      <c r="D156" s="392">
        <f t="shared" si="50"/>
        <v>35.024877683673679</v>
      </c>
      <c r="E156" s="384">
        <f t="shared" si="72"/>
        <v>37.336179964976587</v>
      </c>
      <c r="F156" s="384">
        <f t="shared" si="51"/>
        <v>37.343324239164772</v>
      </c>
      <c r="G156" s="110">
        <f t="shared" si="73"/>
        <v>0.61700222394881887</v>
      </c>
      <c r="H156" s="413" t="b">
        <f>Wh_hp&gt;='2022'!Maxi_hp</f>
        <v>0</v>
      </c>
      <c r="I156" s="389">
        <f>IF(H156,Wh_hp,'2022'!Maxi_hp)</f>
        <v>59.915343833320051</v>
      </c>
      <c r="J156" s="85">
        <f>IF(H156,An,'2022'!An_max)</f>
        <v>2019</v>
      </c>
      <c r="K156" s="196">
        <f t="shared" si="52"/>
        <v>45068</v>
      </c>
      <c r="L156" s="147">
        <f>IF(t&lt;Tvie,1-EXP((T0-t)*PertePVj)+'2022'!Pspv,1-EXP((T0-t)*PertePVj)+Pspv)</f>
        <v>3.7836932284900461E-2</v>
      </c>
      <c r="M156" s="847"/>
      <c r="N156" s="847"/>
      <c r="O156" s="48">
        <f>IF(t&lt;Tnet,'2022'!Resal+('2022'!Salim-'2022'!Resal)*(1-EXP(('2022'!Tnet-t)/('2022'!Tau_j))),Resal+(Salim-Resal)*(1-EXP((Tnet-t)/(Tau_j))))*Salcycl</f>
        <v>6.1905162324346952E-2</v>
      </c>
      <c r="P156" s="168">
        <f>(INDEX(Models!$BJ156:$BT156,,T156)*(1-R156)+INDEX(Models!$BJ156:$BT156,,T156+1)*R156-ERP_i)*Q156*Ramure*Pc/MaxiM</f>
        <v>4.2226550753494849E-4</v>
      </c>
      <c r="Q156" s="304">
        <f t="shared" si="53"/>
        <v>0.5</v>
      </c>
      <c r="R156" s="176">
        <f t="shared" si="54"/>
        <v>0.12876306270493254</v>
      </c>
      <c r="S156" s="814">
        <f t="shared" si="55"/>
        <v>1</v>
      </c>
      <c r="T156" s="175">
        <f t="shared" si="56"/>
        <v>7</v>
      </c>
      <c r="U156" s="250">
        <f t="shared" si="57"/>
        <v>1.1287630627049325</v>
      </c>
      <c r="V156" s="382">
        <f t="shared" si="58"/>
        <v>54.60573390818454</v>
      </c>
      <c r="W156" s="401">
        <f t="shared" si="59"/>
        <v>33.699643758469598</v>
      </c>
      <c r="X156" s="157">
        <f t="shared" si="60"/>
        <v>45068</v>
      </c>
      <c r="Y156" s="384">
        <f t="shared" si="61"/>
        <v>33.015119820598812</v>
      </c>
      <c r="Z156" s="384">
        <f t="shared" si="62"/>
        <v>34.313434934684821</v>
      </c>
      <c r="AA156" s="385">
        <f t="shared" si="63"/>
        <v>37.336179964976587</v>
      </c>
      <c r="AB156" s="196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8.0960211599774526E-2</v>
      </c>
      <c r="AD156" s="230">
        <f>(INDEX(Models!$BJ156:$BT156,,AH156)*(1-AF156)+INDEX(Models!$BJ156:$BT156,,AH156+1)*AF156-ERP_i)*AE156*Ramure*Pc/MaxiM</f>
        <v>4.2226550753494849E-4</v>
      </c>
      <c r="AE156" s="304">
        <f t="shared" si="65"/>
        <v>0.5</v>
      </c>
      <c r="AF156" s="176">
        <f t="shared" si="66"/>
        <v>0.12876306270493254</v>
      </c>
      <c r="AG156" s="814">
        <f t="shared" si="74"/>
        <v>1</v>
      </c>
      <c r="AH156" s="175">
        <f t="shared" si="67"/>
        <v>7</v>
      </c>
      <c r="AI156" s="224">
        <f t="shared" si="68"/>
        <v>1.1287630627049325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10">
        <f>'2022'!Wh/'2022'!Env_an*'2023'!Env_an</f>
        <v>16.305023761403277</v>
      </c>
      <c r="C157" s="843"/>
      <c r="D157" s="392">
        <f t="shared" si="50"/>
        <v>16.946587322660857</v>
      </c>
      <c r="E157" s="384">
        <f t="shared" si="72"/>
        <v>18.066555264589081</v>
      </c>
      <c r="F157" s="384">
        <f t="shared" si="51"/>
        <v>18.066555264589081</v>
      </c>
      <c r="G157" s="110">
        <f t="shared" si="73"/>
        <v>0.29852572495298252</v>
      </c>
      <c r="H157" s="413" t="b">
        <f>Wh_hp&gt;='2022'!Maxi_hp</f>
        <v>0</v>
      </c>
      <c r="I157" s="389">
        <f>IF(H157,Wh_hp,'2022'!Maxi_hp)</f>
        <v>55.585260349029333</v>
      </c>
      <c r="J157" s="85">
        <f>IF(H157,An,'2022'!An_max)</f>
        <v>2020</v>
      </c>
      <c r="K157" s="196">
        <f t="shared" si="52"/>
        <v>45069</v>
      </c>
      <c r="L157" s="147">
        <f>IF(t&lt;Tvie,1-EXP((T0-t)*PertePVj)+'2022'!Pspv,1-EXP((T0-t)*PertePVj)+Pspv)</f>
        <v>3.785797984233006E-2</v>
      </c>
      <c r="M157" s="847"/>
      <c r="N157" s="847"/>
      <c r="O157" s="48">
        <f>IF(t&lt;Tnet,'2022'!Resal+('2022'!Salim-'2022'!Resal)*(1-EXP(('2022'!Tnet-t)/('2022'!Tau_j))),Resal+(Salim-Resal)*(1-EXP((Tnet-t)/(Tau_j))))*Salcycl</f>
        <v>6.1991227742423487E-2</v>
      </c>
      <c r="P157" s="168">
        <f>(INDEX(Models!$BJ157:$BT157,,T157)*(1-R157)+INDEX(Models!$BJ157:$BT157,,T157+1)*R157-ERP_i)*Q157*Ramure*Pc/MaxiM</f>
        <v>4.370912900032236E-4</v>
      </c>
      <c r="Q157" s="304">
        <f t="shared" si="53"/>
        <v>0.5</v>
      </c>
      <c r="R157" s="176">
        <f t="shared" si="54"/>
        <v>0.13144406150399601</v>
      </c>
      <c r="S157" s="814">
        <f t="shared" si="55"/>
        <v>1</v>
      </c>
      <c r="T157" s="175">
        <f t="shared" si="56"/>
        <v>7</v>
      </c>
      <c r="U157" s="250">
        <f t="shared" si="57"/>
        <v>1.131444061503996</v>
      </c>
      <c r="V157" s="382">
        <f t="shared" si="58"/>
        <v>54.594614853044149</v>
      </c>
      <c r="W157" s="401">
        <f t="shared" si="59"/>
        <v>16.305023761403277</v>
      </c>
      <c r="X157" s="157">
        <f t="shared" si="60"/>
        <v>45069</v>
      </c>
      <c r="Y157" s="384">
        <f t="shared" si="61"/>
        <v>15.973915141674468</v>
      </c>
      <c r="Z157" s="384">
        <f t="shared" si="62"/>
        <v>16.60245037323779</v>
      </c>
      <c r="AA157" s="385">
        <f t="shared" si="63"/>
        <v>18.066555264589081</v>
      </c>
      <c r="AB157" s="196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8.1039515829615591E-2</v>
      </c>
      <c r="AD157" s="230">
        <f>(INDEX(Models!$BJ157:$BT157,,AH157)*(1-AF157)+INDEX(Models!$BJ157:$BT157,,AH157+1)*AF157-ERP_i)*AE157*Ramure*Pc/MaxiM</f>
        <v>4.370912900032236E-4</v>
      </c>
      <c r="AE157" s="304">
        <f t="shared" si="65"/>
        <v>0.5</v>
      </c>
      <c r="AF157" s="176">
        <f t="shared" si="66"/>
        <v>0.13144406150399601</v>
      </c>
      <c r="AG157" s="814">
        <f t="shared" si="74"/>
        <v>1</v>
      </c>
      <c r="AH157" s="175">
        <f t="shared" si="67"/>
        <v>7</v>
      </c>
      <c r="AI157" s="224">
        <f t="shared" si="68"/>
        <v>1.131444061503996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10">
        <f>'2022'!Wh/'2022'!Env_an*'2023'!Env_an</f>
        <v>13.355853126147682</v>
      </c>
      <c r="C158" s="843"/>
      <c r="D158" s="392">
        <f t="shared" si="50"/>
        <v>13.881677564571318</v>
      </c>
      <c r="E158" s="384">
        <f t="shared" si="72"/>
        <v>14.800451011869979</v>
      </c>
      <c r="F158" s="384">
        <f t="shared" si="51"/>
        <v>14.800451011869979</v>
      </c>
      <c r="G158" s="110">
        <f t="shared" si="73"/>
        <v>0.24458836061080544</v>
      </c>
      <c r="H158" s="413" t="b">
        <f>Wh_hp&gt;='2022'!Maxi_hp</f>
        <v>0</v>
      </c>
      <c r="I158" s="389">
        <f>IF(H158,Wh_hp,'2022'!Maxi_hp)</f>
        <v>26.001334753599281</v>
      </c>
      <c r="J158" s="85">
        <f>IF(H158,An,'2022'!An_max)</f>
        <v>2021</v>
      </c>
      <c r="K158" s="196">
        <f t="shared" si="52"/>
        <v>45070</v>
      </c>
      <c r="L158" s="147">
        <f>IF(t&lt;Tvie,1-EXP((T0-t)*PertePVj)+'2022'!Pspv,1-EXP((T0-t)*PertePVj)+Pspv)</f>
        <v>3.7879026938764195E-2</v>
      </c>
      <c r="M158" s="847"/>
      <c r="N158" s="847"/>
      <c r="O158" s="48">
        <f>IF(t&lt;Tnet,'2022'!Resal+('2022'!Salim-'2022'!Resal)*(1-EXP(('2022'!Tnet-t)/('2022'!Tau_j))),Resal+(Salim-Resal)*(1-EXP((Tnet-t)/(Tau_j))))*Salcycl</f>
        <v>6.2077395247063995E-2</v>
      </c>
      <c r="P158" s="168">
        <f>(INDEX(Models!$BJ158:$BT158,,T158)*(1-R158)+INDEX(Models!$BJ158:$BT158,,T158+1)*R158-ERP_i)*Q158*Ramure*Pc/MaxiM</f>
        <v>4.5198874595134194E-4</v>
      </c>
      <c r="Q158" s="304">
        <f t="shared" si="53"/>
        <v>0.5</v>
      </c>
      <c r="R158" s="176">
        <f t="shared" si="54"/>
        <v>0.13416432922249366</v>
      </c>
      <c r="S158" s="814">
        <f t="shared" si="55"/>
        <v>1</v>
      </c>
      <c r="T158" s="175">
        <f t="shared" si="56"/>
        <v>7</v>
      </c>
      <c r="U158" s="250">
        <f t="shared" si="57"/>
        <v>1.1341643292224937</v>
      </c>
      <c r="V158" s="382">
        <f t="shared" si="58"/>
        <v>54.580751093403897</v>
      </c>
      <c r="W158" s="401">
        <f t="shared" si="59"/>
        <v>13.355853126147682</v>
      </c>
      <c r="X158" s="157">
        <f t="shared" si="60"/>
        <v>45070</v>
      </c>
      <c r="Y158" s="384">
        <f t="shared" si="61"/>
        <v>13.084704844573837</v>
      </c>
      <c r="Z158" s="384">
        <f t="shared" si="62"/>
        <v>13.599854083776469</v>
      </c>
      <c r="AA158" s="385">
        <f t="shared" si="63"/>
        <v>14.800451011869979</v>
      </c>
      <c r="AB158" s="196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8.1118942059983809E-2</v>
      </c>
      <c r="AD158" s="230">
        <f>(INDEX(Models!$BJ158:$BT158,,AH158)*(1-AF158)+INDEX(Models!$BJ158:$BT158,,AH158+1)*AF158-ERP_i)*AE158*Ramure*Pc/MaxiM</f>
        <v>4.5198874595134194E-4</v>
      </c>
      <c r="AE158" s="304">
        <f t="shared" si="65"/>
        <v>0.5</v>
      </c>
      <c r="AF158" s="176">
        <f t="shared" si="66"/>
        <v>0.13416432922249366</v>
      </c>
      <c r="AG158" s="814">
        <f t="shared" si="74"/>
        <v>1</v>
      </c>
      <c r="AH158" s="175">
        <f t="shared" si="67"/>
        <v>7</v>
      </c>
      <c r="AI158" s="224">
        <f t="shared" si="68"/>
        <v>1.1341643292224937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10">
        <f>'2022'!Wh/'2022'!Env_an*'2023'!Env_an</f>
        <v>38.126330738478138</v>
      </c>
      <c r="C159" s="843"/>
      <c r="D159" s="392">
        <f t="shared" si="50"/>
        <v>39.628244105701079</v>
      </c>
      <c r="E159" s="384">
        <f t="shared" si="72"/>
        <v>42.254965451230277</v>
      </c>
      <c r="F159" s="384">
        <f t="shared" si="51"/>
        <v>42.2662079305601</v>
      </c>
      <c r="G159" s="110">
        <f t="shared" si="73"/>
        <v>0.69860281779325917</v>
      </c>
      <c r="H159" s="413" t="b">
        <f>Wh_hp&gt;='2022'!Maxi_hp</f>
        <v>0</v>
      </c>
      <c r="I159" s="389">
        <f>IF(H159,Wh_hp,'2022'!Maxi_hp)</f>
        <v>56.074384360716962</v>
      </c>
      <c r="J159" s="85">
        <f>IF(H159,An,'2022'!An_max)</f>
        <v>2020</v>
      </c>
      <c r="K159" s="196">
        <f t="shared" si="52"/>
        <v>45071</v>
      </c>
      <c r="L159" s="147">
        <f>IF(t&lt;Tvie,1-EXP((T0-t)*PertePVj)+'2022'!Pspv,1-EXP((T0-t)*PertePVj)+Pspv)</f>
        <v>3.7900073574212968E-2</v>
      </c>
      <c r="M159" s="847"/>
      <c r="N159" s="847"/>
      <c r="O159" s="48">
        <f>IF(t&lt;Tnet,'2022'!Resal+('2022'!Salim-'2022'!Resal)*(1-EXP(('2022'!Tnet-t)/('2022'!Tau_j))),Resal+(Salim-Resal)*(1-EXP((Tnet-t)/(Tau_j))))*Salcycl</f>
        <v>6.2163613612722067E-2</v>
      </c>
      <c r="P159" s="168">
        <f>(INDEX(Models!$BJ159:$BT159,,T159)*(1-R159)+INDEX(Models!$BJ159:$BT159,,T159+1)*R159-ERP_i)*Q159*Ramure*Pc/MaxiM</f>
        <v>4.6695333395040128E-4</v>
      </c>
      <c r="Q159" s="304">
        <f t="shared" si="53"/>
        <v>0.5</v>
      </c>
      <c r="R159" s="176">
        <f t="shared" si="54"/>
        <v>0.13692238847312388</v>
      </c>
      <c r="S159" s="814">
        <f t="shared" si="55"/>
        <v>1</v>
      </c>
      <c r="T159" s="175">
        <f t="shared" si="56"/>
        <v>7</v>
      </c>
      <c r="U159" s="250">
        <f t="shared" si="57"/>
        <v>1.1369223884731239</v>
      </c>
      <c r="V159" s="382">
        <f t="shared" si="58"/>
        <v>54.564146917700619</v>
      </c>
      <c r="W159" s="401">
        <f t="shared" si="59"/>
        <v>38.126330738478138</v>
      </c>
      <c r="X159" s="157">
        <f t="shared" si="60"/>
        <v>45071</v>
      </c>
      <c r="Y159" s="384">
        <f t="shared" si="61"/>
        <v>37.352499119968506</v>
      </c>
      <c r="Z159" s="384">
        <f t="shared" si="62"/>
        <v>38.823928880998359</v>
      </c>
      <c r="AA159" s="385">
        <f t="shared" si="63"/>
        <v>42.254965451230277</v>
      </c>
      <c r="AB159" s="196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8.1198423276240494E-2</v>
      </c>
      <c r="AD159" s="230">
        <f>(INDEX(Models!$BJ159:$BT159,,AH159)*(1-AF159)+INDEX(Models!$BJ159:$BT159,,AH159+1)*AF159-ERP_i)*AE159*Ramure*Pc/MaxiM</f>
        <v>4.6695333395040128E-4</v>
      </c>
      <c r="AE159" s="304">
        <f t="shared" si="65"/>
        <v>0.5</v>
      </c>
      <c r="AF159" s="176">
        <f t="shared" si="66"/>
        <v>0.13692238847312388</v>
      </c>
      <c r="AG159" s="814">
        <f t="shared" si="74"/>
        <v>1</v>
      </c>
      <c r="AH159" s="175">
        <f t="shared" si="67"/>
        <v>7</v>
      </c>
      <c r="AI159" s="224">
        <f t="shared" si="68"/>
        <v>1.1369223884731239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10">
        <f>'2022'!Wh/'2022'!Env_an*'2023'!Env_an</f>
        <v>20.474250403959491</v>
      </c>
      <c r="C160" s="843"/>
      <c r="D160" s="392">
        <f t="shared" si="50"/>
        <v>21.281259597561501</v>
      </c>
      <c r="E160" s="384">
        <f t="shared" si="72"/>
        <v>22.693954418400669</v>
      </c>
      <c r="F160" s="384">
        <f t="shared" si="51"/>
        <v>22.695132126171369</v>
      </c>
      <c r="G160" s="110">
        <f t="shared" si="73"/>
        <v>0.3752042672440673</v>
      </c>
      <c r="H160" s="413" t="b">
        <f>Wh_hp&gt;='2022'!Maxi_hp</f>
        <v>0</v>
      </c>
      <c r="I160" s="389">
        <f>IF(H160,Wh_hp,'2022'!Maxi_hp)</f>
        <v>59.949871504131856</v>
      </c>
      <c r="J160" s="85">
        <f>IF(H160,An,'2022'!An_max)</f>
        <v>2020</v>
      </c>
      <c r="K160" s="196">
        <f t="shared" si="52"/>
        <v>45072</v>
      </c>
      <c r="L160" s="147">
        <f>IF(t&lt;Tvie,1-EXP((T0-t)*PertePVj)+'2022'!Pspv,1-EXP((T0-t)*PertePVj)+Pspv)</f>
        <v>3.7921119748686262E-2</v>
      </c>
      <c r="M160" s="847"/>
      <c r="N160" s="847"/>
      <c r="O160" s="48">
        <f>IF(t&lt;Tnet,'2022'!Resal+('2022'!Salim-'2022'!Resal)*(1-EXP(('2022'!Tnet-t)/('2022'!Tau_j))),Resal+(Salim-Resal)*(1-EXP((Tnet-t)/(Tau_j))))*Salcycl</f>
        <v>6.2249830716753739E-2</v>
      </c>
      <c r="P160" s="168">
        <f>(INDEX(Models!$BJ160:$BT160,,T160)*(1-R160)+INDEX(Models!$BJ160:$BT160,,T160+1)*R160-ERP_i)*Q160*Ramure*Pc/MaxiM</f>
        <v>4.8198002216302989E-4</v>
      </c>
      <c r="Q160" s="304">
        <f t="shared" si="53"/>
        <v>0.5</v>
      </c>
      <c r="R160" s="176">
        <f t="shared" si="54"/>
        <v>0.13971665587762327</v>
      </c>
      <c r="S160" s="814">
        <f t="shared" si="55"/>
        <v>1</v>
      </c>
      <c r="T160" s="175">
        <f t="shared" si="56"/>
        <v>7</v>
      </c>
      <c r="U160" s="250">
        <f t="shared" si="57"/>
        <v>1.1397166558776233</v>
      </c>
      <c r="V160" s="382">
        <f t="shared" si="58"/>
        <v>54.544806694891008</v>
      </c>
      <c r="W160" s="401">
        <f t="shared" si="59"/>
        <v>20.474250403959491</v>
      </c>
      <c r="X160" s="157">
        <f t="shared" si="60"/>
        <v>45072</v>
      </c>
      <c r="Y160" s="384">
        <f t="shared" si="61"/>
        <v>20.058803633664077</v>
      </c>
      <c r="Z160" s="384">
        <f t="shared" si="62"/>
        <v>20.849437655698591</v>
      </c>
      <c r="AA160" s="385">
        <f t="shared" si="63"/>
        <v>22.693954418400669</v>
      </c>
      <c r="AB160" s="196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8.1277891402060418E-2</v>
      </c>
      <c r="AD160" s="230">
        <f>(INDEX(Models!$BJ160:$BT160,,AH160)*(1-AF160)+INDEX(Models!$BJ160:$BT160,,AH160+1)*AF160-ERP_i)*AE160*Ramure*Pc/MaxiM</f>
        <v>4.8198002216302989E-4</v>
      </c>
      <c r="AE160" s="304">
        <f t="shared" si="65"/>
        <v>0.5</v>
      </c>
      <c r="AF160" s="176">
        <f t="shared" si="66"/>
        <v>0.13971665587762327</v>
      </c>
      <c r="AG160" s="814">
        <f t="shared" si="74"/>
        <v>1</v>
      </c>
      <c r="AH160" s="175">
        <f t="shared" si="67"/>
        <v>7</v>
      </c>
      <c r="AI160" s="224">
        <f t="shared" si="68"/>
        <v>1.1397166558776233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10">
        <f>'2022'!Wh/'2022'!Env_an*'2023'!Env_an</f>
        <v>38.285933179154981</v>
      </c>
      <c r="C161" s="843"/>
      <c r="D161" s="392">
        <f t="shared" si="50"/>
        <v>39.795874847324967</v>
      </c>
      <c r="E161" s="384">
        <f t="shared" si="72"/>
        <v>42.441508450898638</v>
      </c>
      <c r="F161" s="384">
        <f t="shared" si="51"/>
        <v>42.45363317734796</v>
      </c>
      <c r="G161" s="110">
        <f t="shared" si="73"/>
        <v>0.70205272840663102</v>
      </c>
      <c r="H161" s="413" t="b">
        <f>Wh_hp&gt;='2022'!Maxi_hp</f>
        <v>0</v>
      </c>
      <c r="I161" s="389">
        <f>IF(H161,Wh_hp,'2022'!Maxi_hp)</f>
        <v>59.872524660282878</v>
      </c>
      <c r="J161" s="85">
        <f>IF(H161,An,'2022'!An_max)</f>
        <v>2021</v>
      </c>
      <c r="K161" s="196">
        <f t="shared" si="52"/>
        <v>45073</v>
      </c>
      <c r="L161" s="147">
        <f>IF(t&lt;Tvie,1-EXP((T0-t)*PertePVj)+'2022'!Pspv,1-EXP((T0-t)*PertePVj)+Pspv)</f>
        <v>3.7942165462194512E-2</v>
      </c>
      <c r="M161" s="847"/>
      <c r="N161" s="847"/>
      <c r="O161" s="48">
        <f>IF(t&lt;Tnet,'2022'!Resal+('2022'!Salim-'2022'!Resal)*(1-EXP(('2022'!Tnet-t)/('2022'!Tau_j))),Resal+(Salim-Resal)*(1-EXP((Tnet-t)/(Tau_j))))*Salcycl</f>
        <v>6.233599370376882E-2</v>
      </c>
      <c r="P161" s="168">
        <f>(INDEX(Models!$BJ161:$BT161,,T161)*(1-R161)+INDEX(Models!$BJ161:$BT161,,T161+1)*R161-ERP_i)*Q161*Ramure*Pc/MaxiM</f>
        <v>4.9706329915305059E-4</v>
      </c>
      <c r="Q161" s="304">
        <f t="shared" si="53"/>
        <v>0.5</v>
      </c>
      <c r="R161" s="176">
        <f t="shared" si="54"/>
        <v>0.14254544431220895</v>
      </c>
      <c r="S161" s="814">
        <f t="shared" si="55"/>
        <v>1</v>
      </c>
      <c r="T161" s="175">
        <f t="shared" si="56"/>
        <v>7</v>
      </c>
      <c r="U161" s="250">
        <f t="shared" si="57"/>
        <v>1.1425454443122089</v>
      </c>
      <c r="V161" s="382">
        <f t="shared" si="58"/>
        <v>54.522734859622105</v>
      </c>
      <c r="W161" s="401">
        <f t="shared" si="59"/>
        <v>38.285933179154981</v>
      </c>
      <c r="X161" s="157">
        <f t="shared" si="60"/>
        <v>45073</v>
      </c>
      <c r="Y161" s="384">
        <f t="shared" si="61"/>
        <v>37.509271607298253</v>
      </c>
      <c r="Z161" s="384">
        <f t="shared" si="62"/>
        <v>38.98858286967598</v>
      </c>
      <c r="AA161" s="385">
        <f t="shared" si="63"/>
        <v>42.441508450898638</v>
      </c>
      <c r="AB161" s="196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8.1357277515652207E-2</v>
      </c>
      <c r="AD161" s="230">
        <f>(INDEX(Models!$BJ161:$BT161,,AH161)*(1-AF161)+INDEX(Models!$BJ161:$BT161,,AH161+1)*AF161-ERP_i)*AE161*Ramure*Pc/MaxiM</f>
        <v>4.9706329915305059E-4</v>
      </c>
      <c r="AE161" s="304">
        <f t="shared" si="65"/>
        <v>0.5</v>
      </c>
      <c r="AF161" s="176">
        <f t="shared" si="66"/>
        <v>0.14254544431220895</v>
      </c>
      <c r="AG161" s="814">
        <f t="shared" si="74"/>
        <v>1</v>
      </c>
      <c r="AH161" s="175">
        <f t="shared" si="67"/>
        <v>7</v>
      </c>
      <c r="AI161" s="224">
        <f t="shared" si="68"/>
        <v>1.1425454443122089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10">
        <f>'2022'!Wh/'2022'!Env_an*'2023'!Env_an</f>
        <v>49.550939403601184</v>
      </c>
      <c r="C162" s="843"/>
      <c r="D162" s="392">
        <f t="shared" si="50"/>
        <v>51.506283289244244</v>
      </c>
      <c r="E162" s="384">
        <f t="shared" si="72"/>
        <v>54.935467758178774</v>
      </c>
      <c r="F162" s="384">
        <f t="shared" si="51"/>
        <v>54.959967642627603</v>
      </c>
      <c r="G162" s="110">
        <f t="shared" si="73"/>
        <v>0.90916556619642175</v>
      </c>
      <c r="H162" s="413" t="b">
        <f>Wh_hp&gt;='2022'!Maxi_hp</f>
        <v>0</v>
      </c>
      <c r="I162" s="389">
        <f>IF(H162,Wh_hp,'2022'!Maxi_hp)</f>
        <v>58.893102499621982</v>
      </c>
      <c r="J162" s="85">
        <f>IF(H162,An,'2022'!An_max)</f>
        <v>2020</v>
      </c>
      <c r="K162" s="196">
        <f t="shared" si="52"/>
        <v>45074</v>
      </c>
      <c r="L162" s="147">
        <f>IF(t&lt;Tvie,1-EXP((T0-t)*PertePVj)+'2022'!Pspv,1-EXP((T0-t)*PertePVj)+Pspv)</f>
        <v>3.7963210714747488E-2</v>
      </c>
      <c r="M162" s="847"/>
      <c r="N162" s="847"/>
      <c r="O162" s="48">
        <f>IF(t&lt;Tnet,'2022'!Resal+('2022'!Salim-'2022'!Resal)*(1-EXP(('2022'!Tnet-t)/('2022'!Tau_j))),Resal+(Salim-Resal)*(1-EXP((Tnet-t)/(Tau_j))))*Salcycl</f>
        <v>6.2422049158287134E-2</v>
      </c>
      <c r="P162" s="168">
        <f>(INDEX(Models!$BJ162:$BT162,,T162)*(1-R162)+INDEX(Models!$BJ162:$BT162,,T162+1)*R162-ERP_i)*Q162*Ramure*Pc/MaxiM</f>
        <v>5.1219718762002861E-4</v>
      </c>
      <c r="Q162" s="304">
        <f t="shared" si="53"/>
        <v>0.5</v>
      </c>
      <c r="R162" s="176">
        <f t="shared" si="54"/>
        <v>0.14540696574113432</v>
      </c>
      <c r="S162" s="814">
        <f t="shared" si="55"/>
        <v>1</v>
      </c>
      <c r="T162" s="175">
        <f t="shared" si="56"/>
        <v>7</v>
      </c>
      <c r="U162" s="250">
        <f t="shared" si="57"/>
        <v>1.1454069657411343</v>
      </c>
      <c r="V162" s="382">
        <f t="shared" si="58"/>
        <v>54.497935899460593</v>
      </c>
      <c r="W162" s="401">
        <f t="shared" si="59"/>
        <v>49.550939403601184</v>
      </c>
      <c r="X162" s="157">
        <f t="shared" si="60"/>
        <v>45074</v>
      </c>
      <c r="Y162" s="384">
        <f t="shared" si="61"/>
        <v>48.546026159859103</v>
      </c>
      <c r="Z162" s="384">
        <f t="shared" si="62"/>
        <v>50.461714874673852</v>
      </c>
      <c r="AA162" s="385">
        <f t="shared" si="63"/>
        <v>54.935467758178774</v>
      </c>
      <c r="AB162" s="196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8.1436512076278236E-2</v>
      </c>
      <c r="AD162" s="230">
        <f>(INDEX(Models!$BJ162:$BT162,,AH162)*(1-AF162)+INDEX(Models!$BJ162:$BT162,,AH162+1)*AF162-ERP_i)*AE162*Ramure*Pc/MaxiM</f>
        <v>5.1219718762002861E-4</v>
      </c>
      <c r="AE162" s="304">
        <f t="shared" si="65"/>
        <v>0.5</v>
      </c>
      <c r="AF162" s="176">
        <f t="shared" si="66"/>
        <v>0.14540696574113432</v>
      </c>
      <c r="AG162" s="814">
        <f t="shared" si="74"/>
        <v>1</v>
      </c>
      <c r="AH162" s="175">
        <f t="shared" si="67"/>
        <v>7</v>
      </c>
      <c r="AI162" s="224">
        <f t="shared" si="68"/>
        <v>1.1454069657411343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10">
        <f>'2022'!Wh/'2022'!Env_an*'2023'!Env_an</f>
        <v>54.089878786268727</v>
      </c>
      <c r="C163" s="843"/>
      <c r="D163" s="392">
        <f t="shared" si="50"/>
        <v>56.225565013739818</v>
      </c>
      <c r="E163" s="384">
        <f t="shared" si="72"/>
        <v>59.974444168355042</v>
      </c>
      <c r="F163" s="384">
        <f t="shared" si="51"/>
        <v>60.005775087410136</v>
      </c>
      <c r="G163" s="110">
        <f t="shared" si="73"/>
        <v>0.99302412470358625</v>
      </c>
      <c r="H163" s="413" t="b">
        <f>Wh_hp&gt;='2022'!Maxi_hp</f>
        <v>0</v>
      </c>
      <c r="I163" s="389">
        <f>IF(H163,Wh_hp,'2022'!Maxi_hp)</f>
        <v>60.005838604518864</v>
      </c>
      <c r="J163" s="85">
        <f>IF(H163,An,'2022'!An_max)</f>
        <v>2022</v>
      </c>
      <c r="K163" s="196">
        <f t="shared" si="52"/>
        <v>45075</v>
      </c>
      <c r="L163" s="147">
        <f>IF(t&lt;Tvie,1-EXP((T0-t)*PertePVj)+'2022'!Pspv,1-EXP((T0-t)*PertePVj)+Pspv)</f>
        <v>3.7984255506355404E-2</v>
      </c>
      <c r="M163" s="847"/>
      <c r="N163" s="847"/>
      <c r="O163" s="48">
        <f>IF(t&lt;Tnet,'2022'!Resal+('2022'!Salim-'2022'!Resal)*(1-EXP(('2022'!Tnet-t)/('2022'!Tau_j))),Resal+(Salim-Resal)*(1-EXP((Tnet-t)/(Tau_j))))*Salcycl</f>
        <v>6.2507943284838066E-2</v>
      </c>
      <c r="P163" s="168">
        <f>(INDEX(Models!$BJ163:$BT163,,T163)*(1-R163)+INDEX(Models!$BJ163:$BT163,,T163+1)*R163-ERP_i)*Q163*Ramure*Pc/MaxiM</f>
        <v>5.2738345605221832E-4</v>
      </c>
      <c r="Q163" s="304">
        <f t="shared" si="53"/>
        <v>0.5</v>
      </c>
      <c r="R163" s="176">
        <f t="shared" si="54"/>
        <v>0.14829933463986755</v>
      </c>
      <c r="S163" s="814">
        <f t="shared" si="55"/>
        <v>1</v>
      </c>
      <c r="T163" s="175">
        <f t="shared" si="56"/>
        <v>7</v>
      </c>
      <c r="U163" s="250">
        <f t="shared" si="57"/>
        <v>1.1482993346398676</v>
      </c>
      <c r="V163" s="382">
        <f t="shared" si="58"/>
        <v>54.469567482764198</v>
      </c>
      <c r="W163" s="401">
        <f t="shared" si="59"/>
        <v>54.089878786268727</v>
      </c>
      <c r="X163" s="157">
        <f t="shared" si="60"/>
        <v>45075</v>
      </c>
      <c r="Y163" s="384">
        <f t="shared" si="61"/>
        <v>52.993210508090606</v>
      </c>
      <c r="Z163" s="384">
        <f t="shared" si="62"/>
        <v>55.085595855797031</v>
      </c>
      <c r="AA163" s="385">
        <f t="shared" si="63"/>
        <v>59.974444168355042</v>
      </c>
      <c r="AB163" s="196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8.1515525159924065E-2</v>
      </c>
      <c r="AD163" s="230">
        <f>(INDEX(Models!$BJ163:$BT163,,AH163)*(1-AF163)+INDEX(Models!$BJ163:$BT163,,AH163+1)*AF163-ERP_i)*AE163*Ramure*Pc/MaxiM</f>
        <v>5.2738345605221832E-4</v>
      </c>
      <c r="AE163" s="304">
        <f t="shared" si="65"/>
        <v>0.5</v>
      </c>
      <c r="AF163" s="176">
        <f t="shared" si="66"/>
        <v>0.14829933463986755</v>
      </c>
      <c r="AG163" s="814">
        <f t="shared" si="74"/>
        <v>1</v>
      </c>
      <c r="AH163" s="175">
        <f t="shared" si="67"/>
        <v>7</v>
      </c>
      <c r="AI163" s="224">
        <f t="shared" si="68"/>
        <v>1.1482993346398676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10">
        <f>'2022'!Wh/'2022'!Env_an*'2023'!Env_an</f>
        <v>46.16743014542201</v>
      </c>
      <c r="C164" s="843"/>
      <c r="D164" s="392">
        <f t="shared" si="50"/>
        <v>47.991356020569327</v>
      </c>
      <c r="E164" s="384">
        <f t="shared" si="72"/>
        <v>51.195892359727601</v>
      </c>
      <c r="F164" s="384">
        <f t="shared" si="51"/>
        <v>51.217645119726285</v>
      </c>
      <c r="G164" s="110">
        <f t="shared" si="73"/>
        <v>0.84798837835172458</v>
      </c>
      <c r="H164" s="413" t="b">
        <f>Wh_hp&gt;='2022'!Maxi_hp</f>
        <v>0</v>
      </c>
      <c r="I164" s="389">
        <f>IF(H164,Wh_hp,'2022'!Maxi_hp)</f>
        <v>59.235447555070827</v>
      </c>
      <c r="J164" s="85">
        <f>IF(H164,An,'2022'!An_max)</f>
        <v>2019</v>
      </c>
      <c r="K164" s="196">
        <f t="shared" si="52"/>
        <v>45076</v>
      </c>
      <c r="L164" s="147">
        <f>IF(t&lt;Tvie,1-EXP((T0-t)*PertePVj)+'2022'!Pspv,1-EXP((T0-t)*PertePVj)+Pspv)</f>
        <v>3.8005299837028474E-2</v>
      </c>
      <c r="M164" s="847"/>
      <c r="N164" s="847"/>
      <c r="O164" s="48">
        <f>IF(t&lt;Tnet,'2022'!Resal+('2022'!Salim-'2022'!Resal)*(1-EXP(('2022'!Tnet-t)/('2022'!Tau_j))),Resal+(Salim-Resal)*(1-EXP((Tnet-t)/(Tau_j))))*Salcycl</f>
        <v>6.2593622094554463E-2</v>
      </c>
      <c r="P164" s="168">
        <f>(INDEX(Models!$BJ164:$BT164,,T164)*(1-R164)+INDEX(Models!$BJ164:$BT164,,T164+1)*R164-ERP_i)*Q164*Ramure*Pc/MaxiM</f>
        <v>5.4242825835519148E-4</v>
      </c>
      <c r="Q164" s="304">
        <f t="shared" si="53"/>
        <v>0.5</v>
      </c>
      <c r="R164" s="176">
        <f t="shared" si="54"/>
        <v>0.15122057200391992</v>
      </c>
      <c r="S164" s="814">
        <f t="shared" si="55"/>
        <v>1</v>
      </c>
      <c r="T164" s="175">
        <f t="shared" si="56"/>
        <v>7</v>
      </c>
      <c r="U164" s="250">
        <f t="shared" si="57"/>
        <v>1.1512205720039199</v>
      </c>
      <c r="V164" s="382">
        <f t="shared" si="58"/>
        <v>54.437058771068592</v>
      </c>
      <c r="W164" s="401">
        <f t="shared" si="59"/>
        <v>46.16743014542201</v>
      </c>
      <c r="X164" s="157">
        <f t="shared" si="60"/>
        <v>45076</v>
      </c>
      <c r="Y164" s="384">
        <f t="shared" si="61"/>
        <v>45.231646018069192</v>
      </c>
      <c r="Z164" s="384">
        <f t="shared" si="62"/>
        <v>47.01860208835506</v>
      </c>
      <c r="AA164" s="385">
        <f t="shared" si="63"/>
        <v>51.195892359727601</v>
      </c>
      <c r="AB164" s="196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8.1594246702857337E-2</v>
      </c>
      <c r="AD164" s="230">
        <f>(INDEX(Models!$BJ164:$BT164,,AH164)*(1-AF164)+INDEX(Models!$BJ164:$BT164,,AH164+1)*AF164-ERP_i)*AE164*Ramure*Pc/MaxiM</f>
        <v>5.4242825835519148E-4</v>
      </c>
      <c r="AE164" s="304">
        <f t="shared" si="65"/>
        <v>0.5</v>
      </c>
      <c r="AF164" s="176">
        <f t="shared" si="66"/>
        <v>0.15122057200391992</v>
      </c>
      <c r="AG164" s="814">
        <f t="shared" si="74"/>
        <v>1</v>
      </c>
      <c r="AH164" s="175">
        <f t="shared" si="67"/>
        <v>7</v>
      </c>
      <c r="AI164" s="224">
        <f t="shared" si="68"/>
        <v>1.1512205720039199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10">
        <f>'2022'!Wh/'2022'!Env_an*'2023'!Env_an</f>
        <v>51.413374335347974</v>
      </c>
      <c r="C165" s="843"/>
      <c r="D165" s="392">
        <f t="shared" si="50"/>
        <v>53.445719640036003</v>
      </c>
      <c r="E165" s="384">
        <f t="shared" si="72"/>
        <v>57.019656490891869</v>
      </c>
      <c r="F165" s="384">
        <f t="shared" si="51"/>
        <v>57.048958166584001</v>
      </c>
      <c r="G165" s="110">
        <f t="shared" si="73"/>
        <v>0.94504347809566158</v>
      </c>
      <c r="H165" s="413" t="b">
        <f>Wh_hp&gt;='2022'!Maxi_hp</f>
        <v>0</v>
      </c>
      <c r="I165" s="389">
        <f>IF(H165,Wh_hp,'2022'!Maxi_hp)</f>
        <v>60.201047487090179</v>
      </c>
      <c r="J165" s="85">
        <f>IF(H165,An,'2022'!An_max)</f>
        <v>2019</v>
      </c>
      <c r="K165" s="196">
        <f t="shared" si="52"/>
        <v>45077</v>
      </c>
      <c r="L165" s="147">
        <f>IF(t&lt;Tvie,1-EXP((T0-t)*PertePVj)+'2022'!Pspv,1-EXP((T0-t)*PertePVj)+Pspv)</f>
        <v>3.8026343706776579E-2</v>
      </c>
      <c r="M165" s="847"/>
      <c r="N165" s="847"/>
      <c r="O165" s="48">
        <f>IF(t&lt;Tnet,'2022'!Resal+('2022'!Salim-'2022'!Resal)*(1-EXP(('2022'!Tnet-t)/('2022'!Tau_j))),Resal+(Salim-Resal)*(1-EXP((Tnet-t)/(Tau_j))))*Salcycl</f>
        <v>6.2679031597230941E-2</v>
      </c>
      <c r="P165" s="168">
        <f>(INDEX(Models!$BJ165:$BT165,,T165)*(1-R165)+INDEX(Models!$BJ165:$BT165,,T165+1)*R165-ERP_i)*Q165*Ramure*Pc/MaxiM</f>
        <v>5.573473696066809E-4</v>
      </c>
      <c r="Q165" s="304">
        <f t="shared" si="53"/>
        <v>0.5</v>
      </c>
      <c r="R165" s="176">
        <f t="shared" si="54"/>
        <v>0.15416860993369608</v>
      </c>
      <c r="S165" s="814">
        <f t="shared" si="55"/>
        <v>1</v>
      </c>
      <c r="T165" s="175">
        <f t="shared" si="56"/>
        <v>7</v>
      </c>
      <c r="U165" s="250">
        <f t="shared" si="57"/>
        <v>1.1541686099336961</v>
      </c>
      <c r="V165" s="382">
        <f t="shared" si="58"/>
        <v>54.400804165278927</v>
      </c>
      <c r="W165" s="401">
        <f t="shared" si="59"/>
        <v>51.413374335347974</v>
      </c>
      <c r="X165" s="157">
        <f t="shared" si="60"/>
        <v>45077</v>
      </c>
      <c r="Y165" s="384">
        <f t="shared" si="61"/>
        <v>50.371550005899635</v>
      </c>
      <c r="Z165" s="384">
        <f t="shared" si="62"/>
        <v>52.362712509193351</v>
      </c>
      <c r="AA165" s="385">
        <f t="shared" si="63"/>
        <v>57.019656490891869</v>
      </c>
      <c r="AB165" s="196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8.1672606751715601E-2</v>
      </c>
      <c r="AD165" s="230">
        <f>(INDEX(Models!$BJ165:$BT165,,AH165)*(1-AF165)+INDEX(Models!$BJ165:$BT165,,AH165+1)*AF165-ERP_i)*AE165*Ramure*Pc/MaxiM</f>
        <v>5.573473696066809E-4</v>
      </c>
      <c r="AE165" s="304">
        <f t="shared" si="65"/>
        <v>0.5</v>
      </c>
      <c r="AF165" s="176">
        <f t="shared" si="66"/>
        <v>0.15416860993369608</v>
      </c>
      <c r="AG165" s="814">
        <f t="shared" si="74"/>
        <v>1</v>
      </c>
      <c r="AH165" s="175">
        <f t="shared" si="67"/>
        <v>7</v>
      </c>
      <c r="AI165" s="224">
        <f t="shared" si="68"/>
        <v>1.1541686099336961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10">
        <f>'2022'!Wh/'2022'!Env_an*'2023'!Env_an</f>
        <v>51.807355963610043</v>
      </c>
      <c r="C166" s="843"/>
      <c r="D166" s="392">
        <f t="shared" si="50"/>
        <v>53.856453290632508</v>
      </c>
      <c r="E166" s="384">
        <f t="shared" si="72"/>
        <v>57.463072343727028</v>
      </c>
      <c r="F166" s="384">
        <f t="shared" si="51"/>
        <v>57.493758419250653</v>
      </c>
      <c r="G166" s="110">
        <f t="shared" si="73"/>
        <v>0.95298422626926704</v>
      </c>
      <c r="H166" s="413" t="b">
        <f>Wh_hp&gt;='2022'!Maxi_hp</f>
        <v>0</v>
      </c>
      <c r="I166" s="389">
        <f>IF(H166,Wh_hp,'2022'!Maxi_hp)</f>
        <v>61.029409506694016</v>
      </c>
      <c r="J166" s="85">
        <f>IF(H166,An,'2022'!An_max)</f>
        <v>2019</v>
      </c>
      <c r="K166" s="196">
        <f t="shared" si="52"/>
        <v>45078</v>
      </c>
      <c r="L166" s="147">
        <f>IF(t&lt;Tvie,1-EXP((T0-t)*PertePVj)+'2022'!Pspv,1-EXP((T0-t)*PertePVj)+Pspv)</f>
        <v>3.8047387115610044E-2</v>
      </c>
      <c r="M166" s="847"/>
      <c r="N166" s="847"/>
      <c r="O166" s="48">
        <f>IF(t&lt;Tnet,'2022'!Resal+('2022'!Salim-'2022'!Resal)*(1-EXP(('2022'!Tnet-t)/('2022'!Tau_j))),Resal+(Salim-Resal)*(1-EXP((Tnet-t)/(Tau_j))))*Salcycl</f>
        <v>6.2764117997742855E-2</v>
      </c>
      <c r="P166" s="168">
        <f>(INDEX(Models!$BJ166:$BT166,,T166)*(1-R166)+INDEX(Models!$BJ166:$BT166,,T166+1)*R166-ERP_i)*Q166*Ramure*Pc/MaxiM</f>
        <v>5.7212595342396439E-4</v>
      </c>
      <c r="Q166" s="304">
        <f t="shared" si="53"/>
        <v>0.5</v>
      </c>
      <c r="R166" s="176">
        <f t="shared" si="54"/>
        <v>0.15714129677994548</v>
      </c>
      <c r="S166" s="814">
        <f t="shared" si="55"/>
        <v>1</v>
      </c>
      <c r="T166" s="175">
        <f t="shared" si="56"/>
        <v>7</v>
      </c>
      <c r="U166" s="250">
        <f t="shared" si="57"/>
        <v>1.1571412967799455</v>
      </c>
      <c r="V166" s="382">
        <f t="shared" si="58"/>
        <v>54.361199502624409</v>
      </c>
      <c r="W166" s="401">
        <f t="shared" si="59"/>
        <v>51.807355963610043</v>
      </c>
      <c r="X166" s="157">
        <f t="shared" si="60"/>
        <v>45078</v>
      </c>
      <c r="Y166" s="384">
        <f t="shared" si="61"/>
        <v>50.757848448767064</v>
      </c>
      <c r="Z166" s="384">
        <f t="shared" si="62"/>
        <v>52.765435395586664</v>
      </c>
      <c r="AA166" s="385">
        <f t="shared" si="63"/>
        <v>57.463072343727028</v>
      </c>
      <c r="AB166" s="196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8.1750535718669845E-2</v>
      </c>
      <c r="AD166" s="230">
        <f>(INDEX(Models!$BJ166:$BT166,,AH166)*(1-AF166)+INDEX(Models!$BJ166:$BT166,,AH166+1)*AF166-ERP_i)*AE166*Ramure*Pc/MaxiM</f>
        <v>5.7212595342396439E-4</v>
      </c>
      <c r="AE166" s="304">
        <f t="shared" si="65"/>
        <v>0.5</v>
      </c>
      <c r="AF166" s="176">
        <f t="shared" si="66"/>
        <v>0.15714129677994548</v>
      </c>
      <c r="AG166" s="814">
        <f t="shared" si="74"/>
        <v>1</v>
      </c>
      <c r="AH166" s="175">
        <f t="shared" si="67"/>
        <v>7</v>
      </c>
      <c r="AI166" s="224">
        <f t="shared" si="68"/>
        <v>1.1571412967799455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10">
        <f>'2022'!Wh/'2022'!Env_an*'2023'!Env_an</f>
        <v>40.742462473000053</v>
      </c>
      <c r="C167" s="843"/>
      <c r="D167" s="392">
        <f t="shared" si="50"/>
        <v>42.354844924874676</v>
      </c>
      <c r="E167" s="384">
        <f t="shared" si="72"/>
        <v>45.195317666591869</v>
      </c>
      <c r="F167" s="384">
        <f t="shared" si="51"/>
        <v>45.212373994693046</v>
      </c>
      <c r="G167" s="110">
        <f t="shared" si="73"/>
        <v>0.74990690892118184</v>
      </c>
      <c r="H167" s="413" t="b">
        <f>Wh_hp&gt;='2022'!Maxi_hp</f>
        <v>0</v>
      </c>
      <c r="I167" s="389">
        <f>IF(H167,Wh_hp,'2022'!Maxi_hp)</f>
        <v>60.469553797129123</v>
      </c>
      <c r="J167" s="85">
        <f>IF(H167,An,'2022'!An_max)</f>
        <v>2019</v>
      </c>
      <c r="K167" s="196">
        <f t="shared" si="52"/>
        <v>45079</v>
      </c>
      <c r="L167" s="147">
        <f>IF(t&lt;Tvie,1-EXP((T0-t)*PertePVj)+'2022'!Pspv,1-EXP((T0-t)*PertePVj)+Pspv)</f>
        <v>3.8068430063538751E-2</v>
      </c>
      <c r="M167" s="847"/>
      <c r="N167" s="847"/>
      <c r="O167" s="48">
        <f>IF(t&lt;Tnet,'2022'!Resal+('2022'!Salim-'2022'!Resal)*(1-EXP(('2022'!Tnet-t)/('2022'!Tau_j))),Resal+(Salim-Resal)*(1-EXP((Tnet-t)/(Tau_j))))*Salcycl</f>
        <v>6.2848827895657391E-2</v>
      </c>
      <c r="P167" s="168">
        <f>(INDEX(Models!$BJ167:$BT167,,T167)*(1-R167)+INDEX(Models!$BJ167:$BT167,,T167+1)*R167-ERP_i)*Q167*Ramure*Pc/MaxiM</f>
        <v>5.8674837052107107E-4</v>
      </c>
      <c r="Q167" s="304">
        <f t="shared" si="53"/>
        <v>0.5</v>
      </c>
      <c r="R167" s="176">
        <f t="shared" si="54"/>
        <v>0.16013640282859298</v>
      </c>
      <c r="S167" s="814">
        <f t="shared" si="55"/>
        <v>1</v>
      </c>
      <c r="T167" s="175">
        <f t="shared" si="56"/>
        <v>7</v>
      </c>
      <c r="U167" s="250">
        <f t="shared" si="57"/>
        <v>1.160136402828593</v>
      </c>
      <c r="V167" s="382">
        <f t="shared" si="58"/>
        <v>54.318640422762741</v>
      </c>
      <c r="W167" s="401">
        <f t="shared" si="59"/>
        <v>40.742462473000053</v>
      </c>
      <c r="X167" s="157">
        <f t="shared" si="60"/>
        <v>45079</v>
      </c>
      <c r="Y167" s="384">
        <f t="shared" si="61"/>
        <v>39.917348244262165</v>
      </c>
      <c r="Z167" s="384">
        <f t="shared" si="62"/>
        <v>41.497076810670471</v>
      </c>
      <c r="AA167" s="385">
        <f t="shared" si="63"/>
        <v>45.195317666591869</v>
      </c>
      <c r="AB167" s="196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8.1827964640131687E-2</v>
      </c>
      <c r="AD167" s="230">
        <f>(INDEX(Models!$BJ167:$BT167,,AH167)*(1-AF167)+INDEX(Models!$BJ167:$BT167,,AH167+1)*AF167-ERP_i)*AE167*Ramure*Pc/MaxiM</f>
        <v>5.8674837052107107E-4</v>
      </c>
      <c r="AE167" s="304">
        <f t="shared" si="65"/>
        <v>0.5</v>
      </c>
      <c r="AF167" s="176">
        <f t="shared" si="66"/>
        <v>0.16013640282859298</v>
      </c>
      <c r="AG167" s="814">
        <f t="shared" si="74"/>
        <v>1</v>
      </c>
      <c r="AH167" s="175">
        <f t="shared" si="67"/>
        <v>7</v>
      </c>
      <c r="AI167" s="224">
        <f t="shared" si="68"/>
        <v>1.160136402828593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10">
        <f>'2022'!Wh/'2022'!Env_an*'2023'!Env_an</f>
        <v>50.601418427908193</v>
      </c>
      <c r="C168" s="843"/>
      <c r="D168" s="392">
        <f t="shared" si="50"/>
        <v>52.605119690374309</v>
      </c>
      <c r="E168" s="384">
        <f t="shared" si="72"/>
        <v>56.138062465772158</v>
      </c>
      <c r="F168" s="384">
        <f t="shared" si="51"/>
        <v>56.168566985300423</v>
      </c>
      <c r="G168" s="110">
        <f t="shared" si="73"/>
        <v>0.93228657761224398</v>
      </c>
      <c r="H168" s="413" t="b">
        <f>Wh_hp&gt;='2022'!Maxi_hp</f>
        <v>0</v>
      </c>
      <c r="I168" s="389">
        <f>IF(H168,Wh_hp,'2022'!Maxi_hp)</f>
        <v>57.408695514870161</v>
      </c>
      <c r="J168" s="85">
        <f>IF(H168,An,'2022'!An_max)</f>
        <v>2020</v>
      </c>
      <c r="K168" s="196">
        <f t="shared" si="52"/>
        <v>45080</v>
      </c>
      <c r="L168" s="147">
        <f>IF(t&lt;Tvie,1-EXP((T0-t)*PertePVj)+'2022'!Pspv,1-EXP((T0-t)*PertePVj)+Pspv)</f>
        <v>3.8089472550572913E-2</v>
      </c>
      <c r="M168" s="847"/>
      <c r="N168" s="847"/>
      <c r="O168" s="48">
        <f>IF(t&lt;Tnet,'2022'!Resal+('2022'!Salim-'2022'!Resal)*(1-EXP(('2022'!Tnet-t)/('2022'!Tau_j))),Resal+(Salim-Resal)*(1-EXP((Tnet-t)/(Tau_j))))*Salcycl</f>
        <v>6.2933108486811606E-2</v>
      </c>
      <c r="P168" s="168">
        <f>(INDEX(Models!$BJ168:$BT168,,T168)*(1-R168)+INDEX(Models!$BJ168:$BT168,,T168+1)*R168-ERP_i)*Q168*Ramure*Pc/MaxiM</f>
        <v>6.0119822680811455E-4</v>
      </c>
      <c r="Q168" s="304">
        <f t="shared" si="53"/>
        <v>0.5</v>
      </c>
      <c r="R168" s="176">
        <f t="shared" si="54"/>
        <v>0.163151626497956</v>
      </c>
      <c r="S168" s="814">
        <f t="shared" si="55"/>
        <v>1</v>
      </c>
      <c r="T168" s="175">
        <f t="shared" si="56"/>
        <v>7</v>
      </c>
      <c r="U168" s="250">
        <f t="shared" si="57"/>
        <v>1.163151626497956</v>
      </c>
      <c r="V168" s="382">
        <f t="shared" si="58"/>
        <v>54.273522354253672</v>
      </c>
      <c r="W168" s="401">
        <f t="shared" si="59"/>
        <v>50.601418427908193</v>
      </c>
      <c r="X168" s="157">
        <f t="shared" si="60"/>
        <v>45080</v>
      </c>
      <c r="Y168" s="384">
        <f t="shared" si="61"/>
        <v>49.576949634477131</v>
      </c>
      <c r="Z168" s="384">
        <f t="shared" si="62"/>
        <v>51.540084259119062</v>
      </c>
      <c r="AA168" s="385">
        <f t="shared" si="63"/>
        <v>56.138062465772158</v>
      </c>
      <c r="AB168" s="196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8.1904825437403114E-2</v>
      </c>
      <c r="AD168" s="230">
        <f>(INDEX(Models!$BJ168:$BT168,,AH168)*(1-AF168)+INDEX(Models!$BJ168:$BT168,,AH168+1)*AF168-ERP_i)*AE168*Ramure*Pc/MaxiM</f>
        <v>6.0119822680811455E-4</v>
      </c>
      <c r="AE168" s="304">
        <f t="shared" si="65"/>
        <v>0.5</v>
      </c>
      <c r="AF168" s="176">
        <f t="shared" si="66"/>
        <v>0.163151626497956</v>
      </c>
      <c r="AG168" s="814">
        <f t="shared" si="74"/>
        <v>1</v>
      </c>
      <c r="AH168" s="175">
        <f t="shared" si="67"/>
        <v>7</v>
      </c>
      <c r="AI168" s="224">
        <f t="shared" si="68"/>
        <v>1.163151626497956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10">
        <f>'2022'!Wh/'2022'!Env_an*'2023'!Env_an</f>
        <v>27.908096441725121</v>
      </c>
      <c r="C169" s="843"/>
      <c r="D169" s="392">
        <f t="shared" si="50"/>
        <v>29.013828370776114</v>
      </c>
      <c r="E169" s="384">
        <f t="shared" si="72"/>
        <v>30.96515680084169</v>
      </c>
      <c r="F169" s="384">
        <f t="shared" si="51"/>
        <v>30.971002114124843</v>
      </c>
      <c r="G169" s="110">
        <f t="shared" si="73"/>
        <v>0.51444070069218217</v>
      </c>
      <c r="H169" s="413" t="b">
        <f>Wh_hp&gt;='2022'!Maxi_hp</f>
        <v>0</v>
      </c>
      <c r="I169" s="389">
        <f>IF(H169,Wh_hp,'2022'!Maxi_hp)</f>
        <v>56.649023658356676</v>
      </c>
      <c r="J169" s="85">
        <f>IF(H169,An,'2022'!An_max)</f>
        <v>2019</v>
      </c>
      <c r="K169" s="196">
        <f t="shared" si="52"/>
        <v>45081</v>
      </c>
      <c r="L169" s="147">
        <f>IF(t&lt;Tvie,1-EXP((T0-t)*PertePVj)+'2022'!Pspv,1-EXP((T0-t)*PertePVj)+Pspv)</f>
        <v>3.8110514576722633E-2</v>
      </c>
      <c r="M169" s="847"/>
      <c r="N169" s="847"/>
      <c r="O169" s="48">
        <f>IF(t&lt;Tnet,'2022'!Resal+('2022'!Salim-'2022'!Resal)*(1-EXP(('2022'!Tnet-t)/('2022'!Tau_j))),Resal+(Salim-Resal)*(1-EXP((Tnet-t)/(Tau_j))))*Salcycl</f>
        <v>6.3016907765586855E-2</v>
      </c>
      <c r="P169" s="168">
        <f>(INDEX(Models!$BJ169:$BT169,,T169)*(1-R169)+INDEX(Models!$BJ169:$BT169,,T169+1)*R169-ERP_i)*Q169*Ramure*Pc/MaxiM</f>
        <v>6.1545842581103318E-4</v>
      </c>
      <c r="Q169" s="304">
        <f t="shared" si="53"/>
        <v>0.5</v>
      </c>
      <c r="R169" s="176">
        <f t="shared" si="54"/>
        <v>0.16618460101575194</v>
      </c>
      <c r="S169" s="814">
        <f t="shared" si="55"/>
        <v>1</v>
      </c>
      <c r="T169" s="175">
        <f t="shared" si="56"/>
        <v>7</v>
      </c>
      <c r="U169" s="250">
        <f t="shared" si="57"/>
        <v>1.1661846010157519</v>
      </c>
      <c r="V169" s="382">
        <f t="shared" si="58"/>
        <v>54.226240495110183</v>
      </c>
      <c r="W169" s="401">
        <f t="shared" si="59"/>
        <v>27.908096441725121</v>
      </c>
      <c r="X169" s="157">
        <f t="shared" si="60"/>
        <v>45081</v>
      </c>
      <c r="Y169" s="384">
        <f t="shared" si="61"/>
        <v>27.343248316221114</v>
      </c>
      <c r="Z169" s="384">
        <f t="shared" si="62"/>
        <v>28.426600696429048</v>
      </c>
      <c r="AA169" s="385">
        <f t="shared" si="63"/>
        <v>30.96515680084169</v>
      </c>
      <c r="AB169" s="196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8.1981051177613895E-2</v>
      </c>
      <c r="AD169" s="230">
        <f>(INDEX(Models!$BJ169:$BT169,,AH169)*(1-AF169)+INDEX(Models!$BJ169:$BT169,,AH169+1)*AF169-ERP_i)*AE169*Ramure*Pc/MaxiM</f>
        <v>6.1545842581103318E-4</v>
      </c>
      <c r="AE169" s="304">
        <f t="shared" si="65"/>
        <v>0.5</v>
      </c>
      <c r="AF169" s="176">
        <f t="shared" si="66"/>
        <v>0.16618460101575194</v>
      </c>
      <c r="AG169" s="814">
        <f t="shared" si="74"/>
        <v>1</v>
      </c>
      <c r="AH169" s="175">
        <f t="shared" si="67"/>
        <v>7</v>
      </c>
      <c r="AI169" s="224">
        <f t="shared" si="68"/>
        <v>1.1661846010157519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10">
        <f>'2022'!Wh/'2022'!Env_an*'2023'!Env_an</f>
        <v>28.781186142364536</v>
      </c>
      <c r="C170" s="843"/>
      <c r="D170" s="392">
        <f t="shared" si="50"/>
        <v>29.922164851281288</v>
      </c>
      <c r="E170" s="384">
        <f t="shared" ref="E170:E232" si="75">Wh_pvt/(1-Psa)</f>
        <v>31.937421743619925</v>
      </c>
      <c r="F170" s="384">
        <f t="shared" si="51"/>
        <v>31.944062245580866</v>
      </c>
      <c r="G170" s="110">
        <f t="shared" ref="G170:G232" si="76">+Wh_hp/MaxiM</f>
        <v>0.53101773364728411</v>
      </c>
      <c r="H170" s="413" t="b">
        <f>Wh_hp&gt;='2022'!Maxi_hp</f>
        <v>0</v>
      </c>
      <c r="I170" s="389">
        <f>IF(H170,Wh_hp,'2022'!Maxi_hp)</f>
        <v>43.624994616930465</v>
      </c>
      <c r="J170" s="85">
        <f>IF(H170,An,'2022'!An_max)</f>
        <v>2021</v>
      </c>
      <c r="K170" s="196">
        <f t="shared" si="52"/>
        <v>45082</v>
      </c>
      <c r="L170" s="147">
        <f>IF(t&lt;Tvie,1-EXP((T0-t)*PertePVj)+'2022'!Pspv,1-EXP((T0-t)*PertePVj)+Pspv)</f>
        <v>3.8131556141998015E-2</v>
      </c>
      <c r="M170" s="847"/>
      <c r="N170" s="847"/>
      <c r="O170" s="48">
        <f>IF(t&lt;Tnet,'2022'!Resal+('2022'!Salim-'2022'!Resal)*(1-EXP(('2022'!Tnet-t)/('2022'!Tau_j))),Resal+(Salim-Resal)*(1-EXP((Tnet-t)/(Tau_j))))*Salcycl</f>
        <v>6.3100174726572006E-2</v>
      </c>
      <c r="P170" s="168">
        <f>(INDEX(Models!$BJ170:$BT170,,T170)*(1-R170)+INDEX(Models!$BJ170:$BT170,,T170+1)*R170-ERP_i)*Q170*Ramure*Pc/MaxiM</f>
        <v>6.292782997431276E-4</v>
      </c>
      <c r="Q170" s="304">
        <f t="shared" si="53"/>
        <v>0.5</v>
      </c>
      <c r="R170" s="176">
        <f t="shared" si="54"/>
        <v>0.16923290153791504</v>
      </c>
      <c r="S170" s="814">
        <f t="shared" si="55"/>
        <v>1</v>
      </c>
      <c r="T170" s="175">
        <f t="shared" si="56"/>
        <v>7</v>
      </c>
      <c r="U170" s="250">
        <f t="shared" si="57"/>
        <v>1.169232901537915</v>
      </c>
      <c r="V170" s="382">
        <f t="shared" si="58"/>
        <v>54.177202432286684</v>
      </c>
      <c r="W170" s="401">
        <f t="shared" si="59"/>
        <v>28.781186142364536</v>
      </c>
      <c r="X170" s="157">
        <f t="shared" si="60"/>
        <v>45082</v>
      </c>
      <c r="Y170" s="384">
        <f t="shared" si="61"/>
        <v>28.198853102573477</v>
      </c>
      <c r="Z170" s="384">
        <f t="shared" si="62"/>
        <v>29.316746258427411</v>
      </c>
      <c r="AA170" s="385">
        <f t="shared" si="63"/>
        <v>31.937421743619925</v>
      </c>
      <c r="AB170" s="196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8.2056576333249018E-2</v>
      </c>
      <c r="AD170" s="230">
        <f>(INDEX(Models!$BJ170:$BT170,,AH170)*(1-AF170)+INDEX(Models!$BJ170:$BT170,,AH170+1)*AF170-ERP_i)*AE170*Ramure*Pc/MaxiM</f>
        <v>6.292782997431276E-4</v>
      </c>
      <c r="AE170" s="304">
        <f t="shared" si="65"/>
        <v>0.5</v>
      </c>
      <c r="AF170" s="176">
        <f t="shared" si="66"/>
        <v>0.16923290153791504</v>
      </c>
      <c r="AG170" s="814">
        <f t="shared" si="74"/>
        <v>1</v>
      </c>
      <c r="AH170" s="175">
        <f t="shared" si="67"/>
        <v>7</v>
      </c>
      <c r="AI170" s="224">
        <f t="shared" si="68"/>
        <v>1.169232901537915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10">
        <f>'2022'!Wh/'2022'!Env_an*'2023'!Env_an</f>
        <v>40.822461320670016</v>
      </c>
      <c r="C171" s="843"/>
      <c r="D171" s="392">
        <f t="shared" si="50"/>
        <v>42.441723296026865</v>
      </c>
      <c r="E171" s="384">
        <f t="shared" si="75"/>
        <v>45.304170327506128</v>
      </c>
      <c r="F171" s="384">
        <f t="shared" si="51"/>
        <v>45.323073405802496</v>
      </c>
      <c r="G171" s="110">
        <f t="shared" si="76"/>
        <v>0.7540302992890503</v>
      </c>
      <c r="H171" s="413" t="b">
        <f>Wh_hp&gt;='2022'!Maxi_hp</f>
        <v>0</v>
      </c>
      <c r="I171" s="389">
        <f>IF(H171,Wh_hp,'2022'!Maxi_hp)</f>
        <v>58.308075737012821</v>
      </c>
      <c r="J171" s="85">
        <f>IF(H171,An,'2022'!An_max)</f>
        <v>2019</v>
      </c>
      <c r="K171" s="196">
        <f t="shared" si="52"/>
        <v>45083</v>
      </c>
      <c r="L171" s="147">
        <f>IF(t&lt;Tvie,1-EXP((T0-t)*PertePVj)+'2022'!Pspv,1-EXP((T0-t)*PertePVj)+Pspv)</f>
        <v>3.8152597246409049E-2</v>
      </c>
      <c r="M171" s="847"/>
      <c r="N171" s="847"/>
      <c r="O171" s="48">
        <f>IF(t&lt;Tnet,'2022'!Resal+('2022'!Salim-'2022'!Resal)*(1-EXP(('2022'!Tnet-t)/('2022'!Tau_j))),Resal+(Salim-Resal)*(1-EXP((Tnet-t)/(Tau_j))))*Salcycl</f>
        <v>6.3182859564284974E-2</v>
      </c>
      <c r="P171" s="168">
        <f>(INDEX(Models!$BJ171:$BT171,,T171)*(1-R171)+INDEX(Models!$BJ171:$BT171,,T171+1)*R171-ERP_i)*Q171*Ramure*Pc/MaxiM</f>
        <v>6.4278172122736476E-4</v>
      </c>
      <c r="Q171" s="304">
        <f t="shared" si="53"/>
        <v>0.5</v>
      </c>
      <c r="R171" s="176">
        <f t="shared" si="54"/>
        <v>0.17229405266619913</v>
      </c>
      <c r="S171" s="814">
        <f t="shared" si="55"/>
        <v>1</v>
      </c>
      <c r="T171" s="175">
        <f t="shared" si="56"/>
        <v>7</v>
      </c>
      <c r="U171" s="250">
        <f t="shared" si="57"/>
        <v>1.1722940526661991</v>
      </c>
      <c r="V171" s="382">
        <f t="shared" si="58"/>
        <v>54.126795133345318</v>
      </c>
      <c r="W171" s="401">
        <f t="shared" si="59"/>
        <v>40.822461320670016</v>
      </c>
      <c r="X171" s="157">
        <f t="shared" si="60"/>
        <v>45083</v>
      </c>
      <c r="Y171" s="384">
        <f t="shared" si="61"/>
        <v>39.996768178015998</v>
      </c>
      <c r="Z171" s="384">
        <f t="shared" si="62"/>
        <v>41.583278245086134</v>
      </c>
      <c r="AA171" s="385">
        <f t="shared" si="63"/>
        <v>45.304170327506128</v>
      </c>
      <c r="AB171" s="196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8.2131337038543736E-2</v>
      </c>
      <c r="AD171" s="230">
        <f>(INDEX(Models!$BJ171:$BT171,,AH171)*(1-AF171)+INDEX(Models!$BJ171:$BT171,,AH171+1)*AF171-ERP_i)*AE171*Ramure*Pc/MaxiM</f>
        <v>6.4278172122736476E-4</v>
      </c>
      <c r="AE171" s="304">
        <f t="shared" si="65"/>
        <v>0.5</v>
      </c>
      <c r="AF171" s="176">
        <f t="shared" si="66"/>
        <v>0.17229405266619913</v>
      </c>
      <c r="AG171" s="814">
        <f t="shared" si="74"/>
        <v>1</v>
      </c>
      <c r="AH171" s="175">
        <f t="shared" si="67"/>
        <v>7</v>
      </c>
      <c r="AI171" s="224">
        <f t="shared" si="68"/>
        <v>1.1722940526661991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10">
        <f>'2022'!Wh/'2022'!Env_an*'2023'!Env_an</f>
        <v>27.412409848040465</v>
      </c>
      <c r="C172" s="843"/>
      <c r="D172" s="392">
        <f t="shared" si="50"/>
        <v>28.500372757410922</v>
      </c>
      <c r="E172" s="384">
        <f t="shared" si="75"/>
        <v>30.425221793649872</v>
      </c>
      <c r="F172" s="384">
        <f t="shared" si="51"/>
        <v>30.431122597545098</v>
      </c>
      <c r="G172" s="110">
        <f t="shared" si="76"/>
        <v>0.50669500517507737</v>
      </c>
      <c r="H172" s="413" t="b">
        <f>Wh_hp&gt;='2022'!Maxi_hp</f>
        <v>0</v>
      </c>
      <c r="I172" s="389">
        <f>IF(H172,Wh_hp,'2022'!Maxi_hp)</f>
        <v>53.888415995131361</v>
      </c>
      <c r="J172" s="85">
        <f>IF(H172,An,'2022'!An_max)</f>
        <v>2021</v>
      </c>
      <c r="K172" s="196">
        <f t="shared" si="52"/>
        <v>45084</v>
      </c>
      <c r="L172" s="147">
        <f>IF(t&lt;Tvie,1-EXP((T0-t)*PertePVj)+'2022'!Pspv,1-EXP((T0-t)*PertePVj)+Pspv)</f>
        <v>3.8173637889965951E-2</v>
      </c>
      <c r="M172" s="847"/>
      <c r="N172" s="847"/>
      <c r="O172" s="48">
        <f>IF(t&lt;Tnet,'2022'!Resal+('2022'!Salim-'2022'!Resal)*(1-EXP(('2022'!Tnet-t)/('2022'!Tau_j))),Resal+(Salim-Resal)*(1-EXP((Tnet-t)/(Tau_j))))*Salcycl</f>
        <v>6.3264913869606976E-2</v>
      </c>
      <c r="P172" s="168">
        <f>(INDEX(Models!$BJ172:$BT172,,T172)*(1-R172)+INDEX(Models!$BJ172:$BT172,,T172+1)*R172-ERP_i)*Q172*Ramure*Pc/MaxiM</f>
        <v>6.5594785575790653E-4</v>
      </c>
      <c r="Q172" s="304">
        <f t="shared" si="53"/>
        <v>0.5</v>
      </c>
      <c r="R172" s="176">
        <f t="shared" si="54"/>
        <v>0.17536553631689467</v>
      </c>
      <c r="S172" s="814">
        <f t="shared" si="55"/>
        <v>1</v>
      </c>
      <c r="T172" s="175">
        <f t="shared" si="56"/>
        <v>7</v>
      </c>
      <c r="U172" s="250">
        <f t="shared" si="57"/>
        <v>1.1753655363168947</v>
      </c>
      <c r="V172" s="382">
        <f t="shared" si="58"/>
        <v>54.075413128290776</v>
      </c>
      <c r="W172" s="401">
        <f t="shared" si="59"/>
        <v>27.412409848040465</v>
      </c>
      <c r="X172" s="157">
        <f t="shared" si="60"/>
        <v>45084</v>
      </c>
      <c r="Y172" s="384">
        <f t="shared" si="61"/>
        <v>26.858143386410106</v>
      </c>
      <c r="Z172" s="384">
        <f t="shared" si="62"/>
        <v>27.92410818049246</v>
      </c>
      <c r="AA172" s="385">
        <f t="shared" si="63"/>
        <v>30.425221793649872</v>
      </c>
      <c r="AB172" s="196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8.2205271341010452E-2</v>
      </c>
      <c r="AD172" s="230">
        <f>(INDEX(Models!$BJ172:$BT172,,AH172)*(1-AF172)+INDEX(Models!$BJ172:$BT172,,AH172+1)*AF172-ERP_i)*AE172*Ramure*Pc/MaxiM</f>
        <v>6.5594785575790653E-4</v>
      </c>
      <c r="AE172" s="304">
        <f t="shared" si="65"/>
        <v>0.5</v>
      </c>
      <c r="AF172" s="176">
        <f t="shared" si="66"/>
        <v>0.17536553631689467</v>
      </c>
      <c r="AG172" s="814">
        <f t="shared" si="74"/>
        <v>1</v>
      </c>
      <c r="AH172" s="175">
        <f t="shared" si="67"/>
        <v>7</v>
      </c>
      <c r="AI172" s="224">
        <f t="shared" si="68"/>
        <v>1.1753655363168947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10">
        <f>'2022'!Wh/'2022'!Env_an*'2023'!Env_an</f>
        <v>20.598594860190744</v>
      </c>
      <c r="C173" s="843"/>
      <c r="D173" s="392">
        <f t="shared" si="50"/>
        <v>21.416594804148186</v>
      </c>
      <c r="E173" s="384">
        <f t="shared" si="75"/>
        <v>22.865008267499107</v>
      </c>
      <c r="F173" s="384">
        <f t="shared" si="51"/>
        <v>22.866784136233768</v>
      </c>
      <c r="G173" s="110">
        <f t="shared" si="76"/>
        <v>0.38106448136269683</v>
      </c>
      <c r="H173" s="413" t="b">
        <f>Wh_hp&gt;='2022'!Maxi_hp</f>
        <v>0</v>
      </c>
      <c r="I173" s="389">
        <f>IF(H173,Wh_hp,'2022'!Maxi_hp)</f>
        <v>61.825772248847073</v>
      </c>
      <c r="J173" s="85">
        <f>IF(H173,An,'2022'!An_max)</f>
        <v>2019</v>
      </c>
      <c r="K173" s="196">
        <f t="shared" si="52"/>
        <v>45085</v>
      </c>
      <c r="L173" s="147">
        <f>IF(t&lt;Tvie,1-EXP((T0-t)*PertePVj)+'2022'!Pspv,1-EXP((T0-t)*PertePVj)+Pspv)</f>
        <v>3.8194678072678713E-2</v>
      </c>
      <c r="M173" s="847"/>
      <c r="N173" s="847"/>
      <c r="O173" s="48">
        <f>IF(t&lt;Tnet,'2022'!Resal+('2022'!Salim-'2022'!Resal)*(1-EXP(('2022'!Tnet-t)/('2022'!Tau_j))),Resal+(Salim-Resal)*(1-EXP((Tnet-t)/(Tau_j))))*Salcycl</f>
        <v>6.3346290821584078E-2</v>
      </c>
      <c r="P173" s="168">
        <f>(INDEX(Models!$BJ173:$BT173,,T173)*(1-R173)+INDEX(Models!$BJ173:$BT173,,T173+1)*R173-ERP_i)*Q173*Ramure*Pc/MaxiM</f>
        <v>6.6875546302892579E-4</v>
      </c>
      <c r="Q173" s="304">
        <f t="shared" si="53"/>
        <v>0.5</v>
      </c>
      <c r="R173" s="176">
        <f t="shared" si="54"/>
        <v>0.17844479988885453</v>
      </c>
      <c r="S173" s="814">
        <f t="shared" si="55"/>
        <v>1</v>
      </c>
      <c r="T173" s="175">
        <f t="shared" si="56"/>
        <v>7</v>
      </c>
      <c r="U173" s="250">
        <f t="shared" si="57"/>
        <v>1.1784447998888545</v>
      </c>
      <c r="V173" s="382">
        <f t="shared" si="58"/>
        <v>54.023450665955714</v>
      </c>
      <c r="W173" s="401">
        <f t="shared" si="59"/>
        <v>20.598594860190744</v>
      </c>
      <c r="X173" s="157">
        <f t="shared" si="60"/>
        <v>45085</v>
      </c>
      <c r="Y173" s="384">
        <f t="shared" si="61"/>
        <v>20.182247619260593</v>
      </c>
      <c r="Z173" s="384">
        <f t="shared" si="62"/>
        <v>20.983713813122009</v>
      </c>
      <c r="AA173" s="385">
        <f t="shared" si="63"/>
        <v>22.865008267499107</v>
      </c>
      <c r="AB173" s="196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8.2278319446366321E-2</v>
      </c>
      <c r="AD173" s="230">
        <f>(INDEX(Models!$BJ173:$BT173,,AH173)*(1-AF173)+INDEX(Models!$BJ173:$BT173,,AH173+1)*AF173-ERP_i)*AE173*Ramure*Pc/MaxiM</f>
        <v>6.6875546302892579E-4</v>
      </c>
      <c r="AE173" s="304">
        <f t="shared" si="65"/>
        <v>0.5</v>
      </c>
      <c r="AF173" s="176">
        <f t="shared" si="66"/>
        <v>0.17844479988885453</v>
      </c>
      <c r="AG173" s="814">
        <f t="shared" si="74"/>
        <v>1</v>
      </c>
      <c r="AH173" s="175">
        <f t="shared" si="67"/>
        <v>7</v>
      </c>
      <c r="AI173" s="224">
        <f t="shared" si="68"/>
        <v>1.1784447998888545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10">
        <f>'2022'!Wh/'2022'!Env_an*'2023'!Env_an</f>
        <v>41.635580235318592</v>
      </c>
      <c r="C174" s="843"/>
      <c r="D174" s="392">
        <f t="shared" si="50"/>
        <v>43.289936221296038</v>
      </c>
      <c r="E174" s="384">
        <f t="shared" si="75"/>
        <v>46.221633227051072</v>
      </c>
      <c r="F174" s="384">
        <f t="shared" si="51"/>
        <v>46.24284788596821</v>
      </c>
      <c r="G174" s="110">
        <f t="shared" si="76"/>
        <v>0.77126758525361705</v>
      </c>
      <c r="H174" s="413" t="b">
        <f>Wh_hp&gt;='2022'!Maxi_hp</f>
        <v>0</v>
      </c>
      <c r="I174" s="389">
        <f>IF(H174,Wh_hp,'2022'!Maxi_hp)</f>
        <v>57.898701564439953</v>
      </c>
      <c r="J174" s="85">
        <f>IF(H174,An,'2022'!An_max)</f>
        <v>2021</v>
      </c>
      <c r="K174" s="196">
        <f t="shared" si="52"/>
        <v>45086</v>
      </c>
      <c r="L174" s="147">
        <f>IF(t&lt;Tvie,1-EXP((T0-t)*PertePVj)+'2022'!Pspv,1-EXP((T0-t)*PertePVj)+Pspv)</f>
        <v>3.8215717794557548E-2</v>
      </c>
      <c r="M174" s="847"/>
      <c r="N174" s="847"/>
      <c r="O174" s="48">
        <f>IF(t&lt;Tnet,'2022'!Resal+('2022'!Salim-'2022'!Resal)*(1-EXP(('2022'!Tnet-t)/('2022'!Tau_j))),Resal+(Salim-Resal)*(1-EXP((Tnet-t)/(Tau_j))))*Salcycl</f>
        <v>6.3426945373260116E-2</v>
      </c>
      <c r="P174" s="168">
        <f>(INDEX(Models!$BJ174:$BT174,,T174)*(1-R174)+INDEX(Models!$BJ174:$BT174,,T174+1)*R174-ERP_i)*Q174*Ramure*Pc/MaxiM</f>
        <v>6.8118298084553284E-4</v>
      </c>
      <c r="Q174" s="304">
        <f t="shared" si="53"/>
        <v>0.5</v>
      </c>
      <c r="R174" s="176">
        <f t="shared" si="54"/>
        <v>0.18152926467543806</v>
      </c>
      <c r="S174" s="814">
        <f t="shared" si="55"/>
        <v>1</v>
      </c>
      <c r="T174" s="175">
        <f t="shared" si="56"/>
        <v>7</v>
      </c>
      <c r="U174" s="250">
        <f t="shared" si="57"/>
        <v>1.1815292646754381</v>
      </c>
      <c r="V174" s="382">
        <f t="shared" si="58"/>
        <v>53.971301701418618</v>
      </c>
      <c r="W174" s="401">
        <f t="shared" si="59"/>
        <v>41.635580235318592</v>
      </c>
      <c r="X174" s="157">
        <f t="shared" si="60"/>
        <v>45086</v>
      </c>
      <c r="Y174" s="384">
        <f t="shared" si="61"/>
        <v>40.794332446974352</v>
      </c>
      <c r="Z174" s="384">
        <f t="shared" si="62"/>
        <v>42.415262134904026</v>
      </c>
      <c r="AA174" s="385">
        <f t="shared" si="63"/>
        <v>46.221633227051072</v>
      </c>
      <c r="AB174" s="196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8.2350423955148744E-2</v>
      </c>
      <c r="AD174" s="230">
        <f>(INDEX(Models!$BJ174:$BT174,,AH174)*(1-AF174)+INDEX(Models!$BJ174:$BT174,,AH174+1)*AF174-ERP_i)*AE174*Ramure*Pc/MaxiM</f>
        <v>6.8118298084553284E-4</v>
      </c>
      <c r="AE174" s="304">
        <f t="shared" si="65"/>
        <v>0.5</v>
      </c>
      <c r="AF174" s="176">
        <f t="shared" si="66"/>
        <v>0.18152926467543806</v>
      </c>
      <c r="AG174" s="814">
        <f t="shared" si="74"/>
        <v>1</v>
      </c>
      <c r="AH174" s="175">
        <f t="shared" si="67"/>
        <v>7</v>
      </c>
      <c r="AI174" s="224">
        <f t="shared" si="68"/>
        <v>1.1815292646754381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10">
        <f>'2022'!Wh/'2022'!Env_an*'2023'!Env_an</f>
        <v>52.749207296371559</v>
      </c>
      <c r="C175" s="843"/>
      <c r="D175" s="392">
        <f t="shared" si="50"/>
        <v>54.846354010039555</v>
      </c>
      <c r="E175" s="384">
        <f t="shared" si="75"/>
        <v>58.565674610845107</v>
      </c>
      <c r="F175" s="384">
        <f t="shared" si="51"/>
        <v>58.605040628328808</v>
      </c>
      <c r="G175" s="110">
        <f t="shared" si="76"/>
        <v>0.97827706030394346</v>
      </c>
      <c r="H175" s="413" t="b">
        <f>Wh_hp&gt;='2022'!Maxi_hp</f>
        <v>0</v>
      </c>
      <c r="I175" s="389">
        <f>IF(H175,Wh_hp,'2022'!Maxi_hp)</f>
        <v>58.605289185436213</v>
      </c>
      <c r="J175" s="85">
        <f>IF(H175,An,'2022'!An_max)</f>
        <v>2022</v>
      </c>
      <c r="K175" s="196">
        <f t="shared" si="52"/>
        <v>45087</v>
      </c>
      <c r="L175" s="147">
        <f>IF(t&lt;Tvie,1-EXP((T0-t)*PertePVj)+'2022'!Pspv,1-EXP((T0-t)*PertePVj)+Pspv)</f>
        <v>3.8236757055612337E-2</v>
      </c>
      <c r="M175" s="847"/>
      <c r="N175" s="847"/>
      <c r="O175" s="48">
        <f>IF(t&lt;Tnet,'2022'!Resal+('2022'!Salim-'2022'!Resal)*(1-EXP(('2022'!Tnet-t)/('2022'!Tau_j))),Resal+(Salim-Resal)*(1-EXP((Tnet-t)/(Tau_j))))*Salcycl</f>
        <v>6.3506834430228074E-2</v>
      </c>
      <c r="P175" s="168">
        <f>(INDEX(Models!$BJ175:$BT175,,T175)*(1-R175)+INDEX(Models!$BJ175:$BT175,,T175+1)*R175-ERP_i)*Q175*Ramure*Pc/MaxiM</f>
        <v>6.9320861206391405E-4</v>
      </c>
      <c r="Q175" s="304">
        <f t="shared" si="53"/>
        <v>0.5</v>
      </c>
      <c r="R175" s="176">
        <f t="shared" si="54"/>
        <v>0.18461633446204506</v>
      </c>
      <c r="S175" s="814">
        <f t="shared" si="55"/>
        <v>1</v>
      </c>
      <c r="T175" s="175">
        <f t="shared" si="56"/>
        <v>7</v>
      </c>
      <c r="U175" s="250">
        <f t="shared" si="57"/>
        <v>1.1846163344620451</v>
      </c>
      <c r="V175" s="382">
        <f t="shared" si="58"/>
        <v>53.919359885988129</v>
      </c>
      <c r="W175" s="401">
        <f t="shared" si="59"/>
        <v>52.749207296371559</v>
      </c>
      <c r="X175" s="157">
        <f t="shared" si="60"/>
        <v>45087</v>
      </c>
      <c r="Y175" s="384">
        <f t="shared" si="61"/>
        <v>51.683812225748362</v>
      </c>
      <c r="Z175" s="384">
        <f t="shared" si="62"/>
        <v>53.738602098704753</v>
      </c>
      <c r="AA175" s="385">
        <f t="shared" si="63"/>
        <v>58.565674610845107</v>
      </c>
      <c r="AB175" s="196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8.2421530089341499E-2</v>
      </c>
      <c r="AD175" s="230">
        <f>(INDEX(Models!$BJ175:$BT175,,AH175)*(1-AF175)+INDEX(Models!$BJ175:$BT175,,AH175+1)*AF175-ERP_i)*AE175*Ramure*Pc/MaxiM</f>
        <v>6.9320861206391405E-4</v>
      </c>
      <c r="AE175" s="304">
        <f t="shared" si="65"/>
        <v>0.5</v>
      </c>
      <c r="AF175" s="176">
        <f t="shared" si="66"/>
        <v>0.18461633446204506</v>
      </c>
      <c r="AG175" s="814">
        <f t="shared" si="74"/>
        <v>1</v>
      </c>
      <c r="AH175" s="175">
        <f t="shared" si="67"/>
        <v>7</v>
      </c>
      <c r="AI175" s="224">
        <f t="shared" si="68"/>
        <v>1.1846163344620451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10">
        <f>'2022'!Wh/'2022'!Env_an*'2023'!Env_an</f>
        <v>50.366548669933323</v>
      </c>
      <c r="C176" s="843"/>
      <c r="D176" s="392">
        <f t="shared" si="50"/>
        <v>52.370113792348818</v>
      </c>
      <c r="E176" s="384">
        <f t="shared" si="75"/>
        <v>55.926234712023358</v>
      </c>
      <c r="F176" s="384">
        <f t="shared" si="51"/>
        <v>55.962014743744895</v>
      </c>
      <c r="G176" s="110">
        <f t="shared" si="76"/>
        <v>0.93493786368389986</v>
      </c>
      <c r="H176" s="413" t="b">
        <f>Wh_hp&gt;='2022'!Maxi_hp</f>
        <v>0</v>
      </c>
      <c r="I176" s="389">
        <f>IF(H176,Wh_hp,'2022'!Maxi_hp)</f>
        <v>55.962736409001373</v>
      </c>
      <c r="J176" s="85">
        <f>IF(H176,An,'2022'!An_max)</f>
        <v>2022</v>
      </c>
      <c r="K176" s="196">
        <f t="shared" si="52"/>
        <v>45088</v>
      </c>
      <c r="L176" s="147">
        <f>IF(t&lt;Tvie,1-EXP((T0-t)*PertePVj)+'2022'!Pspv,1-EXP((T0-t)*PertePVj)+Pspv)</f>
        <v>3.8257795855853406E-2</v>
      </c>
      <c r="M176" s="847"/>
      <c r="N176" s="847"/>
      <c r="O176" s="48">
        <f>IF(t&lt;Tnet,'2022'!Resal+('2022'!Salim-'2022'!Resal)*(1-EXP(('2022'!Tnet-t)/('2022'!Tau_j))),Resal+(Salim-Resal)*(1-EXP((Tnet-t)/(Tau_j))))*Salcycl</f>
        <v>6.3585917020621871E-2</v>
      </c>
      <c r="P176" s="168">
        <f>(INDEX(Models!$BJ176:$BT176,,T176)*(1-R176)+INDEX(Models!$BJ176:$BT176,,T176+1)*R176-ERP_i)*Q176*Ramure*Pc/MaxiM</f>
        <v>7.048104141483745E-4</v>
      </c>
      <c r="Q176" s="304">
        <f t="shared" si="53"/>
        <v>0.5</v>
      </c>
      <c r="R176" s="176">
        <f t="shared" si="54"/>
        <v>0.18770340424865184</v>
      </c>
      <c r="S176" s="814">
        <f t="shared" si="55"/>
        <v>1</v>
      </c>
      <c r="T176" s="175">
        <f t="shared" si="56"/>
        <v>7</v>
      </c>
      <c r="U176" s="250">
        <f t="shared" si="57"/>
        <v>1.1877034042486518</v>
      </c>
      <c r="V176" s="382">
        <f t="shared" si="58"/>
        <v>53.868018558232819</v>
      </c>
      <c r="W176" s="401">
        <f t="shared" si="59"/>
        <v>50.366548669933323</v>
      </c>
      <c r="X176" s="157">
        <f t="shared" si="60"/>
        <v>45088</v>
      </c>
      <c r="Y176" s="384">
        <f t="shared" si="61"/>
        <v>49.349676637110981</v>
      </c>
      <c r="Z176" s="384">
        <f t="shared" si="62"/>
        <v>51.312790916800004</v>
      </c>
      <c r="AA176" s="385">
        <f t="shared" si="63"/>
        <v>55.926234712023358</v>
      </c>
      <c r="AB176" s="196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8.2491585907383216E-2</v>
      </c>
      <c r="AD176" s="230">
        <f>(INDEX(Models!$BJ176:$BT176,,AH176)*(1-AF176)+INDEX(Models!$BJ176:$BT176,,AH176+1)*AF176-ERP_i)*AE176*Ramure*Pc/MaxiM</f>
        <v>7.048104141483745E-4</v>
      </c>
      <c r="AE176" s="304">
        <f t="shared" si="65"/>
        <v>0.5</v>
      </c>
      <c r="AF176" s="176">
        <f t="shared" si="66"/>
        <v>0.18770340424865184</v>
      </c>
      <c r="AG176" s="814">
        <f t="shared" si="74"/>
        <v>1</v>
      </c>
      <c r="AH176" s="175">
        <f t="shared" si="67"/>
        <v>7</v>
      </c>
      <c r="AI176" s="224">
        <f t="shared" si="68"/>
        <v>1.1877034042486518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10">
        <f>'2022'!Wh/'2022'!Env_an*'2023'!Env_an</f>
        <v>40.105285974544813</v>
      </c>
      <c r="C177" s="843"/>
      <c r="D177" s="392">
        <f t="shared" si="50"/>
        <v>41.701573595905181</v>
      </c>
      <c r="E177" s="384">
        <f t="shared" si="75"/>
        <v>44.536982957911448</v>
      </c>
      <c r="F177" s="384">
        <f t="shared" si="51"/>
        <v>44.55727360472325</v>
      </c>
      <c r="G177" s="110">
        <f t="shared" si="76"/>
        <v>0.74502586741889176</v>
      </c>
      <c r="H177" s="413" t="b">
        <f>Wh_hp&gt;='2022'!Maxi_hp</f>
        <v>0</v>
      </c>
      <c r="I177" s="389">
        <f>IF(H177,Wh_hp,'2022'!Maxi_hp)</f>
        <v>57.291729611874956</v>
      </c>
      <c r="J177" s="85">
        <f>IF(H177,An,'2022'!An_max)</f>
        <v>2019</v>
      </c>
      <c r="K177" s="196">
        <f t="shared" si="52"/>
        <v>45089</v>
      </c>
      <c r="L177" s="147">
        <f>IF(t&lt;Tvie,1-EXP((T0-t)*PertePVj)+'2022'!Pspv,1-EXP((T0-t)*PertePVj)+Pspv)</f>
        <v>3.8278834195290747E-2</v>
      </c>
      <c r="M177" s="847"/>
      <c r="N177" s="847"/>
      <c r="O177" s="48">
        <f>IF(t&lt;Tnet,'2022'!Resal+('2022'!Salim-'2022'!Resal)*(1-EXP(('2022'!Tnet-t)/('2022'!Tau_j))),Resal+(Salim-Resal)*(1-EXP((Tnet-t)/(Tau_j))))*Salcycl</f>
        <v>6.3664154455316369E-2</v>
      </c>
      <c r="P177" s="168">
        <f>(INDEX(Models!$BJ177:$BT177,,T177)*(1-R177)+INDEX(Models!$BJ177:$BT177,,T177+1)*R177-ERP_i)*Q177*Ramure*Pc/MaxiM</f>
        <v>7.1597936140392864E-4</v>
      </c>
      <c r="Q177" s="304">
        <f t="shared" si="53"/>
        <v>0.5</v>
      </c>
      <c r="R177" s="176">
        <f t="shared" si="54"/>
        <v>0.19078786903523559</v>
      </c>
      <c r="S177" s="814">
        <f t="shared" si="55"/>
        <v>1</v>
      </c>
      <c r="T177" s="175">
        <f t="shared" si="56"/>
        <v>7</v>
      </c>
      <c r="U177" s="250">
        <f t="shared" si="57"/>
        <v>1.1907878690352356</v>
      </c>
      <c r="V177" s="382">
        <f t="shared" si="58"/>
        <v>53.81669509012837</v>
      </c>
      <c r="W177" s="401">
        <f t="shared" si="59"/>
        <v>40.105285974544813</v>
      </c>
      <c r="X177" s="157">
        <f t="shared" si="60"/>
        <v>45089</v>
      </c>
      <c r="Y177" s="384">
        <f t="shared" si="61"/>
        <v>39.295912873787756</v>
      </c>
      <c r="Z177" s="384">
        <f t="shared" si="62"/>
        <v>40.859985483325978</v>
      </c>
      <c r="AA177" s="385">
        <f t="shared" si="63"/>
        <v>44.536982957911448</v>
      </c>
      <c r="AB177" s="196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8.2560542505995968E-2</v>
      </c>
      <c r="AD177" s="230">
        <f>(INDEX(Models!$BJ177:$BT177,,AH177)*(1-AF177)+INDEX(Models!$BJ177:$BT177,,AH177+1)*AF177-ERP_i)*AE177*Ramure*Pc/MaxiM</f>
        <v>7.1597936140392864E-4</v>
      </c>
      <c r="AE177" s="304">
        <f t="shared" si="65"/>
        <v>0.5</v>
      </c>
      <c r="AF177" s="176">
        <f t="shared" si="66"/>
        <v>0.19078786903523559</v>
      </c>
      <c r="AG177" s="814">
        <f t="shared" si="74"/>
        <v>1</v>
      </c>
      <c r="AH177" s="175">
        <f t="shared" si="67"/>
        <v>7</v>
      </c>
      <c r="AI177" s="224">
        <f t="shared" si="68"/>
        <v>1.1907878690352356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10">
        <f>'2022'!Wh/'2022'!Env_an*'2023'!Env_an</f>
        <v>48.191312326379297</v>
      </c>
      <c r="C178" s="843"/>
      <c r="D178" s="392">
        <f t="shared" si="50"/>
        <v>50.110539581922772</v>
      </c>
      <c r="E178" s="384">
        <f t="shared" si="75"/>
        <v>53.522120378808516</v>
      </c>
      <c r="F178" s="384">
        <f t="shared" si="51"/>
        <v>53.555264001222859</v>
      </c>
      <c r="G178" s="110">
        <f t="shared" si="76"/>
        <v>0.89624324739226735</v>
      </c>
      <c r="H178" s="413" t="b">
        <f>Wh_hp&gt;='2022'!Maxi_hp</f>
        <v>0</v>
      </c>
      <c r="I178" s="389">
        <f>IF(H178,Wh_hp,'2022'!Maxi_hp)</f>
        <v>61.075275136442549</v>
      </c>
      <c r="J178" s="85">
        <f>IF(H178,An,'2022'!An_max)</f>
        <v>2019</v>
      </c>
      <c r="K178" s="196">
        <f t="shared" si="52"/>
        <v>45090</v>
      </c>
      <c r="L178" s="147">
        <f>IF(t&lt;Tvie,1-EXP((T0-t)*PertePVj)+'2022'!Pspv,1-EXP((T0-t)*PertePVj)+Pspv)</f>
        <v>3.8299872073934461E-2</v>
      </c>
      <c r="M178" s="847"/>
      <c r="N178" s="847"/>
      <c r="O178" s="48">
        <f>IF(t&lt;Tnet,'2022'!Resal+('2022'!Salim-'2022'!Resal)*(1-EXP(('2022'!Tnet-t)/('2022'!Tau_j))),Resal+(Salim-Resal)*(1-EXP((Tnet-t)/(Tau_j))))*Salcycl</f>
        <v>6.3741510477161922E-2</v>
      </c>
      <c r="P178" s="168">
        <f>(INDEX(Models!$BJ178:$BT178,,T178)*(1-R178)+INDEX(Models!$BJ178:$BT178,,T178+1)*R178-ERP_i)*Q178*Ramure*Pc/MaxiM</f>
        <v>7.2644393522502981E-4</v>
      </c>
      <c r="Q178" s="304">
        <f t="shared" si="53"/>
        <v>0.5</v>
      </c>
      <c r="R178" s="176">
        <f t="shared" si="54"/>
        <v>0.19386713260719546</v>
      </c>
      <c r="S178" s="814">
        <f t="shared" si="55"/>
        <v>1</v>
      </c>
      <c r="T178" s="175">
        <f t="shared" si="56"/>
        <v>7</v>
      </c>
      <c r="U178" s="250">
        <f t="shared" si="57"/>
        <v>1.1938671326071955</v>
      </c>
      <c r="V178" s="382">
        <f t="shared" si="58"/>
        <v>53.764561145324954</v>
      </c>
      <c r="W178" s="401">
        <f t="shared" si="59"/>
        <v>48.191312326379297</v>
      </c>
      <c r="X178" s="157">
        <f t="shared" si="60"/>
        <v>45090</v>
      </c>
      <c r="Y178" s="384">
        <f t="shared" si="61"/>
        <v>47.219164361638342</v>
      </c>
      <c r="Z178" s="384">
        <f t="shared" si="62"/>
        <v>49.099675658219837</v>
      </c>
      <c r="AA178" s="385">
        <f t="shared" si="63"/>
        <v>53.522120378808516</v>
      </c>
      <c r="AB178" s="196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8.2628354207351207E-2</v>
      </c>
      <c r="AD178" s="230">
        <f>(INDEX(Models!$BJ178:$BT178,,AH178)*(1-AF178)+INDEX(Models!$BJ178:$BT178,,AH178+1)*AF178-ERP_i)*AE178*Ramure*Pc/MaxiM</f>
        <v>7.2644393522502981E-4</v>
      </c>
      <c r="AE178" s="304">
        <f t="shared" si="65"/>
        <v>0.5</v>
      </c>
      <c r="AF178" s="176">
        <f t="shared" si="66"/>
        <v>0.19386713260719546</v>
      </c>
      <c r="AG178" s="814">
        <f t="shared" si="74"/>
        <v>1</v>
      </c>
      <c r="AH178" s="175">
        <f t="shared" si="67"/>
        <v>7</v>
      </c>
      <c r="AI178" s="224">
        <f t="shared" si="68"/>
        <v>1.1938671326071955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10">
        <f>'2022'!Wh/'2022'!Env_an*'2023'!Env_an</f>
        <v>44.067148892625568</v>
      </c>
      <c r="C179" s="843"/>
      <c r="D179" s="392">
        <f t="shared" si="50"/>
        <v>45.823133025943207</v>
      </c>
      <c r="E179" s="384">
        <f t="shared" si="75"/>
        <v>48.946818724390354</v>
      </c>
      <c r="F179" s="384">
        <f t="shared" si="51"/>
        <v>48.973631955107848</v>
      </c>
      <c r="G179" s="110">
        <f t="shared" si="76"/>
        <v>0.82028488210917283</v>
      </c>
      <c r="H179" s="413" t="b">
        <f>Wh_hp&gt;='2022'!Maxi_hp</f>
        <v>0</v>
      </c>
      <c r="I179" s="389">
        <f>IF(H179,Wh_hp,'2022'!Maxi_hp)</f>
        <v>52.838885669161783</v>
      </c>
      <c r="J179" s="85">
        <f>IF(H179,An,'2022'!An_max)</f>
        <v>2021</v>
      </c>
      <c r="K179" s="196">
        <f t="shared" si="52"/>
        <v>45091</v>
      </c>
      <c r="L179" s="147">
        <f>IF(t&lt;Tvie,1-EXP((T0-t)*PertePVj)+'2022'!Pspv,1-EXP((T0-t)*PertePVj)+Pspv)</f>
        <v>3.8320909491794654E-2</v>
      </c>
      <c r="M179" s="847"/>
      <c r="N179" s="847"/>
      <c r="O179" s="48">
        <f>IF(t&lt;Tnet,'2022'!Resal+('2022'!Salim-'2022'!Resal)*(1-EXP(('2022'!Tnet-t)/('2022'!Tau_j))),Resal+(Salim-Resal)*(1-EXP((Tnet-t)/(Tau_j))))*Salcycl</f>
        <v>6.381795139814897E-2</v>
      </c>
      <c r="P179" s="168">
        <f>(INDEX(Models!$BJ179:$BT179,,T179)*(1-R179)+INDEX(Models!$BJ179:$BT179,,T179+1)*R179-ERP_i)*Q179*Ramure*Pc/MaxiM</f>
        <v>7.3640079541350569E-4</v>
      </c>
      <c r="Q179" s="304">
        <f t="shared" si="53"/>
        <v>0.5</v>
      </c>
      <c r="R179" s="176">
        <f t="shared" si="54"/>
        <v>0.196938616257891</v>
      </c>
      <c r="S179" s="814">
        <f t="shared" si="55"/>
        <v>1</v>
      </c>
      <c r="T179" s="175">
        <f t="shared" si="56"/>
        <v>7</v>
      </c>
      <c r="U179" s="250">
        <f t="shared" si="57"/>
        <v>1.196938616257891</v>
      </c>
      <c r="V179" s="382">
        <f t="shared" si="58"/>
        <v>53.711608155354796</v>
      </c>
      <c r="W179" s="401">
        <f t="shared" si="59"/>
        <v>44.067148892625568</v>
      </c>
      <c r="X179" s="157">
        <f t="shared" si="60"/>
        <v>45091</v>
      </c>
      <c r="Y179" s="384">
        <f t="shared" si="61"/>
        <v>43.178585845157045</v>
      </c>
      <c r="Z179" s="384">
        <f t="shared" si="62"/>
        <v>44.899162591066684</v>
      </c>
      <c r="AA179" s="385">
        <f t="shared" si="63"/>
        <v>48.946818724390354</v>
      </c>
      <c r="AB179" s="196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8.2694978730184721E-2</v>
      </c>
      <c r="AD179" s="230">
        <f>(INDEX(Models!$BJ179:$BT179,,AH179)*(1-AF179)+INDEX(Models!$BJ179:$BT179,,AH179+1)*AF179-ERP_i)*AE179*Ramure*Pc/MaxiM</f>
        <v>7.3640079541350569E-4</v>
      </c>
      <c r="AE179" s="304">
        <f t="shared" si="65"/>
        <v>0.5</v>
      </c>
      <c r="AF179" s="176">
        <f t="shared" si="66"/>
        <v>0.196938616257891</v>
      </c>
      <c r="AG179" s="814">
        <f t="shared" si="74"/>
        <v>1</v>
      </c>
      <c r="AH179" s="175">
        <f t="shared" si="67"/>
        <v>7</v>
      </c>
      <c r="AI179" s="224">
        <f t="shared" si="68"/>
        <v>1.196938616257891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10">
        <f>'2022'!Wh/'2022'!Env_an*'2023'!Env_an</f>
        <v>49.524550155184421</v>
      </c>
      <c r="C180" s="843"/>
      <c r="D180" s="392">
        <f t="shared" si="50"/>
        <v>51.499126921783599</v>
      </c>
      <c r="E180" s="384">
        <f t="shared" si="75"/>
        <v>55.01417195940072</v>
      </c>
      <c r="F180" s="384">
        <f t="shared" si="51"/>
        <v>55.0507124157661</v>
      </c>
      <c r="G180" s="110">
        <f t="shared" si="76"/>
        <v>0.92289372521749879</v>
      </c>
      <c r="H180" s="413" t="b">
        <f>Wh_hp&gt;='2022'!Maxi_hp</f>
        <v>0</v>
      </c>
      <c r="I180" s="389">
        <f>IF(H180,Wh_hp,'2022'!Maxi_hp)</f>
        <v>55.051597615589515</v>
      </c>
      <c r="J180" s="85">
        <f>IF(H180,An,'2022'!An_max)</f>
        <v>2022</v>
      </c>
      <c r="K180" s="196">
        <f t="shared" si="52"/>
        <v>45092</v>
      </c>
      <c r="L180" s="147">
        <f>IF(t&lt;Tvie,1-EXP((T0-t)*PertePVj)+'2022'!Pspv,1-EXP((T0-t)*PertePVj)+Pspv)</f>
        <v>3.8341946448881427E-2</v>
      </c>
      <c r="M180" s="847"/>
      <c r="N180" s="847"/>
      <c r="O180" s="48">
        <f>IF(t&lt;Tnet,'2022'!Resal+('2022'!Salim-'2022'!Resal)*(1-EXP(('2022'!Tnet-t)/('2022'!Tau_j))),Resal+(Salim-Resal)*(1-EXP((Tnet-t)/(Tau_j))))*Salcycl</f>
        <v>6.3893446223477604E-2</v>
      </c>
      <c r="P180" s="168">
        <f>(INDEX(Models!$BJ180:$BT180,,T180)*(1-R180)+INDEX(Models!$BJ180:$BT180,,T180+1)*R180-ERP_i)*Q180*Ramure*Pc/MaxiM</f>
        <v>7.4583414138634828E-4</v>
      </c>
      <c r="Q180" s="304">
        <f t="shared" si="53"/>
        <v>0.5</v>
      </c>
      <c r="R180" s="176">
        <f t="shared" si="54"/>
        <v>0.19999976738617509</v>
      </c>
      <c r="S180" s="814">
        <f t="shared" si="55"/>
        <v>1</v>
      </c>
      <c r="T180" s="175">
        <f t="shared" si="56"/>
        <v>7</v>
      </c>
      <c r="U180" s="250">
        <f t="shared" si="57"/>
        <v>1.1999997673861751</v>
      </c>
      <c r="V180" s="382">
        <f t="shared" si="58"/>
        <v>53.657838831613617</v>
      </c>
      <c r="W180" s="401">
        <f t="shared" si="59"/>
        <v>49.524550155184421</v>
      </c>
      <c r="X180" s="157">
        <f t="shared" si="60"/>
        <v>45092</v>
      </c>
      <c r="Y180" s="384">
        <f t="shared" si="61"/>
        <v>48.526398531566016</v>
      </c>
      <c r="Z180" s="384">
        <f t="shared" si="62"/>
        <v>50.461178328796173</v>
      </c>
      <c r="AA180" s="385">
        <f t="shared" si="63"/>
        <v>55.01417195940072</v>
      </c>
      <c r="AB180" s="196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8.2760377343578981E-2</v>
      </c>
      <c r="AD180" s="230">
        <f>(INDEX(Models!$BJ180:$BT180,,AH180)*(1-AF180)+INDEX(Models!$BJ180:$BT180,,AH180+1)*AF180-ERP_i)*AE180*Ramure*Pc/MaxiM</f>
        <v>7.4583414138634828E-4</v>
      </c>
      <c r="AE180" s="304">
        <f t="shared" si="65"/>
        <v>0.5</v>
      </c>
      <c r="AF180" s="176">
        <f t="shared" si="66"/>
        <v>0.19999976738617509</v>
      </c>
      <c r="AG180" s="814">
        <f t="shared" si="74"/>
        <v>1</v>
      </c>
      <c r="AH180" s="175">
        <f t="shared" si="67"/>
        <v>7</v>
      </c>
      <c r="AI180" s="224">
        <f t="shared" si="68"/>
        <v>1.1999997673861751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10">
        <f>'2022'!Wh/'2022'!Env_an*'2023'!Env_an</f>
        <v>47.00996786718936</v>
      </c>
      <c r="C181" s="843"/>
      <c r="D181" s="392">
        <f t="shared" si="50"/>
        <v>48.885355943520921</v>
      </c>
      <c r="E181" s="384">
        <f t="shared" si="75"/>
        <v>52.226157019852828</v>
      </c>
      <c r="F181" s="384">
        <f t="shared" si="51"/>
        <v>52.258667675291207</v>
      </c>
      <c r="G181" s="110">
        <f t="shared" si="76"/>
        <v>0.87688199165926561</v>
      </c>
      <c r="H181" s="413" t="b">
        <f>Wh_hp&gt;='2022'!Maxi_hp</f>
        <v>0</v>
      </c>
      <c r="I181" s="389">
        <f>IF(H181,Wh_hp,'2022'!Maxi_hp)</f>
        <v>60.496565061953568</v>
      </c>
      <c r="J181" s="85">
        <f>IF(H181,An,'2022'!An_max)</f>
        <v>2019</v>
      </c>
      <c r="K181" s="196">
        <f t="shared" si="52"/>
        <v>45093</v>
      </c>
      <c r="L181" s="147">
        <f>IF(t&lt;Tvie,1-EXP((T0-t)*PertePVj)+'2022'!Pspv,1-EXP((T0-t)*PertePVj)+Pspv)</f>
        <v>3.8362982945204772E-2</v>
      </c>
      <c r="M181" s="847"/>
      <c r="N181" s="847"/>
      <c r="O181" s="48">
        <f>IF(t&lt;Tnet,'2022'!Resal+('2022'!Salim-'2022'!Resal)*(1-EXP(('2022'!Tnet-t)/('2022'!Tau_j))),Resal+(Salim-Resal)*(1-EXP((Tnet-t)/(Tau_j))))*Salcycl</f>
        <v>6.3967966761597342E-2</v>
      </c>
      <c r="P181" s="168">
        <f>(INDEX(Models!$BJ181:$BT181,,T181)*(1-R181)+INDEX(Models!$BJ181:$BT181,,T181+1)*R181-ERP_i)*Q181*Ramure*Pc/MaxiM</f>
        <v>7.5472866598374447E-4</v>
      </c>
      <c r="Q181" s="304">
        <f t="shared" si="53"/>
        <v>0.5</v>
      </c>
      <c r="R181" s="176">
        <f t="shared" si="54"/>
        <v>0.20304806790833818</v>
      </c>
      <c r="S181" s="814">
        <f t="shared" si="55"/>
        <v>1</v>
      </c>
      <c r="T181" s="175">
        <f t="shared" si="56"/>
        <v>7</v>
      </c>
      <c r="U181" s="250">
        <f t="shared" si="57"/>
        <v>1.2030480679083382</v>
      </c>
      <c r="V181" s="382">
        <f t="shared" si="58"/>
        <v>53.603255681241968</v>
      </c>
      <c r="W181" s="401">
        <f t="shared" si="59"/>
        <v>47.00996786718936</v>
      </c>
      <c r="X181" s="157">
        <f t="shared" si="60"/>
        <v>45093</v>
      </c>
      <c r="Y181" s="384">
        <f t="shared" si="61"/>
        <v>46.062942877229922</v>
      </c>
      <c r="Z181" s="384">
        <f t="shared" si="62"/>
        <v>47.900550894252028</v>
      </c>
      <c r="AA181" s="385">
        <f t="shared" si="63"/>
        <v>52.226157019852828</v>
      </c>
      <c r="AB181" s="196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8.2824515002252491E-2</v>
      </c>
      <c r="AD181" s="230">
        <f>(INDEX(Models!$BJ181:$BT181,,AH181)*(1-AF181)+INDEX(Models!$BJ181:$BT181,,AH181+1)*AF181-ERP_i)*AE181*Ramure*Pc/MaxiM</f>
        <v>7.5472866598374447E-4</v>
      </c>
      <c r="AE181" s="304">
        <f t="shared" si="65"/>
        <v>0.5</v>
      </c>
      <c r="AF181" s="176">
        <f t="shared" si="66"/>
        <v>0.20304806790833818</v>
      </c>
      <c r="AG181" s="814">
        <f t="shared" si="74"/>
        <v>1</v>
      </c>
      <c r="AH181" s="175">
        <f t="shared" si="67"/>
        <v>7</v>
      </c>
      <c r="AI181" s="224">
        <f t="shared" si="68"/>
        <v>1.2030480679083382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10">
        <f>'2022'!Wh/'2022'!Env_an*'2023'!Env_an</f>
        <v>47.532989281169641</v>
      </c>
      <c r="C182" s="843"/>
      <c r="D182" s="392">
        <f t="shared" si="50"/>
        <v>49.430323766862749</v>
      </c>
      <c r="E182" s="384">
        <f t="shared" si="75"/>
        <v>52.812515852243827</v>
      </c>
      <c r="F182" s="384">
        <f t="shared" si="51"/>
        <v>52.846370398748185</v>
      </c>
      <c r="G182" s="110">
        <f t="shared" si="76"/>
        <v>0.88756421569063026</v>
      </c>
      <c r="H182" s="413" t="b">
        <f>Wh_hp&gt;='2022'!Maxi_hp</f>
        <v>0</v>
      </c>
      <c r="I182" s="389">
        <f>IF(H182,Wh_hp,'2022'!Maxi_hp)</f>
        <v>59.643028752560177</v>
      </c>
      <c r="J182" s="85">
        <f>IF(H182,An,'2022'!An_max)</f>
        <v>2019</v>
      </c>
      <c r="K182" s="196">
        <f t="shared" si="52"/>
        <v>45094</v>
      </c>
      <c r="L182" s="147">
        <f>IF(t&lt;Tvie,1-EXP((T0-t)*PertePVj)+'2022'!Pspv,1-EXP((T0-t)*PertePVj)+Pspv)</f>
        <v>3.8384018980774905E-2</v>
      </c>
      <c r="M182" s="847"/>
      <c r="N182" s="847"/>
      <c r="O182" s="48">
        <f>IF(t&lt;Tnet,'2022'!Resal+('2022'!Salim-'2022'!Resal)*(1-EXP(('2022'!Tnet-t)/('2022'!Tau_j))),Resal+(Salim-Resal)*(1-EXP((Tnet-t)/(Tau_j))))*Salcycl</f>
        <v>6.4041487719380757E-2</v>
      </c>
      <c r="P182" s="168">
        <f>(INDEX(Models!$BJ182:$BT182,,T182)*(1-R182)+INDEX(Models!$BJ182:$BT182,,T182+1)*R182-ERP_i)*Q182*Ramure*Pc/MaxiM</f>
        <v>7.6306960335348741E-4</v>
      </c>
      <c r="Q182" s="304">
        <f t="shared" si="53"/>
        <v>0.5</v>
      </c>
      <c r="R182" s="176">
        <f t="shared" si="54"/>
        <v>0.2060810424261339</v>
      </c>
      <c r="S182" s="814">
        <f t="shared" si="55"/>
        <v>1</v>
      </c>
      <c r="T182" s="175">
        <f t="shared" si="56"/>
        <v>7</v>
      </c>
      <c r="U182" s="250">
        <f t="shared" si="57"/>
        <v>1.2060810424261339</v>
      </c>
      <c r="V182" s="382">
        <f t="shared" si="58"/>
        <v>53.547860998061466</v>
      </c>
      <c r="W182" s="401">
        <f t="shared" si="59"/>
        <v>47.532989281169641</v>
      </c>
      <c r="X182" s="157">
        <f t="shared" si="60"/>
        <v>45094</v>
      </c>
      <c r="Y182" s="384">
        <f t="shared" si="61"/>
        <v>46.575894863702445</v>
      </c>
      <c r="Z182" s="384">
        <f t="shared" si="62"/>
        <v>48.435025813876607</v>
      </c>
      <c r="AA182" s="385">
        <f t="shared" si="63"/>
        <v>52.812515852243827</v>
      </c>
      <c r="AB182" s="196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8.2887360462325588E-2</v>
      </c>
      <c r="AD182" s="230">
        <f>(INDEX(Models!$BJ182:$BT182,,AH182)*(1-AF182)+INDEX(Models!$BJ182:$BT182,,AH182+1)*AF182-ERP_i)*AE182*Ramure*Pc/MaxiM</f>
        <v>7.6306960335348741E-4</v>
      </c>
      <c r="AE182" s="304">
        <f t="shared" si="65"/>
        <v>0.5</v>
      </c>
      <c r="AF182" s="176">
        <f t="shared" si="66"/>
        <v>0.2060810424261339</v>
      </c>
      <c r="AG182" s="814">
        <f t="shared" si="74"/>
        <v>1</v>
      </c>
      <c r="AH182" s="175">
        <f t="shared" si="67"/>
        <v>7</v>
      </c>
      <c r="AI182" s="224">
        <f t="shared" si="68"/>
        <v>1.2060810424261339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10">
        <f>'2022'!Wh/'2022'!Env_an*'2023'!Env_an</f>
        <v>49.998746949863857</v>
      </c>
      <c r="C183" s="843"/>
      <c r="D183" s="392">
        <f t="shared" si="50"/>
        <v>51.995642434202992</v>
      </c>
      <c r="E183" s="384">
        <f t="shared" si="75"/>
        <v>55.557665890744445</v>
      </c>
      <c r="F183" s="384">
        <f t="shared" si="51"/>
        <v>55.596524309479399</v>
      </c>
      <c r="G183" s="110">
        <f t="shared" si="76"/>
        <v>0.93463452302719763</v>
      </c>
      <c r="H183" s="413" t="b">
        <f>Wh_hp&gt;='2022'!Maxi_hp</f>
        <v>0</v>
      </c>
      <c r="I183" s="389">
        <f>IF(H183,Wh_hp,'2022'!Maxi_hp)</f>
        <v>57.817123290426146</v>
      </c>
      <c r="J183" s="85">
        <f>IF(H183,An,'2022'!An_max)</f>
        <v>2019</v>
      </c>
      <c r="K183" s="196">
        <f t="shared" si="52"/>
        <v>45095</v>
      </c>
      <c r="L183" s="147">
        <f>IF(t&lt;Tvie,1-EXP((T0-t)*PertePVj)+'2022'!Pspv,1-EXP((T0-t)*PertePVj)+Pspv)</f>
        <v>3.8405054555601816E-2</v>
      </c>
      <c r="M183" s="847"/>
      <c r="N183" s="847"/>
      <c r="O183" s="48">
        <f>IF(t&lt;Tnet,'2022'!Resal+('2022'!Salim-'2022'!Resal)*(1-EXP(('2022'!Tnet-t)/('2022'!Tau_j))),Resal+(Salim-Resal)*(1-EXP((Tnet-t)/(Tau_j))))*Salcycl</f>
        <v>6.4113986781702825E-2</v>
      </c>
      <c r="P183" s="168">
        <f>(INDEX(Models!$BJ183:$BT183,,T183)*(1-R183)+INDEX(Models!$BJ183:$BT183,,T183+1)*R183-ERP_i)*Q183*Ramure*Pc/MaxiM</f>
        <v>7.7084277252158055E-4</v>
      </c>
      <c r="Q183" s="304">
        <f t="shared" si="53"/>
        <v>0.5</v>
      </c>
      <c r="R183" s="176">
        <f t="shared" si="54"/>
        <v>0.20909626609549714</v>
      </c>
      <c r="S183" s="814">
        <f t="shared" si="55"/>
        <v>1</v>
      </c>
      <c r="T183" s="175">
        <f t="shared" si="56"/>
        <v>7</v>
      </c>
      <c r="U183" s="250">
        <f t="shared" si="57"/>
        <v>1.2090962660954971</v>
      </c>
      <c r="V183" s="382">
        <f t="shared" si="58"/>
        <v>53.491656857037519</v>
      </c>
      <c r="W183" s="401">
        <f t="shared" si="59"/>
        <v>49.998746949863857</v>
      </c>
      <c r="X183" s="157">
        <f t="shared" si="60"/>
        <v>45095</v>
      </c>
      <c r="Y183" s="384">
        <f t="shared" si="61"/>
        <v>48.992511825741452</v>
      </c>
      <c r="Z183" s="384">
        <f t="shared" si="62"/>
        <v>50.949219375419773</v>
      </c>
      <c r="AA183" s="385">
        <f t="shared" si="63"/>
        <v>55.557665890744445</v>
      </c>
      <c r="AB183" s="196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8.2948886376675718E-2</v>
      </c>
      <c r="AD183" s="230">
        <f>(INDEX(Models!$BJ183:$BT183,,AH183)*(1-AF183)+INDEX(Models!$BJ183:$BT183,,AH183+1)*AF183-ERP_i)*AE183*Ramure*Pc/MaxiM</f>
        <v>7.7084277252158055E-4</v>
      </c>
      <c r="AE183" s="304">
        <f t="shared" si="65"/>
        <v>0.5</v>
      </c>
      <c r="AF183" s="176">
        <f t="shared" si="66"/>
        <v>0.20909626609549714</v>
      </c>
      <c r="AG183" s="814">
        <f t="shared" si="74"/>
        <v>1</v>
      </c>
      <c r="AH183" s="175">
        <f t="shared" si="67"/>
        <v>7</v>
      </c>
      <c r="AI183" s="224">
        <f t="shared" si="68"/>
        <v>1.2090962660954971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10">
        <f>'2022'!Wh/'2022'!Env_an*'2023'!Env_an</f>
        <v>51.243716297923832</v>
      </c>
      <c r="C184" s="843"/>
      <c r="D184" s="392">
        <f t="shared" si="50"/>
        <v>53.291500265768882</v>
      </c>
      <c r="E184" s="384">
        <f t="shared" si="75"/>
        <v>56.946646066271647</v>
      </c>
      <c r="F184" s="384">
        <f t="shared" si="51"/>
        <v>56.988372955523658</v>
      </c>
      <c r="G184" s="110">
        <f t="shared" si="76"/>
        <v>0.95895398458952652</v>
      </c>
      <c r="H184" s="413" t="b">
        <f>Wh_hp&gt;='2022'!Maxi_hp</f>
        <v>0</v>
      </c>
      <c r="I184" s="389">
        <f>IF(H184,Wh_hp,'2022'!Maxi_hp)</f>
        <v>56.988879002316459</v>
      </c>
      <c r="J184" s="85">
        <f>IF(H184,An,'2022'!An_max)</f>
        <v>2022</v>
      </c>
      <c r="K184" s="196">
        <f t="shared" si="52"/>
        <v>45096</v>
      </c>
      <c r="L184" s="147">
        <f>IF(t&lt;Tvie,1-EXP((T0-t)*PertePVj)+'2022'!Pspv,1-EXP((T0-t)*PertePVj)+Pspv)</f>
        <v>3.8426089669695719E-2</v>
      </c>
      <c r="M184" s="847"/>
      <c r="N184" s="847"/>
      <c r="O184" s="48">
        <f>IF(t&lt;Tnet,'2022'!Resal+('2022'!Salim-'2022'!Resal)*(1-EXP(('2022'!Tnet-t)/('2022'!Tau_j))),Resal+(Salim-Resal)*(1-EXP((Tnet-t)/(Tau_j))))*Salcycl</f>
        <v>6.418544467481184E-2</v>
      </c>
      <c r="P184" s="168">
        <f>(INDEX(Models!$BJ184:$BT184,,T184)*(1-R184)+INDEX(Models!$BJ184:$BT184,,T184+1)*R184-ERP_i)*Q184*Ramure*Pc/MaxiM</f>
        <v>7.777569288951458E-4</v>
      </c>
      <c r="Q184" s="304">
        <f t="shared" si="53"/>
        <v>0.5</v>
      </c>
      <c r="R184" s="176">
        <f t="shared" si="54"/>
        <v>0.21209137214414464</v>
      </c>
      <c r="S184" s="814">
        <f t="shared" si="55"/>
        <v>1</v>
      </c>
      <c r="T184" s="175">
        <f t="shared" si="56"/>
        <v>7</v>
      </c>
      <c r="U184" s="250">
        <f t="shared" si="57"/>
        <v>1.2120913721441446</v>
      </c>
      <c r="V184" s="382">
        <f t="shared" si="58"/>
        <v>53.434659959472093</v>
      </c>
      <c r="W184" s="401">
        <f t="shared" si="59"/>
        <v>51.243716297923832</v>
      </c>
      <c r="X184" s="157">
        <f t="shared" si="60"/>
        <v>45096</v>
      </c>
      <c r="Y184" s="384">
        <f t="shared" si="61"/>
        <v>50.212964555448735</v>
      </c>
      <c r="Z184" s="384">
        <f t="shared" si="62"/>
        <v>52.219557972616364</v>
      </c>
      <c r="AA184" s="385">
        <f t="shared" si="63"/>
        <v>56.946646066271647</v>
      </c>
      <c r="AB184" s="196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8.3009069369144831E-2</v>
      </c>
      <c r="AD184" s="230">
        <f>(INDEX(Models!$BJ184:$BT184,,AH184)*(1-AF184)+INDEX(Models!$BJ184:$BT184,,AH184+1)*AF184-ERP_i)*AE184*Ramure*Pc/MaxiM</f>
        <v>7.777569288951458E-4</v>
      </c>
      <c r="AE184" s="304">
        <f t="shared" si="65"/>
        <v>0.5</v>
      </c>
      <c r="AF184" s="176">
        <f t="shared" si="66"/>
        <v>0.21209137214414464</v>
      </c>
      <c r="AG184" s="814">
        <f t="shared" si="74"/>
        <v>1</v>
      </c>
      <c r="AH184" s="175">
        <f t="shared" si="67"/>
        <v>7</v>
      </c>
      <c r="AI184" s="224">
        <f t="shared" si="68"/>
        <v>1.2120913721441446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10">
        <f>'2022'!Wh/'2022'!Env_an*'2023'!Env_an</f>
        <v>29.43823481768321</v>
      </c>
      <c r="C185" s="843"/>
      <c r="D185" s="392">
        <f t="shared" si="50"/>
        <v>30.615305265411106</v>
      </c>
      <c r="E185" s="384">
        <f t="shared" si="75"/>
        <v>32.717602465152396</v>
      </c>
      <c r="F185" s="384">
        <f t="shared" si="51"/>
        <v>32.726822206473344</v>
      </c>
      <c r="G185" s="110">
        <f t="shared" si="76"/>
        <v>0.55123968936470813</v>
      </c>
      <c r="H185" s="413" t="b">
        <f>Wh_hp&gt;='2022'!Maxi_hp</f>
        <v>0</v>
      </c>
      <c r="I185" s="389">
        <f>IF(H185,Wh_hp,'2022'!Maxi_hp)</f>
        <v>58.21085404536079</v>
      </c>
      <c r="J185" s="85">
        <f>IF(H185,An,'2022'!An_max)</f>
        <v>2020</v>
      </c>
      <c r="K185" s="196">
        <f t="shared" si="52"/>
        <v>45097</v>
      </c>
      <c r="L185" s="147">
        <f>IF(t&lt;Tvie,1-EXP((T0-t)*PertePVj)+'2022'!Pspv,1-EXP((T0-t)*PertePVj)+Pspv)</f>
        <v>3.8447124323066607E-2</v>
      </c>
      <c r="M185" s="847"/>
      <c r="N185" s="847"/>
      <c r="O185" s="48">
        <f>IF(t&lt;Tnet,'2022'!Resal+('2022'!Salim-'2022'!Resal)*(1-EXP(('2022'!Tnet-t)/('2022'!Tau_j))),Resal+(Salim-Resal)*(1-EXP((Tnet-t)/(Tau_j))))*Salcycl</f>
        <v>6.4255845212999707E-2</v>
      </c>
      <c r="P185" s="168">
        <f>(INDEX(Models!$BJ185:$BT185,,T185)*(1-R185)+INDEX(Models!$BJ185:$BT185,,T185+1)*R185-ERP_i)*Q185*Ramure*Pc/MaxiM</f>
        <v>7.8405389374351674E-4</v>
      </c>
      <c r="Q185" s="304">
        <f t="shared" si="53"/>
        <v>0.5</v>
      </c>
      <c r="R185" s="176">
        <f t="shared" si="54"/>
        <v>0.21506405899039405</v>
      </c>
      <c r="S185" s="814">
        <f t="shared" si="55"/>
        <v>1</v>
      </c>
      <c r="T185" s="175">
        <f t="shared" si="56"/>
        <v>7</v>
      </c>
      <c r="U185" s="250">
        <f t="shared" si="57"/>
        <v>1.215064058990394</v>
      </c>
      <c r="V185" s="382">
        <f t="shared" si="58"/>
        <v>53.376858274093323</v>
      </c>
      <c r="W185" s="401">
        <f t="shared" si="59"/>
        <v>29.43823481768321</v>
      </c>
      <c r="X185" s="157">
        <f t="shared" si="60"/>
        <v>45097</v>
      </c>
      <c r="Y185" s="384">
        <f t="shared" si="61"/>
        <v>28.846413440473235</v>
      </c>
      <c r="Z185" s="384">
        <f t="shared" si="62"/>
        <v>29.999820259666276</v>
      </c>
      <c r="AA185" s="385">
        <f t="shared" si="63"/>
        <v>32.717602465152396</v>
      </c>
      <c r="AB185" s="196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8.3067890087020771E-2</v>
      </c>
      <c r="AD185" s="230">
        <f>(INDEX(Models!$BJ185:$BT185,,AH185)*(1-AF185)+INDEX(Models!$BJ185:$BT185,,AH185+1)*AF185-ERP_i)*AE185*Ramure*Pc/MaxiM</f>
        <v>7.8405389374351674E-4</v>
      </c>
      <c r="AE185" s="304">
        <f t="shared" si="65"/>
        <v>0.5</v>
      </c>
      <c r="AF185" s="176">
        <f t="shared" si="66"/>
        <v>0.21506405899039405</v>
      </c>
      <c r="AG185" s="814">
        <f t="shared" si="74"/>
        <v>1</v>
      </c>
      <c r="AH185" s="175">
        <f t="shared" si="67"/>
        <v>7</v>
      </c>
      <c r="AI185" s="224">
        <f t="shared" si="68"/>
        <v>1.215064058990394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10">
        <f>'2022'!Wh/'2022'!Env_an*'2023'!Env_an</f>
        <v>18.017121418068591</v>
      </c>
      <c r="C186" s="843"/>
      <c r="D186" s="392">
        <f t="shared" si="50"/>
        <v>18.737935282784122</v>
      </c>
      <c r="E186" s="384">
        <f t="shared" si="75"/>
        <v>20.026118891631835</v>
      </c>
      <c r="F186" s="384">
        <f t="shared" si="51"/>
        <v>20.026975574872292</v>
      </c>
      <c r="G186" s="110">
        <f t="shared" si="76"/>
        <v>0.33766415751986978</v>
      </c>
      <c r="H186" s="413" t="b">
        <f>Wh_hp&gt;='2022'!Maxi_hp</f>
        <v>0</v>
      </c>
      <c r="I186" s="389">
        <f>IF(H186,Wh_hp,'2022'!Maxi_hp)</f>
        <v>52.532940622341521</v>
      </c>
      <c r="J186" s="85">
        <f>IF(H186,An,'2022'!An_max)</f>
        <v>2020</v>
      </c>
      <c r="K186" s="196">
        <f t="shared" si="52"/>
        <v>45098</v>
      </c>
      <c r="L186" s="147">
        <f>IF(t&lt;Tvie,1-EXP((T0-t)*PertePVj)+'2022'!Pspv,1-EXP((T0-t)*PertePVj)+Pspv)</f>
        <v>3.8468158515724694E-2</v>
      </c>
      <c r="M186" s="847"/>
      <c r="N186" s="847"/>
      <c r="O186" s="48">
        <f>IF(t&lt;Tnet,'2022'!Resal+('2022'!Salim-'2022'!Resal)*(1-EXP(('2022'!Tnet-t)/('2022'!Tau_j))),Resal+(Salim-Resal)*(1-EXP((Tnet-t)/(Tau_j))))*Salcycl</f>
        <v>6.4325175328205766E-2</v>
      </c>
      <c r="P186" s="168">
        <f>(INDEX(Models!$BJ186:$BT186,,T186)*(1-R186)+INDEX(Models!$BJ186:$BT186,,T186+1)*R186-ERP_i)*Q186*Ramure*Pc/MaxiM</f>
        <v>7.8972131628774617E-4</v>
      </c>
      <c r="Q186" s="304">
        <f t="shared" si="53"/>
        <v>0.5</v>
      </c>
      <c r="R186" s="176">
        <f t="shared" si="54"/>
        <v>0.21801209692016998</v>
      </c>
      <c r="S186" s="814">
        <f t="shared" si="55"/>
        <v>1</v>
      </c>
      <c r="T186" s="175">
        <f t="shared" si="56"/>
        <v>7</v>
      </c>
      <c r="U186" s="250">
        <f t="shared" si="57"/>
        <v>1.21801209692017</v>
      </c>
      <c r="V186" s="382">
        <f t="shared" si="58"/>
        <v>53.318253197329589</v>
      </c>
      <c r="W186" s="401">
        <f t="shared" si="59"/>
        <v>18.017121418068591</v>
      </c>
      <c r="X186" s="157">
        <f t="shared" si="60"/>
        <v>45098</v>
      </c>
      <c r="Y186" s="384">
        <f t="shared" si="61"/>
        <v>17.655110259182102</v>
      </c>
      <c r="Z186" s="384">
        <f t="shared" si="62"/>
        <v>18.361441085433707</v>
      </c>
      <c r="AA186" s="385">
        <f t="shared" si="63"/>
        <v>20.026118891631835</v>
      </c>
      <c r="AB186" s="196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8.3125333231379869E-2</v>
      </c>
      <c r="AD186" s="230">
        <f>(INDEX(Models!$BJ186:$BT186,,AH186)*(1-AF186)+INDEX(Models!$BJ186:$BT186,,AH186+1)*AF186-ERP_i)*AE186*Ramure*Pc/MaxiM</f>
        <v>7.8972131628774617E-4</v>
      </c>
      <c r="AE186" s="304">
        <f t="shared" si="65"/>
        <v>0.5</v>
      </c>
      <c r="AF186" s="176">
        <f t="shared" si="66"/>
        <v>0.21801209692016998</v>
      </c>
      <c r="AG186" s="814">
        <f t="shared" si="74"/>
        <v>1</v>
      </c>
      <c r="AH186" s="175">
        <f t="shared" si="67"/>
        <v>7</v>
      </c>
      <c r="AI186" s="224">
        <f t="shared" si="68"/>
        <v>1.21801209692017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10">
        <f>'2022'!Wh/'2022'!Env_an*'2023'!Env_an</f>
        <v>43.022625217399863</v>
      </c>
      <c r="C187" s="843"/>
      <c r="D187" s="392">
        <f t="shared" si="50"/>
        <v>44.744817084242548</v>
      </c>
      <c r="E187" s="384">
        <f t="shared" si="75"/>
        <v>47.824393589986698</v>
      </c>
      <c r="F187" s="384">
        <f t="shared" si="51"/>
        <v>47.85198194934722</v>
      </c>
      <c r="G187" s="110">
        <f t="shared" si="76"/>
        <v>0.80762605757133288</v>
      </c>
      <c r="H187" s="413" t="b">
        <f>Wh_hp&gt;='2022'!Maxi_hp</f>
        <v>0</v>
      </c>
      <c r="I187" s="389">
        <f>IF(H187,Wh_hp,'2022'!Maxi_hp)</f>
        <v>59.462179190219061</v>
      </c>
      <c r="J187" s="85">
        <f>IF(H187,An,'2022'!An_max)</f>
        <v>2020</v>
      </c>
      <c r="K187" s="196">
        <f t="shared" si="52"/>
        <v>45099</v>
      </c>
      <c r="L187" s="147">
        <f>IF(t&lt;Tvie,1-EXP((T0-t)*PertePVj)+'2022'!Pspv,1-EXP((T0-t)*PertePVj)+Pspv)</f>
        <v>3.8489192247679861E-2</v>
      </c>
      <c r="M187" s="847"/>
      <c r="N187" s="847"/>
      <c r="O187" s="48">
        <f>IF(t&lt;Tnet,'2022'!Resal+('2022'!Salim-'2022'!Resal)*(1-EXP(('2022'!Tnet-t)/('2022'!Tau_j))),Resal+(Salim-Resal)*(1-EXP((Tnet-t)/(Tau_j))))*Salcycl</f>
        <v>6.4393425082318989E-2</v>
      </c>
      <c r="P187" s="168">
        <f>(INDEX(Models!$BJ187:$BT187,,T187)*(1-R187)+INDEX(Models!$BJ187:$BT187,,T187+1)*R187-ERP_i)*Q187*Ramure*Pc/MaxiM</f>
        <v>7.9474756871511152E-4</v>
      </c>
      <c r="Q187" s="304">
        <f t="shared" si="53"/>
        <v>0.5</v>
      </c>
      <c r="R187" s="176">
        <f t="shared" si="54"/>
        <v>0.22093333428422257</v>
      </c>
      <c r="S187" s="814">
        <f t="shared" si="55"/>
        <v>1</v>
      </c>
      <c r="T187" s="175">
        <f t="shared" si="56"/>
        <v>7</v>
      </c>
      <c r="U187" s="250">
        <f t="shared" si="57"/>
        <v>1.2209333342842226</v>
      </c>
      <c r="V187" s="382">
        <f t="shared" si="58"/>
        <v>53.258845893049987</v>
      </c>
      <c r="W187" s="401">
        <f t="shared" si="59"/>
        <v>43.022625217399863</v>
      </c>
      <c r="X187" s="157">
        <f t="shared" si="60"/>
        <v>45099</v>
      </c>
      <c r="Y187" s="384">
        <f t="shared" si="61"/>
        <v>42.158685725991205</v>
      </c>
      <c r="Z187" s="384">
        <f t="shared" si="62"/>
        <v>43.846294171714653</v>
      </c>
      <c r="AA187" s="385">
        <f t="shared" si="63"/>
        <v>47.824393589986698</v>
      </c>
      <c r="AB187" s="196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8.3181387565047185E-2</v>
      </c>
      <c r="AD187" s="230">
        <f>(INDEX(Models!$BJ187:$BT187,,AH187)*(1-AF187)+INDEX(Models!$BJ187:$BT187,,AH187+1)*AF187-ERP_i)*AE187*Ramure*Pc/MaxiM</f>
        <v>7.9474756871511152E-4</v>
      </c>
      <c r="AE187" s="304">
        <f t="shared" si="65"/>
        <v>0.5</v>
      </c>
      <c r="AF187" s="176">
        <f t="shared" si="66"/>
        <v>0.22093333428422257</v>
      </c>
      <c r="AG187" s="814">
        <f t="shared" si="74"/>
        <v>1</v>
      </c>
      <c r="AH187" s="175">
        <f t="shared" si="67"/>
        <v>7</v>
      </c>
      <c r="AI187" s="224">
        <f t="shared" si="68"/>
        <v>1.2209333342842226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10">
        <f>'2022'!Wh/'2022'!Env_an*'2023'!Env_an</f>
        <v>38.625313700681666</v>
      </c>
      <c r="C188" s="843"/>
      <c r="D188" s="392">
        <f t="shared" si="50"/>
        <v>40.172360357684305</v>
      </c>
      <c r="E188" s="384">
        <f t="shared" si="75"/>
        <v>42.940318524147649</v>
      </c>
      <c r="F188" s="384">
        <f t="shared" si="51"/>
        <v>42.96121418339311</v>
      </c>
      <c r="G188" s="110">
        <f t="shared" si="76"/>
        <v>0.7258311528931285</v>
      </c>
      <c r="H188" s="413" t="b">
        <f>Wh_hp&gt;='2022'!Maxi_hp</f>
        <v>0</v>
      </c>
      <c r="I188" s="389">
        <f>IF(H188,Wh_hp,'2022'!Maxi_hp)</f>
        <v>53.377678678761548</v>
      </c>
      <c r="J188" s="85">
        <f>IF(H188,An,'2022'!An_max)</f>
        <v>2019</v>
      </c>
      <c r="K188" s="196">
        <f t="shared" si="52"/>
        <v>45100</v>
      </c>
      <c r="L188" s="147">
        <f>IF(t&lt;Tvie,1-EXP((T0-t)*PertePVj)+'2022'!Pspv,1-EXP((T0-t)*PertePVj)+Pspv)</f>
        <v>3.8510225518942322E-2</v>
      </c>
      <c r="M188" s="847"/>
      <c r="N188" s="847"/>
      <c r="O188" s="48">
        <f>IF(t&lt;Tnet,'2022'!Resal+('2022'!Salim-'2022'!Resal)*(1-EXP(('2022'!Tnet-t)/('2022'!Tau_j))),Resal+(Salim-Resal)*(1-EXP((Tnet-t)/(Tau_j))))*Salcycl</f>
        <v>6.4460587662077351E-2</v>
      </c>
      <c r="P188" s="168">
        <f>(INDEX(Models!$BJ188:$BT188,,T188)*(1-R188)+INDEX(Models!$BJ188:$BT188,,T188+1)*R188-ERP_i)*Q188*Ramure*Pc/MaxiM</f>
        <v>7.9911359035565732E-4</v>
      </c>
      <c r="Q188" s="304">
        <f t="shared" si="53"/>
        <v>0.5</v>
      </c>
      <c r="R188" s="176">
        <f t="shared" si="54"/>
        <v>0.2238257031829558</v>
      </c>
      <c r="S188" s="814">
        <f t="shared" si="55"/>
        <v>1</v>
      </c>
      <c r="T188" s="175">
        <f t="shared" si="56"/>
        <v>7</v>
      </c>
      <c r="U188" s="250">
        <f t="shared" si="57"/>
        <v>1.2238257031829558</v>
      </c>
      <c r="V188" s="382">
        <f t="shared" si="58"/>
        <v>53.198637728686087</v>
      </c>
      <c r="W188" s="401">
        <f t="shared" si="59"/>
        <v>38.625313700681666</v>
      </c>
      <c r="X188" s="157">
        <f t="shared" si="60"/>
        <v>45100</v>
      </c>
      <c r="Y188" s="384">
        <f t="shared" si="61"/>
        <v>37.850137417698257</v>
      </c>
      <c r="Z188" s="384">
        <f t="shared" si="62"/>
        <v>39.366136200592472</v>
      </c>
      <c r="AA188" s="385">
        <f t="shared" si="63"/>
        <v>42.940318524147649</v>
      </c>
      <c r="AB188" s="196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8.3236045898104377E-2</v>
      </c>
      <c r="AD188" s="230">
        <f>(INDEX(Models!$BJ188:$BT188,,AH188)*(1-AF188)+INDEX(Models!$BJ188:$BT188,,AH188+1)*AF188-ERP_i)*AE188*Ramure*Pc/MaxiM</f>
        <v>7.9911359035565732E-4</v>
      </c>
      <c r="AE188" s="304">
        <f t="shared" si="65"/>
        <v>0.5</v>
      </c>
      <c r="AF188" s="176">
        <f t="shared" si="66"/>
        <v>0.2238257031829558</v>
      </c>
      <c r="AG188" s="814">
        <f t="shared" si="74"/>
        <v>1</v>
      </c>
      <c r="AH188" s="175">
        <f t="shared" si="67"/>
        <v>7</v>
      </c>
      <c r="AI188" s="224">
        <f t="shared" si="68"/>
        <v>1.2238257031829558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10">
        <f>'2022'!Wh/'2022'!Env_an*'2023'!Env_an</f>
        <v>41.900407141287047</v>
      </c>
      <c r="C189" s="843"/>
      <c r="D189" s="392">
        <f t="shared" si="50"/>
        <v>43.579583324246535</v>
      </c>
      <c r="E189" s="384">
        <f t="shared" si="75"/>
        <v>46.585596222628105</v>
      </c>
      <c r="F189" s="384">
        <f t="shared" si="51"/>
        <v>46.611711364518484</v>
      </c>
      <c r="G189" s="110">
        <f t="shared" si="76"/>
        <v>0.78833473413062727</v>
      </c>
      <c r="H189" s="413" t="b">
        <f>Wh_hp&gt;='2022'!Maxi_hp</f>
        <v>0</v>
      </c>
      <c r="I189" s="389">
        <f>IF(H189,Wh_hp,'2022'!Maxi_hp)</f>
        <v>58.686977834802818</v>
      </c>
      <c r="J189" s="85">
        <f>IF(H189,An,'2022'!An_max)</f>
        <v>2020</v>
      </c>
      <c r="K189" s="196">
        <f t="shared" si="52"/>
        <v>45101</v>
      </c>
      <c r="L189" s="147">
        <f>IF(t&lt;Tvie,1-EXP((T0-t)*PertePVj)+'2022'!Pspv,1-EXP((T0-t)*PertePVj)+Pspv)</f>
        <v>3.853125832952229E-2</v>
      </c>
      <c r="M189" s="847"/>
      <c r="N189" s="847"/>
      <c r="O189" s="48">
        <f>IF(t&lt;Tnet,'2022'!Resal+('2022'!Salim-'2022'!Resal)*(1-EXP(('2022'!Tnet-t)/('2022'!Tau_j))),Resal+(Salim-Resal)*(1-EXP((Tnet-t)/(Tau_j))))*Salcycl</f>
        <v>6.4526659356598626E-2</v>
      </c>
      <c r="P189" s="168">
        <f>(INDEX(Models!$BJ189:$BT189,,T189)*(1-R189)+INDEX(Models!$BJ189:$BT189,,T189+1)*R189-ERP_i)*Q189*Ramure*Pc/MaxiM</f>
        <v>8.0280048312612613E-4</v>
      </c>
      <c r="Q189" s="304">
        <f t="shared" si="53"/>
        <v>0.5</v>
      </c>
      <c r="R189" s="176">
        <f t="shared" si="54"/>
        <v>0.22668722461188118</v>
      </c>
      <c r="S189" s="814">
        <f t="shared" si="55"/>
        <v>1</v>
      </c>
      <c r="T189" s="175">
        <f t="shared" si="56"/>
        <v>7</v>
      </c>
      <c r="U189" s="250">
        <f t="shared" si="57"/>
        <v>1.2266872246118812</v>
      </c>
      <c r="V189" s="382">
        <f t="shared" si="58"/>
        <v>53.137629871528269</v>
      </c>
      <c r="W189" s="401">
        <f t="shared" si="59"/>
        <v>41.900407141287047</v>
      </c>
      <c r="X189" s="157">
        <f t="shared" si="60"/>
        <v>45101</v>
      </c>
      <c r="Y189" s="384">
        <f t="shared" si="61"/>
        <v>41.060017084736103</v>
      </c>
      <c r="Z189" s="384">
        <f t="shared" si="62"/>
        <v>42.705514287856609</v>
      </c>
      <c r="AA189" s="385">
        <f t="shared" si="63"/>
        <v>46.585596222628105</v>
      </c>
      <c r="AB189" s="196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8.3289305051049631E-2</v>
      </c>
      <c r="AD189" s="230">
        <f>(INDEX(Models!$BJ189:$BT189,,AH189)*(1-AF189)+INDEX(Models!$BJ189:$BT189,,AH189+1)*AF189-ERP_i)*AE189*Ramure*Pc/MaxiM</f>
        <v>8.0280048312612613E-4</v>
      </c>
      <c r="AE189" s="304">
        <f t="shared" si="65"/>
        <v>0.5</v>
      </c>
      <c r="AF189" s="176">
        <f t="shared" si="66"/>
        <v>0.22668722461188118</v>
      </c>
      <c r="AG189" s="814">
        <f t="shared" si="74"/>
        <v>1</v>
      </c>
      <c r="AH189" s="175">
        <f t="shared" si="67"/>
        <v>7</v>
      </c>
      <c r="AI189" s="224">
        <f t="shared" si="68"/>
        <v>1.2266872246118812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10">
        <f>'2022'!Wh/'2022'!Env_an*'2023'!Env_an</f>
        <v>29.456231761125704</v>
      </c>
      <c r="C190" s="843"/>
      <c r="D190" s="392">
        <f t="shared" si="50"/>
        <v>30.637372657470515</v>
      </c>
      <c r="E190" s="384">
        <f t="shared" si="75"/>
        <v>32.752938664856678</v>
      </c>
      <c r="F190" s="384">
        <f t="shared" si="51"/>
        <v>32.762555204741126</v>
      </c>
      <c r="G190" s="110">
        <f t="shared" si="76"/>
        <v>0.55469959847934147</v>
      </c>
      <c r="H190" s="413" t="b">
        <f>Wh_hp&gt;='2022'!Maxi_hp</f>
        <v>0</v>
      </c>
      <c r="I190" s="389">
        <f>IF(H190,Wh_hp,'2022'!Maxi_hp)</f>
        <v>55.730397600386027</v>
      </c>
      <c r="J190" s="85">
        <f>IF(H190,An,'2022'!An_max)</f>
        <v>2020</v>
      </c>
      <c r="K190" s="196">
        <f t="shared" si="52"/>
        <v>45102</v>
      </c>
      <c r="L190" s="147">
        <f>IF(t&lt;Tvie,1-EXP((T0-t)*PertePVj)+'2022'!Pspv,1-EXP((T0-t)*PertePVj)+Pspv)</f>
        <v>3.8552290679429536E-2</v>
      </c>
      <c r="M190" s="847"/>
      <c r="N190" s="847"/>
      <c r="O190" s="48">
        <f>IF(t&lt;Tnet,'2022'!Resal+('2022'!Salim-'2022'!Resal)*(1-EXP(('2022'!Tnet-t)/('2022'!Tau_j))),Resal+(Salim-Resal)*(1-EXP((Tnet-t)/(Tau_j))))*Salcycl</f>
        <v>6.4591639517712351E-2</v>
      </c>
      <c r="P190" s="168">
        <f>(INDEX(Models!$BJ190:$BT190,,T190)*(1-R190)+INDEX(Models!$BJ190:$BT190,,T190+1)*R190-ERP_i)*Q190*Ramure*Pc/MaxiM</f>
        <v>8.0579803540055904E-4</v>
      </c>
      <c r="Q190" s="304">
        <f t="shared" si="53"/>
        <v>0.5</v>
      </c>
      <c r="R190" s="176">
        <f t="shared" si="54"/>
        <v>0.22951601304646685</v>
      </c>
      <c r="S190" s="814">
        <f t="shared" si="55"/>
        <v>1</v>
      </c>
      <c r="T190" s="175">
        <f t="shared" si="56"/>
        <v>7</v>
      </c>
      <c r="U190" s="250">
        <f t="shared" si="57"/>
        <v>1.2295160130464668</v>
      </c>
      <c r="V190" s="382">
        <f t="shared" si="58"/>
        <v>53.075822838119294</v>
      </c>
      <c r="W190" s="401">
        <f t="shared" si="59"/>
        <v>29.456231761125704</v>
      </c>
      <c r="X190" s="157">
        <f t="shared" si="60"/>
        <v>45102</v>
      </c>
      <c r="Y190" s="384">
        <f t="shared" si="61"/>
        <v>28.86580471899779</v>
      </c>
      <c r="Z190" s="384">
        <f t="shared" si="62"/>
        <v>30.023270573286286</v>
      </c>
      <c r="AA190" s="385">
        <f t="shared" si="63"/>
        <v>32.752938664856678</v>
      </c>
      <c r="AB190" s="196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8.3341165795888655E-2</v>
      </c>
      <c r="AD190" s="230">
        <f>(INDEX(Models!$BJ190:$BT190,,AH190)*(1-AF190)+INDEX(Models!$BJ190:$BT190,,AH190+1)*AF190-ERP_i)*AE190*Ramure*Pc/MaxiM</f>
        <v>8.0579803540055904E-4</v>
      </c>
      <c r="AE190" s="304">
        <f t="shared" si="65"/>
        <v>0.5</v>
      </c>
      <c r="AF190" s="176">
        <f t="shared" si="66"/>
        <v>0.22951601304646685</v>
      </c>
      <c r="AG190" s="814">
        <f t="shared" si="74"/>
        <v>1</v>
      </c>
      <c r="AH190" s="175">
        <f t="shared" si="67"/>
        <v>7</v>
      </c>
      <c r="AI190" s="224">
        <f t="shared" si="68"/>
        <v>1.2295160130464668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10">
        <f>'2022'!Wh/'2022'!Env_an*'2023'!Env_an</f>
        <v>10.682032537818094</v>
      </c>
      <c r="C191" s="843"/>
      <c r="D191" s="392">
        <f t="shared" si="50"/>
        <v>11.110605508011929</v>
      </c>
      <c r="E191" s="384">
        <f t="shared" si="75"/>
        <v>11.878624261275215</v>
      </c>
      <c r="F191" s="384">
        <f t="shared" si="51"/>
        <v>11.878624261275215</v>
      </c>
      <c r="G191" s="110">
        <f t="shared" si="76"/>
        <v>0.20133550667491049</v>
      </c>
      <c r="H191" s="413" t="b">
        <f>Wh_hp&gt;='2022'!Maxi_hp</f>
        <v>0</v>
      </c>
      <c r="I191" s="389">
        <f>IF(H191,Wh_hp,'2022'!Maxi_hp)</f>
        <v>57.645147266339038</v>
      </c>
      <c r="J191" s="85">
        <f>IF(H191,An,'2022'!An_max)</f>
        <v>2019</v>
      </c>
      <c r="K191" s="196">
        <f t="shared" si="52"/>
        <v>45103</v>
      </c>
      <c r="L191" s="147">
        <f>IF(t&lt;Tvie,1-EXP((T0-t)*PertePVj)+'2022'!Pspv,1-EXP((T0-t)*PertePVj)+Pspv)</f>
        <v>3.8573322568674497E-2</v>
      </c>
      <c r="M191" s="847"/>
      <c r="N191" s="847"/>
      <c r="O191" s="48">
        <f>IF(t&lt;Tnet,'2022'!Resal+('2022'!Salim-'2022'!Resal)*(1-EXP(('2022'!Tnet-t)/('2022'!Tau_j))),Resal+(Salim-Resal)*(1-EXP((Tnet-t)/(Tau_j))))*Salcycl</f>
        <v>6.4655530503398284E-2</v>
      </c>
      <c r="P191" s="168">
        <f>(INDEX(Models!$BJ191:$BT191,,T191)*(1-R191)+INDEX(Models!$BJ191:$BT191,,T191+1)*R191-ERP_i)*Q191*Ramure*Pc/MaxiM</f>
        <v>8.0810008070156551E-4</v>
      </c>
      <c r="Q191" s="304">
        <f t="shared" si="53"/>
        <v>0.5</v>
      </c>
      <c r="R191" s="176">
        <f t="shared" si="54"/>
        <v>0.23231028045096602</v>
      </c>
      <c r="S191" s="814">
        <f t="shared" si="55"/>
        <v>1</v>
      </c>
      <c r="T191" s="175">
        <f t="shared" si="56"/>
        <v>7</v>
      </c>
      <c r="U191" s="250">
        <f t="shared" si="57"/>
        <v>1.232310280450966</v>
      </c>
      <c r="V191" s="382">
        <f t="shared" si="58"/>
        <v>53.013005816684874</v>
      </c>
      <c r="W191" s="401">
        <f t="shared" si="59"/>
        <v>10.682032537818094</v>
      </c>
      <c r="X191" s="157">
        <f t="shared" si="60"/>
        <v>45103</v>
      </c>
      <c r="Y191" s="384">
        <f t="shared" si="61"/>
        <v>10.468058263493944</v>
      </c>
      <c r="Z191" s="384">
        <f t="shared" si="62"/>
        <v>10.888046388999514</v>
      </c>
      <c r="AA191" s="385">
        <f t="shared" si="63"/>
        <v>11.878624261275215</v>
      </c>
      <c r="AB191" s="196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8.3391632775608904E-2</v>
      </c>
      <c r="AD191" s="230">
        <f>(INDEX(Models!$BJ191:$BT191,,AH191)*(1-AF191)+INDEX(Models!$BJ191:$BT191,,AH191+1)*AF191-ERP_i)*AE191*Ramure*Pc/MaxiM</f>
        <v>8.0810008070156551E-4</v>
      </c>
      <c r="AE191" s="304">
        <f t="shared" si="65"/>
        <v>0.5</v>
      </c>
      <c r="AF191" s="176">
        <f t="shared" si="66"/>
        <v>0.23231028045096602</v>
      </c>
      <c r="AG191" s="814">
        <f t="shared" si="74"/>
        <v>1</v>
      </c>
      <c r="AH191" s="175">
        <f t="shared" si="67"/>
        <v>7</v>
      </c>
      <c r="AI191" s="224">
        <f t="shared" si="68"/>
        <v>1.232310280450966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10">
        <f>'2022'!Wh/'2022'!Env_an*'2023'!Env_an</f>
        <v>15.933670138173634</v>
      </c>
      <c r="C192" s="843"/>
      <c r="D192" s="392">
        <f t="shared" si="50"/>
        <v>16.573306183941778</v>
      </c>
      <c r="E192" s="384">
        <f t="shared" si="75"/>
        <v>17.720123092649963</v>
      </c>
      <c r="F192" s="384">
        <f t="shared" si="51"/>
        <v>17.720142037720411</v>
      </c>
      <c r="G192" s="110">
        <f t="shared" si="76"/>
        <v>0.30068133109330408</v>
      </c>
      <c r="H192" s="413" t="b">
        <f>Wh_hp&gt;='2022'!Maxi_hp</f>
        <v>0</v>
      </c>
      <c r="I192" s="389">
        <f>IF(H192,Wh_hp,'2022'!Maxi_hp)</f>
        <v>57.559954834573851</v>
      </c>
      <c r="J192" s="85">
        <f>IF(H192,An,'2022'!An_max)</f>
        <v>2019</v>
      </c>
      <c r="K192" s="196">
        <f t="shared" si="52"/>
        <v>45104</v>
      </c>
      <c r="L192" s="147">
        <f>IF(t&lt;Tvie,1-EXP((T0-t)*PertePVj)+'2022'!Pspv,1-EXP((T0-t)*PertePVj)+Pspv)</f>
        <v>3.8594353997267052E-2</v>
      </c>
      <c r="M192" s="847"/>
      <c r="N192" s="847"/>
      <c r="O192" s="48">
        <f>IF(t&lt;Tnet,'2022'!Resal+('2022'!Salim-'2022'!Resal)*(1-EXP(('2022'!Tnet-t)/('2022'!Tau_j))),Resal+(Salim-Resal)*(1-EXP((Tnet-t)/(Tau_j))))*Salcycl</f>
        <v>6.4718337604769111E-2</v>
      </c>
      <c r="P192" s="168">
        <f>(INDEX(Models!$BJ192:$BT192,,T192)*(1-R192)+INDEX(Models!$BJ192:$BT192,,T192+1)*R192-ERP_i)*Q192*Ramure*Pc/MaxiM</f>
        <v>8.0942996918012165E-4</v>
      </c>
      <c r="Q192" s="304">
        <f t="shared" si="53"/>
        <v>0.5</v>
      </c>
      <c r="R192" s="176">
        <f t="shared" si="54"/>
        <v>0.23506833970159646</v>
      </c>
      <c r="S192" s="814">
        <f t="shared" si="55"/>
        <v>1</v>
      </c>
      <c r="T192" s="175">
        <f t="shared" si="56"/>
        <v>7</v>
      </c>
      <c r="U192" s="250">
        <f t="shared" si="57"/>
        <v>1.2350683397015965</v>
      </c>
      <c r="V192" s="382">
        <f t="shared" si="58"/>
        <v>52.949047124047006</v>
      </c>
      <c r="W192" s="401">
        <f t="shared" si="59"/>
        <v>15.933670138173634</v>
      </c>
      <c r="X192" s="157">
        <f t="shared" si="60"/>
        <v>45104</v>
      </c>
      <c r="Y192" s="384">
        <f t="shared" si="61"/>
        <v>15.614711488502063</v>
      </c>
      <c r="Z192" s="384">
        <f t="shared" si="62"/>
        <v>16.241543362496206</v>
      </c>
      <c r="AA192" s="385">
        <f t="shared" si="63"/>
        <v>17.720123092649963</v>
      </c>
      <c r="AB192" s="196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8.3440714402658461E-2</v>
      </c>
      <c r="AD192" s="230">
        <f>(INDEX(Models!$BJ192:$BT192,,AH192)*(1-AF192)+INDEX(Models!$BJ192:$BT192,,AH192+1)*AF192-ERP_i)*AE192*Ramure*Pc/MaxiM</f>
        <v>8.0942996918012165E-4</v>
      </c>
      <c r="AE192" s="304">
        <f t="shared" si="65"/>
        <v>0.5</v>
      </c>
      <c r="AF192" s="176">
        <f t="shared" si="66"/>
        <v>0.23506833970159646</v>
      </c>
      <c r="AG192" s="814">
        <f t="shared" si="74"/>
        <v>1</v>
      </c>
      <c r="AH192" s="175">
        <f t="shared" si="67"/>
        <v>7</v>
      </c>
      <c r="AI192" s="224">
        <f t="shared" si="68"/>
        <v>1.2350683397015965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10">
        <f>'2022'!Wh/'2022'!Env_an*'2023'!Env_an</f>
        <v>52.712688152700721</v>
      </c>
      <c r="C193" s="843"/>
      <c r="D193" s="392">
        <f t="shared" si="50"/>
        <v>54.829968493716315</v>
      </c>
      <c r="E193" s="384">
        <f t="shared" si="75"/>
        <v>58.627887060295109</v>
      </c>
      <c r="F193" s="384">
        <f t="shared" si="51"/>
        <v>58.67519786127761</v>
      </c>
      <c r="G193" s="110">
        <f t="shared" si="76"/>
        <v>0.9967563271823634</v>
      </c>
      <c r="H193" s="413" t="b">
        <f>Wh_hp&gt;='2022'!Maxi_hp</f>
        <v>0</v>
      </c>
      <c r="I193" s="389">
        <f>IF(H193,Wh_hp,'2022'!Maxi_hp)</f>
        <v>58.675240377645331</v>
      </c>
      <c r="J193" s="85">
        <f>IF(H193,An,'2022'!An_max)</f>
        <v>2022</v>
      </c>
      <c r="K193" s="196">
        <f t="shared" si="52"/>
        <v>45105</v>
      </c>
      <c r="L193" s="147">
        <f>IF(t&lt;Tvie,1-EXP((T0-t)*PertePVj)+'2022'!Pspv,1-EXP((T0-t)*PertePVj)+Pspv)</f>
        <v>3.8615384965217305E-2</v>
      </c>
      <c r="M193" s="847"/>
      <c r="N193" s="847"/>
      <c r="O193" s="48">
        <f>IF(t&lt;Tnet,'2022'!Resal+('2022'!Salim-'2022'!Resal)*(1-EXP(('2022'!Tnet-t)/('2022'!Tau_j))),Resal+(Salim-Resal)*(1-EXP((Tnet-t)/(Tau_j))))*Salcycl</f>
        <v>6.4780068957164913E-2</v>
      </c>
      <c r="P193" s="168">
        <f>(INDEX(Models!$BJ193:$BT193,,T193)*(1-R193)+INDEX(Models!$BJ193:$BT193,,T193+1)*R193-ERP_i)*Q193*Ramure*Pc/MaxiM</f>
        <v>8.1006622596513811E-4</v>
      </c>
      <c r="Q193" s="304">
        <f t="shared" si="53"/>
        <v>0.5</v>
      </c>
      <c r="R193" s="176">
        <f t="shared" si="54"/>
        <v>0.23778860742009411</v>
      </c>
      <c r="S193" s="814">
        <f t="shared" si="55"/>
        <v>1</v>
      </c>
      <c r="T193" s="175">
        <f t="shared" si="56"/>
        <v>7</v>
      </c>
      <c r="U193" s="250">
        <f t="shared" si="57"/>
        <v>1.2377886074200941</v>
      </c>
      <c r="V193" s="382">
        <f t="shared" si="58"/>
        <v>52.884028840605922</v>
      </c>
      <c r="W193" s="401">
        <f t="shared" si="59"/>
        <v>52.712688152700721</v>
      </c>
      <c r="X193" s="157">
        <f t="shared" si="60"/>
        <v>45105</v>
      </c>
      <c r="Y193" s="384">
        <f t="shared" si="61"/>
        <v>51.658211461257061</v>
      </c>
      <c r="Z193" s="384">
        <f t="shared" si="62"/>
        <v>53.733137241215452</v>
      </c>
      <c r="AA193" s="385">
        <f t="shared" si="63"/>
        <v>58.627887060295109</v>
      </c>
      <c r="AB193" s="196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8.3488422737215726E-2</v>
      </c>
      <c r="AD193" s="230">
        <f>(INDEX(Models!$BJ193:$BT193,,AH193)*(1-AF193)+INDEX(Models!$BJ193:$BT193,,AH193+1)*AF193-ERP_i)*AE193*Ramure*Pc/MaxiM</f>
        <v>8.1006622596513811E-4</v>
      </c>
      <c r="AE193" s="304">
        <f t="shared" si="65"/>
        <v>0.5</v>
      </c>
      <c r="AF193" s="176">
        <f t="shared" si="66"/>
        <v>0.23778860742009411</v>
      </c>
      <c r="AG193" s="814">
        <f t="shared" si="74"/>
        <v>1</v>
      </c>
      <c r="AH193" s="175">
        <f t="shared" si="67"/>
        <v>7</v>
      </c>
      <c r="AI193" s="224">
        <f t="shared" si="68"/>
        <v>1.2377886074200941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10">
        <f>'2022'!Wh/'2022'!Env_an*'2023'!Env_an</f>
        <v>50.588402012880913</v>
      </c>
      <c r="C194" s="843"/>
      <c r="D194" s="392">
        <f t="shared" si="50"/>
        <v>52.621508477197459</v>
      </c>
      <c r="E194" s="384">
        <f t="shared" si="75"/>
        <v>56.270103362269644</v>
      </c>
      <c r="F194" s="384">
        <f t="shared" si="51"/>
        <v>56.312966165751298</v>
      </c>
      <c r="G194" s="110">
        <f t="shared" si="76"/>
        <v>0.95773946347723693</v>
      </c>
      <c r="H194" s="413" t="b">
        <f>Wh_hp&gt;='2022'!Maxi_hp</f>
        <v>0</v>
      </c>
      <c r="I194" s="389">
        <f>IF(H194,Wh_hp,'2022'!Maxi_hp)</f>
        <v>56.313497394774842</v>
      </c>
      <c r="J194" s="85">
        <f>IF(H194,An,'2022'!An_max)</f>
        <v>2022</v>
      </c>
      <c r="K194" s="196">
        <f t="shared" si="52"/>
        <v>45106</v>
      </c>
      <c r="L194" s="147">
        <f>IF(t&lt;Tvie,1-EXP((T0-t)*PertePVj)+'2022'!Pspv,1-EXP((T0-t)*PertePVj)+Pspv)</f>
        <v>3.8636415472535469E-2</v>
      </c>
      <c r="M194" s="847"/>
      <c r="N194" s="847"/>
      <c r="O194" s="48">
        <f>IF(t&lt;Tnet,'2022'!Resal+('2022'!Salim-'2022'!Resal)*(1-EXP(('2022'!Tnet-t)/('2022'!Tau_j))),Resal+(Salim-Resal)*(1-EXP((Tnet-t)/(Tau_j))))*Salcycl</f>
        <v>6.4840735436051317E-2</v>
      </c>
      <c r="P194" s="168">
        <f>(INDEX(Models!$BJ194:$BT194,,T194)*(1-R194)+INDEX(Models!$BJ194:$BT194,,T194+1)*R194-ERP_i)*Q194*Ramure*Pc/MaxiM</f>
        <v>8.1000070314646766E-4</v>
      </c>
      <c r="Q194" s="304">
        <f t="shared" si="53"/>
        <v>0.5</v>
      </c>
      <c r="R194" s="176">
        <f t="shared" si="54"/>
        <v>0.24046960621915758</v>
      </c>
      <c r="S194" s="814">
        <f t="shared" si="55"/>
        <v>1</v>
      </c>
      <c r="T194" s="175">
        <f t="shared" si="56"/>
        <v>7</v>
      </c>
      <c r="U194" s="250">
        <f t="shared" si="57"/>
        <v>1.2404696062191576</v>
      </c>
      <c r="V194" s="382">
        <f t="shared" si="58"/>
        <v>52.818048071160874</v>
      </c>
      <c r="W194" s="401">
        <f t="shared" si="59"/>
        <v>50.588402012880913</v>
      </c>
      <c r="X194" s="157">
        <f t="shared" si="60"/>
        <v>45106</v>
      </c>
      <c r="Y194" s="384">
        <f t="shared" si="61"/>
        <v>49.577128809611835</v>
      </c>
      <c r="Z194" s="384">
        <f t="shared" si="62"/>
        <v>51.569593031735543</v>
      </c>
      <c r="AA194" s="385">
        <f t="shared" si="63"/>
        <v>56.270103362269644</v>
      </c>
      <c r="AB194" s="196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8.3534773346194025E-2</v>
      </c>
      <c r="AD194" s="230">
        <f>(INDEX(Models!$BJ194:$BT194,,AH194)*(1-AF194)+INDEX(Models!$BJ194:$BT194,,AH194+1)*AF194-ERP_i)*AE194*Ramure*Pc/MaxiM</f>
        <v>8.1000070314646766E-4</v>
      </c>
      <c r="AE194" s="304">
        <f t="shared" si="65"/>
        <v>0.5</v>
      </c>
      <c r="AF194" s="176">
        <f t="shared" si="66"/>
        <v>0.24046960621915758</v>
      </c>
      <c r="AG194" s="814">
        <f t="shared" si="74"/>
        <v>1</v>
      </c>
      <c r="AH194" s="175">
        <f t="shared" si="67"/>
        <v>7</v>
      </c>
      <c r="AI194" s="224">
        <f t="shared" si="68"/>
        <v>1.2404696062191576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10">
        <f>'2022'!Wh/'2022'!Env_an*'2023'!Env_an</f>
        <v>12.216896781897495</v>
      </c>
      <c r="C195" s="843"/>
      <c r="D195" s="392">
        <f t="shared" si="50"/>
        <v>12.708161856515311</v>
      </c>
      <c r="E195" s="384">
        <f t="shared" si="75"/>
        <v>13.590168559932687</v>
      </c>
      <c r="F195" s="384">
        <f t="shared" si="51"/>
        <v>13.590168559932687</v>
      </c>
      <c r="G195" s="110">
        <f t="shared" si="76"/>
        <v>0.23140725065306456</v>
      </c>
      <c r="H195" s="413" t="b">
        <f>Wh_hp&gt;='2022'!Maxi_hp</f>
        <v>0</v>
      </c>
      <c r="I195" s="389">
        <f>IF(H195,Wh_hp,'2022'!Maxi_hp)</f>
        <v>52.079984666293029</v>
      </c>
      <c r="J195" s="85">
        <f>IF(H195,An,'2022'!An_max)</f>
        <v>2019</v>
      </c>
      <c r="K195" s="196">
        <f t="shared" si="52"/>
        <v>45107</v>
      </c>
      <c r="L195" s="147">
        <f>IF(t&lt;Tvie,1-EXP((T0-t)*PertePVj)+'2022'!Pspv,1-EXP((T0-t)*PertePVj)+Pspv)</f>
        <v>3.8657445519231427E-2</v>
      </c>
      <c r="M195" s="847"/>
      <c r="N195" s="847"/>
      <c r="O195" s="48">
        <f>IF(t&lt;Tnet,'2022'!Resal+('2022'!Salim-'2022'!Resal)*(1-EXP(('2022'!Tnet-t)/('2022'!Tau_j))),Resal+(Salim-Resal)*(1-EXP((Tnet-t)/(Tau_j))))*Salcycl</f>
        <v>6.4900350538532617E-2</v>
      </c>
      <c r="P195" s="168">
        <f>(INDEX(Models!$BJ195:$BT195,,T195)*(1-R195)+INDEX(Models!$BJ195:$BT195,,T195+1)*R195-ERP_i)*Q195*Ramure*Pc/MaxiM</f>
        <v>8.0922600610941193E-4</v>
      </c>
      <c r="Q195" s="304">
        <f t="shared" si="53"/>
        <v>0.5</v>
      </c>
      <c r="R195" s="176">
        <f t="shared" si="54"/>
        <v>0.24310996636649085</v>
      </c>
      <c r="S195" s="814">
        <f t="shared" si="55"/>
        <v>1</v>
      </c>
      <c r="T195" s="175">
        <f t="shared" si="56"/>
        <v>7</v>
      </c>
      <c r="U195" s="250">
        <f t="shared" si="57"/>
        <v>1.2431099663664908</v>
      </c>
      <c r="V195" s="382">
        <f t="shared" si="58"/>
        <v>52.75120168818259</v>
      </c>
      <c r="W195" s="401">
        <f t="shared" si="59"/>
        <v>12.216896781897495</v>
      </c>
      <c r="X195" s="157">
        <f t="shared" si="60"/>
        <v>45107</v>
      </c>
      <c r="Y195" s="384">
        <f t="shared" si="61"/>
        <v>11.972853567196747</v>
      </c>
      <c r="Z195" s="384">
        <f t="shared" si="62"/>
        <v>12.454305191621746</v>
      </c>
      <c r="AA195" s="385">
        <f t="shared" si="63"/>
        <v>13.590168559932687</v>
      </c>
      <c r="AB195" s="196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8.3579785144075297E-2</v>
      </c>
      <c r="AD195" s="230">
        <f>(INDEX(Models!$BJ195:$BT195,,AH195)*(1-AF195)+INDEX(Models!$BJ195:$BT195,,AH195+1)*AF195-ERP_i)*AE195*Ramure*Pc/MaxiM</f>
        <v>8.0922600610941193E-4</v>
      </c>
      <c r="AE195" s="304">
        <f t="shared" si="65"/>
        <v>0.5</v>
      </c>
      <c r="AF195" s="176">
        <f t="shared" si="66"/>
        <v>0.24310996636649085</v>
      </c>
      <c r="AG195" s="814">
        <f t="shared" si="74"/>
        <v>1</v>
      </c>
      <c r="AH195" s="175">
        <f t="shared" si="67"/>
        <v>7</v>
      </c>
      <c r="AI195" s="224">
        <f t="shared" si="68"/>
        <v>1.2431099663664908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10">
        <f>'2022'!Wh/'2022'!Env_an*'2023'!Env_an</f>
        <v>47.93359573387059</v>
      </c>
      <c r="C196" s="843"/>
      <c r="D196" s="392">
        <f t="shared" si="50"/>
        <v>49.862189176635624</v>
      </c>
      <c r="E196" s="384">
        <f t="shared" si="75"/>
        <v>53.326202227718156</v>
      </c>
      <c r="F196" s="384">
        <f t="shared" si="51"/>
        <v>53.36375421132788</v>
      </c>
      <c r="G196" s="110">
        <f t="shared" si="76"/>
        <v>0.90974454613872191</v>
      </c>
      <c r="H196" s="413" t="b">
        <f>Wh_hp&gt;='2022'!Maxi_hp</f>
        <v>0</v>
      </c>
      <c r="I196" s="389">
        <f>IF(H196,Wh_hp,'2022'!Maxi_hp)</f>
        <v>57.002748716265671</v>
      </c>
      <c r="J196" s="85">
        <f>IF(H196,An,'2022'!An_max)</f>
        <v>2020</v>
      </c>
      <c r="K196" s="196">
        <f t="shared" si="52"/>
        <v>45108</v>
      </c>
      <c r="L196" s="147">
        <f>IF(t&lt;Tvie,1-EXP((T0-t)*PertePVj)+'2022'!Pspv,1-EXP((T0-t)*PertePVj)+Pspv)</f>
        <v>3.8678475105315503E-2</v>
      </c>
      <c r="M196" s="847"/>
      <c r="N196" s="847"/>
      <c r="O196" s="48">
        <f>IF(t&lt;Tnet,'2022'!Resal+('2022'!Salim-'2022'!Resal)*(1-EXP(('2022'!Tnet-t)/('2022'!Tau_j))),Resal+(Salim-Resal)*(1-EXP((Tnet-t)/(Tau_j))))*Salcycl</f>
        <v>6.4958930251402563E-2</v>
      </c>
      <c r="P196" s="168">
        <f>(INDEX(Models!$BJ196:$BT196,,T196)*(1-R196)+INDEX(Models!$BJ196:$BT196,,T196+1)*R196-ERP_i)*Q196*Ramure*Pc/MaxiM</f>
        <v>8.0773548168253518E-4</v>
      </c>
      <c r="Q196" s="304">
        <f t="shared" si="53"/>
        <v>0.5</v>
      </c>
      <c r="R196" s="176">
        <f t="shared" si="54"/>
        <v>0.24570842687905659</v>
      </c>
      <c r="S196" s="814">
        <f t="shared" si="55"/>
        <v>1</v>
      </c>
      <c r="T196" s="175">
        <f t="shared" si="56"/>
        <v>7</v>
      </c>
      <c r="U196" s="250">
        <f t="shared" si="57"/>
        <v>1.2457084268790566</v>
      </c>
      <c r="V196" s="382">
        <f t="shared" si="58"/>
        <v>52.683586342782753</v>
      </c>
      <c r="W196" s="401">
        <f t="shared" si="59"/>
        <v>47.93359573387059</v>
      </c>
      <c r="X196" s="157">
        <f t="shared" si="60"/>
        <v>45108</v>
      </c>
      <c r="Y196" s="384">
        <f t="shared" si="61"/>
        <v>46.976783224194548</v>
      </c>
      <c r="Z196" s="384">
        <f t="shared" si="62"/>
        <v>48.866879610691115</v>
      </c>
      <c r="AA196" s="385">
        <f t="shared" si="63"/>
        <v>53.326202227718156</v>
      </c>
      <c r="AB196" s="196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8.3623480216807045E-2</v>
      </c>
      <c r="AD196" s="230">
        <f>(INDEX(Models!$BJ196:$BT196,,AH196)*(1-AF196)+INDEX(Models!$BJ196:$BT196,,AH196+1)*AF196-ERP_i)*AE196*Ramure*Pc/MaxiM</f>
        <v>8.0773548168253518E-4</v>
      </c>
      <c r="AE196" s="304">
        <f t="shared" si="65"/>
        <v>0.5</v>
      </c>
      <c r="AF196" s="176">
        <f t="shared" si="66"/>
        <v>0.24570842687905659</v>
      </c>
      <c r="AG196" s="814">
        <f t="shared" si="74"/>
        <v>1</v>
      </c>
      <c r="AH196" s="175">
        <f t="shared" si="67"/>
        <v>7</v>
      </c>
      <c r="AI196" s="224">
        <f t="shared" si="68"/>
        <v>1.2457084268790566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10">
        <f>'2022'!Wh/'2022'!Env_an*'2023'!Env_an</f>
        <v>45.945415323318016</v>
      </c>
      <c r="C197" s="843"/>
      <c r="D197" s="392">
        <f t="shared" si="50"/>
        <v>47.795060468115068</v>
      </c>
      <c r="E197" s="384">
        <f t="shared" si="75"/>
        <v>51.118613435978766</v>
      </c>
      <c r="F197" s="384">
        <f t="shared" si="51"/>
        <v>51.152355903940311</v>
      </c>
      <c r="G197" s="110">
        <f t="shared" si="76"/>
        <v>0.87310553888128495</v>
      </c>
      <c r="H197" s="413" t="b">
        <f>Wh_hp&gt;='2022'!Maxi_hp</f>
        <v>0</v>
      </c>
      <c r="I197" s="389">
        <f>IF(H197,Wh_hp,'2022'!Maxi_hp)</f>
        <v>53.87379302070552</v>
      </c>
      <c r="J197" s="85">
        <f>IF(H197,An,'2022'!An_max)</f>
        <v>2021</v>
      </c>
      <c r="K197" s="196">
        <f t="shared" si="52"/>
        <v>45109</v>
      </c>
      <c r="L197" s="147">
        <f>IF(t&lt;Tvie,1-EXP((T0-t)*PertePVj)+'2022'!Pspv,1-EXP((T0-t)*PertePVj)+Pspv)</f>
        <v>3.8699504230797689E-2</v>
      </c>
      <c r="M197" s="847"/>
      <c r="N197" s="847"/>
      <c r="O197" s="48">
        <f>IF(t&lt;Tnet,'2022'!Resal+('2022'!Salim-'2022'!Resal)*(1-EXP(('2022'!Tnet-t)/('2022'!Tau_j))),Resal+(Salim-Resal)*(1-EXP((Tnet-t)/(Tau_j))))*Salcycl</f>
        <v>6.5016492906759593E-2</v>
      </c>
      <c r="P197" s="168">
        <f>(INDEX(Models!$BJ197:$BT197,,T197)*(1-R197)+INDEX(Models!$BJ197:$BT197,,T197+1)*R197-ERP_i)*Q197*Ramure*Pc/MaxiM</f>
        <v>8.0552320157044062E-4</v>
      </c>
      <c r="Q197" s="304">
        <f t="shared" si="53"/>
        <v>0.5</v>
      </c>
      <c r="R197" s="176">
        <f t="shared" si="54"/>
        <v>0.2482638360636531</v>
      </c>
      <c r="S197" s="814">
        <f t="shared" si="55"/>
        <v>1</v>
      </c>
      <c r="T197" s="175">
        <f t="shared" si="56"/>
        <v>7</v>
      </c>
      <c r="U197" s="250">
        <f t="shared" si="57"/>
        <v>1.2482638360636531</v>
      </c>
      <c r="V197" s="382">
        <f t="shared" si="58"/>
        <v>52.615298476191178</v>
      </c>
      <c r="W197" s="401">
        <f t="shared" si="59"/>
        <v>45.945415323318016</v>
      </c>
      <c r="X197" s="157">
        <f t="shared" si="60"/>
        <v>45109</v>
      </c>
      <c r="Y197" s="384">
        <f t="shared" si="61"/>
        <v>45.02897776499595</v>
      </c>
      <c r="Z197" s="384">
        <f t="shared" si="62"/>
        <v>46.841729472910743</v>
      </c>
      <c r="AA197" s="385">
        <f t="shared" si="63"/>
        <v>51.118613435978766</v>
      </c>
      <c r="AB197" s="196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8.3665883630126558E-2</v>
      </c>
      <c r="AD197" s="230">
        <f>(INDEX(Models!$BJ197:$BT197,,AH197)*(1-AF197)+INDEX(Models!$BJ197:$BT197,,AH197+1)*AF197-ERP_i)*AE197*Ramure*Pc/MaxiM</f>
        <v>8.0552320157044062E-4</v>
      </c>
      <c r="AE197" s="304">
        <f t="shared" si="65"/>
        <v>0.5</v>
      </c>
      <c r="AF197" s="176">
        <f t="shared" si="66"/>
        <v>0.2482638360636531</v>
      </c>
      <c r="AG197" s="814">
        <f t="shared" si="74"/>
        <v>1</v>
      </c>
      <c r="AH197" s="175">
        <f t="shared" si="67"/>
        <v>7</v>
      </c>
      <c r="AI197" s="224">
        <f t="shared" si="68"/>
        <v>1.2482638360636531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10">
        <f>'2022'!Wh/'2022'!Env_an*'2023'!Env_an</f>
        <v>41.721920717413099</v>
      </c>
      <c r="C198" s="843"/>
      <c r="D198" s="392">
        <f t="shared" si="50"/>
        <v>43.40248818909361</v>
      </c>
      <c r="E198" s="384">
        <f t="shared" si="75"/>
        <v>46.423400895787104</v>
      </c>
      <c r="F198" s="384">
        <f t="shared" si="51"/>
        <v>46.449701913948992</v>
      </c>
      <c r="G198" s="110">
        <f t="shared" si="76"/>
        <v>0.79381321192577192</v>
      </c>
      <c r="H198" s="413" t="b">
        <f>Wh_hp&gt;='2022'!Maxi_hp</f>
        <v>0</v>
      </c>
      <c r="I198" s="389">
        <f>IF(H198,Wh_hp,'2022'!Maxi_hp)</f>
        <v>50.483737643611768</v>
      </c>
      <c r="J198" s="85">
        <f>IF(H198,An,'2022'!An_max)</f>
        <v>2019</v>
      </c>
      <c r="K198" s="196">
        <f t="shared" si="52"/>
        <v>45110</v>
      </c>
      <c r="L198" s="147">
        <f>IF(t&lt;Tvie,1-EXP((T0-t)*PertePVj)+'2022'!Pspv,1-EXP((T0-t)*PertePVj)+Pspv)</f>
        <v>3.8720532895687977E-2</v>
      </c>
      <c r="M198" s="847"/>
      <c r="N198" s="847"/>
      <c r="O198" s="48">
        <f>IF(t&lt;Tnet,'2022'!Resal+('2022'!Salim-'2022'!Resal)*(1-EXP(('2022'!Tnet-t)/('2022'!Tau_j))),Resal+(Salim-Resal)*(1-EXP((Tnet-t)/(Tau_j))))*Salcycl</f>
        <v>6.5073059026307514E-2</v>
      </c>
      <c r="P198" s="168">
        <f>(INDEX(Models!$BJ198:$BT198,,T198)*(1-R198)+INDEX(Models!$BJ198:$BT198,,T198+1)*R198-ERP_i)*Q198*Ramure*Pc/MaxiM</f>
        <v>8.0234291457246761E-4</v>
      </c>
      <c r="Q198" s="304">
        <f t="shared" si="53"/>
        <v>0.5</v>
      </c>
      <c r="R198" s="176">
        <f t="shared" si="54"/>
        <v>0.25077515152403085</v>
      </c>
      <c r="S198" s="814">
        <f t="shared" si="55"/>
        <v>1</v>
      </c>
      <c r="T198" s="175">
        <f t="shared" si="56"/>
        <v>7</v>
      </c>
      <c r="U198" s="250">
        <f t="shared" si="57"/>
        <v>1.2507751515240308</v>
      </c>
      <c r="V198" s="382">
        <f t="shared" si="58"/>
        <v>52.546447008828906</v>
      </c>
      <c r="W198" s="401">
        <f t="shared" si="59"/>
        <v>41.721920717413099</v>
      </c>
      <c r="X198" s="157">
        <f t="shared" si="60"/>
        <v>45110</v>
      </c>
      <c r="Y198" s="384">
        <f t="shared" si="61"/>
        <v>40.890364001239163</v>
      </c>
      <c r="Z198" s="384">
        <f t="shared" si="62"/>
        <v>42.537436198875973</v>
      </c>
      <c r="AA198" s="385">
        <f t="shared" si="63"/>
        <v>46.423400895787104</v>
      </c>
      <c r="AB198" s="196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8.3707023223793503E-2</v>
      </c>
      <c r="AD198" s="230">
        <f>(INDEX(Models!$BJ198:$BT198,,AH198)*(1-AF198)+INDEX(Models!$BJ198:$BT198,,AH198+1)*AF198-ERP_i)*AE198*Ramure*Pc/MaxiM</f>
        <v>8.0234291457246761E-4</v>
      </c>
      <c r="AE198" s="304">
        <f t="shared" si="65"/>
        <v>0.5</v>
      </c>
      <c r="AF198" s="176">
        <f t="shared" si="66"/>
        <v>0.25077515152403085</v>
      </c>
      <c r="AG198" s="814">
        <f t="shared" si="74"/>
        <v>1</v>
      </c>
      <c r="AH198" s="175">
        <f t="shared" si="67"/>
        <v>7</v>
      </c>
      <c r="AI198" s="224">
        <f t="shared" si="68"/>
        <v>1.2507751515240308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10">
        <f>'2022'!Wh/'2022'!Env_an*'2023'!Env_an</f>
        <v>42.746948225775583</v>
      </c>
      <c r="C199" s="843"/>
      <c r="D199" s="392">
        <f t="shared" si="50"/>
        <v>44.469776800807267</v>
      </c>
      <c r="E199" s="384">
        <f t="shared" si="75"/>
        <v>47.567803693817474</v>
      </c>
      <c r="F199" s="384">
        <f t="shared" si="51"/>
        <v>47.595741545239861</v>
      </c>
      <c r="G199" s="110">
        <f t="shared" si="76"/>
        <v>0.81441031736263314</v>
      </c>
      <c r="H199" s="413" t="b">
        <f>Wh_hp&gt;='2022'!Maxi_hp</f>
        <v>0</v>
      </c>
      <c r="I199" s="389">
        <f>IF(H199,Wh_hp,'2022'!Maxi_hp)</f>
        <v>48.796596745729502</v>
      </c>
      <c r="J199" s="85">
        <f>IF(H199,An,'2022'!An_max)</f>
        <v>2020</v>
      </c>
      <c r="K199" s="196">
        <f t="shared" si="52"/>
        <v>45111</v>
      </c>
      <c r="L199" s="147">
        <f>IF(t&lt;Tvie,1-EXP((T0-t)*PertePVj)+'2022'!Pspv,1-EXP((T0-t)*PertePVj)+Pspv)</f>
        <v>3.8741561099996581E-2</v>
      </c>
      <c r="M199" s="847"/>
      <c r="N199" s="847"/>
      <c r="O199" s="48">
        <f>IF(t&lt;Tnet,'2022'!Resal+('2022'!Salim-'2022'!Resal)*(1-EXP(('2022'!Tnet-t)/('2022'!Tau_j))),Resal+(Salim-Resal)*(1-EXP((Tnet-t)/(Tau_j))))*Salcycl</f>
        <v>6.5128651155547612E-2</v>
      </c>
      <c r="P199" s="168">
        <f>(INDEX(Models!$BJ199:$BT199,,T199)*(1-R199)+INDEX(Models!$BJ199:$BT199,,T199+1)*R199-ERP_i)*Q199*Ramure*Pc/MaxiM</f>
        <v>7.984868327517167E-4</v>
      </c>
      <c r="Q199" s="304">
        <f t="shared" si="53"/>
        <v>0.5</v>
      </c>
      <c r="R199" s="176">
        <f t="shared" si="54"/>
        <v>0.25324143965840507</v>
      </c>
      <c r="S199" s="814">
        <f t="shared" si="55"/>
        <v>1</v>
      </c>
      <c r="T199" s="175">
        <f t="shared" si="56"/>
        <v>7</v>
      </c>
      <c r="U199" s="250">
        <f t="shared" si="57"/>
        <v>1.2532414396584051</v>
      </c>
      <c r="V199" s="382">
        <f t="shared" si="58"/>
        <v>52.47711236637091</v>
      </c>
      <c r="W199" s="401">
        <f t="shared" si="59"/>
        <v>42.746948225775583</v>
      </c>
      <c r="X199" s="157">
        <f t="shared" si="60"/>
        <v>45111</v>
      </c>
      <c r="Y199" s="384">
        <f t="shared" si="61"/>
        <v>41.895628333614262</v>
      </c>
      <c r="Z199" s="384">
        <f t="shared" si="62"/>
        <v>43.584146196476233</v>
      </c>
      <c r="AA199" s="385">
        <f t="shared" si="63"/>
        <v>47.567803693817474</v>
      </c>
      <c r="AB199" s="196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8.3746929393315808E-2</v>
      </c>
      <c r="AD199" s="230">
        <f>(INDEX(Models!$BJ199:$BT199,,AH199)*(1-AF199)+INDEX(Models!$BJ199:$BT199,,AH199+1)*AF199-ERP_i)*AE199*Ramure*Pc/MaxiM</f>
        <v>7.984868327517167E-4</v>
      </c>
      <c r="AE199" s="304">
        <f t="shared" si="65"/>
        <v>0.5</v>
      </c>
      <c r="AF199" s="176">
        <f t="shared" si="66"/>
        <v>0.25324143965840507</v>
      </c>
      <c r="AG199" s="814">
        <f t="shared" si="74"/>
        <v>1</v>
      </c>
      <c r="AH199" s="175">
        <f t="shared" si="67"/>
        <v>7</v>
      </c>
      <c r="AI199" s="224">
        <f t="shared" si="68"/>
        <v>1.2532414396584051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10">
        <f>'2022'!Wh/'2022'!Env_an*'2023'!Env_an</f>
        <v>50.262286441664834</v>
      </c>
      <c r="C200" s="843"/>
      <c r="D200" s="392">
        <f t="shared" si="50"/>
        <v>52.289149234427576</v>
      </c>
      <c r="E200" s="384">
        <f t="shared" si="75"/>
        <v>55.935189092608738</v>
      </c>
      <c r="F200" s="384">
        <f t="shared" si="51"/>
        <v>55.977033429525129</v>
      </c>
      <c r="G200" s="110">
        <f t="shared" si="76"/>
        <v>0.95902411618844419</v>
      </c>
      <c r="H200" s="413" t="b">
        <f>Wh_hp&gt;='2022'!Maxi_hp</f>
        <v>0</v>
      </c>
      <c r="I200" s="389">
        <f>IF(H200,Wh_hp,'2022'!Maxi_hp)</f>
        <v>57.87508432107736</v>
      </c>
      <c r="J200" s="85">
        <f>IF(H200,An,'2022'!An_max)</f>
        <v>2021</v>
      </c>
      <c r="K200" s="196">
        <f t="shared" si="52"/>
        <v>45112</v>
      </c>
      <c r="L200" s="147">
        <f>IF(t&lt;Tvie,1-EXP((T0-t)*PertePVj)+'2022'!Pspv,1-EXP((T0-t)*PertePVj)+Pspv)</f>
        <v>3.8762588843733493E-2</v>
      </c>
      <c r="M200" s="847"/>
      <c r="N200" s="847"/>
      <c r="O200" s="48">
        <f>IF(t&lt;Tnet,'2022'!Resal+('2022'!Salim-'2022'!Resal)*(1-EXP(('2022'!Tnet-t)/('2022'!Tau_j))),Resal+(Salim-Resal)*(1-EXP((Tnet-t)/(Tau_j))))*Salcycl</f>
        <v>6.5183293689141178E-2</v>
      </c>
      <c r="P200" s="168">
        <f>(INDEX(Models!$BJ200:$BT200,,T200)*(1-R200)+INDEX(Models!$BJ200:$BT200,,T200+1)*R200-ERP_i)*Q200*Ramure*Pc/MaxiM</f>
        <v>7.9395188012465197E-4</v>
      </c>
      <c r="Q200" s="304">
        <f t="shared" si="53"/>
        <v>0.5</v>
      </c>
      <c r="R200" s="176">
        <f t="shared" si="54"/>
        <v>0.2556618746743895</v>
      </c>
      <c r="S200" s="814">
        <f t="shared" si="55"/>
        <v>1</v>
      </c>
      <c r="T200" s="175">
        <f t="shared" si="56"/>
        <v>7</v>
      </c>
      <c r="U200" s="250">
        <f t="shared" si="57"/>
        <v>1.2556618746743895</v>
      </c>
      <c r="V200" s="382">
        <f t="shared" si="58"/>
        <v>52.407390409481224</v>
      </c>
      <c r="W200" s="401">
        <f t="shared" si="59"/>
        <v>50.262286441664834</v>
      </c>
      <c r="X200" s="157">
        <f t="shared" si="60"/>
        <v>45112</v>
      </c>
      <c r="Y200" s="384">
        <f t="shared" si="61"/>
        <v>49.262094431674413</v>
      </c>
      <c r="Z200" s="384">
        <f t="shared" si="62"/>
        <v>51.248623763423176</v>
      </c>
      <c r="AA200" s="385">
        <f t="shared" si="63"/>
        <v>55.935189092608738</v>
      </c>
      <c r="AB200" s="196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8.3785634860843644E-2</v>
      </c>
      <c r="AD200" s="230">
        <f>(INDEX(Models!$BJ200:$BT200,,AH200)*(1-AF200)+INDEX(Models!$BJ200:$BT200,,AH200+1)*AF200-ERP_i)*AE200*Ramure*Pc/MaxiM</f>
        <v>7.9395188012465197E-4</v>
      </c>
      <c r="AE200" s="304">
        <f t="shared" si="65"/>
        <v>0.5</v>
      </c>
      <c r="AF200" s="176">
        <f t="shared" si="66"/>
        <v>0.2556618746743895</v>
      </c>
      <c r="AG200" s="814">
        <f t="shared" si="74"/>
        <v>1</v>
      </c>
      <c r="AH200" s="175">
        <f t="shared" si="67"/>
        <v>7</v>
      </c>
      <c r="AI200" s="224">
        <f t="shared" si="68"/>
        <v>1.2556618746743895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10">
        <f>'2022'!Wh/'2022'!Env_an*'2023'!Env_an</f>
        <v>38.74250874902949</v>
      </c>
      <c r="C201" s="843"/>
      <c r="D201" s="392">
        <f t="shared" si="50"/>
        <v>40.305709930704467</v>
      </c>
      <c r="E201" s="384">
        <f t="shared" si="75"/>
        <v>43.118641278941929</v>
      </c>
      <c r="F201" s="384">
        <f t="shared" si="51"/>
        <v>43.140041037718923</v>
      </c>
      <c r="G201" s="110">
        <f t="shared" si="76"/>
        <v>0.74002875590808503</v>
      </c>
      <c r="H201" s="413" t="b">
        <f>Wh_hp&gt;='2022'!Maxi_hp</f>
        <v>0</v>
      </c>
      <c r="I201" s="389">
        <f>IF(H201,Wh_hp,'2022'!Maxi_hp)</f>
        <v>56.501784231476087</v>
      </c>
      <c r="J201" s="85">
        <f>IF(H201,An,'2022'!An_max)</f>
        <v>2020</v>
      </c>
      <c r="K201" s="196">
        <f t="shared" si="52"/>
        <v>45113</v>
      </c>
      <c r="L201" s="147">
        <f>IF(t&lt;Tvie,1-EXP((T0-t)*PertePVj)+'2022'!Pspv,1-EXP((T0-t)*PertePVj)+Pspv)</f>
        <v>3.8783616126908817E-2</v>
      </c>
      <c r="M201" s="847"/>
      <c r="N201" s="847"/>
      <c r="O201" s="48">
        <f>IF(t&lt;Tnet,'2022'!Resal+('2022'!Salim-'2022'!Resal)*(1-EXP(('2022'!Tnet-t)/('2022'!Tau_j))),Resal+(Salim-Resal)*(1-EXP((Tnet-t)/(Tau_j))))*Salcycl</f>
        <v>6.5237012688784041E-2</v>
      </c>
      <c r="P201" s="168">
        <f>(INDEX(Models!$BJ201:$BT201,,T201)*(1-R201)+INDEX(Models!$BJ201:$BT201,,T201+1)*R201-ERP_i)*Q201*Ramure*Pc/MaxiM</f>
        <v>7.8873555504950261E-4</v>
      </c>
      <c r="Q201" s="304">
        <f t="shared" si="53"/>
        <v>0.5</v>
      </c>
      <c r="R201" s="176">
        <f t="shared" si="54"/>
        <v>0.25803573715106509</v>
      </c>
      <c r="S201" s="814">
        <f t="shared" si="55"/>
        <v>1</v>
      </c>
      <c r="T201" s="175">
        <f t="shared" si="56"/>
        <v>7</v>
      </c>
      <c r="U201" s="250">
        <f t="shared" si="57"/>
        <v>1.2580357371510651</v>
      </c>
      <c r="V201" s="382">
        <f t="shared" si="58"/>
        <v>52.337376847158133</v>
      </c>
      <c r="W201" s="401">
        <f t="shared" si="59"/>
        <v>38.74250874902949</v>
      </c>
      <c r="X201" s="157">
        <f t="shared" si="60"/>
        <v>45113</v>
      </c>
      <c r="Y201" s="384">
        <f t="shared" si="61"/>
        <v>37.972180287253714</v>
      </c>
      <c r="Z201" s="384">
        <f t="shared" si="62"/>
        <v>39.504299889531595</v>
      </c>
      <c r="AA201" s="385">
        <f t="shared" si="63"/>
        <v>43.118641278941929</v>
      </c>
      <c r="AB201" s="196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8.3823174436980508E-2</v>
      </c>
      <c r="AD201" s="230">
        <f>(INDEX(Models!$BJ201:$BT201,,AH201)*(1-AF201)+INDEX(Models!$BJ201:$BT201,,AH201+1)*AF201-ERP_i)*AE201*Ramure*Pc/MaxiM</f>
        <v>7.8873555504950261E-4</v>
      </c>
      <c r="AE201" s="304">
        <f t="shared" si="65"/>
        <v>0.5</v>
      </c>
      <c r="AF201" s="176">
        <f t="shared" si="66"/>
        <v>0.25803573715106509</v>
      </c>
      <c r="AG201" s="814">
        <f t="shared" si="74"/>
        <v>1</v>
      </c>
      <c r="AH201" s="175">
        <f t="shared" si="67"/>
        <v>7</v>
      </c>
      <c r="AI201" s="224">
        <f t="shared" si="68"/>
        <v>1.2580357371510651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10">
        <f>'2022'!Wh/'2022'!Env_an*'2023'!Env_an</f>
        <v>47.677738716496457</v>
      </c>
      <c r="C202" s="843"/>
      <c r="D202" s="392">
        <f t="shared" si="50"/>
        <v>49.602547876220292</v>
      </c>
      <c r="E202" s="384">
        <f t="shared" si="75"/>
        <v>53.067303395701501</v>
      </c>
      <c r="F202" s="384">
        <f t="shared" si="51"/>
        <v>53.103660177517931</v>
      </c>
      <c r="G202" s="110">
        <f t="shared" si="76"/>
        <v>0.91210326024603749</v>
      </c>
      <c r="H202" s="413" t="b">
        <f>Wh_hp&gt;='2022'!Maxi_hp</f>
        <v>0</v>
      </c>
      <c r="I202" s="389">
        <f>IF(H202,Wh_hp,'2022'!Maxi_hp)</f>
        <v>53.104663915061565</v>
      </c>
      <c r="J202" s="85">
        <f>IF(H202,An,'2022'!An_max)</f>
        <v>2022</v>
      </c>
      <c r="K202" s="196">
        <f t="shared" si="52"/>
        <v>45114</v>
      </c>
      <c r="L202" s="147">
        <f>IF(t&lt;Tvie,1-EXP((T0-t)*PertePVj)+'2022'!Pspv,1-EXP((T0-t)*PertePVj)+Pspv)</f>
        <v>3.8804642949532765E-2</v>
      </c>
      <c r="M202" s="847"/>
      <c r="N202" s="847"/>
      <c r="O202" s="48">
        <f>IF(t&lt;Tnet,'2022'!Resal+('2022'!Salim-'2022'!Resal)*(1-EXP(('2022'!Tnet-t)/('2022'!Tau_j))),Resal+(Salim-Resal)*(1-EXP((Tnet-t)/(Tau_j))))*Salcycl</f>
        <v>6.5289835694983867E-2</v>
      </c>
      <c r="P202" s="168">
        <f>(INDEX(Models!$BJ202:$BT202,,T202)*(1-R202)+INDEX(Models!$BJ202:$BT202,,T202+1)*R202-ERP_i)*Q202*Ramure*Pc/MaxiM</f>
        <v>7.8283589618424125E-4</v>
      </c>
      <c r="Q202" s="304">
        <f t="shared" si="53"/>
        <v>0.5</v>
      </c>
      <c r="R202" s="176">
        <f t="shared" si="54"/>
        <v>0.26036241218008893</v>
      </c>
      <c r="S202" s="814">
        <f t="shared" si="55"/>
        <v>1</v>
      </c>
      <c r="T202" s="175">
        <f t="shared" si="56"/>
        <v>7</v>
      </c>
      <c r="U202" s="250">
        <f t="shared" si="57"/>
        <v>1.2603624121800889</v>
      </c>
      <c r="V202" s="382">
        <f t="shared" si="58"/>
        <v>52.267167251150923</v>
      </c>
      <c r="W202" s="401">
        <f t="shared" si="59"/>
        <v>47.677738716496457</v>
      </c>
      <c r="X202" s="157">
        <f t="shared" si="60"/>
        <v>45114</v>
      </c>
      <c r="Y202" s="384">
        <f t="shared" si="61"/>
        <v>46.730532107973687</v>
      </c>
      <c r="Z202" s="384">
        <f t="shared" si="62"/>
        <v>48.617101367792102</v>
      </c>
      <c r="AA202" s="385">
        <f t="shared" si="63"/>
        <v>53.067303395701501</v>
      </c>
      <c r="AB202" s="196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8.3859584775319004E-2</v>
      </c>
      <c r="AD202" s="230">
        <f>(INDEX(Models!$BJ202:$BT202,,AH202)*(1-AF202)+INDEX(Models!$BJ202:$BT202,,AH202+1)*AF202-ERP_i)*AE202*Ramure*Pc/MaxiM</f>
        <v>7.8283589618424125E-4</v>
      </c>
      <c r="AE202" s="304">
        <f t="shared" si="65"/>
        <v>0.5</v>
      </c>
      <c r="AF202" s="176">
        <f t="shared" si="66"/>
        <v>0.26036241218008893</v>
      </c>
      <c r="AG202" s="814">
        <f t="shared" si="74"/>
        <v>1</v>
      </c>
      <c r="AH202" s="175">
        <f t="shared" si="67"/>
        <v>7</v>
      </c>
      <c r="AI202" s="224">
        <f t="shared" si="68"/>
        <v>1.2603624121800889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10">
        <f>'2022'!Wh/'2022'!Env_an*'2023'!Env_an</f>
        <v>51.956559495831158</v>
      </c>
      <c r="C203" s="843"/>
      <c r="D203" s="392">
        <f t="shared" si="50"/>
        <v>54.055292403221301</v>
      </c>
      <c r="E203" s="384">
        <f t="shared" si="75"/>
        <v>57.834288420736009</v>
      </c>
      <c r="F203" s="384">
        <f t="shared" si="51"/>
        <v>57.878921536104023</v>
      </c>
      <c r="G203" s="110">
        <f t="shared" si="76"/>
        <v>0.99539123539973628</v>
      </c>
      <c r="H203" s="413" t="b">
        <f>Wh_hp&gt;='2022'!Maxi_hp</f>
        <v>0</v>
      </c>
      <c r="I203" s="389">
        <f>IF(H203,Wh_hp,'2022'!Maxi_hp)</f>
        <v>58.837681305863043</v>
      </c>
      <c r="J203" s="85">
        <f>IF(H203,An,'2022'!An_max)</f>
        <v>2020</v>
      </c>
      <c r="K203" s="196">
        <f t="shared" si="52"/>
        <v>45115</v>
      </c>
      <c r="L203" s="147">
        <f>IF(t&lt;Tvie,1-EXP((T0-t)*PertePVj)+'2022'!Pspv,1-EXP((T0-t)*PertePVj)+Pspv)</f>
        <v>3.8825669311615331E-2</v>
      </c>
      <c r="M203" s="847"/>
      <c r="N203" s="847"/>
      <c r="O203" s="48">
        <f>IF(t&lt;Tnet,'2022'!Resal+('2022'!Salim-'2022'!Resal)*(1-EXP(('2022'!Tnet-t)/('2022'!Tau_j))),Resal+(Salim-Resal)*(1-EXP((Tnet-t)/(Tau_j))))*Salcycl</f>
        <v>6.5341791534168511E-2</v>
      </c>
      <c r="P203" s="168">
        <f>(INDEX(Models!$BJ203:$BT203,,T203)*(1-R203)+INDEX(Models!$BJ203:$BT203,,T203+1)*R203-ERP_i)*Q203*Ramure*Pc/MaxiM</f>
        <v>7.7625144650107281E-4</v>
      </c>
      <c r="Q203" s="304">
        <f t="shared" si="53"/>
        <v>0.5</v>
      </c>
      <c r="R203" s="176">
        <f t="shared" si="54"/>
        <v>0.26264138711945018</v>
      </c>
      <c r="S203" s="814">
        <f t="shared" si="55"/>
        <v>1</v>
      </c>
      <c r="T203" s="175">
        <f t="shared" si="56"/>
        <v>7</v>
      </c>
      <c r="U203" s="250">
        <f t="shared" si="57"/>
        <v>1.2626413871194502</v>
      </c>
      <c r="V203" s="382">
        <f t="shared" si="58"/>
        <v>52.19685707165997</v>
      </c>
      <c r="W203" s="401">
        <f t="shared" si="59"/>
        <v>51.956559495831158</v>
      </c>
      <c r="X203" s="157">
        <f t="shared" si="60"/>
        <v>45115</v>
      </c>
      <c r="Y203" s="384">
        <f t="shared" si="61"/>
        <v>50.925213609979011</v>
      </c>
      <c r="Z203" s="384">
        <f t="shared" si="62"/>
        <v>52.982286338740252</v>
      </c>
      <c r="AA203" s="385">
        <f t="shared" si="63"/>
        <v>57.834288420736009</v>
      </c>
      <c r="AB203" s="196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8.3894904121550692E-2</v>
      </c>
      <c r="AD203" s="230">
        <f>(INDEX(Models!$BJ203:$BT203,,AH203)*(1-AF203)+INDEX(Models!$BJ203:$BT203,,AH203+1)*AF203-ERP_i)*AE203*Ramure*Pc/MaxiM</f>
        <v>7.7625144650107281E-4</v>
      </c>
      <c r="AE203" s="304">
        <f t="shared" si="65"/>
        <v>0.5</v>
      </c>
      <c r="AF203" s="176">
        <f t="shared" si="66"/>
        <v>0.26264138711945018</v>
      </c>
      <c r="AG203" s="814">
        <f t="shared" si="74"/>
        <v>1</v>
      </c>
      <c r="AH203" s="175">
        <f t="shared" si="67"/>
        <v>7</v>
      </c>
      <c r="AI203" s="224">
        <f t="shared" si="68"/>
        <v>1.2626413871194502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10">
        <f>'2022'!Wh/'2022'!Env_an*'2023'!Env_an</f>
        <v>51.172645552720901</v>
      </c>
      <c r="C204" s="843"/>
      <c r="D204" s="392">
        <f t="shared" si="50"/>
        <v>53.240877701679523</v>
      </c>
      <c r="E204" s="384">
        <f t="shared" si="75"/>
        <v>56.966053733513043</v>
      </c>
      <c r="F204" s="384">
        <f t="shared" si="51"/>
        <v>57.008746344458686</v>
      </c>
      <c r="G204" s="110">
        <f t="shared" si="76"/>
        <v>0.98168062639817377</v>
      </c>
      <c r="H204" s="413" t="b">
        <f>Wh_hp&gt;='2022'!Maxi_hp</f>
        <v>0</v>
      </c>
      <c r="I204" s="389">
        <f>IF(H204,Wh_hp,'2022'!Maxi_hp)</f>
        <v>58.42671028153908</v>
      </c>
      <c r="J204" s="85">
        <f>IF(H204,An,'2022'!An_max)</f>
        <v>2021</v>
      </c>
      <c r="K204" s="196">
        <f t="shared" si="52"/>
        <v>45116</v>
      </c>
      <c r="L204" s="147">
        <f>IF(t&lt;Tvie,1-EXP((T0-t)*PertePVj)+'2022'!Pspv,1-EXP((T0-t)*PertePVj)+Pspv)</f>
        <v>3.8846695213166617E-2</v>
      </c>
      <c r="M204" s="847"/>
      <c r="N204" s="847"/>
      <c r="O204" s="48">
        <f>IF(t&lt;Tnet,'2022'!Resal+('2022'!Salim-'2022'!Resal)*(1-EXP(('2022'!Tnet-t)/('2022'!Tau_j))),Resal+(Salim-Resal)*(1-EXP((Tnet-t)/(Tau_j))))*Salcycl</f>
        <v>6.5392910122577211E-2</v>
      </c>
      <c r="P204" s="168">
        <f>(INDEX(Models!$BJ204:$BT204,,T204)*(1-R204)+INDEX(Models!$BJ204:$BT204,,T204+1)*R204-ERP_i)*Q204*Ramure*Pc/MaxiM</f>
        <v>7.6898121585793598E-4</v>
      </c>
      <c r="Q204" s="304">
        <f t="shared" si="53"/>
        <v>0.5</v>
      </c>
      <c r="R204" s="176">
        <f t="shared" si="54"/>
        <v>0.2648722489947215</v>
      </c>
      <c r="S204" s="814">
        <f t="shared" si="55"/>
        <v>1</v>
      </c>
      <c r="T204" s="175">
        <f t="shared" si="56"/>
        <v>7</v>
      </c>
      <c r="U204" s="250">
        <f t="shared" si="57"/>
        <v>1.2648722489947215</v>
      </c>
      <c r="V204" s="382">
        <f t="shared" si="58"/>
        <v>52.126541651568246</v>
      </c>
      <c r="W204" s="401">
        <f t="shared" si="59"/>
        <v>51.172645552720901</v>
      </c>
      <c r="X204" s="157">
        <f t="shared" si="60"/>
        <v>45116</v>
      </c>
      <c r="Y204" s="384">
        <f t="shared" si="61"/>
        <v>50.157727548973853</v>
      </c>
      <c r="Z204" s="384">
        <f t="shared" si="62"/>
        <v>52.184940008189372</v>
      </c>
      <c r="AA204" s="385">
        <f t="shared" si="63"/>
        <v>56.966053733513043</v>
      </c>
      <c r="AB204" s="196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8.3929172059024865E-2</v>
      </c>
      <c r="AD204" s="230">
        <f>(INDEX(Models!$BJ204:$BT204,,AH204)*(1-AF204)+INDEX(Models!$BJ204:$BT204,,AH204+1)*AF204-ERP_i)*AE204*Ramure*Pc/MaxiM</f>
        <v>7.6898121585793598E-4</v>
      </c>
      <c r="AE204" s="304">
        <f t="shared" si="65"/>
        <v>0.5</v>
      </c>
      <c r="AF204" s="176">
        <f t="shared" si="66"/>
        <v>0.2648722489947215</v>
      </c>
      <c r="AG204" s="814">
        <f t="shared" si="74"/>
        <v>1</v>
      </c>
      <c r="AH204" s="175">
        <f t="shared" si="67"/>
        <v>7</v>
      </c>
      <c r="AI204" s="224">
        <f t="shared" si="68"/>
        <v>1.2648722489947215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10">
        <f>'2022'!Wh/'2022'!Env_an*'2023'!Env_an</f>
        <v>50.97645361332215</v>
      </c>
      <c r="C205" s="843"/>
      <c r="D205" s="392">
        <f t="shared" si="50"/>
        <v>53.037916537377534</v>
      </c>
      <c r="E205" s="384">
        <f t="shared" si="75"/>
        <v>56.751946806392532</v>
      </c>
      <c r="F205" s="384">
        <f t="shared" si="51"/>
        <v>56.793887985861339</v>
      </c>
      <c r="G205" s="110">
        <f t="shared" si="76"/>
        <v>0.97923835740555876</v>
      </c>
      <c r="H205" s="413" t="b">
        <f>Wh_hp&gt;='2022'!Maxi_hp</f>
        <v>0</v>
      </c>
      <c r="I205" s="389">
        <f>IF(H205,Wh_hp,'2022'!Maxi_hp)</f>
        <v>57.577022545392943</v>
      </c>
      <c r="J205" s="85">
        <f>IF(H205,An,'2022'!An_max)</f>
        <v>2019</v>
      </c>
      <c r="K205" s="196">
        <f t="shared" si="52"/>
        <v>45117</v>
      </c>
      <c r="L205" s="147">
        <f>IF(t&lt;Tvie,1-EXP((T0-t)*PertePVj)+'2022'!Pspv,1-EXP((T0-t)*PertePVj)+Pspv)</f>
        <v>3.8867720654196615E-2</v>
      </c>
      <c r="M205" s="847"/>
      <c r="N205" s="847"/>
      <c r="O205" s="48">
        <f>IF(t&lt;Tnet,'2022'!Resal+('2022'!Salim-'2022'!Resal)*(1-EXP(('2022'!Tnet-t)/('2022'!Tau_j))),Resal+(Salim-Resal)*(1-EXP((Tnet-t)/(Tau_j))))*Salcycl</f>
        <v>6.5443222268397133E-2</v>
      </c>
      <c r="P205" s="168">
        <f>(INDEX(Models!$BJ205:$BT205,,T205)*(1-R205)+INDEX(Models!$BJ205:$BT205,,T205+1)*R205-ERP_i)*Q205*Ramure*Pc/MaxiM</f>
        <v>7.6102819677939244E-4</v>
      </c>
      <c r="Q205" s="304">
        <f t="shared" si="53"/>
        <v>0.5</v>
      </c>
      <c r="R205" s="176">
        <f t="shared" si="54"/>
        <v>0.26705468158341872</v>
      </c>
      <c r="S205" s="814">
        <f t="shared" si="55"/>
        <v>1</v>
      </c>
      <c r="T205" s="175">
        <f t="shared" si="56"/>
        <v>7</v>
      </c>
      <c r="U205" s="250">
        <f t="shared" si="57"/>
        <v>1.2670546815834187</v>
      </c>
      <c r="V205" s="382">
        <f t="shared" si="58"/>
        <v>52.056072944206647</v>
      </c>
      <c r="W205" s="401">
        <f t="shared" si="59"/>
        <v>50.97645361332215</v>
      </c>
      <c r="X205" s="157">
        <f t="shared" si="60"/>
        <v>45117</v>
      </c>
      <c r="Y205" s="384">
        <f t="shared" si="61"/>
        <v>49.966302578861608</v>
      </c>
      <c r="Z205" s="384">
        <f t="shared" si="62"/>
        <v>51.9869154877113</v>
      </c>
      <c r="AA205" s="385">
        <f t="shared" si="63"/>
        <v>56.751946806392532</v>
      </c>
      <c r="AB205" s="196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8.3962429252638471E-2</v>
      </c>
      <c r="AD205" s="230">
        <f>(INDEX(Models!$BJ205:$BT205,,AH205)*(1-AF205)+INDEX(Models!$BJ205:$BT205,,AH205+1)*AF205-ERP_i)*AE205*Ramure*Pc/MaxiM</f>
        <v>7.6102819677939244E-4</v>
      </c>
      <c r="AE205" s="304">
        <f t="shared" si="65"/>
        <v>0.5</v>
      </c>
      <c r="AF205" s="176">
        <f t="shared" si="66"/>
        <v>0.26705468158341872</v>
      </c>
      <c r="AG205" s="814">
        <f t="shared" si="74"/>
        <v>1</v>
      </c>
      <c r="AH205" s="175">
        <f t="shared" si="67"/>
        <v>7</v>
      </c>
      <c r="AI205" s="224">
        <f t="shared" si="68"/>
        <v>1.2670546815834187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10">
        <f>'2022'!Wh/'2022'!Env_an*'2023'!Env_an</f>
        <v>49.783813848454649</v>
      </c>
      <c r="C206" s="843"/>
      <c r="D206" s="392">
        <f t="shared" si="50"/>
        <v>51.798180098652324</v>
      </c>
      <c r="E206" s="384">
        <f t="shared" si="75"/>
        <v>55.428334690563929</v>
      </c>
      <c r="F206" s="384">
        <f t="shared" si="51"/>
        <v>55.467534078070706</v>
      </c>
      <c r="G206" s="110">
        <f t="shared" si="76"/>
        <v>0.95760911394870185</v>
      </c>
      <c r="H206" s="413" t="b">
        <f>Wh_hp&gt;='2022'!Maxi_hp</f>
        <v>0</v>
      </c>
      <c r="I206" s="389">
        <f>IF(H206,Wh_hp,'2022'!Maxi_hp)</f>
        <v>58.243264696264866</v>
      </c>
      <c r="J206" s="85">
        <f>IF(H206,An,'2022'!An_max)</f>
        <v>2019</v>
      </c>
      <c r="K206" s="196">
        <f t="shared" si="52"/>
        <v>45118</v>
      </c>
      <c r="L206" s="147">
        <f>IF(t&lt;Tvie,1-EXP((T0-t)*PertePVj)+'2022'!Pspv,1-EXP((T0-t)*PertePVj)+Pspv)</f>
        <v>3.8888745634715539E-2</v>
      </c>
      <c r="M206" s="847"/>
      <c r="N206" s="847"/>
      <c r="O206" s="48">
        <f>IF(t&lt;Tnet,'2022'!Resal+('2022'!Salim-'2022'!Resal)*(1-EXP(('2022'!Tnet-t)/('2022'!Tau_j))),Resal+(Salim-Resal)*(1-EXP((Tnet-t)/(Tau_j))))*Salcycl</f>
        <v>6.5492759473605416E-2</v>
      </c>
      <c r="P206" s="168">
        <f>(INDEX(Models!$BJ206:$BT206,,T206)*(1-R206)+INDEX(Models!$BJ206:$BT206,,T206+1)*R206-ERP_i)*Q206*Ramure*Pc/MaxiM</f>
        <v>7.5221473967489324E-4</v>
      </c>
      <c r="Q206" s="304">
        <f t="shared" si="53"/>
        <v>0.5</v>
      </c>
      <c r="R206" s="176">
        <f t="shared" si="54"/>
        <v>0.26918846221843729</v>
      </c>
      <c r="S206" s="814">
        <f t="shared" si="55"/>
        <v>1</v>
      </c>
      <c r="T206" s="175">
        <f t="shared" si="56"/>
        <v>7</v>
      </c>
      <c r="U206" s="250">
        <f t="shared" si="57"/>
        <v>1.2691884622184373</v>
      </c>
      <c r="V206" s="382">
        <f t="shared" si="58"/>
        <v>51.985247483250212</v>
      </c>
      <c r="W206" s="401">
        <f t="shared" si="59"/>
        <v>49.783813848454649</v>
      </c>
      <c r="X206" s="157">
        <f t="shared" si="60"/>
        <v>45118</v>
      </c>
      <c r="Y206" s="384">
        <f t="shared" si="61"/>
        <v>48.798162824058053</v>
      </c>
      <c r="Z206" s="384">
        <f t="shared" si="62"/>
        <v>50.772647393754895</v>
      </c>
      <c r="AA206" s="385">
        <f t="shared" si="63"/>
        <v>55.428334690563929</v>
      </c>
      <c r="AB206" s="196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8.3994717192930876E-2</v>
      </c>
      <c r="AD206" s="230">
        <f>(INDEX(Models!$BJ206:$BT206,,AH206)*(1-AF206)+INDEX(Models!$BJ206:$BT206,,AH206+1)*AF206-ERP_i)*AE206*Ramure*Pc/MaxiM</f>
        <v>7.5221473967489324E-4</v>
      </c>
      <c r="AE206" s="304">
        <f t="shared" si="65"/>
        <v>0.5</v>
      </c>
      <c r="AF206" s="176">
        <f t="shared" si="66"/>
        <v>0.26918846221843729</v>
      </c>
      <c r="AG206" s="814">
        <f t="shared" si="74"/>
        <v>1</v>
      </c>
      <c r="AH206" s="175">
        <f t="shared" si="67"/>
        <v>7</v>
      </c>
      <c r="AI206" s="224">
        <f t="shared" si="68"/>
        <v>1.2691884622184373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10">
        <f>'2022'!Wh/'2022'!Env_an*'2023'!Env_an</f>
        <v>49.399706539687486</v>
      </c>
      <c r="C207" s="843"/>
      <c r="D207" s="392">
        <f t="shared" ref="D207:D270" si="77">Wh/(1-Ppv)</f>
        <v>51.399655313987253</v>
      </c>
      <c r="E207" s="384">
        <f t="shared" si="75"/>
        <v>55.004752238623134</v>
      </c>
      <c r="F207" s="384">
        <f t="shared" ref="F207:F270" si="78">Wh_sa/(1-Pvg*MEDIAN((-Sdif+Wh/Env_an)/Csdif,0,1))</f>
        <v>55.042810579799244</v>
      </c>
      <c r="G207" s="110">
        <f t="shared" si="76"/>
        <v>0.95151827737223083</v>
      </c>
      <c r="H207" s="413" t="b">
        <f>Wh_hp&gt;='2022'!Maxi_hp</f>
        <v>0</v>
      </c>
      <c r="I207" s="389">
        <f>IF(H207,Wh_hp,'2022'!Maxi_hp)</f>
        <v>59.300969895752004</v>
      </c>
      <c r="J207" s="85">
        <f>IF(H207,An,'2022'!An_max)</f>
        <v>2019</v>
      </c>
      <c r="K207" s="196">
        <f t="shared" ref="K207:K270" si="79">t</f>
        <v>45119</v>
      </c>
      <c r="L207" s="147">
        <f>IF(t&lt;Tvie,1-EXP((T0-t)*PertePVj)+'2022'!Pspv,1-EXP((T0-t)*PertePVj)+Pspv)</f>
        <v>3.8909770154733382E-2</v>
      </c>
      <c r="M207" s="847"/>
      <c r="N207" s="847"/>
      <c r="O207" s="48">
        <f>IF(t&lt;Tnet,'2022'!Resal+('2022'!Salim-'2022'!Resal)*(1-EXP(('2022'!Tnet-t)/('2022'!Tau_j))),Resal+(Salim-Resal)*(1-EXP((Tnet-t)/(Tau_j))))*Salcycl</f>
        <v>6.554155373695976E-2</v>
      </c>
      <c r="P207" s="168">
        <f>(INDEX(Models!$BJ207:$BT207,,T207)*(1-R207)+INDEX(Models!$BJ207:$BT207,,T207+1)*R207-ERP_i)*Q207*Ramure*Pc/MaxiM</f>
        <v>7.4282766162323791E-4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0.27127345834646821</v>
      </c>
      <c r="S207" s="814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1.2712734583464682</v>
      </c>
      <c r="V207" s="382">
        <f t="shared" ref="V207:V270" si="85">MaxiM*(1-Ppv)*(1-Pvg)*(1-Psa)</f>
        <v>51.914048326369006</v>
      </c>
      <c r="W207" s="401">
        <f t="shared" ref="W207:W270" si="86">Wh*(A207&gt;Tmaj)</f>
        <v>49.399706539687486</v>
      </c>
      <c r="X207" s="157">
        <f t="shared" ref="X207:X270" si="87">t</f>
        <v>45119</v>
      </c>
      <c r="Y207" s="384">
        <f t="shared" ref="Y207:Y270" si="88">Wh_pvt_s*(1-Ppv)</f>
        <v>48.422530855827212</v>
      </c>
      <c r="Z207" s="384">
        <f t="shared" ref="Z207:Z270" si="89">Wh_sa_s*(1-Psa_s)</f>
        <v>50.382918639827537</v>
      </c>
      <c r="AA207" s="385">
        <f t="shared" ref="AA207:AA270" si="90">Wh_hp*(1-Pvg_s*MEDIAN((-Sdif+Wh/Env_an)/Csdif,0,1))</f>
        <v>55.004752238623134</v>
      </c>
      <c r="AB207" s="196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8.4026077942229951E-2</v>
      </c>
      <c r="AD207" s="230">
        <f>(INDEX(Models!$BJ207:$BT207,,AH207)*(1-AF207)+INDEX(Models!$BJ207:$BT207,,AH207+1)*AF207-ERP_i)*AE207*Ramure*Pc/MaxiM</f>
        <v>7.4282766162323791E-4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0.27127345834646821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1.2712734583464682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10">
        <f>'2022'!Wh/'2022'!Env_an*'2023'!Env_an</f>
        <v>49.405868372597553</v>
      </c>
      <c r="C208" s="843"/>
      <c r="D208" s="392">
        <f t="shared" si="77"/>
        <v>51.407191152488217</v>
      </c>
      <c r="E208" s="384">
        <f t="shared" si="75"/>
        <v>55.015647522596254</v>
      </c>
      <c r="F208" s="384">
        <f t="shared" si="78"/>
        <v>55.053285376907709</v>
      </c>
      <c r="G208" s="110">
        <f t="shared" si="76"/>
        <v>0.95295290503423724</v>
      </c>
      <c r="H208" s="413" t="b">
        <f>Wh_hp&gt;='2022'!Maxi_hp</f>
        <v>0</v>
      </c>
      <c r="I208" s="389">
        <f>IF(H208,Wh_hp,'2022'!Maxi_hp)</f>
        <v>55.053807149848517</v>
      </c>
      <c r="J208" s="85">
        <f>IF(H208,An,'2022'!An_max)</f>
        <v>2022</v>
      </c>
      <c r="K208" s="196">
        <f t="shared" si="79"/>
        <v>45120</v>
      </c>
      <c r="L208" s="147">
        <f>IF(t&lt;Tvie,1-EXP((T0-t)*PertePVj)+'2022'!Pspv,1-EXP((T0-t)*PertePVj)+Pspv)</f>
        <v>3.8930794214260357E-2</v>
      </c>
      <c r="M208" s="847"/>
      <c r="N208" s="847"/>
      <c r="O208" s="48">
        <f>IF(t&lt;Tnet,'2022'!Resal+('2022'!Salim-'2022'!Resal)*(1-EXP(('2022'!Tnet-t)/('2022'!Tau_j))),Resal+(Salim-Resal)*(1-EXP((Tnet-t)/(Tau_j))))*Salcycl</f>
        <v>6.5589637359552255E-2</v>
      </c>
      <c r="P208" s="168">
        <f>(INDEX(Models!$BJ208:$BT208,,T208)*(1-R208)+INDEX(Models!$BJ208:$BT208,,T208+1)*R208-ERP_i)*Q208*Ramure*Pc/MaxiM</f>
        <v>7.3286939631660598E-4</v>
      </c>
      <c r="Q208" s="304">
        <f t="shared" si="80"/>
        <v>0.5</v>
      </c>
      <c r="R208" s="176">
        <f t="shared" si="81"/>
        <v>0.27330962387687552</v>
      </c>
      <c r="S208" s="814">
        <f t="shared" si="82"/>
        <v>1</v>
      </c>
      <c r="T208" s="175">
        <f t="shared" si="83"/>
        <v>7</v>
      </c>
      <c r="U208" s="250">
        <f t="shared" si="84"/>
        <v>1.2733096238768755</v>
      </c>
      <c r="V208" s="382">
        <f t="shared" si="85"/>
        <v>51.842473356065177</v>
      </c>
      <c r="W208" s="401">
        <f t="shared" si="86"/>
        <v>49.405868372597553</v>
      </c>
      <c r="X208" s="157">
        <f t="shared" si="87"/>
        <v>45120</v>
      </c>
      <c r="Y208" s="384">
        <f t="shared" si="88"/>
        <v>48.429451496709383</v>
      </c>
      <c r="Z208" s="384">
        <f t="shared" si="89"/>
        <v>50.391221782114016</v>
      </c>
      <c r="AA208" s="385">
        <f t="shared" si="90"/>
        <v>55.015647522596254</v>
      </c>
      <c r="AB208" s="196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8.405655388465394E-2</v>
      </c>
      <c r="AD208" s="230">
        <f>(INDEX(Models!$BJ208:$BT208,,AH208)*(1-AF208)+INDEX(Models!$BJ208:$BT208,,AH208+1)*AF208-ERP_i)*AE208*Ramure*Pc/MaxiM</f>
        <v>7.3286939631660598E-4</v>
      </c>
      <c r="AE208" s="304">
        <f t="shared" si="92"/>
        <v>0.5</v>
      </c>
      <c r="AF208" s="176">
        <f t="shared" si="93"/>
        <v>0.27330962387687552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1.2733096238768755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10">
        <f>'2022'!Wh/'2022'!Env_an*'2023'!Env_an</f>
        <v>48.830944488350333</v>
      </c>
      <c r="C209" s="843"/>
      <c r="D209" s="392">
        <f t="shared" si="77"/>
        <v>50.810089851316548</v>
      </c>
      <c r="E209" s="384">
        <f t="shared" si="75"/>
        <v>54.379392352082981</v>
      </c>
      <c r="F209" s="384">
        <f t="shared" si="78"/>
        <v>54.415510607318879</v>
      </c>
      <c r="G209" s="110">
        <f t="shared" si="76"/>
        <v>0.94316381217195266</v>
      </c>
      <c r="H209" s="413" t="b">
        <f>Wh_hp&gt;='2022'!Maxi_hp</f>
        <v>0</v>
      </c>
      <c r="I209" s="389">
        <f>IF(H209,Wh_hp,'2022'!Maxi_hp)</f>
        <v>58.425013192463943</v>
      </c>
      <c r="J209" s="85">
        <f>IF(H209,An,'2022'!An_max)</f>
        <v>2019</v>
      </c>
      <c r="K209" s="196">
        <f t="shared" si="79"/>
        <v>45121</v>
      </c>
      <c r="L209" s="147">
        <f>IF(t&lt;Tvie,1-EXP((T0-t)*PertePVj)+'2022'!Pspv,1-EXP((T0-t)*PertePVj)+Pspv)</f>
        <v>3.8951817813306457E-2</v>
      </c>
      <c r="M209" s="847"/>
      <c r="N209" s="847"/>
      <c r="O209" s="48">
        <f>IF(t&lt;Tnet,'2022'!Resal+('2022'!Salim-'2022'!Resal)*(1-EXP(('2022'!Tnet-t)/('2022'!Tau_j))),Resal+(Salim-Resal)*(1-EXP((Tnet-t)/(Tau_j))))*Salcycl</f>
        <v>6.5637042754298311E-2</v>
      </c>
      <c r="P209" s="168">
        <f>(INDEX(Models!$BJ209:$BT209,,T209)*(1-R209)+INDEX(Models!$BJ209:$BT209,,T209+1)*R209-ERP_i)*Q209*Ramure*Pc/MaxiM</f>
        <v>7.2234247308422149E-4</v>
      </c>
      <c r="Q209" s="304">
        <f t="shared" si="80"/>
        <v>0.5</v>
      </c>
      <c r="R209" s="176">
        <f t="shared" si="81"/>
        <v>0.27529699535575536</v>
      </c>
      <c r="S209" s="814">
        <f t="shared" si="82"/>
        <v>1</v>
      </c>
      <c r="T209" s="175">
        <f t="shared" si="83"/>
        <v>7</v>
      </c>
      <c r="U209" s="250">
        <f t="shared" si="84"/>
        <v>1.2752969953557554</v>
      </c>
      <c r="V209" s="382">
        <f t="shared" si="85"/>
        <v>51.770520450651638</v>
      </c>
      <c r="W209" s="401">
        <f t="shared" si="86"/>
        <v>48.830944488350333</v>
      </c>
      <c r="X209" s="157">
        <f t="shared" si="87"/>
        <v>45121</v>
      </c>
      <c r="Y209" s="384">
        <f t="shared" si="88"/>
        <v>47.866769747629057</v>
      </c>
      <c r="Z209" s="384">
        <f t="shared" si="89"/>
        <v>49.806836571624089</v>
      </c>
      <c r="AA209" s="385">
        <f t="shared" si="90"/>
        <v>54.379392352082981</v>
      </c>
      <c r="AB209" s="196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8.4086187481713218E-2</v>
      </c>
      <c r="AD209" s="230">
        <f>(INDEX(Models!$BJ209:$BT209,,AH209)*(1-AF209)+INDEX(Models!$BJ209:$BT209,,AH209+1)*AF209-ERP_i)*AE209*Ramure*Pc/MaxiM</f>
        <v>7.2234247308422149E-4</v>
      </c>
      <c r="AE209" s="304">
        <f t="shared" si="92"/>
        <v>0.5</v>
      </c>
      <c r="AF209" s="176">
        <f t="shared" si="93"/>
        <v>0.27529699535575536</v>
      </c>
      <c r="AG209" s="814">
        <f t="shared" si="99"/>
        <v>1</v>
      </c>
      <c r="AH209" s="175">
        <f t="shared" si="94"/>
        <v>7</v>
      </c>
      <c r="AI209" s="224">
        <f t="shared" si="95"/>
        <v>1.2752969953557554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10">
        <f>'2022'!Wh/'2022'!Env_an*'2023'!Env_an</f>
        <v>47.321332221713924</v>
      </c>
      <c r="C210" s="843"/>
      <c r="D210" s="392">
        <f t="shared" si="77"/>
        <v>49.240369302970514</v>
      </c>
      <c r="E210" s="384">
        <f t="shared" si="75"/>
        <v>52.702039654362018</v>
      </c>
      <c r="F210" s="384">
        <f t="shared" si="78"/>
        <v>52.735011018941542</v>
      </c>
      <c r="G210" s="110">
        <f t="shared" si="76"/>
        <v>0.91525953382282055</v>
      </c>
      <c r="H210" s="413" t="b">
        <f>Wh_hp&gt;='2022'!Maxi_hp</f>
        <v>0</v>
      </c>
      <c r="I210" s="389">
        <f>IF(H210,Wh_hp,'2022'!Maxi_hp)</f>
        <v>59.682824722317406</v>
      </c>
      <c r="J210" s="85">
        <f>IF(H210,An,'2022'!An_max)</f>
        <v>2019</v>
      </c>
      <c r="K210" s="196">
        <f t="shared" si="79"/>
        <v>45122</v>
      </c>
      <c r="L210" s="147">
        <f>IF(t&lt;Tvie,1-EXP((T0-t)*PertePVj)+'2022'!Pspv,1-EXP((T0-t)*PertePVj)+Pspv)</f>
        <v>3.8972840951881783E-2</v>
      </c>
      <c r="M210" s="847"/>
      <c r="N210" s="847"/>
      <c r="O210" s="48">
        <f>IF(t&lt;Tnet,'2022'!Resal+('2022'!Salim-'2022'!Resal)*(1-EXP(('2022'!Tnet-t)/('2022'!Tau_j))),Resal+(Salim-Resal)*(1-EXP((Tnet-t)/(Tau_j))))*Salcycl</f>
        <v>6.5683802260677604E-2</v>
      </c>
      <c r="P210" s="168">
        <f>(INDEX(Models!$BJ210:$BT210,,T210)*(1-R210)+INDEX(Models!$BJ210:$BT210,,T210+1)*R210-ERP_i)*Q210*Ramure*Pc/MaxiM</f>
        <v>7.1124947235995742E-4</v>
      </c>
      <c r="Q210" s="304">
        <f t="shared" si="80"/>
        <v>0.5</v>
      </c>
      <c r="R210" s="176">
        <f t="shared" si="81"/>
        <v>0.27723568799884668</v>
      </c>
      <c r="S210" s="814">
        <f t="shared" si="82"/>
        <v>1</v>
      </c>
      <c r="T210" s="175">
        <f t="shared" si="83"/>
        <v>7</v>
      </c>
      <c r="U210" s="250">
        <f t="shared" si="84"/>
        <v>1.2772356879988467</v>
      </c>
      <c r="V210" s="382">
        <f t="shared" si="85"/>
        <v>51.698187496633103</v>
      </c>
      <c r="W210" s="401">
        <f t="shared" si="86"/>
        <v>47.321332221713924</v>
      </c>
      <c r="X210" s="157">
        <f t="shared" si="87"/>
        <v>45122</v>
      </c>
      <c r="Y210" s="384">
        <f t="shared" si="88"/>
        <v>46.387826167778712</v>
      </c>
      <c r="Z210" s="384">
        <f t="shared" si="89"/>
        <v>48.269006480238396</v>
      </c>
      <c r="AA210" s="385">
        <f t="shared" si="90"/>
        <v>52.702039654362018</v>
      </c>
      <c r="AB210" s="196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8.4115021035181356E-2</v>
      </c>
      <c r="AD210" s="230">
        <f>(INDEX(Models!$BJ210:$BT210,,AH210)*(1-AF210)+INDEX(Models!$BJ210:$BT210,,AH210+1)*AF210-ERP_i)*AE210*Ramure*Pc/MaxiM</f>
        <v>7.1124947235995742E-4</v>
      </c>
      <c r="AE210" s="304">
        <f t="shared" si="92"/>
        <v>0.5</v>
      </c>
      <c r="AF210" s="176">
        <f t="shared" si="93"/>
        <v>0.27723568799884668</v>
      </c>
      <c r="AG210" s="814">
        <f t="shared" si="99"/>
        <v>1</v>
      </c>
      <c r="AH210" s="175">
        <f t="shared" si="94"/>
        <v>7</v>
      </c>
      <c r="AI210" s="224">
        <f t="shared" si="95"/>
        <v>1.2772356879988467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10">
        <f>'2022'!Wh/'2022'!Env_an*'2023'!Env_an</f>
        <v>48.785174826757647</v>
      </c>
      <c r="C211" s="843"/>
      <c r="D211" s="392">
        <f t="shared" si="77"/>
        <v>50.76468607269593</v>
      </c>
      <c r="E211" s="384">
        <f t="shared" si="75"/>
        <v>54.336201788952685</v>
      </c>
      <c r="F211" s="384">
        <f t="shared" si="78"/>
        <v>54.371249910178435</v>
      </c>
      <c r="G211" s="110">
        <f t="shared" si="76"/>
        <v>0.94493063900639307</v>
      </c>
      <c r="H211" s="413" t="b">
        <f>Wh_hp&gt;='2022'!Maxi_hp</f>
        <v>0</v>
      </c>
      <c r="I211" s="389">
        <f>IF(H211,Wh_hp,'2022'!Maxi_hp)</f>
        <v>58.694583788185525</v>
      </c>
      <c r="J211" s="85">
        <f>IF(H211,An,'2022'!An_max)</f>
        <v>2019</v>
      </c>
      <c r="K211" s="196">
        <f t="shared" si="79"/>
        <v>45123</v>
      </c>
      <c r="L211" s="147">
        <f>IF(t&lt;Tvie,1-EXP((T0-t)*PertePVj)+'2022'!Pspv,1-EXP((T0-t)*PertePVj)+Pspv)</f>
        <v>3.8993863629996441E-2</v>
      </c>
      <c r="M211" s="847"/>
      <c r="N211" s="847"/>
      <c r="O211" s="48">
        <f>IF(t&lt;Tnet,'2022'!Resal+('2022'!Salim-'2022'!Resal)*(1-EXP(('2022'!Tnet-t)/('2022'!Tau_j))),Resal+(Salim-Resal)*(1-EXP((Tnet-t)/(Tau_j))))*Salcycl</f>
        <v>6.5729947965978336E-2</v>
      </c>
      <c r="P211" s="168">
        <f>(INDEX(Models!$BJ211:$BT211,,T211)*(1-R211)+INDEX(Models!$BJ211:$BT211,,T211+1)*R211-ERP_i)*Q211*Ramure*Pc/MaxiM</f>
        <v>6.9959298298607857E-4</v>
      </c>
      <c r="Q211" s="304">
        <f t="shared" si="80"/>
        <v>0.5</v>
      </c>
      <c r="R211" s="176">
        <f t="shared" si="81"/>
        <v>0.2791258916156516</v>
      </c>
      <c r="S211" s="814">
        <f t="shared" si="82"/>
        <v>1</v>
      </c>
      <c r="T211" s="175">
        <f t="shared" si="83"/>
        <v>7</v>
      </c>
      <c r="U211" s="250">
        <f t="shared" si="84"/>
        <v>1.2791258916156516</v>
      </c>
      <c r="V211" s="382">
        <f t="shared" si="85"/>
        <v>51.625472401397161</v>
      </c>
      <c r="W211" s="401">
        <f t="shared" si="86"/>
        <v>48.785174826757647</v>
      </c>
      <c r="X211" s="157">
        <f t="shared" si="87"/>
        <v>45123</v>
      </c>
      <c r="Y211" s="384">
        <f t="shared" si="88"/>
        <v>47.823687656770339</v>
      </c>
      <c r="Z211" s="384">
        <f t="shared" si="89"/>
        <v>49.764185520619208</v>
      </c>
      <c r="AA211" s="385">
        <f t="shared" si="90"/>
        <v>54.336201788952685</v>
      </c>
      <c r="AB211" s="196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8.4143096458814903E-2</v>
      </c>
      <c r="AD211" s="230">
        <f>(INDEX(Models!$BJ211:$BT211,,AH211)*(1-AF211)+INDEX(Models!$BJ211:$BT211,,AH211+1)*AF211-ERP_i)*AE211*Ramure*Pc/MaxiM</f>
        <v>6.9959298298607857E-4</v>
      </c>
      <c r="AE211" s="304">
        <f t="shared" si="92"/>
        <v>0.5</v>
      </c>
      <c r="AF211" s="176">
        <f t="shared" si="93"/>
        <v>0.2791258916156516</v>
      </c>
      <c r="AG211" s="814">
        <f t="shared" si="99"/>
        <v>1</v>
      </c>
      <c r="AH211" s="175">
        <f t="shared" si="94"/>
        <v>7</v>
      </c>
      <c r="AI211" s="224">
        <f t="shared" si="95"/>
        <v>1.2791258916156516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10">
        <f>'2022'!Wh/'2022'!Env_an*'2023'!Env_an</f>
        <v>48.462997584119037</v>
      </c>
      <c r="C212" s="843"/>
      <c r="D212" s="392">
        <f t="shared" si="77"/>
        <v>50.430539318881138</v>
      </c>
      <c r="E212" s="384">
        <f t="shared" si="75"/>
        <v>53.981178979476333</v>
      </c>
      <c r="F212" s="384">
        <f t="shared" si="78"/>
        <v>54.015126976754708</v>
      </c>
      <c r="G212" s="110">
        <f t="shared" si="76"/>
        <v>0.94001767770570099</v>
      </c>
      <c r="H212" s="413" t="b">
        <f>Wh_hp&gt;='2022'!Maxi_hp</f>
        <v>0</v>
      </c>
      <c r="I212" s="389">
        <f>IF(H212,Wh_hp,'2022'!Maxi_hp)</f>
        <v>57.888056189789317</v>
      </c>
      <c r="J212" s="85">
        <f>IF(H212,An,'2022'!An_max)</f>
        <v>2021</v>
      </c>
      <c r="K212" s="196">
        <f t="shared" si="79"/>
        <v>45124</v>
      </c>
      <c r="L212" s="147">
        <f>IF(t&lt;Tvie,1-EXP((T0-t)*PertePVj)+'2022'!Pspv,1-EXP((T0-t)*PertePVj)+Pspv)</f>
        <v>3.901488584766042E-2</v>
      </c>
      <c r="M212" s="847"/>
      <c r="N212" s="847"/>
      <c r="O212" s="48">
        <f>IF(t&lt;Tnet,'2022'!Resal+('2022'!Salim-'2022'!Resal)*(1-EXP(('2022'!Tnet-t)/('2022'!Tau_j))),Resal+(Salim-Resal)*(1-EXP((Tnet-t)/(Tau_j))))*Salcycl</f>
        <v>6.5775511534217387E-2</v>
      </c>
      <c r="P212" s="168">
        <f>(INDEX(Models!$BJ212:$BT212,,T212)*(1-R212)+INDEX(Models!$BJ212:$BT212,,T212+1)*R212-ERP_i)*Q212*Ramure*Pc/MaxiM</f>
        <v>6.8733311763456771E-4</v>
      </c>
      <c r="Q212" s="304">
        <f t="shared" si="80"/>
        <v>0.5</v>
      </c>
      <c r="R212" s="176">
        <f t="shared" si="81"/>
        <v>0.28096786645559746</v>
      </c>
      <c r="S212" s="814">
        <f t="shared" si="82"/>
        <v>1</v>
      </c>
      <c r="T212" s="175">
        <f t="shared" si="83"/>
        <v>7</v>
      </c>
      <c r="U212" s="250">
        <f t="shared" si="84"/>
        <v>1.2809678664555975</v>
      </c>
      <c r="V212" s="382">
        <f t="shared" si="85"/>
        <v>51.55237529380377</v>
      </c>
      <c r="W212" s="401">
        <f t="shared" si="86"/>
        <v>48.462997584119037</v>
      </c>
      <c r="X212" s="157">
        <f t="shared" si="87"/>
        <v>45124</v>
      </c>
      <c r="Y212" s="384">
        <f t="shared" si="88"/>
        <v>47.508757875488335</v>
      </c>
      <c r="Z212" s="384">
        <f t="shared" si="89"/>
        <v>49.437558580077066</v>
      </c>
      <c r="AA212" s="385">
        <f t="shared" si="90"/>
        <v>53.981178979476333</v>
      </c>
      <c r="AB212" s="196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8.4170455060397123E-2</v>
      </c>
      <c r="AD212" s="230">
        <f>(INDEX(Models!$BJ212:$BT212,,AH212)*(1-AF212)+INDEX(Models!$BJ212:$BT212,,AH212+1)*AF212-ERP_i)*AE212*Ramure*Pc/MaxiM</f>
        <v>6.8733311763456771E-4</v>
      </c>
      <c r="AE212" s="304">
        <f t="shared" si="92"/>
        <v>0.5</v>
      </c>
      <c r="AF212" s="176">
        <f t="shared" si="93"/>
        <v>0.28096786645559746</v>
      </c>
      <c r="AG212" s="814">
        <f t="shared" si="99"/>
        <v>1</v>
      </c>
      <c r="AH212" s="175">
        <f t="shared" si="94"/>
        <v>7</v>
      </c>
      <c r="AI212" s="224">
        <f t="shared" si="95"/>
        <v>1.2809678664555975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10">
        <f>'2022'!Wh/'2022'!Env_an*'2023'!Env_an</f>
        <v>49.193762512911412</v>
      </c>
      <c r="C213" s="843"/>
      <c r="D213" s="392">
        <f t="shared" si="77"/>
        <v>51.192092297955078</v>
      </c>
      <c r="E213" s="384">
        <f t="shared" si="75"/>
        <v>54.798990574651022</v>
      </c>
      <c r="F213" s="384">
        <f t="shared" si="78"/>
        <v>54.833642036655782</v>
      </c>
      <c r="G213" s="110">
        <f t="shared" si="76"/>
        <v>0.95556964809552725</v>
      </c>
      <c r="H213" s="413" t="b">
        <f>Wh_hp&gt;='2022'!Maxi_hp</f>
        <v>0</v>
      </c>
      <c r="I213" s="389">
        <f>IF(H213,Wh_hp,'2022'!Maxi_hp)</f>
        <v>54.83409502353642</v>
      </c>
      <c r="J213" s="85">
        <f>IF(H213,An,'2022'!An_max)</f>
        <v>2022</v>
      </c>
      <c r="K213" s="196">
        <f t="shared" si="79"/>
        <v>45125</v>
      </c>
      <c r="L213" s="147">
        <f>IF(t&lt;Tvie,1-EXP((T0-t)*PertePVj)+'2022'!Pspv,1-EXP((T0-t)*PertePVj)+Pspv)</f>
        <v>3.9035907604883936E-2</v>
      </c>
      <c r="M213" s="847"/>
      <c r="N213" s="847"/>
      <c r="O213" s="48">
        <f>IF(t&lt;Tnet,'2022'!Resal+('2022'!Salim-'2022'!Resal)*(1-EXP(('2022'!Tnet-t)/('2022'!Tau_j))),Resal+(Salim-Resal)*(1-EXP((Tnet-t)/(Tau_j))))*Salcycl</f>
        <v>6.5820524043821063E-2</v>
      </c>
      <c r="P213" s="168">
        <f>(INDEX(Models!$BJ213:$BT213,,T213)*(1-R213)+INDEX(Models!$BJ213:$BT213,,T213+1)*R213-ERP_i)*Q213*Ramure*Pc/MaxiM</f>
        <v>6.7472463856404336E-4</v>
      </c>
      <c r="Q213" s="304">
        <f t="shared" si="80"/>
        <v>0.5</v>
      </c>
      <c r="R213" s="176">
        <f t="shared" si="81"/>
        <v>0.2827619390053715</v>
      </c>
      <c r="S213" s="814">
        <f t="shared" si="82"/>
        <v>1</v>
      </c>
      <c r="T213" s="175">
        <f t="shared" si="83"/>
        <v>7</v>
      </c>
      <c r="U213" s="250">
        <f t="shared" si="84"/>
        <v>1.2827619390053715</v>
      </c>
      <c r="V213" s="382">
        <f t="shared" si="85"/>
        <v>51.4788811513423</v>
      </c>
      <c r="W213" s="401">
        <f t="shared" si="86"/>
        <v>49.193762512911412</v>
      </c>
      <c r="X213" s="157">
        <f t="shared" si="87"/>
        <v>45125</v>
      </c>
      <c r="Y213" s="384">
        <f t="shared" si="88"/>
        <v>48.226052588503798</v>
      </c>
      <c r="Z213" s="384">
        <f t="shared" si="89"/>
        <v>50.185072439392322</v>
      </c>
      <c r="AA213" s="385">
        <f t="shared" si="90"/>
        <v>54.798990574651022</v>
      </c>
      <c r="AB213" s="196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8.4197137335464176E-2</v>
      </c>
      <c r="AD213" s="230">
        <f>(INDEX(Models!$BJ213:$BT213,,AH213)*(1-AF213)+INDEX(Models!$BJ213:$BT213,,AH213+1)*AF213-ERP_i)*AE213*Ramure*Pc/MaxiM</f>
        <v>6.7472463856404336E-4</v>
      </c>
      <c r="AE213" s="304">
        <f t="shared" si="92"/>
        <v>0.5</v>
      </c>
      <c r="AF213" s="176">
        <f t="shared" si="93"/>
        <v>0.2827619390053715</v>
      </c>
      <c r="AG213" s="814">
        <f t="shared" si="99"/>
        <v>1</v>
      </c>
      <c r="AH213" s="175">
        <f t="shared" si="94"/>
        <v>7</v>
      </c>
      <c r="AI213" s="224">
        <f t="shared" si="95"/>
        <v>1.2827619390053715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10">
        <f>'2022'!Wh/'2022'!Env_an*'2023'!Env_an</f>
        <v>38.884930049005185</v>
      </c>
      <c r="C214" s="843"/>
      <c r="D214" s="392">
        <f t="shared" si="77"/>
        <v>40.465383661657626</v>
      </c>
      <c r="E214" s="384">
        <f t="shared" si="75"/>
        <v>43.318561393812871</v>
      </c>
      <c r="F214" s="384">
        <f t="shared" si="78"/>
        <v>43.337262087245975</v>
      </c>
      <c r="G214" s="110">
        <f t="shared" si="76"/>
        <v>0.75626849105602811</v>
      </c>
      <c r="H214" s="413" t="b">
        <f>Wh_hp&gt;='2022'!Maxi_hp</f>
        <v>0</v>
      </c>
      <c r="I214" s="389">
        <f>IF(H214,Wh_hp,'2022'!Maxi_hp)</f>
        <v>57.925852793246442</v>
      </c>
      <c r="J214" s="85">
        <f>IF(H214,An,'2022'!An_max)</f>
        <v>2020</v>
      </c>
      <c r="K214" s="196">
        <f t="shared" si="79"/>
        <v>45126</v>
      </c>
      <c r="L214" s="147">
        <f>IF(t&lt;Tvie,1-EXP((T0-t)*PertePVj)+'2022'!Pspv,1-EXP((T0-t)*PertePVj)+Pspv)</f>
        <v>3.9056928901676981E-2</v>
      </c>
      <c r="M214" s="847"/>
      <c r="N214" s="847"/>
      <c r="O214" s="48">
        <f>IF(t&lt;Tnet,'2022'!Resal+('2022'!Salim-'2022'!Resal)*(1-EXP(('2022'!Tnet-t)/('2022'!Tau_j))),Resal+(Salim-Resal)*(1-EXP((Tnet-t)/(Tau_j))))*Salcycl</f>
        <v>6.5865015835054025E-2</v>
      </c>
      <c r="P214" s="168">
        <f>(INDEX(Models!$BJ214:$BT214,,T214)*(1-R214)+INDEX(Models!$BJ214:$BT214,,T214+1)*R214-ERP_i)*Q214*Ramure*Pc/MaxiM</f>
        <v>6.6177137055798351E-4</v>
      </c>
      <c r="Q214" s="304">
        <f t="shared" si="80"/>
        <v>0.5</v>
      </c>
      <c r="R214" s="176">
        <f t="shared" si="81"/>
        <v>0.28450849776470988</v>
      </c>
      <c r="S214" s="814">
        <f t="shared" si="82"/>
        <v>1</v>
      </c>
      <c r="T214" s="175">
        <f t="shared" si="83"/>
        <v>7</v>
      </c>
      <c r="U214" s="250">
        <f t="shared" si="84"/>
        <v>1.2845084977647099</v>
      </c>
      <c r="V214" s="382">
        <f t="shared" si="85"/>
        <v>51.404987982358314</v>
      </c>
      <c r="W214" s="401">
        <f t="shared" si="86"/>
        <v>38.884930049005185</v>
      </c>
      <c r="X214" s="157">
        <f t="shared" si="87"/>
        <v>45126</v>
      </c>
      <c r="Y214" s="384">
        <f t="shared" si="88"/>
        <v>38.120740665942087</v>
      </c>
      <c r="Z214" s="384">
        <f t="shared" si="89"/>
        <v>39.670134280037487</v>
      </c>
      <c r="AA214" s="385">
        <f t="shared" si="90"/>
        <v>43.318561393812871</v>
      </c>
      <c r="AB214" s="196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8.4223182773943278E-2</v>
      </c>
      <c r="AD214" s="230">
        <f>(INDEX(Models!$BJ214:$BT214,,AH214)*(1-AF214)+INDEX(Models!$BJ214:$BT214,,AH214+1)*AF214-ERP_i)*AE214*Ramure*Pc/MaxiM</f>
        <v>6.6177137055798351E-4</v>
      </c>
      <c r="AE214" s="304">
        <f t="shared" si="92"/>
        <v>0.5</v>
      </c>
      <c r="AF214" s="176">
        <f t="shared" si="93"/>
        <v>0.28450849776470988</v>
      </c>
      <c r="AG214" s="814">
        <f t="shared" si="99"/>
        <v>1</v>
      </c>
      <c r="AH214" s="175">
        <f t="shared" si="94"/>
        <v>7</v>
      </c>
      <c r="AI214" s="224">
        <f t="shared" si="95"/>
        <v>1.2845084977647099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10">
        <f>'2022'!Wh/'2022'!Env_an*'2023'!Env_an</f>
        <v>37.906397249208091</v>
      </c>
      <c r="C215" s="843"/>
      <c r="D215" s="392">
        <f t="shared" si="77"/>
        <v>39.447941941674344</v>
      </c>
      <c r="E215" s="384">
        <f t="shared" si="75"/>
        <v>42.231369998127242</v>
      </c>
      <c r="F215" s="384">
        <f t="shared" si="78"/>
        <v>42.248531379284657</v>
      </c>
      <c r="G215" s="110">
        <f t="shared" si="76"/>
        <v>0.73829529361721136</v>
      </c>
      <c r="H215" s="413" t="b">
        <f>Wh_hp&gt;='2022'!Maxi_hp</f>
        <v>0</v>
      </c>
      <c r="I215" s="389">
        <f>IF(H215,Wh_hp,'2022'!Maxi_hp)</f>
        <v>57.010821173837634</v>
      </c>
      <c r="J215" s="85">
        <f>IF(H215,An,'2022'!An_max)</f>
        <v>2020</v>
      </c>
      <c r="K215" s="196">
        <f t="shared" si="79"/>
        <v>45127</v>
      </c>
      <c r="L215" s="147">
        <f>IF(t&lt;Tvie,1-EXP((T0-t)*PertePVj)+'2022'!Pspv,1-EXP((T0-t)*PertePVj)+Pspv)</f>
        <v>3.9077949738049657E-2</v>
      </c>
      <c r="M215" s="847"/>
      <c r="N215" s="847"/>
      <c r="O215" s="48">
        <f>IF(t&lt;Tnet,'2022'!Resal+('2022'!Salim-'2022'!Resal)*(1-EXP(('2022'!Tnet-t)/('2022'!Tau_j))),Resal+(Salim-Resal)*(1-EXP((Tnet-t)/(Tau_j))))*Salcycl</f>
        <v>6.5909016368077361E-2</v>
      </c>
      <c r="P215" s="168">
        <f>(INDEX(Models!$BJ215:$BT215,,T215)*(1-R215)+INDEX(Models!$BJ215:$BT215,,T215+1)*R215-ERP_i)*Q215*Ramure*Pc/MaxiM</f>
        <v>6.4847693781692822E-4</v>
      </c>
      <c r="Q215" s="304">
        <f t="shared" si="80"/>
        <v>0.5</v>
      </c>
      <c r="R215" s="176">
        <f t="shared" si="81"/>
        <v>0.286207989025971</v>
      </c>
      <c r="S215" s="814">
        <f t="shared" si="82"/>
        <v>1</v>
      </c>
      <c r="T215" s="175">
        <f t="shared" si="83"/>
        <v>7</v>
      </c>
      <c r="U215" s="250">
        <f t="shared" si="84"/>
        <v>1.286207989025971</v>
      </c>
      <c r="V215" s="382">
        <f t="shared" si="85"/>
        <v>51.330693861744642</v>
      </c>
      <c r="W215" s="401">
        <f t="shared" si="86"/>
        <v>37.906397249208091</v>
      </c>
      <c r="X215" s="157">
        <f t="shared" si="87"/>
        <v>45127</v>
      </c>
      <c r="Y215" s="384">
        <f t="shared" si="88"/>
        <v>37.162156399215419</v>
      </c>
      <c r="Z215" s="384">
        <f t="shared" si="89"/>
        <v>38.673434946242416</v>
      </c>
      <c r="AA215" s="385">
        <f t="shared" si="90"/>
        <v>42.231369998127242</v>
      </c>
      <c r="AB215" s="196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8.424862968079419E-2</v>
      </c>
      <c r="AD215" s="230">
        <f>(INDEX(Models!$BJ215:$BT215,,AH215)*(1-AF215)+INDEX(Models!$BJ215:$BT215,,AH215+1)*AF215-ERP_i)*AE215*Ramure*Pc/MaxiM</f>
        <v>6.4847693781692822E-4</v>
      </c>
      <c r="AE215" s="304">
        <f t="shared" si="92"/>
        <v>0.5</v>
      </c>
      <c r="AF215" s="176">
        <f t="shared" si="93"/>
        <v>0.286207989025971</v>
      </c>
      <c r="AG215" s="814">
        <f t="shared" si="99"/>
        <v>1</v>
      </c>
      <c r="AH215" s="175">
        <f t="shared" si="94"/>
        <v>7</v>
      </c>
      <c r="AI215" s="224">
        <f t="shared" si="95"/>
        <v>1.286207989025971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10">
        <f>'2022'!Wh/'2022'!Env_an*'2023'!Env_an</f>
        <v>48.059589432761065</v>
      </c>
      <c r="C216" s="843"/>
      <c r="D216" s="392">
        <f t="shared" si="77"/>
        <v>50.015129485773784</v>
      </c>
      <c r="E216" s="384">
        <f t="shared" si="75"/>
        <v>53.546669074369142</v>
      </c>
      <c r="F216" s="384">
        <f t="shared" si="78"/>
        <v>53.57765237003548</v>
      </c>
      <c r="G216" s="110">
        <f t="shared" si="76"/>
        <v>0.93758530941952323</v>
      </c>
      <c r="H216" s="413" t="b">
        <f>Wh_hp&gt;='2022'!Maxi_hp</f>
        <v>0</v>
      </c>
      <c r="I216" s="389">
        <f>IF(H216,Wh_hp,'2022'!Maxi_hp)</f>
        <v>53.578238473295933</v>
      </c>
      <c r="J216" s="85">
        <f>IF(H216,An,'2022'!An_max)</f>
        <v>2022</v>
      </c>
      <c r="K216" s="196">
        <f t="shared" si="79"/>
        <v>45128</v>
      </c>
      <c r="L216" s="147">
        <f>IF(t&lt;Tvie,1-EXP((T0-t)*PertePVj)+'2022'!Pspv,1-EXP((T0-t)*PertePVj)+Pspv)</f>
        <v>3.9098970114012178E-2</v>
      </c>
      <c r="M216" s="847"/>
      <c r="N216" s="847"/>
      <c r="O216" s="48">
        <f>IF(t&lt;Tnet,'2022'!Resal+('2022'!Salim-'2022'!Resal)*(1-EXP(('2022'!Tnet-t)/('2022'!Tau_j))),Resal+(Salim-Resal)*(1-EXP((Tnet-t)/(Tau_j))))*Salcycl</f>
        <v>6.5952554092403443E-2</v>
      </c>
      <c r="P216" s="168">
        <f>(INDEX(Models!$BJ216:$BT216,,T216)*(1-R216)+INDEX(Models!$BJ216:$BT216,,T216+1)*R216-ERP_i)*Q216*Ramure*Pc/MaxiM</f>
        <v>6.3484474396757317E-4</v>
      </c>
      <c r="Q216" s="304">
        <f t="shared" si="80"/>
        <v>0.5</v>
      </c>
      <c r="R216" s="176">
        <f t="shared" si="81"/>
        <v>0.28786091268080694</v>
      </c>
      <c r="S216" s="814">
        <f t="shared" si="82"/>
        <v>1</v>
      </c>
      <c r="T216" s="175">
        <f t="shared" si="83"/>
        <v>7</v>
      </c>
      <c r="U216" s="250">
        <f t="shared" si="84"/>
        <v>1.2878609126808069</v>
      </c>
      <c r="V216" s="382">
        <f t="shared" si="85"/>
        <v>51.255996939545497</v>
      </c>
      <c r="W216" s="401">
        <f t="shared" si="86"/>
        <v>48.059589432761065</v>
      </c>
      <c r="X216" s="157">
        <f t="shared" si="87"/>
        <v>45128</v>
      </c>
      <c r="Y216" s="384">
        <f t="shared" si="88"/>
        <v>47.116920124421469</v>
      </c>
      <c r="Z216" s="384">
        <f t="shared" si="89"/>
        <v>49.034103054309305</v>
      </c>
      <c r="AA216" s="385">
        <f t="shared" si="90"/>
        <v>53.546669074369142</v>
      </c>
      <c r="AB216" s="196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8.4273515011596384E-2</v>
      </c>
      <c r="AD216" s="230">
        <f>(INDEX(Models!$BJ216:$BT216,,AH216)*(1-AF216)+INDEX(Models!$BJ216:$BT216,,AH216+1)*AF216-ERP_i)*AE216*Ramure*Pc/MaxiM</f>
        <v>6.3484474396757317E-4</v>
      </c>
      <c r="AE216" s="304">
        <f t="shared" si="92"/>
        <v>0.5</v>
      </c>
      <c r="AF216" s="176">
        <f t="shared" si="93"/>
        <v>0.28786091268080694</v>
      </c>
      <c r="AG216" s="814">
        <f t="shared" si="99"/>
        <v>1</v>
      </c>
      <c r="AH216" s="175">
        <f t="shared" si="94"/>
        <v>7</v>
      </c>
      <c r="AI216" s="224">
        <f t="shared" si="95"/>
        <v>1.2878609126808069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10">
        <f>'2022'!Wh/'2022'!Env_an*'2023'!Env_an</f>
        <v>37.532207310143278</v>
      </c>
      <c r="C217" s="843"/>
      <c r="D217" s="392">
        <f t="shared" si="77"/>
        <v>39.060243652377018</v>
      </c>
      <c r="E217" s="384">
        <f t="shared" si="75"/>
        <v>41.820194859940187</v>
      </c>
      <c r="F217" s="384">
        <f t="shared" si="78"/>
        <v>41.836274432563172</v>
      </c>
      <c r="G217" s="110">
        <f t="shared" si="76"/>
        <v>0.73315103172629326</v>
      </c>
      <c r="H217" s="413" t="b">
        <f>Wh_hp&gt;='2022'!Maxi_hp</f>
        <v>0</v>
      </c>
      <c r="I217" s="389">
        <f>IF(H217,Wh_hp,'2022'!Maxi_hp)</f>
        <v>54.375496718092663</v>
      </c>
      <c r="J217" s="85">
        <f>IF(H217,An,'2022'!An_max)</f>
        <v>2021</v>
      </c>
      <c r="K217" s="196">
        <f t="shared" si="79"/>
        <v>45129</v>
      </c>
      <c r="L217" s="147">
        <f>IF(t&lt;Tvie,1-EXP((T0-t)*PertePVj)+'2022'!Pspv,1-EXP((T0-t)*PertePVj)+Pspv)</f>
        <v>3.9119990029574427E-2</v>
      </c>
      <c r="M217" s="847"/>
      <c r="N217" s="847"/>
      <c r="O217" s="48">
        <f>IF(t&lt;Tnet,'2022'!Resal+('2022'!Salim-'2022'!Resal)*(1-EXP(('2022'!Tnet-t)/('2022'!Tau_j))),Resal+(Salim-Resal)*(1-EXP((Tnet-t)/(Tau_j))))*Salcycl</f>
        <v>6.5995656328396157E-2</v>
      </c>
      <c r="P217" s="168">
        <f>(INDEX(Models!$BJ217:$BT217,,T217)*(1-R217)+INDEX(Models!$BJ217:$BT217,,T217+1)*R217-ERP_i)*Q217*Ramure*Pc/MaxiM</f>
        <v>6.2087795500640104E-4</v>
      </c>
      <c r="Q217" s="304">
        <f t="shared" si="80"/>
        <v>0.5</v>
      </c>
      <c r="R217" s="176">
        <f t="shared" si="81"/>
        <v>0.28946781807517441</v>
      </c>
      <c r="S217" s="814">
        <f t="shared" si="82"/>
        <v>1</v>
      </c>
      <c r="T217" s="175">
        <f t="shared" si="83"/>
        <v>7</v>
      </c>
      <c r="U217" s="250">
        <f t="shared" si="84"/>
        <v>1.2894678180751744</v>
      </c>
      <c r="V217" s="382">
        <f t="shared" si="85"/>
        <v>51.180895446930421</v>
      </c>
      <c r="W217" s="401">
        <f t="shared" si="86"/>
        <v>37.532207310143278</v>
      </c>
      <c r="X217" s="157">
        <f t="shared" si="87"/>
        <v>45129</v>
      </c>
      <c r="Y217" s="384">
        <f t="shared" si="88"/>
        <v>36.796747522463875</v>
      </c>
      <c r="Z217" s="384">
        <f t="shared" si="89"/>
        <v>38.294841333619196</v>
      </c>
      <c r="AA217" s="385">
        <f t="shared" si="90"/>
        <v>41.820194859940187</v>
      </c>
      <c r="AB217" s="196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8.429787422387032E-2</v>
      </c>
      <c r="AD217" s="230">
        <f>(INDEX(Models!$BJ217:$BT217,,AH217)*(1-AF217)+INDEX(Models!$BJ217:$BT217,,AH217+1)*AF217-ERP_i)*AE217*Ramure*Pc/MaxiM</f>
        <v>6.2087795500640104E-4</v>
      </c>
      <c r="AE217" s="304">
        <f t="shared" si="92"/>
        <v>0.5</v>
      </c>
      <c r="AF217" s="176">
        <f t="shared" si="93"/>
        <v>0.28946781807517441</v>
      </c>
      <c r="AG217" s="814">
        <f t="shared" si="99"/>
        <v>1</v>
      </c>
      <c r="AH217" s="175">
        <f t="shared" si="94"/>
        <v>7</v>
      </c>
      <c r="AI217" s="224">
        <f t="shared" si="95"/>
        <v>1.2894678180751744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10">
        <f>'2022'!Wh/'2022'!Env_an*'2023'!Env_an</f>
        <v>44.118816197640918</v>
      </c>
      <c r="C218" s="843"/>
      <c r="D218" s="392">
        <f t="shared" si="77"/>
        <v>45.916015391584708</v>
      </c>
      <c r="E218" s="384">
        <f t="shared" si="75"/>
        <v>49.162634622475103</v>
      </c>
      <c r="F218" s="384">
        <f t="shared" si="78"/>
        <v>49.186643375292221</v>
      </c>
      <c r="G218" s="110">
        <f t="shared" si="76"/>
        <v>0.86318858202705273</v>
      </c>
      <c r="H218" s="413" t="b">
        <f>Wh_hp&gt;='2022'!Maxi_hp</f>
        <v>0</v>
      </c>
      <c r="I218" s="389">
        <f>IF(H218,Wh_hp,'2022'!Maxi_hp)</f>
        <v>55.212338097424414</v>
      </c>
      <c r="J218" s="85">
        <f>IF(H218,An,'2022'!An_max)</f>
        <v>2019</v>
      </c>
      <c r="K218" s="196">
        <f t="shared" si="79"/>
        <v>45130</v>
      </c>
      <c r="L218" s="147">
        <f>IF(t&lt;Tvie,1-EXP((T0-t)*PertePVj)+'2022'!Pspv,1-EXP((T0-t)*PertePVj)+Pspv)</f>
        <v>3.9141009484746615E-2</v>
      </c>
      <c r="M218" s="847"/>
      <c r="N218" s="847"/>
      <c r="O218" s="48">
        <f>IF(t&lt;Tnet,'2022'!Resal+('2022'!Salim-'2022'!Resal)*(1-EXP(('2022'!Tnet-t)/('2022'!Tau_j))),Resal+(Salim-Resal)*(1-EXP((Tnet-t)/(Tau_j))))*Salcycl</f>
        <v>6.6038349161340076E-2</v>
      </c>
      <c r="P218" s="168">
        <f>(INDEX(Models!$BJ218:$BT218,,T218)*(1-R218)+INDEX(Models!$BJ218:$BT218,,T218+1)*R218-ERP_i)*Q218*Ramure*Pc/MaxiM</f>
        <v>6.0657948514597645E-4</v>
      </c>
      <c r="Q218" s="304">
        <f t="shared" si="80"/>
        <v>0.5</v>
      </c>
      <c r="R218" s="176">
        <f t="shared" si="81"/>
        <v>0.29102929993185356</v>
      </c>
      <c r="S218" s="814">
        <f t="shared" si="82"/>
        <v>1</v>
      </c>
      <c r="T218" s="175">
        <f t="shared" si="83"/>
        <v>7</v>
      </c>
      <c r="U218" s="250">
        <f t="shared" si="84"/>
        <v>1.2910292999318536</v>
      </c>
      <c r="V218" s="382">
        <f t="shared" si="85"/>
        <v>51.105387703026437</v>
      </c>
      <c r="W218" s="401">
        <f t="shared" si="86"/>
        <v>44.118816197640918</v>
      </c>
      <c r="X218" s="157">
        <f t="shared" si="87"/>
        <v>45130</v>
      </c>
      <c r="Y218" s="384">
        <f t="shared" si="88"/>
        <v>43.255138754716398</v>
      </c>
      <c r="Z218" s="384">
        <f t="shared" si="89"/>
        <v>45.017155671844378</v>
      </c>
      <c r="AA218" s="385">
        <f t="shared" si="90"/>
        <v>49.162634622475103</v>
      </c>
      <c r="AB218" s="196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8.4321741144759169E-2</v>
      </c>
      <c r="AD218" s="230">
        <f>(INDEX(Models!$BJ218:$BT218,,AH218)*(1-AF218)+INDEX(Models!$BJ218:$BT218,,AH218+1)*AF218-ERP_i)*AE218*Ramure*Pc/MaxiM</f>
        <v>6.0657948514597645E-4</v>
      </c>
      <c r="AE218" s="304">
        <f t="shared" si="92"/>
        <v>0.5</v>
      </c>
      <c r="AF218" s="176">
        <f t="shared" si="93"/>
        <v>0.29102929993185356</v>
      </c>
      <c r="AG218" s="814">
        <f t="shared" si="99"/>
        <v>1</v>
      </c>
      <c r="AH218" s="175">
        <f t="shared" si="94"/>
        <v>7</v>
      </c>
      <c r="AI218" s="224">
        <f t="shared" si="95"/>
        <v>1.2910292999318536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10">
        <f>'2022'!Wh/'2022'!Env_an*'2023'!Env_an</f>
        <v>48.381520786941437</v>
      </c>
      <c r="C219" s="843"/>
      <c r="D219" s="392">
        <f t="shared" si="77"/>
        <v>50.353464601717334</v>
      </c>
      <c r="E219" s="384">
        <f t="shared" si="75"/>
        <v>53.916288379633386</v>
      </c>
      <c r="F219" s="384">
        <f t="shared" si="78"/>
        <v>53.945853582814678</v>
      </c>
      <c r="G219" s="110">
        <f t="shared" si="76"/>
        <v>0.94805599503117144</v>
      </c>
      <c r="H219" s="413" t="b">
        <f>Wh_hp&gt;='2022'!Maxi_hp</f>
        <v>0</v>
      </c>
      <c r="I219" s="389">
        <f>IF(H219,Wh_hp,'2022'!Maxi_hp)</f>
        <v>55.317819769739138</v>
      </c>
      <c r="J219" s="85">
        <f>IF(H219,An,'2022'!An_max)</f>
        <v>2019</v>
      </c>
      <c r="K219" s="196">
        <f t="shared" si="79"/>
        <v>45131</v>
      </c>
      <c r="L219" s="147">
        <f>IF(t&lt;Tvie,1-EXP((T0-t)*PertePVj)+'2022'!Pspv,1-EXP((T0-t)*PertePVj)+Pspv)</f>
        <v>3.9162028479538737E-2</v>
      </c>
      <c r="M219" s="847"/>
      <c r="N219" s="847"/>
      <c r="O219" s="48">
        <f>IF(t&lt;Tnet,'2022'!Resal+('2022'!Salim-'2022'!Resal)*(1-EXP(('2022'!Tnet-t)/('2022'!Tau_j))),Resal+(Salim-Resal)*(1-EXP((Tnet-t)/(Tau_j))))*Salcycl</f>
        <v>6.6080657348473765E-2</v>
      </c>
      <c r="P219" s="168">
        <f>(INDEX(Models!$BJ219:$BT219,,T219)*(1-R219)+INDEX(Models!$BJ219:$BT219,,T219+1)*R219-ERP_i)*Q219*Ramure*Pc/MaxiM</f>
        <v>5.9194370331092571E-4</v>
      </c>
      <c r="Q219" s="304">
        <f t="shared" si="80"/>
        <v>0.5</v>
      </c>
      <c r="R219" s="176">
        <f t="shared" si="81"/>
        <v>0.29254599435757989</v>
      </c>
      <c r="S219" s="814">
        <f t="shared" si="82"/>
        <v>1</v>
      </c>
      <c r="T219" s="175">
        <f t="shared" si="83"/>
        <v>7</v>
      </c>
      <c r="U219" s="250">
        <f t="shared" si="84"/>
        <v>1.2925459943575799</v>
      </c>
      <c r="V219" s="382">
        <f t="shared" si="85"/>
        <v>51.03010412012955</v>
      </c>
      <c r="W219" s="401">
        <f t="shared" si="86"/>
        <v>48.381520786941437</v>
      </c>
      <c r="X219" s="157">
        <f t="shared" si="87"/>
        <v>45131</v>
      </c>
      <c r="Y219" s="384">
        <f t="shared" si="88"/>
        <v>47.435332195728279</v>
      </c>
      <c r="Z219" s="384">
        <f t="shared" si="89"/>
        <v>49.368711064431672</v>
      </c>
      <c r="AA219" s="385">
        <f t="shared" si="90"/>
        <v>53.916288379633386</v>
      </c>
      <c r="AB219" s="196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8.4345147855532612E-2</v>
      </c>
      <c r="AD219" s="230">
        <f>(INDEX(Models!$BJ219:$BT219,,AH219)*(1-AF219)+INDEX(Models!$BJ219:$BT219,,AH219+1)*AF219-ERP_i)*AE219*Ramure*Pc/MaxiM</f>
        <v>5.9194370331092571E-4</v>
      </c>
      <c r="AE219" s="304">
        <f t="shared" si="92"/>
        <v>0.5</v>
      </c>
      <c r="AF219" s="176">
        <f t="shared" si="93"/>
        <v>0.29254599435757989</v>
      </c>
      <c r="AG219" s="814">
        <f t="shared" si="99"/>
        <v>1</v>
      </c>
      <c r="AH219" s="175">
        <f t="shared" si="94"/>
        <v>7</v>
      </c>
      <c r="AI219" s="224">
        <f t="shared" si="95"/>
        <v>1.2925459943575799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10">
        <f>'2022'!Wh/'2022'!Env_an*'2023'!Env_an</f>
        <v>28.021977249802802</v>
      </c>
      <c r="C220" s="843"/>
      <c r="D220" s="392">
        <f t="shared" si="77"/>
        <v>29.1647406539984</v>
      </c>
      <c r="E220" s="384">
        <f t="shared" si="75"/>
        <v>31.229731853869836</v>
      </c>
      <c r="F220" s="384">
        <f t="shared" si="78"/>
        <v>31.236166056050731</v>
      </c>
      <c r="G220" s="110">
        <f t="shared" si="76"/>
        <v>0.54972652848130321</v>
      </c>
      <c r="H220" s="413" t="b">
        <f>Wh_hp&gt;='2022'!Maxi_hp</f>
        <v>0</v>
      </c>
      <c r="I220" s="389">
        <f>IF(H220,Wh_hp,'2022'!Maxi_hp)</f>
        <v>56.522396659484173</v>
      </c>
      <c r="J220" s="85">
        <f>IF(H220,An,'2022'!An_max)</f>
        <v>2020</v>
      </c>
      <c r="K220" s="196">
        <f t="shared" si="79"/>
        <v>45132</v>
      </c>
      <c r="L220" s="147">
        <f>IF(t&lt;Tvie,1-EXP((T0-t)*PertePVj)+'2022'!Pspv,1-EXP((T0-t)*PertePVj)+Pspv)</f>
        <v>3.9183047013961005E-2</v>
      </c>
      <c r="M220" s="847"/>
      <c r="N220" s="847"/>
      <c r="O220" s="48">
        <f>IF(t&lt;Tnet,'2022'!Resal+('2022'!Salim-'2022'!Resal)*(1-EXP(('2022'!Tnet-t)/('2022'!Tau_j))),Resal+(Salim-Resal)*(1-EXP((Tnet-t)/(Tau_j))))*Salcycl</f>
        <v>6.612260423925323E-2</v>
      </c>
      <c r="P220" s="168">
        <f>(INDEX(Models!$BJ220:$BT220,,T220)*(1-R220)+INDEX(Models!$BJ220:$BT220,,T220+1)*R220-ERP_i)*Q220*Ramure*Pc/MaxiM</f>
        <v>5.7692008738639887E-4</v>
      </c>
      <c r="Q220" s="304">
        <f t="shared" si="80"/>
        <v>0.5</v>
      </c>
      <c r="R220" s="176">
        <f t="shared" si="81"/>
        <v>0.29401857494986094</v>
      </c>
      <c r="S220" s="814">
        <f t="shared" si="82"/>
        <v>1</v>
      </c>
      <c r="T220" s="175">
        <f t="shared" si="83"/>
        <v>7</v>
      </c>
      <c r="U220" s="250">
        <f t="shared" si="84"/>
        <v>1.2940185749498609</v>
      </c>
      <c r="V220" s="382">
        <f t="shared" si="85"/>
        <v>50.955483028065672</v>
      </c>
      <c r="W220" s="401">
        <f t="shared" si="86"/>
        <v>28.021977249802802</v>
      </c>
      <c r="X220" s="157">
        <f t="shared" si="87"/>
        <v>45132</v>
      </c>
      <c r="Y220" s="384">
        <f t="shared" si="88"/>
        <v>27.474501147918115</v>
      </c>
      <c r="Z220" s="384">
        <f t="shared" si="89"/>
        <v>28.594937945810091</v>
      </c>
      <c r="AA220" s="385">
        <f t="shared" si="90"/>
        <v>31.229731853869836</v>
      </c>
      <c r="AB220" s="196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8.4368124593207292E-2</v>
      </c>
      <c r="AD220" s="230">
        <f>(INDEX(Models!$BJ220:$BT220,,AH220)*(1-AF220)+INDEX(Models!$BJ220:$BT220,,AH220+1)*AF220-ERP_i)*AE220*Ramure*Pc/MaxiM</f>
        <v>5.7692008738639887E-4</v>
      </c>
      <c r="AE220" s="304">
        <f t="shared" si="92"/>
        <v>0.5</v>
      </c>
      <c r="AF220" s="176">
        <f t="shared" si="93"/>
        <v>0.29401857494986094</v>
      </c>
      <c r="AG220" s="814">
        <f t="shared" si="99"/>
        <v>1</v>
      </c>
      <c r="AH220" s="175">
        <f t="shared" si="94"/>
        <v>7</v>
      </c>
      <c r="AI220" s="224">
        <f t="shared" si="95"/>
        <v>1.2940185749498609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10">
        <f>'2022'!Wh/'2022'!Env_an*'2023'!Env_an</f>
        <v>48.617871444913952</v>
      </c>
      <c r="C221" s="843"/>
      <c r="D221" s="392">
        <f t="shared" si="77"/>
        <v>50.6016623075826</v>
      </c>
      <c r="E221" s="384">
        <f t="shared" si="75"/>
        <v>54.186895535656042</v>
      </c>
      <c r="F221" s="384">
        <f t="shared" si="78"/>
        <v>54.215413333477535</v>
      </c>
      <c r="G221" s="110">
        <f t="shared" si="76"/>
        <v>0.95548286054854792</v>
      </c>
      <c r="H221" s="413" t="b">
        <f>Wh_hp&gt;='2022'!Maxi_hp</f>
        <v>0</v>
      </c>
      <c r="I221" s="389">
        <f>IF(H221,Wh_hp,'2022'!Maxi_hp)</f>
        <v>56.237487014663813</v>
      </c>
      <c r="J221" s="85">
        <f>IF(H221,An,'2022'!An_max)</f>
        <v>2020</v>
      </c>
      <c r="K221" s="196">
        <f t="shared" si="79"/>
        <v>45133</v>
      </c>
      <c r="L221" s="147">
        <f>IF(t&lt;Tvie,1-EXP((T0-t)*PertePVj)+'2022'!Pspv,1-EXP((T0-t)*PertePVj)+Pspv)</f>
        <v>3.9204065088023411E-2</v>
      </c>
      <c r="M221" s="847"/>
      <c r="N221" s="847"/>
      <c r="O221" s="48">
        <f>IF(t&lt;Tnet,'2022'!Resal+('2022'!Salim-'2022'!Resal)*(1-EXP(('2022'!Tnet-t)/('2022'!Tau_j))),Resal+(Salim-Resal)*(1-EXP((Tnet-t)/(Tau_j))))*Salcycl</f>
        <v>6.6164211708978321E-2</v>
      </c>
      <c r="P221" s="168">
        <f>(INDEX(Models!$BJ221:$BT221,,T221)*(1-R221)+INDEX(Models!$BJ221:$BT221,,T221+1)*R221-ERP_i)*Q221*Ramure*Pc/MaxiM</f>
        <v>5.6170372408445438E-4</v>
      </c>
      <c r="Q221" s="304">
        <f t="shared" si="80"/>
        <v>0.5</v>
      </c>
      <c r="R221" s="176">
        <f t="shared" si="81"/>
        <v>0.29544774901657633</v>
      </c>
      <c r="S221" s="814">
        <f t="shared" si="82"/>
        <v>1</v>
      </c>
      <c r="T221" s="175">
        <f t="shared" si="83"/>
        <v>7</v>
      </c>
      <c r="U221" s="250">
        <f t="shared" si="84"/>
        <v>1.2954477490165763</v>
      </c>
      <c r="V221" s="382">
        <f t="shared" si="85"/>
        <v>50.88122156832268</v>
      </c>
      <c r="W221" s="401">
        <f t="shared" si="86"/>
        <v>48.617871444913952</v>
      </c>
      <c r="X221" s="157">
        <f t="shared" si="87"/>
        <v>45133</v>
      </c>
      <c r="Y221" s="384">
        <f t="shared" si="88"/>
        <v>47.668954023175182</v>
      </c>
      <c r="Z221" s="384">
        <f t="shared" si="89"/>
        <v>49.614025508488837</v>
      </c>
      <c r="AA221" s="385">
        <f t="shared" si="90"/>
        <v>54.186895535656042</v>
      </c>
      <c r="AB221" s="196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8.4390699669409333E-2</v>
      </c>
      <c r="AD221" s="230">
        <f>(INDEX(Models!$BJ221:$BT221,,AH221)*(1-AF221)+INDEX(Models!$BJ221:$BT221,,AH221+1)*AF221-ERP_i)*AE221*Ramure*Pc/MaxiM</f>
        <v>5.6170372408445438E-4</v>
      </c>
      <c r="AE221" s="304">
        <f t="shared" si="92"/>
        <v>0.5</v>
      </c>
      <c r="AF221" s="176">
        <f t="shared" si="93"/>
        <v>0.29544774901657633</v>
      </c>
      <c r="AG221" s="814">
        <f t="shared" si="99"/>
        <v>1</v>
      </c>
      <c r="AH221" s="175">
        <f t="shared" si="94"/>
        <v>7</v>
      </c>
      <c r="AI221" s="224">
        <f t="shared" si="95"/>
        <v>1.2954477490165763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10">
        <f>'2022'!Wh/'2022'!Env_an*'2023'!Env_an</f>
        <v>51.368659310018458</v>
      </c>
      <c r="C222" s="843"/>
      <c r="D222" s="392">
        <f t="shared" si="77"/>
        <v>53.465862175575005</v>
      </c>
      <c r="E222" s="384">
        <f t="shared" si="75"/>
        <v>57.256561461469218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Wh_hp&gt;='2022'!Maxi_hp</f>
        <v>1</v>
      </c>
      <c r="I222" s="389">
        <f>IF(H222,Wh_hp,'2022'!Maxi_hp)</f>
        <v>57.287857875556981</v>
      </c>
      <c r="J222" s="85">
        <f>IF(H222,An,'2022'!An_max)</f>
        <v>2023</v>
      </c>
      <c r="K222" s="196">
        <f t="shared" si="79"/>
        <v>45134</v>
      </c>
      <c r="L222" s="147">
        <f>IF(t&lt;Tvie,1-EXP((T0-t)*PertePVj)+'2022'!Pspv,1-EXP((T0-t)*PertePVj)+Pspv)</f>
        <v>3.9225082701735949E-2</v>
      </c>
      <c r="M222" s="847"/>
      <c r="N222" s="847"/>
      <c r="O222" s="48">
        <f>IF(t&lt;Tnet,'2022'!Resal+('2022'!Salim-'2022'!Resal)*(1-EXP(('2022'!Tnet-t)/('2022'!Tau_j))),Resal+(Salim-Resal)*(1-EXP((Tnet-t)/(Tau_j))))*Salcycl</f>
        <v>6.6205500105785506E-2</v>
      </c>
      <c r="P222" s="168">
        <f>(INDEX(Models!$BJ222:$BT222,,T222)*(1-R222)+INDEX(Models!$BJ222:$BT222,,T222+1)*R222-ERP_i)*Q222*Ramure*Pc/MaxiM</f>
        <v>5.4630100074171996E-4</v>
      </c>
      <c r="Q222" s="304">
        <f t="shared" si="80"/>
        <v>0.5</v>
      </c>
      <c r="R222" s="176">
        <f t="shared" si="81"/>
        <v>0.29683425391955587</v>
      </c>
      <c r="S222" s="814">
        <f t="shared" si="82"/>
        <v>1</v>
      </c>
      <c r="T222" s="175">
        <f t="shared" si="83"/>
        <v>7</v>
      </c>
      <c r="U222" s="250">
        <f t="shared" si="84"/>
        <v>1.2968342539195559</v>
      </c>
      <c r="V222" s="382">
        <f t="shared" si="85"/>
        <v>50.807026684980983</v>
      </c>
      <c r="W222" s="401">
        <f t="shared" si="86"/>
        <v>51.368659310018458</v>
      </c>
      <c r="X222" s="157">
        <f t="shared" si="87"/>
        <v>45134</v>
      </c>
      <c r="Y222" s="384">
        <f t="shared" si="88"/>
        <v>50.367058110072797</v>
      </c>
      <c r="Z222" s="384">
        <f t="shared" si="89"/>
        <v>52.423369098463667</v>
      </c>
      <c r="AA222" s="385">
        <f t="shared" si="90"/>
        <v>57.256561461469218</v>
      </c>
      <c r="AB222" s="196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8.441289940643823E-2</v>
      </c>
      <c r="AD222" s="230">
        <f>(INDEX(Models!$BJ222:$BT222,,AH222)*(1-AF222)+INDEX(Models!$BJ222:$BT222,,AH222+1)*AF222-ERP_i)*AE222*Ramure*Pc/MaxiM</f>
        <v>5.4630100074171996E-4</v>
      </c>
      <c r="AE222" s="304">
        <f t="shared" si="92"/>
        <v>0.5</v>
      </c>
      <c r="AF222" s="176">
        <f t="shared" si="93"/>
        <v>0.29683425391955587</v>
      </c>
      <c r="AG222" s="814">
        <f t="shared" si="99"/>
        <v>1</v>
      </c>
      <c r="AH222" s="175">
        <f t="shared" si="94"/>
        <v>7</v>
      </c>
      <c r="AI222" s="224">
        <f t="shared" si="95"/>
        <v>1.2968342539195559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10">
        <f>'2022'!Wh/'2022'!Env_an*'2023'!Env_an</f>
        <v>43.243831027760471</v>
      </c>
      <c r="C223" s="843"/>
      <c r="D223" s="392">
        <f t="shared" si="77"/>
        <v>45.010310154597221</v>
      </c>
      <c r="E223" s="384">
        <f t="shared" si="75"/>
        <v>48.203631457680032</v>
      </c>
      <c r="F223" s="384">
        <f t="shared" si="78"/>
        <v>48.223827718287865</v>
      </c>
      <c r="G223" s="110">
        <f t="shared" si="76"/>
        <v>0.85229191223281753</v>
      </c>
      <c r="H223" s="413" t="b">
        <f>Wh_hp&gt;='2022'!Maxi_hp</f>
        <v>0</v>
      </c>
      <c r="I223" s="389">
        <f>IF(H223,Wh_hp,'2022'!Maxi_hp)</f>
        <v>58.386184765777948</v>
      </c>
      <c r="J223" s="85">
        <f>IF(H223,An,'2022'!An_max)</f>
        <v>2019</v>
      </c>
      <c r="K223" s="196">
        <f t="shared" si="79"/>
        <v>45135</v>
      </c>
      <c r="L223" s="147">
        <f>IF(t&lt;Tvie,1-EXP((T0-t)*PertePVj)+'2022'!Pspv,1-EXP((T0-t)*PertePVj)+Pspv)</f>
        <v>3.9246099855108942E-2</v>
      </c>
      <c r="M223" s="847"/>
      <c r="N223" s="847"/>
      <c r="O223" s="48">
        <f>IF(t&lt;Tnet,'2022'!Resal+('2022'!Salim-'2022'!Resal)*(1-EXP(('2022'!Tnet-t)/('2022'!Tau_j))),Resal+(Salim-Resal)*(1-EXP((Tnet-t)/(Tau_j))))*Salcycl</f>
        <v>6.624648821088007E-2</v>
      </c>
      <c r="P223" s="168">
        <f>(INDEX(Models!$BJ223:$BT223,,T223)*(1-R223)+INDEX(Models!$BJ223:$BT223,,T223+1)*R223-ERP_i)*Q223*Ramure*Pc/MaxiM</f>
        <v>5.3071773989170031E-4</v>
      </c>
      <c r="Q223" s="304">
        <f t="shared" si="80"/>
        <v>0.5</v>
      </c>
      <c r="R223" s="176">
        <f t="shared" si="81"/>
        <v>0.29817885355150486</v>
      </c>
      <c r="S223" s="814">
        <f t="shared" si="82"/>
        <v>1</v>
      </c>
      <c r="T223" s="175">
        <f t="shared" si="83"/>
        <v>7</v>
      </c>
      <c r="U223" s="250">
        <f t="shared" si="84"/>
        <v>1.2981788535515049</v>
      </c>
      <c r="V223" s="382">
        <f t="shared" si="85"/>
        <v>50.732605503615879</v>
      </c>
      <c r="W223" s="401">
        <f t="shared" si="86"/>
        <v>43.243831027760471</v>
      </c>
      <c r="X223" s="157">
        <f t="shared" si="87"/>
        <v>45135</v>
      </c>
      <c r="Y223" s="384">
        <f t="shared" si="88"/>
        <v>42.401499484172774</v>
      </c>
      <c r="Z223" s="384">
        <f t="shared" si="89"/>
        <v>44.133569978511893</v>
      </c>
      <c r="AA223" s="385">
        <f t="shared" si="90"/>
        <v>48.203631457680032</v>
      </c>
      <c r="AB223" s="196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8.4434748090326223E-2</v>
      </c>
      <c r="AD223" s="230">
        <f>(INDEX(Models!$BJ223:$BT223,,AH223)*(1-AF223)+INDEX(Models!$BJ223:$BT223,,AH223+1)*AF223-ERP_i)*AE223*Ramure*Pc/MaxiM</f>
        <v>5.3071773989170031E-4</v>
      </c>
      <c r="AE223" s="304">
        <f t="shared" si="92"/>
        <v>0.5</v>
      </c>
      <c r="AF223" s="176">
        <f t="shared" si="93"/>
        <v>0.29817885355150486</v>
      </c>
      <c r="AG223" s="814">
        <f t="shared" si="99"/>
        <v>1</v>
      </c>
      <c r="AH223" s="175">
        <f t="shared" si="94"/>
        <v>7</v>
      </c>
      <c r="AI223" s="224">
        <f t="shared" si="95"/>
        <v>1.2981788535515049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10">
        <f>'2022'!Wh/'2022'!Env_an*'2023'!Env_an</f>
        <v>25.314687622345897</v>
      </c>
      <c r="C224" s="843"/>
      <c r="D224" s="392">
        <f t="shared" si="77"/>
        <v>26.349350645094972</v>
      </c>
      <c r="E224" s="384">
        <f t="shared" si="75"/>
        <v>28.219973479565546</v>
      </c>
      <c r="F224" s="384">
        <f t="shared" si="78"/>
        <v>28.224120330533982</v>
      </c>
      <c r="G224" s="110">
        <f t="shared" si="76"/>
        <v>0.49953683094984797</v>
      </c>
      <c r="H224" s="413" t="b">
        <f>Wh_hp&gt;='2022'!Maxi_hp</f>
        <v>0</v>
      </c>
      <c r="I224" s="389">
        <f>IF(H224,Wh_hp,'2022'!Maxi_hp)</f>
        <v>57.892402465153239</v>
      </c>
      <c r="J224" s="85">
        <f>IF(H224,An,'2022'!An_max)</f>
        <v>2019</v>
      </c>
      <c r="K224" s="196">
        <f t="shared" si="79"/>
        <v>45136</v>
      </c>
      <c r="L224" s="147">
        <f>IF(t&lt;Tvie,1-EXP((T0-t)*PertePVj)+'2022'!Pspv,1-EXP((T0-t)*PertePVj)+Pspv)</f>
        <v>3.9267116548152271E-2</v>
      </c>
      <c r="M224" s="847"/>
      <c r="N224" s="847"/>
      <c r="O224" s="48">
        <f>IF(t&lt;Tnet,'2022'!Resal+('2022'!Salim-'2022'!Resal)*(1-EXP(('2022'!Tnet-t)/('2022'!Tau_j))),Resal+(Salim-Resal)*(1-EXP((Tnet-t)/(Tau_j))))*Salcycl</f>
        <v>6.6287193211755385E-2</v>
      </c>
      <c r="P224" s="168">
        <f>(INDEX(Models!$BJ224:$BT224,,T224)*(1-R224)+INDEX(Models!$BJ224:$BT224,,T224+1)*R224-ERP_i)*Q224*Ramure*Pc/MaxiM</f>
        <v>5.14959194529598E-4</v>
      </c>
      <c r="Q224" s="304">
        <f t="shared" si="80"/>
        <v>0.5</v>
      </c>
      <c r="R224" s="176">
        <f t="shared" si="81"/>
        <v>0.29948233495392484</v>
      </c>
      <c r="S224" s="814">
        <f t="shared" si="82"/>
        <v>1</v>
      </c>
      <c r="T224" s="175">
        <f t="shared" si="83"/>
        <v>7</v>
      </c>
      <c r="U224" s="250">
        <f t="shared" si="84"/>
        <v>1.2994823349539248</v>
      </c>
      <c r="V224" s="382">
        <f t="shared" si="85"/>
        <v>50.657665330331035</v>
      </c>
      <c r="W224" s="401">
        <f t="shared" si="86"/>
        <v>25.314687622345897</v>
      </c>
      <c r="X224" s="157">
        <f t="shared" si="87"/>
        <v>45136</v>
      </c>
      <c r="Y224" s="384">
        <f t="shared" si="88"/>
        <v>24.822090275707751</v>
      </c>
      <c r="Z224" s="384">
        <f t="shared" si="89"/>
        <v>25.836619838100756</v>
      </c>
      <c r="AA224" s="385">
        <f t="shared" si="90"/>
        <v>28.219973479565546</v>
      </c>
      <c r="AB224" s="196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8.4456267940528254E-2</v>
      </c>
      <c r="AD224" s="230">
        <f>(INDEX(Models!$BJ224:$BT224,,AH224)*(1-AF224)+INDEX(Models!$BJ224:$BT224,,AH224+1)*AF224-ERP_i)*AE224*Ramure*Pc/MaxiM</f>
        <v>5.14959194529598E-4</v>
      </c>
      <c r="AE224" s="304">
        <f t="shared" si="92"/>
        <v>0.5</v>
      </c>
      <c r="AF224" s="176">
        <f t="shared" si="93"/>
        <v>0.29948233495392484</v>
      </c>
      <c r="AG224" s="814">
        <f t="shared" si="99"/>
        <v>1</v>
      </c>
      <c r="AH224" s="175">
        <f t="shared" si="94"/>
        <v>7</v>
      </c>
      <c r="AI224" s="224">
        <f t="shared" si="95"/>
        <v>1.2994823349539248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10">
        <f>'2022'!Wh/'2022'!Env_an*'2023'!Env_an</f>
        <v>43.686206194864305</v>
      </c>
      <c r="C225" s="843"/>
      <c r="D225" s="392">
        <f t="shared" si="77"/>
        <v>45.47274545626086</v>
      </c>
      <c r="E225" s="384">
        <f t="shared" si="75"/>
        <v>48.703107161423027</v>
      </c>
      <c r="F225" s="384">
        <f t="shared" si="78"/>
        <v>48.722685989784729</v>
      </c>
      <c r="G225" s="110">
        <f t="shared" si="76"/>
        <v>0.86358849564380469</v>
      </c>
      <c r="H225" s="413" t="b">
        <f>Wh_hp&gt;='2022'!Maxi_hp</f>
        <v>0</v>
      </c>
      <c r="I225" s="389">
        <f>IF(H225,Wh_hp,'2022'!Maxi_hp)</f>
        <v>50.981621896708326</v>
      </c>
      <c r="J225" s="85">
        <f>IF(H225,An,'2022'!An_max)</f>
        <v>2020</v>
      </c>
      <c r="K225" s="196">
        <f t="shared" si="79"/>
        <v>45137</v>
      </c>
      <c r="L225" s="147">
        <f>IF(t&lt;Tvie,1-EXP((T0-t)*PertePVj)+'2022'!Pspv,1-EXP((T0-t)*PertePVj)+Pspv)</f>
        <v>3.9288132780876041E-2</v>
      </c>
      <c r="M225" s="847"/>
      <c r="N225" s="847"/>
      <c r="O225" s="48">
        <f>IF(t&lt;Tnet,'2022'!Resal+('2022'!Salim-'2022'!Resal)*(1-EXP(('2022'!Tnet-t)/('2022'!Tau_j))),Resal+(Salim-Resal)*(1-EXP((Tnet-t)/(Tau_j))))*Salcycl</f>
        <v>6.6327630688024844E-2</v>
      </c>
      <c r="P225" s="168">
        <f>(INDEX(Models!$BJ225:$BT225,,T225)*(1-R225)+INDEX(Models!$BJ225:$BT225,,T225+1)*R225-ERP_i)*Q225*Ramure*Pc/MaxiM</f>
        <v>4.9903004563485237E-4</v>
      </c>
      <c r="Q225" s="304">
        <f t="shared" si="80"/>
        <v>0.5</v>
      </c>
      <c r="R225" s="176">
        <f t="shared" si="81"/>
        <v>0.30074550508205422</v>
      </c>
      <c r="S225" s="814">
        <f t="shared" si="82"/>
        <v>1</v>
      </c>
      <c r="T225" s="175">
        <f t="shared" si="83"/>
        <v>7</v>
      </c>
      <c r="U225" s="250">
        <f t="shared" si="84"/>
        <v>1.3007455050820542</v>
      </c>
      <c r="V225" s="382">
        <f t="shared" si="85"/>
        <v>50.581913651547829</v>
      </c>
      <c r="W225" s="401">
        <f t="shared" si="86"/>
        <v>43.686206194864305</v>
      </c>
      <c r="X225" s="157">
        <f t="shared" si="87"/>
        <v>45137</v>
      </c>
      <c r="Y225" s="384">
        <f t="shared" si="88"/>
        <v>42.836981085494806</v>
      </c>
      <c r="Z225" s="384">
        <f t="shared" si="89"/>
        <v>44.588791444297144</v>
      </c>
      <c r="AA225" s="385">
        <f t="shared" si="90"/>
        <v>48.703107161423027</v>
      </c>
      <c r="AB225" s="196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8.4477479095723271E-2</v>
      </c>
      <c r="AD225" s="230">
        <f>(INDEX(Models!$BJ225:$BT225,,AH225)*(1-AF225)+INDEX(Models!$BJ225:$BT225,,AH225+1)*AF225-ERP_i)*AE225*Ramure*Pc/MaxiM</f>
        <v>4.9903004563485237E-4</v>
      </c>
      <c r="AE225" s="304">
        <f t="shared" si="92"/>
        <v>0.5</v>
      </c>
      <c r="AF225" s="176">
        <f t="shared" si="93"/>
        <v>0.30074550508205422</v>
      </c>
      <c r="AG225" s="814">
        <f t="shared" si="99"/>
        <v>1</v>
      </c>
      <c r="AH225" s="175">
        <f t="shared" si="94"/>
        <v>7</v>
      </c>
      <c r="AI225" s="224">
        <f t="shared" si="95"/>
        <v>1.3007455050820542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10">
        <f>'2022'!Wh/'2022'!Env_an*'2023'!Env_an</f>
        <v>49.967503935676007</v>
      </c>
      <c r="C226" s="843"/>
      <c r="D226" s="392">
        <f t="shared" si="77"/>
        <v>52.012053472175438</v>
      </c>
      <c r="E226" s="384">
        <f t="shared" si="75"/>
        <v>55.709362087184282</v>
      </c>
      <c r="F226" s="384">
        <f t="shared" si="78"/>
        <v>55.735880976820795</v>
      </c>
      <c r="G226" s="110">
        <f t="shared" si="76"/>
        <v>0.98934936240128313</v>
      </c>
      <c r="H226" s="413" t="b">
        <f>Wh_hp&gt;='2022'!Maxi_hp</f>
        <v>0</v>
      </c>
      <c r="I226" s="389">
        <f>IF(H226,Wh_hp,'2022'!Maxi_hp)</f>
        <v>55.735960733869604</v>
      </c>
      <c r="J226" s="85">
        <f>IF(H226,An,'2022'!An_max)</f>
        <v>2022</v>
      </c>
      <c r="K226" s="196">
        <f t="shared" si="79"/>
        <v>45138</v>
      </c>
      <c r="L226" s="147">
        <f>IF(t&lt;Tvie,1-EXP((T0-t)*PertePVj)+'2022'!Pspv,1-EXP((T0-t)*PertePVj)+Pspv)</f>
        <v>3.9309148553290464E-2</v>
      </c>
      <c r="M226" s="847"/>
      <c r="N226" s="847"/>
      <c r="O226" s="48">
        <f>IF(t&lt;Tnet,'2022'!Resal+('2022'!Salim-'2022'!Resal)*(1-EXP(('2022'!Tnet-t)/('2022'!Tau_j))),Resal+(Salim-Resal)*(1-EXP((Tnet-t)/(Tau_j))))*Salcycl</f>
        <v>6.6367814609375936E-2</v>
      </c>
      <c r="P226" s="168">
        <f>(INDEX(Models!$BJ226:$BT226,,T226)*(1-R226)+INDEX(Models!$BJ226:$BT226,,T226+1)*R226-ERP_i)*Q226*Ramure*Pc/MaxiM</f>
        <v>4.831417261744568E-4</v>
      </c>
      <c r="Q226" s="304">
        <f t="shared" si="80"/>
        <v>0.5</v>
      </c>
      <c r="R226" s="176">
        <f t="shared" si="81"/>
        <v>0.30196918772133818</v>
      </c>
      <c r="S226" s="814">
        <f t="shared" si="82"/>
        <v>1</v>
      </c>
      <c r="T226" s="175">
        <f t="shared" si="83"/>
        <v>7</v>
      </c>
      <c r="U226" s="250">
        <f t="shared" si="84"/>
        <v>1.3019691877213382</v>
      </c>
      <c r="V226" s="382">
        <f t="shared" si="85"/>
        <v>50.505047655264072</v>
      </c>
      <c r="W226" s="401">
        <f t="shared" si="86"/>
        <v>49.967503935676007</v>
      </c>
      <c r="X226" s="157">
        <f t="shared" si="87"/>
        <v>45138</v>
      </c>
      <c r="Y226" s="384">
        <f t="shared" si="88"/>
        <v>48.997164553846872</v>
      </c>
      <c r="Z226" s="384">
        <f t="shared" si="89"/>
        <v>51.002010147241208</v>
      </c>
      <c r="AA226" s="385">
        <f t="shared" si="90"/>
        <v>55.709362087184282</v>
      </c>
      <c r="AB226" s="196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8.4498399615061878E-2</v>
      </c>
      <c r="AD226" s="230">
        <f>(INDEX(Models!$BJ226:$BT226,,AH226)*(1-AF226)+INDEX(Models!$BJ226:$BT226,,AH226+1)*AF226-ERP_i)*AE226*Ramure*Pc/MaxiM</f>
        <v>4.831417261744568E-4</v>
      </c>
      <c r="AE226" s="304">
        <f t="shared" si="92"/>
        <v>0.5</v>
      </c>
      <c r="AF226" s="176">
        <f t="shared" si="93"/>
        <v>0.30196918772133818</v>
      </c>
      <c r="AG226" s="814">
        <f t="shared" si="99"/>
        <v>1</v>
      </c>
      <c r="AH226" s="175">
        <f t="shared" si="94"/>
        <v>7</v>
      </c>
      <c r="AI226" s="224">
        <f t="shared" si="95"/>
        <v>1.3019691877213382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10">
        <f>'2022'!Wh/'2022'!Env_an*'2023'!Env_an</f>
        <v>49.765442283464864</v>
      </c>
      <c r="C227" s="843"/>
      <c r="D227" s="392">
        <f t="shared" si="77"/>
        <v>51.802857143619619</v>
      </c>
      <c r="E227" s="384">
        <f t="shared" si="75"/>
        <v>55.487668788145108</v>
      </c>
      <c r="F227" s="384">
        <f t="shared" si="78"/>
        <v>55.513126428790976</v>
      </c>
      <c r="G227" s="110">
        <f t="shared" si="76"/>
        <v>0.98687668210816504</v>
      </c>
      <c r="H227" s="413" t="b">
        <f>Wh_hp&gt;='2022'!Maxi_hp</f>
        <v>0</v>
      </c>
      <c r="I227" s="389">
        <f>IF(H227,Wh_hp,'2022'!Maxi_hp)</f>
        <v>55.513221214938589</v>
      </c>
      <c r="J227" s="85">
        <f>IF(H227,An,'2022'!An_max)</f>
        <v>2022</v>
      </c>
      <c r="K227" s="196">
        <f t="shared" si="79"/>
        <v>45139</v>
      </c>
      <c r="L227" s="147">
        <f>IF(t&lt;Tvie,1-EXP((T0-t)*PertePVj)+'2022'!Pspv,1-EXP((T0-t)*PertePVj)+Pspv)</f>
        <v>3.9330163865405533E-2</v>
      </c>
      <c r="M227" s="847"/>
      <c r="N227" s="847"/>
      <c r="O227" s="48">
        <f>IF(t&lt;Tnet,'2022'!Resal+('2022'!Salim-'2022'!Resal)*(1-EXP(('2022'!Tnet-t)/('2022'!Tau_j))),Resal+(Salim-Resal)*(1-EXP((Tnet-t)/(Tau_j))))*Salcycl</f>
        <v>6.6407757345047197E-2</v>
      </c>
      <c r="P227" s="168">
        <f>(INDEX(Models!$BJ227:$BT227,,T227)*(1-R227)+INDEX(Models!$BJ227:$BT227,,T227+1)*R227-ERP_i)*Q227*Ramure*Pc/MaxiM</f>
        <v>4.6734356337155085E-4</v>
      </c>
      <c r="Q227" s="304">
        <f t="shared" si="80"/>
        <v>0.5</v>
      </c>
      <c r="R227" s="176">
        <f t="shared" si="81"/>
        <v>0.30315422055853958</v>
      </c>
      <c r="S227" s="814">
        <f t="shared" si="82"/>
        <v>1</v>
      </c>
      <c r="T227" s="175">
        <f t="shared" si="83"/>
        <v>7</v>
      </c>
      <c r="U227" s="250">
        <f t="shared" si="84"/>
        <v>1.3031542205585396</v>
      </c>
      <c r="V227" s="382">
        <f t="shared" si="85"/>
        <v>50.426772918704572</v>
      </c>
      <c r="W227" s="401">
        <f t="shared" si="86"/>
        <v>49.765442283464864</v>
      </c>
      <c r="X227" s="157">
        <f t="shared" si="87"/>
        <v>45139</v>
      </c>
      <c r="Y227" s="384">
        <f t="shared" si="88"/>
        <v>48.80001409771252</v>
      </c>
      <c r="Z227" s="384">
        <f t="shared" si="89"/>
        <v>50.797903985480609</v>
      </c>
      <c r="AA227" s="385">
        <f t="shared" si="90"/>
        <v>55.487668788145108</v>
      </c>
      <c r="AB227" s="196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8.4519045494058753E-2</v>
      </c>
      <c r="AD227" s="230">
        <f>(INDEX(Models!$BJ227:$BT227,,AH227)*(1-AF227)+INDEX(Models!$BJ227:$BT227,,AH227+1)*AF227-ERP_i)*AE227*Ramure*Pc/MaxiM</f>
        <v>4.6734356337155085E-4</v>
      </c>
      <c r="AE227" s="304">
        <f t="shared" si="92"/>
        <v>0.5</v>
      </c>
      <c r="AF227" s="176">
        <f t="shared" si="93"/>
        <v>0.30315422055853958</v>
      </c>
      <c r="AG227" s="814">
        <f t="shared" si="99"/>
        <v>1</v>
      </c>
      <c r="AH227" s="175">
        <f t="shared" si="94"/>
        <v>7</v>
      </c>
      <c r="AI227" s="224">
        <f t="shared" si="95"/>
        <v>1.3031542205585396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10">
        <f>'2022'!Wh/'2022'!Env_an*'2023'!Env_an</f>
        <v>49.965659497487785</v>
      </c>
      <c r="C228" s="843"/>
      <c r="D228" s="392">
        <f t="shared" si="77"/>
        <v>52.012409103638824</v>
      </c>
      <c r="E228" s="384">
        <f t="shared" si="75"/>
        <v>55.714496415150975</v>
      </c>
      <c r="F228" s="384">
        <f t="shared" si="78"/>
        <v>55.739398325848988</v>
      </c>
      <c r="G228" s="110">
        <f t="shared" si="76"/>
        <v>0.99242489879155005</v>
      </c>
      <c r="H228" s="413" t="b">
        <f>Wh_hp&gt;='2022'!Maxi_hp</f>
        <v>0</v>
      </c>
      <c r="I228" s="389">
        <f>IF(H228,Wh_hp,'2022'!Maxi_hp)</f>
        <v>55.739451495445259</v>
      </c>
      <c r="J228" s="85">
        <f>IF(H228,An,'2022'!An_max)</f>
        <v>2022</v>
      </c>
      <c r="K228" s="196">
        <f t="shared" si="79"/>
        <v>45140</v>
      </c>
      <c r="L228" s="147">
        <f>IF(t&lt;Tvie,1-EXP((T0-t)*PertePVj)+'2022'!Pspv,1-EXP((T0-t)*PertePVj)+Pspv)</f>
        <v>3.935117871723124E-2</v>
      </c>
      <c r="M228" s="847"/>
      <c r="N228" s="847"/>
      <c r="O228" s="48">
        <f>IF(t&lt;Tnet,'2022'!Resal+('2022'!Salim-'2022'!Resal)*(1-EXP(('2022'!Tnet-t)/('2022'!Tau_j))),Resal+(Salim-Resal)*(1-EXP((Tnet-t)/(Tau_j))))*Salcycl</f>
        <v>6.6447469684127042E-2</v>
      </c>
      <c r="P228" s="168">
        <f>(INDEX(Models!$BJ228:$BT228,,T228)*(1-R228)+INDEX(Models!$BJ228:$BT228,,T228+1)*R228-ERP_i)*Q228*Ramure*Pc/MaxiM</f>
        <v>4.5164033103717278E-4</v>
      </c>
      <c r="Q228" s="304">
        <f t="shared" si="80"/>
        <v>0.5</v>
      </c>
      <c r="R228" s="176">
        <f t="shared" si="81"/>
        <v>0.30430145240932172</v>
      </c>
      <c r="S228" s="814">
        <f t="shared" si="82"/>
        <v>1</v>
      </c>
      <c r="T228" s="175">
        <f t="shared" si="83"/>
        <v>7</v>
      </c>
      <c r="U228" s="250">
        <f t="shared" si="84"/>
        <v>1.3043014524093217</v>
      </c>
      <c r="V228" s="382">
        <f t="shared" si="85"/>
        <v>50.346797425661421</v>
      </c>
      <c r="W228" s="401">
        <f t="shared" si="86"/>
        <v>49.965659497487785</v>
      </c>
      <c r="X228" s="157">
        <f t="shared" si="87"/>
        <v>45140</v>
      </c>
      <c r="Y228" s="384">
        <f t="shared" si="88"/>
        <v>48.997340378728239</v>
      </c>
      <c r="Z228" s="384">
        <f t="shared" si="89"/>
        <v>51.004424606799972</v>
      </c>
      <c r="AA228" s="385">
        <f t="shared" si="90"/>
        <v>55.714496415150975</v>
      </c>
      <c r="AB228" s="196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8.4539430694201625E-2</v>
      </c>
      <c r="AD228" s="230">
        <f>(INDEX(Models!$BJ228:$BT228,,AH228)*(1-AF228)+INDEX(Models!$BJ228:$BT228,,AH228+1)*AF228-ERP_i)*AE228*Ramure*Pc/MaxiM</f>
        <v>4.5164033103717278E-4</v>
      </c>
      <c r="AE228" s="304">
        <f t="shared" si="92"/>
        <v>0.5</v>
      </c>
      <c r="AF228" s="176">
        <f t="shared" si="93"/>
        <v>0.30430145240932172</v>
      </c>
      <c r="AG228" s="814">
        <f t="shared" si="99"/>
        <v>1</v>
      </c>
      <c r="AH228" s="175">
        <f t="shared" si="94"/>
        <v>7</v>
      </c>
      <c r="AI228" s="224">
        <f t="shared" si="95"/>
        <v>1.3043014524093217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10">
        <f>'2022'!Wh/'2022'!Env_an*'2023'!Env_an</f>
        <v>47.877034357469334</v>
      </c>
      <c r="C229" s="843"/>
      <c r="D229" s="392">
        <f t="shared" si="77"/>
        <v>49.839317594197801</v>
      </c>
      <c r="E229" s="384">
        <f t="shared" si="75"/>
        <v>53.388989231930132</v>
      </c>
      <c r="F229" s="384">
        <f t="shared" si="78"/>
        <v>53.410697764307912</v>
      </c>
      <c r="G229" s="110">
        <f t="shared" si="76"/>
        <v>0.95246751452036171</v>
      </c>
      <c r="H229" s="413" t="b">
        <f>Wh_hp&gt;='2022'!Maxi_hp</f>
        <v>0</v>
      </c>
      <c r="I229" s="389">
        <f>IF(H229,Wh_hp,'2022'!Maxi_hp)</f>
        <v>56.092480847378184</v>
      </c>
      <c r="J229" s="85">
        <f>IF(H229,An,'2022'!An_max)</f>
        <v>2019</v>
      </c>
      <c r="K229" s="196">
        <f t="shared" si="79"/>
        <v>45141</v>
      </c>
      <c r="L229" s="147">
        <f>IF(t&lt;Tvie,1-EXP((T0-t)*PertePVj)+'2022'!Pspv,1-EXP((T0-t)*PertePVj)+Pspv)</f>
        <v>3.937219310877791E-2</v>
      </c>
      <c r="M229" s="847"/>
      <c r="N229" s="847"/>
      <c r="O229" s="48">
        <f>IF(t&lt;Tnet,'2022'!Resal+('2022'!Salim-'2022'!Resal)*(1-EXP(('2022'!Tnet-t)/('2022'!Tau_j))),Resal+(Salim-Resal)*(1-EXP((Tnet-t)/(Tau_j))))*Salcycl</f>
        <v>6.6486960865881878E-2</v>
      </c>
      <c r="P229" s="168">
        <f>(INDEX(Models!$BJ229:$BT229,,T229)*(1-R229)+INDEX(Models!$BJ229:$BT229,,T229+1)*R229-ERP_i)*Q229*Ramure*Pc/MaxiM</f>
        <v>4.3603624457587707E-4</v>
      </c>
      <c r="Q229" s="304">
        <f t="shared" si="80"/>
        <v>0.5</v>
      </c>
      <c r="R229" s="176">
        <f t="shared" si="81"/>
        <v>0.30541174060295551</v>
      </c>
      <c r="S229" s="814">
        <f t="shared" si="82"/>
        <v>1</v>
      </c>
      <c r="T229" s="175">
        <f t="shared" si="83"/>
        <v>7</v>
      </c>
      <c r="U229" s="250">
        <f t="shared" si="84"/>
        <v>1.3054117406029555</v>
      </c>
      <c r="V229" s="382">
        <f t="shared" si="85"/>
        <v>50.264829329750285</v>
      </c>
      <c r="W229" s="401">
        <f t="shared" si="86"/>
        <v>47.877034357469334</v>
      </c>
      <c r="X229" s="157">
        <f t="shared" si="87"/>
        <v>45141</v>
      </c>
      <c r="Y229" s="384">
        <f t="shared" si="88"/>
        <v>46.950145543486343</v>
      </c>
      <c r="Z229" s="384">
        <f t="shared" si="89"/>
        <v>48.874439410020955</v>
      </c>
      <c r="AA229" s="385">
        <f t="shared" si="90"/>
        <v>53.388989231930132</v>
      </c>
      <c r="AB229" s="196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8.4559567185234802E-2</v>
      </c>
      <c r="AD229" s="230">
        <f>(INDEX(Models!$BJ229:$BT229,,AH229)*(1-AF229)+INDEX(Models!$BJ229:$BT229,,AH229+1)*AF229-ERP_i)*AE229*Ramure*Pc/MaxiM</f>
        <v>4.3603624457587707E-4</v>
      </c>
      <c r="AE229" s="304">
        <f t="shared" si="92"/>
        <v>0.5</v>
      </c>
      <c r="AF229" s="176">
        <f t="shared" si="93"/>
        <v>0.30541174060295551</v>
      </c>
      <c r="AG229" s="814">
        <f t="shared" si="99"/>
        <v>1</v>
      </c>
      <c r="AH229" s="175">
        <f t="shared" si="94"/>
        <v>7</v>
      </c>
      <c r="AI229" s="224">
        <f t="shared" si="95"/>
        <v>1.3054117406029555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10">
        <f>'2022'!Wh/'2022'!Env_an*'2023'!Env_an</f>
        <v>44.929230278109486</v>
      </c>
      <c r="C230" s="843"/>
      <c r="D230" s="392">
        <f t="shared" si="77"/>
        <v>46.771718259109733</v>
      </c>
      <c r="E230" s="384">
        <f t="shared" si="75"/>
        <v>50.105016545860536</v>
      </c>
      <c r="F230" s="384">
        <f t="shared" si="78"/>
        <v>50.122943799182472</v>
      </c>
      <c r="G230" s="110">
        <f t="shared" si="76"/>
        <v>0.89529470011634704</v>
      </c>
      <c r="H230" s="413" t="b">
        <f>Wh_hp&gt;='2022'!Maxi_hp</f>
        <v>0</v>
      </c>
      <c r="I230" s="389">
        <f>IF(H230,Wh_hp,'2022'!Maxi_hp)</f>
        <v>52.936123470546605</v>
      </c>
      <c r="J230" s="85">
        <f>IF(H230,An,'2022'!An_max)</f>
        <v>2018</v>
      </c>
      <c r="K230" s="196">
        <f t="shared" si="79"/>
        <v>45142</v>
      </c>
      <c r="L230" s="147">
        <f>IF(t&lt;Tvie,1-EXP((T0-t)*PertePVj)+'2022'!Pspv,1-EXP((T0-t)*PertePVj)+Pspv)</f>
        <v>3.9393207040055313E-2</v>
      </c>
      <c r="M230" s="847"/>
      <c r="N230" s="847"/>
      <c r="O230" s="48">
        <f>IF(t&lt;Tnet,'2022'!Resal+('2022'!Salim-'2022'!Resal)*(1-EXP(('2022'!Tnet-t)/('2022'!Tau_j))),Resal+(Salim-Resal)*(1-EXP((Tnet-t)/(Tau_j))))*Salcycl</f>
        <v>6.6526238619238343E-2</v>
      </c>
      <c r="P230" s="168">
        <f>(INDEX(Models!$BJ230:$BT230,,T230)*(1-R230)+INDEX(Models!$BJ230:$BT230,,T230+1)*R230-ERP_i)*Q230*Ramure*Pc/MaxiM</f>
        <v>4.2053498417085367E-4</v>
      </c>
      <c r="Q230" s="304">
        <f t="shared" si="80"/>
        <v>0.5</v>
      </c>
      <c r="R230" s="176">
        <f t="shared" si="81"/>
        <v>0.30648594852376165</v>
      </c>
      <c r="S230" s="814">
        <f t="shared" si="82"/>
        <v>1</v>
      </c>
      <c r="T230" s="175">
        <f t="shared" si="83"/>
        <v>7</v>
      </c>
      <c r="U230" s="250">
        <f t="shared" si="84"/>
        <v>1.3064859485237617</v>
      </c>
      <c r="V230" s="382">
        <f t="shared" si="85"/>
        <v>50.180576953129929</v>
      </c>
      <c r="W230" s="401">
        <f t="shared" si="86"/>
        <v>44.929230278109486</v>
      </c>
      <c r="X230" s="157">
        <f t="shared" si="87"/>
        <v>45142</v>
      </c>
      <c r="Y230" s="384">
        <f t="shared" si="88"/>
        <v>44.060306480960442</v>
      </c>
      <c r="Z230" s="384">
        <f t="shared" si="89"/>
        <v>45.867161052646928</v>
      </c>
      <c r="AA230" s="385">
        <f t="shared" si="90"/>
        <v>50.105016545860536</v>
      </c>
      <c r="AB230" s="196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8.4579464998973633E-2</v>
      </c>
      <c r="AD230" s="230">
        <f>(INDEX(Models!$BJ230:$BT230,,AH230)*(1-AF230)+INDEX(Models!$BJ230:$BT230,,AH230+1)*AF230-ERP_i)*AE230*Ramure*Pc/MaxiM</f>
        <v>4.2053498417085367E-4</v>
      </c>
      <c r="AE230" s="304">
        <f t="shared" si="92"/>
        <v>0.5</v>
      </c>
      <c r="AF230" s="176">
        <f t="shared" si="93"/>
        <v>0.30648594852376165</v>
      </c>
      <c r="AG230" s="814">
        <f t="shared" si="99"/>
        <v>1</v>
      </c>
      <c r="AH230" s="175">
        <f t="shared" si="94"/>
        <v>7</v>
      </c>
      <c r="AI230" s="224">
        <f t="shared" si="95"/>
        <v>1.3064859485237617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10">
        <f>'2022'!Wh/'2022'!Env_an*'2023'!Env_an</f>
        <v>41.803707580609235</v>
      </c>
      <c r="C231" s="843"/>
      <c r="D231" s="392">
        <f t="shared" si="77"/>
        <v>43.518974019010194</v>
      </c>
      <c r="E231" s="384">
        <f t="shared" si="75"/>
        <v>46.622409096667027</v>
      </c>
      <c r="F231" s="384">
        <f t="shared" si="78"/>
        <v>46.636836602790076</v>
      </c>
      <c r="G231" s="110">
        <f t="shared" si="76"/>
        <v>0.83442951173110669</v>
      </c>
      <c r="H231" s="413" t="b">
        <f>Wh_hp&gt;='2022'!Maxi_hp</f>
        <v>0</v>
      </c>
      <c r="I231" s="389">
        <f>IF(H231,Wh_hp,'2022'!Maxi_hp)</f>
        <v>56.311096677498618</v>
      </c>
      <c r="J231" s="85">
        <f>IF(H231,An,'2022'!An_max)</f>
        <v>2020</v>
      </c>
      <c r="K231" s="196">
        <f t="shared" si="79"/>
        <v>45143</v>
      </c>
      <c r="L231" s="147">
        <f>IF(t&lt;Tvie,1-EXP((T0-t)*PertePVj)+'2022'!Pspv,1-EXP((T0-t)*PertePVj)+Pspv)</f>
        <v>3.9414220511073773E-2</v>
      </c>
      <c r="M231" s="847"/>
      <c r="N231" s="847"/>
      <c r="O231" s="48">
        <f>IF(t&lt;Tnet,'2022'!Resal+('2022'!Salim-'2022'!Resal)*(1-EXP(('2022'!Tnet-t)/('2022'!Tau_j))),Resal+(Salim-Resal)*(1-EXP((Tnet-t)/(Tau_j))))*Salcycl</f>
        <v>6.6565309210473475E-2</v>
      </c>
      <c r="P231" s="168">
        <f>(INDEX(Models!$BJ231:$BT231,,T231)*(1-R231)+INDEX(Models!$BJ231:$BT231,,T231+1)*R231-ERP_i)*Q231*Ramure*Pc/MaxiM</f>
        <v>4.0513971805281301E-4</v>
      </c>
      <c r="Q231" s="304">
        <f t="shared" si="80"/>
        <v>0.5</v>
      </c>
      <c r="R231" s="176">
        <f t="shared" si="81"/>
        <v>0.307524943307947</v>
      </c>
      <c r="S231" s="814">
        <f t="shared" si="82"/>
        <v>1</v>
      </c>
      <c r="T231" s="175">
        <f t="shared" si="83"/>
        <v>7</v>
      </c>
      <c r="U231" s="250">
        <f t="shared" si="84"/>
        <v>1.307524943307947</v>
      </c>
      <c r="V231" s="382">
        <f t="shared" si="85"/>
        <v>50.093748780126347</v>
      </c>
      <c r="W231" s="401">
        <f t="shared" si="86"/>
        <v>41.803707580609235</v>
      </c>
      <c r="X231" s="157">
        <f t="shared" si="87"/>
        <v>45143</v>
      </c>
      <c r="Y231" s="384">
        <f t="shared" si="88"/>
        <v>40.996066002512066</v>
      </c>
      <c r="Z231" s="384">
        <f t="shared" si="89"/>
        <v>42.678193741660188</v>
      </c>
      <c r="AA231" s="385">
        <f t="shared" si="90"/>
        <v>46.622409096667027</v>
      </c>
      <c r="AB231" s="196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8.4599132293419074E-2</v>
      </c>
      <c r="AD231" s="230">
        <f>(INDEX(Models!$BJ231:$BT231,,AH231)*(1-AF231)+INDEX(Models!$BJ231:$BT231,,AH231+1)*AF231-ERP_i)*AE231*Ramure*Pc/MaxiM</f>
        <v>4.0513971805281301E-4</v>
      </c>
      <c r="AE231" s="304">
        <f t="shared" si="92"/>
        <v>0.5</v>
      </c>
      <c r="AF231" s="176">
        <f t="shared" si="93"/>
        <v>0.307524943307947</v>
      </c>
      <c r="AG231" s="814">
        <f t="shared" si="99"/>
        <v>1</v>
      </c>
      <c r="AH231" s="175">
        <f t="shared" si="94"/>
        <v>7</v>
      </c>
      <c r="AI231" s="224">
        <f t="shared" si="95"/>
        <v>1.307524943307947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10">
        <f>'2022'!Wh/'2022'!Env_an*'2023'!Env_an</f>
        <v>45.810171682006512</v>
      </c>
      <c r="C232" s="843"/>
      <c r="D232" s="392">
        <f t="shared" si="77"/>
        <v>47.690872370809821</v>
      </c>
      <c r="E232" s="384">
        <f t="shared" si="75"/>
        <v>51.093942378034477</v>
      </c>
      <c r="F232" s="384">
        <f t="shared" si="78"/>
        <v>51.111480908883443</v>
      </c>
      <c r="G232" s="110">
        <f t="shared" si="76"/>
        <v>0.9160863563968038</v>
      </c>
      <c r="H232" s="413" t="b">
        <f>Wh_hp&gt;='2022'!Maxi_hp</f>
        <v>0</v>
      </c>
      <c r="I232" s="389">
        <f>IF(H232,Wh_hp,'2022'!Maxi_hp)</f>
        <v>56.389246381378285</v>
      </c>
      <c r="J232" s="85">
        <f>IF(H232,An,'2022'!An_max)</f>
        <v>2020</v>
      </c>
      <c r="K232" s="196">
        <f t="shared" si="79"/>
        <v>45144</v>
      </c>
      <c r="L232" s="147">
        <f>IF(t&lt;Tvie,1-EXP((T0-t)*PertePVj)+'2022'!Pspv,1-EXP((T0-t)*PertePVj)+Pspv)</f>
        <v>3.9435233521843284E-2</v>
      </c>
      <c r="M232" s="847"/>
      <c r="N232" s="847"/>
      <c r="O232" s="48">
        <f>IF(t&lt;Tnet,'2022'!Resal+('2022'!Salim-'2022'!Resal)*(1-EXP(('2022'!Tnet-t)/('2022'!Tau_j))),Resal+(Salim-Resal)*(1-EXP((Tnet-t)/(Tau_j))))*Salcycl</f>
        <v>6.6604177498107014E-2</v>
      </c>
      <c r="P232" s="168">
        <f>(INDEX(Models!$BJ232:$BT232,,T232)*(1-R232)+INDEX(Models!$BJ232:$BT232,,T232+1)*R232-ERP_i)*Q232*Ramure*Pc/MaxiM</f>
        <v>3.8985312551622893E-4</v>
      </c>
      <c r="Q232" s="304">
        <f t="shared" si="80"/>
        <v>0.5</v>
      </c>
      <c r="R232" s="176">
        <f t="shared" si="81"/>
        <v>0.30852959369366584</v>
      </c>
      <c r="S232" s="814">
        <f t="shared" si="82"/>
        <v>1</v>
      </c>
      <c r="T232" s="175">
        <f t="shared" si="83"/>
        <v>7</v>
      </c>
      <c r="U232" s="250">
        <f t="shared" si="84"/>
        <v>1.3085295936936658</v>
      </c>
      <c r="V232" s="382">
        <f t="shared" si="85"/>
        <v>50.004053454543325</v>
      </c>
      <c r="W232" s="401">
        <f t="shared" si="86"/>
        <v>45.810171682006512</v>
      </c>
      <c r="X232" s="157">
        <f t="shared" si="87"/>
        <v>45144</v>
      </c>
      <c r="Y232" s="384">
        <f t="shared" si="88"/>
        <v>44.926042310603485</v>
      </c>
      <c r="Z232" s="384">
        <f t="shared" si="89"/>
        <v>46.770445761113713</v>
      </c>
      <c r="AA232" s="385">
        <f t="shared" si="90"/>
        <v>51.093942378034477</v>
      </c>
      <c r="AB232" s="196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8.461857542586998E-2</v>
      </c>
      <c r="AD232" s="230">
        <f>(INDEX(Models!$BJ232:$BT232,,AH232)*(1-AF232)+INDEX(Models!$BJ232:$BT232,,AH232+1)*AF232-ERP_i)*AE232*Ramure*Pc/MaxiM</f>
        <v>3.8985312551622893E-4</v>
      </c>
      <c r="AE232" s="304">
        <f t="shared" si="92"/>
        <v>0.5</v>
      </c>
      <c r="AF232" s="176">
        <f t="shared" si="93"/>
        <v>0.30852959369366584</v>
      </c>
      <c r="AG232" s="814">
        <f t="shared" si="99"/>
        <v>1</v>
      </c>
      <c r="AH232" s="175">
        <f t="shared" si="94"/>
        <v>7</v>
      </c>
      <c r="AI232" s="224">
        <f t="shared" si="95"/>
        <v>1.3085295936936658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10">
        <f>'2022'!Wh/'2022'!Env_an*'2023'!Env_an</f>
        <v>48.693220048506099</v>
      </c>
      <c r="C233" s="843"/>
      <c r="D233" s="392">
        <f t="shared" si="77"/>
        <v>50.693390956321785</v>
      </c>
      <c r="E233" s="384">
        <f t="shared" ref="E233:E296" si="100">Wh_pvt/(1-Psa)</f>
        <v>54.312961327883812</v>
      </c>
      <c r="F233" s="384">
        <f t="shared" si="78"/>
        <v>54.332608149314439</v>
      </c>
      <c r="G233" s="110">
        <f t="shared" ref="G233:G296" si="101">+Wh_hp/MaxiM</f>
        <v>0.97557007136920393</v>
      </c>
      <c r="H233" s="413" t="b">
        <f>Wh_hp&gt;='2022'!Maxi_hp</f>
        <v>0</v>
      </c>
      <c r="I233" s="389">
        <f>IF(H233,Wh_hp,'2022'!Maxi_hp)</f>
        <v>54.87487901548878</v>
      </c>
      <c r="J233" s="85">
        <f>IF(H233,An,'2022'!An_max)</f>
        <v>2020</v>
      </c>
      <c r="K233" s="196">
        <f t="shared" si="79"/>
        <v>45145</v>
      </c>
      <c r="L233" s="147">
        <f>IF(t&lt;Tvie,1-EXP((T0-t)*PertePVj)+'2022'!Pspv,1-EXP((T0-t)*PertePVj)+Pspv)</f>
        <v>3.9456246072373947E-2</v>
      </c>
      <c r="M233" s="847"/>
      <c r="N233" s="847"/>
      <c r="O233" s="48">
        <f>IF(t&lt;Tnet,'2022'!Resal+('2022'!Salim-'2022'!Resal)*(1-EXP(('2022'!Tnet-t)/('2022'!Tau_j))),Resal+(Salim-Resal)*(1-EXP((Tnet-t)/(Tau_j))))*Salcycl</f>
        <v>6.6642846993941587E-2</v>
      </c>
      <c r="P233" s="168">
        <f>(INDEX(Models!$BJ233:$BT233,,T233)*(1-R233)+INDEX(Models!$BJ233:$BT233,,T233+1)*R233-ERP_i)*Q233*Ramure*Pc/MaxiM</f>
        <v>3.7467195279585201E-4</v>
      </c>
      <c r="Q233" s="304">
        <f t="shared" si="80"/>
        <v>0.5</v>
      </c>
      <c r="R233" s="176">
        <f t="shared" si="81"/>
        <v>0.30950076802140414</v>
      </c>
      <c r="S233" s="814">
        <f t="shared" si="82"/>
        <v>1</v>
      </c>
      <c r="T233" s="175">
        <f t="shared" si="83"/>
        <v>7</v>
      </c>
      <c r="U233" s="250">
        <f t="shared" si="84"/>
        <v>1.3095007680214041</v>
      </c>
      <c r="V233" s="382">
        <f t="shared" si="85"/>
        <v>49.911928283340437</v>
      </c>
      <c r="W233" s="401">
        <f t="shared" si="86"/>
        <v>48.693220048506099</v>
      </c>
      <c r="X233" s="157">
        <f t="shared" si="87"/>
        <v>45145</v>
      </c>
      <c r="Y233" s="384">
        <f t="shared" si="88"/>
        <v>47.754423836776361</v>
      </c>
      <c r="Z233" s="384">
        <f t="shared" si="89"/>
        <v>49.716031822090748</v>
      </c>
      <c r="AA233" s="385">
        <f t="shared" si="90"/>
        <v>54.312961327883812</v>
      </c>
      <c r="AB233" s="196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8.4637799033672578E-2</v>
      </c>
      <c r="AD233" s="230">
        <f>(INDEX(Models!$BJ233:$BT233,,AH233)*(1-AF233)+INDEX(Models!$BJ233:$BT233,,AH233+1)*AF233-ERP_i)*AE233*Ramure*Pc/MaxiM</f>
        <v>3.7467195279585201E-4</v>
      </c>
      <c r="AE233" s="304">
        <f t="shared" si="92"/>
        <v>0.5</v>
      </c>
      <c r="AF233" s="176">
        <f t="shared" si="93"/>
        <v>0.30950076802140414</v>
      </c>
      <c r="AG233" s="814">
        <f t="shared" si="99"/>
        <v>1</v>
      </c>
      <c r="AH233" s="175">
        <f t="shared" si="94"/>
        <v>7</v>
      </c>
      <c r="AI233" s="224">
        <f t="shared" si="95"/>
        <v>1.3095007680214041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10">
        <f>'2022'!Wh/'2022'!Env_an*'2023'!Env_an</f>
        <v>49.477170975542151</v>
      </c>
      <c r="C234" s="843"/>
      <c r="D234" s="392">
        <f t="shared" si="77"/>
        <v>51.510671034087487</v>
      </c>
      <c r="E234" s="384">
        <f t="shared" si="100"/>
        <v>55.190871171868025</v>
      </c>
      <c r="F234" s="384">
        <f t="shared" si="78"/>
        <v>55.210595614786612</v>
      </c>
      <c r="G234" s="110">
        <f t="shared" si="101"/>
        <v>0.99315610242184549</v>
      </c>
      <c r="H234" s="413" t="b">
        <f>Wh_hp&gt;='2022'!Maxi_hp</f>
        <v>0</v>
      </c>
      <c r="I234" s="389">
        <f>IF(H234,Wh_hp,'2022'!Maxi_hp)</f>
        <v>55.210634376515713</v>
      </c>
      <c r="J234" s="85">
        <f>IF(H234,An,'2022'!An_max)</f>
        <v>2022</v>
      </c>
      <c r="K234" s="196">
        <f t="shared" si="79"/>
        <v>45146</v>
      </c>
      <c r="L234" s="147">
        <f>IF(t&lt;Tvie,1-EXP((T0-t)*PertePVj)+'2022'!Pspv,1-EXP((T0-t)*PertePVj)+Pspv)</f>
        <v>3.9477258162675756E-2</v>
      </c>
      <c r="M234" s="847"/>
      <c r="N234" s="847"/>
      <c r="O234" s="48">
        <f>IF(t&lt;Tnet,'2022'!Resal+('2022'!Salim-'2022'!Resal)*(1-EXP(('2022'!Tnet-t)/('2022'!Tau_j))),Resal+(Salim-Resal)*(1-EXP((Tnet-t)/(Tau_j))))*Salcycl</f>
        <v>6.6681319929162777E-2</v>
      </c>
      <c r="P234" s="168">
        <f>(INDEX(Models!$BJ234:$BT234,,T234)*(1-R234)+INDEX(Models!$BJ234:$BT234,,T234+1)*R234-ERP_i)*Q234*Ramure*Pc/MaxiM</f>
        <v>3.6078386619603563E-4</v>
      </c>
      <c r="Q234" s="304">
        <f t="shared" si="80"/>
        <v>0.5</v>
      </c>
      <c r="R234" s="176">
        <f t="shared" si="81"/>
        <v>0.31043933238115695</v>
      </c>
      <c r="S234" s="814">
        <f t="shared" si="82"/>
        <v>1</v>
      </c>
      <c r="T234" s="175">
        <f t="shared" si="83"/>
        <v>7</v>
      </c>
      <c r="U234" s="250">
        <f t="shared" si="84"/>
        <v>1.310439332381157</v>
      </c>
      <c r="V234" s="382">
        <f t="shared" si="85"/>
        <v>49.817945393437512</v>
      </c>
      <c r="W234" s="401">
        <f t="shared" si="86"/>
        <v>49.477170975542151</v>
      </c>
      <c r="X234" s="157">
        <f t="shared" si="87"/>
        <v>45146</v>
      </c>
      <c r="Y234" s="384">
        <f t="shared" si="88"/>
        <v>48.524252939416677</v>
      </c>
      <c r="Z234" s="384">
        <f t="shared" si="89"/>
        <v>50.518588291410623</v>
      </c>
      <c r="AA234" s="385">
        <f t="shared" si="90"/>
        <v>55.190871171868025</v>
      </c>
      <c r="AB234" s="196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8.4656806121208072E-2</v>
      </c>
      <c r="AD234" s="230">
        <f>(INDEX(Models!$BJ234:$BT234,,AH234)*(1-AF234)+INDEX(Models!$BJ234:$BT234,,AH234+1)*AF234-ERP_i)*AE234*Ramure*Pc/MaxiM</f>
        <v>3.6078386619603563E-4</v>
      </c>
      <c r="AE234" s="304">
        <f t="shared" si="92"/>
        <v>0.5</v>
      </c>
      <c r="AF234" s="176">
        <f t="shared" si="93"/>
        <v>0.31043933238115695</v>
      </c>
      <c r="AG234" s="814">
        <f t="shared" si="99"/>
        <v>1</v>
      </c>
      <c r="AH234" s="175">
        <f t="shared" si="94"/>
        <v>7</v>
      </c>
      <c r="AI234" s="224">
        <f t="shared" si="95"/>
        <v>1.310439332381157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10">
        <f>'2022'!Wh/'2022'!Env_an*'2023'!Env_an</f>
        <v>47.824248226382402</v>
      </c>
      <c r="C235" s="843"/>
      <c r="D235" s="392">
        <f t="shared" si="77"/>
        <v>49.790902735868762</v>
      </c>
      <c r="E235" s="384">
        <f t="shared" si="100"/>
        <v>53.350421366530057</v>
      </c>
      <c r="F235" s="384">
        <f t="shared" si="78"/>
        <v>53.367993164322861</v>
      </c>
      <c r="G235" s="110">
        <f t="shared" si="101"/>
        <v>0.96181250251149097</v>
      </c>
      <c r="H235" s="413" t="b">
        <f>Wh_hp&gt;='2022'!Maxi_hp</f>
        <v>0</v>
      </c>
      <c r="I235" s="389">
        <f>IF(H235,Wh_hp,'2022'!Maxi_hp)</f>
        <v>55.479223820400136</v>
      </c>
      <c r="J235" s="85">
        <f>IF(H235,An,'2022'!An_max)</f>
        <v>2021</v>
      </c>
      <c r="K235" s="196">
        <f t="shared" si="79"/>
        <v>45147</v>
      </c>
      <c r="L235" s="147">
        <f>IF(t&lt;Tvie,1-EXP((T0-t)*PertePVj)+'2022'!Pspv,1-EXP((T0-t)*PertePVj)+Pspv)</f>
        <v>3.9498269792758924E-2</v>
      </c>
      <c r="M235" s="847"/>
      <c r="N235" s="847"/>
      <c r="O235" s="48">
        <f>IF(t&lt;Tnet,'2022'!Resal+('2022'!Salim-'2022'!Resal)*(1-EXP(('2022'!Tnet-t)/('2022'!Tau_j))),Resal+(Salim-Resal)*(1-EXP((Tnet-t)/(Tau_j))))*Salcycl</f>
        <v>6.6719597324387661E-2</v>
      </c>
      <c r="P235" s="168">
        <f>(INDEX(Models!$BJ235:$BT235,,T235)*(1-R235)+INDEX(Models!$BJ235:$BT235,,T235+1)*R235-ERP_i)*Q235*Ramure*Pc/MaxiM</f>
        <v>3.4824621796230692E-4</v>
      </c>
      <c r="Q235" s="304">
        <f t="shared" si="80"/>
        <v>0.5</v>
      </c>
      <c r="R235" s="176">
        <f t="shared" si="81"/>
        <v>0.31134614890233392</v>
      </c>
      <c r="S235" s="814">
        <f t="shared" si="82"/>
        <v>1</v>
      </c>
      <c r="T235" s="175">
        <f t="shared" si="83"/>
        <v>7</v>
      </c>
      <c r="U235" s="250">
        <f t="shared" si="84"/>
        <v>1.3113461489023339</v>
      </c>
      <c r="V235" s="382">
        <f t="shared" si="85"/>
        <v>49.722102456036488</v>
      </c>
      <c r="W235" s="401">
        <f t="shared" si="86"/>
        <v>47.824248226382402</v>
      </c>
      <c r="X235" s="157">
        <f t="shared" si="87"/>
        <v>45147</v>
      </c>
      <c r="Y235" s="384">
        <f t="shared" si="88"/>
        <v>46.904125787020867</v>
      </c>
      <c r="Z235" s="384">
        <f t="shared" si="89"/>
        <v>48.832942525674241</v>
      </c>
      <c r="AA235" s="385">
        <f t="shared" si="90"/>
        <v>53.350421366530057</v>
      </c>
      <c r="AB235" s="196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8.4675598151693302E-2</v>
      </c>
      <c r="AD235" s="230">
        <f>(INDEX(Models!$BJ235:$BT235,,AH235)*(1-AF235)+INDEX(Models!$BJ235:$BT235,,AH235+1)*AF235-ERP_i)*AE235*Ramure*Pc/MaxiM</f>
        <v>3.4824621796230692E-4</v>
      </c>
      <c r="AE235" s="304">
        <f t="shared" si="92"/>
        <v>0.5</v>
      </c>
      <c r="AF235" s="176">
        <f t="shared" si="93"/>
        <v>0.31134614890233392</v>
      </c>
      <c r="AG235" s="814">
        <f t="shared" si="99"/>
        <v>1</v>
      </c>
      <c r="AH235" s="175">
        <f t="shared" si="94"/>
        <v>7</v>
      </c>
      <c r="AI235" s="224">
        <f t="shared" si="95"/>
        <v>1.3113461489023339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10">
        <f>'2022'!Wh/'2022'!Env_an*'2023'!Env_an</f>
        <v>45.856942240750264</v>
      </c>
      <c r="C236" s="843"/>
      <c r="D236" s="392">
        <f t="shared" si="77"/>
        <v>47.743740537248875</v>
      </c>
      <c r="E236" s="384">
        <f t="shared" si="100"/>
        <v>51.158996400087716</v>
      </c>
      <c r="F236" s="384">
        <f t="shared" si="78"/>
        <v>51.174374852619515</v>
      </c>
      <c r="G236" s="110">
        <f t="shared" si="101"/>
        <v>0.92404675264463054</v>
      </c>
      <c r="H236" s="413" t="b">
        <f>Wh_hp&gt;='2022'!Maxi_hp</f>
        <v>0</v>
      </c>
      <c r="I236" s="389">
        <f>IF(H236,Wh_hp,'2022'!Maxi_hp)</f>
        <v>51.455396116933656</v>
      </c>
      <c r="J236" s="85">
        <f>IF(H236,An,'2022'!An_max)</f>
        <v>2021</v>
      </c>
      <c r="K236" s="196">
        <f t="shared" si="79"/>
        <v>45148</v>
      </c>
      <c r="L236" s="147">
        <f>IF(t&lt;Tvie,1-EXP((T0-t)*PertePVj)+'2022'!Pspv,1-EXP((T0-t)*PertePVj)+Pspv)</f>
        <v>3.9519280962633442E-2</v>
      </c>
      <c r="M236" s="847"/>
      <c r="N236" s="847"/>
      <c r="O236" s="48">
        <f>IF(t&lt;Tnet,'2022'!Resal+('2022'!Salim-'2022'!Resal)*(1-EXP(('2022'!Tnet-t)/('2022'!Tau_j))),Resal+(Salim-Resal)*(1-EXP((Tnet-t)/(Tau_j))))*Salcycl</f>
        <v>6.6757679062542874E-2</v>
      </c>
      <c r="P236" s="168">
        <f>(INDEX(Models!$BJ236:$BT236,,T236)*(1-R236)+INDEX(Models!$BJ236:$BT236,,T236+1)*R236-ERP_i)*Q236*Ramure*Pc/MaxiM</f>
        <v>3.3706797085783263E-4</v>
      </c>
      <c r="Q236" s="304">
        <f t="shared" si="80"/>
        <v>0.5</v>
      </c>
      <c r="R236" s="176">
        <f t="shared" si="81"/>
        <v>0.3122220741818722</v>
      </c>
      <c r="S236" s="814">
        <f t="shared" si="82"/>
        <v>1</v>
      </c>
      <c r="T236" s="175">
        <f t="shared" si="83"/>
        <v>7</v>
      </c>
      <c r="U236" s="250">
        <f t="shared" si="84"/>
        <v>1.3122220741818722</v>
      </c>
      <c r="V236" s="382">
        <f t="shared" si="85"/>
        <v>49.624399637459724</v>
      </c>
      <c r="W236" s="401">
        <f t="shared" si="86"/>
        <v>45.856942240750264</v>
      </c>
      <c r="X236" s="157">
        <f t="shared" si="87"/>
        <v>45148</v>
      </c>
      <c r="Y236" s="384">
        <f t="shared" si="88"/>
        <v>44.975592513803051</v>
      </c>
      <c r="Z236" s="384">
        <f t="shared" si="89"/>
        <v>46.826127398871108</v>
      </c>
      <c r="AA236" s="385">
        <f t="shared" si="90"/>
        <v>51.158996400087716</v>
      </c>
      <c r="AB236" s="196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8.4694175142364228E-2</v>
      </c>
      <c r="AD236" s="230">
        <f>(INDEX(Models!$BJ236:$BT236,,AH236)*(1-AF236)+INDEX(Models!$BJ236:$BT236,,AH236+1)*AF236-ERP_i)*AE236*Ramure*Pc/MaxiM</f>
        <v>3.3706797085783263E-4</v>
      </c>
      <c r="AE236" s="304">
        <f t="shared" si="92"/>
        <v>0.5</v>
      </c>
      <c r="AF236" s="176">
        <f t="shared" si="93"/>
        <v>0.3122220741818722</v>
      </c>
      <c r="AG236" s="814">
        <f t="shared" si="99"/>
        <v>1</v>
      </c>
      <c r="AH236" s="175">
        <f t="shared" si="94"/>
        <v>7</v>
      </c>
      <c r="AI236" s="224">
        <f t="shared" si="95"/>
        <v>1.3122220741818722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10">
        <f>'2022'!Wh/'2022'!Env_an*'2023'!Env_an</f>
        <v>42.200967038560144</v>
      </c>
      <c r="C237" s="843"/>
      <c r="D237" s="392">
        <f t="shared" si="77"/>
        <v>43.938300245867239</v>
      </c>
      <c r="E237" s="384">
        <f t="shared" si="100"/>
        <v>47.083252660563453</v>
      </c>
      <c r="F237" s="384">
        <f t="shared" si="78"/>
        <v>47.095408984475725</v>
      </c>
      <c r="G237" s="110">
        <f t="shared" si="101"/>
        <v>0.852058301420617</v>
      </c>
      <c r="H237" s="413" t="b">
        <f>Wh_hp&gt;='2022'!Maxi_hp</f>
        <v>0</v>
      </c>
      <c r="I237" s="389">
        <f>IF(H237,Wh_hp,'2022'!Maxi_hp)</f>
        <v>54.32605328693775</v>
      </c>
      <c r="J237" s="85">
        <f>IF(H237,An,'2022'!An_max)</f>
        <v>2018</v>
      </c>
      <c r="K237" s="196">
        <f t="shared" si="79"/>
        <v>45149</v>
      </c>
      <c r="L237" s="147">
        <f>IF(t&lt;Tvie,1-EXP((T0-t)*PertePVj)+'2022'!Pspv,1-EXP((T0-t)*PertePVj)+Pspv)</f>
        <v>3.9540291672309415E-2</v>
      </c>
      <c r="M237" s="847"/>
      <c r="N237" s="847"/>
      <c r="O237" s="48">
        <f>IF(t&lt;Tnet,'2022'!Resal+('2022'!Salim-'2022'!Resal)*(1-EXP(('2022'!Tnet-t)/('2022'!Tau_j))),Resal+(Salim-Resal)*(1-EXP((Tnet-t)/(Tau_j))))*Salcycl</f>
        <v>6.679556396345579E-2</v>
      </c>
      <c r="P237" s="168">
        <f>(INDEX(Models!$BJ237:$BT237,,T237)*(1-R237)+INDEX(Models!$BJ237:$BT237,,T237+1)*R237-ERP_i)*Q237*Ramure*Pc/MaxiM</f>
        <v>3.272581198080659E-4</v>
      </c>
      <c r="Q237" s="304">
        <f t="shared" si="80"/>
        <v>0.5</v>
      </c>
      <c r="R237" s="176">
        <f t="shared" si="81"/>
        <v>0.31306795784567765</v>
      </c>
      <c r="S237" s="814">
        <f t="shared" si="82"/>
        <v>1</v>
      </c>
      <c r="T237" s="175">
        <f t="shared" si="83"/>
        <v>7</v>
      </c>
      <c r="U237" s="250">
        <f t="shared" si="84"/>
        <v>1.3130679578456776</v>
      </c>
      <c r="V237" s="382">
        <f t="shared" si="85"/>
        <v>49.524837174188583</v>
      </c>
      <c r="W237" s="401">
        <f t="shared" si="86"/>
        <v>42.200967038560144</v>
      </c>
      <c r="X237" s="157">
        <f t="shared" si="87"/>
        <v>45149</v>
      </c>
      <c r="Y237" s="384">
        <f t="shared" si="88"/>
        <v>41.390733495847428</v>
      </c>
      <c r="Z237" s="384">
        <f t="shared" si="89"/>
        <v>43.094710935782118</v>
      </c>
      <c r="AA237" s="385">
        <f t="shared" si="90"/>
        <v>47.083252660563453</v>
      </c>
      <c r="AB237" s="196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8.4712535761619245E-2</v>
      </c>
      <c r="AD237" s="230">
        <f>(INDEX(Models!$BJ237:$BT237,,AH237)*(1-AF237)+INDEX(Models!$BJ237:$BT237,,AH237+1)*AF237-ERP_i)*AE237*Ramure*Pc/MaxiM</f>
        <v>3.272581198080659E-4</v>
      </c>
      <c r="AE237" s="304">
        <f t="shared" si="92"/>
        <v>0.5</v>
      </c>
      <c r="AF237" s="176">
        <f t="shared" si="93"/>
        <v>0.31306795784567765</v>
      </c>
      <c r="AG237" s="814">
        <f t="shared" si="99"/>
        <v>1</v>
      </c>
      <c r="AH237" s="175">
        <f t="shared" si="94"/>
        <v>7</v>
      </c>
      <c r="AI237" s="224">
        <f t="shared" si="95"/>
        <v>1.3130679578456776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10">
        <f>'2022'!Wh/'2022'!Env_an*'2023'!Env_an</f>
        <v>44.291116355704403</v>
      </c>
      <c r="C238" s="843"/>
      <c r="D238" s="392">
        <f t="shared" si="77"/>
        <v>46.115505804096649</v>
      </c>
      <c r="E238" s="384">
        <f t="shared" si="100"/>
        <v>49.41829077936147</v>
      </c>
      <c r="F238" s="384">
        <f t="shared" si="78"/>
        <v>49.431712903740362</v>
      </c>
      <c r="G238" s="110">
        <f t="shared" si="101"/>
        <v>0.89611413159513775</v>
      </c>
      <c r="H238" s="413" t="b">
        <f>Wh_hp&gt;='2022'!Maxi_hp</f>
        <v>0</v>
      </c>
      <c r="I238" s="389">
        <f>IF(H238,Wh_hp,'2022'!Maxi_hp)</f>
        <v>51.451294762618211</v>
      </c>
      <c r="J238" s="85">
        <f>IF(H238,An,'2022'!An_max)</f>
        <v>2018</v>
      </c>
      <c r="K238" s="196">
        <f t="shared" si="79"/>
        <v>45150</v>
      </c>
      <c r="L238" s="147">
        <f>IF(t&lt;Tvie,1-EXP((T0-t)*PertePVj)+'2022'!Pspv,1-EXP((T0-t)*PertePVj)+Pspv)</f>
        <v>3.9561301921796944E-2</v>
      </c>
      <c r="M238" s="847"/>
      <c r="N238" s="847"/>
      <c r="O238" s="48">
        <f>IF(t&lt;Tnet,'2022'!Resal+('2022'!Salim-'2022'!Resal)*(1-EXP(('2022'!Tnet-t)/('2022'!Tau_j))),Resal+(Salim-Resal)*(1-EXP((Tnet-t)/(Tau_j))))*Salcycl</f>
        <v>6.6833249859061458E-2</v>
      </c>
      <c r="P238" s="168">
        <f>(INDEX(Models!$BJ238:$BT238,,T238)*(1-R238)+INDEX(Models!$BJ238:$BT238,,T238+1)*R238-ERP_i)*Q238*Ramure*Pc/MaxiM</f>
        <v>3.1882570942216333E-4</v>
      </c>
      <c r="Q238" s="304">
        <f t="shared" si="80"/>
        <v>0.5</v>
      </c>
      <c r="R238" s="176">
        <f t="shared" si="81"/>
        <v>0.31388464123821747</v>
      </c>
      <c r="S238" s="814">
        <f t="shared" si="82"/>
        <v>1</v>
      </c>
      <c r="T238" s="175">
        <f t="shared" si="83"/>
        <v>7</v>
      </c>
      <c r="U238" s="250">
        <f t="shared" si="84"/>
        <v>1.3138846412382175</v>
      </c>
      <c r="V238" s="382">
        <f t="shared" si="85"/>
        <v>49.423415370813402</v>
      </c>
      <c r="W238" s="401">
        <f t="shared" si="86"/>
        <v>44.291116355704403</v>
      </c>
      <c r="X238" s="157">
        <f t="shared" si="87"/>
        <v>45150</v>
      </c>
      <c r="Y238" s="384">
        <f t="shared" si="88"/>
        <v>43.441646476127623</v>
      </c>
      <c r="Z238" s="384">
        <f t="shared" si="89"/>
        <v>45.231045524355181</v>
      </c>
      <c r="AA238" s="385">
        <f t="shared" si="90"/>
        <v>49.41829077936147</v>
      </c>
      <c r="AB238" s="196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8.4730677426727269E-2</v>
      </c>
      <c r="AD238" s="230">
        <f>(INDEX(Models!$BJ238:$BT238,,AH238)*(1-AF238)+INDEX(Models!$BJ238:$BT238,,AH238+1)*AF238-ERP_i)*AE238*Ramure*Pc/MaxiM</f>
        <v>3.1882570942216333E-4</v>
      </c>
      <c r="AE238" s="304">
        <f t="shared" si="92"/>
        <v>0.5</v>
      </c>
      <c r="AF238" s="176">
        <f t="shared" si="93"/>
        <v>0.31388464123821747</v>
      </c>
      <c r="AG238" s="814">
        <f t="shared" si="99"/>
        <v>1</v>
      </c>
      <c r="AH238" s="175">
        <f t="shared" si="94"/>
        <v>7</v>
      </c>
      <c r="AI238" s="224">
        <f t="shared" si="95"/>
        <v>1.3138846412382175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10">
        <f>'2022'!Wh/'2022'!Env_an*'2023'!Env_an</f>
        <v>30.854043126273371</v>
      </c>
      <c r="C239" s="843"/>
      <c r="D239" s="392">
        <f t="shared" si="77"/>
        <v>32.125650643985715</v>
      </c>
      <c r="E239" s="384">
        <f t="shared" si="100"/>
        <v>34.427867395342268</v>
      </c>
      <c r="F239" s="384">
        <f t="shared" si="78"/>
        <v>34.43286072664867</v>
      </c>
      <c r="G239" s="110">
        <f t="shared" si="101"/>
        <v>0.62548282384094633</v>
      </c>
      <c r="H239" s="413" t="b">
        <f>Wh_hp&gt;='2022'!Maxi_hp</f>
        <v>0</v>
      </c>
      <c r="I239" s="389">
        <f>IF(H239,Wh_hp,'2022'!Maxi_hp)</f>
        <v>51.299776685989691</v>
      </c>
      <c r="J239" s="85">
        <f>IF(H239,An,'2022'!An_max)</f>
        <v>2019</v>
      </c>
      <c r="K239" s="196">
        <f t="shared" si="79"/>
        <v>45151</v>
      </c>
      <c r="L239" s="147">
        <f>IF(t&lt;Tvie,1-EXP((T0-t)*PertePVj)+'2022'!Pspv,1-EXP((T0-t)*PertePVj)+Pspv)</f>
        <v>3.9582311711106134E-2</v>
      </c>
      <c r="M239" s="847"/>
      <c r="N239" s="847"/>
      <c r="O239" s="48">
        <f>IF(t&lt;Tnet,'2022'!Resal+('2022'!Salim-'2022'!Resal)*(1-EXP(('2022'!Tnet-t)/('2022'!Tau_j))),Resal+(Salim-Resal)*(1-EXP((Tnet-t)/(Tau_j))))*Salcycl</f>
        <v>6.6870733668156837E-2</v>
      </c>
      <c r="P239" s="168">
        <f>(INDEX(Models!$BJ239:$BT239,,T239)*(1-R239)+INDEX(Models!$BJ239:$BT239,,T239+1)*R239-ERP_i)*Q239*Ramure*Pc/MaxiM</f>
        <v>3.1177984839812084E-4</v>
      </c>
      <c r="Q239" s="304">
        <f t="shared" si="80"/>
        <v>0.5</v>
      </c>
      <c r="R239" s="176">
        <f t="shared" si="81"/>
        <v>0.31467295623486358</v>
      </c>
      <c r="S239" s="814">
        <f t="shared" si="82"/>
        <v>1</v>
      </c>
      <c r="T239" s="175">
        <f t="shared" si="83"/>
        <v>7</v>
      </c>
      <c r="U239" s="250">
        <f t="shared" si="84"/>
        <v>1.3146729562348636</v>
      </c>
      <c r="V239" s="382">
        <f t="shared" si="85"/>
        <v>49.320134589081817</v>
      </c>
      <c r="W239" s="401">
        <f t="shared" si="86"/>
        <v>30.854043126273371</v>
      </c>
      <c r="X239" s="157">
        <f t="shared" si="87"/>
        <v>45151</v>
      </c>
      <c r="Y239" s="384">
        <f t="shared" si="88"/>
        <v>30.262909220544234</v>
      </c>
      <c r="Z239" s="384">
        <f t="shared" si="89"/>
        <v>31.510153956515996</v>
      </c>
      <c r="AA239" s="385">
        <f t="shared" si="90"/>
        <v>34.427867395342268</v>
      </c>
      <c r="AB239" s="196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8.4748596400746307E-2</v>
      </c>
      <c r="AD239" s="230">
        <f>(INDEX(Models!$BJ239:$BT239,,AH239)*(1-AF239)+INDEX(Models!$BJ239:$BT239,,AH239+1)*AF239-ERP_i)*AE239*Ramure*Pc/MaxiM</f>
        <v>3.1177984839812084E-4</v>
      </c>
      <c r="AE239" s="304">
        <f t="shared" si="92"/>
        <v>0.5</v>
      </c>
      <c r="AF239" s="176">
        <f t="shared" si="93"/>
        <v>0.31467295623486358</v>
      </c>
      <c r="AG239" s="814">
        <f t="shared" si="99"/>
        <v>1</v>
      </c>
      <c r="AH239" s="175">
        <f t="shared" si="94"/>
        <v>7</v>
      </c>
      <c r="AI239" s="224">
        <f t="shared" si="95"/>
        <v>1.3146729562348636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10">
        <f>'2022'!Wh/'2022'!Env_an*'2023'!Env_an</f>
        <v>32.079585973926804</v>
      </c>
      <c r="C240" s="843"/>
      <c r="D240" s="392">
        <f t="shared" si="77"/>
        <v>33.402433261924216</v>
      </c>
      <c r="E240" s="384">
        <f t="shared" si="100"/>
        <v>35.797578022864698</v>
      </c>
      <c r="F240" s="384">
        <f t="shared" si="78"/>
        <v>35.803105274893838</v>
      </c>
      <c r="G240" s="110">
        <f t="shared" si="101"/>
        <v>0.65172651067713838</v>
      </c>
      <c r="H240" s="413" t="b">
        <f>Wh_hp&gt;='2022'!Maxi_hp</f>
        <v>0</v>
      </c>
      <c r="I240" s="389">
        <f>IF(H240,Wh_hp,'2022'!Maxi_hp)</f>
        <v>56.168421438709679</v>
      </c>
      <c r="J240" s="85">
        <f>IF(H240,An,'2022'!An_max)</f>
        <v>2019</v>
      </c>
      <c r="K240" s="196">
        <f t="shared" si="79"/>
        <v>45152</v>
      </c>
      <c r="L240" s="147">
        <f>IF(t&lt;Tvie,1-EXP((T0-t)*PertePVj)+'2022'!Pspv,1-EXP((T0-t)*PertePVj)+Pspv)</f>
        <v>3.9603321040246976E-2</v>
      </c>
      <c r="M240" s="847"/>
      <c r="N240" s="847"/>
      <c r="O240" s="48">
        <f>IF(t&lt;Tnet,'2022'!Resal+('2022'!Salim-'2022'!Resal)*(1-EXP(('2022'!Tnet-t)/('2022'!Tau_j))),Resal+(Salim-Resal)*(1-EXP((Tnet-t)/(Tau_j))))*Salcycl</f>
        <v>6.6908011469676856E-2</v>
      </c>
      <c r="P240" s="168">
        <f>(INDEX(Models!$BJ240:$BT240,,T240)*(1-R240)+INDEX(Models!$BJ240:$BT240,,T240+1)*R240-ERP_i)*Q240*Ramure*Pc/MaxiM</f>
        <v>3.0715567661528651E-4</v>
      </c>
      <c r="Q240" s="304">
        <f t="shared" si="80"/>
        <v>0.5</v>
      </c>
      <c r="R240" s="176">
        <f t="shared" si="81"/>
        <v>0.31543372417143289</v>
      </c>
      <c r="S240" s="814">
        <f t="shared" si="82"/>
        <v>1</v>
      </c>
      <c r="T240" s="175">
        <f t="shared" si="83"/>
        <v>7</v>
      </c>
      <c r="U240" s="250">
        <f t="shared" si="84"/>
        <v>1.3154337241714329</v>
      </c>
      <c r="V240" s="382">
        <f t="shared" si="85"/>
        <v>49.21494474011363</v>
      </c>
      <c r="W240" s="401">
        <f t="shared" si="86"/>
        <v>32.079585973926804</v>
      </c>
      <c r="X240" s="157">
        <f t="shared" si="87"/>
        <v>45152</v>
      </c>
      <c r="Y240" s="384">
        <f t="shared" si="88"/>
        <v>31.465620662115008</v>
      </c>
      <c r="Z240" s="384">
        <f t="shared" si="89"/>
        <v>32.763150218508436</v>
      </c>
      <c r="AA240" s="385">
        <f t="shared" si="90"/>
        <v>35.797578022864698</v>
      </c>
      <c r="AB240" s="196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8.4766287887356795E-2</v>
      </c>
      <c r="AD240" s="230">
        <f>(INDEX(Models!$BJ240:$BT240,,AH240)*(1-AF240)+INDEX(Models!$BJ240:$BT240,,AH240+1)*AF240-ERP_i)*AE240*Ramure*Pc/MaxiM</f>
        <v>3.0715567661528651E-4</v>
      </c>
      <c r="AE240" s="304">
        <f t="shared" si="92"/>
        <v>0.5</v>
      </c>
      <c r="AF240" s="176">
        <f t="shared" si="93"/>
        <v>0.31543372417143289</v>
      </c>
      <c r="AG240" s="814">
        <f t="shared" si="99"/>
        <v>1</v>
      </c>
      <c r="AH240" s="175">
        <f t="shared" si="94"/>
        <v>7</v>
      </c>
      <c r="AI240" s="224">
        <f t="shared" si="95"/>
        <v>1.3154337241714329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10">
        <f>'2022'!Wh/'2022'!Env_an*'2023'!Env_an</f>
        <v>36.784648729278921</v>
      </c>
      <c r="C241" s="843"/>
      <c r="D241" s="392">
        <f t="shared" si="77"/>
        <v>38.30235383389315</v>
      </c>
      <c r="E241" s="384">
        <f t="shared" si="100"/>
        <v>41.050481546504813</v>
      </c>
      <c r="F241" s="384">
        <f t="shared" si="78"/>
        <v>41.058508627463922</v>
      </c>
      <c r="G241" s="110">
        <f t="shared" si="101"/>
        <v>0.74897646834190845</v>
      </c>
      <c r="H241" s="413" t="b">
        <f>Wh_hp&gt;='2022'!Maxi_hp</f>
        <v>0</v>
      </c>
      <c r="I241" s="389">
        <f>IF(H241,Wh_hp,'2022'!Maxi_hp)</f>
        <v>54.459997130630313</v>
      </c>
      <c r="J241" s="85">
        <f>IF(H241,An,'2022'!An_max)</f>
        <v>2018</v>
      </c>
      <c r="K241" s="196">
        <f t="shared" si="79"/>
        <v>45153</v>
      </c>
      <c r="L241" s="147">
        <f>IF(t&lt;Tvie,1-EXP((T0-t)*PertePVj)+'2022'!Pspv,1-EXP((T0-t)*PertePVj)+Pspv)</f>
        <v>3.9624329909229573E-2</v>
      </c>
      <c r="M241" s="847"/>
      <c r="N241" s="847"/>
      <c r="O241" s="48">
        <f>IF(t&lt;Tnet,'2022'!Resal+('2022'!Salim-'2022'!Resal)*(1-EXP(('2022'!Tnet-t)/('2022'!Tau_j))),Resal+(Salim-Resal)*(1-EXP((Tnet-t)/(Tau_j))))*Salcycl</f>
        <v>6.6945078573521569E-2</v>
      </c>
      <c r="P241" s="168">
        <f>(INDEX(Models!$BJ241:$BT241,,T241)*(1-R241)+INDEX(Models!$BJ241:$BT241,,T241+1)*R241-ERP_i)*Q241*Ramure*Pc/MaxiM</f>
        <v>3.0475424657698091E-4</v>
      </c>
      <c r="Q241" s="304">
        <f t="shared" si="80"/>
        <v>0.5</v>
      </c>
      <c r="R241" s="176">
        <f t="shared" si="81"/>
        <v>0.31616775488525706</v>
      </c>
      <c r="S241" s="814">
        <f t="shared" si="82"/>
        <v>1</v>
      </c>
      <c r="T241" s="175">
        <f t="shared" si="83"/>
        <v>7</v>
      </c>
      <c r="U241" s="250">
        <f t="shared" si="84"/>
        <v>1.3161677548852571</v>
      </c>
      <c r="V241" s="382">
        <f t="shared" si="85"/>
        <v>49.10785685093051</v>
      </c>
      <c r="W241" s="401">
        <f t="shared" si="86"/>
        <v>36.784648729278921</v>
      </c>
      <c r="X241" s="157">
        <f t="shared" si="87"/>
        <v>45153</v>
      </c>
      <c r="Y241" s="384">
        <f t="shared" si="88"/>
        <v>36.081379174063287</v>
      </c>
      <c r="Z241" s="384">
        <f t="shared" si="89"/>
        <v>37.570067940864263</v>
      </c>
      <c r="AA241" s="385">
        <f t="shared" si="90"/>
        <v>41.050481546504813</v>
      </c>
      <c r="AB241" s="196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8.4783746122385872E-2</v>
      </c>
      <c r="AD241" s="230">
        <f>(INDEX(Models!$BJ241:$BT241,,AH241)*(1-AF241)+INDEX(Models!$BJ241:$BT241,,AH241+1)*AF241-ERP_i)*AE241*Ramure*Pc/MaxiM</f>
        <v>3.0475424657698091E-4</v>
      </c>
      <c r="AE241" s="304">
        <f t="shared" si="92"/>
        <v>0.5</v>
      </c>
      <c r="AF241" s="176">
        <f t="shared" si="93"/>
        <v>0.31616775488525706</v>
      </c>
      <c r="AG241" s="814">
        <f t="shared" si="99"/>
        <v>1</v>
      </c>
      <c r="AH241" s="175">
        <f t="shared" si="94"/>
        <v>7</v>
      </c>
      <c r="AI241" s="224">
        <f t="shared" si="95"/>
        <v>1.3161677548852571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10">
        <f>'2022'!Wh/'2022'!Env_an*'2023'!Env_an</f>
        <v>30.901034322259591</v>
      </c>
      <c r="C242" s="843"/>
      <c r="D242" s="392">
        <f t="shared" si="77"/>
        <v>32.176690086702408</v>
      </c>
      <c r="E242" s="384">
        <f t="shared" si="100"/>
        <v>34.486674060337229</v>
      </c>
      <c r="F242" s="384">
        <f t="shared" si="78"/>
        <v>34.491636524452119</v>
      </c>
      <c r="G242" s="110">
        <f t="shared" si="101"/>
        <v>0.6305465086637474</v>
      </c>
      <c r="H242" s="413" t="b">
        <f>Wh_hp&gt;='2022'!Maxi_hp</f>
        <v>0</v>
      </c>
      <c r="I242" s="389">
        <f>IF(H242,Wh_hp,'2022'!Maxi_hp)</f>
        <v>55.604090749056766</v>
      </c>
      <c r="J242" s="85">
        <f>IF(H242,An,'2022'!An_max)</f>
        <v>2019</v>
      </c>
      <c r="K242" s="196">
        <f t="shared" si="79"/>
        <v>45154</v>
      </c>
      <c r="L242" s="147">
        <f>IF(t&lt;Tvie,1-EXP((T0-t)*PertePVj)+'2022'!Pspv,1-EXP((T0-t)*PertePVj)+Pspv)</f>
        <v>3.9645338318064029E-2</v>
      </c>
      <c r="M242" s="847"/>
      <c r="N242" s="847"/>
      <c r="O242" s="48">
        <f>IF(t&lt;Tnet,'2022'!Resal+('2022'!Salim-'2022'!Resal)*(1-EXP(('2022'!Tnet-t)/('2022'!Tau_j))),Resal+(Salim-Resal)*(1-EXP((Tnet-t)/(Tau_j))))*Salcycl</f>
        <v>6.6981929588029315E-2</v>
      </c>
      <c r="P242" s="168">
        <f>(INDEX(Models!$BJ242:$BT242,,T242)*(1-R242)+INDEX(Models!$BJ242:$BT242,,T242+1)*R242-ERP_i)*Q242*Ramure*Pc/MaxiM</f>
        <v>3.0459016642160407E-4</v>
      </c>
      <c r="Q242" s="304">
        <f t="shared" si="80"/>
        <v>0.5</v>
      </c>
      <c r="R242" s="176">
        <f t="shared" si="81"/>
        <v>0.31687584586206841</v>
      </c>
      <c r="S242" s="814">
        <f t="shared" si="82"/>
        <v>1</v>
      </c>
      <c r="T242" s="175">
        <f t="shared" si="83"/>
        <v>7</v>
      </c>
      <c r="U242" s="250">
        <f t="shared" si="84"/>
        <v>1.3168758458620684</v>
      </c>
      <c r="V242" s="382">
        <f t="shared" si="85"/>
        <v>48.998871455554024</v>
      </c>
      <c r="W242" s="401">
        <f t="shared" si="86"/>
        <v>30.901034322259591</v>
      </c>
      <c r="X242" s="157">
        <f t="shared" si="87"/>
        <v>45154</v>
      </c>
      <c r="Y242" s="384">
        <f t="shared" si="88"/>
        <v>30.310877898008805</v>
      </c>
      <c r="Z242" s="384">
        <f t="shared" si="89"/>
        <v>31.562170838972399</v>
      </c>
      <c r="AA242" s="385">
        <f t="shared" si="90"/>
        <v>34.486674060337229</v>
      </c>
      <c r="AB242" s="196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8.4800964460886363E-2</v>
      </c>
      <c r="AD242" s="230">
        <f>(INDEX(Models!$BJ242:$BT242,,AH242)*(1-AF242)+INDEX(Models!$BJ242:$BT242,,AH242+1)*AF242-ERP_i)*AE242*Ramure*Pc/MaxiM</f>
        <v>3.0459016642160407E-4</v>
      </c>
      <c r="AE242" s="304">
        <f t="shared" si="92"/>
        <v>0.5</v>
      </c>
      <c r="AF242" s="176">
        <f t="shared" si="93"/>
        <v>0.31687584586206841</v>
      </c>
      <c r="AG242" s="814">
        <f t="shared" si="99"/>
        <v>1</v>
      </c>
      <c r="AH242" s="175">
        <f t="shared" si="94"/>
        <v>7</v>
      </c>
      <c r="AI242" s="224">
        <f t="shared" si="95"/>
        <v>1.3168758458620684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10">
        <f>'2022'!Wh/'2022'!Env_an*'2023'!Env_an</f>
        <v>21.24221816892803</v>
      </c>
      <c r="C243" s="843"/>
      <c r="D243" s="392">
        <f t="shared" si="77"/>
        <v>22.119622785633073</v>
      </c>
      <c r="E243" s="384">
        <f t="shared" si="100"/>
        <v>23.708534598151871</v>
      </c>
      <c r="F243" s="384">
        <f t="shared" si="78"/>
        <v>23.709931812522086</v>
      </c>
      <c r="G243" s="110">
        <f t="shared" si="101"/>
        <v>0.43440025867528614</v>
      </c>
      <c r="H243" s="413" t="b">
        <f>Wh_hp&gt;='2022'!Maxi_hp</f>
        <v>0</v>
      </c>
      <c r="I243" s="389">
        <f>IF(H243,Wh_hp,'2022'!Maxi_hp)</f>
        <v>54.149035020517147</v>
      </c>
      <c r="J243" s="85">
        <f>IF(H243,An,'2022'!An_max)</f>
        <v>2019</v>
      </c>
      <c r="K243" s="196">
        <f t="shared" si="79"/>
        <v>45155</v>
      </c>
      <c r="L243" s="147">
        <f>IF(t&lt;Tvie,1-EXP((T0-t)*PertePVj)+'2022'!Pspv,1-EXP((T0-t)*PertePVj)+Pspv)</f>
        <v>3.9666346266760334E-2</v>
      </c>
      <c r="M243" s="847"/>
      <c r="N243" s="847"/>
      <c r="O243" s="48">
        <f>IF(t&lt;Tnet,'2022'!Resal+('2022'!Salim-'2022'!Resal)*(1-EXP(('2022'!Tnet-t)/('2022'!Tau_j))),Resal+(Salim-Resal)*(1-EXP((Tnet-t)/(Tau_j))))*Salcycl</f>
        <v>6.7018558483266918E-2</v>
      </c>
      <c r="P243" s="168">
        <f>(INDEX(Models!$BJ243:$BT243,,T243)*(1-R243)+INDEX(Models!$BJ243:$BT243,,T243+1)*R243-ERP_i)*Q243*Ramure*Pc/MaxiM</f>
        <v>3.0667822557787149E-4</v>
      </c>
      <c r="Q243" s="304">
        <f t="shared" si="80"/>
        <v>0.5</v>
      </c>
      <c r="R243" s="176">
        <f t="shared" si="81"/>
        <v>0.31755878148297989</v>
      </c>
      <c r="S243" s="814">
        <f t="shared" si="82"/>
        <v>1</v>
      </c>
      <c r="T243" s="175">
        <f t="shared" si="83"/>
        <v>7</v>
      </c>
      <c r="U243" s="250">
        <f t="shared" si="84"/>
        <v>1.3175587814829799</v>
      </c>
      <c r="V243" s="382">
        <f t="shared" si="85"/>
        <v>48.887989134748032</v>
      </c>
      <c r="W243" s="401">
        <f t="shared" si="86"/>
        <v>21.24221816892803</v>
      </c>
      <c r="X243" s="157">
        <f t="shared" si="87"/>
        <v>45155</v>
      </c>
      <c r="Y243" s="384">
        <f t="shared" si="88"/>
        <v>20.83696010895078</v>
      </c>
      <c r="Z243" s="384">
        <f t="shared" si="89"/>
        <v>21.697625640784683</v>
      </c>
      <c r="AA243" s="385">
        <f t="shared" si="90"/>
        <v>23.708534598151871</v>
      </c>
      <c r="AB243" s="196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8.4817935458733132E-2</v>
      </c>
      <c r="AD243" s="230">
        <f>(INDEX(Models!$BJ243:$BT243,,AH243)*(1-AF243)+INDEX(Models!$BJ243:$BT243,,AH243+1)*AF243-ERP_i)*AE243*Ramure*Pc/MaxiM</f>
        <v>3.0667822557787149E-4</v>
      </c>
      <c r="AE243" s="304">
        <f t="shared" si="92"/>
        <v>0.5</v>
      </c>
      <c r="AF243" s="176">
        <f t="shared" si="93"/>
        <v>0.31755878148297989</v>
      </c>
      <c r="AG243" s="814">
        <f t="shared" si="99"/>
        <v>1</v>
      </c>
      <c r="AH243" s="175">
        <f t="shared" si="94"/>
        <v>7</v>
      </c>
      <c r="AI243" s="224">
        <f t="shared" si="95"/>
        <v>1.3175587814829799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10">
        <f>'2022'!Wh/'2022'!Env_an*'2023'!Env_an</f>
        <v>36.964315679677178</v>
      </c>
      <c r="C244" s="843"/>
      <c r="D244" s="392">
        <f t="shared" si="77"/>
        <v>38.491959701069376</v>
      </c>
      <c r="E244" s="384">
        <f t="shared" si="100"/>
        <v>41.258550069943404</v>
      </c>
      <c r="F244" s="384">
        <f t="shared" si="78"/>
        <v>41.26694534547736</v>
      </c>
      <c r="G244" s="110">
        <f t="shared" si="101"/>
        <v>0.7577689014081026</v>
      </c>
      <c r="H244" s="413" t="b">
        <f>Wh_hp&gt;='2022'!Maxi_hp</f>
        <v>0</v>
      </c>
      <c r="I244" s="389">
        <f>IF(H244,Wh_hp,'2022'!Maxi_hp)</f>
        <v>52.532669315171944</v>
      </c>
      <c r="J244" s="85">
        <f>IF(H244,An,'2022'!An_max)</f>
        <v>2021</v>
      </c>
      <c r="K244" s="196">
        <f t="shared" si="79"/>
        <v>45156</v>
      </c>
      <c r="L244" s="147">
        <f>IF(t&lt;Tvie,1-EXP((T0-t)*PertePVj)+'2022'!Pspv,1-EXP((T0-t)*PertePVj)+Pspv)</f>
        <v>3.9687353755328815E-2</v>
      </c>
      <c r="M244" s="847"/>
      <c r="N244" s="847"/>
      <c r="O244" s="48">
        <f>IF(t&lt;Tnet,'2022'!Resal+('2022'!Salim-'2022'!Resal)*(1-EXP(('2022'!Tnet-t)/('2022'!Tau_j))),Resal+(Salim-Resal)*(1-EXP((Tnet-t)/(Tau_j))))*Salcycl</f>
        <v>6.7054958649394494E-2</v>
      </c>
      <c r="P244" s="168">
        <f>(INDEX(Models!$BJ244:$BT244,,T244)*(1-R244)+INDEX(Models!$BJ244:$BT244,,T244+1)*R244-ERP_i)*Q244*Ramure*Pc/MaxiM</f>
        <v>3.1103339269421466E-4</v>
      </c>
      <c r="Q244" s="304">
        <f t="shared" si="80"/>
        <v>0.5</v>
      </c>
      <c r="R244" s="176">
        <f t="shared" si="81"/>
        <v>0.31821733236586813</v>
      </c>
      <c r="S244" s="814">
        <f t="shared" si="82"/>
        <v>1</v>
      </c>
      <c r="T244" s="175">
        <f t="shared" si="83"/>
        <v>7</v>
      </c>
      <c r="U244" s="250">
        <f t="shared" si="84"/>
        <v>1.3182173323658681</v>
      </c>
      <c r="V244" s="382">
        <f t="shared" si="85"/>
        <v>48.775210517679696</v>
      </c>
      <c r="W244" s="401">
        <f t="shared" si="86"/>
        <v>36.964315679677178</v>
      </c>
      <c r="X244" s="157">
        <f t="shared" si="87"/>
        <v>45156</v>
      </c>
      <c r="Y244" s="384">
        <f t="shared" si="88"/>
        <v>36.259864581620228</v>
      </c>
      <c r="Z244" s="384">
        <f t="shared" si="89"/>
        <v>37.758395376146943</v>
      </c>
      <c r="AA244" s="385">
        <f t="shared" si="90"/>
        <v>41.258550069943404</v>
      </c>
      <c r="AB244" s="196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8.4834650947811729E-2</v>
      </c>
      <c r="AD244" s="230">
        <f>(INDEX(Models!$BJ244:$BT244,,AH244)*(1-AF244)+INDEX(Models!$BJ244:$BT244,,AH244+1)*AF244-ERP_i)*AE244*Ramure*Pc/MaxiM</f>
        <v>3.1103339269421466E-4</v>
      </c>
      <c r="AE244" s="304">
        <f t="shared" si="92"/>
        <v>0.5</v>
      </c>
      <c r="AF244" s="176">
        <f t="shared" si="93"/>
        <v>0.31821733236586813</v>
      </c>
      <c r="AG244" s="814">
        <f t="shared" si="99"/>
        <v>1</v>
      </c>
      <c r="AH244" s="175">
        <f t="shared" si="94"/>
        <v>7</v>
      </c>
      <c r="AI244" s="224">
        <f t="shared" si="95"/>
        <v>1.3182173323658681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10">
        <f>'2022'!Wh/'2022'!Env_an*'2023'!Env_an</f>
        <v>38.274751229930615</v>
      </c>
      <c r="C245" s="843"/>
      <c r="D245" s="392">
        <f t="shared" si="77"/>
        <v>39.857424210388878</v>
      </c>
      <c r="E245" s="384">
        <f t="shared" si="100"/>
        <v>42.723812786947541</v>
      </c>
      <c r="F245" s="384">
        <f t="shared" si="78"/>
        <v>42.733248776505555</v>
      </c>
      <c r="G245" s="110">
        <f t="shared" si="101"/>
        <v>0.78649036920420501</v>
      </c>
      <c r="H245" s="413" t="b">
        <f>Wh_hp&gt;='2022'!Maxi_hp</f>
        <v>0</v>
      </c>
      <c r="I245" s="389">
        <f>IF(H245,Wh_hp,'2022'!Maxi_hp)</f>
        <v>51.308352268844715</v>
      </c>
      <c r="J245" s="85">
        <f>IF(H245,An,'2022'!An_max)</f>
        <v>2018</v>
      </c>
      <c r="K245" s="196">
        <f t="shared" si="79"/>
        <v>45157</v>
      </c>
      <c r="L245" s="147">
        <f>IF(t&lt;Tvie,1-EXP((T0-t)*PertePVj)+'2022'!Pspv,1-EXP((T0-t)*PertePVj)+Pspv)</f>
        <v>3.9708360783779241E-2</v>
      </c>
      <c r="M245" s="847"/>
      <c r="N245" s="847"/>
      <c r="O245" s="48">
        <f>IF(t&lt;Tnet,'2022'!Resal+('2022'!Salim-'2022'!Resal)*(1-EXP(('2022'!Tnet-t)/('2022'!Tau_j))),Resal+(Salim-Resal)*(1-EXP((Tnet-t)/(Tau_j))))*Salcycl</f>
        <v>6.7091122949456489E-2</v>
      </c>
      <c r="P245" s="168">
        <f>(INDEX(Models!$BJ245:$BT245,,T245)*(1-R245)+INDEX(Models!$BJ245:$BT245,,T245+1)*R245-ERP_i)*Q245*Ramure*Pc/MaxiM</f>
        <v>3.176708107074488E-4</v>
      </c>
      <c r="Q245" s="304">
        <f t="shared" si="80"/>
        <v>0.5</v>
      </c>
      <c r="R245" s="176">
        <f t="shared" si="81"/>
        <v>0.3188522547955317</v>
      </c>
      <c r="S245" s="814">
        <f t="shared" si="82"/>
        <v>1</v>
      </c>
      <c r="T245" s="175">
        <f t="shared" si="83"/>
        <v>7</v>
      </c>
      <c r="U245" s="250">
        <f t="shared" si="84"/>
        <v>1.3188522547955317</v>
      </c>
      <c r="V245" s="382">
        <f t="shared" si="85"/>
        <v>48.660536277099979</v>
      </c>
      <c r="W245" s="401">
        <f t="shared" si="86"/>
        <v>38.274751229930615</v>
      </c>
      <c r="X245" s="157">
        <f t="shared" si="87"/>
        <v>45157</v>
      </c>
      <c r="Y245" s="384">
        <f t="shared" si="88"/>
        <v>37.546106878150155</v>
      </c>
      <c r="Z245" s="384">
        <f t="shared" si="89"/>
        <v>39.098650185890264</v>
      </c>
      <c r="AA245" s="385">
        <f t="shared" si="90"/>
        <v>42.723812786947541</v>
      </c>
      <c r="AB245" s="196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8.4851102103995601E-2</v>
      </c>
      <c r="AD245" s="230">
        <f>(INDEX(Models!$BJ245:$BT245,,AH245)*(1-AF245)+INDEX(Models!$BJ245:$BT245,,AH245+1)*AF245-ERP_i)*AE245*Ramure*Pc/MaxiM</f>
        <v>3.176708107074488E-4</v>
      </c>
      <c r="AE245" s="304">
        <f t="shared" si="92"/>
        <v>0.5</v>
      </c>
      <c r="AF245" s="176">
        <f t="shared" si="93"/>
        <v>0.3188522547955317</v>
      </c>
      <c r="AG245" s="814">
        <f t="shared" si="99"/>
        <v>1</v>
      </c>
      <c r="AH245" s="175">
        <f t="shared" si="94"/>
        <v>7</v>
      </c>
      <c r="AI245" s="224">
        <f t="shared" si="95"/>
        <v>1.3188522547955317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10">
        <f>'2022'!Wh/'2022'!Env_an*'2023'!Env_an</f>
        <v>45.584204344624538</v>
      </c>
      <c r="C246" s="843"/>
      <c r="D246" s="392">
        <f t="shared" si="77"/>
        <v>47.4701639254856</v>
      </c>
      <c r="E246" s="384">
        <f t="shared" si="100"/>
        <v>50.885990003531596</v>
      </c>
      <c r="F246" s="384">
        <f t="shared" si="78"/>
        <v>50.901166597038419</v>
      </c>
      <c r="G246" s="110">
        <f t="shared" si="101"/>
        <v>0.93900251436193027</v>
      </c>
      <c r="H246" s="413" t="b">
        <f>Wh_hp&gt;='2022'!Maxi_hp</f>
        <v>0</v>
      </c>
      <c r="I246" s="389">
        <f>IF(H246,Wh_hp,'2022'!Maxi_hp)</f>
        <v>52.975167716922265</v>
      </c>
      <c r="J246" s="85">
        <f>IF(H246,An,'2022'!An_max)</f>
        <v>2021</v>
      </c>
      <c r="K246" s="196">
        <f t="shared" si="79"/>
        <v>45158</v>
      </c>
      <c r="L246" s="147">
        <f>IF(t&lt;Tvie,1-EXP((T0-t)*PertePVj)+'2022'!Pspv,1-EXP((T0-t)*PertePVj)+Pspv)</f>
        <v>3.9729367352121937E-2</v>
      </c>
      <c r="M246" s="847"/>
      <c r="N246" s="847"/>
      <c r="O246" s="48">
        <f>IF(t&lt;Tnet,'2022'!Resal+('2022'!Salim-'2022'!Resal)*(1-EXP(('2022'!Tnet-t)/('2022'!Tau_j))),Resal+(Salim-Resal)*(1-EXP((Tnet-t)/(Tau_j))))*Salcycl</f>
        <v>6.7127043766052913E-2</v>
      </c>
      <c r="P246" s="168">
        <f>(INDEX(Models!$BJ246:$BT246,,T246)*(1-R246)+INDEX(Models!$BJ246:$BT246,,T246+1)*R246-ERP_i)*Q246*Ramure*Pc/MaxiM</f>
        <v>3.2660578920787862E-4</v>
      </c>
      <c r="Q246" s="304">
        <f t="shared" si="80"/>
        <v>0.5</v>
      </c>
      <c r="R246" s="176">
        <f t="shared" si="81"/>
        <v>0.31946429023710277</v>
      </c>
      <c r="S246" s="814">
        <f t="shared" si="82"/>
        <v>1</v>
      </c>
      <c r="T246" s="175">
        <f t="shared" si="83"/>
        <v>7</v>
      </c>
      <c r="U246" s="250">
        <f t="shared" si="84"/>
        <v>1.3194642902371028</v>
      </c>
      <c r="V246" s="382">
        <f t="shared" si="85"/>
        <v>48.543967128905095</v>
      </c>
      <c r="W246" s="401">
        <f t="shared" si="86"/>
        <v>45.584204344624538</v>
      </c>
      <c r="X246" s="157">
        <f t="shared" si="87"/>
        <v>45158</v>
      </c>
      <c r="Y246" s="384">
        <f t="shared" si="88"/>
        <v>44.717339756317941</v>
      </c>
      <c r="Z246" s="384">
        <f t="shared" si="89"/>
        <v>46.567434466899243</v>
      </c>
      <c r="AA246" s="385">
        <f t="shared" si="90"/>
        <v>50.885990003531596</v>
      </c>
      <c r="AB246" s="196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8.486727950724024E-2</v>
      </c>
      <c r="AD246" s="230">
        <f>(INDEX(Models!$BJ246:$BT246,,AH246)*(1-AF246)+INDEX(Models!$BJ246:$BT246,,AH246+1)*AF246-ERP_i)*AE246*Ramure*Pc/MaxiM</f>
        <v>3.2660578920787862E-4</v>
      </c>
      <c r="AE246" s="304">
        <f t="shared" si="92"/>
        <v>0.5</v>
      </c>
      <c r="AF246" s="176">
        <f t="shared" si="93"/>
        <v>0.31946429023710277</v>
      </c>
      <c r="AG246" s="814">
        <f t="shared" si="99"/>
        <v>1</v>
      </c>
      <c r="AH246" s="175">
        <f t="shared" si="94"/>
        <v>7</v>
      </c>
      <c r="AI246" s="224">
        <f t="shared" si="95"/>
        <v>1.3194642902371028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10">
        <f>'2022'!Wh/'2022'!Env_an*'2023'!Env_an</f>
        <v>30.731369981300325</v>
      </c>
      <c r="C247" s="843"/>
      <c r="D247" s="392">
        <f t="shared" si="77"/>
        <v>32.003521930067549</v>
      </c>
      <c r="E247" s="384">
        <f t="shared" si="100"/>
        <v>34.307721590346034</v>
      </c>
      <c r="F247" s="384">
        <f t="shared" si="78"/>
        <v>34.313262748638799</v>
      </c>
      <c r="G247" s="110">
        <f t="shared" si="101"/>
        <v>0.63448279233034</v>
      </c>
      <c r="H247" s="413" t="b">
        <f>Wh_hp&gt;='2022'!Maxi_hp</f>
        <v>0</v>
      </c>
      <c r="I247" s="389">
        <f>IF(H247,Wh_hp,'2022'!Maxi_hp)</f>
        <v>53.054891406226311</v>
      </c>
      <c r="J247" s="85">
        <f>IF(H247,An,'2022'!An_max)</f>
        <v>2020</v>
      </c>
      <c r="K247" s="196">
        <f t="shared" si="79"/>
        <v>45159</v>
      </c>
      <c r="L247" s="147">
        <f>IF(t&lt;Tvie,1-EXP((T0-t)*PertePVj)+'2022'!Pspv,1-EXP((T0-t)*PertePVj)+Pspv)</f>
        <v>3.9750373460366785E-2</v>
      </c>
      <c r="M247" s="847"/>
      <c r="N247" s="847"/>
      <c r="O247" s="48">
        <f>IF(t&lt;Tnet,'2022'!Resal+('2022'!Salim-'2022'!Resal)*(1-EXP(('2022'!Tnet-t)/('2022'!Tau_j))),Resal+(Salim-Resal)*(1-EXP((Tnet-t)/(Tau_j))))*Salcycl</f>
        <v>6.7162713041453367E-2</v>
      </c>
      <c r="P247" s="168">
        <f>(INDEX(Models!$BJ247:$BT247,,T247)*(1-R247)+INDEX(Models!$BJ247:$BT247,,T247+1)*R247-ERP_i)*Q247*Ramure*Pc/MaxiM</f>
        <v>3.3784499517576191E-4</v>
      </c>
      <c r="Q247" s="304">
        <f t="shared" si="80"/>
        <v>0.5</v>
      </c>
      <c r="R247" s="176">
        <f t="shared" si="81"/>
        <v>0.32005416492730143</v>
      </c>
      <c r="S247" s="814">
        <f t="shared" si="82"/>
        <v>1</v>
      </c>
      <c r="T247" s="175">
        <f t="shared" si="83"/>
        <v>7</v>
      </c>
      <c r="U247" s="250">
        <f t="shared" si="84"/>
        <v>1.3200541649273014</v>
      </c>
      <c r="V247" s="382">
        <f t="shared" si="85"/>
        <v>48.42676549418762</v>
      </c>
      <c r="W247" s="401">
        <f t="shared" si="86"/>
        <v>30.731369981300325</v>
      </c>
      <c r="X247" s="157">
        <f t="shared" si="87"/>
        <v>45159</v>
      </c>
      <c r="Y247" s="384">
        <f t="shared" si="88"/>
        <v>30.147587552384312</v>
      </c>
      <c r="Z247" s="384">
        <f t="shared" si="89"/>
        <v>31.395573316726519</v>
      </c>
      <c r="AA247" s="385">
        <f t="shared" si="90"/>
        <v>34.307721590346034</v>
      </c>
      <c r="AB247" s="196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8.4883173193260816E-2</v>
      </c>
      <c r="AD247" s="230">
        <f>(INDEX(Models!$BJ247:$BT247,,AH247)*(1-AF247)+INDEX(Models!$BJ247:$BT247,,AH247+1)*AF247-ERP_i)*AE247*Ramure*Pc/MaxiM</f>
        <v>3.3784499517576191E-4</v>
      </c>
      <c r="AE247" s="304">
        <f t="shared" si="92"/>
        <v>0.5</v>
      </c>
      <c r="AF247" s="176">
        <f t="shared" si="93"/>
        <v>0.32005416492730143</v>
      </c>
      <c r="AG247" s="814">
        <f t="shared" si="99"/>
        <v>1</v>
      </c>
      <c r="AH247" s="175">
        <f t="shared" si="94"/>
        <v>7</v>
      </c>
      <c r="AI247" s="224">
        <f t="shared" si="95"/>
        <v>1.3200541649273014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10">
        <f>'2022'!Wh/'2022'!Env_an*'2023'!Env_an</f>
        <v>23.944404846736102</v>
      </c>
      <c r="C248" s="843"/>
      <c r="D248" s="392">
        <f t="shared" si="77"/>
        <v>24.936149918658042</v>
      </c>
      <c r="E248" s="384">
        <f t="shared" si="100"/>
        <v>26.732525432337631</v>
      </c>
      <c r="F248" s="384">
        <f t="shared" si="78"/>
        <v>26.735145723958517</v>
      </c>
      <c r="G248" s="110">
        <f t="shared" si="101"/>
        <v>0.49551714958554993</v>
      </c>
      <c r="H248" s="413" t="b">
        <f>Wh_hp&gt;='2022'!Maxi_hp</f>
        <v>0</v>
      </c>
      <c r="I248" s="389">
        <f>IF(H248,Wh_hp,'2022'!Maxi_hp)</f>
        <v>55.9528605164124</v>
      </c>
      <c r="J248" s="85">
        <f>IF(H248,An,'2022'!An_max)</f>
        <v>2019</v>
      </c>
      <c r="K248" s="196">
        <f t="shared" si="79"/>
        <v>45160</v>
      </c>
      <c r="L248" s="147">
        <f>IF(t&lt;Tvie,1-EXP((T0-t)*PertePVj)+'2022'!Pspv,1-EXP((T0-t)*PertePVj)+Pspv)</f>
        <v>3.9771379108523998E-2</v>
      </c>
      <c r="M248" s="847"/>
      <c r="N248" s="847"/>
      <c r="O248" s="48">
        <f>IF(t&lt;Tnet,'2022'!Resal+('2022'!Salim-'2022'!Resal)*(1-EXP(('2022'!Tnet-t)/('2022'!Tau_j))),Resal+(Salim-Resal)*(1-EXP((Tnet-t)/(Tau_j))))*Salcycl</f>
        <v>6.719812231082968E-2</v>
      </c>
      <c r="P248" s="168">
        <f>(INDEX(Models!$BJ248:$BT248,,T248)*(1-R248)+INDEX(Models!$BJ248:$BT248,,T248+1)*R248-ERP_i)*Q248*Ramure*Pc/MaxiM</f>
        <v>3.5067285322441479E-4</v>
      </c>
      <c r="Q248" s="304">
        <f t="shared" si="80"/>
        <v>0.5</v>
      </c>
      <c r="R248" s="176">
        <f t="shared" si="81"/>
        <v>0.32062258953827238</v>
      </c>
      <c r="S248" s="814">
        <f t="shared" si="82"/>
        <v>1</v>
      </c>
      <c r="T248" s="175">
        <f t="shared" si="83"/>
        <v>7</v>
      </c>
      <c r="U248" s="250">
        <f t="shared" si="84"/>
        <v>1.3206225895382724</v>
      </c>
      <c r="V248" s="382">
        <f t="shared" si="85"/>
        <v>48.309840323762508</v>
      </c>
      <c r="W248" s="401">
        <f t="shared" si="86"/>
        <v>23.944404846736102</v>
      </c>
      <c r="X248" s="157">
        <f t="shared" si="87"/>
        <v>45160</v>
      </c>
      <c r="Y248" s="384">
        <f t="shared" si="88"/>
        <v>23.490040904059764</v>
      </c>
      <c r="Z248" s="384">
        <f t="shared" si="89"/>
        <v>24.462966832056743</v>
      </c>
      <c r="AA248" s="385">
        <f t="shared" si="90"/>
        <v>26.732525432337631</v>
      </c>
      <c r="AB248" s="196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8.4898772696404709E-2</v>
      </c>
      <c r="AD248" s="230">
        <f>(INDEX(Models!$BJ248:$BT248,,AH248)*(1-AF248)+INDEX(Models!$BJ248:$BT248,,AH248+1)*AF248-ERP_i)*AE248*Ramure*Pc/MaxiM</f>
        <v>3.5067285322441479E-4</v>
      </c>
      <c r="AE248" s="304">
        <f t="shared" si="92"/>
        <v>0.5</v>
      </c>
      <c r="AF248" s="176">
        <f t="shared" si="93"/>
        <v>0.32062258953827238</v>
      </c>
      <c r="AG248" s="814">
        <f t="shared" si="99"/>
        <v>1</v>
      </c>
      <c r="AH248" s="175">
        <f t="shared" si="94"/>
        <v>7</v>
      </c>
      <c r="AI248" s="224">
        <f t="shared" si="95"/>
        <v>1.3206225895382724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10">
        <f>'2022'!Wh/'2022'!Env_an*'2023'!Env_an</f>
        <v>42.832439705758681</v>
      </c>
      <c r="C249" s="843"/>
      <c r="D249" s="392">
        <f t="shared" si="77"/>
        <v>44.607477596792378</v>
      </c>
      <c r="E249" s="384">
        <f t="shared" si="100"/>
        <v>47.82275762456112</v>
      </c>
      <c r="F249" s="384">
        <f t="shared" si="78"/>
        <v>47.837398410995775</v>
      </c>
      <c r="G249" s="110">
        <f t="shared" si="101"/>
        <v>0.88872360055500643</v>
      </c>
      <c r="H249" s="413" t="b">
        <f>Wh_hp&gt;='2022'!Maxi_hp</f>
        <v>0</v>
      </c>
      <c r="I249" s="389">
        <f>IF(H249,Wh_hp,'2022'!Maxi_hp)</f>
        <v>53.332836013800012</v>
      </c>
      <c r="J249" s="85">
        <f>IF(H249,An,'2022'!An_max)</f>
        <v>2019</v>
      </c>
      <c r="K249" s="196">
        <f t="shared" si="79"/>
        <v>45161</v>
      </c>
      <c r="L249" s="147">
        <f>IF(t&lt;Tvie,1-EXP((T0-t)*PertePVj)+'2022'!Pspv,1-EXP((T0-t)*PertePVj)+Pspv)</f>
        <v>3.9792384296603568E-2</v>
      </c>
      <c r="M249" s="847"/>
      <c r="N249" s="847"/>
      <c r="O249" s="48">
        <f>IF(t&lt;Tnet,'2022'!Resal+('2022'!Salim-'2022'!Resal)*(1-EXP(('2022'!Tnet-t)/('2022'!Tau_j))),Resal+(Salim-Resal)*(1-EXP((Tnet-t)/(Tau_j))))*Salcycl</f>
        <v>6.7233262728400633E-2</v>
      </c>
      <c r="P249" s="168">
        <f>(INDEX(Models!$BJ249:$BT249,,T249)*(1-R249)+INDEX(Models!$BJ249:$BT249,,T249+1)*R249-ERP_i)*Q249*Ramure*Pc/MaxiM</f>
        <v>3.638693962238755E-4</v>
      </c>
      <c r="Q249" s="304">
        <f t="shared" si="80"/>
        <v>0.5</v>
      </c>
      <c r="R249" s="176">
        <f t="shared" si="81"/>
        <v>0.32117025890890405</v>
      </c>
      <c r="S249" s="814">
        <f t="shared" si="82"/>
        <v>1</v>
      </c>
      <c r="T249" s="175">
        <f t="shared" si="83"/>
        <v>7</v>
      </c>
      <c r="U249" s="250">
        <f t="shared" si="84"/>
        <v>1.321170258908904</v>
      </c>
      <c r="V249" s="382">
        <f t="shared" si="85"/>
        <v>48.192669250543887</v>
      </c>
      <c r="W249" s="401">
        <f t="shared" si="86"/>
        <v>42.832439705758681</v>
      </c>
      <c r="X249" s="157">
        <f t="shared" si="87"/>
        <v>45161</v>
      </c>
      <c r="Y249" s="384">
        <f t="shared" si="88"/>
        <v>42.020541128946817</v>
      </c>
      <c r="Z249" s="384">
        <f t="shared" si="89"/>
        <v>43.761932775512129</v>
      </c>
      <c r="AA249" s="385">
        <f t="shared" si="90"/>
        <v>47.82275762456112</v>
      </c>
      <c r="AB249" s="196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8.4914067083479983E-2</v>
      </c>
      <c r="AD249" s="230">
        <f>(INDEX(Models!$BJ249:$BT249,,AH249)*(1-AF249)+INDEX(Models!$BJ249:$BT249,,AH249+1)*AF249-ERP_i)*AE249*Ramure*Pc/MaxiM</f>
        <v>3.638693962238755E-4</v>
      </c>
      <c r="AE249" s="304">
        <f t="shared" si="92"/>
        <v>0.5</v>
      </c>
      <c r="AF249" s="176">
        <f t="shared" si="93"/>
        <v>0.32117025890890405</v>
      </c>
      <c r="AG249" s="814">
        <f t="shared" si="99"/>
        <v>1</v>
      </c>
      <c r="AH249" s="175">
        <f t="shared" si="94"/>
        <v>7</v>
      </c>
      <c r="AI249" s="224">
        <f t="shared" si="95"/>
        <v>1.321170258908904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10">
        <f>'2022'!Wh/'2022'!Env_an*'2023'!Env_an</f>
        <v>44.255941073105355</v>
      </c>
      <c r="C250" s="843"/>
      <c r="D250" s="392">
        <f t="shared" si="77"/>
        <v>46.090979156800501</v>
      </c>
      <c r="E250" s="384">
        <f t="shared" si="100"/>
        <v>49.415035978126113</v>
      </c>
      <c r="F250" s="384">
        <f t="shared" si="78"/>
        <v>49.431576263272724</v>
      </c>
      <c r="G250" s="110">
        <f t="shared" si="101"/>
        <v>0.92052726308199251</v>
      </c>
      <c r="H250" s="413" t="b">
        <f>Wh_hp&gt;='2022'!Maxi_hp</f>
        <v>0</v>
      </c>
      <c r="I250" s="389">
        <f>IF(H250,Wh_hp,'2022'!Maxi_hp)</f>
        <v>53.598539486969429</v>
      </c>
      <c r="J250" s="85">
        <f>IF(H250,An,'2022'!An_max)</f>
        <v>2019</v>
      </c>
      <c r="K250" s="196">
        <f t="shared" si="79"/>
        <v>45162</v>
      </c>
      <c r="L250" s="147">
        <f>IF(t&lt;Tvie,1-EXP((T0-t)*PertePVj)+'2022'!Pspv,1-EXP((T0-t)*PertePVj)+Pspv)</f>
        <v>3.9813389024615599E-2</v>
      </c>
      <c r="M250" s="847"/>
      <c r="N250" s="847"/>
      <c r="O250" s="48">
        <f>IF(t&lt;Tnet,'2022'!Resal+('2022'!Salim-'2022'!Resal)*(1-EXP(('2022'!Tnet-t)/('2022'!Tau_j))),Resal+(Salim-Resal)*(1-EXP((Tnet-t)/(Tau_j))))*Salcycl</f>
        <v>6.7268125086401453E-2</v>
      </c>
      <c r="P250" s="168">
        <f>(INDEX(Models!$BJ250:$BT250,,T250)*(1-R250)+INDEX(Models!$BJ250:$BT250,,T250+1)*R250-ERP_i)*Q250*Ramure*Pc/MaxiM</f>
        <v>3.7744015544568865E-4</v>
      </c>
      <c r="Q250" s="304">
        <f t="shared" si="80"/>
        <v>0.5</v>
      </c>
      <c r="R250" s="176">
        <f t="shared" si="81"/>
        <v>0.32169785183870259</v>
      </c>
      <c r="S250" s="814">
        <f t="shared" si="82"/>
        <v>1</v>
      </c>
      <c r="T250" s="175">
        <f t="shared" si="83"/>
        <v>7</v>
      </c>
      <c r="U250" s="250">
        <f t="shared" si="84"/>
        <v>1.3216978518387026</v>
      </c>
      <c r="V250" s="382">
        <f t="shared" si="85"/>
        <v>48.074670584528732</v>
      </c>
      <c r="W250" s="401">
        <f t="shared" si="86"/>
        <v>44.255941073105355</v>
      </c>
      <c r="X250" s="157">
        <f t="shared" si="87"/>
        <v>45162</v>
      </c>
      <c r="Y250" s="384">
        <f t="shared" si="88"/>
        <v>43.417971822711912</v>
      </c>
      <c r="Z250" s="384">
        <f t="shared" si="89"/>
        <v>45.21826416492803</v>
      </c>
      <c r="AA250" s="385">
        <f t="shared" si="90"/>
        <v>49.415035978126113</v>
      </c>
      <c r="AB250" s="196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8.4929044978451634E-2</v>
      </c>
      <c r="AD250" s="230">
        <f>(INDEX(Models!$BJ250:$BT250,,AH250)*(1-AF250)+INDEX(Models!$BJ250:$BT250,,AH250+1)*AF250-ERP_i)*AE250*Ramure*Pc/MaxiM</f>
        <v>3.7744015544568865E-4</v>
      </c>
      <c r="AE250" s="304">
        <f t="shared" si="92"/>
        <v>0.5</v>
      </c>
      <c r="AF250" s="176">
        <f t="shared" si="93"/>
        <v>0.32169785183870259</v>
      </c>
      <c r="AG250" s="814">
        <f t="shared" si="99"/>
        <v>1</v>
      </c>
      <c r="AH250" s="175">
        <f t="shared" si="94"/>
        <v>7</v>
      </c>
      <c r="AI250" s="224">
        <f t="shared" si="95"/>
        <v>1.3216978518387026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10">
        <f>'2022'!Wh/'2022'!Env_an*'2023'!Env_an</f>
        <v>31.580047978095088</v>
      </c>
      <c r="C251" s="843"/>
      <c r="D251" s="392">
        <f t="shared" si="77"/>
        <v>32.890209519572792</v>
      </c>
      <c r="E251" s="384">
        <f t="shared" si="100"/>
        <v>35.26354103680702</v>
      </c>
      <c r="F251" s="384">
        <f t="shared" si="78"/>
        <v>35.27061159202087</v>
      </c>
      <c r="G251" s="110">
        <f t="shared" si="101"/>
        <v>0.65840567851991993</v>
      </c>
      <c r="H251" s="413" t="b">
        <f>Wh_hp&gt;='2022'!Maxi_hp</f>
        <v>0</v>
      </c>
      <c r="I251" s="389">
        <f>IF(H251,Wh_hp,'2022'!Maxi_hp)</f>
        <v>49.950195766823477</v>
      </c>
      <c r="J251" s="85">
        <f>IF(H251,An,'2022'!An_max)</f>
        <v>2020</v>
      </c>
      <c r="K251" s="196">
        <f t="shared" si="79"/>
        <v>45163</v>
      </c>
      <c r="L251" s="147">
        <f>IF(t&lt;Tvie,1-EXP((T0-t)*PertePVj)+'2022'!Pspv,1-EXP((T0-t)*PertePVj)+Pspv)</f>
        <v>3.9834393292570304E-2</v>
      </c>
      <c r="M251" s="847"/>
      <c r="N251" s="847"/>
      <c r="O251" s="48">
        <f>IF(t&lt;Tnet,'2022'!Resal+('2022'!Salim-'2022'!Resal)*(1-EXP(('2022'!Tnet-t)/('2022'!Tau_j))),Resal+(Salim-Resal)*(1-EXP((Tnet-t)/(Tau_j))))*Salcycl</f>
        <v>6.7302699826912421E-2</v>
      </c>
      <c r="P251" s="168">
        <f>(INDEX(Models!$BJ251:$BT251,,T251)*(1-R251)+INDEX(Models!$BJ251:$BT251,,T251+1)*R251-ERP_i)*Q251*Ramure*Pc/MaxiM</f>
        <v>3.9139144553829879E-4</v>
      </c>
      <c r="Q251" s="304">
        <f t="shared" si="80"/>
        <v>0.5</v>
      </c>
      <c r="R251" s="176">
        <f t="shared" si="81"/>
        <v>0.32220603093948141</v>
      </c>
      <c r="S251" s="814">
        <f t="shared" si="82"/>
        <v>1</v>
      </c>
      <c r="T251" s="175">
        <f t="shared" si="83"/>
        <v>7</v>
      </c>
      <c r="U251" s="250">
        <f t="shared" si="84"/>
        <v>1.3222060309394814</v>
      </c>
      <c r="V251" s="382">
        <f t="shared" si="85"/>
        <v>47.955262783470531</v>
      </c>
      <c r="W251" s="401">
        <f t="shared" si="86"/>
        <v>31.580047978095088</v>
      </c>
      <c r="X251" s="157">
        <f t="shared" si="87"/>
        <v>45163</v>
      </c>
      <c r="Y251" s="384">
        <f t="shared" si="88"/>
        <v>30.982744372177574</v>
      </c>
      <c r="Z251" s="384">
        <f t="shared" si="89"/>
        <v>32.26812557723521</v>
      </c>
      <c r="AA251" s="385">
        <f t="shared" si="90"/>
        <v>35.26354103680702</v>
      </c>
      <c r="AB251" s="196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8.4943694578070994E-2</v>
      </c>
      <c r="AD251" s="230">
        <f>(INDEX(Models!$BJ251:$BT251,,AH251)*(1-AF251)+INDEX(Models!$BJ251:$BT251,,AH251+1)*AF251-ERP_i)*AE251*Ramure*Pc/MaxiM</f>
        <v>3.9139144553829879E-4</v>
      </c>
      <c r="AE251" s="304">
        <f t="shared" si="92"/>
        <v>0.5</v>
      </c>
      <c r="AF251" s="176">
        <f t="shared" si="93"/>
        <v>0.32220603093948141</v>
      </c>
      <c r="AG251" s="814">
        <f t="shared" si="99"/>
        <v>1</v>
      </c>
      <c r="AH251" s="175">
        <f t="shared" si="94"/>
        <v>7</v>
      </c>
      <c r="AI251" s="224">
        <f t="shared" si="95"/>
        <v>1.3222060309394814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10">
        <f>'2022'!Wh/'2022'!Env_an*'2023'!Env_an</f>
        <v>39.675245382989338</v>
      </c>
      <c r="C252" s="843"/>
      <c r="D252" s="392">
        <f t="shared" si="77"/>
        <v>41.322156332676158</v>
      </c>
      <c r="E252" s="384">
        <f t="shared" si="100"/>
        <v>44.305558723480367</v>
      </c>
      <c r="F252" s="384">
        <f t="shared" si="78"/>
        <v>44.319158948686614</v>
      </c>
      <c r="G252" s="110">
        <f t="shared" si="101"/>
        <v>0.82935640526566579</v>
      </c>
      <c r="H252" s="413" t="b">
        <f>Wh_hp&gt;='2022'!Maxi_hp</f>
        <v>0</v>
      </c>
      <c r="I252" s="389">
        <f>IF(H252,Wh_hp,'2022'!Maxi_hp)</f>
        <v>53.423762617483668</v>
      </c>
      <c r="J252" s="85">
        <f>IF(H252,An,'2022'!An_max)</f>
        <v>2018</v>
      </c>
      <c r="K252" s="196">
        <f t="shared" si="79"/>
        <v>45164</v>
      </c>
      <c r="L252" s="147">
        <f>IF(t&lt;Tvie,1-EXP((T0-t)*PertePVj)+'2022'!Pspv,1-EXP((T0-t)*PertePVj)+Pspv)</f>
        <v>3.9855397100477453E-2</v>
      </c>
      <c r="M252" s="847"/>
      <c r="N252" s="847"/>
      <c r="O252" s="48">
        <f>IF(t&lt;Tnet,'2022'!Resal+('2022'!Salim-'2022'!Resal)*(1-EXP(('2022'!Tnet-t)/('2022'!Tau_j))),Resal+(Salim-Resal)*(1-EXP((Tnet-t)/(Tau_j))))*Salcycl</f>
        <v>6.7336977046699886E-2</v>
      </c>
      <c r="P252" s="168">
        <f>(INDEX(Models!$BJ252:$BT252,,T252)*(1-R252)+INDEX(Models!$BJ252:$BT252,,T252+1)*R252-ERP_i)*Q252*Ramure*Pc/MaxiM</f>
        <v>4.0573004481295948E-4</v>
      </c>
      <c r="Q252" s="304">
        <f t="shared" si="80"/>
        <v>0.5</v>
      </c>
      <c r="R252" s="176">
        <f t="shared" si="81"/>
        <v>0.32269544254032367</v>
      </c>
      <c r="S252" s="814">
        <f t="shared" si="82"/>
        <v>1</v>
      </c>
      <c r="T252" s="175">
        <f t="shared" si="83"/>
        <v>7</v>
      </c>
      <c r="U252" s="250">
        <f t="shared" si="84"/>
        <v>1.3226954425403237</v>
      </c>
      <c r="V252" s="382">
        <f t="shared" si="85"/>
        <v>47.833864470037518</v>
      </c>
      <c r="W252" s="401">
        <f t="shared" si="86"/>
        <v>39.675245382989338</v>
      </c>
      <c r="X252" s="157">
        <f t="shared" si="87"/>
        <v>45164</v>
      </c>
      <c r="Y252" s="384">
        <f t="shared" si="88"/>
        <v>38.925651437991185</v>
      </c>
      <c r="Z252" s="384">
        <f t="shared" si="89"/>
        <v>40.54144690335221</v>
      </c>
      <c r="AA252" s="385">
        <f t="shared" si="90"/>
        <v>44.305558723480367</v>
      </c>
      <c r="AB252" s="196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8.4958003658653997E-2</v>
      </c>
      <c r="AD252" s="230">
        <f>(INDEX(Models!$BJ252:$BT252,,AH252)*(1-AF252)+INDEX(Models!$BJ252:$BT252,,AH252+1)*AF252-ERP_i)*AE252*Ramure*Pc/MaxiM</f>
        <v>4.0573004481295948E-4</v>
      </c>
      <c r="AE252" s="304">
        <f t="shared" si="92"/>
        <v>0.5</v>
      </c>
      <c r="AF252" s="176">
        <f t="shared" si="93"/>
        <v>0.32269544254032367</v>
      </c>
      <c r="AG252" s="814">
        <f t="shared" si="99"/>
        <v>1</v>
      </c>
      <c r="AH252" s="175">
        <f t="shared" si="94"/>
        <v>7</v>
      </c>
      <c r="AI252" s="224">
        <f t="shared" si="95"/>
        <v>1.3226954425403237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10">
        <f>'2022'!Wh/'2022'!Env_an*'2023'!Env_an</f>
        <v>46.747245315340848</v>
      </c>
      <c r="C253" s="843"/>
      <c r="D253" s="392">
        <f t="shared" si="77"/>
        <v>48.688778545981307</v>
      </c>
      <c r="E253" s="384">
        <f t="shared" si="100"/>
        <v>52.205942290793317</v>
      </c>
      <c r="F253" s="384">
        <f t="shared" si="78"/>
        <v>52.227268973870871</v>
      </c>
      <c r="G253" s="110">
        <f t="shared" si="101"/>
        <v>0.97981098253723464</v>
      </c>
      <c r="H253" s="413" t="b">
        <f>Wh_hp&gt;='2022'!Maxi_hp</f>
        <v>0</v>
      </c>
      <c r="I253" s="389">
        <f>IF(H253,Wh_hp,'2022'!Maxi_hp)</f>
        <v>52.471560857407106</v>
      </c>
      <c r="J253" s="85">
        <f>IF(H253,An,'2022'!An_max)</f>
        <v>2018</v>
      </c>
      <c r="K253" s="196">
        <f t="shared" si="79"/>
        <v>45165</v>
      </c>
      <c r="L253" s="147">
        <f>IF(t&lt;Tvie,1-EXP((T0-t)*PertePVj)+'2022'!Pspv,1-EXP((T0-t)*PertePVj)+Pspv)</f>
        <v>3.9876400448347483E-2</v>
      </c>
      <c r="M253" s="847"/>
      <c r="N253" s="847"/>
      <c r="O253" s="48">
        <f>IF(t&lt;Tnet,'2022'!Resal+('2022'!Salim-'2022'!Resal)*(1-EXP(('2022'!Tnet-t)/('2022'!Tau_j))),Resal+(Salim-Resal)*(1-EXP((Tnet-t)/(Tau_j))))*Salcycl</f>
        <v>6.7370946495343115E-2</v>
      </c>
      <c r="P253" s="168">
        <f>(INDEX(Models!$BJ253:$BT253,,T253)*(1-R253)+INDEX(Models!$BJ253:$BT253,,T253+1)*R253-ERP_i)*Q253*Ramure*Pc/MaxiM</f>
        <v>4.2046347251831917E-4</v>
      </c>
      <c r="Q253" s="304">
        <f t="shared" si="80"/>
        <v>0.5</v>
      </c>
      <c r="R253" s="176">
        <f t="shared" si="81"/>
        <v>0.32316671664147201</v>
      </c>
      <c r="S253" s="814">
        <f t="shared" si="82"/>
        <v>1</v>
      </c>
      <c r="T253" s="175">
        <f t="shared" si="83"/>
        <v>7</v>
      </c>
      <c r="U253" s="250">
        <f t="shared" si="84"/>
        <v>1.323166716641472</v>
      </c>
      <c r="V253" s="382">
        <f t="shared" si="85"/>
        <v>47.709894415525632</v>
      </c>
      <c r="W253" s="401">
        <f t="shared" si="86"/>
        <v>46.747245315340848</v>
      </c>
      <c r="X253" s="157">
        <f t="shared" si="87"/>
        <v>45165</v>
      </c>
      <c r="Y253" s="384">
        <f t="shared" si="88"/>
        <v>45.865009368356311</v>
      </c>
      <c r="Z253" s="384">
        <f t="shared" si="89"/>
        <v>47.769901072917932</v>
      </c>
      <c r="AA253" s="385">
        <f t="shared" si="90"/>
        <v>52.205942290793317</v>
      </c>
      <c r="AB253" s="196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8.4971959574373895E-2</v>
      </c>
      <c r="AD253" s="230">
        <f>(INDEX(Models!$BJ253:$BT253,,AH253)*(1-AF253)+INDEX(Models!$BJ253:$BT253,,AH253+1)*AF253-ERP_i)*AE253*Ramure*Pc/MaxiM</f>
        <v>4.2046347251831917E-4</v>
      </c>
      <c r="AE253" s="304">
        <f t="shared" si="92"/>
        <v>0.5</v>
      </c>
      <c r="AF253" s="176">
        <f t="shared" si="93"/>
        <v>0.32316671664147201</v>
      </c>
      <c r="AG253" s="814">
        <f t="shared" si="99"/>
        <v>1</v>
      </c>
      <c r="AH253" s="175">
        <f t="shared" si="94"/>
        <v>7</v>
      </c>
      <c r="AI253" s="224">
        <f t="shared" si="95"/>
        <v>1.323166716641472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10">
        <f>'2022'!Wh/'2022'!Env_an*'2023'!Env_an</f>
        <v>45.87966207434696</v>
      </c>
      <c r="C254" s="843"/>
      <c r="D254" s="392">
        <f t="shared" si="77"/>
        <v>47.786207675899263</v>
      </c>
      <c r="E254" s="384">
        <f t="shared" si="100"/>
        <v>51.240020646932237</v>
      </c>
      <c r="F254" s="384">
        <f t="shared" si="78"/>
        <v>51.261191532554996</v>
      </c>
      <c r="G254" s="110">
        <f t="shared" si="101"/>
        <v>0.96418563461404416</v>
      </c>
      <c r="H254" s="413" t="b">
        <f>Wh_hp&gt;='2022'!Maxi_hp</f>
        <v>0</v>
      </c>
      <c r="I254" s="389">
        <f>IF(H254,Wh_hp,'2022'!Maxi_hp)</f>
        <v>53.825007614477727</v>
      </c>
      <c r="J254" s="85">
        <f>IF(H254,An,'2022'!An_max)</f>
        <v>2021</v>
      </c>
      <c r="K254" s="196">
        <f t="shared" si="79"/>
        <v>45166</v>
      </c>
      <c r="L254" s="147">
        <f>IF(t&lt;Tvie,1-EXP((T0-t)*PertePVj)+'2022'!Pspv,1-EXP((T0-t)*PertePVj)+Pspv)</f>
        <v>3.9897403336190164E-2</v>
      </c>
      <c r="M254" s="847"/>
      <c r="N254" s="847"/>
      <c r="O254" s="48">
        <f>IF(t&lt;Tnet,'2022'!Resal+('2022'!Salim-'2022'!Resal)*(1-EXP(('2022'!Tnet-t)/('2022'!Tau_j))),Resal+(Salim-Resal)*(1-EXP((Tnet-t)/(Tau_j))))*Salcycl</f>
        <v>6.7404597567033819E-2</v>
      </c>
      <c r="P254" s="168">
        <f>(INDEX(Models!$BJ254:$BT254,,T254)*(1-R254)+INDEX(Models!$BJ254:$BT254,,T254+1)*R254-ERP_i)*Q254*Ramure*Pc/MaxiM</f>
        <v>4.3525608721111319E-4</v>
      </c>
      <c r="Q254" s="304">
        <f t="shared" si="80"/>
        <v>0.5</v>
      </c>
      <c r="R254" s="176">
        <f t="shared" si="81"/>
        <v>0.32362046691300783</v>
      </c>
      <c r="S254" s="814">
        <f t="shared" si="82"/>
        <v>1</v>
      </c>
      <c r="T254" s="175">
        <f t="shared" si="83"/>
        <v>7</v>
      </c>
      <c r="U254" s="250">
        <f t="shared" si="84"/>
        <v>1.3236204669130078</v>
      </c>
      <c r="V254" s="382">
        <f t="shared" si="85"/>
        <v>47.582787915282935</v>
      </c>
      <c r="W254" s="401">
        <f t="shared" si="86"/>
        <v>45.87966207434696</v>
      </c>
      <c r="X254" s="157">
        <f t="shared" si="87"/>
        <v>45166</v>
      </c>
      <c r="Y254" s="384">
        <f t="shared" si="88"/>
        <v>45.0147552562944</v>
      </c>
      <c r="Z254" s="384">
        <f t="shared" si="89"/>
        <v>46.885359348795511</v>
      </c>
      <c r="AA254" s="385">
        <f t="shared" si="90"/>
        <v>51.240020646932237</v>
      </c>
      <c r="AB254" s="196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8.4985549247577077E-2</v>
      </c>
      <c r="AD254" s="230">
        <f>(INDEX(Models!$BJ254:$BT254,,AH254)*(1-AF254)+INDEX(Models!$BJ254:$BT254,,AH254+1)*AF254-ERP_i)*AE254*Ramure*Pc/MaxiM</f>
        <v>4.3525608721111319E-4</v>
      </c>
      <c r="AE254" s="304">
        <f t="shared" si="92"/>
        <v>0.5</v>
      </c>
      <c r="AF254" s="176">
        <f t="shared" si="93"/>
        <v>0.32362046691300783</v>
      </c>
      <c r="AG254" s="814">
        <f t="shared" si="99"/>
        <v>1</v>
      </c>
      <c r="AH254" s="175">
        <f t="shared" si="94"/>
        <v>7</v>
      </c>
      <c r="AI254" s="224">
        <f t="shared" si="95"/>
        <v>1.3236204669130078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10">
        <f>'2022'!Wh/'2022'!Env_an*'2023'!Env_an</f>
        <v>30.934296550419202</v>
      </c>
      <c r="C255" s="843"/>
      <c r="D255" s="392">
        <f t="shared" si="77"/>
        <v>32.220487025413874</v>
      </c>
      <c r="E255" s="384">
        <f t="shared" si="100"/>
        <v>34.550500917605127</v>
      </c>
      <c r="F255" s="384">
        <f t="shared" si="78"/>
        <v>34.558302467072956</v>
      </c>
      <c r="G255" s="110">
        <f t="shared" si="101"/>
        <v>0.6517613141900751</v>
      </c>
      <c r="H255" s="413" t="b">
        <f>Wh_hp&gt;='2022'!Maxi_hp</f>
        <v>0</v>
      </c>
      <c r="I255" s="389">
        <f>IF(H255,Wh_hp,'2022'!Maxi_hp)</f>
        <v>53.392910497519651</v>
      </c>
      <c r="J255" s="85">
        <f>IF(H255,An,'2022'!An_max)</f>
        <v>2021</v>
      </c>
      <c r="K255" s="196">
        <f t="shared" si="79"/>
        <v>45167</v>
      </c>
      <c r="L255" s="147">
        <f>IF(t&lt;Tvie,1-EXP((T0-t)*PertePVj)+'2022'!Pspv,1-EXP((T0-t)*PertePVj)+Pspv)</f>
        <v>3.9918405764015709E-2</v>
      </c>
      <c r="M255" s="847"/>
      <c r="N255" s="847"/>
      <c r="O255" s="48">
        <f>IF(t&lt;Tnet,'2022'!Resal+('2022'!Salim-'2022'!Resal)*(1-EXP(('2022'!Tnet-t)/('2022'!Tau_j))),Resal+(Salim-Resal)*(1-EXP((Tnet-t)/(Tau_j))))*Salcycl</f>
        <v>6.7437919286547812E-2</v>
      </c>
      <c r="P255" s="168">
        <f>(INDEX(Models!$BJ255:$BT255,,T255)*(1-R255)+INDEX(Models!$BJ255:$BT255,,T255+1)*R255-ERP_i)*Q255*Ramure*Pc/MaxiM</f>
        <v>4.4905413287121371E-4</v>
      </c>
      <c r="Q255" s="304">
        <f t="shared" si="80"/>
        <v>0.5</v>
      </c>
      <c r="R255" s="176">
        <f t="shared" si="81"/>
        <v>0.32405729073438461</v>
      </c>
      <c r="S255" s="814">
        <f t="shared" si="82"/>
        <v>1</v>
      </c>
      <c r="T255" s="175">
        <f t="shared" si="83"/>
        <v>7</v>
      </c>
      <c r="U255" s="250">
        <f t="shared" si="84"/>
        <v>1.3240572907343846</v>
      </c>
      <c r="V255" s="382">
        <f t="shared" si="85"/>
        <v>47.452014368422724</v>
      </c>
      <c r="W255" s="401">
        <f t="shared" si="86"/>
        <v>30.934296550419202</v>
      </c>
      <c r="X255" s="157">
        <f t="shared" si="87"/>
        <v>45167</v>
      </c>
      <c r="Y255" s="384">
        <f t="shared" si="88"/>
        <v>30.351780662951853</v>
      </c>
      <c r="Z255" s="384">
        <f t="shared" si="89"/>
        <v>31.613751211536616</v>
      </c>
      <c r="AA255" s="385">
        <f t="shared" si="90"/>
        <v>34.550500917605127</v>
      </c>
      <c r="AB255" s="196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8.4998759151769604E-2</v>
      </c>
      <c r="AD255" s="230">
        <f>(INDEX(Models!$BJ255:$BT255,,AH255)*(1-AF255)+INDEX(Models!$BJ255:$BT255,,AH255+1)*AF255-ERP_i)*AE255*Ramure*Pc/MaxiM</f>
        <v>4.4905413287121371E-4</v>
      </c>
      <c r="AE255" s="304">
        <f t="shared" si="92"/>
        <v>0.5</v>
      </c>
      <c r="AF255" s="176">
        <f t="shared" si="93"/>
        <v>0.32405729073438461</v>
      </c>
      <c r="AG255" s="814">
        <f t="shared" si="99"/>
        <v>1</v>
      </c>
      <c r="AH255" s="175">
        <f t="shared" si="94"/>
        <v>7</v>
      </c>
      <c r="AI255" s="224">
        <f t="shared" si="95"/>
        <v>1.3240572907343846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10">
        <f>'2022'!Wh/'2022'!Env_an*'2023'!Env_an</f>
        <v>44.918891001120976</v>
      </c>
      <c r="C256" s="843"/>
      <c r="D256" s="392">
        <f t="shared" si="77"/>
        <v>46.787558371705515</v>
      </c>
      <c r="E256" s="384">
        <f t="shared" si="100"/>
        <v>50.172759634262526</v>
      </c>
      <c r="F256" s="384">
        <f t="shared" si="78"/>
        <v>50.19426375901498</v>
      </c>
      <c r="G256" s="110">
        <f t="shared" si="101"/>
        <v>0.94928662069221159</v>
      </c>
      <c r="H256" s="413" t="b">
        <f>Wh_hp&gt;='2022'!Maxi_hp</f>
        <v>0</v>
      </c>
      <c r="I256" s="389">
        <f>IF(H256,Wh_hp,'2022'!Maxi_hp)</f>
        <v>51.895427977541566</v>
      </c>
      <c r="J256" s="85">
        <f>IF(H256,An,'2022'!An_max)</f>
        <v>2021</v>
      </c>
      <c r="K256" s="196">
        <f t="shared" si="79"/>
        <v>45168</v>
      </c>
      <c r="L256" s="147">
        <f>IF(t&lt;Tvie,1-EXP((T0-t)*PertePVj)+'2022'!Pspv,1-EXP((T0-t)*PertePVj)+Pspv)</f>
        <v>3.9939407731834221E-2</v>
      </c>
      <c r="M256" s="847"/>
      <c r="N256" s="847"/>
      <c r="O256" s="48">
        <f>IF(t&lt;Tnet,'2022'!Resal+('2022'!Salim-'2022'!Resal)*(1-EXP(('2022'!Tnet-t)/('2022'!Tau_j))),Resal+(Salim-Resal)*(1-EXP((Tnet-t)/(Tau_j))))*Salcycl</f>
        <v>6.7470900289991045E-2</v>
      </c>
      <c r="P256" s="168">
        <f>(INDEX(Models!$BJ256:$BT256,,T256)*(1-R256)+INDEX(Models!$BJ256:$BT256,,T256+1)*R256-ERP_i)*Q256*Ramure*Pc/MaxiM</f>
        <v>4.6185752782081156E-4</v>
      </c>
      <c r="Q256" s="304">
        <f t="shared" si="80"/>
        <v>0.5</v>
      </c>
      <c r="R256" s="176">
        <f t="shared" si="81"/>
        <v>0.3244777692710894</v>
      </c>
      <c r="S256" s="814">
        <f t="shared" si="82"/>
        <v>1</v>
      </c>
      <c r="T256" s="175">
        <f t="shared" si="83"/>
        <v>7</v>
      </c>
      <c r="U256" s="250">
        <f t="shared" si="84"/>
        <v>1.3244777692710894</v>
      </c>
      <c r="V256" s="382">
        <f t="shared" si="85"/>
        <v>47.316992898178334</v>
      </c>
      <c r="W256" s="401">
        <f t="shared" si="86"/>
        <v>44.918891001120976</v>
      </c>
      <c r="X256" s="157">
        <f t="shared" si="87"/>
        <v>45168</v>
      </c>
      <c r="Y256" s="384">
        <f t="shared" si="88"/>
        <v>44.073976168362421</v>
      </c>
      <c r="Z256" s="384">
        <f t="shared" si="89"/>
        <v>45.907494301205112</v>
      </c>
      <c r="AA256" s="385">
        <f t="shared" si="90"/>
        <v>50.172759634262526</v>
      </c>
      <c r="AB256" s="196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8.5011575288051422E-2</v>
      </c>
      <c r="AD256" s="230">
        <f>(INDEX(Models!$BJ256:$BT256,,AH256)*(1-AF256)+INDEX(Models!$BJ256:$BT256,,AH256+1)*AF256-ERP_i)*AE256*Ramure*Pc/MaxiM</f>
        <v>4.6185752782081156E-4</v>
      </c>
      <c r="AE256" s="304">
        <f t="shared" si="92"/>
        <v>0.5</v>
      </c>
      <c r="AF256" s="176">
        <f t="shared" si="93"/>
        <v>0.3244777692710894</v>
      </c>
      <c r="AG256" s="814">
        <f t="shared" si="99"/>
        <v>1</v>
      </c>
      <c r="AH256" s="175">
        <f t="shared" si="94"/>
        <v>7</v>
      </c>
      <c r="AI256" s="224">
        <f t="shared" si="95"/>
        <v>1.3244777692710894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10">
        <f>'2022'!Wh/'2022'!Env_an*'2023'!Env_an</f>
        <v>21.141759088372417</v>
      </c>
      <c r="C257" s="843"/>
      <c r="D257" s="392">
        <f t="shared" si="77"/>
        <v>22.021757531507948</v>
      </c>
      <c r="E257" s="384">
        <f t="shared" si="100"/>
        <v>23.615915139274442</v>
      </c>
      <c r="F257" s="384">
        <f t="shared" si="78"/>
        <v>23.618282598574933</v>
      </c>
      <c r="G257" s="110">
        <f t="shared" si="101"/>
        <v>0.44796827729523114</v>
      </c>
      <c r="H257" s="413" t="b">
        <f>Wh_hp&gt;='2022'!Maxi_hp</f>
        <v>0</v>
      </c>
      <c r="I257" s="389">
        <f>IF(H257,Wh_hp,'2022'!Maxi_hp)</f>
        <v>51.83189151482037</v>
      </c>
      <c r="J257" s="85">
        <f>IF(H257,An,'2022'!An_max)</f>
        <v>2021</v>
      </c>
      <c r="K257" s="196">
        <f t="shared" si="79"/>
        <v>45169</v>
      </c>
      <c r="L257" s="147">
        <f>IF(t&lt;Tvie,1-EXP((T0-t)*PertePVj)+'2022'!Pspv,1-EXP((T0-t)*PertePVj)+Pspv)</f>
        <v>3.9960409239655804E-2</v>
      </c>
      <c r="M257" s="847"/>
      <c r="N257" s="847"/>
      <c r="O257" s="48">
        <f>IF(t&lt;Tnet,'2022'!Resal+('2022'!Salim-'2022'!Resal)*(1-EXP(('2022'!Tnet-t)/('2022'!Tau_j))),Resal+(Salim-Resal)*(1-EXP((Tnet-t)/(Tau_j))))*Salcycl</f>
        <v>6.7503528801021589E-2</v>
      </c>
      <c r="P257" s="168">
        <f>(INDEX(Models!$BJ257:$BT257,,T257)*(1-R257)+INDEX(Models!$BJ257:$BT257,,T257+1)*R257-ERP_i)*Q257*Ramure*Pc/MaxiM</f>
        <v>4.7366651846407801E-4</v>
      </c>
      <c r="Q257" s="304">
        <f t="shared" si="80"/>
        <v>0.5</v>
      </c>
      <c r="R257" s="176">
        <f t="shared" si="81"/>
        <v>0.32488246758490957</v>
      </c>
      <c r="S257" s="814">
        <f t="shared" si="82"/>
        <v>1</v>
      </c>
      <c r="T257" s="175">
        <f t="shared" si="83"/>
        <v>7</v>
      </c>
      <c r="U257" s="250">
        <f t="shared" si="84"/>
        <v>1.3248824675849096</v>
      </c>
      <c r="V257" s="382">
        <f t="shared" si="85"/>
        <v>47.177142760196496</v>
      </c>
      <c r="W257" s="401">
        <f t="shared" si="86"/>
        <v>21.141759088372417</v>
      </c>
      <c r="X257" s="157">
        <f t="shared" si="87"/>
        <v>45169</v>
      </c>
      <c r="Y257" s="384">
        <f t="shared" si="88"/>
        <v>20.744531606521122</v>
      </c>
      <c r="Z257" s="384">
        <f t="shared" si="89"/>
        <v>21.607995968261694</v>
      </c>
      <c r="AA257" s="385">
        <f t="shared" si="90"/>
        <v>23.615915139274442</v>
      </c>
      <c r="AB257" s="196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8.502398315589639E-2</v>
      </c>
      <c r="AD257" s="230">
        <f>(INDEX(Models!$BJ257:$BT257,,AH257)*(1-AF257)+INDEX(Models!$BJ257:$BT257,,AH257+1)*AF257-ERP_i)*AE257*Ramure*Pc/MaxiM</f>
        <v>4.7366651846407801E-4</v>
      </c>
      <c r="AE257" s="304">
        <f t="shared" si="92"/>
        <v>0.5</v>
      </c>
      <c r="AF257" s="176">
        <f t="shared" si="93"/>
        <v>0.32488246758490957</v>
      </c>
      <c r="AG257" s="814">
        <f t="shared" si="99"/>
        <v>1</v>
      </c>
      <c r="AH257" s="175">
        <f t="shared" si="94"/>
        <v>7</v>
      </c>
      <c r="AI257" s="224">
        <f t="shared" si="95"/>
        <v>1.3248824675849096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10">
        <f>'2022'!Wh/'2022'!Env_an*'2023'!Env_an</f>
        <v>40.756507481643652</v>
      </c>
      <c r="C258" s="843"/>
      <c r="D258" s="392">
        <f t="shared" si="77"/>
        <v>42.453873204526936</v>
      </c>
      <c r="E258" s="384">
        <f t="shared" si="100"/>
        <v>45.528689324229873</v>
      </c>
      <c r="F258" s="384">
        <f t="shared" si="78"/>
        <v>45.546549663865001</v>
      </c>
      <c r="G258" s="110">
        <f t="shared" si="101"/>
        <v>0.86649182094149246</v>
      </c>
      <c r="H258" s="413" t="b">
        <f>Wh_hp&gt;='2022'!Maxi_hp</f>
        <v>0</v>
      </c>
      <c r="I258" s="389">
        <f>IF(H258,Wh_hp,'2022'!Maxi_hp)</f>
        <v>53.126958868503813</v>
      </c>
      <c r="J258" s="85">
        <f>IF(H258,An,'2022'!An_max)</f>
        <v>2018</v>
      </c>
      <c r="K258" s="196">
        <f t="shared" si="79"/>
        <v>45170</v>
      </c>
      <c r="L258" s="147">
        <f>IF(t&lt;Tvie,1-EXP((T0-t)*PertePVj)+'2022'!Pspv,1-EXP((T0-t)*PertePVj)+Pspv)</f>
        <v>3.9981410287490339E-2</v>
      </c>
      <c r="M258" s="847"/>
      <c r="N258" s="847"/>
      <c r="O258" s="48">
        <f>IF(t&lt;Tnet,'2022'!Resal+('2022'!Salim-'2022'!Resal)*(1-EXP(('2022'!Tnet-t)/('2022'!Tau_j))),Resal+(Salim-Resal)*(1-EXP((Tnet-t)/(Tau_j))))*Salcycl</f>
        <v>6.7535792603336739E-2</v>
      </c>
      <c r="P258" s="168">
        <f>(INDEX(Models!$BJ258:$BT258,,T258)*(1-R258)+INDEX(Models!$BJ258:$BT258,,T258+1)*R258-ERP_i)*Q258*Ramure*Pc/MaxiM</f>
        <v>4.844815642018211E-4</v>
      </c>
      <c r="Q258" s="304">
        <f t="shared" si="80"/>
        <v>0.5</v>
      </c>
      <c r="R258" s="176">
        <f t="shared" si="81"/>
        <v>0.32527193477448257</v>
      </c>
      <c r="S258" s="814">
        <f t="shared" si="82"/>
        <v>1</v>
      </c>
      <c r="T258" s="175">
        <f t="shared" si="83"/>
        <v>7</v>
      </c>
      <c r="U258" s="250">
        <f t="shared" si="84"/>
        <v>1.3252719347744826</v>
      </c>
      <c r="V258" s="382">
        <f t="shared" si="85"/>
        <v>47.031883332474912</v>
      </c>
      <c r="W258" s="401">
        <f t="shared" si="86"/>
        <v>40.756507481643652</v>
      </c>
      <c r="X258" s="157">
        <f t="shared" si="87"/>
        <v>45170</v>
      </c>
      <c r="Y258" s="384">
        <f t="shared" si="88"/>
        <v>39.991603035568936</v>
      </c>
      <c r="Z258" s="384">
        <f t="shared" si="89"/>
        <v>41.657113168553281</v>
      </c>
      <c r="AA258" s="385">
        <f t="shared" si="90"/>
        <v>45.528689324229873</v>
      </c>
      <c r="AB258" s="196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8.5035967719285538E-2</v>
      </c>
      <c r="AD258" s="230">
        <f>(INDEX(Models!$BJ258:$BT258,,AH258)*(1-AF258)+INDEX(Models!$BJ258:$BT258,,AH258+1)*AF258-ERP_i)*AE258*Ramure*Pc/MaxiM</f>
        <v>4.844815642018211E-4</v>
      </c>
      <c r="AE258" s="304">
        <f t="shared" si="92"/>
        <v>0.5</v>
      </c>
      <c r="AF258" s="176">
        <f t="shared" si="93"/>
        <v>0.32527193477448257</v>
      </c>
      <c r="AG258" s="814">
        <f t="shared" si="99"/>
        <v>1</v>
      </c>
      <c r="AH258" s="175">
        <f t="shared" si="94"/>
        <v>7</v>
      </c>
      <c r="AI258" s="224">
        <f t="shared" si="95"/>
        <v>1.3252719347744826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10">
        <f>'2022'!Wh/'2022'!Env_an*'2023'!Env_an</f>
        <v>37.385853864135875</v>
      </c>
      <c r="C259" s="843"/>
      <c r="D259" s="392">
        <f t="shared" si="77"/>
        <v>38.943695575553647</v>
      </c>
      <c r="E259" s="384">
        <f t="shared" si="100"/>
        <v>41.765707493084243</v>
      </c>
      <c r="F259" s="384">
        <f t="shared" si="78"/>
        <v>41.780384377753698</v>
      </c>
      <c r="G259" s="110">
        <f t="shared" si="101"/>
        <v>0.79735493945219083</v>
      </c>
      <c r="H259" s="413" t="b">
        <f>Wh_hp&gt;='2022'!Maxi_hp</f>
        <v>0</v>
      </c>
      <c r="I259" s="389">
        <f>IF(H259,Wh_hp,'2022'!Maxi_hp)</f>
        <v>50.943890407811566</v>
      </c>
      <c r="J259" s="85">
        <f>IF(H259,An,'2022'!An_max)</f>
        <v>2018</v>
      </c>
      <c r="K259" s="196">
        <f t="shared" si="79"/>
        <v>45171</v>
      </c>
      <c r="L259" s="147">
        <f>IF(t&lt;Tvie,1-EXP((T0-t)*PertePVj)+'2022'!Pspv,1-EXP((T0-t)*PertePVj)+Pspv)</f>
        <v>4.000241087534815E-2</v>
      </c>
      <c r="M259" s="847"/>
      <c r="N259" s="847"/>
      <c r="O259" s="48">
        <f>IF(t&lt;Tnet,'2022'!Resal+('2022'!Salim-'2022'!Resal)*(1-EXP(('2022'!Tnet-t)/('2022'!Tau_j))),Resal+(Salim-Resal)*(1-EXP((Tnet-t)/(Tau_j))))*Salcycl</f>
        <v>6.7567679010295104E-2</v>
      </c>
      <c r="P259" s="168">
        <f>(INDEX(Models!$BJ259:$BT259,,T259)*(1-R259)+INDEX(Models!$BJ259:$BT259,,T259+1)*R259-ERP_i)*Q259*Ramure*Pc/MaxiM</f>
        <v>4.9430322134953416E-4</v>
      </c>
      <c r="Q259" s="304">
        <f t="shared" si="80"/>
        <v>0.5</v>
      </c>
      <c r="R259" s="176">
        <f t="shared" si="81"/>
        <v>0.32564670414300645</v>
      </c>
      <c r="S259" s="814">
        <f t="shared" si="82"/>
        <v>1</v>
      </c>
      <c r="T259" s="175">
        <f t="shared" si="83"/>
        <v>7</v>
      </c>
      <c r="U259" s="250">
        <f t="shared" si="84"/>
        <v>1.3256467041430064</v>
      </c>
      <c r="V259" s="382">
        <f t="shared" si="85"/>
        <v>46.880634123067729</v>
      </c>
      <c r="W259" s="401">
        <f t="shared" si="86"/>
        <v>37.385853864135875</v>
      </c>
      <c r="X259" s="157">
        <f t="shared" si="87"/>
        <v>45171</v>
      </c>
      <c r="Y259" s="384">
        <f t="shared" si="88"/>
        <v>36.685000281302784</v>
      </c>
      <c r="Z259" s="384">
        <f t="shared" si="89"/>
        <v>38.213637926687944</v>
      </c>
      <c r="AA259" s="385">
        <f t="shared" si="90"/>
        <v>41.765707493084243</v>
      </c>
      <c r="AB259" s="196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8.5047513369298569E-2</v>
      </c>
      <c r="AD259" s="230">
        <f>(INDEX(Models!$BJ259:$BT259,,AH259)*(1-AF259)+INDEX(Models!$BJ259:$BT259,,AH259+1)*AF259-ERP_i)*AE259*Ramure*Pc/MaxiM</f>
        <v>4.9430322134953416E-4</v>
      </c>
      <c r="AE259" s="304">
        <f t="shared" si="92"/>
        <v>0.5</v>
      </c>
      <c r="AF259" s="176">
        <f t="shared" si="93"/>
        <v>0.32564670414300645</v>
      </c>
      <c r="AG259" s="814">
        <f t="shared" si="99"/>
        <v>1</v>
      </c>
      <c r="AH259" s="175">
        <f t="shared" si="94"/>
        <v>7</v>
      </c>
      <c r="AI259" s="224">
        <f t="shared" si="95"/>
        <v>1.3256467041430064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10">
        <f>'2022'!Wh/'2022'!Env_an*'2023'!Env_an</f>
        <v>31.216979058652793</v>
      </c>
      <c r="C260" s="843"/>
      <c r="D260" s="392">
        <f t="shared" si="77"/>
        <v>32.518479530085834</v>
      </c>
      <c r="E260" s="384">
        <f t="shared" si="100"/>
        <v>34.876073307043669</v>
      </c>
      <c r="F260" s="384">
        <f t="shared" si="78"/>
        <v>34.885303893217767</v>
      </c>
      <c r="G260" s="110">
        <f t="shared" si="101"/>
        <v>0.66797197343961967</v>
      </c>
      <c r="H260" s="413" t="b">
        <f>Wh_hp&gt;='2022'!Maxi_hp</f>
        <v>0</v>
      </c>
      <c r="I260" s="389">
        <f>IF(H260,Wh_hp,'2022'!Maxi_hp)</f>
        <v>53.385719153898613</v>
      </c>
      <c r="J260" s="85">
        <f>IF(H260,An,'2022'!An_max)</f>
        <v>2019</v>
      </c>
      <c r="K260" s="196">
        <f t="shared" si="79"/>
        <v>45172</v>
      </c>
      <c r="L260" s="147">
        <f>IF(t&lt;Tvie,1-EXP((T0-t)*PertePVj)+'2022'!Pspv,1-EXP((T0-t)*PertePVj)+Pspv)</f>
        <v>4.0023411003239119E-2</v>
      </c>
      <c r="M260" s="847"/>
      <c r="N260" s="847"/>
      <c r="O260" s="48">
        <f>IF(t&lt;Tnet,'2022'!Resal+('2022'!Salim-'2022'!Resal)*(1-EXP(('2022'!Tnet-t)/('2022'!Tau_j))),Resal+(Salim-Resal)*(1-EXP((Tnet-t)/(Tau_j))))*Salcycl</f>
        <v>6.7599174832611963E-2</v>
      </c>
      <c r="P260" s="168">
        <f>(INDEX(Models!$BJ260:$BT260,,T260)*(1-R260)+INDEX(Models!$BJ260:$BT260,,T260+1)*R260-ERP_i)*Q260*Ramure*Pc/MaxiM</f>
        <v>5.0313202629976368E-4</v>
      </c>
      <c r="Q260" s="304">
        <f t="shared" si="80"/>
        <v>0.5</v>
      </c>
      <c r="R260" s="176">
        <f t="shared" si="81"/>
        <v>0.32600729339018164</v>
      </c>
      <c r="S260" s="814">
        <f t="shared" si="82"/>
        <v>1</v>
      </c>
      <c r="T260" s="175">
        <f t="shared" si="83"/>
        <v>7</v>
      </c>
      <c r="U260" s="250">
        <f t="shared" si="84"/>
        <v>1.3260072933901816</v>
      </c>
      <c r="V260" s="382">
        <f t="shared" si="85"/>
        <v>46.722814760471891</v>
      </c>
      <c r="W260" s="401">
        <f t="shared" si="86"/>
        <v>31.216979058652793</v>
      </c>
      <c r="X260" s="157">
        <f t="shared" si="87"/>
        <v>45172</v>
      </c>
      <c r="Y260" s="384">
        <f t="shared" si="88"/>
        <v>30.632433639587568</v>
      </c>
      <c r="Z260" s="384">
        <f t="shared" si="89"/>
        <v>31.909563202578191</v>
      </c>
      <c r="AA260" s="385">
        <f t="shared" si="90"/>
        <v>34.876073307043669</v>
      </c>
      <c r="AB260" s="196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8.5058603884352768E-2</v>
      </c>
      <c r="AD260" s="230">
        <f>(INDEX(Models!$BJ260:$BT260,,AH260)*(1-AF260)+INDEX(Models!$BJ260:$BT260,,AH260+1)*AF260-ERP_i)*AE260*Ramure*Pc/MaxiM</f>
        <v>5.0313202629976368E-4</v>
      </c>
      <c r="AE260" s="304">
        <f t="shared" si="92"/>
        <v>0.5</v>
      </c>
      <c r="AF260" s="176">
        <f t="shared" si="93"/>
        <v>0.32600729339018164</v>
      </c>
      <c r="AG260" s="814">
        <f t="shared" si="99"/>
        <v>1</v>
      </c>
      <c r="AH260" s="175">
        <f t="shared" si="94"/>
        <v>7</v>
      </c>
      <c r="AI260" s="224">
        <f t="shared" si="95"/>
        <v>1.3260072933901816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10">
        <f>'2022'!Wh/'2022'!Env_an*'2023'!Env_an</f>
        <v>45.27859745547434</v>
      </c>
      <c r="C261" s="843"/>
      <c r="D261" s="392">
        <f t="shared" si="77"/>
        <v>47.167387698770348</v>
      </c>
      <c r="E261" s="384">
        <f t="shared" si="100"/>
        <v>50.588716038512842</v>
      </c>
      <c r="F261" s="384">
        <f t="shared" si="78"/>
        <v>50.613561206744862</v>
      </c>
      <c r="G261" s="110">
        <f t="shared" si="101"/>
        <v>0.97247795329585995</v>
      </c>
      <c r="H261" s="413" t="b">
        <f>Wh_hp&gt;='2022'!Maxi_hp</f>
        <v>0</v>
      </c>
      <c r="I261" s="389">
        <f>IF(H261,Wh_hp,'2022'!Maxi_hp)</f>
        <v>53.038083158550982</v>
      </c>
      <c r="J261" s="85">
        <f>IF(H261,An,'2022'!An_max)</f>
        <v>2019</v>
      </c>
      <c r="K261" s="196">
        <f t="shared" si="79"/>
        <v>45173</v>
      </c>
      <c r="L261" s="147">
        <f>IF(t&lt;Tvie,1-EXP((T0-t)*PertePVj)+'2022'!Pspv,1-EXP((T0-t)*PertePVj)+Pspv)</f>
        <v>4.0044410671173349E-2</v>
      </c>
      <c r="M261" s="847"/>
      <c r="N261" s="847"/>
      <c r="O261" s="48">
        <f>IF(t&lt;Tnet,'2022'!Resal+('2022'!Salim-'2022'!Resal)*(1-EXP(('2022'!Tnet-t)/('2022'!Tau_j))),Resal+(Salim-Resal)*(1-EXP((Tnet-t)/(Tau_j))))*Salcycl</f>
        <v>6.7630266345124479E-2</v>
      </c>
      <c r="P261" s="168">
        <f>(INDEX(Models!$BJ261:$BT261,,T261)*(1-R261)+INDEX(Models!$BJ261:$BT261,,T261+1)*R261-ERP_i)*Q261*Ramure*Pc/MaxiM</f>
        <v>5.1095472677774615E-4</v>
      </c>
      <c r="Q261" s="304">
        <f t="shared" si="80"/>
        <v>0.5</v>
      </c>
      <c r="R261" s="176">
        <f t="shared" si="81"/>
        <v>0.32635420482564026</v>
      </c>
      <c r="S261" s="814">
        <f t="shared" si="82"/>
        <v>1</v>
      </c>
      <c r="T261" s="175">
        <f t="shared" si="83"/>
        <v>7</v>
      </c>
      <c r="U261" s="250">
        <f t="shared" si="84"/>
        <v>1.3263542048256403</v>
      </c>
      <c r="V261" s="382">
        <f t="shared" si="85"/>
        <v>46.559089473649742</v>
      </c>
      <c r="W261" s="401">
        <f t="shared" si="86"/>
        <v>45.27859745547434</v>
      </c>
      <c r="X261" s="157">
        <f t="shared" si="87"/>
        <v>45173</v>
      </c>
      <c r="Y261" s="384">
        <f t="shared" si="88"/>
        <v>44.431710815691631</v>
      </c>
      <c r="Z261" s="384">
        <f t="shared" si="89"/>
        <v>46.285173303441056</v>
      </c>
      <c r="AA261" s="385">
        <f t="shared" si="90"/>
        <v>50.588716038512842</v>
      </c>
      <c r="AB261" s="196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8.5069222389347207E-2</v>
      </c>
      <c r="AD261" s="230">
        <f>(INDEX(Models!$BJ261:$BT261,,AH261)*(1-AF261)+INDEX(Models!$BJ261:$BT261,,AH261+1)*AF261-ERP_i)*AE261*Ramure*Pc/MaxiM</f>
        <v>5.1095472677774615E-4</v>
      </c>
      <c r="AE261" s="304">
        <f t="shared" si="92"/>
        <v>0.5</v>
      </c>
      <c r="AF261" s="176">
        <f t="shared" si="93"/>
        <v>0.32635420482564026</v>
      </c>
      <c r="AG261" s="814">
        <f t="shared" si="99"/>
        <v>1</v>
      </c>
      <c r="AH261" s="175">
        <f t="shared" si="94"/>
        <v>7</v>
      </c>
      <c r="AI261" s="224">
        <f t="shared" si="95"/>
        <v>1.3263542048256403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10">
        <f>'2022'!Wh/'2022'!Env_an*'2023'!Env_an</f>
        <v>38.279411360618155</v>
      </c>
      <c r="C262" s="843"/>
      <c r="D262" s="392">
        <f t="shared" si="77"/>
        <v>39.877103872045538</v>
      </c>
      <c r="E262" s="384">
        <f t="shared" si="100"/>
        <v>42.771032075095235</v>
      </c>
      <c r="F262" s="384">
        <f t="shared" si="78"/>
        <v>42.787655443345635</v>
      </c>
      <c r="G262" s="110">
        <f t="shared" si="101"/>
        <v>0.82504823870054678</v>
      </c>
      <c r="H262" s="413" t="b">
        <f>Wh_hp&gt;='2022'!Maxi_hp</f>
        <v>0</v>
      </c>
      <c r="I262" s="389">
        <f>IF(H262,Wh_hp,'2022'!Maxi_hp)</f>
        <v>52.253818490500642</v>
      </c>
      <c r="J262" s="85">
        <f>IF(H262,An,'2022'!An_max)</f>
        <v>2020</v>
      </c>
      <c r="K262" s="196">
        <f t="shared" si="79"/>
        <v>45174</v>
      </c>
      <c r="L262" s="147">
        <f>IF(t&lt;Tvie,1-EXP((T0-t)*PertePVj)+'2022'!Pspv,1-EXP((T0-t)*PertePVj)+Pspv)</f>
        <v>4.0065409879161053E-2</v>
      </c>
      <c r="M262" s="847"/>
      <c r="N262" s="847"/>
      <c r="O262" s="48">
        <f>IF(t&lt;Tnet,'2022'!Resal+('2022'!Salim-'2022'!Resal)*(1-EXP(('2022'!Tnet-t)/('2022'!Tau_j))),Resal+(Salim-Resal)*(1-EXP((Tnet-t)/(Tau_j))))*Salcycl</f>
        <v>6.7660939253667854E-2</v>
      </c>
      <c r="P262" s="168">
        <f>(INDEX(Models!$BJ262:$BT262,,T262)*(1-R262)+INDEX(Models!$BJ262:$BT262,,T262+1)*R262-ERP_i)*Q262*Ramure*Pc/MaxiM</f>
        <v>5.1785844100554496E-4</v>
      </c>
      <c r="Q262" s="304">
        <f t="shared" si="80"/>
        <v>0.5</v>
      </c>
      <c r="R262" s="176">
        <f t="shared" si="81"/>
        <v>0.32668792560130333</v>
      </c>
      <c r="S262" s="814">
        <f t="shared" si="82"/>
        <v>1</v>
      </c>
      <c r="T262" s="175">
        <f t="shared" si="83"/>
        <v>7</v>
      </c>
      <c r="U262" s="250">
        <f t="shared" si="84"/>
        <v>1.3266879256013033</v>
      </c>
      <c r="V262" s="382">
        <f t="shared" si="85"/>
        <v>46.390569910490541</v>
      </c>
      <c r="W262" s="401">
        <f t="shared" si="86"/>
        <v>38.279411360618155</v>
      </c>
      <c r="X262" s="157">
        <f t="shared" si="87"/>
        <v>45174</v>
      </c>
      <c r="Y262" s="384">
        <f t="shared" si="88"/>
        <v>37.564256768669942</v>
      </c>
      <c r="Z262" s="384">
        <f t="shared" si="89"/>
        <v>39.132100411072031</v>
      </c>
      <c r="AA262" s="385">
        <f t="shared" si="90"/>
        <v>42.771032075095235</v>
      </c>
      <c r="AB262" s="196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8.5079351315024435E-2</v>
      </c>
      <c r="AD262" s="230">
        <f>(INDEX(Models!$BJ262:$BT262,,AH262)*(1-AF262)+INDEX(Models!$BJ262:$BT262,,AH262+1)*AF262-ERP_i)*AE262*Ramure*Pc/MaxiM</f>
        <v>5.1785844100554496E-4</v>
      </c>
      <c r="AE262" s="304">
        <f t="shared" si="92"/>
        <v>0.5</v>
      </c>
      <c r="AF262" s="176">
        <f t="shared" si="93"/>
        <v>0.32668792560130333</v>
      </c>
      <c r="AG262" s="814">
        <f t="shared" si="99"/>
        <v>1</v>
      </c>
      <c r="AH262" s="175">
        <f t="shared" si="94"/>
        <v>7</v>
      </c>
      <c r="AI262" s="224">
        <f t="shared" si="95"/>
        <v>1.3266879256013033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10">
        <f>'2022'!Wh/'2022'!Env_an*'2023'!Env_an</f>
        <v>43.414681888878803</v>
      </c>
      <c r="C263" s="843"/>
      <c r="D263" s="392">
        <f t="shared" si="77"/>
        <v>45.22769786683692</v>
      </c>
      <c r="E263" s="384">
        <f t="shared" si="100"/>
        <v>48.511498370232843</v>
      </c>
      <c r="F263" s="384">
        <f t="shared" si="78"/>
        <v>48.534753363779863</v>
      </c>
      <c r="G263" s="110">
        <f t="shared" si="101"/>
        <v>0.93931686991787533</v>
      </c>
      <c r="H263" s="413" t="b">
        <f>Wh_hp&gt;='2022'!Maxi_hp</f>
        <v>0</v>
      </c>
      <c r="I263" s="389">
        <f>IF(H263,Wh_hp,'2022'!Maxi_hp)</f>
        <v>54.048993300295933</v>
      </c>
      <c r="J263" s="85">
        <f>IF(H263,An,'2022'!An_max)</f>
        <v>2019</v>
      </c>
      <c r="K263" s="196">
        <f t="shared" si="79"/>
        <v>45175</v>
      </c>
      <c r="L263" s="147">
        <f>IF(t&lt;Tvie,1-EXP((T0-t)*PertePVj)+'2022'!Pspv,1-EXP((T0-t)*PertePVj)+Pspv)</f>
        <v>4.0086408627212113E-2</v>
      </c>
      <c r="M263" s="847"/>
      <c r="N263" s="847"/>
      <c r="O263" s="48">
        <f>IF(t&lt;Tnet,'2022'!Resal+('2022'!Salim-'2022'!Resal)*(1-EXP(('2022'!Tnet-t)/('2022'!Tau_j))),Resal+(Salim-Resal)*(1-EXP((Tnet-t)/(Tau_j))))*Salcycl</f>
        <v>6.769117866313723E-2</v>
      </c>
      <c r="P263" s="168">
        <f>(INDEX(Models!$BJ263:$BT263,,T263)*(1-R263)+INDEX(Models!$BJ263:$BT263,,T263+1)*R263-ERP_i)*Q263*Ramure*Pc/MaxiM</f>
        <v>5.2458547332754019E-4</v>
      </c>
      <c r="Q263" s="304">
        <f t="shared" si="80"/>
        <v>0.5</v>
      </c>
      <c r="R263" s="176">
        <f t="shared" si="81"/>
        <v>0.32700892796028236</v>
      </c>
      <c r="S263" s="814">
        <f t="shared" si="82"/>
        <v>1</v>
      </c>
      <c r="T263" s="175">
        <f t="shared" si="83"/>
        <v>7</v>
      </c>
      <c r="U263" s="250">
        <f t="shared" si="84"/>
        <v>1.3270089279602824</v>
      </c>
      <c r="V263" s="382">
        <f t="shared" si="85"/>
        <v>46.217319606410946</v>
      </c>
      <c r="W263" s="401">
        <f t="shared" si="86"/>
        <v>43.414681888878803</v>
      </c>
      <c r="X263" s="157">
        <f t="shared" si="87"/>
        <v>45175</v>
      </c>
      <c r="Y263" s="384">
        <f t="shared" si="88"/>
        <v>42.604521498261924</v>
      </c>
      <c r="Z263" s="384">
        <f t="shared" si="89"/>
        <v>44.383704826319331</v>
      </c>
      <c r="AA263" s="385">
        <f t="shared" si="90"/>
        <v>48.511498370232843</v>
      </c>
      <c r="AB263" s="196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8.5088972358898937E-2</v>
      </c>
      <c r="AD263" s="230">
        <f>(INDEX(Models!$BJ263:$BT263,,AH263)*(1-AF263)+INDEX(Models!$BJ263:$BT263,,AH263+1)*AF263-ERP_i)*AE263*Ramure*Pc/MaxiM</f>
        <v>5.2458547332754019E-4</v>
      </c>
      <c r="AE263" s="304">
        <f t="shared" si="92"/>
        <v>0.5</v>
      </c>
      <c r="AF263" s="176">
        <f t="shared" si="93"/>
        <v>0.32700892796028236</v>
      </c>
      <c r="AG263" s="814">
        <f t="shared" si="99"/>
        <v>1</v>
      </c>
      <c r="AH263" s="175">
        <f t="shared" si="94"/>
        <v>7</v>
      </c>
      <c r="AI263" s="224">
        <f t="shared" si="95"/>
        <v>1.3270089279602824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10">
        <f>'2022'!Wh/'2022'!Env_an*'2023'!Env_an</f>
        <v>33.780428047405834</v>
      </c>
      <c r="C264" s="843"/>
      <c r="D264" s="392">
        <f t="shared" si="77"/>
        <v>35.191883228154438</v>
      </c>
      <c r="E264" s="384">
        <f t="shared" si="100"/>
        <v>37.748229939497456</v>
      </c>
      <c r="F264" s="384">
        <f t="shared" si="78"/>
        <v>37.760656837808298</v>
      </c>
      <c r="G264" s="110">
        <f t="shared" si="101"/>
        <v>0.73357980002195267</v>
      </c>
      <c r="H264" s="413" t="b">
        <f>Wh_hp&gt;='2022'!Maxi_hp</f>
        <v>0</v>
      </c>
      <c r="I264" s="389">
        <f>IF(H264,Wh_hp,'2022'!Maxi_hp)</f>
        <v>52.847504684614634</v>
      </c>
      <c r="J264" s="85">
        <f>IF(H264,An,'2022'!An_max)</f>
        <v>2019</v>
      </c>
      <c r="K264" s="196">
        <f t="shared" si="79"/>
        <v>45176</v>
      </c>
      <c r="L264" s="147">
        <f>IF(t&lt;Tvie,1-EXP((T0-t)*PertePVj)+'2022'!Pspv,1-EXP((T0-t)*PertePVj)+Pspv)</f>
        <v>4.0107406915336742E-2</v>
      </c>
      <c r="M264" s="847"/>
      <c r="N264" s="847"/>
      <c r="O264" s="48">
        <f>IF(t&lt;Tnet,'2022'!Resal+('2022'!Salim-'2022'!Resal)*(1-EXP(('2022'!Tnet-t)/('2022'!Tau_j))),Resal+(Salim-Resal)*(1-EXP((Tnet-t)/(Tau_j))))*Salcycl</f>
        <v>6.7720969047828372E-2</v>
      </c>
      <c r="P264" s="168">
        <f>(INDEX(Models!$BJ264:$BT264,,T264)*(1-R264)+INDEX(Models!$BJ264:$BT264,,T264+1)*R264-ERP_i)*Q264*Ramure*Pc/MaxiM</f>
        <v>5.3113350145178573E-4</v>
      </c>
      <c r="Q264" s="304">
        <f t="shared" si="80"/>
        <v>0.5</v>
      </c>
      <c r="R264" s="176">
        <f t="shared" si="81"/>
        <v>0.32731766950010499</v>
      </c>
      <c r="S264" s="814">
        <f t="shared" si="82"/>
        <v>1</v>
      </c>
      <c r="T264" s="175">
        <f t="shared" si="83"/>
        <v>7</v>
      </c>
      <c r="U264" s="250">
        <f t="shared" si="84"/>
        <v>1.327317669500105</v>
      </c>
      <c r="V264" s="382">
        <f t="shared" si="85"/>
        <v>46.039436884305914</v>
      </c>
      <c r="W264" s="401">
        <f t="shared" si="86"/>
        <v>33.780428047405834</v>
      </c>
      <c r="X264" s="157">
        <f t="shared" si="87"/>
        <v>45176</v>
      </c>
      <c r="Y264" s="384">
        <f t="shared" si="88"/>
        <v>33.150782019823673</v>
      </c>
      <c r="Z264" s="384">
        <f t="shared" si="89"/>
        <v>34.535928559769346</v>
      </c>
      <c r="AA264" s="385">
        <f t="shared" si="90"/>
        <v>37.748229939497456</v>
      </c>
      <c r="AB264" s="196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8.509806644912242E-2</v>
      </c>
      <c r="AD264" s="230">
        <f>(INDEX(Models!$BJ264:$BT264,,AH264)*(1-AF264)+INDEX(Models!$BJ264:$BT264,,AH264+1)*AF264-ERP_i)*AE264*Ramure*Pc/MaxiM</f>
        <v>5.3113350145178573E-4</v>
      </c>
      <c r="AE264" s="304">
        <f t="shared" si="92"/>
        <v>0.5</v>
      </c>
      <c r="AF264" s="176">
        <f t="shared" si="93"/>
        <v>0.32731766950010499</v>
      </c>
      <c r="AG264" s="814">
        <f t="shared" si="99"/>
        <v>1</v>
      </c>
      <c r="AH264" s="175">
        <f t="shared" si="94"/>
        <v>7</v>
      </c>
      <c r="AI264" s="224">
        <f t="shared" si="95"/>
        <v>1.327317669500105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10">
        <f>'2022'!Wh/'2022'!Env_an*'2023'!Env_an</f>
        <v>36.993300719163535</v>
      </c>
      <c r="C265" s="843"/>
      <c r="D265" s="392">
        <f t="shared" si="77"/>
        <v>38.539843143581933</v>
      </c>
      <c r="E265" s="384">
        <f t="shared" si="100"/>
        <v>41.34068684049555</v>
      </c>
      <c r="F265" s="384">
        <f t="shared" si="78"/>
        <v>41.35677796240055</v>
      </c>
      <c r="G265" s="110">
        <f t="shared" si="101"/>
        <v>0.80658987474325616</v>
      </c>
      <c r="H265" s="413" t="b">
        <f>Wh_hp&gt;='2022'!Maxi_hp</f>
        <v>0</v>
      </c>
      <c r="I265" s="389">
        <f>IF(H265,Wh_hp,'2022'!Maxi_hp)</f>
        <v>46.460443083143332</v>
      </c>
      <c r="J265" s="85">
        <f>IF(H265,An,'2022'!An_max)</f>
        <v>2018</v>
      </c>
      <c r="K265" s="196">
        <f t="shared" si="79"/>
        <v>45177</v>
      </c>
      <c r="L265" s="147">
        <f>IF(t&lt;Tvie,1-EXP((T0-t)*PertePVj)+'2022'!Pspv,1-EXP((T0-t)*PertePVj)+Pspv)</f>
        <v>4.0128404743545044E-2</v>
      </c>
      <c r="M265" s="847"/>
      <c r="N265" s="847"/>
      <c r="O265" s="48">
        <f>IF(t&lt;Tnet,'2022'!Resal+('2022'!Salim-'2022'!Resal)*(1-EXP(('2022'!Tnet-t)/('2022'!Tau_j))),Resal+(Salim-Resal)*(1-EXP((Tnet-t)/(Tau_j))))*Salcycl</f>
        <v>6.7750294225156202E-2</v>
      </c>
      <c r="P265" s="168">
        <f>(INDEX(Models!$BJ265:$BT265,,T265)*(1-R265)+INDEX(Models!$BJ265:$BT265,,T265+1)*R265-ERP_i)*Q265*Ramure*Pc/MaxiM</f>
        <v>5.3750002801787329E-4</v>
      </c>
      <c r="Q265" s="304">
        <f t="shared" si="80"/>
        <v>0.5</v>
      </c>
      <c r="R265" s="176">
        <f t="shared" si="81"/>
        <v>0.32761459344821242</v>
      </c>
      <c r="S265" s="814">
        <f t="shared" si="82"/>
        <v>1</v>
      </c>
      <c r="T265" s="175">
        <f t="shared" si="83"/>
        <v>7</v>
      </c>
      <c r="U265" s="250">
        <f t="shared" si="84"/>
        <v>1.3276145934482124</v>
      </c>
      <c r="V265" s="382">
        <f t="shared" si="85"/>
        <v>45.857020051280401</v>
      </c>
      <c r="W265" s="401">
        <f t="shared" si="86"/>
        <v>36.993300719163535</v>
      </c>
      <c r="X265" s="157">
        <f t="shared" si="87"/>
        <v>45177</v>
      </c>
      <c r="Y265" s="384">
        <f t="shared" si="88"/>
        <v>36.304571570522604</v>
      </c>
      <c r="Z265" s="384">
        <f t="shared" si="89"/>
        <v>37.822320974945491</v>
      </c>
      <c r="AA265" s="385">
        <f t="shared" si="90"/>
        <v>41.34068684049555</v>
      </c>
      <c r="AB265" s="196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8.5106613712658985E-2</v>
      </c>
      <c r="AD265" s="230">
        <f>(INDEX(Models!$BJ265:$BT265,,AH265)*(1-AF265)+INDEX(Models!$BJ265:$BT265,,AH265+1)*AF265-ERP_i)*AE265*Ramure*Pc/MaxiM</f>
        <v>5.3750002801787329E-4</v>
      </c>
      <c r="AE265" s="304">
        <f t="shared" si="92"/>
        <v>0.5</v>
      </c>
      <c r="AF265" s="176">
        <f t="shared" si="93"/>
        <v>0.32761459344821242</v>
      </c>
      <c r="AG265" s="814">
        <f t="shared" si="99"/>
        <v>1</v>
      </c>
      <c r="AH265" s="175">
        <f t="shared" si="94"/>
        <v>7</v>
      </c>
      <c r="AI265" s="224">
        <f t="shared" si="95"/>
        <v>1.3276145934482124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10">
        <f>'2022'!Wh/'2022'!Env_an*'2023'!Env_an</f>
        <v>20.595106210473567</v>
      </c>
      <c r="C266" s="843"/>
      <c r="D266" s="392">
        <f t="shared" si="77"/>
        <v>21.456574862573998</v>
      </c>
      <c r="E266" s="384">
        <f t="shared" si="100"/>
        <v>23.0166216203401</v>
      </c>
      <c r="F266" s="384">
        <f t="shared" si="78"/>
        <v>23.019320490042954</v>
      </c>
      <c r="G266" s="110">
        <f t="shared" si="101"/>
        <v>0.45076083147186352</v>
      </c>
      <c r="H266" s="413" t="b">
        <f>Wh_hp&gt;='2022'!Maxi_hp</f>
        <v>0</v>
      </c>
      <c r="I266" s="389">
        <f>IF(H266,Wh_hp,'2022'!Maxi_hp)</f>
        <v>49.540166553764124</v>
      </c>
      <c r="J266" s="85">
        <f>IF(H266,An,'2022'!An_max)</f>
        <v>2020</v>
      </c>
      <c r="K266" s="196">
        <f t="shared" si="79"/>
        <v>45178</v>
      </c>
      <c r="L266" s="147">
        <f>IF(t&lt;Tvie,1-EXP((T0-t)*PertePVj)+'2022'!Pspv,1-EXP((T0-t)*PertePVj)+Pspv)</f>
        <v>4.01494021118469E-2</v>
      </c>
      <c r="M266" s="847"/>
      <c r="N266" s="847"/>
      <c r="O266" s="48">
        <f>IF(t&lt;Tnet,'2022'!Resal+('2022'!Salim-'2022'!Resal)*(1-EXP(('2022'!Tnet-t)/('2022'!Tau_j))),Resal+(Salim-Resal)*(1-EXP((Tnet-t)/(Tau_j))))*Salcycl</f>
        <v>6.7779137333841638E-2</v>
      </c>
      <c r="P266" s="168">
        <f>(INDEX(Models!$BJ266:$BT266,,T266)*(1-R266)+INDEX(Models!$BJ266:$BT266,,T266+1)*R266-ERP_i)*Q266*Ramure*Pc/MaxiM</f>
        <v>5.436823767594834E-4</v>
      </c>
      <c r="Q266" s="304">
        <f t="shared" si="80"/>
        <v>0.5</v>
      </c>
      <c r="R266" s="176">
        <f t="shared" si="81"/>
        <v>0.32790012894782561</v>
      </c>
      <c r="S266" s="814">
        <f t="shared" si="82"/>
        <v>1</v>
      </c>
      <c r="T266" s="175">
        <f t="shared" si="83"/>
        <v>7</v>
      </c>
      <c r="U266" s="250">
        <f t="shared" si="84"/>
        <v>1.3279001289478256</v>
      </c>
      <c r="V266" s="382">
        <f t="shared" si="85"/>
        <v>45.67016739909409</v>
      </c>
      <c r="W266" s="401">
        <f t="shared" si="86"/>
        <v>20.595106210473567</v>
      </c>
      <c r="X266" s="157">
        <f t="shared" si="87"/>
        <v>45178</v>
      </c>
      <c r="Y266" s="384">
        <f t="shared" si="88"/>
        <v>20.212122333798408</v>
      </c>
      <c r="Z266" s="384">
        <f t="shared" si="89"/>
        <v>21.057571228552419</v>
      </c>
      <c r="AA266" s="385">
        <f t="shared" si="90"/>
        <v>23.0166216203401</v>
      </c>
      <c r="AB266" s="196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8.5114593449129042E-2</v>
      </c>
      <c r="AD266" s="230">
        <f>(INDEX(Models!$BJ266:$BT266,,AH266)*(1-AF266)+INDEX(Models!$BJ266:$BT266,,AH266+1)*AF266-ERP_i)*AE266*Ramure*Pc/MaxiM</f>
        <v>5.436823767594834E-4</v>
      </c>
      <c r="AE266" s="304">
        <f t="shared" si="92"/>
        <v>0.5</v>
      </c>
      <c r="AF266" s="176">
        <f t="shared" si="93"/>
        <v>0.32790012894782561</v>
      </c>
      <c r="AG266" s="814">
        <f t="shared" si="99"/>
        <v>1</v>
      </c>
      <c r="AH266" s="175">
        <f t="shared" si="94"/>
        <v>7</v>
      </c>
      <c r="AI266" s="224">
        <f t="shared" si="95"/>
        <v>1.3279001289478256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10">
        <f>'2022'!Wh/'2022'!Env_an*'2023'!Env_an</f>
        <v>43.510307305512434</v>
      </c>
      <c r="C267" s="843"/>
      <c r="D267" s="392">
        <f t="shared" si="77"/>
        <v>45.331283033050056</v>
      </c>
      <c r="E267" s="384">
        <f t="shared" si="100"/>
        <v>48.62867068790738</v>
      </c>
      <c r="F267" s="384">
        <f t="shared" si="78"/>
        <v>48.653760752944017</v>
      </c>
      <c r="G267" s="110">
        <f t="shared" si="101"/>
        <v>0.95667999212884525</v>
      </c>
      <c r="H267" s="413" t="b">
        <f>Wh_hp&gt;='2022'!Maxi_hp</f>
        <v>0</v>
      </c>
      <c r="I267" s="389">
        <f>IF(H267,Wh_hp,'2022'!Maxi_hp)</f>
        <v>48.654110343660342</v>
      </c>
      <c r="J267" s="85">
        <f>IF(H267,An,'2022'!An_max)</f>
        <v>2022</v>
      </c>
      <c r="K267" s="196">
        <f t="shared" si="79"/>
        <v>45179</v>
      </c>
      <c r="L267" s="147">
        <f>IF(t&lt;Tvie,1-EXP((T0-t)*PertePVj)+'2022'!Pspv,1-EXP((T0-t)*PertePVj)+Pspv)</f>
        <v>4.0170399020252524E-2</v>
      </c>
      <c r="M267" s="847"/>
      <c r="N267" s="847"/>
      <c r="O267" s="48">
        <f>IF(t&lt;Tnet,'2022'!Resal+('2022'!Salim-'2022'!Resal)*(1-EXP(('2022'!Tnet-t)/('2022'!Tau_j))),Resal+(Salim-Resal)*(1-EXP((Tnet-t)/(Tau_j))))*Salcycl</f>
        <v>6.7807480817634103E-2</v>
      </c>
      <c r="P267" s="168">
        <f>(INDEX(Models!$BJ267:$BT267,,T267)*(1-R267)+INDEX(Models!$BJ267:$BT267,,T267+1)*R267-ERP_i)*Q267*Ramure*Pc/MaxiM</f>
        <v>5.4967768913987455E-4</v>
      </c>
      <c r="Q267" s="304">
        <f t="shared" si="80"/>
        <v>0.5</v>
      </c>
      <c r="R267" s="176">
        <f t="shared" si="81"/>
        <v>0.32817469135242439</v>
      </c>
      <c r="S267" s="814">
        <f t="shared" si="82"/>
        <v>1</v>
      </c>
      <c r="T267" s="175">
        <f t="shared" si="83"/>
        <v>7</v>
      </c>
      <c r="U267" s="250">
        <f t="shared" si="84"/>
        <v>1.3281746913524244</v>
      </c>
      <c r="V267" s="382">
        <f t="shared" si="85"/>
        <v>45.478977205690079</v>
      </c>
      <c r="W267" s="401">
        <f t="shared" si="86"/>
        <v>43.510307305512434</v>
      </c>
      <c r="X267" s="157">
        <f t="shared" si="87"/>
        <v>45179</v>
      </c>
      <c r="Y267" s="384">
        <f t="shared" si="88"/>
        <v>42.70214875064044</v>
      </c>
      <c r="Z267" s="384">
        <f t="shared" si="89"/>
        <v>44.489301754240714</v>
      </c>
      <c r="AA267" s="385">
        <f t="shared" si="90"/>
        <v>48.62867068790738</v>
      </c>
      <c r="AB267" s="196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8.5121984111649063E-2</v>
      </c>
      <c r="AD267" s="230">
        <f>(INDEX(Models!$BJ267:$BT267,,AH267)*(1-AF267)+INDEX(Models!$BJ267:$BT267,,AH267+1)*AF267-ERP_i)*AE267*Ramure*Pc/MaxiM</f>
        <v>5.4967768913987455E-4</v>
      </c>
      <c r="AE267" s="304">
        <f t="shared" si="92"/>
        <v>0.5</v>
      </c>
      <c r="AF267" s="176">
        <f t="shared" si="93"/>
        <v>0.32817469135242439</v>
      </c>
      <c r="AG267" s="814">
        <f t="shared" si="99"/>
        <v>1</v>
      </c>
      <c r="AH267" s="175">
        <f t="shared" si="94"/>
        <v>7</v>
      </c>
      <c r="AI267" s="224">
        <f t="shared" si="95"/>
        <v>1.3281746913524244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10">
        <f>'2022'!Wh/'2022'!Env_an*'2023'!Env_an</f>
        <v>44.0242182686573</v>
      </c>
      <c r="C268" s="843"/>
      <c r="D268" s="392">
        <f t="shared" si="77"/>
        <v>45.867705353776024</v>
      </c>
      <c r="E268" s="384">
        <f t="shared" si="100"/>
        <v>49.205581019598178</v>
      </c>
      <c r="F268" s="384">
        <f t="shared" si="78"/>
        <v>49.231810214764252</v>
      </c>
      <c r="G268" s="110">
        <f t="shared" si="101"/>
        <v>0.97216803865276791</v>
      </c>
      <c r="H268" s="413" t="b">
        <f>Wh_hp&gt;='2022'!Maxi_hp</f>
        <v>0</v>
      </c>
      <c r="I268" s="389">
        <f>IF(H268,Wh_hp,'2022'!Maxi_hp)</f>
        <v>49.232037349545898</v>
      </c>
      <c r="J268" s="85">
        <f>IF(H268,An,'2022'!An_max)</f>
        <v>2022</v>
      </c>
      <c r="K268" s="196">
        <f t="shared" si="79"/>
        <v>45180</v>
      </c>
      <c r="L268" s="147">
        <f>IF(t&lt;Tvie,1-EXP((T0-t)*PertePVj)+'2022'!Pspv,1-EXP((T0-t)*PertePVj)+Pspv)</f>
        <v>4.0191395468772019E-2</v>
      </c>
      <c r="M268" s="847"/>
      <c r="N268" s="847"/>
      <c r="O268" s="48">
        <f>IF(t&lt;Tnet,'2022'!Resal+('2022'!Salim-'2022'!Resal)*(1-EXP(('2022'!Tnet-t)/('2022'!Tau_j))),Resal+(Salim-Resal)*(1-EXP((Tnet-t)/(Tau_j))))*Salcycl</f>
        <v>6.7835306415601676E-2</v>
      </c>
      <c r="P268" s="168">
        <f>(INDEX(Models!$BJ268:$BT268,,T268)*(1-R268)+INDEX(Models!$BJ268:$BT268,,T268+1)*R268-ERP_i)*Q268*Ramure*Pc/MaxiM</f>
        <v>5.5481154413199369E-4</v>
      </c>
      <c r="Q268" s="304">
        <f t="shared" si="80"/>
        <v>0.5</v>
      </c>
      <c r="R268" s="176">
        <f t="shared" si="81"/>
        <v>0.32843868252722652</v>
      </c>
      <c r="S268" s="814">
        <f t="shared" si="82"/>
        <v>1</v>
      </c>
      <c r="T268" s="175">
        <f t="shared" si="83"/>
        <v>7</v>
      </c>
      <c r="U268" s="250">
        <f t="shared" si="84"/>
        <v>1.3284386825272265</v>
      </c>
      <c r="V268" s="382">
        <f t="shared" si="85"/>
        <v>45.283578153965379</v>
      </c>
      <c r="W268" s="401">
        <f t="shared" si="86"/>
        <v>44.0242182686573</v>
      </c>
      <c r="X268" s="157">
        <f t="shared" si="87"/>
        <v>45180</v>
      </c>
      <c r="Y268" s="384">
        <f t="shared" si="88"/>
        <v>43.207483923793475</v>
      </c>
      <c r="Z268" s="384">
        <f t="shared" si="89"/>
        <v>45.01677076014137</v>
      </c>
      <c r="AA268" s="385">
        <f t="shared" si="90"/>
        <v>49.205581019598178</v>
      </c>
      <c r="AB268" s="196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8.512876329594482E-2</v>
      </c>
      <c r="AD268" s="230">
        <f>(INDEX(Models!$BJ268:$BT268,,AH268)*(1-AF268)+INDEX(Models!$BJ268:$BT268,,AH268+1)*AF268-ERP_i)*AE268*Ramure*Pc/MaxiM</f>
        <v>5.5481154413199369E-4</v>
      </c>
      <c r="AE268" s="304">
        <f t="shared" si="92"/>
        <v>0.5</v>
      </c>
      <c r="AF268" s="176">
        <f t="shared" si="93"/>
        <v>0.32843868252722652</v>
      </c>
      <c r="AG268" s="814">
        <f t="shared" si="99"/>
        <v>1</v>
      </c>
      <c r="AH268" s="175">
        <f t="shared" si="94"/>
        <v>7</v>
      </c>
      <c r="AI268" s="224">
        <f t="shared" si="95"/>
        <v>1.3284386825272265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10">
        <f>'2022'!Wh/'2022'!Env_an*'2023'!Env_an</f>
        <v>30.833980313856564</v>
      </c>
      <c r="C269" s="843"/>
      <c r="D269" s="392">
        <f t="shared" si="77"/>
        <v>32.125837049175132</v>
      </c>
      <c r="E269" s="384">
        <f t="shared" si="100"/>
        <v>34.464701107760412</v>
      </c>
      <c r="F269" s="384">
        <f t="shared" si="78"/>
        <v>34.475279068916961</v>
      </c>
      <c r="G269" s="110">
        <f t="shared" si="101"/>
        <v>0.68374929911902182</v>
      </c>
      <c r="H269" s="413" t="b">
        <f>Wh_hp&gt;='2022'!Maxi_hp</f>
        <v>0</v>
      </c>
      <c r="I269" s="389">
        <f>IF(H269,Wh_hp,'2022'!Maxi_hp)</f>
        <v>50.900576803696573</v>
      </c>
      <c r="J269" s="85">
        <f>IF(H269,An,'2022'!An_max)</f>
        <v>2019</v>
      </c>
      <c r="K269" s="196">
        <f t="shared" si="79"/>
        <v>45181</v>
      </c>
      <c r="L269" s="147">
        <f>IF(t&lt;Tvie,1-EXP((T0-t)*PertePVj)+'2022'!Pspv,1-EXP((T0-t)*PertePVj)+Pspv)</f>
        <v>4.0212391457415377E-2</v>
      </c>
      <c r="M269" s="847"/>
      <c r="N269" s="847"/>
      <c r="O269" s="48">
        <f>IF(t&lt;Tnet,'2022'!Resal+('2022'!Salim-'2022'!Resal)*(1-EXP(('2022'!Tnet-t)/('2022'!Tau_j))),Resal+(Salim-Resal)*(1-EXP((Tnet-t)/(Tau_j))))*Salcycl</f>
        <v>6.7862595159968953E-2</v>
      </c>
      <c r="P269" s="168">
        <f>(INDEX(Models!$BJ269:$BT269,,T269)*(1-R269)+INDEX(Models!$BJ269:$BT269,,T269+1)*R269-ERP_i)*Q269*Ramure*Pc/MaxiM</f>
        <v>5.5943429638523323E-4</v>
      </c>
      <c r="Q269" s="304">
        <f t="shared" si="80"/>
        <v>0.5</v>
      </c>
      <c r="R269" s="176">
        <f t="shared" si="81"/>
        <v>0.3286924911561786</v>
      </c>
      <c r="S269" s="814">
        <f t="shared" si="82"/>
        <v>1</v>
      </c>
      <c r="T269" s="175">
        <f t="shared" si="83"/>
        <v>7</v>
      </c>
      <c r="U269" s="250">
        <f t="shared" si="84"/>
        <v>1.3286924911561786</v>
      </c>
      <c r="V269" s="382">
        <f t="shared" si="85"/>
        <v>45.084052133946109</v>
      </c>
      <c r="W269" s="401">
        <f t="shared" si="86"/>
        <v>30.833980313856564</v>
      </c>
      <c r="X269" s="157">
        <f t="shared" si="87"/>
        <v>45181</v>
      </c>
      <c r="Y269" s="384">
        <f t="shared" si="88"/>
        <v>30.262633060469106</v>
      </c>
      <c r="Z269" s="384">
        <f t="shared" si="89"/>
        <v>31.530551958700759</v>
      </c>
      <c r="AA269" s="385">
        <f t="shared" si="90"/>
        <v>34.464701107760412</v>
      </c>
      <c r="AB269" s="196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8.5134907738949467E-2</v>
      </c>
      <c r="AD269" s="230">
        <f>(INDEX(Models!$BJ269:$BT269,,AH269)*(1-AF269)+INDEX(Models!$BJ269:$BT269,,AH269+1)*AF269-ERP_i)*AE269*Ramure*Pc/MaxiM</f>
        <v>5.5943429638523323E-4</v>
      </c>
      <c r="AE269" s="304">
        <f t="shared" si="92"/>
        <v>0.5</v>
      </c>
      <c r="AF269" s="176">
        <f t="shared" si="93"/>
        <v>0.3286924911561786</v>
      </c>
      <c r="AG269" s="814">
        <f t="shared" si="99"/>
        <v>1</v>
      </c>
      <c r="AH269" s="175">
        <f t="shared" si="94"/>
        <v>7</v>
      </c>
      <c r="AI269" s="224">
        <f t="shared" si="95"/>
        <v>1.3286924911561786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10">
        <f>'2022'!Wh/'2022'!Env_an*'2023'!Env_an</f>
        <v>10.933787245319424</v>
      </c>
      <c r="C270" s="843"/>
      <c r="D270" s="392">
        <f t="shared" si="77"/>
        <v>11.392131271357457</v>
      </c>
      <c r="E270" s="384">
        <f t="shared" si="100"/>
        <v>12.221865499475246</v>
      </c>
      <c r="F270" s="384">
        <f t="shared" si="78"/>
        <v>12.221865499475246</v>
      </c>
      <c r="G270" s="110">
        <f t="shared" si="101"/>
        <v>0.24348272142711594</v>
      </c>
      <c r="H270" s="413" t="b">
        <f>Wh_hp&gt;='2022'!Maxi_hp</f>
        <v>0</v>
      </c>
      <c r="I270" s="389">
        <f>IF(H270,Wh_hp,'2022'!Maxi_hp)</f>
        <v>48.380443853441712</v>
      </c>
      <c r="J270" s="85">
        <f>IF(H270,An,'2022'!An_max)</f>
        <v>2020</v>
      </c>
      <c r="K270" s="196">
        <f t="shared" si="79"/>
        <v>45182</v>
      </c>
      <c r="L270" s="147">
        <f>IF(t&lt;Tvie,1-EXP((T0-t)*PertePVj)+'2022'!Pspv,1-EXP((T0-t)*PertePVj)+Pspv)</f>
        <v>4.02333869861927E-2</v>
      </c>
      <c r="M270" s="847"/>
      <c r="N270" s="847"/>
      <c r="O270" s="48">
        <f>IF(t&lt;Tnet,'2022'!Resal+('2022'!Salim-'2022'!Resal)*(1-EXP(('2022'!Tnet-t)/('2022'!Tau_j))),Resal+(Salim-Resal)*(1-EXP((Tnet-t)/(Tau_j))))*Salcycl</f>
        <v>6.78893273824209E-2</v>
      </c>
      <c r="P270" s="168">
        <f>(INDEX(Models!$BJ270:$BT270,,T270)*(1-R270)+INDEX(Models!$BJ270:$BT270,,T270+1)*R270-ERP_i)*Q270*Ramure*Pc/MaxiM</f>
        <v>5.6353963242548443E-4</v>
      </c>
      <c r="Q270" s="304">
        <f t="shared" si="80"/>
        <v>0.5</v>
      </c>
      <c r="R270" s="176">
        <f t="shared" si="81"/>
        <v>0.32893649305310468</v>
      </c>
      <c r="S270" s="814">
        <f t="shared" si="82"/>
        <v>1</v>
      </c>
      <c r="T270" s="175">
        <f t="shared" si="83"/>
        <v>7</v>
      </c>
      <c r="U270" s="250">
        <f t="shared" si="84"/>
        <v>1.3289364930531047</v>
      </c>
      <c r="V270" s="382">
        <f t="shared" si="85"/>
        <v>44.880497305207136</v>
      </c>
      <c r="W270" s="401">
        <f t="shared" si="86"/>
        <v>10.933787245319424</v>
      </c>
      <c r="X270" s="157">
        <f t="shared" si="87"/>
        <v>45182</v>
      </c>
      <c r="Y270" s="384">
        <f t="shared" si="88"/>
        <v>10.731429853278829</v>
      </c>
      <c r="Z270" s="384">
        <f t="shared" si="89"/>
        <v>11.18129106364783</v>
      </c>
      <c r="AA270" s="385">
        <f t="shared" si="90"/>
        <v>12.221865499475246</v>
      </c>
      <c r="AB270" s="196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8.514039332801486E-2</v>
      </c>
      <c r="AD270" s="230">
        <f>(INDEX(Models!$BJ270:$BT270,,AH270)*(1-AF270)+INDEX(Models!$BJ270:$BT270,,AH270+1)*AF270-ERP_i)*AE270*Ramure*Pc/MaxiM</f>
        <v>5.6353963242548443E-4</v>
      </c>
      <c r="AE270" s="304">
        <f t="shared" si="92"/>
        <v>0.5</v>
      </c>
      <c r="AF270" s="176">
        <f t="shared" si="93"/>
        <v>0.32893649305310468</v>
      </c>
      <c r="AG270" s="814">
        <f t="shared" si="99"/>
        <v>1</v>
      </c>
      <c r="AH270" s="175">
        <f t="shared" si="94"/>
        <v>7</v>
      </c>
      <c r="AI270" s="224">
        <f t="shared" si="95"/>
        <v>1.3289364930531047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10">
        <f>'2022'!Wh/'2022'!Env_an*'2023'!Env_an</f>
        <v>36.285195369821821</v>
      </c>
      <c r="C271" s="843"/>
      <c r="D271" s="392">
        <f t="shared" ref="D271:D334" si="102">Wh/(1-Ppv)</f>
        <v>37.807096684139822</v>
      </c>
      <c r="E271" s="384">
        <f t="shared" si="100"/>
        <v>40.561876078429137</v>
      </c>
      <c r="F271" s="384">
        <f t="shared" ref="F271:F334" si="103">Wh_sa/(1-Pvg*MEDIAN((-Sdif+Wh/Env_an)/Csdif,0,1))</f>
        <v>40.578716354449838</v>
      </c>
      <c r="G271" s="110">
        <f t="shared" si="101"/>
        <v>0.81211612959844937</v>
      </c>
      <c r="H271" s="413" t="b">
        <f>Wh_hp&gt;='2022'!Maxi_hp</f>
        <v>0</v>
      </c>
      <c r="I271" s="389">
        <f>IF(H271,Wh_hp,'2022'!Maxi_hp)</f>
        <v>48.09542285224876</v>
      </c>
      <c r="J271" s="85">
        <f>IF(H271,An,'2022'!An_max)</f>
        <v>2020</v>
      </c>
      <c r="K271" s="196">
        <f t="shared" ref="K271:K334" si="104">t</f>
        <v>45183</v>
      </c>
      <c r="L271" s="147">
        <f>IF(t&lt;Tvie,1-EXP((T0-t)*PertePVj)+'2022'!Pspv,1-EXP((T0-t)*PertePVj)+Pspv)</f>
        <v>4.0254382055114092E-2</v>
      </c>
      <c r="M271" s="847"/>
      <c r="N271" s="847"/>
      <c r="O271" s="48">
        <f>IF(t&lt;Tnet,'2022'!Resal+('2022'!Salim-'2022'!Resal)*(1-EXP(('2022'!Tnet-t)/('2022'!Tau_j))),Resal+(Salim-Resal)*(1-EXP((Tnet-t)/(Tau_j))))*Salcycl</f>
        <v>6.7915482729713095E-2</v>
      </c>
      <c r="P271" s="168">
        <f>(INDEX(Models!$BJ271:$BT271,,T271)*(1-R271)+INDEX(Models!$BJ271:$BT271,,T271+1)*R271-ERP_i)*Q271*Ramure*Pc/MaxiM</f>
        <v>5.6712092893235883E-4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0.3291710514757662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1.3291710514757662</v>
      </c>
      <c r="V271" s="382">
        <f t="shared" ref="V271:V334" si="110">MaxiM*(1-Ppv)*(1-Pvg)*(1-Psa)</f>
        <v>44.673011796658159</v>
      </c>
      <c r="W271" s="401">
        <f t="shared" ref="W271:W334" si="111">Wh*(A271&gt;Tmaj)</f>
        <v>36.285195369821821</v>
      </c>
      <c r="X271" s="157">
        <f t="shared" ref="X271:X334" si="112">t</f>
        <v>45183</v>
      </c>
      <c r="Y271" s="384">
        <f t="shared" ref="Y271:Y334" si="113">Wh_pvt_s*(1-Ppv)</f>
        <v>35.614458469114126</v>
      </c>
      <c r="Z271" s="384">
        <f t="shared" ref="Z271:Z334" si="114">Wh_sa_s*(1-Psa_s)</f>
        <v>37.108227225226372</v>
      </c>
      <c r="AA271" s="385">
        <f t="shared" ref="AA271:AA334" si="115">Wh_hp*(1-Pvg_s*MEDIAN((-Sdif+Wh/Env_an)/Csdif,0,1))</f>
        <v>40.561876078429137</v>
      </c>
      <c r="AB271" s="196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8.514519512176652E-2</v>
      </c>
      <c r="AD271" s="230">
        <f>(INDEX(Models!$BJ271:$BT271,,AH271)*(1-AF271)+INDEX(Models!$BJ271:$BT271,,AH271+1)*AF271-ERP_i)*AE271*Ramure*Pc/MaxiM</f>
        <v>5.6712092893235883E-4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0.3291710514757662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1.3291710514757662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10">
        <f>'2022'!Wh/'2022'!Env_an*'2023'!Env_an</f>
        <v>39.858744120096667</v>
      </c>
      <c r="C272" s="843"/>
      <c r="D272" s="392">
        <f t="shared" si="102"/>
        <v>41.531438446953317</v>
      </c>
      <c r="E272" s="384">
        <f t="shared" si="100"/>
        <v>44.558810373316007</v>
      </c>
      <c r="F272" s="384">
        <f t="shared" si="103"/>
        <v>44.580469617967637</v>
      </c>
      <c r="G272" s="110">
        <f t="shared" si="101"/>
        <v>0.89639818141951477</v>
      </c>
      <c r="H272" s="413" t="b">
        <f>Wh_hp&gt;='2022'!Maxi_hp</f>
        <v>0</v>
      </c>
      <c r="I272" s="389">
        <f>IF(H272,Wh_hp,'2022'!Maxi_hp)</f>
        <v>48.958278323972046</v>
      </c>
      <c r="J272" s="85">
        <f>IF(H272,An,'2022'!An_max)</f>
        <v>2020</v>
      </c>
      <c r="K272" s="196">
        <f t="shared" si="104"/>
        <v>45184</v>
      </c>
      <c r="L272" s="147">
        <f>IF(t&lt;Tvie,1-EXP((T0-t)*PertePVj)+'2022'!Pspv,1-EXP((T0-t)*PertePVj)+Pspv)</f>
        <v>4.0275376664189545E-2</v>
      </c>
      <c r="M272" s="847"/>
      <c r="N272" s="847"/>
      <c r="O272" s="48">
        <f>IF(t&lt;Tnet,'2022'!Resal+('2022'!Salim-'2022'!Resal)*(1-EXP(('2022'!Tnet-t)/('2022'!Tau_j))),Resal+(Salim-Resal)*(1-EXP((Tnet-t)/(Tau_j))))*Salcycl</f>
        <v>6.7941040189340982E-2</v>
      </c>
      <c r="P272" s="168">
        <f>(INDEX(Models!$BJ272:$BT272,,T272)*(1-R272)+INDEX(Models!$BJ272:$BT272,,T272+1)*R272-ERP_i)*Q272*Ramure*Pc/MaxiM</f>
        <v>5.7017126436372705E-4</v>
      </c>
      <c r="Q272" s="304">
        <f t="shared" si="105"/>
        <v>0.5</v>
      </c>
      <c r="R272" s="176">
        <f t="shared" si="106"/>
        <v>0.32939651744170506</v>
      </c>
      <c r="S272" s="814">
        <f t="shared" si="107"/>
        <v>1</v>
      </c>
      <c r="T272" s="175">
        <f t="shared" si="108"/>
        <v>7</v>
      </c>
      <c r="U272" s="250">
        <f t="shared" si="109"/>
        <v>1.3293965174417051</v>
      </c>
      <c r="V272" s="382">
        <f t="shared" si="110"/>
        <v>44.46169371483527</v>
      </c>
      <c r="W272" s="401">
        <f t="shared" si="111"/>
        <v>39.858744120096667</v>
      </c>
      <c r="X272" s="157">
        <f t="shared" si="112"/>
        <v>45184</v>
      </c>
      <c r="Y272" s="384">
        <f t="shared" si="113"/>
        <v>39.122847410507163</v>
      </c>
      <c r="Z272" s="384">
        <f t="shared" si="114"/>
        <v>40.76465942337083</v>
      </c>
      <c r="AA272" s="385">
        <f t="shared" si="115"/>
        <v>44.558810373316007</v>
      </c>
      <c r="AB272" s="196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8.5149287383518193E-2</v>
      </c>
      <c r="AD272" s="230">
        <f>(INDEX(Models!$BJ272:$BT272,,AH272)*(1-AF272)+INDEX(Models!$BJ272:$BT272,,AH272+1)*AF272-ERP_i)*AE272*Ramure*Pc/MaxiM</f>
        <v>5.7017126436372705E-4</v>
      </c>
      <c r="AE272" s="304">
        <f t="shared" si="117"/>
        <v>0.5</v>
      </c>
      <c r="AF272" s="176">
        <f t="shared" si="118"/>
        <v>0.32939651744170506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1.3293965174417051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10">
        <f>'2022'!Wh/'2022'!Env_an*'2023'!Env_an</f>
        <v>26.539477923775067</v>
      </c>
      <c r="C273" s="843"/>
      <c r="D273" s="392">
        <f t="shared" si="102"/>
        <v>27.65382678220098</v>
      </c>
      <c r="E273" s="384">
        <f t="shared" si="100"/>
        <v>29.670404870625113</v>
      </c>
      <c r="F273" s="384">
        <f t="shared" si="103"/>
        <v>29.677684167506658</v>
      </c>
      <c r="G273" s="110">
        <f t="shared" si="101"/>
        <v>0.59961131412366864</v>
      </c>
      <c r="H273" s="413" t="b">
        <f>Wh_hp&gt;='2022'!Maxi_hp</f>
        <v>0</v>
      </c>
      <c r="I273" s="389">
        <f>IF(H273,Wh_hp,'2022'!Maxi_hp)</f>
        <v>47.140487034967791</v>
      </c>
      <c r="J273" s="85">
        <f>IF(H273,An,'2022'!An_max)</f>
        <v>2018</v>
      </c>
      <c r="K273" s="196">
        <f t="shared" si="104"/>
        <v>45185</v>
      </c>
      <c r="L273" s="147">
        <f>IF(t&lt;Tvie,1-EXP((T0-t)*PertePVj)+'2022'!Pspv,1-EXP((T0-t)*PertePVj)+Pspv)</f>
        <v>4.0296370813429273E-2</v>
      </c>
      <c r="M273" s="847"/>
      <c r="N273" s="847"/>
      <c r="O273" s="48">
        <f>IF(t&lt;Tnet,'2022'!Resal+('2022'!Salim-'2022'!Resal)*(1-EXP(('2022'!Tnet-t)/('2022'!Tau_j))),Resal+(Salim-Resal)*(1-EXP((Tnet-t)/(Tau_j))))*Salcycl</f>
        <v>6.79659781259212E-2</v>
      </c>
      <c r="P273" s="168">
        <f>(INDEX(Models!$BJ273:$BT273,,T273)*(1-R273)+INDEX(Models!$BJ273:$BT273,,T273+1)*R273-ERP_i)*Q273*Ramure*Pc/MaxiM</f>
        <v>5.7268343264215316E-4</v>
      </c>
      <c r="Q273" s="304">
        <f t="shared" si="105"/>
        <v>0.5</v>
      </c>
      <c r="R273" s="176">
        <f t="shared" si="106"/>
        <v>0.32961323004484244</v>
      </c>
      <c r="S273" s="814">
        <f t="shared" si="107"/>
        <v>1</v>
      </c>
      <c r="T273" s="175">
        <f t="shared" si="108"/>
        <v>7</v>
      </c>
      <c r="U273" s="250">
        <f t="shared" si="109"/>
        <v>1.3296132300448424</v>
      </c>
      <c r="V273" s="382">
        <f t="shared" si="110"/>
        <v>44.246641132698358</v>
      </c>
      <c r="W273" s="401">
        <f t="shared" si="111"/>
        <v>26.539477923775067</v>
      </c>
      <c r="X273" s="157">
        <f t="shared" si="112"/>
        <v>45185</v>
      </c>
      <c r="Y273" s="384">
        <f t="shared" si="113"/>
        <v>26.050091142851002</v>
      </c>
      <c r="Z273" s="384">
        <f t="shared" si="114"/>
        <v>27.143891458377247</v>
      </c>
      <c r="AA273" s="385">
        <f t="shared" si="115"/>
        <v>29.670404870625113</v>
      </c>
      <c r="AB273" s="196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8.5152643628035485E-2</v>
      </c>
      <c r="AD273" s="230">
        <f>(INDEX(Models!$BJ273:$BT273,,AH273)*(1-AF273)+INDEX(Models!$BJ273:$BT273,,AH273+1)*AF273-ERP_i)*AE273*Ramure*Pc/MaxiM</f>
        <v>5.7268343264215316E-4</v>
      </c>
      <c r="AE273" s="304">
        <f t="shared" si="117"/>
        <v>0.5</v>
      </c>
      <c r="AF273" s="176">
        <f t="shared" si="118"/>
        <v>0.32961323004484244</v>
      </c>
      <c r="AG273" s="814">
        <f t="shared" si="124"/>
        <v>1</v>
      </c>
      <c r="AH273" s="175">
        <f t="shared" si="119"/>
        <v>7</v>
      </c>
      <c r="AI273" s="224">
        <f t="shared" si="120"/>
        <v>1.3296132300448424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10">
        <f>'2022'!Wh/'2022'!Env_an*'2023'!Env_an</f>
        <v>45.898465610973709</v>
      </c>
      <c r="C274" s="843"/>
      <c r="D274" s="392">
        <f t="shared" si="102"/>
        <v>47.826712616506114</v>
      </c>
      <c r="E274" s="384">
        <f t="shared" si="100"/>
        <v>51.315679760814099</v>
      </c>
      <c r="F274" s="384">
        <f t="shared" si="103"/>
        <v>51.345185269403615</v>
      </c>
      <c r="G274" s="110">
        <f t="shared" si="101"/>
        <v>1.0424846814471722</v>
      </c>
      <c r="H274" s="413" t="b">
        <f>Wh_hp&gt;='2022'!Maxi_hp</f>
        <v>1</v>
      </c>
      <c r="I274" s="389">
        <f>IF(H274,Wh_hp,'2022'!Maxi_hp)</f>
        <v>51.345185269403615</v>
      </c>
      <c r="J274" s="85">
        <f>IF(H274,An,'2022'!An_max)</f>
        <v>2023</v>
      </c>
      <c r="K274" s="196">
        <f t="shared" si="104"/>
        <v>45186</v>
      </c>
      <c r="L274" s="147">
        <f>IF(t&lt;Tvie,1-EXP((T0-t)*PertePVj)+'2022'!Pspv,1-EXP((T0-t)*PertePVj)+Pspv)</f>
        <v>4.0317364502843157E-2</v>
      </c>
      <c r="M274" s="847"/>
      <c r="N274" s="847"/>
      <c r="O274" s="48">
        <f>IF(t&lt;Tnet,'2022'!Resal+('2022'!Salim-'2022'!Resal)*(1-EXP(('2022'!Tnet-t)/('2022'!Tau_j))),Resal+(Salim-Resal)*(1-EXP((Tnet-t)/(Tau_j))))*Salcycl</f>
        <v>6.7990274328826955E-2</v>
      </c>
      <c r="P274" s="168">
        <f>(INDEX(Models!$BJ274:$BT274,,T274)*(1-R274)+INDEX(Models!$BJ274:$BT274,,T274+1)*R274-ERP_i)*Q274*Ramure*Pc/MaxiM</f>
        <v>5.7464995860277224E-4</v>
      </c>
      <c r="Q274" s="304">
        <f t="shared" si="105"/>
        <v>0.5</v>
      </c>
      <c r="R274" s="176">
        <f t="shared" si="106"/>
        <v>0.32982151677190141</v>
      </c>
      <c r="S274" s="814">
        <f t="shared" si="107"/>
        <v>1</v>
      </c>
      <c r="T274" s="175">
        <f t="shared" si="108"/>
        <v>7</v>
      </c>
      <c r="U274" s="250">
        <f t="shared" si="109"/>
        <v>1.3298215167719014</v>
      </c>
      <c r="V274" s="382">
        <f t="shared" si="110"/>
        <v>44.027952091591104</v>
      </c>
      <c r="W274" s="401">
        <f t="shared" si="111"/>
        <v>45.898465610973709</v>
      </c>
      <c r="X274" s="157">
        <f t="shared" si="112"/>
        <v>45186</v>
      </c>
      <c r="Y274" s="384">
        <f t="shared" si="113"/>
        <v>45.053146712904173</v>
      </c>
      <c r="Z274" s="384">
        <f t="shared" si="114"/>
        <v>46.945880905268965</v>
      </c>
      <c r="AA274" s="385">
        <f t="shared" si="115"/>
        <v>51.315679760814099</v>
      </c>
      <c r="AB274" s="196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8.5155236682297991E-2</v>
      </c>
      <c r="AD274" s="230">
        <f>(INDEX(Models!$BJ274:$BT274,,AH274)*(1-AF274)+INDEX(Models!$BJ274:$BT274,,AH274+1)*AF274-ERP_i)*AE274*Ramure*Pc/MaxiM</f>
        <v>5.7464995860277224E-4</v>
      </c>
      <c r="AE274" s="304">
        <f t="shared" si="117"/>
        <v>0.5</v>
      </c>
      <c r="AF274" s="176">
        <f t="shared" si="118"/>
        <v>0.32982151677190141</v>
      </c>
      <c r="AG274" s="814">
        <f t="shared" si="124"/>
        <v>1</v>
      </c>
      <c r="AH274" s="175">
        <f t="shared" si="119"/>
        <v>7</v>
      </c>
      <c r="AI274" s="224">
        <f t="shared" si="120"/>
        <v>1.3298215167719014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10">
        <f>'2022'!Wh/'2022'!Env_an*'2023'!Env_an</f>
        <v>44.379332050232669</v>
      </c>
      <c r="C275" s="843"/>
      <c r="D275" s="392">
        <f t="shared" si="102"/>
        <v>46.244770131032787</v>
      </c>
      <c r="E275" s="384">
        <f t="shared" si="100"/>
        <v>49.619592429863715</v>
      </c>
      <c r="F275" s="384">
        <f t="shared" si="103"/>
        <v>49.648193903240482</v>
      </c>
      <c r="G275" s="110">
        <f t="shared" si="101"/>
        <v>1.0131290871697447</v>
      </c>
      <c r="H275" s="413" t="b">
        <f>Wh_hp&gt;='2022'!Maxi_hp</f>
        <v>1</v>
      </c>
      <c r="I275" s="389">
        <f>IF(H275,Wh_hp,'2022'!Maxi_hp)</f>
        <v>49.648193903240482</v>
      </c>
      <c r="J275" s="85">
        <f>IF(H275,An,'2022'!An_max)</f>
        <v>2023</v>
      </c>
      <c r="K275" s="196">
        <f t="shared" si="104"/>
        <v>45187</v>
      </c>
      <c r="L275" s="147">
        <f>IF(t&lt;Tvie,1-EXP((T0-t)*PertePVj)+'2022'!Pspv,1-EXP((T0-t)*PertePVj)+Pspv)</f>
        <v>4.03383577324413E-2</v>
      </c>
      <c r="M275" s="847"/>
      <c r="N275" s="847"/>
      <c r="O275" s="48">
        <f>IF(t&lt;Tnet,'2022'!Resal+('2022'!Salim-'2022'!Resal)*(1-EXP(('2022'!Tnet-t)/('2022'!Tau_j))),Resal+(Salim-Resal)*(1-EXP((Tnet-t)/(Tau_j))))*Salcycl</f>
        <v>6.801390607150129E-2</v>
      </c>
      <c r="P275" s="168">
        <f>(INDEX(Models!$BJ275:$BT275,,T275)*(1-R275)+INDEX(Models!$BJ275:$BT275,,T275+1)*R275-ERP_i)*Q275*Ramure*Pc/MaxiM</f>
        <v>5.7608285676028035E-4</v>
      </c>
      <c r="Q275" s="304">
        <f t="shared" si="105"/>
        <v>0.5</v>
      </c>
      <c r="R275" s="176">
        <f t="shared" si="106"/>
        <v>0.33002169381781599</v>
      </c>
      <c r="S275" s="814">
        <f t="shared" si="107"/>
        <v>1</v>
      </c>
      <c r="T275" s="175">
        <f t="shared" si="108"/>
        <v>7</v>
      </c>
      <c r="U275" s="250">
        <f t="shared" si="109"/>
        <v>1.330021693817816</v>
      </c>
      <c r="V275" s="382">
        <f t="shared" si="110"/>
        <v>43.804222593401001</v>
      </c>
      <c r="W275" s="401">
        <f t="shared" si="111"/>
        <v>44.379332050232669</v>
      </c>
      <c r="X275" s="157">
        <f t="shared" si="112"/>
        <v>45187</v>
      </c>
      <c r="Y275" s="384">
        <f t="shared" si="113"/>
        <v>43.563010022517837</v>
      </c>
      <c r="Z275" s="384">
        <f t="shared" si="114"/>
        <v>45.394134874020779</v>
      </c>
      <c r="AA275" s="385">
        <f t="shared" si="115"/>
        <v>49.619592429863715</v>
      </c>
      <c r="AB275" s="196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8.5157038760758336E-2</v>
      </c>
      <c r="AD275" s="230">
        <f>(INDEX(Models!$BJ275:$BT275,,AH275)*(1-AF275)+INDEX(Models!$BJ275:$BT275,,AH275+1)*AF275-ERP_i)*AE275*Ramure*Pc/MaxiM</f>
        <v>5.7608285676028035E-4</v>
      </c>
      <c r="AE275" s="304">
        <f t="shared" si="117"/>
        <v>0.5</v>
      </c>
      <c r="AF275" s="176">
        <f t="shared" si="118"/>
        <v>0.33002169381781599</v>
      </c>
      <c r="AG275" s="814">
        <f t="shared" si="124"/>
        <v>1</v>
      </c>
      <c r="AH275" s="175">
        <f t="shared" si="119"/>
        <v>7</v>
      </c>
      <c r="AI275" s="224">
        <f t="shared" si="120"/>
        <v>1.330021693817816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10">
        <f>'2022'!Wh/'2022'!Env_an*'2023'!Env_an</f>
        <v>43.237997802074901</v>
      </c>
      <c r="C276" s="843"/>
      <c r="D276" s="392">
        <f t="shared" si="102"/>
        <v>45.05644672795362</v>
      </c>
      <c r="E276" s="384">
        <f t="shared" si="100"/>
        <v>48.345738494905625</v>
      </c>
      <c r="F276" s="384">
        <f t="shared" si="103"/>
        <v>48.373340149570161</v>
      </c>
      <c r="G276" s="110">
        <f t="shared" si="101"/>
        <v>0.99227411290101186</v>
      </c>
      <c r="H276" s="413" t="b">
        <f>Wh_hp&gt;='2022'!Maxi_hp</f>
        <v>0</v>
      </c>
      <c r="I276" s="389">
        <f>IF(H276,Wh_hp,'2022'!Maxi_hp)</f>
        <v>48.373399952604053</v>
      </c>
      <c r="J276" s="85">
        <f>IF(H276,An,'2022'!An_max)</f>
        <v>2022</v>
      </c>
      <c r="K276" s="196">
        <f t="shared" si="104"/>
        <v>45188</v>
      </c>
      <c r="L276" s="147">
        <f>IF(t&lt;Tvie,1-EXP((T0-t)*PertePVj)+'2022'!Pspv,1-EXP((T0-t)*PertePVj)+Pspv)</f>
        <v>4.0359350502234027E-2</v>
      </c>
      <c r="M276" s="847"/>
      <c r="N276" s="847"/>
      <c r="O276" s="48">
        <f>IF(t&lt;Tnet,'2022'!Resal+('2022'!Salim-'2022'!Resal)*(1-EXP(('2022'!Tnet-t)/('2022'!Tau_j))),Resal+(Salim-Resal)*(1-EXP((Tnet-t)/(Tau_j))))*Salcycl</f>
        <v>6.8036850182743816E-2</v>
      </c>
      <c r="P276" s="168">
        <f>(INDEX(Models!$BJ276:$BT276,,T276)*(1-R276)+INDEX(Models!$BJ276:$BT276,,T276+1)*R276-ERP_i)*Q276*Ramure*Pc/MaxiM</f>
        <v>5.7695909916488837E-4</v>
      </c>
      <c r="Q276" s="304">
        <f t="shared" si="105"/>
        <v>0.5</v>
      </c>
      <c r="R276" s="176">
        <f t="shared" si="106"/>
        <v>0.3302140663993729</v>
      </c>
      <c r="S276" s="814">
        <f t="shared" si="107"/>
        <v>1</v>
      </c>
      <c r="T276" s="175">
        <f t="shared" si="108"/>
        <v>7</v>
      </c>
      <c r="U276" s="250">
        <f t="shared" si="109"/>
        <v>1.3302140663993729</v>
      </c>
      <c r="V276" s="382">
        <f t="shared" si="110"/>
        <v>43.574373223390964</v>
      </c>
      <c r="W276" s="401">
        <f t="shared" si="111"/>
        <v>43.237997802074901</v>
      </c>
      <c r="X276" s="157">
        <f t="shared" si="112"/>
        <v>45188</v>
      </c>
      <c r="Y276" s="384">
        <f t="shared" si="113"/>
        <v>42.443669002350831</v>
      </c>
      <c r="Z276" s="384">
        <f t="shared" si="114"/>
        <v>44.228711054042982</v>
      </c>
      <c r="AA276" s="385">
        <f t="shared" si="115"/>
        <v>48.345738494905625</v>
      </c>
      <c r="AB276" s="196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8.5158021555436003E-2</v>
      </c>
      <c r="AD276" s="230">
        <f>(INDEX(Models!$BJ276:$BT276,,AH276)*(1-AF276)+INDEX(Models!$BJ276:$BT276,,AH276+1)*AF276-ERP_i)*AE276*Ramure*Pc/MaxiM</f>
        <v>5.7695909916488837E-4</v>
      </c>
      <c r="AE276" s="304">
        <f t="shared" si="117"/>
        <v>0.5</v>
      </c>
      <c r="AF276" s="176">
        <f t="shared" si="118"/>
        <v>0.3302140663993729</v>
      </c>
      <c r="AG276" s="814">
        <f t="shared" si="124"/>
        <v>1</v>
      </c>
      <c r="AH276" s="175">
        <f t="shared" si="119"/>
        <v>7</v>
      </c>
      <c r="AI276" s="224">
        <f t="shared" si="120"/>
        <v>1.3302140663993729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10">
        <f>'2022'!Wh/'2022'!Env_an*'2023'!Env_an</f>
        <v>44.544074904165562</v>
      </c>
      <c r="C277" s="843"/>
      <c r="D277" s="392">
        <f t="shared" si="102"/>
        <v>46.418468578170881</v>
      </c>
      <c r="E277" s="384">
        <f t="shared" si="100"/>
        <v>49.808381344686218</v>
      </c>
      <c r="F277" s="384">
        <f t="shared" si="103"/>
        <v>49.837145014855814</v>
      </c>
      <c r="G277" s="110">
        <f t="shared" si="101"/>
        <v>1.0278059854196939</v>
      </c>
      <c r="H277" s="413" t="b">
        <f>Wh_hp&gt;='2022'!Maxi_hp</f>
        <v>1</v>
      </c>
      <c r="I277" s="389">
        <f>IF(H277,Wh_hp,'2022'!Maxi_hp)</f>
        <v>49.837145014855814</v>
      </c>
      <c r="J277" s="85">
        <f>IF(H277,An,'2022'!An_max)</f>
        <v>2023</v>
      </c>
      <c r="K277" s="196">
        <f t="shared" si="104"/>
        <v>45189</v>
      </c>
      <c r="L277" s="147">
        <f>IF(t&lt;Tvie,1-EXP((T0-t)*PertePVj)+'2022'!Pspv,1-EXP((T0-t)*PertePVj)+Pspv)</f>
        <v>4.0380342812231108E-2</v>
      </c>
      <c r="M277" s="847"/>
      <c r="N277" s="847"/>
      <c r="O277" s="48">
        <f>IF(t&lt;Tnet,'2022'!Resal+('2022'!Salim-'2022'!Resal)*(1-EXP(('2022'!Tnet-t)/('2022'!Tau_j))),Resal+(Salim-Resal)*(1-EXP((Tnet-t)/(Tau_j))))*Salcycl</f>
        <v>6.8059083130132411E-2</v>
      </c>
      <c r="P277" s="168">
        <f>(INDEX(Models!$BJ277:$BT277,,T277)*(1-R277)+INDEX(Models!$BJ277:$BT277,,T277+1)*R277-ERP_i)*Q277*Ramure*Pc/MaxiM</f>
        <v>5.7715324906798104E-4</v>
      </c>
      <c r="Q277" s="304">
        <f t="shared" si="105"/>
        <v>0.5</v>
      </c>
      <c r="R277" s="176">
        <f t="shared" si="106"/>
        <v>0.33039892906640822</v>
      </c>
      <c r="S277" s="814">
        <f t="shared" si="107"/>
        <v>1</v>
      </c>
      <c r="T277" s="175">
        <f t="shared" si="108"/>
        <v>7</v>
      </c>
      <c r="U277" s="250">
        <f t="shared" si="109"/>
        <v>1.3303989290664082</v>
      </c>
      <c r="V277" s="382">
        <f t="shared" si="110"/>
        <v>43.338991537373133</v>
      </c>
      <c r="W277" s="401">
        <f t="shared" si="111"/>
        <v>44.544074904165562</v>
      </c>
      <c r="X277" s="157">
        <f t="shared" si="112"/>
        <v>45189</v>
      </c>
      <c r="Y277" s="384">
        <f t="shared" si="113"/>
        <v>43.726788760688144</v>
      </c>
      <c r="Z277" s="384">
        <f t="shared" si="114"/>
        <v>45.566791419042517</v>
      </c>
      <c r="AA277" s="385">
        <f t="shared" si="115"/>
        <v>49.808381344686218</v>
      </c>
      <c r="AB277" s="196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8.5158156341015409E-2</v>
      </c>
      <c r="AD277" s="230">
        <f>(INDEX(Models!$BJ277:$BT277,,AH277)*(1-AF277)+INDEX(Models!$BJ277:$BT277,,AH277+1)*AF277-ERP_i)*AE277*Ramure*Pc/MaxiM</f>
        <v>5.7715324906798104E-4</v>
      </c>
      <c r="AE277" s="304">
        <f t="shared" si="117"/>
        <v>0.5</v>
      </c>
      <c r="AF277" s="176">
        <f t="shared" si="118"/>
        <v>0.33039892906640822</v>
      </c>
      <c r="AG277" s="814">
        <f t="shared" si="124"/>
        <v>1</v>
      </c>
      <c r="AH277" s="175">
        <f t="shared" si="119"/>
        <v>7</v>
      </c>
      <c r="AI277" s="224">
        <f t="shared" si="120"/>
        <v>1.3303989290664082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10">
        <f>'2022'!Wh/'2022'!Env_an*'2023'!Env_an</f>
        <v>43.460947354256007</v>
      </c>
      <c r="C278" s="843"/>
      <c r="D278" s="392">
        <f t="shared" si="102"/>
        <v>45.290754274827776</v>
      </c>
      <c r="E278" s="384">
        <f t="shared" si="100"/>
        <v>48.599431836118839</v>
      </c>
      <c r="F278" s="384">
        <f t="shared" si="103"/>
        <v>48.6274728390365</v>
      </c>
      <c r="G278" s="110">
        <f t="shared" si="101"/>
        <v>1.0084059985964877</v>
      </c>
      <c r="H278" s="413" t="b">
        <f>Wh_hp&gt;='2022'!Maxi_hp</f>
        <v>1</v>
      </c>
      <c r="I278" s="389">
        <f>IF(H278,Wh_hp,'2022'!Maxi_hp)</f>
        <v>48.6274728390365</v>
      </c>
      <c r="J278" s="85">
        <f>IF(H278,An,'2022'!An_max)</f>
        <v>2023</v>
      </c>
      <c r="K278" s="196">
        <f t="shared" si="104"/>
        <v>45190</v>
      </c>
      <c r="L278" s="147">
        <f>IF(t&lt;Tvie,1-EXP((T0-t)*PertePVj)+'2022'!Pspv,1-EXP((T0-t)*PertePVj)+Pspv)</f>
        <v>4.0401334662442646E-2</v>
      </c>
      <c r="M278" s="847"/>
      <c r="N278" s="847"/>
      <c r="O278" s="48">
        <f>IF(t&lt;Tnet,'2022'!Resal+('2022'!Salim-'2022'!Resal)*(1-EXP(('2022'!Tnet-t)/('2022'!Tau_j))),Resal+(Salim-Resal)*(1-EXP((Tnet-t)/(Tau_j))))*Salcycl</f>
        <v>6.8080581115602071E-2</v>
      </c>
      <c r="P278" s="168">
        <f>(INDEX(Models!$BJ278:$BT278,,T278)*(1-R278)+INDEX(Models!$BJ278:$BT278,,T278+1)*R278-ERP_i)*Q278*Ramure*Pc/MaxiM</f>
        <v>5.7664939756340216E-4</v>
      </c>
      <c r="Q278" s="304">
        <f t="shared" si="105"/>
        <v>0.5</v>
      </c>
      <c r="R278" s="176">
        <f t="shared" si="106"/>
        <v>0.33057656600996088</v>
      </c>
      <c r="S278" s="814">
        <f t="shared" si="107"/>
        <v>1</v>
      </c>
      <c r="T278" s="175">
        <f t="shared" si="108"/>
        <v>7</v>
      </c>
      <c r="U278" s="250">
        <f t="shared" si="109"/>
        <v>1.3305765660099609</v>
      </c>
      <c r="V278" s="382">
        <f t="shared" si="110"/>
        <v>43.098660078128752</v>
      </c>
      <c r="W278" s="401">
        <f t="shared" si="111"/>
        <v>43.460947354256007</v>
      </c>
      <c r="X278" s="157">
        <f t="shared" si="112"/>
        <v>45190</v>
      </c>
      <c r="Y278" s="384">
        <f t="shared" si="113"/>
        <v>42.664553026535067</v>
      </c>
      <c r="Z278" s="384">
        <f t="shared" si="114"/>
        <v>44.460829894471544</v>
      </c>
      <c r="AA278" s="385">
        <f t="shared" si="115"/>
        <v>48.599431836118839</v>
      </c>
      <c r="AB278" s="196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8.5157414094942208E-2</v>
      </c>
      <c r="AD278" s="230">
        <f>(INDEX(Models!$BJ278:$BT278,,AH278)*(1-AF278)+INDEX(Models!$BJ278:$BT278,,AH278+1)*AF278-ERP_i)*AE278*Ramure*Pc/MaxiM</f>
        <v>5.7664939756340216E-4</v>
      </c>
      <c r="AE278" s="304">
        <f t="shared" si="117"/>
        <v>0.5</v>
      </c>
      <c r="AF278" s="176">
        <f t="shared" si="118"/>
        <v>0.33057656600996088</v>
      </c>
      <c r="AG278" s="814">
        <f t="shared" si="124"/>
        <v>1</v>
      </c>
      <c r="AH278" s="175">
        <f t="shared" si="119"/>
        <v>7</v>
      </c>
      <c r="AI278" s="224">
        <f t="shared" si="120"/>
        <v>1.3305765660099609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10">
        <f>'2022'!Wh/'2022'!Env_an*'2023'!Env_an</f>
        <v>42.331075082409903</v>
      </c>
      <c r="C279" s="843"/>
      <c r="D279" s="392">
        <f t="shared" si="102"/>
        <v>44.114276761239672</v>
      </c>
      <c r="E279" s="384">
        <f t="shared" si="100"/>
        <v>47.338061225610225</v>
      </c>
      <c r="F279" s="384">
        <f t="shared" si="103"/>
        <v>47.36484135065708</v>
      </c>
      <c r="G279" s="110">
        <f t="shared" si="101"/>
        <v>0.98778850391884254</v>
      </c>
      <c r="H279" s="413" t="b">
        <f>Wh_hp&gt;='2022'!Maxi_hp</f>
        <v>0</v>
      </c>
      <c r="I279" s="389">
        <f>IF(H279,Wh_hp,'2022'!Maxi_hp)</f>
        <v>47.364931992857663</v>
      </c>
      <c r="J279" s="85">
        <f>IF(H279,An,'2022'!An_max)</f>
        <v>2022</v>
      </c>
      <c r="K279" s="196">
        <f t="shared" si="104"/>
        <v>45191</v>
      </c>
      <c r="L279" s="147">
        <f>IF(t&lt;Tvie,1-EXP((T0-t)*PertePVj)+'2022'!Pspv,1-EXP((T0-t)*PertePVj)+Pspv)</f>
        <v>4.0422326052878856E-2</v>
      </c>
      <c r="M279" s="847"/>
      <c r="N279" s="847"/>
      <c r="O279" s="48">
        <f>IF(t&lt;Tnet,'2022'!Resal+('2022'!Salim-'2022'!Resal)*(1-EXP(('2022'!Tnet-t)/('2022'!Tau_j))),Resal+(Salim-Resal)*(1-EXP((Tnet-t)/(Tau_j))))*Salcycl</f>
        <v>6.8101320183059449E-2</v>
      </c>
      <c r="P279" s="168">
        <f>(INDEX(Models!$BJ279:$BT279,,T279)*(1-R279)+INDEX(Models!$BJ279:$BT279,,T279+1)*R279-ERP_i)*Q279*Ramure*Pc/MaxiM</f>
        <v>5.7543116781359944E-4</v>
      </c>
      <c r="Q279" s="304">
        <f t="shared" si="105"/>
        <v>0.5</v>
      </c>
      <c r="R279" s="176">
        <f t="shared" si="106"/>
        <v>0.33074725136684702</v>
      </c>
      <c r="S279" s="814">
        <f t="shared" si="107"/>
        <v>1</v>
      </c>
      <c r="T279" s="175">
        <f t="shared" si="108"/>
        <v>7</v>
      </c>
      <c r="U279" s="250">
        <f t="shared" si="109"/>
        <v>1.330747251366847</v>
      </c>
      <c r="V279" s="382">
        <f t="shared" si="110"/>
        <v>42.853961230822215</v>
      </c>
      <c r="W279" s="401">
        <f t="shared" si="111"/>
        <v>42.331075082409903</v>
      </c>
      <c r="X279" s="157">
        <f t="shared" si="112"/>
        <v>45191</v>
      </c>
      <c r="Y279" s="384">
        <f t="shared" si="113"/>
        <v>41.556384628997208</v>
      </c>
      <c r="Z279" s="384">
        <f t="shared" si="114"/>
        <v>43.306952378393113</v>
      </c>
      <c r="AA279" s="385">
        <f t="shared" si="115"/>
        <v>47.338061225610225</v>
      </c>
      <c r="AB279" s="196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8.5155765632333458E-2</v>
      </c>
      <c r="AD279" s="230">
        <f>(INDEX(Models!$BJ279:$BT279,,AH279)*(1-AF279)+INDEX(Models!$BJ279:$BT279,,AH279+1)*AF279-ERP_i)*AE279*Ramure*Pc/MaxiM</f>
        <v>5.7543116781359944E-4</v>
      </c>
      <c r="AE279" s="304">
        <f t="shared" si="117"/>
        <v>0.5</v>
      </c>
      <c r="AF279" s="176">
        <f t="shared" si="118"/>
        <v>0.33074725136684702</v>
      </c>
      <c r="AG279" s="814">
        <f t="shared" si="124"/>
        <v>1</v>
      </c>
      <c r="AH279" s="175">
        <f t="shared" si="119"/>
        <v>7</v>
      </c>
      <c r="AI279" s="224">
        <f t="shared" si="120"/>
        <v>1.330747251366847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10">
        <f>'2022'!Wh/'2022'!Env_an*'2023'!Env_an</f>
        <v>26.746991844184851</v>
      </c>
      <c r="C280" s="843"/>
      <c r="D280" s="392">
        <f t="shared" si="102"/>
        <v>27.874321879665668</v>
      </c>
      <c r="E280" s="384">
        <f t="shared" si="100"/>
        <v>29.911962975311901</v>
      </c>
      <c r="F280" s="384">
        <f t="shared" si="103"/>
        <v>29.919997715187801</v>
      </c>
      <c r="G280" s="110">
        <f t="shared" si="101"/>
        <v>0.62759145409794848</v>
      </c>
      <c r="H280" s="413" t="b">
        <f>Wh_hp&gt;='2022'!Maxi_hp</f>
        <v>0</v>
      </c>
      <c r="I280" s="389">
        <f>IF(H280,Wh_hp,'2022'!Maxi_hp)</f>
        <v>44.179127561148483</v>
      </c>
      <c r="J280" s="85">
        <f>IF(H280,An,'2022'!An_max)</f>
        <v>2018</v>
      </c>
      <c r="K280" s="196">
        <f t="shared" si="104"/>
        <v>45192</v>
      </c>
      <c r="L280" s="147">
        <f>IF(t&lt;Tvie,1-EXP((T0-t)*PertePVj)+'2022'!Pspv,1-EXP((T0-t)*PertePVj)+Pspv)</f>
        <v>4.0443316983549839E-2</v>
      </c>
      <c r="M280" s="847"/>
      <c r="N280" s="847"/>
      <c r="O280" s="48">
        <f>IF(t&lt;Tnet,'2022'!Resal+('2022'!Salim-'2022'!Resal)*(1-EXP(('2022'!Tnet-t)/('2022'!Tau_j))),Resal+(Salim-Resal)*(1-EXP((Tnet-t)/(Tau_j))))*Salcycl</f>
        <v>6.8121276337765574E-2</v>
      </c>
      <c r="P280" s="168">
        <f>(INDEX(Models!$BJ280:$BT280,,T280)*(1-R280)+INDEX(Models!$BJ280:$BT280,,T280+1)*R280-ERP_i)*Q280*Ramure*Pc/MaxiM</f>
        <v>5.7348485501391262E-4</v>
      </c>
      <c r="Q280" s="304">
        <f t="shared" si="105"/>
        <v>0.5</v>
      </c>
      <c r="R280" s="176">
        <f t="shared" si="106"/>
        <v>0.33091124952018602</v>
      </c>
      <c r="S280" s="814">
        <f t="shared" si="107"/>
        <v>1</v>
      </c>
      <c r="T280" s="175">
        <f t="shared" si="108"/>
        <v>7</v>
      </c>
      <c r="U280" s="250">
        <f t="shared" si="109"/>
        <v>1.330911249520186</v>
      </c>
      <c r="V280" s="382">
        <f t="shared" si="110"/>
        <v>42.605477085960374</v>
      </c>
      <c r="W280" s="401">
        <f t="shared" si="111"/>
        <v>26.746991844184851</v>
      </c>
      <c r="X280" s="157">
        <f t="shared" si="112"/>
        <v>45192</v>
      </c>
      <c r="Y280" s="384">
        <f t="shared" si="113"/>
        <v>26.258138280167032</v>
      </c>
      <c r="Z280" s="384">
        <f t="shared" si="114"/>
        <v>27.364864155416313</v>
      </c>
      <c r="AA280" s="385">
        <f t="shared" si="115"/>
        <v>29.911962975311901</v>
      </c>
      <c r="AB280" s="196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8.5153181755335011E-2</v>
      </c>
      <c r="AD280" s="230">
        <f>(INDEX(Models!$BJ280:$BT280,,AH280)*(1-AF280)+INDEX(Models!$BJ280:$BT280,,AH280+1)*AF280-ERP_i)*AE280*Ramure*Pc/MaxiM</f>
        <v>5.7348485501391262E-4</v>
      </c>
      <c r="AE280" s="304">
        <f t="shared" si="117"/>
        <v>0.5</v>
      </c>
      <c r="AF280" s="176">
        <f t="shared" si="118"/>
        <v>0.33091124952018602</v>
      </c>
      <c r="AG280" s="814">
        <f t="shared" si="124"/>
        <v>1</v>
      </c>
      <c r="AH280" s="175">
        <f t="shared" si="119"/>
        <v>7</v>
      </c>
      <c r="AI280" s="224">
        <f t="shared" si="120"/>
        <v>1.330911249520186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10">
        <f>'2022'!Wh/'2022'!Env_an*'2023'!Env_an</f>
        <v>16.767763501830331</v>
      </c>
      <c r="C281" s="843"/>
      <c r="D281" s="392">
        <f t="shared" si="102"/>
        <v>17.47487209917897</v>
      </c>
      <c r="E281" s="384">
        <f t="shared" si="100"/>
        <v>18.752688259790531</v>
      </c>
      <c r="F281" s="384">
        <f t="shared" si="103"/>
        <v>18.754154777318746</v>
      </c>
      <c r="G281" s="110">
        <f t="shared" si="101"/>
        <v>0.39570256252656277</v>
      </c>
      <c r="H281" s="413" t="b">
        <f>Wh_hp&gt;='2022'!Maxi_hp</f>
        <v>0</v>
      </c>
      <c r="I281" s="389">
        <f>IF(H281,Wh_hp,'2022'!Maxi_hp)</f>
        <v>40.512868531707113</v>
      </c>
      <c r="J281" s="85">
        <f>IF(H281,An,'2022'!An_max)</f>
        <v>2021</v>
      </c>
      <c r="K281" s="196">
        <f t="shared" si="104"/>
        <v>45193</v>
      </c>
      <c r="L281" s="147">
        <f>IF(t&lt;Tvie,1-EXP((T0-t)*PertePVj)+'2022'!Pspv,1-EXP((T0-t)*PertePVj)+Pspv)</f>
        <v>4.0464307454465477E-2</v>
      </c>
      <c r="M281" s="847"/>
      <c r="N281" s="847"/>
      <c r="O281" s="48">
        <f>IF(t&lt;Tnet,'2022'!Resal+('2022'!Salim-'2022'!Resal)*(1-EXP(('2022'!Tnet-t)/('2022'!Tau_j))),Resal+(Salim-Resal)*(1-EXP((Tnet-t)/(Tau_j))))*Salcycl</f>
        <v>6.8140425677072153E-2</v>
      </c>
      <c r="P281" s="168">
        <f>(INDEX(Models!$BJ281:$BT281,,T281)*(1-R281)+INDEX(Models!$BJ281:$BT281,,T281+1)*R281-ERP_i)*Q281*Ramure*Pc/MaxiM</f>
        <v>5.7079489656634841E-4</v>
      </c>
      <c r="Q281" s="304">
        <f t="shared" si="105"/>
        <v>0.5</v>
      </c>
      <c r="R281" s="176">
        <f t="shared" si="106"/>
        <v>0.33106881539546773</v>
      </c>
      <c r="S281" s="814">
        <f t="shared" si="107"/>
        <v>1</v>
      </c>
      <c r="T281" s="175">
        <f t="shared" si="108"/>
        <v>7</v>
      </c>
      <c r="U281" s="250">
        <f t="shared" si="109"/>
        <v>1.3310688153954677</v>
      </c>
      <c r="V281" s="382">
        <f t="shared" si="110"/>
        <v>42.353789631423481</v>
      </c>
      <c r="W281" s="401">
        <f t="shared" si="111"/>
        <v>16.767763501830331</v>
      </c>
      <c r="X281" s="157">
        <f t="shared" si="112"/>
        <v>45193</v>
      </c>
      <c r="Y281" s="384">
        <f t="shared" si="113"/>
        <v>16.46170196575245</v>
      </c>
      <c r="Z281" s="384">
        <f t="shared" si="114"/>
        <v>17.15590372889778</v>
      </c>
      <c r="AA281" s="385">
        <f t="shared" si="115"/>
        <v>18.752688259790531</v>
      </c>
      <c r="AB281" s="196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8.5149633416376616E-2</v>
      </c>
      <c r="AD281" s="230">
        <f>(INDEX(Models!$BJ281:$BT281,,AH281)*(1-AF281)+INDEX(Models!$BJ281:$BT281,,AH281+1)*AF281-ERP_i)*AE281*Ramure*Pc/MaxiM</f>
        <v>5.7079489656634841E-4</v>
      </c>
      <c r="AE281" s="304">
        <f t="shared" si="117"/>
        <v>0.5</v>
      </c>
      <c r="AF281" s="176">
        <f t="shared" si="118"/>
        <v>0.33106881539546773</v>
      </c>
      <c r="AG281" s="814">
        <f t="shared" si="124"/>
        <v>1</v>
      </c>
      <c r="AH281" s="175">
        <f t="shared" si="119"/>
        <v>7</v>
      </c>
      <c r="AI281" s="224">
        <f t="shared" si="120"/>
        <v>1.3310688153954677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10">
        <f>'2022'!Wh/'2022'!Env_an*'2023'!Env_an</f>
        <v>29.683768113394589</v>
      </c>
      <c r="C282" s="843"/>
      <c r="D282" s="392">
        <f t="shared" si="102"/>
        <v>30.936230612194805</v>
      </c>
      <c r="E282" s="384">
        <f t="shared" si="100"/>
        <v>33.199035168984906</v>
      </c>
      <c r="F282" s="384">
        <f t="shared" si="103"/>
        <v>33.209947508844706</v>
      </c>
      <c r="G282" s="110">
        <f t="shared" si="101"/>
        <v>0.70491792364836825</v>
      </c>
      <c r="H282" s="413" t="b">
        <f>Wh_hp&gt;='2022'!Maxi_hp</f>
        <v>0</v>
      </c>
      <c r="I282" s="389">
        <f>IF(H282,Wh_hp,'2022'!Maxi_hp)</f>
        <v>46.527927467994083</v>
      </c>
      <c r="J282" s="85">
        <f>IF(H282,An,'2022'!An_max)</f>
        <v>2018</v>
      </c>
      <c r="K282" s="196">
        <f t="shared" si="104"/>
        <v>45194</v>
      </c>
      <c r="L282" s="147">
        <f>IF(t&lt;Tvie,1-EXP((T0-t)*PertePVj)+'2022'!Pspv,1-EXP((T0-t)*PertePVj)+Pspv)</f>
        <v>4.0485297465635874E-2</v>
      </c>
      <c r="M282" s="847"/>
      <c r="N282" s="847"/>
      <c r="O282" s="48">
        <f>IF(t&lt;Tnet,'2022'!Resal+('2022'!Salim-'2022'!Resal)*(1-EXP(('2022'!Tnet-t)/('2022'!Tau_j))),Resal+(Salim-Resal)*(1-EXP((Tnet-t)/(Tau_j))))*Salcycl</f>
        <v>6.8158744531951157E-2</v>
      </c>
      <c r="P282" s="168">
        <f>(INDEX(Models!$BJ282:$BT282,,T282)*(1-R282)+INDEX(Models!$BJ282:$BT282,,T282+1)*R282-ERP_i)*Q282*Ramure*Pc/MaxiM</f>
        <v>5.6780577336692324E-4</v>
      </c>
      <c r="Q282" s="304">
        <f t="shared" si="105"/>
        <v>0.5</v>
      </c>
      <c r="R282" s="176">
        <f t="shared" si="106"/>
        <v>0.33122019475179876</v>
      </c>
      <c r="S282" s="814">
        <f t="shared" si="107"/>
        <v>1</v>
      </c>
      <c r="T282" s="175">
        <f t="shared" si="108"/>
        <v>7</v>
      </c>
      <c r="U282" s="250">
        <f t="shared" si="109"/>
        <v>1.3312201947517988</v>
      </c>
      <c r="V282" s="382">
        <f t="shared" si="110"/>
        <v>42.099461304412152</v>
      </c>
      <c r="W282" s="401">
        <f t="shared" si="111"/>
        <v>29.683768113394589</v>
      </c>
      <c r="X282" s="157">
        <f t="shared" si="112"/>
        <v>45194</v>
      </c>
      <c r="Y282" s="384">
        <f t="shared" si="113"/>
        <v>29.142668657615459</v>
      </c>
      <c r="Z282" s="384">
        <f t="shared" si="114"/>
        <v>30.37230026870979</v>
      </c>
      <c r="AA282" s="385">
        <f t="shared" si="115"/>
        <v>33.199035168984906</v>
      </c>
      <c r="AB282" s="196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8.514509189459521E-2</v>
      </c>
      <c r="AD282" s="230">
        <f>(INDEX(Models!$BJ282:$BT282,,AH282)*(1-AF282)+INDEX(Models!$BJ282:$BT282,,AH282+1)*AF282-ERP_i)*AE282*Ramure*Pc/MaxiM</f>
        <v>5.6780577336692324E-4</v>
      </c>
      <c r="AE282" s="304">
        <f t="shared" si="117"/>
        <v>0.5</v>
      </c>
      <c r="AF282" s="176">
        <f t="shared" si="118"/>
        <v>0.33122019475179876</v>
      </c>
      <c r="AG282" s="814">
        <f t="shared" si="124"/>
        <v>1</v>
      </c>
      <c r="AH282" s="175">
        <f t="shared" si="119"/>
        <v>7</v>
      </c>
      <c r="AI282" s="224">
        <f t="shared" si="120"/>
        <v>1.3312201947517988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10">
        <f>'2022'!Wh/'2022'!Env_an*'2023'!Env_an</f>
        <v>32.013986672915777</v>
      </c>
      <c r="C283" s="843"/>
      <c r="D283" s="392">
        <f t="shared" si="102"/>
        <v>33.365499158289296</v>
      </c>
      <c r="E283" s="384">
        <f t="shared" si="100"/>
        <v>35.806661627122764</v>
      </c>
      <c r="F283" s="384">
        <f t="shared" si="103"/>
        <v>35.820113550498199</v>
      </c>
      <c r="G283" s="110">
        <f t="shared" si="101"/>
        <v>0.76495180390124862</v>
      </c>
      <c r="H283" s="413" t="b">
        <f>Wh_hp&gt;='2022'!Maxi_hp</f>
        <v>0</v>
      </c>
      <c r="I283" s="389">
        <f>IF(H283,Wh_hp,'2022'!Maxi_hp)</f>
        <v>45.350079953012298</v>
      </c>
      <c r="J283" s="85">
        <f>IF(H283,An,'2022'!An_max)</f>
        <v>2018</v>
      </c>
      <c r="K283" s="196">
        <f t="shared" si="104"/>
        <v>45195</v>
      </c>
      <c r="L283" s="147">
        <f>IF(t&lt;Tvie,1-EXP((T0-t)*PertePVj)+'2022'!Pspv,1-EXP((T0-t)*PertePVj)+Pspv)</f>
        <v>4.0506287017071242E-2</v>
      </c>
      <c r="M283" s="847"/>
      <c r="N283" s="847"/>
      <c r="O283" s="48">
        <f>IF(t&lt;Tnet,'2022'!Resal+('2022'!Salim-'2022'!Resal)*(1-EXP(('2022'!Tnet-t)/('2022'!Tau_j))),Resal+(Salim-Resal)*(1-EXP((Tnet-t)/(Tau_j))))*Salcycl</f>
        <v>6.8176209618613079E-2</v>
      </c>
      <c r="P283" s="168">
        <f>(INDEX(Models!$BJ283:$BT283,,T283)*(1-R283)+INDEX(Models!$BJ283:$BT283,,T283+1)*R283-ERP_i)*Q283*Ramure*Pc/MaxiM</f>
        <v>5.6521275141040812E-4</v>
      </c>
      <c r="Q283" s="304">
        <f t="shared" si="105"/>
        <v>0.5</v>
      </c>
      <c r="R283" s="176">
        <f t="shared" si="106"/>
        <v>0.33136562446802542</v>
      </c>
      <c r="S283" s="814">
        <f t="shared" si="107"/>
        <v>1</v>
      </c>
      <c r="T283" s="175">
        <f t="shared" si="108"/>
        <v>7</v>
      </c>
      <c r="U283" s="250">
        <f t="shared" si="109"/>
        <v>1.3313656244680254</v>
      </c>
      <c r="V283" s="382">
        <f t="shared" si="110"/>
        <v>41.843044334877916</v>
      </c>
      <c r="W283" s="401">
        <f t="shared" si="111"/>
        <v>32.013986672915777</v>
      </c>
      <c r="X283" s="157">
        <f t="shared" si="112"/>
        <v>45195</v>
      </c>
      <c r="Y283" s="384">
        <f t="shared" si="113"/>
        <v>31.431190348423748</v>
      </c>
      <c r="Z283" s="384">
        <f t="shared" si="114"/>
        <v>32.758099321681506</v>
      </c>
      <c r="AA283" s="385">
        <f t="shared" si="115"/>
        <v>35.806661627122764</v>
      </c>
      <c r="AB283" s="196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8.5139528984518292E-2</v>
      </c>
      <c r="AD283" s="230">
        <f>(INDEX(Models!$BJ283:$BT283,,AH283)*(1-AF283)+INDEX(Models!$BJ283:$BT283,,AH283+1)*AF283-ERP_i)*AE283*Ramure*Pc/MaxiM</f>
        <v>5.6521275141040812E-4</v>
      </c>
      <c r="AE283" s="304">
        <f t="shared" si="117"/>
        <v>0.5</v>
      </c>
      <c r="AF283" s="176">
        <f t="shared" si="118"/>
        <v>0.33136562446802542</v>
      </c>
      <c r="AG283" s="814">
        <f t="shared" si="124"/>
        <v>1</v>
      </c>
      <c r="AH283" s="175">
        <f t="shared" si="119"/>
        <v>7</v>
      </c>
      <c r="AI283" s="224">
        <f t="shared" si="120"/>
        <v>1.3313656244680254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10">
        <f>'2022'!Wh/'2022'!Env_an*'2023'!Env_an</f>
        <v>14.47064012974227</v>
      </c>
      <c r="C284" s="843"/>
      <c r="D284" s="392">
        <f t="shared" si="102"/>
        <v>15.081867122866642</v>
      </c>
      <c r="E284" s="384">
        <f t="shared" si="100"/>
        <v>16.185609097807294</v>
      </c>
      <c r="F284" s="384">
        <f t="shared" si="103"/>
        <v>16.186233683908362</v>
      </c>
      <c r="G284" s="110">
        <f t="shared" si="101"/>
        <v>0.34779389519453502</v>
      </c>
      <c r="H284" s="413" t="b">
        <f>Wh_hp&gt;='2022'!Maxi_hp</f>
        <v>0</v>
      </c>
      <c r="I284" s="389">
        <f>IF(H284,Wh_hp,'2022'!Maxi_hp)</f>
        <v>44.445052403607114</v>
      </c>
      <c r="J284" s="85">
        <f>IF(H284,An,'2022'!An_max)</f>
        <v>2018</v>
      </c>
      <c r="K284" s="196">
        <f t="shared" si="104"/>
        <v>45196</v>
      </c>
      <c r="L284" s="147">
        <f>IF(t&lt;Tvie,1-EXP((T0-t)*PertePVj)+'2022'!Pspv,1-EXP((T0-t)*PertePVj)+Pspv)</f>
        <v>4.0527276108781575E-2</v>
      </c>
      <c r="M284" s="847"/>
      <c r="N284" s="847"/>
      <c r="O284" s="48">
        <f>IF(t&lt;Tnet,'2022'!Resal+('2022'!Salim-'2022'!Resal)*(1-EXP(('2022'!Tnet-t)/('2022'!Tau_j))),Resal+(Salim-Resal)*(1-EXP((Tnet-t)/(Tau_j))))*Salcycl</f>
        <v>6.8192798199369478E-2</v>
      </c>
      <c r="P284" s="168">
        <f>(INDEX(Models!$BJ284:$BT284,,T284)*(1-R284)+INDEX(Models!$BJ284:$BT284,,T284+1)*R284-ERP_i)*Q284*Ramure*Pc/MaxiM</f>
        <v>5.630111422039424E-4</v>
      </c>
      <c r="Q284" s="304">
        <f t="shared" si="105"/>
        <v>0.5</v>
      </c>
      <c r="R284" s="176">
        <f t="shared" si="106"/>
        <v>0.33150533282346695</v>
      </c>
      <c r="S284" s="814">
        <f t="shared" si="107"/>
        <v>1</v>
      </c>
      <c r="T284" s="175">
        <f t="shared" si="108"/>
        <v>7</v>
      </c>
      <c r="U284" s="250">
        <f t="shared" si="109"/>
        <v>1.3315053328234669</v>
      </c>
      <c r="V284" s="382">
        <f t="shared" si="110"/>
        <v>41.585120644046263</v>
      </c>
      <c r="W284" s="401">
        <f t="shared" si="111"/>
        <v>14.47064012974227</v>
      </c>
      <c r="X284" s="157">
        <f t="shared" si="112"/>
        <v>45196</v>
      </c>
      <c r="Y284" s="384">
        <f t="shared" si="113"/>
        <v>14.207566003162752</v>
      </c>
      <c r="Z284" s="384">
        <f t="shared" si="114"/>
        <v>14.807680978718009</v>
      </c>
      <c r="AA284" s="385">
        <f t="shared" si="115"/>
        <v>16.185609097807294</v>
      </c>
      <c r="AB284" s="196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8.5132917195927818E-2</v>
      </c>
      <c r="AD284" s="230">
        <f>(INDEX(Models!$BJ284:$BT284,,AH284)*(1-AF284)+INDEX(Models!$BJ284:$BT284,,AH284+1)*AF284-ERP_i)*AE284*Ramure*Pc/MaxiM</f>
        <v>5.630111422039424E-4</v>
      </c>
      <c r="AE284" s="304">
        <f t="shared" si="117"/>
        <v>0.5</v>
      </c>
      <c r="AF284" s="176">
        <f t="shared" si="118"/>
        <v>0.33150533282346695</v>
      </c>
      <c r="AG284" s="814">
        <f t="shared" si="124"/>
        <v>1</v>
      </c>
      <c r="AH284" s="175">
        <f t="shared" si="119"/>
        <v>7</v>
      </c>
      <c r="AI284" s="224">
        <f t="shared" si="120"/>
        <v>1.3315053328234669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10">
        <f>'2022'!Wh/'2022'!Env_an*'2023'!Env_an</f>
        <v>16.628278747614086</v>
      </c>
      <c r="C285" s="843"/>
      <c r="D285" s="392">
        <f t="shared" si="102"/>
        <v>17.331021599665444</v>
      </c>
      <c r="E285" s="384">
        <f t="shared" si="100"/>
        <v>18.599677482732961</v>
      </c>
      <c r="F285" s="384">
        <f t="shared" si="103"/>
        <v>18.601204038497603</v>
      </c>
      <c r="G285" s="110">
        <f t="shared" si="101"/>
        <v>0.40217300532143058</v>
      </c>
      <c r="H285" s="413" t="b">
        <f>Wh_hp&gt;='2022'!Maxi_hp</f>
        <v>0</v>
      </c>
      <c r="I285" s="389">
        <f>IF(H285,Wh_hp,'2022'!Maxi_hp)</f>
        <v>42.089507508036213</v>
      </c>
      <c r="J285" s="85">
        <f>IF(H285,An,'2022'!An_max)</f>
        <v>2018</v>
      </c>
      <c r="K285" s="196">
        <f t="shared" si="104"/>
        <v>45197</v>
      </c>
      <c r="L285" s="147">
        <f>IF(t&lt;Tvie,1-EXP((T0-t)*PertePVj)+'2022'!Pspv,1-EXP((T0-t)*PertePVj)+Pspv)</f>
        <v>4.0548264740776975E-2</v>
      </c>
      <c r="M285" s="847"/>
      <c r="N285" s="847"/>
      <c r="O285" s="48">
        <f>IF(t&lt;Tnet,'2022'!Resal+('2022'!Salim-'2022'!Resal)*(1-EXP(('2022'!Tnet-t)/('2022'!Tau_j))),Resal+(Salim-Resal)*(1-EXP((Tnet-t)/(Tau_j))))*Salcycl</f>
        <v>6.8208488251760097E-2</v>
      </c>
      <c r="P285" s="168">
        <f>(INDEX(Models!$BJ285:$BT285,,T285)*(1-R285)+INDEX(Models!$BJ285:$BT285,,T285+1)*R285-ERP_i)*Q285*Ramure*Pc/MaxiM</f>
        <v>5.6119623164077505E-4</v>
      </c>
      <c r="Q285" s="304">
        <f t="shared" si="105"/>
        <v>0.5</v>
      </c>
      <c r="R285" s="176">
        <f t="shared" si="106"/>
        <v>0.33163953977303895</v>
      </c>
      <c r="S285" s="814">
        <f t="shared" si="107"/>
        <v>1</v>
      </c>
      <c r="T285" s="175">
        <f t="shared" si="108"/>
        <v>7</v>
      </c>
      <c r="U285" s="250">
        <f t="shared" si="109"/>
        <v>1.3316395397730389</v>
      </c>
      <c r="V285" s="382">
        <f t="shared" si="110"/>
        <v>41.326271999857397</v>
      </c>
      <c r="W285" s="401">
        <f t="shared" si="111"/>
        <v>16.628278747614086</v>
      </c>
      <c r="X285" s="157">
        <f t="shared" si="112"/>
        <v>45197</v>
      </c>
      <c r="Y285" s="384">
        <f t="shared" si="113"/>
        <v>16.326391154584755</v>
      </c>
      <c r="Z285" s="384">
        <f t="shared" si="114"/>
        <v>17.016375659765437</v>
      </c>
      <c r="AA285" s="385">
        <f t="shared" si="115"/>
        <v>18.599677482732961</v>
      </c>
      <c r="AB285" s="196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8.51252299636584E-2</v>
      </c>
      <c r="AD285" s="230">
        <f>(INDEX(Models!$BJ285:$BT285,,AH285)*(1-AF285)+INDEX(Models!$BJ285:$BT285,,AH285+1)*AF285-ERP_i)*AE285*Ramure*Pc/MaxiM</f>
        <v>5.6119623164077505E-4</v>
      </c>
      <c r="AE285" s="304">
        <f t="shared" si="117"/>
        <v>0.5</v>
      </c>
      <c r="AF285" s="176">
        <f t="shared" si="118"/>
        <v>0.33163953977303895</v>
      </c>
      <c r="AG285" s="814">
        <f t="shared" si="124"/>
        <v>1</v>
      </c>
      <c r="AH285" s="175">
        <f t="shared" si="119"/>
        <v>7</v>
      </c>
      <c r="AI285" s="224">
        <f t="shared" si="120"/>
        <v>1.3316395397730389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10">
        <f>'2022'!Wh/'2022'!Env_an*'2023'!Env_an</f>
        <v>22.806600510433807</v>
      </c>
      <c r="C286" s="843"/>
      <c r="D286" s="392">
        <f t="shared" si="102"/>
        <v>23.770971046821511</v>
      </c>
      <c r="E286" s="384">
        <f t="shared" si="100"/>
        <v>25.511444954345368</v>
      </c>
      <c r="F286" s="384">
        <f t="shared" si="103"/>
        <v>25.516655291509345</v>
      </c>
      <c r="G286" s="110">
        <f t="shared" si="101"/>
        <v>0.55515243625610289</v>
      </c>
      <c r="H286" s="413" t="b">
        <f>Wh_hp&gt;='2022'!Maxi_hp</f>
        <v>0</v>
      </c>
      <c r="I286" s="389">
        <f>IF(H286,Wh_hp,'2022'!Maxi_hp)</f>
        <v>45.134596389109774</v>
      </c>
      <c r="J286" s="85">
        <f>IF(H286,An,'2022'!An_max)</f>
        <v>2019</v>
      </c>
      <c r="K286" s="196">
        <f t="shared" si="104"/>
        <v>45198</v>
      </c>
      <c r="L286" s="147">
        <f>IF(t&lt;Tvie,1-EXP((T0-t)*PertePVj)+'2022'!Pspv,1-EXP((T0-t)*PertePVj)+Pspv)</f>
        <v>4.0569252913067323E-2</v>
      </c>
      <c r="M286" s="847"/>
      <c r="N286" s="847"/>
      <c r="O286" s="48">
        <f>IF(t&lt;Tnet,'2022'!Resal+('2022'!Salim-'2022'!Resal)*(1-EXP(('2022'!Tnet-t)/('2022'!Tau_j))),Resal+(Salim-Resal)*(1-EXP((Tnet-t)/(Tau_j))))*Salcycl</f>
        <v>6.8223258644838289E-2</v>
      </c>
      <c r="P286" s="168">
        <f>(INDEX(Models!$BJ286:$BT286,,T286)*(1-R286)+INDEX(Models!$BJ286:$BT286,,T286+1)*R286-ERP_i)*Q286*Ramure*Pc/MaxiM</f>
        <v>5.5976321739546493E-4</v>
      </c>
      <c r="Q286" s="304">
        <f t="shared" si="105"/>
        <v>0.5</v>
      </c>
      <c r="R286" s="176">
        <f t="shared" si="106"/>
        <v>0.3317684572165851</v>
      </c>
      <c r="S286" s="814">
        <f t="shared" si="107"/>
        <v>1</v>
      </c>
      <c r="T286" s="175">
        <f t="shared" si="108"/>
        <v>7</v>
      </c>
      <c r="U286" s="250">
        <f t="shared" si="109"/>
        <v>1.3317684572165851</v>
      </c>
      <c r="V286" s="382">
        <f t="shared" si="110"/>
        <v>41.067080013684659</v>
      </c>
      <c r="W286" s="401">
        <f t="shared" si="111"/>
        <v>22.806600510433807</v>
      </c>
      <c r="X286" s="157">
        <f t="shared" si="112"/>
        <v>45198</v>
      </c>
      <c r="Y286" s="384">
        <f t="shared" si="113"/>
        <v>22.393115107790404</v>
      </c>
      <c r="Z286" s="384">
        <f t="shared" si="114"/>
        <v>23.340001532972963</v>
      </c>
      <c r="AA286" s="385">
        <f t="shared" si="115"/>
        <v>25.511444954345368</v>
      </c>
      <c r="AB286" s="196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8.5116441865929773E-2</v>
      </c>
      <c r="AD286" s="230">
        <f>(INDEX(Models!$BJ286:$BT286,,AH286)*(1-AF286)+INDEX(Models!$BJ286:$BT286,,AH286+1)*AF286-ERP_i)*AE286*Ramure*Pc/MaxiM</f>
        <v>5.5976321739546493E-4</v>
      </c>
      <c r="AE286" s="304">
        <f t="shared" si="117"/>
        <v>0.5</v>
      </c>
      <c r="AF286" s="176">
        <f t="shared" si="118"/>
        <v>0.3317684572165851</v>
      </c>
      <c r="AG286" s="814">
        <f t="shared" si="124"/>
        <v>1</v>
      </c>
      <c r="AH286" s="175">
        <f t="shared" si="119"/>
        <v>7</v>
      </c>
      <c r="AI286" s="224">
        <f t="shared" si="120"/>
        <v>1.3317684572165851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10">
        <f>'2022'!Wh/'2022'!Env_an*'2023'!Env_an</f>
        <v>27.870536593070156</v>
      </c>
      <c r="C287" s="843"/>
      <c r="D287" s="392">
        <f t="shared" si="102"/>
        <v>29.04966967528604</v>
      </c>
      <c r="E287" s="384">
        <f t="shared" si="100"/>
        <v>31.177104542752055</v>
      </c>
      <c r="F287" s="384">
        <f t="shared" si="103"/>
        <v>31.186637205485013</v>
      </c>
      <c r="G287" s="110">
        <f t="shared" si="101"/>
        <v>0.68279248887648702</v>
      </c>
      <c r="H287" s="413" t="b">
        <f>Wh_hp&gt;='2022'!Maxi_hp</f>
        <v>0</v>
      </c>
      <c r="I287" s="389">
        <f>IF(H287,Wh_hp,'2022'!Maxi_hp)</f>
        <v>39.258046137495292</v>
      </c>
      <c r="J287" s="85">
        <f>IF(H287,An,'2022'!An_max)</f>
        <v>2018</v>
      </c>
      <c r="K287" s="196">
        <f t="shared" si="104"/>
        <v>45199</v>
      </c>
      <c r="L287" s="147">
        <f>IF(t&lt;Tvie,1-EXP((T0-t)*PertePVj)+'2022'!Pspv,1-EXP((T0-t)*PertePVj)+Pspv)</f>
        <v>4.0590240625662945E-2</v>
      </c>
      <c r="M287" s="847"/>
      <c r="N287" s="847"/>
      <c r="O287" s="48">
        <f>IF(t&lt;Tnet,'2022'!Resal+('2022'!Salim-'2022'!Resal)*(1-EXP(('2022'!Tnet-t)/('2022'!Tau_j))),Resal+(Salim-Resal)*(1-EXP((Tnet-t)/(Tau_j))))*Salcycl</f>
        <v>6.8237089321387737E-2</v>
      </c>
      <c r="P287" s="168">
        <f>(INDEX(Models!$BJ287:$BT287,,T287)*(1-R287)+INDEX(Models!$BJ287:$BT287,,T287+1)*R287-ERP_i)*Q287*Ramure*Pc/MaxiM</f>
        <v>5.5870714580653392E-4</v>
      </c>
      <c r="Q287" s="304">
        <f t="shared" si="105"/>
        <v>0.5</v>
      </c>
      <c r="R287" s="176">
        <f t="shared" si="106"/>
        <v>0.33189228926227043</v>
      </c>
      <c r="S287" s="814">
        <f t="shared" si="107"/>
        <v>1</v>
      </c>
      <c r="T287" s="175">
        <f t="shared" si="108"/>
        <v>7</v>
      </c>
      <c r="U287" s="250">
        <f t="shared" si="109"/>
        <v>1.3318922892622704</v>
      </c>
      <c r="V287" s="382">
        <f t="shared" si="110"/>
        <v>40.808126143194833</v>
      </c>
      <c r="W287" s="401">
        <f t="shared" si="111"/>
        <v>27.870536593070156</v>
      </c>
      <c r="X287" s="157">
        <f t="shared" si="112"/>
        <v>45199</v>
      </c>
      <c r="Y287" s="384">
        <f t="shared" si="113"/>
        <v>27.365944355829203</v>
      </c>
      <c r="Z287" s="384">
        <f t="shared" si="114"/>
        <v>28.523729395535277</v>
      </c>
      <c r="AA287" s="385">
        <f t="shared" si="115"/>
        <v>31.177104542752055</v>
      </c>
      <c r="AB287" s="196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8.5106528849666005E-2</v>
      </c>
      <c r="AD287" s="230">
        <f>(INDEX(Models!$BJ287:$BT287,,AH287)*(1-AF287)+INDEX(Models!$BJ287:$BT287,,AH287+1)*AF287-ERP_i)*AE287*Ramure*Pc/MaxiM</f>
        <v>5.5870714580653392E-4</v>
      </c>
      <c r="AE287" s="304">
        <f t="shared" si="117"/>
        <v>0.5</v>
      </c>
      <c r="AF287" s="176">
        <f t="shared" si="118"/>
        <v>0.33189228926227043</v>
      </c>
      <c r="AG287" s="814">
        <f t="shared" si="124"/>
        <v>1</v>
      </c>
      <c r="AH287" s="175">
        <f t="shared" si="119"/>
        <v>7</v>
      </c>
      <c r="AI287" s="224">
        <f t="shared" si="120"/>
        <v>1.3318922892622704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10">
        <f>'2022'!Wh/'2022'!Env_an*'2023'!Env_an</f>
        <v>36.031334672830567</v>
      </c>
      <c r="C288" s="843"/>
      <c r="D288" s="392">
        <f t="shared" si="102"/>
        <v>37.556552379862765</v>
      </c>
      <c r="E288" s="384">
        <f t="shared" si="100"/>
        <v>40.307540464080674</v>
      </c>
      <c r="F288" s="384">
        <f t="shared" si="103"/>
        <v>40.32646124499864</v>
      </c>
      <c r="G288" s="110">
        <f t="shared" si="101"/>
        <v>0.88848680140819669</v>
      </c>
      <c r="H288" s="413" t="b">
        <f>Wh_hp&gt;='2022'!Maxi_hp</f>
        <v>0</v>
      </c>
      <c r="I288" s="389">
        <f>IF(H288,Wh_hp,'2022'!Maxi_hp)</f>
        <v>44.088165069651787</v>
      </c>
      <c r="J288" s="85">
        <f>IF(H288,An,'2022'!An_max)</f>
        <v>2020</v>
      </c>
      <c r="K288" s="196">
        <f t="shared" si="104"/>
        <v>45200</v>
      </c>
      <c r="L288" s="147">
        <f>IF(t&lt;Tvie,1-EXP((T0-t)*PertePVj)+'2022'!Pspv,1-EXP((T0-t)*PertePVj)+Pspv)</f>
        <v>4.061122787857372E-2</v>
      </c>
      <c r="M288" s="847"/>
      <c r="N288" s="847"/>
      <c r="O288" s="48">
        <f>IF(t&lt;Tnet,'2022'!Resal+('2022'!Salim-'2022'!Resal)*(1-EXP(('2022'!Tnet-t)/('2022'!Tau_j))),Resal+(Salim-Resal)*(1-EXP((Tnet-t)/(Tau_j))))*Salcycl</f>
        <v>6.8249961484735139E-2</v>
      </c>
      <c r="P288" s="168">
        <f>(INDEX(Models!$BJ288:$BT288,,T288)*(1-R288)+INDEX(Models!$BJ288:$BT288,,T288+1)*R288-ERP_i)*Q288*Ramure*Pc/MaxiM</f>
        <v>5.5802284853710574E-4</v>
      </c>
      <c r="Q288" s="304">
        <f t="shared" si="105"/>
        <v>0.5</v>
      </c>
      <c r="R288" s="176">
        <f t="shared" si="106"/>
        <v>0.33201123248391951</v>
      </c>
      <c r="S288" s="814">
        <f t="shared" si="107"/>
        <v>1</v>
      </c>
      <c r="T288" s="175">
        <f t="shared" si="108"/>
        <v>7</v>
      </c>
      <c r="U288" s="250">
        <f t="shared" si="109"/>
        <v>1.3320112324839195</v>
      </c>
      <c r="V288" s="382">
        <f t="shared" si="110"/>
        <v>40.54999168790934</v>
      </c>
      <c r="W288" s="401">
        <f t="shared" si="111"/>
        <v>36.031334672830567</v>
      </c>
      <c r="X288" s="157">
        <f t="shared" si="112"/>
        <v>45200</v>
      </c>
      <c r="Y288" s="384">
        <f t="shared" si="113"/>
        <v>35.37990878121812</v>
      </c>
      <c r="Z288" s="384">
        <f t="shared" si="114"/>
        <v>36.877551425774051</v>
      </c>
      <c r="AA288" s="385">
        <f t="shared" si="115"/>
        <v>40.307540464080674</v>
      </c>
      <c r="AB288" s="196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8.5095468461123189E-2</v>
      </c>
      <c r="AD288" s="230">
        <f>(INDEX(Models!$BJ288:$BT288,,AH288)*(1-AF288)+INDEX(Models!$BJ288:$BT288,,AH288+1)*AF288-ERP_i)*AE288*Ramure*Pc/MaxiM</f>
        <v>5.5802284853710574E-4</v>
      </c>
      <c r="AE288" s="304">
        <f t="shared" si="117"/>
        <v>0.5</v>
      </c>
      <c r="AF288" s="176">
        <f t="shared" si="118"/>
        <v>0.33201123248391951</v>
      </c>
      <c r="AG288" s="814">
        <f t="shared" si="124"/>
        <v>1</v>
      </c>
      <c r="AH288" s="175">
        <f t="shared" si="119"/>
        <v>7</v>
      </c>
      <c r="AI288" s="224">
        <f t="shared" si="120"/>
        <v>1.3320112324839195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10">
        <f>'2022'!Wh/'2022'!Env_an*'2023'!Env_an</f>
        <v>38.731068706957956</v>
      </c>
      <c r="C289" s="843"/>
      <c r="D289" s="392">
        <f t="shared" si="102"/>
        <v>40.371450135474838</v>
      </c>
      <c r="E289" s="384">
        <f t="shared" si="100"/>
        <v>43.329180492345273</v>
      </c>
      <c r="F289" s="384">
        <f t="shared" si="103"/>
        <v>43.352020157994687</v>
      </c>
      <c r="G289" s="110">
        <f t="shared" si="101"/>
        <v>0.96121946172412587</v>
      </c>
      <c r="H289" s="413" t="b">
        <f>Wh_hp&gt;='2022'!Maxi_hp</f>
        <v>0</v>
      </c>
      <c r="I289" s="389">
        <f>IF(H289,Wh_hp,'2022'!Maxi_hp)</f>
        <v>43.352276629554488</v>
      </c>
      <c r="J289" s="85">
        <f>IF(H289,An,'2022'!An_max)</f>
        <v>2022</v>
      </c>
      <c r="K289" s="196">
        <f t="shared" si="104"/>
        <v>45201</v>
      </c>
      <c r="L289" s="147">
        <f>IF(t&lt;Tvie,1-EXP((T0-t)*PertePVj)+'2022'!Pspv,1-EXP((T0-t)*PertePVj)+Pspv)</f>
        <v>4.0632214671809865E-2</v>
      </c>
      <c r="M289" s="847"/>
      <c r="N289" s="847"/>
      <c r="O289" s="48">
        <f>IF(t&lt;Tnet,'2022'!Resal+('2022'!Salim-'2022'!Resal)*(1-EXP(('2022'!Tnet-t)/('2022'!Tau_j))),Resal+(Salim-Resal)*(1-EXP((Tnet-t)/(Tau_j))))*Salcycl</f>
        <v>6.8261857788724151E-2</v>
      </c>
      <c r="P289" s="168">
        <f>(INDEX(Models!$BJ289:$BT289,,T289)*(1-R289)+INDEX(Models!$BJ289:$BT289,,T289+1)*R289-ERP_i)*Q289*Ramure*Pc/MaxiM</f>
        <v>5.577162670238544E-4</v>
      </c>
      <c r="Q289" s="304">
        <f t="shared" si="105"/>
        <v>0.5</v>
      </c>
      <c r="R289" s="176">
        <f t="shared" si="106"/>
        <v>0.33212547617221322</v>
      </c>
      <c r="S289" s="814">
        <f t="shared" si="107"/>
        <v>1</v>
      </c>
      <c r="T289" s="175">
        <f t="shared" si="108"/>
        <v>7</v>
      </c>
      <c r="U289" s="250">
        <f t="shared" si="109"/>
        <v>1.3321254761722132</v>
      </c>
      <c r="V289" s="382">
        <f t="shared" si="110"/>
        <v>40.29243458552321</v>
      </c>
      <c r="W289" s="401">
        <f t="shared" si="111"/>
        <v>38.731068706957956</v>
      </c>
      <c r="X289" s="157">
        <f t="shared" si="112"/>
        <v>45201</v>
      </c>
      <c r="Y289" s="384">
        <f t="shared" si="113"/>
        <v>38.031827059809885</v>
      </c>
      <c r="Z289" s="384">
        <f t="shared" si="114"/>
        <v>39.642593426044193</v>
      </c>
      <c r="AA289" s="385">
        <f t="shared" si="115"/>
        <v>43.329180492345273</v>
      </c>
      <c r="AB289" s="196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8.5083240080027947E-2</v>
      </c>
      <c r="AD289" s="230">
        <f>(INDEX(Models!$BJ289:$BT289,,AH289)*(1-AF289)+INDEX(Models!$BJ289:$BT289,,AH289+1)*AF289-ERP_i)*AE289*Ramure*Pc/MaxiM</f>
        <v>5.577162670238544E-4</v>
      </c>
      <c r="AE289" s="304">
        <f t="shared" si="117"/>
        <v>0.5</v>
      </c>
      <c r="AF289" s="176">
        <f t="shared" si="118"/>
        <v>0.33212547617221322</v>
      </c>
      <c r="AG289" s="814">
        <f t="shared" si="124"/>
        <v>1</v>
      </c>
      <c r="AH289" s="175">
        <f t="shared" si="119"/>
        <v>7</v>
      </c>
      <c r="AI289" s="224">
        <f t="shared" si="120"/>
        <v>1.3321254761722132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10">
        <f>'2022'!Wh/'2022'!Env_an*'2023'!Env_an</f>
        <v>35.864872091371311</v>
      </c>
      <c r="C290" s="843"/>
      <c r="D290" s="392">
        <f t="shared" si="102"/>
        <v>37.384678959639174</v>
      </c>
      <c r="E290" s="384">
        <f t="shared" si="100"/>
        <v>40.12405933428132</v>
      </c>
      <c r="F290" s="384">
        <f t="shared" si="103"/>
        <v>40.143120231239493</v>
      </c>
      <c r="G290" s="110">
        <f t="shared" si="101"/>
        <v>0.89577181554931751</v>
      </c>
      <c r="H290" s="413" t="b">
        <f>Wh_hp&gt;='2022'!Maxi_hp</f>
        <v>0</v>
      </c>
      <c r="I290" s="389">
        <f>IF(H290,Wh_hp,'2022'!Maxi_hp)</f>
        <v>41.859424132175342</v>
      </c>
      <c r="J290" s="85">
        <f>IF(H290,An,'2022'!An_max)</f>
        <v>2018</v>
      </c>
      <c r="K290" s="196">
        <f t="shared" si="104"/>
        <v>45202</v>
      </c>
      <c r="L290" s="147">
        <f>IF(t&lt;Tvie,1-EXP((T0-t)*PertePVj)+'2022'!Pspv,1-EXP((T0-t)*PertePVj)+Pspv)</f>
        <v>4.0653201005381369E-2</v>
      </c>
      <c r="M290" s="847"/>
      <c r="N290" s="847"/>
      <c r="O290" s="48">
        <f>IF(t&lt;Tnet,'2022'!Resal+('2022'!Salim-'2022'!Resal)*(1-EXP(('2022'!Tnet-t)/('2022'!Tau_j))),Resal+(Salim-Resal)*(1-EXP((Tnet-t)/(Tau_j))))*Salcycl</f>
        <v>6.8272762529330219E-2</v>
      </c>
      <c r="P290" s="168">
        <f>(INDEX(Models!$BJ290:$BT290,,T290)*(1-R290)+INDEX(Models!$BJ290:$BT290,,T290+1)*R290-ERP_i)*Q290*Ramure*Pc/MaxiM</f>
        <v>5.5782255382277131E-4</v>
      </c>
      <c r="Q290" s="304">
        <f t="shared" si="105"/>
        <v>0.5</v>
      </c>
      <c r="R290" s="176">
        <f t="shared" si="106"/>
        <v>0.3322352025796862</v>
      </c>
      <c r="S290" s="814">
        <f t="shared" si="107"/>
        <v>1</v>
      </c>
      <c r="T290" s="175">
        <f t="shared" si="108"/>
        <v>7</v>
      </c>
      <c r="U290" s="250">
        <f t="shared" si="109"/>
        <v>1.3322352025796862</v>
      </c>
      <c r="V290" s="382">
        <f t="shared" si="110"/>
        <v>40.034630811559403</v>
      </c>
      <c r="W290" s="401">
        <f t="shared" si="111"/>
        <v>35.864872091371311</v>
      </c>
      <c r="X290" s="157">
        <f t="shared" si="112"/>
        <v>45202</v>
      </c>
      <c r="Y290" s="384">
        <f t="shared" si="113"/>
        <v>35.218304642911299</v>
      </c>
      <c r="Z290" s="384">
        <f t="shared" si="114"/>
        <v>36.710712622192062</v>
      </c>
      <c r="AA290" s="385">
        <f t="shared" si="115"/>
        <v>40.12405933428132</v>
      </c>
      <c r="AB290" s="196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8.5069825155326614E-2</v>
      </c>
      <c r="AD290" s="230">
        <f>(INDEX(Models!$BJ290:$BT290,,AH290)*(1-AF290)+INDEX(Models!$BJ290:$BT290,,AH290+1)*AF290-ERP_i)*AE290*Ramure*Pc/MaxiM</f>
        <v>5.5782255382277131E-4</v>
      </c>
      <c r="AE290" s="304">
        <f t="shared" si="117"/>
        <v>0.5</v>
      </c>
      <c r="AF290" s="176">
        <f t="shared" si="118"/>
        <v>0.3322352025796862</v>
      </c>
      <c r="AG290" s="814">
        <f t="shared" si="124"/>
        <v>1</v>
      </c>
      <c r="AH290" s="175">
        <f t="shared" si="119"/>
        <v>7</v>
      </c>
      <c r="AI290" s="224">
        <f t="shared" si="120"/>
        <v>1.3322352025796862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10">
        <f>'2022'!Wh/'2022'!Env_an*'2023'!Env_an</f>
        <v>40.09336252575816</v>
      </c>
      <c r="C291" s="843"/>
      <c r="D291" s="392">
        <f t="shared" si="102"/>
        <v>41.793269791556881</v>
      </c>
      <c r="E291" s="384">
        <f t="shared" si="100"/>
        <v>44.856168367465706</v>
      </c>
      <c r="F291" s="384">
        <f t="shared" si="103"/>
        <v>44.881229188425138</v>
      </c>
      <c r="G291" s="110">
        <f t="shared" si="101"/>
        <v>1.0079714315717951</v>
      </c>
      <c r="H291" s="413" t="b">
        <f>Wh_hp&gt;='2022'!Maxi_hp</f>
        <v>0</v>
      </c>
      <c r="I291" s="389">
        <f>IF(H291,Wh_hp,'2022'!Maxi_hp)</f>
        <v>44.881229188425152</v>
      </c>
      <c r="J291" s="85">
        <f>IF(H291,An,'2022'!An_max)</f>
        <v>2022</v>
      </c>
      <c r="K291" s="196">
        <f t="shared" si="104"/>
        <v>45203</v>
      </c>
      <c r="L291" s="147">
        <f>IF(t&lt;Tvie,1-EXP((T0-t)*PertePVj)+'2022'!Pspv,1-EXP((T0-t)*PertePVj)+Pspv)</f>
        <v>4.0674186879298337E-2</v>
      </c>
      <c r="M291" s="847"/>
      <c r="N291" s="847"/>
      <c r="O291" s="48">
        <f>IF(t&lt;Tnet,'2022'!Resal+('2022'!Salim-'2022'!Resal)*(1-EXP(('2022'!Tnet-t)/('2022'!Tau_j))),Resal+(Salim-Resal)*(1-EXP((Tnet-t)/(Tau_j))))*Salcycl</f>
        <v>6.828266183632288E-2</v>
      </c>
      <c r="P291" s="168">
        <f>(INDEX(Models!$BJ291:$BT291,,T291)*(1-R291)+INDEX(Models!$BJ291:$BT291,,T291+1)*R291-ERP_i)*Q291*Ramure*Pc/MaxiM</f>
        <v>5.5838089581325726E-4</v>
      </c>
      <c r="Q291" s="304">
        <f t="shared" si="105"/>
        <v>0.5</v>
      </c>
      <c r="R291" s="176">
        <f t="shared" si="106"/>
        <v>0.33234058715948445</v>
      </c>
      <c r="S291" s="814">
        <f t="shared" si="107"/>
        <v>1</v>
      </c>
      <c r="T291" s="175">
        <f t="shared" si="108"/>
        <v>7</v>
      </c>
      <c r="U291" s="250">
        <f t="shared" si="109"/>
        <v>1.3323405871594844</v>
      </c>
      <c r="V291" s="382">
        <f t="shared" si="110"/>
        <v>39.776288563295857</v>
      </c>
      <c r="W291" s="401">
        <f t="shared" si="111"/>
        <v>40.09336252575816</v>
      </c>
      <c r="X291" s="157">
        <f t="shared" si="112"/>
        <v>45203</v>
      </c>
      <c r="Y291" s="384">
        <f t="shared" si="113"/>
        <v>39.3716117073009</v>
      </c>
      <c r="Z291" s="384">
        <f t="shared" si="114"/>
        <v>41.040917661982263</v>
      </c>
      <c r="AA291" s="385">
        <f t="shared" si="115"/>
        <v>44.856168367465706</v>
      </c>
      <c r="AB291" s="196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8.5055207440559208E-2</v>
      </c>
      <c r="AD291" s="230">
        <f>(INDEX(Models!$BJ291:$BT291,,AH291)*(1-AF291)+INDEX(Models!$BJ291:$BT291,,AH291+1)*AF291-ERP_i)*AE291*Ramure*Pc/MaxiM</f>
        <v>5.5838089581325726E-4</v>
      </c>
      <c r="AE291" s="304">
        <f t="shared" si="117"/>
        <v>0.5</v>
      </c>
      <c r="AF291" s="176">
        <f t="shared" si="118"/>
        <v>0.33234058715948445</v>
      </c>
      <c r="AG291" s="814">
        <f t="shared" si="124"/>
        <v>1</v>
      </c>
      <c r="AH291" s="175">
        <f t="shared" si="119"/>
        <v>7</v>
      </c>
      <c r="AI291" s="224">
        <f t="shared" si="120"/>
        <v>1.3323405871594844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10">
        <f>'2022'!Wh/'2022'!Env_an*'2023'!Env_an</f>
        <v>40.670096380012936</v>
      </c>
      <c r="C292" s="843"/>
      <c r="D292" s="392">
        <f t="shared" si="102"/>
        <v>42.395383829402533</v>
      </c>
      <c r="E292" s="384">
        <f t="shared" si="100"/>
        <v>45.502843244757877</v>
      </c>
      <c r="F292" s="384">
        <f t="shared" si="103"/>
        <v>45.528311712611469</v>
      </c>
      <c r="G292" s="110">
        <f t="shared" si="101"/>
        <v>1.0291767006339698</v>
      </c>
      <c r="H292" s="413" t="b">
        <f>Wh_hp&gt;='2022'!Maxi_hp</f>
        <v>1</v>
      </c>
      <c r="I292" s="389">
        <f>IF(H292,Wh_hp,'2022'!Maxi_hp)</f>
        <v>45.528311712611469</v>
      </c>
      <c r="J292" s="85">
        <f>IF(H292,An,'2022'!An_max)</f>
        <v>2023</v>
      </c>
      <c r="K292" s="196">
        <f t="shared" si="104"/>
        <v>45204</v>
      </c>
      <c r="L292" s="147">
        <f>IF(t&lt;Tvie,1-EXP((T0-t)*PertePVj)+'2022'!Pspv,1-EXP((T0-t)*PertePVj)+Pspv)</f>
        <v>4.0695172293570649E-2</v>
      </c>
      <c r="M292" s="847"/>
      <c r="N292" s="847"/>
      <c r="O292" s="48">
        <f>IF(t&lt;Tnet,'2022'!Resal+('2022'!Salim-'2022'!Resal)*(1-EXP(('2022'!Tnet-t)/('2022'!Tau_j))),Resal+(Salim-Resal)*(1-EXP((Tnet-t)/(Tau_j))))*Salcycl</f>
        <v>6.8291543863324117E-2</v>
      </c>
      <c r="P292" s="168">
        <f>(INDEX(Models!$BJ292:$BT292,,T292)*(1-R292)+INDEX(Models!$BJ292:$BT292,,T292+1)*R292-ERP_i)*Q292*Ramure*Pc/MaxiM</f>
        <v>5.5939846867937343E-4</v>
      </c>
      <c r="Q292" s="304">
        <f t="shared" si="105"/>
        <v>0.5</v>
      </c>
      <c r="R292" s="176">
        <f t="shared" si="106"/>
        <v>0.33244179879787339</v>
      </c>
      <c r="S292" s="814">
        <f t="shared" si="107"/>
        <v>1</v>
      </c>
      <c r="T292" s="175">
        <f t="shared" si="108"/>
        <v>7</v>
      </c>
      <c r="U292" s="250">
        <f t="shared" si="109"/>
        <v>1.3324417987978734</v>
      </c>
      <c r="V292" s="382">
        <f t="shared" si="110"/>
        <v>39.517117279239095</v>
      </c>
      <c r="W292" s="401">
        <f t="shared" si="111"/>
        <v>40.670096380012936</v>
      </c>
      <c r="X292" s="157">
        <f t="shared" si="112"/>
        <v>45204</v>
      </c>
      <c r="Y292" s="384">
        <f t="shared" si="113"/>
        <v>39.939035252594287</v>
      </c>
      <c r="Z292" s="384">
        <f t="shared" si="114"/>
        <v>41.633309975186123</v>
      </c>
      <c r="AA292" s="385">
        <f t="shared" si="115"/>
        <v>45.502843244757877</v>
      </c>
      <c r="AB292" s="196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8.5039373226804701E-2</v>
      </c>
      <c r="AD292" s="230">
        <f>(INDEX(Models!$BJ292:$BT292,,AH292)*(1-AF292)+INDEX(Models!$BJ292:$BT292,,AH292+1)*AF292-ERP_i)*AE292*Ramure*Pc/MaxiM</f>
        <v>5.5939846867937343E-4</v>
      </c>
      <c r="AE292" s="304">
        <f t="shared" si="117"/>
        <v>0.5</v>
      </c>
      <c r="AF292" s="176">
        <f t="shared" si="118"/>
        <v>0.33244179879787339</v>
      </c>
      <c r="AG292" s="814">
        <f t="shared" si="124"/>
        <v>1</v>
      </c>
      <c r="AH292" s="175">
        <f t="shared" si="119"/>
        <v>7</v>
      </c>
      <c r="AI292" s="224">
        <f t="shared" si="120"/>
        <v>1.3324417987978734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10">
        <f>'2022'!Wh/'2022'!Env_an*'2023'!Env_an</f>
        <v>14.559959301284369</v>
      </c>
      <c r="C293" s="843"/>
      <c r="D293" s="392">
        <f t="shared" si="102"/>
        <v>15.177946977109327</v>
      </c>
      <c r="E293" s="384">
        <f t="shared" si="100"/>
        <v>16.290584078623997</v>
      </c>
      <c r="F293" s="384">
        <f t="shared" si="103"/>
        <v>16.291509457096705</v>
      </c>
      <c r="G293" s="110">
        <f t="shared" si="101"/>
        <v>0.37070290296414898</v>
      </c>
      <c r="H293" s="413" t="b">
        <f>Wh_hp&gt;='2022'!Maxi_hp</f>
        <v>0</v>
      </c>
      <c r="I293" s="389">
        <f>IF(H293,Wh_hp,'2022'!Maxi_hp)</f>
        <v>40.753647143943134</v>
      </c>
      <c r="J293" s="85">
        <f>IF(H293,An,'2022'!An_max)</f>
        <v>2018</v>
      </c>
      <c r="K293" s="196">
        <f t="shared" si="104"/>
        <v>45205</v>
      </c>
      <c r="L293" s="147">
        <f>IF(t&lt;Tvie,1-EXP((T0-t)*PertePVj)+'2022'!Pspv,1-EXP((T0-t)*PertePVj)+Pspv)</f>
        <v>4.0716157248208741E-2</v>
      </c>
      <c r="M293" s="847"/>
      <c r="N293" s="847"/>
      <c r="O293" s="48">
        <f>IF(t&lt;Tnet,'2022'!Resal+('2022'!Salim-'2022'!Resal)*(1-EXP(('2022'!Tnet-t)/('2022'!Tau_j))),Resal+(Salim-Resal)*(1-EXP((Tnet-t)/(Tau_j))))*Salcycl</f>
        <v>6.8299398974567049E-2</v>
      </c>
      <c r="P293" s="168">
        <f>(INDEX(Models!$BJ293:$BT293,,T293)*(1-R293)+INDEX(Models!$BJ293:$BT293,,T293+1)*R293-ERP_i)*Q293*Ramure*Pc/MaxiM</f>
        <v>5.6088253094170528E-4</v>
      </c>
      <c r="Q293" s="304">
        <f t="shared" si="105"/>
        <v>0.5</v>
      </c>
      <c r="R293" s="176">
        <f t="shared" si="106"/>
        <v>0.33253900004049686</v>
      </c>
      <c r="S293" s="814">
        <f t="shared" si="107"/>
        <v>1</v>
      </c>
      <c r="T293" s="175">
        <f t="shared" si="108"/>
        <v>7</v>
      </c>
      <c r="U293" s="250">
        <f t="shared" si="109"/>
        <v>1.3325390000404969</v>
      </c>
      <c r="V293" s="382">
        <f t="shared" si="110"/>
        <v>39.256826330214459</v>
      </c>
      <c r="W293" s="401">
        <f t="shared" si="111"/>
        <v>14.559959301284369</v>
      </c>
      <c r="X293" s="157">
        <f t="shared" si="112"/>
        <v>45205</v>
      </c>
      <c r="Y293" s="384">
        <f t="shared" si="113"/>
        <v>14.298625428003188</v>
      </c>
      <c r="Z293" s="384">
        <f t="shared" si="114"/>
        <v>14.905520963416111</v>
      </c>
      <c r="AA293" s="385">
        <f t="shared" si="115"/>
        <v>16.290584078623997</v>
      </c>
      <c r="AB293" s="196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8.5022311571094841E-2</v>
      </c>
      <c r="AD293" s="230">
        <f>(INDEX(Models!$BJ293:$BT293,,AH293)*(1-AF293)+INDEX(Models!$BJ293:$BT293,,AH293+1)*AF293-ERP_i)*AE293*Ramure*Pc/MaxiM</f>
        <v>5.6088253094170528E-4</v>
      </c>
      <c r="AE293" s="304">
        <f t="shared" si="117"/>
        <v>0.5</v>
      </c>
      <c r="AF293" s="176">
        <f t="shared" si="118"/>
        <v>0.33253900004049686</v>
      </c>
      <c r="AG293" s="814">
        <f t="shared" si="124"/>
        <v>1</v>
      </c>
      <c r="AH293" s="175">
        <f t="shared" si="119"/>
        <v>7</v>
      </c>
      <c r="AI293" s="224">
        <f t="shared" si="120"/>
        <v>1.3325390000404969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10">
        <f>'2022'!Wh/'2022'!Env_an*'2023'!Env_an</f>
        <v>28.023517835398302</v>
      </c>
      <c r="C294" s="843"/>
      <c r="D294" s="392">
        <f t="shared" si="102"/>
        <v>29.21359624652214</v>
      </c>
      <c r="E294" s="384">
        <f t="shared" si="100"/>
        <v>31.355362535769768</v>
      </c>
      <c r="F294" s="384">
        <f t="shared" si="103"/>
        <v>31.365920681740892</v>
      </c>
      <c r="G294" s="110">
        <f t="shared" si="101"/>
        <v>0.71847893743069702</v>
      </c>
      <c r="H294" s="413" t="b">
        <f>Wh_hp&gt;='2022'!Maxi_hp</f>
        <v>0</v>
      </c>
      <c r="I294" s="389">
        <f>IF(H294,Wh_hp,'2022'!Maxi_hp)</f>
        <v>44.062156348589909</v>
      </c>
      <c r="J294" s="85">
        <f>IF(H294,An,'2022'!An_max)</f>
        <v>2021</v>
      </c>
      <c r="K294" s="196">
        <f t="shared" si="104"/>
        <v>45206</v>
      </c>
      <c r="L294" s="147">
        <f>IF(t&lt;Tvie,1-EXP((T0-t)*PertePVj)+'2022'!Pspv,1-EXP((T0-t)*PertePVj)+Pspv)</f>
        <v>4.0737141743222273E-2</v>
      </c>
      <c r="M294" s="847"/>
      <c r="N294" s="847"/>
      <c r="O294" s="48">
        <f>IF(t&lt;Tnet,'2022'!Resal+('2022'!Salim-'2022'!Resal)*(1-EXP(('2022'!Tnet-t)/('2022'!Tau_j))),Resal+(Salim-Resal)*(1-EXP((Tnet-t)/(Tau_j))))*Salcycl</f>
        <v>6.830621992663384E-2</v>
      </c>
      <c r="P294" s="168">
        <f>(INDEX(Models!$BJ294:$BT294,,T294)*(1-R294)+INDEX(Models!$BJ294:$BT294,,T294+1)*R294-ERP_i)*Q294*Ramure*Pc/MaxiM</f>
        <v>5.628404640213669E-4</v>
      </c>
      <c r="Q294" s="304">
        <f t="shared" si="105"/>
        <v>0.5</v>
      </c>
      <c r="R294" s="176">
        <f t="shared" si="106"/>
        <v>0.33263234731241065</v>
      </c>
      <c r="S294" s="814">
        <f t="shared" si="107"/>
        <v>1</v>
      </c>
      <c r="T294" s="175">
        <f t="shared" si="108"/>
        <v>7</v>
      </c>
      <c r="U294" s="250">
        <f t="shared" si="109"/>
        <v>1.3326323473124106</v>
      </c>
      <c r="V294" s="382">
        <f t="shared" si="110"/>
        <v>38.995125012369932</v>
      </c>
      <c r="W294" s="401">
        <f t="shared" si="111"/>
        <v>28.023517835398302</v>
      </c>
      <c r="X294" s="157">
        <f t="shared" si="112"/>
        <v>45206</v>
      </c>
      <c r="Y294" s="384">
        <f t="shared" si="113"/>
        <v>27.521280990465435</v>
      </c>
      <c r="Z294" s="384">
        <f t="shared" si="114"/>
        <v>28.69003084355683</v>
      </c>
      <c r="AA294" s="385">
        <f t="shared" si="115"/>
        <v>31.355362535769768</v>
      </c>
      <c r="AB294" s="196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8.5004014518166179E-2</v>
      </c>
      <c r="AD294" s="230">
        <f>(INDEX(Models!$BJ294:$BT294,,AH294)*(1-AF294)+INDEX(Models!$BJ294:$BT294,,AH294+1)*AF294-ERP_i)*AE294*Ramure*Pc/MaxiM</f>
        <v>5.628404640213669E-4</v>
      </c>
      <c r="AE294" s="304">
        <f t="shared" si="117"/>
        <v>0.5</v>
      </c>
      <c r="AF294" s="176">
        <f t="shared" si="118"/>
        <v>0.33263234731241065</v>
      </c>
      <c r="AG294" s="814">
        <f t="shared" si="124"/>
        <v>1</v>
      </c>
      <c r="AH294" s="175">
        <f t="shared" si="119"/>
        <v>7</v>
      </c>
      <c r="AI294" s="224">
        <f t="shared" si="120"/>
        <v>1.3326323473124106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10">
        <f>'2022'!Wh/'2022'!Env_an*'2023'!Env_an</f>
        <v>15.680839312842242</v>
      </c>
      <c r="C295" s="843"/>
      <c r="D295" s="392">
        <f t="shared" si="102"/>
        <v>16.347117170599397</v>
      </c>
      <c r="E295" s="384">
        <f t="shared" si="100"/>
        <v>17.545698996287324</v>
      </c>
      <c r="F295" s="384">
        <f t="shared" si="103"/>
        <v>17.547184841471672</v>
      </c>
      <c r="G295" s="110">
        <f t="shared" si="101"/>
        <v>0.40466319063036521</v>
      </c>
      <c r="H295" s="413" t="b">
        <f>Wh_hp&gt;='2022'!Maxi_hp</f>
        <v>0</v>
      </c>
      <c r="I295" s="389">
        <f>IF(H295,Wh_hp,'2022'!Maxi_hp)</f>
        <v>43.274258019273653</v>
      </c>
      <c r="J295" s="85">
        <f>IF(H295,An,'2022'!An_max)</f>
        <v>2021</v>
      </c>
      <c r="K295" s="196">
        <f t="shared" si="104"/>
        <v>45207</v>
      </c>
      <c r="L295" s="147">
        <f>IF(t&lt;Tvie,1-EXP((T0-t)*PertePVj)+'2022'!Pspv,1-EXP((T0-t)*PertePVj)+Pspv)</f>
        <v>4.075812577862168E-2</v>
      </c>
      <c r="M295" s="847"/>
      <c r="N295" s="847"/>
      <c r="O295" s="48">
        <f>IF(t&lt;Tnet,'2022'!Resal+('2022'!Salim-'2022'!Resal)*(1-EXP(('2022'!Tnet-t)/('2022'!Tau_j))),Resal+(Salim-Resal)*(1-EXP((Tnet-t)/(Tau_j))))*Salcycl</f>
        <v>6.8312002043438041E-2</v>
      </c>
      <c r="P295" s="168">
        <f>(INDEX(Models!$BJ295:$BT295,,T295)*(1-R295)+INDEX(Models!$BJ295:$BT295,,T295+1)*R295-ERP_i)*Q295*Ramure*Pc/MaxiM</f>
        <v>5.652798170358433E-4</v>
      </c>
      <c r="Q295" s="304">
        <f t="shared" si="105"/>
        <v>0.5</v>
      </c>
      <c r="R295" s="176">
        <f t="shared" si="106"/>
        <v>0.33272199113192746</v>
      </c>
      <c r="S295" s="814">
        <f t="shared" si="107"/>
        <v>1</v>
      </c>
      <c r="T295" s="175">
        <f t="shared" si="108"/>
        <v>7</v>
      </c>
      <c r="U295" s="250">
        <f t="shared" si="109"/>
        <v>1.3327219911319275</v>
      </c>
      <c r="V295" s="382">
        <f t="shared" si="110"/>
        <v>38.731722538577401</v>
      </c>
      <c r="W295" s="401">
        <f t="shared" si="111"/>
        <v>15.680839312842242</v>
      </c>
      <c r="X295" s="157">
        <f t="shared" si="112"/>
        <v>45207</v>
      </c>
      <c r="Y295" s="384">
        <f t="shared" si="113"/>
        <v>15.400232064247037</v>
      </c>
      <c r="Z295" s="384">
        <f t="shared" si="114"/>
        <v>16.054586937989427</v>
      </c>
      <c r="AA295" s="385">
        <f t="shared" si="115"/>
        <v>17.545698996287324</v>
      </c>
      <c r="AB295" s="196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8.498447731340987E-2</v>
      </c>
      <c r="AD295" s="230">
        <f>(INDEX(Models!$BJ295:$BT295,,AH295)*(1-AF295)+INDEX(Models!$BJ295:$BT295,,AH295+1)*AF295-ERP_i)*AE295*Ramure*Pc/MaxiM</f>
        <v>5.652798170358433E-4</v>
      </c>
      <c r="AE295" s="304">
        <f t="shared" si="117"/>
        <v>0.5</v>
      </c>
      <c r="AF295" s="176">
        <f t="shared" si="118"/>
        <v>0.33272199113192746</v>
      </c>
      <c r="AG295" s="814">
        <f t="shared" si="124"/>
        <v>1</v>
      </c>
      <c r="AH295" s="175">
        <f t="shared" si="119"/>
        <v>7</v>
      </c>
      <c r="AI295" s="224">
        <f t="shared" si="120"/>
        <v>1.3327219911319275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10">
        <f>'2022'!Wh/'2022'!Env_an*'2023'!Env_an</f>
        <v>37.565378075134888</v>
      </c>
      <c r="C296" s="843"/>
      <c r="D296" s="392">
        <f t="shared" si="102"/>
        <v>39.162385266497175</v>
      </c>
      <c r="E296" s="384">
        <f t="shared" si="100"/>
        <v>42.034012083341175</v>
      </c>
      <c r="F296" s="384">
        <f t="shared" si="103"/>
        <v>42.057090229636486</v>
      </c>
      <c r="G296" s="110">
        <f t="shared" si="101"/>
        <v>0.97655918893455596</v>
      </c>
      <c r="H296" s="413" t="b">
        <f>Wh_hp&gt;='2022'!Maxi_hp</f>
        <v>0</v>
      </c>
      <c r="I296" s="389">
        <f>IF(H296,Wh_hp,'2022'!Maxi_hp)</f>
        <v>42.057245355193125</v>
      </c>
      <c r="J296" s="85">
        <f>IF(H296,An,'2022'!An_max)</f>
        <v>2022</v>
      </c>
      <c r="K296" s="196">
        <f t="shared" si="104"/>
        <v>45208</v>
      </c>
      <c r="L296" s="147">
        <f>IF(t&lt;Tvie,1-EXP((T0-t)*PertePVj)+'2022'!Pspv,1-EXP((T0-t)*PertePVj)+Pspv)</f>
        <v>4.0779109354416733E-2</v>
      </c>
      <c r="M296" s="847"/>
      <c r="N296" s="847"/>
      <c r="O296" s="48">
        <f>IF(t&lt;Tnet,'2022'!Resal+('2022'!Salim-'2022'!Resal)*(1-EXP(('2022'!Tnet-t)/('2022'!Tau_j))),Resal+(Salim-Resal)*(1-EXP((Tnet-t)/(Tau_j))))*Salcycl</f>
        <v>6.831674338272542E-2</v>
      </c>
      <c r="P296" s="168">
        <f>(INDEX(Models!$BJ296:$BT296,,T296)*(1-R296)+INDEX(Models!$BJ296:$BT296,,T296+1)*R296-ERP_i)*Q296*Ramure*Pc/MaxiM</f>
        <v>5.6773024080509626E-4</v>
      </c>
      <c r="Q296" s="304">
        <f t="shared" si="105"/>
        <v>0.5</v>
      </c>
      <c r="R296" s="176">
        <f t="shared" si="106"/>
        <v>0.33280807631832499</v>
      </c>
      <c r="S296" s="814">
        <f t="shared" si="107"/>
        <v>1</v>
      </c>
      <c r="T296" s="175">
        <f t="shared" si="108"/>
        <v>7</v>
      </c>
      <c r="U296" s="250">
        <f t="shared" si="109"/>
        <v>1.332808076318325</v>
      </c>
      <c r="V296" s="382">
        <f t="shared" si="110"/>
        <v>38.466346433406336</v>
      </c>
      <c r="W296" s="401">
        <f t="shared" si="111"/>
        <v>37.565378075134888</v>
      </c>
      <c r="X296" s="157">
        <f t="shared" si="112"/>
        <v>45208</v>
      </c>
      <c r="Y296" s="384">
        <f t="shared" si="113"/>
        <v>36.894174463522205</v>
      </c>
      <c r="Z296" s="384">
        <f t="shared" si="114"/>
        <v>38.462646949537728</v>
      </c>
      <c r="AA296" s="385">
        <f t="shared" si="115"/>
        <v>42.034012083341175</v>
      </c>
      <c r="AB296" s="196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8.496369860489339E-2</v>
      </c>
      <c r="AD296" s="230">
        <f>(INDEX(Models!$BJ296:$BT296,,AH296)*(1-AF296)+INDEX(Models!$BJ296:$BT296,,AH296+1)*AF296-ERP_i)*AE296*Ramure*Pc/MaxiM</f>
        <v>5.6773024080509626E-4</v>
      </c>
      <c r="AE296" s="304">
        <f t="shared" si="117"/>
        <v>0.5</v>
      </c>
      <c r="AF296" s="176">
        <f t="shared" si="118"/>
        <v>0.33280807631832499</v>
      </c>
      <c r="AG296" s="814">
        <f t="shared" si="124"/>
        <v>1</v>
      </c>
      <c r="AH296" s="175">
        <f t="shared" si="119"/>
        <v>7</v>
      </c>
      <c r="AI296" s="224">
        <f t="shared" si="120"/>
        <v>1.332808076318325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10">
        <f>'2022'!Wh/'2022'!Env_an*'2023'!Env_an</f>
        <v>30.320385665838877</v>
      </c>
      <c r="C297" s="843"/>
      <c r="D297" s="392">
        <f t="shared" si="102"/>
        <v>31.610079846583076</v>
      </c>
      <c r="E297" s="384">
        <f t="shared" ref="E297:E360" si="125">Wh_pvt/(1-Psa)</f>
        <v>33.928060000127388</v>
      </c>
      <c r="F297" s="384">
        <f t="shared" si="103"/>
        <v>33.941699509886213</v>
      </c>
      <c r="G297" s="110">
        <f t="shared" ref="G297:G360" si="126">+Wh_hp/MaxiM</f>
        <v>0.79362059384911454</v>
      </c>
      <c r="H297" s="413" t="b">
        <f>Wh_hp&gt;='2022'!Maxi_hp</f>
        <v>0</v>
      </c>
      <c r="I297" s="389">
        <f>IF(H297,Wh_hp,'2022'!Maxi_hp)</f>
        <v>33.942804963522448</v>
      </c>
      <c r="J297" s="85">
        <f>IF(H297,An,'2022'!An_max)</f>
        <v>2022</v>
      </c>
      <c r="K297" s="196">
        <f t="shared" si="104"/>
        <v>45209</v>
      </c>
      <c r="L297" s="147">
        <f>IF(t&lt;Tvie,1-EXP((T0-t)*PertePVj)+'2022'!Pspv,1-EXP((T0-t)*PertePVj)+Pspv)</f>
        <v>4.0800092470617645E-2</v>
      </c>
      <c r="M297" s="847"/>
      <c r="N297" s="847"/>
      <c r="O297" s="48">
        <f>IF(t&lt;Tnet,'2022'!Resal+('2022'!Salim-'2022'!Resal)*(1-EXP(('2022'!Tnet-t)/('2022'!Tau_j))),Resal+(Salim-Resal)*(1-EXP((Tnet-t)/(Tau_j))))*Salcycl</f>
        <v>6.8320444892387353E-2</v>
      </c>
      <c r="P297" s="168">
        <f>(INDEX(Models!$BJ297:$BT297,,T297)*(1-R297)+INDEX(Models!$BJ297:$BT297,,T297+1)*R297-ERP_i)*Q297*Ramure*Pc/MaxiM</f>
        <v>5.6970848923336859E-4</v>
      </c>
      <c r="Q297" s="304">
        <f t="shared" si="105"/>
        <v>0.5</v>
      </c>
      <c r="R297" s="176">
        <f t="shared" si="106"/>
        <v>0.33289074219347947</v>
      </c>
      <c r="S297" s="814">
        <f t="shared" si="107"/>
        <v>1</v>
      </c>
      <c r="T297" s="175">
        <f t="shared" si="108"/>
        <v>7</v>
      </c>
      <c r="U297" s="250">
        <f t="shared" si="109"/>
        <v>1.3328907421934795</v>
      </c>
      <c r="V297" s="382">
        <f t="shared" si="110"/>
        <v>38.198724118800705</v>
      </c>
      <c r="W297" s="401">
        <f t="shared" si="111"/>
        <v>30.320385665838877</v>
      </c>
      <c r="X297" s="157">
        <f t="shared" si="112"/>
        <v>45209</v>
      </c>
      <c r="Y297" s="384">
        <f t="shared" si="113"/>
        <v>29.779467626888689</v>
      </c>
      <c r="Z297" s="384">
        <f t="shared" si="114"/>
        <v>31.046153563121024</v>
      </c>
      <c r="AA297" s="385">
        <f t="shared" si="115"/>
        <v>33.928060000127388</v>
      </c>
      <c r="AB297" s="196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8.4941680632359837E-2</v>
      </c>
      <c r="AD297" s="230">
        <f>(INDEX(Models!$BJ297:$BT297,,AH297)*(1-AF297)+INDEX(Models!$BJ297:$BT297,,AH297+1)*AF297-ERP_i)*AE297*Ramure*Pc/MaxiM</f>
        <v>5.6970848923336859E-4</v>
      </c>
      <c r="AE297" s="304">
        <f t="shared" si="117"/>
        <v>0.5</v>
      </c>
      <c r="AF297" s="176">
        <f t="shared" si="118"/>
        <v>0.33289074219347947</v>
      </c>
      <c r="AG297" s="814">
        <f t="shared" si="124"/>
        <v>1</v>
      </c>
      <c r="AH297" s="175">
        <f t="shared" si="119"/>
        <v>7</v>
      </c>
      <c r="AI297" s="224">
        <f t="shared" si="120"/>
        <v>1.3328907421934795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10">
        <f>'2022'!Wh/'2022'!Env_an*'2023'!Env_an</f>
        <v>23.928640758113989</v>
      </c>
      <c r="C298" s="843"/>
      <c r="D298" s="392">
        <f t="shared" si="102"/>
        <v>24.947004294624289</v>
      </c>
      <c r="E298" s="384">
        <f t="shared" si="125"/>
        <v>26.77645498911447</v>
      </c>
      <c r="F298" s="384">
        <f t="shared" si="103"/>
        <v>26.783686869859242</v>
      </c>
      <c r="G298" s="110">
        <f t="shared" si="126"/>
        <v>0.63069699606639162</v>
      </c>
      <c r="H298" s="413" t="b">
        <f>Wh_hp&gt;='2022'!Maxi_hp</f>
        <v>0</v>
      </c>
      <c r="I298" s="389">
        <f>IF(H298,Wh_hp,'2022'!Maxi_hp)</f>
        <v>43.136286710165194</v>
      </c>
      <c r="J298" s="85">
        <f>IF(H298,An,'2022'!An_max)</f>
        <v>2019</v>
      </c>
      <c r="K298" s="196">
        <f t="shared" si="104"/>
        <v>45210</v>
      </c>
      <c r="L298" s="147">
        <f>IF(t&lt;Tvie,1-EXP((T0-t)*PertePVj)+'2022'!Pspv,1-EXP((T0-t)*PertePVj)+Pspv)</f>
        <v>4.082107512723452E-2</v>
      </c>
      <c r="M298" s="847"/>
      <c r="N298" s="847"/>
      <c r="O298" s="48">
        <f>IF(t&lt;Tnet,'2022'!Resal+('2022'!Salim-'2022'!Resal)*(1-EXP(('2022'!Tnet-t)/('2022'!Tau_j))),Resal+(Salim-Resal)*(1-EXP((Tnet-t)/(Tau_j))))*Salcycl</f>
        <v>6.8323110554922781E-2</v>
      </c>
      <c r="P298" s="168">
        <f>(INDEX(Models!$BJ298:$BT298,,T298)*(1-R298)+INDEX(Models!$BJ298:$BT298,,T298+1)*R298-ERP_i)*Q298*Ramure*Pc/MaxiM</f>
        <v>5.7121438582117211E-4</v>
      </c>
      <c r="Q298" s="304">
        <f t="shared" si="105"/>
        <v>0.5</v>
      </c>
      <c r="R298" s="176">
        <f t="shared" si="106"/>
        <v>0.33297012277749927</v>
      </c>
      <c r="S298" s="814">
        <f t="shared" si="107"/>
        <v>1</v>
      </c>
      <c r="T298" s="175">
        <f t="shared" si="108"/>
        <v>7</v>
      </c>
      <c r="U298" s="250">
        <f t="shared" si="109"/>
        <v>1.3329701227774993</v>
      </c>
      <c r="V298" s="382">
        <f t="shared" si="110"/>
        <v>37.928564056528494</v>
      </c>
      <c r="W298" s="401">
        <f t="shared" si="111"/>
        <v>23.928640758113989</v>
      </c>
      <c r="X298" s="157">
        <f t="shared" si="112"/>
        <v>45210</v>
      </c>
      <c r="Y298" s="384">
        <f t="shared" si="113"/>
        <v>23.502416358392477</v>
      </c>
      <c r="Z298" s="384">
        <f t="shared" si="114"/>
        <v>24.502640486507833</v>
      </c>
      <c r="AA298" s="385">
        <f t="shared" si="115"/>
        <v>26.77645498911447</v>
      </c>
      <c r="AB298" s="196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8.4918429401166798E-2</v>
      </c>
      <c r="AD298" s="230">
        <f>(INDEX(Models!$BJ298:$BT298,,AH298)*(1-AF298)+INDEX(Models!$BJ298:$BT298,,AH298+1)*AF298-ERP_i)*AE298*Ramure*Pc/MaxiM</f>
        <v>5.7121438582117211E-4</v>
      </c>
      <c r="AE298" s="304">
        <f t="shared" si="117"/>
        <v>0.5</v>
      </c>
      <c r="AF298" s="176">
        <f t="shared" si="118"/>
        <v>0.33297012277749927</v>
      </c>
      <c r="AG298" s="814">
        <f t="shared" si="124"/>
        <v>1</v>
      </c>
      <c r="AH298" s="175">
        <f t="shared" si="119"/>
        <v>7</v>
      </c>
      <c r="AI298" s="224">
        <f t="shared" si="120"/>
        <v>1.3329701227774993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10">
        <f>'2022'!Wh/'2022'!Env_an*'2023'!Env_an</f>
        <v>26.890885297314902</v>
      </c>
      <c r="C299" s="843"/>
      <c r="D299" s="392">
        <f t="shared" si="102"/>
        <v>28.035930372737706</v>
      </c>
      <c r="E299" s="384">
        <f t="shared" si="125"/>
        <v>30.091955644483114</v>
      </c>
      <c r="F299" s="384">
        <f t="shared" si="103"/>
        <v>30.10214667444399</v>
      </c>
      <c r="G299" s="110">
        <f t="shared" si="126"/>
        <v>0.7139606572167484</v>
      </c>
      <c r="H299" s="413" t="b">
        <f>Wh_hp&gt;='2022'!Maxi_hp</f>
        <v>0</v>
      </c>
      <c r="I299" s="389">
        <f>IF(H299,Wh_hp,'2022'!Maxi_hp)</f>
        <v>41.118712487030926</v>
      </c>
      <c r="J299" s="85">
        <f>IF(H299,An,'2022'!An_max)</f>
        <v>2021</v>
      </c>
      <c r="K299" s="196">
        <f t="shared" si="104"/>
        <v>45211</v>
      </c>
      <c r="L299" s="147">
        <f>IF(t&lt;Tvie,1-EXP((T0-t)*PertePVj)+'2022'!Pspv,1-EXP((T0-t)*PertePVj)+Pspv)</f>
        <v>4.0842057324277349E-2</v>
      </c>
      <c r="M299" s="847"/>
      <c r="N299" s="847"/>
      <c r="O299" s="48">
        <f>IF(t&lt;Tnet,'2022'!Resal+('2022'!Salim-'2022'!Resal)*(1-EXP(('2022'!Tnet-t)/('2022'!Tau_j))),Resal+(Salim-Resal)*(1-EXP((Tnet-t)/(Tau_j))))*Salcycl</f>
        <v>6.8324747518440046E-2</v>
      </c>
      <c r="P299" s="168">
        <f>(INDEX(Models!$BJ299:$BT299,,T299)*(1-R299)+INDEX(Models!$BJ299:$BT299,,T299+1)*R299-ERP_i)*Q299*Ramure*Pc/MaxiM</f>
        <v>5.722482454225804E-4</v>
      </c>
      <c r="Q299" s="304">
        <f t="shared" si="105"/>
        <v>0.5</v>
      </c>
      <c r="R299" s="176">
        <f t="shared" si="106"/>
        <v>0.33304634697844016</v>
      </c>
      <c r="S299" s="814">
        <f t="shared" si="107"/>
        <v>1</v>
      </c>
      <c r="T299" s="175">
        <f t="shared" si="108"/>
        <v>7</v>
      </c>
      <c r="U299" s="250">
        <f t="shared" si="109"/>
        <v>1.3330463469784402</v>
      </c>
      <c r="V299" s="382">
        <f t="shared" si="110"/>
        <v>37.655574573037065</v>
      </c>
      <c r="W299" s="401">
        <f t="shared" si="111"/>
        <v>26.890885297314902</v>
      </c>
      <c r="X299" s="157">
        <f t="shared" si="112"/>
        <v>45211</v>
      </c>
      <c r="Y299" s="384">
        <f t="shared" si="113"/>
        <v>26.412649289281816</v>
      </c>
      <c r="Z299" s="384">
        <f t="shared" si="114"/>
        <v>27.537330520977136</v>
      </c>
      <c r="AA299" s="385">
        <f t="shared" si="115"/>
        <v>30.091955644483114</v>
      </c>
      <c r="AB299" s="196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8.4893954839200661E-2</v>
      </c>
      <c r="AD299" s="230">
        <f>(INDEX(Models!$BJ299:$BT299,,AH299)*(1-AF299)+INDEX(Models!$BJ299:$BT299,,AH299+1)*AF299-ERP_i)*AE299*Ramure*Pc/MaxiM</f>
        <v>5.722482454225804E-4</v>
      </c>
      <c r="AE299" s="304">
        <f t="shared" si="117"/>
        <v>0.5</v>
      </c>
      <c r="AF299" s="176">
        <f t="shared" si="118"/>
        <v>0.33304634697844016</v>
      </c>
      <c r="AG299" s="814">
        <f t="shared" si="124"/>
        <v>1</v>
      </c>
      <c r="AH299" s="175">
        <f t="shared" si="119"/>
        <v>7</v>
      </c>
      <c r="AI299" s="224">
        <f t="shared" si="120"/>
        <v>1.3330463469784402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10">
        <f>'2022'!Wh/'2022'!Env_an*'2023'!Env_an</f>
        <v>21.770679378307118</v>
      </c>
      <c r="C300" s="843"/>
      <c r="D300" s="392">
        <f t="shared" si="102"/>
        <v>22.698196675697574</v>
      </c>
      <c r="E300" s="384">
        <f t="shared" si="125"/>
        <v>24.36279346087538</v>
      </c>
      <c r="F300" s="384">
        <f t="shared" si="103"/>
        <v>24.368425187322494</v>
      </c>
      <c r="G300" s="110">
        <f t="shared" si="126"/>
        <v>0.58222447032405333</v>
      </c>
      <c r="H300" s="413" t="b">
        <f>Wh_hp&gt;='2022'!Maxi_hp</f>
        <v>0</v>
      </c>
      <c r="I300" s="389">
        <f>IF(H300,Wh_hp,'2022'!Maxi_hp)</f>
        <v>39.212191078905711</v>
      </c>
      <c r="J300" s="85">
        <f>IF(H300,An,'2022'!An_max)</f>
        <v>2021</v>
      </c>
      <c r="K300" s="196">
        <f t="shared" si="104"/>
        <v>45212</v>
      </c>
      <c r="L300" s="147">
        <f>IF(t&lt;Tvie,1-EXP((T0-t)*PertePVj)+'2022'!Pspv,1-EXP((T0-t)*PertePVj)+Pspv)</f>
        <v>4.0863039061756236E-2</v>
      </c>
      <c r="M300" s="847"/>
      <c r="N300" s="847"/>
      <c r="O300" s="48">
        <f>IF(t&lt;Tnet,'2022'!Resal+('2022'!Salim-'2022'!Resal)*(1-EXP(('2022'!Tnet-t)/('2022'!Tau_j))),Resal+(Salim-Resal)*(1-EXP((Tnet-t)/(Tau_j))))*Salcycl</f>
        <v>6.8325366212664093E-2</v>
      </c>
      <c r="P300" s="168">
        <f>(INDEX(Models!$BJ300:$BT300,,T300)*(1-R300)+INDEX(Models!$BJ300:$BT300,,T300+1)*R300-ERP_i)*Q300*Ramure*Pc/MaxiM</f>
        <v>5.7281086504448839E-4</v>
      </c>
      <c r="Q300" s="304">
        <f t="shared" si="105"/>
        <v>0.5</v>
      </c>
      <c r="R300" s="176">
        <f t="shared" si="106"/>
        <v>0.33311953877619671</v>
      </c>
      <c r="S300" s="814">
        <f t="shared" si="107"/>
        <v>1</v>
      </c>
      <c r="T300" s="175">
        <f t="shared" si="108"/>
        <v>7</v>
      </c>
      <c r="U300" s="250">
        <f t="shared" si="109"/>
        <v>1.3331195387761967</v>
      </c>
      <c r="V300" s="382">
        <f t="shared" si="110"/>
        <v>37.37946385646655</v>
      </c>
      <c r="W300" s="401">
        <f t="shared" si="111"/>
        <v>21.770679378307118</v>
      </c>
      <c r="X300" s="157">
        <f t="shared" si="112"/>
        <v>45212</v>
      </c>
      <c r="Y300" s="384">
        <f t="shared" si="113"/>
        <v>21.384117093972275</v>
      </c>
      <c r="Z300" s="384">
        <f t="shared" si="114"/>
        <v>22.295165304706824</v>
      </c>
      <c r="AA300" s="385">
        <f t="shared" si="115"/>
        <v>24.36279346087538</v>
      </c>
      <c r="AB300" s="196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8.4868270934899057E-2</v>
      </c>
      <c r="AD300" s="230">
        <f>(INDEX(Models!$BJ300:$BT300,,AH300)*(1-AF300)+INDEX(Models!$BJ300:$BT300,,AH300+1)*AF300-ERP_i)*AE300*Ramure*Pc/MaxiM</f>
        <v>5.7281086504448839E-4</v>
      </c>
      <c r="AE300" s="304">
        <f t="shared" si="117"/>
        <v>0.5</v>
      </c>
      <c r="AF300" s="176">
        <f t="shared" si="118"/>
        <v>0.33311953877619671</v>
      </c>
      <c r="AG300" s="814">
        <f t="shared" si="124"/>
        <v>1</v>
      </c>
      <c r="AH300" s="175">
        <f t="shared" si="119"/>
        <v>7</v>
      </c>
      <c r="AI300" s="224">
        <f t="shared" si="120"/>
        <v>1.3331195387761967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10">
        <f>'2022'!Wh/'2022'!Env_an*'2023'!Env_an</f>
        <v>17.112993125474659</v>
      </c>
      <c r="C301" s="843"/>
      <c r="D301" s="392">
        <f t="shared" si="102"/>
        <v>17.842464820089234</v>
      </c>
      <c r="E301" s="384">
        <f t="shared" si="125"/>
        <v>19.150953332073339</v>
      </c>
      <c r="F301" s="384">
        <f t="shared" si="103"/>
        <v>19.153481336155057</v>
      </c>
      <c r="G301" s="110">
        <f t="shared" si="126"/>
        <v>0.46106400020831462</v>
      </c>
      <c r="H301" s="413" t="b">
        <f>Wh_hp&gt;='2022'!Maxi_hp</f>
        <v>0</v>
      </c>
      <c r="I301" s="389">
        <f>IF(H301,Wh_hp,'2022'!Maxi_hp)</f>
        <v>43.45780557148769</v>
      </c>
      <c r="J301" s="85">
        <f>IF(H301,An,'2022'!An_max)</f>
        <v>2021</v>
      </c>
      <c r="K301" s="196">
        <f t="shared" si="104"/>
        <v>45213</v>
      </c>
      <c r="L301" s="147">
        <f>IF(t&lt;Tvie,1-EXP((T0-t)*PertePVj)+'2022'!Pspv,1-EXP((T0-t)*PertePVj)+Pspv)</f>
        <v>4.0884020339681172E-2</v>
      </c>
      <c r="M301" s="847"/>
      <c r="N301" s="847"/>
      <c r="O301" s="48">
        <f>IF(t&lt;Tnet,'2022'!Resal+('2022'!Salim-'2022'!Resal)*(1-EXP(('2022'!Tnet-t)/('2022'!Tau_j))),Resal+(Salim-Resal)*(1-EXP((Tnet-t)/(Tau_j))))*Salcycl</f>
        <v>6.8324980448503117E-2</v>
      </c>
      <c r="P301" s="168">
        <f>(INDEX(Models!$BJ301:$BT301,,T301)*(1-R301)+INDEX(Models!$BJ301:$BT301,,T301+1)*R301-ERP_i)*Q301*Ramure*Pc/MaxiM</f>
        <v>5.7290351031813187E-4</v>
      </c>
      <c r="Q301" s="304">
        <f t="shared" si="105"/>
        <v>0.5</v>
      </c>
      <c r="R301" s="176">
        <f t="shared" si="106"/>
        <v>0.33318981740066511</v>
      </c>
      <c r="S301" s="814">
        <f t="shared" si="107"/>
        <v>1</v>
      </c>
      <c r="T301" s="175">
        <f t="shared" si="108"/>
        <v>7</v>
      </c>
      <c r="U301" s="250">
        <f t="shared" si="109"/>
        <v>1.3331898174006651</v>
      </c>
      <c r="V301" s="382">
        <f t="shared" si="110"/>
        <v>37.099939953543135</v>
      </c>
      <c r="W301" s="401">
        <f t="shared" si="111"/>
        <v>17.112993125474659</v>
      </c>
      <c r="X301" s="157">
        <f t="shared" si="112"/>
        <v>45213</v>
      </c>
      <c r="Y301" s="384">
        <f t="shared" si="113"/>
        <v>16.80961984898757</v>
      </c>
      <c r="Z301" s="384">
        <f t="shared" si="114"/>
        <v>17.526159719433384</v>
      </c>
      <c r="AA301" s="385">
        <f t="shared" si="115"/>
        <v>19.150953332073339</v>
      </c>
      <c r="AB301" s="196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8.4841395854628715E-2</v>
      </c>
      <c r="AD301" s="230">
        <f>(INDEX(Models!$BJ301:$BT301,,AH301)*(1-AF301)+INDEX(Models!$BJ301:$BT301,,AH301+1)*AF301-ERP_i)*AE301*Ramure*Pc/MaxiM</f>
        <v>5.7290351031813187E-4</v>
      </c>
      <c r="AE301" s="304">
        <f t="shared" si="117"/>
        <v>0.5</v>
      </c>
      <c r="AF301" s="176">
        <f t="shared" si="118"/>
        <v>0.33318981740066511</v>
      </c>
      <c r="AG301" s="814">
        <f t="shared" si="124"/>
        <v>1</v>
      </c>
      <c r="AH301" s="175">
        <f t="shared" si="119"/>
        <v>7</v>
      </c>
      <c r="AI301" s="224">
        <f t="shared" si="120"/>
        <v>1.3331898174006651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10">
        <f>'2022'!Wh/'2022'!Env_an*'2023'!Env_an</f>
        <v>36.526768676829299</v>
      </c>
      <c r="C302" s="843"/>
      <c r="D302" s="392">
        <f t="shared" si="102"/>
        <v>38.084620106385351</v>
      </c>
      <c r="E302" s="384">
        <f t="shared" si="125"/>
        <v>40.877519719250124</v>
      </c>
      <c r="F302" s="384">
        <f t="shared" si="103"/>
        <v>40.900673047313916</v>
      </c>
      <c r="G302" s="110">
        <f t="shared" si="126"/>
        <v>0.99211832085706742</v>
      </c>
      <c r="H302" s="413" t="b">
        <f>Wh_hp&gt;='2022'!Maxi_hp</f>
        <v>0</v>
      </c>
      <c r="I302" s="389">
        <f>IF(H302,Wh_hp,'2022'!Maxi_hp)</f>
        <v>40.90072354329984</v>
      </c>
      <c r="J302" s="85">
        <f>IF(H302,An,'2022'!An_max)</f>
        <v>2022</v>
      </c>
      <c r="K302" s="196">
        <f t="shared" si="104"/>
        <v>45214</v>
      </c>
      <c r="L302" s="147">
        <f>IF(t&lt;Tvie,1-EXP((T0-t)*PertePVj)+'2022'!Pspv,1-EXP((T0-t)*PertePVj)+Pspv)</f>
        <v>4.0905001158062261E-2</v>
      </c>
      <c r="M302" s="847"/>
      <c r="N302" s="847"/>
      <c r="O302" s="48">
        <f>IF(t&lt;Tnet,'2022'!Resal+('2022'!Salim-'2022'!Resal)*(1-EXP(('2022'!Tnet-t)/('2022'!Tau_j))),Resal+(Salim-Resal)*(1-EXP((Tnet-t)/(Tau_j))))*Salcycl</f>
        <v>6.8323607499834071E-2</v>
      </c>
      <c r="P302" s="168">
        <f>(INDEX(Models!$BJ302:$BT302,,T302)*(1-R302)+INDEX(Models!$BJ302:$BT302,,T302+1)*R302-ERP_i)*Q302*Ramure*Pc/MaxiM</f>
        <v>5.7252789720660152E-4</v>
      </c>
      <c r="Q302" s="304">
        <f t="shared" si="105"/>
        <v>0.5</v>
      </c>
      <c r="R302" s="176">
        <f t="shared" si="106"/>
        <v>0.3332572975042849</v>
      </c>
      <c r="S302" s="814">
        <f t="shared" si="107"/>
        <v>1</v>
      </c>
      <c r="T302" s="175">
        <f t="shared" si="108"/>
        <v>7</v>
      </c>
      <c r="U302" s="250">
        <f t="shared" si="109"/>
        <v>1.3332572975042849</v>
      </c>
      <c r="V302" s="382">
        <f t="shared" si="110"/>
        <v>36.816710769753101</v>
      </c>
      <c r="W302" s="401">
        <f t="shared" si="111"/>
        <v>36.526768676829299</v>
      </c>
      <c r="X302" s="157">
        <f t="shared" si="112"/>
        <v>45214</v>
      </c>
      <c r="Y302" s="384">
        <f t="shared" si="113"/>
        <v>35.880281238565473</v>
      </c>
      <c r="Z302" s="384">
        <f t="shared" si="114"/>
        <v>37.410560248869224</v>
      </c>
      <c r="AA302" s="385">
        <f t="shared" si="115"/>
        <v>40.877519719250124</v>
      </c>
      <c r="AB302" s="196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8.4813352037800604E-2</v>
      </c>
      <c r="AD302" s="230">
        <f>(INDEX(Models!$BJ302:$BT302,,AH302)*(1-AF302)+INDEX(Models!$BJ302:$BT302,,AH302+1)*AF302-ERP_i)*AE302*Ramure*Pc/MaxiM</f>
        <v>5.7252789720660152E-4</v>
      </c>
      <c r="AE302" s="304">
        <f t="shared" si="117"/>
        <v>0.5</v>
      </c>
      <c r="AF302" s="176">
        <f t="shared" si="118"/>
        <v>0.3332572975042849</v>
      </c>
      <c r="AG302" s="814">
        <f t="shared" si="124"/>
        <v>1</v>
      </c>
      <c r="AH302" s="175">
        <f t="shared" si="119"/>
        <v>7</v>
      </c>
      <c r="AI302" s="224">
        <f t="shared" si="120"/>
        <v>1.3332572975042849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10">
        <f>'2022'!Wh/'2022'!Env_an*'2023'!Env_an</f>
        <v>32.865680899670046</v>
      </c>
      <c r="C303" s="843"/>
      <c r="D303" s="392">
        <f t="shared" si="102"/>
        <v>34.268138085579373</v>
      </c>
      <c r="E303" s="384">
        <f t="shared" si="125"/>
        <v>36.781067244213467</v>
      </c>
      <c r="F303" s="384">
        <f t="shared" si="103"/>
        <v>36.799092434509049</v>
      </c>
      <c r="G303" s="110">
        <f t="shared" si="126"/>
        <v>0.89966808619006267</v>
      </c>
      <c r="H303" s="413" t="b">
        <f>Wh_hp&gt;='2022'!Maxi_hp</f>
        <v>0</v>
      </c>
      <c r="I303" s="389">
        <f>IF(H303,Wh_hp,'2022'!Maxi_hp)</f>
        <v>39.25450354106809</v>
      </c>
      <c r="J303" s="85">
        <f>IF(H303,An,'2022'!An_max)</f>
        <v>2021</v>
      </c>
      <c r="K303" s="196">
        <f t="shared" si="104"/>
        <v>45215</v>
      </c>
      <c r="L303" s="147">
        <f>IF(t&lt;Tvie,1-EXP((T0-t)*PertePVj)+'2022'!Pspv,1-EXP((T0-t)*PertePVj)+Pspv)</f>
        <v>4.0925981516909606E-2</v>
      </c>
      <c r="M303" s="847"/>
      <c r="N303" s="847"/>
      <c r="O303" s="48">
        <f>IF(t&lt;Tnet,'2022'!Resal+('2022'!Salim-'2022'!Resal)*(1-EXP(('2022'!Tnet-t)/('2022'!Tau_j))),Resal+(Salim-Resal)*(1-EXP((Tnet-t)/(Tau_j))))*Salcycl</f>
        <v>6.8321268166285656E-2</v>
      </c>
      <c r="P303" s="168">
        <f>(INDEX(Models!$BJ303:$BT303,,T303)*(1-R303)+INDEX(Models!$BJ303:$BT303,,T303+1)*R303-ERP_i)*Q303*Ramure*Pc/MaxiM</f>
        <v>5.7171090229064564E-4</v>
      </c>
      <c r="Q303" s="304">
        <f t="shared" si="105"/>
        <v>0.5</v>
      </c>
      <c r="R303" s="176">
        <f t="shared" si="106"/>
        <v>0.33332208932906449</v>
      </c>
      <c r="S303" s="814">
        <f t="shared" si="107"/>
        <v>1</v>
      </c>
      <c r="T303" s="175">
        <f t="shared" si="108"/>
        <v>7</v>
      </c>
      <c r="U303" s="250">
        <f t="shared" si="109"/>
        <v>1.3333220893290645</v>
      </c>
      <c r="V303" s="382">
        <f t="shared" si="110"/>
        <v>36.527902807906294</v>
      </c>
      <c r="W303" s="401">
        <f t="shared" si="111"/>
        <v>32.865680899670046</v>
      </c>
      <c r="X303" s="157">
        <f t="shared" si="112"/>
        <v>45215</v>
      </c>
      <c r="Y303" s="384">
        <f t="shared" si="113"/>
        <v>32.284939559102767</v>
      </c>
      <c r="Z303" s="384">
        <f t="shared" si="114"/>
        <v>33.662615123456177</v>
      </c>
      <c r="AA303" s="385">
        <f t="shared" si="115"/>
        <v>36.781067244213467</v>
      </c>
      <c r="AB303" s="196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8.4784166268255801E-2</v>
      </c>
      <c r="AD303" s="230">
        <f>(INDEX(Models!$BJ303:$BT303,,AH303)*(1-AF303)+INDEX(Models!$BJ303:$BT303,,AH303+1)*AF303-ERP_i)*AE303*Ramure*Pc/MaxiM</f>
        <v>5.7171090229064564E-4</v>
      </c>
      <c r="AE303" s="304">
        <f t="shared" si="117"/>
        <v>0.5</v>
      </c>
      <c r="AF303" s="176">
        <f t="shared" si="118"/>
        <v>0.33332208932906449</v>
      </c>
      <c r="AG303" s="814">
        <f t="shared" si="124"/>
        <v>1</v>
      </c>
      <c r="AH303" s="175">
        <f t="shared" si="119"/>
        <v>7</v>
      </c>
      <c r="AI303" s="224">
        <f t="shared" si="120"/>
        <v>1.3333220893290645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10">
        <f>'2022'!Wh/'2022'!Env_an*'2023'!Env_an</f>
        <v>19.690330446473226</v>
      </c>
      <c r="C304" s="843"/>
      <c r="D304" s="392">
        <f t="shared" si="102"/>
        <v>20.531013045482794</v>
      </c>
      <c r="E304" s="384">
        <f t="shared" si="125"/>
        <v>22.036502535148273</v>
      </c>
      <c r="F304" s="384">
        <f t="shared" si="103"/>
        <v>22.040875982457873</v>
      </c>
      <c r="G304" s="110">
        <f t="shared" si="126"/>
        <v>0.54324096655016829</v>
      </c>
      <c r="H304" s="413" t="b">
        <f>Wh_hp&gt;='2022'!Maxi_hp</f>
        <v>0</v>
      </c>
      <c r="I304" s="389">
        <f>IF(H304,Wh_hp,'2022'!Maxi_hp)</f>
        <v>36.49082251593331</v>
      </c>
      <c r="J304" s="85">
        <f>IF(H304,An,'2022'!An_max)</f>
        <v>2021</v>
      </c>
      <c r="K304" s="196">
        <f t="shared" si="104"/>
        <v>45216</v>
      </c>
      <c r="L304" s="147">
        <f>IF(t&lt;Tvie,1-EXP((T0-t)*PertePVj)+'2022'!Pspv,1-EXP((T0-t)*PertePVj)+Pspv)</f>
        <v>4.0946961416233309E-2</v>
      </c>
      <c r="M304" s="847"/>
      <c r="N304" s="847"/>
      <c r="O304" s="48">
        <f>IF(t&lt;Tnet,'2022'!Resal+('2022'!Salim-'2022'!Resal)*(1-EXP(('2022'!Tnet-t)/('2022'!Tau_j))),Resal+(Salim-Resal)*(1-EXP((Tnet-t)/(Tau_j))))*Salcycl</f>
        <v>6.8317986815930501E-2</v>
      </c>
      <c r="P304" s="168">
        <f>(INDEX(Models!$BJ304:$BT304,,T304)*(1-R304)+INDEX(Models!$BJ304:$BT304,,T304+1)*R304-ERP_i)*Q304*Ramure*Pc/MaxiM</f>
        <v>5.7055218588723713E-4</v>
      </c>
      <c r="Q304" s="304">
        <f t="shared" si="105"/>
        <v>0.5</v>
      </c>
      <c r="R304" s="176">
        <f t="shared" si="106"/>
        <v>0.33338429886821142</v>
      </c>
      <c r="S304" s="814">
        <f t="shared" si="107"/>
        <v>1</v>
      </c>
      <c r="T304" s="175">
        <f t="shared" si="108"/>
        <v>7</v>
      </c>
      <c r="U304" s="250">
        <f t="shared" si="109"/>
        <v>1.3333842988682114</v>
      </c>
      <c r="V304" s="382">
        <f t="shared" si="110"/>
        <v>36.232542987206998</v>
      </c>
      <c r="W304" s="401">
        <f t="shared" si="111"/>
        <v>19.690330446473226</v>
      </c>
      <c r="X304" s="157">
        <f t="shared" si="112"/>
        <v>45216</v>
      </c>
      <c r="Y304" s="384">
        <f t="shared" si="113"/>
        <v>19.342971625552181</v>
      </c>
      <c r="Z304" s="384">
        <f t="shared" si="114"/>
        <v>20.168823670186104</v>
      </c>
      <c r="AA304" s="385">
        <f t="shared" si="115"/>
        <v>22.036502535148273</v>
      </c>
      <c r="AB304" s="196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8.4753869720624611E-2</v>
      </c>
      <c r="AD304" s="230">
        <f>(INDEX(Models!$BJ304:$BT304,,AH304)*(1-AF304)+INDEX(Models!$BJ304:$BT304,,AH304+1)*AF304-ERP_i)*AE304*Ramure*Pc/MaxiM</f>
        <v>5.7055218588723713E-4</v>
      </c>
      <c r="AE304" s="304">
        <f t="shared" si="117"/>
        <v>0.5</v>
      </c>
      <c r="AF304" s="176">
        <f t="shared" si="118"/>
        <v>0.33338429886821142</v>
      </c>
      <c r="AG304" s="814">
        <f t="shared" si="124"/>
        <v>1</v>
      </c>
      <c r="AH304" s="175">
        <f t="shared" si="119"/>
        <v>7</v>
      </c>
      <c r="AI304" s="224">
        <f t="shared" si="120"/>
        <v>1.3333842988682114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10">
        <f>'2022'!Wh/'2022'!Env_an*'2023'!Env_an</f>
        <v>33.35192513178788</v>
      </c>
      <c r="C305" s="843"/>
      <c r="D305" s="392">
        <f t="shared" si="102"/>
        <v>34.776652994852121</v>
      </c>
      <c r="E305" s="384">
        <f t="shared" si="125"/>
        <v>37.326572695938601</v>
      </c>
      <c r="F305" s="384">
        <f t="shared" si="103"/>
        <v>37.345643290284237</v>
      </c>
      <c r="G305" s="110">
        <f t="shared" si="126"/>
        <v>0.92814930124186779</v>
      </c>
      <c r="H305" s="413" t="b">
        <f>Wh_hp&gt;='2022'!Maxi_hp</f>
        <v>0</v>
      </c>
      <c r="I305" s="389">
        <f>IF(H305,Wh_hp,'2022'!Maxi_hp)</f>
        <v>40.595682285029085</v>
      </c>
      <c r="J305" s="85">
        <f>IF(H305,An,'2022'!An_max)</f>
        <v>2020</v>
      </c>
      <c r="K305" s="196">
        <f t="shared" si="104"/>
        <v>45217</v>
      </c>
      <c r="L305" s="147">
        <f>IF(t&lt;Tvie,1-EXP((T0-t)*PertePVj)+'2022'!Pspv,1-EXP((T0-t)*PertePVj)+Pspv)</f>
        <v>4.0967940856043251E-2</v>
      </c>
      <c r="M305" s="847"/>
      <c r="N305" s="847"/>
      <c r="O305" s="48">
        <f>IF(t&lt;Tnet,'2022'!Resal+('2022'!Salim-'2022'!Resal)*(1-EXP(('2022'!Tnet-t)/('2022'!Tau_j))),Resal+(Salim-Resal)*(1-EXP((Tnet-t)/(Tau_j))))*Salcycl</f>
        <v>6.8313791406943963E-2</v>
      </c>
      <c r="P305" s="168">
        <f>(INDEX(Models!$BJ305:$BT305,,T305)*(1-R305)+INDEX(Models!$BJ305:$BT305,,T305+1)*R305-ERP_i)*Q305*Ramure*Pc/MaxiM</f>
        <v>5.6901271566741794E-4</v>
      </c>
      <c r="Q305" s="304">
        <f t="shared" si="105"/>
        <v>0.5</v>
      </c>
      <c r="R305" s="176">
        <f t="shared" si="106"/>
        <v>0.33344402802247575</v>
      </c>
      <c r="S305" s="814">
        <f t="shared" si="107"/>
        <v>1</v>
      </c>
      <c r="T305" s="175">
        <f t="shared" si="108"/>
        <v>7</v>
      </c>
      <c r="U305" s="250">
        <f t="shared" si="109"/>
        <v>1.3334440280224757</v>
      </c>
      <c r="V305" s="382">
        <f t="shared" si="110"/>
        <v>35.931695063409592</v>
      </c>
      <c r="W305" s="401">
        <f t="shared" si="111"/>
        <v>33.35192513178788</v>
      </c>
      <c r="X305" s="157">
        <f t="shared" si="112"/>
        <v>45217</v>
      </c>
      <c r="Y305" s="384">
        <f t="shared" si="113"/>
        <v>32.764536429342002</v>
      </c>
      <c r="Z305" s="384">
        <f t="shared" si="114"/>
        <v>34.1641722160863</v>
      </c>
      <c r="AA305" s="385">
        <f t="shared" si="115"/>
        <v>37.326572695938601</v>
      </c>
      <c r="AB305" s="196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8.4722497980544292E-2</v>
      </c>
      <c r="AD305" s="230">
        <f>(INDEX(Models!$BJ305:$BT305,,AH305)*(1-AF305)+INDEX(Models!$BJ305:$BT305,,AH305+1)*AF305-ERP_i)*AE305*Ramure*Pc/MaxiM</f>
        <v>5.6901271566741794E-4</v>
      </c>
      <c r="AE305" s="304">
        <f t="shared" si="117"/>
        <v>0.5</v>
      </c>
      <c r="AF305" s="176">
        <f t="shared" si="118"/>
        <v>0.33344402802247575</v>
      </c>
      <c r="AG305" s="814">
        <f t="shared" si="124"/>
        <v>1</v>
      </c>
      <c r="AH305" s="175">
        <f t="shared" si="119"/>
        <v>7</v>
      </c>
      <c r="AI305" s="224">
        <f t="shared" si="120"/>
        <v>1.3334440280224757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10">
        <f>'2022'!Wh/'2022'!Env_an*'2023'!Env_an</f>
        <v>15.002186414484243</v>
      </c>
      <c r="C306" s="843"/>
      <c r="D306" s="392">
        <f t="shared" si="102"/>
        <v>15.643392161771683</v>
      </c>
      <c r="E306" s="384">
        <f t="shared" si="125"/>
        <v>16.790317123525945</v>
      </c>
      <c r="F306" s="384">
        <f t="shared" si="103"/>
        <v>16.791964444010709</v>
      </c>
      <c r="G306" s="110">
        <f t="shared" si="126"/>
        <v>0.4208996963167283</v>
      </c>
      <c r="H306" s="413" t="b">
        <f>Wh_hp&gt;='2022'!Maxi_hp</f>
        <v>0</v>
      </c>
      <c r="I306" s="389">
        <f>IF(H306,Wh_hp,'2022'!Maxi_hp)</f>
        <v>39.260964769799557</v>
      </c>
      <c r="J306" s="85">
        <f>IF(H306,An,'2022'!An_max)</f>
        <v>2020</v>
      </c>
      <c r="K306" s="196">
        <f t="shared" si="104"/>
        <v>45218</v>
      </c>
      <c r="L306" s="147">
        <f>IF(t&lt;Tvie,1-EXP((T0-t)*PertePVj)+'2022'!Pspv,1-EXP((T0-t)*PertePVj)+Pspv)</f>
        <v>4.0988919836349648E-2</v>
      </c>
      <c r="M306" s="847"/>
      <c r="N306" s="847"/>
      <c r="O306" s="48">
        <f>IF(t&lt;Tnet,'2022'!Resal+('2022'!Salim-'2022'!Resal)*(1-EXP(('2022'!Tnet-t)/('2022'!Tau_j))),Resal+(Salim-Resal)*(1-EXP((Tnet-t)/(Tau_j))))*Salcycl</f>
        <v>6.8308713487444286E-2</v>
      </c>
      <c r="P306" s="168">
        <f>(INDEX(Models!$BJ306:$BT306,,T306)*(1-R306)+INDEX(Models!$BJ306:$BT306,,T306+1)*R306-ERP_i)*Q306*Ramure*Pc/MaxiM</f>
        <v>5.6707504368892856E-4</v>
      </c>
      <c r="Q306" s="304">
        <f t="shared" si="105"/>
        <v>0.5</v>
      </c>
      <c r="R306" s="176">
        <f t="shared" si="106"/>
        <v>0.33350137475133379</v>
      </c>
      <c r="S306" s="814">
        <f t="shared" si="107"/>
        <v>1</v>
      </c>
      <c r="T306" s="175">
        <f t="shared" si="108"/>
        <v>7</v>
      </c>
      <c r="U306" s="250">
        <f t="shared" si="109"/>
        <v>1.3335013747513338</v>
      </c>
      <c r="V306" s="382">
        <f t="shared" si="110"/>
        <v>35.626421758220069</v>
      </c>
      <c r="W306" s="401">
        <f t="shared" si="111"/>
        <v>15.002186414484243</v>
      </c>
      <c r="X306" s="157">
        <f t="shared" si="112"/>
        <v>45218</v>
      </c>
      <c r="Y306" s="384">
        <f t="shared" si="113"/>
        <v>14.73841183239422</v>
      </c>
      <c r="Z306" s="384">
        <f t="shared" si="114"/>
        <v>15.368343637780688</v>
      </c>
      <c r="AA306" s="385">
        <f t="shared" si="115"/>
        <v>16.790317123525945</v>
      </c>
      <c r="AB306" s="196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8.4690091037818507E-2</v>
      </c>
      <c r="AD306" s="230">
        <f>(INDEX(Models!$BJ306:$BT306,,AH306)*(1-AF306)+INDEX(Models!$BJ306:$BT306,,AH306+1)*AF306-ERP_i)*AE306*Ramure*Pc/MaxiM</f>
        <v>5.6707504368892856E-4</v>
      </c>
      <c r="AE306" s="304">
        <f t="shared" si="117"/>
        <v>0.5</v>
      </c>
      <c r="AF306" s="176">
        <f t="shared" si="118"/>
        <v>0.33350137475133379</v>
      </c>
      <c r="AG306" s="814">
        <f t="shared" si="124"/>
        <v>1</v>
      </c>
      <c r="AH306" s="175">
        <f t="shared" si="119"/>
        <v>7</v>
      </c>
      <c r="AI306" s="224">
        <f t="shared" si="120"/>
        <v>1.3335013747513338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10">
        <f>'2022'!Wh/'2022'!Env_an*'2023'!Env_an</f>
        <v>8.7826548416620618</v>
      </c>
      <c r="C307" s="843"/>
      <c r="D307" s="392">
        <f t="shared" si="102"/>
        <v>9.1582330480956724</v>
      </c>
      <c r="E307" s="384">
        <f t="shared" si="125"/>
        <v>9.829623757417842</v>
      </c>
      <c r="F307" s="384">
        <f t="shared" si="103"/>
        <v>9.829623757417842</v>
      </c>
      <c r="G307" s="110">
        <f t="shared" si="126"/>
        <v>0.24853469555148849</v>
      </c>
      <c r="H307" s="413" t="b">
        <f>Wh_hp&gt;='2022'!Maxi_hp</f>
        <v>0</v>
      </c>
      <c r="I307" s="389">
        <f>IF(H307,Wh_hp,'2022'!Maxi_hp)</f>
        <v>33.080208038674293</v>
      </c>
      <c r="J307" s="85">
        <f>IF(H307,An,'2022'!An_max)</f>
        <v>2020</v>
      </c>
      <c r="K307" s="196">
        <f t="shared" si="104"/>
        <v>45219</v>
      </c>
      <c r="L307" s="147">
        <f>IF(t&lt;Tvie,1-EXP((T0-t)*PertePVj)+'2022'!Pspv,1-EXP((T0-t)*PertePVj)+Pspv)</f>
        <v>4.1009898357162601E-2</v>
      </c>
      <c r="M307" s="847"/>
      <c r="N307" s="847"/>
      <c r="O307" s="48">
        <f>IF(t&lt;Tnet,'2022'!Resal+('2022'!Salim-'2022'!Resal)*(1-EXP(('2022'!Tnet-t)/('2022'!Tau_j))),Resal+(Salim-Resal)*(1-EXP((Tnet-t)/(Tau_j))))*Salcycl</f>
        <v>6.8302788172895298E-2</v>
      </c>
      <c r="P307" s="168">
        <f>(INDEX(Models!$BJ307:$BT307,,T307)*(1-R307)+INDEX(Models!$BJ307:$BT307,,T307+1)*R307-ERP_i)*Q307*Ramure*Pc/MaxiM</f>
        <v>5.647215845910145E-4</v>
      </c>
      <c r="Q307" s="304">
        <f t="shared" si="105"/>
        <v>0.5</v>
      </c>
      <c r="R307" s="176">
        <f t="shared" si="106"/>
        <v>0.33355643321912987</v>
      </c>
      <c r="S307" s="814">
        <f t="shared" si="107"/>
        <v>1</v>
      </c>
      <c r="T307" s="175">
        <f t="shared" si="108"/>
        <v>7</v>
      </c>
      <c r="U307" s="250">
        <f t="shared" si="109"/>
        <v>1.3335564332191299</v>
      </c>
      <c r="V307" s="382">
        <f t="shared" si="110"/>
        <v>35.317785580904946</v>
      </c>
      <c r="W307" s="401">
        <f t="shared" si="111"/>
        <v>8.7826548416620618</v>
      </c>
      <c r="X307" s="157">
        <f t="shared" si="112"/>
        <v>45219</v>
      </c>
      <c r="Y307" s="384">
        <f t="shared" si="113"/>
        <v>8.6284945610492816</v>
      </c>
      <c r="Z307" s="384">
        <f t="shared" si="114"/>
        <v>8.9974803142054167</v>
      </c>
      <c r="AA307" s="385">
        <f t="shared" si="115"/>
        <v>9.829623757417842</v>
      </c>
      <c r="AB307" s="196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8.4656693251809953E-2</v>
      </c>
      <c r="AD307" s="230">
        <f>(INDEX(Models!$BJ307:$BT307,,AH307)*(1-AF307)+INDEX(Models!$BJ307:$BT307,,AH307+1)*AF307-ERP_i)*AE307*Ramure*Pc/MaxiM</f>
        <v>5.647215845910145E-4</v>
      </c>
      <c r="AE307" s="304">
        <f t="shared" si="117"/>
        <v>0.5</v>
      </c>
      <c r="AF307" s="176">
        <f t="shared" si="118"/>
        <v>0.33355643321912987</v>
      </c>
      <c r="AG307" s="814">
        <f t="shared" si="124"/>
        <v>1</v>
      </c>
      <c r="AH307" s="175">
        <f t="shared" si="119"/>
        <v>7</v>
      </c>
      <c r="AI307" s="224">
        <f t="shared" si="120"/>
        <v>1.3335564332191299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10">
        <f>'2022'!Wh/'2022'!Env_an*'2023'!Env_an</f>
        <v>14.904572629355666</v>
      </c>
      <c r="C308" s="843"/>
      <c r="D308" s="392">
        <f t="shared" si="102"/>
        <v>15.54228625598585</v>
      </c>
      <c r="E308" s="384">
        <f t="shared" si="125"/>
        <v>16.6815717851049</v>
      </c>
      <c r="F308" s="384">
        <f t="shared" si="103"/>
        <v>16.683256074572675</v>
      </c>
      <c r="G308" s="110">
        <f t="shared" si="126"/>
        <v>0.42556533213035169</v>
      </c>
      <c r="H308" s="413" t="b">
        <f>Wh_hp&gt;='2022'!Maxi_hp</f>
        <v>0</v>
      </c>
      <c r="I308" s="389">
        <f>IF(H308,Wh_hp,'2022'!Maxi_hp)</f>
        <v>24.658725492939233</v>
      </c>
      <c r="J308" s="85">
        <f>IF(H308,An,'2022'!An_max)</f>
        <v>2019</v>
      </c>
      <c r="K308" s="196">
        <f t="shared" si="104"/>
        <v>45220</v>
      </c>
      <c r="L308" s="147">
        <f>IF(t&lt;Tvie,1-EXP((T0-t)*PertePVj)+'2022'!Pspv,1-EXP((T0-t)*PertePVj)+Pspv)</f>
        <v>4.1030876418492103E-2</v>
      </c>
      <c r="M308" s="847"/>
      <c r="N308" s="847"/>
      <c r="O308" s="48">
        <f>IF(t&lt;Tnet,'2022'!Resal+('2022'!Salim-'2022'!Resal)*(1-EXP(('2022'!Tnet-t)/('2022'!Tau_j))),Resal+(Salim-Resal)*(1-EXP((Tnet-t)/(Tau_j))))*Salcycl</f>
        <v>6.8296054100629014E-2</v>
      </c>
      <c r="P308" s="168">
        <f>(INDEX(Models!$BJ308:$BT308,,T308)*(1-R308)+INDEX(Models!$BJ308:$BT308,,T308+1)*R308-ERP_i)*Q308*Ramure*Pc/MaxiM</f>
        <v>5.6193468410977148E-4</v>
      </c>
      <c r="Q308" s="304">
        <f t="shared" si="105"/>
        <v>0.5</v>
      </c>
      <c r="R308" s="176">
        <f t="shared" si="106"/>
        <v>0.33360929393630112</v>
      </c>
      <c r="S308" s="814">
        <f t="shared" si="107"/>
        <v>1</v>
      </c>
      <c r="T308" s="175">
        <f t="shared" si="108"/>
        <v>7</v>
      </c>
      <c r="U308" s="250">
        <f t="shared" si="109"/>
        <v>1.3336092939363011</v>
      </c>
      <c r="V308" s="382">
        <f t="shared" si="110"/>
        <v>35.006848851837724</v>
      </c>
      <c r="W308" s="401">
        <f t="shared" si="111"/>
        <v>14.904572629355666</v>
      </c>
      <c r="X308" s="157">
        <f t="shared" si="112"/>
        <v>45220</v>
      </c>
      <c r="Y308" s="384">
        <f t="shared" si="113"/>
        <v>14.643398988215321</v>
      </c>
      <c r="Z308" s="384">
        <f t="shared" si="114"/>
        <v>15.26993792409699</v>
      </c>
      <c r="AA308" s="385">
        <f t="shared" si="115"/>
        <v>16.6815717851049</v>
      </c>
      <c r="AB308" s="196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8.4622353288577368E-2</v>
      </c>
      <c r="AD308" s="230">
        <f>(INDEX(Models!$BJ308:$BT308,,AH308)*(1-AF308)+INDEX(Models!$BJ308:$BT308,,AH308+1)*AF308-ERP_i)*AE308*Ramure*Pc/MaxiM</f>
        <v>5.6193468410977148E-4</v>
      </c>
      <c r="AE308" s="304">
        <f t="shared" si="117"/>
        <v>0.5</v>
      </c>
      <c r="AF308" s="176">
        <f t="shared" si="118"/>
        <v>0.33360929393630112</v>
      </c>
      <c r="AG308" s="814">
        <f t="shared" si="124"/>
        <v>1</v>
      </c>
      <c r="AH308" s="175">
        <f t="shared" si="119"/>
        <v>7</v>
      </c>
      <c r="AI308" s="224">
        <f t="shared" si="120"/>
        <v>1.3336092939363011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10">
        <f>'2022'!Wh/'2022'!Env_an*'2023'!Env_an</f>
        <v>32.842474973459609</v>
      </c>
      <c r="C309" s="843"/>
      <c r="D309" s="392">
        <f t="shared" si="102"/>
        <v>34.24843680145819</v>
      </c>
      <c r="E309" s="384">
        <f t="shared" si="125"/>
        <v>36.758630501978175</v>
      </c>
      <c r="F309" s="384">
        <f t="shared" si="103"/>
        <v>36.777610969108437</v>
      </c>
      <c r="G309" s="110">
        <f t="shared" si="126"/>
        <v>0.94657396485256173</v>
      </c>
      <c r="H309" s="413" t="b">
        <f>Wh_hp&gt;='2022'!Maxi_hp</f>
        <v>0</v>
      </c>
      <c r="I309" s="389">
        <f>IF(H309,Wh_hp,'2022'!Maxi_hp)</f>
        <v>36.777912321684994</v>
      </c>
      <c r="J309" s="85">
        <f>IF(H309,An,'2022'!An_max)</f>
        <v>2022</v>
      </c>
      <c r="K309" s="196">
        <f t="shared" si="104"/>
        <v>45221</v>
      </c>
      <c r="L309" s="147">
        <f>IF(t&lt;Tvie,1-EXP((T0-t)*PertePVj)+'2022'!Pspv,1-EXP((T0-t)*PertePVj)+Pspv)</f>
        <v>4.1051854020348146E-2</v>
      </c>
      <c r="M309" s="847"/>
      <c r="N309" s="847"/>
      <c r="O309" s="48">
        <f>IF(t&lt;Tnet,'2022'!Resal+('2022'!Salim-'2022'!Resal)*(1-EXP(('2022'!Tnet-t)/('2022'!Tau_j))),Resal+(Salim-Resal)*(1-EXP((Tnet-t)/(Tau_j))))*Salcycl</f>
        <v>6.8288553361227661E-2</v>
      </c>
      <c r="P309" s="168">
        <f>(INDEX(Models!$BJ309:$BT309,,T309)*(1-R309)+INDEX(Models!$BJ309:$BT309,,T309+1)*R309-ERP_i)*Q309*Ramure*Pc/MaxiM</f>
        <v>5.5869669690579492E-4</v>
      </c>
      <c r="Q309" s="304">
        <f t="shared" si="105"/>
        <v>0.5</v>
      </c>
      <c r="R309" s="176">
        <f t="shared" si="106"/>
        <v>0.33366004389580861</v>
      </c>
      <c r="S309" s="814">
        <f t="shared" si="107"/>
        <v>1</v>
      </c>
      <c r="T309" s="175">
        <f t="shared" si="108"/>
        <v>7</v>
      </c>
      <c r="U309" s="250">
        <f t="shared" si="109"/>
        <v>1.3336600438958086</v>
      </c>
      <c r="V309" s="382">
        <f t="shared" si="110"/>
        <v>34.694673718545417</v>
      </c>
      <c r="W309" s="401">
        <f t="shared" si="111"/>
        <v>32.842474973459609</v>
      </c>
      <c r="X309" s="157">
        <f t="shared" si="112"/>
        <v>45221</v>
      </c>
      <c r="Y309" s="384">
        <f t="shared" si="113"/>
        <v>32.267956541592319</v>
      </c>
      <c r="Z309" s="384">
        <f t="shared" si="114"/>
        <v>33.649323664552995</v>
      </c>
      <c r="AA309" s="385">
        <f t="shared" si="115"/>
        <v>36.758630501978175</v>
      </c>
      <c r="AB309" s="196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8.4587124029494198E-2</v>
      </c>
      <c r="AD309" s="230">
        <f>(INDEX(Models!$BJ309:$BT309,,AH309)*(1-AF309)+INDEX(Models!$BJ309:$BT309,,AH309+1)*AF309-ERP_i)*AE309*Ramure*Pc/MaxiM</f>
        <v>5.5869669690579492E-4</v>
      </c>
      <c r="AE309" s="304">
        <f t="shared" si="117"/>
        <v>0.5</v>
      </c>
      <c r="AF309" s="176">
        <f t="shared" si="118"/>
        <v>0.33366004389580861</v>
      </c>
      <c r="AG309" s="814">
        <f t="shared" si="124"/>
        <v>1</v>
      </c>
      <c r="AH309" s="175">
        <f t="shared" si="119"/>
        <v>7</v>
      </c>
      <c r="AI309" s="224">
        <f t="shared" si="120"/>
        <v>1.3336600438958086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10">
        <f>'2022'!Wh/'2022'!Env_an*'2023'!Env_an</f>
        <v>18.377022549684792</v>
      </c>
      <c r="C310" s="843"/>
      <c r="D310" s="392">
        <f t="shared" si="102"/>
        <v>19.164148380494559</v>
      </c>
      <c r="E310" s="384">
        <f t="shared" si="125"/>
        <v>20.568577681126154</v>
      </c>
      <c r="F310" s="384">
        <f t="shared" si="103"/>
        <v>20.572411871400451</v>
      </c>
      <c r="G310" s="110">
        <f t="shared" si="126"/>
        <v>0.53429338337084964</v>
      </c>
      <c r="H310" s="413" t="b">
        <f>Wh_hp&gt;='2022'!Maxi_hp</f>
        <v>0</v>
      </c>
      <c r="I310" s="389">
        <f>IF(H310,Wh_hp,'2022'!Maxi_hp)</f>
        <v>38.121231488419959</v>
      </c>
      <c r="J310" s="85">
        <f>IF(H310,An,'2022'!An_max)</f>
        <v>2018</v>
      </c>
      <c r="K310" s="196">
        <f t="shared" si="104"/>
        <v>45222</v>
      </c>
      <c r="L310" s="147">
        <f>IF(t&lt;Tvie,1-EXP((T0-t)*PertePVj)+'2022'!Pspv,1-EXP((T0-t)*PertePVj)+Pspv)</f>
        <v>4.1072831162740943E-2</v>
      </c>
      <c r="M310" s="847"/>
      <c r="N310" s="847"/>
      <c r="O310" s="48">
        <f>IF(t&lt;Tnet,'2022'!Resal+('2022'!Salim-'2022'!Resal)*(1-EXP(('2022'!Tnet-t)/('2022'!Tau_j))),Resal+(Salim-Resal)*(1-EXP((Tnet-t)/(Tau_j))))*Salcycl</f>
        <v>6.8280331406692568E-2</v>
      </c>
      <c r="P310" s="168">
        <f>(INDEX(Models!$BJ310:$BT310,,T310)*(1-R310)+INDEX(Models!$BJ310:$BT310,,T310+1)*R310-ERP_i)*Q310*Ramure*Pc/MaxiM</f>
        <v>5.5636523511273057E-4</v>
      </c>
      <c r="Q310" s="304">
        <f t="shared" si="105"/>
        <v>0.5</v>
      </c>
      <c r="R310" s="176">
        <f t="shared" si="106"/>
        <v>0.33370876670490168</v>
      </c>
      <c r="S310" s="814">
        <f t="shared" si="107"/>
        <v>1</v>
      </c>
      <c r="T310" s="175">
        <f t="shared" si="108"/>
        <v>7</v>
      </c>
      <c r="U310" s="250">
        <f t="shared" si="109"/>
        <v>1.3337087667049017</v>
      </c>
      <c r="V310" s="382">
        <f t="shared" si="110"/>
        <v>34.382274872461558</v>
      </c>
      <c r="W310" s="401">
        <f t="shared" si="111"/>
        <v>18.377022549684792</v>
      </c>
      <c r="X310" s="157">
        <f t="shared" si="112"/>
        <v>45222</v>
      </c>
      <c r="Y310" s="384">
        <f t="shared" si="113"/>
        <v>18.056102425975912</v>
      </c>
      <c r="Z310" s="384">
        <f t="shared" si="114"/>
        <v>18.829482585074445</v>
      </c>
      <c r="AA310" s="385">
        <f t="shared" si="115"/>
        <v>20.568577681126154</v>
      </c>
      <c r="AB310" s="196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8.4551062451319256E-2</v>
      </c>
      <c r="AD310" s="230">
        <f>(INDEX(Models!$BJ310:$BT310,,AH310)*(1-AF310)+INDEX(Models!$BJ310:$BT310,,AH310+1)*AF310-ERP_i)*AE310*Ramure*Pc/MaxiM</f>
        <v>5.5636523511273057E-4</v>
      </c>
      <c r="AE310" s="304">
        <f t="shared" si="117"/>
        <v>0.5</v>
      </c>
      <c r="AF310" s="176">
        <f t="shared" si="118"/>
        <v>0.33370876670490168</v>
      </c>
      <c r="AG310" s="814">
        <f t="shared" si="124"/>
        <v>1</v>
      </c>
      <c r="AH310" s="175">
        <f t="shared" si="119"/>
        <v>7</v>
      </c>
      <c r="AI310" s="224">
        <f t="shared" si="120"/>
        <v>1.3337087667049017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10">
        <f>'2022'!Wh/'2022'!Env_an*'2023'!Env_an</f>
        <v>25.222683798503855</v>
      </c>
      <c r="C311" s="843"/>
      <c r="D311" s="392">
        <f t="shared" si="102"/>
        <v>26.303598834665465</v>
      </c>
      <c r="E311" s="384">
        <f t="shared" si="125"/>
        <v>28.230967555778467</v>
      </c>
      <c r="F311" s="384">
        <f t="shared" si="103"/>
        <v>28.24083424617319</v>
      </c>
      <c r="G311" s="110">
        <f t="shared" si="126"/>
        <v>0.74015168788025754</v>
      </c>
      <c r="H311" s="413" t="b">
        <f>Wh_hp&gt;='2022'!Maxi_hp</f>
        <v>0</v>
      </c>
      <c r="I311" s="389">
        <f>IF(H311,Wh_hp,'2022'!Maxi_hp)</f>
        <v>39.472897554741962</v>
      </c>
      <c r="J311" s="85">
        <f>IF(H311,An,'2022'!An_max)</f>
        <v>2021</v>
      </c>
      <c r="K311" s="196">
        <f t="shared" si="104"/>
        <v>45223</v>
      </c>
      <c r="L311" s="147">
        <f>IF(t&lt;Tvie,1-EXP((T0-t)*PertePVj)+'2022'!Pspv,1-EXP((T0-t)*PertePVj)+Pspv)</f>
        <v>4.1093807845680487E-2</v>
      </c>
      <c r="M311" s="847"/>
      <c r="N311" s="847"/>
      <c r="O311" s="48">
        <f>IF(t&lt;Tnet,'2022'!Resal+('2022'!Salim-'2022'!Resal)*(1-EXP(('2022'!Tnet-t)/('2022'!Tau_j))),Resal+(Salim-Resal)*(1-EXP((Tnet-t)/(Tau_j))))*Salcycl</f>
        <v>6.8271436935518598E-2</v>
      </c>
      <c r="P311" s="168">
        <f>(INDEX(Models!$BJ311:$BT311,,T311)*(1-R311)+INDEX(Models!$BJ311:$BT311,,T311+1)*R311-ERP_i)*Q311*Ramure*Pc/MaxiM</f>
        <v>5.5544249045247308E-4</v>
      </c>
      <c r="Q311" s="304">
        <f t="shared" si="105"/>
        <v>0.5</v>
      </c>
      <c r="R311" s="176">
        <f t="shared" si="106"/>
        <v>0.33375554271233732</v>
      </c>
      <c r="S311" s="814">
        <f t="shared" si="107"/>
        <v>1</v>
      </c>
      <c r="T311" s="175">
        <f t="shared" si="108"/>
        <v>7</v>
      </c>
      <c r="U311" s="250">
        <f t="shared" si="109"/>
        <v>1.3337555427123373</v>
      </c>
      <c r="V311" s="382">
        <f t="shared" si="110"/>
        <v>34.070697754863801</v>
      </c>
      <c r="W311" s="401">
        <f t="shared" si="111"/>
        <v>25.222683798503855</v>
      </c>
      <c r="X311" s="157">
        <f t="shared" si="112"/>
        <v>45223</v>
      </c>
      <c r="Y311" s="384">
        <f t="shared" si="113"/>
        <v>24.782977604508488</v>
      </c>
      <c r="Z311" s="384">
        <f t="shared" si="114"/>
        <v>25.845049085385501</v>
      </c>
      <c r="AA311" s="385">
        <f t="shared" si="115"/>
        <v>28.230967555778467</v>
      </c>
      <c r="AB311" s="196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8.4514229477926764E-2</v>
      </c>
      <c r="AD311" s="230">
        <f>(INDEX(Models!$BJ311:$BT311,,AH311)*(1-AF311)+INDEX(Models!$BJ311:$BT311,,AH311+1)*AF311-ERP_i)*AE311*Ramure*Pc/MaxiM</f>
        <v>5.5544249045247308E-4</v>
      </c>
      <c r="AE311" s="304">
        <f t="shared" si="117"/>
        <v>0.5</v>
      </c>
      <c r="AF311" s="176">
        <f t="shared" si="118"/>
        <v>0.33375554271233732</v>
      </c>
      <c r="AG311" s="814">
        <f t="shared" si="124"/>
        <v>1</v>
      </c>
      <c r="AH311" s="175">
        <f t="shared" si="119"/>
        <v>7</v>
      </c>
      <c r="AI311" s="224">
        <f t="shared" si="120"/>
        <v>1.3337555427123373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10">
        <f>'2022'!Wh/'2022'!Env_an*'2023'!Env_an</f>
        <v>21.471525537399295</v>
      </c>
      <c r="C312" s="843"/>
      <c r="D312" s="392">
        <f t="shared" si="102"/>
        <v>22.392174976392912</v>
      </c>
      <c r="E312" s="384">
        <f t="shared" si="125"/>
        <v>24.032692769807113</v>
      </c>
      <c r="F312" s="384">
        <f t="shared" si="103"/>
        <v>24.039107274710759</v>
      </c>
      <c r="G312" s="110">
        <f t="shared" si="126"/>
        <v>0.63580205737624729</v>
      </c>
      <c r="H312" s="413" t="b">
        <f>Wh_hp&gt;='2022'!Maxi_hp</f>
        <v>0</v>
      </c>
      <c r="I312" s="389">
        <f>IF(H312,Wh_hp,'2022'!Maxi_hp)</f>
        <v>37.235103928768822</v>
      </c>
      <c r="J312" s="85">
        <f>IF(H312,An,'2022'!An_max)</f>
        <v>2018</v>
      </c>
      <c r="K312" s="196">
        <f t="shared" si="104"/>
        <v>45224</v>
      </c>
      <c r="L312" s="147">
        <f>IF(t&lt;Tvie,1-EXP((T0-t)*PertePVj)+'2022'!Pspv,1-EXP((T0-t)*PertePVj)+Pspv)</f>
        <v>4.111478406917677E-2</v>
      </c>
      <c r="M312" s="847"/>
      <c r="N312" s="847"/>
      <c r="O312" s="48">
        <f>IF(t&lt;Tnet,'2022'!Resal+('2022'!Salim-'2022'!Resal)*(1-EXP(('2022'!Tnet-t)/('2022'!Tau_j))),Resal+(Salim-Resal)*(1-EXP((Tnet-t)/(Tau_j))))*Salcycl</f>
        <v>6.8261921754986368E-2</v>
      </c>
      <c r="P312" s="168">
        <f>(INDEX(Models!$BJ312:$BT312,,T312)*(1-R312)+INDEX(Models!$BJ312:$BT312,,T312+1)*R312-ERP_i)*Q312*Ramure*Pc/MaxiM</f>
        <v>5.559320430391588E-4</v>
      </c>
      <c r="Q312" s="304">
        <f t="shared" si="105"/>
        <v>0.5</v>
      </c>
      <c r="R312" s="176">
        <f t="shared" si="106"/>
        <v>0.33380044913118212</v>
      </c>
      <c r="S312" s="814">
        <f t="shared" si="107"/>
        <v>1</v>
      </c>
      <c r="T312" s="175">
        <f t="shared" si="108"/>
        <v>7</v>
      </c>
      <c r="U312" s="250">
        <f t="shared" si="109"/>
        <v>1.3338004491311821</v>
      </c>
      <c r="V312" s="382">
        <f t="shared" si="110"/>
        <v>33.761005180127256</v>
      </c>
      <c r="W312" s="401">
        <f t="shared" si="111"/>
        <v>21.471525537399295</v>
      </c>
      <c r="X312" s="157">
        <f t="shared" si="112"/>
        <v>45224</v>
      </c>
      <c r="Y312" s="384">
        <f t="shared" si="113"/>
        <v>21.09786279421056</v>
      </c>
      <c r="Z312" s="384">
        <f t="shared" si="114"/>
        <v>22.002490437533893</v>
      </c>
      <c r="AA312" s="385">
        <f t="shared" si="115"/>
        <v>24.032692769807113</v>
      </c>
      <c r="AB312" s="196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8.4476689804141081E-2</v>
      </c>
      <c r="AD312" s="230">
        <f>(INDEX(Models!$BJ312:$BT312,,AH312)*(1-AF312)+INDEX(Models!$BJ312:$BT312,,AH312+1)*AF312-ERP_i)*AE312*Ramure*Pc/MaxiM</f>
        <v>5.559320430391588E-4</v>
      </c>
      <c r="AE312" s="304">
        <f t="shared" si="117"/>
        <v>0.5</v>
      </c>
      <c r="AF312" s="176">
        <f t="shared" si="118"/>
        <v>0.33380044913118212</v>
      </c>
      <c r="AG312" s="814">
        <f t="shared" si="124"/>
        <v>1</v>
      </c>
      <c r="AH312" s="175">
        <f t="shared" si="119"/>
        <v>7</v>
      </c>
      <c r="AI312" s="224">
        <f t="shared" si="120"/>
        <v>1.3338004491311821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10">
        <f>'2022'!Wh/'2022'!Env_an*'2023'!Env_an</f>
        <v>17.179683151492046</v>
      </c>
      <c r="C313" s="843"/>
      <c r="D313" s="392">
        <f t="shared" si="102"/>
        <v>17.916700229121339</v>
      </c>
      <c r="E313" s="384">
        <f t="shared" si="125"/>
        <v>19.229123286989946</v>
      </c>
      <c r="F313" s="384">
        <f t="shared" si="103"/>
        <v>19.232395883788254</v>
      </c>
      <c r="G313" s="110">
        <f t="shared" si="126"/>
        <v>0.51332840480325415</v>
      </c>
      <c r="H313" s="413" t="b">
        <f>Wh_hp&gt;='2022'!Maxi_hp</f>
        <v>0</v>
      </c>
      <c r="I313" s="389">
        <f>IF(H313,Wh_hp,'2022'!Maxi_hp)</f>
        <v>37.759644135743372</v>
      </c>
      <c r="J313" s="85">
        <f>IF(H313,An,'2022'!An_max)</f>
        <v>2019</v>
      </c>
      <c r="K313" s="196">
        <f t="shared" si="104"/>
        <v>45225</v>
      </c>
      <c r="L313" s="147">
        <f>IF(t&lt;Tvie,1-EXP((T0-t)*PertePVj)+'2022'!Pspv,1-EXP((T0-t)*PertePVj)+Pspv)</f>
        <v>4.1135759833240006E-2</v>
      </c>
      <c r="M313" s="847"/>
      <c r="N313" s="847"/>
      <c r="O313" s="48">
        <f>IF(t&lt;Tnet,'2022'!Resal+('2022'!Salim-'2022'!Resal)*(1-EXP(('2022'!Tnet-t)/('2022'!Tau_j))),Resal+(Salim-Resal)*(1-EXP((Tnet-t)/(Tau_j))))*Salcycl</f>
        <v>6.8251840621177243E-2</v>
      </c>
      <c r="P313" s="168">
        <f>(INDEX(Models!$BJ313:$BT313,,T313)*(1-R313)+INDEX(Models!$BJ313:$BT313,,T313+1)*R313-ERP_i)*Q313*Ramure*Pc/MaxiM</f>
        <v>5.5783183847895863E-4</v>
      </c>
      <c r="Q313" s="304">
        <f t="shared" si="105"/>
        <v>0.5</v>
      </c>
      <c r="R313" s="176">
        <f t="shared" si="106"/>
        <v>0.33384356015731997</v>
      </c>
      <c r="S313" s="814">
        <f t="shared" si="107"/>
        <v>1</v>
      </c>
      <c r="T313" s="175">
        <f t="shared" si="108"/>
        <v>7</v>
      </c>
      <c r="U313" s="250">
        <f t="shared" si="109"/>
        <v>1.33384356015732</v>
      </c>
      <c r="V313" s="382">
        <f t="shared" si="110"/>
        <v>33.454260058428268</v>
      </c>
      <c r="W313" s="401">
        <f t="shared" si="111"/>
        <v>17.179683151492046</v>
      </c>
      <c r="X313" s="157">
        <f t="shared" si="112"/>
        <v>45225</v>
      </c>
      <c r="Y313" s="384">
        <f t="shared" si="113"/>
        <v>16.881231389091241</v>
      </c>
      <c r="Z313" s="384">
        <f t="shared" si="114"/>
        <v>17.605444735487641</v>
      </c>
      <c r="AA313" s="385">
        <f t="shared" si="115"/>
        <v>19.229123286989946</v>
      </c>
      <c r="AB313" s="196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8.4438511692358623E-2</v>
      </c>
      <c r="AD313" s="230">
        <f>(INDEX(Models!$BJ313:$BT313,,AH313)*(1-AF313)+INDEX(Models!$BJ313:$BT313,,AH313+1)*AF313-ERP_i)*AE313*Ramure*Pc/MaxiM</f>
        <v>5.5783183847895863E-4</v>
      </c>
      <c r="AE313" s="304">
        <f t="shared" si="117"/>
        <v>0.5</v>
      </c>
      <c r="AF313" s="176">
        <f t="shared" si="118"/>
        <v>0.33384356015731997</v>
      </c>
      <c r="AG313" s="814">
        <f t="shared" si="124"/>
        <v>1</v>
      </c>
      <c r="AH313" s="175">
        <f t="shared" si="119"/>
        <v>7</v>
      </c>
      <c r="AI313" s="224">
        <f t="shared" si="120"/>
        <v>1.33384356015732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10">
        <f>'2022'!Wh/'2022'!Env_an*'2023'!Env_an</f>
        <v>13.458832478612905</v>
      </c>
      <c r="C314" s="843"/>
      <c r="D314" s="392">
        <f t="shared" si="102"/>
        <v>14.036530235781825</v>
      </c>
      <c r="E314" s="384">
        <f t="shared" si="125"/>
        <v>15.064554265480423</v>
      </c>
      <c r="F314" s="384">
        <f t="shared" si="103"/>
        <v>15.065834195175052</v>
      </c>
      <c r="G314" s="110">
        <f t="shared" si="126"/>
        <v>0.40578594709548582</v>
      </c>
      <c r="H314" s="413" t="b">
        <f>Wh_hp&gt;='2022'!Maxi_hp</f>
        <v>0</v>
      </c>
      <c r="I314" s="389">
        <f>IF(H314,Wh_hp,'2022'!Maxi_hp)</f>
        <v>36.161643424321802</v>
      </c>
      <c r="J314" s="85">
        <f>IF(H314,An,'2022'!An_max)</f>
        <v>2021</v>
      </c>
      <c r="K314" s="196">
        <f t="shared" si="104"/>
        <v>45226</v>
      </c>
      <c r="L314" s="147">
        <f>IF(t&lt;Tvie,1-EXP((T0-t)*PertePVj)+'2022'!Pspv,1-EXP((T0-t)*PertePVj)+Pspv)</f>
        <v>4.1156735137880186E-2</v>
      </c>
      <c r="M314" s="847"/>
      <c r="N314" s="847"/>
      <c r="O314" s="48">
        <f>IF(t&lt;Tnet,'2022'!Resal+('2022'!Salim-'2022'!Resal)*(1-EXP(('2022'!Tnet-t)/('2022'!Tau_j))),Resal+(Salim-Resal)*(1-EXP((Tnet-t)/(Tau_j))))*Salcycl</f>
        <v>6.8241251057408081E-2</v>
      </c>
      <c r="P314" s="168">
        <f>(INDEX(Models!$BJ314:$BT314,,T314)*(1-R314)+INDEX(Models!$BJ314:$BT314,,T314+1)*R314-ERP_i)*Q314*Ramure*Pc/MaxiM</f>
        <v>5.6113840206820336E-4</v>
      </c>
      <c r="Q314" s="304">
        <f t="shared" si="105"/>
        <v>0.5</v>
      </c>
      <c r="R314" s="176">
        <f t="shared" si="106"/>
        <v>0.33388494708378635</v>
      </c>
      <c r="S314" s="814">
        <f t="shared" si="107"/>
        <v>1</v>
      </c>
      <c r="T314" s="175">
        <f t="shared" si="108"/>
        <v>7</v>
      </c>
      <c r="U314" s="250">
        <f t="shared" si="109"/>
        <v>1.3338849470837864</v>
      </c>
      <c r="V314" s="382">
        <f t="shared" si="110"/>
        <v>33.151525251787319</v>
      </c>
      <c r="W314" s="401">
        <f t="shared" si="111"/>
        <v>13.458832478612905</v>
      </c>
      <c r="X314" s="157">
        <f t="shared" si="112"/>
        <v>45226</v>
      </c>
      <c r="Y314" s="384">
        <f t="shared" si="113"/>
        <v>13.225430049110049</v>
      </c>
      <c r="Z314" s="384">
        <f t="shared" si="114"/>
        <v>13.793109399388486</v>
      </c>
      <c r="AA314" s="385">
        <f t="shared" si="115"/>
        <v>15.064554265480423</v>
      </c>
      <c r="AB314" s="196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8.4399766742875387E-2</v>
      </c>
      <c r="AD314" s="230">
        <f>(INDEX(Models!$BJ314:$BT314,,AH314)*(1-AF314)+INDEX(Models!$BJ314:$BT314,,AH314+1)*AF314-ERP_i)*AE314*Ramure*Pc/MaxiM</f>
        <v>5.6113840206820336E-4</v>
      </c>
      <c r="AE314" s="304">
        <f t="shared" si="117"/>
        <v>0.5</v>
      </c>
      <c r="AF314" s="176">
        <f t="shared" si="118"/>
        <v>0.33388494708378635</v>
      </c>
      <c r="AG314" s="814">
        <f t="shared" si="124"/>
        <v>1</v>
      </c>
      <c r="AH314" s="175">
        <f t="shared" si="119"/>
        <v>7</v>
      </c>
      <c r="AI314" s="224">
        <f t="shared" si="120"/>
        <v>1.3338849470837864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10">
        <f>'2022'!Wh/'2022'!Env_an*'2023'!Env_an</f>
        <v>17.733469621768464</v>
      </c>
      <c r="C315" s="843"/>
      <c r="D315" s="392">
        <f t="shared" si="102"/>
        <v>18.49505357395898</v>
      </c>
      <c r="E315" s="384">
        <f t="shared" si="125"/>
        <v>19.849381075687848</v>
      </c>
      <c r="F315" s="384">
        <f t="shared" si="103"/>
        <v>19.853228970576154</v>
      </c>
      <c r="G315" s="110">
        <f t="shared" si="126"/>
        <v>0.53956731531766888</v>
      </c>
      <c r="H315" s="413" t="b">
        <f>Wh_hp&gt;='2022'!Maxi_hp</f>
        <v>0</v>
      </c>
      <c r="I315" s="389">
        <f>IF(H315,Wh_hp,'2022'!Maxi_hp)</f>
        <v>36.883267903412836</v>
      </c>
      <c r="J315" s="85">
        <f>IF(H315,An,'2022'!An_max)</f>
        <v>2021</v>
      </c>
      <c r="K315" s="196">
        <f t="shared" si="104"/>
        <v>45227</v>
      </c>
      <c r="L315" s="147">
        <f>IF(t&lt;Tvie,1-EXP((T0-t)*PertePVj)+'2022'!Pspv,1-EXP((T0-t)*PertePVj)+Pspv)</f>
        <v>4.1177709983107304E-2</v>
      </c>
      <c r="M315" s="847"/>
      <c r="N315" s="847"/>
      <c r="O315" s="48">
        <f>IF(t&lt;Tnet,'2022'!Resal+('2022'!Salim-'2022'!Resal)*(1-EXP(('2022'!Tnet-t)/('2022'!Tau_j))),Resal+(Salim-Resal)*(1-EXP((Tnet-t)/(Tau_j))))*Salcycl</f>
        <v>6.8230213151970254E-2</v>
      </c>
      <c r="P315" s="168">
        <f>(INDEX(Models!$BJ315:$BT315,,T315)*(1-R315)+INDEX(Models!$BJ315:$BT315,,T315+1)*R315-ERP_i)*Q315*Ramure*Pc/MaxiM</f>
        <v>5.6584641829338761E-4</v>
      </c>
      <c r="Q315" s="304">
        <f t="shared" si="105"/>
        <v>0.5</v>
      </c>
      <c r="R315" s="176">
        <f t="shared" si="106"/>
        <v>0.33392467841105544</v>
      </c>
      <c r="S315" s="814">
        <f t="shared" si="107"/>
        <v>1</v>
      </c>
      <c r="T315" s="175">
        <f t="shared" si="108"/>
        <v>7</v>
      </c>
      <c r="U315" s="250">
        <f t="shared" si="109"/>
        <v>1.3339246784110554</v>
      </c>
      <c r="V315" s="382">
        <f t="shared" si="110"/>
        <v>32.853863584101966</v>
      </c>
      <c r="W315" s="401">
        <f t="shared" si="111"/>
        <v>17.733469621768464</v>
      </c>
      <c r="X315" s="157">
        <f t="shared" si="112"/>
        <v>45227</v>
      </c>
      <c r="Y315" s="384">
        <f t="shared" si="113"/>
        <v>17.426476970309917</v>
      </c>
      <c r="Z315" s="384">
        <f t="shared" si="114"/>
        <v>18.174876775135147</v>
      </c>
      <c r="AA315" s="385">
        <f t="shared" si="115"/>
        <v>19.849381075687848</v>
      </c>
      <c r="AB315" s="196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8.4360529639067136E-2</v>
      </c>
      <c r="AD315" s="230">
        <f>(INDEX(Models!$BJ315:$BT315,,AH315)*(1-AF315)+INDEX(Models!$BJ315:$BT315,,AH315+1)*AF315-ERP_i)*AE315*Ramure*Pc/MaxiM</f>
        <v>5.6584641829338761E-4</v>
      </c>
      <c r="AE315" s="304">
        <f t="shared" si="117"/>
        <v>0.5</v>
      </c>
      <c r="AF315" s="176">
        <f t="shared" si="118"/>
        <v>0.33392467841105544</v>
      </c>
      <c r="AG315" s="814">
        <f t="shared" si="124"/>
        <v>1</v>
      </c>
      <c r="AH315" s="175">
        <f t="shared" si="119"/>
        <v>7</v>
      </c>
      <c r="AI315" s="224">
        <f t="shared" si="120"/>
        <v>1.3339246784110554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10">
        <f>'2022'!Wh/'2022'!Env_an*'2023'!Env_an</f>
        <v>26.184357616914255</v>
      </c>
      <c r="C316" s="843"/>
      <c r="D316" s="392">
        <f t="shared" si="102"/>
        <v>27.309471931293825</v>
      </c>
      <c r="E316" s="384">
        <f t="shared" si="125"/>
        <v>29.30888884509675</v>
      </c>
      <c r="F316" s="384">
        <f t="shared" si="103"/>
        <v>29.320966418496646</v>
      </c>
      <c r="G316" s="110">
        <f t="shared" si="126"/>
        <v>0.8040014044447632</v>
      </c>
      <c r="H316" s="413" t="b">
        <f>Wh_hp&gt;='2022'!Maxi_hp</f>
        <v>0</v>
      </c>
      <c r="I316" s="389">
        <f>IF(H316,Wh_hp,'2022'!Maxi_hp)</f>
        <v>30.389582180422003</v>
      </c>
      <c r="J316" s="85">
        <f>IF(H316,An,'2022'!An_max)</f>
        <v>2019</v>
      </c>
      <c r="K316" s="196">
        <f t="shared" si="104"/>
        <v>45228</v>
      </c>
      <c r="L316" s="147">
        <f>IF(t&lt;Tvie,1-EXP((T0-t)*PertePVj)+'2022'!Pspv,1-EXP((T0-t)*PertePVj)+Pspv)</f>
        <v>4.1198684368931461E-2</v>
      </c>
      <c r="M316" s="847"/>
      <c r="N316" s="847"/>
      <c r="O316" s="48">
        <f>IF(t&lt;Tnet,'2022'!Resal+('2022'!Salim-'2022'!Resal)*(1-EXP(('2022'!Tnet-t)/('2022'!Tau_j))),Resal+(Salim-Resal)*(1-EXP((Tnet-t)/(Tau_j))))*Salcycl</f>
        <v>6.8218789336239871E-2</v>
      </c>
      <c r="P316" s="168">
        <f>(INDEX(Models!$BJ316:$BT316,,T316)*(1-R316)+INDEX(Models!$BJ316:$BT316,,T316+1)*R316-ERP_i)*Q316*Ramure*Pc/MaxiM</f>
        <v>5.7194830009072155E-4</v>
      </c>
      <c r="Q316" s="304">
        <f t="shared" si="105"/>
        <v>0.5</v>
      </c>
      <c r="R316" s="176">
        <f t="shared" si="106"/>
        <v>0.33396281995339727</v>
      </c>
      <c r="S316" s="814">
        <f t="shared" si="107"/>
        <v>1</v>
      </c>
      <c r="T316" s="175">
        <f t="shared" si="108"/>
        <v>7</v>
      </c>
      <c r="U316" s="250">
        <f t="shared" si="109"/>
        <v>1.3339628199533973</v>
      </c>
      <c r="V316" s="382">
        <f t="shared" si="110"/>
        <v>32.562337854343404</v>
      </c>
      <c r="W316" s="401">
        <f t="shared" si="111"/>
        <v>26.184357616914255</v>
      </c>
      <c r="X316" s="157">
        <f t="shared" si="112"/>
        <v>45228</v>
      </c>
      <c r="Y316" s="384">
        <f t="shared" si="113"/>
        <v>25.731866367154865</v>
      </c>
      <c r="Z316" s="384">
        <f t="shared" si="114"/>
        <v>26.837537608319341</v>
      </c>
      <c r="AA316" s="385">
        <f t="shared" si="115"/>
        <v>29.30888884509675</v>
      </c>
      <c r="AB316" s="196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8.4320877868792138E-2</v>
      </c>
      <c r="AD316" s="230">
        <f>(INDEX(Models!$BJ316:$BT316,,AH316)*(1-AF316)+INDEX(Models!$BJ316:$BT316,,AH316+1)*AF316-ERP_i)*AE316*Ramure*Pc/MaxiM</f>
        <v>5.7194830009072155E-4</v>
      </c>
      <c r="AE316" s="304">
        <f t="shared" si="117"/>
        <v>0.5</v>
      </c>
      <c r="AF316" s="176">
        <f t="shared" si="118"/>
        <v>0.33396281995339727</v>
      </c>
      <c r="AG316" s="814">
        <f t="shared" si="124"/>
        <v>1</v>
      </c>
      <c r="AH316" s="175">
        <f t="shared" si="119"/>
        <v>7</v>
      </c>
      <c r="AI316" s="224">
        <f t="shared" si="120"/>
        <v>1.3339628199533973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10">
        <f>'2022'!Wh/'2022'!Env_an*'2023'!Env_an</f>
        <v>21.988207178587679</v>
      </c>
      <c r="C317" s="843"/>
      <c r="D317" s="392">
        <f t="shared" si="102"/>
        <v>22.933518995074877</v>
      </c>
      <c r="E317" s="384">
        <f t="shared" si="125"/>
        <v>24.612247657546078</v>
      </c>
      <c r="F317" s="384">
        <f t="shared" si="103"/>
        <v>24.620018388100775</v>
      </c>
      <c r="G317" s="110">
        <f t="shared" si="126"/>
        <v>0.68108957229327571</v>
      </c>
      <c r="H317" s="413" t="b">
        <f>Wh_hp&gt;='2022'!Maxi_hp</f>
        <v>0</v>
      </c>
      <c r="I317" s="389">
        <f>IF(H317,Wh_hp,'2022'!Maxi_hp)</f>
        <v>32.225870251285528</v>
      </c>
      <c r="J317" s="85">
        <f>IF(H317,An,'2022'!An_max)</f>
        <v>2018</v>
      </c>
      <c r="K317" s="196">
        <f t="shared" si="104"/>
        <v>45229</v>
      </c>
      <c r="L317" s="147">
        <f>IF(t&lt;Tvie,1-EXP((T0-t)*PertePVj)+'2022'!Pspv,1-EXP((T0-t)*PertePVj)+Pspv)</f>
        <v>4.1219658295362761E-2</v>
      </c>
      <c r="M317" s="847"/>
      <c r="N317" s="847"/>
      <c r="O317" s="48">
        <f>IF(t&lt;Tnet,'2022'!Resal+('2022'!Salim-'2022'!Resal)*(1-EXP(('2022'!Tnet-t)/('2022'!Tau_j))),Resal+(Salim-Resal)*(1-EXP((Tnet-t)/(Tau_j))))*Salcycl</f>
        <v>6.8207044144402082E-2</v>
      </c>
      <c r="P317" s="168">
        <f>(INDEX(Models!$BJ317:$BT317,,T317)*(1-R317)+INDEX(Models!$BJ317:$BT317,,T317+1)*R317-ERP_i)*Q317*Ramure*Pc/MaxiM</f>
        <v>5.794815099175875E-4</v>
      </c>
      <c r="Q317" s="304">
        <f t="shared" si="105"/>
        <v>0.5</v>
      </c>
      <c r="R317" s="176">
        <f t="shared" si="106"/>
        <v>0.33399943494142281</v>
      </c>
      <c r="S317" s="814">
        <f t="shared" si="107"/>
        <v>1</v>
      </c>
      <c r="T317" s="175">
        <f t="shared" si="108"/>
        <v>7</v>
      </c>
      <c r="U317" s="250">
        <f t="shared" si="109"/>
        <v>1.3339994349414228</v>
      </c>
      <c r="V317" s="382">
        <f t="shared" si="110"/>
        <v>32.275349003636755</v>
      </c>
      <c r="W317" s="401">
        <f t="shared" si="111"/>
        <v>21.988207178587679</v>
      </c>
      <c r="X317" s="157">
        <f t="shared" si="112"/>
        <v>45229</v>
      </c>
      <c r="Y317" s="384">
        <f t="shared" si="113"/>
        <v>21.608900722243579</v>
      </c>
      <c r="Z317" s="384">
        <f t="shared" si="114"/>
        <v>22.537905485029686</v>
      </c>
      <c r="AA317" s="385">
        <f t="shared" si="115"/>
        <v>24.612247657546078</v>
      </c>
      <c r="AB317" s="196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8.4280891423599957E-2</v>
      </c>
      <c r="AD317" s="230">
        <f>(INDEX(Models!$BJ317:$BT317,,AH317)*(1-AF317)+INDEX(Models!$BJ317:$BT317,,AH317+1)*AF317-ERP_i)*AE317*Ramure*Pc/MaxiM</f>
        <v>5.794815099175875E-4</v>
      </c>
      <c r="AE317" s="304">
        <f t="shared" si="117"/>
        <v>0.5</v>
      </c>
      <c r="AF317" s="176">
        <f t="shared" si="118"/>
        <v>0.33399943494142281</v>
      </c>
      <c r="AG317" s="814">
        <f t="shared" si="124"/>
        <v>1</v>
      </c>
      <c r="AH317" s="175">
        <f t="shared" si="119"/>
        <v>7</v>
      </c>
      <c r="AI317" s="224">
        <f t="shared" si="120"/>
        <v>1.3339994349414228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10">
        <f>'2022'!Wh/'2022'!Env_an*'2023'!Env_an</f>
        <v>21.134371660217376</v>
      </c>
      <c r="C318" s="843"/>
      <c r="D318" s="392">
        <f t="shared" si="102"/>
        <v>22.043457785520278</v>
      </c>
      <c r="E318" s="384">
        <f t="shared" si="125"/>
        <v>23.656729493166669</v>
      </c>
      <c r="F318" s="384">
        <f t="shared" si="103"/>
        <v>23.663919161442521</v>
      </c>
      <c r="G318" s="110">
        <f t="shared" si="126"/>
        <v>0.66045529596581798</v>
      </c>
      <c r="H318" s="413" t="b">
        <f>Wh_hp&gt;='2022'!Maxi_hp</f>
        <v>0</v>
      </c>
      <c r="I318" s="389">
        <f>IF(H318,Wh_hp,'2022'!Maxi_hp)</f>
        <v>35.005693815920047</v>
      </c>
      <c r="J318" s="85">
        <f>IF(H318,An,'2022'!An_max)</f>
        <v>2020</v>
      </c>
      <c r="K318" s="196">
        <f t="shared" si="104"/>
        <v>45230</v>
      </c>
      <c r="L318" s="147">
        <f>IF(t&lt;Tvie,1-EXP((T0-t)*PertePVj)+'2022'!Pspv,1-EXP((T0-t)*PertePVj)+Pspv)</f>
        <v>4.1240631762411308E-2</v>
      </c>
      <c r="M318" s="847"/>
      <c r="N318" s="847"/>
      <c r="O318" s="48">
        <f>IF(t&lt;Tnet,'2022'!Resal+('2022'!Salim-'2022'!Resal)*(1-EXP(('2022'!Tnet-t)/('2022'!Tau_j))),Resal+(Salim-Resal)*(1-EXP((Tnet-t)/(Tau_j))))*Salcycl</f>
        <v>6.8195043956198145E-2</v>
      </c>
      <c r="P318" s="168">
        <f>(INDEX(Models!$BJ318:$BT318,,T318)*(1-R318)+INDEX(Models!$BJ318:$BT318,,T318+1)*R318-ERP_i)*Q318*Ramure*Pc/MaxiM</f>
        <v>5.8971372817724253E-4</v>
      </c>
      <c r="Q318" s="304">
        <f t="shared" si="105"/>
        <v>0.5</v>
      </c>
      <c r="R318" s="176">
        <f t="shared" si="106"/>
        <v>0.33403458412093934</v>
      </c>
      <c r="S318" s="814">
        <f t="shared" si="107"/>
        <v>1</v>
      </c>
      <c r="T318" s="175">
        <f t="shared" si="108"/>
        <v>7</v>
      </c>
      <c r="U318" s="250">
        <f t="shared" si="109"/>
        <v>1.3340345841209393</v>
      </c>
      <c r="V318" s="382">
        <f t="shared" si="110"/>
        <v>31.99054932972739</v>
      </c>
      <c r="W318" s="401">
        <f t="shared" si="111"/>
        <v>21.134371660217376</v>
      </c>
      <c r="X318" s="157">
        <f t="shared" si="112"/>
        <v>45230</v>
      </c>
      <c r="Y318" s="384">
        <f t="shared" si="113"/>
        <v>20.77043943190645</v>
      </c>
      <c r="Z318" s="384">
        <f t="shared" si="114"/>
        <v>21.66387116517787</v>
      </c>
      <c r="AA318" s="385">
        <f t="shared" si="115"/>
        <v>23.656729493166669</v>
      </c>
      <c r="AB318" s="196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8.4240652477530431E-2</v>
      </c>
      <c r="AD318" s="230">
        <f>(INDEX(Models!$BJ318:$BT318,,AH318)*(1-AF318)+INDEX(Models!$BJ318:$BT318,,AH318+1)*AF318-ERP_i)*AE318*Ramure*Pc/MaxiM</f>
        <v>5.8971372817724253E-4</v>
      </c>
      <c r="AE318" s="304">
        <f t="shared" si="117"/>
        <v>0.5</v>
      </c>
      <c r="AF318" s="176">
        <f t="shared" si="118"/>
        <v>0.33403458412093934</v>
      </c>
      <c r="AG318" s="814">
        <f t="shared" si="124"/>
        <v>1</v>
      </c>
      <c r="AH318" s="175">
        <f t="shared" si="119"/>
        <v>7</v>
      </c>
      <c r="AI318" s="224">
        <f t="shared" si="120"/>
        <v>1.3340345841209393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10">
        <f>'2022'!Wh/'2022'!Env_an*'2023'!Env_an</f>
        <v>20.081796053135378</v>
      </c>
      <c r="C319" s="843"/>
      <c r="D319" s="392">
        <f t="shared" si="102"/>
        <v>20.946064278900195</v>
      </c>
      <c r="E319" s="384">
        <f t="shared" si="125"/>
        <v>22.478728181868107</v>
      </c>
      <c r="F319" s="384">
        <f t="shared" si="103"/>
        <v>22.485180143144181</v>
      </c>
      <c r="G319" s="110">
        <f t="shared" si="126"/>
        <v>0.63313653749200627</v>
      </c>
      <c r="H319" s="413" t="b">
        <f>Wh_hp&gt;='2022'!Maxi_hp</f>
        <v>0</v>
      </c>
      <c r="I319" s="389">
        <f>IF(H319,Wh_hp,'2022'!Maxi_hp)</f>
        <v>32.902406059457448</v>
      </c>
      <c r="J319" s="85">
        <f>IF(H319,An,'2022'!An_max)</f>
        <v>2020</v>
      </c>
      <c r="K319" s="196">
        <f t="shared" si="104"/>
        <v>45231</v>
      </c>
      <c r="L319" s="147">
        <f>IF(t&lt;Tvie,1-EXP((T0-t)*PertePVj)+'2022'!Pspv,1-EXP((T0-t)*PertePVj)+Pspv)</f>
        <v>4.1261604770086981E-2</v>
      </c>
      <c r="M319" s="847"/>
      <c r="N319" s="847"/>
      <c r="O319" s="48">
        <f>IF(t&lt;Tnet,'2022'!Resal+('2022'!Salim-'2022'!Resal)*(1-EXP(('2022'!Tnet-t)/('2022'!Tau_j))),Resal+(Salim-Resal)*(1-EXP((Tnet-t)/(Tau_j))))*Salcycl</f>
        <v>6.8182856724260638E-2</v>
      </c>
      <c r="P319" s="168">
        <f>(INDEX(Models!$BJ319:$BT319,,T319)*(1-R319)+INDEX(Models!$BJ319:$BT319,,T319+1)*R319-ERP_i)*Q319*Ramure*Pc/MaxiM</f>
        <v>6.0257423114836112E-4</v>
      </c>
      <c r="Q319" s="304">
        <f t="shared" si="105"/>
        <v>0.5</v>
      </c>
      <c r="R319" s="176">
        <f t="shared" si="106"/>
        <v>0.33406832584822443</v>
      </c>
      <c r="S319" s="814">
        <f t="shared" si="107"/>
        <v>1</v>
      </c>
      <c r="T319" s="175">
        <f t="shared" si="108"/>
        <v>7</v>
      </c>
      <c r="U319" s="250">
        <f t="shared" si="109"/>
        <v>1.3340683258482244</v>
      </c>
      <c r="V319" s="382">
        <f t="shared" si="110"/>
        <v>31.7079407042065</v>
      </c>
      <c r="W319" s="401">
        <f t="shared" si="111"/>
        <v>20.081796053135378</v>
      </c>
      <c r="X319" s="157">
        <f t="shared" si="112"/>
        <v>45231</v>
      </c>
      <c r="Y319" s="384">
        <f t="shared" si="113"/>
        <v>19.736601797017787</v>
      </c>
      <c r="Z319" s="384">
        <f t="shared" si="114"/>
        <v>20.586013760599204</v>
      </c>
      <c r="AA319" s="385">
        <f t="shared" si="115"/>
        <v>22.478728181868107</v>
      </c>
      <c r="AB319" s="196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8.4200245047476155E-2</v>
      </c>
      <c r="AD319" s="230">
        <f>(INDEX(Models!$BJ319:$BT319,,AH319)*(1-AF319)+INDEX(Models!$BJ319:$BT319,,AH319+1)*AF319-ERP_i)*AE319*Ramure*Pc/MaxiM</f>
        <v>6.0257423114836112E-4</v>
      </c>
      <c r="AE319" s="304">
        <f t="shared" si="117"/>
        <v>0.5</v>
      </c>
      <c r="AF319" s="176">
        <f t="shared" si="118"/>
        <v>0.33406832584822443</v>
      </c>
      <c r="AG319" s="814">
        <f t="shared" si="124"/>
        <v>1</v>
      </c>
      <c r="AH319" s="175">
        <f t="shared" si="119"/>
        <v>7</v>
      </c>
      <c r="AI319" s="224">
        <f t="shared" si="120"/>
        <v>1.3340683258482244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10">
        <f>'2022'!Wh/'2022'!Env_an*'2023'!Env_an</f>
        <v>28.977492445875033</v>
      </c>
      <c r="C320" s="843"/>
      <c r="D320" s="392">
        <f t="shared" si="102"/>
        <v>30.22526946972858</v>
      </c>
      <c r="E320" s="384">
        <f t="shared" si="125"/>
        <v>32.436482367533173</v>
      </c>
      <c r="F320" s="384">
        <f t="shared" si="103"/>
        <v>32.454307785315443</v>
      </c>
      <c r="G320" s="110">
        <f t="shared" si="126"/>
        <v>0.92197840401815156</v>
      </c>
      <c r="H320" s="413" t="b">
        <f>Wh_hp&gt;='2022'!Maxi_hp</f>
        <v>0</v>
      </c>
      <c r="I320" s="389">
        <f>IF(H320,Wh_hp,'2022'!Maxi_hp)</f>
        <v>32.454853760099304</v>
      </c>
      <c r="J320" s="85">
        <f>IF(H320,An,'2022'!An_max)</f>
        <v>2022</v>
      </c>
      <c r="K320" s="196">
        <f t="shared" si="104"/>
        <v>45232</v>
      </c>
      <c r="L320" s="147">
        <f>IF(t&lt;Tvie,1-EXP((T0-t)*PertePVj)+'2022'!Pspv,1-EXP((T0-t)*PertePVj)+Pspv)</f>
        <v>4.1282577318400106E-2</v>
      </c>
      <c r="M320" s="847"/>
      <c r="N320" s="847"/>
      <c r="O320" s="48">
        <f>IF(t&lt;Tnet,'2022'!Resal+('2022'!Salim-'2022'!Resal)*(1-EXP(('2022'!Tnet-t)/('2022'!Tau_j))),Resal+(Salim-Resal)*(1-EXP((Tnet-t)/(Tau_j))))*Salcycl</f>
        <v>6.8170551687746314E-2</v>
      </c>
      <c r="P320" s="168">
        <f>(INDEX(Models!$BJ320:$BT320,,T320)*(1-R320)+INDEX(Models!$BJ320:$BT320,,T320+1)*R320-ERP_i)*Q320*Ramure*Pc/MaxiM</f>
        <v>6.1808152498559702E-4</v>
      </c>
      <c r="Q320" s="304">
        <f t="shared" si="105"/>
        <v>0.5</v>
      </c>
      <c r="R320" s="176">
        <f t="shared" si="106"/>
        <v>0.33410071618183679</v>
      </c>
      <c r="S320" s="814">
        <f t="shared" si="107"/>
        <v>1</v>
      </c>
      <c r="T320" s="175">
        <f t="shared" si="108"/>
        <v>7</v>
      </c>
      <c r="U320" s="250">
        <f t="shared" si="109"/>
        <v>1.3341007161818368</v>
      </c>
      <c r="V320" s="382">
        <f t="shared" si="110"/>
        <v>31.427522119317079</v>
      </c>
      <c r="W320" s="401">
        <f t="shared" si="111"/>
        <v>28.977492445875033</v>
      </c>
      <c r="X320" s="157">
        <f t="shared" si="112"/>
        <v>45232</v>
      </c>
      <c r="Y320" s="384">
        <f t="shared" si="113"/>
        <v>28.480269473877183</v>
      </c>
      <c r="Z320" s="384">
        <f t="shared" si="114"/>
        <v>29.70663597018595</v>
      </c>
      <c r="AA320" s="385">
        <f t="shared" si="115"/>
        <v>32.436482367533173</v>
      </c>
      <c r="AB320" s="196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8.4159754637254433E-2</v>
      </c>
      <c r="AD320" s="230">
        <f>(INDEX(Models!$BJ320:$BT320,,AH320)*(1-AF320)+INDEX(Models!$BJ320:$BT320,,AH320+1)*AF320-ERP_i)*AE320*Ramure*Pc/MaxiM</f>
        <v>6.1808152498559702E-4</v>
      </c>
      <c r="AE320" s="304">
        <f t="shared" si="117"/>
        <v>0.5</v>
      </c>
      <c r="AF320" s="176">
        <f t="shared" si="118"/>
        <v>0.33410071618183679</v>
      </c>
      <c r="AG320" s="814">
        <f t="shared" si="124"/>
        <v>1</v>
      </c>
      <c r="AH320" s="175">
        <f t="shared" si="119"/>
        <v>7</v>
      </c>
      <c r="AI320" s="224">
        <f t="shared" si="120"/>
        <v>1.3341007161818368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10">
        <f>'2022'!Wh/'2022'!Env_an*'2023'!Env_an</f>
        <v>9.3509143670740453</v>
      </c>
      <c r="C321" s="843"/>
      <c r="D321" s="392">
        <f t="shared" si="102"/>
        <v>9.7537801055731137</v>
      </c>
      <c r="E321" s="384">
        <f t="shared" si="125"/>
        <v>10.467206017031641</v>
      </c>
      <c r="F321" s="384">
        <f t="shared" si="103"/>
        <v>10.467207888289614</v>
      </c>
      <c r="G321" s="110">
        <f t="shared" si="126"/>
        <v>0.30000573684548842</v>
      </c>
      <c r="H321" s="413" t="b">
        <f>Wh_hp&gt;='2022'!Maxi_hp</f>
        <v>0</v>
      </c>
      <c r="I321" s="389">
        <f>IF(H321,Wh_hp,'2022'!Maxi_hp)</f>
        <v>31.704368019491852</v>
      </c>
      <c r="J321" s="85">
        <f>IF(H321,An,'2022'!An_max)</f>
        <v>2020</v>
      </c>
      <c r="K321" s="196">
        <f t="shared" si="104"/>
        <v>45233</v>
      </c>
      <c r="L321" s="147">
        <f>IF(t&lt;Tvie,1-EXP((T0-t)*PertePVj)+'2022'!Pspv,1-EXP((T0-t)*PertePVj)+Pspv)</f>
        <v>4.1303549407360453E-2</v>
      </c>
      <c r="M321" s="847"/>
      <c r="N321" s="847"/>
      <c r="O321" s="48">
        <f>IF(t&lt;Tnet,'2022'!Resal+('2022'!Salim-'2022'!Resal)*(1-EXP(('2022'!Tnet-t)/('2022'!Tau_j))),Resal+(Salim-Resal)*(1-EXP((Tnet-t)/(Tau_j))))*Salcycl</f>
        <v>6.815819907410639E-2</v>
      </c>
      <c r="P321" s="168">
        <f>(INDEX(Models!$BJ321:$BT321,,T321)*(1-R321)+INDEX(Models!$BJ321:$BT321,,T321+1)*R321-ERP_i)*Q321*Ramure*Pc/MaxiM</f>
        <v>6.3625405465542889E-4</v>
      </c>
      <c r="Q321" s="304">
        <f t="shared" si="105"/>
        <v>0.5</v>
      </c>
      <c r="R321" s="176">
        <f t="shared" si="106"/>
        <v>0.33413180897107275</v>
      </c>
      <c r="S321" s="814">
        <f t="shared" si="107"/>
        <v>1</v>
      </c>
      <c r="T321" s="175">
        <f t="shared" si="108"/>
        <v>7</v>
      </c>
      <c r="U321" s="250">
        <f t="shared" si="109"/>
        <v>1.3341318089710728</v>
      </c>
      <c r="V321" s="382">
        <f t="shared" si="110"/>
        <v>31.149292606152017</v>
      </c>
      <c r="W321" s="401">
        <f t="shared" si="111"/>
        <v>9.3509143670740453</v>
      </c>
      <c r="X321" s="157">
        <f t="shared" si="112"/>
        <v>45233</v>
      </c>
      <c r="Y321" s="384">
        <f t="shared" si="113"/>
        <v>9.1907470646977352</v>
      </c>
      <c r="Z321" s="384">
        <f t="shared" si="114"/>
        <v>9.5867123102586547</v>
      </c>
      <c r="AA321" s="385">
        <f t="shared" si="115"/>
        <v>10.467206017031641</v>
      </c>
      <c r="AB321" s="196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8.41192678676905E-2</v>
      </c>
      <c r="AD321" s="230">
        <f>(INDEX(Models!$BJ321:$BT321,,AH321)*(1-AF321)+INDEX(Models!$BJ321:$BT321,,AH321+1)*AF321-ERP_i)*AE321*Ramure*Pc/MaxiM</f>
        <v>6.3625405465542889E-4</v>
      </c>
      <c r="AE321" s="304">
        <f t="shared" si="117"/>
        <v>0.5</v>
      </c>
      <c r="AF321" s="176">
        <f t="shared" si="118"/>
        <v>0.33413180897107275</v>
      </c>
      <c r="AG321" s="814">
        <f t="shared" si="124"/>
        <v>1</v>
      </c>
      <c r="AH321" s="175">
        <f t="shared" si="119"/>
        <v>7</v>
      </c>
      <c r="AI321" s="224">
        <f t="shared" si="120"/>
        <v>1.3341318089710728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10">
        <f>'2022'!Wh/'2022'!Env_an*'2023'!Env_an</f>
        <v>13.803037039541179</v>
      </c>
      <c r="C322" s="843"/>
      <c r="D322" s="392">
        <f t="shared" si="102"/>
        <v>14.398028678559321</v>
      </c>
      <c r="E322" s="384">
        <f t="shared" si="125"/>
        <v>15.450946893726083</v>
      </c>
      <c r="F322" s="384">
        <f t="shared" si="103"/>
        <v>15.453080579322728</v>
      </c>
      <c r="G322" s="110">
        <f t="shared" si="126"/>
        <v>0.44685516533881825</v>
      </c>
      <c r="H322" s="413" t="b">
        <f>Wh_hp&gt;='2022'!Maxi_hp</f>
        <v>0</v>
      </c>
      <c r="I322" s="389">
        <f>IF(H322,Wh_hp,'2022'!Maxi_hp)</f>
        <v>22.319752291324583</v>
      </c>
      <c r="J322" s="85">
        <f>IF(H322,An,'2022'!An_max)</f>
        <v>2018</v>
      </c>
      <c r="K322" s="196">
        <f t="shared" si="104"/>
        <v>45234</v>
      </c>
      <c r="L322" s="147">
        <f>IF(t&lt;Tvie,1-EXP((T0-t)*PertePVj)+'2022'!Pspv,1-EXP((T0-t)*PertePVj)+Pspv)</f>
        <v>4.1324521036978347E-2</v>
      </c>
      <c r="M322" s="847"/>
      <c r="N322" s="847"/>
      <c r="O322" s="48">
        <f>IF(t&lt;Tnet,'2022'!Resal+('2022'!Salim-'2022'!Resal)*(1-EXP(('2022'!Tnet-t)/('2022'!Tau_j))),Resal+(Salim-Resal)*(1-EXP((Tnet-t)/(Tau_j))))*Salcycl</f>
        <v>6.8145869790951344E-2</v>
      </c>
      <c r="P322" s="168">
        <f>(INDEX(Models!$BJ322:$BT322,,T322)*(1-R322)+INDEX(Models!$BJ322:$BT322,,T322+1)*R322-ERP_i)*Q322*Ramure*Pc/MaxiM</f>
        <v>6.5711043470425027E-4</v>
      </c>
      <c r="Q322" s="304">
        <f t="shared" si="105"/>
        <v>0.5</v>
      </c>
      <c r="R322" s="176">
        <f t="shared" si="106"/>
        <v>0.33416165594117619</v>
      </c>
      <c r="S322" s="814">
        <f t="shared" si="107"/>
        <v>1</v>
      </c>
      <c r="T322" s="175">
        <f t="shared" si="108"/>
        <v>7</v>
      </c>
      <c r="U322" s="250">
        <f t="shared" si="109"/>
        <v>1.3341616559411762</v>
      </c>
      <c r="V322" s="382">
        <f t="shared" si="110"/>
        <v>30.873251237330113</v>
      </c>
      <c r="W322" s="401">
        <f t="shared" si="111"/>
        <v>13.803037039541179</v>
      </c>
      <c r="X322" s="157">
        <f t="shared" si="112"/>
        <v>45234</v>
      </c>
      <c r="Y322" s="384">
        <f t="shared" si="113"/>
        <v>13.567030336532156</v>
      </c>
      <c r="Z322" s="384">
        <f t="shared" si="114"/>
        <v>14.1518487060995</v>
      </c>
      <c r="AA322" s="385">
        <f t="shared" si="115"/>
        <v>15.450946893726083</v>
      </c>
      <c r="AB322" s="196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8.4078872095152066E-2</v>
      </c>
      <c r="AD322" s="230">
        <f>(INDEX(Models!$BJ322:$BT322,,AH322)*(1-AF322)+INDEX(Models!$BJ322:$BT322,,AH322+1)*AF322-ERP_i)*AE322*Ramure*Pc/MaxiM</f>
        <v>6.5711043470425027E-4</v>
      </c>
      <c r="AE322" s="304">
        <f t="shared" si="117"/>
        <v>0.5</v>
      </c>
      <c r="AF322" s="176">
        <f t="shared" si="118"/>
        <v>0.33416165594117619</v>
      </c>
      <c r="AG322" s="814">
        <f t="shared" si="124"/>
        <v>1</v>
      </c>
      <c r="AH322" s="175">
        <f t="shared" si="119"/>
        <v>7</v>
      </c>
      <c r="AI322" s="224">
        <f t="shared" si="120"/>
        <v>1.3341616559411762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10">
        <f>'2022'!Wh/'2022'!Env_an*'2023'!Env_an</f>
        <v>29.398440336806754</v>
      </c>
      <c r="C323" s="843"/>
      <c r="D323" s="392">
        <f t="shared" si="102"/>
        <v>30.6663559163723</v>
      </c>
      <c r="E323" s="384">
        <f t="shared" si="125"/>
        <v>32.90853396129863</v>
      </c>
      <c r="F323" s="384">
        <f t="shared" si="103"/>
        <v>32.92969147840833</v>
      </c>
      <c r="G323" s="110">
        <f t="shared" si="126"/>
        <v>0.9607155830941071</v>
      </c>
      <c r="H323" s="413" t="b">
        <f>Wh_hp&gt;='2022'!Maxi_hp</f>
        <v>0</v>
      </c>
      <c r="I323" s="389">
        <f>IF(H323,Wh_hp,'2022'!Maxi_hp)</f>
        <v>32.930013099566573</v>
      </c>
      <c r="J323" s="85">
        <f>IF(H323,An,'2022'!An_max)</f>
        <v>2022</v>
      </c>
      <c r="K323" s="196">
        <f t="shared" si="104"/>
        <v>45235</v>
      </c>
      <c r="L323" s="147">
        <f>IF(t&lt;Tvie,1-EXP((T0-t)*PertePVj)+'2022'!Pspv,1-EXP((T0-t)*PertePVj)+Pspv)</f>
        <v>4.1345492207263669E-2</v>
      </c>
      <c r="M323" s="847"/>
      <c r="N323" s="847"/>
      <c r="O323" s="48">
        <f>IF(t&lt;Tnet,'2022'!Resal+('2022'!Salim-'2022'!Resal)*(1-EXP(('2022'!Tnet-t)/('2022'!Tau_j))),Resal+(Salim-Resal)*(1-EXP((Tnet-t)/(Tau_j))))*Salcycl</f>
        <v>6.8133635110065816E-2</v>
      </c>
      <c r="P323" s="168">
        <f>(INDEX(Models!$BJ323:$BT323,,T323)*(1-R323)+INDEX(Models!$BJ323:$BT323,,T323+1)*R323-ERP_i)*Q323*Ramure*Pc/MaxiM</f>
        <v>6.8066969208532195E-4</v>
      </c>
      <c r="Q323" s="304">
        <f t="shared" si="105"/>
        <v>0.5</v>
      </c>
      <c r="R323" s="176">
        <f t="shared" si="106"/>
        <v>0.33419030677540995</v>
      </c>
      <c r="S323" s="814">
        <f t="shared" si="107"/>
        <v>1</v>
      </c>
      <c r="T323" s="175">
        <f t="shared" si="108"/>
        <v>7</v>
      </c>
      <c r="U323" s="250">
        <f t="shared" si="109"/>
        <v>1.33419030677541</v>
      </c>
      <c r="V323" s="382">
        <f t="shared" si="110"/>
        <v>30.599397129906695</v>
      </c>
      <c r="W323" s="401">
        <f t="shared" si="111"/>
        <v>29.398440336806754</v>
      </c>
      <c r="X323" s="157">
        <f t="shared" si="112"/>
        <v>45235</v>
      </c>
      <c r="Y323" s="384">
        <f t="shared" si="113"/>
        <v>28.896670129696371</v>
      </c>
      <c r="Z323" s="384">
        <f t="shared" si="114"/>
        <v>30.142945028475168</v>
      </c>
      <c r="AA323" s="385">
        <f t="shared" si="115"/>
        <v>32.90853396129863</v>
      </c>
      <c r="AB323" s="196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8.4038655021091882E-2</v>
      </c>
      <c r="AD323" s="230">
        <f>(INDEX(Models!$BJ323:$BT323,,AH323)*(1-AF323)+INDEX(Models!$BJ323:$BT323,,AH323+1)*AF323-ERP_i)*AE323*Ramure*Pc/MaxiM</f>
        <v>6.8066969208532195E-4</v>
      </c>
      <c r="AE323" s="304">
        <f t="shared" si="117"/>
        <v>0.5</v>
      </c>
      <c r="AF323" s="176">
        <f t="shared" si="118"/>
        <v>0.33419030677540995</v>
      </c>
      <c r="AG323" s="814">
        <f t="shared" si="124"/>
        <v>1</v>
      </c>
      <c r="AH323" s="175">
        <f t="shared" si="119"/>
        <v>7</v>
      </c>
      <c r="AI323" s="224">
        <f t="shared" si="120"/>
        <v>1.33419030677541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10">
        <f>'2022'!Wh/'2022'!Env_an*'2023'!Env_an</f>
        <v>30.26666013322269</v>
      </c>
      <c r="C324" s="843"/>
      <c r="D324" s="392">
        <f t="shared" si="102"/>
        <v>31.57271153412702</v>
      </c>
      <c r="E324" s="384">
        <f t="shared" si="125"/>
        <v>33.880719194581211</v>
      </c>
      <c r="F324" s="384">
        <f t="shared" si="103"/>
        <v>33.904572652339411</v>
      </c>
      <c r="G324" s="110">
        <f t="shared" si="126"/>
        <v>0.99798295383258195</v>
      </c>
      <c r="H324" s="413" t="b">
        <f>Wh_hp&gt;='2022'!Maxi_hp</f>
        <v>0</v>
      </c>
      <c r="I324" s="389">
        <f>IF(H324,Wh_hp,'2022'!Maxi_hp)</f>
        <v>33.904590428179517</v>
      </c>
      <c r="J324" s="85">
        <f>IF(H324,An,'2022'!An_max)</f>
        <v>2022</v>
      </c>
      <c r="K324" s="196">
        <f t="shared" si="104"/>
        <v>45236</v>
      </c>
      <c r="L324" s="147">
        <f>IF(t&lt;Tvie,1-EXP((T0-t)*PertePVj)+'2022'!Pspv,1-EXP((T0-t)*PertePVj)+Pspv)</f>
        <v>4.1366462918226522E-2</v>
      </c>
      <c r="M324" s="847"/>
      <c r="N324" s="847"/>
      <c r="O324" s="48">
        <f>IF(t&lt;Tnet,'2022'!Resal+('2022'!Salim-'2022'!Resal)*(1-EXP(('2022'!Tnet-t)/('2022'!Tau_j))),Resal+(Salim-Resal)*(1-EXP((Tnet-t)/(Tau_j))))*Salcycl</f>
        <v>6.8121566345714632E-2</v>
      </c>
      <c r="P324" s="168">
        <f>(INDEX(Models!$BJ324:$BT324,,T324)*(1-R324)+INDEX(Models!$BJ324:$BT324,,T324+1)*R324-ERP_i)*Q324*Ramure*Pc/MaxiM</f>
        <v>7.055779973578688E-4</v>
      </c>
      <c r="Q324" s="304">
        <f t="shared" si="105"/>
        <v>0.5</v>
      </c>
      <c r="R324" s="176">
        <f t="shared" si="106"/>
        <v>0.3342178091940915</v>
      </c>
      <c r="S324" s="814">
        <f t="shared" si="107"/>
        <v>1</v>
      </c>
      <c r="T324" s="175">
        <f t="shared" si="108"/>
        <v>7</v>
      </c>
      <c r="U324" s="250">
        <f t="shared" si="109"/>
        <v>1.3342178091940915</v>
      </c>
      <c r="V324" s="382">
        <f t="shared" si="110"/>
        <v>30.327771130624331</v>
      </c>
      <c r="W324" s="401">
        <f t="shared" si="111"/>
        <v>30.26666013322269</v>
      </c>
      <c r="X324" s="157">
        <f t="shared" si="112"/>
        <v>45236</v>
      </c>
      <c r="Y324" s="384">
        <f t="shared" si="113"/>
        <v>29.75098349466959</v>
      </c>
      <c r="Z324" s="384">
        <f t="shared" si="114"/>
        <v>31.03478268164508</v>
      </c>
      <c r="AA324" s="385">
        <f t="shared" si="115"/>
        <v>33.880719194581211</v>
      </c>
      <c r="AB324" s="196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8.3998704295253038E-2</v>
      </c>
      <c r="AD324" s="230">
        <f>(INDEX(Models!$BJ324:$BT324,,AH324)*(1-AF324)+INDEX(Models!$BJ324:$BT324,,AH324+1)*AF324-ERP_i)*AE324*Ramure*Pc/MaxiM</f>
        <v>7.055779973578688E-4</v>
      </c>
      <c r="AE324" s="304">
        <f t="shared" si="117"/>
        <v>0.5</v>
      </c>
      <c r="AF324" s="176">
        <f t="shared" si="118"/>
        <v>0.3342178091940915</v>
      </c>
      <c r="AG324" s="814">
        <f t="shared" si="124"/>
        <v>1</v>
      </c>
      <c r="AH324" s="175">
        <f t="shared" si="119"/>
        <v>7</v>
      </c>
      <c r="AI324" s="224">
        <f t="shared" si="120"/>
        <v>1.3342178091940915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10">
        <f>'2022'!Wh/'2022'!Env_an*'2023'!Env_an</f>
        <v>29.22587022132344</v>
      </c>
      <c r="C325" s="843"/>
      <c r="D325" s="392">
        <f t="shared" si="102"/>
        <v>30.487676912024664</v>
      </c>
      <c r="E325" s="384">
        <f t="shared" si="125"/>
        <v>32.715951696984412</v>
      </c>
      <c r="F325" s="384">
        <f t="shared" si="103"/>
        <v>32.738918852191439</v>
      </c>
      <c r="G325" s="110">
        <f t="shared" si="126"/>
        <v>0.9722743393226142</v>
      </c>
      <c r="H325" s="413" t="b">
        <f>Wh_hp&gt;='2022'!Maxi_hp</f>
        <v>0</v>
      </c>
      <c r="I325" s="389">
        <f>IF(H325,Wh_hp,'2022'!Maxi_hp)</f>
        <v>32.739164201753397</v>
      </c>
      <c r="J325" s="85">
        <f>IF(H325,An,'2022'!An_max)</f>
        <v>2022</v>
      </c>
      <c r="K325" s="196">
        <f t="shared" si="104"/>
        <v>45237</v>
      </c>
      <c r="L325" s="147">
        <f>IF(t&lt;Tvie,1-EXP((T0-t)*PertePVj)+'2022'!Pspv,1-EXP((T0-t)*PertePVj)+Pspv)</f>
        <v>4.138743316987701E-2</v>
      </c>
      <c r="M325" s="847"/>
      <c r="N325" s="847"/>
      <c r="O325" s="48">
        <f>IF(t&lt;Tnet,'2022'!Resal+('2022'!Salim-'2022'!Resal)*(1-EXP(('2022'!Tnet-t)/('2022'!Tau_j))),Resal+(Salim-Resal)*(1-EXP((Tnet-t)/(Tau_j))))*Salcycl</f>
        <v>6.8109734529444799E-2</v>
      </c>
      <c r="P325" s="168">
        <f>(INDEX(Models!$BJ325:$BT325,,T325)*(1-R325)+INDEX(Models!$BJ325:$BT325,,T325+1)*R325-ERP_i)*Q325*Ramure*Pc/MaxiM</f>
        <v>7.3042597924961265E-4</v>
      </c>
      <c r="Q325" s="304">
        <f t="shared" si="105"/>
        <v>0.5</v>
      </c>
      <c r="R325" s="176">
        <f t="shared" si="106"/>
        <v>0.33424420903069407</v>
      </c>
      <c r="S325" s="814">
        <f t="shared" si="107"/>
        <v>1</v>
      </c>
      <c r="T325" s="175">
        <f t="shared" si="108"/>
        <v>7</v>
      </c>
      <c r="U325" s="250">
        <f t="shared" si="109"/>
        <v>1.3342442090306941</v>
      </c>
      <c r="V325" s="382">
        <f t="shared" si="110"/>
        <v>30.058414355762089</v>
      </c>
      <c r="W325" s="401">
        <f t="shared" si="111"/>
        <v>29.22587022132344</v>
      </c>
      <c r="X325" s="157">
        <f t="shared" si="112"/>
        <v>45237</v>
      </c>
      <c r="Y325" s="384">
        <f t="shared" si="113"/>
        <v>28.728803427682589</v>
      </c>
      <c r="Z325" s="384">
        <f t="shared" si="114"/>
        <v>29.969149604079476</v>
      </c>
      <c r="AA325" s="385">
        <f t="shared" si="115"/>
        <v>32.715951696984412</v>
      </c>
      <c r="AB325" s="196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8.3959107115264553E-2</v>
      </c>
      <c r="AD325" s="230">
        <f>(INDEX(Models!$BJ325:$BT325,,AH325)*(1-AF325)+INDEX(Models!$BJ325:$BT325,,AH325+1)*AF325-ERP_i)*AE325*Ramure*Pc/MaxiM</f>
        <v>7.3042597924961265E-4</v>
      </c>
      <c r="AE325" s="304">
        <f t="shared" si="117"/>
        <v>0.5</v>
      </c>
      <c r="AF325" s="176">
        <f t="shared" si="118"/>
        <v>0.33424420903069407</v>
      </c>
      <c r="AG325" s="814">
        <f t="shared" si="124"/>
        <v>1</v>
      </c>
      <c r="AH325" s="175">
        <f t="shared" si="119"/>
        <v>7</v>
      </c>
      <c r="AI325" s="224">
        <f t="shared" si="120"/>
        <v>1.3342442090306941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10">
        <f>'2022'!Wh/'2022'!Env_an*'2023'!Env_an</f>
        <v>17.719483135178322</v>
      </c>
      <c r="C326" s="843"/>
      <c r="D326" s="392">
        <f t="shared" si="102"/>
        <v>18.484913898614174</v>
      </c>
      <c r="E326" s="384">
        <f t="shared" si="125"/>
        <v>19.835688801792262</v>
      </c>
      <c r="F326" s="384">
        <f t="shared" si="103"/>
        <v>19.841999373694847</v>
      </c>
      <c r="G326" s="110">
        <f t="shared" si="126"/>
        <v>0.59452657807250364</v>
      </c>
      <c r="H326" s="413" t="b">
        <f>Wh_hp&gt;='2022'!Maxi_hp</f>
        <v>0</v>
      </c>
      <c r="I326" s="389">
        <f>IF(H326,Wh_hp,'2022'!Maxi_hp)</f>
        <v>25.868696727513875</v>
      </c>
      <c r="J326" s="85">
        <f>IF(H326,An,'2022'!An_max)</f>
        <v>2021</v>
      </c>
      <c r="K326" s="196">
        <f t="shared" si="104"/>
        <v>45238</v>
      </c>
      <c r="L326" s="147">
        <f>IF(t&lt;Tvie,1-EXP((T0-t)*PertePVj)+'2022'!Pspv,1-EXP((T0-t)*PertePVj)+Pspv)</f>
        <v>4.1408402962225123E-2</v>
      </c>
      <c r="M326" s="847"/>
      <c r="N326" s="847"/>
      <c r="O326" s="48">
        <f>IF(t&lt;Tnet,'2022'!Resal+('2022'!Salim-'2022'!Resal)*(1-EXP(('2022'!Tnet-t)/('2022'!Tau_j))),Resal+(Salim-Resal)*(1-EXP((Tnet-t)/(Tau_j))))*Salcycl</f>
        <v>6.8098210083636673E-2</v>
      </c>
      <c r="P326" s="168">
        <f>(INDEX(Models!$BJ326:$BT326,,T326)*(1-R326)+INDEX(Models!$BJ326:$BT326,,T326+1)*R326-ERP_i)*Q326*Ramure*Pc/MaxiM</f>
        <v>7.5521995856360079E-4</v>
      </c>
      <c r="Q326" s="304">
        <f t="shared" si="105"/>
        <v>0.5</v>
      </c>
      <c r="R326" s="176">
        <f t="shared" si="106"/>
        <v>0.33426955030511363</v>
      </c>
      <c r="S326" s="814">
        <f t="shared" si="107"/>
        <v>1</v>
      </c>
      <c r="T326" s="175">
        <f t="shared" si="108"/>
        <v>7</v>
      </c>
      <c r="U326" s="250">
        <f t="shared" si="109"/>
        <v>1.3342695503051136</v>
      </c>
      <c r="V326" s="382">
        <f t="shared" si="110"/>
        <v>29.791324292356602</v>
      </c>
      <c r="W326" s="401">
        <f t="shared" si="111"/>
        <v>17.719483135178322</v>
      </c>
      <c r="X326" s="157">
        <f t="shared" si="112"/>
        <v>45238</v>
      </c>
      <c r="Y326" s="384">
        <f t="shared" si="113"/>
        <v>17.418643439883112</v>
      </c>
      <c r="Z326" s="384">
        <f t="shared" si="114"/>
        <v>18.171078792793448</v>
      </c>
      <c r="AA326" s="385">
        <f t="shared" si="115"/>
        <v>19.835688801792262</v>
      </c>
      <c r="AB326" s="196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8.3919949825407944E-2</v>
      </c>
      <c r="AD326" s="230">
        <f>(INDEX(Models!$BJ326:$BT326,,AH326)*(1-AF326)+INDEX(Models!$BJ326:$BT326,,AH326+1)*AF326-ERP_i)*AE326*Ramure*Pc/MaxiM</f>
        <v>7.5521995856360079E-4</v>
      </c>
      <c r="AE326" s="304">
        <f t="shared" si="117"/>
        <v>0.5</v>
      </c>
      <c r="AF326" s="176">
        <f t="shared" si="118"/>
        <v>0.33426955030511363</v>
      </c>
      <c r="AG326" s="814">
        <f t="shared" si="124"/>
        <v>1</v>
      </c>
      <c r="AH326" s="175">
        <f t="shared" si="119"/>
        <v>7</v>
      </c>
      <c r="AI326" s="224">
        <f t="shared" si="120"/>
        <v>1.3342695503051136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10">
        <f>'2022'!Wh/'2022'!Env_an*'2023'!Env_an</f>
        <v>8.8285077332806328</v>
      </c>
      <c r="C327" s="843"/>
      <c r="D327" s="392">
        <f t="shared" si="102"/>
        <v>9.2100753748530195</v>
      </c>
      <c r="E327" s="384">
        <f t="shared" si="125"/>
        <v>9.8829783386437118</v>
      </c>
      <c r="F327" s="384">
        <f t="shared" si="103"/>
        <v>9.8829783386437118</v>
      </c>
      <c r="G327" s="110">
        <f t="shared" si="126"/>
        <v>0.29876965543990813</v>
      </c>
      <c r="H327" s="413" t="b">
        <f>Wh_hp&gt;='2022'!Maxi_hp</f>
        <v>0</v>
      </c>
      <c r="I327" s="389">
        <f>IF(H327,Wh_hp,'2022'!Maxi_hp)</f>
        <v>23.871171034928089</v>
      </c>
      <c r="J327" s="85">
        <f>IF(H327,An,'2022'!An_max)</f>
        <v>2020</v>
      </c>
      <c r="K327" s="196">
        <f t="shared" si="104"/>
        <v>45239</v>
      </c>
      <c r="L327" s="147">
        <f>IF(t&lt;Tvie,1-EXP((T0-t)*PertePVj)+'2022'!Pspv,1-EXP((T0-t)*PertePVj)+Pspv)</f>
        <v>4.1429372295281076E-2</v>
      </c>
      <c r="M327" s="847"/>
      <c r="N327" s="847"/>
      <c r="O327" s="48">
        <f>IF(t&lt;Tnet,'2022'!Resal+('2022'!Salim-'2022'!Resal)*(1-EXP(('2022'!Tnet-t)/('2022'!Tau_j))),Resal+(Salim-Resal)*(1-EXP((Tnet-t)/(Tau_j))))*Salcycl</f>
        <v>6.8087062496085288E-2</v>
      </c>
      <c r="P327" s="168">
        <f>(INDEX(Models!$BJ327:$BT327,,T327)*(1-R327)+INDEX(Models!$BJ327:$BT327,,T327+1)*R327-ERP_i)*Q327*Ramure*Pc/MaxiM</f>
        <v>7.799673859162136E-4</v>
      </c>
      <c r="Q327" s="304">
        <f t="shared" si="105"/>
        <v>0.5</v>
      </c>
      <c r="R327" s="176">
        <f t="shared" si="106"/>
        <v>0.3342938752941953</v>
      </c>
      <c r="S327" s="814">
        <f t="shared" si="107"/>
        <v>1</v>
      </c>
      <c r="T327" s="175">
        <f t="shared" si="108"/>
        <v>7</v>
      </c>
      <c r="U327" s="250">
        <f t="shared" si="109"/>
        <v>1.3342938752941953</v>
      </c>
      <c r="V327" s="382">
        <f t="shared" si="110"/>
        <v>29.526498506661991</v>
      </c>
      <c r="W327" s="401">
        <f t="shared" si="111"/>
        <v>8.8285077332806328</v>
      </c>
      <c r="X327" s="157">
        <f t="shared" si="112"/>
        <v>45239</v>
      </c>
      <c r="Y327" s="384">
        <f t="shared" si="113"/>
        <v>8.6788803410799904</v>
      </c>
      <c r="Z327" s="384">
        <f t="shared" si="114"/>
        <v>9.0539810946027224</v>
      </c>
      <c r="AA327" s="385">
        <f t="shared" si="115"/>
        <v>9.8829783386437118</v>
      </c>
      <c r="AB327" s="196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8.3881317517362497E-2</v>
      </c>
      <c r="AD327" s="230">
        <f>(INDEX(Models!$BJ327:$BT327,,AH327)*(1-AF327)+INDEX(Models!$BJ327:$BT327,,AH327+1)*AF327-ERP_i)*AE327*Ramure*Pc/MaxiM</f>
        <v>7.799673859162136E-4</v>
      </c>
      <c r="AE327" s="304">
        <f t="shared" si="117"/>
        <v>0.5</v>
      </c>
      <c r="AF327" s="176">
        <f t="shared" si="118"/>
        <v>0.3342938752941953</v>
      </c>
      <c r="AG327" s="814">
        <f t="shared" si="124"/>
        <v>1</v>
      </c>
      <c r="AH327" s="175">
        <f t="shared" si="119"/>
        <v>7</v>
      </c>
      <c r="AI327" s="224">
        <f t="shared" si="120"/>
        <v>1.3342938752941953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10">
        <f>'2022'!Wh/'2022'!Env_an*'2023'!Env_an</f>
        <v>23.739636185411726</v>
      </c>
      <c r="C328" s="843"/>
      <c r="D328" s="392">
        <f t="shared" si="102"/>
        <v>24.766203781622306</v>
      </c>
      <c r="E328" s="384">
        <f t="shared" si="125"/>
        <v>26.575357377527769</v>
      </c>
      <c r="F328" s="384">
        <f t="shared" si="103"/>
        <v>26.590984174319725</v>
      </c>
      <c r="G328" s="110">
        <f t="shared" si="126"/>
        <v>0.81104888448753032</v>
      </c>
      <c r="H328" s="413" t="b">
        <f>Wh_hp&gt;='2022'!Maxi_hp</f>
        <v>0</v>
      </c>
      <c r="I328" s="389">
        <f>IF(H328,Wh_hp,'2022'!Maxi_hp)</f>
        <v>26.592469844178034</v>
      </c>
      <c r="J328" s="85">
        <f>IF(H328,An,'2022'!An_max)</f>
        <v>2022</v>
      </c>
      <c r="K328" s="196">
        <f t="shared" si="104"/>
        <v>45240</v>
      </c>
      <c r="L328" s="147">
        <f>IF(t&lt;Tvie,1-EXP((T0-t)*PertePVj)+'2022'!Pspv,1-EXP((T0-t)*PertePVj)+Pspv)</f>
        <v>4.1450341169054751E-2</v>
      </c>
      <c r="M328" s="847"/>
      <c r="N328" s="847"/>
      <c r="O328" s="48">
        <f>IF(t&lt;Tnet,'2022'!Resal+('2022'!Salim-'2022'!Resal)*(1-EXP(('2022'!Tnet-t)/('2022'!Tau_j))),Resal+(Salim-Resal)*(1-EXP((Tnet-t)/(Tau_j))))*Salcycl</f>
        <v>6.8076359997901362E-2</v>
      </c>
      <c r="P328" s="168">
        <f>(INDEX(Models!$BJ328:$BT328,,T328)*(1-R328)+INDEX(Models!$BJ328:$BT328,,T328+1)*R328-ERP_i)*Q328*Ramure*Pc/MaxiM</f>
        <v>8.0467681176128053E-4</v>
      </c>
      <c r="Q328" s="304">
        <f t="shared" si="105"/>
        <v>0.5</v>
      </c>
      <c r="R328" s="176">
        <f t="shared" si="106"/>
        <v>0.33431722459961644</v>
      </c>
      <c r="S328" s="814">
        <f t="shared" si="107"/>
        <v>1</v>
      </c>
      <c r="T328" s="175">
        <f t="shared" si="108"/>
        <v>7</v>
      </c>
      <c r="U328" s="250">
        <f t="shared" si="109"/>
        <v>1.3343172245996164</v>
      </c>
      <c r="V328" s="382">
        <f t="shared" si="110"/>
        <v>29.263934656288104</v>
      </c>
      <c r="W328" s="401">
        <f t="shared" si="111"/>
        <v>23.739636185411726</v>
      </c>
      <c r="X328" s="157">
        <f t="shared" si="112"/>
        <v>45240</v>
      </c>
      <c r="Y328" s="384">
        <f t="shared" si="113"/>
        <v>23.33799247528864</v>
      </c>
      <c r="Z328" s="384">
        <f t="shared" si="114"/>
        <v>24.34719188544894</v>
      </c>
      <c r="AA328" s="385">
        <f t="shared" si="115"/>
        <v>26.575357377527769</v>
      </c>
      <c r="AB328" s="196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8.3843293635741459E-2</v>
      </c>
      <c r="AD328" s="230">
        <f>(INDEX(Models!$BJ328:$BT328,,AH328)*(1-AF328)+INDEX(Models!$BJ328:$BT328,,AH328+1)*AF328-ERP_i)*AE328*Ramure*Pc/MaxiM</f>
        <v>8.0467681176128053E-4</v>
      </c>
      <c r="AE328" s="304">
        <f t="shared" si="117"/>
        <v>0.5</v>
      </c>
      <c r="AF328" s="176">
        <f t="shared" si="118"/>
        <v>0.33431722459961644</v>
      </c>
      <c r="AG328" s="814">
        <f t="shared" si="124"/>
        <v>1</v>
      </c>
      <c r="AH328" s="175">
        <f t="shared" si="119"/>
        <v>7</v>
      </c>
      <c r="AI328" s="224">
        <f t="shared" si="120"/>
        <v>1.3343172245996164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10">
        <f>'2022'!Wh/'2022'!Env_an*'2023'!Env_an</f>
        <v>27.68346839064219</v>
      </c>
      <c r="C329" s="843"/>
      <c r="D329" s="392">
        <f t="shared" si="102"/>
        <v>28.881209991340782</v>
      </c>
      <c r="E329" s="384">
        <f t="shared" si="125"/>
        <v>30.990622980180031</v>
      </c>
      <c r="F329" s="384">
        <f t="shared" si="103"/>
        <v>31.014672665723985</v>
      </c>
      <c r="G329" s="110">
        <f t="shared" si="126"/>
        <v>0.95443135324652506</v>
      </c>
      <c r="H329" s="413" t="b">
        <f>Wh_hp&gt;='2022'!Maxi_hp</f>
        <v>0</v>
      </c>
      <c r="I329" s="389">
        <f>IF(H329,Wh_hp,'2022'!Maxi_hp)</f>
        <v>31.015099805009147</v>
      </c>
      <c r="J329" s="85">
        <f>IF(H329,An,'2022'!An_max)</f>
        <v>2022</v>
      </c>
      <c r="K329" s="196">
        <f t="shared" si="104"/>
        <v>45241</v>
      </c>
      <c r="L329" s="147">
        <f>IF(t&lt;Tvie,1-EXP((T0-t)*PertePVj)+'2022'!Pspv,1-EXP((T0-t)*PertePVj)+Pspv)</f>
        <v>4.147130958355625E-2</v>
      </c>
      <c r="M329" s="847"/>
      <c r="N329" s="847"/>
      <c r="O329" s="48">
        <f>IF(t&lt;Tnet,'2022'!Resal+('2022'!Salim-'2022'!Resal)*(1-EXP(('2022'!Tnet-t)/('2022'!Tau_j))),Resal+(Salim-Resal)*(1-EXP((Tnet-t)/(Tau_j))))*Salcycl</f>
        <v>6.8066169247011296E-2</v>
      </c>
      <c r="P329" s="168">
        <f>(INDEX(Models!$BJ329:$BT329,,T329)*(1-R329)+INDEX(Models!$BJ329:$BT329,,T329+1)*R329-ERP_i)*Q329*Ramure*Pc/MaxiM</f>
        <v>8.2935784713704928E-4</v>
      </c>
      <c r="Q329" s="304">
        <f t="shared" si="105"/>
        <v>0.5</v>
      </c>
      <c r="R329" s="176">
        <f t="shared" si="106"/>
        <v>0.3343396372132148</v>
      </c>
      <c r="S329" s="814">
        <f t="shared" si="107"/>
        <v>1</v>
      </c>
      <c r="T329" s="175">
        <f t="shared" si="108"/>
        <v>7</v>
      </c>
      <c r="U329" s="250">
        <f t="shared" si="109"/>
        <v>1.3343396372132148</v>
      </c>
      <c r="V329" s="382">
        <f t="shared" si="110"/>
        <v>29.003630495121893</v>
      </c>
      <c r="W329" s="401">
        <f t="shared" si="111"/>
        <v>27.68346839064219</v>
      </c>
      <c r="X329" s="157">
        <f t="shared" si="112"/>
        <v>45241</v>
      </c>
      <c r="Y329" s="384">
        <f t="shared" si="113"/>
        <v>27.215911602713419</v>
      </c>
      <c r="Z329" s="384">
        <f t="shared" si="114"/>
        <v>28.393424082996571</v>
      </c>
      <c r="AA329" s="385">
        <f t="shared" si="115"/>
        <v>30.990622980180031</v>
      </c>
      <c r="AB329" s="196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8.3805959591212134E-2</v>
      </c>
      <c r="AD329" s="230">
        <f>(INDEX(Models!$BJ329:$BT329,,AH329)*(1-AF329)+INDEX(Models!$BJ329:$BT329,,AH329+1)*AF329-ERP_i)*AE329*Ramure*Pc/MaxiM</f>
        <v>8.2935784713704928E-4</v>
      </c>
      <c r="AE329" s="304">
        <f t="shared" si="117"/>
        <v>0.5</v>
      </c>
      <c r="AF329" s="176">
        <f t="shared" si="118"/>
        <v>0.3343396372132148</v>
      </c>
      <c r="AG329" s="814">
        <f t="shared" si="124"/>
        <v>1</v>
      </c>
      <c r="AH329" s="175">
        <f t="shared" si="119"/>
        <v>7</v>
      </c>
      <c r="AI329" s="224">
        <f t="shared" si="120"/>
        <v>1.3343396372132148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10">
        <f>'2022'!Wh/'2022'!Env_an*'2023'!Env_an</f>
        <v>27.552330368538723</v>
      </c>
      <c r="C330" s="843"/>
      <c r="D330" s="392">
        <f t="shared" si="102"/>
        <v>28.74502700697219</v>
      </c>
      <c r="E330" s="384">
        <f t="shared" si="125"/>
        <v>30.844175321790914</v>
      </c>
      <c r="F330" s="384">
        <f t="shared" si="103"/>
        <v>30.868974734685906</v>
      </c>
      <c r="G330" s="110">
        <f t="shared" si="126"/>
        <v>0.95844057235250246</v>
      </c>
      <c r="H330" s="413" t="b">
        <f>Wh_hp&gt;='2022'!Maxi_hp</f>
        <v>0</v>
      </c>
      <c r="I330" s="389">
        <f>IF(H330,Wh_hp,'2022'!Maxi_hp)</f>
        <v>30.869369637269219</v>
      </c>
      <c r="J330" s="85">
        <f>IF(H330,An,'2022'!An_max)</f>
        <v>2022</v>
      </c>
      <c r="K330" s="196">
        <f t="shared" si="104"/>
        <v>45242</v>
      </c>
      <c r="L330" s="147">
        <f>IF(t&lt;Tvie,1-EXP((T0-t)*PertePVj)+'2022'!Pspv,1-EXP((T0-t)*PertePVj)+Pspv)</f>
        <v>4.1492277538795676E-2</v>
      </c>
      <c r="M330" s="847"/>
      <c r="N330" s="847"/>
      <c r="O330" s="48">
        <f>IF(t&lt;Tnet,'2022'!Resal+('2022'!Salim-'2022'!Resal)*(1-EXP(('2022'!Tnet-t)/('2022'!Tau_j))),Resal+(Salim-Resal)*(1-EXP((Tnet-t)/(Tau_j))))*Salcycl</f>
        <v>6.8056555019505069E-2</v>
      </c>
      <c r="P330" s="168">
        <f>(INDEX(Models!$BJ330:$BT330,,T330)*(1-R330)+INDEX(Models!$BJ330:$BT330,,T330+1)*R330-ERP_i)*Q330*Ramure*Pc/MaxiM</f>
        <v>8.5402111481259373E-4</v>
      </c>
      <c r="Q330" s="304">
        <f t="shared" si="105"/>
        <v>0.5</v>
      </c>
      <c r="R330" s="176">
        <f t="shared" si="106"/>
        <v>0.33436115057985272</v>
      </c>
      <c r="S330" s="814">
        <f t="shared" si="107"/>
        <v>1</v>
      </c>
      <c r="T330" s="175">
        <f t="shared" si="108"/>
        <v>7</v>
      </c>
      <c r="U330" s="250">
        <f t="shared" si="109"/>
        <v>1.3343611505798527</v>
      </c>
      <c r="V330" s="382">
        <f t="shared" si="110"/>
        <v>28.745583886778597</v>
      </c>
      <c r="W330" s="401">
        <f t="shared" si="111"/>
        <v>27.552330368538723</v>
      </c>
      <c r="X330" s="157">
        <f t="shared" si="112"/>
        <v>45242</v>
      </c>
      <c r="Y330" s="384">
        <f t="shared" si="113"/>
        <v>27.087790010935834</v>
      </c>
      <c r="Z330" s="384">
        <f t="shared" si="114"/>
        <v>28.260377434812181</v>
      </c>
      <c r="AA330" s="385">
        <f t="shared" si="115"/>
        <v>30.844175321790914</v>
      </c>
      <c r="AB330" s="196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8.3769394383947829E-2</v>
      </c>
      <c r="AD330" s="230">
        <f>(INDEX(Models!$BJ330:$BT330,,AH330)*(1-AF330)+INDEX(Models!$BJ330:$BT330,,AH330+1)*AF330-ERP_i)*AE330*Ramure*Pc/MaxiM</f>
        <v>8.5402111481259373E-4</v>
      </c>
      <c r="AE330" s="304">
        <f t="shared" si="117"/>
        <v>0.5</v>
      </c>
      <c r="AF330" s="176">
        <f t="shared" si="118"/>
        <v>0.33436115057985272</v>
      </c>
      <c r="AG330" s="814">
        <f t="shared" si="124"/>
        <v>1</v>
      </c>
      <c r="AH330" s="175">
        <f t="shared" si="119"/>
        <v>7</v>
      </c>
      <c r="AI330" s="224">
        <f t="shared" si="120"/>
        <v>1.3343611505798527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10">
        <f>'2022'!Wh/'2022'!Env_an*'2023'!Env_an</f>
        <v>24.15820042886898</v>
      </c>
      <c r="C331" s="843"/>
      <c r="D331" s="392">
        <f t="shared" si="102"/>
        <v>25.204521923462231</v>
      </c>
      <c r="E331" s="384">
        <f t="shared" si="125"/>
        <v>27.044859136753004</v>
      </c>
      <c r="F331" s="384">
        <f t="shared" si="103"/>
        <v>27.063475927715992</v>
      </c>
      <c r="G331" s="110">
        <f t="shared" si="126"/>
        <v>0.84782913457300357</v>
      </c>
      <c r="H331" s="413" t="b">
        <f>Wh_hp&gt;='2022'!Maxi_hp</f>
        <v>0</v>
      </c>
      <c r="I331" s="389">
        <f>IF(H331,Wh_hp,'2022'!Maxi_hp)</f>
        <v>31.04926746236552</v>
      </c>
      <c r="J331" s="85">
        <f>IF(H331,An,'2022'!An_max)</f>
        <v>2020</v>
      </c>
      <c r="K331" s="196">
        <f t="shared" si="104"/>
        <v>45243</v>
      </c>
      <c r="L331" s="147">
        <f>IF(t&lt;Tvie,1-EXP((T0-t)*PertePVj)+'2022'!Pspv,1-EXP((T0-t)*PertePVj)+Pspv)</f>
        <v>4.1513245034783132E-2</v>
      </c>
      <c r="M331" s="847"/>
      <c r="N331" s="847"/>
      <c r="O331" s="48">
        <f>IF(t&lt;Tnet,'2022'!Resal+('2022'!Salim-'2022'!Resal)*(1-EXP(('2022'!Tnet-t)/('2022'!Tau_j))),Resal+(Salim-Resal)*(1-EXP((Tnet-t)/(Tau_j))))*Salcycl</f>
        <v>6.8047579911030845E-2</v>
      </c>
      <c r="P331" s="168">
        <f>(INDEX(Models!$BJ331:$BT331,,T331)*(1-R331)+INDEX(Models!$BJ331:$BT331,,T331+1)*R331-ERP_i)*Q331*Ramure*Pc/MaxiM</f>
        <v>8.7871050084604356E-4</v>
      </c>
      <c r="Q331" s="304">
        <f t="shared" si="105"/>
        <v>0.5</v>
      </c>
      <c r="R331" s="176">
        <f t="shared" si="106"/>
        <v>0.33438180065790313</v>
      </c>
      <c r="S331" s="814">
        <f t="shared" si="107"/>
        <v>1</v>
      </c>
      <c r="T331" s="175">
        <f t="shared" si="108"/>
        <v>7</v>
      </c>
      <c r="U331" s="250">
        <f t="shared" si="109"/>
        <v>1.3343818006579031</v>
      </c>
      <c r="V331" s="382">
        <f t="shared" si="110"/>
        <v>28.488744343569746</v>
      </c>
      <c r="W331" s="401">
        <f t="shared" si="111"/>
        <v>24.15820042886898</v>
      </c>
      <c r="X331" s="157">
        <f t="shared" si="112"/>
        <v>45243</v>
      </c>
      <c r="Y331" s="384">
        <f t="shared" si="113"/>
        <v>23.751583307029783</v>
      </c>
      <c r="Z331" s="384">
        <f t="shared" si="114"/>
        <v>24.780293711926902</v>
      </c>
      <c r="AA331" s="385">
        <f t="shared" si="115"/>
        <v>27.044859136753004</v>
      </c>
      <c r="AB331" s="196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8.3733674240093814E-2</v>
      </c>
      <c r="AD331" s="230">
        <f>(INDEX(Models!$BJ331:$BT331,,AH331)*(1-AF331)+INDEX(Models!$BJ331:$BT331,,AH331+1)*AF331-ERP_i)*AE331*Ramure*Pc/MaxiM</f>
        <v>8.7871050084604356E-4</v>
      </c>
      <c r="AE331" s="304">
        <f t="shared" si="117"/>
        <v>0.5</v>
      </c>
      <c r="AF331" s="176">
        <f t="shared" si="118"/>
        <v>0.33438180065790313</v>
      </c>
      <c r="AG331" s="814">
        <f t="shared" si="124"/>
        <v>1</v>
      </c>
      <c r="AH331" s="175">
        <f t="shared" si="119"/>
        <v>7</v>
      </c>
      <c r="AI331" s="224">
        <f t="shared" si="120"/>
        <v>1.3343818006579031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10">
        <f>'2022'!Wh/'2022'!Env_an*'2023'!Env_an</f>
        <v>11.342599636512521</v>
      </c>
      <c r="C332" s="843"/>
      <c r="D332" s="392">
        <f t="shared" si="102"/>
        <v>11.834120507344595</v>
      </c>
      <c r="E332" s="384">
        <f t="shared" si="125"/>
        <v>12.698089692812717</v>
      </c>
      <c r="F332" s="384">
        <f t="shared" si="103"/>
        <v>12.699753162824518</v>
      </c>
      <c r="G332" s="110">
        <f t="shared" si="126"/>
        <v>0.40144808476114063</v>
      </c>
      <c r="H332" s="413" t="b">
        <f>Wh_hp&gt;='2022'!Maxi_hp</f>
        <v>0</v>
      </c>
      <c r="I332" s="389">
        <f>IF(H332,Wh_hp,'2022'!Maxi_hp)</f>
        <v>19.84263142805246</v>
      </c>
      <c r="J332" s="85">
        <f>IF(H332,An,'2022'!An_max)</f>
        <v>2020</v>
      </c>
      <c r="K332" s="196">
        <f t="shared" si="104"/>
        <v>45244</v>
      </c>
      <c r="L332" s="147">
        <f>IF(t&lt;Tvie,1-EXP((T0-t)*PertePVj)+'2022'!Pspv,1-EXP((T0-t)*PertePVj)+Pspv)</f>
        <v>4.1534212071528499E-2</v>
      </c>
      <c r="M332" s="847"/>
      <c r="N332" s="847"/>
      <c r="O332" s="48">
        <f>IF(t&lt;Tnet,'2022'!Resal+('2022'!Salim-'2022'!Resal)*(1-EXP(('2022'!Tnet-t)/('2022'!Tau_j))),Resal+(Salim-Resal)*(1-EXP((Tnet-t)/(Tau_j))))*Salcycl</f>
        <v>6.8039304050367511E-2</v>
      </c>
      <c r="P332" s="168">
        <f>(INDEX(Models!$BJ332:$BT332,,T332)*(1-R332)+INDEX(Models!$BJ332:$BT332,,T332+1)*R332-ERP_i)*Q332*Ramure*Pc/MaxiM</f>
        <v>9.0105495256814045E-4</v>
      </c>
      <c r="Q332" s="304">
        <f t="shared" si="105"/>
        <v>0.5</v>
      </c>
      <c r="R332" s="176">
        <f t="shared" si="106"/>
        <v>0.33440162197744017</v>
      </c>
      <c r="S332" s="814">
        <f t="shared" si="107"/>
        <v>1</v>
      </c>
      <c r="T332" s="175">
        <f t="shared" si="108"/>
        <v>7</v>
      </c>
      <c r="U332" s="250">
        <f t="shared" si="109"/>
        <v>1.3344016219774402</v>
      </c>
      <c r="V332" s="382">
        <f t="shared" si="110"/>
        <v>28.232452267031718</v>
      </c>
      <c r="W332" s="401">
        <f t="shared" si="111"/>
        <v>11.342599636512521</v>
      </c>
      <c r="X332" s="157">
        <f t="shared" si="112"/>
        <v>45244</v>
      </c>
      <c r="Y332" s="384">
        <f t="shared" si="113"/>
        <v>11.152011971712922</v>
      </c>
      <c r="Z332" s="384">
        <f t="shared" si="114"/>
        <v>11.635273905619233</v>
      </c>
      <c r="AA332" s="385">
        <f t="shared" si="115"/>
        <v>12.698089692812717</v>
      </c>
      <c r="AB332" s="196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8.3698872263837515E-2</v>
      </c>
      <c r="AD332" s="230">
        <f>(INDEX(Models!$BJ332:$BT332,,AH332)*(1-AF332)+INDEX(Models!$BJ332:$BT332,,AH332+1)*AF332-ERP_i)*AE332*Ramure*Pc/MaxiM</f>
        <v>9.0105495256814045E-4</v>
      </c>
      <c r="AE332" s="304">
        <f t="shared" si="117"/>
        <v>0.5</v>
      </c>
      <c r="AF332" s="176">
        <f t="shared" si="118"/>
        <v>0.33440162197744017</v>
      </c>
      <c r="AG332" s="814">
        <f t="shared" si="124"/>
        <v>1</v>
      </c>
      <c r="AH332" s="175">
        <f t="shared" si="119"/>
        <v>7</v>
      </c>
      <c r="AI332" s="224">
        <f t="shared" si="120"/>
        <v>1.3344016219774402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10">
        <f>'2022'!Wh/'2022'!Env_an*'2023'!Env_an</f>
        <v>12.285437592206637</v>
      </c>
      <c r="C333" s="843"/>
      <c r="D333" s="392">
        <f t="shared" si="102"/>
        <v>12.818095855419125</v>
      </c>
      <c r="E333" s="384">
        <f t="shared" si="125"/>
        <v>13.753790791076197</v>
      </c>
      <c r="F333" s="384">
        <f t="shared" si="103"/>
        <v>13.756305519351894</v>
      </c>
      <c r="G333" s="110">
        <f t="shared" si="126"/>
        <v>0.43879914503749839</v>
      </c>
      <c r="H333" s="413" t="b">
        <f>Wh_hp&gt;='2022'!Maxi_hp</f>
        <v>0</v>
      </c>
      <c r="I333" s="389">
        <f>IF(H333,Wh_hp,'2022'!Maxi_hp)</f>
        <v>29.001692225643055</v>
      </c>
      <c r="J333" s="85">
        <f>IF(H333,An,'2022'!An_max)</f>
        <v>2020</v>
      </c>
      <c r="K333" s="196">
        <f t="shared" si="104"/>
        <v>45245</v>
      </c>
      <c r="L333" s="147">
        <f>IF(t&lt;Tvie,1-EXP((T0-t)*PertePVj)+'2022'!Pspv,1-EXP((T0-t)*PertePVj)+Pspv)</f>
        <v>4.1555178649042103E-2</v>
      </c>
      <c r="M333" s="847"/>
      <c r="N333" s="847"/>
      <c r="O333" s="48">
        <f>IF(t&lt;Tnet,'2022'!Resal+('2022'!Salim-'2022'!Resal)*(1-EXP(('2022'!Tnet-t)/('2022'!Tau_j))),Resal+(Salim-Resal)*(1-EXP((Tnet-t)/(Tau_j))))*Salcycl</f>
        <v>6.8031784827218222E-2</v>
      </c>
      <c r="P333" s="168">
        <f>(INDEX(Models!$BJ333:$BT333,,T333)*(1-R333)+INDEX(Models!$BJ333:$BT333,,T333+1)*R333-ERP_i)*Q333*Ramure*Pc/MaxiM</f>
        <v>9.197904276127889E-4</v>
      </c>
      <c r="Q333" s="304">
        <f t="shared" si="105"/>
        <v>0.5</v>
      </c>
      <c r="R333" s="176">
        <f t="shared" si="106"/>
        <v>0.33442064769621727</v>
      </c>
      <c r="S333" s="814">
        <f t="shared" si="107"/>
        <v>1</v>
      </c>
      <c r="T333" s="175">
        <f t="shared" si="108"/>
        <v>7</v>
      </c>
      <c r="U333" s="250">
        <f t="shared" si="109"/>
        <v>1.3344206476962173</v>
      </c>
      <c r="V333" s="382">
        <f t="shared" si="110"/>
        <v>27.977223504700795</v>
      </c>
      <c r="W333" s="401">
        <f t="shared" si="111"/>
        <v>12.285437592206637</v>
      </c>
      <c r="X333" s="157">
        <f t="shared" si="112"/>
        <v>45245</v>
      </c>
      <c r="Y333" s="384">
        <f t="shared" si="113"/>
        <v>12.079355882422192</v>
      </c>
      <c r="Z333" s="384">
        <f t="shared" si="114"/>
        <v>12.603079085341568</v>
      </c>
      <c r="AA333" s="385">
        <f t="shared" si="115"/>
        <v>13.753790791076197</v>
      </c>
      <c r="AB333" s="196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8.3665058107561224E-2</v>
      </c>
      <c r="AD333" s="230">
        <f>(INDEX(Models!$BJ333:$BT333,,AH333)*(1-AF333)+INDEX(Models!$BJ333:$BT333,,AH333+1)*AF333-ERP_i)*AE333*Ramure*Pc/MaxiM</f>
        <v>9.197904276127889E-4</v>
      </c>
      <c r="AE333" s="304">
        <f t="shared" si="117"/>
        <v>0.5</v>
      </c>
      <c r="AF333" s="176">
        <f t="shared" si="118"/>
        <v>0.33442064769621727</v>
      </c>
      <c r="AG333" s="814">
        <f t="shared" si="124"/>
        <v>1</v>
      </c>
      <c r="AH333" s="175">
        <f t="shared" si="119"/>
        <v>7</v>
      </c>
      <c r="AI333" s="224">
        <f t="shared" si="120"/>
        <v>1.3344206476962173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10">
        <f>'2022'!Wh/'2022'!Env_an*'2023'!Env_an</f>
        <v>27.292851476007076</v>
      </c>
      <c r="C334" s="843"/>
      <c r="D334" s="392">
        <f t="shared" si="102"/>
        <v>28.476807340507488</v>
      </c>
      <c r="E334" s="384">
        <f t="shared" si="125"/>
        <v>30.555336443736451</v>
      </c>
      <c r="F334" s="384">
        <f t="shared" si="103"/>
        <v>30.583293975795907</v>
      </c>
      <c r="G334" s="110">
        <f t="shared" si="126"/>
        <v>0.98444449476062534</v>
      </c>
      <c r="H334" s="413" t="b">
        <f>Wh_hp&gt;='2022'!Maxi_hp</f>
        <v>0</v>
      </c>
      <c r="I334" s="389">
        <f>IF(H334,Wh_hp,'2022'!Maxi_hp)</f>
        <v>30.583445229560123</v>
      </c>
      <c r="J334" s="85">
        <f>IF(H334,An,'2022'!An_max)</f>
        <v>2022</v>
      </c>
      <c r="K334" s="196">
        <f t="shared" si="104"/>
        <v>45246</v>
      </c>
      <c r="L334" s="147">
        <f>IF(t&lt;Tvie,1-EXP((T0-t)*PertePVj)+'2022'!Pspv,1-EXP((T0-t)*PertePVj)+Pspv)</f>
        <v>4.1576144767333713E-2</v>
      </c>
      <c r="M334" s="847"/>
      <c r="N334" s="847"/>
      <c r="O334" s="48">
        <f>IF(t&lt;Tnet,'2022'!Resal+('2022'!Salim-'2022'!Resal)*(1-EXP(('2022'!Tnet-t)/('2022'!Tau_j))),Resal+(Salim-Resal)*(1-EXP((Tnet-t)/(Tau_j))))*Salcycl</f>
        <v>6.8025076636164514E-2</v>
      </c>
      <c r="P334" s="168">
        <f>(INDEX(Models!$BJ334:$BT334,,T334)*(1-R334)+INDEX(Models!$BJ334:$BT334,,T334+1)*R334-ERP_i)*Q334*Ramure*Pc/MaxiM</f>
        <v>9.3489191812142131E-4</v>
      </c>
      <c r="Q334" s="304">
        <f t="shared" si="105"/>
        <v>0.5</v>
      </c>
      <c r="R334" s="176">
        <f t="shared" si="106"/>
        <v>0.33443890965351097</v>
      </c>
      <c r="S334" s="814">
        <f t="shared" si="107"/>
        <v>1</v>
      </c>
      <c r="T334" s="175">
        <f t="shared" si="108"/>
        <v>7</v>
      </c>
      <c r="U334" s="250">
        <f t="shared" si="109"/>
        <v>1.334438909653511</v>
      </c>
      <c r="V334" s="382">
        <f t="shared" si="110"/>
        <v>27.723538331454442</v>
      </c>
      <c r="W334" s="401">
        <f t="shared" si="111"/>
        <v>27.292851476007076</v>
      </c>
      <c r="X334" s="157">
        <f t="shared" si="112"/>
        <v>45246</v>
      </c>
      <c r="Y334" s="384">
        <f t="shared" si="113"/>
        <v>26.835794580221339</v>
      </c>
      <c r="Z334" s="384">
        <f t="shared" si="114"/>
        <v>27.999923451098471</v>
      </c>
      <c r="AA334" s="385">
        <f t="shared" si="115"/>
        <v>30.555336443736451</v>
      </c>
      <c r="AB334" s="196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8.363229766242071E-2</v>
      </c>
      <c r="AD334" s="230">
        <f>(INDEX(Models!$BJ334:$BT334,,AH334)*(1-AF334)+INDEX(Models!$BJ334:$BT334,,AH334+1)*AF334-ERP_i)*AE334*Ramure*Pc/MaxiM</f>
        <v>9.3489191812142131E-4</v>
      </c>
      <c r="AE334" s="304">
        <f t="shared" si="117"/>
        <v>0.5</v>
      </c>
      <c r="AF334" s="176">
        <f t="shared" si="118"/>
        <v>0.33443890965351097</v>
      </c>
      <c r="AG334" s="814">
        <f t="shared" si="124"/>
        <v>1</v>
      </c>
      <c r="AH334" s="175">
        <f t="shared" si="119"/>
        <v>7</v>
      </c>
      <c r="AI334" s="224">
        <f t="shared" si="120"/>
        <v>1.334438909653511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10">
        <f>'2022'!Wh/'2022'!Env_an*'2023'!Env_an</f>
        <v>14.06228176632886</v>
      </c>
      <c r="C335" s="843"/>
      <c r="D335" s="392">
        <f t="shared" ref="D335:D379" si="127">Wh/(1-Ppv)</f>
        <v>14.672620376369551</v>
      </c>
      <c r="E335" s="384">
        <f t="shared" si="125"/>
        <v>15.743479757016129</v>
      </c>
      <c r="F335" s="384">
        <f t="shared" ref="F335:F379" si="128">Wh_sa/(1-Pvg*MEDIAN((-Sdif+Wh/Env_an)/Csdif,0,1))</f>
        <v>15.747990604748876</v>
      </c>
      <c r="G335" s="110">
        <f t="shared" si="126"/>
        <v>0.51154129078116384</v>
      </c>
      <c r="H335" s="413" t="b">
        <f>Wh_hp&gt;='2022'!Maxi_hp</f>
        <v>0</v>
      </c>
      <c r="I335" s="389">
        <f>IF(H335,Wh_hp,'2022'!Maxi_hp)</f>
        <v>29.428386616561589</v>
      </c>
      <c r="J335" s="85">
        <f>IF(H335,An,'2022'!An_max)</f>
        <v>2018</v>
      </c>
      <c r="K335" s="196">
        <f t="shared" ref="K335:K379" si="129">t</f>
        <v>45247</v>
      </c>
      <c r="L335" s="147">
        <f>IF(t&lt;Tvie,1-EXP((T0-t)*PertePVj)+'2022'!Pspv,1-EXP((T0-t)*PertePVj)+Pspv)</f>
        <v>4.1597110426413543E-2</v>
      </c>
      <c r="M335" s="847"/>
      <c r="N335" s="847"/>
      <c r="O335" s="48">
        <f>IF(t&lt;Tnet,'2022'!Resal+('2022'!Salim-'2022'!Resal)*(1-EXP(('2022'!Tnet-t)/('2022'!Tau_j))),Resal+(Salim-Resal)*(1-EXP((Tnet-t)/(Tau_j))))*Salcycl</f>
        <v>6.8019230638597938E-2</v>
      </c>
      <c r="P335" s="168">
        <f>(INDEX(Models!$BJ335:$BT335,,T335)*(1-R335)+INDEX(Models!$BJ335:$BT335,,T335+1)*R335-ERP_i)*Q335*Ramure*Pc/MaxiM</f>
        <v>9.4633040391635035E-4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0.33445643842190753</v>
      </c>
      <c r="S335" s="814">
        <f t="shared" ref="S335:S379" si="132">INDEX(Echel_vg,T335)</f>
        <v>1</v>
      </c>
      <c r="T335" s="175">
        <f t="shared" ref="T335:T379" si="133">MIN(MATCH(Hp_vg,Echel_vg),10)</f>
        <v>7</v>
      </c>
      <c r="U335" s="250">
        <f t="shared" ref="U335:U379" si="134">IF(OR(t&lt;Ttai,Notai),Hdd+PousH*Croivg,Hdtf+PousH*(Croivg-Croi_tai))</f>
        <v>1.3344564384219075</v>
      </c>
      <c r="V335" s="382">
        <f t="shared" ref="V335:V379" si="135">MaxiM*(1-Ppv)*(1-Pvg)*(1-Psa)</f>
        <v>27.471877226756913</v>
      </c>
      <c r="W335" s="401">
        <f t="shared" ref="W335:W379" si="136">Wh*(A335&gt;Tmaj)</f>
        <v>14.06228176632886</v>
      </c>
      <c r="X335" s="157">
        <f t="shared" ref="X335:X379" si="137">t</f>
        <v>45247</v>
      </c>
      <c r="Y335" s="384">
        <f t="shared" ref="Y335:Y379" si="138">Wh_pvt_s*(1-Ppv)</f>
        <v>13.827179975007924</v>
      </c>
      <c r="Z335" s="384">
        <f t="shared" ref="Z335:Z379" si="139">Wh_sa_s*(1-Psa_s)</f>
        <v>14.427314572434071</v>
      </c>
      <c r="AA335" s="385">
        <f t="shared" ref="AA335:AA379" si="140">Wh_hp*(1-Pvg_s*MEDIAN((-Sdif+Wh/Env_an)/Csdif,0,1))</f>
        <v>15.743479757016129</v>
      </c>
      <c r="AB335" s="196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8.3600652771538983E-2</v>
      </c>
      <c r="AD335" s="230">
        <f>(INDEX(Models!$BJ335:$BT335,,AH335)*(1-AF335)+INDEX(Models!$BJ335:$BT335,,AH335+1)*AF335-ERP_i)*AE335*Ramure*Pc/MaxiM</f>
        <v>9.4633040391635035E-4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0.33445643842190753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1.3344564384219075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10">
        <f>'2022'!Wh/'2022'!Env_an*'2023'!Env_an</f>
        <v>12.548544320055463</v>
      </c>
      <c r="C336" s="843"/>
      <c r="D336" s="392">
        <f t="shared" si="127"/>
        <v>13.093469316270539</v>
      </c>
      <c r="E336" s="384">
        <f t="shared" si="125"/>
        <v>14.049002296519717</v>
      </c>
      <c r="F336" s="384">
        <f t="shared" si="128"/>
        <v>14.052085045773184</v>
      </c>
      <c r="G336" s="110">
        <f t="shared" si="126"/>
        <v>0.46061975318042253</v>
      </c>
      <c r="H336" s="413" t="b">
        <f>Wh_hp&gt;='2022'!Maxi_hp</f>
        <v>0</v>
      </c>
      <c r="I336" s="389">
        <f>IF(H336,Wh_hp,'2022'!Maxi_hp)</f>
        <v>28.461608184939823</v>
      </c>
      <c r="J336" s="85">
        <f>IF(H336,An,'2022'!An_max)</f>
        <v>2020</v>
      </c>
      <c r="K336" s="196">
        <f t="shared" si="129"/>
        <v>45248</v>
      </c>
      <c r="L336" s="147">
        <f>IF(t&lt;Tvie,1-EXP((T0-t)*PertePVj)+'2022'!Pspv,1-EXP((T0-t)*PertePVj)+Pspv)</f>
        <v>4.1618075626291696E-2</v>
      </c>
      <c r="M336" s="847"/>
      <c r="N336" s="847"/>
      <c r="O336" s="48">
        <f>IF(t&lt;Tnet,'2022'!Resal+('2022'!Salim-'2022'!Resal)*(1-EXP(('2022'!Tnet-t)/('2022'!Tau_j))),Resal+(Salim-Resal)*(1-EXP((Tnet-t)/(Tau_j))))*Salcycl</f>
        <v>6.8014294544309808E-2</v>
      </c>
      <c r="P336" s="168">
        <f>(INDEX(Models!$BJ336:$BT336,,T336)*(1-R336)+INDEX(Models!$BJ336:$BT336,,T336+1)*R336-ERP_i)*Q336*Ramure*Pc/MaxiM</f>
        <v>9.5407294728829277E-4</v>
      </c>
      <c r="Q336" s="304">
        <f t="shared" si="130"/>
        <v>0.5</v>
      </c>
      <c r="R336" s="176">
        <f t="shared" si="131"/>
        <v>0.33447326335710548</v>
      </c>
      <c r="S336" s="814">
        <f t="shared" si="132"/>
        <v>1</v>
      </c>
      <c r="T336" s="175">
        <f t="shared" si="133"/>
        <v>7</v>
      </c>
      <c r="U336" s="250">
        <f t="shared" si="134"/>
        <v>1.3344732633571055</v>
      </c>
      <c r="V336" s="382">
        <f t="shared" si="135"/>
        <v>27.222720879894158</v>
      </c>
      <c r="W336" s="401">
        <f t="shared" si="136"/>
        <v>12.548544320055463</v>
      </c>
      <c r="X336" s="157">
        <f t="shared" si="137"/>
        <v>45248</v>
      </c>
      <c r="Y336" s="384">
        <f t="shared" si="138"/>
        <v>12.339095045157135</v>
      </c>
      <c r="Z336" s="384">
        <f t="shared" si="139"/>
        <v>12.874924632182095</v>
      </c>
      <c r="AA336" s="385">
        <f t="shared" si="140"/>
        <v>14.049002296519717</v>
      </c>
      <c r="AB336" s="196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8.3570180967830698E-2</v>
      </c>
      <c r="AD336" s="230">
        <f>(INDEX(Models!$BJ336:$BT336,,AH336)*(1-AF336)+INDEX(Models!$BJ336:$BT336,,AH336+1)*AF336-ERP_i)*AE336*Ramure*Pc/MaxiM</f>
        <v>9.5407294728829277E-4</v>
      </c>
      <c r="AE336" s="304">
        <f t="shared" si="142"/>
        <v>0.5</v>
      </c>
      <c r="AF336" s="176">
        <f t="shared" si="143"/>
        <v>0.33447326335710548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1.3344732633571055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10">
        <f>'2022'!Wh/'2022'!Env_an*'2023'!Env_an</f>
        <v>8.3456757506603214</v>
      </c>
      <c r="C337" s="843"/>
      <c r="D337" s="392">
        <f t="shared" si="127"/>
        <v>8.7082801806284671</v>
      </c>
      <c r="E337" s="384">
        <f t="shared" si="125"/>
        <v>9.3437516494273467</v>
      </c>
      <c r="F337" s="384">
        <f t="shared" si="128"/>
        <v>9.3438714528110491</v>
      </c>
      <c r="G337" s="110">
        <f t="shared" si="126"/>
        <v>0.30907535415367682</v>
      </c>
      <c r="H337" s="413" t="b">
        <f>Wh_hp&gt;='2022'!Maxi_hp</f>
        <v>0</v>
      </c>
      <c r="I337" s="389">
        <f>IF(H337,Wh_hp,'2022'!Maxi_hp)</f>
        <v>29.760900399703338</v>
      </c>
      <c r="J337" s="85">
        <f>IF(H337,An,'2022'!An_max)</f>
        <v>2021</v>
      </c>
      <c r="K337" s="196">
        <f t="shared" si="129"/>
        <v>45249</v>
      </c>
      <c r="L337" s="147">
        <f>IF(t&lt;Tvie,1-EXP((T0-t)*PertePVj)+'2022'!Pspv,1-EXP((T0-t)*PertePVj)+Pspv)</f>
        <v>4.1639040366978165E-2</v>
      </c>
      <c r="M337" s="847"/>
      <c r="N337" s="847"/>
      <c r="O337" s="48">
        <f>IF(t&lt;Tnet,'2022'!Resal+('2022'!Salim-'2022'!Resal)*(1-EXP(('2022'!Tnet-t)/('2022'!Tau_j))),Resal+(Salim-Resal)*(1-EXP((Tnet-t)/(Tau_j))))*Salcycl</f>
        <v>6.8010312414267374E-2</v>
      </c>
      <c r="P337" s="168">
        <f>(INDEX(Models!$BJ337:$BT337,,T337)*(1-R337)+INDEX(Models!$BJ337:$BT337,,T337+1)*R337-ERP_i)*Q337*Ramure*Pc/MaxiM</f>
        <v>9.5808284332792124E-4</v>
      </c>
      <c r="Q337" s="304">
        <f t="shared" si="130"/>
        <v>0.5</v>
      </c>
      <c r="R337" s="176">
        <f t="shared" si="131"/>
        <v>0.33448941264580778</v>
      </c>
      <c r="S337" s="814">
        <f t="shared" si="132"/>
        <v>1</v>
      </c>
      <c r="T337" s="175">
        <f t="shared" si="133"/>
        <v>7</v>
      </c>
      <c r="U337" s="250">
        <f t="shared" si="134"/>
        <v>1.3344894126458078</v>
      </c>
      <c r="V337" s="382">
        <f t="shared" si="135"/>
        <v>26.976550196010123</v>
      </c>
      <c r="W337" s="401">
        <f t="shared" si="136"/>
        <v>8.3456757506603214</v>
      </c>
      <c r="X337" s="157">
        <f t="shared" si="137"/>
        <v>45249</v>
      </c>
      <c r="Y337" s="384">
        <f t="shared" si="138"/>
        <v>8.2066038875039951</v>
      </c>
      <c r="Z337" s="384">
        <f t="shared" si="139"/>
        <v>8.5631658979999461</v>
      </c>
      <c r="AA337" s="385">
        <f t="shared" si="140"/>
        <v>9.3437516494273467</v>
      </c>
      <c r="AB337" s="196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8.354093523828203E-2</v>
      </c>
      <c r="AD337" s="230">
        <f>(INDEX(Models!$BJ337:$BT337,,AH337)*(1-AF337)+INDEX(Models!$BJ337:$BT337,,AH337+1)*AF337-ERP_i)*AE337*Ramure*Pc/MaxiM</f>
        <v>9.5808284332792124E-4</v>
      </c>
      <c r="AE337" s="304">
        <f t="shared" si="142"/>
        <v>0.5</v>
      </c>
      <c r="AF337" s="176">
        <f t="shared" si="143"/>
        <v>0.33448941264580778</v>
      </c>
      <c r="AG337" s="814">
        <f t="shared" si="149"/>
        <v>1</v>
      </c>
      <c r="AH337" s="175">
        <f t="shared" si="144"/>
        <v>7</v>
      </c>
      <c r="AI337" s="224">
        <f t="shared" si="145"/>
        <v>1.3344894126458078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10">
        <f>'2022'!Wh/'2022'!Env_an*'2023'!Env_an</f>
        <v>17.163017026459627</v>
      </c>
      <c r="C338" s="843"/>
      <c r="D338" s="392">
        <f t="shared" si="127"/>
        <v>17.909110659796966</v>
      </c>
      <c r="E338" s="384">
        <f t="shared" si="125"/>
        <v>19.215934985668014</v>
      </c>
      <c r="F338" s="384">
        <f t="shared" si="128"/>
        <v>19.224935835612403</v>
      </c>
      <c r="G338" s="110">
        <f t="shared" si="126"/>
        <v>0.64168098841986232</v>
      </c>
      <c r="H338" s="413" t="b">
        <f>Wh_hp&gt;='2022'!Maxi_hp</f>
        <v>0</v>
      </c>
      <c r="I338" s="389">
        <f>IF(H338,Wh_hp,'2022'!Maxi_hp)</f>
        <v>30.755738511673645</v>
      </c>
      <c r="J338" s="85">
        <f>IF(H338,An,'2022'!An_max)</f>
        <v>2019</v>
      </c>
      <c r="K338" s="196">
        <f t="shared" si="129"/>
        <v>45250</v>
      </c>
      <c r="L338" s="147">
        <f>IF(t&lt;Tvie,1-EXP((T0-t)*PertePVj)+'2022'!Pspv,1-EXP((T0-t)*PertePVj)+Pspv)</f>
        <v>4.1660004648482941E-2</v>
      </c>
      <c r="M338" s="847"/>
      <c r="N338" s="847"/>
      <c r="O338" s="48">
        <f>IF(t&lt;Tnet,'2022'!Resal+('2022'!Salim-'2022'!Resal)*(1-EXP(('2022'!Tnet-t)/('2022'!Tau_j))),Resal+(Salim-Resal)*(1-EXP((Tnet-t)/(Tau_j))))*Salcycl</f>
        <v>6.800732448593981E-2</v>
      </c>
      <c r="P338" s="168">
        <f>(INDEX(Models!$BJ338:$BT338,,T338)*(1-R338)+INDEX(Models!$BJ338:$BT338,,T338+1)*R338-ERP_i)*Q338*Ramure*Pc/MaxiM</f>
        <v>9.5828770645535596E-4</v>
      </c>
      <c r="Q338" s="304">
        <f t="shared" si="130"/>
        <v>0.5</v>
      </c>
      <c r="R338" s="176">
        <f t="shared" si="131"/>
        <v>0.33450491335177124</v>
      </c>
      <c r="S338" s="814">
        <f t="shared" si="132"/>
        <v>1</v>
      </c>
      <c r="T338" s="175">
        <f t="shared" si="133"/>
        <v>7</v>
      </c>
      <c r="U338" s="250">
        <f t="shared" si="134"/>
        <v>1.3345049133517712</v>
      </c>
      <c r="V338" s="382">
        <f t="shared" si="135"/>
        <v>26.733847154195136</v>
      </c>
      <c r="W338" s="401">
        <f t="shared" si="136"/>
        <v>17.163017026459627</v>
      </c>
      <c r="X338" s="157">
        <f t="shared" si="137"/>
        <v>45250</v>
      </c>
      <c r="Y338" s="384">
        <f t="shared" si="138"/>
        <v>16.877474490745609</v>
      </c>
      <c r="Z338" s="384">
        <f t="shared" si="139"/>
        <v>17.611155302513474</v>
      </c>
      <c r="AA338" s="385">
        <f t="shared" si="140"/>
        <v>19.215934985668014</v>
      </c>
      <c r="AB338" s="196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8.3512963816303812E-2</v>
      </c>
      <c r="AD338" s="230">
        <f>(INDEX(Models!$BJ338:$BT338,,AH338)*(1-AF338)+INDEX(Models!$BJ338:$BT338,,AH338+1)*AF338-ERP_i)*AE338*Ramure*Pc/MaxiM</f>
        <v>9.5828770645535596E-4</v>
      </c>
      <c r="AE338" s="304">
        <f t="shared" si="142"/>
        <v>0.5</v>
      </c>
      <c r="AF338" s="176">
        <f t="shared" si="143"/>
        <v>0.33450491335177124</v>
      </c>
      <c r="AG338" s="814">
        <f t="shared" si="149"/>
        <v>1</v>
      </c>
      <c r="AH338" s="175">
        <f t="shared" si="144"/>
        <v>7</v>
      </c>
      <c r="AI338" s="224">
        <f t="shared" si="145"/>
        <v>1.3345049133517712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10">
        <f>'2022'!Wh/'2022'!Env_an*'2023'!Env_an</f>
        <v>2.937822067662053</v>
      </c>
      <c r="C339" s="843"/>
      <c r="D339" s="392">
        <f t="shared" si="127"/>
        <v>3.0655992117512145</v>
      </c>
      <c r="E339" s="384">
        <f t="shared" si="125"/>
        <v>3.2892884822275215</v>
      </c>
      <c r="F339" s="384">
        <f t="shared" si="128"/>
        <v>3.2892884822275215</v>
      </c>
      <c r="G339" s="110">
        <f t="shared" si="126"/>
        <v>0.11077588915611977</v>
      </c>
      <c r="H339" s="413" t="b">
        <f>Wh_hp&gt;='2022'!Maxi_hp</f>
        <v>0</v>
      </c>
      <c r="I339" s="389">
        <f>IF(H339,Wh_hp,'2022'!Maxi_hp)</f>
        <v>29.244111126722764</v>
      </c>
      <c r="J339" s="85">
        <f>IF(H339,An,'2022'!An_max)</f>
        <v>2019</v>
      </c>
      <c r="K339" s="196">
        <f t="shared" si="129"/>
        <v>45251</v>
      </c>
      <c r="L339" s="147">
        <f>IF(t&lt;Tvie,1-EXP((T0-t)*PertePVj)+'2022'!Pspv,1-EXP((T0-t)*PertePVj)+Pspv)</f>
        <v>4.1680968470816239E-2</v>
      </c>
      <c r="M339" s="847"/>
      <c r="N339" s="847"/>
      <c r="O339" s="48">
        <f>IF(t&lt;Tnet,'2022'!Resal+('2022'!Salim-'2022'!Resal)*(1-EXP(('2022'!Tnet-t)/('2022'!Tau_j))),Resal+(Salim-Resal)*(1-EXP((Tnet-t)/(Tau_j))))*Salcycl</f>
        <v>6.8005367022360846E-2</v>
      </c>
      <c r="P339" s="168">
        <f>(INDEX(Models!$BJ339:$BT339,,T339)*(1-R339)+INDEX(Models!$BJ339:$BT339,,T339+1)*R339-ERP_i)*Q339*Ramure*Pc/MaxiM</f>
        <v>9.5606437963085687E-4</v>
      </c>
      <c r="Q339" s="304">
        <f t="shared" si="130"/>
        <v>0.5</v>
      </c>
      <c r="R339" s="176">
        <f t="shared" si="131"/>
        <v>0.33451979146008215</v>
      </c>
      <c r="S339" s="814">
        <f t="shared" si="132"/>
        <v>1</v>
      </c>
      <c r="T339" s="175">
        <f t="shared" si="133"/>
        <v>7</v>
      </c>
      <c r="U339" s="250">
        <f t="shared" si="134"/>
        <v>1.3345197914600821</v>
      </c>
      <c r="V339" s="382">
        <f t="shared" si="135"/>
        <v>26.4950554040967</v>
      </c>
      <c r="W339" s="401">
        <f t="shared" si="136"/>
        <v>2.937822067662053</v>
      </c>
      <c r="X339" s="157">
        <f t="shared" si="137"/>
        <v>45251</v>
      </c>
      <c r="Y339" s="384">
        <f t="shared" si="138"/>
        <v>2.8890232287963524</v>
      </c>
      <c r="Z339" s="384">
        <f t="shared" si="139"/>
        <v>3.0146779243091477</v>
      </c>
      <c r="AA339" s="385">
        <f t="shared" si="140"/>
        <v>3.2892884822275215</v>
      </c>
      <c r="AB339" s="196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8.3486310003556219E-2</v>
      </c>
      <c r="AD339" s="230">
        <f>(INDEX(Models!$BJ339:$BT339,,AH339)*(1-AF339)+INDEX(Models!$BJ339:$BT339,,AH339+1)*AF339-ERP_i)*AE339*Ramure*Pc/MaxiM</f>
        <v>9.5606437963085687E-4</v>
      </c>
      <c r="AE339" s="304">
        <f t="shared" si="142"/>
        <v>0.5</v>
      </c>
      <c r="AF339" s="176">
        <f t="shared" si="143"/>
        <v>0.33451979146008215</v>
      </c>
      <c r="AG339" s="814">
        <f t="shared" si="149"/>
        <v>1</v>
      </c>
      <c r="AH339" s="175">
        <f t="shared" si="144"/>
        <v>7</v>
      </c>
      <c r="AI339" s="224">
        <f t="shared" si="145"/>
        <v>1.3345197914600821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10">
        <f>'2022'!Wh/'2022'!Env_an*'2023'!Env_an</f>
        <v>9.1775295180050893</v>
      </c>
      <c r="C340" s="843"/>
      <c r="D340" s="392">
        <f t="shared" si="127"/>
        <v>9.5769049556460217</v>
      </c>
      <c r="E340" s="384">
        <f t="shared" si="125"/>
        <v>10.275698401802375</v>
      </c>
      <c r="F340" s="384">
        <f t="shared" si="128"/>
        <v>10.276389453501302</v>
      </c>
      <c r="G340" s="110">
        <f t="shared" si="126"/>
        <v>0.34916928273061415</v>
      </c>
      <c r="H340" s="413" t="b">
        <f>Wh_hp&gt;='2022'!Maxi_hp</f>
        <v>0</v>
      </c>
      <c r="I340" s="389">
        <f>IF(H340,Wh_hp,'2022'!Maxi_hp)</f>
        <v>30.738398160711071</v>
      </c>
      <c r="J340" s="85">
        <f>IF(H340,An,'2022'!An_max)</f>
        <v>2020</v>
      </c>
      <c r="K340" s="196">
        <f t="shared" si="129"/>
        <v>45252</v>
      </c>
      <c r="L340" s="147">
        <f>IF(t&lt;Tvie,1-EXP((T0-t)*PertePVj)+'2022'!Pspv,1-EXP((T0-t)*PertePVj)+Pspv)</f>
        <v>4.1701931833987939E-2</v>
      </c>
      <c r="M340" s="847"/>
      <c r="N340" s="847"/>
      <c r="O340" s="48">
        <f>IF(t&lt;Tnet,'2022'!Resal+('2022'!Salim-'2022'!Resal)*(1-EXP(('2022'!Tnet-t)/('2022'!Tau_j))),Resal+(Salim-Resal)*(1-EXP((Tnet-t)/(Tau_j))))*Salcycl</f>
        <v>6.8004472185927811E-2</v>
      </c>
      <c r="P340" s="168">
        <f>(INDEX(Models!$BJ340:$BT340,,T340)*(1-R340)+INDEX(Models!$BJ340:$BT340,,T340+1)*R340-ERP_i)*Q340*Ramure*Pc/MaxiM</f>
        <v>9.5137855142533954E-4</v>
      </c>
      <c r="Q340" s="304">
        <f t="shared" si="130"/>
        <v>0.5</v>
      </c>
      <c r="R340" s="176">
        <f t="shared" si="131"/>
        <v>0.3345340719197234</v>
      </c>
      <c r="S340" s="814">
        <f t="shared" si="132"/>
        <v>1</v>
      </c>
      <c r="T340" s="175">
        <f t="shared" si="133"/>
        <v>7</v>
      </c>
      <c r="U340" s="250">
        <f t="shared" si="134"/>
        <v>1.3345340719197234</v>
      </c>
      <c r="V340" s="382">
        <f t="shared" si="135"/>
        <v>26.260657160438612</v>
      </c>
      <c r="W340" s="401">
        <f t="shared" si="136"/>
        <v>9.1775295180050893</v>
      </c>
      <c r="X340" s="157">
        <f t="shared" si="137"/>
        <v>45252</v>
      </c>
      <c r="Y340" s="384">
        <f t="shared" si="138"/>
        <v>9.0253261582655391</v>
      </c>
      <c r="Z340" s="384">
        <f t="shared" si="139"/>
        <v>9.4180782139508867</v>
      </c>
      <c r="AA340" s="385">
        <f t="shared" si="140"/>
        <v>10.275698401802375</v>
      </c>
      <c r="AB340" s="196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8.3461012022410047E-2</v>
      </c>
      <c r="AD340" s="230">
        <f>(INDEX(Models!$BJ340:$BT340,,AH340)*(1-AF340)+INDEX(Models!$BJ340:$BT340,,AH340+1)*AF340-ERP_i)*AE340*Ramure*Pc/MaxiM</f>
        <v>9.5137855142533954E-4</v>
      </c>
      <c r="AE340" s="304">
        <f t="shared" si="142"/>
        <v>0.5</v>
      </c>
      <c r="AF340" s="176">
        <f t="shared" si="143"/>
        <v>0.3345340719197234</v>
      </c>
      <c r="AG340" s="814">
        <f t="shared" si="149"/>
        <v>1</v>
      </c>
      <c r="AH340" s="175">
        <f t="shared" si="144"/>
        <v>7</v>
      </c>
      <c r="AI340" s="224">
        <f t="shared" si="145"/>
        <v>1.3345340719197234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10">
        <f>'2022'!Wh/'2022'!Env_an*'2023'!Env_an</f>
        <v>15.025045429215574</v>
      </c>
      <c r="C341" s="843"/>
      <c r="D341" s="392">
        <f t="shared" si="127"/>
        <v>15.67922821771657</v>
      </c>
      <c r="E341" s="384">
        <f t="shared" si="125"/>
        <v>16.823290501919779</v>
      </c>
      <c r="F341" s="384">
        <f t="shared" si="128"/>
        <v>16.829582947374423</v>
      </c>
      <c r="G341" s="110">
        <f t="shared" si="126"/>
        <v>0.57686587702100178</v>
      </c>
      <c r="H341" s="413" t="b">
        <f>Wh_hp&gt;='2022'!Maxi_hp</f>
        <v>0</v>
      </c>
      <c r="I341" s="389">
        <f>IF(H341,Wh_hp,'2022'!Maxi_hp)</f>
        <v>30.216505837462773</v>
      </c>
      <c r="J341" s="85">
        <f>IF(H341,An,'2022'!An_max)</f>
        <v>2020</v>
      </c>
      <c r="K341" s="196">
        <f t="shared" si="129"/>
        <v>45253</v>
      </c>
      <c r="L341" s="147">
        <f>IF(t&lt;Tvie,1-EXP((T0-t)*PertePVj)+'2022'!Pspv,1-EXP((T0-t)*PertePVj)+Pspv)</f>
        <v>4.1722894738008144E-2</v>
      </c>
      <c r="M341" s="847"/>
      <c r="N341" s="847"/>
      <c r="O341" s="48">
        <f>IF(t&lt;Tnet,'2022'!Resal+('2022'!Salim-'2022'!Resal)*(1-EXP(('2022'!Tnet-t)/('2022'!Tau_j))),Resal+(Salim-Resal)*(1-EXP((Tnet-t)/(Tau_j))))*Salcycl</f>
        <v>6.8004667937741056E-2</v>
      </c>
      <c r="P341" s="168">
        <f>(INDEX(Models!$BJ341:$BT341,,T341)*(1-R341)+INDEX(Models!$BJ341:$BT341,,T341+1)*R341-ERP_i)*Q341*Ramure*Pc/MaxiM</f>
        <v>9.4418801520527573E-4</v>
      </c>
      <c r="Q341" s="304">
        <f t="shared" si="130"/>
        <v>0.5</v>
      </c>
      <c r="R341" s="176">
        <f t="shared" si="131"/>
        <v>0.33454777868449326</v>
      </c>
      <c r="S341" s="814">
        <f t="shared" si="132"/>
        <v>1</v>
      </c>
      <c r="T341" s="175">
        <f t="shared" si="133"/>
        <v>7</v>
      </c>
      <c r="U341" s="250">
        <f t="shared" si="134"/>
        <v>1.3345477786844933</v>
      </c>
      <c r="V341" s="382">
        <f t="shared" si="135"/>
        <v>26.031134962223764</v>
      </c>
      <c r="W341" s="401">
        <f t="shared" si="136"/>
        <v>15.025045429215574</v>
      </c>
      <c r="X341" s="157">
        <f t="shared" si="137"/>
        <v>45253</v>
      </c>
      <c r="Y341" s="384">
        <f t="shared" si="138"/>
        <v>14.776253371558161</v>
      </c>
      <c r="Z341" s="384">
        <f t="shared" si="139"/>
        <v>15.419603881195044</v>
      </c>
      <c r="AA341" s="385">
        <f t="shared" si="140"/>
        <v>16.823290501919779</v>
      </c>
      <c r="AB341" s="196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8.3437102899967946E-2</v>
      </c>
      <c r="AD341" s="230">
        <f>(INDEX(Models!$BJ341:$BT341,,AH341)*(1-AF341)+INDEX(Models!$BJ341:$BT341,,AH341+1)*AF341-ERP_i)*AE341*Ramure*Pc/MaxiM</f>
        <v>9.4418801520527573E-4</v>
      </c>
      <c r="AE341" s="304">
        <f t="shared" si="142"/>
        <v>0.5</v>
      </c>
      <c r="AF341" s="176">
        <f t="shared" si="143"/>
        <v>0.33454777868449326</v>
      </c>
      <c r="AG341" s="814">
        <f t="shared" si="149"/>
        <v>1</v>
      </c>
      <c r="AH341" s="175">
        <f t="shared" si="144"/>
        <v>7</v>
      </c>
      <c r="AI341" s="224">
        <f t="shared" si="145"/>
        <v>1.3345477786844933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10">
        <f>'2022'!Wh/'2022'!Env_an*'2023'!Env_an</f>
        <v>13.443611610586093</v>
      </c>
      <c r="C342" s="843"/>
      <c r="D342" s="392">
        <f t="shared" si="127"/>
        <v>14.029246471683575</v>
      </c>
      <c r="E342" s="384">
        <f t="shared" si="125"/>
        <v>15.052936113283268</v>
      </c>
      <c r="F342" s="384">
        <f t="shared" si="128"/>
        <v>15.057376925138728</v>
      </c>
      <c r="G342" s="110">
        <f t="shared" si="126"/>
        <v>0.52059621069395079</v>
      </c>
      <c r="H342" s="413" t="b">
        <f>Wh_hp&gt;='2022'!Maxi_hp</f>
        <v>0</v>
      </c>
      <c r="I342" s="389">
        <f>IF(H342,Wh_hp,'2022'!Maxi_hp)</f>
        <v>28.331820487180057</v>
      </c>
      <c r="J342" s="85">
        <f>IF(H342,An,'2022'!An_max)</f>
        <v>2020</v>
      </c>
      <c r="K342" s="196">
        <f t="shared" si="129"/>
        <v>45254</v>
      </c>
      <c r="L342" s="147">
        <f>IF(t&lt;Tvie,1-EXP((T0-t)*PertePVj)+'2022'!Pspv,1-EXP((T0-t)*PertePVj)+Pspv)</f>
        <v>4.1743857182887069E-2</v>
      </c>
      <c r="M342" s="847"/>
      <c r="N342" s="847"/>
      <c r="O342" s="48">
        <f>IF(t&lt;Tnet,'2022'!Resal+('2022'!Salim-'2022'!Resal)*(1-EXP(('2022'!Tnet-t)/('2022'!Tau_j))),Resal+(Salim-Resal)*(1-EXP((Tnet-t)/(Tau_j))))*Salcycl</f>
        <v>6.8005977963086689E-2</v>
      </c>
      <c r="P342" s="168">
        <f>(INDEX(Models!$BJ342:$BT342,,T342)*(1-R342)+INDEX(Models!$BJ342:$BT342,,T342+1)*R342-ERP_i)*Q342*Ramure*Pc/MaxiM</f>
        <v>9.34453006577131E-4</v>
      </c>
      <c r="Q342" s="304">
        <f t="shared" si="130"/>
        <v>0.5</v>
      </c>
      <c r="R342" s="176">
        <f t="shared" si="131"/>
        <v>0.33456093475234194</v>
      </c>
      <c r="S342" s="814">
        <f t="shared" si="132"/>
        <v>1</v>
      </c>
      <c r="T342" s="175">
        <f t="shared" si="133"/>
        <v>7</v>
      </c>
      <c r="U342" s="250">
        <f t="shared" si="134"/>
        <v>1.3345609347523419</v>
      </c>
      <c r="V342" s="382">
        <f t="shared" si="135"/>
        <v>25.806971402106111</v>
      </c>
      <c r="W342" s="401">
        <f t="shared" si="136"/>
        <v>13.443611610586093</v>
      </c>
      <c r="X342" s="157">
        <f t="shared" si="137"/>
        <v>45254</v>
      </c>
      <c r="Y342" s="384">
        <f t="shared" si="138"/>
        <v>13.221348736765711</v>
      </c>
      <c r="Z342" s="384">
        <f t="shared" si="139"/>
        <v>13.797301312253689</v>
      </c>
      <c r="AA342" s="385">
        <f t="shared" si="140"/>
        <v>15.052936113283268</v>
      </c>
      <c r="AB342" s="196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8.3414610384319604E-2</v>
      </c>
      <c r="AD342" s="230">
        <f>(INDEX(Models!$BJ342:$BT342,,AH342)*(1-AF342)+INDEX(Models!$BJ342:$BT342,,AH342+1)*AF342-ERP_i)*AE342*Ramure*Pc/MaxiM</f>
        <v>9.34453006577131E-4</v>
      </c>
      <c r="AE342" s="304">
        <f t="shared" si="142"/>
        <v>0.5</v>
      </c>
      <c r="AF342" s="176">
        <f t="shared" si="143"/>
        <v>0.33456093475234194</v>
      </c>
      <c r="AG342" s="814">
        <f t="shared" si="149"/>
        <v>1</v>
      </c>
      <c r="AH342" s="175">
        <f t="shared" si="144"/>
        <v>7</v>
      </c>
      <c r="AI342" s="224">
        <f t="shared" si="145"/>
        <v>1.3345609347523419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10">
        <f>'2022'!Wh/'2022'!Env_an*'2023'!Env_an</f>
        <v>4.4183955677192097</v>
      </c>
      <c r="C343" s="843"/>
      <c r="D343" s="392">
        <f t="shared" si="127"/>
        <v>4.610971978596953</v>
      </c>
      <c r="E343" s="384">
        <f t="shared" si="125"/>
        <v>4.9474395322637008</v>
      </c>
      <c r="F343" s="384">
        <f t="shared" si="128"/>
        <v>4.9474395322637008</v>
      </c>
      <c r="G343" s="110">
        <f t="shared" si="126"/>
        <v>0.17251091227827828</v>
      </c>
      <c r="H343" s="413" t="b">
        <f>Wh_hp&gt;='2022'!Maxi_hp</f>
        <v>0</v>
      </c>
      <c r="I343" s="389">
        <f>IF(H343,Wh_hp,'2022'!Maxi_hp)</f>
        <v>25.716385889252038</v>
      </c>
      <c r="J343" s="85">
        <f>IF(H343,An,'2022'!An_max)</f>
        <v>2020</v>
      </c>
      <c r="K343" s="196">
        <f t="shared" si="129"/>
        <v>45255</v>
      </c>
      <c r="L343" s="147">
        <f>IF(t&lt;Tvie,1-EXP((T0-t)*PertePVj)+'2022'!Pspv,1-EXP((T0-t)*PertePVj)+Pspv)</f>
        <v>4.1764819168634594E-2</v>
      </c>
      <c r="M343" s="847"/>
      <c r="N343" s="847"/>
      <c r="O343" s="48">
        <f>IF(t&lt;Tnet,'2022'!Resal+('2022'!Salim-'2022'!Resal)*(1-EXP(('2022'!Tnet-t)/('2022'!Tau_j))),Resal+(Salim-Resal)*(1-EXP((Tnet-t)/(Tau_j))))*Salcycl</f>
        <v>6.8008421623456938E-2</v>
      </c>
      <c r="P343" s="168">
        <f>(INDEX(Models!$BJ343:$BT343,,T343)*(1-R343)+INDEX(Models!$BJ343:$BT343,,T343+1)*R343-ERP_i)*Q343*Ramure*Pc/MaxiM</f>
        <v>9.2213742898623354E-4</v>
      </c>
      <c r="Q343" s="304">
        <f t="shared" si="130"/>
        <v>0.5</v>
      </c>
      <c r="R343" s="176">
        <f t="shared" si="131"/>
        <v>0.33457356220318046</v>
      </c>
      <c r="S343" s="814">
        <f t="shared" si="132"/>
        <v>1</v>
      </c>
      <c r="T343" s="175">
        <f t="shared" si="133"/>
        <v>7</v>
      </c>
      <c r="U343" s="250">
        <f t="shared" si="134"/>
        <v>1.3345735622031805</v>
      </c>
      <c r="V343" s="382">
        <f t="shared" si="135"/>
        <v>25.588649097567718</v>
      </c>
      <c r="W343" s="401">
        <f t="shared" si="136"/>
        <v>4.4183955677192097</v>
      </c>
      <c r="X343" s="157">
        <f t="shared" si="137"/>
        <v>45255</v>
      </c>
      <c r="Y343" s="384">
        <f t="shared" si="138"/>
        <v>4.3454575551203138</v>
      </c>
      <c r="Z343" s="384">
        <f t="shared" si="139"/>
        <v>4.53485495215297</v>
      </c>
      <c r="AA343" s="385">
        <f t="shared" si="140"/>
        <v>4.9474395322637008</v>
      </c>
      <c r="AB343" s="196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8.3393556893448878E-2</v>
      </c>
      <c r="AD343" s="230">
        <f>(INDEX(Models!$BJ343:$BT343,,AH343)*(1-AF343)+INDEX(Models!$BJ343:$BT343,,AH343+1)*AF343-ERP_i)*AE343*Ramure*Pc/MaxiM</f>
        <v>9.2213742898623354E-4</v>
      </c>
      <c r="AE343" s="304">
        <f t="shared" si="142"/>
        <v>0.5</v>
      </c>
      <c r="AF343" s="176">
        <f t="shared" si="143"/>
        <v>0.33457356220318046</v>
      </c>
      <c r="AG343" s="814">
        <f t="shared" si="149"/>
        <v>1</v>
      </c>
      <c r="AH343" s="175">
        <f t="shared" si="144"/>
        <v>7</v>
      </c>
      <c r="AI343" s="224">
        <f t="shared" si="145"/>
        <v>1.3345735622031805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10">
        <f>'2022'!Wh/'2022'!Env_an*'2023'!Env_an</f>
        <v>10.314358956058953</v>
      </c>
      <c r="C344" s="843"/>
      <c r="D344" s="392">
        <f t="shared" si="127"/>
        <v>10.764147252524435</v>
      </c>
      <c r="E344" s="384">
        <f t="shared" si="125"/>
        <v>11.549663100246335</v>
      </c>
      <c r="F344" s="384">
        <f t="shared" si="128"/>
        <v>11.551256721400181</v>
      </c>
      <c r="G344" s="110">
        <f t="shared" si="126"/>
        <v>0.406138055083623</v>
      </c>
      <c r="H344" s="413" t="b">
        <f>Wh_hp&gt;='2022'!Maxi_hp</f>
        <v>0</v>
      </c>
      <c r="I344" s="389">
        <f>IF(H344,Wh_hp,'2022'!Maxi_hp)</f>
        <v>27.213789763808492</v>
      </c>
      <c r="J344" s="85">
        <f>IF(H344,An,'2022'!An_max)</f>
        <v>2020</v>
      </c>
      <c r="K344" s="196">
        <f t="shared" si="129"/>
        <v>45256</v>
      </c>
      <c r="L344" s="147">
        <f>IF(t&lt;Tvie,1-EXP((T0-t)*PertePVj)+'2022'!Pspv,1-EXP((T0-t)*PertePVj)+Pspv)</f>
        <v>4.1785780695260823E-2</v>
      </c>
      <c r="M344" s="847"/>
      <c r="N344" s="847"/>
      <c r="O344" s="48">
        <f>IF(t&lt;Tnet,'2022'!Resal+('2022'!Salim-'2022'!Resal)*(1-EXP(('2022'!Tnet-t)/('2022'!Tau_j))),Resal+(Salim-Resal)*(1-EXP((Tnet-t)/(Tau_j))))*Salcycl</f>
        <v>6.8012013935293644E-2</v>
      </c>
      <c r="P344" s="168">
        <f>(INDEX(Models!$BJ344:$BT344,,T344)*(1-R344)+INDEX(Models!$BJ344:$BT344,,T344+1)*R344-ERP_i)*Q344*Ramure*Pc/MaxiM</f>
        <v>9.0720436770153794E-4</v>
      </c>
      <c r="Q344" s="304">
        <f t="shared" si="130"/>
        <v>0.5</v>
      </c>
      <c r="R344" s="176">
        <f t="shared" si="131"/>
        <v>0.33458568223521956</v>
      </c>
      <c r="S344" s="814">
        <f t="shared" si="132"/>
        <v>1</v>
      </c>
      <c r="T344" s="175">
        <f t="shared" si="133"/>
        <v>7</v>
      </c>
      <c r="U344" s="250">
        <f t="shared" si="134"/>
        <v>1.3345856822352196</v>
      </c>
      <c r="V344" s="382">
        <f t="shared" si="135"/>
        <v>25.376650817332973</v>
      </c>
      <c r="W344" s="401">
        <f t="shared" si="136"/>
        <v>10.314358956058953</v>
      </c>
      <c r="X344" s="157">
        <f t="shared" si="137"/>
        <v>45256</v>
      </c>
      <c r="Y344" s="384">
        <f t="shared" si="138"/>
        <v>10.144347514757611</v>
      </c>
      <c r="Z344" s="384">
        <f t="shared" si="139"/>
        <v>10.586721956722938</v>
      </c>
      <c r="AA344" s="385">
        <f t="shared" si="140"/>
        <v>11.549663100246335</v>
      </c>
      <c r="AB344" s="196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8.3373959496953629E-2</v>
      </c>
      <c r="AD344" s="230">
        <f>(INDEX(Models!$BJ344:$BT344,,AH344)*(1-AF344)+INDEX(Models!$BJ344:$BT344,,AH344+1)*AF344-ERP_i)*AE344*Ramure*Pc/MaxiM</f>
        <v>9.0720436770153794E-4</v>
      </c>
      <c r="AE344" s="304">
        <f t="shared" si="142"/>
        <v>0.5</v>
      </c>
      <c r="AF344" s="176">
        <f t="shared" si="143"/>
        <v>0.33458568223521956</v>
      </c>
      <c r="AG344" s="814">
        <f t="shared" si="149"/>
        <v>1</v>
      </c>
      <c r="AH344" s="175">
        <f t="shared" si="144"/>
        <v>7</v>
      </c>
      <c r="AI344" s="224">
        <f t="shared" si="145"/>
        <v>1.3345856822352196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10">
        <f>'2022'!Wh/'2022'!Env_an*'2023'!Env_an</f>
        <v>14.189693110884638</v>
      </c>
      <c r="C345" s="843"/>
      <c r="D345" s="392">
        <f t="shared" si="127"/>
        <v>14.808800822695449</v>
      </c>
      <c r="E345" s="384">
        <f t="shared" si="125"/>
        <v>15.889557103287107</v>
      </c>
      <c r="F345" s="384">
        <f t="shared" si="128"/>
        <v>15.894887024285127</v>
      </c>
      <c r="G345" s="110">
        <f t="shared" si="126"/>
        <v>0.56349694184929289</v>
      </c>
      <c r="H345" s="413" t="b">
        <f>Wh_hp&gt;='2022'!Maxi_hp</f>
        <v>0</v>
      </c>
      <c r="I345" s="389">
        <f>IF(H345,Wh_hp,'2022'!Maxi_hp)</f>
        <v>25.74929122512259</v>
      </c>
      <c r="J345" s="85">
        <f>IF(H345,An,'2022'!An_max)</f>
        <v>2018</v>
      </c>
      <c r="K345" s="196">
        <f t="shared" si="129"/>
        <v>45257</v>
      </c>
      <c r="L345" s="147">
        <f>IF(t&lt;Tvie,1-EXP((T0-t)*PertePVj)+'2022'!Pspv,1-EXP((T0-t)*PertePVj)+Pspv)</f>
        <v>4.1806741762775858E-2</v>
      </c>
      <c r="M345" s="847"/>
      <c r="N345" s="847"/>
      <c r="O345" s="48">
        <f>IF(t&lt;Tnet,'2022'!Resal+('2022'!Salim-'2022'!Resal)*(1-EXP(('2022'!Tnet-t)/('2022'!Tau_j))),Resal+(Salim-Resal)*(1-EXP((Tnet-t)/(Tau_j))))*Salcycl</f>
        <v>6.8016765575428142E-2</v>
      </c>
      <c r="P345" s="168">
        <f>(INDEX(Models!$BJ345:$BT345,,T345)*(1-R345)+INDEX(Models!$BJ345:$BT345,,T345+1)*R345-ERP_i)*Q345*Ramure*Pc/MaxiM</f>
        <v>8.8975554506162961E-4</v>
      </c>
      <c r="Q345" s="304">
        <f t="shared" si="130"/>
        <v>0.5</v>
      </c>
      <c r="R345" s="176">
        <f t="shared" si="131"/>
        <v>0.33459731519989577</v>
      </c>
      <c r="S345" s="814">
        <f t="shared" si="132"/>
        <v>1</v>
      </c>
      <c r="T345" s="175">
        <f t="shared" si="133"/>
        <v>7</v>
      </c>
      <c r="U345" s="250">
        <f t="shared" si="134"/>
        <v>1.3345973151998958</v>
      </c>
      <c r="V345" s="382">
        <f t="shared" si="135"/>
        <v>25.167524774044697</v>
      </c>
      <c r="W345" s="401">
        <f t="shared" si="136"/>
        <v>14.189693110884638</v>
      </c>
      <c r="X345" s="157">
        <f t="shared" si="137"/>
        <v>45257</v>
      </c>
      <c r="Y345" s="384">
        <f t="shared" si="138"/>
        <v>13.956151768329615</v>
      </c>
      <c r="Z345" s="384">
        <f t="shared" si="139"/>
        <v>14.565069883714866</v>
      </c>
      <c r="AA345" s="385">
        <f t="shared" si="140"/>
        <v>15.889557103287107</v>
      </c>
      <c r="AB345" s="196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8.3355829930479394E-2</v>
      </c>
      <c r="AD345" s="230">
        <f>(INDEX(Models!$BJ345:$BT345,,AH345)*(1-AF345)+INDEX(Models!$BJ345:$BT345,,AH345+1)*AF345-ERP_i)*AE345*Ramure*Pc/MaxiM</f>
        <v>8.8975554506162961E-4</v>
      </c>
      <c r="AE345" s="304">
        <f t="shared" si="142"/>
        <v>0.5</v>
      </c>
      <c r="AF345" s="176">
        <f t="shared" si="143"/>
        <v>0.33459731519989577</v>
      </c>
      <c r="AG345" s="814">
        <f t="shared" si="149"/>
        <v>1</v>
      </c>
      <c r="AH345" s="175">
        <f t="shared" si="144"/>
        <v>7</v>
      </c>
      <c r="AI345" s="224">
        <f t="shared" si="145"/>
        <v>1.3345973151998958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10">
        <f>'2022'!Wh/'2022'!Env_an*'2023'!Env_an</f>
        <v>10.026814211264023</v>
      </c>
      <c r="C346" s="843"/>
      <c r="D346" s="392">
        <f t="shared" si="127"/>
        <v>10.464521084649794</v>
      </c>
      <c r="E346" s="384">
        <f t="shared" si="125"/>
        <v>11.228300187989143</v>
      </c>
      <c r="F346" s="384">
        <f t="shared" si="128"/>
        <v>11.229721537817753</v>
      </c>
      <c r="G346" s="110">
        <f t="shared" si="126"/>
        <v>0.40144344832227313</v>
      </c>
      <c r="H346" s="413" t="b">
        <f>Wh_hp&gt;='2022'!Maxi_hp</f>
        <v>0</v>
      </c>
      <c r="I346" s="389">
        <f>IF(H346,Wh_hp,'2022'!Maxi_hp)</f>
        <v>19.489438693359329</v>
      </c>
      <c r="J346" s="85">
        <f>IF(H346,An,'2022'!An_max)</f>
        <v>2018</v>
      </c>
      <c r="K346" s="196">
        <f t="shared" si="129"/>
        <v>45258</v>
      </c>
      <c r="L346" s="147">
        <f>IF(t&lt;Tvie,1-EXP((T0-t)*PertePVj)+'2022'!Pspv,1-EXP((T0-t)*PertePVj)+Pspv)</f>
        <v>4.1827702371189691E-2</v>
      </c>
      <c r="M346" s="847"/>
      <c r="N346" s="847"/>
      <c r="O346" s="48">
        <f>IF(t&lt;Tnet,'2022'!Resal+('2022'!Salim-'2022'!Resal)*(1-EXP(('2022'!Tnet-t)/('2022'!Tau_j))),Resal+(Salim-Resal)*(1-EXP((Tnet-t)/(Tau_j))))*Salcycl</f>
        <v>6.8022682912980845E-2</v>
      </c>
      <c r="P346" s="168">
        <f>(INDEX(Models!$BJ346:$BT346,,T346)*(1-R346)+INDEX(Models!$BJ346:$BT346,,T346+1)*R346-ERP_i)*Q346*Ramure*Pc/MaxiM</f>
        <v>8.7081861651260159E-4</v>
      </c>
      <c r="Q346" s="304">
        <f t="shared" si="130"/>
        <v>0.5</v>
      </c>
      <c r="R346" s="176">
        <f t="shared" si="131"/>
        <v>0.33460848063543658</v>
      </c>
      <c r="S346" s="814">
        <f t="shared" si="132"/>
        <v>1</v>
      </c>
      <c r="T346" s="175">
        <f t="shared" si="133"/>
        <v>7</v>
      </c>
      <c r="U346" s="250">
        <f t="shared" si="134"/>
        <v>1.3346084806354366</v>
      </c>
      <c r="V346" s="382">
        <f t="shared" si="135"/>
        <v>24.958311985006361</v>
      </c>
      <c r="W346" s="401">
        <f t="shared" si="136"/>
        <v>10.026814211264023</v>
      </c>
      <c r="X346" s="157">
        <f t="shared" si="137"/>
        <v>45258</v>
      </c>
      <c r="Y346" s="384">
        <f t="shared" si="138"/>
        <v>9.8620294958802042</v>
      </c>
      <c r="Z346" s="384">
        <f t="shared" si="139"/>
        <v>10.292542917683777</v>
      </c>
      <c r="AA346" s="385">
        <f t="shared" si="140"/>
        <v>11.228300187989143</v>
      </c>
      <c r="AB346" s="196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8.3339174642510963E-2</v>
      </c>
      <c r="AD346" s="230">
        <f>(INDEX(Models!$BJ346:$BT346,,AH346)*(1-AF346)+INDEX(Models!$BJ346:$BT346,,AH346+1)*AF346-ERP_i)*AE346*Ramure*Pc/MaxiM</f>
        <v>8.7081861651260159E-4</v>
      </c>
      <c r="AE346" s="304">
        <f t="shared" si="142"/>
        <v>0.5</v>
      </c>
      <c r="AF346" s="176">
        <f t="shared" si="143"/>
        <v>0.33460848063543658</v>
      </c>
      <c r="AG346" s="814">
        <f t="shared" si="149"/>
        <v>1</v>
      </c>
      <c r="AH346" s="175">
        <f t="shared" si="144"/>
        <v>7</v>
      </c>
      <c r="AI346" s="224">
        <f t="shared" si="145"/>
        <v>1.3346084806354366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10">
        <f>'2022'!Wh/'2022'!Env_an*'2023'!Env_an</f>
        <v>12.236988701079119</v>
      </c>
      <c r="C347" s="843"/>
      <c r="D347" s="392">
        <f t="shared" si="127"/>
        <v>12.771457099115192</v>
      </c>
      <c r="E347" s="384">
        <f t="shared" si="125"/>
        <v>13.703717845826123</v>
      </c>
      <c r="F347" s="384">
        <f t="shared" si="128"/>
        <v>13.706964614511884</v>
      </c>
      <c r="G347" s="110">
        <f t="shared" si="126"/>
        <v>0.49411500470817021</v>
      </c>
      <c r="H347" s="413" t="b">
        <f>Wh_hp&gt;='2022'!Maxi_hp</f>
        <v>0</v>
      </c>
      <c r="I347" s="389">
        <f>IF(H347,Wh_hp,'2022'!Maxi_hp)</f>
        <v>27.334557288633277</v>
      </c>
      <c r="J347" s="85">
        <f>IF(H347,An,'2022'!An_max)</f>
        <v>2018</v>
      </c>
      <c r="K347" s="196">
        <f t="shared" si="129"/>
        <v>45259</v>
      </c>
      <c r="L347" s="147">
        <f>IF(t&lt;Tvie,1-EXP((T0-t)*PertePVj)+'2022'!Pspv,1-EXP((T0-t)*PertePVj)+Pspv)</f>
        <v>4.1848662520512427E-2</v>
      </c>
      <c r="M347" s="847"/>
      <c r="N347" s="847"/>
      <c r="O347" s="48">
        <f>IF(t&lt;Tnet,'2022'!Resal+('2022'!Salim-'2022'!Resal)*(1-EXP(('2022'!Tnet-t)/('2022'!Tau_j))),Resal+(Salim-Resal)*(1-EXP((Tnet-t)/(Tau_j))))*Salcycl</f>
        <v>6.802976806727512E-2</v>
      </c>
      <c r="P347" s="168">
        <f>(INDEX(Models!$BJ347:$BT347,,T347)*(1-R347)+INDEX(Models!$BJ347:$BT347,,T347+1)*R347-ERP_i)*Q347*Ramure*Pc/MaxiM</f>
        <v>8.5284085339065307E-4</v>
      </c>
      <c r="Q347" s="304">
        <f t="shared" si="130"/>
        <v>0.5</v>
      </c>
      <c r="R347" s="176">
        <f t="shared" si="131"/>
        <v>0.33461919729911416</v>
      </c>
      <c r="S347" s="814">
        <f t="shared" si="132"/>
        <v>1</v>
      </c>
      <c r="T347" s="175">
        <f t="shared" si="133"/>
        <v>7</v>
      </c>
      <c r="U347" s="250">
        <f t="shared" si="134"/>
        <v>1.3346191972991142</v>
      </c>
      <c r="V347" s="382">
        <f t="shared" si="135"/>
        <v>24.750208292192465</v>
      </c>
      <c r="W347" s="401">
        <f t="shared" si="136"/>
        <v>12.236988701079119</v>
      </c>
      <c r="X347" s="157">
        <f t="shared" si="137"/>
        <v>45259</v>
      </c>
      <c r="Y347" s="384">
        <f t="shared" si="138"/>
        <v>12.036171900070146</v>
      </c>
      <c r="Z347" s="384">
        <f t="shared" si="139"/>
        <v>12.561869330300675</v>
      </c>
      <c r="AA347" s="385">
        <f t="shared" si="140"/>
        <v>13.703717845826123</v>
      </c>
      <c r="AB347" s="196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8.3323994872911963E-2</v>
      </c>
      <c r="AD347" s="230">
        <f>(INDEX(Models!$BJ347:$BT347,,AH347)*(1-AF347)+INDEX(Models!$BJ347:$BT347,,AH347+1)*AF347-ERP_i)*AE347*Ramure*Pc/MaxiM</f>
        <v>8.5284085339065307E-4</v>
      </c>
      <c r="AE347" s="304">
        <f t="shared" si="142"/>
        <v>0.5</v>
      </c>
      <c r="AF347" s="176">
        <f t="shared" si="143"/>
        <v>0.33461919729911416</v>
      </c>
      <c r="AG347" s="814">
        <f t="shared" si="149"/>
        <v>1</v>
      </c>
      <c r="AH347" s="175">
        <f t="shared" si="144"/>
        <v>7</v>
      </c>
      <c r="AI347" s="224">
        <f t="shared" si="145"/>
        <v>1.3346191972991142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10">
        <f>'2022'!Wh/'2022'!Env_an*'2023'!Env_an</f>
        <v>3.8159023169300053</v>
      </c>
      <c r="C348" s="843"/>
      <c r="D348" s="392">
        <f t="shared" si="127"/>
        <v>3.9826545586986559</v>
      </c>
      <c r="E348" s="384">
        <f t="shared" si="125"/>
        <v>4.273408829818667</v>
      </c>
      <c r="F348" s="384">
        <f t="shared" si="128"/>
        <v>4.273408829818667</v>
      </c>
      <c r="G348" s="110">
        <f t="shared" si="126"/>
        <v>0.15533896762536259</v>
      </c>
      <c r="H348" s="413" t="b">
        <f>Wh_hp&gt;='2022'!Maxi_hp</f>
        <v>0</v>
      </c>
      <c r="I348" s="389">
        <f>IF(H348,Wh_hp,'2022'!Maxi_hp)</f>
        <v>26.225428056883853</v>
      </c>
      <c r="J348" s="85">
        <f>IF(H348,An,'2022'!An_max)</f>
        <v>2020</v>
      </c>
      <c r="K348" s="196">
        <f t="shared" si="129"/>
        <v>45260</v>
      </c>
      <c r="L348" s="147">
        <f>IF(t&lt;Tvie,1-EXP((T0-t)*PertePVj)+'2022'!Pspv,1-EXP((T0-t)*PertePVj)+Pspv)</f>
        <v>4.1869622210754166E-2</v>
      </c>
      <c r="M348" s="847"/>
      <c r="N348" s="847"/>
      <c r="O348" s="48">
        <f>IF(t&lt;Tnet,'2022'!Resal+('2022'!Salim-'2022'!Resal)*(1-EXP(('2022'!Tnet-t)/('2022'!Tau_j))),Resal+(Salim-Resal)*(1-EXP((Tnet-t)/(Tau_j))))*Salcycl</f>
        <v>6.8038018991117277E-2</v>
      </c>
      <c r="P348" s="168">
        <f>(INDEX(Models!$BJ348:$BT348,,T348)*(1-R348)+INDEX(Models!$BJ348:$BT348,,T348+1)*R348-ERP_i)*Q348*Ramure*Pc/MaxiM</f>
        <v>8.3578125680851907E-4</v>
      </c>
      <c r="Q348" s="304">
        <f t="shared" si="130"/>
        <v>0.5</v>
      </c>
      <c r="R348" s="176">
        <f t="shared" si="131"/>
        <v>0.33462948319823971</v>
      </c>
      <c r="S348" s="814">
        <f t="shared" si="132"/>
        <v>1</v>
      </c>
      <c r="T348" s="175">
        <f t="shared" si="133"/>
        <v>7</v>
      </c>
      <c r="U348" s="250">
        <f t="shared" si="134"/>
        <v>1.3346294831982397</v>
      </c>
      <c r="V348" s="382">
        <f t="shared" si="135"/>
        <v>24.544472746149449</v>
      </c>
      <c r="W348" s="401">
        <f t="shared" si="136"/>
        <v>3.8159023169300053</v>
      </c>
      <c r="X348" s="157">
        <f t="shared" si="137"/>
        <v>45260</v>
      </c>
      <c r="Y348" s="384">
        <f t="shared" si="138"/>
        <v>3.7533702789707344</v>
      </c>
      <c r="Z348" s="384">
        <f t="shared" si="139"/>
        <v>3.9173899147536901</v>
      </c>
      <c r="AA348" s="385">
        <f t="shared" si="140"/>
        <v>4.273408829818667</v>
      </c>
      <c r="AB348" s="196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8.3310286762355912E-2</v>
      </c>
      <c r="AD348" s="230">
        <f>(INDEX(Models!$BJ348:$BT348,,AH348)*(1-AF348)+INDEX(Models!$BJ348:$BT348,,AH348+1)*AF348-ERP_i)*AE348*Ramure*Pc/MaxiM</f>
        <v>8.3578125680851907E-4</v>
      </c>
      <c r="AE348" s="304">
        <f t="shared" si="142"/>
        <v>0.5</v>
      </c>
      <c r="AF348" s="176">
        <f t="shared" si="143"/>
        <v>0.33462948319823971</v>
      </c>
      <c r="AG348" s="814">
        <f t="shared" si="149"/>
        <v>1</v>
      </c>
      <c r="AH348" s="175">
        <f t="shared" si="144"/>
        <v>7</v>
      </c>
      <c r="AI348" s="224">
        <f t="shared" si="145"/>
        <v>1.3346294831982397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10">
        <f>'2022'!Wh/'2022'!Env_an*'2023'!Env_an</f>
        <v>3.3762615532388214</v>
      </c>
      <c r="C349" s="843"/>
      <c r="D349" s="392">
        <f t="shared" si="127"/>
        <v>3.5238788888225208</v>
      </c>
      <c r="E349" s="384">
        <f t="shared" si="125"/>
        <v>3.7811783567795936</v>
      </c>
      <c r="F349" s="384">
        <f t="shared" si="128"/>
        <v>3.7811783567795936</v>
      </c>
      <c r="G349" s="110">
        <f t="shared" si="126"/>
        <v>0.13858532069133639</v>
      </c>
      <c r="H349" s="413" t="b">
        <f>Wh_hp&gt;='2022'!Maxi_hp</f>
        <v>0</v>
      </c>
      <c r="I349" s="389">
        <f>IF(H349,Wh_hp,'2022'!Maxi_hp)</f>
        <v>26.861538170544915</v>
      </c>
      <c r="J349" s="85">
        <f>IF(H349,An,'2022'!An_max)</f>
        <v>2020</v>
      </c>
      <c r="K349" s="196">
        <f t="shared" si="129"/>
        <v>45261</v>
      </c>
      <c r="L349" s="147">
        <f>IF(t&lt;Tvie,1-EXP((T0-t)*PertePVj)+'2022'!Pspv,1-EXP((T0-t)*PertePVj)+Pspv)</f>
        <v>4.1890581441924792E-2</v>
      </c>
      <c r="M349" s="847"/>
      <c r="N349" s="847"/>
      <c r="O349" s="48">
        <f>IF(t&lt;Tnet,'2022'!Resal+('2022'!Salim-'2022'!Resal)*(1-EXP(('2022'!Tnet-t)/('2022'!Tau_j))),Resal+(Salim-Resal)*(1-EXP((Tnet-t)/(Tau_j))))*Salcycl</f>
        <v>6.8047429578596524E-2</v>
      </c>
      <c r="P349" s="168">
        <f>(INDEX(Models!$BJ349:$BT349,,T349)*(1-R349)+INDEX(Models!$BJ349:$BT349,,T349+1)*R349-ERP_i)*Q349*Ramure*Pc/MaxiM</f>
        <v>8.1960086182921279E-4</v>
      </c>
      <c r="Q349" s="304">
        <f t="shared" si="130"/>
        <v>0.5</v>
      </c>
      <c r="R349" s="176">
        <f t="shared" si="131"/>
        <v>0.33463935561994496</v>
      </c>
      <c r="S349" s="814">
        <f t="shared" si="132"/>
        <v>1</v>
      </c>
      <c r="T349" s="175">
        <f t="shared" si="133"/>
        <v>7</v>
      </c>
      <c r="U349" s="250">
        <f t="shared" si="134"/>
        <v>1.334639355619945</v>
      </c>
      <c r="V349" s="382">
        <f t="shared" si="135"/>
        <v>24.342364324960709</v>
      </c>
      <c r="W349" s="401">
        <f t="shared" si="136"/>
        <v>3.3762615532388214</v>
      </c>
      <c r="X349" s="157">
        <f t="shared" si="137"/>
        <v>45261</v>
      </c>
      <c r="Y349" s="384">
        <f t="shared" si="138"/>
        <v>3.32101190180882</v>
      </c>
      <c r="Z349" s="384">
        <f t="shared" si="139"/>
        <v>3.4662136051296097</v>
      </c>
      <c r="AA349" s="385">
        <f t="shared" si="140"/>
        <v>3.7811783567795936</v>
      </c>
      <c r="AB349" s="196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8.3298041491551775E-2</v>
      </c>
      <c r="AD349" s="230">
        <f>(INDEX(Models!$BJ349:$BT349,,AH349)*(1-AF349)+INDEX(Models!$BJ349:$BT349,,AH349+1)*AF349-ERP_i)*AE349*Ramure*Pc/MaxiM</f>
        <v>8.1960086182921279E-4</v>
      </c>
      <c r="AE349" s="304">
        <f t="shared" si="142"/>
        <v>0.5</v>
      </c>
      <c r="AF349" s="176">
        <f t="shared" si="143"/>
        <v>0.33463935561994496</v>
      </c>
      <c r="AG349" s="814">
        <f t="shared" si="149"/>
        <v>1</v>
      </c>
      <c r="AH349" s="175">
        <f t="shared" si="144"/>
        <v>7</v>
      </c>
      <c r="AI349" s="224">
        <f t="shared" si="145"/>
        <v>1.334639355619945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10">
        <f>'2022'!Wh/'2022'!Env_an*'2023'!Env_an</f>
        <v>4.8871391426120239</v>
      </c>
      <c r="C350" s="843"/>
      <c r="D350" s="392">
        <f t="shared" si="127"/>
        <v>5.1009268431265715</v>
      </c>
      <c r="E350" s="384">
        <f t="shared" si="125"/>
        <v>5.4734380329222603</v>
      </c>
      <c r="F350" s="384">
        <f t="shared" si="128"/>
        <v>5.4734380329222603</v>
      </c>
      <c r="G350" s="110">
        <f t="shared" si="126"/>
        <v>0.2022439386841218</v>
      </c>
      <c r="H350" s="413" t="b">
        <f>Wh_hp&gt;='2022'!Maxi_hp</f>
        <v>0</v>
      </c>
      <c r="I350" s="389">
        <f>IF(H350,Wh_hp,'2022'!Maxi_hp)</f>
        <v>9.5659847348518507</v>
      </c>
      <c r="J350" s="85">
        <f>IF(H350,An,'2022'!An_max)</f>
        <v>2021</v>
      </c>
      <c r="K350" s="196">
        <f t="shared" si="129"/>
        <v>45262</v>
      </c>
      <c r="L350" s="147">
        <f>IF(t&lt;Tvie,1-EXP((T0-t)*PertePVj)+'2022'!Pspv,1-EXP((T0-t)*PertePVj)+Pspv)</f>
        <v>4.1911540214034516E-2</v>
      </c>
      <c r="M350" s="847"/>
      <c r="N350" s="847"/>
      <c r="O350" s="48">
        <f>IF(t&lt;Tnet,'2022'!Resal+('2022'!Salim-'2022'!Resal)*(1-EXP(('2022'!Tnet-t)/('2022'!Tau_j))),Resal+(Salim-Resal)*(1-EXP((Tnet-t)/(Tau_j))))*Salcycl</f>
        <v>6.8057989796370302E-2</v>
      </c>
      <c r="P350" s="168">
        <f>(INDEX(Models!$BJ350:$BT350,,T350)*(1-R350)+INDEX(Models!$BJ350:$BT350,,T350+1)*R350-ERP_i)*Q350*Ramure*Pc/MaxiM</f>
        <v>8.0426252096492238E-4</v>
      </c>
      <c r="Q350" s="304">
        <f t="shared" si="130"/>
        <v>0.5</v>
      </c>
      <c r="R350" s="176">
        <f t="shared" si="131"/>
        <v>0.33464883115979793</v>
      </c>
      <c r="S350" s="814">
        <f t="shared" si="132"/>
        <v>1</v>
      </c>
      <c r="T350" s="175">
        <f t="shared" si="133"/>
        <v>7</v>
      </c>
      <c r="U350" s="250">
        <f t="shared" si="134"/>
        <v>1.3346488311597979</v>
      </c>
      <c r="V350" s="382">
        <f t="shared" si="135"/>
        <v>24.145141909008235</v>
      </c>
      <c r="W350" s="401">
        <f t="shared" si="136"/>
        <v>4.8871391426120239</v>
      </c>
      <c r="X350" s="157">
        <f t="shared" si="137"/>
        <v>45262</v>
      </c>
      <c r="Y350" s="384">
        <f t="shared" si="138"/>
        <v>4.8072763500802695</v>
      </c>
      <c r="Z350" s="384">
        <f t="shared" si="139"/>
        <v>5.0175704560247008</v>
      </c>
      <c r="AA350" s="385">
        <f t="shared" si="140"/>
        <v>5.4734380329222603</v>
      </c>
      <c r="AB350" s="196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8.3287245448939937E-2</v>
      </c>
      <c r="AD350" s="230">
        <f>(INDEX(Models!$BJ350:$BT350,,AH350)*(1-AF350)+INDEX(Models!$BJ350:$BT350,,AH350+1)*AF350-ERP_i)*AE350*Ramure*Pc/MaxiM</f>
        <v>8.0426252096492238E-4</v>
      </c>
      <c r="AE350" s="304">
        <f t="shared" si="142"/>
        <v>0.5</v>
      </c>
      <c r="AF350" s="176">
        <f t="shared" si="143"/>
        <v>0.33464883115979793</v>
      </c>
      <c r="AG350" s="814">
        <f t="shared" si="149"/>
        <v>1</v>
      </c>
      <c r="AH350" s="175">
        <f t="shared" si="144"/>
        <v>7</v>
      </c>
      <c r="AI350" s="224">
        <f t="shared" si="145"/>
        <v>1.3346488311597979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10">
        <f>'2022'!Wh/'2022'!Env_an*'2023'!Env_an</f>
        <v>9.6323517064511748</v>
      </c>
      <c r="C351" s="843"/>
      <c r="D351" s="392">
        <f t="shared" si="127"/>
        <v>10.053938466384322</v>
      </c>
      <c r="E351" s="384">
        <f t="shared" si="125"/>
        <v>10.7882942679212</v>
      </c>
      <c r="F351" s="384">
        <f t="shared" si="128"/>
        <v>10.789537306359403</v>
      </c>
      <c r="G351" s="110">
        <f t="shared" si="126"/>
        <v>0.40184636793747003</v>
      </c>
      <c r="H351" s="413" t="b">
        <f>Wh_hp&gt;='2022'!Maxi_hp</f>
        <v>0</v>
      </c>
      <c r="I351" s="389">
        <f>IF(H351,Wh_hp,'2022'!Maxi_hp)</f>
        <v>16.831353899278419</v>
      </c>
      <c r="J351" s="85">
        <f>IF(H351,An,'2022'!An_max)</f>
        <v>2021</v>
      </c>
      <c r="K351" s="196">
        <f t="shared" si="129"/>
        <v>45263</v>
      </c>
      <c r="L351" s="147">
        <f>IF(t&lt;Tvie,1-EXP((T0-t)*PertePVj)+'2022'!Pspv,1-EXP((T0-t)*PertePVj)+Pspv)</f>
        <v>4.1932498527093333E-2</v>
      </c>
      <c r="M351" s="847"/>
      <c r="N351" s="847"/>
      <c r="O351" s="48">
        <f>IF(t&lt;Tnet,'2022'!Resal+('2022'!Salim-'2022'!Resal)*(1-EXP(('2022'!Tnet-t)/('2022'!Tau_j))),Resal+(Salim-Resal)*(1-EXP((Tnet-t)/(Tau_j))))*Salcycl</f>
        <v>6.8069685837220076E-2</v>
      </c>
      <c r="P351" s="168">
        <f>(INDEX(Models!$BJ351:$BT351,,T351)*(1-R351)+INDEX(Models!$BJ351:$BT351,,T351+1)*R351-ERP_i)*Q351*Ramure*Pc/MaxiM</f>
        <v>7.8973070125062125E-4</v>
      </c>
      <c r="Q351" s="304">
        <f t="shared" si="130"/>
        <v>0.5</v>
      </c>
      <c r="R351" s="176">
        <f t="shared" si="131"/>
        <v>0.33465792574929565</v>
      </c>
      <c r="S351" s="814">
        <f t="shared" si="132"/>
        <v>1</v>
      </c>
      <c r="T351" s="175">
        <f t="shared" si="133"/>
        <v>7</v>
      </c>
      <c r="U351" s="250">
        <f t="shared" si="134"/>
        <v>1.3346579257492956</v>
      </c>
      <c r="V351" s="382">
        <f t="shared" si="135"/>
        <v>23.954064248598815</v>
      </c>
      <c r="W351" s="401">
        <f t="shared" si="136"/>
        <v>9.6323517064511748</v>
      </c>
      <c r="X351" s="157">
        <f t="shared" si="137"/>
        <v>45263</v>
      </c>
      <c r="Y351" s="384">
        <f t="shared" si="138"/>
        <v>9.4751611130490261</v>
      </c>
      <c r="Z351" s="384">
        <f t="shared" si="139"/>
        <v>9.8898679878841254</v>
      </c>
      <c r="AA351" s="385">
        <f t="shared" si="140"/>
        <v>10.7882942679212</v>
      </c>
      <c r="AB351" s="196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8.3277880425317072E-2</v>
      </c>
      <c r="AD351" s="230">
        <f>(INDEX(Models!$BJ351:$BT351,,AH351)*(1-AF351)+INDEX(Models!$BJ351:$BT351,,AH351+1)*AF351-ERP_i)*AE351*Ramure*Pc/MaxiM</f>
        <v>7.8973070125062125E-4</v>
      </c>
      <c r="AE351" s="304">
        <f t="shared" si="142"/>
        <v>0.5</v>
      </c>
      <c r="AF351" s="176">
        <f t="shared" si="143"/>
        <v>0.33465792574929565</v>
      </c>
      <c r="AG351" s="814">
        <f t="shared" si="149"/>
        <v>1</v>
      </c>
      <c r="AH351" s="175">
        <f t="shared" si="144"/>
        <v>7</v>
      </c>
      <c r="AI351" s="224">
        <f t="shared" si="145"/>
        <v>1.3346579257492956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10">
        <f>'2022'!Wh/'2022'!Env_an*'2023'!Env_an</f>
        <v>17.482630931325261</v>
      </c>
      <c r="C352" s="843"/>
      <c r="D352" s="392">
        <f t="shared" si="127"/>
        <v>18.248206256542645</v>
      </c>
      <c r="E352" s="384">
        <f t="shared" si="125"/>
        <v>19.581353781111805</v>
      </c>
      <c r="F352" s="384">
        <f t="shared" si="128"/>
        <v>19.590815053096616</v>
      </c>
      <c r="G352" s="110">
        <f t="shared" si="126"/>
        <v>0.73526372996670619</v>
      </c>
      <c r="H352" s="413" t="b">
        <f>Wh_hp&gt;='2022'!Maxi_hp</f>
        <v>0</v>
      </c>
      <c r="I352" s="389">
        <f>IF(H352,Wh_hp,'2022'!Maxi_hp)</f>
        <v>19.591985764484328</v>
      </c>
      <c r="J352" s="85">
        <f>IF(H352,An,'2022'!An_max)</f>
        <v>2022</v>
      </c>
      <c r="K352" s="196">
        <f t="shared" si="129"/>
        <v>45264</v>
      </c>
      <c r="L352" s="147">
        <f>IF(t&lt;Tvie,1-EXP((T0-t)*PertePVj)+'2022'!Pspv,1-EXP((T0-t)*PertePVj)+Pspv)</f>
        <v>4.1953456381111233E-2</v>
      </c>
      <c r="M352" s="847"/>
      <c r="N352" s="847"/>
      <c r="O352" s="48">
        <f>IF(t&lt;Tnet,'2022'!Resal+('2022'!Salim-'2022'!Resal)*(1-EXP(('2022'!Tnet-t)/('2022'!Tau_j))),Resal+(Salim-Resal)*(1-EXP((Tnet-t)/(Tau_j))))*Salcycl</f>
        <v>6.8082500294495266E-2</v>
      </c>
      <c r="P352" s="168">
        <f>(INDEX(Models!$BJ352:$BT352,,T352)*(1-R352)+INDEX(Models!$BJ352:$BT352,,T352+1)*R352-ERP_i)*Q352*Ramure*Pc/MaxiM</f>
        <v>7.7629584031415374E-4</v>
      </c>
      <c r="Q352" s="304">
        <f t="shared" si="130"/>
        <v>0.5</v>
      </c>
      <c r="R352" s="176">
        <f t="shared" si="131"/>
        <v>0.33466665468227652</v>
      </c>
      <c r="S352" s="814">
        <f t="shared" si="132"/>
        <v>1</v>
      </c>
      <c r="T352" s="175">
        <f t="shared" si="133"/>
        <v>7</v>
      </c>
      <c r="U352" s="250">
        <f t="shared" si="134"/>
        <v>1.3346666546822765</v>
      </c>
      <c r="V352" s="382">
        <f t="shared" si="135"/>
        <v>23.770382223225006</v>
      </c>
      <c r="W352" s="401">
        <f t="shared" si="136"/>
        <v>17.482630931325261</v>
      </c>
      <c r="X352" s="157">
        <f t="shared" si="137"/>
        <v>45264</v>
      </c>
      <c r="Y352" s="384">
        <f t="shared" si="138"/>
        <v>17.197717169520576</v>
      </c>
      <c r="Z352" s="384">
        <f t="shared" si="139"/>
        <v>17.950815943198929</v>
      </c>
      <c r="AA352" s="385">
        <f t="shared" si="140"/>
        <v>19.581353781111805</v>
      </c>
      <c r="AB352" s="196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8.3269923833646911E-2</v>
      </c>
      <c r="AD352" s="230">
        <f>(INDEX(Models!$BJ352:$BT352,,AH352)*(1-AF352)+INDEX(Models!$BJ352:$BT352,,AH352+1)*AF352-ERP_i)*AE352*Ramure*Pc/MaxiM</f>
        <v>7.7629584031415374E-4</v>
      </c>
      <c r="AE352" s="304">
        <f t="shared" si="142"/>
        <v>0.5</v>
      </c>
      <c r="AF352" s="176">
        <f t="shared" si="143"/>
        <v>0.33466665468227652</v>
      </c>
      <c r="AG352" s="814">
        <f t="shared" si="149"/>
        <v>1</v>
      </c>
      <c r="AH352" s="175">
        <f t="shared" si="144"/>
        <v>7</v>
      </c>
      <c r="AI352" s="224">
        <f t="shared" si="145"/>
        <v>1.3346666546822765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10">
        <f>'2022'!Wh/'2022'!Env_an*'2023'!Env_an</f>
        <v>24.648893981140148</v>
      </c>
      <c r="C353" s="843"/>
      <c r="D353" s="392">
        <f t="shared" si="127"/>
        <v>25.728847262101638</v>
      </c>
      <c r="E353" s="384">
        <f t="shared" si="125"/>
        <v>27.608915346216964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Wh_hp&gt;='2022'!Maxi_hp</f>
        <v>1</v>
      </c>
      <c r="I353" s="389">
        <f>IF(H353,Wh_hp,'2022'!Maxi_hp)</f>
        <v>27.630023642459491</v>
      </c>
      <c r="J353" s="85">
        <f>IF(H353,An,'2022'!An_max)</f>
        <v>2023</v>
      </c>
      <c r="K353" s="196">
        <f t="shared" si="129"/>
        <v>45265</v>
      </c>
      <c r="L353" s="147">
        <f>IF(t&lt;Tvie,1-EXP((T0-t)*PertePVj)+'2022'!Pspv,1-EXP((T0-t)*PertePVj)+Pspv)</f>
        <v>4.1974413776098431E-2</v>
      </c>
      <c r="M353" s="847"/>
      <c r="N353" s="847"/>
      <c r="O353" s="48">
        <f>IF(t&lt;Tnet,'2022'!Resal+('2022'!Salim-'2022'!Resal)*(1-EXP(('2022'!Tnet-t)/('2022'!Tau_j))),Resal+(Salim-Resal)*(1-EXP((Tnet-t)/(Tau_j))))*Salcycl</f>
        <v>6.8096412355907215E-2</v>
      </c>
      <c r="P353" s="168">
        <f>(INDEX(Models!$BJ353:$BT353,,T353)*(1-R353)+INDEX(Models!$BJ353:$BT353,,T353+1)*R353-ERP_i)*Q353*Ramure*Pc/MaxiM</f>
        <v>7.6396229390438442E-4</v>
      </c>
      <c r="Q353" s="304">
        <f t="shared" si="130"/>
        <v>0.5</v>
      </c>
      <c r="R353" s="176">
        <f t="shared" si="131"/>
        <v>0.33467503264029785</v>
      </c>
      <c r="S353" s="814">
        <f t="shared" si="132"/>
        <v>1</v>
      </c>
      <c r="T353" s="175">
        <f t="shared" si="133"/>
        <v>7</v>
      </c>
      <c r="U353" s="250">
        <f t="shared" si="134"/>
        <v>1.3346750326402979</v>
      </c>
      <c r="V353" s="382">
        <f t="shared" si="135"/>
        <v>23.595353553545195</v>
      </c>
      <c r="W353" s="401">
        <f t="shared" si="136"/>
        <v>24.648893981140148</v>
      </c>
      <c r="X353" s="157">
        <f t="shared" si="137"/>
        <v>45265</v>
      </c>
      <c r="Y353" s="384">
        <f t="shared" si="138"/>
        <v>24.247727790628907</v>
      </c>
      <c r="Z353" s="384">
        <f t="shared" si="139"/>
        <v>25.310104593555121</v>
      </c>
      <c r="AA353" s="385">
        <f t="shared" si="140"/>
        <v>27.608915346216964</v>
      </c>
      <c r="AB353" s="196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8.3263348952128738E-2</v>
      </c>
      <c r="AD353" s="230">
        <f>(INDEX(Models!$BJ353:$BT353,,AH353)*(1-AF353)+INDEX(Models!$BJ353:$BT353,,AH353+1)*AF353-ERP_i)*AE353*Ramure*Pc/MaxiM</f>
        <v>7.6396229390438442E-4</v>
      </c>
      <c r="AE353" s="304">
        <f t="shared" si="142"/>
        <v>0.5</v>
      </c>
      <c r="AF353" s="176">
        <f t="shared" si="143"/>
        <v>0.33467503264029785</v>
      </c>
      <c r="AG353" s="814">
        <f t="shared" si="149"/>
        <v>1</v>
      </c>
      <c r="AH353" s="175">
        <f t="shared" si="144"/>
        <v>7</v>
      </c>
      <c r="AI353" s="224">
        <f t="shared" si="145"/>
        <v>1.3346750326402979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10">
        <f>'2022'!Wh/'2022'!Env_an*'2023'!Env_an</f>
        <v>13.779437229607964</v>
      </c>
      <c r="C354" s="843"/>
      <c r="D354" s="392">
        <f t="shared" si="127"/>
        <v>14.383476664251543</v>
      </c>
      <c r="E354" s="384">
        <f t="shared" si="125"/>
        <v>15.434759727303724</v>
      </c>
      <c r="F354" s="384">
        <f t="shared" si="128"/>
        <v>15.439542833638251</v>
      </c>
      <c r="G354" s="110">
        <f t="shared" si="126"/>
        <v>0.58784435718110073</v>
      </c>
      <c r="H354" s="413" t="b">
        <f>Wh_hp&gt;='2022'!Maxi_hp</f>
        <v>0</v>
      </c>
      <c r="I354" s="389">
        <f>IF(H354,Wh_hp,'2022'!Maxi_hp)</f>
        <v>23.185833675036029</v>
      </c>
      <c r="J354" s="85">
        <f>IF(H354,An,'2022'!An_max)</f>
        <v>2020</v>
      </c>
      <c r="K354" s="196">
        <f t="shared" si="129"/>
        <v>45266</v>
      </c>
      <c r="L354" s="147">
        <f>IF(t&lt;Tvie,1-EXP((T0-t)*PertePVj)+'2022'!Pspv,1-EXP((T0-t)*PertePVj)+Pspv)</f>
        <v>4.1995370712064918E-2</v>
      </c>
      <c r="M354" s="847"/>
      <c r="N354" s="847"/>
      <c r="O354" s="48">
        <f>IF(t&lt;Tnet,'2022'!Resal+('2022'!Salim-'2022'!Resal)*(1-EXP(('2022'!Tnet-t)/('2022'!Tau_j))),Resal+(Salim-Resal)*(1-EXP((Tnet-t)/(Tau_j))))*Salcycl</f>
        <v>6.811139801499394E-2</v>
      </c>
      <c r="P354" s="168">
        <f>(INDEX(Models!$BJ354:$BT354,,T354)*(1-R354)+INDEX(Models!$BJ354:$BT354,,T354+1)*R354-ERP_i)*Q354*Ramure*Pc/MaxiM</f>
        <v>7.527018350222994E-4</v>
      </c>
      <c r="Q354" s="304">
        <f t="shared" si="130"/>
        <v>0.5</v>
      </c>
      <c r="R354" s="176">
        <f t="shared" si="131"/>
        <v>0.33468307371701167</v>
      </c>
      <c r="S354" s="814">
        <f t="shared" si="132"/>
        <v>1</v>
      </c>
      <c r="T354" s="175">
        <f t="shared" si="133"/>
        <v>7</v>
      </c>
      <c r="U354" s="250">
        <f t="shared" si="134"/>
        <v>1.3346830737170117</v>
      </c>
      <c r="V354" s="382">
        <f t="shared" si="135"/>
        <v>23.430236549692005</v>
      </c>
      <c r="W354" s="401">
        <f t="shared" si="136"/>
        <v>13.779437229607964</v>
      </c>
      <c r="X354" s="157">
        <f t="shared" si="137"/>
        <v>45266</v>
      </c>
      <c r="Y354" s="384">
        <f t="shared" si="138"/>
        <v>13.555469068740097</v>
      </c>
      <c r="Z354" s="384">
        <f t="shared" si="139"/>
        <v>14.14969056967459</v>
      </c>
      <c r="AA354" s="385">
        <f t="shared" si="140"/>
        <v>15.434759727303724</v>
      </c>
      <c r="AB354" s="196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8.3258125188426346E-2</v>
      </c>
      <c r="AD354" s="230">
        <f>(INDEX(Models!$BJ354:$BT354,,AH354)*(1-AF354)+INDEX(Models!$BJ354:$BT354,,AH354+1)*AF354-ERP_i)*AE354*Ramure*Pc/MaxiM</f>
        <v>7.527018350222994E-4</v>
      </c>
      <c r="AE354" s="304">
        <f t="shared" si="142"/>
        <v>0.5</v>
      </c>
      <c r="AF354" s="176">
        <f t="shared" si="143"/>
        <v>0.33468307371701167</v>
      </c>
      <c r="AG354" s="814">
        <f t="shared" si="149"/>
        <v>1</v>
      </c>
      <c r="AH354" s="175">
        <f t="shared" si="144"/>
        <v>7</v>
      </c>
      <c r="AI354" s="224">
        <f t="shared" si="145"/>
        <v>1.3346830737170117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10">
        <f>'2022'!Wh/'2022'!Env_an*'2023'!Env_an</f>
        <v>19.473147968432148</v>
      </c>
      <c r="C355" s="843"/>
      <c r="D355" s="392">
        <f t="shared" si="127"/>
        <v>20.327223230530375</v>
      </c>
      <c r="E355" s="384">
        <f t="shared" si="125"/>
        <v>21.81330783997705</v>
      </c>
      <c r="F355" s="384">
        <f t="shared" si="128"/>
        <v>21.82573057214546</v>
      </c>
      <c r="G355" s="110">
        <f t="shared" si="126"/>
        <v>0.83646370526162916</v>
      </c>
      <c r="H355" s="413" t="b">
        <f>Wh_hp&gt;='2022'!Maxi_hp</f>
        <v>0</v>
      </c>
      <c r="I355" s="389">
        <f>IF(H355,Wh_hp,'2022'!Maxi_hp)</f>
        <v>22.326722541325999</v>
      </c>
      <c r="J355" s="85">
        <f>IF(H355,An,'2022'!An_max)</f>
        <v>2018</v>
      </c>
      <c r="K355" s="196">
        <f t="shared" si="129"/>
        <v>45267</v>
      </c>
      <c r="L355" s="147">
        <f>IF(t&lt;Tvie,1-EXP((T0-t)*PertePVj)+'2022'!Pspv,1-EXP((T0-t)*PertePVj)+Pspv)</f>
        <v>4.2016327189020687E-2</v>
      </c>
      <c r="M355" s="847"/>
      <c r="N355" s="847"/>
      <c r="O355" s="48">
        <f>IF(t&lt;Tnet,'2022'!Resal+('2022'!Salim-'2022'!Resal)*(1-EXP(('2022'!Tnet-t)/('2022'!Tau_j))),Resal+(Salim-Resal)*(1-EXP((Tnet-t)/(Tau_j))))*Salcycl</f>
        <v>6.8127430298450226E-2</v>
      </c>
      <c r="P355" s="168">
        <f>(INDEX(Models!$BJ355:$BT355,,T355)*(1-R355)+INDEX(Models!$BJ355:$BT355,,T355+1)*R355-ERP_i)*Q355*Ramure*Pc/MaxiM</f>
        <v>7.4248656338363054E-4</v>
      </c>
      <c r="Q355" s="304">
        <f t="shared" si="130"/>
        <v>0.5</v>
      </c>
      <c r="R355" s="176">
        <f t="shared" si="131"/>
        <v>0.33469079144158265</v>
      </c>
      <c r="S355" s="814">
        <f t="shared" si="132"/>
        <v>1</v>
      </c>
      <c r="T355" s="175">
        <f t="shared" si="133"/>
        <v>7</v>
      </c>
      <c r="U355" s="250">
        <f t="shared" si="134"/>
        <v>1.3346907914415826</v>
      </c>
      <c r="V355" s="382">
        <f t="shared" si="135"/>
        <v>23.276289295596854</v>
      </c>
      <c r="W355" s="401">
        <f t="shared" si="136"/>
        <v>19.473147968432148</v>
      </c>
      <c r="X355" s="157">
        <f t="shared" si="137"/>
        <v>45267</v>
      </c>
      <c r="Y355" s="384">
        <f t="shared" si="138"/>
        <v>19.157046613116179</v>
      </c>
      <c r="Z355" s="384">
        <f t="shared" si="139"/>
        <v>19.997257945852358</v>
      </c>
      <c r="AA355" s="385">
        <f t="shared" si="140"/>
        <v>21.81330783997705</v>
      </c>
      <c r="AB355" s="196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8.3254218362812216E-2</v>
      </c>
      <c r="AD355" s="230">
        <f>(INDEX(Models!$BJ355:$BT355,,AH355)*(1-AF355)+INDEX(Models!$BJ355:$BT355,,AH355+1)*AF355-ERP_i)*AE355*Ramure*Pc/MaxiM</f>
        <v>7.4248656338363054E-4</v>
      </c>
      <c r="AE355" s="304">
        <f t="shared" si="142"/>
        <v>0.5</v>
      </c>
      <c r="AF355" s="176">
        <f t="shared" si="143"/>
        <v>0.33469079144158265</v>
      </c>
      <c r="AG355" s="814">
        <f t="shared" si="149"/>
        <v>1</v>
      </c>
      <c r="AH355" s="175">
        <f t="shared" si="144"/>
        <v>7</v>
      </c>
      <c r="AI355" s="224">
        <f t="shared" si="145"/>
        <v>1.3346907914415826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10">
        <f>'2022'!Wh/'2022'!Env_an*'2023'!Env_an</f>
        <v>3.5890663827699743</v>
      </c>
      <c r="C356" s="843"/>
      <c r="D356" s="392">
        <f t="shared" si="127"/>
        <v>3.7465616561624722</v>
      </c>
      <c r="E356" s="384">
        <f t="shared" si="125"/>
        <v>4.0205392078183868</v>
      </c>
      <c r="F356" s="384">
        <f t="shared" si="128"/>
        <v>4.0205392078183868</v>
      </c>
      <c r="G356" s="110">
        <f t="shared" si="126"/>
        <v>0.155023569309027</v>
      </c>
      <c r="H356" s="413" t="b">
        <f>Wh_hp&gt;='2022'!Maxi_hp</f>
        <v>0</v>
      </c>
      <c r="I356" s="389">
        <f>IF(H356,Wh_hp,'2022'!Maxi_hp)</f>
        <v>18.567301939285336</v>
      </c>
      <c r="J356" s="85">
        <f>IF(H356,An,'2022'!An_max)</f>
        <v>2019</v>
      </c>
      <c r="K356" s="196">
        <f t="shared" si="129"/>
        <v>45268</v>
      </c>
      <c r="L356" s="147">
        <f>IF(t&lt;Tvie,1-EXP((T0-t)*PertePVj)+'2022'!Pspv,1-EXP((T0-t)*PertePVj)+Pspv)</f>
        <v>4.203728320697573E-2</v>
      </c>
      <c r="M356" s="847"/>
      <c r="N356" s="847"/>
      <c r="O356" s="48">
        <f>IF(t&lt;Tnet,'2022'!Resal+('2022'!Salim-'2022'!Resal)*(1-EXP(('2022'!Tnet-t)/('2022'!Tau_j))),Resal+(Salim-Resal)*(1-EXP((Tnet-t)/(Tau_j))))*Salcycl</f>
        <v>6.8144479507408956E-2</v>
      </c>
      <c r="P356" s="168">
        <f>(INDEX(Models!$BJ356:$BT356,,T356)*(1-R356)+INDEX(Models!$BJ356:$BT356,,T356+1)*R356-ERP_i)*Q356*Ramure*Pc/MaxiM</f>
        <v>7.3328850550224381E-4</v>
      </c>
      <c r="Q356" s="304">
        <f t="shared" si="130"/>
        <v>0.5</v>
      </c>
      <c r="R356" s="176">
        <f t="shared" si="131"/>
        <v>0.33469819880118323</v>
      </c>
      <c r="S356" s="814">
        <f t="shared" si="132"/>
        <v>1</v>
      </c>
      <c r="T356" s="175">
        <f t="shared" si="133"/>
        <v>7</v>
      </c>
      <c r="U356" s="250">
        <f t="shared" si="134"/>
        <v>1.3346981988011832</v>
      </c>
      <c r="V356" s="382">
        <f t="shared" si="135"/>
        <v>23.134769620074586</v>
      </c>
      <c r="W356" s="401">
        <f t="shared" si="136"/>
        <v>3.5890663827699743</v>
      </c>
      <c r="X356" s="157">
        <f t="shared" si="137"/>
        <v>45268</v>
      </c>
      <c r="Y356" s="384">
        <f t="shared" si="138"/>
        <v>3.5308809400327359</v>
      </c>
      <c r="Z356" s="384">
        <f t="shared" si="139"/>
        <v>3.685822922058053</v>
      </c>
      <c r="AA356" s="385">
        <f t="shared" si="140"/>
        <v>4.0205392078183868</v>
      </c>
      <c r="AB356" s="196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8.3251591007853051E-2</v>
      </c>
      <c r="AD356" s="230">
        <f>(INDEX(Models!$BJ356:$BT356,,AH356)*(1-AF356)+INDEX(Models!$BJ356:$BT356,,AH356+1)*AF356-ERP_i)*AE356*Ramure*Pc/MaxiM</f>
        <v>7.3328850550224381E-4</v>
      </c>
      <c r="AE356" s="304">
        <f t="shared" si="142"/>
        <v>0.5</v>
      </c>
      <c r="AF356" s="176">
        <f t="shared" si="143"/>
        <v>0.33469819880118323</v>
      </c>
      <c r="AG356" s="814">
        <f t="shared" si="149"/>
        <v>1</v>
      </c>
      <c r="AH356" s="175">
        <f t="shared" si="144"/>
        <v>7</v>
      </c>
      <c r="AI356" s="224">
        <f t="shared" si="145"/>
        <v>1.3346981988011832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10">
        <f>'2022'!Wh/'2022'!Env_an*'2023'!Env_an</f>
        <v>8.1042955071032594</v>
      </c>
      <c r="C357" s="843"/>
      <c r="D357" s="392">
        <f t="shared" si="127"/>
        <v>8.4601129578722762</v>
      </c>
      <c r="E357" s="384">
        <f t="shared" si="125"/>
        <v>9.078957522284604</v>
      </c>
      <c r="F357" s="384">
        <f t="shared" si="128"/>
        <v>9.0794489620303693</v>
      </c>
      <c r="G357" s="110">
        <f t="shared" si="126"/>
        <v>0.35201810181826615</v>
      </c>
      <c r="H357" s="413" t="b">
        <f>Wh_hp&gt;='2022'!Maxi_hp</f>
        <v>0</v>
      </c>
      <c r="I357" s="389">
        <f>IF(H357,Wh_hp,'2022'!Maxi_hp)</f>
        <v>10.545859216009614</v>
      </c>
      <c r="J357" s="85">
        <f>IF(H357,An,'2022'!An_max)</f>
        <v>2020</v>
      </c>
      <c r="K357" s="196">
        <f t="shared" si="129"/>
        <v>45269</v>
      </c>
      <c r="L357" s="147">
        <f>IF(t&lt;Tvie,1-EXP((T0-t)*PertePVj)+'2022'!Pspv,1-EXP((T0-t)*PertePVj)+Pspv)</f>
        <v>4.205823876594026E-2</v>
      </c>
      <c r="M357" s="847"/>
      <c r="N357" s="847"/>
      <c r="O357" s="48">
        <f>IF(t&lt;Tnet,'2022'!Resal+('2022'!Salim-'2022'!Resal)*(1-EXP(('2022'!Tnet-t)/('2022'!Tau_j))),Resal+(Salim-Resal)*(1-EXP((Tnet-t)/(Tau_j))))*Salcycl</f>
        <v>6.8162513470665931E-2</v>
      </c>
      <c r="P357" s="168">
        <f>(INDEX(Models!$BJ357:$BT357,,T357)*(1-R357)+INDEX(Models!$BJ357:$BT357,,T357+1)*R357-ERP_i)*Q357*Ramure*Pc/MaxiM</f>
        <v>7.2507921582033968E-4</v>
      </c>
      <c r="Q357" s="304">
        <f t="shared" si="130"/>
        <v>0.5</v>
      </c>
      <c r="R357" s="176">
        <f t="shared" si="131"/>
        <v>0.33470530826259925</v>
      </c>
      <c r="S357" s="814">
        <f t="shared" si="132"/>
        <v>1</v>
      </c>
      <c r="T357" s="175">
        <f t="shared" si="133"/>
        <v>7</v>
      </c>
      <c r="U357" s="250">
        <f t="shared" si="134"/>
        <v>1.3347053082625993</v>
      </c>
      <c r="V357" s="382">
        <f t="shared" si="135"/>
        <v>23.006935077215886</v>
      </c>
      <c r="W357" s="401">
        <f t="shared" si="136"/>
        <v>8.1042955071032594</v>
      </c>
      <c r="X357" s="157">
        <f t="shared" si="137"/>
        <v>45269</v>
      </c>
      <c r="Y357" s="384">
        <f t="shared" si="138"/>
        <v>7.9730761757747244</v>
      </c>
      <c r="Z357" s="384">
        <f t="shared" si="139"/>
        <v>8.3231324684117354</v>
      </c>
      <c r="AA357" s="385">
        <f t="shared" si="140"/>
        <v>9.078957522284604</v>
      </c>
      <c r="AB357" s="196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8.3250202682154925E-2</v>
      </c>
      <c r="AD357" s="230">
        <f>(INDEX(Models!$BJ357:$BT357,,AH357)*(1-AF357)+INDEX(Models!$BJ357:$BT357,,AH357+1)*AF357-ERP_i)*AE357*Ramure*Pc/MaxiM</f>
        <v>7.2507921582033968E-4</v>
      </c>
      <c r="AE357" s="304">
        <f t="shared" si="142"/>
        <v>0.5</v>
      </c>
      <c r="AF357" s="176">
        <f t="shared" si="143"/>
        <v>0.33470530826259925</v>
      </c>
      <c r="AG357" s="814">
        <f t="shared" si="149"/>
        <v>1</v>
      </c>
      <c r="AH357" s="175">
        <f t="shared" si="144"/>
        <v>7</v>
      </c>
      <c r="AI357" s="224">
        <f t="shared" si="145"/>
        <v>1.3347053082625993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10">
        <f>'2022'!Wh/'2022'!Env_an*'2023'!Env_an</f>
        <v>14.987801925804471</v>
      </c>
      <c r="C358" s="843"/>
      <c r="D358" s="392">
        <f t="shared" si="127"/>
        <v>15.646180592205134</v>
      </c>
      <c r="E358" s="384">
        <f t="shared" si="125"/>
        <v>16.791017301540297</v>
      </c>
      <c r="F358" s="384">
        <f t="shared" si="128"/>
        <v>16.797126296062231</v>
      </c>
      <c r="G358" s="110">
        <f t="shared" si="126"/>
        <v>0.65442754271368309</v>
      </c>
      <c r="H358" s="413" t="b">
        <f>Wh_hp&gt;='2022'!Maxi_hp</f>
        <v>0</v>
      </c>
      <c r="I358" s="389">
        <f>IF(H358,Wh_hp,'2022'!Maxi_hp)</f>
        <v>22.599335595679641</v>
      </c>
      <c r="J358" s="85">
        <f>IF(H358,An,'2022'!An_max)</f>
        <v>2019</v>
      </c>
      <c r="K358" s="196">
        <f t="shared" si="129"/>
        <v>45270</v>
      </c>
      <c r="L358" s="147">
        <f>IF(t&lt;Tvie,1-EXP((T0-t)*PertePVj)+'2022'!Pspv,1-EXP((T0-t)*PertePVj)+Pspv)</f>
        <v>4.2079193865924382E-2</v>
      </c>
      <c r="M358" s="847"/>
      <c r="N358" s="847"/>
      <c r="O358" s="48">
        <f>IF(t&lt;Tnet,'2022'!Resal+('2022'!Salim-'2022'!Resal)*(1-EXP(('2022'!Tnet-t)/('2022'!Tau_j))),Resal+(Salim-Resal)*(1-EXP((Tnet-t)/(Tau_j))))*Salcycl</f>
        <v>6.8181497807767888E-2</v>
      </c>
      <c r="P358" s="168">
        <f>(INDEX(Models!$BJ358:$BT358,,T358)*(1-R358)+INDEX(Models!$BJ358:$BT358,,T358+1)*R358-ERP_i)*Q358*Ramure*Pc/MaxiM</f>
        <v>7.1782938457541851E-4</v>
      </c>
      <c r="Q358" s="304">
        <f t="shared" si="130"/>
        <v>0.5</v>
      </c>
      <c r="R358" s="176">
        <f t="shared" si="131"/>
        <v>0.33471213179298598</v>
      </c>
      <c r="S358" s="814">
        <f t="shared" si="132"/>
        <v>1</v>
      </c>
      <c r="T358" s="175">
        <f t="shared" si="133"/>
        <v>7</v>
      </c>
      <c r="U358" s="250">
        <f t="shared" si="134"/>
        <v>1.334712131792986</v>
      </c>
      <c r="V358" s="382">
        <f t="shared" si="135"/>
        <v>22.894042943497837</v>
      </c>
      <c r="W358" s="401">
        <f t="shared" si="136"/>
        <v>14.987801925804471</v>
      </c>
      <c r="X358" s="157">
        <f t="shared" si="137"/>
        <v>45270</v>
      </c>
      <c r="Y358" s="384">
        <f t="shared" si="138"/>
        <v>14.745432966663982</v>
      </c>
      <c r="Z358" s="384">
        <f t="shared" si="139"/>
        <v>15.393164938313422</v>
      </c>
      <c r="AA358" s="385">
        <f t="shared" si="140"/>
        <v>16.791017301540297</v>
      </c>
      <c r="AB358" s="196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8.3250010295602819E-2</v>
      </c>
      <c r="AD358" s="230">
        <f>(INDEX(Models!$BJ358:$BT358,,AH358)*(1-AF358)+INDEX(Models!$BJ358:$BT358,,AH358+1)*AF358-ERP_i)*AE358*Ramure*Pc/MaxiM</f>
        <v>7.1782938457541851E-4</v>
      </c>
      <c r="AE358" s="304">
        <f t="shared" si="142"/>
        <v>0.5</v>
      </c>
      <c r="AF358" s="176">
        <f t="shared" si="143"/>
        <v>0.33471213179298598</v>
      </c>
      <c r="AG358" s="814">
        <f t="shared" si="149"/>
        <v>1</v>
      </c>
      <c r="AH358" s="175">
        <f t="shared" si="144"/>
        <v>7</v>
      </c>
      <c r="AI358" s="224">
        <f t="shared" si="145"/>
        <v>1.334712131792986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10">
        <f>'2022'!Wh/'2022'!Env_an*'2023'!Env_an</f>
        <v>16.081219880726113</v>
      </c>
      <c r="C359" s="843"/>
      <c r="D359" s="392">
        <f t="shared" si="127"/>
        <v>16.787997049650432</v>
      </c>
      <c r="E359" s="384">
        <f t="shared" si="125"/>
        <v>18.016765619935036</v>
      </c>
      <c r="F359" s="384">
        <f t="shared" si="128"/>
        <v>18.024195850837611</v>
      </c>
      <c r="G359" s="110">
        <f t="shared" si="126"/>
        <v>0.70529532278573559</v>
      </c>
      <c r="H359" s="413" t="b">
        <f>Wh_hp&gt;='2022'!Maxi_hp</f>
        <v>0</v>
      </c>
      <c r="I359" s="389">
        <f>IF(H359,Wh_hp,'2022'!Maxi_hp)</f>
        <v>18.967198725102847</v>
      </c>
      <c r="J359" s="85">
        <f>IF(H359,An,'2022'!An_max)</f>
        <v>2018</v>
      </c>
      <c r="K359" s="196">
        <f t="shared" si="129"/>
        <v>45271</v>
      </c>
      <c r="L359" s="147">
        <f>IF(t&lt;Tvie,1-EXP((T0-t)*PertePVj)+'2022'!Pspv,1-EXP((T0-t)*PertePVj)+Pspv)</f>
        <v>4.2100148506937864E-2</v>
      </c>
      <c r="M359" s="847"/>
      <c r="N359" s="847"/>
      <c r="O359" s="48">
        <f>IF(t&lt;Tnet,'2022'!Resal+('2022'!Salim-'2022'!Resal)*(1-EXP(('2022'!Tnet-t)/('2022'!Tau_j))),Resal+(Salim-Resal)*(1-EXP((Tnet-t)/(Tau_j))))*Salcycl</f>
        <v>6.8201396199826625E-2</v>
      </c>
      <c r="P359" s="168">
        <f>(INDEX(Models!$BJ359:$BT359,,T359)*(1-R359)+INDEX(Models!$BJ359:$BT359,,T359+1)*R359-ERP_i)*Q359*Ramure*Pc/MaxiM</f>
        <v>7.1161730131012052E-4</v>
      </c>
      <c r="Q359" s="304">
        <f t="shared" si="130"/>
        <v>0.5</v>
      </c>
      <c r="R359" s="176">
        <f t="shared" si="131"/>
        <v>0.33471868087980083</v>
      </c>
      <c r="S359" s="814">
        <f t="shared" si="132"/>
        <v>1</v>
      </c>
      <c r="T359" s="175">
        <f t="shared" si="133"/>
        <v>7</v>
      </c>
      <c r="U359" s="250">
        <f t="shared" si="134"/>
        <v>1.3347186808798008</v>
      </c>
      <c r="V359" s="382">
        <f t="shared" si="135"/>
        <v>22.793860907493016</v>
      </c>
      <c r="W359" s="401">
        <f t="shared" si="136"/>
        <v>16.081219880726113</v>
      </c>
      <c r="X359" s="157">
        <f t="shared" si="137"/>
        <v>45271</v>
      </c>
      <c r="Y359" s="384">
        <f t="shared" si="138"/>
        <v>15.821490493523955</v>
      </c>
      <c r="Z359" s="384">
        <f t="shared" si="139"/>
        <v>16.516852433856492</v>
      </c>
      <c r="AA359" s="385">
        <f t="shared" si="140"/>
        <v>18.016765619935036</v>
      </c>
      <c r="AB359" s="196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8.325096844346648E-2</v>
      </c>
      <c r="AD359" s="230">
        <f>(INDEX(Models!$BJ359:$BT359,,AH359)*(1-AF359)+INDEX(Models!$BJ359:$BT359,,AH359+1)*AF359-ERP_i)*AE359*Ramure*Pc/MaxiM</f>
        <v>7.1161730131012052E-4</v>
      </c>
      <c r="AE359" s="304">
        <f t="shared" si="142"/>
        <v>0.5</v>
      </c>
      <c r="AF359" s="176">
        <f t="shared" si="143"/>
        <v>0.33471868087980083</v>
      </c>
      <c r="AG359" s="814">
        <f t="shared" si="149"/>
        <v>1</v>
      </c>
      <c r="AH359" s="175">
        <f t="shared" si="144"/>
        <v>7</v>
      </c>
      <c r="AI359" s="224">
        <f t="shared" si="145"/>
        <v>1.3347186808798008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10">
        <f>'2022'!Wh/'2022'!Env_an*'2023'!Env_an</f>
        <v>5.169394742855637</v>
      </c>
      <c r="C360" s="843"/>
      <c r="D360" s="392">
        <f t="shared" si="127"/>
        <v>5.3967101241788935</v>
      </c>
      <c r="E360" s="384">
        <f t="shared" si="125"/>
        <v>5.7918421691097777</v>
      </c>
      <c r="F360" s="384">
        <f t="shared" si="128"/>
        <v>5.7918421691097777</v>
      </c>
      <c r="G360" s="110">
        <f t="shared" si="126"/>
        <v>0.2275314078192732</v>
      </c>
      <c r="H360" s="413" t="b">
        <f>Wh_hp&gt;='2022'!Maxi_hp</f>
        <v>0</v>
      </c>
      <c r="I360" s="389">
        <f>IF(H360,Wh_hp,'2022'!Maxi_hp)</f>
        <v>25.182974084445021</v>
      </c>
      <c r="J360" s="85">
        <f>IF(H360,An,'2022'!An_max)</f>
        <v>2021</v>
      </c>
      <c r="K360" s="196">
        <f t="shared" si="129"/>
        <v>45272</v>
      </c>
      <c r="L360" s="147">
        <f>IF(t&lt;Tvie,1-EXP((T0-t)*PertePVj)+'2022'!Pspv,1-EXP((T0-t)*PertePVj)+Pspv)</f>
        <v>4.2121102688991031E-2</v>
      </c>
      <c r="M360" s="847"/>
      <c r="N360" s="847"/>
      <c r="O360" s="48">
        <f>IF(t&lt;Tnet,'2022'!Resal+('2022'!Salim-'2022'!Resal)*(1-EXP(('2022'!Tnet-t)/('2022'!Tau_j))),Resal+(Salim-Resal)*(1-EXP((Tnet-t)/(Tau_j))))*Salcycl</f>
        <v>6.8222170665886261E-2</v>
      </c>
      <c r="P360" s="168">
        <f>(INDEX(Models!$BJ360:$BT360,,T360)*(1-R360)+INDEX(Models!$BJ360:$BT360,,T360+1)*R360-ERP_i)*Q360*Ramure*Pc/MaxiM</f>
        <v>7.06540780167653E-4</v>
      </c>
      <c r="Q360" s="304">
        <f t="shared" si="130"/>
        <v>0.5</v>
      </c>
      <c r="R360" s="176">
        <f t="shared" si="131"/>
        <v>0.33472496654994965</v>
      </c>
      <c r="S360" s="814">
        <f t="shared" si="132"/>
        <v>1</v>
      </c>
      <c r="T360" s="175">
        <f t="shared" si="133"/>
        <v>7</v>
      </c>
      <c r="U360" s="250">
        <f t="shared" si="134"/>
        <v>1.3347249665499497</v>
      </c>
      <c r="V360" s="382">
        <f t="shared" si="135"/>
        <v>22.703425448692965</v>
      </c>
      <c r="W360" s="401">
        <f t="shared" si="136"/>
        <v>5.169394742855637</v>
      </c>
      <c r="X360" s="157">
        <f t="shared" si="137"/>
        <v>45272</v>
      </c>
      <c r="Y360" s="384">
        <f t="shared" si="138"/>
        <v>5.0860052894185221</v>
      </c>
      <c r="Z360" s="384">
        <f t="shared" si="139"/>
        <v>5.3096537607166558</v>
      </c>
      <c r="AA360" s="385">
        <f t="shared" si="140"/>
        <v>5.7918421691097777</v>
      </c>
      <c r="AB360" s="196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8.3253029746705884E-2</v>
      </c>
      <c r="AD360" s="230">
        <f>(INDEX(Models!$BJ360:$BT360,,AH360)*(1-AF360)+INDEX(Models!$BJ360:$BT360,,AH360+1)*AF360-ERP_i)*AE360*Ramure*Pc/MaxiM</f>
        <v>7.06540780167653E-4</v>
      </c>
      <c r="AE360" s="304">
        <f t="shared" si="142"/>
        <v>0.5</v>
      </c>
      <c r="AF360" s="176">
        <f t="shared" si="143"/>
        <v>0.33472496654994965</v>
      </c>
      <c r="AG360" s="814">
        <f t="shared" si="149"/>
        <v>1</v>
      </c>
      <c r="AH360" s="175">
        <f t="shared" si="144"/>
        <v>7</v>
      </c>
      <c r="AI360" s="224">
        <f t="shared" si="145"/>
        <v>1.3347249665499497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10">
        <f>'2022'!Wh/'2022'!Env_an*'2023'!Env_an</f>
        <v>4.8388300790836594</v>
      </c>
      <c r="C361" s="843"/>
      <c r="D361" s="392">
        <f t="shared" si="127"/>
        <v>5.0517199460272391</v>
      </c>
      <c r="E361" s="384">
        <f t="shared" ref="E361:E379" si="150">Wh_pvt/(1-Psa)</f>
        <v>5.4217185220588986</v>
      </c>
      <c r="F361" s="384">
        <f t="shared" si="128"/>
        <v>5.4217185220588986</v>
      </c>
      <c r="G361" s="110">
        <f t="shared" ref="G361:G379" si="151">+Wh_hp/MaxiM</f>
        <v>0.21374054761041197</v>
      </c>
      <c r="H361" s="413" t="b">
        <f>Wh_hp&gt;='2022'!Maxi_hp</f>
        <v>0</v>
      </c>
      <c r="I361" s="389">
        <f>IF(H361,Wh_hp,'2022'!Maxi_hp)</f>
        <v>25.628630345535896</v>
      </c>
      <c r="J361" s="85">
        <f>IF(H361,An,'2022'!An_max)</f>
        <v>2021</v>
      </c>
      <c r="K361" s="196">
        <f t="shared" si="129"/>
        <v>45273</v>
      </c>
      <c r="L361" s="147">
        <f>IF(t&lt;Tvie,1-EXP((T0-t)*PertePVj)+'2022'!Pspv,1-EXP((T0-t)*PertePVj)+Pspv)</f>
        <v>4.2142056412093766E-2</v>
      </c>
      <c r="M361" s="847"/>
      <c r="N361" s="847"/>
      <c r="O361" s="48">
        <f>IF(t&lt;Tnet,'2022'!Resal+('2022'!Salim-'2022'!Resal)*(1-EXP(('2022'!Tnet-t)/('2022'!Tau_j))),Resal+(Salim-Resal)*(1-EXP((Tnet-t)/(Tau_j))))*Salcycl</f>
        <v>6.8243781842653159E-2</v>
      </c>
      <c r="P361" s="168">
        <f>(INDEX(Models!$BJ361:$BT361,,T361)*(1-R361)+INDEX(Models!$BJ361:$BT361,,T361+1)*R361-ERP_i)*Q361*Ramure*Pc/MaxiM</f>
        <v>7.018809159802709E-4</v>
      </c>
      <c r="Q361" s="304">
        <f t="shared" si="130"/>
        <v>0.5</v>
      </c>
      <c r="R361" s="176">
        <f t="shared" si="131"/>
        <v>0.33473099938817508</v>
      </c>
      <c r="S361" s="814">
        <f t="shared" si="132"/>
        <v>1</v>
      </c>
      <c r="T361" s="175">
        <f t="shared" si="133"/>
        <v>7</v>
      </c>
      <c r="U361" s="250">
        <f t="shared" si="134"/>
        <v>1.3347309993881751</v>
      </c>
      <c r="V361" s="382">
        <f t="shared" si="135"/>
        <v>22.622912922489075</v>
      </c>
      <c r="W361" s="401">
        <f t="shared" si="136"/>
        <v>4.8388300790836594</v>
      </c>
      <c r="X361" s="157">
        <f t="shared" si="137"/>
        <v>45273</v>
      </c>
      <c r="Y361" s="384">
        <f t="shared" si="138"/>
        <v>4.7608673309573559</v>
      </c>
      <c r="Z361" s="384">
        <f t="shared" si="139"/>
        <v>4.9703271375756284</v>
      </c>
      <c r="AA361" s="385">
        <f t="shared" si="140"/>
        <v>5.4217185220588986</v>
      </c>
      <c r="AB361" s="196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8.3256145195795592E-2</v>
      </c>
      <c r="AD361" s="230">
        <f>(INDEX(Models!$BJ361:$BT361,,AH361)*(1-AF361)+INDEX(Models!$BJ361:$BT361,,AH361+1)*AF361-ERP_i)*AE361*Ramure*Pc/MaxiM</f>
        <v>7.018809159802709E-4</v>
      </c>
      <c r="AE361" s="304">
        <f t="shared" si="142"/>
        <v>0.5</v>
      </c>
      <c r="AF361" s="176">
        <f t="shared" si="143"/>
        <v>0.33473099938817508</v>
      </c>
      <c r="AG361" s="814">
        <f t="shared" si="149"/>
        <v>1</v>
      </c>
      <c r="AH361" s="175">
        <f t="shared" si="144"/>
        <v>7</v>
      </c>
      <c r="AI361" s="224">
        <f t="shared" si="145"/>
        <v>1.3347309993881751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10">
        <f>'2022'!Wh/'2022'!Env_an*'2023'!Env_an</f>
        <v>15.711494503891883</v>
      </c>
      <c r="C362" s="843"/>
      <c r="D362" s="392">
        <f t="shared" si="127"/>
        <v>16.403098504873448</v>
      </c>
      <c r="E362" s="384">
        <f t="shared" si="150"/>
        <v>17.604919254718119</v>
      </c>
      <c r="F362" s="384">
        <f t="shared" si="128"/>
        <v>17.611881615827699</v>
      </c>
      <c r="G362" s="110">
        <f t="shared" si="151"/>
        <v>0.69645292274625736</v>
      </c>
      <c r="H362" s="413" t="b">
        <f>Wh_hp&gt;='2022'!Maxi_hp</f>
        <v>0</v>
      </c>
      <c r="I362" s="389">
        <f>IF(H362,Wh_hp,'2022'!Maxi_hp)</f>
        <v>25.793549080224839</v>
      </c>
      <c r="J362" s="85">
        <f>IF(H362,An,'2022'!An_max)</f>
        <v>2021</v>
      </c>
      <c r="K362" s="196">
        <f t="shared" si="129"/>
        <v>45274</v>
      </c>
      <c r="L362" s="147">
        <f>IF(t&lt;Tvie,1-EXP((T0-t)*PertePVj)+'2022'!Pspv,1-EXP((T0-t)*PertePVj)+Pspv)</f>
        <v>4.2163009676256281E-2</v>
      </c>
      <c r="M362" s="847"/>
      <c r="N362" s="847"/>
      <c r="O362" s="48">
        <f>IF(t&lt;Tnet,'2022'!Resal+('2022'!Salim-'2022'!Resal)*(1-EXP(('2022'!Tnet-t)/('2022'!Tau_j))),Resal+(Salim-Resal)*(1-EXP((Tnet-t)/(Tau_j))))*Salcycl</f>
        <v>6.8266189265400012E-2</v>
      </c>
      <c r="P362" s="168">
        <f>(INDEX(Models!$BJ362:$BT362,,T362)*(1-R362)+INDEX(Models!$BJ362:$BT362,,T362+1)*R362-ERP_i)*Q362*Ramure*Pc/MaxiM</f>
        <v>6.9763211048986899E-4</v>
      </c>
      <c r="Q362" s="304">
        <f t="shared" si="130"/>
        <v>0.5</v>
      </c>
      <c r="R362" s="176">
        <f t="shared" si="131"/>
        <v>0.33473678955471664</v>
      </c>
      <c r="S362" s="814">
        <f t="shared" si="132"/>
        <v>1</v>
      </c>
      <c r="T362" s="175">
        <f t="shared" si="133"/>
        <v>7</v>
      </c>
      <c r="U362" s="250">
        <f t="shared" si="134"/>
        <v>1.3347367895547166</v>
      </c>
      <c r="V362" s="382">
        <f t="shared" si="135"/>
        <v>22.552483256272893</v>
      </c>
      <c r="W362" s="401">
        <f t="shared" si="136"/>
        <v>15.711494503891883</v>
      </c>
      <c r="X362" s="157">
        <f t="shared" si="137"/>
        <v>45274</v>
      </c>
      <c r="Y362" s="384">
        <f t="shared" si="138"/>
        <v>15.458654768065125</v>
      </c>
      <c r="Z362" s="384">
        <f t="shared" si="139"/>
        <v>16.139129021150232</v>
      </c>
      <c r="AA362" s="385">
        <f t="shared" si="140"/>
        <v>17.604919254718119</v>
      </c>
      <c r="AB362" s="196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8.3260264495394143E-2</v>
      </c>
      <c r="AD362" s="230">
        <f>(INDEX(Models!$BJ362:$BT362,,AH362)*(1-AF362)+INDEX(Models!$BJ362:$BT362,,AH362+1)*AF362-ERP_i)*AE362*Ramure*Pc/MaxiM</f>
        <v>6.9763211048986899E-4</v>
      </c>
      <c r="AE362" s="304">
        <f t="shared" si="142"/>
        <v>0.5</v>
      </c>
      <c r="AF362" s="176">
        <f t="shared" si="143"/>
        <v>0.33473678955471664</v>
      </c>
      <c r="AG362" s="814">
        <f t="shared" si="149"/>
        <v>1</v>
      </c>
      <c r="AH362" s="175">
        <f t="shared" si="144"/>
        <v>7</v>
      </c>
      <c r="AI362" s="224">
        <f t="shared" si="145"/>
        <v>1.3347367895547166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10">
        <f>'2022'!Wh/'2022'!Env_an*'2023'!Env_an</f>
        <v>5.7340924331932639</v>
      </c>
      <c r="C363" s="843"/>
      <c r="D363" s="392">
        <f t="shared" si="127"/>
        <v>5.986632305770347</v>
      </c>
      <c r="E363" s="384">
        <f t="shared" si="150"/>
        <v>6.4254200768861516</v>
      </c>
      <c r="F363" s="384">
        <f t="shared" si="128"/>
        <v>6.4254200768861516</v>
      </c>
      <c r="G363" s="110">
        <f t="shared" si="151"/>
        <v>0.25475896783289986</v>
      </c>
      <c r="H363" s="413" t="b">
        <f>Wh_hp&gt;='2022'!Maxi_hp</f>
        <v>0</v>
      </c>
      <c r="I363" s="389">
        <f>IF(H363,Wh_hp,'2022'!Maxi_hp)</f>
        <v>25.480565606345994</v>
      </c>
      <c r="J363" s="85">
        <f>IF(H363,An,'2022'!An_max)</f>
        <v>2019</v>
      </c>
      <c r="K363" s="196">
        <f t="shared" si="129"/>
        <v>45275</v>
      </c>
      <c r="L363" s="147">
        <f>IF(t&lt;Tvie,1-EXP((T0-t)*PertePVj)+'2022'!Pspv,1-EXP((T0-t)*PertePVj)+Pspv)</f>
        <v>4.2183962481488459E-2</v>
      </c>
      <c r="M363" s="847"/>
      <c r="N363" s="847"/>
      <c r="O363" s="48">
        <f>IF(t&lt;Tnet,'2022'!Resal+('2022'!Salim-'2022'!Resal)*(1-EXP(('2022'!Tnet-t)/('2022'!Tau_j))),Resal+(Salim-Resal)*(1-EXP((Tnet-t)/(Tau_j))))*Salcycl</f>
        <v>6.8289351647876653E-2</v>
      </c>
      <c r="P363" s="168">
        <f>(INDEX(Models!$BJ363:$BT363,,T363)*(1-R363)+INDEX(Models!$BJ363:$BT363,,T363+1)*R363-ERP_i)*Q363*Ramure*Pc/MaxiM</f>
        <v>6.9378836571088842E-4</v>
      </c>
      <c r="Q363" s="304">
        <f t="shared" si="130"/>
        <v>0.5</v>
      </c>
      <c r="R363" s="176">
        <f t="shared" si="131"/>
        <v>0.33474234680227077</v>
      </c>
      <c r="S363" s="814">
        <f t="shared" si="132"/>
        <v>1</v>
      </c>
      <c r="T363" s="175">
        <f t="shared" si="133"/>
        <v>7</v>
      </c>
      <c r="U363" s="250">
        <f t="shared" si="134"/>
        <v>1.3347423468022708</v>
      </c>
      <c r="V363" s="382">
        <f t="shared" si="135"/>
        <v>22.492296288206305</v>
      </c>
      <c r="W363" s="401">
        <f t="shared" si="136"/>
        <v>5.7340924331932639</v>
      </c>
      <c r="X363" s="157">
        <f t="shared" si="137"/>
        <v>45275</v>
      </c>
      <c r="Y363" s="384">
        <f t="shared" si="138"/>
        <v>5.6419246759179353</v>
      </c>
      <c r="Z363" s="384">
        <f t="shared" si="139"/>
        <v>5.8904053126265339</v>
      </c>
      <c r="AA363" s="385">
        <f t="shared" si="140"/>
        <v>6.4254200768861516</v>
      </c>
      <c r="AB363" s="196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8.3265336407217866E-2</v>
      </c>
      <c r="AD363" s="230">
        <f>(INDEX(Models!$BJ363:$BT363,,AH363)*(1-AF363)+INDEX(Models!$BJ363:$BT363,,AH363+1)*AF363-ERP_i)*AE363*Ramure*Pc/MaxiM</f>
        <v>6.9378836571088842E-4</v>
      </c>
      <c r="AE363" s="304">
        <f t="shared" si="142"/>
        <v>0.5</v>
      </c>
      <c r="AF363" s="176">
        <f t="shared" si="143"/>
        <v>0.33474234680227077</v>
      </c>
      <c r="AG363" s="814">
        <f t="shared" si="149"/>
        <v>1</v>
      </c>
      <c r="AH363" s="175">
        <f t="shared" si="144"/>
        <v>7</v>
      </c>
      <c r="AI363" s="224">
        <f t="shared" si="145"/>
        <v>1.3347423468022708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10">
        <f>'2022'!Wh/'2022'!Env_an*'2023'!Env_an</f>
        <v>4.7457548755151846</v>
      </c>
      <c r="C364" s="843"/>
      <c r="D364" s="392">
        <f t="shared" si="127"/>
        <v>4.9548749507959293</v>
      </c>
      <c r="E364" s="384">
        <f t="shared" si="150"/>
        <v>5.3181767684513961</v>
      </c>
      <c r="F364" s="384">
        <f t="shared" si="128"/>
        <v>5.3181767684513961</v>
      </c>
      <c r="G364" s="110">
        <f t="shared" si="151"/>
        <v>0.21131675126380717</v>
      </c>
      <c r="H364" s="413" t="b">
        <f>Wh_hp&gt;='2022'!Maxi_hp</f>
        <v>0</v>
      </c>
      <c r="I364" s="389">
        <f>IF(H364,Wh_hp,'2022'!Maxi_hp)</f>
        <v>25.377084616872267</v>
      </c>
      <c r="J364" s="85">
        <f>IF(H364,An,'2022'!An_max)</f>
        <v>2021</v>
      </c>
      <c r="K364" s="196">
        <f t="shared" si="129"/>
        <v>45276</v>
      </c>
      <c r="L364" s="147">
        <f>IF(t&lt;Tvie,1-EXP((T0-t)*PertePVj)+'2022'!Pspv,1-EXP((T0-t)*PertePVj)+Pspv)</f>
        <v>4.2204914827800512E-2</v>
      </c>
      <c r="M364" s="847"/>
      <c r="N364" s="847"/>
      <c r="O364" s="48">
        <f>IF(t&lt;Tnet,'2022'!Resal+('2022'!Salim-'2022'!Resal)*(1-EXP(('2022'!Tnet-t)/('2022'!Tau_j))),Resal+(Salim-Resal)*(1-EXP((Tnet-t)/(Tau_j))))*Salcycl</f>
        <v>6.8313227159099696E-2</v>
      </c>
      <c r="P364" s="168">
        <f>(INDEX(Models!$BJ364:$BT364,,T364)*(1-R364)+INDEX(Models!$BJ364:$BT364,,T364+1)*R364-ERP_i)*Q364*Ramure*Pc/MaxiM</f>
        <v>6.9034328061401016E-4</v>
      </c>
      <c r="Q364" s="304">
        <f t="shared" si="130"/>
        <v>0.5</v>
      </c>
      <c r="R364" s="176">
        <f t="shared" si="131"/>
        <v>0.33474768049227777</v>
      </c>
      <c r="S364" s="814">
        <f t="shared" si="132"/>
        <v>1</v>
      </c>
      <c r="T364" s="175">
        <f t="shared" si="133"/>
        <v>7</v>
      </c>
      <c r="U364" s="250">
        <f t="shared" si="134"/>
        <v>1.3347476804922778</v>
      </c>
      <c r="V364" s="382">
        <f t="shared" si="135"/>
        <v>22.442511760958013</v>
      </c>
      <c r="W364" s="401">
        <f t="shared" si="136"/>
        <v>4.7457548755151846</v>
      </c>
      <c r="X364" s="157">
        <f t="shared" si="137"/>
        <v>45276</v>
      </c>
      <c r="Y364" s="384">
        <f t="shared" si="138"/>
        <v>4.6695625410157913</v>
      </c>
      <c r="Z364" s="384">
        <f t="shared" si="139"/>
        <v>4.8753252269782346</v>
      </c>
      <c r="AA364" s="385">
        <f t="shared" si="140"/>
        <v>5.3181767684513961</v>
      </c>
      <c r="AB364" s="196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8.3271309088531031E-2</v>
      </c>
      <c r="AD364" s="230">
        <f>(INDEX(Models!$BJ364:$BT364,,AH364)*(1-AF364)+INDEX(Models!$BJ364:$BT364,,AH364+1)*AF364-ERP_i)*AE364*Ramure*Pc/MaxiM</f>
        <v>6.9034328061401016E-4</v>
      </c>
      <c r="AE364" s="304">
        <f t="shared" si="142"/>
        <v>0.5</v>
      </c>
      <c r="AF364" s="176">
        <f t="shared" si="143"/>
        <v>0.33474768049227777</v>
      </c>
      <c r="AG364" s="814">
        <f t="shared" si="149"/>
        <v>1</v>
      </c>
      <c r="AH364" s="175">
        <f t="shared" si="144"/>
        <v>7</v>
      </c>
      <c r="AI364" s="224">
        <f t="shared" si="145"/>
        <v>1.3347476804922778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10">
        <f>'2022'!Wh/'2022'!Env_an*'2023'!Env_an</f>
        <v>2.8048252580765851</v>
      </c>
      <c r="C365" s="843"/>
      <c r="D365" s="392">
        <f t="shared" si="127"/>
        <v>2.928482990511668</v>
      </c>
      <c r="E365" s="384">
        <f t="shared" si="150"/>
        <v>3.1432883161164171</v>
      </c>
      <c r="F365" s="384">
        <f t="shared" si="128"/>
        <v>3.1432883161164171</v>
      </c>
      <c r="G365" s="110">
        <f t="shared" si="151"/>
        <v>0.12511098210525584</v>
      </c>
      <c r="H365" s="413" t="b">
        <f>Wh_hp&gt;='2022'!Maxi_hp</f>
        <v>0</v>
      </c>
      <c r="I365" s="389">
        <f>IF(H365,Wh_hp,'2022'!Maxi_hp)</f>
        <v>25.511567876955379</v>
      </c>
      <c r="J365" s="85">
        <f>IF(H365,An,'2022'!An_max)</f>
        <v>2021</v>
      </c>
      <c r="K365" s="196">
        <f t="shared" si="129"/>
        <v>45277</v>
      </c>
      <c r="L365" s="147">
        <f>IF(t&lt;Tvie,1-EXP((T0-t)*PertePVj)+'2022'!Pspv,1-EXP((T0-t)*PertePVj)+Pspv)</f>
        <v>4.2225866715202322E-2</v>
      </c>
      <c r="M365" s="847"/>
      <c r="N365" s="847"/>
      <c r="O365" s="48">
        <f>IF(t&lt;Tnet,'2022'!Resal+('2022'!Salim-'2022'!Resal)*(1-EXP(('2022'!Tnet-t)/('2022'!Tau_j))),Resal+(Salim-Resal)*(1-EXP((Tnet-t)/(Tau_j))))*Salcycl</f>
        <v>6.8337773694951545E-2</v>
      </c>
      <c r="P365" s="168">
        <f>(INDEX(Models!$BJ365:$BT365,,T365)*(1-R365)+INDEX(Models!$BJ365:$BT365,,T365+1)*R365-ERP_i)*Q365*Ramure*Pc/MaxiM</f>
        <v>6.8729004777253345E-4</v>
      </c>
      <c r="Q365" s="304">
        <f t="shared" si="130"/>
        <v>0.5</v>
      </c>
      <c r="R365" s="176">
        <f t="shared" si="131"/>
        <v>0.33475279961056525</v>
      </c>
      <c r="S365" s="814">
        <f t="shared" si="132"/>
        <v>1</v>
      </c>
      <c r="T365" s="175">
        <f t="shared" si="133"/>
        <v>7</v>
      </c>
      <c r="U365" s="250">
        <f t="shared" si="134"/>
        <v>1.3347527996105653</v>
      </c>
      <c r="V365" s="382">
        <f t="shared" si="135"/>
        <v>22.403289323017951</v>
      </c>
      <c r="W365" s="401">
        <f t="shared" si="136"/>
        <v>2.8048252580765851</v>
      </c>
      <c r="X365" s="157">
        <f t="shared" si="137"/>
        <v>45277</v>
      </c>
      <c r="Y365" s="384">
        <f t="shared" si="138"/>
        <v>2.7598464140981371</v>
      </c>
      <c r="Z365" s="384">
        <f t="shared" si="139"/>
        <v>2.8815211417674469</v>
      </c>
      <c r="AA365" s="385">
        <f t="shared" si="140"/>
        <v>3.1432883161164171</v>
      </c>
      <c r="AB365" s="196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8.3278130423742838E-2</v>
      </c>
      <c r="AD365" s="230">
        <f>(INDEX(Models!$BJ365:$BT365,,AH365)*(1-AF365)+INDEX(Models!$BJ365:$BT365,,AH365+1)*AF365-ERP_i)*AE365*Ramure*Pc/MaxiM</f>
        <v>6.8729004777253345E-4</v>
      </c>
      <c r="AE365" s="304">
        <f t="shared" si="142"/>
        <v>0.5</v>
      </c>
      <c r="AF365" s="176">
        <f t="shared" si="143"/>
        <v>0.33475279961056525</v>
      </c>
      <c r="AG365" s="814">
        <f t="shared" si="149"/>
        <v>1</v>
      </c>
      <c r="AH365" s="175">
        <f t="shared" si="144"/>
        <v>7</v>
      </c>
      <c r="AI365" s="224">
        <f t="shared" si="145"/>
        <v>1.3347527996105653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10">
        <f>'2022'!Wh/'2022'!Env_an*'2023'!Env_an</f>
        <v>18.585416345394609</v>
      </c>
      <c r="C366" s="843"/>
      <c r="D366" s="392">
        <f t="shared" si="127"/>
        <v>19.40522537275498</v>
      </c>
      <c r="E366" s="384">
        <f t="shared" si="150"/>
        <v>20.829168778652523</v>
      </c>
      <c r="F366" s="384">
        <f t="shared" si="128"/>
        <v>20.839988794204142</v>
      </c>
      <c r="G366" s="110">
        <f t="shared" si="151"/>
        <v>0.83050350199098433</v>
      </c>
      <c r="H366" s="413" t="b">
        <f>Wh_hp&gt;='2022'!Maxi_hp</f>
        <v>0</v>
      </c>
      <c r="I366" s="389">
        <f>IF(H366,Wh_hp,'2022'!Maxi_hp)</f>
        <v>25.730204802155043</v>
      </c>
      <c r="J366" s="85">
        <f>IF(H366,An,'2022'!An_max)</f>
        <v>2021</v>
      </c>
      <c r="K366" s="196">
        <f t="shared" si="129"/>
        <v>45278</v>
      </c>
      <c r="L366" s="147">
        <f>IF(t&lt;Tvie,1-EXP((T0-t)*PertePVj)+'2022'!Pspv,1-EXP((T0-t)*PertePVj)+Pspv)</f>
        <v>4.2246818143704103E-2</v>
      </c>
      <c r="M366" s="847"/>
      <c r="N366" s="847"/>
      <c r="O366" s="48">
        <f>IF(t&lt;Tnet,'2022'!Resal+('2022'!Salim-'2022'!Resal)*(1-EXP(('2022'!Tnet-t)/('2022'!Tau_j))),Resal+(Salim-Resal)*(1-EXP((Tnet-t)/(Tau_j))))*Salcycl</f>
        <v>6.8362949142594637E-2</v>
      </c>
      <c r="P366" s="168">
        <f>(INDEX(Models!$BJ366:$BT366,,T366)*(1-R366)+INDEX(Models!$BJ366:$BT366,,T366+1)*R366-ERP_i)*Q366*Ramure*Pc/MaxiM</f>
        <v>6.8490047103396683E-4</v>
      </c>
      <c r="Q366" s="304">
        <f t="shared" si="130"/>
        <v>0.5</v>
      </c>
      <c r="R366" s="176">
        <f t="shared" si="131"/>
        <v>0.33475771278236688</v>
      </c>
      <c r="S366" s="814">
        <f t="shared" si="132"/>
        <v>1</v>
      </c>
      <c r="T366" s="175">
        <f t="shared" si="133"/>
        <v>7</v>
      </c>
      <c r="U366" s="250">
        <f t="shared" si="134"/>
        <v>1.3347577127823669</v>
      </c>
      <c r="V366" s="382">
        <f t="shared" si="135"/>
        <v>22.374782278112658</v>
      </c>
      <c r="W366" s="401">
        <f t="shared" si="136"/>
        <v>18.585416345394609</v>
      </c>
      <c r="X366" s="157">
        <f t="shared" si="137"/>
        <v>45278</v>
      </c>
      <c r="Y366" s="384">
        <f t="shared" si="138"/>
        <v>18.28771839962085</v>
      </c>
      <c r="Z366" s="384">
        <f t="shared" si="139"/>
        <v>19.094395869482785</v>
      </c>
      <c r="AA366" s="385">
        <f t="shared" si="140"/>
        <v>20.829168778652523</v>
      </c>
      <c r="AB366" s="196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8.3285748346697178E-2</v>
      </c>
      <c r="AD366" s="230">
        <f>(INDEX(Models!$BJ366:$BT366,,AH366)*(1-AF366)+INDEX(Models!$BJ366:$BT366,,AH366+1)*AF366-ERP_i)*AE366*Ramure*Pc/MaxiM</f>
        <v>6.8490047103396683E-4</v>
      </c>
      <c r="AE366" s="304">
        <f t="shared" si="142"/>
        <v>0.5</v>
      </c>
      <c r="AF366" s="176">
        <f t="shared" si="143"/>
        <v>0.33475771278236688</v>
      </c>
      <c r="AG366" s="814">
        <f t="shared" si="149"/>
        <v>1</v>
      </c>
      <c r="AH366" s="175">
        <f t="shared" si="144"/>
        <v>7</v>
      </c>
      <c r="AI366" s="224">
        <f t="shared" si="145"/>
        <v>1.3347577127823669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10">
        <f>'2022'!Wh/'2022'!Env_an*'2023'!Env_an</f>
        <v>17.472548453533719</v>
      </c>
      <c r="C367" s="843"/>
      <c r="D367" s="392">
        <f t="shared" si="127"/>
        <v>18.243667582699338</v>
      </c>
      <c r="E367" s="384">
        <f t="shared" si="150"/>
        <v>19.582918123215379</v>
      </c>
      <c r="F367" s="384">
        <f t="shared" si="128"/>
        <v>19.592120758431996</v>
      </c>
      <c r="G367" s="110">
        <f t="shared" si="151"/>
        <v>0.78135258796817164</v>
      </c>
      <c r="H367" s="413" t="b">
        <f>Wh_hp&gt;='2022'!Maxi_hp</f>
        <v>0</v>
      </c>
      <c r="I367" s="389">
        <f>IF(H367,Wh_hp,'2022'!Maxi_hp)</f>
        <v>25.266435662050515</v>
      </c>
      <c r="J367" s="85">
        <f>IF(H367,An,'2022'!An_max)</f>
        <v>2021</v>
      </c>
      <c r="K367" s="196">
        <f t="shared" si="129"/>
        <v>45279</v>
      </c>
      <c r="L367" s="147">
        <f>IF(t&lt;Tvie,1-EXP((T0-t)*PertePVj)+'2022'!Pspv,1-EXP((T0-t)*PertePVj)+Pspv)</f>
        <v>4.2267769113315735E-2</v>
      </c>
      <c r="M367" s="847"/>
      <c r="N367" s="847"/>
      <c r="O367" s="48">
        <f>IF(t&lt;Tnet,'2022'!Resal+('2022'!Salim-'2022'!Resal)*(1-EXP(('2022'!Tnet-t)/('2022'!Tau_j))),Resal+(Salim-Resal)*(1-EXP((Tnet-t)/(Tau_j))))*Salcycl</f>
        <v>6.8388711635799126E-2</v>
      </c>
      <c r="P367" s="168">
        <f>(INDEX(Models!$BJ367:$BT367,,T367)*(1-R367)+INDEX(Models!$BJ367:$BT367,,T367+1)*R367-ERP_i)*Q367*Ramure*Pc/MaxiM</f>
        <v>6.8283404503063656E-4</v>
      </c>
      <c r="Q367" s="304">
        <f t="shared" si="130"/>
        <v>0.5</v>
      </c>
      <c r="R367" s="176">
        <f t="shared" si="131"/>
        <v>0.33476242828674652</v>
      </c>
      <c r="S367" s="814">
        <f t="shared" si="132"/>
        <v>1</v>
      </c>
      <c r="T367" s="175">
        <f t="shared" si="133"/>
        <v>7</v>
      </c>
      <c r="U367" s="250">
        <f t="shared" si="134"/>
        <v>1.3347624282867465</v>
      </c>
      <c r="V367" s="382">
        <f t="shared" si="135"/>
        <v>22.357157537310787</v>
      </c>
      <c r="W367" s="401">
        <f t="shared" si="136"/>
        <v>17.472548453533719</v>
      </c>
      <c r="X367" s="157">
        <f t="shared" si="137"/>
        <v>45279</v>
      </c>
      <c r="Y367" s="384">
        <f t="shared" si="138"/>
        <v>17.192994825848274</v>
      </c>
      <c r="Z367" s="384">
        <f t="shared" si="139"/>
        <v>17.951776364392288</v>
      </c>
      <c r="AA367" s="385">
        <f t="shared" si="140"/>
        <v>19.582918123215379</v>
      </c>
      <c r="AB367" s="196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8.3294111151360456E-2</v>
      </c>
      <c r="AD367" s="230">
        <f>(INDEX(Models!$BJ367:$BT367,,AH367)*(1-AF367)+INDEX(Models!$BJ367:$BT367,,AH367+1)*AF367-ERP_i)*AE367*Ramure*Pc/MaxiM</f>
        <v>6.8283404503063656E-4</v>
      </c>
      <c r="AE367" s="304">
        <f t="shared" si="142"/>
        <v>0.5</v>
      </c>
      <c r="AF367" s="176">
        <f t="shared" si="143"/>
        <v>0.33476242828674652</v>
      </c>
      <c r="AG367" s="814">
        <f t="shared" si="149"/>
        <v>1</v>
      </c>
      <c r="AH367" s="175">
        <f t="shared" si="144"/>
        <v>7</v>
      </c>
      <c r="AI367" s="224">
        <f t="shared" si="145"/>
        <v>1.3347624282867465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10">
        <f>'2022'!Wh/'2022'!Env_an*'2023'!Env_an</f>
        <v>3.4679081003729908</v>
      </c>
      <c r="C368" s="843"/>
      <c r="D368" s="392">
        <f t="shared" si="127"/>
        <v>3.6210371240606594</v>
      </c>
      <c r="E368" s="384">
        <f t="shared" si="150"/>
        <v>3.8869638315560833</v>
      </c>
      <c r="F368" s="384">
        <f t="shared" si="128"/>
        <v>3.8869638315560833</v>
      </c>
      <c r="G368" s="110">
        <f t="shared" si="151"/>
        <v>0.15505400894393315</v>
      </c>
      <c r="H368" s="413" t="b">
        <f>Wh_hp&gt;='2022'!Maxi_hp</f>
        <v>0</v>
      </c>
      <c r="I368" s="389">
        <f>IF(H368,Wh_hp,'2022'!Maxi_hp)</f>
        <v>25.824781167990668</v>
      </c>
      <c r="J368" s="85">
        <f>IF(H368,An,'2022'!An_max)</f>
        <v>2021</v>
      </c>
      <c r="K368" s="196">
        <f t="shared" si="129"/>
        <v>45280</v>
      </c>
      <c r="L368" s="147">
        <f>IF(t&lt;Tvie,1-EXP((T0-t)*PertePVj)+'2022'!Pspv,1-EXP((T0-t)*PertePVj)+Pspv)</f>
        <v>4.2288719624047434E-2</v>
      </c>
      <c r="M368" s="847"/>
      <c r="N368" s="847"/>
      <c r="O368" s="48">
        <f>IF(t&lt;Tnet,'2022'!Resal+('2022'!Salim-'2022'!Resal)*(1-EXP(('2022'!Tnet-t)/('2022'!Tau_j))),Resal+(Salim-Resal)*(1-EXP((Tnet-t)/(Tau_j))))*Salcycl</f>
        <v>6.8415019799390464E-2</v>
      </c>
      <c r="P368" s="168">
        <f>(INDEX(Models!$BJ368:$BT368,,T368)*(1-R368)+INDEX(Models!$BJ368:$BT368,,T368+1)*R368-ERP_i)*Q368*Ramure*Pc/MaxiM</f>
        <v>6.8108258570500355E-4</v>
      </c>
      <c r="Q368" s="304">
        <f t="shared" si="130"/>
        <v>0.5</v>
      </c>
      <c r="R368" s="176">
        <f t="shared" si="131"/>
        <v>0.33476695407044943</v>
      </c>
      <c r="S368" s="814">
        <f t="shared" si="132"/>
        <v>1</v>
      </c>
      <c r="T368" s="175">
        <f t="shared" si="133"/>
        <v>7</v>
      </c>
      <c r="U368" s="250">
        <f t="shared" si="134"/>
        <v>1.3347669540704494</v>
      </c>
      <c r="V368" s="382">
        <f t="shared" si="135"/>
        <v>22.350574436357384</v>
      </c>
      <c r="W368" s="401">
        <f t="shared" si="136"/>
        <v>3.4679081003729908</v>
      </c>
      <c r="X368" s="157">
        <f t="shared" si="137"/>
        <v>45280</v>
      </c>
      <c r="Y368" s="384">
        <f t="shared" si="138"/>
        <v>3.4124856428310841</v>
      </c>
      <c r="Z368" s="384">
        <f t="shared" si="139"/>
        <v>3.5631674313071704</v>
      </c>
      <c r="AA368" s="385">
        <f t="shared" si="140"/>
        <v>3.8869638315560833</v>
      </c>
      <c r="AB368" s="196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8.3303167788748425E-2</v>
      </c>
      <c r="AD368" s="230">
        <f>(INDEX(Models!$BJ368:$BT368,,AH368)*(1-AF368)+INDEX(Models!$BJ368:$BT368,,AH368+1)*AF368-ERP_i)*AE368*Ramure*Pc/MaxiM</f>
        <v>6.8108258570500355E-4</v>
      </c>
      <c r="AE368" s="304">
        <f t="shared" si="142"/>
        <v>0.5</v>
      </c>
      <c r="AF368" s="176">
        <f t="shared" si="143"/>
        <v>0.33476695407044943</v>
      </c>
      <c r="AG368" s="814">
        <f t="shared" si="149"/>
        <v>1</v>
      </c>
      <c r="AH368" s="175">
        <f t="shared" si="144"/>
        <v>7</v>
      </c>
      <c r="AI368" s="224">
        <f t="shared" si="145"/>
        <v>1.3347669540704494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10">
        <f>'2022'!Wh/'2022'!Env_an*'2023'!Env_an</f>
        <v>20.65602063234466</v>
      </c>
      <c r="C369" s="843"/>
      <c r="D369" s="392">
        <f t="shared" si="127"/>
        <v>21.568580133156907</v>
      </c>
      <c r="E369" s="384">
        <f t="shared" si="150"/>
        <v>23.153229606885489</v>
      </c>
      <c r="F369" s="384">
        <f t="shared" si="128"/>
        <v>23.167265279030499</v>
      </c>
      <c r="G369" s="110">
        <f t="shared" si="151"/>
        <v>0.92392385454926806</v>
      </c>
      <c r="H369" s="413" t="b">
        <f>Wh_hp&gt;='2022'!Maxi_hp</f>
        <v>0</v>
      </c>
      <c r="I369" s="389">
        <f>IF(H369,Wh_hp,'2022'!Maxi_hp)</f>
        <v>23.167622051420128</v>
      </c>
      <c r="J369" s="85">
        <f>IF(H369,An,'2022'!An_max)</f>
        <v>2022</v>
      </c>
      <c r="K369" s="196">
        <f t="shared" si="129"/>
        <v>45281</v>
      </c>
      <c r="L369" s="147">
        <f>IF(t&lt;Tvie,1-EXP((T0-t)*PertePVj)+'2022'!Pspv,1-EXP((T0-t)*PertePVj)+Pspv)</f>
        <v>4.2309669675909191E-2</v>
      </c>
      <c r="M369" s="847"/>
      <c r="N369" s="847"/>
      <c r="O369" s="48">
        <f>IF(t&lt;Tnet,'2022'!Resal+('2022'!Salim-'2022'!Resal)*(1-EXP(('2022'!Tnet-t)/('2022'!Tau_j))),Resal+(Salim-Resal)*(1-EXP((Tnet-t)/(Tau_j))))*Salcycl</f>
        <v>6.8441832981145992E-2</v>
      </c>
      <c r="P369" s="168">
        <f>(INDEX(Models!$BJ369:$BT369,,T369)*(1-R369)+INDEX(Models!$BJ369:$BT369,,T369+1)*R369-ERP_i)*Q369*Ramure*Pc/MaxiM</f>
        <v>6.7963760925336268E-4</v>
      </c>
      <c r="Q369" s="304">
        <f t="shared" si="130"/>
        <v>0.5</v>
      </c>
      <c r="R369" s="176">
        <f t="shared" si="131"/>
        <v>0.33477129776120162</v>
      </c>
      <c r="S369" s="814">
        <f t="shared" si="132"/>
        <v>1</v>
      </c>
      <c r="T369" s="175">
        <f t="shared" si="133"/>
        <v>7</v>
      </c>
      <c r="U369" s="250">
        <f t="shared" si="134"/>
        <v>1.3347712977612016</v>
      </c>
      <c r="V369" s="382">
        <f t="shared" si="135"/>
        <v>22.355192212031376</v>
      </c>
      <c r="W369" s="401">
        <f t="shared" si="136"/>
        <v>20.65602063234466</v>
      </c>
      <c r="X369" s="157">
        <f t="shared" si="137"/>
        <v>45281</v>
      </c>
      <c r="Y369" s="384">
        <f t="shared" si="138"/>
        <v>20.326275888422032</v>
      </c>
      <c r="Z369" s="384">
        <f t="shared" si="139"/>
        <v>21.224267641444644</v>
      </c>
      <c r="AA369" s="385">
        <f t="shared" si="140"/>
        <v>23.153229606885489</v>
      </c>
      <c r="AB369" s="196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8.3312868148087485E-2</v>
      </c>
      <c r="AD369" s="230">
        <f>(INDEX(Models!$BJ369:$BT369,,AH369)*(1-AF369)+INDEX(Models!$BJ369:$BT369,,AH369+1)*AF369-ERP_i)*AE369*Ramure*Pc/MaxiM</f>
        <v>6.7963760925336268E-4</v>
      </c>
      <c r="AE369" s="304">
        <f t="shared" si="142"/>
        <v>0.5</v>
      </c>
      <c r="AF369" s="176">
        <f t="shared" si="143"/>
        <v>0.33477129776120162</v>
      </c>
      <c r="AG369" s="814">
        <f t="shared" si="149"/>
        <v>1</v>
      </c>
      <c r="AH369" s="175">
        <f t="shared" si="144"/>
        <v>7</v>
      </c>
      <c r="AI369" s="224">
        <f t="shared" si="145"/>
        <v>1.3347712977612016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10">
        <f>'2022'!Wh/'2022'!Env_an*'2023'!Env_an</f>
        <v>18.03789688021936</v>
      </c>
      <c r="C370" s="843"/>
      <c r="D370" s="392">
        <f t="shared" si="127"/>
        <v>18.835202673441593</v>
      </c>
      <c r="E370" s="384">
        <f t="shared" si="150"/>
        <v>20.219622242646686</v>
      </c>
      <c r="F370" s="384">
        <f t="shared" si="128"/>
        <v>20.229549759672782</v>
      </c>
      <c r="G370" s="110">
        <f t="shared" si="151"/>
        <v>0.80614955148336909</v>
      </c>
      <c r="H370" s="413" t="b">
        <f>Wh_hp&gt;='2022'!Maxi_hp</f>
        <v>0</v>
      </c>
      <c r="I370" s="389">
        <f>IF(H370,Wh_hp,'2022'!Maxi_hp)</f>
        <v>25.028510849440355</v>
      </c>
      <c r="J370" s="85">
        <f>IF(H370,An,'2022'!An_max)</f>
        <v>2021</v>
      </c>
      <c r="K370" s="196">
        <f t="shared" si="129"/>
        <v>45282</v>
      </c>
      <c r="L370" s="147">
        <f>IF(t&lt;Tvie,1-EXP((T0-t)*PertePVj)+'2022'!Pspv,1-EXP((T0-t)*PertePVj)+Pspv)</f>
        <v>4.2330619268910998E-2</v>
      </c>
      <c r="M370" s="847"/>
      <c r="N370" s="847"/>
      <c r="O370" s="48">
        <f>IF(t&lt;Tnet,'2022'!Resal+('2022'!Salim-'2022'!Resal)*(1-EXP(('2022'!Tnet-t)/('2022'!Tau_j))),Resal+(Salim-Resal)*(1-EXP((Tnet-t)/(Tau_j))))*Salcycl</f>
        <v>6.8469111469605562E-2</v>
      </c>
      <c r="P370" s="168">
        <f>(INDEX(Models!$BJ370:$BT370,,T370)*(1-R370)+INDEX(Models!$BJ370:$BT370,,T370+1)*R370-ERP_i)*Q370*Ramure*Pc/MaxiM</f>
        <v>6.7849034652391039E-4</v>
      </c>
      <c r="Q370" s="304">
        <f t="shared" si="130"/>
        <v>0.5</v>
      </c>
      <c r="R370" s="176">
        <f t="shared" si="131"/>
        <v>0.33477546668048008</v>
      </c>
      <c r="S370" s="814">
        <f t="shared" si="132"/>
        <v>1</v>
      </c>
      <c r="T370" s="175">
        <f t="shared" si="133"/>
        <v>7</v>
      </c>
      <c r="U370" s="250">
        <f t="shared" si="134"/>
        <v>1.3347754666804801</v>
      </c>
      <c r="V370" s="382">
        <f t="shared" si="135"/>
        <v>22.371169993620555</v>
      </c>
      <c r="W370" s="401">
        <f t="shared" si="136"/>
        <v>18.03789688021936</v>
      </c>
      <c r="X370" s="157">
        <f t="shared" si="137"/>
        <v>45282</v>
      </c>
      <c r="Y370" s="384">
        <f t="shared" si="138"/>
        <v>17.750267281634269</v>
      </c>
      <c r="Z370" s="384">
        <f t="shared" si="139"/>
        <v>18.534859356246347</v>
      </c>
      <c r="AA370" s="385">
        <f t="shared" si="140"/>
        <v>20.219622242646686</v>
      </c>
      <c r="AB370" s="196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8.3323163320375024E-2</v>
      </c>
      <c r="AD370" s="230">
        <f>(INDEX(Models!$BJ370:$BT370,,AH370)*(1-AF370)+INDEX(Models!$BJ370:$BT370,,AH370+1)*AF370-ERP_i)*AE370*Ramure*Pc/MaxiM</f>
        <v>6.7849034652391039E-4</v>
      </c>
      <c r="AE370" s="304">
        <f t="shared" si="142"/>
        <v>0.5</v>
      </c>
      <c r="AF370" s="176">
        <f t="shared" si="143"/>
        <v>0.33477546668048008</v>
      </c>
      <c r="AG370" s="814">
        <f t="shared" si="149"/>
        <v>1</v>
      </c>
      <c r="AH370" s="175">
        <f t="shared" si="144"/>
        <v>7</v>
      </c>
      <c r="AI370" s="224">
        <f t="shared" si="145"/>
        <v>1.3347754666804801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10">
        <f>'2022'!Wh/'2022'!Env_an*'2023'!Env_an</f>
        <v>18.840054035127576</v>
      </c>
      <c r="C371" s="843"/>
      <c r="D371" s="392">
        <f t="shared" si="127"/>
        <v>19.673246896787205</v>
      </c>
      <c r="E371" s="384">
        <f t="shared" si="150"/>
        <v>21.119892287448472</v>
      </c>
      <c r="F371" s="384">
        <f t="shared" si="128"/>
        <v>21.130961348381273</v>
      </c>
      <c r="G371" s="110">
        <f t="shared" si="151"/>
        <v>0.84099446946822021</v>
      </c>
      <c r="H371" s="413" t="b">
        <f>Wh_hp&gt;='2022'!Maxi_hp</f>
        <v>0</v>
      </c>
      <c r="I371" s="389">
        <f>IF(H371,Wh_hp,'2022'!Maxi_hp)</f>
        <v>21.278593952413768</v>
      </c>
      <c r="J371" s="85">
        <f>IF(H371,An,'2022'!An_max)</f>
        <v>2020</v>
      </c>
      <c r="K371" s="196">
        <f t="shared" si="129"/>
        <v>45283</v>
      </c>
      <c r="L371" s="147">
        <f>IF(t&lt;Tvie,1-EXP((T0-t)*PertePVj)+'2022'!Pspv,1-EXP((T0-t)*PertePVj)+Pspv)</f>
        <v>4.2351568403062957E-2</v>
      </c>
      <c r="M371" s="847"/>
      <c r="N371" s="847"/>
      <c r="O371" s="48">
        <f>IF(t&lt;Tnet,'2022'!Resal+('2022'!Salim-'2022'!Resal)*(1-EXP(('2022'!Tnet-t)/('2022'!Tau_j))),Resal+(Salim-Resal)*(1-EXP((Tnet-t)/(Tau_j))))*Salcycl</f>
        <v>6.8496816696409335E-2</v>
      </c>
      <c r="P371" s="168">
        <f>(INDEX(Models!$BJ371:$BT371,,T371)*(1-R371)+INDEX(Models!$BJ371:$BT371,,T371+1)*R371-ERP_i)*Q371*Ramure*Pc/MaxiM</f>
        <v>6.7763034441899737E-4</v>
      </c>
      <c r="Q371" s="304">
        <f t="shared" si="130"/>
        <v>0.5</v>
      </c>
      <c r="R371" s="176">
        <f t="shared" si="131"/>
        <v>0.33477546668048008</v>
      </c>
      <c r="S371" s="814">
        <f t="shared" si="132"/>
        <v>1</v>
      </c>
      <c r="T371" s="175">
        <f t="shared" si="133"/>
        <v>7</v>
      </c>
      <c r="U371" s="250">
        <f t="shared" si="134"/>
        <v>1.3347754666804801</v>
      </c>
      <c r="V371" s="382">
        <f t="shared" si="135"/>
        <v>22.398666840053057</v>
      </c>
      <c r="W371" s="401">
        <f t="shared" si="136"/>
        <v>18.840054035127576</v>
      </c>
      <c r="X371" s="157">
        <f t="shared" si="137"/>
        <v>45283</v>
      </c>
      <c r="Y371" s="384">
        <f t="shared" si="138"/>
        <v>18.539965479064961</v>
      </c>
      <c r="Z371" s="384">
        <f t="shared" si="139"/>
        <v>19.359887060169296</v>
      </c>
      <c r="AA371" s="385">
        <f t="shared" si="140"/>
        <v>21.119892287448472</v>
      </c>
      <c r="AB371" s="196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8.3334005842688075E-2</v>
      </c>
      <c r="AD371" s="230">
        <f>(INDEX(Models!$BJ371:$BT371,,AH371)*(1-AF371)+INDEX(Models!$BJ371:$BT371,,AH371+1)*AF371-ERP_i)*AE371*Ramure*Pc/MaxiM</f>
        <v>6.7763034441899737E-4</v>
      </c>
      <c r="AE371" s="304">
        <f t="shared" si="142"/>
        <v>0.5</v>
      </c>
      <c r="AF371" s="176">
        <f t="shared" si="143"/>
        <v>0.33477546668048008</v>
      </c>
      <c r="AG371" s="814">
        <f t="shared" si="149"/>
        <v>1</v>
      </c>
      <c r="AH371" s="175">
        <f t="shared" si="144"/>
        <v>7</v>
      </c>
      <c r="AI371" s="224">
        <f t="shared" si="145"/>
        <v>1.3347754666804801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10">
        <f>'2022'!Wh/'2022'!Env_an*'2023'!Env_an</f>
        <v>21.51463789669322</v>
      </c>
      <c r="C372" s="843"/>
      <c r="D372" s="392">
        <f t="shared" si="127"/>
        <v>22.466604478658265</v>
      </c>
      <c r="E372" s="384">
        <f t="shared" si="150"/>
        <v>24.11938306686703</v>
      </c>
      <c r="F372" s="384">
        <f t="shared" si="128"/>
        <v>24.134763013700624</v>
      </c>
      <c r="G372" s="110">
        <f t="shared" si="151"/>
        <v>0.95881687195366716</v>
      </c>
      <c r="H372" s="413" t="b">
        <f>Wh_hp&gt;='2022'!Maxi_hp</f>
        <v>0</v>
      </c>
      <c r="I372" s="389">
        <f>IF(H372,Wh_hp,'2022'!Maxi_hp)</f>
        <v>24.134963342063681</v>
      </c>
      <c r="J372" s="85">
        <f>IF(H372,An,'2022'!An_max)</f>
        <v>2022</v>
      </c>
      <c r="K372" s="196">
        <f t="shared" si="129"/>
        <v>45284</v>
      </c>
      <c r="L372" s="147">
        <f>IF(t&lt;Tvie,1-EXP((T0-t)*PertePVj)+'2022'!Pspv,1-EXP((T0-t)*PertePVj)+Pspv)</f>
        <v>4.2372517078375062E-2</v>
      </c>
      <c r="M372" s="847"/>
      <c r="N372" s="847"/>
      <c r="O372" s="48">
        <f>IF(t&lt;Tnet,'2022'!Resal+('2022'!Salim-'2022'!Resal)*(1-EXP(('2022'!Tnet-t)/('2022'!Tau_j))),Resal+(Salim-Resal)*(1-EXP((Tnet-t)/(Tau_j))))*Salcycl</f>
        <v>6.8524911421934315E-2</v>
      </c>
      <c r="P372" s="168">
        <f>(INDEX(Models!$BJ372:$BT372,,T372)*(1-R372)+INDEX(Models!$BJ372:$BT372,,T372+1)*R372-ERP_i)*Q372*Ramure*Pc/MaxiM</f>
        <v>6.770487696937679E-4</v>
      </c>
      <c r="Q372" s="304">
        <f t="shared" si="130"/>
        <v>0.5</v>
      </c>
      <c r="R372" s="176">
        <f t="shared" si="131"/>
        <v>0.33477546668048008</v>
      </c>
      <c r="S372" s="814">
        <f t="shared" si="132"/>
        <v>1</v>
      </c>
      <c r="T372" s="175">
        <f t="shared" si="133"/>
        <v>7</v>
      </c>
      <c r="U372" s="250">
        <f t="shared" si="134"/>
        <v>1.3347754666804801</v>
      </c>
      <c r="V372" s="382">
        <f t="shared" si="135"/>
        <v>22.437841662484775</v>
      </c>
      <c r="W372" s="401">
        <f t="shared" si="136"/>
        <v>21.51463789669322</v>
      </c>
      <c r="X372" s="157">
        <f t="shared" si="137"/>
        <v>45284</v>
      </c>
      <c r="Y372" s="384">
        <f t="shared" si="138"/>
        <v>21.172324536191809</v>
      </c>
      <c r="Z372" s="384">
        <f t="shared" si="139"/>
        <v>22.109144645261413</v>
      </c>
      <c r="AA372" s="385">
        <f t="shared" si="140"/>
        <v>24.11938306686703</v>
      </c>
      <c r="AB372" s="196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8.33453499217853E-2</v>
      </c>
      <c r="AD372" s="230">
        <f>(INDEX(Models!$BJ372:$BT372,,AH372)*(1-AF372)+INDEX(Models!$BJ372:$BT372,,AH372+1)*AF372-ERP_i)*AE372*Ramure*Pc/MaxiM</f>
        <v>6.770487696937679E-4</v>
      </c>
      <c r="AE372" s="304">
        <f t="shared" si="142"/>
        <v>0.5</v>
      </c>
      <c r="AF372" s="176">
        <f t="shared" si="143"/>
        <v>0.33477546668048008</v>
      </c>
      <c r="AG372" s="814">
        <f t="shared" si="149"/>
        <v>1</v>
      </c>
      <c r="AH372" s="175">
        <f t="shared" si="144"/>
        <v>7</v>
      </c>
      <c r="AI372" s="224">
        <f t="shared" si="145"/>
        <v>1.3347754666804801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10">
        <f>'2022'!Wh/'2022'!Env_an*'2023'!Env_an</f>
        <v>10.508315278161144</v>
      </c>
      <c r="C373" s="843"/>
      <c r="D373" s="392">
        <f t="shared" si="127"/>
        <v>10.973520853631987</v>
      </c>
      <c r="E373" s="384">
        <f t="shared" si="150"/>
        <v>11.781158878291951</v>
      </c>
      <c r="F373" s="384">
        <f t="shared" si="128"/>
        <v>11.783064025905082</v>
      </c>
      <c r="G373" s="110">
        <f t="shared" si="151"/>
        <v>0.46700972270701363</v>
      </c>
      <c r="H373" s="413" t="b">
        <f>Wh_hp&gt;='2022'!Maxi_hp</f>
        <v>0</v>
      </c>
      <c r="I373" s="389">
        <f>IF(H373,Wh_hp,'2022'!Maxi_hp)</f>
        <v>16.698245889929026</v>
      </c>
      <c r="J373" s="85">
        <f>IF(H373,An,'2022'!An_max)</f>
        <v>2018</v>
      </c>
      <c r="K373" s="196">
        <f t="shared" si="129"/>
        <v>45285</v>
      </c>
      <c r="L373" s="147">
        <f>IF(t&lt;Tvie,1-EXP((T0-t)*PertePVj)+'2022'!Pspv,1-EXP((T0-t)*PertePVj)+Pspv)</f>
        <v>4.2393465294857526E-2</v>
      </c>
      <c r="M373" s="847"/>
      <c r="N373" s="847"/>
      <c r="O373" s="48">
        <f>IF(t&lt;Tnet,'2022'!Resal+('2022'!Salim-'2022'!Resal)*(1-EXP(('2022'!Tnet-t)/('2022'!Tau_j))),Resal+(Salim-Resal)*(1-EXP((Tnet-t)/(Tau_j))))*Salcycl</f>
        <v>6.8553359903169062E-2</v>
      </c>
      <c r="P373" s="168">
        <f>(INDEX(Models!$BJ373:$BT373,,T373)*(1-R373)+INDEX(Models!$BJ373:$BT373,,T373+1)*R373-ERP_i)*Q373*Ramure*Pc/MaxiM</f>
        <v>6.7670790902931864E-4</v>
      </c>
      <c r="Q373" s="304">
        <f t="shared" si="130"/>
        <v>0.5</v>
      </c>
      <c r="R373" s="176">
        <f t="shared" si="131"/>
        <v>0.33477546668048008</v>
      </c>
      <c r="S373" s="814">
        <f t="shared" si="132"/>
        <v>1</v>
      </c>
      <c r="T373" s="175">
        <f t="shared" si="133"/>
        <v>7</v>
      </c>
      <c r="U373" s="250">
        <f t="shared" si="134"/>
        <v>1.3347754666804801</v>
      </c>
      <c r="V373" s="382">
        <f t="shared" si="135"/>
        <v>22.489686770510971</v>
      </c>
      <c r="W373" s="401">
        <f t="shared" si="136"/>
        <v>10.508315278161144</v>
      </c>
      <c r="X373" s="157">
        <f t="shared" si="137"/>
        <v>45285</v>
      </c>
      <c r="Y373" s="384">
        <f t="shared" si="138"/>
        <v>10.341303122937671</v>
      </c>
      <c r="Z373" s="384">
        <f t="shared" si="139"/>
        <v>10.799115031229263</v>
      </c>
      <c r="AA373" s="385">
        <f t="shared" si="140"/>
        <v>11.781158878291951</v>
      </c>
      <c r="AB373" s="196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8.3357151635753635E-2</v>
      </c>
      <c r="AD373" s="230">
        <f>(INDEX(Models!$BJ373:$BT373,,AH373)*(1-AF373)+INDEX(Models!$BJ373:$BT373,,AH373+1)*AF373-ERP_i)*AE373*Ramure*Pc/MaxiM</f>
        <v>6.7670790902931864E-4</v>
      </c>
      <c r="AE373" s="304">
        <f t="shared" si="142"/>
        <v>0.5</v>
      </c>
      <c r="AF373" s="176">
        <f t="shared" si="143"/>
        <v>0.33477546668048008</v>
      </c>
      <c r="AG373" s="814">
        <f t="shared" si="149"/>
        <v>1</v>
      </c>
      <c r="AH373" s="175">
        <f t="shared" si="144"/>
        <v>7</v>
      </c>
      <c r="AI373" s="224">
        <f t="shared" si="145"/>
        <v>1.3347754666804801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10">
        <f>'2022'!Wh/'2022'!Env_an*'2023'!Env_an</f>
        <v>19.331418022409739</v>
      </c>
      <c r="C374" s="843"/>
      <c r="D374" s="392">
        <f t="shared" si="127"/>
        <v>20.187666027882685</v>
      </c>
      <c r="E374" s="384">
        <f t="shared" si="150"/>
        <v>21.674123543995464</v>
      </c>
      <c r="F374" s="384">
        <f t="shared" si="128"/>
        <v>21.685800341301743</v>
      </c>
      <c r="G374" s="110">
        <f t="shared" si="151"/>
        <v>0.85697064870364714</v>
      </c>
      <c r="H374" s="413" t="b">
        <f>Wh_hp&gt;='2022'!Maxi_hp</f>
        <v>0</v>
      </c>
      <c r="I374" s="389">
        <f>IF(H374,Wh_hp,'2022'!Maxi_hp)</f>
        <v>24.848198087219174</v>
      </c>
      <c r="J374" s="85">
        <f>IF(H374,An,'2022'!An_max)</f>
        <v>2018</v>
      </c>
      <c r="K374" s="196">
        <f t="shared" si="129"/>
        <v>45286</v>
      </c>
      <c r="L374" s="147">
        <f>IF(t&lt;Tvie,1-EXP((T0-t)*PertePVj)+'2022'!Pspv,1-EXP((T0-t)*PertePVj)+Pspv)</f>
        <v>4.2414413052520229E-2</v>
      </c>
      <c r="M374" s="847"/>
      <c r="N374" s="847"/>
      <c r="O374" s="48">
        <f>IF(t&lt;Tnet,'2022'!Resal+('2022'!Salim-'2022'!Resal)*(1-EXP(('2022'!Tnet-t)/('2022'!Tau_j))),Resal+(Salim-Resal)*(1-EXP((Tnet-t)/(Tau_j))))*Salcycl</f>
        <v>6.8582128042939172E-2</v>
      </c>
      <c r="P374" s="168">
        <f>(INDEX(Models!$BJ374:$BT374,,T374)*(1-R374)+INDEX(Models!$BJ374:$BT374,,T374+1)*R374-ERP_i)*Q374*Ramure*Pc/MaxiM</f>
        <v>6.7658390684846549E-4</v>
      </c>
      <c r="Q374" s="304">
        <f t="shared" si="130"/>
        <v>0.5</v>
      </c>
      <c r="R374" s="176">
        <f t="shared" si="131"/>
        <v>0.33477546668048008</v>
      </c>
      <c r="S374" s="814">
        <f t="shared" si="132"/>
        <v>1</v>
      </c>
      <c r="T374" s="175">
        <f t="shared" si="133"/>
        <v>7</v>
      </c>
      <c r="U374" s="250">
        <f t="shared" si="134"/>
        <v>1.3347754666804801</v>
      </c>
      <c r="V374" s="382">
        <f t="shared" si="135"/>
        <v>22.554735519123575</v>
      </c>
      <c r="W374" s="401">
        <f t="shared" si="136"/>
        <v>19.331418022409739</v>
      </c>
      <c r="X374" s="157">
        <f t="shared" si="137"/>
        <v>45286</v>
      </c>
      <c r="Y374" s="384">
        <f t="shared" si="138"/>
        <v>19.024511372748396</v>
      </c>
      <c r="Z374" s="384">
        <f t="shared" si="139"/>
        <v>19.867165538062579</v>
      </c>
      <c r="AA374" s="385">
        <f t="shared" si="140"/>
        <v>21.674123543995464</v>
      </c>
      <c r="AB374" s="196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8.3369369112666056E-2</v>
      </c>
      <c r="AD374" s="230">
        <f>(INDEX(Models!$BJ374:$BT374,,AH374)*(1-AF374)+INDEX(Models!$BJ374:$BT374,,AH374+1)*AF374-ERP_i)*AE374*Ramure*Pc/MaxiM</f>
        <v>6.7658390684846549E-4</v>
      </c>
      <c r="AE374" s="304">
        <f t="shared" si="142"/>
        <v>0.5</v>
      </c>
      <c r="AF374" s="176">
        <f t="shared" si="143"/>
        <v>0.33477546668048008</v>
      </c>
      <c r="AG374" s="814">
        <f t="shared" si="149"/>
        <v>1</v>
      </c>
      <c r="AH374" s="175">
        <f t="shared" si="144"/>
        <v>7</v>
      </c>
      <c r="AI374" s="224">
        <f t="shared" si="145"/>
        <v>1.3347754666804801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10">
        <f>'2022'!Wh/'2022'!Env_an*'2023'!Env_an</f>
        <v>6.1830559811188239</v>
      </c>
      <c r="C375" s="843"/>
      <c r="D375" s="392">
        <f t="shared" si="127"/>
        <v>6.4570638107393608</v>
      </c>
      <c r="E375" s="384">
        <f t="shared" si="150"/>
        <v>6.9327263721514534</v>
      </c>
      <c r="F375" s="384">
        <f t="shared" si="128"/>
        <v>6.9327263721514534</v>
      </c>
      <c r="G375" s="110">
        <f t="shared" si="151"/>
        <v>0.27300931662503791</v>
      </c>
      <c r="H375" s="413" t="b">
        <f>Wh_hp&gt;='2022'!Maxi_hp</f>
        <v>0</v>
      </c>
      <c r="I375" s="389">
        <f>IF(H375,Wh_hp,'2022'!Maxi_hp)</f>
        <v>25.062175747198527</v>
      </c>
      <c r="J375" s="85">
        <f>IF(H375,An,'2022'!An_max)</f>
        <v>2018</v>
      </c>
      <c r="K375" s="196">
        <f t="shared" si="129"/>
        <v>45287</v>
      </c>
      <c r="L375" s="147">
        <f>IF(t&lt;Tvie,1-EXP((T0-t)*PertePVj)+'2022'!Pspv,1-EXP((T0-t)*PertePVj)+Pspv)</f>
        <v>4.2435360351373276E-2</v>
      </c>
      <c r="M375" s="847"/>
      <c r="N375" s="847"/>
      <c r="O375" s="48">
        <f>IF(t&lt;Tnet,'2022'!Resal+('2022'!Salim-'2022'!Resal)*(1-EXP(('2022'!Tnet-t)/('2022'!Tau_j))),Resal+(Salim-Resal)*(1-EXP((Tnet-t)/(Tau_j))))*Salcycl</f>
        <v>6.861118351977874E-2</v>
      </c>
      <c r="P375" s="168">
        <f>(INDEX(Models!$BJ375:$BT375,,T375)*(1-R375)+INDEX(Models!$BJ375:$BT375,,T375+1)*R375-ERP_i)*Q375*Ramure*Pc/MaxiM</f>
        <v>6.7701086671077067E-4</v>
      </c>
      <c r="Q375" s="304">
        <f t="shared" si="130"/>
        <v>0.5</v>
      </c>
      <c r="R375" s="176">
        <f t="shared" si="131"/>
        <v>0.33477546668048008</v>
      </c>
      <c r="S375" s="814">
        <f t="shared" si="132"/>
        <v>1</v>
      </c>
      <c r="T375" s="175">
        <f t="shared" si="133"/>
        <v>7</v>
      </c>
      <c r="U375" s="250">
        <f t="shared" si="134"/>
        <v>1.3347754666804801</v>
      </c>
      <c r="V375" s="382">
        <f t="shared" si="135"/>
        <v>22.632451014543349</v>
      </c>
      <c r="W375" s="401">
        <f t="shared" si="136"/>
        <v>6.1830559811188239</v>
      </c>
      <c r="X375" s="157">
        <f t="shared" si="137"/>
        <v>45287</v>
      </c>
      <c r="Y375" s="384">
        <f t="shared" si="138"/>
        <v>6.0849996668813917</v>
      </c>
      <c r="Z375" s="384">
        <f t="shared" si="139"/>
        <v>6.3546620404803695</v>
      </c>
      <c r="AA375" s="385">
        <f t="shared" si="140"/>
        <v>6.9327263721514534</v>
      </c>
      <c r="AB375" s="196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8.3381962685437946E-2</v>
      </c>
      <c r="AD375" s="230">
        <f>(INDEX(Models!$BJ375:$BT375,,AH375)*(1-AF375)+INDEX(Models!$BJ375:$BT375,,AH375+1)*AF375-ERP_i)*AE375*Ramure*Pc/MaxiM</f>
        <v>6.7701086671077067E-4</v>
      </c>
      <c r="AE375" s="304">
        <f t="shared" si="142"/>
        <v>0.5</v>
      </c>
      <c r="AF375" s="176">
        <f t="shared" si="143"/>
        <v>0.33477546668048008</v>
      </c>
      <c r="AG375" s="814">
        <f t="shared" si="149"/>
        <v>1</v>
      </c>
      <c r="AH375" s="175">
        <f t="shared" si="144"/>
        <v>7</v>
      </c>
      <c r="AI375" s="224">
        <f t="shared" si="145"/>
        <v>1.3347754666804801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10">
        <f>'2022'!Wh/'2022'!Env_an*'2023'!Env_an</f>
        <v>18.882835253344528</v>
      </c>
      <c r="C376" s="843"/>
      <c r="D376" s="392">
        <f t="shared" si="127"/>
        <v>19.720076895874325</v>
      </c>
      <c r="E376" s="384">
        <f t="shared" si="150"/>
        <v>21.173431751132952</v>
      </c>
      <c r="F376" s="384">
        <f t="shared" si="128"/>
        <v>21.184323121656501</v>
      </c>
      <c r="G376" s="110">
        <f t="shared" si="151"/>
        <v>0.83089019200664815</v>
      </c>
      <c r="H376" s="413" t="b">
        <f>Wh_hp&gt;='2022'!Maxi_hp</f>
        <v>0</v>
      </c>
      <c r="I376" s="389">
        <f>IF(H376,Wh_hp,'2022'!Maxi_hp)</f>
        <v>21.18504333390667</v>
      </c>
      <c r="J376" s="85">
        <f>IF(H376,An,'2022'!An_max)</f>
        <v>2022</v>
      </c>
      <c r="K376" s="196">
        <f t="shared" si="129"/>
        <v>45288</v>
      </c>
      <c r="L376" s="147">
        <f>IF(t&lt;Tvie,1-EXP((T0-t)*PertePVj)+'2022'!Pspv,1-EXP((T0-t)*PertePVj)+Pspv)</f>
        <v>4.2456307191426769E-2</v>
      </c>
      <c r="M376" s="847"/>
      <c r="N376" s="847"/>
      <c r="O376" s="48">
        <f>IF(t&lt;Tnet,'2022'!Resal+('2022'!Salim-'2022'!Resal)*(1-EXP(('2022'!Tnet-t)/('2022'!Tau_j))),Resal+(Salim-Resal)*(1-EXP((Tnet-t)/(Tau_j))))*Salcycl</f>
        <v>6.8640495897924619E-2</v>
      </c>
      <c r="P376" s="168">
        <f>(INDEX(Models!$BJ376:$BT376,,T376)*(1-R376)+INDEX(Models!$BJ376:$BT376,,T376+1)*R376-ERP_i)*Q376*Ramure*Pc/MaxiM</f>
        <v>6.7771956028983094E-4</v>
      </c>
      <c r="Q376" s="304">
        <f t="shared" si="130"/>
        <v>0.5</v>
      </c>
      <c r="R376" s="176">
        <f t="shared" si="131"/>
        <v>0.33477546668048008</v>
      </c>
      <c r="S376" s="814">
        <f t="shared" si="132"/>
        <v>1</v>
      </c>
      <c r="T376" s="175">
        <f t="shared" si="133"/>
        <v>7</v>
      </c>
      <c r="U376" s="250">
        <f t="shared" si="134"/>
        <v>1.3347754666804801</v>
      </c>
      <c r="V376" s="382">
        <f t="shared" si="135"/>
        <v>22.72230999877986</v>
      </c>
      <c r="W376" s="401">
        <f t="shared" si="136"/>
        <v>18.882835253344528</v>
      </c>
      <c r="X376" s="157">
        <f t="shared" si="137"/>
        <v>45288</v>
      </c>
      <c r="Y376" s="384">
        <f t="shared" si="138"/>
        <v>18.583697394439909</v>
      </c>
      <c r="Z376" s="384">
        <f t="shared" si="139"/>
        <v>19.407675632985509</v>
      </c>
      <c r="AA376" s="385">
        <f t="shared" si="140"/>
        <v>21.173431751132952</v>
      </c>
      <c r="AB376" s="196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8.3394895022294274E-2</v>
      </c>
      <c r="AD376" s="230">
        <f>(INDEX(Models!$BJ376:$BT376,,AH376)*(1-AF376)+INDEX(Models!$BJ376:$BT376,,AH376+1)*AF376-ERP_i)*AE376*Ramure*Pc/MaxiM</f>
        <v>6.7771956028983094E-4</v>
      </c>
      <c r="AE376" s="304">
        <f t="shared" si="142"/>
        <v>0.5</v>
      </c>
      <c r="AF376" s="176">
        <f t="shared" si="143"/>
        <v>0.33477546668048008</v>
      </c>
      <c r="AG376" s="814">
        <f t="shared" si="149"/>
        <v>1</v>
      </c>
      <c r="AH376" s="175">
        <f t="shared" si="144"/>
        <v>7</v>
      </c>
      <c r="AI376" s="224">
        <f t="shared" si="145"/>
        <v>1.3347754666804801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10">
        <f>'2022'!Wh/'2022'!Env_an*'2023'!Env_an</f>
        <v>10.345933240141223</v>
      </c>
      <c r="C377" s="843"/>
      <c r="D377" s="392">
        <f t="shared" si="127"/>
        <v>10.804895527279923</v>
      </c>
      <c r="E377" s="384">
        <f t="shared" si="150"/>
        <v>11.601576190239902</v>
      </c>
      <c r="F377" s="384">
        <f t="shared" si="128"/>
        <v>11.603300847634143</v>
      </c>
      <c r="G377" s="110">
        <f t="shared" si="151"/>
        <v>0.45305584171714375</v>
      </c>
      <c r="H377" s="413" t="b">
        <f>Wh_hp&gt;='2022'!Maxi_hp</f>
        <v>0</v>
      </c>
      <c r="I377" s="389">
        <f>IF(H377,Wh_hp,'2022'!Maxi_hp)</f>
        <v>24.833306177671162</v>
      </c>
      <c r="J377" s="85">
        <f>IF(H377,An,'2022'!An_max)</f>
        <v>2019</v>
      </c>
      <c r="K377" s="196">
        <f t="shared" si="129"/>
        <v>45289</v>
      </c>
      <c r="L377" s="147">
        <f>IF(t&lt;Tvie,1-EXP((T0-t)*PertePVj)+'2022'!Pspv,1-EXP((T0-t)*PertePVj)+Pspv)</f>
        <v>4.2477253572690589E-2</v>
      </c>
      <c r="M377" s="847"/>
      <c r="N377" s="847"/>
      <c r="O377" s="48">
        <f>IF(t&lt;Tnet,'2022'!Resal+('2022'!Salim-'2022'!Resal)*(1-EXP(('2022'!Tnet-t)/('2022'!Tau_j))),Resal+(Salim-Resal)*(1-EXP((Tnet-t)/(Tau_j))))*Salcycl</f>
        <v>6.867003671709758E-2</v>
      </c>
      <c r="P377" s="168">
        <f>(INDEX(Models!$BJ377:$BT377,,T377)*(1-R377)+INDEX(Models!$BJ377:$BT377,,T377+1)*R377-ERP_i)*Q377*Ramure*Pc/MaxiM</f>
        <v>6.7871593065631892E-4</v>
      </c>
      <c r="Q377" s="304">
        <f t="shared" si="130"/>
        <v>0.5</v>
      </c>
      <c r="R377" s="176">
        <f t="shared" si="131"/>
        <v>0.33477546668048008</v>
      </c>
      <c r="S377" s="814">
        <f t="shared" si="132"/>
        <v>1</v>
      </c>
      <c r="T377" s="175">
        <f t="shared" si="133"/>
        <v>7</v>
      </c>
      <c r="U377" s="250">
        <f t="shared" si="134"/>
        <v>1.3347754666804801</v>
      </c>
      <c r="V377" s="382">
        <f t="shared" si="135"/>
        <v>22.823783056091411</v>
      </c>
      <c r="W377" s="401">
        <f t="shared" si="136"/>
        <v>10.345933240141223</v>
      </c>
      <c r="X377" s="157">
        <f t="shared" si="137"/>
        <v>45289</v>
      </c>
      <c r="Y377" s="384">
        <f t="shared" si="138"/>
        <v>10.182211092294045</v>
      </c>
      <c r="Z377" s="384">
        <f t="shared" si="139"/>
        <v>10.633910400860676</v>
      </c>
      <c r="AA377" s="385">
        <f t="shared" si="140"/>
        <v>11.601576190239902</v>
      </c>
      <c r="AB377" s="196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8.3408131232486873E-2</v>
      </c>
      <c r="AD377" s="230">
        <f>(INDEX(Models!$BJ377:$BT377,,AH377)*(1-AF377)+INDEX(Models!$BJ377:$BT377,,AH377+1)*AF377-ERP_i)*AE377*Ramure*Pc/MaxiM</f>
        <v>6.7871593065631892E-4</v>
      </c>
      <c r="AE377" s="304">
        <f t="shared" si="142"/>
        <v>0.5</v>
      </c>
      <c r="AF377" s="176">
        <f t="shared" si="143"/>
        <v>0.33477546668048008</v>
      </c>
      <c r="AG377" s="814">
        <f t="shared" si="149"/>
        <v>1</v>
      </c>
      <c r="AH377" s="175">
        <f t="shared" si="144"/>
        <v>7</v>
      </c>
      <c r="AI377" s="224">
        <f t="shared" si="145"/>
        <v>1.3347754666804801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10">
        <f>'2022'!Wh/'2022'!Env_an*'2023'!Env_an</f>
        <v>14.615323428254641</v>
      </c>
      <c r="C378" s="843"/>
      <c r="D378" s="392">
        <f t="shared" si="127"/>
        <v>15.264016653074684</v>
      </c>
      <c r="E378" s="384">
        <f t="shared" si="150"/>
        <v>16.390006485657835</v>
      </c>
      <c r="F378" s="384">
        <f t="shared" si="128"/>
        <v>16.395377291288835</v>
      </c>
      <c r="G378" s="110">
        <f t="shared" si="151"/>
        <v>0.6369878724012672</v>
      </c>
      <c r="H378" s="413" t="b">
        <f>Wh_hp&gt;='2022'!Maxi_hp</f>
        <v>0</v>
      </c>
      <c r="I378" s="389">
        <f>IF(H378,Wh_hp,'2022'!Maxi_hp)</f>
        <v>25.966265464195352</v>
      </c>
      <c r="J378" s="85">
        <f>IF(H378,An,'2022'!An_max)</f>
        <v>2019</v>
      </c>
      <c r="K378" s="196">
        <f t="shared" si="129"/>
        <v>45290</v>
      </c>
      <c r="L378" s="147">
        <f>IF(t&lt;Tvie,1-EXP((T0-t)*PertePVj)+'2022'!Pspv,1-EXP((T0-t)*PertePVj)+Pspv)</f>
        <v>4.2498199495175061E-2</v>
      </c>
      <c r="M378" s="847"/>
      <c r="N378" s="847"/>
      <c r="O378" s="48">
        <f>IF(t&lt;Tnet,'2022'!Resal+('2022'!Salim-'2022'!Resal)*(1-EXP(('2022'!Tnet-t)/('2022'!Tau_j))),Resal+(Salim-Resal)*(1-EXP((Tnet-t)/(Tau_j))))*Salcycl</f>
        <v>6.869977956192122E-2</v>
      </c>
      <c r="P378" s="168">
        <f>(INDEX(Models!$BJ378:$BT378,,T378)*(1-R378)+INDEX(Models!$BJ378:$BT378,,T378+1)*R378-ERP_i)*Q378*Ramure*Pc/MaxiM</f>
        <v>6.8000542186508715E-4</v>
      </c>
      <c r="Q378" s="304">
        <f t="shared" si="130"/>
        <v>0.5</v>
      </c>
      <c r="R378" s="176">
        <f t="shared" si="131"/>
        <v>0.33477546668048008</v>
      </c>
      <c r="S378" s="814">
        <f t="shared" si="132"/>
        <v>1</v>
      </c>
      <c r="T378" s="175">
        <f t="shared" si="133"/>
        <v>7</v>
      </c>
      <c r="U378" s="250">
        <f t="shared" si="134"/>
        <v>1.3347754666804801</v>
      </c>
      <c r="V378" s="382">
        <f t="shared" si="135"/>
        <v>22.936340814266419</v>
      </c>
      <c r="W378" s="401">
        <f t="shared" si="136"/>
        <v>14.615323428254641</v>
      </c>
      <c r="X378" s="157">
        <f t="shared" si="137"/>
        <v>45290</v>
      </c>
      <c r="Y378" s="384">
        <f t="shared" si="138"/>
        <v>14.384286506263066</v>
      </c>
      <c r="Z378" s="384">
        <f t="shared" si="139"/>
        <v>15.022725282270196</v>
      </c>
      <c r="AA378" s="385">
        <f t="shared" si="140"/>
        <v>16.390006485657835</v>
      </c>
      <c r="AB378" s="196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8.3421638947128327E-2</v>
      </c>
      <c r="AD378" s="230">
        <f>(INDEX(Models!$BJ378:$BT378,,AH378)*(1-AF378)+INDEX(Models!$BJ378:$BT378,,AH378+1)*AF378-ERP_i)*AE378*Ramure*Pc/MaxiM</f>
        <v>6.8000542186508715E-4</v>
      </c>
      <c r="AE378" s="304">
        <f t="shared" si="142"/>
        <v>0.5</v>
      </c>
      <c r="AF378" s="176">
        <f t="shared" si="143"/>
        <v>0.33477546668048008</v>
      </c>
      <c r="AG378" s="814">
        <f t="shared" si="149"/>
        <v>1</v>
      </c>
      <c r="AH378" s="175">
        <f t="shared" si="144"/>
        <v>7</v>
      </c>
      <c r="AI378" s="224">
        <f t="shared" si="145"/>
        <v>1.3347754666804801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10">
        <f>'2022'!Wh/'2022'!Env_an*'2023'!Env_an</f>
        <v>11.77434664535874</v>
      </c>
      <c r="C379" s="843"/>
      <c r="D379" s="392">
        <f t="shared" si="127"/>
        <v>12.297213655361498</v>
      </c>
      <c r="E379" s="384">
        <f t="shared" si="150"/>
        <v>13.204773798571045</v>
      </c>
      <c r="F379" s="384">
        <f t="shared" si="128"/>
        <v>13.207482258565996</v>
      </c>
      <c r="G379" s="110">
        <f t="shared" si="151"/>
        <v>0.51036484957021555</v>
      </c>
      <c r="H379" s="413" t="b">
        <f>Wh_hp&gt;='2022'!Maxi_hp</f>
        <v>0</v>
      </c>
      <c r="I379" s="389">
        <f>IF(H379,Wh_hp,'2022'!Maxi_hp)</f>
        <v>25.625929752628863</v>
      </c>
      <c r="J379" s="85">
        <f>IF(H379,An,'2022'!An_max)</f>
        <v>2021</v>
      </c>
      <c r="K379" s="196">
        <f t="shared" si="129"/>
        <v>45291</v>
      </c>
      <c r="L379" s="147">
        <f>IF(t&lt;Tvie,1-EXP((T0-t)*PertePVj)+'2022'!Pspv,1-EXP((T0-t)*PertePVj)+Pspv)</f>
        <v>4.2519144958889955E-2</v>
      </c>
      <c r="M379" s="847"/>
      <c r="N379" s="847"/>
      <c r="O379" s="48">
        <f>IF(t&lt;Tnet,'2022'!Resal+('2022'!Salim-'2022'!Resal)*(1-EXP(('2022'!Tnet-t)/('2022'!Tau_j))),Resal+(Salim-Resal)*(1-EXP((Tnet-t)/(Tau_j))))*Salcycl</f>
        <v>6.8729700111012842E-2</v>
      </c>
      <c r="P379" s="168">
        <f>(INDEX(Models!$BJ379:$BT379,,T379)*(1-R379)+INDEX(Models!$BJ379:$BT379,,T379+1)*R379-ERP_i)*Q379*Ramure*Pc/MaxiM</f>
        <v>6.8159299755324798E-4</v>
      </c>
      <c r="Q379" s="305">
        <f t="shared" si="130"/>
        <v>0.5</v>
      </c>
      <c r="R379" s="176">
        <f t="shared" si="131"/>
        <v>0.33477546668048008</v>
      </c>
      <c r="S379" s="814">
        <f t="shared" si="132"/>
        <v>1</v>
      </c>
      <c r="T379" s="175">
        <f t="shared" si="133"/>
        <v>7</v>
      </c>
      <c r="U379" s="306">
        <f t="shared" si="134"/>
        <v>1.3347754666804801</v>
      </c>
      <c r="V379" s="382">
        <f t="shared" si="135"/>
        <v>23.059453955171623</v>
      </c>
      <c r="W379" s="401">
        <f t="shared" si="136"/>
        <v>11.77434664535874</v>
      </c>
      <c r="X379" s="157">
        <f t="shared" si="137"/>
        <v>45291</v>
      </c>
      <c r="Y379" s="384">
        <f t="shared" si="138"/>
        <v>11.58841795064771</v>
      </c>
      <c r="Z379" s="384">
        <f t="shared" si="139"/>
        <v>12.103028368280173</v>
      </c>
      <c r="AA379" s="385">
        <f t="shared" si="140"/>
        <v>13.204773798571045</v>
      </c>
      <c r="AB379" s="196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8.343538837523265E-2</v>
      </c>
      <c r="AD379" s="230">
        <f>(INDEX(Models!$BJ379:$BT379,,AH379)*(1-AF379)+INDEX(Models!$BJ379:$BT379,,AH379+1)*AF379-ERP_i)*AE379*Ramure*Pc/MaxiM</f>
        <v>6.8159299755324798E-4</v>
      </c>
      <c r="AE379" s="305">
        <f t="shared" si="142"/>
        <v>0.5</v>
      </c>
      <c r="AF379" s="176">
        <f t="shared" si="143"/>
        <v>0.33477546668048008</v>
      </c>
      <c r="AG379" s="814">
        <f t="shared" si="149"/>
        <v>1</v>
      </c>
      <c r="AH379" s="175">
        <f t="shared" si="144"/>
        <v>7</v>
      </c>
      <c r="AI379" s="221">
        <f t="shared" si="145"/>
        <v>1.3347754666804801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Wh_hp&gt;='2022'!Maxi_hp</f>
        <v>0</v>
      </c>
      <c r="I380" s="389">
        <f>IF(H380,Wh_hp,'2022'!Maxi_hp)</f>
        <v>16.672977949317147</v>
      </c>
      <c r="J380" s="85">
        <f>IF(H380,An,'2022'!An_max)</f>
        <v>2020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82">
        <f>(V379+V15)/2</f>
        <v>23.404927311285686</v>
      </c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1.468345694649241</v>
      </c>
      <c r="C381" s="374"/>
      <c r="D381" s="372">
        <f>MIN(D15:D380)</f>
        <v>1.5216878601879289</v>
      </c>
      <c r="E381" s="372">
        <f>MIN(E15:E380)</f>
        <v>1.6093961391094931</v>
      </c>
      <c r="F381" s="373">
        <f>MIN(F15:F380)</f>
        <v>1.6093961391094931</v>
      </c>
      <c r="G381" s="125">
        <f>+MIN(G15:G380)</f>
        <v>5.7866266090405641E-2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3.4864606839127045E-2</v>
      </c>
      <c r="M381" s="849"/>
      <c r="N381" s="849"/>
      <c r="O381" s="47">
        <f t="shared" si="152"/>
        <v>5.4079731265244263E-2</v>
      </c>
      <c r="P381" s="167">
        <f t="shared" si="152"/>
        <v>1.6474256636755569E-4</v>
      </c>
      <c r="Q381" s="309">
        <f t="shared" si="152"/>
        <v>0.5</v>
      </c>
      <c r="R381" s="310">
        <f t="shared" si="152"/>
        <v>3.4776230502182592E-2</v>
      </c>
      <c r="S381" s="814">
        <f t="shared" si="152"/>
        <v>1</v>
      </c>
      <c r="T381" s="175">
        <f t="shared" si="152"/>
        <v>7</v>
      </c>
      <c r="U381" s="251">
        <f>+MIN(U15:U380)</f>
        <v>1.0347762305021826</v>
      </c>
      <c r="V381" s="57">
        <f>MIN(V15:V380)</f>
        <v>22.350574436357384</v>
      </c>
      <c r="W381" s="58"/>
      <c r="X381" s="112" t="s">
        <v>7</v>
      </c>
      <c r="Y381" s="372">
        <f>MIN(Y15:Y380)</f>
        <v>1.4351589598783996</v>
      </c>
      <c r="Z381" s="372">
        <f>MIN(Z15:Z380)</f>
        <v>1.4872955153851408</v>
      </c>
      <c r="AA381" s="372">
        <f>MIN(AA15:AA380)</f>
        <v>1.6093961391094931</v>
      </c>
      <c r="AB381" s="199" t="s">
        <v>7</v>
      </c>
      <c r="AC381" s="47">
        <f t="shared" ref="AC381:AH381" si="153">MIN(AC15:AC380)</f>
        <v>7.5659441294752702E-2</v>
      </c>
      <c r="AD381" s="167">
        <f t="shared" si="153"/>
        <v>1.6474256636755569E-4</v>
      </c>
      <c r="AE381" s="309">
        <f t="shared" si="153"/>
        <v>0.5</v>
      </c>
      <c r="AF381" s="310">
        <f t="shared" si="153"/>
        <v>3.4776230502182592E-2</v>
      </c>
      <c r="AG381" s="814">
        <f t="shared" si="153"/>
        <v>1</v>
      </c>
      <c r="AH381" s="175">
        <f t="shared" si="153"/>
        <v>7</v>
      </c>
      <c r="AI381" s="225">
        <f>MIN(AI15:AI380)</f>
        <v>1.0347762305021826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29.212687410179893</v>
      </c>
      <c r="C382" s="374"/>
      <c r="D382" s="374">
        <f>AVERAGE(D15:D380)</f>
        <v>30.385437176330917</v>
      </c>
      <c r="E382" s="374">
        <f>AVERAGE(E15:E380)</f>
        <v>32.444331109671239</v>
      </c>
      <c r="F382" s="375">
        <f>AVERAGE(F15:F380)</f>
        <v>32.456074101810636</v>
      </c>
      <c r="G382" s="126">
        <f>AVERAGE(G15:G380)</f>
        <v>0.68035681097693923</v>
      </c>
      <c r="H382" s="94"/>
      <c r="I382" s="375">
        <f>AVERAGE(I15:I380)</f>
        <v>43.581514891200726</v>
      </c>
      <c r="J382" s="59">
        <f>AVERAGE(J15:J380)</f>
        <v>2020.2513661202186</v>
      </c>
      <c r="K382" s="199" t="s">
        <v>8</v>
      </c>
      <c r="L382" s="147">
        <f t="shared" ref="L382:V382" si="154">AVERAGE(L15:L380)</f>
        <v>3.8696947483574051E-2</v>
      </c>
      <c r="M382" s="847"/>
      <c r="N382" s="847"/>
      <c r="O382" s="48">
        <f t="shared" si="154"/>
        <v>6.3227619126556223E-2</v>
      </c>
      <c r="P382" s="168">
        <f t="shared" si="154"/>
        <v>5.2016025986456594E-4</v>
      </c>
      <c r="Q382" s="311">
        <f t="shared" si="154"/>
        <v>0.5</v>
      </c>
      <c r="R382" s="176">
        <f t="shared" si="154"/>
        <v>0.20270638870166915</v>
      </c>
      <c r="S382" s="814">
        <f t="shared" si="154"/>
        <v>1</v>
      </c>
      <c r="T382" s="175">
        <f t="shared" si="154"/>
        <v>7</v>
      </c>
      <c r="U382" s="250">
        <f t="shared" si="154"/>
        <v>1.2027063887016691</v>
      </c>
      <c r="V382" s="59">
        <f t="shared" si="154"/>
        <v>41.731445872153678</v>
      </c>
      <c r="X382" s="112" t="s">
        <v>8</v>
      </c>
      <c r="Y382" s="374">
        <f>AVERAGE(Y15:Y380)</f>
        <v>28.637515322618999</v>
      </c>
      <c r="Z382" s="374">
        <f>AVERAGE(Z15:Z380)</f>
        <v>29.787261370281968</v>
      </c>
      <c r="AA382" s="374">
        <f>AVERAGE(AA15:AA380)</f>
        <v>32.444331109671239</v>
      </c>
      <c r="AB382" s="199" t="s">
        <v>8</v>
      </c>
      <c r="AC382" s="48">
        <f t="shared" ref="AC382:AH382" si="155">AVERAGE(AC15:AC380)</f>
        <v>8.1517441092178733E-2</v>
      </c>
      <c r="AD382" s="168">
        <f t="shared" si="155"/>
        <v>5.2016025986456594E-4</v>
      </c>
      <c r="AE382" s="311">
        <f t="shared" si="155"/>
        <v>0.5</v>
      </c>
      <c r="AF382" s="176">
        <f t="shared" si="155"/>
        <v>0.20270638870166915</v>
      </c>
      <c r="AG382" s="814">
        <f t="shared" si="155"/>
        <v>1</v>
      </c>
      <c r="AH382" s="175">
        <f t="shared" si="155"/>
        <v>7</v>
      </c>
      <c r="AI382" s="224">
        <f>AVERAGE(AI15:AI380)</f>
        <v>1.2027063887016691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54.089878786268727</v>
      </c>
      <c r="C383" s="376"/>
      <c r="D383" s="376">
        <f>MAX(D15:D380)</f>
        <v>56.225565013739818</v>
      </c>
      <c r="E383" s="376">
        <f>MAX(E15:E380)</f>
        <v>59.974444168355042</v>
      </c>
      <c r="F383" s="377">
        <f>MAX(F15:F380)</f>
        <v>60.005775087410136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2023</v>
      </c>
      <c r="K383" s="199" t="s">
        <v>9</v>
      </c>
      <c r="L383" s="148">
        <f t="shared" ref="L383:T383" si="156">MAX(L15:L380)</f>
        <v>4.2519144958889955E-2</v>
      </c>
      <c r="M383" s="850"/>
      <c r="N383" s="850"/>
      <c r="O383" s="49">
        <f t="shared" si="156"/>
        <v>6.8729700111012842E-2</v>
      </c>
      <c r="P383" s="169">
        <f t="shared" si="156"/>
        <v>9.5828770645535596E-4</v>
      </c>
      <c r="Q383" s="312">
        <f t="shared" si="156"/>
        <v>0.5</v>
      </c>
      <c r="R383" s="313">
        <f t="shared" si="156"/>
        <v>0.33477546668048008</v>
      </c>
      <c r="S383" s="815">
        <f t="shared" si="156"/>
        <v>1</v>
      </c>
      <c r="T383" s="232">
        <f t="shared" si="156"/>
        <v>7</v>
      </c>
      <c r="U383" s="252">
        <f>+MAX(U15:U380)</f>
        <v>1.3347754666804801</v>
      </c>
      <c r="V383" s="60">
        <f>MAX(V15:V380)</f>
        <v>54.622668493244802</v>
      </c>
      <c r="X383" s="112" t="s">
        <v>9</v>
      </c>
      <c r="Y383" s="376">
        <f>MAX(Y15:Y380)</f>
        <v>52.993210508090606</v>
      </c>
      <c r="Z383" s="376">
        <f>MAX(Z15:Z380)</f>
        <v>55.085595855797031</v>
      </c>
      <c r="AA383" s="376">
        <f>MAX(AA15:AA380)</f>
        <v>59.974444168355042</v>
      </c>
      <c r="AB383" s="199" t="s">
        <v>9</v>
      </c>
      <c r="AC383" s="49">
        <f t="shared" ref="AC383:AH383" si="157">MAX(AC15:AC380)</f>
        <v>8.5158156341015409E-2</v>
      </c>
      <c r="AD383" s="169">
        <f t="shared" si="157"/>
        <v>9.5828770645535596E-4</v>
      </c>
      <c r="AE383" s="312">
        <f t="shared" si="157"/>
        <v>0.5</v>
      </c>
      <c r="AF383" s="313">
        <f t="shared" si="157"/>
        <v>0.33477546668048008</v>
      </c>
      <c r="AG383" s="815">
        <f t="shared" si="157"/>
        <v>1</v>
      </c>
      <c r="AH383" s="232">
        <f t="shared" si="157"/>
        <v>7</v>
      </c>
      <c r="AI383" s="226">
        <f>MAX(AI15:AI380)</f>
        <v>1.3347754666804801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'2023'!An+1</f>
        <v>2024</v>
      </c>
      <c r="K1" s="1295"/>
      <c r="L1" s="113" t="str">
        <f>"Calcul pertes et enveloppes en "&amp;TEXT(An,0)</f>
        <v>Calcul pertes et enveloppes en 2024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42.569901219805558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513.94715617869883</v>
      </c>
      <c r="AK4" s="836">
        <f>AM12-AK12</f>
        <v>-0.24486115593349211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556.88896572175872</v>
      </c>
      <c r="AA5" s="236">
        <f>Wh_Pvg_s-Wh_Pvg</f>
        <v>-0.24486115593349211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2886.415577747101</v>
      </c>
      <c r="AK5" s="515">
        <f>SUMIF(AK15:AK380,"VRAI",Wh)</f>
        <v>0</v>
      </c>
      <c r="AL5" s="515">
        <f>SUMIF(AJ15:AJ380,"VRAI",Wh_s)</f>
        <v>2843.8445748485424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8077.3369844828158</v>
      </c>
      <c r="AK6" s="515">
        <f>SUMIF(AK15:AK380,"FAUX",Wh)</f>
        <v>10963.752562229922</v>
      </c>
      <c r="AL6" s="515">
        <f>SUMIF(AJ15:AJ380,"FAUX",Wh_s)</f>
        <v>7563.3433416351654</v>
      </c>
      <c r="AM6" s="515">
        <f>SUMIF(AK15:AK380,"FAUX",Wh_s)</f>
        <v>10407.187916483712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3019.1559915728935</v>
      </c>
      <c r="AK7" s="515">
        <f>SUMIF(AK15:AK380,"VRAI",Wh_sa)</f>
        <v>0</v>
      </c>
      <c r="AL7" s="515">
        <f>SUMIF(AJ15:AJ380,"VRAI",Wh_pvt_s)</f>
        <v>2974.6282890682401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8476.6899293006954</v>
      </c>
      <c r="AK8" s="515">
        <f>SUMIF(AK15:AK380,"FAUX",Wh_sa)</f>
        <v>11857.73548460659</v>
      </c>
      <c r="AL8" s="515">
        <f>SUMIF(AJ15:AJ380,"FAUX",Wh_pvt_s)</f>
        <v>7937.3288277534966</v>
      </c>
      <c r="AM8" s="515">
        <f>SUMIF(AK15:AK380,"FAUX",Wh_sa_s)</f>
        <v>11857.73548460659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11495.845920873595</v>
      </c>
      <c r="E9" s="183">
        <f>SUM(E$15:E$380)</f>
        <v>11857.73548460659</v>
      </c>
      <c r="F9" s="183">
        <f>SUM(F$15:F$380)</f>
        <v>11862.952306838662</v>
      </c>
      <c r="H9" s="1296">
        <f>+SUM(Wh)</f>
        <v>10963.752562229922</v>
      </c>
      <c r="I9" s="1297"/>
      <c r="J9" s="1298"/>
      <c r="K9" s="190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10407.187916483712</v>
      </c>
      <c r="Y9" s="1291"/>
      <c r="Z9" s="515">
        <f>SUM(Z$15:Z$380)</f>
        <v>10911.957116821728</v>
      </c>
      <c r="AA9" s="515">
        <f>SUM(AA$15:AA$380)</f>
        <v>11857.73548460659</v>
      </c>
      <c r="AB9" s="515">
        <f>F9</f>
        <v>11862.952306838662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3249.9991916196282</v>
      </c>
      <c r="AK9" s="515">
        <f>SUMIF(AK15:AK380,"VRAI",Wh_hp)</f>
        <v>0</v>
      </c>
      <c r="AL9" s="515">
        <f>SUMIF(AJ15:AJ380,"VRAI",Wh_sa_s)</f>
        <v>3249.9991916196282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IF(Inflex,'2023'!Resal+('2023'!Salim-'2023'!Resal)*(1-EXP(-(Tnet-'2023'!Tnet)/('2023'!Tau_j))),IF(An_Tnet,Resal_2024,'2023'!Resal))</f>
        <v>5.4999999999999997E-3</v>
      </c>
      <c r="P10" s="420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IF(OR(Inflex,GainD),'2023'!Resal_s+('2023'!Salim-'2023'!Resal_s)*(1-EXP(('2023'!Tnet_s-Tnet)/('2023'!Tau_j))),IF(Acti_net,'2023'!Resal+('2023'!Salim-'2023'!Resal)*(1-EXP(('2023'!Tnet-Tnet)/'2023'!Tau_j)),'2023'!Resal_s))</f>
        <v>7.2435858979112436E-2</v>
      </c>
      <c r="AD10" s="427"/>
      <c r="AE10" s="427"/>
      <c r="AF10" s="259"/>
      <c r="AG10" s="260"/>
      <c r="AH10" s="261"/>
      <c r="AI10" s="472"/>
      <c r="AJ10" s="515">
        <f>SUMIF(AJ15:AJ380,"FAUX",Wh_sa)</f>
        <v>8607.7362929869523</v>
      </c>
      <c r="AK10" s="515">
        <f>SUMIF(AK15:AK380,"FAUX",Wh_hp)</f>
        <v>11862.952306838662</v>
      </c>
      <c r="AL10" s="515">
        <f>SUMIF(AJ15:AJ380,"FAUX",Wh_sa_s)</f>
        <v>8607.7362929869523</v>
      </c>
      <c r="AM10" s="515">
        <f>SUMIF(AK15:AK380,"FAUX",Wh_hp)</f>
        <v>11862.952306838662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532.09335864367313</v>
      </c>
      <c r="E11" s="51">
        <f>(E$9-D$9)*Prod_an/D$9</f>
        <v>345.1392493368059</v>
      </c>
      <c r="F11" s="185">
        <f>(F$9-E$9)*Prod_an/E$9</f>
        <v>4.8235135779367502</v>
      </c>
      <c r="G11" s="184" t="s">
        <v>6</v>
      </c>
      <c r="K11" s="193"/>
      <c r="L11" s="210">
        <f>Tvie_2024</f>
        <v>44375</v>
      </c>
      <c r="M11" s="846"/>
      <c r="N11" s="846"/>
      <c r="O11" s="201">
        <f>IF(An_Tnet,Salim_2024,'2023'!Salim)</f>
        <v>0.1</v>
      </c>
      <c r="P11" s="255">
        <f>Ttai_2024</f>
        <v>43101</v>
      </c>
      <c r="Q11" s="271">
        <f>Dens_2024</f>
        <v>0.5</v>
      </c>
      <c r="R11" s="276"/>
      <c r="S11" s="229"/>
      <c r="T11" s="229"/>
      <c r="U11" s="265">
        <f>Htf_2024</f>
        <v>1.6347754666804801</v>
      </c>
      <c r="V11" s="427"/>
      <c r="W11" s="518"/>
      <c r="X11" s="525" t="s">
        <v>43</v>
      </c>
      <c r="Y11" s="50">
        <f>Z$9-Prod_an_s</f>
        <v>504.76920033801616</v>
      </c>
      <c r="Z11" s="51">
        <f>(AA$9-Z$9)*Prod_an_s/Z$9</f>
        <v>902.02821505856457</v>
      </c>
      <c r="AA11" s="185">
        <f>(AB$9-AA$9)*Prod_an_s/AA$9</f>
        <v>4.5786524220032581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220.693932506865</v>
      </c>
      <c r="AK11" s="836">
        <f>IF($AK7=0,0,($AK9-$AK7)*$AK5/$AK7)</f>
        <v>0</v>
      </c>
      <c r="AL11" s="835">
        <f>IF($AL7=0,0,($AL9-$AL7)*$AL5/$AL7)</f>
        <v>263.26383372667055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Pspv_2024</f>
        <v>-1.1999999999999999E-3</v>
      </c>
      <c r="M12" s="211"/>
      <c r="N12" s="211"/>
      <c r="O12" s="204">
        <f>IF(An_Tnet,Tau_2024*365,'2023'!Tau_j)</f>
        <v>949</v>
      </c>
      <c r="P12" s="280">
        <f>INDEX(Croivg,MIN(MAX(Ttai-$A$15,0)+1,366))</f>
        <v>2.3909964587625958E-6</v>
      </c>
      <c r="Q12" s="279">
        <f>'2023'!Df</f>
        <v>0.5</v>
      </c>
      <c r="R12" s="277"/>
      <c r="S12" s="278"/>
      <c r="T12" s="278"/>
      <c r="U12" s="266">
        <f>'2023'!Hdf</f>
        <v>1.3347754666804801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0.5</v>
      </c>
      <c r="AF12" s="202"/>
      <c r="AG12" s="202"/>
      <c r="AH12" s="202"/>
      <c r="AI12" s="296">
        <f>'2023'!Hdf_s</f>
        <v>1.3347754666804801</v>
      </c>
      <c r="AJ12" s="835">
        <f>IF($AJ8=0,0,($AJ10-$AJ8)*$AJ6/$AJ8)</f>
        <v>124.87252086762508</v>
      </c>
      <c r="AK12" s="836">
        <f>IF($AK8=0,0,($AK10-$AK8)*$AK6/$AK8)</f>
        <v>4.8235135779367502</v>
      </c>
      <c r="AL12" s="835">
        <f>IF($AL8=0,0,($AL10-$AL8)*$AL6/$AL8)</f>
        <v>638.81967704632393</v>
      </c>
      <c r="AM12" s="836">
        <f>IF($AM8=0,0,($AM10-$AM8)*$AM6/$AM8)</f>
        <v>4.5786524220032581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345.5664533744901</v>
      </c>
      <c r="AK13" s="73">
        <f>+AK11+AK12</f>
        <v>4.8235135779367502</v>
      </c>
      <c r="AL13" s="73">
        <f>+AL11+AL12</f>
        <v>902.08351077299449</v>
      </c>
      <c r="AM13" s="73">
        <f>+AM11+AM12</f>
        <v>4.5786524220032581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2024</v>
      </c>
      <c r="W14" s="840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9">
        <f>'2023'!Wh/'2023'!Env_an*'2024'!Env_an</f>
        <v>23.005863399250064</v>
      </c>
      <c r="C15" s="843"/>
      <c r="D15" s="392">
        <f t="shared" ref="D15:D78" si="0">Wh/(1-Ppv)</f>
        <v>24.028017422036339</v>
      </c>
      <c r="E15" s="399">
        <f t="shared" ref="E15:E79" si="1">Wh_pvt/(1-Psa)</f>
        <v>25.80216877135085</v>
      </c>
      <c r="F15" s="399">
        <f t="shared" ref="F15:F78" si="2">Wh_sa/(1-Pvg*MEDIAN((-Sdif+Wh/Env_an)/Csdif,0,1))</f>
        <v>25.81961307523661</v>
      </c>
      <c r="G15" s="123">
        <f>+Wh_hp/MaxiM</f>
        <v>0.99194092764410347</v>
      </c>
      <c r="H15" s="413" t="b">
        <f>Wh_hp&gt;='2023'!Maxi_hp</f>
        <v>0</v>
      </c>
      <c r="I15" s="395">
        <f>IF(H15,Wh_hp,'2023'!Maxi_hp)</f>
        <v>25.81968983853487</v>
      </c>
      <c r="J15" s="84">
        <f>IF(H15,An,'2023'!An_max)</f>
        <v>2022</v>
      </c>
      <c r="K15" s="196">
        <f t="shared" ref="K15:K78" si="3">t</f>
        <v>45292</v>
      </c>
      <c r="L15" s="146">
        <f>IF(t&lt;Tvie,1-EXP((T0-t)*PertePVj)+'2023'!Pspv,1-EXP((T0-t)*PertePVj)+Pspv)</f>
        <v>4.2540089963845486E-2</v>
      </c>
      <c r="M15" s="847"/>
      <c r="N15" s="847"/>
      <c r="O15" s="48">
        <f>IF(t&lt;Tnet,'2023'!Resal+('2023'!Salim-'2023'!Resal)*(1-EXP(('2023'!Tnet-t)/('2023'!Tau_j))),Resal+(Salim-Resal)*(1-EXP((Tnet-t)/(Tau_j))))*Salcycl</f>
        <v>6.8759776165964043E-2</v>
      </c>
      <c r="P15" s="301">
        <f>(INDEX(Models!$BJ15:$BT15,,T15)*(1-R15)+INDEX(Models!$BJ15:$BT15,,T15+1)*R15-ERP_i)*Q15*Ramure*Pc/MaxiM</f>
        <v>6.834835031664752E-4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0.33477618397941766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1.3347761839794177</v>
      </c>
      <c r="V15" s="381">
        <f t="shared" ref="V15:V78" si="9">MaxiM*(1-Ppv)*(1-Pvg)*(1-Psa)</f>
        <v>23.192593207778891</v>
      </c>
      <c r="W15" s="401">
        <f t="shared" ref="W15:W78" si="10">Wh*(A15&gt;Tmaj)</f>
        <v>23.005863399250064</v>
      </c>
      <c r="X15" s="156">
        <f t="shared" ref="X15:X78" si="11">t</f>
        <v>45292</v>
      </c>
      <c r="Y15" s="384">
        <f t="shared" ref="Y15:Y78" si="12">Wh_pvt_s*(1-Ppv)</f>
        <v>22.642964145013973</v>
      </c>
      <c r="Z15" s="384">
        <f>Wh_sa_s*(1-Psa_s)</f>
        <v>23.64899449853619</v>
      </c>
      <c r="AA15" s="385">
        <f t="shared" ref="AA15:AA78" si="13">Wh_hp*(1-Pvg_s*MEDIAN((-Sdif+Wh/Env_an)/Csdif,0,1))</f>
        <v>25.80216877135085</v>
      </c>
      <c r="AB15" s="196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8.3449352335273966E-2</v>
      </c>
      <c r="AD15" s="230">
        <f>(INDEX(Models!$BJ15:$BT15,,AH15)*(1-AF15)+INDEX(Models!$BJ15:$BT15,,AH15+1)*AF15-ERP_i)*AE15*Ramure*Pc/MaxiM</f>
        <v>6.834835031664752E-4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0.33477618397941766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1.3347761839794177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10">
        <f>'2023'!Wh/'2023'!Env_an*'2024'!Env_an</f>
        <v>16.288524785397755</v>
      </c>
      <c r="C16" s="843"/>
      <c r="D16" s="392">
        <f t="shared" si="0"/>
        <v>17.01259858069643</v>
      </c>
      <c r="E16" s="384">
        <f t="shared" si="1"/>
        <v>18.269346715846826</v>
      </c>
      <c r="F16" s="384">
        <f t="shared" si="2"/>
        <v>18.276479548665648</v>
      </c>
      <c r="G16" s="110">
        <f t="shared" ref="G16:G79" si="21">+Wh_hp/MaxiM</f>
        <v>0.69781663199668165</v>
      </c>
      <c r="H16" s="413" t="b">
        <f>Wh_hp&gt;='2023'!Maxi_hp</f>
        <v>0</v>
      </c>
      <c r="I16" s="389">
        <f>IF(H16,Wh_hp,'2023'!Maxi_hp)</f>
        <v>25.015272489823854</v>
      </c>
      <c r="J16" s="85">
        <f>IF(H16,An,'2023'!An_max)</f>
        <v>2020</v>
      </c>
      <c r="K16" s="196">
        <f t="shared" si="3"/>
        <v>45293</v>
      </c>
      <c r="L16" s="147">
        <f>IF(t&lt;Tvie,1-EXP((T0-t)*PertePVj)+'2023'!Pspv,1-EXP((T0-t)*PertePVj)+Pspv)</f>
        <v>4.2561034510051644E-2</v>
      </c>
      <c r="M16" s="847"/>
      <c r="N16" s="847"/>
      <c r="O16" s="48">
        <f>IF(t&lt;Tnet,'2023'!Resal+('2023'!Salim-'2023'!Resal)*(1-EXP(('2023'!Tnet-t)/('2023'!Tau_j))),Resal+(Salim-Resal)*(1-EXP((Tnet-t)/(Tau_j))))*Salcycl</f>
        <v>6.8789987660603888E-2</v>
      </c>
      <c r="P16" s="168">
        <f>(INDEX(Models!$BJ16:$BT16,,T16)*(1-R16)+INDEX(Models!$BJ16:$BT16,,T16+1)*R16-ERP_i)*Q16*Ramure*Pc/MaxiM</f>
        <v>6.8637102254952927E-4</v>
      </c>
      <c r="Q16" s="304">
        <f t="shared" si="4"/>
        <v>0.5</v>
      </c>
      <c r="R16" s="176">
        <f t="shared" si="5"/>
        <v>0.33479371274781422</v>
      </c>
      <c r="S16" s="814">
        <f t="shared" si="6"/>
        <v>1</v>
      </c>
      <c r="T16" s="175">
        <f t="shared" si="7"/>
        <v>7</v>
      </c>
      <c r="U16" s="250">
        <f t="shared" si="8"/>
        <v>1.3347937127478142</v>
      </c>
      <c r="V16" s="382">
        <f t="shared" si="9"/>
        <v>23.335213249857034</v>
      </c>
      <c r="W16" s="401">
        <f t="shared" si="10"/>
        <v>16.288524785397755</v>
      </c>
      <c r="X16" s="157">
        <f t="shared" si="11"/>
        <v>45293</v>
      </c>
      <c r="Y16" s="384">
        <f t="shared" si="12"/>
        <v>16.031858761328483</v>
      </c>
      <c r="Z16" s="384">
        <f t="shared" ref="Z16:Z78" si="22">Wh_sa_s*(1-Psa_s)</f>
        <v>16.744522981811723</v>
      </c>
      <c r="AA16" s="385">
        <f t="shared" si="13"/>
        <v>18.269346715846826</v>
      </c>
      <c r="AB16" s="196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8.3463506262786646E-2</v>
      </c>
      <c r="AD16" s="230">
        <f>(INDEX(Models!$BJ16:$BT16,,AH16)*(1-AF16)+INDEX(Models!$BJ16:$BT16,,AH16+1)*AF16-ERP_i)*AE16*Ramure*Pc/MaxiM</f>
        <v>6.8637102254952927E-4</v>
      </c>
      <c r="AE16" s="304">
        <f t="shared" si="15"/>
        <v>0.5</v>
      </c>
      <c r="AF16" s="176">
        <f t="shared" ref="AF16:AF78" si="23">(Hp_vg_s-AG16)/(INDEX(Echel_vg,AH16+1)-AG16)</f>
        <v>0.33479371274781422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1.3347937127478142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10">
        <f>'2023'!Wh/'2023'!Env_an*'2024'!Env_an</f>
        <v>17.473511104017181</v>
      </c>
      <c r="C17" s="843"/>
      <c r="D17" s="392">
        <f t="shared" si="0"/>
        <v>18.250660331650085</v>
      </c>
      <c r="E17" s="384">
        <f t="shared" si="1"/>
        <v>19.599504432929084</v>
      </c>
      <c r="F17" s="384">
        <f t="shared" si="2"/>
        <v>19.608088476757207</v>
      </c>
      <c r="G17" s="110">
        <f t="shared" si="21"/>
        <v>0.74378412241329828</v>
      </c>
      <c r="H17" s="413" t="b">
        <f>Wh_hp&gt;='2023'!Maxi_hp</f>
        <v>0</v>
      </c>
      <c r="I17" s="389">
        <f>IF(H17,Wh_hp,'2023'!Maxi_hp)</f>
        <v>27.472426453662738</v>
      </c>
      <c r="J17" s="85">
        <f>IF(H17,An,'2023'!An_max)</f>
        <v>2019</v>
      </c>
      <c r="K17" s="196">
        <f t="shared" si="3"/>
        <v>45294</v>
      </c>
      <c r="L17" s="147">
        <f>IF(t&lt;Tvie,1-EXP((T0-t)*PertePVj)+'2023'!Pspv,1-EXP((T0-t)*PertePVj)+Pspv)</f>
        <v>4.2581978597518423E-2</v>
      </c>
      <c r="M17" s="847"/>
      <c r="N17" s="847"/>
      <c r="O17" s="48">
        <f>IF(t&lt;Tnet,'2023'!Resal+('2023'!Salim-'2023'!Resal)*(1-EXP(('2023'!Tnet-t)/('2023'!Tau_j))),Resal+(Salim-Resal)*(1-EXP((Tnet-t)/(Tau_j))))*Salcycl</f>
        <v>6.8820316651109215E-2</v>
      </c>
      <c r="P17" s="168">
        <f>(INDEX(Models!$BJ17:$BT17,,T17)*(1-R17)+INDEX(Models!$BJ17:$BT17,,T17+1)*R17-ERP_i)*Q17*Ramure*Pc/MaxiM</f>
        <v>6.9023837608521985E-4</v>
      </c>
      <c r="Q17" s="304">
        <f t="shared" si="4"/>
        <v>0.5</v>
      </c>
      <c r="R17" s="176">
        <f t="shared" si="5"/>
        <v>0.33481197470510793</v>
      </c>
      <c r="S17" s="814">
        <f t="shared" si="6"/>
        <v>1</v>
      </c>
      <c r="T17" s="175">
        <f t="shared" si="7"/>
        <v>7</v>
      </c>
      <c r="U17" s="250">
        <f t="shared" si="8"/>
        <v>1.3348119747051079</v>
      </c>
      <c r="V17" s="382">
        <f t="shared" si="9"/>
        <v>23.486785109500762</v>
      </c>
      <c r="W17" s="401">
        <f t="shared" si="10"/>
        <v>17.473511104017181</v>
      </c>
      <c r="X17" s="157">
        <f t="shared" si="11"/>
        <v>45294</v>
      </c>
      <c r="Y17" s="384">
        <f t="shared" si="12"/>
        <v>17.198464090755742</v>
      </c>
      <c r="Z17" s="384">
        <f t="shared" si="22"/>
        <v>17.963380369175038</v>
      </c>
      <c r="AA17" s="385">
        <f t="shared" si="13"/>
        <v>19.599504432929084</v>
      </c>
      <c r="AB17" s="196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8.3477828194737286E-2</v>
      </c>
      <c r="AD17" s="230">
        <f>(INDEX(Models!$BJ17:$BT17,,AH17)*(1-AF17)+INDEX(Models!$BJ17:$BT17,,AH17+1)*AF17-ERP_i)*AE17*Ramure*Pc/MaxiM</f>
        <v>6.9023837608521985E-4</v>
      </c>
      <c r="AE17" s="304">
        <f t="shared" si="15"/>
        <v>0.5</v>
      </c>
      <c r="AF17" s="176">
        <f>(Hp_vg_s-AG17)/(INDEX(Echel_vg,AH17+1)-AG17)</f>
        <v>0.33481197470510793</v>
      </c>
      <c r="AG17" s="814">
        <f>INDEX(Echel_vg,AH17)</f>
        <v>1</v>
      </c>
      <c r="AH17" s="175">
        <f t="shared" si="16"/>
        <v>7</v>
      </c>
      <c r="AI17" s="224">
        <f t="shared" si="17"/>
        <v>1.3348119747051079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10">
        <f>'2023'!Wh/'2023'!Env_an*'2024'!Env_an</f>
        <v>18.829392948389724</v>
      </c>
      <c r="C18" s="843"/>
      <c r="D18" s="392">
        <f t="shared" si="0"/>
        <v>19.667276395050337</v>
      </c>
      <c r="E18" s="384">
        <f t="shared" si="1"/>
        <v>21.121508005040248</v>
      </c>
      <c r="F18" s="384">
        <f t="shared" si="2"/>
        <v>21.131921505801049</v>
      </c>
      <c r="G18" s="110">
        <f t="shared" si="21"/>
        <v>0.79611610246863562</v>
      </c>
      <c r="H18" s="413" t="b">
        <f>Wh_hp&gt;='2023'!Maxi_hp</f>
        <v>0</v>
      </c>
      <c r="I18" s="389">
        <f>IF(H18,Wh_hp,'2023'!Maxi_hp)</f>
        <v>24.427777295299801</v>
      </c>
      <c r="J18" s="85">
        <f>IF(H18,An,'2023'!An_max)</f>
        <v>2019</v>
      </c>
      <c r="K18" s="196">
        <f t="shared" si="3"/>
        <v>45295</v>
      </c>
      <c r="L18" s="147">
        <f>IF(t&lt;Tvie,1-EXP((T0-t)*PertePVj)+'2023'!Pspv,1-EXP((T0-t)*PertePVj)+Pspv)</f>
        <v>4.2602922226256036E-2</v>
      </c>
      <c r="M18" s="847"/>
      <c r="N18" s="847"/>
      <c r="O18" s="48">
        <f>IF(t&lt;Tnet,'2023'!Resal+('2023'!Salim-'2023'!Resal)*(1-EXP(('2023'!Tnet-t)/('2023'!Tau_j))),Resal+(Salim-Resal)*(1-EXP((Tnet-t)/(Tau_j))))*Salcycl</f>
        <v>6.8850747287688224E-2</v>
      </c>
      <c r="P18" s="168">
        <f>(INDEX(Models!$BJ18:$BT18,,T18)*(1-R18)+INDEX(Models!$BJ18:$BT18,,T18+1)*R18-ERP_i)*Q18*Ramure*Pc/MaxiM</f>
        <v>6.9507461573609097E-4</v>
      </c>
      <c r="Q18" s="304">
        <f t="shared" si="4"/>
        <v>0.5</v>
      </c>
      <c r="R18" s="176">
        <f t="shared" si="5"/>
        <v>0.33483100042388503</v>
      </c>
      <c r="S18" s="814">
        <f t="shared" si="6"/>
        <v>1</v>
      </c>
      <c r="T18" s="175">
        <f t="shared" si="7"/>
        <v>7</v>
      </c>
      <c r="U18" s="250">
        <f t="shared" si="8"/>
        <v>1.334831000423885</v>
      </c>
      <c r="V18" s="382">
        <f t="shared" si="9"/>
        <v>23.646779693930998</v>
      </c>
      <c r="W18" s="401">
        <f t="shared" si="10"/>
        <v>18.829392948389724</v>
      </c>
      <c r="X18" s="157">
        <f t="shared" si="11"/>
        <v>45295</v>
      </c>
      <c r="Y18" s="384">
        <f t="shared" si="12"/>
        <v>18.533316326185201</v>
      </c>
      <c r="Z18" s="384">
        <f>Wh_sa_s*(1-Psa_s)</f>
        <v>19.358024749021713</v>
      </c>
      <c r="AA18" s="385">
        <f t="shared" si="13"/>
        <v>21.121508005040248</v>
      </c>
      <c r="AB18" s="196">
        <f>t</f>
        <v>45295</v>
      </c>
      <c r="AC18" s="119">
        <f>IF(OR(t&lt;Tnet,NoTnet),'2023'!Resal_s+('2023'!Salim-'2023'!Resal_s)*(1-EXP(('2023'!Tnet_s-t)/'2023'!Tau_j)),Resal_s+(Salim-Resal_s)*(1-EXP((Tnet_s-t)/Tau_j)))*Salcycl</f>
        <v>8.3492298731592141E-2</v>
      </c>
      <c r="AD18" s="230">
        <f>(INDEX(Models!$BJ18:$BT18,,AH18)*(1-AF18)+INDEX(Models!$BJ18:$BT18,,AH18+1)*AF18-ERP_i)*AE18*Ramure*Pc/MaxiM</f>
        <v>6.9507461573609097E-4</v>
      </c>
      <c r="AE18" s="304">
        <f t="shared" si="15"/>
        <v>0.5</v>
      </c>
      <c r="AF18" s="176">
        <f t="shared" si="23"/>
        <v>0.33483100042388503</v>
      </c>
      <c r="AG18" s="814">
        <f t="shared" si="24"/>
        <v>1</v>
      </c>
      <c r="AH18" s="175">
        <f t="shared" si="16"/>
        <v>7</v>
      </c>
      <c r="AI18" s="224">
        <f t="shared" si="17"/>
        <v>1.334831000423885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10">
        <f>'2023'!Wh/'2023'!Env_an*'2024'!Env_an</f>
        <v>13.766261538645772</v>
      </c>
      <c r="C19" s="843"/>
      <c r="D19" s="392">
        <f t="shared" si="0"/>
        <v>14.379156781826261</v>
      </c>
      <c r="E19" s="384">
        <f t="shared" si="1"/>
        <v>15.442882044143873</v>
      </c>
      <c r="F19" s="384">
        <f t="shared" si="2"/>
        <v>15.447182582540249</v>
      </c>
      <c r="G19" s="110">
        <f t="shared" si="21"/>
        <v>0.57781381502711615</v>
      </c>
      <c r="H19" s="413" t="b">
        <f>Wh_hp&gt;='2023'!Maxi_hp</f>
        <v>0</v>
      </c>
      <c r="I19" s="389">
        <f>IF(H19,Wh_hp,'2023'!Maxi_hp)</f>
        <v>27.076162439381022</v>
      </c>
      <c r="J19" s="85">
        <f>IF(H19,An,'2023'!An_max)</f>
        <v>2019</v>
      </c>
      <c r="K19" s="196">
        <f t="shared" si="3"/>
        <v>45296</v>
      </c>
      <c r="L19" s="147">
        <f>IF(t&lt;Tvie,1-EXP((T0-t)*PertePVj)+'2023'!Pspv,1-EXP((T0-t)*PertePVj)+Pspv)</f>
        <v>4.2623865396274364E-2</v>
      </c>
      <c r="M19" s="847"/>
      <c r="N19" s="847"/>
      <c r="O19" s="48">
        <f>IF(t&lt;Tnet,'2023'!Resal+('2023'!Salim-'2023'!Resal)*(1-EXP(('2023'!Tnet-t)/('2023'!Tau_j))),Resal+(Salim-Resal)*(1-EXP((Tnet-t)/(Tau_j))))*Salcycl</f>
        <v>6.8881265768716476E-2</v>
      </c>
      <c r="P19" s="168">
        <f>(INDEX(Models!$BJ19:$BT19,,T19)*(1-R19)+INDEX(Models!$BJ19:$BT19,,T19+1)*R19-ERP_i)*Q19*Ramure*Pc/MaxiM</f>
        <v>7.0086770834087574E-4</v>
      </c>
      <c r="Q19" s="304">
        <f t="shared" si="4"/>
        <v>0.5</v>
      </c>
      <c r="R19" s="176">
        <f t="shared" si="5"/>
        <v>0.33485082174342207</v>
      </c>
      <c r="S19" s="814">
        <f t="shared" si="6"/>
        <v>1</v>
      </c>
      <c r="T19" s="175">
        <f t="shared" si="7"/>
        <v>7</v>
      </c>
      <c r="U19" s="250">
        <f t="shared" si="8"/>
        <v>1.3348508217434221</v>
      </c>
      <c r="V19" s="382">
        <f t="shared" si="9"/>
        <v>23.814667974963118</v>
      </c>
      <c r="W19" s="401">
        <f t="shared" si="10"/>
        <v>13.766261538645772</v>
      </c>
      <c r="X19" s="157">
        <f t="shared" si="11"/>
        <v>45296</v>
      </c>
      <c r="Y19" s="384">
        <f t="shared" si="12"/>
        <v>13.550026689039145</v>
      </c>
      <c r="Z19" s="384">
        <f t="shared" si="22"/>
        <v>14.15329482246571</v>
      </c>
      <c r="AA19" s="385">
        <f t="shared" si="13"/>
        <v>15.442882044143873</v>
      </c>
      <c r="AB19" s="196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8.3506900978188262E-2</v>
      </c>
      <c r="AD19" s="230">
        <f>(INDEX(Models!$BJ19:$BT19,,AH19)*(1-AF19)+INDEX(Models!$BJ19:$BT19,,AH19+1)*AF19-ERP_i)*AE19*Ramure*Pc/MaxiM</f>
        <v>7.0086770834087574E-4</v>
      </c>
      <c r="AE19" s="304">
        <f t="shared" si="15"/>
        <v>0.5</v>
      </c>
      <c r="AF19" s="176">
        <f t="shared" si="23"/>
        <v>0.33485082174342207</v>
      </c>
      <c r="AG19" s="814">
        <f t="shared" si="24"/>
        <v>1</v>
      </c>
      <c r="AH19" s="175">
        <f t="shared" si="16"/>
        <v>7</v>
      </c>
      <c r="AI19" s="224">
        <f t="shared" si="17"/>
        <v>1.3348508217434221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10">
        <f>'2023'!Wh/'2023'!Env_an*'2024'!Env_an</f>
        <v>24.908185691220655</v>
      </c>
      <c r="C20" s="843"/>
      <c r="D20" s="392">
        <f t="shared" si="0"/>
        <v>26.017705760789081</v>
      </c>
      <c r="E20" s="384">
        <f t="shared" si="1"/>
        <v>27.943332806888741</v>
      </c>
      <c r="F20" s="384">
        <f t="shared" si="2"/>
        <v>27.96311964376342</v>
      </c>
      <c r="G20" s="110">
        <f t="shared" si="21"/>
        <v>1.0382771042356747</v>
      </c>
      <c r="H20" s="413" t="b">
        <f>Wh_hp&gt;='2023'!Maxi_hp</f>
        <v>1</v>
      </c>
      <c r="I20" s="389">
        <f>IF(H20,Wh_hp,'2023'!Maxi_hp)</f>
        <v>27.96311964376342</v>
      </c>
      <c r="J20" s="85">
        <f>IF(H20,An,'2023'!An_max)</f>
        <v>2024</v>
      </c>
      <c r="K20" s="196">
        <f t="shared" si="3"/>
        <v>45297</v>
      </c>
      <c r="L20" s="147">
        <f>IF(t&lt;Tvie,1-EXP((T0-t)*PertePVj)+'2023'!Pspv,1-EXP((T0-t)*PertePVj)+Pspv)</f>
        <v>4.2644808107583622E-2</v>
      </c>
      <c r="M20" s="847"/>
      <c r="N20" s="847"/>
      <c r="O20" s="48">
        <f>IF(t&lt;Tnet,'2023'!Resal+('2023'!Salim-'2023'!Resal)*(1-EXP(('2023'!Tnet-t)/('2023'!Tau_j))),Resal+(Salim-Resal)*(1-EXP((Tnet-t)/(Tau_j))))*Salcycl</f>
        <v>6.8911860278346726E-2</v>
      </c>
      <c r="P20" s="168">
        <f>(INDEX(Models!$BJ20:$BT20,,T20)*(1-R20)+INDEX(Models!$BJ20:$BT20,,T20+1)*R20-ERP_i)*Q20*Ramure*Pc/MaxiM</f>
        <v>7.0760477109685653E-4</v>
      </c>
      <c r="Q20" s="304">
        <f t="shared" si="4"/>
        <v>0.5</v>
      </c>
      <c r="R20" s="176">
        <f t="shared" si="5"/>
        <v>0.33487147182147248</v>
      </c>
      <c r="S20" s="814">
        <f t="shared" si="6"/>
        <v>1</v>
      </c>
      <c r="T20" s="175">
        <f t="shared" si="7"/>
        <v>7</v>
      </c>
      <c r="U20" s="250">
        <f t="shared" si="8"/>
        <v>1.3348714718214725</v>
      </c>
      <c r="V20" s="382">
        <f t="shared" si="9"/>
        <v>23.989920985069546</v>
      </c>
      <c r="W20" s="401">
        <f t="shared" si="10"/>
        <v>24.908185691220655</v>
      </c>
      <c r="X20" s="157">
        <f t="shared" si="11"/>
        <v>45297</v>
      </c>
      <c r="Y20" s="384">
        <f t="shared" si="12"/>
        <v>24.517349846469902</v>
      </c>
      <c r="Z20" s="384">
        <f t="shared" si="22"/>
        <v>25.609460369673393</v>
      </c>
      <c r="AA20" s="385">
        <f t="shared" si="13"/>
        <v>27.943332806888741</v>
      </c>
      <c r="AB20" s="196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8.3521620464685226E-2</v>
      </c>
      <c r="AD20" s="230">
        <f>(INDEX(Models!$BJ20:$BT20,,AH20)*(1-AF20)+INDEX(Models!$BJ20:$BT20,,AH20+1)*AF20-ERP_i)*AE20*Ramure*Pc/MaxiM</f>
        <v>7.0760477109685653E-4</v>
      </c>
      <c r="AE20" s="304">
        <f t="shared" si="15"/>
        <v>0.5</v>
      </c>
      <c r="AF20" s="176">
        <f t="shared" si="23"/>
        <v>0.33487147182147248</v>
      </c>
      <c r="AG20" s="814">
        <f t="shared" si="24"/>
        <v>1</v>
      </c>
      <c r="AH20" s="175">
        <f t="shared" si="16"/>
        <v>7</v>
      </c>
      <c r="AI20" s="224">
        <f t="shared" si="17"/>
        <v>1.3348714718214725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10">
        <f>'2023'!Wh/'2023'!Env_an*'2024'!Env_an</f>
        <v>9.4461757412559155</v>
      </c>
      <c r="C21" s="843"/>
      <c r="D21" s="392">
        <f t="shared" si="0"/>
        <v>9.8671657728844497</v>
      </c>
      <c r="E21" s="384">
        <f t="shared" si="1"/>
        <v>10.597805177952218</v>
      </c>
      <c r="F21" s="384">
        <f t="shared" si="2"/>
        <v>10.598788434435315</v>
      </c>
      <c r="G21" s="110">
        <f t="shared" si="21"/>
        <v>0.39054654551088058</v>
      </c>
      <c r="H21" s="413" t="b">
        <f>Wh_hp&gt;='2023'!Maxi_hp</f>
        <v>0</v>
      </c>
      <c r="I21" s="389">
        <f>IF(H21,Wh_hp,'2023'!Maxi_hp)</f>
        <v>14.031962129731935</v>
      </c>
      <c r="J21" s="85">
        <f>IF(H21,An,'2023'!An_max)</f>
        <v>2021</v>
      </c>
      <c r="K21" s="196">
        <f t="shared" si="3"/>
        <v>45298</v>
      </c>
      <c r="L21" s="147">
        <f>IF(t&lt;Tvie,1-EXP((T0-t)*PertePVj)+'2023'!Pspv,1-EXP((T0-t)*PertePVj)+Pspv)</f>
        <v>4.2665750360193579E-2</v>
      </c>
      <c r="M21" s="847"/>
      <c r="N21" s="847"/>
      <c r="O21" s="48">
        <f>IF(t&lt;Tnet,'2023'!Resal+('2023'!Salim-'2023'!Resal)*(1-EXP(('2023'!Tnet-t)/('2023'!Tau_j))),Resal+(Salim-Resal)*(1-EXP((Tnet-t)/(Tau_j))))*Salcycl</f>
        <v>6.894252090874417E-2</v>
      </c>
      <c r="P21" s="168">
        <f>(INDEX(Models!$BJ21:$BT21,,T21)*(1-R21)+INDEX(Models!$BJ21:$BT21,,T21+1)*R21-ERP_i)*Q21*Ramure*Pc/MaxiM</f>
        <v>7.1527230012753955E-4</v>
      </c>
      <c r="Q21" s="304">
        <f t="shared" si="4"/>
        <v>0.5</v>
      </c>
      <c r="R21" s="176">
        <f t="shared" si="5"/>
        <v>0.33489298518811039</v>
      </c>
      <c r="S21" s="814">
        <f t="shared" si="6"/>
        <v>1</v>
      </c>
      <c r="T21" s="175">
        <f t="shared" si="7"/>
        <v>7</v>
      </c>
      <c r="U21" s="250">
        <f t="shared" si="8"/>
        <v>1.3348929851881104</v>
      </c>
      <c r="V21" s="382">
        <f t="shared" si="9"/>
        <v>24.172009826245546</v>
      </c>
      <c r="W21" s="401">
        <f t="shared" si="10"/>
        <v>9.4461757412559155</v>
      </c>
      <c r="X21" s="157">
        <f t="shared" si="11"/>
        <v>45298</v>
      </c>
      <c r="Y21" s="384">
        <f t="shared" si="12"/>
        <v>9.2981110134818099</v>
      </c>
      <c r="Z21" s="384">
        <f t="shared" si="22"/>
        <v>9.7125022080638939</v>
      </c>
      <c r="AA21" s="385">
        <f t="shared" si="13"/>
        <v>10.597805177952218</v>
      </c>
      <c r="AB21" s="196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8.3536445049029351E-2</v>
      </c>
      <c r="AD21" s="230">
        <f>(INDEX(Models!$BJ21:$BT21,,AH21)*(1-AF21)+INDEX(Models!$BJ21:$BT21,,AH21+1)*AF21-ERP_i)*AE21*Ramure*Pc/MaxiM</f>
        <v>7.1527230012753955E-4</v>
      </c>
      <c r="AE21" s="304">
        <f t="shared" si="15"/>
        <v>0.5</v>
      </c>
      <c r="AF21" s="176">
        <f t="shared" si="23"/>
        <v>0.33489298518811039</v>
      </c>
      <c r="AG21" s="814">
        <f t="shared" si="24"/>
        <v>1</v>
      </c>
      <c r="AH21" s="175">
        <f t="shared" si="16"/>
        <v>7</v>
      </c>
      <c r="AI21" s="224">
        <f t="shared" si="17"/>
        <v>1.3348929851881104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10">
        <f>'2023'!Wh/'2023'!Env_an*'2024'!Env_an</f>
        <v>6.4392567343893985</v>
      </c>
      <c r="C22" s="843"/>
      <c r="D22" s="392">
        <f t="shared" si="0"/>
        <v>6.7263838093704136</v>
      </c>
      <c r="E22" s="384">
        <f t="shared" si="1"/>
        <v>7.2246943860678092</v>
      </c>
      <c r="F22" s="384">
        <f t="shared" si="2"/>
        <v>7.2246943860678092</v>
      </c>
      <c r="G22" s="110">
        <f t="shared" si="21"/>
        <v>0.2641415634041494</v>
      </c>
      <c r="H22" s="413" t="b">
        <f>Wh_hp&gt;='2023'!Maxi_hp</f>
        <v>0</v>
      </c>
      <c r="I22" s="389">
        <f>IF(H22,Wh_hp,'2023'!Maxi_hp)</f>
        <v>20.064125599545072</v>
      </c>
      <c r="J22" s="85">
        <f>IF(H22,An,'2023'!An_max)</f>
        <v>2021</v>
      </c>
      <c r="K22" s="196">
        <f t="shared" si="3"/>
        <v>45299</v>
      </c>
      <c r="L22" s="147">
        <f>IF(t&lt;Tvie,1-EXP((T0-t)*PertePVj)+'2023'!Pspv,1-EXP((T0-t)*PertePVj)+Pspv)</f>
        <v>4.268669215411456E-2</v>
      </c>
      <c r="M22" s="847"/>
      <c r="N22" s="847"/>
      <c r="O22" s="48">
        <f>IF(t&lt;Tnet,'2023'!Resal+('2023'!Salim-'2023'!Resal)*(1-EXP(('2023'!Tnet-t)/('2023'!Tau_j))),Resal+(Salim-Resal)*(1-EXP((Tnet-t)/(Tau_j))))*Salcycl</f>
        <v>6.8973239568215286E-2</v>
      </c>
      <c r="P22" s="168">
        <f>(INDEX(Models!$BJ22:$BT22,,T22)*(1-R22)+INDEX(Models!$BJ22:$BT22,,T22+1)*R22-ERP_i)*Q22*Ramure*Pc/MaxiM</f>
        <v>7.2385639072430181E-4</v>
      </c>
      <c r="Q22" s="304">
        <f t="shared" si="4"/>
        <v>0.5</v>
      </c>
      <c r="R22" s="176">
        <f t="shared" si="5"/>
        <v>0.33491539780170876</v>
      </c>
      <c r="S22" s="814">
        <f t="shared" si="6"/>
        <v>1</v>
      </c>
      <c r="T22" s="175">
        <f t="shared" si="7"/>
        <v>7</v>
      </c>
      <c r="U22" s="250">
        <f t="shared" si="8"/>
        <v>1.3349153978017088</v>
      </c>
      <c r="V22" s="382">
        <f t="shared" si="9"/>
        <v>24.360405664009239</v>
      </c>
      <c r="W22" s="401">
        <f t="shared" si="10"/>
        <v>6.4392567343893985</v>
      </c>
      <c r="X22" s="157">
        <f t="shared" si="11"/>
        <v>45299</v>
      </c>
      <c r="Y22" s="384">
        <f t="shared" si="12"/>
        <v>6.3384301039646074</v>
      </c>
      <c r="Z22" s="384">
        <f t="shared" si="22"/>
        <v>6.6210613098308766</v>
      </c>
      <c r="AA22" s="385">
        <f t="shared" si="13"/>
        <v>7.2246943860678092</v>
      </c>
      <c r="AB22" s="196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8.3551364802501027E-2</v>
      </c>
      <c r="AD22" s="230">
        <f>(INDEX(Models!$BJ22:$BT22,,AH22)*(1-AF22)+INDEX(Models!$BJ22:$BT22,,AH22+1)*AF22-ERP_i)*AE22*Ramure*Pc/MaxiM</f>
        <v>7.2385639072430181E-4</v>
      </c>
      <c r="AE22" s="304">
        <f t="shared" si="15"/>
        <v>0.5</v>
      </c>
      <c r="AF22" s="176">
        <f t="shared" si="23"/>
        <v>0.33491539780170876</v>
      </c>
      <c r="AG22" s="814">
        <f t="shared" si="24"/>
        <v>1</v>
      </c>
      <c r="AH22" s="175">
        <f t="shared" si="16"/>
        <v>7</v>
      </c>
      <c r="AI22" s="224">
        <f t="shared" si="17"/>
        <v>1.3349153978017088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10">
        <f>'2023'!Wh/'2023'!Env_an*'2024'!Env_an</f>
        <v>1.7868201224550859</v>
      </c>
      <c r="C23" s="843"/>
      <c r="D23" s="392">
        <f t="shared" si="0"/>
        <v>1.866535433650321</v>
      </c>
      <c r="E23" s="384">
        <f t="shared" si="1"/>
        <v>2.004880207274494</v>
      </c>
      <c r="F23" s="384">
        <f t="shared" si="2"/>
        <v>2.004880207274494</v>
      </c>
      <c r="G23" s="110">
        <f t="shared" si="21"/>
        <v>7.2705728366899272E-2</v>
      </c>
      <c r="H23" s="413" t="b">
        <f>Wh_hp&gt;='2023'!Maxi_hp</f>
        <v>0</v>
      </c>
      <c r="I23" s="389">
        <f>IF(H23,Wh_hp,'2023'!Maxi_hp)</f>
        <v>26.291265960705861</v>
      </c>
      <c r="J23" s="85">
        <f>IF(H23,An,'2023'!An_max)</f>
        <v>2020</v>
      </c>
      <c r="K23" s="196">
        <f t="shared" si="3"/>
        <v>45300</v>
      </c>
      <c r="L23" s="147">
        <f>IF(t&lt;Tvie,1-EXP((T0-t)*PertePVj)+'2023'!Pspv,1-EXP((T0-t)*PertePVj)+Pspv)</f>
        <v>4.2707633489356557E-2</v>
      </c>
      <c r="M23" s="847"/>
      <c r="N23" s="847"/>
      <c r="O23" s="48">
        <f>IF(t&lt;Tnet,'2023'!Resal+('2023'!Salim-'2023'!Resal)*(1-EXP(('2023'!Tnet-t)/('2023'!Tau_j))),Resal+(Salim-Resal)*(1-EXP((Tnet-t)/(Tau_j))))*Salcycl</f>
        <v>6.9004009876602088E-2</v>
      </c>
      <c r="P23" s="168">
        <f>(INDEX(Models!$BJ23:$BT23,,T23)*(1-R23)+INDEX(Models!$BJ23:$BT23,,T23+1)*R23-ERP_i)*Q23*Ramure*Pc/MaxiM</f>
        <v>7.332397879325984E-4</v>
      </c>
      <c r="Q23" s="304">
        <f t="shared" si="4"/>
        <v>0.5</v>
      </c>
      <c r="R23" s="176">
        <f t="shared" si="5"/>
        <v>0.33493874710712968</v>
      </c>
      <c r="S23" s="814">
        <f t="shared" si="6"/>
        <v>1</v>
      </c>
      <c r="T23" s="175">
        <f t="shared" si="7"/>
        <v>7</v>
      </c>
      <c r="U23" s="250">
        <f t="shared" si="8"/>
        <v>1.3349387471071297</v>
      </c>
      <c r="V23" s="382">
        <f t="shared" si="9"/>
        <v>24.558036828090039</v>
      </c>
      <c r="W23" s="401">
        <f t="shared" si="10"/>
        <v>1.7868201224550859</v>
      </c>
      <c r="X23" s="157">
        <f t="shared" si="11"/>
        <v>45300</v>
      </c>
      <c r="Y23" s="384">
        <f t="shared" si="12"/>
        <v>1.7588712142597205</v>
      </c>
      <c r="Z23" s="384">
        <f t="shared" si="22"/>
        <v>1.8373396422984689</v>
      </c>
      <c r="AA23" s="385">
        <f t="shared" si="13"/>
        <v>2.004880207274494</v>
      </c>
      <c r="AB23" s="196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8.3566371880036544E-2</v>
      </c>
      <c r="AD23" s="230">
        <f>(INDEX(Models!$BJ23:$BT23,,AH23)*(1-AF23)+INDEX(Models!$BJ23:$BT23,,AH23+1)*AF23-ERP_i)*AE23*Ramure*Pc/MaxiM</f>
        <v>7.332397879325984E-4</v>
      </c>
      <c r="AE23" s="304">
        <f t="shared" si="15"/>
        <v>0.5</v>
      </c>
      <c r="AF23" s="176">
        <f t="shared" si="23"/>
        <v>0.33493874710712968</v>
      </c>
      <c r="AG23" s="814">
        <f t="shared" si="24"/>
        <v>1</v>
      </c>
      <c r="AH23" s="175">
        <f t="shared" si="16"/>
        <v>7</v>
      </c>
      <c r="AI23" s="224">
        <f t="shared" si="17"/>
        <v>1.3349387471071297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10">
        <f>'2023'!Wh/'2023'!Env_an*'2024'!Env_an</f>
        <v>1.4340551308458716</v>
      </c>
      <c r="C24" s="843"/>
      <c r="D24" s="392">
        <f t="shared" si="0"/>
        <v>1.4980653265566686</v>
      </c>
      <c r="E24" s="384">
        <f t="shared" si="1"/>
        <v>1.6091529200912036</v>
      </c>
      <c r="F24" s="384">
        <f t="shared" si="2"/>
        <v>1.6091529200912036</v>
      </c>
      <c r="G24" s="110">
        <f t="shared" si="21"/>
        <v>5.7857521085935594E-2</v>
      </c>
      <c r="H24" s="413" t="b">
        <f>Wh_hp&gt;='2023'!Maxi_hp</f>
        <v>0</v>
      </c>
      <c r="I24" s="389">
        <f>IF(H24,Wh_hp,'2023'!Maxi_hp)</f>
        <v>14.840705904124258</v>
      </c>
      <c r="J24" s="85">
        <f>IF(H24,An,'2023'!An_max)</f>
        <v>2019</v>
      </c>
      <c r="K24" s="196">
        <f t="shared" si="3"/>
        <v>45301</v>
      </c>
      <c r="L24" s="147">
        <f>IF(t&lt;Tvie,1-EXP((T0-t)*PertePVj)+'2023'!Pspv,1-EXP((T0-t)*PertePVj)+Pspv)</f>
        <v>4.2728574365929452E-2</v>
      </c>
      <c r="M24" s="847"/>
      <c r="N24" s="847"/>
      <c r="O24" s="48">
        <f>IF(t&lt;Tnet,'2023'!Resal+('2023'!Salim-'2023'!Resal)*(1-EXP(('2023'!Tnet-t)/('2023'!Tau_j))),Resal+(Salim-Resal)*(1-EXP((Tnet-t)/(Tau_j))))*Salcycl</f>
        <v>6.9034827049401157E-2</v>
      </c>
      <c r="P24" s="168">
        <f>(INDEX(Models!$BJ24:$BT24,,T24)*(1-R24)+INDEX(Models!$BJ24:$BT24,,T24+1)*R24-ERP_i)*Q24*Ramure*Pc/MaxiM</f>
        <v>7.4328072668723775E-4</v>
      </c>
      <c r="Q24" s="304">
        <f t="shared" si="4"/>
        <v>0.5</v>
      </c>
      <c r="R24" s="176">
        <f t="shared" si="5"/>
        <v>0.33496307209621157</v>
      </c>
      <c r="S24" s="814">
        <f t="shared" si="6"/>
        <v>1</v>
      </c>
      <c r="T24" s="175">
        <f t="shared" si="7"/>
        <v>7</v>
      </c>
      <c r="U24" s="250">
        <f t="shared" si="8"/>
        <v>1.3349630720962116</v>
      </c>
      <c r="V24" s="382">
        <f t="shared" si="9"/>
        <v>24.76755309266867</v>
      </c>
      <c r="W24" s="401">
        <f t="shared" si="10"/>
        <v>1.4340551308458716</v>
      </c>
      <c r="X24" s="157">
        <f t="shared" si="11"/>
        <v>45301</v>
      </c>
      <c r="Y24" s="384">
        <f t="shared" si="12"/>
        <v>1.4116475534560198</v>
      </c>
      <c r="Z24" s="384">
        <f t="shared" si="22"/>
        <v>1.4746575690598753</v>
      </c>
      <c r="AA24" s="385">
        <f t="shared" si="13"/>
        <v>1.6091529200912036</v>
      </c>
      <c r="AB24" s="196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8.3581460377119055E-2</v>
      </c>
      <c r="AD24" s="230">
        <f>(INDEX(Models!$BJ24:$BT24,,AH24)*(1-AF24)+INDEX(Models!$BJ24:$BT24,,AH24+1)*AF24-ERP_i)*AE24*Ramure*Pc/MaxiM</f>
        <v>7.4328072668723775E-4</v>
      </c>
      <c r="AE24" s="304">
        <f t="shared" si="15"/>
        <v>0.5</v>
      </c>
      <c r="AF24" s="176">
        <f t="shared" si="23"/>
        <v>0.33496307209621157</v>
      </c>
      <c r="AG24" s="814">
        <f t="shared" si="24"/>
        <v>1</v>
      </c>
      <c r="AH24" s="175">
        <f t="shared" si="16"/>
        <v>7</v>
      </c>
      <c r="AI24" s="224">
        <f t="shared" si="17"/>
        <v>1.3349630720962116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10">
        <f>'2023'!Wh/'2023'!Env_an*'2024'!Env_an</f>
        <v>25.622270697913702</v>
      </c>
      <c r="C25" s="843"/>
      <c r="D25" s="392">
        <f t="shared" si="0"/>
        <v>26.766526727983791</v>
      </c>
      <c r="E25" s="384">
        <f t="shared" si="1"/>
        <v>28.752325890671749</v>
      </c>
      <c r="F25" s="384">
        <f t="shared" si="2"/>
        <v>28.774012285280154</v>
      </c>
      <c r="G25" s="110">
        <f t="shared" si="21"/>
        <v>1.025382428139525</v>
      </c>
      <c r="H25" s="413" t="b">
        <f>Wh_hp&gt;='2023'!Maxi_hp</f>
        <v>1</v>
      </c>
      <c r="I25" s="389">
        <f>IF(H25,Wh_hp,'2023'!Maxi_hp)</f>
        <v>28.774012285280154</v>
      </c>
      <c r="J25" s="85">
        <f>IF(H25,An,'2023'!An_max)</f>
        <v>2024</v>
      </c>
      <c r="K25" s="196">
        <f t="shared" si="3"/>
        <v>45302</v>
      </c>
      <c r="L25" s="147">
        <f>IF(t&lt;Tvie,1-EXP((T0-t)*PertePVj)+'2023'!Pspv,1-EXP((T0-t)*PertePVj)+Pspv)</f>
        <v>4.2749514783843569E-2</v>
      </c>
      <c r="M25" s="847"/>
      <c r="N25" s="847"/>
      <c r="O25" s="48">
        <f>IF(t&lt;Tnet,'2023'!Resal+('2023'!Salim-'2023'!Resal)*(1-EXP(('2023'!Tnet-t)/('2023'!Tau_j))),Resal+(Salim-Resal)*(1-EXP((Tnet-t)/(Tau_j))))*Salcycl</f>
        <v>6.9065687772140158E-2</v>
      </c>
      <c r="P25" s="168">
        <f>(INDEX(Models!$BJ25:$BT25,,T25)*(1-R25)+INDEX(Models!$BJ25:$BT25,,T25+1)*R25-ERP_i)*Q25*Ramure*Pc/MaxiM</f>
        <v>7.5367989675533605E-4</v>
      </c>
      <c r="Q25" s="304">
        <f t="shared" si="4"/>
        <v>0.5</v>
      </c>
      <c r="R25" s="176">
        <f t="shared" si="5"/>
        <v>0.33498841337063112</v>
      </c>
      <c r="S25" s="814">
        <f t="shared" si="6"/>
        <v>1</v>
      </c>
      <c r="T25" s="175">
        <f t="shared" si="7"/>
        <v>7</v>
      </c>
      <c r="U25" s="250">
        <f t="shared" si="8"/>
        <v>1.3349884133706311</v>
      </c>
      <c r="V25" s="382">
        <f t="shared" si="9"/>
        <v>24.988014222560142</v>
      </c>
      <c r="W25" s="401">
        <f t="shared" si="10"/>
        <v>25.622270697913702</v>
      </c>
      <c r="X25" s="157">
        <f t="shared" si="11"/>
        <v>45302</v>
      </c>
      <c r="Y25" s="384">
        <f t="shared" si="12"/>
        <v>25.2223330950502</v>
      </c>
      <c r="Z25" s="384">
        <f t="shared" si="22"/>
        <v>26.34872845152411</v>
      </c>
      <c r="AA25" s="385">
        <f t="shared" si="13"/>
        <v>28.752325890671749</v>
      </c>
      <c r="AB25" s="196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8.3596626175117497E-2</v>
      </c>
      <c r="AD25" s="230">
        <f>(INDEX(Models!$BJ25:$BT25,,AH25)*(1-AF25)+INDEX(Models!$BJ25:$BT25,,AH25+1)*AF25-ERP_i)*AE25*Ramure*Pc/MaxiM</f>
        <v>7.5367989675533605E-4</v>
      </c>
      <c r="AE25" s="304">
        <f t="shared" si="15"/>
        <v>0.5</v>
      </c>
      <c r="AF25" s="176">
        <f t="shared" si="23"/>
        <v>0.33498841337063112</v>
      </c>
      <c r="AG25" s="814">
        <f t="shared" si="24"/>
        <v>1</v>
      </c>
      <c r="AH25" s="175">
        <f t="shared" si="16"/>
        <v>7</v>
      </c>
      <c r="AI25" s="224">
        <f t="shared" si="17"/>
        <v>1.3349884133706311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10">
        <f>'2023'!Wh/'2023'!Env_an*'2024'!Env_an</f>
        <v>23.463183315592971</v>
      </c>
      <c r="C26" s="843"/>
      <c r="D26" s="392">
        <f t="shared" si="0"/>
        <v>24.511553609950649</v>
      </c>
      <c r="E26" s="384">
        <f t="shared" si="1"/>
        <v>26.330931166858988</v>
      </c>
      <c r="F26" s="384">
        <f t="shared" si="2"/>
        <v>26.349070662019585</v>
      </c>
      <c r="G26" s="110">
        <f t="shared" si="21"/>
        <v>0.93032590986562447</v>
      </c>
      <c r="H26" s="413" t="b">
        <f>Wh_hp&gt;='2023'!Maxi_hp</f>
        <v>0</v>
      </c>
      <c r="I26" s="389">
        <f>IF(H26,Wh_hp,'2023'!Maxi_hp)</f>
        <v>28.636326712021056</v>
      </c>
      <c r="J26" s="85">
        <f>IF(H26,An,'2023'!An_max)</f>
        <v>2020</v>
      </c>
      <c r="K26" s="196">
        <f t="shared" si="3"/>
        <v>45303</v>
      </c>
      <c r="L26" s="147">
        <f>IF(t&lt;Tvie,1-EXP((T0-t)*PertePVj)+'2023'!Pspv,1-EXP((T0-t)*PertePVj)+Pspv)</f>
        <v>4.2770454743108678E-2</v>
      </c>
      <c r="M26" s="847"/>
      <c r="N26" s="847"/>
      <c r="O26" s="48">
        <f>IF(t&lt;Tnet,'2023'!Resal+('2023'!Salim-'2023'!Resal)*(1-EXP(('2023'!Tnet-t)/('2023'!Tau_j))),Resal+(Salim-Resal)*(1-EXP((Tnet-t)/(Tau_j))))*Salcycl</f>
        <v>6.9096590066600808E-2</v>
      </c>
      <c r="P26" s="168">
        <f>(INDEX(Models!$BJ26:$BT26,,T26)*(1-R26)+INDEX(Models!$BJ26:$BT26,,T26+1)*R26-ERP_i)*Q26*Ramure*Pc/MaxiM</f>
        <v>7.6444108007271661E-4</v>
      </c>
      <c r="Q26" s="304">
        <f t="shared" si="4"/>
        <v>0.5</v>
      </c>
      <c r="R26" s="176">
        <f t="shared" si="5"/>
        <v>0.3350148132072337</v>
      </c>
      <c r="S26" s="814">
        <f t="shared" si="6"/>
        <v>1</v>
      </c>
      <c r="T26" s="175">
        <f t="shared" si="7"/>
        <v>7</v>
      </c>
      <c r="U26" s="250">
        <f t="shared" si="8"/>
        <v>1.3350148132072337</v>
      </c>
      <c r="V26" s="382">
        <f t="shared" si="9"/>
        <v>25.218472774129022</v>
      </c>
      <c r="W26" s="401">
        <f t="shared" si="10"/>
        <v>23.463183315592971</v>
      </c>
      <c r="X26" s="157">
        <f t="shared" si="11"/>
        <v>45303</v>
      </c>
      <c r="Y26" s="384">
        <f t="shared" si="12"/>
        <v>23.097329463626306</v>
      </c>
      <c r="Z26" s="384">
        <f t="shared" si="22"/>
        <v>24.129352858020784</v>
      </c>
      <c r="AA26" s="385">
        <f t="shared" si="13"/>
        <v>26.330931166858988</v>
      </c>
      <c r="AB26" s="196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8.3611866777016514E-2</v>
      </c>
      <c r="AD26" s="230">
        <f>(INDEX(Models!$BJ26:$BT26,,AH26)*(1-AF26)+INDEX(Models!$BJ26:$BT26,,AH26+1)*AF26-ERP_i)*AE26*Ramure*Pc/MaxiM</f>
        <v>7.6444108007271661E-4</v>
      </c>
      <c r="AE26" s="304">
        <f t="shared" si="15"/>
        <v>0.5</v>
      </c>
      <c r="AF26" s="176">
        <f t="shared" si="23"/>
        <v>0.3350148132072337</v>
      </c>
      <c r="AG26" s="814">
        <f t="shared" si="24"/>
        <v>1</v>
      </c>
      <c r="AH26" s="175">
        <f t="shared" si="16"/>
        <v>7</v>
      </c>
      <c r="AI26" s="224">
        <f t="shared" si="17"/>
        <v>1.3350148132072337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10">
        <f>'2023'!Wh/'2023'!Env_an*'2024'!Env_an</f>
        <v>5.0783690936611094</v>
      </c>
      <c r="C27" s="843"/>
      <c r="D27" s="392">
        <f t="shared" si="0"/>
        <v>5.3053943133417869</v>
      </c>
      <c r="E27" s="384">
        <f t="shared" si="1"/>
        <v>5.6993782739087582</v>
      </c>
      <c r="F27" s="384">
        <f t="shared" si="2"/>
        <v>5.6993782739087582</v>
      </c>
      <c r="G27" s="110">
        <f t="shared" si="21"/>
        <v>0.19932571926652898</v>
      </c>
      <c r="H27" s="413" t="b">
        <f>Wh_hp&gt;='2023'!Maxi_hp</f>
        <v>0</v>
      </c>
      <c r="I27" s="389">
        <f>IF(H27,Wh_hp,'2023'!Maxi_hp)</f>
        <v>16.901313212419812</v>
      </c>
      <c r="J27" s="85">
        <f>IF(H27,An,'2023'!An_max)</f>
        <v>2020</v>
      </c>
      <c r="K27" s="196">
        <f t="shared" si="3"/>
        <v>45304</v>
      </c>
      <c r="L27" s="147">
        <f>IF(t&lt;Tvie,1-EXP((T0-t)*PertePVj)+'2023'!Pspv,1-EXP((T0-t)*PertePVj)+Pspv)</f>
        <v>4.2791394243734883E-2</v>
      </c>
      <c r="M27" s="847"/>
      <c r="N27" s="847"/>
      <c r="O27" s="48">
        <f>IF(t&lt;Tnet,'2023'!Resal+('2023'!Salim-'2023'!Resal)*(1-EXP(('2023'!Tnet-t)/('2023'!Tau_j))),Resal+(Salim-Resal)*(1-EXP((Tnet-t)/(Tau_j))))*Salcycl</f>
        <v>6.91275331505182E-2</v>
      </c>
      <c r="P27" s="168">
        <f>(INDEX(Models!$BJ27:$BT27,,T27)*(1-R27)+INDEX(Models!$BJ27:$BT27,,T27+1)*R27-ERP_i)*Q27*Ramure*Pc/MaxiM</f>
        <v>7.7556861921490171E-4</v>
      </c>
      <c r="Q27" s="304">
        <f t="shared" si="4"/>
        <v>0.5</v>
      </c>
      <c r="R27" s="176">
        <f t="shared" si="5"/>
        <v>0.33504231562591524</v>
      </c>
      <c r="S27" s="814">
        <f t="shared" si="6"/>
        <v>1</v>
      </c>
      <c r="T27" s="175">
        <f t="shared" si="7"/>
        <v>7</v>
      </c>
      <c r="U27" s="250">
        <f t="shared" si="8"/>
        <v>1.3350423156259152</v>
      </c>
      <c r="V27" s="382">
        <f t="shared" si="9"/>
        <v>25.45798148190794</v>
      </c>
      <c r="W27" s="401">
        <f t="shared" si="10"/>
        <v>5.0783690936611094</v>
      </c>
      <c r="X27" s="157">
        <f t="shared" si="11"/>
        <v>45304</v>
      </c>
      <c r="Y27" s="384">
        <f t="shared" si="12"/>
        <v>4.9992663520737022</v>
      </c>
      <c r="Z27" s="384">
        <f t="shared" si="22"/>
        <v>5.2227553346367115</v>
      </c>
      <c r="AA27" s="385">
        <f t="shared" si="13"/>
        <v>5.6993782739087582</v>
      </c>
      <c r="AB27" s="196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8.3627181135525627E-2</v>
      </c>
      <c r="AD27" s="230">
        <f>(INDEX(Models!$BJ27:$BT27,,AH27)*(1-AF27)+INDEX(Models!$BJ27:$BT27,,AH27+1)*AF27-ERP_i)*AE27*Ramure*Pc/MaxiM</f>
        <v>7.7556861921490171E-4</v>
      </c>
      <c r="AE27" s="304">
        <f t="shared" si="15"/>
        <v>0.5</v>
      </c>
      <c r="AF27" s="176">
        <f t="shared" si="23"/>
        <v>0.33504231562591524</v>
      </c>
      <c r="AG27" s="814">
        <f t="shared" si="24"/>
        <v>1</v>
      </c>
      <c r="AH27" s="175">
        <f t="shared" si="16"/>
        <v>7</v>
      </c>
      <c r="AI27" s="224">
        <f t="shared" si="17"/>
        <v>1.3350423156259152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10">
        <f>'2023'!Wh/'2023'!Env_an*'2024'!Env_an</f>
        <v>26.572550536181652</v>
      </c>
      <c r="C28" s="843"/>
      <c r="D28" s="392">
        <f t="shared" si="0"/>
        <v>27.761066570568222</v>
      </c>
      <c r="E28" s="384">
        <f t="shared" si="1"/>
        <v>29.823624200565373</v>
      </c>
      <c r="F28" s="384">
        <f t="shared" si="2"/>
        <v>29.847115895042659</v>
      </c>
      <c r="G28" s="110">
        <f t="shared" si="21"/>
        <v>1.0337264061663218</v>
      </c>
      <c r="H28" s="413" t="b">
        <f>Wh_hp&gt;='2023'!Maxi_hp</f>
        <v>1</v>
      </c>
      <c r="I28" s="389">
        <f>IF(H28,Wh_hp,'2023'!Maxi_hp)</f>
        <v>29.847115895042659</v>
      </c>
      <c r="J28" s="85">
        <f>IF(H28,An,'2023'!An_max)</f>
        <v>2024</v>
      </c>
      <c r="K28" s="196">
        <f t="shared" si="3"/>
        <v>45305</v>
      </c>
      <c r="L28" s="147">
        <f>IF(t&lt;Tvie,1-EXP((T0-t)*PertePVj)+'2023'!Pspv,1-EXP((T0-t)*PertePVj)+Pspv)</f>
        <v>4.2812333285732397E-2</v>
      </c>
      <c r="M28" s="847"/>
      <c r="N28" s="847"/>
      <c r="O28" s="48">
        <f>IF(t&lt;Tnet,'2023'!Resal+('2023'!Salim-'2023'!Resal)*(1-EXP(('2023'!Tnet-t)/('2023'!Tau_j))),Resal+(Salim-Resal)*(1-EXP((Tnet-t)/(Tau_j))))*Salcycl</f>
        <v>6.9158517292410418E-2</v>
      </c>
      <c r="P28" s="168">
        <f>(INDEX(Models!$BJ28:$BT28,,T28)*(1-R28)+INDEX(Models!$BJ28:$BT28,,T28+1)*R28-ERP_i)*Q28*Ramure*Pc/MaxiM</f>
        <v>7.8706748618172315E-4</v>
      </c>
      <c r="Q28" s="304">
        <f t="shared" si="4"/>
        <v>0.5</v>
      </c>
      <c r="R28" s="176">
        <f t="shared" si="5"/>
        <v>0.335070966460149</v>
      </c>
      <c r="S28" s="814">
        <f t="shared" si="6"/>
        <v>1</v>
      </c>
      <c r="T28" s="175">
        <f t="shared" si="7"/>
        <v>7</v>
      </c>
      <c r="U28" s="250">
        <f t="shared" si="8"/>
        <v>1.335070966460149</v>
      </c>
      <c r="V28" s="382">
        <f t="shared" si="9"/>
        <v>25.705593257241656</v>
      </c>
      <c r="W28" s="401">
        <f t="shared" si="10"/>
        <v>26.572550536181652</v>
      </c>
      <c r="X28" s="157">
        <f t="shared" si="11"/>
        <v>45305</v>
      </c>
      <c r="Y28" s="384">
        <f t="shared" si="12"/>
        <v>26.159077119111256</v>
      </c>
      <c r="Z28" s="384">
        <f t="shared" si="22"/>
        <v>27.329099641355977</v>
      </c>
      <c r="AA28" s="385">
        <f t="shared" si="13"/>
        <v>29.823624200565373</v>
      </c>
      <c r="AB28" s="196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8.3642569475580575E-2</v>
      </c>
      <c r="AD28" s="230">
        <f>(INDEX(Models!$BJ28:$BT28,,AH28)*(1-AF28)+INDEX(Models!$BJ28:$BT28,,AH28+1)*AF28-ERP_i)*AE28*Ramure*Pc/MaxiM</f>
        <v>7.8706748618172315E-4</v>
      </c>
      <c r="AE28" s="304">
        <f t="shared" si="15"/>
        <v>0.5</v>
      </c>
      <c r="AF28" s="176">
        <f t="shared" si="23"/>
        <v>0.335070966460149</v>
      </c>
      <c r="AG28" s="814">
        <f t="shared" si="24"/>
        <v>1</v>
      </c>
      <c r="AH28" s="175">
        <f t="shared" si="16"/>
        <v>7</v>
      </c>
      <c r="AI28" s="224">
        <f t="shared" si="17"/>
        <v>1.335070966460149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10">
        <f>'2023'!Wh/'2023'!Env_an*'2024'!Env_an</f>
        <v>26.910332759715804</v>
      </c>
      <c r="C29" s="843"/>
      <c r="D29" s="392">
        <f t="shared" si="0"/>
        <v>28.114571859664473</v>
      </c>
      <c r="E29" s="384">
        <f t="shared" si="1"/>
        <v>30.204400550364703</v>
      </c>
      <c r="F29" s="384">
        <f t="shared" si="2"/>
        <v>30.228551450413264</v>
      </c>
      <c r="G29" s="110">
        <f t="shared" si="21"/>
        <v>1.0365931566084639</v>
      </c>
      <c r="H29" s="413" t="b">
        <f>Wh_hp&gt;='2023'!Maxi_hp</f>
        <v>1</v>
      </c>
      <c r="I29" s="389">
        <f>IF(H29,Wh_hp,'2023'!Maxi_hp)</f>
        <v>30.228551450413264</v>
      </c>
      <c r="J29" s="85">
        <f>IF(H29,An,'2023'!An_max)</f>
        <v>2024</v>
      </c>
      <c r="K29" s="196">
        <f t="shared" si="3"/>
        <v>45306</v>
      </c>
      <c r="L29" s="147">
        <f>IF(t&lt;Tvie,1-EXP((T0-t)*PertePVj)+'2023'!Pspv,1-EXP((T0-t)*PertePVj)+Pspv)</f>
        <v>4.2833271869111102E-2</v>
      </c>
      <c r="M29" s="847"/>
      <c r="N29" s="847"/>
      <c r="O29" s="48">
        <f>IF(t&lt;Tnet,'2023'!Resal+('2023'!Salim-'2023'!Resal)*(1-EXP(('2023'!Tnet-t)/('2023'!Tau_j))),Resal+(Salim-Resal)*(1-EXP((Tnet-t)/(Tau_j))))*Salcycl</f>
        <v>6.9189543663199585E-2</v>
      </c>
      <c r="P29" s="168">
        <f>(INDEX(Models!$BJ29:$BT29,,T29)*(1-R29)+INDEX(Models!$BJ29:$BT29,,T29+1)*R29-ERP_i)*Q29*Ramure*Pc/MaxiM</f>
        <v>7.9894334626581733E-4</v>
      </c>
      <c r="Q29" s="304">
        <f t="shared" si="4"/>
        <v>0.5</v>
      </c>
      <c r="R29" s="176">
        <f t="shared" si="5"/>
        <v>0.33510081343025222</v>
      </c>
      <c r="S29" s="814">
        <f t="shared" si="6"/>
        <v>1</v>
      </c>
      <c r="T29" s="175">
        <f t="shared" si="7"/>
        <v>7</v>
      </c>
      <c r="U29" s="250">
        <f t="shared" si="8"/>
        <v>1.3351008134302522</v>
      </c>
      <c r="V29" s="382">
        <f t="shared" si="9"/>
        <v>25.960361196827993</v>
      </c>
      <c r="W29" s="401">
        <f t="shared" si="10"/>
        <v>26.910332759715804</v>
      </c>
      <c r="X29" s="157">
        <f t="shared" si="11"/>
        <v>45306</v>
      </c>
      <c r="Y29" s="384">
        <f t="shared" si="12"/>
        <v>26.492039364985683</v>
      </c>
      <c r="Z29" s="384">
        <f t="shared" si="22"/>
        <v>27.677559808956289</v>
      </c>
      <c r="AA29" s="385">
        <f t="shared" si="13"/>
        <v>30.204400550364703</v>
      </c>
      <c r="AB29" s="196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8.365803311325451E-2</v>
      </c>
      <c r="AD29" s="230">
        <f>(INDEX(Models!$BJ29:$BT29,,AH29)*(1-AF29)+INDEX(Models!$BJ29:$BT29,,AH29+1)*AF29-ERP_i)*AE29*Ramure*Pc/MaxiM</f>
        <v>7.9894334626581733E-4</v>
      </c>
      <c r="AE29" s="304">
        <f t="shared" si="15"/>
        <v>0.5</v>
      </c>
      <c r="AF29" s="176">
        <f t="shared" si="23"/>
        <v>0.33510081343025222</v>
      </c>
      <c r="AG29" s="814">
        <f t="shared" si="24"/>
        <v>1</v>
      </c>
      <c r="AH29" s="175">
        <f t="shared" si="16"/>
        <v>7</v>
      </c>
      <c r="AI29" s="224">
        <f t="shared" si="17"/>
        <v>1.3351008134302522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10">
        <f>'2023'!Wh/'2023'!Env_an*'2024'!Env_an</f>
        <v>26.489551776246273</v>
      </c>
      <c r="C30" s="843"/>
      <c r="D30" s="392">
        <f t="shared" si="0"/>
        <v>27.675566306442125</v>
      </c>
      <c r="E30" s="384">
        <f t="shared" si="1"/>
        <v>29.733755096270336</v>
      </c>
      <c r="F30" s="384">
        <f t="shared" si="2"/>
        <v>29.757828642764931</v>
      </c>
      <c r="G30" s="110">
        <f t="shared" si="21"/>
        <v>1.0102265688655996</v>
      </c>
      <c r="H30" s="413" t="b">
        <f>Wh_hp&gt;='2023'!Maxi_hp</f>
        <v>1</v>
      </c>
      <c r="I30" s="389">
        <f>IF(H30,Wh_hp,'2023'!Maxi_hp)</f>
        <v>29.757828642764931</v>
      </c>
      <c r="J30" s="85">
        <f>IF(H30,An,'2023'!An_max)</f>
        <v>2024</v>
      </c>
      <c r="K30" s="196">
        <f t="shared" si="3"/>
        <v>45307</v>
      </c>
      <c r="L30" s="147">
        <f>IF(t&lt;Tvie,1-EXP((T0-t)*PertePVj)+'2023'!Pspv,1-EXP((T0-t)*PertePVj)+Pspv)</f>
        <v>4.28542099938811E-2</v>
      </c>
      <c r="M30" s="847"/>
      <c r="N30" s="847"/>
      <c r="O30" s="48">
        <f>IF(t&lt;Tnet,'2023'!Resal+('2023'!Salim-'2023'!Resal)*(1-EXP(('2023'!Tnet-t)/('2023'!Tau_j))),Resal+(Salim-Resal)*(1-EXP((Tnet-t)/(Tau_j))))*Salcycl</f>
        <v>6.9220614186278104E-2</v>
      </c>
      <c r="P30" s="168">
        <f>(INDEX(Models!$BJ30:$BT30,,T30)*(1-R30)+INDEX(Models!$BJ30:$BT30,,T30+1)*R30-ERP_i)*Q30*Ramure*Pc/MaxiM</f>
        <v>8.0898195844831113E-4</v>
      </c>
      <c r="Q30" s="304">
        <f t="shared" si="4"/>
        <v>0.5</v>
      </c>
      <c r="R30" s="176">
        <f t="shared" si="5"/>
        <v>0.33513190621948841</v>
      </c>
      <c r="S30" s="814">
        <f t="shared" si="6"/>
        <v>1</v>
      </c>
      <c r="T30" s="175">
        <f t="shared" si="7"/>
        <v>7</v>
      </c>
      <c r="U30" s="250">
        <f t="shared" si="8"/>
        <v>1.3351319062194884</v>
      </c>
      <c r="V30" s="382">
        <f t="shared" si="9"/>
        <v>26.221396855550768</v>
      </c>
      <c r="W30" s="401">
        <f t="shared" si="10"/>
        <v>26.489551776246273</v>
      </c>
      <c r="X30" s="157">
        <f t="shared" si="11"/>
        <v>45307</v>
      </c>
      <c r="Y30" s="384">
        <f t="shared" si="12"/>
        <v>26.078227202051139</v>
      </c>
      <c r="Z30" s="384">
        <f t="shared" si="22"/>
        <v>27.2458255308049</v>
      </c>
      <c r="AA30" s="385">
        <f t="shared" si="13"/>
        <v>29.733755096270336</v>
      </c>
      <c r="AB30" s="196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8.3673574273082987E-2</v>
      </c>
      <c r="AD30" s="230">
        <f>(INDEX(Models!$BJ30:$BT30,,AH30)*(1-AF30)+INDEX(Models!$BJ30:$BT30,,AH30+1)*AF30-ERP_i)*AE30*Ramure*Pc/MaxiM</f>
        <v>8.0898195844831113E-4</v>
      </c>
      <c r="AE30" s="304">
        <f t="shared" si="15"/>
        <v>0.5</v>
      </c>
      <c r="AF30" s="176">
        <f t="shared" si="23"/>
        <v>0.33513190621948841</v>
      </c>
      <c r="AG30" s="814">
        <f t="shared" si="24"/>
        <v>1</v>
      </c>
      <c r="AH30" s="175">
        <f t="shared" si="16"/>
        <v>7</v>
      </c>
      <c r="AI30" s="224">
        <f t="shared" si="17"/>
        <v>1.3351319062194884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10">
        <f>'2023'!Wh/'2023'!Env_an*'2024'!Env_an</f>
        <v>17.143169817851906</v>
      </c>
      <c r="C31" s="843"/>
      <c r="D31" s="392">
        <f t="shared" si="0"/>
        <v>17.911111362264645</v>
      </c>
      <c r="E31" s="384">
        <f t="shared" si="1"/>
        <v>19.243776181252787</v>
      </c>
      <c r="F31" s="384">
        <f t="shared" si="2"/>
        <v>19.251572260202042</v>
      </c>
      <c r="G31" s="110">
        <f t="shared" si="21"/>
        <v>0.64694420755232152</v>
      </c>
      <c r="H31" s="413" t="b">
        <f>Wh_hp&gt;='2023'!Maxi_hp</f>
        <v>0</v>
      </c>
      <c r="I31" s="389">
        <f>IF(H31,Wh_hp,'2023'!Maxi_hp)</f>
        <v>19.2546417129969</v>
      </c>
      <c r="J31" s="85">
        <f>IF(H31,An,'2023'!An_max)</f>
        <v>2022</v>
      </c>
      <c r="K31" s="196">
        <f t="shared" si="3"/>
        <v>45308</v>
      </c>
      <c r="L31" s="147">
        <f>IF(t&lt;Tvie,1-EXP((T0-t)*PertePVj)+'2023'!Pspv,1-EXP((T0-t)*PertePVj)+Pspv)</f>
        <v>4.2875147660052383E-2</v>
      </c>
      <c r="M31" s="847"/>
      <c r="N31" s="847"/>
      <c r="O31" s="48">
        <f>IF(t&lt;Tnet,'2023'!Resal+('2023'!Salim-'2023'!Resal)*(1-EXP(('2023'!Tnet-t)/('2023'!Tau_j))),Resal+(Salim-Resal)*(1-EXP((Tnet-t)/(Tau_j))))*Salcycl</f>
        <v>6.9251731387648244E-2</v>
      </c>
      <c r="P31" s="168">
        <f>(INDEX(Models!$BJ31:$BT31,,T31)*(1-R31)+INDEX(Models!$BJ31:$BT31,,T31+1)*R31-ERP_i)*Q31*Ramure*Pc/MaxiM</f>
        <v>8.1642268744254703E-4</v>
      </c>
      <c r="Q31" s="304">
        <f t="shared" si="4"/>
        <v>0.5</v>
      </c>
      <c r="R31" s="176">
        <f t="shared" si="5"/>
        <v>0.33516429655310076</v>
      </c>
      <c r="S31" s="814">
        <f t="shared" si="6"/>
        <v>1</v>
      </c>
      <c r="T31" s="175">
        <f t="shared" si="7"/>
        <v>7</v>
      </c>
      <c r="U31" s="250">
        <f t="shared" si="8"/>
        <v>1.3351642965531008</v>
      </c>
      <c r="V31" s="382">
        <f t="shared" si="9"/>
        <v>26.487775841890208</v>
      </c>
      <c r="W31" s="401">
        <f t="shared" si="10"/>
        <v>17.143169817851906</v>
      </c>
      <c r="X31" s="157">
        <f t="shared" si="11"/>
        <v>45308</v>
      </c>
      <c r="Y31" s="384">
        <f t="shared" si="12"/>
        <v>16.877250541587866</v>
      </c>
      <c r="Z31" s="384">
        <f t="shared" si="22"/>
        <v>17.633280026453097</v>
      </c>
      <c r="AA31" s="385">
        <f t="shared" si="13"/>
        <v>19.243776181252787</v>
      </c>
      <c r="AB31" s="196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8.3689195905771799E-2</v>
      </c>
      <c r="AD31" s="230">
        <f>(INDEX(Models!$BJ31:$BT31,,AH31)*(1-AF31)+INDEX(Models!$BJ31:$BT31,,AH31+1)*AF31-ERP_i)*AE31*Ramure*Pc/MaxiM</f>
        <v>8.1642268744254703E-4</v>
      </c>
      <c r="AE31" s="304">
        <f t="shared" si="15"/>
        <v>0.5</v>
      </c>
      <c r="AF31" s="176">
        <f t="shared" si="23"/>
        <v>0.33516429655310076</v>
      </c>
      <c r="AG31" s="814">
        <f t="shared" si="24"/>
        <v>1</v>
      </c>
      <c r="AH31" s="175">
        <f t="shared" si="16"/>
        <v>7</v>
      </c>
      <c r="AI31" s="224">
        <f t="shared" si="17"/>
        <v>1.3351642965531008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10">
        <f>'2023'!Wh/'2023'!Env_an*'2024'!Env_an</f>
        <v>3.6273619788104248</v>
      </c>
      <c r="C32" s="843"/>
      <c r="D32" s="392">
        <f t="shared" si="0"/>
        <v>3.7899353679989605</v>
      </c>
      <c r="E32" s="384">
        <f t="shared" si="1"/>
        <v>4.0720594484227135</v>
      </c>
      <c r="F32" s="384">
        <f t="shared" si="2"/>
        <v>4.0720594484227135</v>
      </c>
      <c r="G32" s="110">
        <f t="shared" si="21"/>
        <v>0.1354476360630861</v>
      </c>
      <c r="H32" s="413" t="b">
        <f>Wh_hp&gt;='2023'!Maxi_hp</f>
        <v>0</v>
      </c>
      <c r="I32" s="389">
        <f>IF(H32,Wh_hp,'2023'!Maxi_hp)</f>
        <v>29.889326692258766</v>
      </c>
      <c r="J32" s="85">
        <f>IF(H32,An,'2023'!An_max)</f>
        <v>2021</v>
      </c>
      <c r="K32" s="196">
        <f t="shared" si="3"/>
        <v>45309</v>
      </c>
      <c r="L32" s="147">
        <f>IF(t&lt;Tvie,1-EXP((T0-t)*PertePVj)+'2023'!Pspv,1-EXP((T0-t)*PertePVj)+Pspv)</f>
        <v>4.2896084867635166E-2</v>
      </c>
      <c r="M32" s="847"/>
      <c r="N32" s="847"/>
      <c r="O32" s="48">
        <f>IF(t&lt;Tnet,'2023'!Resal+('2023'!Salim-'2023'!Resal)*(1-EXP(('2023'!Tnet-t)/('2023'!Tau_j))),Resal+(Salim-Resal)*(1-EXP((Tnet-t)/(Tau_j))))*Salcycl</f>
        <v>6.9282898247723851E-2</v>
      </c>
      <c r="P32" s="168">
        <f>(INDEX(Models!$BJ32:$BT32,,T32)*(1-R32)+INDEX(Models!$BJ32:$BT32,,T32+1)*R32-ERP_i)*Q32*Ramure*Pc/MaxiM</f>
        <v>8.2136567687143152E-4</v>
      </c>
      <c r="Q32" s="304">
        <f t="shared" si="4"/>
        <v>0.5</v>
      </c>
      <c r="R32" s="176">
        <f t="shared" si="5"/>
        <v>0.33519803828038586</v>
      </c>
      <c r="S32" s="814">
        <f t="shared" si="6"/>
        <v>1</v>
      </c>
      <c r="T32" s="175">
        <f t="shared" si="7"/>
        <v>7</v>
      </c>
      <c r="U32" s="250">
        <f t="shared" si="8"/>
        <v>1.3351980382803859</v>
      </c>
      <c r="V32" s="382">
        <f t="shared" si="9"/>
        <v>26.758551817732346</v>
      </c>
      <c r="W32" s="401">
        <f t="shared" si="10"/>
        <v>3.6273619788104248</v>
      </c>
      <c r="X32" s="157">
        <f t="shared" si="11"/>
        <v>45309</v>
      </c>
      <c r="Y32" s="384">
        <f t="shared" si="12"/>
        <v>3.5711538934675655</v>
      </c>
      <c r="Z32" s="384">
        <f t="shared" si="22"/>
        <v>3.7312081133569337</v>
      </c>
      <c r="AA32" s="385">
        <f t="shared" si="13"/>
        <v>4.0720594484227135</v>
      </c>
      <c r="AB32" s="196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8.3704901508205184E-2</v>
      </c>
      <c r="AD32" s="230">
        <f>(INDEX(Models!$BJ32:$BT32,,AH32)*(1-AF32)+INDEX(Models!$BJ32:$BT32,,AH32+1)*AF32-ERP_i)*AE32*Ramure*Pc/MaxiM</f>
        <v>8.2136567687143152E-4</v>
      </c>
      <c r="AE32" s="304">
        <f t="shared" si="15"/>
        <v>0.5</v>
      </c>
      <c r="AF32" s="176">
        <f t="shared" si="23"/>
        <v>0.33519803828038586</v>
      </c>
      <c r="AG32" s="814">
        <f t="shared" si="24"/>
        <v>1</v>
      </c>
      <c r="AH32" s="175">
        <f t="shared" si="16"/>
        <v>7</v>
      </c>
      <c r="AI32" s="224">
        <f t="shared" si="17"/>
        <v>1.3351980382803859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10">
        <f>'2023'!Wh/'2023'!Env_an*'2024'!Env_an</f>
        <v>11.340124665255178</v>
      </c>
      <c r="C33" s="843"/>
      <c r="D33" s="392">
        <f t="shared" si="0"/>
        <v>11.84863269056372</v>
      </c>
      <c r="E33" s="384">
        <f t="shared" si="1"/>
        <v>12.731075995070105</v>
      </c>
      <c r="F33" s="384">
        <f t="shared" si="2"/>
        <v>12.732866844883432</v>
      </c>
      <c r="G33" s="110">
        <f t="shared" si="21"/>
        <v>0.41920867414266422</v>
      </c>
      <c r="H33" s="413" t="b">
        <f>Wh_hp&gt;='2023'!Maxi_hp</f>
        <v>0</v>
      </c>
      <c r="I33" s="389">
        <f>IF(H33,Wh_hp,'2023'!Maxi_hp)</f>
        <v>31.224540909778487</v>
      </c>
      <c r="J33" s="85">
        <f>IF(H33,An,'2023'!An_max)</f>
        <v>2021</v>
      </c>
      <c r="K33" s="196">
        <f t="shared" si="3"/>
        <v>45310</v>
      </c>
      <c r="L33" s="147">
        <f>IF(t&lt;Tvie,1-EXP((T0-t)*PertePVj)+'2023'!Pspv,1-EXP((T0-t)*PertePVj)+Pspv)</f>
        <v>4.2917021616639218E-2</v>
      </c>
      <c r="M33" s="847"/>
      <c r="N33" s="847"/>
      <c r="O33" s="48">
        <f>IF(t&lt;Tnet,'2023'!Resal+('2023'!Salim-'2023'!Resal)*(1-EXP(('2023'!Tnet-t)/('2023'!Tau_j))),Resal+(Salim-Resal)*(1-EXP((Tnet-t)/(Tau_j))))*Salcycl</f>
        <v>6.9314118056328922E-2</v>
      </c>
      <c r="P33" s="168">
        <f>(INDEX(Models!$BJ33:$BT33,,T33)*(1-R33)+INDEX(Models!$BJ33:$BT33,,T33+1)*R33-ERP_i)*Q33*Ramure*Pc/MaxiM</f>
        <v>8.2391050337258034E-4</v>
      </c>
      <c r="Q33" s="304">
        <f t="shared" si="4"/>
        <v>0.5</v>
      </c>
      <c r="R33" s="176">
        <f t="shared" si="5"/>
        <v>0.33523318745990238</v>
      </c>
      <c r="S33" s="814">
        <f t="shared" si="6"/>
        <v>1</v>
      </c>
      <c r="T33" s="175">
        <f t="shared" si="7"/>
        <v>7</v>
      </c>
      <c r="U33" s="250">
        <f t="shared" si="8"/>
        <v>1.3352331874599024</v>
      </c>
      <c r="V33" s="382">
        <f t="shared" si="9"/>
        <v>27.032778637884917</v>
      </c>
      <c r="W33" s="401">
        <f t="shared" si="10"/>
        <v>11.340124665255178</v>
      </c>
      <c r="X33" s="157">
        <f t="shared" si="11"/>
        <v>45310</v>
      </c>
      <c r="Y33" s="384">
        <f t="shared" si="12"/>
        <v>11.164584903541561</v>
      </c>
      <c r="Z33" s="384">
        <f t="shared" si="22"/>
        <v>11.665221465332102</v>
      </c>
      <c r="AA33" s="385">
        <f t="shared" si="13"/>
        <v>12.731075995070105</v>
      </c>
      <c r="AB33" s="196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8.3720694947602009E-2</v>
      </c>
      <c r="AD33" s="230">
        <f>(INDEX(Models!$BJ33:$BT33,,AH33)*(1-AF33)+INDEX(Models!$BJ33:$BT33,,AH33+1)*AF33-ERP_i)*AE33*Ramure*Pc/MaxiM</f>
        <v>8.2391050337258034E-4</v>
      </c>
      <c r="AE33" s="304">
        <f t="shared" si="15"/>
        <v>0.5</v>
      </c>
      <c r="AF33" s="176">
        <f t="shared" si="23"/>
        <v>0.33523318745990238</v>
      </c>
      <c r="AG33" s="814">
        <f t="shared" si="24"/>
        <v>1</v>
      </c>
      <c r="AH33" s="175">
        <f t="shared" si="16"/>
        <v>7</v>
      </c>
      <c r="AI33" s="224">
        <f t="shared" si="17"/>
        <v>1.3352331874599024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10">
        <f>'2023'!Wh/'2023'!Env_an*'2024'!Env_an</f>
        <v>5.281640405794878</v>
      </c>
      <c r="C34" s="843"/>
      <c r="D34" s="392">
        <f t="shared" si="0"/>
        <v>5.5185977225100959</v>
      </c>
      <c r="E34" s="384">
        <f t="shared" si="1"/>
        <v>5.929802193581069</v>
      </c>
      <c r="F34" s="384">
        <f t="shared" si="2"/>
        <v>5.929802193581069</v>
      </c>
      <c r="G34" s="110">
        <f t="shared" si="21"/>
        <v>0.19323991702382043</v>
      </c>
      <c r="H34" s="413" t="b">
        <f>Wh_hp&gt;='2023'!Maxi_hp</f>
        <v>0</v>
      </c>
      <c r="I34" s="389">
        <f>IF(H34,Wh_hp,'2023'!Maxi_hp)</f>
        <v>10.158617938876899</v>
      </c>
      <c r="J34" s="85">
        <f>IF(H34,An,'2023'!An_max)</f>
        <v>2020</v>
      </c>
      <c r="K34" s="196">
        <f t="shared" si="3"/>
        <v>45311</v>
      </c>
      <c r="L34" s="147">
        <f>IF(t&lt;Tvie,1-EXP((T0-t)*PertePVj)+'2023'!Pspv,1-EXP((T0-t)*PertePVj)+Pspv)</f>
        <v>4.2937957907074865E-2</v>
      </c>
      <c r="M34" s="847"/>
      <c r="N34" s="847"/>
      <c r="O34" s="48">
        <f>IF(t&lt;Tnet,'2023'!Resal+('2023'!Salim-'2023'!Resal)*(1-EXP(('2023'!Tnet-t)/('2023'!Tau_j))),Resal+(Salim-Resal)*(1-EXP((Tnet-t)/(Tau_j))))*Salcycl</f>
        <v>6.9345394272358085E-2</v>
      </c>
      <c r="P34" s="168">
        <f>(INDEX(Models!$BJ34:$BT34,,T34)*(1-R34)+INDEX(Models!$BJ34:$BT34,,T34+1)*R34-ERP_i)*Q34*Ramure*Pc/MaxiM</f>
        <v>8.2415983518606894E-4</v>
      </c>
      <c r="Q34" s="304">
        <f t="shared" si="4"/>
        <v>0.5</v>
      </c>
      <c r="R34" s="176">
        <f t="shared" si="5"/>
        <v>0.33526980244792792</v>
      </c>
      <c r="S34" s="814">
        <f t="shared" si="6"/>
        <v>1</v>
      </c>
      <c r="T34" s="175">
        <f t="shared" si="7"/>
        <v>7</v>
      </c>
      <c r="U34" s="250">
        <f t="shared" si="8"/>
        <v>1.3352698024479279</v>
      </c>
      <c r="V34" s="382">
        <f t="shared" si="9"/>
        <v>27.309510225353709</v>
      </c>
      <c r="W34" s="401">
        <f t="shared" si="10"/>
        <v>5.281640405794878</v>
      </c>
      <c r="X34" s="157">
        <f t="shared" si="11"/>
        <v>45311</v>
      </c>
      <c r="Y34" s="384">
        <f t="shared" si="12"/>
        <v>5.1999677110070985</v>
      </c>
      <c r="Z34" s="384">
        <f t="shared" si="22"/>
        <v>5.4332608360850783</v>
      </c>
      <c r="AA34" s="385">
        <f t="shared" si="13"/>
        <v>5.929802193581069</v>
      </c>
      <c r="AB34" s="196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8.3736580291580431E-2</v>
      </c>
      <c r="AD34" s="230">
        <f>(INDEX(Models!$BJ34:$BT34,,AH34)*(1-AF34)+INDEX(Models!$BJ34:$BT34,,AH34+1)*AF34-ERP_i)*AE34*Ramure*Pc/MaxiM</f>
        <v>8.2415983518606894E-4</v>
      </c>
      <c r="AE34" s="304">
        <f t="shared" si="15"/>
        <v>0.5</v>
      </c>
      <c r="AF34" s="176">
        <f t="shared" si="23"/>
        <v>0.33526980244792792</v>
      </c>
      <c r="AG34" s="814">
        <f t="shared" si="24"/>
        <v>1</v>
      </c>
      <c r="AH34" s="175">
        <f t="shared" si="16"/>
        <v>7</v>
      </c>
      <c r="AI34" s="224">
        <f t="shared" si="17"/>
        <v>1.3352698024479279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10">
        <f>'2023'!Wh/'2023'!Env_an*'2024'!Env_an</f>
        <v>18.109423694989971</v>
      </c>
      <c r="C35" s="843"/>
      <c r="D35" s="392">
        <f t="shared" si="0"/>
        <v>18.922304984097874</v>
      </c>
      <c r="E35" s="384">
        <f t="shared" si="1"/>
        <v>20.332937722497753</v>
      </c>
      <c r="F35" s="384">
        <f t="shared" si="2"/>
        <v>20.341453857697942</v>
      </c>
      <c r="G35" s="110">
        <f t="shared" si="21"/>
        <v>0.65616366760830225</v>
      </c>
      <c r="H35" s="413" t="b">
        <f>Wh_hp&gt;='2023'!Maxi_hp</f>
        <v>0</v>
      </c>
      <c r="I35" s="389">
        <f>IF(H35,Wh_hp,'2023'!Maxi_hp)</f>
        <v>20.344723444640852</v>
      </c>
      <c r="J35" s="85">
        <f>IF(H35,An,'2023'!An_max)</f>
        <v>2022</v>
      </c>
      <c r="K35" s="196">
        <f t="shared" si="3"/>
        <v>45312</v>
      </c>
      <c r="L35" s="147">
        <f>IF(t&lt;Tvie,1-EXP((T0-t)*PertePVj)+'2023'!Pspv,1-EXP((T0-t)*PertePVj)+Pspv)</f>
        <v>4.2958893738951988E-2</v>
      </c>
      <c r="M35" s="847"/>
      <c r="N35" s="847"/>
      <c r="O35" s="48">
        <f>IF(t&lt;Tnet,'2023'!Resal+('2023'!Salim-'2023'!Resal)*(1-EXP(('2023'!Tnet-t)/('2023'!Tau_j))),Resal+(Salim-Resal)*(1-EXP((Tnet-t)/(Tau_j))))*Salcycl</f>
        <v>6.9376730389483166E-2</v>
      </c>
      <c r="P35" s="168">
        <f>(INDEX(Models!$BJ35:$BT35,,T35)*(1-R35)+INDEX(Models!$BJ35:$BT35,,T35+1)*R35-ERP_i)*Q35*Ramure*Pc/MaxiM</f>
        <v>8.2221604881174161E-4</v>
      </c>
      <c r="Q35" s="304">
        <f t="shared" si="4"/>
        <v>0.5</v>
      </c>
      <c r="R35" s="176">
        <f t="shared" si="5"/>
        <v>0.33530794399026953</v>
      </c>
      <c r="S35" s="814">
        <f t="shared" si="6"/>
        <v>1</v>
      </c>
      <c r="T35" s="175">
        <f t="shared" si="7"/>
        <v>7</v>
      </c>
      <c r="U35" s="250">
        <f t="shared" si="8"/>
        <v>1.3353079439902695</v>
      </c>
      <c r="V35" s="382">
        <f t="shared" si="9"/>
        <v>27.587800642283504</v>
      </c>
      <c r="W35" s="401">
        <f t="shared" si="10"/>
        <v>18.109423694989971</v>
      </c>
      <c r="X35" s="157">
        <f t="shared" si="11"/>
        <v>45312</v>
      </c>
      <c r="Y35" s="384">
        <f t="shared" si="12"/>
        <v>17.829677821778478</v>
      </c>
      <c r="Z35" s="384">
        <f t="shared" si="22"/>
        <v>18.630002102454263</v>
      </c>
      <c r="AA35" s="385">
        <f t="shared" si="13"/>
        <v>20.332937722497753</v>
      </c>
      <c r="AB35" s="196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8.3752561645789411E-2</v>
      </c>
      <c r="AD35" s="230">
        <f>(INDEX(Models!$BJ35:$BT35,,AH35)*(1-AF35)+INDEX(Models!$BJ35:$BT35,,AH35+1)*AF35-ERP_i)*AE35*Ramure*Pc/MaxiM</f>
        <v>8.2221604881174161E-4</v>
      </c>
      <c r="AE35" s="304">
        <f t="shared" si="15"/>
        <v>0.5</v>
      </c>
      <c r="AF35" s="176">
        <f t="shared" si="23"/>
        <v>0.33530794399026953</v>
      </c>
      <c r="AG35" s="814">
        <f t="shared" si="24"/>
        <v>1</v>
      </c>
      <c r="AH35" s="175">
        <f t="shared" si="16"/>
        <v>7</v>
      </c>
      <c r="AI35" s="224">
        <f t="shared" si="17"/>
        <v>1.3353079439902695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10">
        <f>'2023'!Wh/'2023'!Env_an*'2024'!Env_an</f>
        <v>27.980296632846112</v>
      </c>
      <c r="C36" s="843"/>
      <c r="D36" s="392">
        <f t="shared" si="0"/>
        <v>29.236893311132569</v>
      </c>
      <c r="E36" s="384">
        <f t="shared" si="1"/>
        <v>31.417524961977133</v>
      </c>
      <c r="F36" s="384">
        <f t="shared" si="2"/>
        <v>31.443251036621696</v>
      </c>
      <c r="G36" s="110">
        <f t="shared" si="21"/>
        <v>1.0040762762424644</v>
      </c>
      <c r="H36" s="413" t="b">
        <f>Wh_hp&gt;='2023'!Maxi_hp</f>
        <v>1</v>
      </c>
      <c r="I36" s="389">
        <f>IF(H36,Wh_hp,'2023'!Maxi_hp)</f>
        <v>31.443251036621696</v>
      </c>
      <c r="J36" s="85">
        <f>IF(H36,An,'2023'!An_max)</f>
        <v>2024</v>
      </c>
      <c r="K36" s="196">
        <f t="shared" si="3"/>
        <v>45313</v>
      </c>
      <c r="L36" s="147">
        <f>IF(t&lt;Tvie,1-EXP((T0-t)*PertePVj)+'2023'!Pspv,1-EXP((T0-t)*PertePVj)+Pspv)</f>
        <v>4.2979829112280578E-2</v>
      </c>
      <c r="M36" s="847"/>
      <c r="N36" s="847"/>
      <c r="O36" s="48">
        <f>IF(t&lt;Tnet,'2023'!Resal+('2023'!Salim-'2023'!Resal)*(1-EXP(('2023'!Tnet-t)/('2023'!Tau_j))),Resal+(Salim-Resal)*(1-EXP((Tnet-t)/(Tau_j))))*Salcycl</f>
        <v>6.9408129809196015E-2</v>
      </c>
      <c r="P36" s="168">
        <f>(INDEX(Models!$BJ36:$BT36,,T36)*(1-R36)+INDEX(Models!$BJ36:$BT36,,T36+1)*R36-ERP_i)*Q36*Ramure*Pc/MaxiM</f>
        <v>8.1817476871579769E-4</v>
      </c>
      <c r="Q36" s="304">
        <f t="shared" si="4"/>
        <v>0.5</v>
      </c>
      <c r="R36" s="176">
        <f t="shared" si="5"/>
        <v>0.33534767531753884</v>
      </c>
      <c r="S36" s="814">
        <f t="shared" si="6"/>
        <v>1</v>
      </c>
      <c r="T36" s="175">
        <f t="shared" si="7"/>
        <v>7</v>
      </c>
      <c r="U36" s="250">
        <f t="shared" si="8"/>
        <v>1.3353476753175388</v>
      </c>
      <c r="V36" s="382">
        <f t="shared" si="9"/>
        <v>27.86670424836273</v>
      </c>
      <c r="W36" s="401">
        <f t="shared" si="10"/>
        <v>27.980296632846112</v>
      </c>
      <c r="X36" s="157">
        <f t="shared" si="11"/>
        <v>45313</v>
      </c>
      <c r="Y36" s="384">
        <f t="shared" si="12"/>
        <v>27.548516137262826</v>
      </c>
      <c r="Z36" s="384">
        <f t="shared" si="22"/>
        <v>28.785721529473285</v>
      </c>
      <c r="AA36" s="385">
        <f t="shared" si="13"/>
        <v>31.417524961977133</v>
      </c>
      <c r="AB36" s="196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8.3768643000649221E-2</v>
      </c>
      <c r="AD36" s="230">
        <f>(INDEX(Models!$BJ36:$BT36,,AH36)*(1-AF36)+INDEX(Models!$BJ36:$BT36,,AH36+1)*AF36-ERP_i)*AE36*Ramure*Pc/MaxiM</f>
        <v>8.1817476871579769E-4</v>
      </c>
      <c r="AE36" s="304">
        <f t="shared" si="15"/>
        <v>0.5</v>
      </c>
      <c r="AF36" s="176">
        <f t="shared" si="23"/>
        <v>0.33534767531753884</v>
      </c>
      <c r="AG36" s="814">
        <f t="shared" si="24"/>
        <v>1</v>
      </c>
      <c r="AH36" s="175">
        <f t="shared" si="16"/>
        <v>7</v>
      </c>
      <c r="AI36" s="224">
        <f t="shared" si="17"/>
        <v>1.3353476753175388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10">
        <f>'2023'!Wh/'2023'!Env_an*'2024'!Env_an</f>
        <v>27.788697603897269</v>
      </c>
      <c r="C37" s="843"/>
      <c r="D37" s="392">
        <f t="shared" si="0"/>
        <v>29.037324753604437</v>
      </c>
      <c r="E37" s="384">
        <f t="shared" si="1"/>
        <v>31.204126696262602</v>
      </c>
      <c r="F37" s="384">
        <f t="shared" si="2"/>
        <v>31.229022737318882</v>
      </c>
      <c r="G37" s="110">
        <f t="shared" si="21"/>
        <v>0.98720394630906549</v>
      </c>
      <c r="H37" s="413" t="b">
        <f>Wh_hp&gt;='2023'!Maxi_hp</f>
        <v>0</v>
      </c>
      <c r="I37" s="389">
        <f>IF(H37,Wh_hp,'2023'!Maxi_hp)</f>
        <v>31.229210353885971</v>
      </c>
      <c r="J37" s="85">
        <f>IF(H37,An,'2023'!An_max)</f>
        <v>2022</v>
      </c>
      <c r="K37" s="196">
        <f t="shared" si="3"/>
        <v>45314</v>
      </c>
      <c r="L37" s="147">
        <f>IF(t&lt;Tvie,1-EXP((T0-t)*PertePVj)+'2023'!Pspv,1-EXP((T0-t)*PertePVj)+Pspv)</f>
        <v>4.3000764027070849E-2</v>
      </c>
      <c r="M37" s="847"/>
      <c r="N37" s="847"/>
      <c r="O37" s="48">
        <f>IF(t&lt;Tnet,'2023'!Resal+('2023'!Salim-'2023'!Resal)*(1-EXP(('2023'!Tnet-t)/('2023'!Tau_j))),Resal+(Salim-Resal)*(1-EXP((Tnet-t)/(Tau_j))))*Salcycl</f>
        <v>6.9439595722372432E-2</v>
      </c>
      <c r="P37" s="168">
        <f>(INDEX(Models!$BJ37:$BT37,,T37)*(1-R37)+INDEX(Models!$BJ37:$BT37,,T37+1)*R37-ERP_i)*Q37*Ramure*Pc/MaxiM</f>
        <v>8.120355358512797E-4</v>
      </c>
      <c r="Q37" s="304">
        <f t="shared" si="4"/>
        <v>0.5</v>
      </c>
      <c r="R37" s="176">
        <f t="shared" si="5"/>
        <v>0.33538906224400522</v>
      </c>
      <c r="S37" s="814">
        <f t="shared" si="6"/>
        <v>1</v>
      </c>
      <c r="T37" s="175">
        <f t="shared" si="7"/>
        <v>7</v>
      </c>
      <c r="U37" s="250">
        <f t="shared" si="8"/>
        <v>1.3353890622440052</v>
      </c>
      <c r="V37" s="382">
        <f t="shared" si="9"/>
        <v>28.148474642825548</v>
      </c>
      <c r="W37" s="401">
        <f t="shared" si="10"/>
        <v>27.788697603897269</v>
      </c>
      <c r="X37" s="157">
        <f t="shared" si="11"/>
        <v>45314</v>
      </c>
      <c r="Y37" s="384">
        <f t="shared" si="12"/>
        <v>27.360315606930026</v>
      </c>
      <c r="Z37" s="384">
        <f t="shared" si="22"/>
        <v>28.589694305360943</v>
      </c>
      <c r="AA37" s="385">
        <f t="shared" si="13"/>
        <v>31.204126696262602</v>
      </c>
      <c r="AB37" s="196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8.3784828088612831E-2</v>
      </c>
      <c r="AD37" s="230">
        <f>(INDEX(Models!$BJ37:$BT37,,AH37)*(1-AF37)+INDEX(Models!$BJ37:$BT37,,AH37+1)*AF37-ERP_i)*AE37*Ramure*Pc/MaxiM</f>
        <v>8.120355358512797E-4</v>
      </c>
      <c r="AE37" s="304">
        <f t="shared" si="15"/>
        <v>0.5</v>
      </c>
      <c r="AF37" s="176">
        <f t="shared" si="23"/>
        <v>0.33538906224400522</v>
      </c>
      <c r="AG37" s="814">
        <f t="shared" si="24"/>
        <v>1</v>
      </c>
      <c r="AH37" s="175">
        <f t="shared" si="16"/>
        <v>7</v>
      </c>
      <c r="AI37" s="224">
        <f t="shared" si="17"/>
        <v>1.3353890622440052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10">
        <f>'2023'!Wh/'2023'!Env_an*'2024'!Env_an</f>
        <v>28.430337331413334</v>
      </c>
      <c r="C38" s="843"/>
      <c r="D38" s="392">
        <f t="shared" si="0"/>
        <v>29.708445098865361</v>
      </c>
      <c r="E38" s="384">
        <f t="shared" si="1"/>
        <v>31.926408828997928</v>
      </c>
      <c r="F38" s="384">
        <f t="shared" si="2"/>
        <v>31.952046679445573</v>
      </c>
      <c r="G38" s="110">
        <f t="shared" si="21"/>
        <v>0.99980867944698482</v>
      </c>
      <c r="H38" s="413" t="b">
        <f>Wh_hp&gt;='2023'!Maxi_hp</f>
        <v>0</v>
      </c>
      <c r="I38" s="389">
        <f>IF(H38,Wh_hp,'2023'!Maxi_hp)</f>
        <v>31.952049540874114</v>
      </c>
      <c r="J38" s="85">
        <f>IF(H38,An,'2023'!An_max)</f>
        <v>2022</v>
      </c>
      <c r="K38" s="196">
        <f t="shared" si="3"/>
        <v>45315</v>
      </c>
      <c r="L38" s="147">
        <f>IF(t&lt;Tvie,1-EXP((T0-t)*PertePVj)+'2023'!Pspv,1-EXP((T0-t)*PertePVj)+Pspv)</f>
        <v>4.3021698483332683E-2</v>
      </c>
      <c r="M38" s="847"/>
      <c r="N38" s="847"/>
      <c r="O38" s="48">
        <f>IF(t&lt;Tnet,'2023'!Resal+('2023'!Salim-'2023'!Resal)*(1-EXP(('2023'!Tnet-t)/('2023'!Tau_j))),Resal+(Salim-Resal)*(1-EXP((Tnet-t)/(Tau_j))))*Salcycl</f>
        <v>6.9471131000428996E-2</v>
      </c>
      <c r="P38" s="168">
        <f>(INDEX(Models!$BJ38:$BT38,,T38)*(1-R38)+INDEX(Models!$BJ38:$BT38,,T38+1)*R38-ERP_i)*Q38*Ramure*Pc/MaxiM</f>
        <v>8.0260434635864939E-4</v>
      </c>
      <c r="Q38" s="304">
        <f t="shared" si="4"/>
        <v>0.5</v>
      </c>
      <c r="R38" s="176">
        <f t="shared" si="5"/>
        <v>0.33543217327014285</v>
      </c>
      <c r="S38" s="814">
        <f t="shared" si="6"/>
        <v>1</v>
      </c>
      <c r="T38" s="175">
        <f t="shared" si="7"/>
        <v>7</v>
      </c>
      <c r="U38" s="250">
        <f t="shared" si="8"/>
        <v>1.3354321732701429</v>
      </c>
      <c r="V38" s="382">
        <f t="shared" si="9"/>
        <v>28.435771444487226</v>
      </c>
      <c r="W38" s="401">
        <f t="shared" si="10"/>
        <v>28.430337331413334</v>
      </c>
      <c r="X38" s="157">
        <f t="shared" si="11"/>
        <v>45315</v>
      </c>
      <c r="Y38" s="384">
        <f t="shared" si="12"/>
        <v>27.992514882282446</v>
      </c>
      <c r="Z38" s="384">
        <f t="shared" si="22"/>
        <v>29.250940003465598</v>
      </c>
      <c r="AA38" s="385">
        <f t="shared" si="13"/>
        <v>31.926408828997928</v>
      </c>
      <c r="AB38" s="196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8.3801120253220257E-2</v>
      </c>
      <c r="AD38" s="230">
        <f>(INDEX(Models!$BJ38:$BT38,,AH38)*(1-AF38)+INDEX(Models!$BJ38:$BT38,,AH38+1)*AF38-ERP_i)*AE38*Ramure*Pc/MaxiM</f>
        <v>8.0260434635864939E-4</v>
      </c>
      <c r="AE38" s="304">
        <f t="shared" si="15"/>
        <v>0.5</v>
      </c>
      <c r="AF38" s="176">
        <f t="shared" si="23"/>
        <v>0.33543217327014285</v>
      </c>
      <c r="AG38" s="814">
        <f t="shared" si="24"/>
        <v>1</v>
      </c>
      <c r="AH38" s="175">
        <f t="shared" si="16"/>
        <v>7</v>
      </c>
      <c r="AI38" s="224">
        <f t="shared" si="17"/>
        <v>1.3354321732701429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10">
        <f>'2023'!Wh/'2023'!Env_an*'2024'!Env_an</f>
        <v>27.596234837641838</v>
      </c>
      <c r="C39" s="843"/>
      <c r="D39" s="392">
        <f t="shared" si="0"/>
        <v>28.83747570614333</v>
      </c>
      <c r="E39" s="384">
        <f t="shared" si="1"/>
        <v>30.991467559149154</v>
      </c>
      <c r="F39" s="384">
        <f t="shared" si="2"/>
        <v>31.014590602330738</v>
      </c>
      <c r="G39" s="110">
        <f t="shared" si="21"/>
        <v>0.96055444109936294</v>
      </c>
      <c r="H39" s="413" t="b">
        <f>Wh_hp&gt;='2023'!Maxi_hp</f>
        <v>0</v>
      </c>
      <c r="I39" s="389">
        <f>IF(H39,Wh_hp,'2023'!Maxi_hp)</f>
        <v>31.015158927984054</v>
      </c>
      <c r="J39" s="85">
        <f>IF(H39,An,'2023'!An_max)</f>
        <v>2022</v>
      </c>
      <c r="K39" s="196">
        <f t="shared" si="3"/>
        <v>45316</v>
      </c>
      <c r="L39" s="147">
        <f>IF(t&lt;Tvie,1-EXP((T0-t)*PertePVj)+'2023'!Pspv,1-EXP((T0-t)*PertePVj)+Pspv)</f>
        <v>4.3042632481076294E-2</v>
      </c>
      <c r="M39" s="847"/>
      <c r="N39" s="847"/>
      <c r="O39" s="48">
        <f>IF(t&lt;Tnet,'2023'!Resal+('2023'!Salim-'2023'!Resal)*(1-EXP(('2023'!Tnet-t)/('2023'!Tau_j))),Resal+(Salim-Resal)*(1-EXP((Tnet-t)/(Tau_j))))*Salcycl</f>
        <v>6.9502738097019651E-2</v>
      </c>
      <c r="P39" s="168">
        <f>(INDEX(Models!$BJ39:$BT39,,T39)*(1-R39)+INDEX(Models!$BJ39:$BT39,,T39+1)*R39-ERP_i)*Q39*Ramure*Pc/MaxiM</f>
        <v>7.9002394540445139E-4</v>
      </c>
      <c r="Q39" s="304">
        <f t="shared" si="4"/>
        <v>0.5</v>
      </c>
      <c r="R39" s="176">
        <f t="shared" si="5"/>
        <v>0.33547707968898788</v>
      </c>
      <c r="S39" s="814">
        <f t="shared" si="6"/>
        <v>1</v>
      </c>
      <c r="T39" s="175">
        <f t="shared" si="7"/>
        <v>7</v>
      </c>
      <c r="U39" s="250">
        <f t="shared" si="8"/>
        <v>1.3354770796889879</v>
      </c>
      <c r="V39" s="382">
        <f t="shared" si="9"/>
        <v>28.728206887939407</v>
      </c>
      <c r="W39" s="401">
        <f t="shared" si="10"/>
        <v>27.596234837641838</v>
      </c>
      <c r="X39" s="157">
        <f t="shared" si="11"/>
        <v>45316</v>
      </c>
      <c r="Y39" s="384">
        <f t="shared" si="12"/>
        <v>27.171693935108692</v>
      </c>
      <c r="Z39" s="384">
        <f t="shared" si="22"/>
        <v>28.393839534937669</v>
      </c>
      <c r="AA39" s="385">
        <f t="shared" si="13"/>
        <v>30.991467559149154</v>
      </c>
      <c r="AB39" s="196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8.3817522331065777E-2</v>
      </c>
      <c r="AD39" s="230">
        <f>(INDEX(Models!$BJ39:$BT39,,AH39)*(1-AF39)+INDEX(Models!$BJ39:$BT39,,AH39+1)*AF39-ERP_i)*AE39*Ramure*Pc/MaxiM</f>
        <v>7.9002394540445139E-4</v>
      </c>
      <c r="AE39" s="304">
        <f t="shared" si="15"/>
        <v>0.5</v>
      </c>
      <c r="AF39" s="176">
        <f t="shared" si="23"/>
        <v>0.33547707968898788</v>
      </c>
      <c r="AG39" s="814">
        <f t="shared" si="24"/>
        <v>1</v>
      </c>
      <c r="AH39" s="175">
        <f t="shared" si="16"/>
        <v>7</v>
      </c>
      <c r="AI39" s="224">
        <f t="shared" si="17"/>
        <v>1.3354770796889879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10">
        <f>'2023'!Wh/'2023'!Env_an*'2024'!Env_an</f>
        <v>28.438141874909046</v>
      </c>
      <c r="C40" s="843"/>
      <c r="D40" s="392">
        <f t="shared" si="0"/>
        <v>29.717900651604477</v>
      </c>
      <c r="E40" s="384">
        <f t="shared" si="1"/>
        <v>31.938742557702174</v>
      </c>
      <c r="F40" s="384">
        <f t="shared" si="2"/>
        <v>31.962779367979291</v>
      </c>
      <c r="G40" s="110">
        <f t="shared" si="21"/>
        <v>0.9797456945366273</v>
      </c>
      <c r="H40" s="413" t="b">
        <f>Wh_hp&gt;='2023'!Maxi_hp</f>
        <v>0</v>
      </c>
      <c r="I40" s="389">
        <f>IF(H40,Wh_hp,'2023'!Maxi_hp)</f>
        <v>31.963076487742448</v>
      </c>
      <c r="J40" s="85">
        <f>IF(H40,An,'2023'!An_max)</f>
        <v>2022</v>
      </c>
      <c r="K40" s="196">
        <f t="shared" si="3"/>
        <v>45317</v>
      </c>
      <c r="L40" s="147">
        <f>IF(t&lt;Tvie,1-EXP((T0-t)*PertePVj)+'2023'!Pspv,1-EXP((T0-t)*PertePVj)+Pspv)</f>
        <v>4.3063566020311562E-2</v>
      </c>
      <c r="M40" s="847"/>
      <c r="N40" s="847"/>
      <c r="O40" s="48">
        <f>IF(t&lt;Tnet,'2023'!Resal+('2023'!Salim-'2023'!Resal)*(1-EXP(('2023'!Tnet-t)/('2023'!Tau_j))),Resal+(Salim-Resal)*(1-EXP((Tnet-t)/(Tau_j))))*Salcycl</f>
        <v>6.9534418961091249E-2</v>
      </c>
      <c r="P40" s="168">
        <f>(INDEX(Models!$BJ40:$BT40,,T40)*(1-R40)+INDEX(Models!$BJ40:$BT40,,T40+1)*R40-ERP_i)*Q40*Ramure*Pc/MaxiM</f>
        <v>7.7440803695355326E-4</v>
      </c>
      <c r="Q40" s="304">
        <f t="shared" si="4"/>
        <v>0.5</v>
      </c>
      <c r="R40" s="176">
        <f t="shared" si="5"/>
        <v>0.33552385569642351</v>
      </c>
      <c r="S40" s="814">
        <f t="shared" si="6"/>
        <v>1</v>
      </c>
      <c r="T40" s="175">
        <f t="shared" si="7"/>
        <v>7</v>
      </c>
      <c r="U40" s="250">
        <f t="shared" si="8"/>
        <v>1.3355238556964235</v>
      </c>
      <c r="V40" s="382">
        <f t="shared" si="9"/>
        <v>29.025394062415085</v>
      </c>
      <c r="W40" s="401">
        <f t="shared" si="10"/>
        <v>28.438141874909046</v>
      </c>
      <c r="X40" s="157">
        <f t="shared" si="11"/>
        <v>45317</v>
      </c>
      <c r="Y40" s="384">
        <f t="shared" si="12"/>
        <v>28.001097709095635</v>
      </c>
      <c r="Z40" s="384">
        <f t="shared" si="22"/>
        <v>29.261188846834081</v>
      </c>
      <c r="AA40" s="385">
        <f t="shared" si="13"/>
        <v>31.938742557702174</v>
      </c>
      <c r="AB40" s="196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8.3834036547640725E-2</v>
      </c>
      <c r="AD40" s="230">
        <f>(INDEX(Models!$BJ40:$BT40,,AH40)*(1-AF40)+INDEX(Models!$BJ40:$BT40,,AH40+1)*AF40-ERP_i)*AE40*Ramure*Pc/MaxiM</f>
        <v>7.7440803695355326E-4</v>
      </c>
      <c r="AE40" s="304">
        <f t="shared" si="15"/>
        <v>0.5</v>
      </c>
      <c r="AF40" s="176">
        <f t="shared" si="23"/>
        <v>0.33552385569642351</v>
      </c>
      <c r="AG40" s="814">
        <f t="shared" si="24"/>
        <v>1</v>
      </c>
      <c r="AH40" s="175">
        <f t="shared" si="16"/>
        <v>7</v>
      </c>
      <c r="AI40" s="224">
        <f t="shared" si="17"/>
        <v>1.3355238556964235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10">
        <f>'2023'!Wh/'2023'!Env_an*'2024'!Env_an</f>
        <v>24.932758478091472</v>
      </c>
      <c r="C41" s="843"/>
      <c r="D41" s="392">
        <f t="shared" si="0"/>
        <v>26.055339739683376</v>
      </c>
      <c r="E41" s="384">
        <f t="shared" si="1"/>
        <v>28.003431344103031</v>
      </c>
      <c r="F41" s="384">
        <f t="shared" si="2"/>
        <v>28.020077366334093</v>
      </c>
      <c r="G41" s="110">
        <f t="shared" si="21"/>
        <v>0.85002788901047199</v>
      </c>
      <c r="H41" s="413" t="b">
        <f>Wh_hp&gt;='2023'!Maxi_hp</f>
        <v>0</v>
      </c>
      <c r="I41" s="389">
        <f>IF(H41,Wh_hp,'2023'!Maxi_hp)</f>
        <v>28.021974293111494</v>
      </c>
      <c r="J41" s="85">
        <f>IF(H41,An,'2023'!An_max)</f>
        <v>2022</v>
      </c>
      <c r="K41" s="196">
        <f t="shared" si="3"/>
        <v>45318</v>
      </c>
      <c r="L41" s="147">
        <f>IF(t&lt;Tvie,1-EXP((T0-t)*PertePVj)+'2023'!Pspv,1-EXP((T0-t)*PertePVj)+Pspv)</f>
        <v>4.3084499101048591E-2</v>
      </c>
      <c r="M41" s="847"/>
      <c r="N41" s="847"/>
      <c r="O41" s="48">
        <f>IF(t&lt;Tnet,'2023'!Resal+('2023'!Salim-'2023'!Resal)*(1-EXP(('2023'!Tnet-t)/('2023'!Tau_j))),Resal+(Salim-Resal)*(1-EXP((Tnet-t)/(Tau_j))))*Salcycl</f>
        <v>6.9566174961979602E-2</v>
      </c>
      <c r="P41" s="168">
        <f>(INDEX(Models!$BJ41:$BT41,,T41)*(1-R41)+INDEX(Models!$BJ41:$BT41,,T41+1)*R41-ERP_i)*Q41*Ramure*Pc/MaxiM</f>
        <v>7.5586773989283734E-4</v>
      </c>
      <c r="Q41" s="304">
        <f t="shared" si="4"/>
        <v>0.5</v>
      </c>
      <c r="R41" s="176">
        <f t="shared" si="5"/>
        <v>0.33557257850551658</v>
      </c>
      <c r="S41" s="814">
        <f t="shared" si="6"/>
        <v>1</v>
      </c>
      <c r="T41" s="175">
        <f t="shared" si="7"/>
        <v>7</v>
      </c>
      <c r="U41" s="250">
        <f t="shared" si="8"/>
        <v>1.3355725785055166</v>
      </c>
      <c r="V41" s="382">
        <f t="shared" si="9"/>
        <v>29.326946160861812</v>
      </c>
      <c r="W41" s="401">
        <f t="shared" si="10"/>
        <v>24.932758478091472</v>
      </c>
      <c r="X41" s="157">
        <f t="shared" si="11"/>
        <v>45318</v>
      </c>
      <c r="Y41" s="384">
        <f t="shared" si="12"/>
        <v>24.549978191894564</v>
      </c>
      <c r="Z41" s="384">
        <f t="shared" si="22"/>
        <v>25.655325019640369</v>
      </c>
      <c r="AA41" s="385">
        <f t="shared" si="13"/>
        <v>28.003431344103031</v>
      </c>
      <c r="AB41" s="196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8.3850664427847943E-2</v>
      </c>
      <c r="AD41" s="230">
        <f>(INDEX(Models!$BJ41:$BT41,,AH41)*(1-AF41)+INDEX(Models!$BJ41:$BT41,,AH41+1)*AF41-ERP_i)*AE41*Ramure*Pc/MaxiM</f>
        <v>7.5586773989283734E-4</v>
      </c>
      <c r="AE41" s="304">
        <f t="shared" si="15"/>
        <v>0.5</v>
      </c>
      <c r="AF41" s="176">
        <f t="shared" si="23"/>
        <v>0.33557257850551658</v>
      </c>
      <c r="AG41" s="814">
        <f t="shared" si="24"/>
        <v>1</v>
      </c>
      <c r="AH41" s="175">
        <f t="shared" si="16"/>
        <v>7</v>
      </c>
      <c r="AI41" s="224">
        <f t="shared" si="17"/>
        <v>1.3355725785055166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10">
        <f>'2023'!Wh/'2023'!Env_an*'2024'!Env_an</f>
        <v>3.6871951100838092</v>
      </c>
      <c r="C42" s="843"/>
      <c r="D42" s="392">
        <f t="shared" si="0"/>
        <v>3.8532929669819103</v>
      </c>
      <c r="E42" s="384">
        <f t="shared" si="1"/>
        <v>4.1415355891932144</v>
      </c>
      <c r="F42" s="384">
        <f t="shared" si="2"/>
        <v>4.1415355891932144</v>
      </c>
      <c r="G42" s="110">
        <f t="shared" si="21"/>
        <v>0.12433948360468496</v>
      </c>
      <c r="H42" s="413" t="b">
        <f>Wh_hp&gt;='2023'!Maxi_hp</f>
        <v>0</v>
      </c>
      <c r="I42" s="389">
        <f>IF(H42,Wh_hp,'2023'!Maxi_hp)</f>
        <v>19.765771987607742</v>
      </c>
      <c r="J42" s="85">
        <f>IF(H42,An,'2023'!An_max)</f>
        <v>2020</v>
      </c>
      <c r="K42" s="196">
        <f t="shared" si="3"/>
        <v>45319</v>
      </c>
      <c r="L42" s="147">
        <f>IF(t&lt;Tvie,1-EXP((T0-t)*PertePVj)+'2023'!Pspv,1-EXP((T0-t)*PertePVj)+Pspv)</f>
        <v>4.3105431723297484E-2</v>
      </c>
      <c r="M42" s="847"/>
      <c r="N42" s="847"/>
      <c r="O42" s="48">
        <f>IF(t&lt;Tnet,'2023'!Resal+('2023'!Salim-'2023'!Resal)*(1-EXP(('2023'!Tnet-t)/('2023'!Tau_j))),Resal+(Salim-Resal)*(1-EXP((Tnet-t)/(Tau_j))))*Salcycl</f>
        <v>6.959800682708972E-2</v>
      </c>
      <c r="P42" s="168">
        <f>(INDEX(Models!$BJ42:$BT42,,T42)*(1-R42)+INDEX(Models!$BJ42:$BT42,,T42+1)*R42-ERP_i)*Q42*Ramure*Pc/MaxiM</f>
        <v>7.3451110927534135E-4</v>
      </c>
      <c r="Q42" s="304">
        <f t="shared" si="4"/>
        <v>0.5</v>
      </c>
      <c r="R42" s="176">
        <f t="shared" si="5"/>
        <v>0.33562332846502407</v>
      </c>
      <c r="S42" s="814">
        <f t="shared" si="6"/>
        <v>1</v>
      </c>
      <c r="T42" s="175">
        <f t="shared" si="7"/>
        <v>7</v>
      </c>
      <c r="U42" s="250">
        <f t="shared" si="8"/>
        <v>1.3356233284650241</v>
      </c>
      <c r="V42" s="382">
        <f t="shared" si="9"/>
        <v>29.632476486934351</v>
      </c>
      <c r="W42" s="401">
        <f t="shared" si="10"/>
        <v>3.6871951100838092</v>
      </c>
      <c r="X42" s="157">
        <f t="shared" si="11"/>
        <v>45319</v>
      </c>
      <c r="Y42" s="384">
        <f t="shared" si="12"/>
        <v>3.63064529408843</v>
      </c>
      <c r="Z42" s="384">
        <f t="shared" si="22"/>
        <v>3.7941957394814749</v>
      </c>
      <c r="AA42" s="385">
        <f t="shared" si="13"/>
        <v>4.1415355891932144</v>
      </c>
      <c r="AB42" s="196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8.3867406721815127E-2</v>
      </c>
      <c r="AD42" s="230">
        <f>(INDEX(Models!$BJ42:$BT42,,AH42)*(1-AF42)+INDEX(Models!$BJ42:$BT42,,AH42+1)*AF42-ERP_i)*AE42*Ramure*Pc/MaxiM</f>
        <v>7.3451110927534135E-4</v>
      </c>
      <c r="AE42" s="304">
        <f t="shared" si="15"/>
        <v>0.5</v>
      </c>
      <c r="AF42" s="176">
        <f t="shared" si="23"/>
        <v>0.33562332846502407</v>
      </c>
      <c r="AG42" s="814">
        <f t="shared" si="24"/>
        <v>1</v>
      </c>
      <c r="AH42" s="175">
        <f t="shared" si="16"/>
        <v>7</v>
      </c>
      <c r="AI42" s="224">
        <f t="shared" si="17"/>
        <v>1.3356233284650241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10">
        <f>'2023'!Wh/'2023'!Env_an*'2024'!Env_an</f>
        <v>5.9277728575460173</v>
      </c>
      <c r="C43" s="843"/>
      <c r="D43" s="392">
        <f t="shared" si="0"/>
        <v>6.1949380083520369</v>
      </c>
      <c r="E43" s="384">
        <f t="shared" si="1"/>
        <v>6.6585739433346767</v>
      </c>
      <c r="F43" s="384">
        <f t="shared" si="2"/>
        <v>6.6585739433346767</v>
      </c>
      <c r="G43" s="110">
        <f t="shared" si="21"/>
        <v>0.1978371837032247</v>
      </c>
      <c r="H43" s="413" t="b">
        <f>Wh_hp&gt;='2023'!Maxi_hp</f>
        <v>0</v>
      </c>
      <c r="I43" s="389">
        <f>IF(H43,Wh_hp,'2023'!Maxi_hp)</f>
        <v>24.438772504901799</v>
      </c>
      <c r="J43" s="85">
        <f>IF(H43,An,'2023'!An_max)</f>
        <v>2020</v>
      </c>
      <c r="K43" s="196">
        <f t="shared" si="3"/>
        <v>45320</v>
      </c>
      <c r="L43" s="147">
        <f>IF(t&lt;Tvie,1-EXP((T0-t)*PertePVj)+'2023'!Pspv,1-EXP((T0-t)*PertePVj)+Pspv)</f>
        <v>4.3126363887068232E-2</v>
      </c>
      <c r="M43" s="847"/>
      <c r="N43" s="847"/>
      <c r="O43" s="48">
        <f>IF(t&lt;Tnet,'2023'!Resal+('2023'!Salim-'2023'!Resal)*(1-EXP(('2023'!Tnet-t)/('2023'!Tau_j))),Resal+(Salim-Resal)*(1-EXP((Tnet-t)/(Tau_j))))*Salcycl</f>
        <v>6.9629914592560127E-2</v>
      </c>
      <c r="P43" s="168">
        <f>(INDEX(Models!$BJ43:$BT43,,T43)*(1-R43)+INDEX(Models!$BJ43:$BT43,,T43+1)*R43-ERP_i)*Q43*Ramure*Pc/MaxiM</f>
        <v>7.1044272937747426E-4</v>
      </c>
      <c r="Q43" s="304">
        <f t="shared" si="4"/>
        <v>0.5</v>
      </c>
      <c r="R43" s="176">
        <f t="shared" si="5"/>
        <v>0.33567618918219533</v>
      </c>
      <c r="S43" s="814">
        <f t="shared" si="6"/>
        <v>1</v>
      </c>
      <c r="T43" s="175">
        <f t="shared" si="7"/>
        <v>7</v>
      </c>
      <c r="U43" s="250">
        <f t="shared" si="8"/>
        <v>1.3356761891821953</v>
      </c>
      <c r="V43" s="382">
        <f t="shared" si="9"/>
        <v>29.941598457567505</v>
      </c>
      <c r="W43" s="401">
        <f t="shared" si="10"/>
        <v>5.9277728575460173</v>
      </c>
      <c r="X43" s="157">
        <f t="shared" si="11"/>
        <v>45320</v>
      </c>
      <c r="Y43" s="384">
        <f t="shared" si="12"/>
        <v>5.8369525023232187</v>
      </c>
      <c r="Z43" s="384">
        <f t="shared" si="22"/>
        <v>6.1000243731601067</v>
      </c>
      <c r="AA43" s="385">
        <f t="shared" si="13"/>
        <v>6.6585739433346767</v>
      </c>
      <c r="AB43" s="196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8.3884263346461096E-2</v>
      </c>
      <c r="AD43" s="230">
        <f>(INDEX(Models!$BJ43:$BT43,,AH43)*(1-AF43)+INDEX(Models!$BJ43:$BT43,,AH43+1)*AF43-ERP_i)*AE43*Ramure*Pc/MaxiM</f>
        <v>7.1044272937747426E-4</v>
      </c>
      <c r="AE43" s="304">
        <f t="shared" si="15"/>
        <v>0.5</v>
      </c>
      <c r="AF43" s="176">
        <f t="shared" si="23"/>
        <v>0.33567618918219533</v>
      </c>
      <c r="AG43" s="814">
        <f t="shared" si="24"/>
        <v>1</v>
      </c>
      <c r="AH43" s="175">
        <f t="shared" si="16"/>
        <v>7</v>
      </c>
      <c r="AI43" s="224">
        <f t="shared" si="17"/>
        <v>1.3356761891821953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10">
        <f>'2023'!Wh/'2023'!Env_an*'2024'!Env_an</f>
        <v>4.2187388509295962</v>
      </c>
      <c r="C44" s="843"/>
      <c r="D44" s="392">
        <f t="shared" si="0"/>
        <v>4.4089741623726129</v>
      </c>
      <c r="E44" s="384">
        <f t="shared" si="1"/>
        <v>4.739109524637505</v>
      </c>
      <c r="F44" s="384">
        <f t="shared" si="2"/>
        <v>4.739109524637505</v>
      </c>
      <c r="G44" s="110">
        <f t="shared" si="21"/>
        <v>0.1393489984283364</v>
      </c>
      <c r="H44" s="413" t="b">
        <f>Wh_hp&gt;='2023'!Maxi_hp</f>
        <v>0</v>
      </c>
      <c r="I44" s="389">
        <f>IF(H44,Wh_hp,'2023'!Maxi_hp)</f>
        <v>10.973075209769302</v>
      </c>
      <c r="J44" s="85">
        <f>IF(H44,An,'2023'!An_max)</f>
        <v>2020</v>
      </c>
      <c r="K44" s="196">
        <f t="shared" si="3"/>
        <v>45321</v>
      </c>
      <c r="L44" s="147">
        <f>IF(t&lt;Tvie,1-EXP((T0-t)*PertePVj)+'2023'!Pspv,1-EXP((T0-t)*PertePVj)+Pspv)</f>
        <v>4.3147295592370828E-2</v>
      </c>
      <c r="M44" s="847"/>
      <c r="N44" s="847"/>
      <c r="O44" s="48">
        <f>IF(t&lt;Tnet,'2023'!Resal+('2023'!Salim-'2023'!Resal)*(1-EXP(('2023'!Tnet-t)/('2023'!Tau_j))),Resal+(Salim-Resal)*(1-EXP((Tnet-t)/(Tau_j))))*Salcycl</f>
        <v>6.9661897567168785E-2</v>
      </c>
      <c r="P44" s="168">
        <f>(INDEX(Models!$BJ44:$BT44,,T44)*(1-R44)+INDEX(Models!$BJ44:$BT44,,T44+1)*R44-ERP_i)*Q44*Ramure*Pc/MaxiM</f>
        <v>6.8475862820804737E-4</v>
      </c>
      <c r="Q44" s="304">
        <f t="shared" si="4"/>
        <v>0.5</v>
      </c>
      <c r="R44" s="176">
        <f t="shared" si="5"/>
        <v>0.3357312476499914</v>
      </c>
      <c r="S44" s="814">
        <f t="shared" si="6"/>
        <v>1</v>
      </c>
      <c r="T44" s="175">
        <f t="shared" si="7"/>
        <v>7</v>
      </c>
      <c r="U44" s="250">
        <f t="shared" si="8"/>
        <v>1.3357312476499914</v>
      </c>
      <c r="V44" s="382">
        <f t="shared" si="9"/>
        <v>30.253895475749459</v>
      </c>
      <c r="W44" s="401">
        <f t="shared" si="10"/>
        <v>4.2187388509295962</v>
      </c>
      <c r="X44" s="157">
        <f t="shared" si="11"/>
        <v>45321</v>
      </c>
      <c r="Y44" s="384">
        <f t="shared" si="12"/>
        <v>4.1541687350843501</v>
      </c>
      <c r="Z44" s="384">
        <f t="shared" si="22"/>
        <v>4.3414923905724061</v>
      </c>
      <c r="AA44" s="385">
        <f t="shared" si="13"/>
        <v>4.739109524637505</v>
      </c>
      <c r="AB44" s="196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8.3901233343095752E-2</v>
      </c>
      <c r="AD44" s="230">
        <f>(INDEX(Models!$BJ44:$BT44,,AH44)*(1-AF44)+INDEX(Models!$BJ44:$BT44,,AH44+1)*AF44-ERP_i)*AE44*Ramure*Pc/MaxiM</f>
        <v>6.8475862820804737E-4</v>
      </c>
      <c r="AE44" s="304">
        <f t="shared" si="15"/>
        <v>0.5</v>
      </c>
      <c r="AF44" s="176">
        <f t="shared" si="23"/>
        <v>0.3357312476499914</v>
      </c>
      <c r="AG44" s="814">
        <f t="shared" si="24"/>
        <v>1</v>
      </c>
      <c r="AH44" s="175">
        <f t="shared" si="16"/>
        <v>7</v>
      </c>
      <c r="AI44" s="224">
        <f t="shared" si="17"/>
        <v>1.3357312476499914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10">
        <f>'2023'!Wh/'2023'!Env_an*'2024'!Env_an</f>
        <v>10.496432420654042</v>
      </c>
      <c r="C45" s="843"/>
      <c r="D45" s="392">
        <f t="shared" si="0"/>
        <v>10.969987321784137</v>
      </c>
      <c r="E45" s="384">
        <f t="shared" si="1"/>
        <v>11.791804828746439</v>
      </c>
      <c r="F45" s="384">
        <f t="shared" si="2"/>
        <v>11.792286611178314</v>
      </c>
      <c r="G45" s="110">
        <f t="shared" si="21"/>
        <v>0.34315698202638156</v>
      </c>
      <c r="H45" s="413" t="b">
        <f>Wh_hp&gt;='2023'!Maxi_hp</f>
        <v>0</v>
      </c>
      <c r="I45" s="389">
        <f>IF(H45,Wh_hp,'2023'!Maxi_hp)</f>
        <v>22.393686095850722</v>
      </c>
      <c r="J45" s="85">
        <f>IF(H45,An,'2023'!An_max)</f>
        <v>2020</v>
      </c>
      <c r="K45" s="196">
        <f t="shared" si="3"/>
        <v>45322</v>
      </c>
      <c r="L45" s="147">
        <f>IF(t&lt;Tvie,1-EXP((T0-t)*PertePVj)+'2023'!Pspv,1-EXP((T0-t)*PertePVj)+Pspv)</f>
        <v>4.3168226839215375E-2</v>
      </c>
      <c r="M45" s="847"/>
      <c r="N45" s="847"/>
      <c r="O45" s="48">
        <f>IF(t&lt;Tnet,'2023'!Resal+('2023'!Salim-'2023'!Resal)*(1-EXP(('2023'!Tnet-t)/('2023'!Tau_j))),Resal+(Salim-Resal)*(1-EXP((Tnet-t)/(Tau_j))))*Salcycl</f>
        <v>6.9693954309593867E-2</v>
      </c>
      <c r="P45" s="168">
        <f>(INDEX(Models!$BJ45:$BT45,,T45)*(1-R45)+INDEX(Models!$BJ45:$BT45,,T45+1)*R45-ERP_i)*Q45*Ramure*Pc/MaxiM</f>
        <v>6.594284243089764E-4</v>
      </c>
      <c r="Q45" s="304">
        <f t="shared" si="4"/>
        <v>0.5</v>
      </c>
      <c r="R45" s="176">
        <f t="shared" si="5"/>
        <v>0.33578859437884945</v>
      </c>
      <c r="S45" s="814">
        <f t="shared" si="6"/>
        <v>1</v>
      </c>
      <c r="T45" s="175">
        <f t="shared" si="7"/>
        <v>7</v>
      </c>
      <c r="U45" s="250">
        <f t="shared" si="8"/>
        <v>1.3357885943788494</v>
      </c>
      <c r="V45" s="382">
        <f t="shared" si="9"/>
        <v>30.568922966120518</v>
      </c>
      <c r="W45" s="401">
        <f t="shared" si="10"/>
        <v>10.496432420654042</v>
      </c>
      <c r="X45" s="157">
        <f t="shared" si="11"/>
        <v>45322</v>
      </c>
      <c r="Y45" s="384">
        <f t="shared" si="12"/>
        <v>10.335942182153248</v>
      </c>
      <c r="Z45" s="384">
        <f t="shared" si="22"/>
        <v>10.802256438464248</v>
      </c>
      <c r="AA45" s="385">
        <f t="shared" si="13"/>
        <v>11.791804828746439</v>
      </c>
      <c r="AB45" s="196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8.3918314851161621E-2</v>
      </c>
      <c r="AD45" s="230">
        <f>(INDEX(Models!$BJ45:$BT45,,AH45)*(1-AF45)+INDEX(Models!$BJ45:$BT45,,AH45+1)*AF45-ERP_i)*AE45*Ramure*Pc/MaxiM</f>
        <v>6.594284243089764E-4</v>
      </c>
      <c r="AE45" s="304">
        <f t="shared" si="15"/>
        <v>0.5</v>
      </c>
      <c r="AF45" s="176">
        <f t="shared" si="23"/>
        <v>0.33578859437884945</v>
      </c>
      <c r="AG45" s="814">
        <f t="shared" si="24"/>
        <v>1</v>
      </c>
      <c r="AH45" s="175">
        <f t="shared" si="16"/>
        <v>7</v>
      </c>
      <c r="AI45" s="224">
        <f t="shared" si="17"/>
        <v>1.3357885943788494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10">
        <f>'2023'!Wh/'2023'!Env_an*'2024'!Env_an</f>
        <v>13.315176114464645</v>
      </c>
      <c r="C46" s="843"/>
      <c r="D46" s="392">
        <f t="shared" si="0"/>
        <v>13.916205298687883</v>
      </c>
      <c r="E46" s="384">
        <f t="shared" si="1"/>
        <v>14.959255589865627</v>
      </c>
      <c r="F46" s="384">
        <f t="shared" si="2"/>
        <v>14.961033368670016</v>
      </c>
      <c r="G46" s="110">
        <f t="shared" si="21"/>
        <v>0.4308807429572174</v>
      </c>
      <c r="H46" s="413" t="b">
        <f>Wh_hp&gt;='2023'!Maxi_hp</f>
        <v>0</v>
      </c>
      <c r="I46" s="389">
        <f>IF(H46,Wh_hp,'2023'!Maxi_hp)</f>
        <v>27.773324166847818</v>
      </c>
      <c r="J46" s="85">
        <f>IF(H46,An,'2023'!An_max)</f>
        <v>2019</v>
      </c>
      <c r="K46" s="196">
        <f t="shared" si="3"/>
        <v>45323</v>
      </c>
      <c r="L46" s="147">
        <f>IF(t&lt;Tvie,1-EXP((T0-t)*PertePVj)+'2023'!Pspv,1-EXP((T0-t)*PertePVj)+Pspv)</f>
        <v>4.3189157627611864E-2</v>
      </c>
      <c r="M46" s="847"/>
      <c r="N46" s="847"/>
      <c r="O46" s="48">
        <f>IF(t&lt;Tnet,'2023'!Resal+('2023'!Salim-'2023'!Resal)*(1-EXP(('2023'!Tnet-t)/('2023'!Tau_j))),Resal+(Salim-Resal)*(1-EXP((Tnet-t)/(Tau_j))))*Salcycl</f>
        <v>6.9726082619002386E-2</v>
      </c>
      <c r="P46" s="168">
        <f>(INDEX(Models!$BJ46:$BT46,,T46)*(1-R46)+INDEX(Models!$BJ46:$BT46,,T46+1)*R46-ERP_i)*Q46*Ramure*Pc/MaxiM</f>
        <v>6.3445576700731608E-4</v>
      </c>
      <c r="Q46" s="304">
        <f t="shared" si="4"/>
        <v>0.5</v>
      </c>
      <c r="R46" s="176">
        <f t="shared" si="5"/>
        <v>0.33584832353311356</v>
      </c>
      <c r="S46" s="814">
        <f t="shared" si="6"/>
        <v>1</v>
      </c>
      <c r="T46" s="175">
        <f t="shared" si="7"/>
        <v>7</v>
      </c>
      <c r="U46" s="250">
        <f t="shared" si="8"/>
        <v>1.3358483235331136</v>
      </c>
      <c r="V46" s="382">
        <f t="shared" si="9"/>
        <v>30.886294715793937</v>
      </c>
      <c r="W46" s="401">
        <f t="shared" si="10"/>
        <v>13.315176114464645</v>
      </c>
      <c r="X46" s="157">
        <f t="shared" si="11"/>
        <v>45323</v>
      </c>
      <c r="Y46" s="384">
        <f t="shared" si="12"/>
        <v>13.111794122066035</v>
      </c>
      <c r="Z46" s="384">
        <f t="shared" si="22"/>
        <v>13.703642916039366</v>
      </c>
      <c r="AA46" s="385">
        <f t="shared" si="13"/>
        <v>14.959255589865627</v>
      </c>
      <c r="AB46" s="196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8.3935505098054114E-2</v>
      </c>
      <c r="AD46" s="230">
        <f>(INDEX(Models!$BJ46:$BT46,,AH46)*(1-AF46)+INDEX(Models!$BJ46:$BT46,,AH46+1)*AF46-ERP_i)*AE46*Ramure*Pc/MaxiM</f>
        <v>6.3445576700731608E-4</v>
      </c>
      <c r="AE46" s="304">
        <f t="shared" si="15"/>
        <v>0.5</v>
      </c>
      <c r="AF46" s="176">
        <f t="shared" si="23"/>
        <v>0.33584832353311356</v>
      </c>
      <c r="AG46" s="814">
        <f t="shared" si="24"/>
        <v>1</v>
      </c>
      <c r="AH46" s="175">
        <f t="shared" si="16"/>
        <v>7</v>
      </c>
      <c r="AI46" s="224">
        <f t="shared" si="17"/>
        <v>1.3358483235331136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10">
        <f>'2023'!Wh/'2023'!Env_an*'2024'!Env_an</f>
        <v>4.9209598740893812</v>
      </c>
      <c r="C47" s="843"/>
      <c r="D47" s="392">
        <f t="shared" si="0"/>
        <v>5.143197908080742</v>
      </c>
      <c r="E47" s="384">
        <f t="shared" si="1"/>
        <v>5.5288832944740651</v>
      </c>
      <c r="F47" s="384">
        <f t="shared" si="2"/>
        <v>5.5288832944740651</v>
      </c>
      <c r="G47" s="110">
        <f t="shared" si="21"/>
        <v>0.15759847532451693</v>
      </c>
      <c r="H47" s="413" t="b">
        <f>Wh_hp&gt;='2023'!Maxi_hp</f>
        <v>0</v>
      </c>
      <c r="I47" s="389">
        <f>IF(H47,Wh_hp,'2023'!Maxi_hp)</f>
        <v>31.04236433925411</v>
      </c>
      <c r="J47" s="85">
        <f>IF(H47,An,'2023'!An_max)</f>
        <v>2021</v>
      </c>
      <c r="K47" s="196">
        <f t="shared" si="3"/>
        <v>45324</v>
      </c>
      <c r="L47" s="147">
        <f>IF(t&lt;Tvie,1-EXP((T0-t)*PertePVj)+'2023'!Pspv,1-EXP((T0-t)*PertePVj)+Pspv)</f>
        <v>4.3210087957570399E-2</v>
      </c>
      <c r="M47" s="847"/>
      <c r="N47" s="847"/>
      <c r="O47" s="48">
        <f>IF(t&lt;Tnet,'2023'!Resal+('2023'!Salim-'2023'!Resal)*(1-EXP(('2023'!Tnet-t)/('2023'!Tau_j))),Resal+(Salim-Resal)*(1-EXP((Tnet-t)/(Tau_j))))*Salcycl</f>
        <v>6.9758279538800025E-2</v>
      </c>
      <c r="P47" s="168">
        <f>(INDEX(Models!$BJ47:$BT47,,T47)*(1-R47)+INDEX(Models!$BJ47:$BT47,,T47+1)*R47-ERP_i)*Q47*Ramure*Pc/MaxiM</f>
        <v>6.0984257299855548E-4</v>
      </c>
      <c r="Q47" s="304">
        <f t="shared" si="4"/>
        <v>0.5</v>
      </c>
      <c r="R47" s="176">
        <f t="shared" si="5"/>
        <v>0.33591053307226049</v>
      </c>
      <c r="S47" s="814">
        <f t="shared" si="6"/>
        <v>1</v>
      </c>
      <c r="T47" s="175">
        <f t="shared" si="7"/>
        <v>7</v>
      </c>
      <c r="U47" s="250">
        <f t="shared" si="8"/>
        <v>1.3359105330722605</v>
      </c>
      <c r="V47" s="382">
        <f t="shared" si="9"/>
        <v>31.205624630132942</v>
      </c>
      <c r="W47" s="401">
        <f t="shared" si="10"/>
        <v>4.9209598740893812</v>
      </c>
      <c r="X47" s="157">
        <f t="shared" si="11"/>
        <v>45324</v>
      </c>
      <c r="Y47" s="384">
        <f t="shared" si="12"/>
        <v>4.8458711459910093</v>
      </c>
      <c r="Z47" s="384">
        <f t="shared" si="22"/>
        <v>5.0647180587916933</v>
      </c>
      <c r="AA47" s="385">
        <f t="shared" si="13"/>
        <v>5.5288832944740651</v>
      </c>
      <c r="AB47" s="196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8.3952800404792374E-2</v>
      </c>
      <c r="AD47" s="230">
        <f>(INDEX(Models!$BJ47:$BT47,,AH47)*(1-AF47)+INDEX(Models!$BJ47:$BT47,,AH47+1)*AF47-ERP_i)*AE47*Ramure*Pc/MaxiM</f>
        <v>6.0984257299855548E-4</v>
      </c>
      <c r="AE47" s="304">
        <f t="shared" si="15"/>
        <v>0.5</v>
      </c>
      <c r="AF47" s="176">
        <f t="shared" si="23"/>
        <v>0.33591053307226049</v>
      </c>
      <c r="AG47" s="814">
        <f t="shared" si="24"/>
        <v>1</v>
      </c>
      <c r="AH47" s="175">
        <f t="shared" si="16"/>
        <v>7</v>
      </c>
      <c r="AI47" s="224">
        <f t="shared" si="17"/>
        <v>1.3359105330722605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10">
        <f>'2023'!Wh/'2023'!Env_an*'2024'!Env_an</f>
        <v>13.75154947607437</v>
      </c>
      <c r="C48" s="843"/>
      <c r="D48" s="392">
        <f t="shared" si="0"/>
        <v>14.372904778823667</v>
      </c>
      <c r="E48" s="384">
        <f t="shared" si="1"/>
        <v>15.451256322465268</v>
      </c>
      <c r="F48" s="384">
        <f t="shared" si="2"/>
        <v>15.453016890713283</v>
      </c>
      <c r="G48" s="110">
        <f t="shared" si="21"/>
        <v>0.43598404646933919</v>
      </c>
      <c r="H48" s="413" t="b">
        <f>Wh_hp&gt;='2023'!Maxi_hp</f>
        <v>0</v>
      </c>
      <c r="I48" s="389">
        <f>IF(H48,Wh_hp,'2023'!Maxi_hp)</f>
        <v>27.850010824525498</v>
      </c>
      <c r="J48" s="85">
        <f>IF(H48,An,'2023'!An_max)</f>
        <v>2020</v>
      </c>
      <c r="K48" s="196">
        <f t="shared" si="3"/>
        <v>45325</v>
      </c>
      <c r="L48" s="147">
        <f>IF(t&lt;Tvie,1-EXP((T0-t)*PertePVj)+'2023'!Pspv,1-EXP((T0-t)*PertePVj)+Pspv)</f>
        <v>4.3231017829100972E-2</v>
      </c>
      <c r="M48" s="847"/>
      <c r="N48" s="847"/>
      <c r="O48" s="48">
        <f>IF(t&lt;Tnet,'2023'!Resal+('2023'!Salim-'2023'!Resal)*(1-EXP(('2023'!Tnet-t)/('2023'!Tau_j))),Resal+(Salim-Resal)*(1-EXP((Tnet-t)/(Tau_j))))*Salcycl</f>
        <v>6.9790541373243337E-2</v>
      </c>
      <c r="P48" s="168">
        <f>(INDEX(Models!$BJ48:$BT48,,T48)*(1-R48)+INDEX(Models!$BJ48:$BT48,,T48+1)*R48-ERP_i)*Q48*Ramure*Pc/MaxiM</f>
        <v>5.8558916863132968E-4</v>
      </c>
      <c r="Q48" s="304">
        <f t="shared" si="4"/>
        <v>0.5</v>
      </c>
      <c r="R48" s="176">
        <f t="shared" si="5"/>
        <v>0.3359753248970403</v>
      </c>
      <c r="S48" s="814">
        <f t="shared" si="6"/>
        <v>1</v>
      </c>
      <c r="T48" s="175">
        <f t="shared" si="7"/>
        <v>7</v>
      </c>
      <c r="U48" s="250">
        <f t="shared" si="8"/>
        <v>1.3359753248970403</v>
      </c>
      <c r="V48" s="382">
        <f t="shared" si="9"/>
        <v>31.52652673720225</v>
      </c>
      <c r="W48" s="401">
        <f t="shared" si="10"/>
        <v>13.75154947607437</v>
      </c>
      <c r="X48" s="157">
        <f t="shared" si="11"/>
        <v>45325</v>
      </c>
      <c r="Y48" s="384">
        <f t="shared" si="12"/>
        <v>13.54192762887234</v>
      </c>
      <c r="Z48" s="384">
        <f t="shared" si="22"/>
        <v>14.153811297420873</v>
      </c>
      <c r="AA48" s="385">
        <f t="shared" si="13"/>
        <v>15.451256322465268</v>
      </c>
      <c r="AB48" s="196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8.3970196207151293E-2</v>
      </c>
      <c r="AD48" s="230">
        <f>(INDEX(Models!$BJ48:$BT48,,AH48)*(1-AF48)+INDEX(Models!$BJ48:$BT48,,AH48+1)*AF48-ERP_i)*AE48*Ramure*Pc/MaxiM</f>
        <v>5.8558916863132968E-4</v>
      </c>
      <c r="AE48" s="304">
        <f t="shared" si="15"/>
        <v>0.5</v>
      </c>
      <c r="AF48" s="176">
        <f t="shared" si="23"/>
        <v>0.3359753248970403</v>
      </c>
      <c r="AG48" s="814">
        <f t="shared" si="24"/>
        <v>1</v>
      </c>
      <c r="AH48" s="175">
        <f t="shared" si="16"/>
        <v>7</v>
      </c>
      <c r="AI48" s="224">
        <f t="shared" si="17"/>
        <v>1.3359753248970403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10">
        <f>'2023'!Wh/'2023'!Env_an*'2024'!Env_an</f>
        <v>11.442648947517682</v>
      </c>
      <c r="C49" s="843"/>
      <c r="D49" s="392">
        <f t="shared" si="0"/>
        <v>11.959939625207205</v>
      </c>
      <c r="E49" s="384">
        <f t="shared" si="1"/>
        <v>12.857701139583662</v>
      </c>
      <c r="F49" s="384">
        <f t="shared" si="2"/>
        <v>12.85831280272312</v>
      </c>
      <c r="G49" s="110">
        <f t="shared" si="21"/>
        <v>0.35909773941118861</v>
      </c>
      <c r="H49" s="413" t="b">
        <f>Wh_hp&gt;='2023'!Maxi_hp</f>
        <v>0</v>
      </c>
      <c r="I49" s="389">
        <f>IF(H49,Wh_hp,'2023'!Maxi_hp)</f>
        <v>29.1914143774355</v>
      </c>
      <c r="J49" s="85">
        <f>IF(H49,An,'2023'!An_max)</f>
        <v>2019</v>
      </c>
      <c r="K49" s="196">
        <f t="shared" si="3"/>
        <v>45326</v>
      </c>
      <c r="L49" s="147">
        <f>IF(t&lt;Tvie,1-EXP((T0-t)*PertePVj)+'2023'!Pspv,1-EXP((T0-t)*PertePVj)+Pspv)</f>
        <v>4.3251947242213686E-2</v>
      </c>
      <c r="M49" s="847"/>
      <c r="N49" s="847"/>
      <c r="O49" s="48">
        <f>IF(t&lt;Tnet,'2023'!Resal+('2023'!Salim-'2023'!Resal)*(1-EXP(('2023'!Tnet-t)/('2023'!Tau_j))),Resal+(Salim-Resal)*(1-EXP((Tnet-t)/(Tau_j))))*Salcycl</f>
        <v>6.9822863716486022E-2</v>
      </c>
      <c r="P49" s="168">
        <f>(INDEX(Models!$BJ49:$BT49,,T49)*(1-R49)+INDEX(Models!$BJ49:$BT49,,T49+1)*R49-ERP_i)*Q49*Ramure*Pc/MaxiM</f>
        <v>5.6169442659414288E-4</v>
      </c>
      <c r="Q49" s="304">
        <f t="shared" si="4"/>
        <v>0.5</v>
      </c>
      <c r="R49" s="176">
        <f t="shared" si="5"/>
        <v>0.33604280500065986</v>
      </c>
      <c r="S49" s="814">
        <f t="shared" si="6"/>
        <v>1</v>
      </c>
      <c r="T49" s="175">
        <f t="shared" si="7"/>
        <v>7</v>
      </c>
      <c r="U49" s="250">
        <f t="shared" si="8"/>
        <v>1.3360428050006599</v>
      </c>
      <c r="V49" s="382">
        <f t="shared" si="9"/>
        <v>31.848615184900929</v>
      </c>
      <c r="W49" s="401">
        <f t="shared" si="10"/>
        <v>11.442648947517682</v>
      </c>
      <c r="X49" s="157">
        <f t="shared" si="11"/>
        <v>45326</v>
      </c>
      <c r="Y49" s="384">
        <f t="shared" si="12"/>
        <v>11.26839923209905</v>
      </c>
      <c r="Z49" s="384">
        <f t="shared" si="22"/>
        <v>11.777812559553542</v>
      </c>
      <c r="AA49" s="385">
        <f t="shared" si="13"/>
        <v>12.857701139583662</v>
      </c>
      <c r="AB49" s="196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8.3987687091713475E-2</v>
      </c>
      <c r="AD49" s="230">
        <f>(INDEX(Models!$BJ49:$BT49,,AH49)*(1-AF49)+INDEX(Models!$BJ49:$BT49,,AH49+1)*AF49-ERP_i)*AE49*Ramure*Pc/MaxiM</f>
        <v>5.6169442659414288E-4</v>
      </c>
      <c r="AE49" s="304">
        <f t="shared" si="15"/>
        <v>0.5</v>
      </c>
      <c r="AF49" s="176">
        <f t="shared" si="23"/>
        <v>0.33604280500065986</v>
      </c>
      <c r="AG49" s="814">
        <f t="shared" si="24"/>
        <v>1</v>
      </c>
      <c r="AH49" s="175">
        <f t="shared" si="16"/>
        <v>7</v>
      </c>
      <c r="AI49" s="224">
        <f t="shared" si="17"/>
        <v>1.3360428050006599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10">
        <f>'2023'!Wh/'2023'!Env_an*'2024'!Env_an</f>
        <v>9.4822176567109207</v>
      </c>
      <c r="C50" s="843"/>
      <c r="D50" s="392">
        <f t="shared" si="0"/>
        <v>9.9110994355613151</v>
      </c>
      <c r="E50" s="384">
        <f t="shared" si="1"/>
        <v>10.655437602503222</v>
      </c>
      <c r="F50" s="384">
        <f t="shared" si="2"/>
        <v>10.655437602503222</v>
      </c>
      <c r="G50" s="110">
        <f t="shared" si="21"/>
        <v>0.29458102656202068</v>
      </c>
      <c r="H50" s="413" t="b">
        <f>Wh_hp&gt;='2023'!Maxi_hp</f>
        <v>0</v>
      </c>
      <c r="I50" s="389">
        <f>IF(H50,Wh_hp,'2023'!Maxi_hp)</f>
        <v>36.34952786245141</v>
      </c>
      <c r="J50" s="85">
        <f>IF(H50,An,'2023'!An_max)</f>
        <v>2020</v>
      </c>
      <c r="K50" s="196">
        <f t="shared" si="3"/>
        <v>45327</v>
      </c>
      <c r="L50" s="147">
        <f>IF(t&lt;Tvie,1-EXP((T0-t)*PertePVj)+'2023'!Pspv,1-EXP((T0-t)*PertePVj)+Pspv)</f>
        <v>4.3272876196918532E-2</v>
      </c>
      <c r="M50" s="847"/>
      <c r="N50" s="847"/>
      <c r="O50" s="48">
        <f>IF(t&lt;Tnet,'2023'!Resal+('2023'!Salim-'2023'!Resal)*(1-EXP(('2023'!Tnet-t)/('2023'!Tau_j))),Resal+(Salim-Resal)*(1-EXP((Tnet-t)/(Tau_j))))*Salcycl</f>
        <v>6.9855241493511661E-2</v>
      </c>
      <c r="P50" s="168">
        <f>(INDEX(Models!$BJ50:$BT50,,T50)*(1-R50)+INDEX(Models!$BJ50:$BT50,,T50+1)*R50-ERP_i)*Q50*Ramure*Pc/MaxiM</f>
        <v>5.3815589600782871E-4</v>
      </c>
      <c r="Q50" s="304">
        <f t="shared" si="4"/>
        <v>0.5</v>
      </c>
      <c r="R50" s="176">
        <f t="shared" si="5"/>
        <v>0.33611308362512848</v>
      </c>
      <c r="S50" s="814">
        <f t="shared" si="6"/>
        <v>1</v>
      </c>
      <c r="T50" s="175">
        <f t="shared" si="7"/>
        <v>7</v>
      </c>
      <c r="U50" s="250">
        <f t="shared" si="8"/>
        <v>1.3361130836251285</v>
      </c>
      <c r="V50" s="382">
        <f t="shared" si="9"/>
        <v>32.171504241046001</v>
      </c>
      <c r="W50" s="401">
        <f t="shared" si="10"/>
        <v>9.4822176567109207</v>
      </c>
      <c r="X50" s="157">
        <f t="shared" si="11"/>
        <v>45327</v>
      </c>
      <c r="Y50" s="384">
        <f t="shared" si="12"/>
        <v>9.3379673999474679</v>
      </c>
      <c r="Z50" s="384">
        <f t="shared" si="22"/>
        <v>9.7603247233423858</v>
      </c>
      <c r="AA50" s="385">
        <f t="shared" si="13"/>
        <v>10.655437602503222</v>
      </c>
      <c r="AB50" s="196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8.4005266846154975E-2</v>
      </c>
      <c r="AD50" s="230">
        <f>(INDEX(Models!$BJ50:$BT50,,AH50)*(1-AF50)+INDEX(Models!$BJ50:$BT50,,AH50+1)*AF50-ERP_i)*AE50*Ramure*Pc/MaxiM</f>
        <v>5.3815589600782871E-4</v>
      </c>
      <c r="AE50" s="304">
        <f t="shared" si="15"/>
        <v>0.5</v>
      </c>
      <c r="AF50" s="176">
        <f t="shared" si="23"/>
        <v>0.33611308362512848</v>
      </c>
      <c r="AG50" s="814">
        <f t="shared" si="24"/>
        <v>1</v>
      </c>
      <c r="AH50" s="175">
        <f t="shared" si="16"/>
        <v>7</v>
      </c>
      <c r="AI50" s="224">
        <f t="shared" si="17"/>
        <v>1.3361130836251285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10">
        <f>'2023'!Wh/'2023'!Env_an*'2024'!Env_an</f>
        <v>21.471818250962539</v>
      </c>
      <c r="C51" s="843"/>
      <c r="D51" s="392">
        <f t="shared" si="0"/>
        <v>22.443481976279511</v>
      </c>
      <c r="E51" s="384">
        <f t="shared" si="1"/>
        <v>24.129861768896486</v>
      </c>
      <c r="F51" s="384">
        <f t="shared" si="2"/>
        <v>24.136266149092172</v>
      </c>
      <c r="G51" s="110">
        <f t="shared" si="21"/>
        <v>0.66054986572474528</v>
      </c>
      <c r="H51" s="413" t="b">
        <f>Wh_hp&gt;='2023'!Maxi_hp</f>
        <v>0</v>
      </c>
      <c r="I51" s="389">
        <f>IF(H51,Wh_hp,'2023'!Maxi_hp)</f>
        <v>37.913350711029565</v>
      </c>
      <c r="J51" s="85">
        <f>IF(H51,An,'2023'!An_max)</f>
        <v>2020</v>
      </c>
      <c r="K51" s="196">
        <f t="shared" si="3"/>
        <v>45328</v>
      </c>
      <c r="L51" s="147">
        <f>IF(t&lt;Tvie,1-EXP((T0-t)*PertePVj)+'2023'!Pspv,1-EXP((T0-t)*PertePVj)+Pspv)</f>
        <v>4.3293804693225503E-2</v>
      </c>
      <c r="M51" s="847"/>
      <c r="N51" s="847"/>
      <c r="O51" s="48">
        <f>IF(t&lt;Tnet,'2023'!Resal+('2023'!Salim-'2023'!Resal)*(1-EXP(('2023'!Tnet-t)/('2023'!Tau_j))),Resal+(Salim-Resal)*(1-EXP((Tnet-t)/(Tau_j))))*Salcycl</f>
        <v>6.9887669012291154E-2</v>
      </c>
      <c r="P51" s="168">
        <f>(INDEX(Models!$BJ51:$BT51,,T51)*(1-R51)+INDEX(Models!$BJ51:$BT51,,T51+1)*R51-ERP_i)*Q51*Ramure*Pc/MaxiM</f>
        <v>5.1492157159399826E-4</v>
      </c>
      <c r="Q51" s="304">
        <f t="shared" si="4"/>
        <v>0.5</v>
      </c>
      <c r="R51" s="176">
        <f t="shared" si="5"/>
        <v>0.33618627542288504</v>
      </c>
      <c r="S51" s="814">
        <f t="shared" si="6"/>
        <v>1</v>
      </c>
      <c r="T51" s="175">
        <f t="shared" si="7"/>
        <v>7</v>
      </c>
      <c r="U51" s="250">
        <f t="shared" si="8"/>
        <v>1.336186275422885</v>
      </c>
      <c r="V51" s="382">
        <f t="shared" si="9"/>
        <v>32.49786129512583</v>
      </c>
      <c r="W51" s="401">
        <f t="shared" si="10"/>
        <v>21.471818250962539</v>
      </c>
      <c r="X51" s="157">
        <f t="shared" si="11"/>
        <v>45328</v>
      </c>
      <c r="Y51" s="384">
        <f t="shared" si="12"/>
        <v>21.145503124250208</v>
      </c>
      <c r="Z51" s="384">
        <f t="shared" si="22"/>
        <v>22.102400118219947</v>
      </c>
      <c r="AA51" s="385">
        <f t="shared" si="13"/>
        <v>24.129861768896486</v>
      </c>
      <c r="AB51" s="196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8.4022928522945226E-2</v>
      </c>
      <c r="AD51" s="230">
        <f>(INDEX(Models!$BJ51:$BT51,,AH51)*(1-AF51)+INDEX(Models!$BJ51:$BT51,,AH51+1)*AF51-ERP_i)*AE51*Ramure*Pc/MaxiM</f>
        <v>5.1492157159399826E-4</v>
      </c>
      <c r="AE51" s="304">
        <f t="shared" si="15"/>
        <v>0.5</v>
      </c>
      <c r="AF51" s="176">
        <f t="shared" si="23"/>
        <v>0.33618627542288504</v>
      </c>
      <c r="AG51" s="814">
        <f t="shared" si="24"/>
        <v>1</v>
      </c>
      <c r="AH51" s="175">
        <f t="shared" si="16"/>
        <v>7</v>
      </c>
      <c r="AI51" s="224">
        <f t="shared" si="17"/>
        <v>1.336186275422885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10">
        <f>'2023'!Wh/'2023'!Env_an*'2024'!Env_an</f>
        <v>13.289390969915505</v>
      </c>
      <c r="C52" s="843"/>
      <c r="D52" s="392">
        <f t="shared" si="0"/>
        <v>13.8910793597293</v>
      </c>
      <c r="E52" s="384">
        <f t="shared" si="1"/>
        <v>14.935361959266176</v>
      </c>
      <c r="F52" s="384">
        <f t="shared" si="2"/>
        <v>14.936464390655825</v>
      </c>
      <c r="G52" s="110">
        <f t="shared" si="21"/>
        <v>0.40462524459240767</v>
      </c>
      <c r="H52" s="413" t="b">
        <f>Wh_hp&gt;='2023'!Maxi_hp</f>
        <v>0</v>
      </c>
      <c r="I52" s="389">
        <f>IF(H52,Wh_hp,'2023'!Maxi_hp)</f>
        <v>24.755005366085477</v>
      </c>
      <c r="J52" s="85">
        <f>IF(H52,An,'2023'!An_max)</f>
        <v>2021</v>
      </c>
      <c r="K52" s="196">
        <f t="shared" si="3"/>
        <v>45329</v>
      </c>
      <c r="L52" s="147">
        <f>IF(t&lt;Tvie,1-EXP((T0-t)*PertePVj)+'2023'!Pspv,1-EXP((T0-t)*PertePVj)+Pspv)</f>
        <v>4.3314732731144702E-2</v>
      </c>
      <c r="M52" s="847"/>
      <c r="N52" s="847"/>
      <c r="O52" s="48">
        <f>IF(t&lt;Tnet,'2023'!Resal+('2023'!Salim-'2023'!Resal)*(1-EXP(('2023'!Tnet-t)/('2023'!Tau_j))),Resal+(Salim-Resal)*(1-EXP((Tnet-t)/(Tau_j))))*Salcycl</f>
        <v>6.9920140026401068E-2</v>
      </c>
      <c r="P52" s="168">
        <f>(INDEX(Models!$BJ52:$BT52,,T52)*(1-R52)+INDEX(Models!$BJ52:$BT52,,T52+1)*R52-ERP_i)*Q52*Ramure*Pc/MaxiM</f>
        <v>4.9301649003368148E-4</v>
      </c>
      <c r="Q52" s="304">
        <f t="shared" si="4"/>
        <v>0.5</v>
      </c>
      <c r="R52" s="176">
        <f t="shared" si="5"/>
        <v>0.33626249962382593</v>
      </c>
      <c r="S52" s="814">
        <f t="shared" si="6"/>
        <v>1</v>
      </c>
      <c r="T52" s="175">
        <f t="shared" si="7"/>
        <v>7</v>
      </c>
      <c r="U52" s="250">
        <f t="shared" si="8"/>
        <v>1.3362624996238259</v>
      </c>
      <c r="V52" s="382">
        <f t="shared" si="9"/>
        <v>32.829932663476647</v>
      </c>
      <c r="W52" s="401">
        <f t="shared" si="10"/>
        <v>13.289390969915505</v>
      </c>
      <c r="X52" s="157">
        <f t="shared" si="11"/>
        <v>45329</v>
      </c>
      <c r="Y52" s="384">
        <f t="shared" si="12"/>
        <v>13.087630692425485</v>
      </c>
      <c r="Z52" s="384">
        <f t="shared" si="22"/>
        <v>13.680184215429644</v>
      </c>
      <c r="AA52" s="385">
        <f t="shared" si="13"/>
        <v>14.935361959266176</v>
      </c>
      <c r="AB52" s="196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8.4040664515518851E-2</v>
      </c>
      <c r="AD52" s="230">
        <f>(INDEX(Models!$BJ52:$BT52,,AH52)*(1-AF52)+INDEX(Models!$BJ52:$BT52,,AH52+1)*AF52-ERP_i)*AE52*Ramure*Pc/MaxiM</f>
        <v>4.9301649003368148E-4</v>
      </c>
      <c r="AE52" s="304">
        <f t="shared" si="15"/>
        <v>0.5</v>
      </c>
      <c r="AF52" s="176">
        <f t="shared" si="23"/>
        <v>0.33626249962382593</v>
      </c>
      <c r="AG52" s="814">
        <f t="shared" si="24"/>
        <v>1</v>
      </c>
      <c r="AH52" s="175">
        <f t="shared" si="16"/>
        <v>7</v>
      </c>
      <c r="AI52" s="224">
        <f t="shared" si="17"/>
        <v>1.3362624996238259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10">
        <f>'2023'!Wh/'2023'!Env_an*'2024'!Env_an</f>
        <v>33.535426668950976</v>
      </c>
      <c r="C53" s="843"/>
      <c r="D53" s="392">
        <f t="shared" si="0"/>
        <v>35.054538230035767</v>
      </c>
      <c r="E53" s="384">
        <f t="shared" si="1"/>
        <v>37.691132765862207</v>
      </c>
      <c r="F53" s="384">
        <f t="shared" si="2"/>
        <v>37.708985818537435</v>
      </c>
      <c r="G53" s="110">
        <f t="shared" si="21"/>
        <v>1.0111167718204532</v>
      </c>
      <c r="H53" s="413" t="b">
        <f>Wh_hp&gt;='2023'!Maxi_hp</f>
        <v>1</v>
      </c>
      <c r="I53" s="389">
        <f>IF(H53,Wh_hp,'2023'!Maxi_hp)</f>
        <v>37.708985818537435</v>
      </c>
      <c r="J53" s="85">
        <f>IF(H53,An,'2023'!An_max)</f>
        <v>2024</v>
      </c>
      <c r="K53" s="196">
        <f t="shared" si="3"/>
        <v>45330</v>
      </c>
      <c r="L53" s="147">
        <f>IF(t&lt;Tvie,1-EXP((T0-t)*PertePVj)+'2023'!Pspv,1-EXP((T0-t)*PertePVj)+Pspv)</f>
        <v>4.3335660310686232E-2</v>
      </c>
      <c r="M53" s="847"/>
      <c r="N53" s="847"/>
      <c r="O53" s="48">
        <f>IF(t&lt;Tnet,'2023'!Resal+('2023'!Salim-'2023'!Resal)*(1-EXP(('2023'!Tnet-t)/('2023'!Tau_j))),Resal+(Salim-Resal)*(1-EXP((Tnet-t)/(Tau_j))))*Salcycl</f>
        <v>6.9952647807244139E-2</v>
      </c>
      <c r="P53" s="168">
        <f>(INDEX(Models!$BJ53:$BT53,,T53)*(1-R53)+INDEX(Models!$BJ53:$BT53,,T53+1)*R53-ERP_i)*Q53*Ramure*Pc/MaxiM</f>
        <v>4.734429284611307E-4</v>
      </c>
      <c r="Q53" s="304">
        <f t="shared" si="4"/>
        <v>0.5</v>
      </c>
      <c r="R53" s="176">
        <f t="shared" si="5"/>
        <v>0.3363418802078455</v>
      </c>
      <c r="S53" s="814">
        <f t="shared" si="6"/>
        <v>1</v>
      </c>
      <c r="T53" s="175">
        <f t="shared" si="7"/>
        <v>7</v>
      </c>
      <c r="U53" s="250">
        <f t="shared" si="8"/>
        <v>1.3363418802078455</v>
      </c>
      <c r="V53" s="382">
        <f t="shared" si="9"/>
        <v>33.166719812759624</v>
      </c>
      <c r="W53" s="401">
        <f t="shared" si="10"/>
        <v>33.535426668950976</v>
      </c>
      <c r="X53" s="157">
        <f t="shared" si="11"/>
        <v>45330</v>
      </c>
      <c r="Y53" s="384">
        <f t="shared" si="12"/>
        <v>33.026802401430778</v>
      </c>
      <c r="Z53" s="384">
        <f t="shared" si="22"/>
        <v>34.522873939418041</v>
      </c>
      <c r="AA53" s="385">
        <f t="shared" si="13"/>
        <v>37.691132765862207</v>
      </c>
      <c r="AB53" s="196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8.4058466645866761E-2</v>
      </c>
      <c r="AD53" s="230">
        <f>(INDEX(Models!$BJ53:$BT53,,AH53)*(1-AF53)+INDEX(Models!$BJ53:$BT53,,AH53+1)*AF53-ERP_i)*AE53*Ramure*Pc/MaxiM</f>
        <v>4.734429284611307E-4</v>
      </c>
      <c r="AE53" s="304">
        <f t="shared" si="15"/>
        <v>0.5</v>
      </c>
      <c r="AF53" s="176">
        <f t="shared" si="23"/>
        <v>0.3363418802078455</v>
      </c>
      <c r="AG53" s="814">
        <f t="shared" si="24"/>
        <v>1</v>
      </c>
      <c r="AH53" s="175">
        <f t="shared" si="16"/>
        <v>7</v>
      </c>
      <c r="AI53" s="224">
        <f t="shared" si="17"/>
        <v>1.3363418802078455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10">
        <f>'2023'!Wh/'2023'!Env_an*'2024'!Env_an</f>
        <v>33.625429269496429</v>
      </c>
      <c r="C54" s="843"/>
      <c r="D54" s="392">
        <f t="shared" si="0"/>
        <v>35.149386728360867</v>
      </c>
      <c r="E54" s="384">
        <f t="shared" si="1"/>
        <v>37.794437432549991</v>
      </c>
      <c r="F54" s="384">
        <f t="shared" si="2"/>
        <v>37.811685305334407</v>
      </c>
      <c r="G54" s="110">
        <f t="shared" si="21"/>
        <v>1.0035267302787512</v>
      </c>
      <c r="H54" s="413" t="b">
        <f>Wh_hp&gt;='2023'!Maxi_hp</f>
        <v>1</v>
      </c>
      <c r="I54" s="389">
        <f>IF(H54,Wh_hp,'2023'!Maxi_hp)</f>
        <v>37.811685305334407</v>
      </c>
      <c r="J54" s="85">
        <f>IF(H54,An,'2023'!An_max)</f>
        <v>2024</v>
      </c>
      <c r="K54" s="196">
        <f t="shared" si="3"/>
        <v>45331</v>
      </c>
      <c r="L54" s="147">
        <f>IF(t&lt;Tvie,1-EXP((T0-t)*PertePVj)+'2023'!Pspv,1-EXP((T0-t)*PertePVj)+Pspv)</f>
        <v>4.3356587431859973E-2</v>
      </c>
      <c r="M54" s="847"/>
      <c r="N54" s="847"/>
      <c r="O54" s="48">
        <f>IF(t&lt;Tnet,'2023'!Resal+('2023'!Salim-'2023'!Resal)*(1-EXP(('2023'!Tnet-t)/('2023'!Tau_j))),Resal+(Salim-Resal)*(1-EXP((Tnet-t)/(Tau_j))))*Salcycl</f>
        <v>6.9985185224932217E-2</v>
      </c>
      <c r="P54" s="168">
        <f>(INDEX(Models!$BJ54:$BT54,,T54)*(1-R54)+INDEX(Models!$BJ54:$BT54,,T54+1)*R54-ERP_i)*Q54*Ramure*Pc/MaxiM</f>
        <v>4.5615191825321724E-4</v>
      </c>
      <c r="Q54" s="304">
        <f t="shared" si="4"/>
        <v>0.5</v>
      </c>
      <c r="R54" s="176">
        <f t="shared" si="5"/>
        <v>0.33642454608300021</v>
      </c>
      <c r="S54" s="814">
        <f t="shared" si="6"/>
        <v>1</v>
      </c>
      <c r="T54" s="175">
        <f t="shared" si="7"/>
        <v>7</v>
      </c>
      <c r="U54" s="250">
        <f t="shared" si="8"/>
        <v>1.3364245460830002</v>
      </c>
      <c r="V54" s="382">
        <f t="shared" si="9"/>
        <v>33.507258207418396</v>
      </c>
      <c r="W54" s="401">
        <f t="shared" si="10"/>
        <v>33.625429269496429</v>
      </c>
      <c r="X54" s="157">
        <f t="shared" si="11"/>
        <v>45331</v>
      </c>
      <c r="Y54" s="384">
        <f t="shared" si="12"/>
        <v>33.11595279798842</v>
      </c>
      <c r="Z54" s="384">
        <f t="shared" si="22"/>
        <v>34.616819980067163</v>
      </c>
      <c r="AA54" s="385">
        <f t="shared" si="13"/>
        <v>37.794437432549991</v>
      </c>
      <c r="AB54" s="196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8.4076326262397083E-2</v>
      </c>
      <c r="AD54" s="230">
        <f>(INDEX(Models!$BJ54:$BT54,,AH54)*(1-AF54)+INDEX(Models!$BJ54:$BT54,,AH54+1)*AF54-ERP_i)*AE54*Ramure*Pc/MaxiM</f>
        <v>4.5615191825321724E-4</v>
      </c>
      <c r="AE54" s="304">
        <f t="shared" si="15"/>
        <v>0.5</v>
      </c>
      <c r="AF54" s="176">
        <f t="shared" si="23"/>
        <v>0.33642454608300021</v>
      </c>
      <c r="AG54" s="814">
        <f t="shared" si="24"/>
        <v>1</v>
      </c>
      <c r="AH54" s="175">
        <f t="shared" si="16"/>
        <v>7</v>
      </c>
      <c r="AI54" s="224">
        <f t="shared" si="17"/>
        <v>1.3364245460830002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10">
        <f>'2023'!Wh/'2023'!Env_an*'2024'!Env_an</f>
        <v>31.472109549974746</v>
      </c>
      <c r="C55" s="843"/>
      <c r="D55" s="392">
        <f t="shared" si="0"/>
        <v>32.899194837752866</v>
      </c>
      <c r="E55" s="384">
        <f t="shared" si="1"/>
        <v>35.376153313785721</v>
      </c>
      <c r="F55" s="384">
        <f t="shared" si="2"/>
        <v>35.390196756806382</v>
      </c>
      <c r="G55" s="110">
        <f t="shared" si="21"/>
        <v>0.92969491952282213</v>
      </c>
      <c r="H55" s="413" t="b">
        <f>Wh_hp&gt;='2023'!Maxi_hp</f>
        <v>0</v>
      </c>
      <c r="I55" s="389">
        <f>IF(H55,Wh_hp,'2023'!Maxi_hp)</f>
        <v>35.390836884509106</v>
      </c>
      <c r="J55" s="85">
        <f>IF(H55,An,'2023'!An_max)</f>
        <v>2022</v>
      </c>
      <c r="K55" s="196">
        <f t="shared" si="3"/>
        <v>45332</v>
      </c>
      <c r="L55" s="147">
        <f>IF(t&lt;Tvie,1-EXP((T0-t)*PertePVj)+'2023'!Pspv,1-EXP((T0-t)*PertePVj)+Pspv)</f>
        <v>4.3377514094676141E-2</v>
      </c>
      <c r="M55" s="847"/>
      <c r="N55" s="847"/>
      <c r="O55" s="48">
        <f>IF(t&lt;Tnet,'2023'!Resal+('2023'!Salim-'2023'!Resal)*(1-EXP(('2023'!Tnet-t)/('2023'!Tau_j))),Resal+(Salim-Resal)*(1-EXP((Tnet-t)/(Tau_j))))*Salcycl</f>
        <v>7.0017744836819551E-2</v>
      </c>
      <c r="P55" s="168">
        <f>(INDEX(Models!$BJ55:$BT55,,T55)*(1-R55)+INDEX(Models!$BJ55:$BT55,,T55+1)*R55-ERP_i)*Q55*Ramure*Pc/MaxiM</f>
        <v>4.410929015847162E-4</v>
      </c>
      <c r="Q55" s="304">
        <f t="shared" si="4"/>
        <v>0.5</v>
      </c>
      <c r="R55" s="176">
        <f t="shared" si="5"/>
        <v>0.33651063126939773</v>
      </c>
      <c r="S55" s="814">
        <f t="shared" si="6"/>
        <v>1</v>
      </c>
      <c r="T55" s="175">
        <f t="shared" si="7"/>
        <v>7</v>
      </c>
      <c r="U55" s="250">
        <f t="shared" si="8"/>
        <v>1.3365106312693977</v>
      </c>
      <c r="V55" s="382">
        <f t="shared" si="9"/>
        <v>33.850583551646167</v>
      </c>
      <c r="W55" s="401">
        <f t="shared" si="10"/>
        <v>31.472109549974746</v>
      </c>
      <c r="X55" s="157">
        <f t="shared" si="11"/>
        <v>45332</v>
      </c>
      <c r="Y55" s="384">
        <f t="shared" si="12"/>
        <v>30.995738288610724</v>
      </c>
      <c r="Z55" s="384">
        <f t="shared" si="22"/>
        <v>32.401222786726706</v>
      </c>
      <c r="AA55" s="385">
        <f t="shared" si="13"/>
        <v>35.376153313785721</v>
      </c>
      <c r="AB55" s="196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8.4094234346833857E-2</v>
      </c>
      <c r="AD55" s="230">
        <f>(INDEX(Models!$BJ55:$BT55,,AH55)*(1-AF55)+INDEX(Models!$BJ55:$BT55,,AH55+1)*AF55-ERP_i)*AE55*Ramure*Pc/MaxiM</f>
        <v>4.410929015847162E-4</v>
      </c>
      <c r="AE55" s="304">
        <f t="shared" si="15"/>
        <v>0.5</v>
      </c>
      <c r="AF55" s="176">
        <f t="shared" si="23"/>
        <v>0.33651063126939773</v>
      </c>
      <c r="AG55" s="814">
        <f t="shared" si="24"/>
        <v>1</v>
      </c>
      <c r="AH55" s="175">
        <f t="shared" si="16"/>
        <v>7</v>
      </c>
      <c r="AI55" s="224">
        <f t="shared" si="17"/>
        <v>1.3365106312693977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10">
        <f>'2023'!Wh/'2023'!Env_an*'2024'!Env_an</f>
        <v>14.646051772375394</v>
      </c>
      <c r="C56" s="843"/>
      <c r="D56" s="392">
        <f t="shared" si="0"/>
        <v>15.310503755560935</v>
      </c>
      <c r="E56" s="384">
        <f t="shared" si="1"/>
        <v>16.463798061429447</v>
      </c>
      <c r="F56" s="384">
        <f t="shared" si="2"/>
        <v>16.465090339794305</v>
      </c>
      <c r="G56" s="110">
        <f t="shared" si="21"/>
        <v>0.42815077980331956</v>
      </c>
      <c r="H56" s="413" t="b">
        <f>Wh_hp&gt;='2023'!Maxi_hp</f>
        <v>0</v>
      </c>
      <c r="I56" s="389">
        <f>IF(H56,Wh_hp,'2023'!Maxi_hp)</f>
        <v>33.522126825040729</v>
      </c>
      <c r="J56" s="85">
        <f>IF(H56,An,'2023'!An_max)</f>
        <v>2021</v>
      </c>
      <c r="K56" s="196">
        <f t="shared" si="3"/>
        <v>45333</v>
      </c>
      <c r="L56" s="147">
        <f>IF(t&lt;Tvie,1-EXP((T0-t)*PertePVj)+'2023'!Pspv,1-EXP((T0-t)*PertePVj)+Pspv)</f>
        <v>4.3398440299144615E-2</v>
      </c>
      <c r="M56" s="847"/>
      <c r="N56" s="847"/>
      <c r="O56" s="48">
        <f>IF(t&lt;Tnet,'2023'!Resal+('2023'!Salim-'2023'!Resal)*(1-EXP(('2023'!Tnet-t)/('2023'!Tau_j))),Resal+(Salim-Resal)*(1-EXP((Tnet-t)/(Tau_j))))*Salcycl</f>
        <v>7.0050318982616169E-2</v>
      </c>
      <c r="P56" s="168">
        <f>(INDEX(Models!$BJ56:$BT56,,T56)*(1-R56)+INDEX(Models!$BJ56:$BT56,,T56+1)*R56-ERP_i)*Q56*Ramure*Pc/MaxiM</f>
        <v>4.282145050666009E-4</v>
      </c>
      <c r="Q56" s="304">
        <f t="shared" si="4"/>
        <v>0.5</v>
      </c>
      <c r="R56" s="176">
        <f t="shared" si="5"/>
        <v>0.33660027508891455</v>
      </c>
      <c r="S56" s="814">
        <f t="shared" si="6"/>
        <v>1</v>
      </c>
      <c r="T56" s="175">
        <f t="shared" si="7"/>
        <v>7</v>
      </c>
      <c r="U56" s="250">
        <f t="shared" si="8"/>
        <v>1.3366002750889145</v>
      </c>
      <c r="V56" s="382">
        <f t="shared" si="9"/>
        <v>34.195731780811528</v>
      </c>
      <c r="W56" s="401">
        <f t="shared" si="10"/>
        <v>14.646051772375394</v>
      </c>
      <c r="X56" s="157">
        <f t="shared" si="11"/>
        <v>45333</v>
      </c>
      <c r="Y56" s="384">
        <f t="shared" si="12"/>
        <v>14.424587350657983</v>
      </c>
      <c r="Z56" s="384">
        <f t="shared" si="22"/>
        <v>15.078992088585746</v>
      </c>
      <c r="AA56" s="385">
        <f t="shared" si="13"/>
        <v>16.463798061429447</v>
      </c>
      <c r="AB56" s="196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8.4112181628852339E-2</v>
      </c>
      <c r="AD56" s="230">
        <f>(INDEX(Models!$BJ56:$BT56,,AH56)*(1-AF56)+INDEX(Models!$BJ56:$BT56,,AH56+1)*AF56-ERP_i)*AE56*Ramure*Pc/MaxiM</f>
        <v>4.282145050666009E-4</v>
      </c>
      <c r="AE56" s="304">
        <f t="shared" si="15"/>
        <v>0.5</v>
      </c>
      <c r="AF56" s="176">
        <f t="shared" si="23"/>
        <v>0.33660027508891455</v>
      </c>
      <c r="AG56" s="814">
        <f t="shared" si="24"/>
        <v>1</v>
      </c>
      <c r="AH56" s="175">
        <f t="shared" si="16"/>
        <v>7</v>
      </c>
      <c r="AI56" s="224">
        <f t="shared" si="17"/>
        <v>1.3366002750889145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10">
        <f>'2023'!Wh/'2023'!Env_an*'2024'!Env_an</f>
        <v>25.846474406569872</v>
      </c>
      <c r="C57" s="843"/>
      <c r="D57" s="392">
        <f t="shared" si="0"/>
        <v>27.019650502137598</v>
      </c>
      <c r="E57" s="384">
        <f t="shared" si="1"/>
        <v>29.055977676714534</v>
      </c>
      <c r="F57" s="384">
        <f t="shared" si="2"/>
        <v>29.063747506888586</v>
      </c>
      <c r="G57" s="110">
        <f t="shared" si="21"/>
        <v>0.7481555300462811</v>
      </c>
      <c r="H57" s="413" t="b">
        <f>Wh_hp&gt;='2023'!Maxi_hp</f>
        <v>0</v>
      </c>
      <c r="I57" s="389">
        <f>IF(H57,Wh_hp,'2023'!Maxi_hp)</f>
        <v>38.964390120778035</v>
      </c>
      <c r="J57" s="85">
        <f>IF(H57,An,'2023'!An_max)</f>
        <v>2019</v>
      </c>
      <c r="K57" s="196">
        <f t="shared" si="3"/>
        <v>45334</v>
      </c>
      <c r="L57" s="147">
        <f>IF(t&lt;Tvie,1-EXP((T0-t)*PertePVj)+'2023'!Pspv,1-EXP((T0-t)*PertePVj)+Pspv)</f>
        <v>4.34193660452755E-2</v>
      </c>
      <c r="M57" s="847"/>
      <c r="N57" s="847"/>
      <c r="O57" s="48">
        <f>IF(t&lt;Tnet,'2023'!Resal+('2023'!Salim-'2023'!Resal)*(1-EXP(('2023'!Tnet-t)/('2023'!Tau_j))),Resal+(Salim-Resal)*(1-EXP((Tnet-t)/(Tau_j))))*Salcycl</f>
        <v>7.0082899884964037E-2</v>
      </c>
      <c r="P57" s="168">
        <f>(INDEX(Models!$BJ57:$BT57,,T57)*(1-R57)+INDEX(Models!$BJ57:$BT57,,T57+1)*R57-ERP_i)*Q57*Ramure*Pc/MaxiM</f>
        <v>4.1746523805241041E-4</v>
      </c>
      <c r="Q57" s="304">
        <f t="shared" si="4"/>
        <v>0.5</v>
      </c>
      <c r="R57" s="176">
        <f t="shared" si="5"/>
        <v>0.33669362236082812</v>
      </c>
      <c r="S57" s="814">
        <f t="shared" si="6"/>
        <v>1</v>
      </c>
      <c r="T57" s="175">
        <f t="shared" si="7"/>
        <v>7</v>
      </c>
      <c r="U57" s="250">
        <f t="shared" si="8"/>
        <v>1.3366936223608281</v>
      </c>
      <c r="V57" s="382">
        <f t="shared" si="9"/>
        <v>34.541739062095139</v>
      </c>
      <c r="W57" s="401">
        <f t="shared" si="10"/>
        <v>25.846474406569872</v>
      </c>
      <c r="X57" s="157">
        <f t="shared" si="11"/>
        <v>45334</v>
      </c>
      <c r="Y57" s="384">
        <f t="shared" si="12"/>
        <v>25.456039479000712</v>
      </c>
      <c r="Z57" s="384">
        <f t="shared" si="22"/>
        <v>26.611493663382653</v>
      </c>
      <c r="AA57" s="385">
        <f t="shared" si="13"/>
        <v>29.055977676714534</v>
      </c>
      <c r="AB57" s="196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8.4130158707097696E-2</v>
      </c>
      <c r="AD57" s="230">
        <f>(INDEX(Models!$BJ57:$BT57,,AH57)*(1-AF57)+INDEX(Models!$BJ57:$BT57,,AH57+1)*AF57-ERP_i)*AE57*Ramure*Pc/MaxiM</f>
        <v>4.1746523805241041E-4</v>
      </c>
      <c r="AE57" s="304">
        <f t="shared" si="15"/>
        <v>0.5</v>
      </c>
      <c r="AF57" s="176">
        <f t="shared" si="23"/>
        <v>0.33669362236082812</v>
      </c>
      <c r="AG57" s="814">
        <f t="shared" si="24"/>
        <v>1</v>
      </c>
      <c r="AH57" s="175">
        <f t="shared" si="16"/>
        <v>7</v>
      </c>
      <c r="AI57" s="224">
        <f t="shared" si="17"/>
        <v>1.3366936223608281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10">
        <f>'2023'!Wh/'2023'!Env_an*'2024'!Env_an</f>
        <v>31.114900250428793</v>
      </c>
      <c r="C58" s="843"/>
      <c r="D58" s="392">
        <f t="shared" si="0"/>
        <v>32.52792268847606</v>
      </c>
      <c r="E58" s="384">
        <f t="shared" si="1"/>
        <v>34.98060455924378</v>
      </c>
      <c r="F58" s="384">
        <f t="shared" si="2"/>
        <v>34.99270142335083</v>
      </c>
      <c r="G58" s="110">
        <f t="shared" si="21"/>
        <v>0.89180393706936567</v>
      </c>
      <c r="H58" s="413" t="b">
        <f>Wh_hp&gt;='2023'!Maxi_hp</f>
        <v>0</v>
      </c>
      <c r="I58" s="389">
        <f>IF(H58,Wh_hp,'2023'!Maxi_hp)</f>
        <v>40.487434831791077</v>
      </c>
      <c r="J58" s="85">
        <f>IF(H58,An,'2023'!An_max)</f>
        <v>2019</v>
      </c>
      <c r="K58" s="196">
        <f t="shared" si="3"/>
        <v>45335</v>
      </c>
      <c r="L58" s="147">
        <f>IF(t&lt;Tvie,1-EXP((T0-t)*PertePVj)+'2023'!Pspv,1-EXP((T0-t)*PertePVj)+Pspv)</f>
        <v>4.3440291333078897E-2</v>
      </c>
      <c r="M58" s="847"/>
      <c r="N58" s="847"/>
      <c r="O58" s="48">
        <f>IF(t&lt;Tnet,'2023'!Resal+('2023'!Salim-'2023'!Resal)*(1-EXP(('2023'!Tnet-t)/('2023'!Tau_j))),Resal+(Salim-Resal)*(1-EXP((Tnet-t)/(Tau_j))))*Salcycl</f>
        <v>7.0115479754325305E-2</v>
      </c>
      <c r="P58" s="168">
        <f>(INDEX(Models!$BJ58:$BT58,,T58)*(1-R58)+INDEX(Models!$BJ58:$BT58,,T58+1)*R58-ERP_i)*Q58*Ramure*Pc/MaxiM</f>
        <v>4.0885957134196356E-4</v>
      </c>
      <c r="Q58" s="304">
        <f t="shared" si="4"/>
        <v>0.5</v>
      </c>
      <c r="R58" s="176">
        <f t="shared" si="5"/>
        <v>0.33679082360345181</v>
      </c>
      <c r="S58" s="814">
        <f t="shared" si="6"/>
        <v>1</v>
      </c>
      <c r="T58" s="175">
        <f t="shared" si="7"/>
        <v>7</v>
      </c>
      <c r="U58" s="250">
        <f t="shared" si="8"/>
        <v>1.3367908236034518</v>
      </c>
      <c r="V58" s="382">
        <f t="shared" si="9"/>
        <v>34.88763950627731</v>
      </c>
      <c r="W58" s="401">
        <f t="shared" si="10"/>
        <v>31.114900250428793</v>
      </c>
      <c r="X58" s="157">
        <f t="shared" si="11"/>
        <v>45335</v>
      </c>
      <c r="Y58" s="384">
        <f t="shared" si="12"/>
        <v>30.645352346817546</v>
      </c>
      <c r="Z58" s="384">
        <f t="shared" si="22"/>
        <v>32.03705118368979</v>
      </c>
      <c r="AA58" s="385">
        <f t="shared" si="13"/>
        <v>34.98060455924378</v>
      </c>
      <c r="AB58" s="196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8.4148156175195221E-2</v>
      </c>
      <c r="AD58" s="230">
        <f>(INDEX(Models!$BJ58:$BT58,,AH58)*(1-AF58)+INDEX(Models!$BJ58:$BT58,,AH58+1)*AF58-ERP_i)*AE58*Ramure*Pc/MaxiM</f>
        <v>4.0885957134196356E-4</v>
      </c>
      <c r="AE58" s="304">
        <f t="shared" si="15"/>
        <v>0.5</v>
      </c>
      <c r="AF58" s="176">
        <f t="shared" si="23"/>
        <v>0.33679082360345181</v>
      </c>
      <c r="AG58" s="814">
        <f t="shared" si="24"/>
        <v>1</v>
      </c>
      <c r="AH58" s="175">
        <f t="shared" si="16"/>
        <v>7</v>
      </c>
      <c r="AI58" s="224">
        <f t="shared" si="17"/>
        <v>1.3367908236034518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10">
        <f>'2023'!Wh/'2023'!Env_an*'2024'!Env_an</f>
        <v>17.116150624839403</v>
      </c>
      <c r="C59" s="843"/>
      <c r="D59" s="392">
        <f t="shared" si="0"/>
        <v>17.893838612766913</v>
      </c>
      <c r="E59" s="384">
        <f t="shared" si="1"/>
        <v>19.24375017983105</v>
      </c>
      <c r="F59" s="384">
        <f t="shared" si="2"/>
        <v>19.245801214910745</v>
      </c>
      <c r="G59" s="110">
        <f t="shared" si="21"/>
        <v>0.4856624495534988</v>
      </c>
      <c r="H59" s="413" t="b">
        <f>Wh_hp&gt;='2023'!Maxi_hp</f>
        <v>0</v>
      </c>
      <c r="I59" s="389">
        <f>IF(H59,Wh_hp,'2023'!Maxi_hp)</f>
        <v>40.730011197654498</v>
      </c>
      <c r="J59" s="85">
        <f>IF(H59,An,'2023'!An_max)</f>
        <v>2019</v>
      </c>
      <c r="K59" s="196">
        <f t="shared" si="3"/>
        <v>45336</v>
      </c>
      <c r="L59" s="147">
        <f>IF(t&lt;Tvie,1-EXP((T0-t)*PertePVj)+'2023'!Pspv,1-EXP((T0-t)*PertePVj)+Pspv)</f>
        <v>4.3461216162564799E-2</v>
      </c>
      <c r="M59" s="847"/>
      <c r="N59" s="847"/>
      <c r="O59" s="48">
        <f>IF(t&lt;Tnet,'2023'!Resal+('2023'!Salim-'2023'!Resal)*(1-EXP(('2023'!Tnet-t)/('2023'!Tau_j))),Resal+(Salim-Resal)*(1-EXP((Tnet-t)/(Tau_j))))*Salcycl</f>
        <v>7.0148050897010164E-2</v>
      </c>
      <c r="P59" s="168">
        <f>(INDEX(Models!$BJ59:$BT59,,T59)*(1-R59)+INDEX(Models!$BJ59:$BT59,,T59+1)*R59-ERP_i)*Q59*Ramure*Pc/MaxiM</f>
        <v>4.0149117964167379E-4</v>
      </c>
      <c r="Q59" s="304">
        <f t="shared" si="4"/>
        <v>0.5</v>
      </c>
      <c r="R59" s="176">
        <f t="shared" si="5"/>
        <v>0.33689203524184075</v>
      </c>
      <c r="S59" s="814">
        <f t="shared" si="6"/>
        <v>1</v>
      </c>
      <c r="T59" s="175">
        <f t="shared" si="7"/>
        <v>7</v>
      </c>
      <c r="U59" s="250">
        <f t="shared" si="8"/>
        <v>1.3368920352418407</v>
      </c>
      <c r="V59" s="382">
        <f t="shared" si="9"/>
        <v>35.232499848722036</v>
      </c>
      <c r="W59" s="401">
        <f t="shared" si="10"/>
        <v>17.116150624839403</v>
      </c>
      <c r="X59" s="157">
        <f t="shared" si="11"/>
        <v>45336</v>
      </c>
      <c r="Y59" s="384">
        <f t="shared" si="12"/>
        <v>16.858113688488103</v>
      </c>
      <c r="Z59" s="384">
        <f t="shared" si="22"/>
        <v>17.624077531761806</v>
      </c>
      <c r="AA59" s="385">
        <f t="shared" si="13"/>
        <v>19.24375017983105</v>
      </c>
      <c r="AB59" s="196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8.4166164751337619E-2</v>
      </c>
      <c r="AD59" s="230">
        <f>(INDEX(Models!$BJ59:$BT59,,AH59)*(1-AF59)+INDEX(Models!$BJ59:$BT59,,AH59+1)*AF59-ERP_i)*AE59*Ramure*Pc/MaxiM</f>
        <v>4.0149117964167379E-4</v>
      </c>
      <c r="AE59" s="304">
        <f t="shared" si="15"/>
        <v>0.5</v>
      </c>
      <c r="AF59" s="176">
        <f t="shared" si="23"/>
        <v>0.33689203524184075</v>
      </c>
      <c r="AG59" s="814">
        <f t="shared" si="24"/>
        <v>1</v>
      </c>
      <c r="AH59" s="175">
        <f t="shared" si="16"/>
        <v>7</v>
      </c>
      <c r="AI59" s="224">
        <f t="shared" si="17"/>
        <v>1.3368920352418407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10">
        <f>'2023'!Wh/'2023'!Env_an*'2024'!Env_an</f>
        <v>20.333440933440915</v>
      </c>
      <c r="C60" s="843"/>
      <c r="D60" s="392">
        <f t="shared" si="0"/>
        <v>21.257774470397351</v>
      </c>
      <c r="E60" s="384">
        <f t="shared" si="1"/>
        <v>22.86226185813479</v>
      </c>
      <c r="F60" s="384">
        <f t="shared" si="2"/>
        <v>22.865768714724137</v>
      </c>
      <c r="G60" s="110">
        <f t="shared" si="21"/>
        <v>0.57142139684370064</v>
      </c>
      <c r="H60" s="413" t="b">
        <f>Wh_hp&gt;='2023'!Maxi_hp</f>
        <v>0</v>
      </c>
      <c r="I60" s="389">
        <f>IF(H60,Wh_hp,'2023'!Maxi_hp)</f>
        <v>40.824287994702445</v>
      </c>
      <c r="J60" s="85">
        <f>IF(H60,An,'2023'!An_max)</f>
        <v>2019</v>
      </c>
      <c r="K60" s="196">
        <f t="shared" si="3"/>
        <v>45337</v>
      </c>
      <c r="L60" s="147">
        <f>IF(t&lt;Tvie,1-EXP((T0-t)*PertePVj)+'2023'!Pspv,1-EXP((T0-t)*PertePVj)+Pspv)</f>
        <v>4.3482140533743198E-2</v>
      </c>
      <c r="M60" s="847"/>
      <c r="N60" s="847"/>
      <c r="O60" s="48">
        <f>IF(t&lt;Tnet,'2023'!Resal+('2023'!Salim-'2023'!Resal)*(1-EXP(('2023'!Tnet-t)/('2023'!Tau_j))),Resal+(Salim-Resal)*(1-EXP((Tnet-t)/(Tau_j))))*Salcycl</f>
        <v>7.0180605825164055E-2</v>
      </c>
      <c r="P60" s="168">
        <f>(INDEX(Models!$BJ60:$BT60,,T60)*(1-R60)+INDEX(Models!$BJ60:$BT60,,T60+1)*R60-ERP_i)*Q60*Ramure*Pc/MaxiM</f>
        <v>3.9533466059675618E-4</v>
      </c>
      <c r="Q60" s="304">
        <f t="shared" si="4"/>
        <v>0.5</v>
      </c>
      <c r="R60" s="176">
        <f t="shared" si="5"/>
        <v>0.336997419821639</v>
      </c>
      <c r="S60" s="814">
        <f t="shared" si="6"/>
        <v>1</v>
      </c>
      <c r="T60" s="175">
        <f t="shared" si="7"/>
        <v>7</v>
      </c>
      <c r="U60" s="250">
        <f t="shared" si="8"/>
        <v>1.336997419821639</v>
      </c>
      <c r="V60" s="382">
        <f t="shared" si="9"/>
        <v>35.575356922048812</v>
      </c>
      <c r="W60" s="401">
        <f t="shared" si="10"/>
        <v>20.333440933440915</v>
      </c>
      <c r="X60" s="157">
        <f t="shared" si="11"/>
        <v>45337</v>
      </c>
      <c r="Y60" s="384">
        <f t="shared" si="12"/>
        <v>20.027208608330231</v>
      </c>
      <c r="Z60" s="384">
        <f t="shared" si="22"/>
        <v>20.937621195599572</v>
      </c>
      <c r="AA60" s="385">
        <f t="shared" si="13"/>
        <v>22.86226185813479</v>
      </c>
      <c r="AB60" s="196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8.4184175410028372E-2</v>
      </c>
      <c r="AD60" s="230">
        <f>(INDEX(Models!$BJ60:$BT60,,AH60)*(1-AF60)+INDEX(Models!$BJ60:$BT60,,AH60+1)*AF60-ERP_i)*AE60*Ramure*Pc/MaxiM</f>
        <v>3.9533466059675618E-4</v>
      </c>
      <c r="AE60" s="304">
        <f t="shared" si="15"/>
        <v>0.5</v>
      </c>
      <c r="AF60" s="176">
        <f t="shared" si="23"/>
        <v>0.336997419821639</v>
      </c>
      <c r="AG60" s="814">
        <f t="shared" si="24"/>
        <v>1</v>
      </c>
      <c r="AH60" s="175">
        <f t="shared" si="16"/>
        <v>7</v>
      </c>
      <c r="AI60" s="224">
        <f t="shared" si="17"/>
        <v>1.336997419821639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10">
        <f>'2023'!Wh/'2023'!Env_an*'2024'!Env_an</f>
        <v>8.8876751519174704</v>
      </c>
      <c r="C61" s="843"/>
      <c r="D61" s="392">
        <f t="shared" si="0"/>
        <v>9.2919013345040735</v>
      </c>
      <c r="E61" s="384">
        <f t="shared" si="1"/>
        <v>9.993582086324972</v>
      </c>
      <c r="F61" s="384">
        <f t="shared" si="2"/>
        <v>9.993582086324972</v>
      </c>
      <c r="G61" s="110">
        <f t="shared" si="21"/>
        <v>0.24736584770628964</v>
      </c>
      <c r="H61" s="413" t="b">
        <f>Wh_hp&gt;='2023'!Maxi_hp</f>
        <v>0</v>
      </c>
      <c r="I61" s="389">
        <f>IF(H61,Wh_hp,'2023'!Maxi_hp)</f>
        <v>41.302237931814616</v>
      </c>
      <c r="J61" s="85">
        <f>IF(H61,An,'2023'!An_max)</f>
        <v>2019</v>
      </c>
      <c r="K61" s="196">
        <f t="shared" si="3"/>
        <v>45338</v>
      </c>
      <c r="L61" s="147">
        <f>IF(t&lt;Tvie,1-EXP((T0-t)*PertePVj)+'2023'!Pspv,1-EXP((T0-t)*PertePVj)+Pspv)</f>
        <v>4.3503064446624086E-2</v>
      </c>
      <c r="M61" s="847"/>
      <c r="N61" s="847"/>
      <c r="O61" s="48">
        <f>IF(t&lt;Tnet,'2023'!Resal+('2023'!Salim-'2023'!Resal)*(1-EXP(('2023'!Tnet-t)/('2023'!Tau_j))),Resal+(Salim-Resal)*(1-EXP((Tnet-t)/(Tau_j))))*Salcycl</f>
        <v>7.0213137367537634E-2</v>
      </c>
      <c r="P61" s="168">
        <f>(INDEX(Models!$BJ61:$BT61,,T61)*(1-R61)+INDEX(Models!$BJ61:$BT61,,T61+1)*R61-ERP_i)*Q61*Ramure*Pc/MaxiM</f>
        <v>3.9036536767040052E-4</v>
      </c>
      <c r="Q61" s="304">
        <f t="shared" si="4"/>
        <v>0.5</v>
      </c>
      <c r="R61" s="176">
        <f t="shared" si="5"/>
        <v>0.33710714622911175</v>
      </c>
      <c r="S61" s="814">
        <f t="shared" si="6"/>
        <v>1</v>
      </c>
      <c r="T61" s="175">
        <f t="shared" si="7"/>
        <v>7</v>
      </c>
      <c r="U61" s="250">
        <f t="shared" si="8"/>
        <v>1.3371071462291118</v>
      </c>
      <c r="V61" s="382">
        <f t="shared" si="9"/>
        <v>35.91524777457451</v>
      </c>
      <c r="W61" s="401">
        <f t="shared" si="10"/>
        <v>8.8876751519174704</v>
      </c>
      <c r="X61" s="157">
        <f t="shared" si="11"/>
        <v>45338</v>
      </c>
      <c r="Y61" s="384">
        <f t="shared" si="12"/>
        <v>8.7539562672074052</v>
      </c>
      <c r="Z61" s="384">
        <f t="shared" si="22"/>
        <v>9.1521006934986708</v>
      </c>
      <c r="AA61" s="385">
        <f t="shared" si="13"/>
        <v>9.993582086324972</v>
      </c>
      <c r="AB61" s="196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8.4202179514567543E-2</v>
      </c>
      <c r="AD61" s="230">
        <f>(INDEX(Models!$BJ61:$BT61,,AH61)*(1-AF61)+INDEX(Models!$BJ61:$BT61,,AH61+1)*AF61-ERP_i)*AE61*Ramure*Pc/MaxiM</f>
        <v>3.9036536767040052E-4</v>
      </c>
      <c r="AE61" s="304">
        <f t="shared" si="15"/>
        <v>0.5</v>
      </c>
      <c r="AF61" s="176">
        <f t="shared" si="23"/>
        <v>0.33710714622911175</v>
      </c>
      <c r="AG61" s="814">
        <f t="shared" si="24"/>
        <v>1</v>
      </c>
      <c r="AH61" s="175">
        <f t="shared" si="16"/>
        <v>7</v>
      </c>
      <c r="AI61" s="224">
        <f t="shared" si="17"/>
        <v>1.3371071462291118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10">
        <f>'2023'!Wh/'2023'!Env_an*'2024'!Env_an</f>
        <v>10.783572881067604</v>
      </c>
      <c r="C62" s="843"/>
      <c r="D62" s="392">
        <f t="shared" si="0"/>
        <v>11.274274257443588</v>
      </c>
      <c r="E62" s="384">
        <f t="shared" si="1"/>
        <v>12.126078379076722</v>
      </c>
      <c r="F62" s="384">
        <f t="shared" si="2"/>
        <v>12.126078379076722</v>
      </c>
      <c r="G62" s="110">
        <f t="shared" si="21"/>
        <v>0.29735295696991243</v>
      </c>
      <c r="H62" s="413" t="b">
        <f>Wh_hp&gt;='2023'!Maxi_hp</f>
        <v>0</v>
      </c>
      <c r="I62" s="389">
        <f>IF(H62,Wh_hp,'2023'!Maxi_hp)</f>
        <v>41.977734594143215</v>
      </c>
      <c r="J62" s="85">
        <f>IF(H62,An,'2023'!An_max)</f>
        <v>2019</v>
      </c>
      <c r="K62" s="196">
        <f t="shared" si="3"/>
        <v>45339</v>
      </c>
      <c r="L62" s="147">
        <f>IF(t&lt;Tvie,1-EXP((T0-t)*PertePVj)+'2023'!Pspv,1-EXP((T0-t)*PertePVj)+Pspv)</f>
        <v>4.3523987901217677E-2</v>
      </c>
      <c r="M62" s="847"/>
      <c r="N62" s="847"/>
      <c r="O62" s="48">
        <f>IF(t&lt;Tnet,'2023'!Resal+('2023'!Salim-'2023'!Resal)*(1-EXP(('2023'!Tnet-t)/('2023'!Tau_j))),Resal+(Salim-Resal)*(1-EXP((Tnet-t)/(Tau_j))))*Salcycl</f>
        <v>7.0245638779879771E-2</v>
      </c>
      <c r="P62" s="168">
        <f>(INDEX(Models!$BJ62:$BT62,,T62)*(1-R62)+INDEX(Models!$BJ62:$BT62,,T62+1)*R62-ERP_i)*Q62*Ramure*Pc/MaxiM</f>
        <v>3.8655968533618285E-4</v>
      </c>
      <c r="Q62" s="304">
        <f t="shared" si="4"/>
        <v>0.5</v>
      </c>
      <c r="R62" s="176">
        <f t="shared" si="5"/>
        <v>0.33722138991740569</v>
      </c>
      <c r="S62" s="814">
        <f t="shared" si="6"/>
        <v>1</v>
      </c>
      <c r="T62" s="175">
        <f t="shared" si="7"/>
        <v>7</v>
      </c>
      <c r="U62" s="250">
        <f t="shared" si="8"/>
        <v>1.3372213899174057</v>
      </c>
      <c r="V62" s="382">
        <f t="shared" si="9"/>
        <v>36.251209661313737</v>
      </c>
      <c r="W62" s="401">
        <f t="shared" si="10"/>
        <v>10.783572881067604</v>
      </c>
      <c r="X62" s="157">
        <f t="shared" si="11"/>
        <v>45339</v>
      </c>
      <c r="Y62" s="384">
        <f t="shared" si="12"/>
        <v>10.621492044621267</v>
      </c>
      <c r="Z62" s="384">
        <f t="shared" si="22"/>
        <v>11.104818009303413</v>
      </c>
      <c r="AA62" s="385">
        <f t="shared" si="13"/>
        <v>12.126078379076722</v>
      </c>
      <c r="AB62" s="196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8.4220168948888688E-2</v>
      </c>
      <c r="AD62" s="230">
        <f>(INDEX(Models!$BJ62:$BT62,,AH62)*(1-AF62)+INDEX(Models!$BJ62:$BT62,,AH62+1)*AF62-ERP_i)*AE62*Ramure*Pc/MaxiM</f>
        <v>3.8655968533618285E-4</v>
      </c>
      <c r="AE62" s="304">
        <f t="shared" si="15"/>
        <v>0.5</v>
      </c>
      <c r="AF62" s="176">
        <f t="shared" si="23"/>
        <v>0.33722138991740569</v>
      </c>
      <c r="AG62" s="814">
        <f t="shared" si="24"/>
        <v>1</v>
      </c>
      <c r="AH62" s="175">
        <f t="shared" si="16"/>
        <v>7</v>
      </c>
      <c r="AI62" s="224">
        <f t="shared" si="17"/>
        <v>1.3372213899174057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10">
        <f>'2023'!Wh/'2023'!Env_an*'2024'!Env_an</f>
        <v>30.196801524807192</v>
      </c>
      <c r="C63" s="843"/>
      <c r="D63" s="392">
        <f t="shared" si="0"/>
        <v>31.571583306795681</v>
      </c>
      <c r="E63" s="384">
        <f t="shared" si="1"/>
        <v>33.958093745736363</v>
      </c>
      <c r="F63" s="384">
        <f t="shared" si="2"/>
        <v>33.96788218970557</v>
      </c>
      <c r="G63" s="110">
        <f t="shared" si="21"/>
        <v>0.8253698235808955</v>
      </c>
      <c r="H63" s="413" t="b">
        <f>Wh_hp&gt;='2023'!Maxi_hp</f>
        <v>0</v>
      </c>
      <c r="I63" s="389">
        <f>IF(H63,Wh_hp,'2023'!Maxi_hp)</f>
        <v>41.235106126634335</v>
      </c>
      <c r="J63" s="85">
        <f>IF(H63,An,'2023'!An_max)</f>
        <v>2019</v>
      </c>
      <c r="K63" s="196">
        <f t="shared" si="3"/>
        <v>45340</v>
      </c>
      <c r="L63" s="147">
        <f>IF(t&lt;Tvie,1-EXP((T0-t)*PertePVj)+'2023'!Pspv,1-EXP((T0-t)*PertePVj)+Pspv)</f>
        <v>4.3544910897533963E-2</v>
      </c>
      <c r="M63" s="847"/>
      <c r="N63" s="847"/>
      <c r="O63" s="48">
        <f>IF(t&lt;Tnet,'2023'!Resal+('2023'!Salim-'2023'!Resal)*(1-EXP(('2023'!Tnet-t)/('2023'!Tau_j))),Resal+(Salim-Resal)*(1-EXP((Tnet-t)/(Tau_j))))*Salcycl</f>
        <v>7.0278103853821924E-2</v>
      </c>
      <c r="P63" s="168">
        <f>(INDEX(Models!$BJ63:$BT63,,T63)*(1-R63)+INDEX(Models!$BJ63:$BT63,,T63+1)*R63-ERP_i)*Q63*Ramure*Pc/MaxiM</f>
        <v>3.8389527838112076E-4</v>
      </c>
      <c r="Q63" s="304">
        <f t="shared" si="4"/>
        <v>0.5</v>
      </c>
      <c r="R63" s="176">
        <f t="shared" si="5"/>
        <v>0.33734033313905454</v>
      </c>
      <c r="S63" s="814">
        <f t="shared" si="6"/>
        <v>1</v>
      </c>
      <c r="T63" s="175">
        <f t="shared" si="7"/>
        <v>7</v>
      </c>
      <c r="U63" s="250">
        <f t="shared" si="8"/>
        <v>1.3373403331390545</v>
      </c>
      <c r="V63" s="382">
        <f t="shared" si="9"/>
        <v>36.582280039814997</v>
      </c>
      <c r="W63" s="401">
        <f t="shared" si="10"/>
        <v>30.196801524807192</v>
      </c>
      <c r="X63" s="157">
        <f t="shared" si="11"/>
        <v>45340</v>
      </c>
      <c r="Y63" s="384">
        <f t="shared" si="12"/>
        <v>29.743388166236283</v>
      </c>
      <c r="Z63" s="384">
        <f t="shared" si="22"/>
        <v>31.097527218081268</v>
      </c>
      <c r="AA63" s="385">
        <f t="shared" si="13"/>
        <v>33.958093745736363</v>
      </c>
      <c r="AB63" s="196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8.4238136247393319E-2</v>
      </c>
      <c r="AD63" s="230">
        <f>(INDEX(Models!$BJ63:$BT63,,AH63)*(1-AF63)+INDEX(Models!$BJ63:$BT63,,AH63+1)*AF63-ERP_i)*AE63*Ramure*Pc/MaxiM</f>
        <v>3.8389527838112076E-4</v>
      </c>
      <c r="AE63" s="304">
        <f t="shared" si="15"/>
        <v>0.5</v>
      </c>
      <c r="AF63" s="176">
        <f t="shared" si="23"/>
        <v>0.33734033313905454</v>
      </c>
      <c r="AG63" s="814">
        <f t="shared" si="24"/>
        <v>1</v>
      </c>
      <c r="AH63" s="175">
        <f t="shared" si="16"/>
        <v>7</v>
      </c>
      <c r="AI63" s="224">
        <f t="shared" si="17"/>
        <v>1.3373403331390545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10">
        <f>'2023'!Wh/'2023'!Env_an*'2024'!Env_an</f>
        <v>16.41989243831642</v>
      </c>
      <c r="C64" s="843"/>
      <c r="D64" s="392">
        <f t="shared" si="0"/>
        <v>17.167822953562919</v>
      </c>
      <c r="E64" s="384">
        <f t="shared" si="1"/>
        <v>18.466190542732566</v>
      </c>
      <c r="F64" s="384">
        <f t="shared" si="2"/>
        <v>18.467652127791368</v>
      </c>
      <c r="G64" s="110">
        <f t="shared" si="21"/>
        <v>0.44475824491295002</v>
      </c>
      <c r="H64" s="413" t="b">
        <f>Wh_hp&gt;='2023'!Maxi_hp</f>
        <v>0</v>
      </c>
      <c r="I64" s="389">
        <f>IF(H64,Wh_hp,'2023'!Maxi_hp)</f>
        <v>39.639407492619156</v>
      </c>
      <c r="J64" s="85">
        <f>IF(H64,An,'2023'!An_max)</f>
        <v>2021</v>
      </c>
      <c r="K64" s="196">
        <f t="shared" si="3"/>
        <v>45341</v>
      </c>
      <c r="L64" s="147">
        <f>IF(t&lt;Tvie,1-EXP((T0-t)*PertePVj)+'2023'!Pspv,1-EXP((T0-t)*PertePVj)+Pspv)</f>
        <v>4.3565833435582825E-2</v>
      </c>
      <c r="M64" s="847"/>
      <c r="N64" s="847"/>
      <c r="O64" s="48">
        <f>IF(t&lt;Tnet,'2023'!Resal+('2023'!Salim-'2023'!Resal)*(1-EXP(('2023'!Tnet-t)/('2023'!Tau_j))),Resal+(Salim-Resal)*(1-EXP((Tnet-t)/(Tau_j))))*Salcycl</f>
        <v>7.0310527023161415E-2</v>
      </c>
      <c r="P64" s="168">
        <f>(INDEX(Models!$BJ64:$BT64,,T64)*(1-R64)+INDEX(Models!$BJ64:$BT64,,T64+1)*R64-ERP_i)*Q64*Ramure*Pc/MaxiM</f>
        <v>3.8235131897046561E-4</v>
      </c>
      <c r="Q64" s="304">
        <f t="shared" si="4"/>
        <v>0.5</v>
      </c>
      <c r="R64" s="176">
        <f t="shared" si="5"/>
        <v>0.33746416518474009</v>
      </c>
      <c r="S64" s="814">
        <f t="shared" si="6"/>
        <v>1</v>
      </c>
      <c r="T64" s="175">
        <f t="shared" si="7"/>
        <v>7</v>
      </c>
      <c r="U64" s="250">
        <f t="shared" si="8"/>
        <v>1.3374641651847401</v>
      </c>
      <c r="V64" s="382">
        <f t="shared" si="9"/>
        <v>36.907496564099667</v>
      </c>
      <c r="W64" s="401">
        <f t="shared" si="10"/>
        <v>16.41989243831642</v>
      </c>
      <c r="X64" s="157">
        <f t="shared" si="11"/>
        <v>45341</v>
      </c>
      <c r="Y64" s="384">
        <f t="shared" si="12"/>
        <v>16.173590420432362</v>
      </c>
      <c r="Z64" s="384">
        <f t="shared" si="22"/>
        <v>16.910301812543047</v>
      </c>
      <c r="AA64" s="385">
        <f t="shared" si="13"/>
        <v>18.466190542732566</v>
      </c>
      <c r="AB64" s="196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8.425607472147767E-2</v>
      </c>
      <c r="AD64" s="230">
        <f>(INDEX(Models!$BJ64:$BT64,,AH64)*(1-AF64)+INDEX(Models!$BJ64:$BT64,,AH64+1)*AF64-ERP_i)*AE64*Ramure*Pc/MaxiM</f>
        <v>3.8235131897046561E-4</v>
      </c>
      <c r="AE64" s="304">
        <f t="shared" si="15"/>
        <v>0.5</v>
      </c>
      <c r="AF64" s="176">
        <f t="shared" si="23"/>
        <v>0.33746416518474009</v>
      </c>
      <c r="AG64" s="814">
        <f t="shared" si="24"/>
        <v>1</v>
      </c>
      <c r="AH64" s="175">
        <f t="shared" si="16"/>
        <v>7</v>
      </c>
      <c r="AI64" s="224">
        <f t="shared" si="17"/>
        <v>1.3374641651847401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10">
        <f>'2023'!Wh/'2023'!Env_an*'2024'!Env_an</f>
        <v>20.422216762702547</v>
      </c>
      <c r="C65" s="843"/>
      <c r="D65" s="392">
        <f t="shared" si="0"/>
        <v>21.352921323990341</v>
      </c>
      <c r="E65" s="384">
        <f t="shared" si="1"/>
        <v>22.968599286350891</v>
      </c>
      <c r="F65" s="384">
        <f t="shared" si="2"/>
        <v>22.971714541208616</v>
      </c>
      <c r="G65" s="110">
        <f t="shared" si="21"/>
        <v>0.54844102430077146</v>
      </c>
      <c r="H65" s="413" t="b">
        <f>Wh_hp&gt;='2023'!Maxi_hp</f>
        <v>0</v>
      </c>
      <c r="I65" s="389">
        <f>IF(H65,Wh_hp,'2023'!Maxi_hp)</f>
        <v>41.874871627810187</v>
      </c>
      <c r="J65" s="85">
        <f>IF(H65,An,'2023'!An_max)</f>
        <v>2020</v>
      </c>
      <c r="K65" s="196">
        <f t="shared" si="3"/>
        <v>45342</v>
      </c>
      <c r="L65" s="147">
        <f>IF(t&lt;Tvie,1-EXP((T0-t)*PertePVj)+'2023'!Pspv,1-EXP((T0-t)*PertePVj)+Pspv)</f>
        <v>4.3586755515374477E-2</v>
      </c>
      <c r="M65" s="847"/>
      <c r="N65" s="847"/>
      <c r="O65" s="48">
        <f>IF(t&lt;Tnet,'2023'!Resal+('2023'!Salim-'2023'!Resal)*(1-EXP(('2023'!Tnet-t)/('2023'!Tau_j))),Resal+(Salim-Resal)*(1-EXP((Tnet-t)/(Tau_j))))*Salcycl</f>
        <v>7.0342903466502085E-2</v>
      </c>
      <c r="P65" s="168">
        <f>(INDEX(Models!$BJ65:$BT65,,T65)*(1-R65)+INDEX(Models!$BJ65:$BT65,,T65+1)*R65-ERP_i)*Q65*Ramure*Pc/MaxiM</f>
        <v>3.8189041915188271E-4</v>
      </c>
      <c r="Q65" s="304">
        <f t="shared" si="4"/>
        <v>0.5</v>
      </c>
      <c r="R65" s="176">
        <f t="shared" si="5"/>
        <v>0.33759308262828625</v>
      </c>
      <c r="S65" s="814">
        <f t="shared" si="6"/>
        <v>1</v>
      </c>
      <c r="T65" s="175">
        <f t="shared" si="7"/>
        <v>7</v>
      </c>
      <c r="U65" s="250">
        <f t="shared" si="8"/>
        <v>1.3375930826282862</v>
      </c>
      <c r="V65" s="382">
        <f t="shared" si="9"/>
        <v>37.227679253909102</v>
      </c>
      <c r="W65" s="401">
        <f t="shared" si="10"/>
        <v>20.422216762702547</v>
      </c>
      <c r="X65" s="157">
        <f t="shared" si="11"/>
        <v>45342</v>
      </c>
      <c r="Y65" s="384">
        <f t="shared" si="12"/>
        <v>20.116186252316449</v>
      </c>
      <c r="Z65" s="384">
        <f t="shared" si="22"/>
        <v>21.032944042045646</v>
      </c>
      <c r="AA65" s="385">
        <f t="shared" si="13"/>
        <v>22.968599286350891</v>
      </c>
      <c r="AB65" s="196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8.427397858151095E-2</v>
      </c>
      <c r="AD65" s="230">
        <f>(INDEX(Models!$BJ65:$BT65,,AH65)*(1-AF65)+INDEX(Models!$BJ65:$BT65,,AH65+1)*AF65-ERP_i)*AE65*Ramure*Pc/MaxiM</f>
        <v>3.8189041915188271E-4</v>
      </c>
      <c r="AE65" s="304">
        <f t="shared" si="15"/>
        <v>0.5</v>
      </c>
      <c r="AF65" s="176">
        <f t="shared" si="23"/>
        <v>0.33759308262828625</v>
      </c>
      <c r="AG65" s="814">
        <f t="shared" si="24"/>
        <v>1</v>
      </c>
      <c r="AH65" s="175">
        <f t="shared" si="16"/>
        <v>7</v>
      </c>
      <c r="AI65" s="224">
        <f t="shared" si="17"/>
        <v>1.3375930826282862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10">
        <f>'2023'!Wh/'2023'!Env_an*'2024'!Env_an</f>
        <v>20.70689065349109</v>
      </c>
      <c r="C66" s="843"/>
      <c r="D66" s="392">
        <f t="shared" si="0"/>
        <v>21.651042316507098</v>
      </c>
      <c r="E66" s="384">
        <f t="shared" si="1"/>
        <v>23.290087567264116</v>
      </c>
      <c r="F66" s="384">
        <f t="shared" si="2"/>
        <v>23.293285979930804</v>
      </c>
      <c r="G66" s="110">
        <f t="shared" si="21"/>
        <v>0.55139429190066291</v>
      </c>
      <c r="H66" s="413" t="b">
        <f>Wh_hp&gt;='2023'!Maxi_hp</f>
        <v>0</v>
      </c>
      <c r="I66" s="389">
        <f>IF(H66,Wh_hp,'2023'!Maxi_hp)</f>
        <v>39.365531433595841</v>
      </c>
      <c r="J66" s="85">
        <f>IF(H66,An,'2023'!An_max)</f>
        <v>2019</v>
      </c>
      <c r="K66" s="196">
        <f t="shared" si="3"/>
        <v>45343</v>
      </c>
      <c r="L66" s="147">
        <f>IF(t&lt;Tvie,1-EXP((T0-t)*PertePVj)+'2023'!Pspv,1-EXP((T0-t)*PertePVj)+Pspv)</f>
        <v>4.36076771369188E-2</v>
      </c>
      <c r="M66" s="847"/>
      <c r="N66" s="847"/>
      <c r="O66" s="48">
        <f>IF(t&lt;Tnet,'2023'!Resal+('2023'!Salim-'2023'!Resal)*(1-EXP(('2023'!Tnet-t)/('2023'!Tau_j))),Resal+(Salim-Resal)*(1-EXP((Tnet-t)/(Tau_j))))*Salcycl</f>
        <v>7.0375229205269868E-2</v>
      </c>
      <c r="P66" s="168">
        <f>(INDEX(Models!$BJ66:$BT66,,T66)*(1-R66)+INDEX(Models!$BJ66:$BT66,,T66+1)*R66-ERP_i)*Q66*Ramure*Pc/MaxiM</f>
        <v>3.8213175837812128E-4</v>
      </c>
      <c r="Q66" s="304">
        <f t="shared" si="4"/>
        <v>0.5</v>
      </c>
      <c r="R66" s="176">
        <f t="shared" si="5"/>
        <v>0.33772728957785825</v>
      </c>
      <c r="S66" s="814">
        <f t="shared" si="6"/>
        <v>1</v>
      </c>
      <c r="T66" s="175">
        <f t="shared" si="7"/>
        <v>7</v>
      </c>
      <c r="U66" s="250">
        <f t="shared" si="8"/>
        <v>1.3377272895778582</v>
      </c>
      <c r="V66" s="382">
        <f t="shared" si="9"/>
        <v>37.544495426033833</v>
      </c>
      <c r="W66" s="401">
        <f t="shared" si="10"/>
        <v>20.70689065349109</v>
      </c>
      <c r="X66" s="157">
        <f t="shared" si="11"/>
        <v>45343</v>
      </c>
      <c r="Y66" s="384">
        <f t="shared" si="12"/>
        <v>20.396905581807314</v>
      </c>
      <c r="Z66" s="384">
        <f t="shared" si="22"/>
        <v>21.326923161351402</v>
      </c>
      <c r="AA66" s="385">
        <f t="shared" si="13"/>
        <v>23.290087567264116</v>
      </c>
      <c r="AB66" s="196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8.4291843053097087E-2</v>
      </c>
      <c r="AD66" s="230">
        <f>(INDEX(Models!$BJ66:$BT66,,AH66)*(1-AF66)+INDEX(Models!$BJ66:$BT66,,AH66+1)*AF66-ERP_i)*AE66*Ramure*Pc/MaxiM</f>
        <v>3.8213175837812128E-4</v>
      </c>
      <c r="AE66" s="304">
        <f t="shared" si="15"/>
        <v>0.5</v>
      </c>
      <c r="AF66" s="176">
        <f t="shared" si="23"/>
        <v>0.33772728957785825</v>
      </c>
      <c r="AG66" s="814">
        <f t="shared" si="24"/>
        <v>1</v>
      </c>
      <c r="AH66" s="175">
        <f t="shared" si="16"/>
        <v>7</v>
      </c>
      <c r="AI66" s="224">
        <f t="shared" si="17"/>
        <v>1.3377272895778582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10">
        <f>'2023'!Wh/'2023'!Env_an*'2024'!Env_an</f>
        <v>34.277148248248189</v>
      </c>
      <c r="C67" s="843"/>
      <c r="D67" s="392">
        <f t="shared" si="0"/>
        <v>35.84083357922129</v>
      </c>
      <c r="E67" s="384">
        <f t="shared" si="1"/>
        <v>38.55542468914166</v>
      </c>
      <c r="F67" s="384">
        <f t="shared" si="2"/>
        <v>38.568171161541272</v>
      </c>
      <c r="G67" s="110">
        <f t="shared" si="21"/>
        <v>0.90536038300079247</v>
      </c>
      <c r="H67" s="413" t="b">
        <f>Wh_hp&gt;='2023'!Maxi_hp</f>
        <v>0</v>
      </c>
      <c r="I67" s="389">
        <f>IF(H67,Wh_hp,'2023'!Maxi_hp)</f>
        <v>40.864561185039193</v>
      </c>
      <c r="J67" s="85">
        <f>IF(H67,An,'2023'!An_max)</f>
        <v>2020</v>
      </c>
      <c r="K67" s="196">
        <f t="shared" si="3"/>
        <v>45344</v>
      </c>
      <c r="L67" s="147">
        <f>IF(t&lt;Tvie,1-EXP((T0-t)*PertePVj)+'2023'!Pspv,1-EXP((T0-t)*PertePVj)+Pspv)</f>
        <v>4.3628598300226008E-2</v>
      </c>
      <c r="M67" s="847"/>
      <c r="N67" s="847"/>
      <c r="O67" s="48">
        <f>IF(t&lt;Tnet,'2023'!Resal+('2023'!Salim-'2023'!Resal)*(1-EXP(('2023'!Tnet-t)/('2023'!Tau_j))),Resal+(Salim-Resal)*(1-EXP((Tnet-t)/(Tau_j))))*Salcycl</f>
        <v>7.0407501196190367E-2</v>
      </c>
      <c r="P67" s="168">
        <f>(INDEX(Models!$BJ67:$BT67,,T67)*(1-R67)+INDEX(Models!$BJ67:$BT67,,T67+1)*R67-ERP_i)*Q67*Ramure*Pc/MaxiM</f>
        <v>3.8213028375317287E-4</v>
      </c>
      <c r="Q67" s="304">
        <f t="shared" si="4"/>
        <v>0.5</v>
      </c>
      <c r="R67" s="176">
        <f t="shared" si="5"/>
        <v>0.33786699793329977</v>
      </c>
      <c r="S67" s="814">
        <f t="shared" si="6"/>
        <v>1</v>
      </c>
      <c r="T67" s="175">
        <f t="shared" si="7"/>
        <v>7</v>
      </c>
      <c r="U67" s="250">
        <f t="shared" si="8"/>
        <v>1.3378669979332998</v>
      </c>
      <c r="V67" s="382">
        <f t="shared" si="9"/>
        <v>37.858269804894341</v>
      </c>
      <c r="W67" s="401">
        <f t="shared" si="10"/>
        <v>34.277148248248189</v>
      </c>
      <c r="X67" s="157">
        <f t="shared" si="11"/>
        <v>45344</v>
      </c>
      <c r="Y67" s="384">
        <f t="shared" si="12"/>
        <v>33.764529533394352</v>
      </c>
      <c r="Z67" s="384">
        <f t="shared" si="22"/>
        <v>35.304829769464163</v>
      </c>
      <c r="AA67" s="385">
        <f t="shared" si="13"/>
        <v>38.55542468914166</v>
      </c>
      <c r="AB67" s="196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8.4309664486537525E-2</v>
      </c>
      <c r="AD67" s="230">
        <f>(INDEX(Models!$BJ67:$BT67,,AH67)*(1-AF67)+INDEX(Models!$BJ67:$BT67,,AH67+1)*AF67-ERP_i)*AE67*Ramure*Pc/MaxiM</f>
        <v>3.8213028375317287E-4</v>
      </c>
      <c r="AE67" s="304">
        <f t="shared" si="15"/>
        <v>0.5</v>
      </c>
      <c r="AF67" s="176">
        <f t="shared" si="23"/>
        <v>0.33786699793329977</v>
      </c>
      <c r="AG67" s="814">
        <f t="shared" si="24"/>
        <v>1</v>
      </c>
      <c r="AH67" s="175">
        <f t="shared" si="16"/>
        <v>7</v>
      </c>
      <c r="AI67" s="224">
        <f t="shared" si="17"/>
        <v>1.3378669979332998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10">
        <f>'2023'!Wh/'2023'!Env_an*'2024'!Env_an</f>
        <v>35.247182199023726</v>
      </c>
      <c r="C68" s="843"/>
      <c r="D68" s="392">
        <f t="shared" si="0"/>
        <v>36.855925625052606</v>
      </c>
      <c r="E68" s="384">
        <f t="shared" si="1"/>
        <v>39.64877406622341</v>
      </c>
      <c r="F68" s="384">
        <f t="shared" si="2"/>
        <v>39.662264049732485</v>
      </c>
      <c r="G68" s="110">
        <f t="shared" si="21"/>
        <v>0.92340485404734862</v>
      </c>
      <c r="H68" s="413" t="b">
        <f>Wh_hp&gt;='2023'!Maxi_hp</f>
        <v>0</v>
      </c>
      <c r="I68" s="389">
        <f>IF(H68,Wh_hp,'2023'!Maxi_hp)</f>
        <v>41.700793464247006</v>
      </c>
      <c r="J68" s="85">
        <f>IF(H68,An,'2023'!An_max)</f>
        <v>2020</v>
      </c>
      <c r="K68" s="196">
        <f t="shared" si="3"/>
        <v>45345</v>
      </c>
      <c r="L68" s="147">
        <f>IF(t&lt;Tvie,1-EXP((T0-t)*PertePVj)+'2023'!Pspv,1-EXP((T0-t)*PertePVj)+Pspv)</f>
        <v>4.3649519005305983E-2</v>
      </c>
      <c r="M68" s="847"/>
      <c r="N68" s="847"/>
      <c r="O68" s="48">
        <f>IF(t&lt;Tnet,'2023'!Resal+('2023'!Salim-'2023'!Resal)*(1-EXP(('2023'!Tnet-t)/('2023'!Tau_j))),Resal+(Salim-Resal)*(1-EXP((Tnet-t)/(Tau_j))))*Salcycl</f>
        <v>7.0439717417392161E-2</v>
      </c>
      <c r="P68" s="168">
        <f>(INDEX(Models!$BJ68:$BT68,,T68)*(1-R68)+INDEX(Models!$BJ68:$BT68,,T68+1)*R68-ERP_i)*Q68*Ramure*Pc/MaxiM</f>
        <v>3.8188702315116471E-4</v>
      </c>
      <c r="Q68" s="304">
        <f t="shared" si="4"/>
        <v>0.5</v>
      </c>
      <c r="R68" s="176">
        <f t="shared" si="5"/>
        <v>0.33801242764952644</v>
      </c>
      <c r="S68" s="814">
        <f t="shared" si="6"/>
        <v>1</v>
      </c>
      <c r="T68" s="175">
        <f t="shared" si="7"/>
        <v>7</v>
      </c>
      <c r="U68" s="250">
        <f t="shared" si="8"/>
        <v>1.3380124276495264</v>
      </c>
      <c r="V68" s="382">
        <f t="shared" si="9"/>
        <v>38.169292073800953</v>
      </c>
      <c r="W68" s="401">
        <f t="shared" si="10"/>
        <v>35.247182199023726</v>
      </c>
      <c r="X68" s="157">
        <f t="shared" si="11"/>
        <v>45345</v>
      </c>
      <c r="Y68" s="384">
        <f t="shared" si="12"/>
        <v>34.720585792602684</v>
      </c>
      <c r="Z68" s="384">
        <f t="shared" si="22"/>
        <v>36.305294431901181</v>
      </c>
      <c r="AA68" s="385">
        <f t="shared" si="13"/>
        <v>39.64877406622341</v>
      </c>
      <c r="AB68" s="196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8.4327440458506528E-2</v>
      </c>
      <c r="AD68" s="230">
        <f>(INDEX(Models!$BJ68:$BT68,,AH68)*(1-AF68)+INDEX(Models!$BJ68:$BT68,,AH68+1)*AF68-ERP_i)*AE68*Ramure*Pc/MaxiM</f>
        <v>3.8188702315116471E-4</v>
      </c>
      <c r="AE68" s="304">
        <f t="shared" si="15"/>
        <v>0.5</v>
      </c>
      <c r="AF68" s="176">
        <f t="shared" si="23"/>
        <v>0.33801242764952644</v>
      </c>
      <c r="AG68" s="814">
        <f t="shared" si="24"/>
        <v>1</v>
      </c>
      <c r="AH68" s="175">
        <f t="shared" si="16"/>
        <v>7</v>
      </c>
      <c r="AI68" s="224">
        <f t="shared" si="17"/>
        <v>1.3380124276495264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10">
        <f>'2023'!Wh/'2023'!Env_an*'2024'!Env_an</f>
        <v>21.03482896478755</v>
      </c>
      <c r="C69" s="843"/>
      <c r="D69" s="392">
        <f t="shared" si="0"/>
        <v>21.995376728016986</v>
      </c>
      <c r="E69" s="384">
        <f t="shared" si="1"/>
        <v>23.662949170147829</v>
      </c>
      <c r="F69" s="384">
        <f t="shared" si="2"/>
        <v>23.66612998334978</v>
      </c>
      <c r="G69" s="110">
        <f t="shared" si="21"/>
        <v>0.5465386369551416</v>
      </c>
      <c r="H69" s="413" t="b">
        <f>Wh_hp&gt;='2023'!Maxi_hp</f>
        <v>0</v>
      </c>
      <c r="I69" s="389">
        <f>IF(H69,Wh_hp,'2023'!Maxi_hp)</f>
        <v>41.717998173912889</v>
      </c>
      <c r="J69" s="85">
        <f>IF(H69,An,'2023'!An_max)</f>
        <v>2020</v>
      </c>
      <c r="K69" s="196">
        <f t="shared" si="3"/>
        <v>45346</v>
      </c>
      <c r="L69" s="147">
        <f>IF(t&lt;Tvie,1-EXP((T0-t)*PertePVj)+'2023'!Pspv,1-EXP((T0-t)*PertePVj)+Pspv)</f>
        <v>4.3670439252168937E-2</v>
      </c>
      <c r="M69" s="847"/>
      <c r="N69" s="847"/>
      <c r="O69" s="48">
        <f>IF(t&lt;Tnet,'2023'!Resal+('2023'!Salim-'2023'!Resal)*(1-EXP(('2023'!Tnet-t)/('2023'!Tau_j))),Resal+(Salim-Resal)*(1-EXP((Tnet-t)/(Tau_j))))*Salcycl</f>
        <v>7.0471876947383341E-2</v>
      </c>
      <c r="P69" s="168">
        <f>(INDEX(Models!$BJ69:$BT69,,T69)*(1-R69)+INDEX(Models!$BJ69:$BT69,,T69+1)*R69-ERP_i)*Q69*Ramure*Pc/MaxiM</f>
        <v>3.8140478701880176E-4</v>
      </c>
      <c r="Q69" s="304">
        <f t="shared" si="4"/>
        <v>0.5</v>
      </c>
      <c r="R69" s="176">
        <f t="shared" si="5"/>
        <v>0.33816380700585746</v>
      </c>
      <c r="S69" s="814">
        <f t="shared" si="6"/>
        <v>1</v>
      </c>
      <c r="T69" s="175">
        <f t="shared" si="7"/>
        <v>7</v>
      </c>
      <c r="U69" s="250">
        <f t="shared" si="8"/>
        <v>1.3381638070058575</v>
      </c>
      <c r="V69" s="382">
        <f t="shared" si="9"/>
        <v>38.477851732383229</v>
      </c>
      <c r="W69" s="401">
        <f t="shared" si="10"/>
        <v>21.03482896478755</v>
      </c>
      <c r="X69" s="157">
        <f t="shared" si="11"/>
        <v>45346</v>
      </c>
      <c r="Y69" s="384">
        <f t="shared" si="12"/>
        <v>20.72088220356077</v>
      </c>
      <c r="Z69" s="384">
        <f t="shared" si="22"/>
        <v>21.667093702883601</v>
      </c>
      <c r="AA69" s="385">
        <f t="shared" si="13"/>
        <v>23.662949170147829</v>
      </c>
      <c r="AB69" s="196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8.4345169865052749E-2</v>
      </c>
      <c r="AD69" s="230">
        <f>(INDEX(Models!$BJ69:$BT69,,AH69)*(1-AF69)+INDEX(Models!$BJ69:$BT69,,AH69+1)*AF69-ERP_i)*AE69*Ramure*Pc/MaxiM</f>
        <v>3.8140478701880176E-4</v>
      </c>
      <c r="AE69" s="304">
        <f t="shared" si="15"/>
        <v>0.5</v>
      </c>
      <c r="AF69" s="176">
        <f t="shared" si="23"/>
        <v>0.33816380700585746</v>
      </c>
      <c r="AG69" s="814">
        <f t="shared" si="24"/>
        <v>1</v>
      </c>
      <c r="AH69" s="175">
        <f t="shared" si="16"/>
        <v>7</v>
      </c>
      <c r="AI69" s="224">
        <f t="shared" si="17"/>
        <v>1.3381638070058575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10">
        <f>'2023'!Wh/'2023'!Env_an*'2024'!Env_an</f>
        <v>29.909407083882844</v>
      </c>
      <c r="C70" s="843"/>
      <c r="D70" s="392">
        <f t="shared" si="0"/>
        <v>31.275893370453893</v>
      </c>
      <c r="E70" s="384">
        <f t="shared" si="1"/>
        <v>33.648227317501878</v>
      </c>
      <c r="F70" s="384">
        <f t="shared" si="2"/>
        <v>33.656851626058391</v>
      </c>
      <c r="G70" s="110">
        <f t="shared" si="21"/>
        <v>0.77107829101152536</v>
      </c>
      <c r="H70" s="413" t="b">
        <f>Wh_hp&gt;='2023'!Maxi_hp</f>
        <v>0</v>
      </c>
      <c r="I70" s="389">
        <f>IF(H70,Wh_hp,'2023'!Maxi_hp)</f>
        <v>42.62355723611401</v>
      </c>
      <c r="J70" s="85">
        <f>IF(H70,An,'2023'!An_max)</f>
        <v>2019</v>
      </c>
      <c r="K70" s="196">
        <f t="shared" si="3"/>
        <v>45347</v>
      </c>
      <c r="L70" s="147">
        <f>IF(t&lt;Tvie,1-EXP((T0-t)*PertePVj)+'2023'!Pspv,1-EXP((T0-t)*PertePVj)+Pspv)</f>
        <v>4.3691359040824641E-2</v>
      </c>
      <c r="M70" s="847"/>
      <c r="N70" s="847"/>
      <c r="O70" s="48">
        <f>IF(t&lt;Tnet,'2023'!Resal+('2023'!Salim-'2023'!Resal)*(1-EXP(('2023'!Tnet-t)/('2023'!Tau_j))),Resal+(Salim-Resal)*(1-EXP((Tnet-t)/(Tau_j))))*Salcycl</f>
        <v>7.0503980036238992E-2</v>
      </c>
      <c r="P70" s="168">
        <f>(INDEX(Models!$BJ70:$BT70,,T70)*(1-R70)+INDEX(Models!$BJ70:$BT70,,T70+1)*R70-ERP_i)*Q70*Ramure*Pc/MaxiM</f>
        <v>3.8068630975555886E-4</v>
      </c>
      <c r="Q70" s="304">
        <f t="shared" si="4"/>
        <v>0.5</v>
      </c>
      <c r="R70" s="176">
        <f t="shared" si="5"/>
        <v>0.33832137288113895</v>
      </c>
      <c r="S70" s="814">
        <f t="shared" si="6"/>
        <v>1</v>
      </c>
      <c r="T70" s="175">
        <f t="shared" si="7"/>
        <v>7</v>
      </c>
      <c r="U70" s="250">
        <f t="shared" si="8"/>
        <v>1.3383213728811389</v>
      </c>
      <c r="V70" s="382">
        <f t="shared" si="9"/>
        <v>38.784238165565291</v>
      </c>
      <c r="W70" s="401">
        <f t="shared" si="10"/>
        <v>29.909407083882844</v>
      </c>
      <c r="X70" s="157">
        <f t="shared" si="11"/>
        <v>45347</v>
      </c>
      <c r="Y70" s="384">
        <f t="shared" si="12"/>
        <v>29.463455014752807</v>
      </c>
      <c r="Z70" s="384">
        <f t="shared" si="22"/>
        <v>30.809566862431598</v>
      </c>
      <c r="AA70" s="385">
        <f t="shared" si="13"/>
        <v>33.648227317501878</v>
      </c>
      <c r="AB70" s="196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8.4362853005149868E-2</v>
      </c>
      <c r="AD70" s="230">
        <f>(INDEX(Models!$BJ70:$BT70,,AH70)*(1-AF70)+INDEX(Models!$BJ70:$BT70,,AH70+1)*AF70-ERP_i)*AE70*Ramure*Pc/MaxiM</f>
        <v>3.8068630975555886E-4</v>
      </c>
      <c r="AE70" s="304">
        <f t="shared" si="15"/>
        <v>0.5</v>
      </c>
      <c r="AF70" s="176">
        <f t="shared" si="23"/>
        <v>0.33832137288113895</v>
      </c>
      <c r="AG70" s="814">
        <f t="shared" si="24"/>
        <v>1</v>
      </c>
      <c r="AH70" s="175">
        <f t="shared" si="16"/>
        <v>7</v>
      </c>
      <c r="AI70" s="224">
        <f t="shared" si="17"/>
        <v>1.3383213728811389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10">
        <f>'2023'!Wh/'2023'!Env_an*'2024'!Env_an</f>
        <v>39.708393586248299</v>
      </c>
      <c r="C71" s="843"/>
      <c r="D71" s="392">
        <f t="shared" si="0"/>
        <v>41.523479480232496</v>
      </c>
      <c r="E71" s="384">
        <f t="shared" si="1"/>
        <v>44.674651991521301</v>
      </c>
      <c r="F71" s="384">
        <f t="shared" si="2"/>
        <v>44.691622932804925</v>
      </c>
      <c r="G71" s="110">
        <f t="shared" si="21"/>
        <v>1.0158524665485094</v>
      </c>
      <c r="H71" s="413" t="b">
        <f>Wh_hp&gt;='2023'!Maxi_hp</f>
        <v>1</v>
      </c>
      <c r="I71" s="389">
        <f>IF(H71,Wh_hp,'2023'!Maxi_hp)</f>
        <v>44.691622932804925</v>
      </c>
      <c r="J71" s="85">
        <f>IF(H71,An,'2023'!An_max)</f>
        <v>2024</v>
      </c>
      <c r="K71" s="196">
        <f t="shared" si="3"/>
        <v>45348</v>
      </c>
      <c r="L71" s="147">
        <f>IF(t&lt;Tvie,1-EXP((T0-t)*PertePVj)+'2023'!Pspv,1-EXP((T0-t)*PertePVj)+Pspv)</f>
        <v>4.3712278371283421E-2</v>
      </c>
      <c r="M71" s="847"/>
      <c r="N71" s="847"/>
      <c r="O71" s="48">
        <f>IF(t&lt;Tnet,'2023'!Resal+('2023'!Salim-'2023'!Resal)*(1-EXP(('2023'!Tnet-t)/('2023'!Tau_j))),Resal+(Salim-Resal)*(1-EXP((Tnet-t)/(Tau_j))))*Salcycl</f>
        <v>7.05360281684312E-2</v>
      </c>
      <c r="P71" s="168">
        <f>(INDEX(Models!$BJ71:$BT71,,T71)*(1-R71)+INDEX(Models!$BJ71:$BT71,,T71+1)*R71-ERP_i)*Q71*Ramure*Pc/MaxiM</f>
        <v>3.797342806086863E-4</v>
      </c>
      <c r="Q71" s="304">
        <f t="shared" si="4"/>
        <v>0.5</v>
      </c>
      <c r="R71" s="176">
        <f t="shared" si="5"/>
        <v>0.33848537103447818</v>
      </c>
      <c r="S71" s="814">
        <f t="shared" si="6"/>
        <v>1</v>
      </c>
      <c r="T71" s="175">
        <f t="shared" si="7"/>
        <v>7</v>
      </c>
      <c r="U71" s="250">
        <f t="shared" si="8"/>
        <v>1.3384853710344782</v>
      </c>
      <c r="V71" s="382">
        <f t="shared" si="9"/>
        <v>39.088740632941239</v>
      </c>
      <c r="W71" s="401">
        <f t="shared" si="10"/>
        <v>39.708393586248299</v>
      </c>
      <c r="X71" s="157">
        <f t="shared" si="11"/>
        <v>45348</v>
      </c>
      <c r="Y71" s="384">
        <f t="shared" si="12"/>
        <v>39.116932893051747</v>
      </c>
      <c r="Z71" s="384">
        <f t="shared" si="22"/>
        <v>40.90498289199941</v>
      </c>
      <c r="AA71" s="385">
        <f t="shared" si="13"/>
        <v>44.674651991521301</v>
      </c>
      <c r="AB71" s="196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8.4380491654133735E-2</v>
      </c>
      <c r="AD71" s="230">
        <f>(INDEX(Models!$BJ71:$BT71,,AH71)*(1-AF71)+INDEX(Models!$BJ71:$BT71,,AH71+1)*AF71-ERP_i)*AE71*Ramure*Pc/MaxiM</f>
        <v>3.797342806086863E-4</v>
      </c>
      <c r="AE71" s="304">
        <f t="shared" si="15"/>
        <v>0.5</v>
      </c>
      <c r="AF71" s="176">
        <f t="shared" si="23"/>
        <v>0.33848537103447818</v>
      </c>
      <c r="AG71" s="814">
        <f t="shared" si="24"/>
        <v>1</v>
      </c>
      <c r="AH71" s="175">
        <f t="shared" si="16"/>
        <v>7</v>
      </c>
      <c r="AI71" s="224">
        <f t="shared" si="17"/>
        <v>1.3384853710344782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10">
        <f>'2023'!Wh/'2023'!Env_an*'2024'!Env_an</f>
        <v>26.14282938388569</v>
      </c>
      <c r="C72" s="843"/>
      <c r="D72" s="392">
        <f t="shared" si="0"/>
        <v>27.338426167810933</v>
      </c>
      <c r="E72" s="384">
        <f t="shared" si="1"/>
        <v>29.414122686959765</v>
      </c>
      <c r="F72" s="384">
        <f t="shared" si="2"/>
        <v>29.419908768830123</v>
      </c>
      <c r="G72" s="110">
        <f t="shared" si="21"/>
        <v>0.66354353688011858</v>
      </c>
      <c r="H72" s="413" t="b">
        <f>Wh_hp&gt;='2023'!Maxi_hp</f>
        <v>0</v>
      </c>
      <c r="I72" s="389">
        <f>IF(H72,Wh_hp,'2023'!Maxi_hp)</f>
        <v>43.393091127418728</v>
      </c>
      <c r="J72" s="85">
        <f>IF(H72,An,'2023'!An_max)</f>
        <v>2019</v>
      </c>
      <c r="K72" s="196">
        <f t="shared" si="3"/>
        <v>45349</v>
      </c>
      <c r="L72" s="147">
        <f>IF(t&lt;Tvie,1-EXP((T0-t)*PertePVj)+'2023'!Pspv,1-EXP((T0-t)*PertePVj)+Pspv)</f>
        <v>4.3733197243555046E-2</v>
      </c>
      <c r="M72" s="847"/>
      <c r="N72" s="847"/>
      <c r="O72" s="48">
        <f>IF(t&lt;Tnet,'2023'!Resal+('2023'!Salim-'2023'!Resal)*(1-EXP(('2023'!Tnet-t)/('2023'!Tau_j))),Resal+(Salim-Resal)*(1-EXP((Tnet-t)/(Tau_j))))*Salcycl</f>
        <v>7.0568024116831968E-2</v>
      </c>
      <c r="P72" s="168">
        <f>(INDEX(Models!$BJ72:$BT72,,T72)*(1-R72)+INDEX(Models!$BJ72:$BT72,,T72+1)*R72-ERP_i)*Q72*Ramure*Pc/MaxiM</f>
        <v>3.7856516766953844E-4</v>
      </c>
      <c r="Q72" s="304">
        <f t="shared" si="4"/>
        <v>0.5</v>
      </c>
      <c r="R72" s="176">
        <f t="shared" si="5"/>
        <v>0.33865605639136431</v>
      </c>
      <c r="S72" s="814">
        <f t="shared" si="6"/>
        <v>1</v>
      </c>
      <c r="T72" s="175">
        <f t="shared" si="7"/>
        <v>7</v>
      </c>
      <c r="U72" s="250">
        <f t="shared" si="8"/>
        <v>1.3386560563913643</v>
      </c>
      <c r="V72" s="382">
        <f t="shared" si="9"/>
        <v>39.391647724943844</v>
      </c>
      <c r="W72" s="401">
        <f t="shared" si="10"/>
        <v>26.14282938388569</v>
      </c>
      <c r="X72" s="157">
        <f t="shared" si="11"/>
        <v>45349</v>
      </c>
      <c r="Y72" s="384">
        <f t="shared" si="12"/>
        <v>25.753820785841967</v>
      </c>
      <c r="Z72" s="384">
        <f t="shared" si="22"/>
        <v>26.931626938848467</v>
      </c>
      <c r="AA72" s="385">
        <f t="shared" si="13"/>
        <v>29.414122686959765</v>
      </c>
      <c r="AB72" s="196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8.4398089126481682E-2</v>
      </c>
      <c r="AD72" s="230">
        <f>(INDEX(Models!$BJ72:$BT72,,AH72)*(1-AF72)+INDEX(Models!$BJ72:$BT72,,AH72+1)*AF72-ERP_i)*AE72*Ramure*Pc/MaxiM</f>
        <v>3.7856516766953844E-4</v>
      </c>
      <c r="AE72" s="304">
        <f t="shared" si="15"/>
        <v>0.5</v>
      </c>
      <c r="AF72" s="176">
        <f t="shared" si="23"/>
        <v>0.33865605639136431</v>
      </c>
      <c r="AG72" s="814">
        <f t="shared" si="24"/>
        <v>1</v>
      </c>
      <c r="AH72" s="175">
        <f t="shared" si="16"/>
        <v>7</v>
      </c>
      <c r="AI72" s="224">
        <f t="shared" si="17"/>
        <v>1.3386560563913643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10">
        <f>'2023'!Wh/'2023'!Env_an*'2024'!Env_an</f>
        <v>35.062794095494056</v>
      </c>
      <c r="C73" s="843"/>
      <c r="D73" s="392">
        <f t="shared" si="0"/>
        <v>36.667132031222479</v>
      </c>
      <c r="E73" s="384">
        <f t="shared" si="1"/>
        <v>39.452475711276925</v>
      </c>
      <c r="F73" s="384">
        <f t="shared" si="2"/>
        <v>39.464878520399829</v>
      </c>
      <c r="G73" s="110">
        <f t="shared" si="21"/>
        <v>0.88328844551429386</v>
      </c>
      <c r="H73" s="413" t="b">
        <f>Wh_hp&gt;='2023'!Maxi_hp</f>
        <v>0</v>
      </c>
      <c r="I73" s="389">
        <f>IF(H73,Wh_hp,'2023'!Maxi_hp)</f>
        <v>39.465776394788492</v>
      </c>
      <c r="J73" s="85">
        <f>IF(H73,An,'2023'!An_max)</f>
        <v>2022</v>
      </c>
      <c r="K73" s="196">
        <f t="shared" si="3"/>
        <v>45350</v>
      </c>
      <c r="L73" s="147">
        <f>IF(t&lt;Tvie,1-EXP((T0-t)*PertePVj)+'2023'!Pspv,1-EXP((T0-t)*PertePVj)+Pspv)</f>
        <v>4.3754115657649729E-2</v>
      </c>
      <c r="M73" s="847"/>
      <c r="N73" s="847"/>
      <c r="O73" s="48">
        <f>IF(t&lt;Tnet,'2023'!Resal+('2023'!Salim-'2023'!Resal)*(1-EXP(('2023'!Tnet-t)/('2023'!Tau_j))),Resal+(Salim-Resal)*(1-EXP((Tnet-t)/(Tau_j))))*Salcycl</f>
        <v>7.059997198751955E-2</v>
      </c>
      <c r="P73" s="168">
        <f>(INDEX(Models!$BJ73:$BT73,,T73)*(1-R73)+INDEX(Models!$BJ73:$BT73,,T73+1)*R73-ERP_i)*Q73*Ramure*Pc/MaxiM</f>
        <v>3.771226438004231E-4</v>
      </c>
      <c r="Q73" s="304">
        <f t="shared" si="4"/>
        <v>0.5</v>
      </c>
      <c r="R73" s="176">
        <f t="shared" si="5"/>
        <v>0.33883369333491697</v>
      </c>
      <c r="S73" s="814">
        <f t="shared" si="6"/>
        <v>1</v>
      </c>
      <c r="T73" s="175">
        <f t="shared" si="7"/>
        <v>7</v>
      </c>
      <c r="U73" s="250">
        <f t="shared" si="8"/>
        <v>1.338833693334917</v>
      </c>
      <c r="V73" s="382">
        <f t="shared" si="9"/>
        <v>39.693250775500886</v>
      </c>
      <c r="W73" s="401">
        <f t="shared" si="10"/>
        <v>35.062794095494056</v>
      </c>
      <c r="X73" s="157">
        <f t="shared" si="11"/>
        <v>45350</v>
      </c>
      <c r="Y73" s="384">
        <f t="shared" si="12"/>
        <v>34.541580118386008</v>
      </c>
      <c r="Z73" s="384">
        <f t="shared" si="22"/>
        <v>36.122069317079131</v>
      </c>
      <c r="AA73" s="385">
        <f t="shared" si="13"/>
        <v>39.452475711276925</v>
      </c>
      <c r="AB73" s="196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8.4415650327511513E-2</v>
      </c>
      <c r="AD73" s="230">
        <f>(INDEX(Models!$BJ73:$BT73,,AH73)*(1-AF73)+INDEX(Models!$BJ73:$BT73,,AH73+1)*AF73-ERP_i)*AE73*Ramure*Pc/MaxiM</f>
        <v>3.771226438004231E-4</v>
      </c>
      <c r="AE73" s="304">
        <f t="shared" si="15"/>
        <v>0.5</v>
      </c>
      <c r="AF73" s="176">
        <f t="shared" si="23"/>
        <v>0.33883369333491697</v>
      </c>
      <c r="AG73" s="814">
        <f t="shared" si="24"/>
        <v>1</v>
      </c>
      <c r="AH73" s="175">
        <f t="shared" si="16"/>
        <v>7</v>
      </c>
      <c r="AI73" s="224">
        <f t="shared" si="17"/>
        <v>1.338833693334917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10">
        <f>'2023'!Wh/'2023'!Env_an*'2024'!Env_an</f>
        <v>38.463096856718074</v>
      </c>
      <c r="C74" s="843"/>
      <c r="D74" s="392">
        <f t="shared" si="0"/>
        <v>40.223899405252155</v>
      </c>
      <c r="E74" s="384">
        <f t="shared" si="1"/>
        <v>43.280911428779426</v>
      </c>
      <c r="F74" s="384">
        <f t="shared" si="2"/>
        <v>43.296276562942921</v>
      </c>
      <c r="G74" s="110">
        <f t="shared" si="21"/>
        <v>0.96170581123248333</v>
      </c>
      <c r="H74" s="413" t="b">
        <f>Wh_hp&gt;='2023'!Maxi_hp</f>
        <v>0</v>
      </c>
      <c r="I74" s="389">
        <f>IF(H74,Wh_hp,'2023'!Maxi_hp)</f>
        <v>43.296598895095009</v>
      </c>
      <c r="J74" s="85">
        <f>IF(H74,An,'2023'!An_max)</f>
        <v>2022</v>
      </c>
      <c r="K74" s="196">
        <f t="shared" si="3"/>
        <v>45351</v>
      </c>
      <c r="L74" s="147">
        <f>IF(t&lt;Tvie,1-EXP((T0-t)*PertePVj)+'2023'!Pspv,1-EXP((T0-t)*PertePVj)+Pspv)</f>
        <v>4.3775033613577576E-2</v>
      </c>
      <c r="M74" s="847"/>
      <c r="N74" s="847"/>
      <c r="O74" s="48">
        <f>IF(t&lt;Tnet,'2023'!Resal+('2023'!Salim-'2023'!Resal)*(1-EXP(('2023'!Tnet-t)/('2023'!Tau_j))),Resal+(Salim-Resal)*(1-EXP((Tnet-t)/(Tau_j))))*Salcycl</f>
        <v>7.0631877255120101E-2</v>
      </c>
      <c r="P74" s="168">
        <f>(INDEX(Models!$BJ74:$BT74,,T74)*(1-R74)+INDEX(Models!$BJ74:$BT74,,T74+1)*R74-ERP_i)*Q74*Ramure*Pc/MaxiM</f>
        <v>3.7541008738434109E-4</v>
      </c>
      <c r="Q74" s="304">
        <f t="shared" si="4"/>
        <v>0.5</v>
      </c>
      <c r="R74" s="176">
        <f t="shared" si="5"/>
        <v>0.33901855600195208</v>
      </c>
      <c r="S74" s="814">
        <f t="shared" si="6"/>
        <v>1</v>
      </c>
      <c r="T74" s="175">
        <f t="shared" si="7"/>
        <v>7</v>
      </c>
      <c r="U74" s="250">
        <f t="shared" si="8"/>
        <v>1.3390185560019521</v>
      </c>
      <c r="V74" s="382">
        <f t="shared" si="9"/>
        <v>39.993838667795721</v>
      </c>
      <c r="W74" s="401">
        <f t="shared" si="10"/>
        <v>38.463096856718074</v>
      </c>
      <c r="X74" s="157">
        <f t="shared" si="11"/>
        <v>45351</v>
      </c>
      <c r="Y74" s="384">
        <f t="shared" si="12"/>
        <v>37.891912091257659</v>
      </c>
      <c r="Z74" s="384">
        <f t="shared" si="22"/>
        <v>39.626566365916311</v>
      </c>
      <c r="AA74" s="385">
        <f t="shared" si="13"/>
        <v>43.280911428779426</v>
      </c>
      <c r="AB74" s="196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8.4433181793698811E-2</v>
      </c>
      <c r="AD74" s="230">
        <f>(INDEX(Models!$BJ74:$BT74,,AH74)*(1-AF74)+INDEX(Models!$BJ74:$BT74,,AH74+1)*AF74-ERP_i)*AE74*Ramure*Pc/MaxiM</f>
        <v>3.7541008738434109E-4</v>
      </c>
      <c r="AE74" s="304">
        <f t="shared" si="15"/>
        <v>0.5</v>
      </c>
      <c r="AF74" s="176">
        <f t="shared" si="23"/>
        <v>0.33901855600195208</v>
      </c>
      <c r="AG74" s="814">
        <f t="shared" si="24"/>
        <v>1</v>
      </c>
      <c r="AH74" s="175">
        <f t="shared" si="16"/>
        <v>7</v>
      </c>
      <c r="AI74" s="224">
        <f t="shared" si="17"/>
        <v>1.3390185560019521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10">
        <f>'2023'!Wh/'2023'!Env_an*'2024'!Env_an</f>
        <v>15.222361009299288</v>
      </c>
      <c r="C75" s="843"/>
      <c r="D75" s="392">
        <f t="shared" si="0"/>
        <v>15.919573889057968</v>
      </c>
      <c r="E75" s="384">
        <f t="shared" si="1"/>
        <v>17.130047207396842</v>
      </c>
      <c r="F75" s="384">
        <f t="shared" si="2"/>
        <v>17.130758069525882</v>
      </c>
      <c r="G75" s="110">
        <f t="shared" si="21"/>
        <v>0.37765973129689967</v>
      </c>
      <c r="H75" s="413" t="b">
        <f>Wh_hp&gt;='2023'!Maxi_hp</f>
        <v>0</v>
      </c>
      <c r="I75" s="389">
        <f>IF(H75,Wh_hp,'2023'!Maxi_hp)</f>
        <v>29.944510502068969</v>
      </c>
      <c r="J75" s="85">
        <f>IF(H75,An,'2023'!An_max)</f>
        <v>2020</v>
      </c>
      <c r="K75" s="196">
        <f t="shared" si="3"/>
        <v>45352</v>
      </c>
      <c r="L75" s="147">
        <f>IF(t&lt;Tvie,1-EXP((T0-t)*PertePVj)+'2023'!Pspv,1-EXP((T0-t)*PertePVj)+Pspv)</f>
        <v>4.3795951111348354E-2</v>
      </c>
      <c r="M75" s="847"/>
      <c r="N75" s="847"/>
      <c r="O75" s="48">
        <f>IF(t&lt;Tnet,'2023'!Resal+('2023'!Salim-'2023'!Resal)*(1-EXP(('2023'!Tnet-t)/('2023'!Tau_j))),Resal+(Salim-Resal)*(1-EXP((Tnet-t)/(Tau_j))))*Salcycl</f>
        <v>7.066374678851943E-2</v>
      </c>
      <c r="P75" s="168">
        <f>(INDEX(Models!$BJ75:$BT75,,T75)*(1-R75)+INDEX(Models!$BJ75:$BT75,,T75+1)*R75-ERP_i)*Q75*Ramure*Pc/MaxiM</f>
        <v>3.7343087150625346E-4</v>
      </c>
      <c r="Q75" s="304">
        <f t="shared" si="4"/>
        <v>0.5</v>
      </c>
      <c r="R75" s="176">
        <f t="shared" si="5"/>
        <v>0.33921092858350899</v>
      </c>
      <c r="S75" s="814">
        <f t="shared" si="6"/>
        <v>1</v>
      </c>
      <c r="T75" s="175">
        <f t="shared" si="7"/>
        <v>7</v>
      </c>
      <c r="U75" s="250">
        <f t="shared" si="8"/>
        <v>1.339210928583509</v>
      </c>
      <c r="V75" s="382">
        <f t="shared" si="9"/>
        <v>40.293700148119612</v>
      </c>
      <c r="W75" s="401">
        <f t="shared" si="10"/>
        <v>15.222361009299288</v>
      </c>
      <c r="X75" s="157">
        <f t="shared" si="11"/>
        <v>45352</v>
      </c>
      <c r="Y75" s="384">
        <f t="shared" si="12"/>
        <v>14.996533326091056</v>
      </c>
      <c r="Z75" s="384">
        <f t="shared" si="22"/>
        <v>15.683402871511348</v>
      </c>
      <c r="AA75" s="385">
        <f t="shared" si="13"/>
        <v>17.130047207396842</v>
      </c>
      <c r="AB75" s="196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8.4450691721434726E-2</v>
      </c>
      <c r="AD75" s="230">
        <f>(INDEX(Models!$BJ75:$BT75,,AH75)*(1-AF75)+INDEX(Models!$BJ75:$BT75,,AH75+1)*AF75-ERP_i)*AE75*Ramure*Pc/MaxiM</f>
        <v>3.7343087150625346E-4</v>
      </c>
      <c r="AE75" s="304">
        <f t="shared" si="15"/>
        <v>0.5</v>
      </c>
      <c r="AF75" s="176">
        <f t="shared" si="23"/>
        <v>0.33921092858350899</v>
      </c>
      <c r="AG75" s="814">
        <f t="shared" si="24"/>
        <v>1</v>
      </c>
      <c r="AH75" s="175">
        <f t="shared" si="16"/>
        <v>7</v>
      </c>
      <c r="AI75" s="224">
        <f t="shared" si="17"/>
        <v>1.339210928583509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10">
        <f>'2023'!Wh/'2023'!Env_an*'2024'!Env_an</f>
        <v>35.464338768522929</v>
      </c>
      <c r="C76" s="843"/>
      <c r="D76" s="392">
        <f t="shared" si="0"/>
        <v>37.089483789515768</v>
      </c>
      <c r="E76" s="384">
        <f t="shared" si="1"/>
        <v>39.911016611114263</v>
      </c>
      <c r="F76" s="384">
        <f t="shared" si="2"/>
        <v>39.923160874120576</v>
      </c>
      <c r="G76" s="110">
        <f t="shared" si="21"/>
        <v>0.87359529606561293</v>
      </c>
      <c r="H76" s="413" t="b">
        <f>Wh_hp&gt;='2023'!Maxi_hp</f>
        <v>0</v>
      </c>
      <c r="I76" s="389">
        <f>IF(H76,Wh_hp,'2023'!Maxi_hp)</f>
        <v>39.924133521636918</v>
      </c>
      <c r="J76" s="85">
        <f>IF(H76,An,'2023'!An_max)</f>
        <v>2022</v>
      </c>
      <c r="K76" s="196">
        <f t="shared" si="3"/>
        <v>45353</v>
      </c>
      <c r="L76" s="147">
        <f>IF(t&lt;Tvie,1-EXP((T0-t)*PertePVj)+'2023'!Pspv,1-EXP((T0-t)*PertePVj)+Pspv)</f>
        <v>4.3816868150972278E-2</v>
      </c>
      <c r="M76" s="847"/>
      <c r="N76" s="847"/>
      <c r="O76" s="48">
        <f>IF(t&lt;Tnet,'2023'!Resal+('2023'!Salim-'2023'!Resal)*(1-EXP(('2023'!Tnet-t)/('2023'!Tau_j))),Resal+(Salim-Resal)*(1-EXP((Tnet-t)/(Tau_j))))*Salcycl</f>
        <v>7.0695588866878531E-2</v>
      </c>
      <c r="P76" s="168">
        <f>(INDEX(Models!$BJ76:$BT76,,T76)*(1-R76)+INDEX(Models!$BJ76:$BT76,,T76+1)*R76-ERP_i)*Q76*Ramure*Pc/MaxiM</f>
        <v>3.7118838267631923E-4</v>
      </c>
      <c r="Q76" s="304">
        <f t="shared" si="4"/>
        <v>0.5</v>
      </c>
      <c r="R76" s="176">
        <f t="shared" si="5"/>
        <v>0.33941110562942378</v>
      </c>
      <c r="S76" s="814">
        <f t="shared" si="6"/>
        <v>1</v>
      </c>
      <c r="T76" s="175">
        <f t="shared" si="7"/>
        <v>7</v>
      </c>
      <c r="U76" s="250">
        <f t="shared" si="8"/>
        <v>1.3394111056294238</v>
      </c>
      <c r="V76" s="382">
        <f t="shared" si="9"/>
        <v>40.59312382347882</v>
      </c>
      <c r="W76" s="401">
        <f t="shared" si="10"/>
        <v>35.464338768522929</v>
      </c>
      <c r="X76" s="157">
        <f t="shared" si="11"/>
        <v>45353</v>
      </c>
      <c r="Y76" s="384">
        <f t="shared" si="12"/>
        <v>34.938745447437071</v>
      </c>
      <c r="Z76" s="384">
        <f t="shared" si="22"/>
        <v>36.539805277545483</v>
      </c>
      <c r="AA76" s="385">
        <f t="shared" si="13"/>
        <v>39.911016611114263</v>
      </c>
      <c r="AB76" s="196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8.4468189984165359E-2</v>
      </c>
      <c r="AD76" s="230">
        <f>(INDEX(Models!$BJ76:$BT76,,AH76)*(1-AF76)+INDEX(Models!$BJ76:$BT76,,AH76+1)*AF76-ERP_i)*AE76*Ramure*Pc/MaxiM</f>
        <v>3.7118838267631923E-4</v>
      </c>
      <c r="AE76" s="304">
        <f t="shared" si="15"/>
        <v>0.5</v>
      </c>
      <c r="AF76" s="176">
        <f t="shared" si="23"/>
        <v>0.33941110562942378</v>
      </c>
      <c r="AG76" s="814">
        <f t="shared" si="24"/>
        <v>1</v>
      </c>
      <c r="AH76" s="175">
        <f t="shared" si="16"/>
        <v>7</v>
      </c>
      <c r="AI76" s="224">
        <f t="shared" si="17"/>
        <v>1.3394111056294238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10">
        <f>'2023'!Wh/'2023'!Env_an*'2024'!Env_an</f>
        <v>5.2883017657443148</v>
      </c>
      <c r="C77" s="843"/>
      <c r="D77" s="392">
        <f t="shared" si="0"/>
        <v>5.5307579418044792</v>
      </c>
      <c r="E77" s="384">
        <f t="shared" si="1"/>
        <v>5.9517067653599227</v>
      </c>
      <c r="F77" s="384">
        <f t="shared" si="2"/>
        <v>5.9517067653599227</v>
      </c>
      <c r="G77" s="110">
        <f t="shared" si="21"/>
        <v>0.12927468871031139</v>
      </c>
      <c r="H77" s="413" t="b">
        <f>Wh_hp&gt;='2023'!Maxi_hp</f>
        <v>0</v>
      </c>
      <c r="I77" s="389">
        <f>IF(H77,Wh_hp,'2023'!Maxi_hp)</f>
        <v>32.295079329869516</v>
      </c>
      <c r="J77" s="85">
        <f>IF(H77,An,'2023'!An_max)</f>
        <v>2021</v>
      </c>
      <c r="K77" s="196">
        <f t="shared" si="3"/>
        <v>45354</v>
      </c>
      <c r="L77" s="147">
        <f>IF(t&lt;Tvie,1-EXP((T0-t)*PertePVj)+'2023'!Pspv,1-EXP((T0-t)*PertePVj)+Pspv)</f>
        <v>4.3837784732459341E-2</v>
      </c>
      <c r="M77" s="847"/>
      <c r="N77" s="847"/>
      <c r="O77" s="48">
        <f>IF(t&lt;Tnet,'2023'!Resal+('2023'!Salim-'2023'!Resal)*(1-EXP(('2023'!Tnet-t)/('2023'!Tau_j))),Resal+(Salim-Resal)*(1-EXP((Tnet-t)/(Tau_j))))*Salcycl</f>
        <v>7.0727413185986604E-2</v>
      </c>
      <c r="P77" s="168">
        <f>(INDEX(Models!$BJ77:$BT77,,T77)*(1-R77)+INDEX(Models!$BJ77:$BT77,,T77+1)*R77-ERP_i)*Q77*Ramure*Pc/MaxiM</f>
        <v>3.6868603637394185E-4</v>
      </c>
      <c r="Q77" s="304">
        <f t="shared" si="4"/>
        <v>0.5</v>
      </c>
      <c r="R77" s="176">
        <f t="shared" si="5"/>
        <v>0.33961939235648275</v>
      </c>
      <c r="S77" s="814">
        <f t="shared" si="6"/>
        <v>1</v>
      </c>
      <c r="T77" s="175">
        <f t="shared" si="7"/>
        <v>7</v>
      </c>
      <c r="U77" s="250">
        <f t="shared" si="8"/>
        <v>1.3396193923564828</v>
      </c>
      <c r="V77" s="382">
        <f t="shared" si="9"/>
        <v>40.892398159806945</v>
      </c>
      <c r="W77" s="401">
        <f t="shared" si="10"/>
        <v>5.2883017657443148</v>
      </c>
      <c r="X77" s="157">
        <f t="shared" si="11"/>
        <v>45354</v>
      </c>
      <c r="Y77" s="384">
        <f t="shared" si="12"/>
        <v>5.2100062141972376</v>
      </c>
      <c r="Z77" s="384">
        <f t="shared" si="22"/>
        <v>5.4488727236930634</v>
      </c>
      <c r="AA77" s="385">
        <f t="shared" si="13"/>
        <v>5.9517067653599227</v>
      </c>
      <c r="AB77" s="196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8.4485688137972539E-2</v>
      </c>
      <c r="AD77" s="230">
        <f>(INDEX(Models!$BJ77:$BT77,,AH77)*(1-AF77)+INDEX(Models!$BJ77:$BT77,,AH77+1)*AF77-ERP_i)*AE77*Ramure*Pc/MaxiM</f>
        <v>3.6868603637394185E-4</v>
      </c>
      <c r="AE77" s="304">
        <f t="shared" si="15"/>
        <v>0.5</v>
      </c>
      <c r="AF77" s="176">
        <f t="shared" si="23"/>
        <v>0.33961939235648275</v>
      </c>
      <c r="AG77" s="814">
        <f t="shared" si="24"/>
        <v>1</v>
      </c>
      <c r="AH77" s="175">
        <f t="shared" si="16"/>
        <v>7</v>
      </c>
      <c r="AI77" s="224">
        <f t="shared" si="17"/>
        <v>1.3396193923564828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10">
        <f>'2023'!Wh/'2023'!Env_an*'2024'!Env_an</f>
        <v>12.355881300796145</v>
      </c>
      <c r="C78" s="843"/>
      <c r="D78" s="392">
        <f t="shared" si="0"/>
        <v>12.922652030464121</v>
      </c>
      <c r="E78" s="384">
        <f t="shared" si="1"/>
        <v>13.906677859555632</v>
      </c>
      <c r="F78" s="384">
        <f t="shared" si="2"/>
        <v>13.906677859555632</v>
      </c>
      <c r="G78" s="110">
        <f t="shared" si="21"/>
        <v>0.29984988528362677</v>
      </c>
      <c r="H78" s="413" t="b">
        <f>Wh_hp&gt;='2023'!Maxi_hp</f>
        <v>0</v>
      </c>
      <c r="I78" s="389">
        <f>IF(H78,Wh_hp,'2023'!Maxi_hp)</f>
        <v>45.312703719886137</v>
      </c>
      <c r="J78" s="85">
        <f>IF(H78,An,'2023'!An_max)</f>
        <v>2019</v>
      </c>
      <c r="K78" s="196">
        <f t="shared" si="3"/>
        <v>45355</v>
      </c>
      <c r="L78" s="147">
        <f>IF(t&lt;Tvie,1-EXP((T0-t)*PertePVj)+'2023'!Pspv,1-EXP((T0-t)*PertePVj)+Pspv)</f>
        <v>4.3858700855819645E-2</v>
      </c>
      <c r="M78" s="847"/>
      <c r="N78" s="847"/>
      <c r="O78" s="48">
        <f>IF(t&lt;Tnet,'2023'!Resal+('2023'!Salim-'2023'!Resal)*(1-EXP(('2023'!Tnet-t)/('2023'!Tau_j))),Resal+(Salim-Resal)*(1-EXP((Tnet-t)/(Tau_j))))*Salcycl</f>
        <v>7.0759230855078833E-2</v>
      </c>
      <c r="P78" s="168">
        <f>(INDEX(Models!$BJ78:$BT78,,T78)*(1-R78)+INDEX(Models!$BJ78:$BT78,,T78+1)*R78-ERP_i)*Q78*Ramure*Pc/MaxiM</f>
        <v>3.6592728958402852E-4</v>
      </c>
      <c r="Q78" s="304">
        <f t="shared" si="4"/>
        <v>0.5</v>
      </c>
      <c r="R78" s="176">
        <f t="shared" si="5"/>
        <v>0.33983610495962013</v>
      </c>
      <c r="S78" s="814">
        <f t="shared" si="6"/>
        <v>1</v>
      </c>
      <c r="T78" s="175">
        <f t="shared" si="7"/>
        <v>7</v>
      </c>
      <c r="U78" s="250">
        <f t="shared" si="8"/>
        <v>1.3398361049596201</v>
      </c>
      <c r="V78" s="382">
        <f t="shared" si="9"/>
        <v>41.191811479128042</v>
      </c>
      <c r="W78" s="401">
        <f t="shared" si="10"/>
        <v>12.355881300796145</v>
      </c>
      <c r="X78" s="157">
        <f t="shared" si="11"/>
        <v>45355</v>
      </c>
      <c r="Y78" s="384">
        <f t="shared" si="12"/>
        <v>12.173131200094028</v>
      </c>
      <c r="Z78" s="384">
        <f t="shared" si="22"/>
        <v>12.731519087178759</v>
      </c>
      <c r="AA78" s="385">
        <f t="shared" si="13"/>
        <v>13.906677859555632</v>
      </c>
      <c r="AB78" s="196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8.450319941576788E-2</v>
      </c>
      <c r="AD78" s="230">
        <f>(INDEX(Models!$BJ78:$BT78,,AH78)*(1-AF78)+INDEX(Models!$BJ78:$BT78,,AH78+1)*AF78-ERP_i)*AE78*Ramure*Pc/MaxiM</f>
        <v>3.6592728958402852E-4</v>
      </c>
      <c r="AE78" s="304">
        <f t="shared" si="15"/>
        <v>0.5</v>
      </c>
      <c r="AF78" s="176">
        <f t="shared" si="23"/>
        <v>0.33983610495962013</v>
      </c>
      <c r="AG78" s="814">
        <f t="shared" si="24"/>
        <v>1</v>
      </c>
      <c r="AH78" s="175">
        <f t="shared" si="16"/>
        <v>7</v>
      </c>
      <c r="AI78" s="224">
        <f t="shared" si="17"/>
        <v>1.3398361049596201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10">
        <f>'2023'!Wh/'2023'!Env_an*'2024'!Env_an</f>
        <v>19.520484525476981</v>
      </c>
      <c r="C79" s="843"/>
      <c r="D79" s="392">
        <f t="shared" ref="D79:D142" si="25">Wh/(1-Ppv)</f>
        <v>20.416345956823768</v>
      </c>
      <c r="E79" s="384">
        <f t="shared" si="1"/>
        <v>21.971749253120446</v>
      </c>
      <c r="F79" s="384">
        <f t="shared" ref="F79:F142" si="26">Wh_sa/(1-Pvg*MEDIAN((-Sdif+Wh/Env_an)/Csdif,0,1))</f>
        <v>21.973691323319013</v>
      </c>
      <c r="G79" s="110">
        <f t="shared" si="21"/>
        <v>0.47034204252986866</v>
      </c>
      <c r="H79" s="413" t="b">
        <f>Wh_hp&gt;='2023'!Maxi_hp</f>
        <v>0</v>
      </c>
      <c r="I79" s="389">
        <f>IF(H79,Wh_hp,'2023'!Maxi_hp)</f>
        <v>24.720173237036324</v>
      </c>
      <c r="J79" s="85">
        <f>IF(H79,An,'2023'!An_max)</f>
        <v>2019</v>
      </c>
      <c r="K79" s="196">
        <f t="shared" ref="K79:K142" si="27">t</f>
        <v>45356</v>
      </c>
      <c r="L79" s="147">
        <f>IF(t&lt;Tvie,1-EXP((T0-t)*PertePVj)+'2023'!Pspv,1-EXP((T0-t)*PertePVj)+Pspv)</f>
        <v>4.3879616521063182E-2</v>
      </c>
      <c r="M79" s="847"/>
      <c r="N79" s="847"/>
      <c r="O79" s="48">
        <f>IF(t&lt;Tnet,'2023'!Resal+('2023'!Salim-'2023'!Resal)*(1-EXP(('2023'!Tnet-t)/('2023'!Tau_j))),Resal+(Salim-Resal)*(1-EXP((Tnet-t)/(Tau_j))))*Salcycl</f>
        <v>7.0791054384337554E-2</v>
      </c>
      <c r="P79" s="168">
        <f>(INDEX(Models!$BJ79:$BT79,,T79)*(1-R79)+INDEX(Models!$BJ79:$BT79,,T79+1)*R79-ERP_i)*Q79*Ramure*Pc/MaxiM</f>
        <v>3.6291831564851297E-4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0.340061570925559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1.340061570925559</v>
      </c>
      <c r="V79" s="382">
        <f t="shared" ref="V79:V142" si="33">MaxiM*(1-Ppv)*(1-Pvg)*(1-Psa)</f>
        <v>41.491347142373279</v>
      </c>
      <c r="W79" s="401">
        <f t="shared" ref="W79:W142" si="34">Wh*(A79&gt;Tmaj)</f>
        <v>19.520484525476981</v>
      </c>
      <c r="X79" s="157">
        <f t="shared" ref="X79:X142" si="35">t</f>
        <v>45356</v>
      </c>
      <c r="Y79" s="384">
        <f t="shared" ref="Y79:Y142" si="36">Wh_pvt_s*(1-Ppv)</f>
        <v>19.232056296615465</v>
      </c>
      <c r="Z79" s="384">
        <f t="shared" ref="Z79:Z142" si="37">Wh_sa_s*(1-Psa_s)</f>
        <v>20.114680775487457</v>
      </c>
      <c r="AA79" s="385">
        <f t="shared" ref="AA79:AA142" si="38">Wh_hp*(1-Pvg_s*MEDIAN((-Sdif+Wh/Env_an)/Csdif,0,1))</f>
        <v>21.971749253120446</v>
      </c>
      <c r="AB79" s="196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8.4520738710380378E-2</v>
      </c>
      <c r="AD79" s="230">
        <f>(INDEX(Models!$BJ79:$BT79,,AH79)*(1-AF79)+INDEX(Models!$BJ79:$BT79,,AH79+1)*AF79-ERP_i)*AE79*Ramure*Pc/MaxiM</f>
        <v>3.6291831564851297E-4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0.340061570925559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1.340061570925559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10">
        <f>'2023'!Wh/'2023'!Env_an*'2024'!Env_an</f>
        <v>37.94778679159694</v>
      </c>
      <c r="C80" s="843"/>
      <c r="D80" s="392">
        <f t="shared" si="25"/>
        <v>39.690208028448708</v>
      </c>
      <c r="E80" s="384">
        <f t="shared" ref="E80:E143" si="47">Wh_pvt/(1-Psa)</f>
        <v>42.715439208132636</v>
      </c>
      <c r="F80" s="384">
        <f t="shared" si="26"/>
        <v>42.728800000902268</v>
      </c>
      <c r="G80" s="110">
        <f t="shared" ref="G80:G143" si="48">+Wh_hp/MaxiM</f>
        <v>0.90800184936024575</v>
      </c>
      <c r="H80" s="413" t="b">
        <f>Wh_hp&gt;='2023'!Maxi_hp</f>
        <v>0</v>
      </c>
      <c r="I80" s="389">
        <f>IF(H80,Wh_hp,'2023'!Maxi_hp)</f>
        <v>42.729535510180014</v>
      </c>
      <c r="J80" s="85">
        <f>IF(H80,An,'2023'!An_max)</f>
        <v>2022</v>
      </c>
      <c r="K80" s="196">
        <f t="shared" si="27"/>
        <v>45357</v>
      </c>
      <c r="L80" s="147">
        <f>IF(t&lt;Tvie,1-EXP((T0-t)*PertePVj)+'2023'!Pspv,1-EXP((T0-t)*PertePVj)+Pspv)</f>
        <v>4.3900531728199944E-2</v>
      </c>
      <c r="M80" s="847"/>
      <c r="N80" s="847"/>
      <c r="O80" s="48">
        <f>IF(t&lt;Tnet,'2023'!Resal+('2023'!Salim-'2023'!Resal)*(1-EXP(('2023'!Tnet-t)/('2023'!Tau_j))),Resal+(Salim-Resal)*(1-EXP((Tnet-t)/(Tau_j))))*Salcycl</f>
        <v>7.0822897663380416E-2</v>
      </c>
      <c r="P80" s="168">
        <f>(INDEX(Models!$BJ80:$BT80,,T80)*(1-R80)+INDEX(Models!$BJ80:$BT80,,T80+1)*R80-ERP_i)*Q80*Ramure*Pc/MaxiM</f>
        <v>3.5997636834450569E-4</v>
      </c>
      <c r="Q80" s="304">
        <f t="shared" si="28"/>
        <v>0.5</v>
      </c>
      <c r="R80" s="176">
        <f t="shared" si="29"/>
        <v>0.34029612934822029</v>
      </c>
      <c r="S80" s="814">
        <f t="shared" si="30"/>
        <v>1</v>
      </c>
      <c r="T80" s="175">
        <f t="shared" si="31"/>
        <v>7</v>
      </c>
      <c r="U80" s="250">
        <f t="shared" si="32"/>
        <v>1.3402961293482203</v>
      </c>
      <c r="V80" s="382">
        <f t="shared" si="33"/>
        <v>41.790654696119965</v>
      </c>
      <c r="W80" s="401">
        <f t="shared" si="34"/>
        <v>37.94778679159694</v>
      </c>
      <c r="X80" s="157">
        <f t="shared" si="35"/>
        <v>45357</v>
      </c>
      <c r="Y80" s="384">
        <f t="shared" si="36"/>
        <v>37.387645976753525</v>
      </c>
      <c r="Z80" s="384">
        <f t="shared" si="37"/>
        <v>39.104347630622215</v>
      </c>
      <c r="AA80" s="385">
        <f t="shared" si="38"/>
        <v>42.715439208132636</v>
      </c>
      <c r="AB80" s="196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8.4538322546918968E-2</v>
      </c>
      <c r="AD80" s="230">
        <f>(INDEX(Models!$BJ80:$BT80,,AH80)*(1-AF80)+INDEX(Models!$BJ80:$BT80,,AH80+1)*AF80-ERP_i)*AE80*Ramure*Pc/MaxiM</f>
        <v>3.5997636834450569E-4</v>
      </c>
      <c r="AE80" s="304">
        <f t="shared" si="40"/>
        <v>0.5</v>
      </c>
      <c r="AF80" s="176">
        <f t="shared" si="41"/>
        <v>0.34029612934822029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1.3402961293482203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10">
        <f>'2023'!Wh/'2023'!Env_an*'2024'!Env_an</f>
        <v>29.872516294584866</v>
      </c>
      <c r="C81" s="843"/>
      <c r="D81" s="392">
        <f t="shared" si="25"/>
        <v>31.244834626314763</v>
      </c>
      <c r="E81" s="384">
        <f t="shared" si="47"/>
        <v>33.627503878767641</v>
      </c>
      <c r="F81" s="384">
        <f t="shared" si="26"/>
        <v>33.634540323561616</v>
      </c>
      <c r="G81" s="110">
        <f t="shared" si="48"/>
        <v>0.70963228811111967</v>
      </c>
      <c r="H81" s="413" t="b">
        <f>Wh_hp&gt;='2023'!Maxi_hp</f>
        <v>0</v>
      </c>
      <c r="I81" s="389">
        <f>IF(H81,Wh_hp,'2023'!Maxi_hp)</f>
        <v>33.636353545695187</v>
      </c>
      <c r="J81" s="85">
        <f>IF(H81,An,'2023'!An_max)</f>
        <v>2022</v>
      </c>
      <c r="K81" s="196">
        <f t="shared" si="27"/>
        <v>45358</v>
      </c>
      <c r="L81" s="147">
        <f>IF(t&lt;Tvie,1-EXP((T0-t)*PertePVj)+'2023'!Pspv,1-EXP((T0-t)*PertePVj)+Pspv)</f>
        <v>4.3921446477239924E-2</v>
      </c>
      <c r="M81" s="847"/>
      <c r="N81" s="847"/>
      <c r="O81" s="48">
        <f>IF(t&lt;Tnet,'2023'!Resal+('2023'!Salim-'2023'!Resal)*(1-EXP(('2023'!Tnet-t)/('2023'!Tau_j))),Resal+(Salim-Resal)*(1-EXP((Tnet-t)/(Tau_j))))*Salcycl</f>
        <v>7.0854775931117858E-2</v>
      </c>
      <c r="P81" s="168">
        <f>(INDEX(Models!$BJ81:$BT81,,T81)*(1-R81)+INDEX(Models!$BJ81:$BT81,,T81+1)*R81-ERP_i)*Q81*Ramure*Pc/MaxiM</f>
        <v>3.5740458591421159E-4</v>
      </c>
      <c r="Q81" s="304">
        <f t="shared" si="28"/>
        <v>0.5</v>
      </c>
      <c r="R81" s="176">
        <f t="shared" si="29"/>
        <v>0.34054013124514637</v>
      </c>
      <c r="S81" s="814">
        <f t="shared" si="30"/>
        <v>1</v>
      </c>
      <c r="T81" s="175">
        <f t="shared" si="31"/>
        <v>7</v>
      </c>
      <c r="U81" s="250">
        <f t="shared" si="32"/>
        <v>1.3405401312451464</v>
      </c>
      <c r="V81" s="382">
        <f t="shared" si="33"/>
        <v>42.089528214254784</v>
      </c>
      <c r="W81" s="401">
        <f t="shared" si="34"/>
        <v>29.872516294584866</v>
      </c>
      <c r="X81" s="157">
        <f t="shared" si="35"/>
        <v>45358</v>
      </c>
      <c r="Y81" s="384">
        <f t="shared" si="36"/>
        <v>29.432015602180858</v>
      </c>
      <c r="Z81" s="384">
        <f t="shared" si="37"/>
        <v>30.784097701737863</v>
      </c>
      <c r="AA81" s="385">
        <f t="shared" si="38"/>
        <v>33.627503878767641</v>
      </c>
      <c r="AB81" s="196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8.4555969044883536E-2</v>
      </c>
      <c r="AD81" s="230">
        <f>(INDEX(Models!$BJ81:$BT81,,AH81)*(1-AF81)+INDEX(Models!$BJ81:$BT81,,AH81+1)*AF81-ERP_i)*AE81*Ramure*Pc/MaxiM</f>
        <v>3.5740458591421159E-4</v>
      </c>
      <c r="AE81" s="304">
        <f t="shared" si="40"/>
        <v>0.5</v>
      </c>
      <c r="AF81" s="176">
        <f t="shared" si="41"/>
        <v>0.34054013124514637</v>
      </c>
      <c r="AG81" s="814">
        <f t="shared" si="49"/>
        <v>1</v>
      </c>
      <c r="AH81" s="175">
        <f t="shared" si="42"/>
        <v>7</v>
      </c>
      <c r="AI81" s="224">
        <f t="shared" si="43"/>
        <v>1.3405401312451464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10">
        <f>'2023'!Wh/'2023'!Env_an*'2024'!Env_an</f>
        <v>28.372449081785916</v>
      </c>
      <c r="C82" s="843"/>
      <c r="D82" s="392">
        <f t="shared" si="25"/>
        <v>29.676504760302119</v>
      </c>
      <c r="E82" s="384">
        <f t="shared" si="47"/>
        <v>31.940673913030473</v>
      </c>
      <c r="F82" s="384">
        <f t="shared" si="26"/>
        <v>31.946661354350358</v>
      </c>
      <c r="G82" s="110">
        <f t="shared" si="48"/>
        <v>0.66924221177601573</v>
      </c>
      <c r="H82" s="413" t="b">
        <f>Wh_hp&gt;='2023'!Maxi_hp</f>
        <v>0</v>
      </c>
      <c r="I82" s="389">
        <f>IF(H82,Wh_hp,'2023'!Maxi_hp)</f>
        <v>44.764426477667158</v>
      </c>
      <c r="J82" s="85">
        <f>IF(H82,An,'2023'!An_max)</f>
        <v>2021</v>
      </c>
      <c r="K82" s="196">
        <f t="shared" si="27"/>
        <v>45359</v>
      </c>
      <c r="L82" s="147">
        <f>IF(t&lt;Tvie,1-EXP((T0-t)*PertePVj)+'2023'!Pspv,1-EXP((T0-t)*PertePVj)+Pspv)</f>
        <v>4.3942360768193335E-2</v>
      </c>
      <c r="M82" s="847"/>
      <c r="N82" s="847"/>
      <c r="O82" s="48">
        <f>IF(t&lt;Tnet,'2023'!Resal+('2023'!Salim-'2023'!Resal)*(1-EXP(('2023'!Tnet-t)/('2023'!Tau_j))),Resal+(Salim-Resal)*(1-EXP((Tnet-t)/(Tau_j))))*Salcycl</f>
        <v>7.0886705737434788E-2</v>
      </c>
      <c r="P82" s="168">
        <f>(INDEX(Models!$BJ82:$BT82,,T82)*(1-R82)+INDEX(Models!$BJ82:$BT82,,T82+1)*R82-ERP_i)*Q82*Ramure*Pc/MaxiM</f>
        <v>3.5519790483621585E-4</v>
      </c>
      <c r="Q82" s="304">
        <f t="shared" si="28"/>
        <v>0.5</v>
      </c>
      <c r="R82" s="176">
        <f t="shared" si="29"/>
        <v>0.34079393987409867</v>
      </c>
      <c r="S82" s="814">
        <f t="shared" si="30"/>
        <v>1</v>
      </c>
      <c r="T82" s="175">
        <f t="shared" si="31"/>
        <v>7</v>
      </c>
      <c r="U82" s="250">
        <f t="shared" si="32"/>
        <v>1.3407939398740987</v>
      </c>
      <c r="V82" s="382">
        <f t="shared" si="33"/>
        <v>42.387774438753056</v>
      </c>
      <c r="W82" s="401">
        <f t="shared" si="34"/>
        <v>28.372449081785916</v>
      </c>
      <c r="X82" s="157">
        <f t="shared" si="35"/>
        <v>45359</v>
      </c>
      <c r="Y82" s="384">
        <f t="shared" si="36"/>
        <v>27.954487688080075</v>
      </c>
      <c r="Z82" s="384">
        <f t="shared" si="37"/>
        <v>29.239333007726959</v>
      </c>
      <c r="AA82" s="385">
        <f t="shared" si="38"/>
        <v>31.940673913030473</v>
      </c>
      <c r="AB82" s="196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8.457369787058501E-2</v>
      </c>
      <c r="AD82" s="230">
        <f>(INDEX(Models!$BJ82:$BT82,,AH82)*(1-AF82)+INDEX(Models!$BJ82:$BT82,,AH82+1)*AF82-ERP_i)*AE82*Ramure*Pc/MaxiM</f>
        <v>3.5519790483621585E-4</v>
      </c>
      <c r="AE82" s="304">
        <f t="shared" si="40"/>
        <v>0.5</v>
      </c>
      <c r="AF82" s="176">
        <f t="shared" si="41"/>
        <v>0.34079393987409867</v>
      </c>
      <c r="AG82" s="814">
        <f t="shared" si="49"/>
        <v>1</v>
      </c>
      <c r="AH82" s="175">
        <f t="shared" si="42"/>
        <v>7</v>
      </c>
      <c r="AI82" s="224">
        <f t="shared" si="43"/>
        <v>1.3407939398740987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10">
        <f>'2023'!Wh/'2023'!Env_an*'2024'!Env_an</f>
        <v>22.262182242380867</v>
      </c>
      <c r="C83" s="843"/>
      <c r="D83" s="392">
        <f t="shared" si="25"/>
        <v>23.285906964600571</v>
      </c>
      <c r="E83" s="384">
        <f t="shared" si="47"/>
        <v>25.063368606537736</v>
      </c>
      <c r="F83" s="384">
        <f t="shared" si="26"/>
        <v>25.066171816559457</v>
      </c>
      <c r="G83" s="110">
        <f t="shared" si="48"/>
        <v>0.52141737327269166</v>
      </c>
      <c r="H83" s="413" t="b">
        <f>Wh_hp&gt;='2023'!Maxi_hp</f>
        <v>0</v>
      </c>
      <c r="I83" s="389">
        <f>IF(H83,Wh_hp,'2023'!Maxi_hp)</f>
        <v>45.253306652586467</v>
      </c>
      <c r="J83" s="85">
        <f>IF(H83,An,'2023'!An_max)</f>
        <v>2021</v>
      </c>
      <c r="K83" s="196">
        <f t="shared" si="27"/>
        <v>45360</v>
      </c>
      <c r="L83" s="147">
        <f>IF(t&lt;Tvie,1-EXP((T0-t)*PertePVj)+'2023'!Pspv,1-EXP((T0-t)*PertePVj)+Pspv)</f>
        <v>4.3963274601070058E-2</v>
      </c>
      <c r="M83" s="847"/>
      <c r="N83" s="847"/>
      <c r="O83" s="48">
        <f>IF(t&lt;Tnet,'2023'!Resal+('2023'!Salim-'2023'!Resal)*(1-EXP(('2023'!Tnet-t)/('2023'!Tau_j))),Resal+(Salim-Resal)*(1-EXP((Tnet-t)/(Tau_j))))*Salcycl</f>
        <v>7.0918704897214732E-2</v>
      </c>
      <c r="P83" s="168">
        <f>(INDEX(Models!$BJ83:$BT83,,T83)*(1-R83)+INDEX(Models!$BJ83:$BT83,,T83+1)*R83-ERP_i)*Q83*Ramure*Pc/MaxiM</f>
        <v>3.5335150576857802E-4</v>
      </c>
      <c r="Q83" s="304">
        <f t="shared" si="28"/>
        <v>0.5</v>
      </c>
      <c r="R83" s="176">
        <f t="shared" si="29"/>
        <v>0.34105793104890059</v>
      </c>
      <c r="S83" s="814">
        <f t="shared" si="30"/>
        <v>1</v>
      </c>
      <c r="T83" s="175">
        <f t="shared" si="31"/>
        <v>7</v>
      </c>
      <c r="U83" s="250">
        <f t="shared" si="32"/>
        <v>1.3410579310489006</v>
      </c>
      <c r="V83" s="382">
        <f t="shared" si="33"/>
        <v>42.685200070837389</v>
      </c>
      <c r="W83" s="401">
        <f t="shared" si="34"/>
        <v>22.262182242380867</v>
      </c>
      <c r="X83" s="157">
        <f t="shared" si="35"/>
        <v>45360</v>
      </c>
      <c r="Y83" s="384">
        <f t="shared" si="36"/>
        <v>21.934560827732504</v>
      </c>
      <c r="Z83" s="384">
        <f t="shared" si="37"/>
        <v>22.943219904632603</v>
      </c>
      <c r="AA83" s="385">
        <f t="shared" si="38"/>
        <v>25.063368606537736</v>
      </c>
      <c r="AB83" s="196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8.4591530180508079E-2</v>
      </c>
      <c r="AD83" s="230">
        <f>(INDEX(Models!$BJ83:$BT83,,AH83)*(1-AF83)+INDEX(Models!$BJ83:$BT83,,AH83+1)*AF83-ERP_i)*AE83*Ramure*Pc/MaxiM</f>
        <v>3.5335150576857802E-4</v>
      </c>
      <c r="AE83" s="304">
        <f t="shared" si="40"/>
        <v>0.5</v>
      </c>
      <c r="AF83" s="176">
        <f t="shared" si="41"/>
        <v>0.34105793104890059</v>
      </c>
      <c r="AG83" s="814">
        <f t="shared" si="49"/>
        <v>1</v>
      </c>
      <c r="AH83" s="175">
        <f t="shared" si="42"/>
        <v>7</v>
      </c>
      <c r="AI83" s="224">
        <f t="shared" si="43"/>
        <v>1.3410579310489006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10">
        <f>'2023'!Wh/'2023'!Env_an*'2024'!Env_an</f>
        <v>14.13057839926784</v>
      </c>
      <c r="C84" s="843"/>
      <c r="D84" s="392">
        <f t="shared" si="25"/>
        <v>14.780695278825924</v>
      </c>
      <c r="E84" s="384">
        <f t="shared" si="47"/>
        <v>15.909485911517885</v>
      </c>
      <c r="F84" s="384">
        <f t="shared" si="26"/>
        <v>15.909715899111598</v>
      </c>
      <c r="G84" s="110">
        <f t="shared" si="48"/>
        <v>0.32864776401063206</v>
      </c>
      <c r="H84" s="413" t="b">
        <f>Wh_hp&gt;='2023'!Maxi_hp</f>
        <v>0</v>
      </c>
      <c r="I84" s="389">
        <f>IF(H84,Wh_hp,'2023'!Maxi_hp)</f>
        <v>35.768760137724279</v>
      </c>
      <c r="J84" s="85">
        <f>IF(H84,An,'2023'!An_max)</f>
        <v>2021</v>
      </c>
      <c r="K84" s="196">
        <f t="shared" si="27"/>
        <v>45361</v>
      </c>
      <c r="L84" s="147">
        <f>IF(t&lt;Tvie,1-EXP((T0-t)*PertePVj)+'2023'!Pspv,1-EXP((T0-t)*PertePVj)+Pspv)</f>
        <v>4.3984187975880086E-2</v>
      </c>
      <c r="M84" s="847"/>
      <c r="N84" s="847"/>
      <c r="O84" s="48">
        <f>IF(t&lt;Tnet,'2023'!Resal+('2023'!Salim-'2023'!Resal)*(1-EXP(('2023'!Tnet-t)/('2023'!Tau_j))),Resal+(Salim-Resal)*(1-EXP((Tnet-t)/(Tau_j))))*Salcycl</f>
        <v>7.095079243728164E-2</v>
      </c>
      <c r="P84" s="168">
        <f>(INDEX(Models!$BJ84:$BT84,,T84)*(1-R84)+INDEX(Models!$BJ84:$BT84,,T84+1)*R84-ERP_i)*Q84*Ramure*Pc/MaxiM</f>
        <v>3.5186082665225198E-4</v>
      </c>
      <c r="Q84" s="304">
        <f t="shared" si="28"/>
        <v>0.5</v>
      </c>
      <c r="R84" s="176">
        <f t="shared" si="29"/>
        <v>0.34133249345349959</v>
      </c>
      <c r="S84" s="814">
        <f t="shared" si="30"/>
        <v>1</v>
      </c>
      <c r="T84" s="175">
        <f t="shared" si="31"/>
        <v>7</v>
      </c>
      <c r="U84" s="250">
        <f t="shared" si="32"/>
        <v>1.3413324934534996</v>
      </c>
      <c r="V84" s="382">
        <f t="shared" si="33"/>
        <v>42.981611770948831</v>
      </c>
      <c r="W84" s="401">
        <f t="shared" si="34"/>
        <v>14.13057839926784</v>
      </c>
      <c r="X84" s="157">
        <f t="shared" si="35"/>
        <v>45361</v>
      </c>
      <c r="Y84" s="384">
        <f t="shared" si="36"/>
        <v>13.922833454467613</v>
      </c>
      <c r="Z84" s="384">
        <f t="shared" si="37"/>
        <v>14.563392445350418</v>
      </c>
      <c r="AA84" s="385">
        <f t="shared" si="38"/>
        <v>15.909485911517885</v>
      </c>
      <c r="AB84" s="196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8.46094885563176E-2</v>
      </c>
      <c r="AD84" s="230">
        <f>(INDEX(Models!$BJ84:$BT84,,AH84)*(1-AF84)+INDEX(Models!$BJ84:$BT84,,AH84+1)*AF84-ERP_i)*AE84*Ramure*Pc/MaxiM</f>
        <v>3.5186082665225198E-4</v>
      </c>
      <c r="AE84" s="304">
        <f t="shared" si="40"/>
        <v>0.5</v>
      </c>
      <c r="AF84" s="176">
        <f t="shared" si="41"/>
        <v>0.34133249345349959</v>
      </c>
      <c r="AG84" s="814">
        <f t="shared" si="49"/>
        <v>1</v>
      </c>
      <c r="AH84" s="175">
        <f t="shared" si="42"/>
        <v>7</v>
      </c>
      <c r="AI84" s="224">
        <f t="shared" si="43"/>
        <v>1.3413324934534996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10">
        <f>'2023'!Wh/'2023'!Env_an*'2024'!Env_an</f>
        <v>13.518880826366416</v>
      </c>
      <c r="C85" s="843"/>
      <c r="D85" s="392">
        <f t="shared" si="25"/>
        <v>14.141164182977645</v>
      </c>
      <c r="E85" s="384">
        <f t="shared" si="47"/>
        <v>15.221641809019808</v>
      </c>
      <c r="F85" s="384">
        <f t="shared" si="26"/>
        <v>15.221736237979162</v>
      </c>
      <c r="G85" s="110">
        <f t="shared" si="48"/>
        <v>0.31227397249776756</v>
      </c>
      <c r="H85" s="413" t="b">
        <f>Wh_hp&gt;='2023'!Maxi_hp</f>
        <v>0</v>
      </c>
      <c r="I85" s="389">
        <f>IF(H85,Wh_hp,'2023'!Maxi_hp)</f>
        <v>43.865300261572678</v>
      </c>
      <c r="J85" s="85">
        <f>IF(H85,An,'2023'!An_max)</f>
        <v>2020</v>
      </c>
      <c r="K85" s="196">
        <f t="shared" si="27"/>
        <v>45362</v>
      </c>
      <c r="L85" s="147">
        <f>IF(t&lt;Tvie,1-EXP((T0-t)*PertePVj)+'2023'!Pspv,1-EXP((T0-t)*PertePVj)+Pspv)</f>
        <v>4.4005100892633632E-2</v>
      </c>
      <c r="M85" s="847"/>
      <c r="N85" s="847"/>
      <c r="O85" s="48">
        <f>IF(t&lt;Tnet,'2023'!Resal+('2023'!Salim-'2023'!Resal)*(1-EXP(('2023'!Tnet-t)/('2023'!Tau_j))),Resal+(Salim-Resal)*(1-EXP((Tnet-t)/(Tau_j))))*Salcycl</f>
        <v>7.0982988536881009E-2</v>
      </c>
      <c r="P85" s="168">
        <f>(INDEX(Models!$BJ85:$BT85,,T85)*(1-R85)+INDEX(Models!$BJ85:$BT85,,T85+1)*R85-ERP_i)*Q85*Ramure*Pc/MaxiM</f>
        <v>3.5072157551774172E-4</v>
      </c>
      <c r="Q85" s="304">
        <f t="shared" si="28"/>
        <v>0.5</v>
      </c>
      <c r="R85" s="176">
        <f t="shared" si="29"/>
        <v>0.34161802895311277</v>
      </c>
      <c r="S85" s="814">
        <f t="shared" si="30"/>
        <v>1</v>
      </c>
      <c r="T85" s="175">
        <f t="shared" si="31"/>
        <v>7</v>
      </c>
      <c r="U85" s="250">
        <f t="shared" si="32"/>
        <v>1.3416180289531128</v>
      </c>
      <c r="V85" s="382">
        <f t="shared" si="33"/>
        <v>43.276816160463589</v>
      </c>
      <c r="W85" s="401">
        <f t="shared" si="34"/>
        <v>13.518880826366416</v>
      </c>
      <c r="X85" s="157">
        <f t="shared" si="35"/>
        <v>45362</v>
      </c>
      <c r="Y85" s="384">
        <f t="shared" si="36"/>
        <v>13.320327051200227</v>
      </c>
      <c r="Z85" s="384">
        <f t="shared" si="37"/>
        <v>13.93347084135879</v>
      </c>
      <c r="AA85" s="385">
        <f t="shared" si="38"/>
        <v>15.221641809019808</v>
      </c>
      <c r="AB85" s="196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8.4627596932263391E-2</v>
      </c>
      <c r="AD85" s="230">
        <f>(INDEX(Models!$BJ85:$BT85,,AH85)*(1-AF85)+INDEX(Models!$BJ85:$BT85,,AH85+1)*AF85-ERP_i)*AE85*Ramure*Pc/MaxiM</f>
        <v>3.5072157551774172E-4</v>
      </c>
      <c r="AE85" s="304">
        <f t="shared" si="40"/>
        <v>0.5</v>
      </c>
      <c r="AF85" s="176">
        <f t="shared" si="41"/>
        <v>0.34161802895311277</v>
      </c>
      <c r="AG85" s="814">
        <f t="shared" si="49"/>
        <v>1</v>
      </c>
      <c r="AH85" s="175">
        <f t="shared" si="42"/>
        <v>7</v>
      </c>
      <c r="AI85" s="224">
        <f t="shared" si="43"/>
        <v>1.3416180289531128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10">
        <f>'2023'!Wh/'2023'!Env_an*'2024'!Env_an</f>
        <v>8.2208069304052529</v>
      </c>
      <c r="C86" s="843"/>
      <c r="D86" s="392">
        <f t="shared" si="25"/>
        <v>8.5994044244078083</v>
      </c>
      <c r="E86" s="384">
        <f t="shared" si="47"/>
        <v>9.2567773810296963</v>
      </c>
      <c r="F86" s="384">
        <f t="shared" si="26"/>
        <v>9.2567773810296963</v>
      </c>
      <c r="G86" s="110">
        <f t="shared" si="48"/>
        <v>0.18861173559319402</v>
      </c>
      <c r="H86" s="413" t="b">
        <f>Wh_hp&gt;='2023'!Maxi_hp</f>
        <v>0</v>
      </c>
      <c r="I86" s="389">
        <f>IF(H86,Wh_hp,'2023'!Maxi_hp)</f>
        <v>45.683346556341533</v>
      </c>
      <c r="J86" s="85">
        <f>IF(H86,An,'2023'!An_max)</f>
        <v>2021</v>
      </c>
      <c r="K86" s="196">
        <f t="shared" si="27"/>
        <v>45363</v>
      </c>
      <c r="L86" s="147">
        <f>IF(t&lt;Tvie,1-EXP((T0-t)*PertePVj)+'2023'!Pspv,1-EXP((T0-t)*PertePVj)+Pspv)</f>
        <v>4.4026013351340577E-2</v>
      </c>
      <c r="M86" s="847"/>
      <c r="N86" s="847"/>
      <c r="O86" s="48">
        <f>IF(t&lt;Tnet,'2023'!Resal+('2023'!Salim-'2023'!Resal)*(1-EXP(('2023'!Tnet-t)/('2023'!Tau_j))),Resal+(Salim-Resal)*(1-EXP((Tnet-t)/(Tau_j))))*Salcycl</f>
        <v>7.1015314462360354E-2</v>
      </c>
      <c r="P86" s="168">
        <f>(INDEX(Models!$BJ86:$BT86,,T86)*(1-R86)+INDEX(Models!$BJ86:$BT86,,T86+1)*R86-ERP_i)*Q86*Ramure*Pc/MaxiM</f>
        <v>3.4991120144721964E-4</v>
      </c>
      <c r="Q86" s="304">
        <f t="shared" si="28"/>
        <v>0.5</v>
      </c>
      <c r="R86" s="176">
        <f t="shared" si="29"/>
        <v>0.3419149529012202</v>
      </c>
      <c r="S86" s="814">
        <f t="shared" si="30"/>
        <v>1</v>
      </c>
      <c r="T86" s="175">
        <f t="shared" si="31"/>
        <v>7</v>
      </c>
      <c r="U86" s="250">
        <f t="shared" si="32"/>
        <v>1.3419149529012202</v>
      </c>
      <c r="V86" s="382">
        <f t="shared" si="33"/>
        <v>43.570620630415902</v>
      </c>
      <c r="W86" s="401">
        <f t="shared" si="34"/>
        <v>8.2208069304052529</v>
      </c>
      <c r="X86" s="157">
        <f t="shared" si="35"/>
        <v>45363</v>
      </c>
      <c r="Y86" s="384">
        <f t="shared" si="36"/>
        <v>8.1001868021924111</v>
      </c>
      <c r="Z86" s="384">
        <f t="shared" si="37"/>
        <v>8.4732293088738615</v>
      </c>
      <c r="AA86" s="385">
        <f t="shared" si="38"/>
        <v>9.2567773810296963</v>
      </c>
      <c r="AB86" s="196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8.4645880515782104E-2</v>
      </c>
      <c r="AD86" s="230">
        <f>(INDEX(Models!$BJ86:$BT86,,AH86)*(1-AF86)+INDEX(Models!$BJ86:$BT86,,AH86+1)*AF86-ERP_i)*AE86*Ramure*Pc/MaxiM</f>
        <v>3.4991120144721964E-4</v>
      </c>
      <c r="AE86" s="304">
        <f t="shared" si="40"/>
        <v>0.5</v>
      </c>
      <c r="AF86" s="176">
        <f t="shared" si="41"/>
        <v>0.3419149529012202</v>
      </c>
      <c r="AG86" s="814">
        <f t="shared" si="49"/>
        <v>1</v>
      </c>
      <c r="AH86" s="175">
        <f t="shared" si="42"/>
        <v>7</v>
      </c>
      <c r="AI86" s="224">
        <f t="shared" si="43"/>
        <v>1.3419149529012202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10">
        <f>'2023'!Wh/'2023'!Env_an*'2024'!Env_an</f>
        <v>11.019903314155851</v>
      </c>
      <c r="C87" s="843"/>
      <c r="D87" s="392">
        <f t="shared" si="25"/>
        <v>11.52766135326644</v>
      </c>
      <c r="E87" s="384">
        <f t="shared" si="47"/>
        <v>12.409315850865189</v>
      </c>
      <c r="F87" s="384">
        <f t="shared" si="26"/>
        <v>12.409315850865189</v>
      </c>
      <c r="G87" s="110">
        <f t="shared" si="48"/>
        <v>0.25114777673301331</v>
      </c>
      <c r="H87" s="413" t="b">
        <f>Wh_hp&gt;='2023'!Maxi_hp</f>
        <v>0</v>
      </c>
      <c r="I87" s="389">
        <f>IF(H87,Wh_hp,'2023'!Maxi_hp)</f>
        <v>40.234319557946243</v>
      </c>
      <c r="J87" s="85">
        <f>IF(H87,An,'2023'!An_max)</f>
        <v>2020</v>
      </c>
      <c r="K87" s="196">
        <f t="shared" si="27"/>
        <v>45364</v>
      </c>
      <c r="L87" s="147">
        <f>IF(t&lt;Tvie,1-EXP((T0-t)*PertePVj)+'2023'!Pspv,1-EXP((T0-t)*PertePVj)+Pspv)</f>
        <v>4.4046925352011025E-2</v>
      </c>
      <c r="M87" s="847"/>
      <c r="N87" s="847"/>
      <c r="O87" s="48">
        <f>IF(t&lt;Tnet,'2023'!Resal+('2023'!Salim-'2023'!Resal)*(1-EXP(('2023'!Tnet-t)/('2023'!Tau_j))),Resal+(Salim-Resal)*(1-EXP((Tnet-t)/(Tau_j))))*Salcycl</f>
        <v>7.1047792496737761E-2</v>
      </c>
      <c r="P87" s="168">
        <f>(INDEX(Models!$BJ87:$BT87,,T87)*(1-R87)+INDEX(Models!$BJ87:$BT87,,T87+1)*R87-ERP_i)*Q87*Ramure*Pc/MaxiM</f>
        <v>3.4941438849082278E-4</v>
      </c>
      <c r="Q87" s="304">
        <f t="shared" si="28"/>
        <v>0.5</v>
      </c>
      <c r="R87" s="176">
        <f t="shared" si="29"/>
        <v>0.34222369444104284</v>
      </c>
      <c r="S87" s="814">
        <f t="shared" si="30"/>
        <v>1</v>
      </c>
      <c r="T87" s="175">
        <f t="shared" si="31"/>
        <v>7</v>
      </c>
      <c r="U87" s="250">
        <f t="shared" si="32"/>
        <v>1.3422236944410428</v>
      </c>
      <c r="V87" s="382">
        <f t="shared" si="33"/>
        <v>43.862832252299413</v>
      </c>
      <c r="W87" s="401">
        <f t="shared" si="34"/>
        <v>11.019903314155851</v>
      </c>
      <c r="X87" s="157">
        <f t="shared" si="35"/>
        <v>45364</v>
      </c>
      <c r="Y87" s="384">
        <f t="shared" si="36"/>
        <v>10.85837366927043</v>
      </c>
      <c r="Z87" s="384">
        <f t="shared" si="37"/>
        <v>11.358688995554321</v>
      </c>
      <c r="AA87" s="385">
        <f t="shared" si="38"/>
        <v>12.409315850865189</v>
      </c>
      <c r="AB87" s="196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8.4664365702128375E-2</v>
      </c>
      <c r="AD87" s="230">
        <f>(INDEX(Models!$BJ87:$BT87,,AH87)*(1-AF87)+INDEX(Models!$BJ87:$BT87,,AH87+1)*AF87-ERP_i)*AE87*Ramure*Pc/MaxiM</f>
        <v>3.4941438849082278E-4</v>
      </c>
      <c r="AE87" s="304">
        <f t="shared" si="40"/>
        <v>0.5</v>
      </c>
      <c r="AF87" s="176">
        <f t="shared" si="41"/>
        <v>0.34222369444104284</v>
      </c>
      <c r="AG87" s="814">
        <f t="shared" si="49"/>
        <v>1</v>
      </c>
      <c r="AH87" s="175">
        <f t="shared" si="42"/>
        <v>7</v>
      </c>
      <c r="AI87" s="224">
        <f t="shared" si="43"/>
        <v>1.3422236944410428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10">
        <f>'2023'!Wh/'2023'!Env_an*'2024'!Env_an</f>
        <v>13.102933286327161</v>
      </c>
      <c r="C88" s="843"/>
      <c r="D88" s="392">
        <f t="shared" si="25"/>
        <v>13.706969795599607</v>
      </c>
      <c r="E88" s="384">
        <f t="shared" si="47"/>
        <v>14.755820064915545</v>
      </c>
      <c r="F88" s="384">
        <f t="shared" si="26"/>
        <v>14.755820064915545</v>
      </c>
      <c r="G88" s="110">
        <f t="shared" si="48"/>
        <v>0.29665664780422174</v>
      </c>
      <c r="H88" s="413" t="b">
        <f>Wh_hp&gt;='2023'!Maxi_hp</f>
        <v>0</v>
      </c>
      <c r="I88" s="389">
        <f>IF(H88,Wh_hp,'2023'!Maxi_hp)</f>
        <v>34.275990691254492</v>
      </c>
      <c r="J88" s="85">
        <f>IF(H88,An,'2023'!An_max)</f>
        <v>2020</v>
      </c>
      <c r="K88" s="196">
        <f t="shared" si="27"/>
        <v>45365</v>
      </c>
      <c r="L88" s="147">
        <f>IF(t&lt;Tvie,1-EXP((T0-t)*PertePVj)+'2023'!Pspv,1-EXP((T0-t)*PertePVj)+Pspv)</f>
        <v>4.4067836894654967E-2</v>
      </c>
      <c r="M88" s="847"/>
      <c r="N88" s="847"/>
      <c r="O88" s="48">
        <f>IF(t&lt;Tnet,'2023'!Resal+('2023'!Salim-'2023'!Resal)*(1-EXP(('2023'!Tnet-t)/('2023'!Tau_j))),Resal+(Salim-Resal)*(1-EXP((Tnet-t)/(Tau_j))))*Salcycl</f>
        <v>7.1080445864866448E-2</v>
      </c>
      <c r="P88" s="168">
        <f>(INDEX(Models!$BJ88:$BT88,,T88)*(1-R88)+INDEX(Models!$BJ88:$BT88,,T88+1)*R88-ERP_i)*Q88*Ramure*Pc/MaxiM</f>
        <v>3.4922852330491284E-4</v>
      </c>
      <c r="Q88" s="304">
        <f t="shared" si="28"/>
        <v>0.5</v>
      </c>
      <c r="R88" s="176">
        <f t="shared" si="29"/>
        <v>0.34254469680002164</v>
      </c>
      <c r="S88" s="814">
        <f t="shared" si="30"/>
        <v>1</v>
      </c>
      <c r="T88" s="175">
        <f t="shared" si="31"/>
        <v>7</v>
      </c>
      <c r="U88" s="250">
        <f t="shared" si="32"/>
        <v>1.3425446968000216</v>
      </c>
      <c r="V88" s="382">
        <f t="shared" si="33"/>
        <v>44.153257529320101</v>
      </c>
      <c r="W88" s="401">
        <f t="shared" si="34"/>
        <v>13.102933286327161</v>
      </c>
      <c r="X88" s="157">
        <f t="shared" si="35"/>
        <v>45365</v>
      </c>
      <c r="Y88" s="384">
        <f t="shared" si="36"/>
        <v>12.911060473889931</v>
      </c>
      <c r="Z88" s="384">
        <f t="shared" si="37"/>
        <v>13.506251774130456</v>
      </c>
      <c r="AA88" s="385">
        <f t="shared" si="38"/>
        <v>14.755820064915545</v>
      </c>
      <c r="AB88" s="196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8.468307998388705E-2</v>
      </c>
      <c r="AD88" s="230">
        <f>(INDEX(Models!$BJ88:$BT88,,AH88)*(1-AF88)+INDEX(Models!$BJ88:$BT88,,AH88+1)*AF88-ERP_i)*AE88*Ramure*Pc/MaxiM</f>
        <v>3.4922852330491284E-4</v>
      </c>
      <c r="AE88" s="304">
        <f t="shared" si="40"/>
        <v>0.5</v>
      </c>
      <c r="AF88" s="176">
        <f t="shared" si="41"/>
        <v>0.34254469680002164</v>
      </c>
      <c r="AG88" s="814">
        <f t="shared" si="49"/>
        <v>1</v>
      </c>
      <c r="AH88" s="175">
        <f t="shared" si="42"/>
        <v>7</v>
      </c>
      <c r="AI88" s="224">
        <f t="shared" si="43"/>
        <v>1.3425446968000216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10">
        <f>'2023'!Wh/'2023'!Env_an*'2024'!Env_an</f>
        <v>10.985477150344167</v>
      </c>
      <c r="C89" s="843"/>
      <c r="D89" s="392">
        <f t="shared" si="25"/>
        <v>11.492151731786581</v>
      </c>
      <c r="E89" s="384">
        <f t="shared" si="47"/>
        <v>12.371962818657229</v>
      </c>
      <c r="F89" s="384">
        <f t="shared" si="26"/>
        <v>12.371962818657229</v>
      </c>
      <c r="G89" s="110">
        <f t="shared" si="48"/>
        <v>0.24710212784435412</v>
      </c>
      <c r="H89" s="413" t="b">
        <f>Wh_hp&gt;='2023'!Maxi_hp</f>
        <v>0</v>
      </c>
      <c r="I89" s="389">
        <f>IF(H89,Wh_hp,'2023'!Maxi_hp)</f>
        <v>51.528895224299958</v>
      </c>
      <c r="J89" s="85">
        <f>IF(H89,An,'2023'!An_max)</f>
        <v>2020</v>
      </c>
      <c r="K89" s="196">
        <f t="shared" si="27"/>
        <v>45366</v>
      </c>
      <c r="L89" s="147">
        <f>IF(t&lt;Tvie,1-EXP((T0-t)*PertePVj)+'2023'!Pspv,1-EXP((T0-t)*PertePVj)+Pspv)</f>
        <v>4.4088747979282507E-2</v>
      </c>
      <c r="M89" s="847"/>
      <c r="N89" s="847"/>
      <c r="O89" s="48">
        <f>IF(t&lt;Tnet,'2023'!Resal+('2023'!Salim-'2023'!Resal)*(1-EXP(('2023'!Tnet-t)/('2023'!Tau_j))),Resal+(Salim-Resal)*(1-EXP((Tnet-t)/(Tau_j))))*Salcycl</f>
        <v>7.1113298654912838E-2</v>
      </c>
      <c r="P89" s="168">
        <f>(INDEX(Models!$BJ89:$BT89,,T89)*(1-R89)+INDEX(Models!$BJ89:$BT89,,T89+1)*R89-ERP_i)*Q89*Ramure*Pc/MaxiM</f>
        <v>3.4935129379970318E-4</v>
      </c>
      <c r="Q89" s="304">
        <f t="shared" si="28"/>
        <v>0.5</v>
      </c>
      <c r="R89" s="176">
        <f t="shared" si="29"/>
        <v>0.34287841757568494</v>
      </c>
      <c r="S89" s="814">
        <f t="shared" si="30"/>
        <v>1</v>
      </c>
      <c r="T89" s="175">
        <f t="shared" si="31"/>
        <v>7</v>
      </c>
      <c r="U89" s="250">
        <f t="shared" si="32"/>
        <v>1.3428784175756849</v>
      </c>
      <c r="V89" s="382">
        <f t="shared" si="33"/>
        <v>44.441702932666992</v>
      </c>
      <c r="W89" s="401">
        <f t="shared" si="34"/>
        <v>10.985477150344167</v>
      </c>
      <c r="X89" s="157">
        <f t="shared" si="35"/>
        <v>45366</v>
      </c>
      <c r="Y89" s="384">
        <f t="shared" si="36"/>
        <v>10.824769781427623</v>
      </c>
      <c r="Z89" s="384">
        <f t="shared" si="37"/>
        <v>11.324032182427974</v>
      </c>
      <c r="AA89" s="385">
        <f t="shared" si="38"/>
        <v>12.371962818657229</v>
      </c>
      <c r="AB89" s="196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8.4702051856230004E-2</v>
      </c>
      <c r="AD89" s="230">
        <f>(INDEX(Models!$BJ89:$BT89,,AH89)*(1-AF89)+INDEX(Models!$BJ89:$BT89,,AH89+1)*AF89-ERP_i)*AE89*Ramure*Pc/MaxiM</f>
        <v>3.4935129379970318E-4</v>
      </c>
      <c r="AE89" s="304">
        <f t="shared" si="40"/>
        <v>0.5</v>
      </c>
      <c r="AF89" s="176">
        <f t="shared" si="41"/>
        <v>0.34287841757568494</v>
      </c>
      <c r="AG89" s="814">
        <f t="shared" si="49"/>
        <v>1</v>
      </c>
      <c r="AH89" s="175">
        <f t="shared" si="42"/>
        <v>7</v>
      </c>
      <c r="AI89" s="224">
        <f t="shared" si="43"/>
        <v>1.3428784175756849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10">
        <f>'2023'!Wh/'2023'!Env_an*'2024'!Env_an</f>
        <v>9.6955071973635221</v>
      </c>
      <c r="C90" s="843"/>
      <c r="D90" s="392">
        <f t="shared" si="25"/>
        <v>10.142907379128166</v>
      </c>
      <c r="E90" s="384">
        <f t="shared" si="47"/>
        <v>10.91981245933621</v>
      </c>
      <c r="F90" s="384">
        <f t="shared" si="26"/>
        <v>10.91981245933621</v>
      </c>
      <c r="G90" s="110">
        <f t="shared" si="48"/>
        <v>0.21669024624603592</v>
      </c>
      <c r="H90" s="413" t="b">
        <f>Wh_hp&gt;='2023'!Maxi_hp</f>
        <v>0</v>
      </c>
      <c r="I90" s="389">
        <f>IF(H90,Wh_hp,'2023'!Maxi_hp)</f>
        <v>25.74376126702278</v>
      </c>
      <c r="J90" s="85">
        <f>IF(H90,An,'2023'!An_max)</f>
        <v>2021</v>
      </c>
      <c r="K90" s="196">
        <f t="shared" si="27"/>
        <v>45367</v>
      </c>
      <c r="L90" s="147">
        <f>IF(t&lt;Tvie,1-EXP((T0-t)*PertePVj)+'2023'!Pspv,1-EXP((T0-t)*PertePVj)+Pspv)</f>
        <v>4.4109658605903636E-2</v>
      </c>
      <c r="M90" s="847"/>
      <c r="N90" s="847"/>
      <c r="O90" s="48">
        <f>IF(t&lt;Tnet,'2023'!Resal+('2023'!Salim-'2023'!Resal)*(1-EXP(('2023'!Tnet-t)/('2023'!Tau_j))),Resal+(Salim-Resal)*(1-EXP((Tnet-t)/(Tau_j))))*Salcycl</f>
        <v>7.114637573686601E-2</v>
      </c>
      <c r="P90" s="168">
        <f>(INDEX(Models!$BJ90:$BT90,,T90)*(1-R90)+INDEX(Models!$BJ90:$BT90,,T90+1)*R90-ERP_i)*Q90*Ramure*Pc/MaxiM</f>
        <v>3.4978070042933237E-4</v>
      </c>
      <c r="Q90" s="304">
        <f t="shared" si="28"/>
        <v>0.5</v>
      </c>
      <c r="R90" s="176">
        <f t="shared" si="29"/>
        <v>0.34322532901114333</v>
      </c>
      <c r="S90" s="814">
        <f t="shared" si="30"/>
        <v>1</v>
      </c>
      <c r="T90" s="175">
        <f t="shared" si="31"/>
        <v>7</v>
      </c>
      <c r="U90" s="250">
        <f t="shared" si="32"/>
        <v>1.3432253290111433</v>
      </c>
      <c r="V90" s="382">
        <f t="shared" si="33"/>
        <v>44.727974904141838</v>
      </c>
      <c r="W90" s="401">
        <f t="shared" si="34"/>
        <v>9.6955071973635221</v>
      </c>
      <c r="X90" s="157">
        <f t="shared" si="35"/>
        <v>45367</v>
      </c>
      <c r="Y90" s="384">
        <f t="shared" si="36"/>
        <v>9.5538100812810161</v>
      </c>
      <c r="Z90" s="384">
        <f t="shared" si="37"/>
        <v>9.9946716349780047</v>
      </c>
      <c r="AA90" s="385">
        <f t="shared" si="38"/>
        <v>10.91981245933621</v>
      </c>
      <c r="AB90" s="196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8.4721310718777948E-2</v>
      </c>
      <c r="AD90" s="230">
        <f>(INDEX(Models!$BJ90:$BT90,,AH90)*(1-AF90)+INDEX(Models!$BJ90:$BT90,,AH90+1)*AF90-ERP_i)*AE90*Ramure*Pc/MaxiM</f>
        <v>3.4978070042933237E-4</v>
      </c>
      <c r="AE90" s="304">
        <f t="shared" si="40"/>
        <v>0.5</v>
      </c>
      <c r="AF90" s="176">
        <f t="shared" si="41"/>
        <v>0.34322532901114333</v>
      </c>
      <c r="AG90" s="814">
        <f t="shared" si="49"/>
        <v>1</v>
      </c>
      <c r="AH90" s="175">
        <f t="shared" si="42"/>
        <v>7</v>
      </c>
      <c r="AI90" s="224">
        <f t="shared" si="43"/>
        <v>1.3432253290111433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10">
        <f>'2023'!Wh/'2023'!Env_an*'2024'!Env_an</f>
        <v>12.411476709478801</v>
      </c>
      <c r="C91" s="843"/>
      <c r="D91" s="392">
        <f t="shared" si="25"/>
        <v>12.984489621732832</v>
      </c>
      <c r="E91" s="384">
        <f t="shared" si="47"/>
        <v>13.979549821618972</v>
      </c>
      <c r="F91" s="384">
        <f t="shared" si="26"/>
        <v>13.979549821618972</v>
      </c>
      <c r="G91" s="110">
        <f t="shared" si="48"/>
        <v>0.27564114936836265</v>
      </c>
      <c r="H91" s="413" t="b">
        <f>Wh_hp&gt;='2023'!Maxi_hp</f>
        <v>0</v>
      </c>
      <c r="I91" s="389">
        <f>IF(H91,Wh_hp,'2023'!Maxi_hp)</f>
        <v>31.959695723000372</v>
      </c>
      <c r="J91" s="85">
        <f>IF(H91,An,'2023'!An_max)</f>
        <v>2019</v>
      </c>
      <c r="K91" s="196">
        <f t="shared" si="27"/>
        <v>45368</v>
      </c>
      <c r="L91" s="147">
        <f>IF(t&lt;Tvie,1-EXP((T0-t)*PertePVj)+'2023'!Pspv,1-EXP((T0-t)*PertePVj)+Pspv)</f>
        <v>4.4130568774528346E-2</v>
      </c>
      <c r="M91" s="847"/>
      <c r="N91" s="847"/>
      <c r="O91" s="48">
        <f>IF(t&lt;Tnet,'2023'!Resal+('2023'!Salim-'2023'!Resal)*(1-EXP(('2023'!Tnet-t)/('2023'!Tau_j))),Resal+(Salim-Resal)*(1-EXP((Tnet-t)/(Tau_j))))*Salcycl</f>
        <v>7.1179702678787801E-2</v>
      </c>
      <c r="P91" s="168">
        <f>(INDEX(Models!$BJ91:$BT91,,T91)*(1-R91)+INDEX(Models!$BJ91:$BT91,,T91+1)*R91-ERP_i)*Q91*Ramure*Pc/MaxiM</f>
        <v>3.5051506737850699E-4</v>
      </c>
      <c r="Q91" s="304">
        <f t="shared" si="28"/>
        <v>0.5</v>
      </c>
      <c r="R91" s="176">
        <f t="shared" si="29"/>
        <v>0.34358591825831875</v>
      </c>
      <c r="S91" s="814">
        <f t="shared" si="30"/>
        <v>1</v>
      </c>
      <c r="T91" s="175">
        <f t="shared" si="31"/>
        <v>7</v>
      </c>
      <c r="U91" s="250">
        <f t="shared" si="32"/>
        <v>1.3435859182583187</v>
      </c>
      <c r="V91" s="382">
        <f t="shared" si="33"/>
        <v>45.011879860154757</v>
      </c>
      <c r="W91" s="401">
        <f t="shared" si="34"/>
        <v>12.411476709478801</v>
      </c>
      <c r="X91" s="157">
        <f t="shared" si="35"/>
        <v>45368</v>
      </c>
      <c r="Y91" s="384">
        <f t="shared" si="36"/>
        <v>12.230263700840323</v>
      </c>
      <c r="Z91" s="384">
        <f t="shared" si="37"/>
        <v>12.794910373020846</v>
      </c>
      <c r="AA91" s="385">
        <f t="shared" si="38"/>
        <v>13.979549821618972</v>
      </c>
      <c r="AB91" s="196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8.4740886774917201E-2</v>
      </c>
      <c r="AD91" s="230">
        <f>(INDEX(Models!$BJ91:$BT91,,AH91)*(1-AF91)+INDEX(Models!$BJ91:$BT91,,AH91+1)*AF91-ERP_i)*AE91*Ramure*Pc/MaxiM</f>
        <v>3.5051506737850699E-4</v>
      </c>
      <c r="AE91" s="304">
        <f t="shared" si="40"/>
        <v>0.5</v>
      </c>
      <c r="AF91" s="176">
        <f t="shared" si="41"/>
        <v>0.34358591825831875</v>
      </c>
      <c r="AG91" s="814">
        <f t="shared" si="49"/>
        <v>1</v>
      </c>
      <c r="AH91" s="175">
        <f t="shared" si="42"/>
        <v>7</v>
      </c>
      <c r="AI91" s="224">
        <f t="shared" si="43"/>
        <v>1.3435859182583187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10">
        <f>'2023'!Wh/'2023'!Env_an*'2024'!Env_an</f>
        <v>27.886067836089925</v>
      </c>
      <c r="C92" s="843"/>
      <c r="D92" s="392">
        <f t="shared" si="25"/>
        <v>29.174149677917534</v>
      </c>
      <c r="E92" s="384">
        <f t="shared" si="47"/>
        <v>31.411033185284552</v>
      </c>
      <c r="F92" s="384">
        <f t="shared" si="26"/>
        <v>31.416013869704646</v>
      </c>
      <c r="G92" s="110">
        <f t="shared" si="48"/>
        <v>0.61555972430664774</v>
      </c>
      <c r="H92" s="413" t="b">
        <f>Wh_hp&gt;='2023'!Maxi_hp</f>
        <v>0</v>
      </c>
      <c r="I92" s="389">
        <f>IF(H92,Wh_hp,'2023'!Maxi_hp)</f>
        <v>46.728461228850939</v>
      </c>
      <c r="J92" s="85">
        <f>IF(H92,An,'2023'!An_max)</f>
        <v>2020</v>
      </c>
      <c r="K92" s="196">
        <f t="shared" si="27"/>
        <v>45369</v>
      </c>
      <c r="L92" s="147">
        <f>IF(t&lt;Tvie,1-EXP((T0-t)*PertePVj)+'2023'!Pspv,1-EXP((T0-t)*PertePVj)+Pspv)</f>
        <v>4.415147848516663E-2</v>
      </c>
      <c r="M92" s="847"/>
      <c r="N92" s="847"/>
      <c r="O92" s="48">
        <f>IF(t&lt;Tnet,'2023'!Resal+('2023'!Salim-'2023'!Resal)*(1-EXP(('2023'!Tnet-t)/('2023'!Tau_j))),Resal+(Salim-Resal)*(1-EXP((Tnet-t)/(Tau_j))))*Salcycl</f>
        <v>7.1213305661494572E-2</v>
      </c>
      <c r="P92" s="168">
        <f>(INDEX(Models!$BJ92:$BT92,,T92)*(1-R92)+INDEX(Models!$BJ92:$BT92,,T92+1)*R92-ERP_i)*Q92*Ramure*Pc/MaxiM</f>
        <v>3.5155305368321461E-4</v>
      </c>
      <c r="Q92" s="304">
        <f t="shared" si="28"/>
        <v>0.5</v>
      </c>
      <c r="R92" s="176">
        <f t="shared" si="29"/>
        <v>0.34396068762684262</v>
      </c>
      <c r="S92" s="814">
        <f t="shared" si="30"/>
        <v>1</v>
      </c>
      <c r="T92" s="175">
        <f t="shared" si="31"/>
        <v>7</v>
      </c>
      <c r="U92" s="250">
        <f t="shared" si="32"/>
        <v>1.3439606876268426</v>
      </c>
      <c r="V92" s="382">
        <f t="shared" si="33"/>
        <v>45.293224194745605</v>
      </c>
      <c r="W92" s="401">
        <f t="shared" si="34"/>
        <v>27.886067836089925</v>
      </c>
      <c r="X92" s="157">
        <f t="shared" si="35"/>
        <v>45369</v>
      </c>
      <c r="Y92" s="384">
        <f t="shared" si="36"/>
        <v>27.479314968921024</v>
      </c>
      <c r="Z92" s="384">
        <f t="shared" si="37"/>
        <v>28.748608540369631</v>
      </c>
      <c r="AA92" s="385">
        <f t="shared" si="38"/>
        <v>31.411033185284552</v>
      </c>
      <c r="AB92" s="196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8.476081092939701E-2</v>
      </c>
      <c r="AD92" s="230">
        <f>(INDEX(Models!$BJ92:$BT92,,AH92)*(1-AF92)+INDEX(Models!$BJ92:$BT92,,AH92+1)*AF92-ERP_i)*AE92*Ramure*Pc/MaxiM</f>
        <v>3.5155305368321461E-4</v>
      </c>
      <c r="AE92" s="304">
        <f t="shared" si="40"/>
        <v>0.5</v>
      </c>
      <c r="AF92" s="176">
        <f t="shared" si="41"/>
        <v>0.34396068762684262</v>
      </c>
      <c r="AG92" s="814">
        <f t="shared" si="49"/>
        <v>1</v>
      </c>
      <c r="AH92" s="175">
        <f t="shared" si="42"/>
        <v>7</v>
      </c>
      <c r="AI92" s="224">
        <f t="shared" si="43"/>
        <v>1.3439606876268426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10">
        <f>'2023'!Wh/'2023'!Env_an*'2024'!Env_an</f>
        <v>30.97783807541386</v>
      </c>
      <c r="C93" s="843"/>
      <c r="D93" s="392">
        <f t="shared" si="25"/>
        <v>32.409440445121852</v>
      </c>
      <c r="E93" s="384">
        <f t="shared" si="47"/>
        <v>34.895658826185965</v>
      </c>
      <c r="F93" s="384">
        <f t="shared" si="26"/>
        <v>34.902339887963741</v>
      </c>
      <c r="G93" s="110">
        <f t="shared" si="48"/>
        <v>0.67961380611907929</v>
      </c>
      <c r="H93" s="413" t="b">
        <f>Wh_hp&gt;='2023'!Maxi_hp</f>
        <v>0</v>
      </c>
      <c r="I93" s="389">
        <f>IF(H93,Wh_hp,'2023'!Maxi_hp)</f>
        <v>52.177110378201441</v>
      </c>
      <c r="J93" s="85">
        <f>IF(H93,An,'2023'!An_max)</f>
        <v>2019</v>
      </c>
      <c r="K93" s="196">
        <f t="shared" si="27"/>
        <v>45370</v>
      </c>
      <c r="L93" s="147">
        <f>IF(t&lt;Tvie,1-EXP((T0-t)*PertePVj)+'2023'!Pspv,1-EXP((T0-t)*PertePVj)+Pspv)</f>
        <v>4.4172387737828701E-2</v>
      </c>
      <c r="M93" s="847"/>
      <c r="N93" s="847"/>
      <c r="O93" s="48">
        <f>IF(t&lt;Tnet,'2023'!Resal+('2023'!Salim-'2023'!Resal)*(1-EXP(('2023'!Tnet-t)/('2023'!Tau_j))),Resal+(Salim-Resal)*(1-EXP((Tnet-t)/(Tau_j))))*Salcycl</f>
        <v>7.1247211392336182E-2</v>
      </c>
      <c r="P93" s="168">
        <f>(INDEX(Models!$BJ93:$BT93,,T93)*(1-R93)+INDEX(Models!$BJ93:$BT93,,T93+1)*R93-ERP_i)*Q93*Ramure*Pc/MaxiM</f>
        <v>3.5287543584521972E-4</v>
      </c>
      <c r="Q93" s="304">
        <f t="shared" si="28"/>
        <v>0.5</v>
      </c>
      <c r="R93" s="176">
        <f t="shared" si="29"/>
        <v>0.34435015481641562</v>
      </c>
      <c r="S93" s="814">
        <f t="shared" si="30"/>
        <v>1</v>
      </c>
      <c r="T93" s="175">
        <f t="shared" si="31"/>
        <v>7</v>
      </c>
      <c r="U93" s="250">
        <f t="shared" si="32"/>
        <v>1.3443501548164156</v>
      </c>
      <c r="V93" s="382">
        <f t="shared" si="33"/>
        <v>45.574170724918723</v>
      </c>
      <c r="W93" s="401">
        <f t="shared" si="34"/>
        <v>30.97783807541386</v>
      </c>
      <c r="X93" s="157">
        <f t="shared" si="35"/>
        <v>45370</v>
      </c>
      <c r="Y93" s="384">
        <f t="shared" si="36"/>
        <v>30.526425094617302</v>
      </c>
      <c r="Z93" s="384">
        <f t="shared" si="37"/>
        <v>31.937165973234404</v>
      </c>
      <c r="AA93" s="385">
        <f t="shared" si="38"/>
        <v>34.895658826185965</v>
      </c>
      <c r="AB93" s="196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8.4781114685001588E-2</v>
      </c>
      <c r="AD93" s="230">
        <f>(INDEX(Models!$BJ93:$BT93,,AH93)*(1-AF93)+INDEX(Models!$BJ93:$BT93,,AH93+1)*AF93-ERP_i)*AE93*Ramure*Pc/MaxiM</f>
        <v>3.5287543584521972E-4</v>
      </c>
      <c r="AE93" s="304">
        <f t="shared" si="40"/>
        <v>0.5</v>
      </c>
      <c r="AF93" s="176">
        <f t="shared" si="41"/>
        <v>0.34435015481641562</v>
      </c>
      <c r="AG93" s="814">
        <f t="shared" si="49"/>
        <v>1</v>
      </c>
      <c r="AH93" s="175">
        <f t="shared" si="42"/>
        <v>7</v>
      </c>
      <c r="AI93" s="224">
        <f t="shared" si="43"/>
        <v>1.3443501548164156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10">
        <f>'2023'!Wh/'2023'!Env_an*'2024'!Env_an</f>
        <v>44.576987455162723</v>
      </c>
      <c r="C94" s="843"/>
      <c r="D94" s="392">
        <f t="shared" si="25"/>
        <v>46.63807785972449</v>
      </c>
      <c r="E94" s="384">
        <f t="shared" si="47"/>
        <v>50.217665739540514</v>
      </c>
      <c r="F94" s="384">
        <f t="shared" si="26"/>
        <v>50.234741864530584</v>
      </c>
      <c r="G94" s="110">
        <f t="shared" si="48"/>
        <v>0.97208474948832202</v>
      </c>
      <c r="H94" s="413" t="b">
        <f>Wh_hp&gt;='2023'!Maxi_hp</f>
        <v>0</v>
      </c>
      <c r="I94" s="389">
        <f>IF(H94,Wh_hp,'2023'!Maxi_hp)</f>
        <v>51.739394586450686</v>
      </c>
      <c r="J94" s="85">
        <f>IF(H94,An,'2023'!An_max)</f>
        <v>2020</v>
      </c>
      <c r="K94" s="196">
        <f t="shared" si="27"/>
        <v>45371</v>
      </c>
      <c r="L94" s="147">
        <f>IF(t&lt;Tvie,1-EXP((T0-t)*PertePVj)+'2023'!Pspv,1-EXP((T0-t)*PertePVj)+Pspv)</f>
        <v>4.4193296532524441E-2</v>
      </c>
      <c r="M94" s="847"/>
      <c r="N94" s="847"/>
      <c r="O94" s="48">
        <f>IF(t&lt;Tnet,'2023'!Resal+('2023'!Salim-'2023'!Resal)*(1-EXP(('2023'!Tnet-t)/('2023'!Tau_j))),Resal+(Salim-Resal)*(1-EXP((Tnet-t)/(Tau_j))))*Salcycl</f>
        <v>7.1281447018703606E-2</v>
      </c>
      <c r="P94" s="168">
        <f>(INDEX(Models!$BJ94:$BT94,,T94)*(1-R94)+INDEX(Models!$BJ94:$BT94,,T94+1)*R94-ERP_i)*Q94*Ramure*Pc/MaxiM</f>
        <v>3.5403832871196101E-4</v>
      </c>
      <c r="Q94" s="304">
        <f t="shared" si="28"/>
        <v>0.5</v>
      </c>
      <c r="R94" s="176">
        <f t="shared" si="29"/>
        <v>0.34475485313023557</v>
      </c>
      <c r="S94" s="814">
        <f t="shared" si="30"/>
        <v>1</v>
      </c>
      <c r="T94" s="175">
        <f t="shared" si="31"/>
        <v>7</v>
      </c>
      <c r="U94" s="250">
        <f t="shared" si="32"/>
        <v>1.3447548531302356</v>
      </c>
      <c r="V94" s="382">
        <f t="shared" si="33"/>
        <v>45.856452543210921</v>
      </c>
      <c r="W94" s="401">
        <f t="shared" si="34"/>
        <v>44.576987455162723</v>
      </c>
      <c r="X94" s="157">
        <f t="shared" si="35"/>
        <v>45371</v>
      </c>
      <c r="Y94" s="384">
        <f t="shared" si="36"/>
        <v>43.928030952299501</v>
      </c>
      <c r="Z94" s="384">
        <f t="shared" si="37"/>
        <v>45.959115784538227</v>
      </c>
      <c r="AA94" s="385">
        <f t="shared" si="38"/>
        <v>50.217665739540514</v>
      </c>
      <c r="AB94" s="196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8.4801830039048981E-2</v>
      </c>
      <c r="AD94" s="230">
        <f>(INDEX(Models!$BJ94:$BT94,,AH94)*(1-AF94)+INDEX(Models!$BJ94:$BT94,,AH94+1)*AF94-ERP_i)*AE94*Ramure*Pc/MaxiM</f>
        <v>3.5403832871196101E-4</v>
      </c>
      <c r="AE94" s="304">
        <f t="shared" si="40"/>
        <v>0.5</v>
      </c>
      <c r="AF94" s="176">
        <f t="shared" si="41"/>
        <v>0.34475485313023557</v>
      </c>
      <c r="AG94" s="814">
        <f t="shared" si="49"/>
        <v>1</v>
      </c>
      <c r="AH94" s="175">
        <f t="shared" si="42"/>
        <v>7</v>
      </c>
      <c r="AI94" s="224">
        <f t="shared" si="43"/>
        <v>1.3447548531302356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10">
        <f>'2023'!Wh/'2023'!Env_an*'2024'!Env_an</f>
        <v>41.828785503999882</v>
      </c>
      <c r="C95" s="843"/>
      <c r="D95" s="392">
        <f t="shared" si="25"/>
        <v>43.763765602185345</v>
      </c>
      <c r="E95" s="384">
        <f t="shared" si="47"/>
        <v>47.124498202981506</v>
      </c>
      <c r="F95" s="384">
        <f t="shared" si="26"/>
        <v>47.13898989895808</v>
      </c>
      <c r="G95" s="110">
        <f t="shared" si="48"/>
        <v>0.90653480628931693</v>
      </c>
      <c r="H95" s="413" t="b">
        <f>Wh_hp&gt;='2023'!Maxi_hp</f>
        <v>0</v>
      </c>
      <c r="I95" s="389">
        <f>IF(H95,Wh_hp,'2023'!Maxi_hp)</f>
        <v>50.590016829396532</v>
      </c>
      <c r="J95" s="85">
        <f>IF(H95,An,'2023'!An_max)</f>
        <v>2019</v>
      </c>
      <c r="K95" s="196">
        <f t="shared" si="27"/>
        <v>45372</v>
      </c>
      <c r="L95" s="147">
        <f>IF(t&lt;Tvie,1-EXP((T0-t)*PertePVj)+'2023'!Pspv,1-EXP((T0-t)*PertePVj)+Pspv)</f>
        <v>4.4214204869263841E-2</v>
      </c>
      <c r="M95" s="847"/>
      <c r="N95" s="847"/>
      <c r="O95" s="48">
        <f>IF(t&lt;Tnet,'2023'!Resal+('2023'!Salim-'2023'!Resal)*(1-EXP(('2023'!Tnet-t)/('2023'!Tau_j))),Resal+(Salim-Resal)*(1-EXP((Tnet-t)/(Tau_j))))*Salcycl</f>
        <v>7.1316040041855197E-2</v>
      </c>
      <c r="P95" s="168">
        <f>(INDEX(Models!$BJ95:$BT95,,T95)*(1-R95)+INDEX(Models!$BJ95:$BT95,,T95+1)*R95-ERP_i)*Q95*Ramure*Pc/MaxiM</f>
        <v>3.5477295918756791E-4</v>
      </c>
      <c r="Q95" s="304">
        <f t="shared" si="28"/>
        <v>0.5</v>
      </c>
      <c r="R95" s="176">
        <f t="shared" si="29"/>
        <v>0.34517533166694037</v>
      </c>
      <c r="S95" s="814">
        <f t="shared" si="30"/>
        <v>1</v>
      </c>
      <c r="T95" s="175">
        <f t="shared" si="31"/>
        <v>7</v>
      </c>
      <c r="U95" s="250">
        <f t="shared" si="32"/>
        <v>1.3451753316669404</v>
      </c>
      <c r="V95" s="382">
        <f t="shared" si="33"/>
        <v>46.139215052800502</v>
      </c>
      <c r="W95" s="401">
        <f t="shared" si="34"/>
        <v>41.828785503999882</v>
      </c>
      <c r="X95" s="157">
        <f t="shared" si="35"/>
        <v>45372</v>
      </c>
      <c r="Y95" s="384">
        <f t="shared" si="36"/>
        <v>41.220419998557531</v>
      </c>
      <c r="Z95" s="384">
        <f t="shared" si="37"/>
        <v>43.127257392352476</v>
      </c>
      <c r="AA95" s="385">
        <f t="shared" si="38"/>
        <v>47.124498202981506</v>
      </c>
      <c r="AB95" s="196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8.4822989380417935E-2</v>
      </c>
      <c r="AD95" s="230">
        <f>(INDEX(Models!$BJ95:$BT95,,AH95)*(1-AF95)+INDEX(Models!$BJ95:$BT95,,AH95+1)*AF95-ERP_i)*AE95*Ramure*Pc/MaxiM</f>
        <v>3.5477295918756791E-4</v>
      </c>
      <c r="AE95" s="304">
        <f t="shared" si="40"/>
        <v>0.5</v>
      </c>
      <c r="AF95" s="176">
        <f t="shared" si="41"/>
        <v>0.34517533166694037</v>
      </c>
      <c r="AG95" s="814">
        <f t="shared" si="49"/>
        <v>1</v>
      </c>
      <c r="AH95" s="175">
        <f t="shared" si="42"/>
        <v>7</v>
      </c>
      <c r="AI95" s="224">
        <f t="shared" si="43"/>
        <v>1.3451753316669404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10">
        <f>'2023'!Wh/'2023'!Env_an*'2024'!Env_an</f>
        <v>46.518658650835171</v>
      </c>
      <c r="C96" s="843"/>
      <c r="D96" s="392">
        <f t="shared" si="25"/>
        <v>48.671654788017648</v>
      </c>
      <c r="E96" s="384">
        <f t="shared" si="47"/>
        <v>52.41125090702608</v>
      </c>
      <c r="F96" s="384">
        <f t="shared" si="26"/>
        <v>52.429868509754343</v>
      </c>
      <c r="G96" s="110">
        <f t="shared" si="48"/>
        <v>1.0020910044790494</v>
      </c>
      <c r="H96" s="413" t="b">
        <f>Wh_hp&gt;='2023'!Maxi_hp</f>
        <v>1</v>
      </c>
      <c r="I96" s="389">
        <f>IF(H96,Wh_hp,'2023'!Maxi_hp)</f>
        <v>52.429868509754343</v>
      </c>
      <c r="J96" s="85">
        <f>IF(H96,An,'2023'!An_max)</f>
        <v>2024</v>
      </c>
      <c r="K96" s="196">
        <f t="shared" si="27"/>
        <v>45373</v>
      </c>
      <c r="L96" s="147">
        <f>IF(t&lt;Tvie,1-EXP((T0-t)*PertePVj)+'2023'!Pspv,1-EXP((T0-t)*PertePVj)+Pspv)</f>
        <v>4.4235112748057116E-2</v>
      </c>
      <c r="M96" s="847"/>
      <c r="N96" s="847"/>
      <c r="O96" s="48">
        <f>IF(t&lt;Tnet,'2023'!Resal+('2023'!Salim-'2023'!Resal)*(1-EXP(('2023'!Tnet-t)/('2023'!Tau_j))),Resal+(Salim-Resal)*(1-EXP((Tnet-t)/(Tau_j))))*Salcycl</f>
        <v>7.1351018231604849E-2</v>
      </c>
      <c r="P96" s="168">
        <f>(INDEX(Models!$BJ96:$BT96,,T96)*(1-R96)+INDEX(Models!$BJ96:$BT96,,T96+1)*R96-ERP_i)*Q96*Ramure*Pc/MaxiM</f>
        <v>3.5509535418341696E-4</v>
      </c>
      <c r="Q96" s="304">
        <f t="shared" si="28"/>
        <v>0.5</v>
      </c>
      <c r="R96" s="176">
        <f t="shared" si="29"/>
        <v>0.34561215548831736</v>
      </c>
      <c r="S96" s="814">
        <f t="shared" si="30"/>
        <v>1</v>
      </c>
      <c r="T96" s="175">
        <f t="shared" si="31"/>
        <v>7</v>
      </c>
      <c r="U96" s="250">
        <f t="shared" si="32"/>
        <v>1.3456121554883174</v>
      </c>
      <c r="V96" s="382">
        <f t="shared" si="33"/>
        <v>46.421590896346309</v>
      </c>
      <c r="W96" s="401">
        <f t="shared" si="34"/>
        <v>46.518658650835171</v>
      </c>
      <c r="X96" s="157">
        <f t="shared" si="35"/>
        <v>45373</v>
      </c>
      <c r="Y96" s="384">
        <f t="shared" si="36"/>
        <v>45.842725636759475</v>
      </c>
      <c r="Z96" s="384">
        <f t="shared" si="37"/>
        <v>47.964437957716243</v>
      </c>
      <c r="AA96" s="385">
        <f t="shared" si="38"/>
        <v>52.41125090702608</v>
      </c>
      <c r="AB96" s="196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8.4844625387746939E-2</v>
      </c>
      <c r="AD96" s="230">
        <f>(INDEX(Models!$BJ96:$BT96,,AH96)*(1-AF96)+INDEX(Models!$BJ96:$BT96,,AH96+1)*AF96-ERP_i)*AE96*Ramure*Pc/MaxiM</f>
        <v>3.5509535418341696E-4</v>
      </c>
      <c r="AE96" s="304">
        <f t="shared" si="40"/>
        <v>0.5</v>
      </c>
      <c r="AF96" s="176">
        <f t="shared" si="41"/>
        <v>0.34561215548831736</v>
      </c>
      <c r="AG96" s="814">
        <f t="shared" si="49"/>
        <v>1</v>
      </c>
      <c r="AH96" s="175">
        <f t="shared" si="42"/>
        <v>7</v>
      </c>
      <c r="AI96" s="224">
        <f t="shared" si="43"/>
        <v>1.3456121554883174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10">
        <f>'2023'!Wh/'2023'!Env_an*'2024'!Env_an</f>
        <v>45.668841631061447</v>
      </c>
      <c r="C97" s="843"/>
      <c r="D97" s="392">
        <f t="shared" si="25"/>
        <v>47.783551447671968</v>
      </c>
      <c r="E97" s="384">
        <f t="shared" si="47"/>
        <v>51.456872846458452</v>
      </c>
      <c r="F97" s="384">
        <f t="shared" si="26"/>
        <v>51.474569474368245</v>
      </c>
      <c r="G97" s="110">
        <f t="shared" si="48"/>
        <v>0.97785173262030267</v>
      </c>
      <c r="H97" s="413" t="b">
        <f>Wh_hp&gt;='2023'!Maxi_hp</f>
        <v>0</v>
      </c>
      <c r="I97" s="389">
        <f>IF(H97,Wh_hp,'2023'!Maxi_hp)</f>
        <v>51.706853506641295</v>
      </c>
      <c r="J97" s="85">
        <f>IF(H97,An,'2023'!An_max)</f>
        <v>2021</v>
      </c>
      <c r="K97" s="196">
        <f t="shared" si="27"/>
        <v>45374</v>
      </c>
      <c r="L97" s="147">
        <f>IF(t&lt;Tvie,1-EXP((T0-t)*PertePVj)+'2023'!Pspv,1-EXP((T0-t)*PertePVj)+Pspv)</f>
        <v>4.4256020168914147E-2</v>
      </c>
      <c r="M97" s="847"/>
      <c r="N97" s="847"/>
      <c r="O97" s="48">
        <f>IF(t&lt;Tnet,'2023'!Resal+('2023'!Salim-'2023'!Resal)*(1-EXP(('2023'!Tnet-t)/('2023'!Tau_j))),Resal+(Salim-Resal)*(1-EXP((Tnet-t)/(Tau_j))))*Salcycl</f>
        <v>7.1386409542361029E-2</v>
      </c>
      <c r="P97" s="168">
        <f>(INDEX(Models!$BJ97:$BT97,,T97)*(1-R97)+INDEX(Models!$BJ97:$BT97,,T97+1)*R97-ERP_i)*Q97*Ramure*Pc/MaxiM</f>
        <v>3.5502103817464797E-4</v>
      </c>
      <c r="Q97" s="304">
        <f t="shared" si="28"/>
        <v>0.5</v>
      </c>
      <c r="R97" s="176">
        <f t="shared" si="29"/>
        <v>0.34606590575985319</v>
      </c>
      <c r="S97" s="814">
        <f t="shared" si="30"/>
        <v>1</v>
      </c>
      <c r="T97" s="175">
        <f t="shared" si="31"/>
        <v>7</v>
      </c>
      <c r="U97" s="250">
        <f t="shared" si="32"/>
        <v>1.3460659057598532</v>
      </c>
      <c r="V97" s="382">
        <f t="shared" si="33"/>
        <v>46.70271288324313</v>
      </c>
      <c r="W97" s="401">
        <f t="shared" si="34"/>
        <v>45.668841631061447</v>
      </c>
      <c r="X97" s="157">
        <f t="shared" si="35"/>
        <v>45374</v>
      </c>
      <c r="Y97" s="384">
        <f t="shared" si="36"/>
        <v>45.005882898129208</v>
      </c>
      <c r="Z97" s="384">
        <f t="shared" si="37"/>
        <v>47.089894205855586</v>
      </c>
      <c r="AA97" s="385">
        <f t="shared" si="38"/>
        <v>51.456872846458452</v>
      </c>
      <c r="AB97" s="196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8.4866770929384813E-2</v>
      </c>
      <c r="AD97" s="230">
        <f>(INDEX(Models!$BJ97:$BT97,,AH97)*(1-AF97)+INDEX(Models!$BJ97:$BT97,,AH97+1)*AF97-ERP_i)*AE97*Ramure*Pc/MaxiM</f>
        <v>3.5502103817464797E-4</v>
      </c>
      <c r="AE97" s="304">
        <f t="shared" si="40"/>
        <v>0.5</v>
      </c>
      <c r="AF97" s="176">
        <f t="shared" si="41"/>
        <v>0.34606590575985319</v>
      </c>
      <c r="AG97" s="814">
        <f t="shared" si="49"/>
        <v>1</v>
      </c>
      <c r="AH97" s="175">
        <f t="shared" si="42"/>
        <v>7</v>
      </c>
      <c r="AI97" s="224">
        <f t="shared" si="43"/>
        <v>1.3460659057598532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10">
        <f>'2023'!Wh/'2023'!Env_an*'2024'!Env_an</f>
        <v>39.199095163056732</v>
      </c>
      <c r="C98" s="843"/>
      <c r="D98" s="392">
        <f t="shared" si="25"/>
        <v>41.015118579714745</v>
      </c>
      <c r="E98" s="384">
        <f t="shared" si="47"/>
        <v>44.169826627574409</v>
      </c>
      <c r="F98" s="384">
        <f t="shared" si="26"/>
        <v>44.181784809039378</v>
      </c>
      <c r="G98" s="110">
        <f t="shared" si="48"/>
        <v>0.8342778898471378</v>
      </c>
      <c r="H98" s="413" t="b">
        <f>Wh_hp&gt;='2023'!Maxi_hp</f>
        <v>0</v>
      </c>
      <c r="I98" s="389">
        <f>IF(H98,Wh_hp,'2023'!Maxi_hp)</f>
        <v>50.650647588143606</v>
      </c>
      <c r="J98" s="85">
        <f>IF(H98,An,'2023'!An_max)</f>
        <v>2020</v>
      </c>
      <c r="K98" s="196">
        <f t="shared" si="27"/>
        <v>45375</v>
      </c>
      <c r="L98" s="147">
        <f>IF(t&lt;Tvie,1-EXP((T0-t)*PertePVj)+'2023'!Pspv,1-EXP((T0-t)*PertePVj)+Pspv)</f>
        <v>4.4276927131844925E-2</v>
      </c>
      <c r="M98" s="847"/>
      <c r="N98" s="847"/>
      <c r="O98" s="48">
        <f>IF(t&lt;Tnet,'2023'!Resal+('2023'!Salim-'2023'!Resal)*(1-EXP(('2023'!Tnet-t)/('2023'!Tau_j))),Resal+(Salim-Resal)*(1-EXP((Tnet-t)/(Tau_j))))*Salcycl</f>
        <v>7.142224203094874E-2</v>
      </c>
      <c r="P98" s="168">
        <f>(INDEX(Models!$BJ98:$BT98,,T98)*(1-R98)+INDEX(Models!$BJ98:$BT98,,T98+1)*R98-ERP_i)*Q98*Ramure*Pc/MaxiM</f>
        <v>3.5456495148370078E-4</v>
      </c>
      <c r="Q98" s="304">
        <f t="shared" si="28"/>
        <v>0.5</v>
      </c>
      <c r="R98" s="176">
        <f t="shared" si="29"/>
        <v>0.34653717986100152</v>
      </c>
      <c r="S98" s="814">
        <f t="shared" si="30"/>
        <v>1</v>
      </c>
      <c r="T98" s="175">
        <f t="shared" si="31"/>
        <v>7</v>
      </c>
      <c r="U98" s="250">
        <f t="shared" si="32"/>
        <v>1.3465371798610015</v>
      </c>
      <c r="V98" s="382">
        <f t="shared" si="33"/>
        <v>46.981714004204179</v>
      </c>
      <c r="W98" s="401">
        <f t="shared" si="34"/>
        <v>39.199095163056732</v>
      </c>
      <c r="X98" s="157">
        <f t="shared" si="35"/>
        <v>45375</v>
      </c>
      <c r="Y98" s="384">
        <f t="shared" si="36"/>
        <v>38.630588418551461</v>
      </c>
      <c r="Z98" s="384">
        <f t="shared" si="37"/>
        <v>40.420273942555191</v>
      </c>
      <c r="AA98" s="385">
        <f t="shared" si="38"/>
        <v>44.169826627574409</v>
      </c>
      <c r="AB98" s="196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8.4889458965601738E-2</v>
      </c>
      <c r="AD98" s="230">
        <f>(INDEX(Models!$BJ98:$BT98,,AH98)*(1-AF98)+INDEX(Models!$BJ98:$BT98,,AH98+1)*AF98-ERP_i)*AE98*Ramure*Pc/MaxiM</f>
        <v>3.5456495148370078E-4</v>
      </c>
      <c r="AE98" s="304">
        <f t="shared" si="40"/>
        <v>0.5</v>
      </c>
      <c r="AF98" s="176">
        <f t="shared" si="41"/>
        <v>0.34653717986100152</v>
      </c>
      <c r="AG98" s="814">
        <f t="shared" si="49"/>
        <v>1</v>
      </c>
      <c r="AH98" s="175">
        <f t="shared" si="42"/>
        <v>7</v>
      </c>
      <c r="AI98" s="224">
        <f t="shared" si="43"/>
        <v>1.3465371798610015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10">
        <f>'2023'!Wh/'2023'!Env_an*'2024'!Env_an</f>
        <v>43.494382221105383</v>
      </c>
      <c r="C99" s="843"/>
      <c r="D99" s="392">
        <f t="shared" si="25"/>
        <v>45.510394087124759</v>
      </c>
      <c r="E99" s="384">
        <f t="shared" si="47"/>
        <v>49.01277566240887</v>
      </c>
      <c r="F99" s="384">
        <f t="shared" si="26"/>
        <v>49.028145912487318</v>
      </c>
      <c r="G99" s="110">
        <f t="shared" si="48"/>
        <v>0.92032845617080694</v>
      </c>
      <c r="H99" s="413" t="b">
        <f>Wh_hp&gt;='2023'!Maxi_hp</f>
        <v>0</v>
      </c>
      <c r="I99" s="389">
        <f>IF(H99,Wh_hp,'2023'!Maxi_hp)</f>
        <v>54.179948097742042</v>
      </c>
      <c r="J99" s="85">
        <f>IF(H99,An,'2023'!An_max)</f>
        <v>2019</v>
      </c>
      <c r="K99" s="196">
        <f t="shared" si="27"/>
        <v>45376</v>
      </c>
      <c r="L99" s="147">
        <f>IF(t&lt;Tvie,1-EXP((T0-t)*PertePVj)+'2023'!Pspv,1-EXP((T0-t)*PertePVj)+Pspv)</f>
        <v>4.4297833636859664E-2</v>
      </c>
      <c r="M99" s="847"/>
      <c r="N99" s="847"/>
      <c r="O99" s="48">
        <f>IF(t&lt;Tnet,'2023'!Resal+('2023'!Salim-'2023'!Resal)*(1-EXP(('2023'!Tnet-t)/('2023'!Tau_j))),Resal+(Salim-Resal)*(1-EXP((Tnet-t)/(Tau_j))))*Salcycl</f>
        <v>7.1458543776583575E-2</v>
      </c>
      <c r="P99" s="168">
        <f>(INDEX(Models!$BJ99:$BT99,,T99)*(1-R99)+INDEX(Models!$BJ99:$BT99,,T99+1)*R99-ERP_i)*Q99*Ramure*Pc/MaxiM</f>
        <v>3.5374137688625281E-4</v>
      </c>
      <c r="Q99" s="304">
        <f t="shared" si="28"/>
        <v>0.5</v>
      </c>
      <c r="R99" s="176">
        <f t="shared" si="29"/>
        <v>0.34702659146184356</v>
      </c>
      <c r="S99" s="814">
        <f t="shared" si="30"/>
        <v>1</v>
      </c>
      <c r="T99" s="175">
        <f t="shared" si="31"/>
        <v>7</v>
      </c>
      <c r="U99" s="250">
        <f t="shared" si="32"/>
        <v>1.3470265914618436</v>
      </c>
      <c r="V99" s="382">
        <f t="shared" si="33"/>
        <v>47.257727435686995</v>
      </c>
      <c r="W99" s="401">
        <f t="shared" si="34"/>
        <v>43.494382221105383</v>
      </c>
      <c r="X99" s="157">
        <f t="shared" si="35"/>
        <v>45376</v>
      </c>
      <c r="Y99" s="384">
        <f t="shared" si="36"/>
        <v>42.864166751540111</v>
      </c>
      <c r="Z99" s="384">
        <f t="shared" si="37"/>
        <v>44.850967445911301</v>
      </c>
      <c r="AA99" s="385">
        <f t="shared" si="38"/>
        <v>49.01277566240887</v>
      </c>
      <c r="AB99" s="196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8.4912722453495723E-2</v>
      </c>
      <c r="AD99" s="230">
        <f>(INDEX(Models!$BJ99:$BT99,,AH99)*(1-AF99)+INDEX(Models!$BJ99:$BT99,,AH99+1)*AF99-ERP_i)*AE99*Ramure*Pc/MaxiM</f>
        <v>3.5374137688625281E-4</v>
      </c>
      <c r="AE99" s="304">
        <f t="shared" si="40"/>
        <v>0.5</v>
      </c>
      <c r="AF99" s="176">
        <f t="shared" si="41"/>
        <v>0.34702659146184356</v>
      </c>
      <c r="AG99" s="814">
        <f t="shared" si="49"/>
        <v>1</v>
      </c>
      <c r="AH99" s="175">
        <f t="shared" si="42"/>
        <v>7</v>
      </c>
      <c r="AI99" s="224">
        <f t="shared" si="43"/>
        <v>1.3470265914618436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10">
        <f>'2023'!Wh/'2023'!Env_an*'2024'!Env_an</f>
        <v>43.461130796966451</v>
      </c>
      <c r="C100" s="843"/>
      <c r="D100" s="392">
        <f t="shared" si="25"/>
        <v>45.476596226857481</v>
      </c>
      <c r="E100" s="384">
        <f t="shared" si="47"/>
        <v>48.978317851585714</v>
      </c>
      <c r="F100" s="384">
        <f t="shared" si="26"/>
        <v>48.993481600926749</v>
      </c>
      <c r="G100" s="110">
        <f t="shared" si="48"/>
        <v>0.91435646078270838</v>
      </c>
      <c r="H100" s="413" t="b">
        <f>Wh_hp&gt;='2023'!Maxi_hp</f>
        <v>0</v>
      </c>
      <c r="I100" s="389">
        <f>IF(H100,Wh_hp,'2023'!Maxi_hp)</f>
        <v>53.631049698889107</v>
      </c>
      <c r="J100" s="85">
        <f>IF(H100,An,'2023'!An_max)</f>
        <v>2019</v>
      </c>
      <c r="K100" s="196">
        <f t="shared" si="27"/>
        <v>45377</v>
      </c>
      <c r="L100" s="147">
        <f>IF(t&lt;Tvie,1-EXP((T0-t)*PertePVj)+'2023'!Pspv,1-EXP((T0-t)*PertePVj)+Pspv)</f>
        <v>4.4318739683968246E-2</v>
      </c>
      <c r="M100" s="847"/>
      <c r="N100" s="847"/>
      <c r="O100" s="48">
        <f>IF(t&lt;Tnet,'2023'!Resal+('2023'!Salim-'2023'!Resal)*(1-EXP(('2023'!Tnet-t)/('2023'!Tau_j))),Resal+(Salim-Resal)*(1-EXP((Tnet-t)/(Tau_j))))*Salcycl</f>
        <v>7.1495342803302608E-2</v>
      </c>
      <c r="P100" s="168">
        <f>(INDEX(Models!$BJ100:$BT100,,T100)*(1-R100)+INDEX(Models!$BJ100:$BT100,,T100+1)*R100-ERP_i)*Q100*Ramure*Pc/MaxiM</f>
        <v>3.526289969863785E-4</v>
      </c>
      <c r="Q100" s="304">
        <f t="shared" si="28"/>
        <v>0.5</v>
      </c>
      <c r="R100" s="176">
        <f t="shared" si="29"/>
        <v>0.34753477056262239</v>
      </c>
      <c r="S100" s="814">
        <f t="shared" si="30"/>
        <v>1</v>
      </c>
      <c r="T100" s="175">
        <f t="shared" si="31"/>
        <v>7</v>
      </c>
      <c r="U100" s="250">
        <f t="shared" si="32"/>
        <v>1.3475347705626224</v>
      </c>
      <c r="V100" s="382">
        <f t="shared" si="33"/>
        <v>47.529883456164519</v>
      </c>
      <c r="W100" s="401">
        <f t="shared" si="34"/>
        <v>43.461130796966451</v>
      </c>
      <c r="X100" s="157">
        <f t="shared" si="35"/>
        <v>45377</v>
      </c>
      <c r="Y100" s="384">
        <f t="shared" si="36"/>
        <v>42.831977261884852</v>
      </c>
      <c r="Z100" s="384">
        <f t="shared" si="37"/>
        <v>44.81826634093553</v>
      </c>
      <c r="AA100" s="385">
        <f t="shared" si="38"/>
        <v>48.978317851585714</v>
      </c>
      <c r="AB100" s="196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8.4936594254951439E-2</v>
      </c>
      <c r="AD100" s="230">
        <f>(INDEX(Models!$BJ100:$BT100,,AH100)*(1-AF100)+INDEX(Models!$BJ100:$BT100,,AH100+1)*AF100-ERP_i)*AE100*Ramure*Pc/MaxiM</f>
        <v>3.526289969863785E-4</v>
      </c>
      <c r="AE100" s="304">
        <f t="shared" si="40"/>
        <v>0.5</v>
      </c>
      <c r="AF100" s="176">
        <f t="shared" si="41"/>
        <v>0.34753477056262239</v>
      </c>
      <c r="AG100" s="814">
        <f t="shared" si="49"/>
        <v>1</v>
      </c>
      <c r="AH100" s="175">
        <f t="shared" si="42"/>
        <v>7</v>
      </c>
      <c r="AI100" s="224">
        <f t="shared" si="43"/>
        <v>1.3475347705626224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10">
        <f>'2023'!Wh/'2023'!Env_an*'2024'!Env_an</f>
        <v>33.561710076525124</v>
      </c>
      <c r="C101" s="843"/>
      <c r="D101" s="392">
        <f t="shared" si="25"/>
        <v>35.118868236528371</v>
      </c>
      <c r="E101" s="384">
        <f t="shared" si="47"/>
        <v>37.824559883272606</v>
      </c>
      <c r="F101" s="384">
        <f t="shared" si="26"/>
        <v>37.832194614632193</v>
      </c>
      <c r="G101" s="110">
        <f t="shared" si="48"/>
        <v>0.70206230907969014</v>
      </c>
      <c r="H101" s="413" t="b">
        <f>Wh_hp&gt;='2023'!Maxi_hp</f>
        <v>0</v>
      </c>
      <c r="I101" s="389">
        <f>IF(H101,Wh_hp,'2023'!Maxi_hp)</f>
        <v>52.658123194281352</v>
      </c>
      <c r="J101" s="85">
        <f>IF(H101,An,'2023'!An_max)</f>
        <v>2019</v>
      </c>
      <c r="K101" s="196">
        <f t="shared" si="27"/>
        <v>45378</v>
      </c>
      <c r="L101" s="147">
        <f>IF(t&lt;Tvie,1-EXP((T0-t)*PertePVj)+'2023'!Pspv,1-EXP((T0-t)*PertePVj)+Pspv)</f>
        <v>4.4339645273180774E-2</v>
      </c>
      <c r="M101" s="847"/>
      <c r="N101" s="847"/>
      <c r="O101" s="48">
        <f>IF(t&lt;Tnet,'2023'!Resal+('2023'!Salim-'2023'!Resal)*(1-EXP(('2023'!Tnet-t)/('2023'!Tau_j))),Resal+(Salim-Resal)*(1-EXP((Tnet-t)/(Tau_j))))*Salcycl</f>
        <v>7.1532667005090173E-2</v>
      </c>
      <c r="P101" s="168">
        <f>(INDEX(Models!$BJ101:$BT101,,T101)*(1-R101)+INDEX(Models!$BJ101:$BT101,,T101+1)*R101-ERP_i)*Q101*Ramure*Pc/MaxiM</f>
        <v>3.5125583108539036E-4</v>
      </c>
      <c r="Q101" s="304">
        <f t="shared" si="28"/>
        <v>0.5</v>
      </c>
      <c r="R101" s="176">
        <f t="shared" si="29"/>
        <v>0.34806236349242092</v>
      </c>
      <c r="S101" s="814">
        <f t="shared" si="30"/>
        <v>1</v>
      </c>
      <c r="T101" s="175">
        <f t="shared" si="31"/>
        <v>7</v>
      </c>
      <c r="U101" s="250">
        <f t="shared" si="32"/>
        <v>1.3480623634924209</v>
      </c>
      <c r="V101" s="382">
        <f t="shared" si="33"/>
        <v>47.797314867039958</v>
      </c>
      <c r="W101" s="401">
        <f t="shared" si="34"/>
        <v>33.561710076525124</v>
      </c>
      <c r="X101" s="157">
        <f t="shared" si="35"/>
        <v>45378</v>
      </c>
      <c r="Y101" s="384">
        <f t="shared" si="36"/>
        <v>33.07630644897479</v>
      </c>
      <c r="Z101" s="384">
        <f t="shared" si="37"/>
        <v>34.610943401989125</v>
      </c>
      <c r="AA101" s="385">
        <f t="shared" si="38"/>
        <v>37.824559883272606</v>
      </c>
      <c r="AB101" s="196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8.4961107047927809E-2</v>
      </c>
      <c r="AD101" s="230">
        <f>(INDEX(Models!$BJ101:$BT101,,AH101)*(1-AF101)+INDEX(Models!$BJ101:$BT101,,AH101+1)*AF101-ERP_i)*AE101*Ramure*Pc/MaxiM</f>
        <v>3.5125583108539036E-4</v>
      </c>
      <c r="AE101" s="304">
        <f t="shared" si="40"/>
        <v>0.5</v>
      </c>
      <c r="AF101" s="176">
        <f t="shared" si="41"/>
        <v>0.34806236349242092</v>
      </c>
      <c r="AG101" s="814">
        <f t="shared" si="49"/>
        <v>1</v>
      </c>
      <c r="AH101" s="175">
        <f t="shared" si="42"/>
        <v>7</v>
      </c>
      <c r="AI101" s="224">
        <f t="shared" si="43"/>
        <v>1.3480623634924209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10">
        <f>'2023'!Wh/'2023'!Env_an*'2024'!Env_an</f>
        <v>25.906547595979628</v>
      </c>
      <c r="C102" s="843"/>
      <c r="D102" s="392">
        <f t="shared" si="25"/>
        <v>27.109123223141808</v>
      </c>
      <c r="E102" s="384">
        <f t="shared" si="47"/>
        <v>29.198904720337396</v>
      </c>
      <c r="F102" s="384">
        <f t="shared" si="26"/>
        <v>29.202391549985144</v>
      </c>
      <c r="G102" s="110">
        <f t="shared" si="48"/>
        <v>0.53893128491445941</v>
      </c>
      <c r="H102" s="413" t="b">
        <f>Wh_hp&gt;='2023'!Maxi_hp</f>
        <v>0</v>
      </c>
      <c r="I102" s="389">
        <f>IF(H102,Wh_hp,'2023'!Maxi_hp)</f>
        <v>54.496222253055954</v>
      </c>
      <c r="J102" s="85">
        <f>IF(H102,An,'2023'!An_max)</f>
        <v>2021</v>
      </c>
      <c r="K102" s="196">
        <f t="shared" si="27"/>
        <v>45379</v>
      </c>
      <c r="L102" s="147">
        <f>IF(t&lt;Tvie,1-EXP((T0-t)*PertePVj)+'2023'!Pspv,1-EXP((T0-t)*PertePVj)+Pspv)</f>
        <v>4.4360550404507239E-2</v>
      </c>
      <c r="M102" s="847"/>
      <c r="N102" s="847"/>
      <c r="O102" s="48">
        <f>IF(t&lt;Tnet,'2023'!Resal+('2023'!Salim-'2023'!Resal)*(1-EXP(('2023'!Tnet-t)/('2023'!Tau_j))),Resal+(Salim-Resal)*(1-EXP((Tnet-t)/(Tau_j))))*Salcycl</f>
        <v>7.1570544073868272E-2</v>
      </c>
      <c r="P102" s="168">
        <f>(INDEX(Models!$BJ102:$BT102,,T102)*(1-R102)+INDEX(Models!$BJ102:$BT102,,T102+1)*R102-ERP_i)*Q102*Ramure*Pc/MaxiM</f>
        <v>3.4963248738257159E-4</v>
      </c>
      <c r="Q102" s="304">
        <f t="shared" si="28"/>
        <v>0.5</v>
      </c>
      <c r="R102" s="176">
        <f t="shared" si="29"/>
        <v>0.34861003286305281</v>
      </c>
      <c r="S102" s="814">
        <f t="shared" si="30"/>
        <v>1</v>
      </c>
      <c r="T102" s="175">
        <f t="shared" si="31"/>
        <v>7</v>
      </c>
      <c r="U102" s="250">
        <f t="shared" si="32"/>
        <v>1.3486100328630528</v>
      </c>
      <c r="V102" s="382">
        <f t="shared" si="33"/>
        <v>48.059155474346994</v>
      </c>
      <c r="W102" s="401">
        <f t="shared" si="34"/>
        <v>25.906547595979628</v>
      </c>
      <c r="X102" s="157">
        <f t="shared" si="35"/>
        <v>45379</v>
      </c>
      <c r="Y102" s="384">
        <f t="shared" si="36"/>
        <v>25.53219955895581</v>
      </c>
      <c r="Z102" s="384">
        <f t="shared" si="37"/>
        <v>26.717398041450874</v>
      </c>
      <c r="AA102" s="385">
        <f t="shared" si="38"/>
        <v>29.198904720337396</v>
      </c>
      <c r="AB102" s="196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8.4986293241270827E-2</v>
      </c>
      <c r="AD102" s="230">
        <f>(INDEX(Models!$BJ102:$BT102,,AH102)*(1-AF102)+INDEX(Models!$BJ102:$BT102,,AH102+1)*AF102-ERP_i)*AE102*Ramure*Pc/MaxiM</f>
        <v>3.4963248738257159E-4</v>
      </c>
      <c r="AE102" s="304">
        <f t="shared" si="40"/>
        <v>0.5</v>
      </c>
      <c r="AF102" s="176">
        <f t="shared" si="41"/>
        <v>0.34861003286305281</v>
      </c>
      <c r="AG102" s="814">
        <f t="shared" si="49"/>
        <v>1</v>
      </c>
      <c r="AH102" s="175">
        <f t="shared" si="42"/>
        <v>7</v>
      </c>
      <c r="AI102" s="224">
        <f t="shared" si="43"/>
        <v>1.3486100328630528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10">
        <f>'2023'!Wh/'2023'!Env_an*'2024'!Env_an</f>
        <v>6.5763225627833997</v>
      </c>
      <c r="C103" s="843"/>
      <c r="D103" s="392">
        <f t="shared" si="25"/>
        <v>6.8817443923923474</v>
      </c>
      <c r="E103" s="384">
        <f t="shared" si="47"/>
        <v>7.4125496724932276</v>
      </c>
      <c r="F103" s="384">
        <f t="shared" si="26"/>
        <v>7.4125496724932276</v>
      </c>
      <c r="G103" s="110">
        <f t="shared" si="48"/>
        <v>0.13606743676702018</v>
      </c>
      <c r="H103" s="413" t="b">
        <f>Wh_hp&gt;='2023'!Maxi_hp</f>
        <v>0</v>
      </c>
      <c r="I103" s="389">
        <f>IF(H103,Wh_hp,'2023'!Maxi_hp)</f>
        <v>54.590031723801168</v>
      </c>
      <c r="J103" s="85">
        <f>IF(H103,An,'2023'!An_max)</f>
        <v>2019</v>
      </c>
      <c r="K103" s="196">
        <f t="shared" si="27"/>
        <v>45380</v>
      </c>
      <c r="L103" s="147">
        <f>IF(t&lt;Tvie,1-EXP((T0-t)*PertePVj)+'2023'!Pspv,1-EXP((T0-t)*PertePVj)+Pspv)</f>
        <v>4.4381455077957634E-2</v>
      </c>
      <c r="M103" s="847"/>
      <c r="N103" s="847"/>
      <c r="O103" s="48">
        <f>IF(t&lt;Tnet,'2023'!Resal+('2023'!Salim-'2023'!Resal)*(1-EXP(('2023'!Tnet-t)/('2023'!Tau_j))),Resal+(Salim-Resal)*(1-EXP((Tnet-t)/(Tau_j))))*Salcycl</f>
        <v>7.1609001430454178E-2</v>
      </c>
      <c r="P103" s="168">
        <f>(INDEX(Models!$BJ103:$BT103,,T103)*(1-R103)+INDEX(Models!$BJ103:$BT103,,T103+1)*R103-ERP_i)*Q103*Ramure*Pc/MaxiM</f>
        <v>3.4776881167960513E-4</v>
      </c>
      <c r="Q103" s="304">
        <f t="shared" si="28"/>
        <v>0.5</v>
      </c>
      <c r="R103" s="176">
        <f t="shared" si="29"/>
        <v>0.34917845747402376</v>
      </c>
      <c r="S103" s="814">
        <f t="shared" si="30"/>
        <v>1</v>
      </c>
      <c r="T103" s="175">
        <f t="shared" si="31"/>
        <v>7</v>
      </c>
      <c r="U103" s="250">
        <f t="shared" si="32"/>
        <v>1.3491784574740238</v>
      </c>
      <c r="V103" s="382">
        <f t="shared" si="33"/>
        <v>48.314539313008666</v>
      </c>
      <c r="W103" s="401">
        <f t="shared" si="34"/>
        <v>6.5763225627833997</v>
      </c>
      <c r="X103" s="157">
        <f t="shared" si="35"/>
        <v>45380</v>
      </c>
      <c r="Y103" s="384">
        <f t="shared" si="36"/>
        <v>6.4813801754113012</v>
      </c>
      <c r="Z103" s="384">
        <f t="shared" si="37"/>
        <v>6.7823926292054546</v>
      </c>
      <c r="AA103" s="385">
        <f t="shared" si="38"/>
        <v>7.4125496724932276</v>
      </c>
      <c r="AB103" s="196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8.5012184893166198E-2</v>
      </c>
      <c r="AD103" s="230">
        <f>(INDEX(Models!$BJ103:$BT103,,AH103)*(1-AF103)+INDEX(Models!$BJ103:$BT103,,AH103+1)*AF103-ERP_i)*AE103*Ramure*Pc/MaxiM</f>
        <v>3.4776881167960513E-4</v>
      </c>
      <c r="AE103" s="304">
        <f t="shared" si="40"/>
        <v>0.5</v>
      </c>
      <c r="AF103" s="176">
        <f t="shared" si="41"/>
        <v>0.34917845747402376</v>
      </c>
      <c r="AG103" s="814">
        <f t="shared" si="49"/>
        <v>1</v>
      </c>
      <c r="AH103" s="175">
        <f t="shared" si="42"/>
        <v>7</v>
      </c>
      <c r="AI103" s="224">
        <f t="shared" si="43"/>
        <v>1.3491784574740238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10">
        <f>'2023'!Wh/'2023'!Env_an*'2024'!Env_an</f>
        <v>26.168120456570556</v>
      </c>
      <c r="C104" s="843"/>
      <c r="D104" s="392">
        <f t="shared" si="25"/>
        <v>27.384036274121488</v>
      </c>
      <c r="E104" s="384">
        <f t="shared" si="47"/>
        <v>29.497473184342439</v>
      </c>
      <c r="F104" s="384">
        <f t="shared" si="26"/>
        <v>29.500952836956131</v>
      </c>
      <c r="G104" s="110">
        <f t="shared" si="48"/>
        <v>0.53873063440940083</v>
      </c>
      <c r="H104" s="413" t="b">
        <f>Wh_hp&gt;='2023'!Maxi_hp</f>
        <v>0</v>
      </c>
      <c r="I104" s="389">
        <f>IF(H104,Wh_hp,'2023'!Maxi_hp)</f>
        <v>49.035449054954384</v>
      </c>
      <c r="J104" s="85">
        <f>IF(H104,An,'2023'!An_max)</f>
        <v>2021</v>
      </c>
      <c r="K104" s="196">
        <f t="shared" si="27"/>
        <v>45381</v>
      </c>
      <c r="L104" s="147">
        <f>IF(t&lt;Tvie,1-EXP((T0-t)*PertePVj)+'2023'!Pspv,1-EXP((T0-t)*PertePVj)+Pspv)</f>
        <v>4.4402359293542061E-2</v>
      </c>
      <c r="M104" s="847"/>
      <c r="N104" s="847"/>
      <c r="O104" s="48">
        <f>IF(t&lt;Tnet,'2023'!Resal+('2023'!Salim-'2023'!Resal)*(1-EXP(('2023'!Tnet-t)/('2023'!Tau_j))),Resal+(Salim-Resal)*(1-EXP((Tnet-t)/(Tau_j))))*Salcycl</f>
        <v>7.1648066158520513E-2</v>
      </c>
      <c r="P104" s="168">
        <f>(INDEX(Models!$BJ104:$BT104,,T104)*(1-R104)+INDEX(Models!$BJ104:$BT104,,T104+1)*R104-ERP_i)*Q104*Ramure*Pc/MaxiM</f>
        <v>3.4567385554049273E-4</v>
      </c>
      <c r="Q104" s="304">
        <f t="shared" si="28"/>
        <v>0.5</v>
      </c>
      <c r="R104" s="176">
        <f t="shared" si="29"/>
        <v>0.34976833216422243</v>
      </c>
      <c r="S104" s="814">
        <f t="shared" si="30"/>
        <v>1</v>
      </c>
      <c r="T104" s="175">
        <f t="shared" si="31"/>
        <v>7</v>
      </c>
      <c r="U104" s="250">
        <f t="shared" si="32"/>
        <v>1.3497683321642224</v>
      </c>
      <c r="V104" s="382">
        <f t="shared" si="33"/>
        <v>48.562600659445465</v>
      </c>
      <c r="W104" s="401">
        <f t="shared" si="34"/>
        <v>26.168120456570556</v>
      </c>
      <c r="X104" s="157">
        <f t="shared" si="35"/>
        <v>45381</v>
      </c>
      <c r="Y104" s="384">
        <f t="shared" si="36"/>
        <v>25.790665872647065</v>
      </c>
      <c r="Z104" s="384">
        <f t="shared" si="37"/>
        <v>26.989043059566828</v>
      </c>
      <c r="AA104" s="385">
        <f t="shared" si="38"/>
        <v>29.497473184342439</v>
      </c>
      <c r="AB104" s="196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8.5038813633267762E-2</v>
      </c>
      <c r="AD104" s="230">
        <f>(INDEX(Models!$BJ104:$BT104,,AH104)*(1-AF104)+INDEX(Models!$BJ104:$BT104,,AH104+1)*AF104-ERP_i)*AE104*Ramure*Pc/MaxiM</f>
        <v>3.4567385554049273E-4</v>
      </c>
      <c r="AE104" s="304">
        <f t="shared" si="40"/>
        <v>0.5</v>
      </c>
      <c r="AF104" s="176">
        <f t="shared" si="41"/>
        <v>0.34976833216422243</v>
      </c>
      <c r="AG104" s="814">
        <f t="shared" si="49"/>
        <v>1</v>
      </c>
      <c r="AH104" s="175">
        <f t="shared" si="42"/>
        <v>7</v>
      </c>
      <c r="AI104" s="224">
        <f t="shared" si="43"/>
        <v>1.3497683321642224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10">
        <f>'2023'!Wh/'2023'!Env_an*'2024'!Env_an</f>
        <v>28.540031935244901</v>
      </c>
      <c r="C105" s="843"/>
      <c r="D105" s="392">
        <f t="shared" si="25"/>
        <v>29.866813236136984</v>
      </c>
      <c r="E105" s="384">
        <f t="shared" si="47"/>
        <v>32.173240972371531</v>
      </c>
      <c r="F105" s="384">
        <f t="shared" si="26"/>
        <v>32.177736210097486</v>
      </c>
      <c r="G105" s="110">
        <f t="shared" si="48"/>
        <v>0.58468795580302013</v>
      </c>
      <c r="H105" s="413" t="b">
        <f>Wh_hp&gt;='2023'!Maxi_hp</f>
        <v>0</v>
      </c>
      <c r="I105" s="389">
        <f>IF(H105,Wh_hp,'2023'!Maxi_hp)</f>
        <v>50.125309607744178</v>
      </c>
      <c r="J105" s="85">
        <f>IF(H105,An,'2023'!An_max)</f>
        <v>2021</v>
      </c>
      <c r="K105" s="196">
        <f t="shared" si="27"/>
        <v>45382</v>
      </c>
      <c r="L105" s="147">
        <f>IF(t&lt;Tvie,1-EXP((T0-t)*PertePVj)+'2023'!Pspv,1-EXP((T0-t)*PertePVj)+Pspv)</f>
        <v>4.4423263051270513E-2</v>
      </c>
      <c r="M105" s="847"/>
      <c r="N105" s="847"/>
      <c r="O105" s="48">
        <f>IF(t&lt;Tnet,'2023'!Resal+('2023'!Salim-'2023'!Resal)*(1-EXP(('2023'!Tnet-t)/('2023'!Tau_j))),Resal+(Salim-Resal)*(1-EXP((Tnet-t)/(Tau_j))))*Salcycl</f>
        <v>7.1687764941529203E-2</v>
      </c>
      <c r="P105" s="168">
        <f>(INDEX(Models!$BJ105:$BT105,,T105)*(1-R105)+INDEX(Models!$BJ105:$BT105,,T105+1)*R105-ERP_i)*Q105*Ramure*Pc/MaxiM</f>
        <v>3.4335584775189575E-4</v>
      </c>
      <c r="Q105" s="304">
        <f t="shared" si="28"/>
        <v>0.5</v>
      </c>
      <c r="R105" s="176">
        <f t="shared" si="29"/>
        <v>0.3503803676057935</v>
      </c>
      <c r="S105" s="814">
        <f t="shared" si="30"/>
        <v>1</v>
      </c>
      <c r="T105" s="175">
        <f t="shared" si="31"/>
        <v>7</v>
      </c>
      <c r="U105" s="250">
        <f t="shared" si="32"/>
        <v>1.3503803676057935</v>
      </c>
      <c r="V105" s="382">
        <f t="shared" si="33"/>
        <v>48.802474042130783</v>
      </c>
      <c r="W105" s="401">
        <f t="shared" si="34"/>
        <v>28.540031935244901</v>
      </c>
      <c r="X105" s="157">
        <f t="shared" si="35"/>
        <v>45382</v>
      </c>
      <c r="Y105" s="384">
        <f t="shared" si="36"/>
        <v>28.128724993908179</v>
      </c>
      <c r="Z105" s="384">
        <f t="shared" si="37"/>
        <v>29.436385280502488</v>
      </c>
      <c r="AA105" s="385">
        <f t="shared" si="38"/>
        <v>32.173240972371531</v>
      </c>
      <c r="AB105" s="196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8.5066210588460534E-2</v>
      </c>
      <c r="AD105" s="230">
        <f>(INDEX(Models!$BJ105:$BT105,,AH105)*(1-AF105)+INDEX(Models!$BJ105:$BT105,,AH105+1)*AF105-ERP_i)*AE105*Ramure*Pc/MaxiM</f>
        <v>3.4335584775189575E-4</v>
      </c>
      <c r="AE105" s="304">
        <f t="shared" si="40"/>
        <v>0.5</v>
      </c>
      <c r="AF105" s="176">
        <f t="shared" si="41"/>
        <v>0.3503803676057935</v>
      </c>
      <c r="AG105" s="814">
        <f t="shared" si="49"/>
        <v>1</v>
      </c>
      <c r="AH105" s="175">
        <f t="shared" si="42"/>
        <v>7</v>
      </c>
      <c r="AI105" s="224">
        <f t="shared" si="43"/>
        <v>1.3503803676057935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10">
        <f>'2023'!Wh/'2023'!Env_an*'2024'!Env_an</f>
        <v>18.813253525160178</v>
      </c>
      <c r="C106" s="843"/>
      <c r="D106" s="392">
        <f t="shared" si="25"/>
        <v>19.688282843003162</v>
      </c>
      <c r="E106" s="384">
        <f t="shared" si="47"/>
        <v>21.209608253883157</v>
      </c>
      <c r="F106" s="384">
        <f t="shared" si="26"/>
        <v>21.210472462630008</v>
      </c>
      <c r="G106" s="110">
        <f t="shared" si="48"/>
        <v>0.38356810692644189</v>
      </c>
      <c r="H106" s="413" t="b">
        <f>Wh_hp&gt;='2023'!Maxi_hp</f>
        <v>0</v>
      </c>
      <c r="I106" s="389">
        <f>IF(H106,Wh_hp,'2023'!Maxi_hp)</f>
        <v>43.183256148076218</v>
      </c>
      <c r="J106" s="85">
        <f>IF(H106,An,'2023'!An_max)</f>
        <v>2020</v>
      </c>
      <c r="K106" s="196">
        <f t="shared" si="27"/>
        <v>45383</v>
      </c>
      <c r="L106" s="147">
        <f>IF(t&lt;Tvie,1-EXP((T0-t)*PertePVj)+'2023'!Pspv,1-EXP((T0-t)*PertePVj)+Pspv)</f>
        <v>4.4444166351152982E-2</v>
      </c>
      <c r="M106" s="847"/>
      <c r="N106" s="847"/>
      <c r="O106" s="48">
        <f>IF(t&lt;Tnet,'2023'!Resal+('2023'!Salim-'2023'!Resal)*(1-EXP(('2023'!Tnet-t)/('2023'!Tau_j))),Resal+(Salim-Resal)*(1-EXP((Tnet-t)/(Tau_j))))*Salcycl</f>
        <v>7.1728124002547897E-2</v>
      </c>
      <c r="P106" s="168">
        <f>(INDEX(Models!$BJ106:$BT106,,T106)*(1-R106)+INDEX(Models!$BJ106:$BT106,,T106+1)*R106-ERP_i)*Q106*Ramure*Pc/MaxiM</f>
        <v>3.4082216836304194E-4</v>
      </c>
      <c r="Q106" s="304">
        <f t="shared" si="28"/>
        <v>0.5</v>
      </c>
      <c r="R106" s="176">
        <f t="shared" si="29"/>
        <v>0.35101529003545706</v>
      </c>
      <c r="S106" s="814">
        <f t="shared" si="30"/>
        <v>1</v>
      </c>
      <c r="T106" s="175">
        <f t="shared" si="31"/>
        <v>7</v>
      </c>
      <c r="U106" s="250">
        <f t="shared" si="32"/>
        <v>1.3510152900354571</v>
      </c>
      <c r="V106" s="382">
        <f t="shared" si="33"/>
        <v>49.033294262625532</v>
      </c>
      <c r="W106" s="401">
        <f t="shared" si="34"/>
        <v>18.813253525160178</v>
      </c>
      <c r="X106" s="157">
        <f t="shared" si="35"/>
        <v>45383</v>
      </c>
      <c r="Y106" s="384">
        <f t="shared" si="36"/>
        <v>18.542359550796149</v>
      </c>
      <c r="Z106" s="384">
        <f t="shared" si="37"/>
        <v>19.404789231405811</v>
      </c>
      <c r="AA106" s="385">
        <f t="shared" si="38"/>
        <v>21.209608253883157</v>
      </c>
      <c r="AB106" s="196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8.5094406312144516E-2</v>
      </c>
      <c r="AD106" s="230">
        <f>(INDEX(Models!$BJ106:$BT106,,AH106)*(1-AF106)+INDEX(Models!$BJ106:$BT106,,AH106+1)*AF106-ERP_i)*AE106*Ramure*Pc/MaxiM</f>
        <v>3.4082216836304194E-4</v>
      </c>
      <c r="AE106" s="304">
        <f t="shared" si="40"/>
        <v>0.5</v>
      </c>
      <c r="AF106" s="176">
        <f t="shared" si="41"/>
        <v>0.35101529003545706</v>
      </c>
      <c r="AG106" s="814">
        <f t="shared" si="49"/>
        <v>1</v>
      </c>
      <c r="AH106" s="175">
        <f t="shared" si="42"/>
        <v>7</v>
      </c>
      <c r="AI106" s="224">
        <f t="shared" si="43"/>
        <v>1.3510152900354571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10">
        <f>'2023'!Wh/'2023'!Env_an*'2024'!Env_an</f>
        <v>23.675516124121394</v>
      </c>
      <c r="C107" s="843"/>
      <c r="D107" s="392">
        <f t="shared" si="25"/>
        <v>24.777237713467063</v>
      </c>
      <c r="E107" s="384">
        <f t="shared" si="47"/>
        <v>26.692969988966372</v>
      </c>
      <c r="F107" s="384">
        <f t="shared" si="26"/>
        <v>26.695299095672638</v>
      </c>
      <c r="G107" s="110">
        <f t="shared" si="48"/>
        <v>0.48053648395874143</v>
      </c>
      <c r="H107" s="413" t="b">
        <f>Wh_hp&gt;='2023'!Maxi_hp</f>
        <v>0</v>
      </c>
      <c r="I107" s="389">
        <f>IF(H107,Wh_hp,'2023'!Maxi_hp)</f>
        <v>51.063430423468454</v>
      </c>
      <c r="J107" s="85">
        <f>IF(H107,An,'2023'!An_max)</f>
        <v>2021</v>
      </c>
      <c r="K107" s="196">
        <f t="shared" si="27"/>
        <v>45384</v>
      </c>
      <c r="L107" s="147">
        <f>IF(t&lt;Tvie,1-EXP((T0-t)*PertePVj)+'2023'!Pspv,1-EXP((T0-t)*PertePVj)+Pspv)</f>
        <v>4.446506919319957E-2</v>
      </c>
      <c r="M107" s="847"/>
      <c r="N107" s="847"/>
      <c r="O107" s="48">
        <f>IF(t&lt;Tnet,'2023'!Resal+('2023'!Salim-'2023'!Resal)*(1-EXP(('2023'!Tnet-t)/('2023'!Tau_j))),Resal+(Salim-Resal)*(1-EXP((Tnet-t)/(Tau_j))))*Salcycl</f>
        <v>7.176916904680089E-2</v>
      </c>
      <c r="P107" s="168">
        <f>(INDEX(Models!$BJ107:$BT107,,T107)*(1-R107)+INDEX(Models!$BJ107:$BT107,,T107+1)*R107-ERP_i)*Q107*Ramure*Pc/MaxiM</f>
        <v>3.380630607366208E-4</v>
      </c>
      <c r="Q107" s="304">
        <f t="shared" si="28"/>
        <v>0.5</v>
      </c>
      <c r="R107" s="176">
        <f t="shared" si="29"/>
        <v>0.3516738409183453</v>
      </c>
      <c r="S107" s="814">
        <f t="shared" si="30"/>
        <v>1</v>
      </c>
      <c r="T107" s="175">
        <f t="shared" si="31"/>
        <v>7</v>
      </c>
      <c r="U107" s="250">
        <f t="shared" si="32"/>
        <v>1.3516738409183453</v>
      </c>
      <c r="V107" s="382">
        <f t="shared" si="33"/>
        <v>49.256566807919029</v>
      </c>
      <c r="W107" s="401">
        <f t="shared" si="34"/>
        <v>23.675516124121394</v>
      </c>
      <c r="X107" s="157">
        <f t="shared" si="35"/>
        <v>45384</v>
      </c>
      <c r="Y107" s="384">
        <f t="shared" si="36"/>
        <v>23.334901454847305</v>
      </c>
      <c r="Z107" s="384">
        <f t="shared" si="37"/>
        <v>24.420772807483463</v>
      </c>
      <c r="AA107" s="385">
        <f t="shared" si="38"/>
        <v>26.692969988966372</v>
      </c>
      <c r="AB107" s="196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8.5123430716856449E-2</v>
      </c>
      <c r="AD107" s="230">
        <f>(INDEX(Models!$BJ107:$BT107,,AH107)*(1-AF107)+INDEX(Models!$BJ107:$BT107,,AH107+1)*AF107-ERP_i)*AE107*Ramure*Pc/MaxiM</f>
        <v>3.380630607366208E-4</v>
      </c>
      <c r="AE107" s="304">
        <f t="shared" si="40"/>
        <v>0.5</v>
      </c>
      <c r="AF107" s="176">
        <f t="shared" si="41"/>
        <v>0.3516738409183453</v>
      </c>
      <c r="AG107" s="814">
        <f t="shared" si="49"/>
        <v>1</v>
      </c>
      <c r="AH107" s="175">
        <f t="shared" si="42"/>
        <v>7</v>
      </c>
      <c r="AI107" s="224">
        <f t="shared" si="43"/>
        <v>1.3516738409183453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10">
        <f>'2023'!Wh/'2023'!Env_an*'2024'!Env_an</f>
        <v>41.976954327238047</v>
      </c>
      <c r="C108" s="843"/>
      <c r="D108" s="392">
        <f t="shared" si="25"/>
        <v>43.931280000709293</v>
      </c>
      <c r="E108" s="384">
        <f t="shared" si="47"/>
        <v>47.330098138135149</v>
      </c>
      <c r="F108" s="384">
        <f t="shared" si="26"/>
        <v>47.34251862378985</v>
      </c>
      <c r="G108" s="110">
        <f t="shared" si="48"/>
        <v>0.84839792408689119</v>
      </c>
      <c r="H108" s="413" t="b">
        <f>Wh_hp&gt;='2023'!Maxi_hp</f>
        <v>0</v>
      </c>
      <c r="I108" s="389">
        <f>IF(H108,Wh_hp,'2023'!Maxi_hp)</f>
        <v>56.358160230802568</v>
      </c>
      <c r="J108" s="85">
        <f>IF(H108,An,'2023'!An_max)</f>
        <v>2020</v>
      </c>
      <c r="K108" s="196">
        <f t="shared" si="27"/>
        <v>45385</v>
      </c>
      <c r="L108" s="147">
        <f>IF(t&lt;Tvie,1-EXP((T0-t)*PertePVj)+'2023'!Pspv,1-EXP((T0-t)*PertePVj)+Pspv)</f>
        <v>4.448597157742027E-2</v>
      </c>
      <c r="M108" s="847"/>
      <c r="N108" s="847"/>
      <c r="O108" s="48">
        <f>IF(t&lt;Tnet,'2023'!Resal+('2023'!Salim-'2023'!Resal)*(1-EXP(('2023'!Tnet-t)/('2023'!Tau_j))),Resal+(Salim-Resal)*(1-EXP((Tnet-t)/(Tau_j))))*Salcycl</f>
        <v>7.1810925206752085E-2</v>
      </c>
      <c r="P108" s="168">
        <f>(INDEX(Models!$BJ108:$BT108,,T108)*(1-R108)+INDEX(Models!$BJ108:$BT108,,T108+1)*R108-ERP_i)*Q108*Ramure*Pc/MaxiM</f>
        <v>3.3484262639120693E-4</v>
      </c>
      <c r="Q108" s="304">
        <f t="shared" si="28"/>
        <v>0.5</v>
      </c>
      <c r="R108" s="176">
        <f t="shared" si="29"/>
        <v>0.35235677653925679</v>
      </c>
      <c r="S108" s="814">
        <f t="shared" si="30"/>
        <v>1</v>
      </c>
      <c r="T108" s="175">
        <f t="shared" si="31"/>
        <v>7</v>
      </c>
      <c r="U108" s="250">
        <f t="shared" si="32"/>
        <v>1.3523567765392568</v>
      </c>
      <c r="V108" s="382">
        <f t="shared" si="33"/>
        <v>49.474320331687679</v>
      </c>
      <c r="W108" s="401">
        <f t="shared" si="34"/>
        <v>41.976954327238047</v>
      </c>
      <c r="X108" s="157">
        <f t="shared" si="35"/>
        <v>45385</v>
      </c>
      <c r="Y108" s="384">
        <f t="shared" si="36"/>
        <v>41.373550539537419</v>
      </c>
      <c r="Z108" s="384">
        <f t="shared" si="37"/>
        <v>43.29978347658524</v>
      </c>
      <c r="AA108" s="385">
        <f t="shared" si="38"/>
        <v>47.330098138135149</v>
      </c>
      <c r="AB108" s="196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8.5153313009984521E-2</v>
      </c>
      <c r="AD108" s="230">
        <f>(INDEX(Models!$BJ108:$BT108,,AH108)*(1-AF108)+INDEX(Models!$BJ108:$BT108,,AH108+1)*AF108-ERP_i)*AE108*Ramure*Pc/MaxiM</f>
        <v>3.3484262639120693E-4</v>
      </c>
      <c r="AE108" s="304">
        <f t="shared" si="40"/>
        <v>0.5</v>
      </c>
      <c r="AF108" s="176">
        <f t="shared" si="41"/>
        <v>0.35235677653925679</v>
      </c>
      <c r="AG108" s="814">
        <f t="shared" si="49"/>
        <v>1</v>
      </c>
      <c r="AH108" s="175">
        <f t="shared" si="42"/>
        <v>7</v>
      </c>
      <c r="AI108" s="224">
        <f t="shared" si="43"/>
        <v>1.3523567765392568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10">
        <f>'2023'!Wh/'2023'!Env_an*'2024'!Env_an</f>
        <v>49.781135298054053</v>
      </c>
      <c r="C109" s="843"/>
      <c r="D109" s="392">
        <f t="shared" si="25"/>
        <v>52.09994077152929</v>
      </c>
      <c r="E109" s="384">
        <f t="shared" si="47"/>
        <v>56.133310971784596</v>
      </c>
      <c r="F109" s="384">
        <f t="shared" si="26"/>
        <v>56.15192918452896</v>
      </c>
      <c r="G109" s="110">
        <f t="shared" si="48"/>
        <v>1.0019058973129338</v>
      </c>
      <c r="H109" s="413" t="b">
        <f>Wh_hp&gt;='2023'!Maxi_hp</f>
        <v>0</v>
      </c>
      <c r="I109" s="389">
        <f>IF(H109,Wh_hp,'2023'!Maxi_hp)</f>
        <v>58.338550286510831</v>
      </c>
      <c r="J109" s="85">
        <f>IF(H109,An,'2023'!An_max)</f>
        <v>2020</v>
      </c>
      <c r="K109" s="196">
        <f t="shared" si="27"/>
        <v>45386</v>
      </c>
      <c r="L109" s="147">
        <f>IF(t&lt;Tvie,1-EXP((T0-t)*PertePVj)+'2023'!Pspv,1-EXP((T0-t)*PertePVj)+Pspv)</f>
        <v>4.4506873503825074E-2</v>
      </c>
      <c r="M109" s="847"/>
      <c r="N109" s="847"/>
      <c r="O109" s="48">
        <f>IF(t&lt;Tnet,'2023'!Resal+('2023'!Salim-'2023'!Resal)*(1-EXP(('2023'!Tnet-t)/('2023'!Tau_j))),Resal+(Salim-Resal)*(1-EXP((Tnet-t)/(Tau_j))))*Salcycl</f>
        <v>7.1853416989471369E-2</v>
      </c>
      <c r="P109" s="168">
        <f>(INDEX(Models!$BJ109:$BT109,,T109)*(1-R109)+INDEX(Models!$BJ109:$BT109,,T109+1)*R109-ERP_i)*Q109*Ramure*Pc/MaxiM</f>
        <v>3.3156853227936167E-4</v>
      </c>
      <c r="Q109" s="304">
        <f t="shared" si="28"/>
        <v>0.5</v>
      </c>
      <c r="R109" s="176">
        <f t="shared" si="29"/>
        <v>0.35306486751606814</v>
      </c>
      <c r="S109" s="814">
        <f t="shared" si="30"/>
        <v>1</v>
      </c>
      <c r="T109" s="175">
        <f t="shared" si="31"/>
        <v>7</v>
      </c>
      <c r="U109" s="250">
        <f t="shared" si="32"/>
        <v>1.3530648675160681</v>
      </c>
      <c r="V109" s="382">
        <f t="shared" si="33"/>
        <v>49.686438049286664</v>
      </c>
      <c r="W109" s="401">
        <f t="shared" si="34"/>
        <v>49.781135298054053</v>
      </c>
      <c r="X109" s="157">
        <f t="shared" si="35"/>
        <v>45386</v>
      </c>
      <c r="Y109" s="384">
        <f t="shared" si="36"/>
        <v>49.066145195904554</v>
      </c>
      <c r="Z109" s="384">
        <f t="shared" si="37"/>
        <v>51.351646427674204</v>
      </c>
      <c r="AA109" s="385">
        <f t="shared" si="38"/>
        <v>56.133310971784596</v>
      </c>
      <c r="AB109" s="196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8.5184081632275213E-2</v>
      </c>
      <c r="AD109" s="230">
        <f>(INDEX(Models!$BJ109:$BT109,,AH109)*(1-AF109)+INDEX(Models!$BJ109:$BT109,,AH109+1)*AF109-ERP_i)*AE109*Ramure*Pc/MaxiM</f>
        <v>3.3156853227936167E-4</v>
      </c>
      <c r="AE109" s="304">
        <f t="shared" si="40"/>
        <v>0.5</v>
      </c>
      <c r="AF109" s="176">
        <f t="shared" si="41"/>
        <v>0.35306486751606814</v>
      </c>
      <c r="AG109" s="814">
        <f t="shared" si="49"/>
        <v>1</v>
      </c>
      <c r="AH109" s="175">
        <f t="shared" si="42"/>
        <v>7</v>
      </c>
      <c r="AI109" s="224">
        <f t="shared" si="43"/>
        <v>1.3530648675160681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10">
        <f>'2023'!Wh/'2023'!Env_an*'2024'!Env_an</f>
        <v>11.123818541962578</v>
      </c>
      <c r="C110" s="843"/>
      <c r="D110" s="392">
        <f t="shared" si="25"/>
        <v>11.64222072665852</v>
      </c>
      <c r="E110" s="384">
        <f t="shared" si="47"/>
        <v>12.544099701059359</v>
      </c>
      <c r="F110" s="384">
        <f t="shared" si="26"/>
        <v>12.544099701059359</v>
      </c>
      <c r="G110" s="110">
        <f t="shared" si="48"/>
        <v>0.2228810985228982</v>
      </c>
      <c r="H110" s="413" t="b">
        <f>Wh_hp&gt;='2023'!Maxi_hp</f>
        <v>0</v>
      </c>
      <c r="I110" s="389">
        <f>IF(H110,Wh_hp,'2023'!Maxi_hp)</f>
        <v>58.925500878405153</v>
      </c>
      <c r="J110" s="85">
        <f>IF(H110,An,'2023'!An_max)</f>
        <v>2020</v>
      </c>
      <c r="K110" s="196">
        <f t="shared" si="27"/>
        <v>45387</v>
      </c>
      <c r="L110" s="147">
        <f>IF(t&lt;Tvie,1-EXP((T0-t)*PertePVj)+'2023'!Pspv,1-EXP((T0-t)*PertePVj)+Pspv)</f>
        <v>4.4527774972424085E-2</v>
      </c>
      <c r="M110" s="847"/>
      <c r="N110" s="847"/>
      <c r="O110" s="48">
        <f>IF(t&lt;Tnet,'2023'!Resal+('2023'!Salim-'2023'!Resal)*(1-EXP(('2023'!Tnet-t)/('2023'!Tau_j))),Resal+(Salim-Resal)*(1-EXP((Tnet-t)/(Tau_j))))*Salcycl</f>
        <v>7.189666822599268E-2</v>
      </c>
      <c r="P110" s="168">
        <f>(INDEX(Models!$BJ110:$BT110,,T110)*(1-R110)+INDEX(Models!$BJ110:$BT110,,T110+1)*R110-ERP_i)*Q110*Ramure*Pc/MaxiM</f>
        <v>3.2823962114455818E-4</v>
      </c>
      <c r="Q110" s="304">
        <f t="shared" si="28"/>
        <v>0.5</v>
      </c>
      <c r="R110" s="176">
        <f t="shared" si="29"/>
        <v>0.3537988982298923</v>
      </c>
      <c r="S110" s="814">
        <f t="shared" si="30"/>
        <v>1</v>
      </c>
      <c r="T110" s="175">
        <f t="shared" si="31"/>
        <v>7</v>
      </c>
      <c r="U110" s="250">
        <f t="shared" si="32"/>
        <v>1.3537988982298923</v>
      </c>
      <c r="V110" s="382">
        <f t="shared" si="33"/>
        <v>49.892823293116649</v>
      </c>
      <c r="W110" s="401">
        <f t="shared" si="34"/>
        <v>11.123818541962578</v>
      </c>
      <c r="X110" s="157">
        <f t="shared" si="35"/>
        <v>45387</v>
      </c>
      <c r="Y110" s="384">
        <f t="shared" si="36"/>
        <v>10.964181999702681</v>
      </c>
      <c r="Z110" s="384">
        <f t="shared" si="37"/>
        <v>11.475144658847874</v>
      </c>
      <c r="AA110" s="385">
        <f t="shared" si="38"/>
        <v>12.544099701059359</v>
      </c>
      <c r="AB110" s="196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8.5215764198781851E-2</v>
      </c>
      <c r="AD110" s="230">
        <f>(INDEX(Models!$BJ110:$BT110,,AH110)*(1-AF110)+INDEX(Models!$BJ110:$BT110,,AH110+1)*AF110-ERP_i)*AE110*Ramure*Pc/MaxiM</f>
        <v>3.2823962114455818E-4</v>
      </c>
      <c r="AE110" s="304">
        <f t="shared" si="40"/>
        <v>0.5</v>
      </c>
      <c r="AF110" s="176">
        <f t="shared" si="41"/>
        <v>0.3537988982298923</v>
      </c>
      <c r="AG110" s="814">
        <f t="shared" si="49"/>
        <v>1</v>
      </c>
      <c r="AH110" s="175">
        <f t="shared" si="42"/>
        <v>7</v>
      </c>
      <c r="AI110" s="224">
        <f t="shared" si="43"/>
        <v>1.3537988982298923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10">
        <f>'2023'!Wh/'2023'!Env_an*'2024'!Env_an</f>
        <v>38.036418423497672</v>
      </c>
      <c r="C111" s="843"/>
      <c r="D111" s="392">
        <f t="shared" si="25"/>
        <v>39.80989660843251</v>
      </c>
      <c r="E111" s="384">
        <f t="shared" si="47"/>
        <v>42.895854494623855</v>
      </c>
      <c r="F111" s="384">
        <f t="shared" si="26"/>
        <v>42.904999939213091</v>
      </c>
      <c r="G111" s="110">
        <f t="shared" si="48"/>
        <v>0.75922545639693528</v>
      </c>
      <c r="H111" s="413" t="b">
        <f>Wh_hp&gt;='2023'!Maxi_hp</f>
        <v>0</v>
      </c>
      <c r="I111" s="389">
        <f>IF(H111,Wh_hp,'2023'!Maxi_hp)</f>
        <v>56.811227959193118</v>
      </c>
      <c r="J111" s="85">
        <f>IF(H111,An,'2023'!An_max)</f>
        <v>2021</v>
      </c>
      <c r="K111" s="196">
        <f t="shared" si="27"/>
        <v>45388</v>
      </c>
      <c r="L111" s="147">
        <f>IF(t&lt;Tvie,1-EXP((T0-t)*PertePVj)+'2023'!Pspv,1-EXP((T0-t)*PertePVj)+Pspv)</f>
        <v>4.4548675983227294E-2</v>
      </c>
      <c r="M111" s="847"/>
      <c r="N111" s="847"/>
      <c r="O111" s="48">
        <f>IF(t&lt;Tnet,'2023'!Resal+('2023'!Salim-'2023'!Resal)*(1-EXP(('2023'!Tnet-t)/('2023'!Tau_j))),Resal+(Salim-Resal)*(1-EXP((Tnet-t)/(Tau_j))))*Salcycl</f>
        <v>7.1940702022339015E-2</v>
      </c>
      <c r="P111" s="168">
        <f>(INDEX(Models!$BJ111:$BT111,,T111)*(1-R111)+INDEX(Models!$BJ111:$BT111,,T111+1)*R111-ERP_i)*Q111*Ramure*Pc/MaxiM</f>
        <v>3.2485442242104277E-4</v>
      </c>
      <c r="Q111" s="304">
        <f t="shared" si="28"/>
        <v>0.5</v>
      </c>
      <c r="R111" s="176">
        <f t="shared" si="29"/>
        <v>0.35455966616646162</v>
      </c>
      <c r="S111" s="814">
        <f t="shared" si="30"/>
        <v>1</v>
      </c>
      <c r="T111" s="175">
        <f t="shared" si="31"/>
        <v>7</v>
      </c>
      <c r="U111" s="250">
        <f t="shared" si="32"/>
        <v>1.3545596661664616</v>
      </c>
      <c r="V111" s="382">
        <f t="shared" si="33"/>
        <v>50.093379479406885</v>
      </c>
      <c r="W111" s="401">
        <f t="shared" si="34"/>
        <v>38.036418423497672</v>
      </c>
      <c r="X111" s="157">
        <f t="shared" si="35"/>
        <v>45388</v>
      </c>
      <c r="Y111" s="384">
        <f t="shared" si="36"/>
        <v>37.491004254415579</v>
      </c>
      <c r="Z111" s="384">
        <f t="shared" si="37"/>
        <v>39.239052071016268</v>
      </c>
      <c r="AA111" s="385">
        <f t="shared" si="38"/>
        <v>42.895854494623855</v>
      </c>
      <c r="AB111" s="196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8.524838744186565E-2</v>
      </c>
      <c r="AD111" s="230">
        <f>(INDEX(Models!$BJ111:$BT111,,AH111)*(1-AF111)+INDEX(Models!$BJ111:$BT111,,AH111+1)*AF111-ERP_i)*AE111*Ramure*Pc/MaxiM</f>
        <v>3.2485442242104277E-4</v>
      </c>
      <c r="AE111" s="304">
        <f t="shared" si="40"/>
        <v>0.5</v>
      </c>
      <c r="AF111" s="176">
        <f t="shared" si="41"/>
        <v>0.35455966616646162</v>
      </c>
      <c r="AG111" s="814">
        <f t="shared" si="49"/>
        <v>1</v>
      </c>
      <c r="AH111" s="175">
        <f t="shared" si="42"/>
        <v>7</v>
      </c>
      <c r="AI111" s="224">
        <f t="shared" si="43"/>
        <v>1.3545596661664616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10">
        <f>'2023'!Wh/'2023'!Env_an*'2024'!Env_an</f>
        <v>30.184428568757998</v>
      </c>
      <c r="C112" s="843"/>
      <c r="D112" s="392">
        <f t="shared" si="25"/>
        <v>31.592492584995711</v>
      </c>
      <c r="E112" s="384">
        <f t="shared" si="47"/>
        <v>34.043103821065095</v>
      </c>
      <c r="F112" s="384">
        <f t="shared" si="26"/>
        <v>34.047797437748798</v>
      </c>
      <c r="G112" s="110">
        <f t="shared" si="48"/>
        <v>0.6001209266588885</v>
      </c>
      <c r="H112" s="413" t="b">
        <f>Wh_hp&gt;='2023'!Maxi_hp</f>
        <v>0</v>
      </c>
      <c r="I112" s="389">
        <f>IF(H112,Wh_hp,'2023'!Maxi_hp)</f>
        <v>54.816109955651925</v>
      </c>
      <c r="J112" s="85">
        <f>IF(H112,An,'2023'!An_max)</f>
        <v>2021</v>
      </c>
      <c r="K112" s="196">
        <f t="shared" si="27"/>
        <v>45389</v>
      </c>
      <c r="L112" s="147">
        <f>IF(t&lt;Tvie,1-EXP((T0-t)*PertePVj)+'2023'!Pspv,1-EXP((T0-t)*PertePVj)+Pspv)</f>
        <v>4.4569576536244805E-2</v>
      </c>
      <c r="M112" s="847"/>
      <c r="N112" s="847"/>
      <c r="O112" s="48">
        <f>IF(t&lt;Tnet,'2023'!Resal+('2023'!Salim-'2023'!Resal)*(1-EXP(('2023'!Tnet-t)/('2023'!Tau_j))),Resal+(Salim-Resal)*(1-EXP((Tnet-t)/(Tau_j))))*Salcycl</f>
        <v>7.1985540711860668E-2</v>
      </c>
      <c r="P112" s="168">
        <f>(INDEX(Models!$BJ112:$BT112,,T112)*(1-R112)+INDEX(Models!$BJ112:$BT112,,T112+1)*R112-ERP_i)*Q112*Ramure*Pc/MaxiM</f>
        <v>3.2141114498768518E-4</v>
      </c>
      <c r="Q112" s="304">
        <f t="shared" si="28"/>
        <v>0.5</v>
      </c>
      <c r="R112" s="176">
        <f t="shared" si="29"/>
        <v>0.35534798116310773</v>
      </c>
      <c r="S112" s="814">
        <f t="shared" si="30"/>
        <v>1</v>
      </c>
      <c r="T112" s="175">
        <f t="shared" si="31"/>
        <v>7</v>
      </c>
      <c r="U112" s="250">
        <f t="shared" si="32"/>
        <v>1.3553479811631077</v>
      </c>
      <c r="V112" s="382">
        <f t="shared" si="33"/>
        <v>50.288010114757029</v>
      </c>
      <c r="W112" s="401">
        <f t="shared" si="34"/>
        <v>30.184428568757998</v>
      </c>
      <c r="X112" s="157">
        <f t="shared" si="35"/>
        <v>45389</v>
      </c>
      <c r="Y112" s="384">
        <f t="shared" si="36"/>
        <v>29.751951108902695</v>
      </c>
      <c r="Z112" s="384">
        <f t="shared" si="37"/>
        <v>31.139840618683579</v>
      </c>
      <c r="AA112" s="385">
        <f t="shared" si="38"/>
        <v>34.043103821065095</v>
      </c>
      <c r="AB112" s="196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8.5281977155826832E-2</v>
      </c>
      <c r="AD112" s="230">
        <f>(INDEX(Models!$BJ112:$BT112,,AH112)*(1-AF112)+INDEX(Models!$BJ112:$BT112,,AH112+1)*AF112-ERP_i)*AE112*Ramure*Pc/MaxiM</f>
        <v>3.2141114498768518E-4</v>
      </c>
      <c r="AE112" s="304">
        <f t="shared" si="40"/>
        <v>0.5</v>
      </c>
      <c r="AF112" s="176">
        <f t="shared" si="41"/>
        <v>0.35534798116310773</v>
      </c>
      <c r="AG112" s="814">
        <f t="shared" si="49"/>
        <v>1</v>
      </c>
      <c r="AH112" s="175">
        <f t="shared" si="42"/>
        <v>7</v>
      </c>
      <c r="AI112" s="224">
        <f t="shared" si="43"/>
        <v>1.3553479811631077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10">
        <f>'2023'!Wh/'2023'!Env_an*'2024'!Env_an</f>
        <v>34.19735821581051</v>
      </c>
      <c r="C113" s="843"/>
      <c r="D113" s="392">
        <f t="shared" si="25"/>
        <v>35.793403121249987</v>
      </c>
      <c r="E113" s="384">
        <f t="shared" si="47"/>
        <v>38.57177455243616</v>
      </c>
      <c r="F113" s="384">
        <f t="shared" si="26"/>
        <v>38.578388358307954</v>
      </c>
      <c r="G113" s="110">
        <f t="shared" si="48"/>
        <v>0.67738983503696604</v>
      </c>
      <c r="H113" s="413" t="b">
        <f>Wh_hp&gt;='2023'!Maxi_hp</f>
        <v>0</v>
      </c>
      <c r="I113" s="389">
        <f>IF(H113,Wh_hp,'2023'!Maxi_hp)</f>
        <v>51.284257833174017</v>
      </c>
      <c r="J113" s="85">
        <f>IF(H113,An,'2023'!An_max)</f>
        <v>2020</v>
      </c>
      <c r="K113" s="196">
        <f t="shared" si="27"/>
        <v>45390</v>
      </c>
      <c r="L113" s="147">
        <f>IF(t&lt;Tvie,1-EXP((T0-t)*PertePVj)+'2023'!Pspv,1-EXP((T0-t)*PertePVj)+Pspv)</f>
        <v>4.4590476631486499E-2</v>
      </c>
      <c r="M113" s="847"/>
      <c r="N113" s="847"/>
      <c r="O113" s="48">
        <f>IF(t&lt;Tnet,'2023'!Resal+('2023'!Salim-'2023'!Resal)*(1-EXP(('2023'!Tnet-t)/('2023'!Tau_j))),Resal+(Salim-Resal)*(1-EXP((Tnet-t)/(Tau_j))))*Salcycl</f>
        <v>7.2031205808515061E-2</v>
      </c>
      <c r="P113" s="168">
        <f>(INDEX(Models!$BJ113:$BT113,,T113)*(1-R113)+INDEX(Models!$BJ113:$BT113,,T113+1)*R113-ERP_i)*Q113*Ramure*Pc/MaxiM</f>
        <v>3.1790766972904585E-4</v>
      </c>
      <c r="Q113" s="304">
        <f t="shared" si="28"/>
        <v>0.5</v>
      </c>
      <c r="R113" s="176">
        <f t="shared" si="29"/>
        <v>0.35616466455564733</v>
      </c>
      <c r="S113" s="814">
        <f t="shared" si="30"/>
        <v>1</v>
      </c>
      <c r="T113" s="175">
        <f t="shared" si="31"/>
        <v>7</v>
      </c>
      <c r="U113" s="250">
        <f t="shared" si="32"/>
        <v>1.3561646645556473</v>
      </c>
      <c r="V113" s="382">
        <f t="shared" si="33"/>
        <v>50.476618803974105</v>
      </c>
      <c r="W113" s="401">
        <f t="shared" si="34"/>
        <v>34.19735821581051</v>
      </c>
      <c r="X113" s="157">
        <f t="shared" si="35"/>
        <v>45390</v>
      </c>
      <c r="Y113" s="384">
        <f t="shared" si="36"/>
        <v>33.707768527407289</v>
      </c>
      <c r="Z113" s="384">
        <f t="shared" si="37"/>
        <v>35.280963506165278</v>
      </c>
      <c r="AA113" s="385">
        <f t="shared" si="38"/>
        <v>38.57177455243616</v>
      </c>
      <c r="AB113" s="196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8.5316558142721835E-2</v>
      </c>
      <c r="AD113" s="230">
        <f>(INDEX(Models!$BJ113:$BT113,,AH113)*(1-AF113)+INDEX(Models!$BJ113:$BT113,,AH113+1)*AF113-ERP_i)*AE113*Ramure*Pc/MaxiM</f>
        <v>3.1790766972904585E-4</v>
      </c>
      <c r="AE113" s="304">
        <f t="shared" si="40"/>
        <v>0.5</v>
      </c>
      <c r="AF113" s="176">
        <f t="shared" si="41"/>
        <v>0.35616466455564733</v>
      </c>
      <c r="AG113" s="814">
        <f t="shared" si="49"/>
        <v>1</v>
      </c>
      <c r="AH113" s="175">
        <f t="shared" si="42"/>
        <v>7</v>
      </c>
      <c r="AI113" s="224">
        <f t="shared" si="43"/>
        <v>1.3561646645556473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10">
        <f>'2023'!Wh/'2023'!Env_an*'2024'!Env_an</f>
        <v>50.89852860601426</v>
      </c>
      <c r="C114" s="843"/>
      <c r="D114" s="392">
        <f t="shared" si="25"/>
        <v>53.275209000545196</v>
      </c>
      <c r="E114" s="384">
        <f t="shared" si="47"/>
        <v>57.413438637837388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Wh_hp&gt;='2023'!Maxi_hp</f>
        <v>1</v>
      </c>
      <c r="I114" s="389">
        <f>IF(H114,Wh_hp,'2023'!Maxi_hp)</f>
        <v>57.431465085598632</v>
      </c>
      <c r="J114" s="85">
        <f>IF(H114,An,'2023'!An_max)</f>
        <v>2024</v>
      </c>
      <c r="K114" s="196">
        <f t="shared" si="27"/>
        <v>45391</v>
      </c>
      <c r="L114" s="147">
        <f>IF(t&lt;Tvie,1-EXP((T0-t)*PertePVj)+'2023'!Pspv,1-EXP((T0-t)*PertePVj)+Pspv)</f>
        <v>4.4611376268962367E-2</v>
      </c>
      <c r="M114" s="847"/>
      <c r="N114" s="847"/>
      <c r="O114" s="48">
        <f>IF(t&lt;Tnet,'2023'!Resal+('2023'!Salim-'2023'!Resal)*(1-EXP(('2023'!Tnet-t)/('2023'!Tau_j))),Resal+(Salim-Resal)*(1-EXP((Tnet-t)/(Tau_j))))*Salcycl</f>
        <v>7.2077717960703419E-2</v>
      </c>
      <c r="P114" s="168">
        <f>(INDEX(Models!$BJ114:$BT114,,T114)*(1-R114)+INDEX(Models!$BJ114:$BT114,,T114+1)*R114-ERP_i)*Q114*Ramure*Pc/MaxiM</f>
        <v>3.1387755360895024E-4</v>
      </c>
      <c r="Q114" s="304">
        <f t="shared" si="28"/>
        <v>0.5</v>
      </c>
      <c r="R114" s="176">
        <f t="shared" si="29"/>
        <v>0.35701054821945299</v>
      </c>
      <c r="S114" s="814">
        <f t="shared" si="30"/>
        <v>1</v>
      </c>
      <c r="T114" s="175">
        <f t="shared" si="31"/>
        <v>7</v>
      </c>
      <c r="U114" s="250">
        <f t="shared" si="32"/>
        <v>1.357010548219453</v>
      </c>
      <c r="V114" s="382">
        <f t="shared" si="33"/>
        <v>50.659132768629654</v>
      </c>
      <c r="W114" s="401">
        <f t="shared" si="34"/>
        <v>50.89852860601426</v>
      </c>
      <c r="X114" s="157">
        <f t="shared" si="35"/>
        <v>45391</v>
      </c>
      <c r="Y114" s="384">
        <f t="shared" si="36"/>
        <v>50.17039729195826</v>
      </c>
      <c r="Z114" s="384">
        <f t="shared" si="37"/>
        <v>52.513077972427588</v>
      </c>
      <c r="AA114" s="385">
        <f t="shared" si="38"/>
        <v>57.413438637837388</v>
      </c>
      <c r="AB114" s="196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8.5352154158909774E-2</v>
      </c>
      <c r="AD114" s="230">
        <f>(INDEX(Models!$BJ114:$BT114,,AH114)*(1-AF114)+INDEX(Models!$BJ114:$BT114,,AH114+1)*AF114-ERP_i)*AE114*Ramure*Pc/MaxiM</f>
        <v>3.1387755360895024E-4</v>
      </c>
      <c r="AE114" s="304">
        <f t="shared" si="40"/>
        <v>0.5</v>
      </c>
      <c r="AF114" s="176">
        <f t="shared" si="41"/>
        <v>0.35701054821945299</v>
      </c>
      <c r="AG114" s="814">
        <f t="shared" si="49"/>
        <v>1</v>
      </c>
      <c r="AH114" s="175">
        <f t="shared" si="42"/>
        <v>7</v>
      </c>
      <c r="AI114" s="224">
        <f t="shared" si="43"/>
        <v>1.357010548219453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10">
        <f>'2023'!Wh/'2023'!Env_an*'2024'!Env_an</f>
        <v>38.628213316166779</v>
      </c>
      <c r="C115" s="843"/>
      <c r="D115" s="392">
        <f t="shared" si="25"/>
        <v>40.432822172539147</v>
      </c>
      <c r="E115" s="384">
        <f t="shared" si="47"/>
        <v>43.575725604480041</v>
      </c>
      <c r="F115" s="384">
        <f t="shared" si="26"/>
        <v>43.584580548580519</v>
      </c>
      <c r="G115" s="110">
        <f t="shared" si="48"/>
        <v>0.75978687004226853</v>
      </c>
      <c r="H115" s="413" t="b">
        <f>Wh_hp&gt;='2023'!Maxi_hp</f>
        <v>0</v>
      </c>
      <c r="I115" s="389">
        <f>IF(H115,Wh_hp,'2023'!Maxi_hp)</f>
        <v>57.80661489847374</v>
      </c>
      <c r="J115" s="85">
        <f>IF(H115,An,'2023'!An_max)</f>
        <v>2020</v>
      </c>
      <c r="K115" s="196">
        <f t="shared" si="27"/>
        <v>45392</v>
      </c>
      <c r="L115" s="147">
        <f>IF(t&lt;Tvie,1-EXP((T0-t)*PertePVj)+'2023'!Pspv,1-EXP((T0-t)*PertePVj)+Pspv)</f>
        <v>4.4632275448682625E-2</v>
      </c>
      <c r="M115" s="847"/>
      <c r="N115" s="847"/>
      <c r="O115" s="48">
        <f>IF(t&lt;Tnet,'2023'!Resal+('2023'!Salim-'2023'!Resal)*(1-EXP(('2023'!Tnet-t)/('2023'!Tau_j))),Resal+(Salim-Resal)*(1-EXP((Tnet-t)/(Tau_j))))*Salcycl</f>
        <v>7.2125096905277242E-2</v>
      </c>
      <c r="P115" s="168">
        <f>(INDEX(Models!$BJ115:$BT115,,T115)*(1-R115)+INDEX(Models!$BJ115:$BT115,,T115+1)*R115-ERP_i)*Q115*Ramure*Pc/MaxiM</f>
        <v>3.0925610022798286E-4</v>
      </c>
      <c r="Q115" s="304">
        <f t="shared" si="28"/>
        <v>0.5</v>
      </c>
      <c r="R115" s="176">
        <f t="shared" si="29"/>
        <v>0.35788647349899105</v>
      </c>
      <c r="S115" s="814">
        <f t="shared" si="30"/>
        <v>1</v>
      </c>
      <c r="T115" s="175">
        <f t="shared" si="31"/>
        <v>7</v>
      </c>
      <c r="U115" s="250">
        <f t="shared" si="32"/>
        <v>1.3578864734989911</v>
      </c>
      <c r="V115" s="382">
        <f t="shared" si="33"/>
        <v>50.835459218966463</v>
      </c>
      <c r="W115" s="401">
        <f t="shared" si="34"/>
        <v>38.628213316166779</v>
      </c>
      <c r="X115" s="157">
        <f t="shared" si="35"/>
        <v>45392</v>
      </c>
      <c r="Y115" s="384">
        <f t="shared" si="36"/>
        <v>38.076034696051011</v>
      </c>
      <c r="Z115" s="384">
        <f t="shared" si="37"/>
        <v>39.854847214912134</v>
      </c>
      <c r="AA115" s="385">
        <f t="shared" si="38"/>
        <v>43.575725604480041</v>
      </c>
      <c r="AB115" s="196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8.5388787861867765E-2</v>
      </c>
      <c r="AD115" s="230">
        <f>(INDEX(Models!$BJ115:$BT115,,AH115)*(1-AF115)+INDEX(Models!$BJ115:$BT115,,AH115+1)*AF115-ERP_i)*AE115*Ramure*Pc/MaxiM</f>
        <v>3.0925610022798286E-4</v>
      </c>
      <c r="AE115" s="304">
        <f t="shared" si="40"/>
        <v>0.5</v>
      </c>
      <c r="AF115" s="176">
        <f t="shared" si="41"/>
        <v>0.35788647349899105</v>
      </c>
      <c r="AG115" s="814">
        <f t="shared" si="49"/>
        <v>1</v>
      </c>
      <c r="AH115" s="175">
        <f t="shared" si="42"/>
        <v>7</v>
      </c>
      <c r="AI115" s="224">
        <f t="shared" si="43"/>
        <v>1.3578864734989911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10">
        <f>'2023'!Wh/'2023'!Env_an*'2024'!Env_an</f>
        <v>34.438963745474666</v>
      </c>
      <c r="C116" s="843"/>
      <c r="D116" s="392">
        <f t="shared" si="25"/>
        <v>36.048650410889238</v>
      </c>
      <c r="E116" s="384">
        <f t="shared" si="47"/>
        <v>38.852786621983569</v>
      </c>
      <c r="F116" s="384">
        <f t="shared" si="26"/>
        <v>38.8591193221189</v>
      </c>
      <c r="G116" s="110">
        <f t="shared" si="48"/>
        <v>0.67510568287921002</v>
      </c>
      <c r="H116" s="413" t="b">
        <f>Wh_hp&gt;='2023'!Maxi_hp</f>
        <v>0</v>
      </c>
      <c r="I116" s="389">
        <f>IF(H116,Wh_hp,'2023'!Maxi_hp)</f>
        <v>57.16977965777064</v>
      </c>
      <c r="J116" s="85">
        <f>IF(H116,An,'2023'!An_max)</f>
        <v>2019</v>
      </c>
      <c r="K116" s="196">
        <f t="shared" si="27"/>
        <v>45393</v>
      </c>
      <c r="L116" s="147">
        <f>IF(t&lt;Tvie,1-EXP((T0-t)*PertePVj)+'2023'!Pspv,1-EXP((T0-t)*PertePVj)+Pspv)</f>
        <v>4.4653174170657263E-2</v>
      </c>
      <c r="M116" s="847"/>
      <c r="N116" s="847"/>
      <c r="O116" s="48">
        <f>IF(t&lt;Tnet,'2023'!Resal+('2023'!Salim-'2023'!Resal)*(1-EXP(('2023'!Tnet-t)/('2023'!Tau_j))),Resal+(Salim-Resal)*(1-EXP((Tnet-t)/(Tau_j))))*Salcycl</f>
        <v>7.2173361421332488E-2</v>
      </c>
      <c r="P116" s="168">
        <f>(INDEX(Models!$BJ116:$BT116,,T116)*(1-R116)+INDEX(Models!$BJ116:$BT116,,T116+1)*R116-ERP_i)*Q116*Ramure*Pc/MaxiM</f>
        <v>3.0403954844073915E-4</v>
      </c>
      <c r="Q116" s="304">
        <f t="shared" si="28"/>
        <v>0.5</v>
      </c>
      <c r="R116" s="176">
        <f t="shared" si="29"/>
        <v>0.35879329002016824</v>
      </c>
      <c r="S116" s="814">
        <f t="shared" si="30"/>
        <v>1</v>
      </c>
      <c r="T116" s="175">
        <f t="shared" si="31"/>
        <v>7</v>
      </c>
      <c r="U116" s="250">
        <f t="shared" si="32"/>
        <v>1.3587932900201682</v>
      </c>
      <c r="V116" s="382">
        <f t="shared" si="33"/>
        <v>51.005502377827916</v>
      </c>
      <c r="W116" s="401">
        <f t="shared" si="34"/>
        <v>34.438963745474666</v>
      </c>
      <c r="X116" s="157">
        <f t="shared" si="35"/>
        <v>45393</v>
      </c>
      <c r="Y116" s="384">
        <f t="shared" si="36"/>
        <v>33.947035967879735</v>
      </c>
      <c r="Z116" s="384">
        <f t="shared" si="37"/>
        <v>35.533729793271775</v>
      </c>
      <c r="AA116" s="385">
        <f t="shared" si="38"/>
        <v>38.852786621983569</v>
      </c>
      <c r="AB116" s="196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8.5426480756822118E-2</v>
      </c>
      <c r="AD116" s="230">
        <f>(INDEX(Models!$BJ116:$BT116,,AH116)*(1-AF116)+INDEX(Models!$BJ116:$BT116,,AH116+1)*AF116-ERP_i)*AE116*Ramure*Pc/MaxiM</f>
        <v>3.0403954844073915E-4</v>
      </c>
      <c r="AE116" s="304">
        <f t="shared" si="40"/>
        <v>0.5</v>
      </c>
      <c r="AF116" s="176">
        <f t="shared" si="41"/>
        <v>0.35879329002016824</v>
      </c>
      <c r="AG116" s="814">
        <f t="shared" si="49"/>
        <v>1</v>
      </c>
      <c r="AH116" s="175">
        <f t="shared" si="42"/>
        <v>7</v>
      </c>
      <c r="AI116" s="224">
        <f t="shared" si="43"/>
        <v>1.3587932900201682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10">
        <f>'2023'!Wh/'2023'!Env_an*'2024'!Env_an</f>
        <v>6.7788167513164597</v>
      </c>
      <c r="C117" s="843"/>
      <c r="D117" s="392">
        <f t="shared" si="25"/>
        <v>7.0958157375609332</v>
      </c>
      <c r="E117" s="384">
        <f t="shared" si="47"/>
        <v>7.6481871585870858</v>
      </c>
      <c r="F117" s="384">
        <f t="shared" si="26"/>
        <v>7.6481871585870858</v>
      </c>
      <c r="G117" s="110">
        <f t="shared" si="48"/>
        <v>0.13243903704706958</v>
      </c>
      <c r="H117" s="413" t="b">
        <f>Wh_hp&gt;='2023'!Maxi_hp</f>
        <v>0</v>
      </c>
      <c r="I117" s="389">
        <f>IF(H117,Wh_hp,'2023'!Maxi_hp)</f>
        <v>58.311942637393507</v>
      </c>
      <c r="J117" s="85">
        <f>IF(H117,An,'2023'!An_max)</f>
        <v>2019</v>
      </c>
      <c r="K117" s="196">
        <f t="shared" si="27"/>
        <v>45394</v>
      </c>
      <c r="L117" s="147">
        <f>IF(t&lt;Tvie,1-EXP((T0-t)*PertePVj)+'2023'!Pspv,1-EXP((T0-t)*PertePVj)+Pspv)</f>
        <v>4.4674072434896163E-2</v>
      </c>
      <c r="M117" s="847"/>
      <c r="N117" s="847"/>
      <c r="O117" s="48">
        <f>IF(t&lt;Tnet,'2023'!Resal+('2023'!Salim-'2023'!Resal)*(1-EXP(('2023'!Tnet-t)/('2023'!Tau_j))),Resal+(Salim-Resal)*(1-EXP((Tnet-t)/(Tau_j))))*Salcycl</f>
        <v>7.2222529283422598E-2</v>
      </c>
      <c r="P117" s="168">
        <f>(INDEX(Models!$BJ117:$BT117,,T117)*(1-R117)+INDEX(Models!$BJ117:$BT117,,T117+1)*R117-ERP_i)*Q117*Ramure*Pc/MaxiM</f>
        <v>2.9822284904938587E-4</v>
      </c>
      <c r="Q117" s="304">
        <f t="shared" si="28"/>
        <v>0.5</v>
      </c>
      <c r="R117" s="176">
        <f t="shared" si="29"/>
        <v>0.35973185437992106</v>
      </c>
      <c r="S117" s="814">
        <f t="shared" si="30"/>
        <v>1</v>
      </c>
      <c r="T117" s="175">
        <f t="shared" si="31"/>
        <v>7</v>
      </c>
      <c r="U117" s="250">
        <f t="shared" si="32"/>
        <v>1.3597318543799211</v>
      </c>
      <c r="V117" s="382">
        <f t="shared" si="33"/>
        <v>51.169166617114463</v>
      </c>
      <c r="W117" s="401">
        <f t="shared" si="34"/>
        <v>6.7788167513164597</v>
      </c>
      <c r="X117" s="157">
        <f t="shared" si="35"/>
        <v>45394</v>
      </c>
      <c r="Y117" s="384">
        <f t="shared" si="36"/>
        <v>6.6820586372598703</v>
      </c>
      <c r="Z117" s="384">
        <f t="shared" si="37"/>
        <v>6.9945329069952402</v>
      </c>
      <c r="AA117" s="385">
        <f t="shared" si="38"/>
        <v>7.6481871585870858</v>
      </c>
      <c r="AB117" s="196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8.5465253142759184E-2</v>
      </c>
      <c r="AD117" s="230">
        <f>(INDEX(Models!$BJ117:$BT117,,AH117)*(1-AF117)+INDEX(Models!$BJ117:$BT117,,AH117+1)*AF117-ERP_i)*AE117*Ramure*Pc/MaxiM</f>
        <v>2.9822284904938587E-4</v>
      </c>
      <c r="AE117" s="304">
        <f t="shared" si="40"/>
        <v>0.5</v>
      </c>
      <c r="AF117" s="176">
        <f t="shared" si="41"/>
        <v>0.35973185437992106</v>
      </c>
      <c r="AG117" s="814">
        <f t="shared" si="49"/>
        <v>1</v>
      </c>
      <c r="AH117" s="175">
        <f t="shared" si="42"/>
        <v>7</v>
      </c>
      <c r="AI117" s="224">
        <f t="shared" si="43"/>
        <v>1.3597318543799211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10">
        <f>'2023'!Wh/'2023'!Env_an*'2024'!Env_an</f>
        <v>37.782655330060379</v>
      </c>
      <c r="C118" s="843"/>
      <c r="D118" s="392">
        <f t="shared" si="25"/>
        <v>39.550357376018646</v>
      </c>
      <c r="E118" s="384">
        <f t="shared" si="47"/>
        <v>42.631443363502704</v>
      </c>
      <c r="F118" s="384">
        <f t="shared" si="26"/>
        <v>42.639195251682615</v>
      </c>
      <c r="G118" s="110">
        <f t="shared" si="48"/>
        <v>0.73604481536427624</v>
      </c>
      <c r="H118" s="413" t="b">
        <f>Wh_hp&gt;='2023'!Maxi_hp</f>
        <v>0</v>
      </c>
      <c r="I118" s="389">
        <f>IF(H118,Wh_hp,'2023'!Maxi_hp)</f>
        <v>57.317133350603086</v>
      </c>
      <c r="J118" s="85">
        <f>IF(H118,An,'2023'!An_max)</f>
        <v>2021</v>
      </c>
      <c r="K118" s="196">
        <f t="shared" si="27"/>
        <v>45395</v>
      </c>
      <c r="L118" s="147">
        <f>IF(t&lt;Tvie,1-EXP((T0-t)*PertePVj)+'2023'!Pspv,1-EXP((T0-t)*PertePVj)+Pspv)</f>
        <v>4.4694970241409539E-2</v>
      </c>
      <c r="M118" s="847"/>
      <c r="N118" s="847"/>
      <c r="O118" s="48">
        <f>IF(t&lt;Tnet,'2023'!Resal+('2023'!Salim-'2023'!Resal)*(1-EXP(('2023'!Tnet-t)/('2023'!Tau_j))),Resal+(Salim-Resal)*(1-EXP((Tnet-t)/(Tau_j))))*Salcycl</f>
        <v>7.2272617213843052E-2</v>
      </c>
      <c r="P118" s="168">
        <f>(INDEX(Models!$BJ118:$BT118,,T118)*(1-R118)+INDEX(Models!$BJ118:$BT118,,T118+1)*R118-ERP_i)*Q118*Ramure*Pc/MaxiM</f>
        <v>2.9179964463762749E-4</v>
      </c>
      <c r="Q118" s="304">
        <f t="shared" si="28"/>
        <v>0.5</v>
      </c>
      <c r="R118" s="176">
        <f t="shared" si="29"/>
        <v>0.36070302870765913</v>
      </c>
      <c r="S118" s="814">
        <f t="shared" si="30"/>
        <v>1</v>
      </c>
      <c r="T118" s="175">
        <f t="shared" si="31"/>
        <v>7</v>
      </c>
      <c r="U118" s="250">
        <f t="shared" si="32"/>
        <v>1.3607030287076591</v>
      </c>
      <c r="V118" s="382">
        <f t="shared" si="33"/>
        <v>51.326356466602974</v>
      </c>
      <c r="W118" s="401">
        <f t="shared" si="34"/>
        <v>37.782655330060379</v>
      </c>
      <c r="X118" s="157">
        <f t="shared" si="35"/>
        <v>45395</v>
      </c>
      <c r="Y118" s="384">
        <f t="shared" si="36"/>
        <v>37.243747829322928</v>
      </c>
      <c r="Z118" s="384">
        <f t="shared" si="37"/>
        <v>38.98623650996015</v>
      </c>
      <c r="AA118" s="385">
        <f t="shared" si="38"/>
        <v>42.631443363502704</v>
      </c>
      <c r="AB118" s="196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8.550512405740536E-2</v>
      </c>
      <c r="AD118" s="230">
        <f>(INDEX(Models!$BJ118:$BT118,,AH118)*(1-AF118)+INDEX(Models!$BJ118:$BT118,,AH118+1)*AF118-ERP_i)*AE118*Ramure*Pc/MaxiM</f>
        <v>2.9179964463762749E-4</v>
      </c>
      <c r="AE118" s="304">
        <f t="shared" si="40"/>
        <v>0.5</v>
      </c>
      <c r="AF118" s="176">
        <f t="shared" si="41"/>
        <v>0.36070302870765913</v>
      </c>
      <c r="AG118" s="814">
        <f t="shared" si="49"/>
        <v>1</v>
      </c>
      <c r="AH118" s="175">
        <f t="shared" si="42"/>
        <v>7</v>
      </c>
      <c r="AI118" s="224">
        <f t="shared" si="43"/>
        <v>1.3607030287076591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10">
        <f>'2023'!Wh/'2023'!Env_an*'2024'!Env_an</f>
        <v>41.615911421260513</v>
      </c>
      <c r="C119" s="843"/>
      <c r="D119" s="392">
        <f t="shared" si="25"/>
        <v>43.563909426905816</v>
      </c>
      <c r="E119" s="384">
        <f t="shared" si="47"/>
        <v>46.960245344675151</v>
      </c>
      <c r="F119" s="384">
        <f t="shared" si="26"/>
        <v>46.969960327302417</v>
      </c>
      <c r="G119" s="110">
        <f t="shared" si="48"/>
        <v>0.80837435350749143</v>
      </c>
      <c r="H119" s="413" t="b">
        <f>Wh_hp&gt;='2023'!Maxi_hp</f>
        <v>0</v>
      </c>
      <c r="I119" s="389">
        <f>IF(H119,Wh_hp,'2023'!Maxi_hp)</f>
        <v>57.589029120758397</v>
      </c>
      <c r="J119" s="85">
        <f>IF(H119,An,'2023'!An_max)</f>
        <v>2021</v>
      </c>
      <c r="K119" s="196">
        <f t="shared" si="27"/>
        <v>45396</v>
      </c>
      <c r="L119" s="147">
        <f>IF(t&lt;Tvie,1-EXP((T0-t)*PertePVj)+'2023'!Pspv,1-EXP((T0-t)*PertePVj)+Pspv)</f>
        <v>4.4715867590207271E-2</v>
      </c>
      <c r="M119" s="847"/>
      <c r="N119" s="847"/>
      <c r="O119" s="48">
        <f>IF(t&lt;Tnet,'2023'!Resal+('2023'!Salim-'2023'!Resal)*(1-EXP(('2023'!Tnet-t)/('2023'!Tau_j))),Resal+(Salim-Resal)*(1-EXP((Tnet-t)/(Tau_j))))*Salcycl</f>
        <v>7.2323640833670502E-2</v>
      </c>
      <c r="P119" s="168">
        <f>(INDEX(Models!$BJ119:$BT119,,T119)*(1-R119)+INDEX(Models!$BJ119:$BT119,,T119+1)*R119-ERP_i)*Q119*Ramure*Pc/MaxiM</f>
        <v>2.8476224897773576E-4</v>
      </c>
      <c r="Q119" s="304">
        <f t="shared" si="28"/>
        <v>0.5</v>
      </c>
      <c r="R119" s="176">
        <f t="shared" si="29"/>
        <v>0.3617076790933782</v>
      </c>
      <c r="S119" s="814">
        <f t="shared" si="30"/>
        <v>1</v>
      </c>
      <c r="T119" s="175">
        <f t="shared" si="31"/>
        <v>7</v>
      </c>
      <c r="U119" s="250">
        <f t="shared" si="32"/>
        <v>1.3617076790933782</v>
      </c>
      <c r="V119" s="382">
        <f t="shared" si="33"/>
        <v>51.476976617062853</v>
      </c>
      <c r="W119" s="401">
        <f t="shared" si="34"/>
        <v>41.615911421260513</v>
      </c>
      <c r="X119" s="157">
        <f t="shared" si="35"/>
        <v>45396</v>
      </c>
      <c r="Y119" s="384">
        <f t="shared" si="36"/>
        <v>41.022746411756955</v>
      </c>
      <c r="Z119" s="384">
        <f t="shared" si="37"/>
        <v>42.942978973463397</v>
      </c>
      <c r="AA119" s="385">
        <f t="shared" si="38"/>
        <v>46.960245344675151</v>
      </c>
      <c r="AB119" s="196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8.5546111220802606E-2</v>
      </c>
      <c r="AD119" s="230">
        <f>(INDEX(Models!$BJ119:$BT119,,AH119)*(1-AF119)+INDEX(Models!$BJ119:$BT119,,AH119+1)*AF119-ERP_i)*AE119*Ramure*Pc/MaxiM</f>
        <v>2.8476224897773576E-4</v>
      </c>
      <c r="AE119" s="304">
        <f t="shared" si="40"/>
        <v>0.5</v>
      </c>
      <c r="AF119" s="176">
        <f t="shared" si="41"/>
        <v>0.3617076790933782</v>
      </c>
      <c r="AG119" s="814">
        <f t="shared" si="49"/>
        <v>1</v>
      </c>
      <c r="AH119" s="175">
        <f t="shared" si="42"/>
        <v>7</v>
      </c>
      <c r="AI119" s="224">
        <f t="shared" si="43"/>
        <v>1.3617076790933782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10">
        <f>'2023'!Wh/'2023'!Env_an*'2024'!Env_an</f>
        <v>42.785389075454077</v>
      </c>
      <c r="C120" s="843"/>
      <c r="D120" s="392">
        <f t="shared" si="25"/>
        <v>44.789108891249164</v>
      </c>
      <c r="E120" s="384">
        <f t="shared" si="47"/>
        <v>48.283669119509426</v>
      </c>
      <c r="F120" s="384">
        <f t="shared" si="26"/>
        <v>48.293779205885471</v>
      </c>
      <c r="G120" s="110">
        <f t="shared" si="48"/>
        <v>0.82878181191145128</v>
      </c>
      <c r="H120" s="413" t="b">
        <f>Wh_hp&gt;='2023'!Maxi_hp</f>
        <v>0</v>
      </c>
      <c r="I120" s="389">
        <f>IF(H120,Wh_hp,'2023'!Maxi_hp)</f>
        <v>51.189407245873092</v>
      </c>
      <c r="J120" s="85">
        <f>IF(H120,An,'2023'!An_max)</f>
        <v>2020</v>
      </c>
      <c r="K120" s="196">
        <f t="shared" si="27"/>
        <v>45397</v>
      </c>
      <c r="L120" s="147">
        <f>IF(t&lt;Tvie,1-EXP((T0-t)*PertePVj)+'2023'!Pspv,1-EXP((T0-t)*PertePVj)+Pspv)</f>
        <v>4.4736764481299353E-2</v>
      </c>
      <c r="M120" s="847"/>
      <c r="N120" s="847"/>
      <c r="O120" s="48">
        <f>IF(t&lt;Tnet,'2023'!Resal+('2023'!Salim-'2023'!Resal)*(1-EXP(('2023'!Tnet-t)/('2023'!Tau_j))),Resal+(Salim-Resal)*(1-EXP((Tnet-t)/(Tau_j))))*Salcycl</f>
        <v>7.2375614612275929E-2</v>
      </c>
      <c r="P120" s="168">
        <f>(INDEX(Models!$BJ120:$BT120,,T120)*(1-R120)+INDEX(Models!$BJ120:$BT120,,T120+1)*R120-ERP_i)*Q120*Ramure*Pc/MaxiM</f>
        <v>2.7710162592616325E-4</v>
      </c>
      <c r="Q120" s="304">
        <f t="shared" si="28"/>
        <v>0.5</v>
      </c>
      <c r="R120" s="176">
        <f t="shared" si="29"/>
        <v>0.36274667387756354</v>
      </c>
      <c r="S120" s="814">
        <f t="shared" si="30"/>
        <v>1</v>
      </c>
      <c r="T120" s="175">
        <f t="shared" si="31"/>
        <v>7</v>
      </c>
      <c r="U120" s="250">
        <f t="shared" si="32"/>
        <v>1.3627466738775635</v>
      </c>
      <c r="V120" s="382">
        <f t="shared" si="33"/>
        <v>51.620931929556058</v>
      </c>
      <c r="W120" s="401">
        <f t="shared" si="34"/>
        <v>42.785389075454077</v>
      </c>
      <c r="X120" s="157">
        <f t="shared" si="35"/>
        <v>45397</v>
      </c>
      <c r="Y120" s="384">
        <f t="shared" si="36"/>
        <v>42.175975458497959</v>
      </c>
      <c r="Z120" s="384">
        <f t="shared" si="37"/>
        <v>44.151155294484589</v>
      </c>
      <c r="AA120" s="385">
        <f t="shared" si="38"/>
        <v>48.283669119509426</v>
      </c>
      <c r="AB120" s="196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8.558823097714964E-2</v>
      </c>
      <c r="AD120" s="230">
        <f>(INDEX(Models!$BJ120:$BT120,,AH120)*(1-AF120)+INDEX(Models!$BJ120:$BT120,,AH120+1)*AF120-ERP_i)*AE120*Ramure*Pc/MaxiM</f>
        <v>2.7710162592616325E-4</v>
      </c>
      <c r="AE120" s="304">
        <f t="shared" si="40"/>
        <v>0.5</v>
      </c>
      <c r="AF120" s="176">
        <f t="shared" si="41"/>
        <v>0.36274667387756354</v>
      </c>
      <c r="AG120" s="814">
        <f t="shared" si="49"/>
        <v>1</v>
      </c>
      <c r="AH120" s="175">
        <f t="shared" si="42"/>
        <v>7</v>
      </c>
      <c r="AI120" s="224">
        <f t="shared" si="43"/>
        <v>1.3627466738775635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10">
        <f>'2023'!Wh/'2023'!Env_an*'2024'!Env_an</f>
        <v>50.655890764942569</v>
      </c>
      <c r="C121" s="843"/>
      <c r="D121" s="392">
        <f t="shared" si="25"/>
        <v>53.029360919500611</v>
      </c>
      <c r="E121" s="384">
        <f t="shared" si="47"/>
        <v>57.170109130966381</v>
      </c>
      <c r="F121" s="384">
        <f t="shared" si="26"/>
        <v>57.18501364944553</v>
      </c>
      <c r="G121" s="110">
        <f t="shared" si="48"/>
        <v>0.9787072777342587</v>
      </c>
      <c r="H121" s="413" t="b">
        <f>Wh_hp&gt;='2023'!Maxi_hp</f>
        <v>0</v>
      </c>
      <c r="I121" s="389">
        <f>IF(H121,Wh_hp,'2023'!Maxi_hp)</f>
        <v>57.185200009577123</v>
      </c>
      <c r="J121" s="85">
        <f>IF(H121,An,'2023'!An_max)</f>
        <v>2022</v>
      </c>
      <c r="K121" s="196">
        <f t="shared" si="27"/>
        <v>45398</v>
      </c>
      <c r="L121" s="147">
        <f>IF(t&lt;Tvie,1-EXP((T0-t)*PertePVj)+'2023'!Pspv,1-EXP((T0-t)*PertePVj)+Pspv)</f>
        <v>4.4757660914695997E-2</v>
      </c>
      <c r="M121" s="847"/>
      <c r="N121" s="847"/>
      <c r="O121" s="48">
        <f>IF(t&lt;Tnet,'2023'!Resal+('2023'!Salim-'2023'!Resal)*(1-EXP(('2023'!Tnet-t)/('2023'!Tau_j))),Resal+(Salim-Resal)*(1-EXP((Tnet-t)/(Tau_j))))*Salcycl</f>
        <v>7.2428551815076306E-2</v>
      </c>
      <c r="P121" s="168">
        <f>(INDEX(Models!$BJ121:$BT121,,T121)*(1-R121)+INDEX(Models!$BJ121:$BT121,,T121+1)*R121-ERP_i)*Q121*Ramure*Pc/MaxiM</f>
        <v>2.6881044166486475E-4</v>
      </c>
      <c r="Q121" s="304">
        <f t="shared" si="28"/>
        <v>0.5</v>
      </c>
      <c r="R121" s="176">
        <f t="shared" si="29"/>
        <v>0.36382088179836969</v>
      </c>
      <c r="S121" s="814">
        <f t="shared" si="30"/>
        <v>1</v>
      </c>
      <c r="T121" s="175">
        <f t="shared" si="31"/>
        <v>7</v>
      </c>
      <c r="U121" s="250">
        <f t="shared" si="32"/>
        <v>1.3638208817983697</v>
      </c>
      <c r="V121" s="382">
        <f t="shared" si="33"/>
        <v>51.757535440768827</v>
      </c>
      <c r="W121" s="401">
        <f t="shared" si="34"/>
        <v>50.655890764942569</v>
      </c>
      <c r="X121" s="157">
        <f t="shared" si="35"/>
        <v>45398</v>
      </c>
      <c r="Y121" s="384">
        <f t="shared" si="36"/>
        <v>49.93486058132364</v>
      </c>
      <c r="Z121" s="384">
        <f t="shared" si="37"/>
        <v>52.274547031844257</v>
      </c>
      <c r="AA121" s="385">
        <f t="shared" si="38"/>
        <v>57.170109130966381</v>
      </c>
      <c r="AB121" s="196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8.5631498234633022E-2</v>
      </c>
      <c r="AD121" s="230">
        <f>(INDEX(Models!$BJ121:$BT121,,AH121)*(1-AF121)+INDEX(Models!$BJ121:$BT121,,AH121+1)*AF121-ERP_i)*AE121*Ramure*Pc/MaxiM</f>
        <v>2.6881044166486475E-4</v>
      </c>
      <c r="AE121" s="304">
        <f t="shared" si="40"/>
        <v>0.5</v>
      </c>
      <c r="AF121" s="176">
        <f t="shared" si="41"/>
        <v>0.36382088179836969</v>
      </c>
      <c r="AG121" s="814">
        <f t="shared" si="49"/>
        <v>1</v>
      </c>
      <c r="AH121" s="175">
        <f t="shared" si="42"/>
        <v>7</v>
      </c>
      <c r="AI121" s="224">
        <f t="shared" si="43"/>
        <v>1.3638208817983697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10">
        <f>'2023'!Wh/'2023'!Env_an*'2024'!Env_an</f>
        <v>38.10132412996451</v>
      </c>
      <c r="C122" s="843"/>
      <c r="D122" s="392">
        <f t="shared" si="25"/>
        <v>39.887425481080967</v>
      </c>
      <c r="E122" s="384">
        <f t="shared" si="47"/>
        <v>43.00449743777633</v>
      </c>
      <c r="F122" s="384">
        <f t="shared" si="26"/>
        <v>43.011450715429739</v>
      </c>
      <c r="G122" s="110">
        <f t="shared" si="48"/>
        <v>0.73424955776104239</v>
      </c>
      <c r="H122" s="413" t="b">
        <f>Wh_hp&gt;='2023'!Maxi_hp</f>
        <v>0</v>
      </c>
      <c r="I122" s="389">
        <f>IF(H122,Wh_hp,'2023'!Maxi_hp)</f>
        <v>43.013146001877296</v>
      </c>
      <c r="J122" s="85">
        <f>IF(H122,An,'2023'!An_max)</f>
        <v>2022</v>
      </c>
      <c r="K122" s="196">
        <f t="shared" si="27"/>
        <v>45399</v>
      </c>
      <c r="L122" s="147">
        <f>IF(t&lt;Tvie,1-EXP((T0-t)*PertePVj)+'2023'!Pspv,1-EXP((T0-t)*PertePVj)+Pspv)</f>
        <v>4.4778556890407085E-2</v>
      </c>
      <c r="M122" s="847"/>
      <c r="N122" s="847"/>
      <c r="O122" s="48">
        <f>IF(t&lt;Tnet,'2023'!Resal+('2023'!Salim-'2023'!Resal)*(1-EXP(('2023'!Tnet-t)/('2023'!Tau_j))),Resal+(Salim-Resal)*(1-EXP((Tnet-t)/(Tau_j))))*Salcycl</f>
        <v>7.2482464449340103E-2</v>
      </c>
      <c r="P122" s="168">
        <f>(INDEX(Models!$BJ122:$BT122,,T122)*(1-R122)+INDEX(Models!$BJ122:$BT122,,T122+1)*R122-ERP_i)*Q122*Ramure*Pc/MaxiM</f>
        <v>2.6055025720256135E-4</v>
      </c>
      <c r="Q122" s="304">
        <f t="shared" si="28"/>
        <v>0.5</v>
      </c>
      <c r="R122" s="176">
        <f t="shared" si="29"/>
        <v>0.36493116999200348</v>
      </c>
      <c r="S122" s="814">
        <f t="shared" si="30"/>
        <v>1</v>
      </c>
      <c r="T122" s="175">
        <f t="shared" si="31"/>
        <v>7</v>
      </c>
      <c r="U122" s="250">
        <f t="shared" si="32"/>
        <v>1.3649311699920035</v>
      </c>
      <c r="V122" s="382">
        <f t="shared" si="33"/>
        <v>51.886385643057572</v>
      </c>
      <c r="W122" s="401">
        <f t="shared" si="34"/>
        <v>38.10132412996451</v>
      </c>
      <c r="X122" s="157">
        <f t="shared" si="35"/>
        <v>45399</v>
      </c>
      <c r="Y122" s="384">
        <f t="shared" si="36"/>
        <v>37.559352306223708</v>
      </c>
      <c r="Z122" s="384">
        <f t="shared" si="37"/>
        <v>39.320047280298027</v>
      </c>
      <c r="AA122" s="385">
        <f t="shared" si="38"/>
        <v>43.00449743777633</v>
      </c>
      <c r="AB122" s="196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8.5675926403032038E-2</v>
      </c>
      <c r="AD122" s="230">
        <f>(INDEX(Models!$BJ122:$BT122,,AH122)*(1-AF122)+INDEX(Models!$BJ122:$BT122,,AH122+1)*AF122-ERP_i)*AE122*Ramure*Pc/MaxiM</f>
        <v>2.6055025720256135E-4</v>
      </c>
      <c r="AE122" s="304">
        <f t="shared" si="40"/>
        <v>0.5</v>
      </c>
      <c r="AF122" s="176">
        <f t="shared" si="41"/>
        <v>0.36493116999200348</v>
      </c>
      <c r="AG122" s="814">
        <f t="shared" si="49"/>
        <v>1</v>
      </c>
      <c r="AH122" s="175">
        <f t="shared" si="42"/>
        <v>7</v>
      </c>
      <c r="AI122" s="224">
        <f t="shared" si="43"/>
        <v>1.3649311699920035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10">
        <f>'2023'!Wh/'2023'!Env_an*'2024'!Env_an</f>
        <v>10.140722547170213</v>
      </c>
      <c r="C123" s="843"/>
      <c r="D123" s="392">
        <f t="shared" si="25"/>
        <v>10.616328238859403</v>
      </c>
      <c r="E123" s="384">
        <f t="shared" si="47"/>
        <v>11.44663711260573</v>
      </c>
      <c r="F123" s="384">
        <f t="shared" si="26"/>
        <v>11.44663711260573</v>
      </c>
      <c r="G123" s="110">
        <f t="shared" si="48"/>
        <v>0.19493519755981811</v>
      </c>
      <c r="H123" s="413" t="b">
        <f>Wh_hp&gt;='2023'!Maxi_hp</f>
        <v>0</v>
      </c>
      <c r="I123" s="389">
        <f>IF(H123,Wh_hp,'2023'!Maxi_hp)</f>
        <v>57.532999013855843</v>
      </c>
      <c r="J123" s="85">
        <f>IF(H123,An,'2023'!An_max)</f>
        <v>2021</v>
      </c>
      <c r="K123" s="196">
        <f t="shared" si="27"/>
        <v>45400</v>
      </c>
      <c r="L123" s="147">
        <f>IF(t&lt;Tvie,1-EXP((T0-t)*PertePVj)+'2023'!Pspv,1-EXP((T0-t)*PertePVj)+Pspv)</f>
        <v>4.4799452408442721E-2</v>
      </c>
      <c r="M123" s="847"/>
      <c r="N123" s="847"/>
      <c r="O123" s="48">
        <f>IF(t&lt;Tnet,'2023'!Resal+('2023'!Salim-'2023'!Resal)*(1-EXP(('2023'!Tnet-t)/('2023'!Tau_j))),Resal+(Salim-Resal)*(1-EXP((Tnet-t)/(Tau_j))))*Salcycl</f>
        <v>7.2537363207919078E-2</v>
      </c>
      <c r="P123" s="168">
        <f>(INDEX(Models!$BJ123:$BT123,,T123)*(1-R123)+INDEX(Models!$BJ123:$BT123,,T123+1)*R123-ERP_i)*Q123*Ramure*Pc/MaxiM</f>
        <v>2.5253553518170399E-4</v>
      </c>
      <c r="Q123" s="304">
        <f t="shared" si="28"/>
        <v>0.5</v>
      </c>
      <c r="R123" s="176">
        <f t="shared" si="29"/>
        <v>0.36607840184278539</v>
      </c>
      <c r="S123" s="814">
        <f t="shared" si="30"/>
        <v>1</v>
      </c>
      <c r="T123" s="175">
        <f t="shared" si="31"/>
        <v>7</v>
      </c>
      <c r="U123" s="250">
        <f t="shared" si="32"/>
        <v>1.3660784018427854</v>
      </c>
      <c r="V123" s="382">
        <f t="shared" si="33"/>
        <v>52.007855847908758</v>
      </c>
      <c r="W123" s="401">
        <f t="shared" si="34"/>
        <v>10.140722547170213</v>
      </c>
      <c r="X123" s="157">
        <f t="shared" si="35"/>
        <v>45400</v>
      </c>
      <c r="Y123" s="384">
        <f t="shared" si="36"/>
        <v>9.9965690847405373</v>
      </c>
      <c r="Z123" s="384">
        <f t="shared" si="37"/>
        <v>10.465413896532919</v>
      </c>
      <c r="AA123" s="385">
        <f t="shared" si="38"/>
        <v>11.44663711260573</v>
      </c>
      <c r="AB123" s="196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8.57215273289504E-2</v>
      </c>
      <c r="AD123" s="230">
        <f>(INDEX(Models!$BJ123:$BT123,,AH123)*(1-AF123)+INDEX(Models!$BJ123:$BT123,,AH123+1)*AF123-ERP_i)*AE123*Ramure*Pc/MaxiM</f>
        <v>2.5253553518170399E-4</v>
      </c>
      <c r="AE123" s="304">
        <f t="shared" si="40"/>
        <v>0.5</v>
      </c>
      <c r="AF123" s="176">
        <f t="shared" si="41"/>
        <v>0.36607840184278539</v>
      </c>
      <c r="AG123" s="814">
        <f t="shared" si="49"/>
        <v>1</v>
      </c>
      <c r="AH123" s="175">
        <f t="shared" si="42"/>
        <v>7</v>
      </c>
      <c r="AI123" s="224">
        <f t="shared" si="43"/>
        <v>1.3660784018427854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10">
        <f>'2023'!Wh/'2023'!Env_an*'2024'!Env_an</f>
        <v>9.5376349590239986</v>
      </c>
      <c r="C124" s="843"/>
      <c r="D124" s="392">
        <f t="shared" si="25"/>
        <v>9.9851739238264283</v>
      </c>
      <c r="E124" s="384">
        <f t="shared" si="47"/>
        <v>10.766768738331095</v>
      </c>
      <c r="F124" s="384">
        <f t="shared" si="26"/>
        <v>10.766768738331095</v>
      </c>
      <c r="G124" s="110">
        <f t="shared" si="48"/>
        <v>0.18294079302441038</v>
      </c>
      <c r="H124" s="413" t="b">
        <f>Wh_hp&gt;='2023'!Maxi_hp</f>
        <v>0</v>
      </c>
      <c r="I124" s="389">
        <f>IF(H124,Wh_hp,'2023'!Maxi_hp)</f>
        <v>50.447436278195291</v>
      </c>
      <c r="J124" s="85">
        <f>IF(H124,An,'2023'!An_max)</f>
        <v>2019</v>
      </c>
      <c r="K124" s="196">
        <f t="shared" si="27"/>
        <v>45401</v>
      </c>
      <c r="L124" s="147">
        <f>IF(t&lt;Tvie,1-EXP((T0-t)*PertePVj)+'2023'!Pspv,1-EXP((T0-t)*PertePVj)+Pspv)</f>
        <v>4.4820347468812784E-2</v>
      </c>
      <c r="M124" s="847"/>
      <c r="N124" s="847"/>
      <c r="O124" s="48">
        <f>IF(t&lt;Tnet,'2023'!Resal+('2023'!Salim-'2023'!Resal)*(1-EXP(('2023'!Tnet-t)/('2023'!Tau_j))),Resal+(Salim-Resal)*(1-EXP((Tnet-t)/(Tau_j))))*Salcycl</f>
        <v>7.2593257410841106E-2</v>
      </c>
      <c r="P124" s="168">
        <f>(INDEX(Models!$BJ124:$BT124,,T124)*(1-R124)+INDEX(Models!$BJ124:$BT124,,T124+1)*R124-ERP_i)*Q124*Ramure*Pc/MaxiM</f>
        <v>2.4475760063022043E-4</v>
      </c>
      <c r="Q124" s="304">
        <f t="shared" si="28"/>
        <v>0.5</v>
      </c>
      <c r="R124" s="176">
        <f t="shared" si="29"/>
        <v>0.36726343467998701</v>
      </c>
      <c r="S124" s="814">
        <f t="shared" si="30"/>
        <v>1</v>
      </c>
      <c r="T124" s="175">
        <f t="shared" si="31"/>
        <v>7</v>
      </c>
      <c r="U124" s="250">
        <f t="shared" si="32"/>
        <v>1.367263434679987</v>
      </c>
      <c r="V124" s="382">
        <f t="shared" si="33"/>
        <v>52.122330906827415</v>
      </c>
      <c r="W124" s="401">
        <f t="shared" si="34"/>
        <v>9.5376349590239986</v>
      </c>
      <c r="X124" s="157">
        <f t="shared" si="35"/>
        <v>45401</v>
      </c>
      <c r="Y124" s="384">
        <f t="shared" si="36"/>
        <v>9.402140091336852</v>
      </c>
      <c r="Z124" s="384">
        <f t="shared" si="37"/>
        <v>9.8433211662555458</v>
      </c>
      <c r="AA124" s="385">
        <f t="shared" si="38"/>
        <v>10.766768738331095</v>
      </c>
      <c r="AB124" s="196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8.5768311228600638E-2</v>
      </c>
      <c r="AD124" s="230">
        <f>(INDEX(Models!$BJ124:$BT124,,AH124)*(1-AF124)+INDEX(Models!$BJ124:$BT124,,AH124+1)*AF124-ERP_i)*AE124*Ramure*Pc/MaxiM</f>
        <v>2.4475760063022043E-4</v>
      </c>
      <c r="AE124" s="304">
        <f t="shared" si="40"/>
        <v>0.5</v>
      </c>
      <c r="AF124" s="176">
        <f t="shared" si="41"/>
        <v>0.36726343467998701</v>
      </c>
      <c r="AG124" s="814">
        <f t="shared" si="49"/>
        <v>1</v>
      </c>
      <c r="AH124" s="175">
        <f t="shared" si="42"/>
        <v>7</v>
      </c>
      <c r="AI124" s="224">
        <f t="shared" si="43"/>
        <v>1.367263434679987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10">
        <f>'2023'!Wh/'2023'!Env_an*'2024'!Env_an</f>
        <v>9.0053292530192532</v>
      </c>
      <c r="C125" s="843"/>
      <c r="D125" s="392">
        <f t="shared" si="25"/>
        <v>9.4280968250239514</v>
      </c>
      <c r="E125" s="384">
        <f t="shared" si="47"/>
        <v>10.166709872542647</v>
      </c>
      <c r="F125" s="384">
        <f t="shared" si="26"/>
        <v>10.166709872542647</v>
      </c>
      <c r="G125" s="110">
        <f t="shared" si="48"/>
        <v>0.17237525149754757</v>
      </c>
      <c r="H125" s="413" t="b">
        <f>Wh_hp&gt;='2023'!Maxi_hp</f>
        <v>0</v>
      </c>
      <c r="I125" s="389">
        <f>IF(H125,Wh_hp,'2023'!Maxi_hp)</f>
        <v>56.950308189704678</v>
      </c>
      <c r="J125" s="85">
        <f>IF(H125,An,'2023'!An_max)</f>
        <v>2021</v>
      </c>
      <c r="K125" s="196">
        <f t="shared" si="27"/>
        <v>45402</v>
      </c>
      <c r="L125" s="147">
        <f>IF(t&lt;Tvie,1-EXP((T0-t)*PertePVj)+'2023'!Pspv,1-EXP((T0-t)*PertePVj)+Pspv)</f>
        <v>4.4841242071527489E-2</v>
      </c>
      <c r="M125" s="847"/>
      <c r="N125" s="847"/>
      <c r="O125" s="48">
        <f>IF(t&lt;Tnet,'2023'!Resal+('2023'!Salim-'2023'!Resal)*(1-EXP(('2023'!Tnet-t)/('2023'!Tau_j))),Resal+(Salim-Resal)*(1-EXP((Tnet-t)/(Tau_j))))*Salcycl</f>
        <v>7.2650154944764997E-2</v>
      </c>
      <c r="P125" s="168">
        <f>(INDEX(Models!$BJ125:$BT125,,T125)*(1-R125)+INDEX(Models!$BJ125:$BT125,,T125+1)*R125-ERP_i)*Q125*Ramure*Pc/MaxiM</f>
        <v>2.3720904023335443E-4</v>
      </c>
      <c r="Q125" s="304">
        <f t="shared" si="28"/>
        <v>0.5</v>
      </c>
      <c r="R125" s="176">
        <f t="shared" si="29"/>
        <v>0.36848711731927075</v>
      </c>
      <c r="S125" s="814">
        <f t="shared" si="30"/>
        <v>1</v>
      </c>
      <c r="T125" s="175">
        <f t="shared" si="31"/>
        <v>7</v>
      </c>
      <c r="U125" s="250">
        <f t="shared" si="32"/>
        <v>1.3684871173192708</v>
      </c>
      <c r="V125" s="382">
        <f t="shared" si="33"/>
        <v>52.230195630132258</v>
      </c>
      <c r="W125" s="401">
        <f t="shared" si="34"/>
        <v>9.0053292530192532</v>
      </c>
      <c r="X125" s="157">
        <f t="shared" si="35"/>
        <v>45402</v>
      </c>
      <c r="Y125" s="384">
        <f t="shared" si="36"/>
        <v>8.8774752922517948</v>
      </c>
      <c r="Z125" s="384">
        <f t="shared" si="37"/>
        <v>9.2942405841569933</v>
      </c>
      <c r="AA125" s="385">
        <f t="shared" si="38"/>
        <v>10.166709872542647</v>
      </c>
      <c r="AB125" s="196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8.5816286618145887E-2</v>
      </c>
      <c r="AD125" s="230">
        <f>(INDEX(Models!$BJ125:$BT125,,AH125)*(1-AF125)+INDEX(Models!$BJ125:$BT125,,AH125+1)*AF125-ERP_i)*AE125*Ramure*Pc/MaxiM</f>
        <v>2.3720904023335443E-4</v>
      </c>
      <c r="AE125" s="304">
        <f t="shared" si="40"/>
        <v>0.5</v>
      </c>
      <c r="AF125" s="176">
        <f t="shared" si="41"/>
        <v>0.36848711731927075</v>
      </c>
      <c r="AG125" s="814">
        <f t="shared" si="49"/>
        <v>1</v>
      </c>
      <c r="AH125" s="175">
        <f t="shared" si="42"/>
        <v>7</v>
      </c>
      <c r="AI125" s="224">
        <f t="shared" si="43"/>
        <v>1.3684871173192708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10">
        <f>'2023'!Wh/'2023'!Env_an*'2024'!Env_an</f>
        <v>28.594957880354347</v>
      </c>
      <c r="C126" s="843"/>
      <c r="D126" s="392">
        <f t="shared" si="25"/>
        <v>29.938042417339272</v>
      </c>
      <c r="E126" s="384">
        <f t="shared" si="47"/>
        <v>32.285455310200575</v>
      </c>
      <c r="F126" s="384">
        <f t="shared" si="26"/>
        <v>32.288068192585705</v>
      </c>
      <c r="G126" s="110">
        <f t="shared" si="48"/>
        <v>0.54633471501507591</v>
      </c>
      <c r="H126" s="413" t="b">
        <f>Wh_hp&gt;='2023'!Maxi_hp</f>
        <v>0</v>
      </c>
      <c r="I126" s="389">
        <f>IF(H126,Wh_hp,'2023'!Maxi_hp)</f>
        <v>61.518685977469168</v>
      </c>
      <c r="J126" s="85">
        <f>IF(H126,An,'2023'!An_max)</f>
        <v>2021</v>
      </c>
      <c r="K126" s="196">
        <f t="shared" si="27"/>
        <v>45403</v>
      </c>
      <c r="L126" s="147">
        <f>IF(t&lt;Tvie,1-EXP((T0-t)*PertePVj)+'2023'!Pspv,1-EXP((T0-t)*PertePVj)+Pspv)</f>
        <v>4.4862136216596717E-2</v>
      </c>
      <c r="M126" s="847"/>
      <c r="N126" s="847"/>
      <c r="O126" s="48">
        <f>IF(t&lt;Tnet,'2023'!Resal+('2023'!Salim-'2023'!Resal)*(1-EXP(('2023'!Tnet-t)/('2023'!Tau_j))),Resal+(Salim-Resal)*(1-EXP((Tnet-t)/(Tau_j))))*Salcycl</f>
        <v>7.2708062200369281E-2</v>
      </c>
      <c r="P126" s="168">
        <f>(INDEX(Models!$BJ126:$BT126,,T126)*(1-R126)+INDEX(Models!$BJ126:$BT126,,T126+1)*R126-ERP_i)*Q126*Ramure*Pc/MaxiM</f>
        <v>2.2988293478505979E-4</v>
      </c>
      <c r="Q126" s="304">
        <f t="shared" si="28"/>
        <v>0.5</v>
      </c>
      <c r="R126" s="176">
        <f t="shared" si="29"/>
        <v>0.36975028744740035</v>
      </c>
      <c r="S126" s="814">
        <f t="shared" si="30"/>
        <v>1</v>
      </c>
      <c r="T126" s="175">
        <f t="shared" si="31"/>
        <v>7</v>
      </c>
      <c r="U126" s="250">
        <f t="shared" si="32"/>
        <v>1.3697502874474003</v>
      </c>
      <c r="V126" s="382">
        <f t="shared" si="33"/>
        <v>52.331834821840246</v>
      </c>
      <c r="W126" s="401">
        <f t="shared" si="34"/>
        <v>28.594957880354347</v>
      </c>
      <c r="X126" s="157">
        <f t="shared" si="35"/>
        <v>45403</v>
      </c>
      <c r="Y126" s="384">
        <f t="shared" si="36"/>
        <v>28.189222396770482</v>
      </c>
      <c r="Z126" s="384">
        <f t="shared" si="37"/>
        <v>29.513249830877772</v>
      </c>
      <c r="AA126" s="385">
        <f t="shared" si="38"/>
        <v>32.285455310200575</v>
      </c>
      <c r="AB126" s="196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8.5865460241687397E-2</v>
      </c>
      <c r="AD126" s="230">
        <f>(INDEX(Models!$BJ126:$BT126,,AH126)*(1-AF126)+INDEX(Models!$BJ126:$BT126,,AH126+1)*AF126-ERP_i)*AE126*Ramure*Pc/MaxiM</f>
        <v>2.2988293478505979E-4</v>
      </c>
      <c r="AE126" s="304">
        <f t="shared" si="40"/>
        <v>0.5</v>
      </c>
      <c r="AF126" s="176">
        <f t="shared" si="41"/>
        <v>0.36975028744740035</v>
      </c>
      <c r="AG126" s="814">
        <f t="shared" si="49"/>
        <v>1</v>
      </c>
      <c r="AH126" s="175">
        <f t="shared" si="42"/>
        <v>7</v>
      </c>
      <c r="AI126" s="224">
        <f t="shared" si="43"/>
        <v>1.3697502874474003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10">
        <f>'2023'!Wh/'2023'!Env_an*'2024'!Env_an</f>
        <v>7.9395984724453328</v>
      </c>
      <c r="C127" s="843"/>
      <c r="D127" s="392">
        <f t="shared" si="25"/>
        <v>8.3126975239981</v>
      </c>
      <c r="E127" s="384">
        <f t="shared" si="47"/>
        <v>8.9650577369736322</v>
      </c>
      <c r="F127" s="384">
        <f t="shared" si="26"/>
        <v>8.9650577369736322</v>
      </c>
      <c r="G127" s="110">
        <f t="shared" si="48"/>
        <v>0.15140545641768935</v>
      </c>
      <c r="H127" s="413" t="b">
        <f>Wh_hp&gt;='2023'!Maxi_hp</f>
        <v>0</v>
      </c>
      <c r="I127" s="389">
        <f>IF(H127,Wh_hp,'2023'!Maxi_hp)</f>
        <v>60.576716442775776</v>
      </c>
      <c r="J127" s="85">
        <f>IF(H127,An,'2023'!An_max)</f>
        <v>2021</v>
      </c>
      <c r="K127" s="196">
        <f t="shared" si="27"/>
        <v>45404</v>
      </c>
      <c r="L127" s="147">
        <f>IF(t&lt;Tvie,1-EXP((T0-t)*PertePVj)+'2023'!Pspv,1-EXP((T0-t)*PertePVj)+Pspv)</f>
        <v>4.4883029904030571E-2</v>
      </c>
      <c r="M127" s="847"/>
      <c r="N127" s="847"/>
      <c r="O127" s="48">
        <f>IF(t&lt;Tnet,'2023'!Resal+('2023'!Salim-'2023'!Resal)*(1-EXP(('2023'!Tnet-t)/('2023'!Tau_j))),Resal+(Salim-Resal)*(1-EXP((Tnet-t)/(Tau_j))))*Salcycl</f>
        <v>7.2766984007818752E-2</v>
      </c>
      <c r="P127" s="168">
        <f>(INDEX(Models!$BJ127:$BT127,,T127)*(1-R127)+INDEX(Models!$BJ127:$BT127,,T127+1)*R127-ERP_i)*Q127*Ramure*Pc/MaxiM</f>
        <v>2.2277219791694427E-4</v>
      </c>
      <c r="Q127" s="304">
        <f t="shared" si="28"/>
        <v>0.5</v>
      </c>
      <c r="R127" s="176">
        <f t="shared" si="29"/>
        <v>0.37105376884982033</v>
      </c>
      <c r="S127" s="814">
        <f t="shared" si="30"/>
        <v>1</v>
      </c>
      <c r="T127" s="175">
        <f t="shared" si="31"/>
        <v>7</v>
      </c>
      <c r="U127" s="250">
        <f t="shared" si="32"/>
        <v>1.3710537688498203</v>
      </c>
      <c r="V127" s="382">
        <f t="shared" si="33"/>
        <v>52.427633312927533</v>
      </c>
      <c r="W127" s="401">
        <f t="shared" si="34"/>
        <v>7.9395984724453328</v>
      </c>
      <c r="X127" s="157">
        <f t="shared" si="35"/>
        <v>45404</v>
      </c>
      <c r="Y127" s="384">
        <f t="shared" si="36"/>
        <v>7.827009067940395</v>
      </c>
      <c r="Z127" s="384">
        <f t="shared" si="37"/>
        <v>8.194817297774474</v>
      </c>
      <c r="AA127" s="385">
        <f t="shared" si="38"/>
        <v>8.9650577369736322</v>
      </c>
      <c r="AB127" s="196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8.5915836997071032E-2</v>
      </c>
      <c r="AD127" s="230">
        <f>(INDEX(Models!$BJ127:$BT127,,AH127)*(1-AF127)+INDEX(Models!$BJ127:$BT127,,AH127+1)*AF127-ERP_i)*AE127*Ramure*Pc/MaxiM</f>
        <v>2.2277219791694427E-4</v>
      </c>
      <c r="AE127" s="304">
        <f t="shared" si="40"/>
        <v>0.5</v>
      </c>
      <c r="AF127" s="176">
        <f t="shared" si="41"/>
        <v>0.37105376884982033</v>
      </c>
      <c r="AG127" s="814">
        <f t="shared" si="49"/>
        <v>1</v>
      </c>
      <c r="AH127" s="175">
        <f t="shared" si="42"/>
        <v>7</v>
      </c>
      <c r="AI127" s="224">
        <f t="shared" si="43"/>
        <v>1.3710537688498203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10">
        <f>'2023'!Wh/'2023'!Env_an*'2024'!Env_an</f>
        <v>35.781858711073603</v>
      </c>
      <c r="C128" s="843"/>
      <c r="D128" s="392">
        <f t="shared" si="25"/>
        <v>37.464145835966796</v>
      </c>
      <c r="E128" s="384">
        <f t="shared" si="47"/>
        <v>40.406852602149087</v>
      </c>
      <c r="F128" s="384">
        <f t="shared" si="26"/>
        <v>40.411622705039512</v>
      </c>
      <c r="G128" s="110">
        <f t="shared" si="48"/>
        <v>0.68125926490475874</v>
      </c>
      <c r="H128" s="413" t="b">
        <f>Wh_hp&gt;='2023'!Maxi_hp</f>
        <v>0</v>
      </c>
      <c r="I128" s="389">
        <f>IF(H128,Wh_hp,'2023'!Maxi_hp)</f>
        <v>57.276493751473431</v>
      </c>
      <c r="J128" s="85">
        <f>IF(H128,An,'2023'!An_max)</f>
        <v>2021</v>
      </c>
      <c r="K128" s="196">
        <f t="shared" si="27"/>
        <v>45405</v>
      </c>
      <c r="L128" s="147">
        <f>IF(t&lt;Tvie,1-EXP((T0-t)*PertePVj)+'2023'!Pspv,1-EXP((T0-t)*PertePVj)+Pspv)</f>
        <v>4.4903923133839042E-2</v>
      </c>
      <c r="M128" s="847"/>
      <c r="N128" s="847"/>
      <c r="O128" s="48">
        <f>IF(t&lt;Tnet,'2023'!Resal+('2023'!Salim-'2023'!Resal)*(1-EXP(('2023'!Tnet-t)/('2023'!Tau_j))),Resal+(Salim-Resal)*(1-EXP((Tnet-t)/(Tau_j))))*Salcycl</f>
        <v>7.2826923570527669E-2</v>
      </c>
      <c r="P128" s="168">
        <f>(INDEX(Models!$BJ128:$BT128,,T128)*(1-R128)+INDEX(Models!$BJ128:$BT128,,T128+1)*R128-ERP_i)*Q128*Ramure*Pc/MaxiM</f>
        <v>2.1668184800592176E-4</v>
      </c>
      <c r="Q128" s="304">
        <f t="shared" si="28"/>
        <v>0.5</v>
      </c>
      <c r="R128" s="176">
        <f t="shared" si="29"/>
        <v>0.37239836848176933</v>
      </c>
      <c r="S128" s="814">
        <f t="shared" si="30"/>
        <v>1</v>
      </c>
      <c r="T128" s="175">
        <f t="shared" si="31"/>
        <v>7</v>
      </c>
      <c r="U128" s="250">
        <f t="shared" si="32"/>
        <v>1.3723983684817693</v>
      </c>
      <c r="V128" s="382">
        <f t="shared" si="33"/>
        <v>52.517933294330106</v>
      </c>
      <c r="W128" s="401">
        <f t="shared" si="34"/>
        <v>35.781858711073603</v>
      </c>
      <c r="X128" s="157">
        <f t="shared" si="35"/>
        <v>45405</v>
      </c>
      <c r="Y128" s="384">
        <f t="shared" si="36"/>
        <v>35.274735075186889</v>
      </c>
      <c r="Z128" s="384">
        <f t="shared" si="37"/>
        <v>36.93317973928815</v>
      </c>
      <c r="AA128" s="385">
        <f t="shared" si="38"/>
        <v>40.406852602149087</v>
      </c>
      <c r="AB128" s="196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8.5967419859773644E-2</v>
      </c>
      <c r="AD128" s="230">
        <f>(INDEX(Models!$BJ128:$BT128,,AH128)*(1-AF128)+INDEX(Models!$BJ128:$BT128,,AH128+1)*AF128-ERP_i)*AE128*Ramure*Pc/MaxiM</f>
        <v>2.1668184800592176E-4</v>
      </c>
      <c r="AE128" s="304">
        <f t="shared" si="40"/>
        <v>0.5</v>
      </c>
      <c r="AF128" s="176">
        <f t="shared" si="41"/>
        <v>0.37239836848176933</v>
      </c>
      <c r="AG128" s="814">
        <f t="shared" si="49"/>
        <v>1</v>
      </c>
      <c r="AH128" s="175">
        <f t="shared" si="42"/>
        <v>7</v>
      </c>
      <c r="AI128" s="224">
        <f t="shared" si="43"/>
        <v>1.3723983684817693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10">
        <f>'2023'!Wh/'2023'!Env_an*'2024'!Env_an</f>
        <v>45.012615014656873</v>
      </c>
      <c r="C129" s="843"/>
      <c r="D129" s="392">
        <f t="shared" si="25"/>
        <v>47.12991789997988</v>
      </c>
      <c r="E129" s="384">
        <f t="shared" si="47"/>
        <v>50.835187034182965</v>
      </c>
      <c r="F129" s="384">
        <f t="shared" si="26"/>
        <v>50.843747824474455</v>
      </c>
      <c r="G129" s="110">
        <f t="shared" si="48"/>
        <v>0.85566539146009302</v>
      </c>
      <c r="H129" s="413" t="b">
        <f>Wh_hp&gt;='2023'!Maxi_hp</f>
        <v>0</v>
      </c>
      <c r="I129" s="389">
        <f>IF(H129,Wh_hp,'2023'!Maxi_hp)</f>
        <v>55.011025243549312</v>
      </c>
      <c r="J129" s="85">
        <f>IF(H129,An,'2023'!An_max)</f>
        <v>2020</v>
      </c>
      <c r="K129" s="196">
        <f t="shared" si="27"/>
        <v>45406</v>
      </c>
      <c r="L129" s="147">
        <f>IF(t&lt;Tvie,1-EXP((T0-t)*PertePVj)+'2023'!Pspv,1-EXP((T0-t)*PertePVj)+Pspv)</f>
        <v>4.4924815906032124E-2</v>
      </c>
      <c r="M129" s="847"/>
      <c r="N129" s="847"/>
      <c r="O129" s="48">
        <f>IF(t&lt;Tnet,'2023'!Resal+('2023'!Salim-'2023'!Resal)*(1-EXP(('2023'!Tnet-t)/('2023'!Tau_j))),Resal+(Salim-Resal)*(1-EXP((Tnet-t)/(Tau_j))))*Salcycl</f>
        <v>7.2887882397512663E-2</v>
      </c>
      <c r="P129" s="168">
        <f>(INDEX(Models!$BJ129:$BT129,,T129)*(1-R129)+INDEX(Models!$BJ129:$BT129,,T129+1)*R129-ERP_i)*Q129*Ramure*Pc/MaxiM</f>
        <v>2.1209564423204348E-4</v>
      </c>
      <c r="Q129" s="304">
        <f t="shared" si="28"/>
        <v>0.5</v>
      </c>
      <c r="R129" s="176">
        <f t="shared" si="29"/>
        <v>0.37378487338474886</v>
      </c>
      <c r="S129" s="814">
        <f t="shared" si="30"/>
        <v>1</v>
      </c>
      <c r="T129" s="175">
        <f t="shared" si="31"/>
        <v>7</v>
      </c>
      <c r="U129" s="250">
        <f t="shared" si="32"/>
        <v>1.3737848733847489</v>
      </c>
      <c r="V129" s="382">
        <f t="shared" si="33"/>
        <v>52.60309360311004</v>
      </c>
      <c r="W129" s="401">
        <f t="shared" si="34"/>
        <v>45.012615014656873</v>
      </c>
      <c r="X129" s="157">
        <f t="shared" si="35"/>
        <v>45406</v>
      </c>
      <c r="Y129" s="384">
        <f t="shared" si="36"/>
        <v>44.375021797368213</v>
      </c>
      <c r="Z129" s="384">
        <f t="shared" si="37"/>
        <v>46.462333580015041</v>
      </c>
      <c r="AA129" s="385">
        <f t="shared" si="38"/>
        <v>50.835187034182965</v>
      </c>
      <c r="AB129" s="196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8.6020209805218198E-2</v>
      </c>
      <c r="AD129" s="230">
        <f>(INDEX(Models!$BJ129:$BT129,,AH129)*(1-AF129)+INDEX(Models!$BJ129:$BT129,,AH129+1)*AF129-ERP_i)*AE129*Ramure*Pc/MaxiM</f>
        <v>2.1209564423204348E-4</v>
      </c>
      <c r="AE129" s="304">
        <f t="shared" si="40"/>
        <v>0.5</v>
      </c>
      <c r="AF129" s="176">
        <f t="shared" si="41"/>
        <v>0.37378487338474886</v>
      </c>
      <c r="AG129" s="814">
        <f t="shared" si="49"/>
        <v>1</v>
      </c>
      <c r="AH129" s="175">
        <f t="shared" si="42"/>
        <v>7</v>
      </c>
      <c r="AI129" s="224">
        <f t="shared" si="43"/>
        <v>1.3737848733847489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10">
        <f>'2023'!Wh/'2023'!Env_an*'2024'!Env_an</f>
        <v>50.951286652685702</v>
      </c>
      <c r="C130" s="843"/>
      <c r="D130" s="392">
        <f t="shared" si="25"/>
        <v>53.349099722652809</v>
      </c>
      <c r="E130" s="384">
        <f t="shared" si="47"/>
        <v>57.54715676560852</v>
      </c>
      <c r="F130" s="384">
        <f t="shared" si="26"/>
        <v>57.55862290819428</v>
      </c>
      <c r="G130" s="110">
        <f t="shared" si="48"/>
        <v>0.96711092558926637</v>
      </c>
      <c r="H130" s="413" t="b">
        <f>Wh_hp&gt;='2023'!Maxi_hp</f>
        <v>0</v>
      </c>
      <c r="I130" s="389">
        <f>IF(H130,Wh_hp,'2023'!Maxi_hp)</f>
        <v>57.558841512192636</v>
      </c>
      <c r="J130" s="85">
        <f>IF(H130,An,'2023'!An_max)</f>
        <v>2022</v>
      </c>
      <c r="K130" s="196">
        <f t="shared" si="27"/>
        <v>45407</v>
      </c>
      <c r="L130" s="147">
        <f>IF(t&lt;Tvie,1-EXP((T0-t)*PertePVj)+'2023'!Pspv,1-EXP((T0-t)*PertePVj)+Pspv)</f>
        <v>4.4945708220619919E-2</v>
      </c>
      <c r="M130" s="847"/>
      <c r="N130" s="847"/>
      <c r="O130" s="48">
        <f>IF(t&lt;Tnet,'2023'!Resal+('2023'!Salim-'2023'!Resal)*(1-EXP(('2023'!Tnet-t)/('2023'!Tau_j))),Resal+(Salim-Resal)*(1-EXP((Tnet-t)/(Tau_j))))*Salcycl</f>
        <v>7.2949860234703345E-2</v>
      </c>
      <c r="P130" s="168">
        <f>(INDEX(Models!$BJ130:$BT130,,T130)*(1-R130)+INDEX(Models!$BJ130:$BT130,,T130+1)*R130-ERP_i)*Q130*Ramure*Pc/MaxiM</f>
        <v>2.0902621048932732E-4</v>
      </c>
      <c r="Q130" s="304">
        <f t="shared" si="28"/>
        <v>0.5</v>
      </c>
      <c r="R130" s="176">
        <f t="shared" si="29"/>
        <v>0.37521404745146425</v>
      </c>
      <c r="S130" s="814">
        <f t="shared" si="30"/>
        <v>1</v>
      </c>
      <c r="T130" s="175">
        <f t="shared" si="31"/>
        <v>7</v>
      </c>
      <c r="U130" s="250">
        <f t="shared" si="32"/>
        <v>1.3752140474514642</v>
      </c>
      <c r="V130" s="382">
        <f t="shared" si="33"/>
        <v>52.683497785360622</v>
      </c>
      <c r="W130" s="401">
        <f t="shared" si="34"/>
        <v>50.951286652685702</v>
      </c>
      <c r="X130" s="157">
        <f t="shared" si="35"/>
        <v>45407</v>
      </c>
      <c r="Y130" s="384">
        <f t="shared" si="36"/>
        <v>50.229963974683976</v>
      </c>
      <c r="Z130" s="384">
        <f t="shared" si="37"/>
        <v>52.593830954991638</v>
      </c>
      <c r="AA130" s="385">
        <f t="shared" si="38"/>
        <v>57.54715676560852</v>
      </c>
      <c r="AB130" s="196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8.6074205729953585E-2</v>
      </c>
      <c r="AD130" s="230">
        <f>(INDEX(Models!$BJ130:$BT130,,AH130)*(1-AF130)+INDEX(Models!$BJ130:$BT130,,AH130+1)*AF130-ERP_i)*AE130*Ramure*Pc/MaxiM</f>
        <v>2.0902621048932732E-4</v>
      </c>
      <c r="AE130" s="304">
        <f t="shared" si="40"/>
        <v>0.5</v>
      </c>
      <c r="AF130" s="176">
        <f t="shared" si="41"/>
        <v>0.37521404745146425</v>
      </c>
      <c r="AG130" s="814">
        <f t="shared" si="49"/>
        <v>1</v>
      </c>
      <c r="AH130" s="175">
        <f t="shared" si="42"/>
        <v>7</v>
      </c>
      <c r="AI130" s="224">
        <f t="shared" si="43"/>
        <v>1.3752140474514642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10">
        <f>'2023'!Wh/'2023'!Env_an*'2024'!Env_an</f>
        <v>36.590845210435106</v>
      </c>
      <c r="C131" s="843"/>
      <c r="D131" s="392">
        <f t="shared" si="25"/>
        <v>38.313681190007308</v>
      </c>
      <c r="E131" s="384">
        <f t="shared" si="47"/>
        <v>41.331405075555352</v>
      </c>
      <c r="F131" s="384">
        <f t="shared" si="26"/>
        <v>41.336226952588824</v>
      </c>
      <c r="G131" s="110">
        <f t="shared" si="48"/>
        <v>0.69347701639016124</v>
      </c>
      <c r="H131" s="413" t="b">
        <f>Wh_hp&gt;='2023'!Maxi_hp</f>
        <v>0</v>
      </c>
      <c r="I131" s="389">
        <f>IF(H131,Wh_hp,'2023'!Maxi_hp)</f>
        <v>41.337669114089941</v>
      </c>
      <c r="J131" s="85">
        <f>IF(H131,An,'2023'!An_max)</f>
        <v>2022</v>
      </c>
      <c r="K131" s="196">
        <f t="shared" si="27"/>
        <v>45408</v>
      </c>
      <c r="L131" s="147">
        <f>IF(t&lt;Tvie,1-EXP((T0-t)*PertePVj)+'2023'!Pspv,1-EXP((T0-t)*PertePVj)+Pspv)</f>
        <v>4.4966600077612419E-2</v>
      </c>
      <c r="M131" s="847"/>
      <c r="N131" s="847"/>
      <c r="O131" s="48">
        <f>IF(t&lt;Tnet,'2023'!Resal+('2023'!Salim-'2023'!Resal)*(1-EXP(('2023'!Tnet-t)/('2023'!Tau_j))),Resal+(Salim-Resal)*(1-EXP((Tnet-t)/(Tau_j))))*Salcycl</f>
        <v>7.3012854995651272E-2</v>
      </c>
      <c r="P131" s="168">
        <f>(INDEX(Models!$BJ131:$BT131,,T131)*(1-R131)+INDEX(Models!$BJ131:$BT131,,T131+1)*R131-ERP_i)*Q131*Ramure*Pc/MaxiM</f>
        <v>2.0748869072041395E-4</v>
      </c>
      <c r="Q131" s="304">
        <f t="shared" si="28"/>
        <v>0.5</v>
      </c>
      <c r="R131" s="176">
        <f t="shared" si="29"/>
        <v>0.37668662804374509</v>
      </c>
      <c r="S131" s="814">
        <f t="shared" si="30"/>
        <v>1</v>
      </c>
      <c r="T131" s="175">
        <f t="shared" si="31"/>
        <v>7</v>
      </c>
      <c r="U131" s="250">
        <f t="shared" si="32"/>
        <v>1.3766866280437451</v>
      </c>
      <c r="V131" s="382">
        <f t="shared" si="33"/>
        <v>52.759529297878814</v>
      </c>
      <c r="W131" s="401">
        <f t="shared" si="34"/>
        <v>36.590845210435106</v>
      </c>
      <c r="X131" s="157">
        <f t="shared" si="35"/>
        <v>45408</v>
      </c>
      <c r="Y131" s="384">
        <f t="shared" si="36"/>
        <v>36.073097331708247</v>
      </c>
      <c r="Z131" s="384">
        <f t="shared" si="37"/>
        <v>37.77155577453081</v>
      </c>
      <c r="AA131" s="385">
        <f t="shared" si="38"/>
        <v>41.331405075555352</v>
      </c>
      <c r="AB131" s="196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8.6129404372220247E-2</v>
      </c>
      <c r="AD131" s="230">
        <f>(INDEX(Models!$BJ131:$BT131,,AH131)*(1-AF131)+INDEX(Models!$BJ131:$BT131,,AH131+1)*AF131-ERP_i)*AE131*Ramure*Pc/MaxiM</f>
        <v>2.0748869072041395E-4</v>
      </c>
      <c r="AE131" s="304">
        <f t="shared" si="40"/>
        <v>0.5</v>
      </c>
      <c r="AF131" s="176">
        <f t="shared" si="41"/>
        <v>0.37668662804374509</v>
      </c>
      <c r="AG131" s="814">
        <f t="shared" si="49"/>
        <v>1</v>
      </c>
      <c r="AH131" s="175">
        <f t="shared" si="42"/>
        <v>7</v>
      </c>
      <c r="AI131" s="224">
        <f t="shared" si="43"/>
        <v>1.3766866280437451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10">
        <f>'2023'!Wh/'2023'!Env_an*'2024'!Env_an</f>
        <v>21.794430645278354</v>
      </c>
      <c r="C132" s="843"/>
      <c r="D132" s="392">
        <f t="shared" si="25"/>
        <v>22.821094436747806</v>
      </c>
      <c r="E132" s="384">
        <f t="shared" si="47"/>
        <v>24.62026625317522</v>
      </c>
      <c r="F132" s="384">
        <f t="shared" si="26"/>
        <v>24.621087519430652</v>
      </c>
      <c r="G132" s="110">
        <f t="shared" si="48"/>
        <v>0.41245479774203742</v>
      </c>
      <c r="H132" s="413" t="b">
        <f>Wh_hp&gt;='2023'!Maxi_hp</f>
        <v>0</v>
      </c>
      <c r="I132" s="389">
        <f>IF(H132,Wh_hp,'2023'!Maxi_hp)</f>
        <v>46.272317689396395</v>
      </c>
      <c r="J132" s="85">
        <f>IF(H132,An,'2023'!An_max)</f>
        <v>2019</v>
      </c>
      <c r="K132" s="196">
        <f t="shared" si="27"/>
        <v>45409</v>
      </c>
      <c r="L132" s="147">
        <f>IF(t&lt;Tvie,1-EXP((T0-t)*PertePVj)+'2023'!Pspv,1-EXP((T0-t)*PertePVj)+Pspv)</f>
        <v>4.4987491477019616E-2</v>
      </c>
      <c r="M132" s="847"/>
      <c r="N132" s="847"/>
      <c r="O132" s="48">
        <f>IF(t&lt;Tnet,'2023'!Resal+('2023'!Salim-'2023'!Resal)*(1-EXP(('2023'!Tnet-t)/('2023'!Tau_j))),Resal+(Salim-Resal)*(1-EXP((Tnet-t)/(Tau_j))))*Salcycl</f>
        <v>7.3076862692148054E-2</v>
      </c>
      <c r="P132" s="168">
        <f>(INDEX(Models!$BJ132:$BT132,,T132)*(1-R132)+INDEX(Models!$BJ132:$BT132,,T132+1)*R132-ERP_i)*Q132*Ramure*Pc/MaxiM</f>
        <v>2.0750063882353867E-4</v>
      </c>
      <c r="Q132" s="304">
        <f t="shared" si="28"/>
        <v>0.5</v>
      </c>
      <c r="R132" s="176">
        <f t="shared" si="29"/>
        <v>0.37820332246947141</v>
      </c>
      <c r="S132" s="814">
        <f t="shared" si="30"/>
        <v>1</v>
      </c>
      <c r="T132" s="175">
        <f t="shared" si="31"/>
        <v>7</v>
      </c>
      <c r="U132" s="250">
        <f t="shared" si="32"/>
        <v>1.3782033224694714</v>
      </c>
      <c r="V132" s="382">
        <f t="shared" si="33"/>
        <v>52.831571506428183</v>
      </c>
      <c r="W132" s="401">
        <f t="shared" si="34"/>
        <v>21.794430645278354</v>
      </c>
      <c r="X132" s="157">
        <f t="shared" si="35"/>
        <v>45409</v>
      </c>
      <c r="Y132" s="384">
        <f t="shared" si="36"/>
        <v>21.486204624632919</v>
      </c>
      <c r="Z132" s="384">
        <f t="shared" si="37"/>
        <v>22.49834890420799</v>
      </c>
      <c r="AA132" s="385">
        <f t="shared" si="38"/>
        <v>24.62026625317522</v>
      </c>
      <c r="AB132" s="196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8.6185800232504398E-2</v>
      </c>
      <c r="AD132" s="230">
        <f>(INDEX(Models!$BJ132:$BT132,,AH132)*(1-AF132)+INDEX(Models!$BJ132:$BT132,,AH132+1)*AF132-ERP_i)*AE132*Ramure*Pc/MaxiM</f>
        <v>2.0750063882353867E-4</v>
      </c>
      <c r="AE132" s="304">
        <f t="shared" si="40"/>
        <v>0.5</v>
      </c>
      <c r="AF132" s="176">
        <f t="shared" si="41"/>
        <v>0.37820332246947141</v>
      </c>
      <c r="AG132" s="814">
        <f t="shared" si="49"/>
        <v>1</v>
      </c>
      <c r="AH132" s="175">
        <f t="shared" si="42"/>
        <v>7</v>
      </c>
      <c r="AI132" s="224">
        <f t="shared" si="43"/>
        <v>1.3782033224694714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10">
        <f>'2023'!Wh/'2023'!Env_an*'2024'!Env_an</f>
        <v>41.058100376847229</v>
      </c>
      <c r="C133" s="843"/>
      <c r="D133" s="392">
        <f t="shared" si="25"/>
        <v>42.99315263189564</v>
      </c>
      <c r="E133" s="384">
        <f t="shared" si="47"/>
        <v>46.38590479164607</v>
      </c>
      <c r="F133" s="384">
        <f t="shared" si="26"/>
        <v>46.392502693441855</v>
      </c>
      <c r="G133" s="110">
        <f t="shared" si="48"/>
        <v>0.7760935493529203</v>
      </c>
      <c r="H133" s="413" t="b">
        <f>Wh_hp&gt;='2023'!Maxi_hp</f>
        <v>0</v>
      </c>
      <c r="I133" s="389">
        <f>IF(H133,Wh_hp,'2023'!Maxi_hp)</f>
        <v>53.368157207245993</v>
      </c>
      <c r="J133" s="85">
        <f>IF(H133,An,'2023'!An_max)</f>
        <v>2019</v>
      </c>
      <c r="K133" s="196">
        <f t="shared" si="27"/>
        <v>45410</v>
      </c>
      <c r="L133" s="147">
        <f>IF(t&lt;Tvie,1-EXP((T0-t)*PertePVj)+'2023'!Pspv,1-EXP((T0-t)*PertePVj)+Pspv)</f>
        <v>4.5008382418851502E-2</v>
      </c>
      <c r="M133" s="847"/>
      <c r="N133" s="847"/>
      <c r="O133" s="48">
        <f>IF(t&lt;Tnet,'2023'!Resal+('2023'!Salim-'2023'!Resal)*(1-EXP(('2023'!Tnet-t)/('2023'!Tau_j))),Resal+(Salim-Resal)*(1-EXP((Tnet-t)/(Tau_j))))*Salcycl</f>
        <v>7.3141877365329538E-2</v>
      </c>
      <c r="P133" s="168">
        <f>(INDEX(Models!$BJ133:$BT133,,T133)*(1-R133)+INDEX(Models!$BJ133:$BT133,,T133+1)*R133-ERP_i)*Q133*Ramure*Pc/MaxiM</f>
        <v>2.0908190341811014E-4</v>
      </c>
      <c r="Q133" s="304">
        <f t="shared" si="28"/>
        <v>0.5</v>
      </c>
      <c r="R133" s="176">
        <f t="shared" si="29"/>
        <v>0.37976480432615078</v>
      </c>
      <c r="S133" s="814">
        <f t="shared" si="30"/>
        <v>1</v>
      </c>
      <c r="T133" s="175">
        <f t="shared" si="31"/>
        <v>7</v>
      </c>
      <c r="U133" s="250">
        <f t="shared" si="32"/>
        <v>1.3797648043261508</v>
      </c>
      <c r="V133" s="382">
        <f t="shared" si="33"/>
        <v>52.900007689159288</v>
      </c>
      <c r="W133" s="401">
        <f t="shared" si="34"/>
        <v>41.058100376847229</v>
      </c>
      <c r="X133" s="157">
        <f t="shared" si="35"/>
        <v>45410</v>
      </c>
      <c r="Y133" s="384">
        <f t="shared" si="36"/>
        <v>40.477727801228873</v>
      </c>
      <c r="Z133" s="384">
        <f t="shared" si="37"/>
        <v>42.385427323176856</v>
      </c>
      <c r="AA133" s="385">
        <f t="shared" si="38"/>
        <v>46.38590479164607</v>
      </c>
      <c r="AB133" s="196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8.6243385494761057E-2</v>
      </c>
      <c r="AD133" s="230">
        <f>(INDEX(Models!$BJ133:$BT133,,AH133)*(1-AF133)+INDEX(Models!$BJ133:$BT133,,AH133+1)*AF133-ERP_i)*AE133*Ramure*Pc/MaxiM</f>
        <v>2.0908190341811014E-4</v>
      </c>
      <c r="AE133" s="304">
        <f t="shared" si="40"/>
        <v>0.5</v>
      </c>
      <c r="AF133" s="176">
        <f t="shared" si="41"/>
        <v>0.37976480432615078</v>
      </c>
      <c r="AG133" s="814">
        <f t="shared" si="49"/>
        <v>1</v>
      </c>
      <c r="AH133" s="175">
        <f t="shared" si="42"/>
        <v>7</v>
      </c>
      <c r="AI133" s="224">
        <f t="shared" si="43"/>
        <v>1.3797648043261508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10">
        <f>'2023'!Wh/'2023'!Env_an*'2024'!Env_an</f>
        <v>41.638129771865707</v>
      </c>
      <c r="C134" s="843"/>
      <c r="D134" s="392">
        <f t="shared" si="25"/>
        <v>43.601472370201265</v>
      </c>
      <c r="E134" s="384">
        <f t="shared" si="47"/>
        <v>47.045580068748372</v>
      </c>
      <c r="F134" s="384">
        <f t="shared" si="26"/>
        <v>47.052515986677726</v>
      </c>
      <c r="G134" s="110">
        <f t="shared" si="48"/>
        <v>0.78608997510463519</v>
      </c>
      <c r="H134" s="413" t="b">
        <f>Wh_hp&gt;='2023'!Maxi_hp</f>
        <v>0</v>
      </c>
      <c r="I134" s="389">
        <f>IF(H134,Wh_hp,'2023'!Maxi_hp)</f>
        <v>60.260535835391735</v>
      </c>
      <c r="J134" s="85">
        <f>IF(H134,An,'2023'!An_max)</f>
        <v>2019</v>
      </c>
      <c r="K134" s="196">
        <f t="shared" si="27"/>
        <v>45411</v>
      </c>
      <c r="L134" s="147">
        <f>IF(t&lt;Tvie,1-EXP((T0-t)*PertePVj)+'2023'!Pspv,1-EXP((T0-t)*PertePVj)+Pspv)</f>
        <v>4.502927290311818E-2</v>
      </c>
      <c r="M134" s="847"/>
      <c r="N134" s="847"/>
      <c r="O134" s="48">
        <f>IF(t&lt;Tnet,'2023'!Resal+('2023'!Salim-'2023'!Resal)*(1-EXP(('2023'!Tnet-t)/('2023'!Tau_j))),Resal+(Salim-Resal)*(1-EXP((Tnet-t)/(Tau_j))))*Salcycl</f>
        <v>7.3207891017906104E-2</v>
      </c>
      <c r="P134" s="168">
        <f>(INDEX(Models!$BJ134:$BT134,,T134)*(1-R134)+INDEX(Models!$BJ134:$BT134,,T134+1)*R134-ERP_i)*Q134*Ramure*Pc/MaxiM</f>
        <v>2.122545063414002E-4</v>
      </c>
      <c r="Q134" s="304">
        <f t="shared" si="28"/>
        <v>0.5</v>
      </c>
      <c r="R134" s="176">
        <f t="shared" si="29"/>
        <v>0.38137170972051826</v>
      </c>
      <c r="S134" s="814">
        <f t="shared" si="30"/>
        <v>1</v>
      </c>
      <c r="T134" s="175">
        <f t="shared" si="31"/>
        <v>7</v>
      </c>
      <c r="U134" s="250">
        <f t="shared" si="32"/>
        <v>1.3813717097205183</v>
      </c>
      <c r="V134" s="382">
        <f t="shared" si="33"/>
        <v>52.965221037937752</v>
      </c>
      <c r="W134" s="401">
        <f t="shared" si="34"/>
        <v>41.638129771865707</v>
      </c>
      <c r="X134" s="157">
        <f t="shared" si="35"/>
        <v>45411</v>
      </c>
      <c r="Y134" s="384">
        <f t="shared" si="36"/>
        <v>41.049842013092537</v>
      </c>
      <c r="Z134" s="384">
        <f t="shared" si="37"/>
        <v>42.985445363214815</v>
      </c>
      <c r="AA134" s="385">
        <f t="shared" si="38"/>
        <v>47.045580068748372</v>
      </c>
      <c r="AB134" s="196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8.6302149949058327E-2</v>
      </c>
      <c r="AD134" s="230">
        <f>(INDEX(Models!$BJ134:$BT134,,AH134)*(1-AF134)+INDEX(Models!$BJ134:$BT134,,AH134+1)*AF134-ERP_i)*AE134*Ramure*Pc/MaxiM</f>
        <v>2.122545063414002E-4</v>
      </c>
      <c r="AE134" s="304">
        <f t="shared" si="40"/>
        <v>0.5</v>
      </c>
      <c r="AF134" s="176">
        <f t="shared" si="41"/>
        <v>0.38137170972051826</v>
      </c>
      <c r="AG134" s="814">
        <f t="shared" si="49"/>
        <v>1</v>
      </c>
      <c r="AH134" s="175">
        <f t="shared" si="42"/>
        <v>7</v>
      </c>
      <c r="AI134" s="224">
        <f t="shared" si="43"/>
        <v>1.3813717097205183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10">
        <f>'2023'!Wh/'2023'!Env_an*'2024'!Env_an</f>
        <v>45.487397691303265</v>
      </c>
      <c r="C135" s="843"/>
      <c r="D135" s="392">
        <f t="shared" si="25"/>
        <v>47.633284938673505</v>
      </c>
      <c r="E135" s="384">
        <f t="shared" si="47"/>
        <v>47.899785322041197</v>
      </c>
      <c r="F135" s="384">
        <f t="shared" si="26"/>
        <v>47.907204104337467</v>
      </c>
      <c r="G135" s="110">
        <f t="shared" si="48"/>
        <v>0.79937538489233695</v>
      </c>
      <c r="H135" s="413" t="b">
        <f>Wh_hp&gt;='2023'!Maxi_hp</f>
        <v>0</v>
      </c>
      <c r="I135" s="389">
        <f>IF(H135,Wh_hp,'2023'!Maxi_hp)</f>
        <v>56.919945297038041</v>
      </c>
      <c r="J135" s="85">
        <f>IF(H135,An,'2023'!An_max)</f>
        <v>2019</v>
      </c>
      <c r="K135" s="196">
        <f t="shared" si="27"/>
        <v>45412</v>
      </c>
      <c r="L135" s="147">
        <f>IF(t&lt;Tvie,1-EXP((T0-t)*PertePVj)+'2023'!Pspv,1-EXP((T0-t)*PertePVj)+Pspv)</f>
        <v>4.5050162929829642E-2</v>
      </c>
      <c r="M135" s="847"/>
      <c r="N135" s="847"/>
      <c r="O135" s="48">
        <f>IF(t&lt;Tnet,'2023'!Resal+('2023'!Salim-'2023'!Resal)*(1-EXP(('2023'!Tnet-t)/('2023'!Tau_j))),Resal+(Salim-Resal)*(1-EXP((Tnet-t)/(Tau_j))))*Salcycl</f>
        <v>5.5637072603969369E-3</v>
      </c>
      <c r="P135" s="168">
        <f>(INDEX(Models!$BJ135:$BT135,,T135)*(1-R135)+INDEX(Models!$BJ135:$BT135,,T135+1)*R135-ERP_i)*Q135*Ramure*Pc/MaxiM</f>
        <v>2.170498381761369E-4</v>
      </c>
      <c r="Q135" s="304">
        <f t="shared" si="28"/>
        <v>0.5</v>
      </c>
      <c r="R135" s="176">
        <f t="shared" si="29"/>
        <v>0.3830246333753542</v>
      </c>
      <c r="S135" s="814">
        <f t="shared" si="30"/>
        <v>1</v>
      </c>
      <c r="T135" s="175">
        <f t="shared" si="31"/>
        <v>7</v>
      </c>
      <c r="U135" s="250">
        <f t="shared" si="32"/>
        <v>1.3830246333753542</v>
      </c>
      <c r="V135" s="382">
        <f t="shared" si="33"/>
        <v>56.900136203809517</v>
      </c>
      <c r="W135" s="401">
        <f t="shared" si="34"/>
        <v>45.487397691303265</v>
      </c>
      <c r="X135" s="157">
        <f t="shared" si="35"/>
        <v>45412</v>
      </c>
      <c r="Y135" s="384">
        <f t="shared" si="36"/>
        <v>42.390159908138031</v>
      </c>
      <c r="Z135" s="384">
        <f t="shared" si="37"/>
        <v>44.389933651586325</v>
      </c>
      <c r="AA135" s="385">
        <f t="shared" si="38"/>
        <v>47.899785322041197</v>
      </c>
      <c r="AB135" s="196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7.3274893548213912E-2</v>
      </c>
      <c r="AD135" s="230">
        <f>(INDEX(Models!$BJ135:$BT135,,AH135)*(1-AF135)+INDEX(Models!$BJ135:$BT135,,AH135+1)*AF135-ERP_i)*AE135*Ramure*Pc/MaxiM</f>
        <v>2.170498381761369E-4</v>
      </c>
      <c r="AE135" s="304">
        <f t="shared" si="40"/>
        <v>0.5</v>
      </c>
      <c r="AF135" s="176">
        <f t="shared" si="41"/>
        <v>0.3830246333753542</v>
      </c>
      <c r="AG135" s="814">
        <f t="shared" si="49"/>
        <v>1</v>
      </c>
      <c r="AH135" s="175">
        <f t="shared" si="42"/>
        <v>7</v>
      </c>
      <c r="AI135" s="224">
        <f t="shared" si="43"/>
        <v>1.3830246333753542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10">
        <f>'2023'!Wh/'2023'!Env_an*'2024'!Env_an</f>
        <v>27.553879608281449</v>
      </c>
      <c r="C136" s="843"/>
      <c r="D136" s="392">
        <f t="shared" si="25"/>
        <v>28.854376737021557</v>
      </c>
      <c r="E136" s="384">
        <f t="shared" si="47"/>
        <v>29.018837219688347</v>
      </c>
      <c r="F136" s="384">
        <f t="shared" si="26"/>
        <v>29.020541152907057</v>
      </c>
      <c r="G136" s="110">
        <f t="shared" si="48"/>
        <v>0.48368738085697105</v>
      </c>
      <c r="H136" s="413" t="b">
        <f>Wh_hp&gt;='2023'!Maxi_hp</f>
        <v>0</v>
      </c>
      <c r="I136" s="389">
        <f>IF(H136,Wh_hp,'2023'!Maxi_hp)</f>
        <v>40.444664400159141</v>
      </c>
      <c r="J136" s="85">
        <f>IF(H136,An,'2023'!An_max)</f>
        <v>2021</v>
      </c>
      <c r="K136" s="196">
        <f t="shared" si="27"/>
        <v>45413</v>
      </c>
      <c r="L136" s="147">
        <f>IF(t&lt;Tvie,1-EXP((T0-t)*PertePVj)+'2023'!Pspv,1-EXP((T0-t)*PertePVj)+Pspv)</f>
        <v>4.5071052498995991E-2</v>
      </c>
      <c r="M136" s="847"/>
      <c r="N136" s="847"/>
      <c r="O136" s="48">
        <f>IF(t&lt;Tnet,'2023'!Resal+('2023'!Salim-'2023'!Resal)*(1-EXP(('2023'!Tnet-t)/('2023'!Tau_j))),Resal+(Salim-Resal)*(1-EXP((Tnet-t)/(Tau_j))))*Salcycl</f>
        <v>5.6673698336613901E-3</v>
      </c>
      <c r="P136" s="168">
        <f>(INDEX(Models!$BJ136:$BT136,,T136)*(1-R136)+INDEX(Models!$BJ136:$BT136,,T136+1)*R136-ERP_i)*Q136*Ramure*Pc/MaxiM</f>
        <v>2.2365425102199954E-4</v>
      </c>
      <c r="Q136" s="304">
        <f t="shared" si="28"/>
        <v>0.5</v>
      </c>
      <c r="R136" s="176">
        <f t="shared" si="29"/>
        <v>0.38472412463661532</v>
      </c>
      <c r="S136" s="814">
        <f t="shared" si="30"/>
        <v>1</v>
      </c>
      <c r="T136" s="175">
        <f t="shared" si="31"/>
        <v>7</v>
      </c>
      <c r="U136" s="250">
        <f t="shared" si="32"/>
        <v>1.3847241246366153</v>
      </c>
      <c r="V136" s="382">
        <f t="shared" si="33"/>
        <v>56.956901726254884</v>
      </c>
      <c r="W136" s="401">
        <f t="shared" si="34"/>
        <v>27.553879608281449</v>
      </c>
      <c r="X136" s="157">
        <f t="shared" si="35"/>
        <v>45413</v>
      </c>
      <c r="Y136" s="384">
        <f t="shared" si="36"/>
        <v>25.678528642745658</v>
      </c>
      <c r="Z136" s="384">
        <f t="shared" si="37"/>
        <v>26.890512335964829</v>
      </c>
      <c r="AA136" s="385">
        <f t="shared" si="38"/>
        <v>29.018837219688347</v>
      </c>
      <c r="AB136" s="196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7.3342872686832442E-2</v>
      </c>
      <c r="AD136" s="230">
        <f>(INDEX(Models!$BJ136:$BT136,,AH136)*(1-AF136)+INDEX(Models!$BJ136:$BT136,,AH136+1)*AF136-ERP_i)*AE136*Ramure*Pc/MaxiM</f>
        <v>2.2365425102199954E-4</v>
      </c>
      <c r="AE136" s="304">
        <f t="shared" si="40"/>
        <v>0.5</v>
      </c>
      <c r="AF136" s="176">
        <f t="shared" si="41"/>
        <v>0.38472412463661532</v>
      </c>
      <c r="AG136" s="814">
        <f t="shared" si="49"/>
        <v>1</v>
      </c>
      <c r="AH136" s="175">
        <f t="shared" si="42"/>
        <v>7</v>
      </c>
      <c r="AI136" s="224">
        <f t="shared" si="43"/>
        <v>1.3847241246366153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10">
        <f>'2023'!Wh/'2023'!Env_an*'2024'!Env_an</f>
        <v>11.152456422473005</v>
      </c>
      <c r="C137" s="843"/>
      <c r="D137" s="392">
        <f t="shared" si="25"/>
        <v>11.679089232196512</v>
      </c>
      <c r="E137" s="384">
        <f t="shared" si="47"/>
        <v>11.746881755023049</v>
      </c>
      <c r="F137" s="384">
        <f t="shared" si="26"/>
        <v>11.746881755023049</v>
      </c>
      <c r="G137" s="110">
        <f t="shared" si="48"/>
        <v>0.19558548533395853</v>
      </c>
      <c r="H137" s="413" t="b">
        <f>Wh_hp&gt;='2023'!Maxi_hp</f>
        <v>0</v>
      </c>
      <c r="I137" s="389">
        <f>IF(H137,Wh_hp,'2023'!Maxi_hp)</f>
        <v>59.833471224448644</v>
      </c>
      <c r="J137" s="85">
        <f>IF(H137,An,'2023'!An_max)</f>
        <v>2021</v>
      </c>
      <c r="K137" s="196">
        <f t="shared" si="27"/>
        <v>45414</v>
      </c>
      <c r="L137" s="147">
        <f>IF(t&lt;Tvie,1-EXP((T0-t)*PertePVj)+'2023'!Pspv,1-EXP((T0-t)*PertePVj)+Pspv)</f>
        <v>4.5091941610626997E-2</v>
      </c>
      <c r="M137" s="847"/>
      <c r="N137" s="847"/>
      <c r="O137" s="48">
        <f>IF(t&lt;Tnet,'2023'!Resal+('2023'!Salim-'2023'!Resal)*(1-EXP(('2023'!Tnet-t)/('2023'!Tau_j))),Resal+(Salim-Resal)*(1-EXP((Tnet-t)/(Tau_j))))*Salcycl</f>
        <v>5.7711079621234236E-3</v>
      </c>
      <c r="P137" s="168">
        <f>(INDEX(Models!$BJ137:$BT137,,T137)*(1-R137)+INDEX(Models!$BJ137:$BT137,,T137+1)*R137-ERP_i)*Q137*Ramure*Pc/MaxiM</f>
        <v>2.3138330097722003E-4</v>
      </c>
      <c r="Q137" s="304">
        <f t="shared" si="28"/>
        <v>0.5</v>
      </c>
      <c r="R137" s="176">
        <f t="shared" si="29"/>
        <v>0.38647068339595347</v>
      </c>
      <c r="S137" s="814">
        <f t="shared" si="30"/>
        <v>1</v>
      </c>
      <c r="T137" s="175">
        <f t="shared" si="31"/>
        <v>7</v>
      </c>
      <c r="U137" s="250">
        <f t="shared" si="32"/>
        <v>1.3864706833959535</v>
      </c>
      <c r="V137" s="382">
        <f t="shared" si="33"/>
        <v>57.007685980653235</v>
      </c>
      <c r="W137" s="401">
        <f t="shared" si="34"/>
        <v>11.152456422473005</v>
      </c>
      <c r="X137" s="157">
        <f t="shared" si="35"/>
        <v>45414</v>
      </c>
      <c r="Y137" s="384">
        <f t="shared" si="36"/>
        <v>10.393717633240126</v>
      </c>
      <c r="Z137" s="384">
        <f t="shared" si="37"/>
        <v>10.884521857288576</v>
      </c>
      <c r="AA137" s="385">
        <f t="shared" si="38"/>
        <v>11.746881755023049</v>
      </c>
      <c r="AB137" s="196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7.3411813936555742E-2</v>
      </c>
      <c r="AD137" s="230">
        <f>(INDEX(Models!$BJ137:$BT137,,AH137)*(1-AF137)+INDEX(Models!$BJ137:$BT137,,AH137+1)*AF137-ERP_i)*AE137*Ramure*Pc/MaxiM</f>
        <v>2.3138330097722003E-4</v>
      </c>
      <c r="AE137" s="304">
        <f t="shared" si="40"/>
        <v>0.5</v>
      </c>
      <c r="AF137" s="176">
        <f t="shared" si="41"/>
        <v>0.38647068339595347</v>
      </c>
      <c r="AG137" s="814">
        <f t="shared" si="49"/>
        <v>1</v>
      </c>
      <c r="AH137" s="175">
        <f t="shared" si="42"/>
        <v>7</v>
      </c>
      <c r="AI137" s="224">
        <f t="shared" si="43"/>
        <v>1.3864706833959535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10">
        <f>'2023'!Wh/'2023'!Env_an*'2024'!Env_an</f>
        <v>17.504119659138954</v>
      </c>
      <c r="C138" s="843"/>
      <c r="D138" s="392">
        <f t="shared" si="25"/>
        <v>18.331086869657906</v>
      </c>
      <c r="E138" s="384">
        <f t="shared" si="47"/>
        <v>18.439417045467387</v>
      </c>
      <c r="F138" s="384">
        <f t="shared" si="26"/>
        <v>18.439460114207879</v>
      </c>
      <c r="G138" s="110">
        <f t="shared" si="48"/>
        <v>0.30673208000173102</v>
      </c>
      <c r="H138" s="413" t="b">
        <f>Wh_hp&gt;='2023'!Maxi_hp</f>
        <v>0</v>
      </c>
      <c r="I138" s="389">
        <f>IF(H138,Wh_hp,'2023'!Maxi_hp)</f>
        <v>55.569460873367788</v>
      </c>
      <c r="J138" s="85">
        <f>IF(H138,An,'2023'!An_max)</f>
        <v>2020</v>
      </c>
      <c r="K138" s="196">
        <f t="shared" si="27"/>
        <v>45415</v>
      </c>
      <c r="L138" s="147">
        <f>IF(t&lt;Tvie,1-EXP((T0-t)*PertePVj)+'2023'!Pspv,1-EXP((T0-t)*PertePVj)+Pspv)</f>
        <v>4.5112830264732985E-2</v>
      </c>
      <c r="M138" s="847"/>
      <c r="N138" s="847"/>
      <c r="O138" s="48">
        <f>IF(t&lt;Tnet,'2023'!Resal+('2023'!Salim-'2023'!Resal)*(1-EXP(('2023'!Tnet-t)/('2023'!Tau_j))),Resal+(Salim-Resal)*(1-EXP((Tnet-t)/(Tau_j))))*Salcycl</f>
        <v>5.874924111883003E-3</v>
      </c>
      <c r="P138" s="168">
        <f>(INDEX(Models!$BJ138:$BT138,,T138)*(1-R138)+INDEX(Models!$BJ138:$BT138,,T138+1)*R138-ERP_i)*Q138*Ramure*Pc/MaxiM</f>
        <v>2.4025864371496824E-4</v>
      </c>
      <c r="Q138" s="304">
        <f t="shared" si="28"/>
        <v>0.5</v>
      </c>
      <c r="R138" s="176">
        <f t="shared" si="29"/>
        <v>0.38826475594572774</v>
      </c>
      <c r="S138" s="814">
        <f t="shared" si="30"/>
        <v>1</v>
      </c>
      <c r="T138" s="175">
        <f t="shared" si="31"/>
        <v>7</v>
      </c>
      <c r="U138" s="250">
        <f t="shared" si="32"/>
        <v>1.3882647559457277</v>
      </c>
      <c r="V138" s="382">
        <f t="shared" si="33"/>
        <v>57.052901076879586</v>
      </c>
      <c r="W138" s="401">
        <f t="shared" si="34"/>
        <v>17.504119659138954</v>
      </c>
      <c r="X138" s="157">
        <f t="shared" si="35"/>
        <v>45415</v>
      </c>
      <c r="Y138" s="384">
        <f t="shared" si="36"/>
        <v>16.313729100990571</v>
      </c>
      <c r="Z138" s="384">
        <f t="shared" si="37"/>
        <v>17.084457324432783</v>
      </c>
      <c r="AA138" s="385">
        <f t="shared" si="38"/>
        <v>18.439417045467387</v>
      </c>
      <c r="AB138" s="196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7.3481700516539211E-2</v>
      </c>
      <c r="AD138" s="230">
        <f>(INDEX(Models!$BJ138:$BT138,,AH138)*(1-AF138)+INDEX(Models!$BJ138:$BT138,,AH138+1)*AF138-ERP_i)*AE138*Ramure*Pc/MaxiM</f>
        <v>2.4025864371496824E-4</v>
      </c>
      <c r="AE138" s="304">
        <f t="shared" si="40"/>
        <v>0.5</v>
      </c>
      <c r="AF138" s="176">
        <f t="shared" si="41"/>
        <v>0.38826475594572774</v>
      </c>
      <c r="AG138" s="814">
        <f t="shared" si="49"/>
        <v>1</v>
      </c>
      <c r="AH138" s="175">
        <f t="shared" si="42"/>
        <v>7</v>
      </c>
      <c r="AI138" s="224">
        <f t="shared" si="43"/>
        <v>1.3882647559457277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10">
        <f>'2023'!Wh/'2023'!Env_an*'2024'!Env_an</f>
        <v>37.755827986949313</v>
      </c>
      <c r="C139" s="843"/>
      <c r="D139" s="392">
        <f t="shared" si="25"/>
        <v>39.540434840896658</v>
      </c>
      <c r="E139" s="384">
        <f t="shared" si="47"/>
        <v>39.778261926991533</v>
      </c>
      <c r="F139" s="384">
        <f t="shared" si="26"/>
        <v>39.783401696614654</v>
      </c>
      <c r="G139" s="110">
        <f t="shared" si="48"/>
        <v>0.66122435325665119</v>
      </c>
      <c r="H139" s="413" t="b">
        <f>Wh_hp&gt;='2023'!Maxi_hp</f>
        <v>0</v>
      </c>
      <c r="I139" s="389">
        <f>IF(H139,Wh_hp,'2023'!Maxi_hp)</f>
        <v>58.993355519975921</v>
      </c>
      <c r="J139" s="85">
        <f>IF(H139,An,'2023'!An_max)</f>
        <v>2020</v>
      </c>
      <c r="K139" s="196">
        <f t="shared" si="27"/>
        <v>45416</v>
      </c>
      <c r="L139" s="147">
        <f>IF(t&lt;Tvie,1-EXP((T0-t)*PertePVj)+'2023'!Pspv,1-EXP((T0-t)*PertePVj)+Pspv)</f>
        <v>4.5133718461323726E-2</v>
      </c>
      <c r="M139" s="847"/>
      <c r="N139" s="847"/>
      <c r="O139" s="48">
        <f>IF(t&lt;Tnet,'2023'!Resal+('2023'!Salim-'2023'!Resal)*(1-EXP(('2023'!Tnet-t)/('2023'!Tau_j))),Resal+(Salim-Resal)*(1-EXP((Tnet-t)/(Tau_j))))*Salcycl</f>
        <v>5.9788204555388117E-3</v>
      </c>
      <c r="P139" s="168">
        <f>(INDEX(Models!$BJ139:$BT139,,T139)*(1-R139)+INDEX(Models!$BJ139:$BT139,,T139+1)*R139-ERP_i)*Q139*Ramure*Pc/MaxiM</f>
        <v>2.5030323537555851E-4</v>
      </c>
      <c r="Q139" s="304">
        <f t="shared" si="28"/>
        <v>0.5</v>
      </c>
      <c r="R139" s="176">
        <f t="shared" si="29"/>
        <v>0.39010673078567359</v>
      </c>
      <c r="S139" s="814">
        <f t="shared" si="30"/>
        <v>1</v>
      </c>
      <c r="T139" s="175">
        <f t="shared" si="31"/>
        <v>7</v>
      </c>
      <c r="U139" s="250">
        <f t="shared" si="32"/>
        <v>1.3901067307856736</v>
      </c>
      <c r="V139" s="382">
        <f t="shared" si="33"/>
        <v>57.092958878363767</v>
      </c>
      <c r="W139" s="401">
        <f t="shared" si="34"/>
        <v>37.755827986949313</v>
      </c>
      <c r="X139" s="157">
        <f t="shared" si="35"/>
        <v>45416</v>
      </c>
      <c r="Y139" s="384">
        <f t="shared" si="36"/>
        <v>35.189181745990325</v>
      </c>
      <c r="Z139" s="384">
        <f t="shared" si="37"/>
        <v>36.852470787099428</v>
      </c>
      <c r="AA139" s="385">
        <f t="shared" si="38"/>
        <v>39.778261926991533</v>
      </c>
      <c r="AB139" s="196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7.3552513311468018E-2</v>
      </c>
      <c r="AD139" s="230">
        <f>(INDEX(Models!$BJ139:$BT139,,AH139)*(1-AF139)+INDEX(Models!$BJ139:$BT139,,AH139+1)*AF139-ERP_i)*AE139*Ramure*Pc/MaxiM</f>
        <v>2.5030323537555851E-4</v>
      </c>
      <c r="AE139" s="304">
        <f t="shared" si="40"/>
        <v>0.5</v>
      </c>
      <c r="AF139" s="176">
        <f t="shared" si="41"/>
        <v>0.39010673078567359</v>
      </c>
      <c r="AG139" s="814">
        <f t="shared" si="49"/>
        <v>1</v>
      </c>
      <c r="AH139" s="175">
        <f t="shared" si="42"/>
        <v>7</v>
      </c>
      <c r="AI139" s="224">
        <f t="shared" si="43"/>
        <v>1.3901067307856736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10">
        <f>'2023'!Wh/'2023'!Env_an*'2024'!Env_an</f>
        <v>36.770336663184601</v>
      </c>
      <c r="C140" s="843"/>
      <c r="D140" s="392">
        <f t="shared" si="25"/>
        <v>38.509204633501334</v>
      </c>
      <c r="E140" s="384">
        <f t="shared" si="47"/>
        <v>38.74488195704425</v>
      </c>
      <c r="F140" s="384">
        <f t="shared" si="26"/>
        <v>38.749857293847548</v>
      </c>
      <c r="G140" s="110">
        <f t="shared" si="48"/>
        <v>0.64355947761879084</v>
      </c>
      <c r="H140" s="413" t="b">
        <f>Wh_hp&gt;='2023'!Maxi_hp</f>
        <v>0</v>
      </c>
      <c r="I140" s="389">
        <f>IF(H140,Wh_hp,'2023'!Maxi_hp)</f>
        <v>62.888390720107274</v>
      </c>
      <c r="J140" s="85">
        <f>IF(H140,An,'2023'!An_max)</f>
        <v>2019</v>
      </c>
      <c r="K140" s="196">
        <f t="shared" si="27"/>
        <v>45417</v>
      </c>
      <c r="L140" s="147">
        <f>IF(t&lt;Tvie,1-EXP((T0-t)*PertePVj)+'2023'!Pspv,1-EXP((T0-t)*PertePVj)+Pspv)</f>
        <v>4.5154606200409432E-2</v>
      </c>
      <c r="M140" s="847"/>
      <c r="N140" s="847"/>
      <c r="O140" s="48">
        <f>IF(t&lt;Tnet,'2023'!Resal+('2023'!Salim-'2023'!Resal)*(1-EXP(('2023'!Tnet-t)/('2023'!Tau_j))),Resal+(Salim-Resal)*(1-EXP((Tnet-t)/(Tau_j))))*Salcycl</f>
        <v>6.0827988533868494E-3</v>
      </c>
      <c r="P140" s="168">
        <f>(INDEX(Models!$BJ140:$BT140,,T140)*(1-R140)+INDEX(Models!$BJ140:$BT140,,T140+1)*R140-ERP_i)*Q140*Ramure*Pc/MaxiM</f>
        <v>2.6154122447817721E-4</v>
      </c>
      <c r="Q140" s="304">
        <f t="shared" si="28"/>
        <v>0.5</v>
      </c>
      <c r="R140" s="176">
        <f t="shared" si="29"/>
        <v>0.39199693440247851</v>
      </c>
      <c r="S140" s="814">
        <f t="shared" si="30"/>
        <v>1</v>
      </c>
      <c r="T140" s="175">
        <f t="shared" si="31"/>
        <v>7</v>
      </c>
      <c r="U140" s="250">
        <f t="shared" si="32"/>
        <v>1.3919969344024785</v>
      </c>
      <c r="V140" s="382">
        <f t="shared" si="33"/>
        <v>57.128271011433903</v>
      </c>
      <c r="W140" s="401">
        <f t="shared" si="34"/>
        <v>36.770336663184601</v>
      </c>
      <c r="X140" s="157">
        <f t="shared" si="35"/>
        <v>45417</v>
      </c>
      <c r="Y140" s="384">
        <f t="shared" si="36"/>
        <v>34.27161625719512</v>
      </c>
      <c r="Z140" s="384">
        <f t="shared" si="37"/>
        <v>35.892319824489071</v>
      </c>
      <c r="AA140" s="385">
        <f t="shared" si="38"/>
        <v>38.74488195704425</v>
      </c>
      <c r="AB140" s="196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7.3624230826610015E-2</v>
      </c>
      <c r="AD140" s="230">
        <f>(INDEX(Models!$BJ140:$BT140,,AH140)*(1-AF140)+INDEX(Models!$BJ140:$BT140,,AH140+1)*AF140-ERP_i)*AE140*Ramure*Pc/MaxiM</f>
        <v>2.6154122447817721E-4</v>
      </c>
      <c r="AE140" s="304">
        <f t="shared" si="40"/>
        <v>0.5</v>
      </c>
      <c r="AF140" s="176">
        <f t="shared" si="41"/>
        <v>0.39199693440247851</v>
      </c>
      <c r="AG140" s="814">
        <f t="shared" si="49"/>
        <v>1</v>
      </c>
      <c r="AH140" s="175">
        <f t="shared" si="42"/>
        <v>7</v>
      </c>
      <c r="AI140" s="224">
        <f t="shared" si="43"/>
        <v>1.3919969344024785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10">
        <f>'2023'!Wh/'2023'!Env_an*'2024'!Env_an</f>
        <v>48.543029039590955</v>
      </c>
      <c r="C141" s="843"/>
      <c r="D141" s="392">
        <f t="shared" si="25"/>
        <v>50.839739353375975</v>
      </c>
      <c r="E141" s="384">
        <f t="shared" si="47"/>
        <v>51.156235865513793</v>
      </c>
      <c r="F141" s="384">
        <f t="shared" si="26"/>
        <v>51.167236520607041</v>
      </c>
      <c r="G141" s="110">
        <f t="shared" si="48"/>
        <v>0.84920927359490528</v>
      </c>
      <c r="H141" s="413" t="b">
        <f>Wh_hp&gt;='2023'!Maxi_hp</f>
        <v>0</v>
      </c>
      <c r="I141" s="389">
        <f>IF(H141,Wh_hp,'2023'!Maxi_hp)</f>
        <v>58.152952169417603</v>
      </c>
      <c r="J141" s="85">
        <f>IF(H141,An,'2023'!An_max)</f>
        <v>2020</v>
      </c>
      <c r="K141" s="196">
        <f t="shared" si="27"/>
        <v>45418</v>
      </c>
      <c r="L141" s="147">
        <f>IF(t&lt;Tvie,1-EXP((T0-t)*PertePVj)+'2023'!Pspv,1-EXP((T0-t)*PertePVj)+Pspv)</f>
        <v>4.5175493482000097E-2</v>
      </c>
      <c r="M141" s="847"/>
      <c r="N141" s="847"/>
      <c r="O141" s="48">
        <f>IF(t&lt;Tnet,'2023'!Resal+('2023'!Salim-'2023'!Resal)*(1-EXP(('2023'!Tnet-t)/('2023'!Tau_j))),Resal+(Salim-Resal)*(1-EXP((Tnet-t)/(Tau_j))))*Salcycl</f>
        <v>6.1868608349110801E-3</v>
      </c>
      <c r="P141" s="168">
        <f>(INDEX(Models!$BJ141:$BT141,,T141)*(1-R141)+INDEX(Models!$BJ141:$BT141,,T141+1)*R141-ERP_i)*Q141*Ramure*Pc/MaxiM</f>
        <v>2.7399783621862136E-4</v>
      </c>
      <c r="Q141" s="304">
        <f t="shared" si="28"/>
        <v>0.5</v>
      </c>
      <c r="R141" s="176">
        <f t="shared" si="29"/>
        <v>0.39393562704556984</v>
      </c>
      <c r="S141" s="814">
        <f t="shared" si="30"/>
        <v>1</v>
      </c>
      <c r="T141" s="175">
        <f t="shared" si="31"/>
        <v>7</v>
      </c>
      <c r="U141" s="250">
        <f t="shared" si="32"/>
        <v>1.3939356270455698</v>
      </c>
      <c r="V141" s="382">
        <f t="shared" si="33"/>
        <v>57.159248861209029</v>
      </c>
      <c r="W141" s="401">
        <f t="shared" si="34"/>
        <v>48.543029039590955</v>
      </c>
      <c r="X141" s="157">
        <f t="shared" si="35"/>
        <v>45418</v>
      </c>
      <c r="Y141" s="384">
        <f t="shared" si="36"/>
        <v>45.245489267560984</v>
      </c>
      <c r="Z141" s="384">
        <f t="shared" si="37"/>
        <v>47.3861834909953</v>
      </c>
      <c r="AA141" s="385">
        <f t="shared" si="38"/>
        <v>51.156235865513793</v>
      </c>
      <c r="AB141" s="196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7.3696829149621182E-2</v>
      </c>
      <c r="AD141" s="230">
        <f>(INDEX(Models!$BJ141:$BT141,,AH141)*(1-AF141)+INDEX(Models!$BJ141:$BT141,,AH141+1)*AF141-ERP_i)*AE141*Ramure*Pc/MaxiM</f>
        <v>2.7399783621862136E-4</v>
      </c>
      <c r="AE141" s="304">
        <f t="shared" si="40"/>
        <v>0.5</v>
      </c>
      <c r="AF141" s="176">
        <f t="shared" si="41"/>
        <v>0.39393562704556984</v>
      </c>
      <c r="AG141" s="814">
        <f t="shared" si="49"/>
        <v>1</v>
      </c>
      <c r="AH141" s="175">
        <f t="shared" si="42"/>
        <v>7</v>
      </c>
      <c r="AI141" s="224">
        <f t="shared" si="43"/>
        <v>1.3939356270455698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10">
        <f>'2023'!Wh/'2023'!Env_an*'2024'!Env_an</f>
        <v>50.023044722719369</v>
      </c>
      <c r="C142" s="843"/>
      <c r="D142" s="392">
        <f t="shared" si="25"/>
        <v>52.390924888571881</v>
      </c>
      <c r="E142" s="384">
        <f t="shared" si="47"/>
        <v>52.722603184882445</v>
      </c>
      <c r="F142" s="384">
        <f t="shared" si="26"/>
        <v>52.735058557200553</v>
      </c>
      <c r="G142" s="110">
        <f t="shared" si="48"/>
        <v>0.87469313826540018</v>
      </c>
      <c r="H142" s="413" t="b">
        <f>Wh_hp&gt;='2023'!Maxi_hp</f>
        <v>0</v>
      </c>
      <c r="I142" s="389">
        <f>IF(H142,Wh_hp,'2023'!Maxi_hp)</f>
        <v>57.718187862260137</v>
      </c>
      <c r="J142" s="85">
        <f>IF(H142,An,'2023'!An_max)</f>
        <v>2021</v>
      </c>
      <c r="K142" s="196">
        <f t="shared" si="27"/>
        <v>45419</v>
      </c>
      <c r="L142" s="147">
        <f>IF(t&lt;Tvie,1-EXP((T0-t)*PertePVj)+'2023'!Pspv,1-EXP((T0-t)*PertePVj)+Pspv)</f>
        <v>4.51963803061056E-2</v>
      </c>
      <c r="M142" s="847"/>
      <c r="N142" s="847"/>
      <c r="O142" s="48">
        <f>IF(t&lt;Tnet,'2023'!Resal+('2023'!Salim-'2023'!Resal)*(1-EXP(('2023'!Tnet-t)/('2023'!Tau_j))),Resal+(Salim-Resal)*(1-EXP((Tnet-t)/(Tau_j))))*Salcycl</f>
        <v>6.291007580704301E-3</v>
      </c>
      <c r="P142" s="168">
        <f>(INDEX(Models!$BJ142:$BT142,,T142)*(1-R142)+INDEX(Models!$BJ142:$BT142,,T142+1)*R142-ERP_i)*Q142*Ramure*Pc/MaxiM</f>
        <v>2.8766384121218787E-4</v>
      </c>
      <c r="Q142" s="304">
        <f t="shared" si="28"/>
        <v>0.5</v>
      </c>
      <c r="R142" s="176">
        <f t="shared" si="29"/>
        <v>0.39592299852444968</v>
      </c>
      <c r="S142" s="814">
        <f t="shared" si="30"/>
        <v>1</v>
      </c>
      <c r="T142" s="175">
        <f t="shared" si="31"/>
        <v>7</v>
      </c>
      <c r="U142" s="250">
        <f t="shared" si="32"/>
        <v>1.3959229985244497</v>
      </c>
      <c r="V142" s="382">
        <f t="shared" si="33"/>
        <v>57.186305611584935</v>
      </c>
      <c r="W142" s="401">
        <f t="shared" si="34"/>
        <v>50.023044722719369</v>
      </c>
      <c r="X142" s="157">
        <f t="shared" si="35"/>
        <v>45419</v>
      </c>
      <c r="Y142" s="384">
        <f t="shared" si="36"/>
        <v>46.62615611259266</v>
      </c>
      <c r="Z142" s="384">
        <f t="shared" si="37"/>
        <v>48.833241884379106</v>
      </c>
      <c r="AA142" s="385">
        <f t="shared" si="38"/>
        <v>52.722603184882445</v>
      </c>
      <c r="AB142" s="196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7.3770281919967207E-2</v>
      </c>
      <c r="AD142" s="230">
        <f>(INDEX(Models!$BJ142:$BT142,,AH142)*(1-AF142)+INDEX(Models!$BJ142:$BT142,,AH142+1)*AF142-ERP_i)*AE142*Ramure*Pc/MaxiM</f>
        <v>2.8766384121218787E-4</v>
      </c>
      <c r="AE142" s="304">
        <f t="shared" si="40"/>
        <v>0.5</v>
      </c>
      <c r="AF142" s="176">
        <f t="shared" si="41"/>
        <v>0.39592299852444968</v>
      </c>
      <c r="AG142" s="814">
        <f t="shared" si="49"/>
        <v>1</v>
      </c>
      <c r="AH142" s="175">
        <f t="shared" si="42"/>
        <v>7</v>
      </c>
      <c r="AI142" s="224">
        <f t="shared" si="43"/>
        <v>1.3959229985244497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10">
        <f>'2023'!Wh/'2023'!Env_an*'2024'!Env_an</f>
        <v>54.956374620940032</v>
      </c>
      <c r="C143" s="843"/>
      <c r="D143" s="392">
        <f t="shared" ref="D143:D206" si="50">Wh/(1-Ppv)</f>
        <v>57.559036943856249</v>
      </c>
      <c r="E143" s="384">
        <f t="shared" si="47"/>
        <v>57.929510058255865</v>
      </c>
      <c r="F143" s="384">
        <f t="shared" ref="F143:F206" si="51">Wh_sa/(1-Pvg*MEDIAN((-Sdif+Wh/Env_an)/Csdif,0,1))</f>
        <v>57.946007464154114</v>
      </c>
      <c r="G143" s="110">
        <f t="shared" si="48"/>
        <v>0.96059315906074716</v>
      </c>
      <c r="H143" s="413" t="b">
        <f>Wh_hp&gt;='2023'!Maxi_hp</f>
        <v>0</v>
      </c>
      <c r="I143" s="389">
        <f>IF(H143,Wh_hp,'2023'!Maxi_hp)</f>
        <v>57.946357888755081</v>
      </c>
      <c r="J143" s="85">
        <f>IF(H143,An,'2023'!An_max)</f>
        <v>2022</v>
      </c>
      <c r="K143" s="196">
        <f t="shared" ref="K143:K206" si="52">t</f>
        <v>45420</v>
      </c>
      <c r="L143" s="147">
        <f>IF(t&lt;Tvie,1-EXP((T0-t)*PertePVj)+'2023'!Pspv,1-EXP((T0-t)*PertePVj)+Pspv)</f>
        <v>4.5217266672736046E-2</v>
      </c>
      <c r="M143" s="847"/>
      <c r="N143" s="847"/>
      <c r="O143" s="48">
        <f>IF(t&lt;Tnet,'2023'!Resal+('2023'!Salim-'2023'!Resal)*(1-EXP(('2023'!Tnet-t)/('2023'!Tau_j))),Resal+(Salim-Resal)*(1-EXP((Tnet-t)/(Tau_j))))*Salcycl</f>
        <v>6.3952399049647711E-3</v>
      </c>
      <c r="P143" s="168">
        <f>(INDEX(Models!$BJ143:$BT143,,T143)*(1-R143)+INDEX(Models!$BJ143:$BT143,,T143+1)*R143-ERP_i)*Q143*Ramure*Pc/MaxiM</f>
        <v>3.0167921264248468E-4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0.39795916405485676</v>
      </c>
      <c r="S143" s="814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1.3979591640548568</v>
      </c>
      <c r="V143" s="382">
        <f t="shared" ref="V143:V206" si="58">MaxiM*(1-Ppv)*(1-Pvg)*(1-Psa)</f>
        <v>57.209902953532143</v>
      </c>
      <c r="W143" s="401">
        <f t="shared" ref="W143:W206" si="59">Wh*(A143&gt;Tmaj)</f>
        <v>54.956374620940032</v>
      </c>
      <c r="X143" s="157">
        <f t="shared" ref="X143:X206" si="60">t</f>
        <v>45420</v>
      </c>
      <c r="Y143" s="384">
        <f t="shared" ref="Y143:Y206" si="61">Wh_pvt_s*(1-Ppv)</f>
        <v>51.225746237500097</v>
      </c>
      <c r="Z143" s="384">
        <f t="shared" ref="Z143:Z206" si="62">Wh_sa_s*(1-Psa_s)</f>
        <v>53.651730859215085</v>
      </c>
      <c r="AA143" s="385">
        <f t="shared" ref="AA143:AA206" si="63">Wh_hp*(1-Pvg_s*MEDIAN((-Sdif+Wh/Env_an)/Csdif,0,1))</f>
        <v>57.929510058255865</v>
      </c>
      <c r="AB143" s="196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7.3844560306809054E-2</v>
      </c>
      <c r="AD143" s="230">
        <f>(INDEX(Models!$BJ143:$BT143,,AH143)*(1-AF143)+INDEX(Models!$BJ143:$BT143,,AH143+1)*AF143-ERP_i)*AE143*Ramure*Pc/MaxiM</f>
        <v>3.0167921264248468E-4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0.39795916405485676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1.3979591640548568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10">
        <f>'2023'!Wh/'2023'!Env_an*'2024'!Env_an</f>
        <v>50.774272385402213</v>
      </c>
      <c r="C144" s="843"/>
      <c r="D144" s="392">
        <f t="shared" si="50"/>
        <v>53.180039108923175</v>
      </c>
      <c r="E144" s="384">
        <f t="shared" ref="E144:E169" si="72">Wh_pvt/(1-Psa)</f>
        <v>53.527947118619799</v>
      </c>
      <c r="F144" s="384">
        <f t="shared" si="51"/>
        <v>53.542142047023106</v>
      </c>
      <c r="G144" s="110">
        <f t="shared" ref="G144:G169" si="73">+Wh_hp/MaxiM</f>
        <v>0.8871445716179488</v>
      </c>
      <c r="H144" s="413" t="b">
        <f>Wh_hp&gt;='2023'!Maxi_hp</f>
        <v>0</v>
      </c>
      <c r="I144" s="389">
        <f>IF(H144,Wh_hp,'2023'!Maxi_hp)</f>
        <v>53.543110487793705</v>
      </c>
      <c r="J144" s="85">
        <f>IF(H144,An,'2023'!An_max)</f>
        <v>2022</v>
      </c>
      <c r="K144" s="196">
        <f t="shared" si="52"/>
        <v>45421</v>
      </c>
      <c r="L144" s="147">
        <f>IF(t&lt;Tvie,1-EXP((T0-t)*PertePVj)+'2023'!Pspv,1-EXP((T0-t)*PertePVj)+Pspv)</f>
        <v>4.5238152581901538E-2</v>
      </c>
      <c r="M144" s="847"/>
      <c r="N144" s="847"/>
      <c r="O144" s="48">
        <f>IF(t&lt;Tnet,'2023'!Resal+('2023'!Salim-'2023'!Resal)*(1-EXP(('2023'!Tnet-t)/('2023'!Tau_j))),Resal+(Salim-Resal)*(1-EXP((Tnet-t)/(Tau_j))))*Salcycl</f>
        <v>6.4995582387205987E-3</v>
      </c>
      <c r="P144" s="168">
        <f>(INDEX(Models!$BJ144:$BT144,,T144)*(1-R144)+INDEX(Models!$BJ144:$BT144,,T144+1)*R144-ERP_i)*Q144*Ramure*Pc/MaxiM</f>
        <v>3.1605089354233047E-4</v>
      </c>
      <c r="Q144" s="304">
        <f t="shared" si="53"/>
        <v>0.5</v>
      </c>
      <c r="R144" s="176">
        <f t="shared" si="54"/>
        <v>0.40004416018288769</v>
      </c>
      <c r="S144" s="814">
        <f t="shared" si="55"/>
        <v>1</v>
      </c>
      <c r="T144" s="175">
        <f t="shared" si="56"/>
        <v>7</v>
      </c>
      <c r="U144" s="250">
        <f t="shared" si="57"/>
        <v>1.4000441601828877</v>
      </c>
      <c r="V144" s="382">
        <f t="shared" si="58"/>
        <v>57.230452836037621</v>
      </c>
      <c r="W144" s="401">
        <f t="shared" si="59"/>
        <v>50.774272385402213</v>
      </c>
      <c r="X144" s="157">
        <f t="shared" si="60"/>
        <v>45421</v>
      </c>
      <c r="Y144" s="384">
        <f t="shared" si="61"/>
        <v>47.328672266784714</v>
      </c>
      <c r="Z144" s="384">
        <f t="shared" si="62"/>
        <v>49.571180912572729</v>
      </c>
      <c r="AA144" s="385">
        <f t="shared" si="63"/>
        <v>53.527947118619799</v>
      </c>
      <c r="AB144" s="196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7.3919632996175641E-2</v>
      </c>
      <c r="AD144" s="230">
        <f>(INDEX(Models!$BJ144:$BT144,,AH144)*(1-AF144)+INDEX(Models!$BJ144:$BT144,,AH144+1)*AF144-ERP_i)*AE144*Ramure*Pc/MaxiM</f>
        <v>3.1605089354233047E-4</v>
      </c>
      <c r="AE144" s="304">
        <f t="shared" si="65"/>
        <v>0.5</v>
      </c>
      <c r="AF144" s="176">
        <f t="shared" si="66"/>
        <v>0.40004416018288769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1.4000441601828877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10">
        <f>'2023'!Wh/'2023'!Env_an*'2024'!Env_an</f>
        <v>55.248271261618605</v>
      </c>
      <c r="C145" s="843"/>
      <c r="D145" s="392">
        <f t="shared" si="50"/>
        <v>57.867289099892666</v>
      </c>
      <c r="E145" s="384">
        <f t="shared" si="72"/>
        <v>58.251983017930847</v>
      </c>
      <c r="F145" s="384">
        <f t="shared" si="51"/>
        <v>58.270295957427322</v>
      </c>
      <c r="G145" s="110">
        <f t="shared" si="73"/>
        <v>0.96504689492892493</v>
      </c>
      <c r="H145" s="413" t="b">
        <f>Wh_hp&gt;='2023'!Maxi_hp</f>
        <v>0</v>
      </c>
      <c r="I145" s="389">
        <f>IF(H145,Wh_hp,'2023'!Maxi_hp)</f>
        <v>58.27063661578876</v>
      </c>
      <c r="J145" s="85">
        <f>IF(H145,An,'2023'!An_max)</f>
        <v>2022</v>
      </c>
      <c r="K145" s="196">
        <f t="shared" si="52"/>
        <v>45422</v>
      </c>
      <c r="L145" s="147">
        <f>IF(t&lt;Tvie,1-EXP((T0-t)*PertePVj)+'2023'!Pspv,1-EXP((T0-t)*PertePVj)+Pspv)</f>
        <v>4.5259038033611955E-2</v>
      </c>
      <c r="M145" s="847"/>
      <c r="N145" s="847"/>
      <c r="O145" s="48">
        <f>IF(t&lt;Tnet,'2023'!Resal+('2023'!Salim-'2023'!Resal)*(1-EXP(('2023'!Tnet-t)/('2023'!Tau_j))),Resal+(Salim-Resal)*(1-EXP((Tnet-t)/(Tau_j))))*Salcycl</f>
        <v>6.6039626139382038E-3</v>
      </c>
      <c r="P145" s="168">
        <f>(INDEX(Models!$BJ145:$BT145,,T145)*(1-R145)+INDEX(Models!$BJ145:$BT145,,T145+1)*R145-ERP_i)*Q145*Ramure*Pc/MaxiM</f>
        <v>3.3078529808107051E-4</v>
      </c>
      <c r="Q145" s="304">
        <f t="shared" si="53"/>
        <v>0.5</v>
      </c>
      <c r="R145" s="176">
        <f t="shared" si="54"/>
        <v>0.40217794081790625</v>
      </c>
      <c r="S145" s="814">
        <f t="shared" si="55"/>
        <v>1</v>
      </c>
      <c r="T145" s="175">
        <f t="shared" si="56"/>
        <v>7</v>
      </c>
      <c r="U145" s="250">
        <f t="shared" si="57"/>
        <v>1.4021779408179063</v>
      </c>
      <c r="V145" s="382">
        <f t="shared" si="58"/>
        <v>57.248367037703012</v>
      </c>
      <c r="W145" s="401">
        <f t="shared" si="59"/>
        <v>55.248271261618605</v>
      </c>
      <c r="X145" s="157">
        <f t="shared" si="60"/>
        <v>45422</v>
      </c>
      <c r="Y145" s="384">
        <f t="shared" si="61"/>
        <v>51.500255435023725</v>
      </c>
      <c r="Z145" s="384">
        <f t="shared" si="62"/>
        <v>53.941600378131476</v>
      </c>
      <c r="AA145" s="385">
        <f t="shared" si="63"/>
        <v>58.251983017930847</v>
      </c>
      <c r="AB145" s="196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7.3995466188208056E-2</v>
      </c>
      <c r="AD145" s="230">
        <f>(INDEX(Models!$BJ145:$BT145,,AH145)*(1-AF145)+INDEX(Models!$BJ145:$BT145,,AH145+1)*AF145-ERP_i)*AE145*Ramure*Pc/MaxiM</f>
        <v>3.3078529808107051E-4</v>
      </c>
      <c r="AE145" s="304">
        <f t="shared" si="65"/>
        <v>0.5</v>
      </c>
      <c r="AF145" s="176">
        <f t="shared" si="66"/>
        <v>0.40217794081790625</v>
      </c>
      <c r="AG145" s="814">
        <f t="shared" si="74"/>
        <v>1</v>
      </c>
      <c r="AH145" s="175">
        <f t="shared" si="67"/>
        <v>7</v>
      </c>
      <c r="AI145" s="224">
        <f t="shared" si="68"/>
        <v>1.4021779408179063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10">
        <f>'2023'!Wh/'2023'!Env_an*'2024'!Env_an</f>
        <v>43.311532123067416</v>
      </c>
      <c r="C146" s="843"/>
      <c r="D146" s="392">
        <f t="shared" si="50"/>
        <v>45.365686935619031</v>
      </c>
      <c r="E146" s="384">
        <f t="shared" si="72"/>
        <v>45.672075894121434</v>
      </c>
      <c r="F146" s="384">
        <f t="shared" si="51"/>
        <v>45.682376961812928</v>
      </c>
      <c r="G146" s="110">
        <f t="shared" si="73"/>
        <v>0.7562565175653696</v>
      </c>
      <c r="H146" s="413" t="b">
        <f>Wh_hp&gt;='2023'!Maxi_hp</f>
        <v>0</v>
      </c>
      <c r="I146" s="389">
        <f>IF(H146,Wh_hp,'2023'!Maxi_hp)</f>
        <v>55.50428873596136</v>
      </c>
      <c r="J146" s="85">
        <f>IF(H146,An,'2023'!An_max)</f>
        <v>2019</v>
      </c>
      <c r="K146" s="196">
        <f t="shared" si="52"/>
        <v>45423</v>
      </c>
      <c r="L146" s="147">
        <f>IF(t&lt;Tvie,1-EXP((T0-t)*PertePVj)+'2023'!Pspv,1-EXP((T0-t)*PertePVj)+Pspv)</f>
        <v>4.5279923027877401E-2</v>
      </c>
      <c r="M146" s="847"/>
      <c r="N146" s="847"/>
      <c r="O146" s="48">
        <f>IF(t&lt;Tnet,'2023'!Resal+('2023'!Salim-'2023'!Resal)*(1-EXP(('2023'!Tnet-t)/('2023'!Tau_j))),Resal+(Salim-Resal)*(1-EXP((Tnet-t)/(Tau_j))))*Salcycl</f>
        <v>6.7084526486750357E-3</v>
      </c>
      <c r="P146" s="168">
        <f>(INDEX(Models!$BJ146:$BT146,,T146)*(1-R146)+INDEX(Models!$BJ146:$BT146,,T146+1)*R146-ERP_i)*Q146*Ramure*Pc/MaxiM</f>
        <v>3.4588825742809401E-4</v>
      </c>
      <c r="Q146" s="304">
        <f t="shared" si="53"/>
        <v>0.5</v>
      </c>
      <c r="R146" s="176">
        <f t="shared" si="54"/>
        <v>0.40436037340660369</v>
      </c>
      <c r="S146" s="814">
        <f t="shared" si="55"/>
        <v>1</v>
      </c>
      <c r="T146" s="175">
        <f t="shared" si="56"/>
        <v>7</v>
      </c>
      <c r="U146" s="250">
        <f t="shared" si="57"/>
        <v>1.4043603734066037</v>
      </c>
      <c r="V146" s="382">
        <f t="shared" si="58"/>
        <v>57.264057166998029</v>
      </c>
      <c r="W146" s="401">
        <f t="shared" si="59"/>
        <v>43.311532123067416</v>
      </c>
      <c r="X146" s="157">
        <f t="shared" si="60"/>
        <v>45423</v>
      </c>
      <c r="Y146" s="384">
        <f t="shared" si="61"/>
        <v>40.374207754216506</v>
      </c>
      <c r="Z146" s="384">
        <f t="shared" si="62"/>
        <v>42.289052810392946</v>
      </c>
      <c r="AA146" s="385">
        <f t="shared" si="63"/>
        <v>45.672075894121434</v>
      </c>
      <c r="AB146" s="196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7.4072023605214074E-2</v>
      </c>
      <c r="AD146" s="230">
        <f>(INDEX(Models!$BJ146:$BT146,,AH146)*(1-AF146)+INDEX(Models!$BJ146:$BT146,,AH146+1)*AF146-ERP_i)*AE146*Ramure*Pc/MaxiM</f>
        <v>3.4588825742809401E-4</v>
      </c>
      <c r="AE146" s="304">
        <f t="shared" si="65"/>
        <v>0.5</v>
      </c>
      <c r="AF146" s="176">
        <f t="shared" si="66"/>
        <v>0.40436037340660369</v>
      </c>
      <c r="AG146" s="814">
        <f t="shared" si="74"/>
        <v>1</v>
      </c>
      <c r="AH146" s="175">
        <f t="shared" si="67"/>
        <v>7</v>
      </c>
      <c r="AI146" s="224">
        <f t="shared" si="68"/>
        <v>1.4043603734066037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10">
        <f>'2023'!Wh/'2023'!Env_an*'2024'!Env_an</f>
        <v>45.431575178566057</v>
      </c>
      <c r="C147" s="843"/>
      <c r="D147" s="392">
        <f t="shared" si="50"/>
        <v>47.587319166655028</v>
      </c>
      <c r="E147" s="384">
        <f t="shared" si="72"/>
        <v>47.913756911725073</v>
      </c>
      <c r="F147" s="384">
        <f t="shared" si="51"/>
        <v>47.925958662816335</v>
      </c>
      <c r="G147" s="110">
        <f t="shared" si="73"/>
        <v>0.79309289904075309</v>
      </c>
      <c r="H147" s="413" t="b">
        <f>Wh_hp&gt;='2023'!Maxi_hp</f>
        <v>0</v>
      </c>
      <c r="I147" s="389">
        <f>IF(H147,Wh_hp,'2023'!Maxi_hp)</f>
        <v>62.466176005743364</v>
      </c>
      <c r="J147" s="85">
        <f>IF(H147,An,'2023'!An_max)</f>
        <v>2019</v>
      </c>
      <c r="K147" s="196">
        <f t="shared" si="52"/>
        <v>45424</v>
      </c>
      <c r="L147" s="147">
        <f>IF(t&lt;Tvie,1-EXP((T0-t)*PertePVj)+'2023'!Pspv,1-EXP((T0-t)*PertePVj)+Pspv)</f>
        <v>4.5300807564707758E-2</v>
      </c>
      <c r="M147" s="847"/>
      <c r="N147" s="847"/>
      <c r="O147" s="48">
        <f>IF(t&lt;Tnet,'2023'!Resal+('2023'!Salim-'2023'!Resal)*(1-EXP(('2023'!Tnet-t)/('2023'!Tau_j))),Resal+(Salim-Resal)*(1-EXP((Tnet-t)/(Tau_j))))*Salcycl</f>
        <v>6.8130275334381098E-3</v>
      </c>
      <c r="P147" s="168">
        <f>(INDEX(Models!$BJ147:$BT147,,T147)*(1-R147)+INDEX(Models!$BJ147:$BT147,,T147+1)*R147-ERP_i)*Q147*Ramure*Pc/MaxiM</f>
        <v>3.6136496380165256E-4</v>
      </c>
      <c r="Q147" s="304">
        <f t="shared" si="53"/>
        <v>0.5</v>
      </c>
      <c r="R147" s="176">
        <f t="shared" si="54"/>
        <v>0.4065912352818748</v>
      </c>
      <c r="S147" s="814">
        <f t="shared" si="55"/>
        <v>1</v>
      </c>
      <c r="T147" s="175">
        <f t="shared" si="56"/>
        <v>7</v>
      </c>
      <c r="U147" s="250">
        <f t="shared" si="57"/>
        <v>1.4065912352818748</v>
      </c>
      <c r="V147" s="382">
        <f t="shared" si="58"/>
        <v>57.277934665750756</v>
      </c>
      <c r="W147" s="401">
        <f t="shared" si="59"/>
        <v>45.431575178566057</v>
      </c>
      <c r="X147" s="157">
        <f t="shared" si="60"/>
        <v>45424</v>
      </c>
      <c r="Y147" s="384">
        <f t="shared" si="61"/>
        <v>42.351398446320758</v>
      </c>
      <c r="Z147" s="384">
        <f t="shared" si="62"/>
        <v>44.36098698092411</v>
      </c>
      <c r="AA147" s="385">
        <f t="shared" si="63"/>
        <v>47.913756911725073</v>
      </c>
      <c r="AB147" s="196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7.4149266511212647E-2</v>
      </c>
      <c r="AD147" s="230">
        <f>(INDEX(Models!$BJ147:$BT147,,AH147)*(1-AF147)+INDEX(Models!$BJ147:$BT147,,AH147+1)*AF147-ERP_i)*AE147*Ramure*Pc/MaxiM</f>
        <v>3.6136496380165256E-4</v>
      </c>
      <c r="AE147" s="304">
        <f t="shared" si="65"/>
        <v>0.5</v>
      </c>
      <c r="AF147" s="176">
        <f t="shared" si="66"/>
        <v>0.4065912352818748</v>
      </c>
      <c r="AG147" s="814">
        <f t="shared" si="74"/>
        <v>1</v>
      </c>
      <c r="AH147" s="175">
        <f t="shared" si="67"/>
        <v>7</v>
      </c>
      <c r="AI147" s="224">
        <f t="shared" si="68"/>
        <v>1.4065912352818748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10">
        <f>'2023'!Wh/'2023'!Env_an*'2024'!Env_an</f>
        <v>47.972559037796422</v>
      </c>
      <c r="C148" s="843"/>
      <c r="D148" s="392">
        <f t="shared" si="50"/>
        <v>50.249972810645581</v>
      </c>
      <c r="E148" s="384">
        <f t="shared" si="72"/>
        <v>50.600007777001295</v>
      </c>
      <c r="F148" s="384">
        <f t="shared" si="51"/>
        <v>50.614664480495179</v>
      </c>
      <c r="G148" s="110">
        <f t="shared" si="73"/>
        <v>0.83728415543243329</v>
      </c>
      <c r="H148" s="413" t="b">
        <f>Wh_hp&gt;='2023'!Maxi_hp</f>
        <v>0</v>
      </c>
      <c r="I148" s="389">
        <f>IF(H148,Wh_hp,'2023'!Maxi_hp)</f>
        <v>61.499322120098213</v>
      </c>
      <c r="J148" s="85">
        <f>IF(H148,An,'2023'!An_max)</f>
        <v>2019</v>
      </c>
      <c r="K148" s="196">
        <f t="shared" si="52"/>
        <v>45425</v>
      </c>
      <c r="L148" s="147">
        <f>IF(t&lt;Tvie,1-EXP((T0-t)*PertePVj)+'2023'!Pspv,1-EXP((T0-t)*PertePVj)+Pspv)</f>
        <v>4.532169164411335E-2</v>
      </c>
      <c r="M148" s="847"/>
      <c r="N148" s="847"/>
      <c r="O148" s="48">
        <f>IF(t&lt;Tnet,'2023'!Resal+('2023'!Salim-'2023'!Resal)*(1-EXP(('2023'!Tnet-t)/('2023'!Tau_j))),Resal+(Salim-Resal)*(1-EXP((Tnet-t)/(Tau_j))))*Salcycl</f>
        <v>6.9176860189102572E-3</v>
      </c>
      <c r="P148" s="168">
        <f>(INDEX(Models!$BJ148:$BT148,,T148)*(1-R148)+INDEX(Models!$BJ148:$BT148,,T148+1)*R148-ERP_i)*Q148*Ramure*Pc/MaxiM</f>
        <v>3.7721991298116477E-4</v>
      </c>
      <c r="Q148" s="304">
        <f t="shared" si="53"/>
        <v>0.5</v>
      </c>
      <c r="R148" s="176">
        <f t="shared" si="54"/>
        <v>0.40887021022123626</v>
      </c>
      <c r="S148" s="814">
        <f t="shared" si="55"/>
        <v>1</v>
      </c>
      <c r="T148" s="175">
        <f t="shared" si="56"/>
        <v>7</v>
      </c>
      <c r="U148" s="250">
        <f t="shared" si="57"/>
        <v>1.4088702102212363</v>
      </c>
      <c r="V148" s="382">
        <f t="shared" si="58"/>
        <v>57.290410814445927</v>
      </c>
      <c r="W148" s="401">
        <f t="shared" si="59"/>
        <v>47.972559037796422</v>
      </c>
      <c r="X148" s="157">
        <f t="shared" si="60"/>
        <v>45425</v>
      </c>
      <c r="Y148" s="384">
        <f t="shared" si="61"/>
        <v>44.721058765598571</v>
      </c>
      <c r="Z148" s="384">
        <f t="shared" si="62"/>
        <v>46.844113220311463</v>
      </c>
      <c r="AA148" s="385">
        <f t="shared" si="63"/>
        <v>50.600007777001295</v>
      </c>
      <c r="AB148" s="196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7.4227153743580229E-2</v>
      </c>
      <c r="AD148" s="230">
        <f>(INDEX(Models!$BJ148:$BT148,,AH148)*(1-AF148)+INDEX(Models!$BJ148:$BT148,,AH148+1)*AF148-ERP_i)*AE148*Ramure*Pc/MaxiM</f>
        <v>3.7721991298116477E-4</v>
      </c>
      <c r="AE148" s="304">
        <f t="shared" si="65"/>
        <v>0.5</v>
      </c>
      <c r="AF148" s="176">
        <f t="shared" si="66"/>
        <v>0.40887021022123626</v>
      </c>
      <c r="AG148" s="814">
        <f t="shared" si="74"/>
        <v>1</v>
      </c>
      <c r="AH148" s="175">
        <f t="shared" si="67"/>
        <v>7</v>
      </c>
      <c r="AI148" s="224">
        <f t="shared" si="68"/>
        <v>1.4088702102212363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10">
        <f>'2023'!Wh/'2023'!Env_an*'2024'!Env_an</f>
        <v>51.868597069728281</v>
      </c>
      <c r="C149" s="843"/>
      <c r="D149" s="392">
        <f t="shared" si="50"/>
        <v>54.332156987294454</v>
      </c>
      <c r="E149" s="384">
        <f t="shared" si="72"/>
        <v>54.716398871527545</v>
      </c>
      <c r="F149" s="384">
        <f t="shared" si="51"/>
        <v>54.735018420410739</v>
      </c>
      <c r="G149" s="110">
        <f t="shared" si="73"/>
        <v>0.90514912732092356</v>
      </c>
      <c r="H149" s="413" t="b">
        <f>Wh_hp&gt;='2023'!Maxi_hp</f>
        <v>0</v>
      </c>
      <c r="I149" s="389">
        <f>IF(H149,Wh_hp,'2023'!Maxi_hp)</f>
        <v>61.883239006526935</v>
      </c>
      <c r="J149" s="85">
        <f>IF(H149,An,'2023'!An_max)</f>
        <v>2019</v>
      </c>
      <c r="K149" s="196">
        <f t="shared" si="52"/>
        <v>45426</v>
      </c>
      <c r="L149" s="147">
        <f>IF(t&lt;Tvie,1-EXP((T0-t)*PertePVj)+'2023'!Pspv,1-EXP((T0-t)*PertePVj)+Pspv)</f>
        <v>4.5342575266103836E-2</v>
      </c>
      <c r="M149" s="847"/>
      <c r="N149" s="847"/>
      <c r="O149" s="48">
        <f>IF(t&lt;Tnet,'2023'!Resal+('2023'!Salim-'2023'!Resal)*(1-EXP(('2023'!Tnet-t)/('2023'!Tau_j))),Resal+(Salim-Resal)*(1-EXP((Tnet-t)/(Tau_j))))*Salcycl</f>
        <v>7.0224264052039676E-3</v>
      </c>
      <c r="P149" s="168">
        <f>(INDEX(Models!$BJ149:$BT149,,T149)*(1-R149)+INDEX(Models!$BJ149:$BT149,,T149+1)*R149-ERP_i)*Q149*Ramure*Pc/MaxiM</f>
        <v>3.9346389524435584E-4</v>
      </c>
      <c r="Q149" s="304">
        <f t="shared" si="53"/>
        <v>0.5</v>
      </c>
      <c r="R149" s="176">
        <f t="shared" si="54"/>
        <v>0.4111968852502601</v>
      </c>
      <c r="S149" s="814">
        <f t="shared" si="55"/>
        <v>1</v>
      </c>
      <c r="T149" s="175">
        <f t="shared" si="56"/>
        <v>7</v>
      </c>
      <c r="U149" s="250">
        <f t="shared" si="57"/>
        <v>1.4111968852502601</v>
      </c>
      <c r="V149" s="382">
        <f t="shared" si="58"/>
        <v>57.300869662321468</v>
      </c>
      <c r="W149" s="401">
        <f t="shared" si="59"/>
        <v>51.868597069728281</v>
      </c>
      <c r="X149" s="157">
        <f t="shared" si="60"/>
        <v>45426</v>
      </c>
      <c r="Y149" s="384">
        <f t="shared" si="61"/>
        <v>48.354030296562186</v>
      </c>
      <c r="Z149" s="384">
        <f t="shared" si="62"/>
        <v>50.650661738728445</v>
      </c>
      <c r="AA149" s="385">
        <f t="shared" si="63"/>
        <v>54.716398871527545</v>
      </c>
      <c r="AB149" s="196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7.430564175733366E-2</v>
      </c>
      <c r="AD149" s="230">
        <f>(INDEX(Models!$BJ149:$BT149,,AH149)*(1-AF149)+INDEX(Models!$BJ149:$BT149,,AH149+1)*AF149-ERP_i)*AE149*Ramure*Pc/MaxiM</f>
        <v>3.9346389524435584E-4</v>
      </c>
      <c r="AE149" s="304">
        <f t="shared" si="65"/>
        <v>0.5</v>
      </c>
      <c r="AF149" s="176">
        <f t="shared" si="66"/>
        <v>0.4111968852502601</v>
      </c>
      <c r="AG149" s="814">
        <f t="shared" si="74"/>
        <v>1</v>
      </c>
      <c r="AH149" s="175">
        <f t="shared" si="67"/>
        <v>7</v>
      </c>
      <c r="AI149" s="224">
        <f t="shared" si="68"/>
        <v>1.4111968852502601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10">
        <f>'2023'!Wh/'2023'!Env_an*'2024'!Env_an</f>
        <v>49.870981133659548</v>
      </c>
      <c r="C150" s="843"/>
      <c r="D150" s="392">
        <f t="shared" si="50"/>
        <v>52.240804706341443</v>
      </c>
      <c r="E150" s="384">
        <f t="shared" si="72"/>
        <v>52.615810559723684</v>
      </c>
      <c r="F150" s="384">
        <f t="shared" si="51"/>
        <v>52.633392556187765</v>
      </c>
      <c r="G150" s="110">
        <f t="shared" si="73"/>
        <v>0.87015459425391017</v>
      </c>
      <c r="H150" s="413" t="b">
        <f>Wh_hp&gt;='2023'!Maxi_hp</f>
        <v>0</v>
      </c>
      <c r="I150" s="389">
        <f>IF(H150,Wh_hp,'2023'!Maxi_hp)</f>
        <v>52.836978218882514</v>
      </c>
      <c r="J150" s="85">
        <f>IF(H150,An,'2023'!An_max)</f>
        <v>2019</v>
      </c>
      <c r="K150" s="196">
        <f t="shared" si="52"/>
        <v>45427</v>
      </c>
      <c r="L150" s="147">
        <f>IF(t&lt;Tvie,1-EXP((T0-t)*PertePVj)+'2023'!Pspv,1-EXP((T0-t)*PertePVj)+Pspv)</f>
        <v>4.5363458430689542E-2</v>
      </c>
      <c r="M150" s="847"/>
      <c r="N150" s="847"/>
      <c r="O150" s="48">
        <f>IF(t&lt;Tnet,'2023'!Resal+('2023'!Salim-'2023'!Resal)*(1-EXP(('2023'!Tnet-t)/('2023'!Tau_j))),Resal+(Salim-Resal)*(1-EXP((Tnet-t)/(Tau_j))))*Salcycl</f>
        <v>7.1272465327996788E-3</v>
      </c>
      <c r="P150" s="168">
        <f>(INDEX(Models!$BJ150:$BT150,,T150)*(1-R150)+INDEX(Models!$BJ150:$BT150,,T150+1)*R150-ERP_i)*Q150*Ramure*Pc/MaxiM</f>
        <v>4.1007361525759601E-4</v>
      </c>
      <c r="Q150" s="304">
        <f t="shared" si="53"/>
        <v>0.5</v>
      </c>
      <c r="R150" s="176">
        <f t="shared" si="54"/>
        <v>0.41357074772693569</v>
      </c>
      <c r="S150" s="814">
        <f t="shared" si="55"/>
        <v>1</v>
      </c>
      <c r="T150" s="175">
        <f t="shared" si="56"/>
        <v>7</v>
      </c>
      <c r="U150" s="250">
        <f t="shared" si="57"/>
        <v>1.4135707477269357</v>
      </c>
      <c r="V150" s="382">
        <f t="shared" si="58"/>
        <v>57.308423865441775</v>
      </c>
      <c r="W150" s="401">
        <f t="shared" si="59"/>
        <v>49.870981133659548</v>
      </c>
      <c r="X150" s="157">
        <f t="shared" si="60"/>
        <v>45427</v>
      </c>
      <c r="Y150" s="384">
        <f t="shared" si="61"/>
        <v>46.492708925716833</v>
      </c>
      <c r="Z150" s="384">
        <f t="shared" si="62"/>
        <v>48.702000081924666</v>
      </c>
      <c r="AA150" s="385">
        <f t="shared" si="63"/>
        <v>52.615810559723684</v>
      </c>
      <c r="AB150" s="196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7.4384684682496635E-2</v>
      </c>
      <c r="AD150" s="230">
        <f>(INDEX(Models!$BJ150:$BT150,,AH150)*(1-AF150)+INDEX(Models!$BJ150:$BT150,,AH150+1)*AF150-ERP_i)*AE150*Ramure*Pc/MaxiM</f>
        <v>4.1007361525759601E-4</v>
      </c>
      <c r="AE150" s="304">
        <f t="shared" si="65"/>
        <v>0.5</v>
      </c>
      <c r="AF150" s="176">
        <f t="shared" si="66"/>
        <v>0.41357074772693569</v>
      </c>
      <c r="AG150" s="814">
        <f t="shared" si="74"/>
        <v>1</v>
      </c>
      <c r="AH150" s="175">
        <f t="shared" si="67"/>
        <v>7</v>
      </c>
      <c r="AI150" s="224">
        <f t="shared" si="68"/>
        <v>1.4135707477269357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10">
        <f>'2023'!Wh/'2023'!Env_an*'2024'!Env_an</f>
        <v>53.577449060087034</v>
      </c>
      <c r="C151" s="843"/>
      <c r="D151" s="392">
        <f t="shared" si="50"/>
        <v>56.124628338854343</v>
      </c>
      <c r="E151" s="384">
        <f t="shared" si="72"/>
        <v>56.533486642372083</v>
      </c>
      <c r="F151" s="384">
        <f t="shared" si="51"/>
        <v>56.555381244921769</v>
      </c>
      <c r="G151" s="110">
        <f t="shared" si="73"/>
        <v>0.93478337976128645</v>
      </c>
      <c r="H151" s="413" t="b">
        <f>Wh_hp&gt;='2023'!Maxi_hp</f>
        <v>0</v>
      </c>
      <c r="I151" s="389">
        <f>IF(H151,Wh_hp,'2023'!Maxi_hp)</f>
        <v>56.920827652240035</v>
      </c>
      <c r="J151" s="85">
        <f>IF(H151,An,'2023'!An_max)</f>
        <v>2021</v>
      </c>
      <c r="K151" s="196">
        <f t="shared" si="52"/>
        <v>45428</v>
      </c>
      <c r="L151" s="147">
        <f>IF(t&lt;Tvie,1-EXP((T0-t)*PertePVj)+'2023'!Pspv,1-EXP((T0-t)*PertePVj)+Pspv)</f>
        <v>4.5384341137880237E-2</v>
      </c>
      <c r="M151" s="847"/>
      <c r="N151" s="847"/>
      <c r="O151" s="48">
        <f>IF(t&lt;Tnet,'2023'!Resal+('2023'!Salim-'2023'!Resal)*(1-EXP(('2023'!Tnet-t)/('2023'!Tau_j))),Resal+(Salim-Resal)*(1-EXP((Tnet-t)/(Tau_j))))*Salcycl</f>
        <v>7.2321437753194101E-3</v>
      </c>
      <c r="P151" s="168">
        <f>(INDEX(Models!$BJ151:$BT151,,T151)*(1-R151)+INDEX(Models!$BJ151:$BT151,,T151+1)*R151-ERP_i)*Q151*Ramure*Pc/MaxiM</f>
        <v>4.2688431040808605E-4</v>
      </c>
      <c r="Q151" s="304">
        <f t="shared" si="53"/>
        <v>0.5</v>
      </c>
      <c r="R151" s="176">
        <f t="shared" si="54"/>
        <v>0.41599118274291991</v>
      </c>
      <c r="S151" s="814">
        <f t="shared" si="55"/>
        <v>1</v>
      </c>
      <c r="T151" s="175">
        <f t="shared" si="56"/>
        <v>7</v>
      </c>
      <c r="U151" s="250">
        <f t="shared" si="57"/>
        <v>1.4159911827429199</v>
      </c>
      <c r="V151" s="382">
        <f t="shared" si="58"/>
        <v>57.313084252231207</v>
      </c>
      <c r="W151" s="401">
        <f t="shared" si="59"/>
        <v>53.577449060087034</v>
      </c>
      <c r="X151" s="157">
        <f t="shared" si="60"/>
        <v>45428</v>
      </c>
      <c r="Y151" s="384">
        <f t="shared" si="61"/>
        <v>49.949084294055908</v>
      </c>
      <c r="Z151" s="384">
        <f t="shared" si="62"/>
        <v>52.323763841873372</v>
      </c>
      <c r="AA151" s="385">
        <f t="shared" si="63"/>
        <v>56.533486642372083</v>
      </c>
      <c r="AB151" s="196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7.4464234394902976E-2</v>
      </c>
      <c r="AD151" s="230">
        <f>(INDEX(Models!$BJ151:$BT151,,AH151)*(1-AF151)+INDEX(Models!$BJ151:$BT151,,AH151+1)*AF151-ERP_i)*AE151*Ramure*Pc/MaxiM</f>
        <v>4.2688431040808605E-4</v>
      </c>
      <c r="AE151" s="304">
        <f t="shared" si="65"/>
        <v>0.5</v>
      </c>
      <c r="AF151" s="176">
        <f t="shared" si="66"/>
        <v>0.41599118274291991</v>
      </c>
      <c r="AG151" s="814">
        <f t="shared" si="74"/>
        <v>1</v>
      </c>
      <c r="AH151" s="175">
        <f t="shared" si="67"/>
        <v>7</v>
      </c>
      <c r="AI151" s="224">
        <f t="shared" si="68"/>
        <v>1.4159911827429199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10">
        <f>'2023'!Wh/'2023'!Env_an*'2024'!Env_an</f>
        <v>52.102169350809582</v>
      </c>
      <c r="C152" s="843"/>
      <c r="D152" s="392">
        <f t="shared" si="50"/>
        <v>54.58040482445427</v>
      </c>
      <c r="E152" s="384">
        <f t="shared" si="72"/>
        <v>54.983827491786514</v>
      </c>
      <c r="F152" s="384">
        <f t="shared" si="51"/>
        <v>55.005071744413442</v>
      </c>
      <c r="G152" s="110">
        <f t="shared" si="73"/>
        <v>0.90899934823434358</v>
      </c>
      <c r="H152" s="413" t="b">
        <f>Wh_hp&gt;='2023'!Maxi_hp</f>
        <v>0</v>
      </c>
      <c r="I152" s="389">
        <f>IF(H152,Wh_hp,'2023'!Maxi_hp)</f>
        <v>62.196197916934416</v>
      </c>
      <c r="J152" s="85">
        <f>IF(H152,An,'2023'!An_max)</f>
        <v>2020</v>
      </c>
      <c r="K152" s="196">
        <f t="shared" si="52"/>
        <v>45429</v>
      </c>
      <c r="L152" s="147">
        <f>IF(t&lt;Tvie,1-EXP((T0-t)*PertePVj)+'2023'!Pspv,1-EXP((T0-t)*PertePVj)+Pspv)</f>
        <v>4.5405223387686135E-2</v>
      </c>
      <c r="M152" s="847"/>
      <c r="N152" s="847"/>
      <c r="O152" s="48">
        <f>IF(t&lt;Tnet,'2023'!Resal+('2023'!Salim-'2023'!Resal)*(1-EXP(('2023'!Tnet-t)/('2023'!Tau_j))),Resal+(Salim-Resal)*(1-EXP((Tnet-t)/(Tau_j))))*Salcycl</f>
        <v>7.337115034279874E-3</v>
      </c>
      <c r="P152" s="168">
        <f>(INDEX(Models!$BJ152:$BT152,,T152)*(1-R152)+INDEX(Models!$BJ152:$BT152,,T152+1)*R152-ERP_i)*Q152*Ramure*Pc/MaxiM</f>
        <v>4.4389733006329973E-4</v>
      </c>
      <c r="Q152" s="304">
        <f t="shared" si="53"/>
        <v>0.5</v>
      </c>
      <c r="R152" s="176">
        <f t="shared" si="54"/>
        <v>0.41845747087729435</v>
      </c>
      <c r="S152" s="814">
        <f t="shared" si="55"/>
        <v>1</v>
      </c>
      <c r="T152" s="175">
        <f t="shared" si="56"/>
        <v>7</v>
      </c>
      <c r="U152" s="250">
        <f t="shared" si="57"/>
        <v>1.4184574708772943</v>
      </c>
      <c r="V152" s="382">
        <f t="shared" si="58"/>
        <v>57.314852161946057</v>
      </c>
      <c r="W152" s="401">
        <f t="shared" si="59"/>
        <v>52.102169350809582</v>
      </c>
      <c r="X152" s="157">
        <f t="shared" si="60"/>
        <v>45429</v>
      </c>
      <c r="Y152" s="384">
        <f t="shared" si="61"/>
        <v>48.574650501383722</v>
      </c>
      <c r="Z152" s="384">
        <f t="shared" si="62"/>
        <v>50.885099826092144</v>
      </c>
      <c r="AA152" s="385">
        <f t="shared" si="63"/>
        <v>54.983827491786514</v>
      </c>
      <c r="AB152" s="196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7.4544240600686373E-2</v>
      </c>
      <c r="AD152" s="230">
        <f>(INDEX(Models!$BJ152:$BT152,,AH152)*(1-AF152)+INDEX(Models!$BJ152:$BT152,,AH152+1)*AF152-ERP_i)*AE152*Ramure*Pc/MaxiM</f>
        <v>4.4389733006329973E-4</v>
      </c>
      <c r="AE152" s="304">
        <f t="shared" si="65"/>
        <v>0.5</v>
      </c>
      <c r="AF152" s="176">
        <f t="shared" si="66"/>
        <v>0.41845747087729435</v>
      </c>
      <c r="AG152" s="814">
        <f t="shared" si="74"/>
        <v>1</v>
      </c>
      <c r="AH152" s="175">
        <f t="shared" si="67"/>
        <v>7</v>
      </c>
      <c r="AI152" s="224">
        <f t="shared" si="68"/>
        <v>1.4184574708772943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10">
        <f>'2023'!Wh/'2023'!Env_an*'2024'!Env_an</f>
        <v>53.617927841420425</v>
      </c>
      <c r="C153" s="843"/>
      <c r="D153" s="392">
        <f t="shared" si="50"/>
        <v>56.169488954584821</v>
      </c>
      <c r="E153" s="384">
        <f t="shared" si="72"/>
        <v>56.590645407496531</v>
      </c>
      <c r="F153" s="384">
        <f t="shared" si="51"/>
        <v>56.614346204523969</v>
      </c>
      <c r="G153" s="110">
        <f t="shared" si="73"/>
        <v>0.93547654746133613</v>
      </c>
      <c r="H153" s="413" t="b">
        <f>Wh_hp&gt;='2023'!Maxi_hp</f>
        <v>0</v>
      </c>
      <c r="I153" s="389">
        <f>IF(H153,Wh_hp,'2023'!Maxi_hp)</f>
        <v>60.966167385308943</v>
      </c>
      <c r="J153" s="85">
        <f>IF(H153,An,'2023'!An_max)</f>
        <v>2020</v>
      </c>
      <c r="K153" s="196">
        <f t="shared" si="52"/>
        <v>45430</v>
      </c>
      <c r="L153" s="147">
        <f>IF(t&lt;Tvie,1-EXP((T0-t)*PertePVj)+'2023'!Pspv,1-EXP((T0-t)*PertePVj)+Pspv)</f>
        <v>4.5426105180117117E-2</v>
      </c>
      <c r="M153" s="847"/>
      <c r="N153" s="847"/>
      <c r="O153" s="48">
        <f>IF(t&lt;Tnet,'2023'!Resal+('2023'!Salim-'2023'!Resal)*(1-EXP(('2023'!Tnet-t)/('2023'!Tau_j))),Resal+(Salim-Resal)*(1-EXP((Tnet-t)/(Tau_j))))*Salcycl</f>
        <v>7.4421567359596943E-3</v>
      </c>
      <c r="P153" s="168">
        <f>(INDEX(Models!$BJ153:$BT153,,T153)*(1-R153)+INDEX(Models!$BJ153:$BT153,,T153+1)*R153-ERP_i)*Q153*Ramure*Pc/MaxiM</f>
        <v>4.6111345933752914E-4</v>
      </c>
      <c r="Q153" s="304">
        <f t="shared" si="53"/>
        <v>0.5</v>
      </c>
      <c r="R153" s="176">
        <f t="shared" si="54"/>
        <v>0.4209687863376721</v>
      </c>
      <c r="S153" s="814">
        <f t="shared" si="55"/>
        <v>1</v>
      </c>
      <c r="T153" s="175">
        <f t="shared" si="56"/>
        <v>7</v>
      </c>
      <c r="U153" s="250">
        <f t="shared" si="57"/>
        <v>1.4209687863376721</v>
      </c>
      <c r="V153" s="382">
        <f t="shared" si="58"/>
        <v>57.313729001152062</v>
      </c>
      <c r="W153" s="401">
        <f t="shared" si="59"/>
        <v>53.617927841420425</v>
      </c>
      <c r="X153" s="157">
        <f t="shared" si="60"/>
        <v>45430</v>
      </c>
      <c r="Y153" s="384">
        <f t="shared" si="61"/>
        <v>49.988732676024917</v>
      </c>
      <c r="Z153" s="384">
        <f t="shared" si="62"/>
        <v>52.36758824779848</v>
      </c>
      <c r="AA153" s="385">
        <f t="shared" si="63"/>
        <v>56.590645407496531</v>
      </c>
      <c r="AB153" s="196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7.4624650934598136E-2</v>
      </c>
      <c r="AD153" s="230">
        <f>(INDEX(Models!$BJ153:$BT153,,AH153)*(1-AF153)+INDEX(Models!$BJ153:$BT153,,AH153+1)*AF153-ERP_i)*AE153*Ramure*Pc/MaxiM</f>
        <v>4.6111345933752914E-4</v>
      </c>
      <c r="AE153" s="304">
        <f t="shared" si="65"/>
        <v>0.5</v>
      </c>
      <c r="AF153" s="176">
        <f t="shared" si="66"/>
        <v>0.4209687863376721</v>
      </c>
      <c r="AG153" s="814">
        <f t="shared" si="74"/>
        <v>1</v>
      </c>
      <c r="AH153" s="175">
        <f t="shared" si="67"/>
        <v>7</v>
      </c>
      <c r="AI153" s="224">
        <f t="shared" si="68"/>
        <v>1.4209687863376721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10">
        <f>'2023'!Wh/'2023'!Env_an*'2024'!Env_an</f>
        <v>47.761999481802853</v>
      </c>
      <c r="C154" s="843"/>
      <c r="D154" s="392">
        <f t="shared" si="50"/>
        <v>50.035984180110248</v>
      </c>
      <c r="E154" s="384">
        <f t="shared" si="72"/>
        <v>50.416490787911307</v>
      </c>
      <c r="F154" s="384">
        <f t="shared" si="51"/>
        <v>50.434881516971515</v>
      </c>
      <c r="G154" s="110">
        <f t="shared" si="73"/>
        <v>0.83330647966363414</v>
      </c>
      <c r="H154" s="413" t="b">
        <f>Wh_hp&gt;='2023'!Maxi_hp</f>
        <v>0</v>
      </c>
      <c r="I154" s="389">
        <f>IF(H154,Wh_hp,'2023'!Maxi_hp)</f>
        <v>61.160542885736888</v>
      </c>
      <c r="J154" s="85">
        <f>IF(H154,An,'2023'!An_max)</f>
        <v>2021</v>
      </c>
      <c r="K154" s="196">
        <f t="shared" si="52"/>
        <v>45431</v>
      </c>
      <c r="L154" s="147">
        <f>IF(t&lt;Tvie,1-EXP((T0-t)*PertePVj)+'2023'!Pspv,1-EXP((T0-t)*PertePVj)+Pspv)</f>
        <v>4.5446986515183287E-2</v>
      </c>
      <c r="M154" s="847"/>
      <c r="N154" s="847"/>
      <c r="O154" s="48">
        <f>IF(t&lt;Tnet,'2023'!Resal+('2023'!Salim-'2023'!Resal)*(1-EXP(('2023'!Tnet-t)/('2023'!Tau_j))),Resal+(Salim-Resal)*(1-EXP((Tnet-t)/(Tau_j))))*Salcycl</f>
        <v>7.5472648305045338E-3</v>
      </c>
      <c r="P154" s="168">
        <f>(INDEX(Models!$BJ154:$BT154,,T154)*(1-R154)+INDEX(Models!$BJ154:$BT154,,T154+1)*R154-ERP_i)*Q154*Ramure*Pc/MaxiM</f>
        <v>4.7853290419337462E-4</v>
      </c>
      <c r="Q154" s="304">
        <f t="shared" si="53"/>
        <v>0.5</v>
      </c>
      <c r="R154" s="176">
        <f t="shared" si="54"/>
        <v>0.42352419552226861</v>
      </c>
      <c r="S154" s="814">
        <f t="shared" si="55"/>
        <v>1</v>
      </c>
      <c r="T154" s="175">
        <f t="shared" si="56"/>
        <v>7</v>
      </c>
      <c r="U154" s="250">
        <f t="shared" si="57"/>
        <v>1.4235241955222686</v>
      </c>
      <c r="V154" s="382">
        <f t="shared" si="58"/>
        <v>57.309716239960032</v>
      </c>
      <c r="W154" s="401">
        <f t="shared" si="59"/>
        <v>47.761999481802853</v>
      </c>
      <c r="X154" s="157">
        <f t="shared" si="60"/>
        <v>45431</v>
      </c>
      <c r="Y154" s="384">
        <f t="shared" si="61"/>
        <v>44.529999375071426</v>
      </c>
      <c r="Z154" s="384">
        <f t="shared" si="62"/>
        <v>46.650106118783661</v>
      </c>
      <c r="AA154" s="385">
        <f t="shared" si="63"/>
        <v>50.416490787911307</v>
      </c>
      <c r="AB154" s="196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7.4705411072179137E-2</v>
      </c>
      <c r="AD154" s="230">
        <f>(INDEX(Models!$BJ154:$BT154,,AH154)*(1-AF154)+INDEX(Models!$BJ154:$BT154,,AH154+1)*AF154-ERP_i)*AE154*Ramure*Pc/MaxiM</f>
        <v>4.7853290419337462E-4</v>
      </c>
      <c r="AE154" s="304">
        <f t="shared" si="65"/>
        <v>0.5</v>
      </c>
      <c r="AF154" s="176">
        <f t="shared" si="66"/>
        <v>0.42352419552226861</v>
      </c>
      <c r="AG154" s="814">
        <f t="shared" si="74"/>
        <v>1</v>
      </c>
      <c r="AH154" s="175">
        <f t="shared" si="67"/>
        <v>7</v>
      </c>
      <c r="AI154" s="224">
        <f t="shared" si="68"/>
        <v>1.4235241955222686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10">
        <f>'2023'!Wh/'2023'!Env_an*'2024'!Env_an</f>
        <v>48.880157241802451</v>
      </c>
      <c r="C155" s="843"/>
      <c r="D155" s="392">
        <f t="shared" si="50"/>
        <v>51.208498459131491</v>
      </c>
      <c r="E155" s="384">
        <f t="shared" si="72"/>
        <v>51.603390036503249</v>
      </c>
      <c r="F155" s="384">
        <f t="shared" si="51"/>
        <v>51.623625116837587</v>
      </c>
      <c r="G155" s="110">
        <f t="shared" si="73"/>
        <v>0.85292602916935512</v>
      </c>
      <c r="H155" s="413" t="b">
        <f>Wh_hp&gt;='2023'!Maxi_hp</f>
        <v>0</v>
      </c>
      <c r="I155" s="389">
        <f>IF(H155,Wh_hp,'2023'!Maxi_hp)</f>
        <v>59.215074303893267</v>
      </c>
      <c r="J155" s="85">
        <f>IF(H155,An,'2023'!An_max)</f>
        <v>2020</v>
      </c>
      <c r="K155" s="196">
        <f t="shared" si="52"/>
        <v>45432</v>
      </c>
      <c r="L155" s="147">
        <f>IF(t&lt;Tvie,1-EXP((T0-t)*PertePVj)+'2023'!Pspv,1-EXP((T0-t)*PertePVj)+Pspv)</f>
        <v>4.5467867392894636E-2</v>
      </c>
      <c r="M155" s="847"/>
      <c r="N155" s="847"/>
      <c r="O155" s="48">
        <f>IF(t&lt;Tnet,'2023'!Resal+('2023'!Salim-'2023'!Resal)*(1-EXP(('2023'!Tnet-t)/('2023'!Tau_j))),Resal+(Salim-Resal)*(1-EXP((Tnet-t)/(Tau_j))))*Salcycl</f>
        <v>7.6524347933811408E-3</v>
      </c>
      <c r="P155" s="168">
        <f>(INDEX(Models!$BJ155:$BT155,,T155)*(1-R155)+INDEX(Models!$BJ155:$BT155,,T155+1)*R155-ERP_i)*Q155*Ramure*Pc/MaxiM</f>
        <v>4.9615527844998938E-4</v>
      </c>
      <c r="Q155" s="304">
        <f t="shared" si="53"/>
        <v>0.5</v>
      </c>
      <c r="R155" s="176">
        <f t="shared" si="54"/>
        <v>0.42612265603483435</v>
      </c>
      <c r="S155" s="814">
        <f t="shared" si="55"/>
        <v>1</v>
      </c>
      <c r="T155" s="175">
        <f t="shared" si="56"/>
        <v>7</v>
      </c>
      <c r="U155" s="250">
        <f t="shared" si="57"/>
        <v>1.4261226560348343</v>
      </c>
      <c r="V155" s="382">
        <f t="shared" si="58"/>
        <v>57.302815413895367</v>
      </c>
      <c r="W155" s="401">
        <f t="shared" si="59"/>
        <v>48.880157241802451</v>
      </c>
      <c r="X155" s="157">
        <f t="shared" si="60"/>
        <v>45432</v>
      </c>
      <c r="Y155" s="384">
        <f t="shared" si="61"/>
        <v>45.573330016365084</v>
      </c>
      <c r="Z155" s="384">
        <f t="shared" si="62"/>
        <v>47.744154921103643</v>
      </c>
      <c r="AA155" s="385">
        <f t="shared" si="63"/>
        <v>51.603390036503249</v>
      </c>
      <c r="AB155" s="196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7.4786464855693735E-2</v>
      </c>
      <c r="AD155" s="230">
        <f>(INDEX(Models!$BJ155:$BT155,,AH155)*(1-AF155)+INDEX(Models!$BJ155:$BT155,,AH155+1)*AF155-ERP_i)*AE155*Ramure*Pc/MaxiM</f>
        <v>4.9615527844998938E-4</v>
      </c>
      <c r="AE155" s="304">
        <f t="shared" si="65"/>
        <v>0.5</v>
      </c>
      <c r="AF155" s="176">
        <f t="shared" si="66"/>
        <v>0.42612265603483435</v>
      </c>
      <c r="AG155" s="814">
        <f t="shared" si="74"/>
        <v>1</v>
      </c>
      <c r="AH155" s="175">
        <f t="shared" si="67"/>
        <v>7</v>
      </c>
      <c r="AI155" s="224">
        <f t="shared" si="68"/>
        <v>1.4261226560348343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10">
        <f>'2023'!Wh/'2023'!Env_an*'2024'!Env_an</f>
        <v>35.358099041452171</v>
      </c>
      <c r="C156" s="843"/>
      <c r="D156" s="392">
        <f t="shared" si="50"/>
        <v>37.043145337939691</v>
      </c>
      <c r="E156" s="384">
        <f t="shared" si="72"/>
        <v>37.332760259721518</v>
      </c>
      <c r="F156" s="384">
        <f t="shared" si="51"/>
        <v>37.341453085679845</v>
      </c>
      <c r="G156" s="110">
        <f t="shared" si="73"/>
        <v>0.6169713079582082</v>
      </c>
      <c r="H156" s="413" t="b">
        <f>Wh_hp&gt;='2023'!Maxi_hp</f>
        <v>0</v>
      </c>
      <c r="I156" s="389">
        <f>IF(H156,Wh_hp,'2023'!Maxi_hp)</f>
        <v>59.915343833320051</v>
      </c>
      <c r="J156" s="85">
        <f>IF(H156,An,'2023'!An_max)</f>
        <v>2019</v>
      </c>
      <c r="K156" s="196">
        <f t="shared" si="52"/>
        <v>45433</v>
      </c>
      <c r="L156" s="147">
        <f>IF(t&lt;Tvie,1-EXP((T0-t)*PertePVj)+'2023'!Pspv,1-EXP((T0-t)*PertePVj)+Pspv)</f>
        <v>4.5488747813261156E-2</v>
      </c>
      <c r="M156" s="847"/>
      <c r="N156" s="847"/>
      <c r="O156" s="48">
        <f>IF(t&lt;Tnet,'2023'!Resal+('2023'!Salim-'2023'!Resal)*(1-EXP(('2023'!Tnet-t)/('2023'!Tau_j))),Resal+(Salim-Resal)*(1-EXP((Tnet-t)/(Tau_j))))*Salcycl</f>
        <v>7.7576616292767556E-3</v>
      </c>
      <c r="P156" s="168">
        <f>(INDEX(Models!$BJ156:$BT156,,T156)*(1-R156)+INDEX(Models!$BJ156:$BT156,,T156+1)*R156-ERP_i)*Q156*Ramure*Pc/MaxiM</f>
        <v>5.1381909536046876E-4</v>
      </c>
      <c r="Q156" s="304">
        <f t="shared" si="53"/>
        <v>0.5</v>
      </c>
      <c r="R156" s="176">
        <f t="shared" si="54"/>
        <v>0.42876301618216761</v>
      </c>
      <c r="S156" s="814">
        <f t="shared" si="55"/>
        <v>1</v>
      </c>
      <c r="T156" s="175">
        <f t="shared" si="56"/>
        <v>7</v>
      </c>
      <c r="U156" s="250">
        <f t="shared" si="57"/>
        <v>1.4287630161821676</v>
      </c>
      <c r="V156" s="382">
        <f t="shared" si="58"/>
        <v>57.293037326886378</v>
      </c>
      <c r="W156" s="401">
        <f t="shared" si="59"/>
        <v>35.358099041452171</v>
      </c>
      <c r="X156" s="157">
        <f t="shared" si="60"/>
        <v>45433</v>
      </c>
      <c r="Y156" s="384">
        <f t="shared" si="61"/>
        <v>32.966661772253403</v>
      </c>
      <c r="Z156" s="384">
        <f t="shared" si="62"/>
        <v>34.53774033226783</v>
      </c>
      <c r="AA156" s="385">
        <f t="shared" si="63"/>
        <v>37.332760259721518</v>
      </c>
      <c r="AB156" s="196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7.4867754433610642E-2</v>
      </c>
      <c r="AD156" s="230">
        <f>(INDEX(Models!$BJ156:$BT156,,AH156)*(1-AF156)+INDEX(Models!$BJ156:$BT156,,AH156+1)*AF156-ERP_i)*AE156*Ramure*Pc/MaxiM</f>
        <v>5.1381909536046876E-4</v>
      </c>
      <c r="AE156" s="304">
        <f t="shared" si="65"/>
        <v>0.5</v>
      </c>
      <c r="AF156" s="176">
        <f t="shared" si="66"/>
        <v>0.42876301618216761</v>
      </c>
      <c r="AG156" s="814">
        <f t="shared" si="74"/>
        <v>1</v>
      </c>
      <c r="AH156" s="175">
        <f t="shared" si="67"/>
        <v>7</v>
      </c>
      <c r="AI156" s="224">
        <f t="shared" si="68"/>
        <v>1.4287630161821676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10">
        <f>'2023'!Wh/'2023'!Env_an*'2024'!Env_an</f>
        <v>17.1071448760412</v>
      </c>
      <c r="C157" s="843"/>
      <c r="D157" s="392">
        <f t="shared" si="50"/>
        <v>17.922805063173271</v>
      </c>
      <c r="E157" s="384">
        <f t="shared" si="72"/>
        <v>18.064847875936444</v>
      </c>
      <c r="F157" s="384">
        <f t="shared" si="51"/>
        <v>18.064847875936444</v>
      </c>
      <c r="G157" s="110">
        <f t="shared" si="73"/>
        <v>0.29849751263315505</v>
      </c>
      <c r="H157" s="413" t="b">
        <f>Wh_hp&gt;='2023'!Maxi_hp</f>
        <v>0</v>
      </c>
      <c r="I157" s="389">
        <f>IF(H157,Wh_hp,'2023'!Maxi_hp)</f>
        <v>55.585260349029333</v>
      </c>
      <c r="J157" s="85">
        <f>IF(H157,An,'2023'!An_max)</f>
        <v>2020</v>
      </c>
      <c r="K157" s="196">
        <f t="shared" si="52"/>
        <v>45434</v>
      </c>
      <c r="L157" s="147">
        <f>IF(t&lt;Tvie,1-EXP((T0-t)*PertePVj)+'2023'!Pspv,1-EXP((T0-t)*PertePVj)+Pspv)</f>
        <v>4.5509627776292839E-2</v>
      </c>
      <c r="M157" s="847"/>
      <c r="N157" s="847"/>
      <c r="O157" s="48">
        <f>IF(t&lt;Tnet,'2023'!Resal+('2023'!Salim-'2023'!Resal)*(1-EXP(('2023'!Tnet-t)/('2023'!Tau_j))),Resal+(Salim-Resal)*(1-EXP((Tnet-t)/(Tau_j))))*Salcycl</f>
        <v>7.8629398785240757E-3</v>
      </c>
      <c r="P157" s="168">
        <f>(INDEX(Models!$BJ157:$BT157,,T157)*(1-R157)+INDEX(Models!$BJ157:$BT157,,T157+1)*R157-ERP_i)*Q157*Ramure*Pc/MaxiM</f>
        <v>5.3155547218609552E-4</v>
      </c>
      <c r="Q157" s="304">
        <f t="shared" si="53"/>
        <v>0.5</v>
      </c>
      <c r="R157" s="176">
        <f t="shared" si="54"/>
        <v>0.43144401498123108</v>
      </c>
      <c r="S157" s="814">
        <f t="shared" si="55"/>
        <v>1</v>
      </c>
      <c r="T157" s="175">
        <f t="shared" si="56"/>
        <v>7</v>
      </c>
      <c r="U157" s="250">
        <f t="shared" si="57"/>
        <v>1.4314440149812311</v>
      </c>
      <c r="V157" s="382">
        <f t="shared" si="58"/>
        <v>57.28038176513008</v>
      </c>
      <c r="W157" s="401">
        <f t="shared" si="59"/>
        <v>17.1071448760412</v>
      </c>
      <c r="X157" s="157">
        <f t="shared" si="60"/>
        <v>45434</v>
      </c>
      <c r="Y157" s="384">
        <f t="shared" si="61"/>
        <v>15.950394698638807</v>
      </c>
      <c r="Z157" s="384">
        <f t="shared" si="62"/>
        <v>16.710901610750305</v>
      </c>
      <c r="AA157" s="385">
        <f t="shared" si="63"/>
        <v>18.064847875936444</v>
      </c>
      <c r="AB157" s="196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7.4949220413291426E-2</v>
      </c>
      <c r="AD157" s="230">
        <f>(INDEX(Models!$BJ157:$BT157,,AH157)*(1-AF157)+INDEX(Models!$BJ157:$BT157,,AH157+1)*AF157-ERP_i)*AE157*Ramure*Pc/MaxiM</f>
        <v>5.3155547218609552E-4</v>
      </c>
      <c r="AE157" s="304">
        <f t="shared" si="65"/>
        <v>0.5</v>
      </c>
      <c r="AF157" s="176">
        <f t="shared" si="66"/>
        <v>0.43144401498123108</v>
      </c>
      <c r="AG157" s="814">
        <f t="shared" si="74"/>
        <v>1</v>
      </c>
      <c r="AH157" s="175">
        <f t="shared" si="67"/>
        <v>7</v>
      </c>
      <c r="AI157" s="224">
        <f t="shared" si="68"/>
        <v>1.4314440149812311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10">
        <f>'2023'!Wh/'2023'!Env_an*'2024'!Env_an</f>
        <v>14.012649537661716</v>
      </c>
      <c r="C158" s="843"/>
      <c r="D158" s="392">
        <f t="shared" si="50"/>
        <v>14.681086870318421</v>
      </c>
      <c r="E158" s="384">
        <f t="shared" si="72"/>
        <v>14.799009277648036</v>
      </c>
      <c r="F158" s="384">
        <f t="shared" si="51"/>
        <v>14.799009277648036</v>
      </c>
      <c r="G158" s="110">
        <f t="shared" si="73"/>
        <v>0.2445645348902582</v>
      </c>
      <c r="H158" s="413" t="b">
        <f>Wh_hp&gt;='2023'!Maxi_hp</f>
        <v>0</v>
      </c>
      <c r="I158" s="389">
        <f>IF(H158,Wh_hp,'2023'!Maxi_hp)</f>
        <v>26.001334753599281</v>
      </c>
      <c r="J158" s="85">
        <f>IF(H158,An,'2023'!An_max)</f>
        <v>2021</v>
      </c>
      <c r="K158" s="196">
        <f t="shared" si="52"/>
        <v>45435</v>
      </c>
      <c r="L158" s="147">
        <f>IF(t&lt;Tvie,1-EXP((T0-t)*PertePVj)+'2023'!Pspv,1-EXP((T0-t)*PertePVj)+Pspv)</f>
        <v>4.5530507281999789E-2</v>
      </c>
      <c r="M158" s="847"/>
      <c r="N158" s="847"/>
      <c r="O158" s="48">
        <f>IF(t&lt;Tnet,'2023'!Resal+('2023'!Salim-'2023'!Resal)*(1-EXP(('2023'!Tnet-t)/('2023'!Tau_j))),Resal+(Salim-Resal)*(1-EXP((Tnet-t)/(Tau_j))))*Salcycl</f>
        <v>7.9682636261146165E-3</v>
      </c>
      <c r="P158" s="168">
        <f>(INDEX(Models!$BJ158:$BT158,,T158)*(1-R158)+INDEX(Models!$BJ158:$BT158,,T158+1)*R158-ERP_i)*Q158*Ramure*Pc/MaxiM</f>
        <v>5.4935622300614142E-4</v>
      </c>
      <c r="Q158" s="304">
        <f t="shared" si="53"/>
        <v>0.5</v>
      </c>
      <c r="R158" s="176">
        <f t="shared" si="54"/>
        <v>0.43416428269972873</v>
      </c>
      <c r="S158" s="814">
        <f t="shared" si="55"/>
        <v>1</v>
      </c>
      <c r="T158" s="175">
        <f t="shared" si="56"/>
        <v>7</v>
      </c>
      <c r="U158" s="250">
        <f t="shared" si="57"/>
        <v>1.4341642826997287</v>
      </c>
      <c r="V158" s="382">
        <f t="shared" si="58"/>
        <v>57.264850799899278</v>
      </c>
      <c r="W158" s="401">
        <f t="shared" si="59"/>
        <v>14.012649537661716</v>
      </c>
      <c r="X158" s="157">
        <f t="shared" si="60"/>
        <v>45435</v>
      </c>
      <c r="Y158" s="384">
        <f t="shared" si="61"/>
        <v>13.065377577246005</v>
      </c>
      <c r="Z158" s="384">
        <f t="shared" si="62"/>
        <v>13.68862774234964</v>
      </c>
      <c r="AA158" s="385">
        <f t="shared" si="63"/>
        <v>14.799009277648036</v>
      </c>
      <c r="AB158" s="196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7.5030802026422275E-2</v>
      </c>
      <c r="AD158" s="230">
        <f>(INDEX(Models!$BJ158:$BT158,,AH158)*(1-AF158)+INDEX(Models!$BJ158:$BT158,,AH158+1)*AF158-ERP_i)*AE158*Ramure*Pc/MaxiM</f>
        <v>5.4935622300614142E-4</v>
      </c>
      <c r="AE158" s="304">
        <f t="shared" si="65"/>
        <v>0.5</v>
      </c>
      <c r="AF158" s="176">
        <f t="shared" si="66"/>
        <v>0.43416428269972873</v>
      </c>
      <c r="AG158" s="814">
        <f t="shared" si="74"/>
        <v>1</v>
      </c>
      <c r="AH158" s="175">
        <f t="shared" si="67"/>
        <v>7</v>
      </c>
      <c r="AI158" s="224">
        <f t="shared" si="68"/>
        <v>1.4341642826997287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10">
        <f>'2023'!Wh/'2023'!Env_an*'2024'!Env_an</f>
        <v>40.000569455652418</v>
      </c>
      <c r="C159" s="843"/>
      <c r="D159" s="392">
        <f t="shared" si="50"/>
        <v>41.90961030564084</v>
      </c>
      <c r="E159" s="384">
        <f t="shared" si="72"/>
        <v>42.250726894504361</v>
      </c>
      <c r="F159" s="384">
        <f t="shared" si="51"/>
        <v>42.264382721611653</v>
      </c>
      <c r="G159" s="110">
        <f t="shared" si="73"/>
        <v>0.69857264957668908</v>
      </c>
      <c r="H159" s="413" t="b">
        <f>Wh_hp&gt;='2023'!Maxi_hp</f>
        <v>0</v>
      </c>
      <c r="I159" s="389">
        <f>IF(H159,Wh_hp,'2023'!Maxi_hp)</f>
        <v>56.074384360716962</v>
      </c>
      <c r="J159" s="85">
        <f>IF(H159,An,'2023'!An_max)</f>
        <v>2020</v>
      </c>
      <c r="K159" s="196">
        <f t="shared" si="52"/>
        <v>45436</v>
      </c>
      <c r="L159" s="147">
        <f>IF(t&lt;Tvie,1-EXP((T0-t)*PertePVj)+'2023'!Pspv,1-EXP((T0-t)*PertePVj)+Pspv)</f>
        <v>4.5551386330391998E-2</v>
      </c>
      <c r="M159" s="847"/>
      <c r="N159" s="847"/>
      <c r="O159" s="48">
        <f>IF(t&lt;Tnet,'2023'!Resal+('2023'!Salim-'2023'!Resal)*(1-EXP(('2023'!Tnet-t)/('2023'!Tau_j))),Resal+(Salim-Resal)*(1-EXP((Tnet-t)/(Tau_j))))*Salcycl</f>
        <v>8.0736265133438661E-3</v>
      </c>
      <c r="P159" s="168">
        <f>(INDEX(Models!$BJ159:$BT159,,T159)*(1-R159)+INDEX(Models!$BJ159:$BT159,,T159+1)*R159-ERP_i)*Q159*Ramure*Pc/MaxiM</f>
        <v>5.6721557467125496E-4</v>
      </c>
      <c r="Q159" s="304">
        <f t="shared" si="53"/>
        <v>0.5</v>
      </c>
      <c r="R159" s="176">
        <f t="shared" si="54"/>
        <v>0.43692234195035895</v>
      </c>
      <c r="S159" s="814">
        <f t="shared" si="55"/>
        <v>1</v>
      </c>
      <c r="T159" s="175">
        <f t="shared" si="56"/>
        <v>7</v>
      </c>
      <c r="U159" s="250">
        <f t="shared" si="57"/>
        <v>1.436922341950359</v>
      </c>
      <c r="V159" s="382">
        <f t="shared" si="58"/>
        <v>57.246446387435071</v>
      </c>
      <c r="W159" s="401">
        <f t="shared" si="59"/>
        <v>40.000569455652418</v>
      </c>
      <c r="X159" s="157">
        <f t="shared" si="60"/>
        <v>45436</v>
      </c>
      <c r="Y159" s="384">
        <f t="shared" si="61"/>
        <v>37.297152469234284</v>
      </c>
      <c r="Z159" s="384">
        <f t="shared" si="62"/>
        <v>39.077171819482643</v>
      </c>
      <c r="AA159" s="385">
        <f t="shared" si="63"/>
        <v>42.250726894504361</v>
      </c>
      <c r="AB159" s="196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7.5112437306599583E-2</v>
      </c>
      <c r="AD159" s="230">
        <f>(INDEX(Models!$BJ159:$BT159,,AH159)*(1-AF159)+INDEX(Models!$BJ159:$BT159,,AH159+1)*AF159-ERP_i)*AE159*Ramure*Pc/MaxiM</f>
        <v>5.6721557467125496E-4</v>
      </c>
      <c r="AE159" s="304">
        <f t="shared" si="65"/>
        <v>0.5</v>
      </c>
      <c r="AF159" s="176">
        <f t="shared" si="66"/>
        <v>0.43692234195035895</v>
      </c>
      <c r="AG159" s="814">
        <f t="shared" si="74"/>
        <v>1</v>
      </c>
      <c r="AH159" s="175">
        <f t="shared" si="67"/>
        <v>7</v>
      </c>
      <c r="AI159" s="224">
        <f t="shared" si="68"/>
        <v>1.436922341950359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10">
        <f>'2023'!Wh/'2023'!Env_an*'2024'!Env_an</f>
        <v>21.480367098636588</v>
      </c>
      <c r="C160" s="843"/>
      <c r="D160" s="392">
        <f t="shared" si="50"/>
        <v>22.506017280469543</v>
      </c>
      <c r="E160" s="384">
        <f t="shared" si="72"/>
        <v>22.691612472472386</v>
      </c>
      <c r="F160" s="384">
        <f t="shared" si="51"/>
        <v>22.693042086454462</v>
      </c>
      <c r="G160" s="110">
        <f t="shared" si="73"/>
        <v>0.37516971393915</v>
      </c>
      <c r="H160" s="413" t="b">
        <f>Wh_hp&gt;='2023'!Maxi_hp</f>
        <v>0</v>
      </c>
      <c r="I160" s="389">
        <f>IF(H160,Wh_hp,'2023'!Maxi_hp)</f>
        <v>59.949871504131856</v>
      </c>
      <c r="J160" s="85">
        <f>IF(H160,An,'2023'!An_max)</f>
        <v>2020</v>
      </c>
      <c r="K160" s="196">
        <f t="shared" si="52"/>
        <v>45437</v>
      </c>
      <c r="L160" s="147">
        <f>IF(t&lt;Tvie,1-EXP((T0-t)*PertePVj)+'2023'!Pspv,1-EXP((T0-t)*PertePVj)+Pspv)</f>
        <v>4.5572264921479456E-2</v>
      </c>
      <c r="M160" s="847"/>
      <c r="N160" s="847"/>
      <c r="O160" s="48">
        <f>IF(t&lt;Tnet,'2023'!Resal+('2023'!Salim-'2023'!Resal)*(1-EXP(('2023'!Tnet-t)/('2023'!Tau_j))),Resal+(Salim-Resal)*(1-EXP((Tnet-t)/(Tau_j))))*Salcycl</f>
        <v>8.1790217521118726E-3</v>
      </c>
      <c r="P160" s="168">
        <f>(INDEX(Models!$BJ160:$BT160,,T160)*(1-R160)+INDEX(Models!$BJ160:$BT160,,T160+1)*R160-ERP_i)*Q160*Ramure*Pc/MaxiM</f>
        <v>5.8512719140356125E-4</v>
      </c>
      <c r="Q160" s="304">
        <f t="shared" si="53"/>
        <v>0.5</v>
      </c>
      <c r="R160" s="176">
        <f t="shared" si="54"/>
        <v>0.43971660935485835</v>
      </c>
      <c r="S160" s="814">
        <f t="shared" si="55"/>
        <v>1</v>
      </c>
      <c r="T160" s="175">
        <f t="shared" si="56"/>
        <v>7</v>
      </c>
      <c r="U160" s="250">
        <f t="shared" si="57"/>
        <v>1.4397166093548583</v>
      </c>
      <c r="V160" s="382">
        <f t="shared" si="58"/>
        <v>57.225170544160534</v>
      </c>
      <c r="W160" s="401">
        <f t="shared" si="59"/>
        <v>21.480367098636588</v>
      </c>
      <c r="X160" s="157">
        <f t="shared" si="60"/>
        <v>45437</v>
      </c>
      <c r="Y160" s="384">
        <f t="shared" si="61"/>
        <v>20.028988548792739</v>
      </c>
      <c r="Z160" s="384">
        <f t="shared" si="62"/>
        <v>20.985337928329336</v>
      </c>
      <c r="AA160" s="385">
        <f t="shared" si="63"/>
        <v>22.691612472472386</v>
      </c>
      <c r="AB160" s="196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7.5194063278357148E-2</v>
      </c>
      <c r="AD160" s="230">
        <f>(INDEX(Models!$BJ160:$BT160,,AH160)*(1-AF160)+INDEX(Models!$BJ160:$BT160,,AH160+1)*AF160-ERP_i)*AE160*Ramure*Pc/MaxiM</f>
        <v>5.8512719140356125E-4</v>
      </c>
      <c r="AE160" s="304">
        <f t="shared" si="65"/>
        <v>0.5</v>
      </c>
      <c r="AF160" s="176">
        <f t="shared" si="66"/>
        <v>0.43971660935485835</v>
      </c>
      <c r="AG160" s="814">
        <f t="shared" si="74"/>
        <v>1</v>
      </c>
      <c r="AH160" s="175">
        <f t="shared" si="67"/>
        <v>7</v>
      </c>
      <c r="AI160" s="224">
        <f t="shared" si="68"/>
        <v>1.4397166093548583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10">
        <f>'2023'!Wh/'2023'!Env_an*'2024'!Env_an</f>
        <v>40.166632133076448</v>
      </c>
      <c r="C161" s="843"/>
      <c r="D161" s="392">
        <f t="shared" si="50"/>
        <v>42.085439601365522</v>
      </c>
      <c r="E161" s="384">
        <f t="shared" si="72"/>
        <v>42.437006526609856</v>
      </c>
      <c r="F161" s="384">
        <f t="shared" si="51"/>
        <v>42.451716727011984</v>
      </c>
      <c r="G161" s="110">
        <f t="shared" si="73"/>
        <v>0.70202103620300715</v>
      </c>
      <c r="H161" s="413" t="b">
        <f>Wh_hp&gt;='2023'!Maxi_hp</f>
        <v>0</v>
      </c>
      <c r="I161" s="389">
        <f>IF(H161,Wh_hp,'2023'!Maxi_hp)</f>
        <v>59.872524660282878</v>
      </c>
      <c r="J161" s="85">
        <f>IF(H161,An,'2023'!An_max)</f>
        <v>2021</v>
      </c>
      <c r="K161" s="196">
        <f t="shared" si="52"/>
        <v>45438</v>
      </c>
      <c r="L161" s="147">
        <f>IF(t&lt;Tvie,1-EXP((T0-t)*PertePVj)+'2023'!Pspv,1-EXP((T0-t)*PertePVj)+Pspv)</f>
        <v>4.5593143055272158E-2</v>
      </c>
      <c r="M161" s="847"/>
      <c r="N161" s="847"/>
      <c r="O161" s="48">
        <f>IF(t&lt;Tnet,'2023'!Resal+('2023'!Salim-'2023'!Resal)*(1-EXP(('2023'!Tnet-t)/('2023'!Tau_j))),Resal+(Salim-Resal)*(1-EXP((Tnet-t)/(Tau_j))))*Salcycl</f>
        <v>8.284442141881166E-3</v>
      </c>
      <c r="P161" s="168">
        <f>(INDEX(Models!$BJ161:$BT161,,T161)*(1-R161)+INDEX(Models!$BJ161:$BT161,,T161+1)*R161-ERP_i)*Q161*Ramure*Pc/MaxiM</f>
        <v>6.0308419029677751E-4</v>
      </c>
      <c r="Q161" s="304">
        <f t="shared" si="53"/>
        <v>0.5</v>
      </c>
      <c r="R161" s="176">
        <f t="shared" si="54"/>
        <v>0.44254539778944402</v>
      </c>
      <c r="S161" s="814">
        <f t="shared" si="55"/>
        <v>1</v>
      </c>
      <c r="T161" s="175">
        <f t="shared" si="56"/>
        <v>7</v>
      </c>
      <c r="U161" s="250">
        <f t="shared" si="57"/>
        <v>1.442545397789444</v>
      </c>
      <c r="V161" s="382">
        <f t="shared" si="58"/>
        <v>57.201025341288045</v>
      </c>
      <c r="W161" s="401">
        <f t="shared" si="59"/>
        <v>40.166632133076448</v>
      </c>
      <c r="X161" s="157">
        <f t="shared" si="60"/>
        <v>45438</v>
      </c>
      <c r="Y161" s="384">
        <f t="shared" si="61"/>
        <v>37.453344213471965</v>
      </c>
      <c r="Z161" s="384">
        <f t="shared" si="62"/>
        <v>39.242534712469052</v>
      </c>
      <c r="AA161" s="385">
        <f t="shared" si="63"/>
        <v>42.437006526609856</v>
      </c>
      <c r="AB161" s="196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7.527561615680245E-2</v>
      </c>
      <c r="AD161" s="230">
        <f>(INDEX(Models!$BJ161:$BT161,,AH161)*(1-AF161)+INDEX(Models!$BJ161:$BT161,,AH161+1)*AF161-ERP_i)*AE161*Ramure*Pc/MaxiM</f>
        <v>6.0308419029677751E-4</v>
      </c>
      <c r="AE161" s="304">
        <f t="shared" si="65"/>
        <v>0.5</v>
      </c>
      <c r="AF161" s="176">
        <f t="shared" si="66"/>
        <v>0.44254539778944402</v>
      </c>
      <c r="AG161" s="814">
        <f t="shared" si="74"/>
        <v>1</v>
      </c>
      <c r="AH161" s="175">
        <f t="shared" si="67"/>
        <v>7</v>
      </c>
      <c r="AI161" s="224">
        <f t="shared" si="68"/>
        <v>1.442545397789444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10">
        <f>'2023'!Wh/'2023'!Env_an*'2024'!Env_an</f>
        <v>51.984098149880865</v>
      </c>
      <c r="C162" s="843"/>
      <c r="D162" s="392">
        <f t="shared" si="50"/>
        <v>54.468631433311636</v>
      </c>
      <c r="E162" s="384">
        <f t="shared" si="72"/>
        <v>54.92948321081608</v>
      </c>
      <c r="F162" s="384">
        <f t="shared" si="51"/>
        <v>54.959190817480888</v>
      </c>
      <c r="G162" s="110">
        <f t="shared" si="73"/>
        <v>0.90915271570351497</v>
      </c>
      <c r="H162" s="413" t="b">
        <f>Wh_hp&gt;='2023'!Maxi_hp</f>
        <v>0</v>
      </c>
      <c r="I162" s="389">
        <f>IF(H162,Wh_hp,'2023'!Maxi_hp)</f>
        <v>58.893102499621982</v>
      </c>
      <c r="J162" s="85">
        <f>IF(H162,An,'2023'!An_max)</f>
        <v>2020</v>
      </c>
      <c r="K162" s="196">
        <f t="shared" si="52"/>
        <v>45439</v>
      </c>
      <c r="L162" s="147">
        <f>IF(t&lt;Tvie,1-EXP((T0-t)*PertePVj)+'2023'!Pspv,1-EXP((T0-t)*PertePVj)+Pspv)</f>
        <v>4.5614020731780204E-2</v>
      </c>
      <c r="M162" s="847"/>
      <c r="N162" s="847"/>
      <c r="O162" s="48">
        <f>IF(t&lt;Tnet,'2023'!Resal+('2023'!Salim-'2023'!Resal)*(1-EXP(('2023'!Tnet-t)/('2023'!Tau_j))),Resal+(Salim-Resal)*(1-EXP((Tnet-t)/(Tau_j))))*Salcycl</f>
        <v>8.3898800892723193E-3</v>
      </c>
      <c r="P162" s="168">
        <f>(INDEX(Models!$BJ162:$BT162,,T162)*(1-R162)+INDEX(Models!$BJ162:$BT162,,T162+1)*R162-ERP_i)*Q162*Ramure*Pc/MaxiM</f>
        <v>6.2107916020450273E-4</v>
      </c>
      <c r="Q162" s="304">
        <f t="shared" si="53"/>
        <v>0.5</v>
      </c>
      <c r="R162" s="176">
        <f t="shared" si="54"/>
        <v>0.44540691921836939</v>
      </c>
      <c r="S162" s="814">
        <f t="shared" si="55"/>
        <v>1</v>
      </c>
      <c r="T162" s="175">
        <f t="shared" si="56"/>
        <v>7</v>
      </c>
      <c r="U162" s="250">
        <f t="shared" si="57"/>
        <v>1.4454069192183694</v>
      </c>
      <c r="V162" s="382">
        <f t="shared" si="58"/>
        <v>57.174012901914452</v>
      </c>
      <c r="W162" s="401">
        <f t="shared" si="59"/>
        <v>51.984098149880865</v>
      </c>
      <c r="X162" s="157">
        <f t="shared" si="60"/>
        <v>45439</v>
      </c>
      <c r="Y162" s="384">
        <f t="shared" si="61"/>
        <v>48.473416981131528</v>
      </c>
      <c r="Z162" s="384">
        <f t="shared" si="62"/>
        <v>50.790160411093595</v>
      </c>
      <c r="AA162" s="385">
        <f t="shared" si="63"/>
        <v>54.92948321081608</v>
      </c>
      <c r="AB162" s="196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7.5357031556914811E-2</v>
      </c>
      <c r="AD162" s="230">
        <f>(INDEX(Models!$BJ162:$BT162,,AH162)*(1-AF162)+INDEX(Models!$BJ162:$BT162,,AH162+1)*AF162-ERP_i)*AE162*Ramure*Pc/MaxiM</f>
        <v>6.2107916020450273E-4</v>
      </c>
      <c r="AE162" s="304">
        <f t="shared" si="65"/>
        <v>0.5</v>
      </c>
      <c r="AF162" s="176">
        <f t="shared" si="66"/>
        <v>0.44540691921836939</v>
      </c>
      <c r="AG162" s="814">
        <f t="shared" si="74"/>
        <v>1</v>
      </c>
      <c r="AH162" s="175">
        <f t="shared" si="67"/>
        <v>7</v>
      </c>
      <c r="AI162" s="224">
        <f t="shared" si="68"/>
        <v>1.4454069192183694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10">
        <f>'2023'!Wh/'2023'!Env_an*'2024'!Env_an</f>
        <v>56.744920871327793</v>
      </c>
      <c r="C163" s="843"/>
      <c r="D163" s="392">
        <f t="shared" si="50"/>
        <v>59.458294052767172</v>
      </c>
      <c r="E163" s="384">
        <f t="shared" si="72"/>
        <v>59.967739648325491</v>
      </c>
      <c r="F163" s="384">
        <f t="shared" si="51"/>
        <v>60.005708246077674</v>
      </c>
      <c r="G163" s="110">
        <f t="shared" si="73"/>
        <v>0.99302301855912656</v>
      </c>
      <c r="H163" s="413" t="b">
        <f>Wh_hp&gt;='2023'!Maxi_hp</f>
        <v>0</v>
      </c>
      <c r="I163" s="389">
        <f>IF(H163,Wh_hp,'2023'!Maxi_hp)</f>
        <v>60.005838604518864</v>
      </c>
      <c r="J163" s="85">
        <f>IF(H163,An,'2023'!An_max)</f>
        <v>2022</v>
      </c>
      <c r="K163" s="196">
        <f t="shared" si="52"/>
        <v>45440</v>
      </c>
      <c r="L163" s="147">
        <f>IF(t&lt;Tvie,1-EXP((T0-t)*PertePVj)+'2023'!Pspv,1-EXP((T0-t)*PertePVj)+Pspv)</f>
        <v>4.5634897951013477E-2</v>
      </c>
      <c r="M163" s="847"/>
      <c r="N163" s="847"/>
      <c r="O163" s="48">
        <f>IF(t&lt;Tnet,'2023'!Resal+('2023'!Salim-'2023'!Resal)*(1-EXP(('2023'!Tnet-t)/('2023'!Tau_j))),Resal+(Salim-Resal)*(1-EXP((Tnet-t)/(Tau_j))))*Salcycl</f>
        <v>8.495327630254363E-3</v>
      </c>
      <c r="P163" s="168">
        <f>(INDEX(Models!$BJ163:$BT163,,T163)*(1-R163)+INDEX(Models!$BJ163:$BT163,,T163+1)*R163-ERP_i)*Q163*Ramure*Pc/MaxiM</f>
        <v>6.3911411516084135E-4</v>
      </c>
      <c r="Q163" s="304">
        <f t="shared" si="53"/>
        <v>0.5</v>
      </c>
      <c r="R163" s="176">
        <f t="shared" si="54"/>
        <v>0.44829928811710262</v>
      </c>
      <c r="S163" s="814">
        <f t="shared" si="55"/>
        <v>1</v>
      </c>
      <c r="T163" s="175">
        <f t="shared" si="56"/>
        <v>7</v>
      </c>
      <c r="U163" s="250">
        <f t="shared" si="57"/>
        <v>1.4482992881171026</v>
      </c>
      <c r="V163" s="382">
        <f t="shared" si="58"/>
        <v>57.143246870975673</v>
      </c>
      <c r="W163" s="401">
        <f t="shared" si="59"/>
        <v>56.744920871327793</v>
      </c>
      <c r="X163" s="157">
        <f t="shared" si="60"/>
        <v>45440</v>
      </c>
      <c r="Y163" s="384">
        <f t="shared" si="61"/>
        <v>52.913702886656928</v>
      </c>
      <c r="Z163" s="384">
        <f t="shared" si="62"/>
        <v>55.443878629942745</v>
      </c>
      <c r="AA163" s="385">
        <f t="shared" si="63"/>
        <v>59.967739648325491</v>
      </c>
      <c r="AB163" s="196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7.5438244711447444E-2</v>
      </c>
      <c r="AD163" s="230">
        <f>(INDEX(Models!$BJ163:$BT163,,AH163)*(1-AF163)+INDEX(Models!$BJ163:$BT163,,AH163+1)*AF163-ERP_i)*AE163*Ramure*Pc/MaxiM</f>
        <v>6.3911411516084135E-4</v>
      </c>
      <c r="AE163" s="304">
        <f t="shared" si="65"/>
        <v>0.5</v>
      </c>
      <c r="AF163" s="176">
        <f t="shared" si="66"/>
        <v>0.44829928811710262</v>
      </c>
      <c r="AG163" s="814">
        <f t="shared" si="74"/>
        <v>1</v>
      </c>
      <c r="AH163" s="175">
        <f t="shared" si="67"/>
        <v>7</v>
      </c>
      <c r="AI163" s="224">
        <f t="shared" si="68"/>
        <v>1.4482992881171026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10">
        <f>'2023'!Wh/'2023'!Env_an*'2024'!Env_an</f>
        <v>48.432732419636281</v>
      </c>
      <c r="C164" s="843"/>
      <c r="D164" s="392">
        <f t="shared" si="50"/>
        <v>50.749751647598849</v>
      </c>
      <c r="E164" s="384">
        <f t="shared" si="72"/>
        <v>51.190025614629057</v>
      </c>
      <c r="F164" s="384">
        <f t="shared" si="51"/>
        <v>51.21637074110707</v>
      </c>
      <c r="G164" s="110">
        <f t="shared" si="73"/>
        <v>0.84796727901659918</v>
      </c>
      <c r="H164" s="413" t="b">
        <f>Wh_hp&gt;='2023'!Maxi_hp</f>
        <v>0</v>
      </c>
      <c r="I164" s="389">
        <f>IF(H164,Wh_hp,'2023'!Maxi_hp)</f>
        <v>59.235447555070827</v>
      </c>
      <c r="J164" s="85">
        <f>IF(H164,An,'2023'!An_max)</f>
        <v>2019</v>
      </c>
      <c r="K164" s="196">
        <f t="shared" si="52"/>
        <v>45441</v>
      </c>
      <c r="L164" s="147">
        <f>IF(t&lt;Tvie,1-EXP((T0-t)*PertePVj)+'2023'!Pspv,1-EXP((T0-t)*PertePVj)+Pspv)</f>
        <v>4.5655774712982079E-2</v>
      </c>
      <c r="M164" s="847"/>
      <c r="N164" s="847"/>
      <c r="O164" s="48">
        <f>IF(t&lt;Tnet,'2023'!Resal+('2023'!Salim-'2023'!Resal)*(1-EXP(('2023'!Tnet-t)/('2023'!Tau_j))),Resal+(Salim-Resal)*(1-EXP((Tnet-t)/(Tau_j))))*Salcycl</f>
        <v>8.6007764548644509E-3</v>
      </c>
      <c r="P164" s="168">
        <f>(INDEX(Models!$BJ164:$BT164,,T164)*(1-R164)+INDEX(Models!$BJ164:$BT164,,T164+1)*R164-ERP_i)*Q164*Ramure*Pc/MaxiM</f>
        <v>6.5696015808302242E-4</v>
      </c>
      <c r="Q164" s="304">
        <f t="shared" si="53"/>
        <v>0.5</v>
      </c>
      <c r="R164" s="176">
        <f t="shared" si="54"/>
        <v>0.45122052548115499</v>
      </c>
      <c r="S164" s="814">
        <f t="shared" si="55"/>
        <v>1</v>
      </c>
      <c r="T164" s="175">
        <f t="shared" si="56"/>
        <v>7</v>
      </c>
      <c r="U164" s="250">
        <f t="shared" si="57"/>
        <v>1.451220525481155</v>
      </c>
      <c r="V164" s="382">
        <f t="shared" si="58"/>
        <v>57.108127804956887</v>
      </c>
      <c r="W164" s="401">
        <f t="shared" si="59"/>
        <v>48.432732419636281</v>
      </c>
      <c r="X164" s="157">
        <f t="shared" si="60"/>
        <v>45441</v>
      </c>
      <c r="Y164" s="384">
        <f t="shared" si="61"/>
        <v>45.163573463357388</v>
      </c>
      <c r="Z164" s="384">
        <f t="shared" si="62"/>
        <v>47.324196308490784</v>
      </c>
      <c r="AA164" s="385">
        <f t="shared" si="63"/>
        <v>51.190025614629057</v>
      </c>
      <c r="AB164" s="196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7.5519190696273109E-2</v>
      </c>
      <c r="AD164" s="230">
        <f>(INDEX(Models!$BJ164:$BT164,,AH164)*(1-AF164)+INDEX(Models!$BJ164:$BT164,,AH164+1)*AF164-ERP_i)*AE164*Ramure*Pc/MaxiM</f>
        <v>6.5696015808302242E-4</v>
      </c>
      <c r="AE164" s="304">
        <f t="shared" si="65"/>
        <v>0.5</v>
      </c>
      <c r="AF164" s="176">
        <f t="shared" si="66"/>
        <v>0.45122052548115499</v>
      </c>
      <c r="AG164" s="814">
        <f t="shared" si="74"/>
        <v>1</v>
      </c>
      <c r="AH164" s="175">
        <f t="shared" si="67"/>
        <v>7</v>
      </c>
      <c r="AI164" s="224">
        <f t="shared" si="68"/>
        <v>1.451220525481155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10">
        <f>'2023'!Wh/'2023'!Env_an*'2024'!Env_an</f>
        <v>53.935108512780303</v>
      </c>
      <c r="C165" s="843"/>
      <c r="D165" s="392">
        <f t="shared" si="50"/>
        <v>56.516597409355036</v>
      </c>
      <c r="E165" s="384">
        <f t="shared" si="72"/>
        <v>57.012964705162602</v>
      </c>
      <c r="F165" s="384">
        <f t="shared" si="51"/>
        <v>57.048432597763551</v>
      </c>
      <c r="G165" s="110">
        <f t="shared" si="73"/>
        <v>0.94503477179493289</v>
      </c>
      <c r="H165" s="413" t="b">
        <f>Wh_hp&gt;='2023'!Maxi_hp</f>
        <v>0</v>
      </c>
      <c r="I165" s="389">
        <f>IF(H165,Wh_hp,'2023'!Maxi_hp)</f>
        <v>60.201047487090179</v>
      </c>
      <c r="J165" s="85">
        <f>IF(H165,An,'2023'!An_max)</f>
        <v>2019</v>
      </c>
      <c r="K165" s="196">
        <f t="shared" si="52"/>
        <v>45442</v>
      </c>
      <c r="L165" s="147">
        <f>IF(t&lt;Tvie,1-EXP((T0-t)*PertePVj)+'2023'!Pspv,1-EXP((T0-t)*PertePVj)+Pspv)</f>
        <v>4.5676651017696003E-2</v>
      </c>
      <c r="M165" s="847"/>
      <c r="N165" s="847"/>
      <c r="O165" s="48">
        <f>IF(t&lt;Tnet,'2023'!Resal+('2023'!Salim-'2023'!Resal)*(1-EXP(('2023'!Tnet-t)/('2023'!Tau_j))),Resal+(Salim-Resal)*(1-EXP((Tnet-t)/(Tau_j))))*Salcycl</f>
        <v>8.7062179343678752E-3</v>
      </c>
      <c r="P165" s="168">
        <f>(INDEX(Models!$BJ165:$BT165,,T165)*(1-R165)+INDEX(Models!$BJ165:$BT165,,T165+1)*R165-ERP_i)*Q165*Ramure*Pc/MaxiM</f>
        <v>6.7464123792646111E-4</v>
      </c>
      <c r="Q165" s="304">
        <f t="shared" si="53"/>
        <v>0.5</v>
      </c>
      <c r="R165" s="176">
        <f t="shared" si="54"/>
        <v>0.45416856341093115</v>
      </c>
      <c r="S165" s="814">
        <f t="shared" si="55"/>
        <v>1</v>
      </c>
      <c r="T165" s="175">
        <f t="shared" si="56"/>
        <v>7</v>
      </c>
      <c r="U165" s="250">
        <f t="shared" si="57"/>
        <v>1.4541685634109311</v>
      </c>
      <c r="V165" s="382">
        <f t="shared" si="58"/>
        <v>57.06906643977176</v>
      </c>
      <c r="W165" s="401">
        <f t="shared" si="59"/>
        <v>53.935108512780303</v>
      </c>
      <c r="X165" s="157">
        <f t="shared" si="60"/>
        <v>45442</v>
      </c>
      <c r="Y165" s="384">
        <f t="shared" si="61"/>
        <v>50.29550850294121</v>
      </c>
      <c r="Z165" s="384">
        <f t="shared" si="62"/>
        <v>52.702795710255479</v>
      </c>
      <c r="AA165" s="385">
        <f t="shared" si="63"/>
        <v>57.012964705162602</v>
      </c>
      <c r="AB165" s="196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7.5599804661918027E-2</v>
      </c>
      <c r="AD165" s="230">
        <f>(INDEX(Models!$BJ165:$BT165,,AH165)*(1-AF165)+INDEX(Models!$BJ165:$BT165,,AH165+1)*AF165-ERP_i)*AE165*Ramure*Pc/MaxiM</f>
        <v>6.7464123792646111E-4</v>
      </c>
      <c r="AE165" s="304">
        <f t="shared" si="65"/>
        <v>0.5</v>
      </c>
      <c r="AF165" s="176">
        <f t="shared" si="66"/>
        <v>0.45416856341093115</v>
      </c>
      <c r="AG165" s="814">
        <f t="shared" si="74"/>
        <v>1</v>
      </c>
      <c r="AH165" s="175">
        <f t="shared" si="67"/>
        <v>7</v>
      </c>
      <c r="AI165" s="224">
        <f t="shared" si="68"/>
        <v>1.4541685634109311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10">
        <f>'2023'!Wh/'2023'!Env_an*'2024'!Env_an</f>
        <v>54.347419680058714</v>
      </c>
      <c r="C166" s="843"/>
      <c r="D166" s="392">
        <f t="shared" si="50"/>
        <v>56.949888751236522</v>
      </c>
      <c r="E166" s="384">
        <f t="shared" si="72"/>
        <v>57.456172036025869</v>
      </c>
      <c r="F166" s="384">
        <f t="shared" si="51"/>
        <v>57.493294771625358</v>
      </c>
      <c r="G166" s="110">
        <f t="shared" si="73"/>
        <v>0.95297654110681451</v>
      </c>
      <c r="H166" s="413" t="b">
        <f>Wh_hp&gt;='2023'!Maxi_hp</f>
        <v>0</v>
      </c>
      <c r="I166" s="389">
        <f>IF(H166,Wh_hp,'2023'!Maxi_hp)</f>
        <v>61.029409506694016</v>
      </c>
      <c r="J166" s="85">
        <f>IF(H166,An,'2023'!An_max)</f>
        <v>2019</v>
      </c>
      <c r="K166" s="196">
        <f t="shared" si="52"/>
        <v>45443</v>
      </c>
      <c r="L166" s="147">
        <f>IF(t&lt;Tvie,1-EXP((T0-t)*PertePVj)+'2023'!Pspv,1-EXP((T0-t)*PertePVj)+Pspv)</f>
        <v>4.5697526865165351E-2</v>
      </c>
      <c r="M166" s="847"/>
      <c r="N166" s="847"/>
      <c r="O166" s="48">
        <f>IF(t&lt;Tnet,'2023'!Resal+('2023'!Salim-'2023'!Resal)*(1-EXP(('2023'!Tnet-t)/('2023'!Tau_j))),Resal+(Salim-Resal)*(1-EXP((Tnet-t)/(Tau_j))))*Salcycl</f>
        <v>8.8116431507462307E-3</v>
      </c>
      <c r="P166" s="168">
        <f>(INDEX(Models!$BJ166:$BT166,,T166)*(1-R166)+INDEX(Models!$BJ166:$BT166,,T166+1)*R166-ERP_i)*Q166*Ramure*Pc/MaxiM</f>
        <v>6.9213972182776535E-4</v>
      </c>
      <c r="Q166" s="304">
        <f t="shared" si="53"/>
        <v>0.5</v>
      </c>
      <c r="R166" s="176">
        <f t="shared" si="54"/>
        <v>0.45714125025718055</v>
      </c>
      <c r="S166" s="814">
        <f t="shared" si="55"/>
        <v>1</v>
      </c>
      <c r="T166" s="175">
        <f t="shared" si="56"/>
        <v>7</v>
      </c>
      <c r="U166" s="250">
        <f t="shared" si="57"/>
        <v>1.4571412502571806</v>
      </c>
      <c r="V166" s="382">
        <f t="shared" si="58"/>
        <v>57.026475656385912</v>
      </c>
      <c r="W166" s="401">
        <f t="shared" si="59"/>
        <v>54.347419680058714</v>
      </c>
      <c r="X166" s="157">
        <f t="shared" si="60"/>
        <v>45443</v>
      </c>
      <c r="Y166" s="384">
        <f t="shared" si="61"/>
        <v>50.680988544811342</v>
      </c>
      <c r="Z166" s="384">
        <f t="shared" si="62"/>
        <v>53.107887668284981</v>
      </c>
      <c r="AA166" s="385">
        <f t="shared" si="63"/>
        <v>57.456172036025869</v>
      </c>
      <c r="AB166" s="196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7.5680022069943162E-2</v>
      </c>
      <c r="AD166" s="230">
        <f>(INDEX(Models!$BJ166:$BT166,,AH166)*(1-AF166)+INDEX(Models!$BJ166:$BT166,,AH166+1)*AF166-ERP_i)*AE166*Ramure*Pc/MaxiM</f>
        <v>6.9213972182776535E-4</v>
      </c>
      <c r="AE166" s="304">
        <f t="shared" si="65"/>
        <v>0.5</v>
      </c>
      <c r="AF166" s="176">
        <f t="shared" si="66"/>
        <v>0.45714125025718055</v>
      </c>
      <c r="AG166" s="814">
        <f t="shared" si="74"/>
        <v>1</v>
      </c>
      <c r="AH166" s="175">
        <f t="shared" si="67"/>
        <v>7</v>
      </c>
      <c r="AI166" s="224">
        <f t="shared" si="68"/>
        <v>1.4571412502571806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10">
        <f>'2023'!Wh/'2023'!Env_an*'2024'!Env_an</f>
        <v>42.739228931584265</v>
      </c>
      <c r="C167" s="843"/>
      <c r="D167" s="392">
        <f t="shared" si="50"/>
        <v>44.786810342561814</v>
      </c>
      <c r="E167" s="384">
        <f t="shared" si="72"/>
        <v>45.189769456731028</v>
      </c>
      <c r="F167" s="384">
        <f t="shared" si="51"/>
        <v>45.210391347318101</v>
      </c>
      <c r="G167" s="110">
        <f t="shared" si="73"/>
        <v>0.74987402409711579</v>
      </c>
      <c r="H167" s="413" t="b">
        <f>Wh_hp&gt;='2023'!Maxi_hp</f>
        <v>0</v>
      </c>
      <c r="I167" s="389">
        <f>IF(H167,Wh_hp,'2023'!Maxi_hp)</f>
        <v>60.469553797129123</v>
      </c>
      <c r="J167" s="85">
        <f>IF(H167,An,'2023'!An_max)</f>
        <v>2019</v>
      </c>
      <c r="K167" s="196">
        <f t="shared" si="52"/>
        <v>45444</v>
      </c>
      <c r="L167" s="147">
        <f>IF(t&lt;Tvie,1-EXP((T0-t)*PertePVj)+'2023'!Pspv,1-EXP((T0-t)*PertePVj)+Pspv)</f>
        <v>4.5718402255400005E-2</v>
      </c>
      <c r="M167" s="847"/>
      <c r="N167" s="847"/>
      <c r="O167" s="48">
        <f>IF(t&lt;Tnet,'2023'!Resal+('2023'!Salim-'2023'!Resal)*(1-EXP(('2023'!Tnet-t)/('2023'!Tau_j))),Resal+(Salim-Resal)*(1-EXP((Tnet-t)/(Tau_j))))*Salcycl</f>
        <v>8.9170429283789692E-3</v>
      </c>
      <c r="P167" s="168">
        <f>(INDEX(Models!$BJ167:$BT167,,T167)*(1-R167)+INDEX(Models!$BJ167:$BT167,,T167+1)*R167-ERP_i)*Q167*Ramure*Pc/MaxiM</f>
        <v>7.0943706359876541E-4</v>
      </c>
      <c r="Q167" s="304">
        <f t="shared" si="53"/>
        <v>0.5</v>
      </c>
      <c r="R167" s="176">
        <f t="shared" si="54"/>
        <v>0.46013635630582805</v>
      </c>
      <c r="S167" s="814">
        <f t="shared" si="55"/>
        <v>1</v>
      </c>
      <c r="T167" s="175">
        <f t="shared" si="56"/>
        <v>7</v>
      </c>
      <c r="U167" s="250">
        <f t="shared" si="57"/>
        <v>1.4601363563058281</v>
      </c>
      <c r="V167" s="382">
        <f t="shared" si="58"/>
        <v>56.980768156056882</v>
      </c>
      <c r="W167" s="401">
        <f t="shared" si="59"/>
        <v>42.739228931584265</v>
      </c>
      <c r="X167" s="157">
        <f t="shared" si="60"/>
        <v>45444</v>
      </c>
      <c r="Y167" s="384">
        <f t="shared" si="61"/>
        <v>39.856718465512245</v>
      </c>
      <c r="Z167" s="384">
        <f t="shared" si="62"/>
        <v>41.766202512666844</v>
      </c>
      <c r="AA167" s="385">
        <f t="shared" si="63"/>
        <v>45.189769456731028</v>
      </c>
      <c r="AB167" s="196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7.5759778932756636E-2</v>
      </c>
      <c r="AD167" s="230">
        <f>(INDEX(Models!$BJ167:$BT167,,AH167)*(1-AF167)+INDEX(Models!$BJ167:$BT167,,AH167+1)*AF167-ERP_i)*AE167*Ramure*Pc/MaxiM</f>
        <v>7.0943706359876541E-4</v>
      </c>
      <c r="AE167" s="304">
        <f t="shared" si="65"/>
        <v>0.5</v>
      </c>
      <c r="AF167" s="176">
        <f t="shared" si="66"/>
        <v>0.46013635630582805</v>
      </c>
      <c r="AG167" s="814">
        <f t="shared" si="74"/>
        <v>1</v>
      </c>
      <c r="AH167" s="175">
        <f t="shared" si="67"/>
        <v>7</v>
      </c>
      <c r="AI167" s="224">
        <f t="shared" si="68"/>
        <v>1.4601363563058281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10">
        <f>'2023'!Wh/'2023'!Env_an*'2024'!Env_an</f>
        <v>53.080357901019966</v>
      </c>
      <c r="C168" s="843"/>
      <c r="D168" s="392">
        <f t="shared" si="50"/>
        <v>55.624586270957941</v>
      </c>
      <c r="E168" s="384">
        <f t="shared" si="72"/>
        <v>56.131023256815723</v>
      </c>
      <c r="F168" s="384">
        <f t="shared" si="51"/>
        <v>56.167885786593303</v>
      </c>
      <c r="G168" s="110">
        <f t="shared" si="73"/>
        <v>0.93227527106758001</v>
      </c>
      <c r="H168" s="413" t="b">
        <f>Wh_hp&gt;='2023'!Maxi_hp</f>
        <v>0</v>
      </c>
      <c r="I168" s="389">
        <f>IF(H168,Wh_hp,'2023'!Maxi_hp)</f>
        <v>57.408695514870161</v>
      </c>
      <c r="J168" s="85">
        <f>IF(H168,An,'2023'!An_max)</f>
        <v>2020</v>
      </c>
      <c r="K168" s="196">
        <f t="shared" si="52"/>
        <v>45445</v>
      </c>
      <c r="L168" s="147">
        <f>IF(t&lt;Tvie,1-EXP((T0-t)*PertePVj)+'2023'!Pspv,1-EXP((T0-t)*PertePVj)+Pspv)</f>
        <v>4.5739277188410067E-2</v>
      </c>
      <c r="M168" s="847"/>
      <c r="N168" s="847"/>
      <c r="O168" s="48">
        <f>IF(t&lt;Tnet,'2023'!Resal+('2023'!Salim-'2023'!Resal)*(1-EXP(('2023'!Tnet-t)/('2023'!Tau_j))),Resal+(Salim-Resal)*(1-EXP((Tnet-t)/(Tau_j))))*Salcycl</f>
        <v>9.0224078677612306E-3</v>
      </c>
      <c r="P168" s="168">
        <f>(INDEX(Models!$BJ168:$BT168,,T168)*(1-R168)+INDEX(Models!$BJ168:$BT168,,T168+1)*R168-ERP_i)*Q168*Ramure*Pc/MaxiM</f>
        <v>7.2651386271524497E-4</v>
      </c>
      <c r="Q168" s="304">
        <f t="shared" si="53"/>
        <v>0.5</v>
      </c>
      <c r="R168" s="176">
        <f t="shared" si="54"/>
        <v>0.46315157997519107</v>
      </c>
      <c r="S168" s="814">
        <f t="shared" si="55"/>
        <v>1</v>
      </c>
      <c r="T168" s="175">
        <f t="shared" si="56"/>
        <v>7</v>
      </c>
      <c r="U168" s="250">
        <f t="shared" si="57"/>
        <v>1.4631515799751911</v>
      </c>
      <c r="V168" s="382">
        <f t="shared" si="58"/>
        <v>56.93235645591929</v>
      </c>
      <c r="W168" s="401">
        <f t="shared" si="59"/>
        <v>53.080357901019966</v>
      </c>
      <c r="X168" s="157">
        <f t="shared" si="60"/>
        <v>45445</v>
      </c>
      <c r="Y168" s="384">
        <f t="shared" si="61"/>
        <v>49.501417981320813</v>
      </c>
      <c r="Z168" s="384">
        <f t="shared" si="62"/>
        <v>51.87410190736145</v>
      </c>
      <c r="AA168" s="385">
        <f t="shared" si="63"/>
        <v>56.131023256815723</v>
      </c>
      <c r="AB168" s="196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7.5839012055376576E-2</v>
      </c>
      <c r="AD168" s="230">
        <f>(INDEX(Models!$BJ168:$BT168,,AH168)*(1-AF168)+INDEX(Models!$BJ168:$BT168,,AH168+1)*AF168-ERP_i)*AE168*Ramure*Pc/MaxiM</f>
        <v>7.2651386271524497E-4</v>
      </c>
      <c r="AE168" s="304">
        <f t="shared" si="65"/>
        <v>0.5</v>
      </c>
      <c r="AF168" s="176">
        <f t="shared" si="66"/>
        <v>0.46315157997519107</v>
      </c>
      <c r="AG168" s="814">
        <f t="shared" si="74"/>
        <v>1</v>
      </c>
      <c r="AH168" s="175">
        <f t="shared" si="67"/>
        <v>7</v>
      </c>
      <c r="AI168" s="224">
        <f t="shared" si="68"/>
        <v>1.4631515799751911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10">
        <f>'2023'!Wh/'2023'!Env_an*'2024'!Env_an</f>
        <v>29.274731933923725</v>
      </c>
      <c r="C169" s="843"/>
      <c r="D169" s="392">
        <f t="shared" si="50"/>
        <v>30.678588810747321</v>
      </c>
      <c r="E169" s="384">
        <f t="shared" si="72"/>
        <v>30.961194181590734</v>
      </c>
      <c r="F169" s="384">
        <f t="shared" si="51"/>
        <v>30.968253517216379</v>
      </c>
      <c r="G169" s="110">
        <f t="shared" si="73"/>
        <v>0.51439504540100689</v>
      </c>
      <c r="H169" s="413" t="b">
        <f>Wh_hp&gt;='2023'!Maxi_hp</f>
        <v>0</v>
      </c>
      <c r="I169" s="389">
        <f>IF(H169,Wh_hp,'2023'!Maxi_hp)</f>
        <v>56.649023658356676</v>
      </c>
      <c r="J169" s="85">
        <f>IF(H169,An,'2023'!An_max)</f>
        <v>2019</v>
      </c>
      <c r="K169" s="196">
        <f t="shared" si="52"/>
        <v>45446</v>
      </c>
      <c r="L169" s="147">
        <f>IF(t&lt;Tvie,1-EXP((T0-t)*PertePVj)+'2023'!Pspv,1-EXP((T0-t)*PertePVj)+Pspv)</f>
        <v>4.576015166420553E-2</v>
      </c>
      <c r="M169" s="847"/>
      <c r="N169" s="847"/>
      <c r="O169" s="48">
        <f>IF(t&lt;Tnet,'2023'!Resal+('2023'!Salim-'2023'!Resal)*(1-EXP(('2023'!Tnet-t)/('2023'!Tau_j))),Resal+(Salim-Resal)*(1-EXP((Tnet-t)/(Tau_j))))*Salcycl</f>
        <v>9.1277283810793832E-3</v>
      </c>
      <c r="P169" s="168">
        <f>(INDEX(Models!$BJ169:$BT169,,T169)*(1-R169)+INDEX(Models!$BJ169:$BT169,,T169+1)*R169-ERP_i)*Q169*Ramure*Pc/MaxiM</f>
        <v>7.433499281540364E-4</v>
      </c>
      <c r="Q169" s="304">
        <f t="shared" si="53"/>
        <v>0.5</v>
      </c>
      <c r="R169" s="176">
        <f t="shared" si="54"/>
        <v>0.46618455449298701</v>
      </c>
      <c r="S169" s="814">
        <f t="shared" si="55"/>
        <v>1</v>
      </c>
      <c r="T169" s="175">
        <f t="shared" si="56"/>
        <v>7</v>
      </c>
      <c r="U169" s="250">
        <f t="shared" si="57"/>
        <v>1.466184554492987</v>
      </c>
      <c r="V169" s="382">
        <f t="shared" si="58"/>
        <v>56.88165287781635</v>
      </c>
      <c r="W169" s="401">
        <f t="shared" si="59"/>
        <v>29.274731933923725</v>
      </c>
      <c r="X169" s="157">
        <f t="shared" si="60"/>
        <v>45446</v>
      </c>
      <c r="Y169" s="384">
        <f t="shared" si="61"/>
        <v>27.301463149555865</v>
      </c>
      <c r="Z169" s="384">
        <f t="shared" si="62"/>
        <v>28.610692790884745</v>
      </c>
      <c r="AA169" s="385">
        <f t="shared" si="63"/>
        <v>30.961194181590734</v>
      </c>
      <c r="AB169" s="196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7.5917659277612057E-2</v>
      </c>
      <c r="AD169" s="230">
        <f>(INDEX(Models!$BJ169:$BT169,,AH169)*(1-AF169)+INDEX(Models!$BJ169:$BT169,,AH169+1)*AF169-ERP_i)*AE169*Ramure*Pc/MaxiM</f>
        <v>7.433499281540364E-4</v>
      </c>
      <c r="AE169" s="304">
        <f t="shared" si="65"/>
        <v>0.5</v>
      </c>
      <c r="AF169" s="176">
        <f t="shared" si="66"/>
        <v>0.46618455449298701</v>
      </c>
      <c r="AG169" s="814">
        <f t="shared" si="74"/>
        <v>1</v>
      </c>
      <c r="AH169" s="175">
        <f t="shared" si="67"/>
        <v>7</v>
      </c>
      <c r="AI169" s="224">
        <f t="shared" si="68"/>
        <v>1.466184554492987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10">
        <f>'2023'!Wh/'2023'!Env_an*'2024'!Env_an</f>
        <v>30.189976877819703</v>
      </c>
      <c r="C170" s="843"/>
      <c r="D170" s="392">
        <f t="shared" si="50"/>
        <v>31.638416013915776</v>
      </c>
      <c r="E170" s="384">
        <f t="shared" ref="E170:E232" si="75">Wh_pvt/(1-Psa)</f>
        <v>31.933255594513955</v>
      </c>
      <c r="F170" s="384">
        <f t="shared" si="51"/>
        <v>31.941271083358743</v>
      </c>
      <c r="G170" s="110">
        <f t="shared" ref="G170:G232" si="76">+Wh_hp/MaxiM</f>
        <v>0.53097133514523887</v>
      </c>
      <c r="H170" s="413" t="b">
        <f>Wh_hp&gt;='2023'!Maxi_hp</f>
        <v>0</v>
      </c>
      <c r="I170" s="389">
        <f>IF(H170,Wh_hp,'2023'!Maxi_hp)</f>
        <v>43.624994616930465</v>
      </c>
      <c r="J170" s="85">
        <f>IF(H170,An,'2023'!An_max)</f>
        <v>2021</v>
      </c>
      <c r="K170" s="196">
        <f t="shared" si="52"/>
        <v>45447</v>
      </c>
      <c r="L170" s="147">
        <f>IF(t&lt;Tvie,1-EXP((T0-t)*PertePVj)+'2023'!Pspv,1-EXP((T0-t)*PertePVj)+Pspv)</f>
        <v>4.5781025682796385E-2</v>
      </c>
      <c r="M170" s="847"/>
      <c r="N170" s="847"/>
      <c r="O170" s="48">
        <f>IF(t&lt;Tnet,'2023'!Resal+('2023'!Salim-'2023'!Resal)*(1-EXP(('2023'!Tnet-t)/('2023'!Tau_j))),Resal+(Salim-Resal)*(1-EXP((Tnet-t)/(Tau_j))))*Salcycl</f>
        <v>9.2329947294454429E-3</v>
      </c>
      <c r="P170" s="168">
        <f>(INDEX(Models!$BJ170:$BT170,,T170)*(1-R170)+INDEX(Models!$BJ170:$BT170,,T170+1)*R170-ERP_i)*Q170*Ramure*Pc/MaxiM</f>
        <v>7.5964347048766429E-4</v>
      </c>
      <c r="Q170" s="304">
        <f t="shared" si="53"/>
        <v>0.5</v>
      </c>
      <c r="R170" s="176">
        <f t="shared" si="54"/>
        <v>0.46923285501515011</v>
      </c>
      <c r="S170" s="814">
        <f t="shared" si="55"/>
        <v>1</v>
      </c>
      <c r="T170" s="175">
        <f t="shared" si="56"/>
        <v>7</v>
      </c>
      <c r="U170" s="250">
        <f t="shared" si="57"/>
        <v>1.4692328550151501</v>
      </c>
      <c r="V170" s="382">
        <f t="shared" si="58"/>
        <v>56.829085522926192</v>
      </c>
      <c r="W170" s="401">
        <f t="shared" si="59"/>
        <v>30.189976877819703</v>
      </c>
      <c r="X170" s="157">
        <f t="shared" si="60"/>
        <v>45447</v>
      </c>
      <c r="Y170" s="384">
        <f t="shared" si="61"/>
        <v>28.155630455809177</v>
      </c>
      <c r="Z170" s="384">
        <f t="shared" si="62"/>
        <v>29.50646676875828</v>
      </c>
      <c r="AA170" s="385">
        <f t="shared" si="63"/>
        <v>31.933255594513955</v>
      </c>
      <c r="AB170" s="196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7.5995659715089897E-2</v>
      </c>
      <c r="AD170" s="230">
        <f>(INDEX(Models!$BJ170:$BT170,,AH170)*(1-AF170)+INDEX(Models!$BJ170:$BT170,,AH170+1)*AF170-ERP_i)*AE170*Ramure*Pc/MaxiM</f>
        <v>7.5964347048766429E-4</v>
      </c>
      <c r="AE170" s="304">
        <f t="shared" si="65"/>
        <v>0.5</v>
      </c>
      <c r="AF170" s="176">
        <f t="shared" si="66"/>
        <v>0.46923285501515011</v>
      </c>
      <c r="AG170" s="814">
        <f t="shared" si="74"/>
        <v>1</v>
      </c>
      <c r="AH170" s="175">
        <f t="shared" si="67"/>
        <v>7</v>
      </c>
      <c r="AI170" s="224">
        <f t="shared" si="68"/>
        <v>1.4692328550151501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10">
        <f>'2023'!Wh/'2023'!Env_an*'2024'!Env_an</f>
        <v>42.819781483116699</v>
      </c>
      <c r="C171" s="843"/>
      <c r="D171" s="392">
        <f t="shared" si="50"/>
        <v>44.87514851391942</v>
      </c>
      <c r="E171" s="384">
        <f t="shared" si="75"/>
        <v>45.2981515798975</v>
      </c>
      <c r="F171" s="384">
        <f t="shared" si="51"/>
        <v>45.320958024392098</v>
      </c>
      <c r="G171" s="110">
        <f t="shared" si="76"/>
        <v>0.75399510613999543</v>
      </c>
      <c r="H171" s="413" t="b">
        <f>Wh_hp&gt;='2023'!Maxi_hp</f>
        <v>0</v>
      </c>
      <c r="I171" s="389">
        <f>IF(H171,Wh_hp,'2023'!Maxi_hp)</f>
        <v>58.308075737012821</v>
      </c>
      <c r="J171" s="85">
        <f>IF(H171,An,'2023'!An_max)</f>
        <v>2019</v>
      </c>
      <c r="K171" s="196">
        <f t="shared" si="52"/>
        <v>45448</v>
      </c>
      <c r="L171" s="147">
        <f>IF(t&lt;Tvie,1-EXP((T0-t)*PertePVj)+'2023'!Pspv,1-EXP((T0-t)*PertePVj)+Pspv)</f>
        <v>4.5801899244192625E-2</v>
      </c>
      <c r="M171" s="847"/>
      <c r="N171" s="847"/>
      <c r="O171" s="48">
        <f>IF(t&lt;Tnet,'2023'!Resal+('2023'!Salim-'2023'!Resal)*(1-EXP(('2023'!Tnet-t)/('2023'!Tau_j))),Resal+(Salim-Resal)*(1-EXP((Tnet-t)/(Tau_j))))*Salcycl</f>
        <v>9.3381970615727464E-3</v>
      </c>
      <c r="P171" s="168">
        <f>(INDEX(Models!$BJ171:$BT171,,T171)*(1-R171)+INDEX(Models!$BJ171:$BT171,,T171+1)*R171-ERP_i)*Q171*Ramure*Pc/MaxiM</f>
        <v>7.755482816610746E-4</v>
      </c>
      <c r="Q171" s="304">
        <f t="shared" si="53"/>
        <v>0.5</v>
      </c>
      <c r="R171" s="176">
        <f t="shared" si="54"/>
        <v>0.4722940061434342</v>
      </c>
      <c r="S171" s="814">
        <f t="shared" si="55"/>
        <v>1</v>
      </c>
      <c r="T171" s="175">
        <f t="shared" si="56"/>
        <v>7</v>
      </c>
      <c r="U171" s="250">
        <f t="shared" si="57"/>
        <v>1.4722940061434342</v>
      </c>
      <c r="V171" s="382">
        <f t="shared" si="58"/>
        <v>56.775056305037879</v>
      </c>
      <c r="W171" s="401">
        <f t="shared" si="59"/>
        <v>42.819781483116699</v>
      </c>
      <c r="X171" s="157">
        <f t="shared" si="60"/>
        <v>45448</v>
      </c>
      <c r="Y171" s="384">
        <f t="shared" si="61"/>
        <v>39.935277709123739</v>
      </c>
      <c r="Z171" s="384">
        <f t="shared" si="62"/>
        <v>41.852187378586841</v>
      </c>
      <c r="AA171" s="385">
        <f t="shared" si="63"/>
        <v>45.2981515798975</v>
      </c>
      <c r="AB171" s="196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7.6072953997529405E-2</v>
      </c>
      <c r="AD171" s="230">
        <f>(INDEX(Models!$BJ171:$BT171,,AH171)*(1-AF171)+INDEX(Models!$BJ171:$BT171,,AH171+1)*AF171-ERP_i)*AE171*Ramure*Pc/MaxiM</f>
        <v>7.755482816610746E-4</v>
      </c>
      <c r="AE171" s="304">
        <f t="shared" si="65"/>
        <v>0.5</v>
      </c>
      <c r="AF171" s="176">
        <f t="shared" si="66"/>
        <v>0.4722940061434342</v>
      </c>
      <c r="AG171" s="814">
        <f t="shared" si="74"/>
        <v>1</v>
      </c>
      <c r="AH171" s="175">
        <f t="shared" si="67"/>
        <v>7</v>
      </c>
      <c r="AI171" s="224">
        <f t="shared" si="68"/>
        <v>1.4722940061434342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10">
        <f>'2023'!Wh/'2023'!Env_an*'2024'!Env_an</f>
        <v>28.753016711035954</v>
      </c>
      <c r="C172" s="843"/>
      <c r="D172" s="392">
        <f t="shared" si="50"/>
        <v>30.133832455635499</v>
      </c>
      <c r="E172" s="384">
        <f t="shared" si="75"/>
        <v>30.42110888752152</v>
      </c>
      <c r="F172" s="384">
        <f t="shared" si="51"/>
        <v>30.42822428133098</v>
      </c>
      <c r="G172" s="110">
        <f t="shared" si="76"/>
        <v>0.506646746608723</v>
      </c>
      <c r="H172" s="413" t="b">
        <f>Wh_hp&gt;='2023'!Maxi_hp</f>
        <v>0</v>
      </c>
      <c r="I172" s="389">
        <f>IF(H172,Wh_hp,'2023'!Maxi_hp)</f>
        <v>53.888415995131361</v>
      </c>
      <c r="J172" s="85">
        <f>IF(H172,An,'2023'!An_max)</f>
        <v>2021</v>
      </c>
      <c r="K172" s="196">
        <f t="shared" si="52"/>
        <v>45449</v>
      </c>
      <c r="L172" s="147">
        <f>IF(t&lt;Tvie,1-EXP((T0-t)*PertePVj)+'2023'!Pspv,1-EXP((T0-t)*PertePVj)+Pspv)</f>
        <v>4.5822772348404352E-2</v>
      </c>
      <c r="M172" s="847"/>
      <c r="N172" s="847"/>
      <c r="O172" s="48">
        <f>IF(t&lt;Tnet,'2023'!Resal+('2023'!Salim-'2023'!Resal)*(1-EXP(('2023'!Tnet-t)/('2023'!Tau_j))),Resal+(Salim-Resal)*(1-EXP((Tnet-t)/(Tau_j))))*Salcycl</f>
        <v>9.4433254536575202E-3</v>
      </c>
      <c r="P172" s="168">
        <f>(INDEX(Models!$BJ172:$BT172,,T172)*(1-R172)+INDEX(Models!$BJ172:$BT172,,T172+1)*R172-ERP_i)*Q172*Ramure*Pc/MaxiM</f>
        <v>7.9103999425641938E-4</v>
      </c>
      <c r="Q172" s="304">
        <f t="shared" si="53"/>
        <v>0.5</v>
      </c>
      <c r="R172" s="176">
        <f t="shared" si="54"/>
        <v>0.47536548979412974</v>
      </c>
      <c r="S172" s="814">
        <f t="shared" si="55"/>
        <v>1</v>
      </c>
      <c r="T172" s="175">
        <f t="shared" si="56"/>
        <v>7</v>
      </c>
      <c r="U172" s="250">
        <f t="shared" si="57"/>
        <v>1.4753654897941297</v>
      </c>
      <c r="V172" s="382">
        <f t="shared" si="58"/>
        <v>56.719977045179867</v>
      </c>
      <c r="W172" s="401">
        <f t="shared" si="59"/>
        <v>28.753016711035954</v>
      </c>
      <c r="X172" s="157">
        <f t="shared" si="60"/>
        <v>45449</v>
      </c>
      <c r="Y172" s="384">
        <f t="shared" si="61"/>
        <v>26.816728404520585</v>
      </c>
      <c r="Z172" s="384">
        <f t="shared" si="62"/>
        <v>28.104557127737632</v>
      </c>
      <c r="AA172" s="385">
        <f t="shared" si="63"/>
        <v>30.42110888752152</v>
      </c>
      <c r="AB172" s="196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7.6149484502654546E-2</v>
      </c>
      <c r="AD172" s="230">
        <f>(INDEX(Models!$BJ172:$BT172,,AH172)*(1-AF172)+INDEX(Models!$BJ172:$BT172,,AH172+1)*AF172-ERP_i)*AE172*Ramure*Pc/MaxiM</f>
        <v>7.9103999425641938E-4</v>
      </c>
      <c r="AE172" s="304">
        <f t="shared" si="65"/>
        <v>0.5</v>
      </c>
      <c r="AF172" s="176">
        <f t="shared" si="66"/>
        <v>0.47536548979412974</v>
      </c>
      <c r="AG172" s="814">
        <f t="shared" si="74"/>
        <v>1</v>
      </c>
      <c r="AH172" s="175">
        <f t="shared" si="67"/>
        <v>7</v>
      </c>
      <c r="AI172" s="224">
        <f t="shared" si="68"/>
        <v>1.4753654897941297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10">
        <f>'2023'!Wh/'2023'!Env_an*'2024'!Env_an</f>
        <v>21.605508476919951</v>
      </c>
      <c r="C173" s="843"/>
      <c r="D173" s="392">
        <f t="shared" si="50"/>
        <v>22.643572370082605</v>
      </c>
      <c r="E173" s="384">
        <f t="shared" si="75"/>
        <v>22.861865923674067</v>
      </c>
      <c r="F173" s="384">
        <f t="shared" si="51"/>
        <v>22.864006231999284</v>
      </c>
      <c r="G173" s="110">
        <f t="shared" si="76"/>
        <v>0.38101818886130784</v>
      </c>
      <c r="H173" s="413" t="b">
        <f>Wh_hp&gt;='2023'!Maxi_hp</f>
        <v>0</v>
      </c>
      <c r="I173" s="389">
        <f>IF(H173,Wh_hp,'2023'!Maxi_hp)</f>
        <v>61.825772248847073</v>
      </c>
      <c r="J173" s="85">
        <f>IF(H173,An,'2023'!An_max)</f>
        <v>2019</v>
      </c>
      <c r="K173" s="196">
        <f t="shared" si="52"/>
        <v>45450</v>
      </c>
      <c r="L173" s="147">
        <f>IF(t&lt;Tvie,1-EXP((T0-t)*PertePVj)+'2023'!Pspv,1-EXP((T0-t)*PertePVj)+Pspv)</f>
        <v>4.5843644995441447E-2</v>
      </c>
      <c r="M173" s="847"/>
      <c r="N173" s="847"/>
      <c r="O173" s="48">
        <f>IF(t&lt;Tnet,'2023'!Resal+('2023'!Salim-'2023'!Resal)*(1-EXP(('2023'!Tnet-t)/('2023'!Tau_j))),Resal+(Salim-Resal)*(1-EXP((Tnet-t)/(Tau_j))))*Salcycl</f>
        <v>9.5483699502153241E-3</v>
      </c>
      <c r="P173" s="168">
        <f>(INDEX(Models!$BJ173:$BT173,,T173)*(1-R173)+INDEX(Models!$BJ173:$BT173,,T173+1)*R173-ERP_i)*Q173*Ramure*Pc/MaxiM</f>
        <v>8.0609380678579434E-4</v>
      </c>
      <c r="Q173" s="304">
        <f t="shared" si="53"/>
        <v>0.5</v>
      </c>
      <c r="R173" s="176">
        <f t="shared" si="54"/>
        <v>0.4784447533660896</v>
      </c>
      <c r="S173" s="814">
        <f t="shared" si="55"/>
        <v>1</v>
      </c>
      <c r="T173" s="175">
        <f t="shared" si="56"/>
        <v>7</v>
      </c>
      <c r="U173" s="250">
        <f t="shared" si="57"/>
        <v>1.4784447533660896</v>
      </c>
      <c r="V173" s="382">
        <f t="shared" si="58"/>
        <v>56.664259345744739</v>
      </c>
      <c r="W173" s="401">
        <f t="shared" si="59"/>
        <v>21.605508476919951</v>
      </c>
      <c r="X173" s="157">
        <f t="shared" si="60"/>
        <v>45450</v>
      </c>
      <c r="Y173" s="384">
        <f t="shared" si="61"/>
        <v>20.151033894071958</v>
      </c>
      <c r="Z173" s="384">
        <f t="shared" si="62"/>
        <v>21.119215722223728</v>
      </c>
      <c r="AA173" s="385">
        <f t="shared" si="63"/>
        <v>22.861865923674067</v>
      </c>
      <c r="AB173" s="196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7.6225195584135527E-2</v>
      </c>
      <c r="AD173" s="230">
        <f>(INDEX(Models!$BJ173:$BT173,,AH173)*(1-AF173)+INDEX(Models!$BJ173:$BT173,,AH173+1)*AF173-ERP_i)*AE173*Ramure*Pc/MaxiM</f>
        <v>8.0609380678579434E-4</v>
      </c>
      <c r="AE173" s="304">
        <f t="shared" si="65"/>
        <v>0.5</v>
      </c>
      <c r="AF173" s="176">
        <f t="shared" si="66"/>
        <v>0.4784447533660896</v>
      </c>
      <c r="AG173" s="814">
        <f t="shared" si="74"/>
        <v>1</v>
      </c>
      <c r="AH173" s="175">
        <f t="shared" si="67"/>
        <v>7</v>
      </c>
      <c r="AI173" s="224">
        <f t="shared" si="68"/>
        <v>1.4784447533660896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10">
        <f>'2023'!Wh/'2023'!Env_an*'2024'!Env_an</f>
        <v>43.669875461674877</v>
      </c>
      <c r="C174" s="843"/>
      <c r="D174" s="392">
        <f t="shared" si="50"/>
        <v>45.769050882427493</v>
      </c>
      <c r="E174" s="384">
        <f t="shared" si="75"/>
        <v>46.215180839921409</v>
      </c>
      <c r="F174" s="384">
        <f t="shared" si="51"/>
        <v>46.240738949811934</v>
      </c>
      <c r="G174" s="110">
        <f t="shared" si="76"/>
        <v>0.77123241107704565</v>
      </c>
      <c r="H174" s="413" t="b">
        <f>Wh_hp&gt;='2023'!Maxi_hp</f>
        <v>0</v>
      </c>
      <c r="I174" s="389">
        <f>IF(H174,Wh_hp,'2023'!Maxi_hp)</f>
        <v>57.898701564439953</v>
      </c>
      <c r="J174" s="85">
        <f>IF(H174,An,'2023'!An_max)</f>
        <v>2021</v>
      </c>
      <c r="K174" s="196">
        <f t="shared" si="52"/>
        <v>45451</v>
      </c>
      <c r="L174" s="147">
        <f>IF(t&lt;Tvie,1-EXP((T0-t)*PertePVj)+'2023'!Pspv,1-EXP((T0-t)*PertePVj)+Pspv)</f>
        <v>4.5864517185314126E-2</v>
      </c>
      <c r="M174" s="847"/>
      <c r="N174" s="847"/>
      <c r="O174" s="48">
        <f>IF(t&lt;Tnet,'2023'!Resal+('2023'!Salim-'2023'!Resal)*(1-EXP(('2023'!Tnet-t)/('2023'!Tau_j))),Resal+(Salim-Resal)*(1-EXP((Tnet-t)/(Tau_j))))*Salcycl</f>
        <v>9.6533206056081313E-3</v>
      </c>
      <c r="P174" s="168">
        <f>(INDEX(Models!$BJ174:$BT174,,T174)*(1-R174)+INDEX(Models!$BJ174:$BT174,,T174+1)*R174-ERP_i)*Q174*Ramure*Pc/MaxiM</f>
        <v>8.2068458265347009E-4</v>
      </c>
      <c r="Q174" s="304">
        <f t="shared" si="53"/>
        <v>0.5</v>
      </c>
      <c r="R174" s="176">
        <f t="shared" si="54"/>
        <v>0.48152921815267313</v>
      </c>
      <c r="S174" s="814">
        <f t="shared" si="55"/>
        <v>1</v>
      </c>
      <c r="T174" s="175">
        <f t="shared" si="56"/>
        <v>7</v>
      </c>
      <c r="U174" s="250">
        <f t="shared" si="57"/>
        <v>1.4815292181526731</v>
      </c>
      <c r="V174" s="382">
        <f t="shared" si="58"/>
        <v>56.608314582970714</v>
      </c>
      <c r="W174" s="401">
        <f t="shared" si="59"/>
        <v>43.669875461674877</v>
      </c>
      <c r="X174" s="157">
        <f t="shared" si="60"/>
        <v>45451</v>
      </c>
      <c r="Y174" s="384">
        <f t="shared" si="61"/>
        <v>40.731052395636972</v>
      </c>
      <c r="Z174" s="384">
        <f t="shared" si="62"/>
        <v>42.688960980133508</v>
      </c>
      <c r="AA174" s="385">
        <f t="shared" si="63"/>
        <v>46.215180839921409</v>
      </c>
      <c r="AB174" s="196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7.6300033791967758E-2</v>
      </c>
      <c r="AD174" s="230">
        <f>(INDEX(Models!$BJ174:$BT174,,AH174)*(1-AF174)+INDEX(Models!$BJ174:$BT174,,AH174+1)*AF174-ERP_i)*AE174*Ramure*Pc/MaxiM</f>
        <v>8.2068458265347009E-4</v>
      </c>
      <c r="AE174" s="304">
        <f t="shared" si="65"/>
        <v>0.5</v>
      </c>
      <c r="AF174" s="176">
        <f t="shared" si="66"/>
        <v>0.48152921815267313</v>
      </c>
      <c r="AG174" s="814">
        <f t="shared" si="74"/>
        <v>1</v>
      </c>
      <c r="AH174" s="175">
        <f t="shared" si="67"/>
        <v>7</v>
      </c>
      <c r="AI174" s="224">
        <f t="shared" si="68"/>
        <v>1.4815292181526731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10">
        <f>'2023'!Wh/'2023'!Env_an*'2024'!Env_an</f>
        <v>55.325255996847773</v>
      </c>
      <c r="C175" s="843"/>
      <c r="D175" s="392">
        <f t="shared" si="50"/>
        <v>57.985964531146656</v>
      </c>
      <c r="E175" s="384">
        <f t="shared" si="75"/>
        <v>58.557377228020002</v>
      </c>
      <c r="F175" s="384">
        <f t="shared" si="51"/>
        <v>58.604783005630189</v>
      </c>
      <c r="G175" s="110">
        <f t="shared" si="76"/>
        <v>0.97827275988245121</v>
      </c>
      <c r="H175" s="413" t="b">
        <f>Wh_hp&gt;='2023'!Maxi_hp</f>
        <v>0</v>
      </c>
      <c r="I175" s="389">
        <f>IF(H175,Wh_hp,'2023'!Maxi_hp)</f>
        <v>58.605289185436213</v>
      </c>
      <c r="J175" s="85">
        <f>IF(H175,An,'2023'!An_max)</f>
        <v>2022</v>
      </c>
      <c r="K175" s="196">
        <f t="shared" si="52"/>
        <v>45452</v>
      </c>
      <c r="L175" s="147">
        <f>IF(t&lt;Tvie,1-EXP((T0-t)*PertePVj)+'2023'!Pspv,1-EXP((T0-t)*PertePVj)+Pspv)</f>
        <v>4.5885388918032156E-2</v>
      </c>
      <c r="M175" s="847"/>
      <c r="N175" s="847"/>
      <c r="O175" s="48">
        <f>IF(t&lt;Tnet,'2023'!Resal+('2023'!Salim-'2023'!Resal)*(1-EXP(('2023'!Tnet-t)/('2023'!Tau_j))),Resal+(Salim-Resal)*(1-EXP((Tnet-t)/(Tau_j))))*Salcycl</f>
        <v>9.7581675259854669E-3</v>
      </c>
      <c r="P175" s="168">
        <f>(INDEX(Models!$BJ175:$BT175,,T175)*(1-R175)+INDEX(Models!$BJ175:$BT175,,T175+1)*R175-ERP_i)*Q175*Ramure*Pc/MaxiM</f>
        <v>8.3478695232836776E-4</v>
      </c>
      <c r="Q175" s="304">
        <f t="shared" si="53"/>
        <v>0.5</v>
      </c>
      <c r="R175" s="176">
        <f t="shared" si="54"/>
        <v>0.48461628793928013</v>
      </c>
      <c r="S175" s="814">
        <f t="shared" si="55"/>
        <v>1</v>
      </c>
      <c r="T175" s="175">
        <f t="shared" si="56"/>
        <v>7</v>
      </c>
      <c r="U175" s="250">
        <f t="shared" si="57"/>
        <v>1.4846162879392801</v>
      </c>
      <c r="V175" s="382">
        <f t="shared" si="58"/>
        <v>56.552553901291624</v>
      </c>
      <c r="W175" s="401">
        <f t="shared" si="59"/>
        <v>55.325255996847773</v>
      </c>
      <c r="X175" s="157">
        <f t="shared" si="60"/>
        <v>45452</v>
      </c>
      <c r="Y175" s="384">
        <f t="shared" si="61"/>
        <v>51.603402413285295</v>
      </c>
      <c r="Z175" s="384">
        <f t="shared" si="62"/>
        <v>54.085119139687983</v>
      </c>
      <c r="AA175" s="385">
        <f t="shared" si="63"/>
        <v>58.557377228020002</v>
      </c>
      <c r="AB175" s="196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7.6373948083726953E-2</v>
      </c>
      <c r="AD175" s="230">
        <f>(INDEX(Models!$BJ175:$BT175,,AH175)*(1-AF175)+INDEX(Models!$BJ175:$BT175,,AH175+1)*AF175-ERP_i)*AE175*Ramure*Pc/MaxiM</f>
        <v>8.3478695232836776E-4</v>
      </c>
      <c r="AE175" s="304">
        <f t="shared" si="65"/>
        <v>0.5</v>
      </c>
      <c r="AF175" s="176">
        <f t="shared" si="66"/>
        <v>0.48461628793928013</v>
      </c>
      <c r="AG175" s="814">
        <f t="shared" si="74"/>
        <v>1</v>
      </c>
      <c r="AH175" s="175">
        <f t="shared" si="67"/>
        <v>7</v>
      </c>
      <c r="AI175" s="224">
        <f t="shared" si="68"/>
        <v>1.4846162879392801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10">
        <f>'2023'!Wh/'2023'!Env_an*'2024'!Env_an</f>
        <v>52.825006916169158</v>
      </c>
      <c r="C176" s="843"/>
      <c r="D176" s="392">
        <f t="shared" si="50"/>
        <v>55.366684333227539</v>
      </c>
      <c r="E176" s="384">
        <f t="shared" si="75"/>
        <v>55.918199998958578</v>
      </c>
      <c r="F176" s="384">
        <f t="shared" si="51"/>
        <v>55.96126760054608</v>
      </c>
      <c r="G176" s="110">
        <f t="shared" si="76"/>
        <v>0.93492538142304193</v>
      </c>
      <c r="H176" s="413" t="b">
        <f>Wh_hp&gt;='2023'!Maxi_hp</f>
        <v>0</v>
      </c>
      <c r="I176" s="389">
        <f>IF(H176,Wh_hp,'2023'!Maxi_hp)</f>
        <v>55.962736409001373</v>
      </c>
      <c r="J176" s="85">
        <f>IF(H176,An,'2023'!An_max)</f>
        <v>2022</v>
      </c>
      <c r="K176" s="196">
        <f t="shared" si="52"/>
        <v>45453</v>
      </c>
      <c r="L176" s="147">
        <f>IF(t&lt;Tvie,1-EXP((T0-t)*PertePVj)+'2023'!Pspv,1-EXP((T0-t)*PertePVj)+Pspv)</f>
        <v>4.5906260193605754E-2</v>
      </c>
      <c r="M176" s="847"/>
      <c r="N176" s="847"/>
      <c r="O176" s="48">
        <f>IF(t&lt;Tnet,'2023'!Resal+('2023'!Salim-'2023'!Resal)*(1-EXP(('2023'!Tnet-t)/('2023'!Tau_j))),Resal+(Salim-Resal)*(1-EXP((Tnet-t)/(Tau_j))))*Salcycl</f>
        <v>9.8629009113546263E-3</v>
      </c>
      <c r="P176" s="168">
        <f>(INDEX(Models!$BJ176:$BT176,,T176)*(1-R176)+INDEX(Models!$BJ176:$BT176,,T176+1)*R176-ERP_i)*Q176*Ramure*Pc/MaxiM</f>
        <v>8.483754182414037E-4</v>
      </c>
      <c r="Q176" s="304">
        <f t="shared" si="53"/>
        <v>0.5</v>
      </c>
      <c r="R176" s="176">
        <f t="shared" si="54"/>
        <v>0.48770335772588691</v>
      </c>
      <c r="S176" s="814">
        <f t="shared" si="55"/>
        <v>1</v>
      </c>
      <c r="T176" s="175">
        <f t="shared" si="56"/>
        <v>7</v>
      </c>
      <c r="U176" s="250">
        <f t="shared" si="57"/>
        <v>1.4877033577258869</v>
      </c>
      <c r="V176" s="382">
        <f t="shared" si="58"/>
        <v>56.497388207933056</v>
      </c>
      <c r="W176" s="401">
        <f t="shared" si="59"/>
        <v>52.825006916169158</v>
      </c>
      <c r="X176" s="157">
        <f t="shared" si="60"/>
        <v>45453</v>
      </c>
      <c r="Y176" s="384">
        <f t="shared" si="61"/>
        <v>49.272670892519876</v>
      </c>
      <c r="Z176" s="384">
        <f t="shared" si="62"/>
        <v>51.64342751323192</v>
      </c>
      <c r="AA176" s="385">
        <f t="shared" si="63"/>
        <v>55.918199998958578</v>
      </c>
      <c r="AB176" s="196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7.6446890025184497E-2</v>
      </c>
      <c r="AD176" s="230">
        <f>(INDEX(Models!$BJ176:$BT176,,AH176)*(1-AF176)+INDEX(Models!$BJ176:$BT176,,AH176+1)*AF176-ERP_i)*AE176*Ramure*Pc/MaxiM</f>
        <v>8.483754182414037E-4</v>
      </c>
      <c r="AE176" s="304">
        <f t="shared" si="65"/>
        <v>0.5</v>
      </c>
      <c r="AF176" s="176">
        <f t="shared" si="66"/>
        <v>0.48770335772588691</v>
      </c>
      <c r="AG176" s="814">
        <f t="shared" si="74"/>
        <v>1</v>
      </c>
      <c r="AH176" s="175">
        <f t="shared" si="67"/>
        <v>7</v>
      </c>
      <c r="AI176" s="224">
        <f t="shared" si="68"/>
        <v>1.4877033577258869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10">
        <f>'2023'!Wh/'2023'!Env_an*'2024'!Env_an</f>
        <v>42.061868714477669</v>
      </c>
      <c r="C177" s="843"/>
      <c r="D177" s="392">
        <f t="shared" si="50"/>
        <v>44.086641682930704</v>
      </c>
      <c r="E177" s="384">
        <f t="shared" si="75"/>
        <v>44.530499935211594</v>
      </c>
      <c r="F177" s="384">
        <f t="shared" si="51"/>
        <v>44.554911601974887</v>
      </c>
      <c r="G177" s="110">
        <f t="shared" si="76"/>
        <v>0.74498637323524719</v>
      </c>
      <c r="H177" s="413" t="b">
        <f>Wh_hp&gt;='2023'!Maxi_hp</f>
        <v>0</v>
      </c>
      <c r="I177" s="389">
        <f>IF(H177,Wh_hp,'2023'!Maxi_hp)</f>
        <v>57.291729611874956</v>
      </c>
      <c r="J177" s="85">
        <f>IF(H177,An,'2023'!An_max)</f>
        <v>2019</v>
      </c>
      <c r="K177" s="196">
        <f t="shared" si="52"/>
        <v>45454</v>
      </c>
      <c r="L177" s="147">
        <f>IF(t&lt;Tvie,1-EXP((T0-t)*PertePVj)+'2023'!Pspv,1-EXP((T0-t)*PertePVj)+Pspv)</f>
        <v>4.5927131012044799E-2</v>
      </c>
      <c r="M177" s="847"/>
      <c r="N177" s="847"/>
      <c r="O177" s="48">
        <f>IF(t&lt;Tnet,'2023'!Resal+('2023'!Salim-'2023'!Resal)*(1-EXP(('2023'!Tnet-t)/('2023'!Tau_j))),Resal+(Salim-Resal)*(1-EXP((Tnet-t)/(Tau_j))))*Salcycl</f>
        <v>9.9675110974875337E-3</v>
      </c>
      <c r="P177" s="168">
        <f>(INDEX(Models!$BJ177:$BT177,,T177)*(1-R177)+INDEX(Models!$BJ177:$BT177,,T177+1)*R177-ERP_i)*Q177*Ramure*Pc/MaxiM</f>
        <v>8.6144006752157903E-4</v>
      </c>
      <c r="Q177" s="304">
        <f t="shared" si="53"/>
        <v>0.5</v>
      </c>
      <c r="R177" s="176">
        <f t="shared" si="54"/>
        <v>0.49078782251247066</v>
      </c>
      <c r="S177" s="814">
        <f t="shared" si="55"/>
        <v>1</v>
      </c>
      <c r="T177" s="175">
        <f t="shared" si="56"/>
        <v>7</v>
      </c>
      <c r="U177" s="250">
        <f t="shared" si="57"/>
        <v>1.4907878225124707</v>
      </c>
      <c r="V177" s="382">
        <f t="shared" si="58"/>
        <v>56.442204774821988</v>
      </c>
      <c r="W177" s="401">
        <f t="shared" si="59"/>
        <v>42.061868714477669</v>
      </c>
      <c r="X177" s="157">
        <f t="shared" si="60"/>
        <v>45454</v>
      </c>
      <c r="Y177" s="384">
        <f t="shared" si="61"/>
        <v>39.234413862288527</v>
      </c>
      <c r="Z177" s="384">
        <f t="shared" si="62"/>
        <v>41.123078894285008</v>
      </c>
      <c r="AA177" s="385">
        <f t="shared" si="63"/>
        <v>44.530499935211594</v>
      </c>
      <c r="AB177" s="196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7.6518813978826192E-2</v>
      </c>
      <c r="AD177" s="230">
        <f>(INDEX(Models!$BJ177:$BT177,,AH177)*(1-AF177)+INDEX(Models!$BJ177:$BT177,,AH177+1)*AF177-ERP_i)*AE177*Ramure*Pc/MaxiM</f>
        <v>8.6144006752157903E-4</v>
      </c>
      <c r="AE177" s="304">
        <f t="shared" si="65"/>
        <v>0.5</v>
      </c>
      <c r="AF177" s="176">
        <f t="shared" si="66"/>
        <v>0.49078782251247066</v>
      </c>
      <c r="AG177" s="814">
        <f t="shared" si="74"/>
        <v>1</v>
      </c>
      <c r="AH177" s="175">
        <f t="shared" si="67"/>
        <v>7</v>
      </c>
      <c r="AI177" s="224">
        <f t="shared" si="68"/>
        <v>1.4907878225124707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10">
        <f>'2023'!Wh/'2023'!Env_an*'2024'!Env_an</f>
        <v>50.541134150070448</v>
      </c>
      <c r="C178" s="843"/>
      <c r="D178" s="392">
        <f t="shared" si="50"/>
        <v>52.975240576849579</v>
      </c>
      <c r="E178" s="384">
        <f t="shared" si="75"/>
        <v>53.514235345041719</v>
      </c>
      <c r="F178" s="384">
        <f t="shared" si="51"/>
        <v>53.554094744010996</v>
      </c>
      <c r="G178" s="110">
        <f t="shared" si="76"/>
        <v>0.8962236799622465</v>
      </c>
      <c r="H178" s="413" t="b">
        <f>Wh_hp&gt;='2023'!Maxi_hp</f>
        <v>0</v>
      </c>
      <c r="I178" s="389">
        <f>IF(H178,Wh_hp,'2023'!Maxi_hp)</f>
        <v>61.075275136442549</v>
      </c>
      <c r="J178" s="85">
        <f>IF(H178,An,'2023'!An_max)</f>
        <v>2019</v>
      </c>
      <c r="K178" s="196">
        <f t="shared" si="52"/>
        <v>45455</v>
      </c>
      <c r="L178" s="147">
        <f>IF(t&lt;Tvie,1-EXP((T0-t)*PertePVj)+'2023'!Pspv,1-EXP((T0-t)*PertePVj)+Pspv)</f>
        <v>4.5948001373359394E-2</v>
      </c>
      <c r="M178" s="847"/>
      <c r="N178" s="847"/>
      <c r="O178" s="48">
        <f>IF(t&lt;Tnet,'2023'!Resal+('2023'!Salim-'2023'!Resal)*(1-EXP(('2023'!Tnet-t)/('2023'!Tau_j))),Resal+(Salim-Resal)*(1-EXP((Tnet-t)/(Tau_j))))*Salcycl</f>
        <v>1.0071988597368253E-2</v>
      </c>
      <c r="P178" s="168">
        <f>(INDEX(Models!$BJ178:$BT178,,T178)*(1-R178)+INDEX(Models!$BJ178:$BT178,,T178+1)*R178-ERP_i)*Q178*Ramure*Pc/MaxiM</f>
        <v>8.7365980926107476E-4</v>
      </c>
      <c r="Q178" s="304">
        <f t="shared" si="53"/>
        <v>0.5</v>
      </c>
      <c r="R178" s="176">
        <f t="shared" si="54"/>
        <v>0.49386708608443053</v>
      </c>
      <c r="S178" s="814">
        <f t="shared" si="55"/>
        <v>1</v>
      </c>
      <c r="T178" s="175">
        <f t="shared" si="56"/>
        <v>7</v>
      </c>
      <c r="U178" s="250">
        <f t="shared" si="57"/>
        <v>1.4938670860844305</v>
      </c>
      <c r="V178" s="382">
        <f t="shared" si="58"/>
        <v>56.386136135124652</v>
      </c>
      <c r="W178" s="401">
        <f t="shared" si="59"/>
        <v>50.541134150070448</v>
      </c>
      <c r="X178" s="157">
        <f t="shared" si="60"/>
        <v>45455</v>
      </c>
      <c r="Y178" s="384">
        <f t="shared" si="61"/>
        <v>47.145049396147812</v>
      </c>
      <c r="Z178" s="384">
        <f t="shared" si="62"/>
        <v>49.41559733013839</v>
      </c>
      <c r="AA178" s="385">
        <f t="shared" si="63"/>
        <v>53.514235345041719</v>
      </c>
      <c r="AB178" s="196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7.6589677278890364E-2</v>
      </c>
      <c r="AD178" s="230">
        <f>(INDEX(Models!$BJ178:$BT178,,AH178)*(1-AF178)+INDEX(Models!$BJ178:$BT178,,AH178+1)*AF178-ERP_i)*AE178*Ramure*Pc/MaxiM</f>
        <v>8.7365980926107476E-4</v>
      </c>
      <c r="AE178" s="304">
        <f t="shared" si="65"/>
        <v>0.5</v>
      </c>
      <c r="AF178" s="176">
        <f t="shared" si="66"/>
        <v>0.49386708608443053</v>
      </c>
      <c r="AG178" s="814">
        <f t="shared" si="74"/>
        <v>1</v>
      </c>
      <c r="AH178" s="175">
        <f t="shared" si="67"/>
        <v>7</v>
      </c>
      <c r="AI178" s="224">
        <f t="shared" si="68"/>
        <v>1.4938670860844305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10">
        <f>'2023'!Wh/'2023'!Env_an*'2024'!Env_an</f>
        <v>46.214701173592424</v>
      </c>
      <c r="C179" s="843"/>
      <c r="D179" s="392">
        <f t="shared" si="50"/>
        <v>48.441502360074274</v>
      </c>
      <c r="E179" s="384">
        <f t="shared" si="75"/>
        <v>48.93952684863639</v>
      </c>
      <c r="F179" s="384">
        <f t="shared" si="51"/>
        <v>48.971759226996461</v>
      </c>
      <c r="G179" s="110">
        <f t="shared" si="76"/>
        <v>0.82025351481014386</v>
      </c>
      <c r="H179" s="413" t="b">
        <f>Wh_hp&gt;='2023'!Maxi_hp</f>
        <v>0</v>
      </c>
      <c r="I179" s="389">
        <f>IF(H179,Wh_hp,'2023'!Maxi_hp)</f>
        <v>52.838885669161783</v>
      </c>
      <c r="J179" s="85">
        <f>IF(H179,An,'2023'!An_max)</f>
        <v>2021</v>
      </c>
      <c r="K179" s="196">
        <f t="shared" si="52"/>
        <v>45456</v>
      </c>
      <c r="L179" s="147">
        <f>IF(t&lt;Tvie,1-EXP((T0-t)*PertePVj)+'2023'!Pspv,1-EXP((T0-t)*PertePVj)+Pspv)</f>
        <v>4.5968871277559532E-2</v>
      </c>
      <c r="M179" s="847"/>
      <c r="N179" s="847"/>
      <c r="O179" s="48">
        <f>IF(t&lt;Tnet,'2023'!Resal+('2023'!Salim-'2023'!Resal)*(1-EXP(('2023'!Tnet-t)/('2023'!Tau_j))),Resal+(Salim-Resal)*(1-EXP((Tnet-t)/(Tau_j))))*Salcycl</f>
        <v>1.0176324141883096E-2</v>
      </c>
      <c r="P179" s="168">
        <f>(INDEX(Models!$BJ179:$BT179,,T179)*(1-R179)+INDEX(Models!$BJ179:$BT179,,T179+1)*R179-ERP_i)*Q179*Ramure*Pc/MaxiM</f>
        <v>8.8526656852700738E-4</v>
      </c>
      <c r="Q179" s="304">
        <f t="shared" si="53"/>
        <v>0.5</v>
      </c>
      <c r="R179" s="176">
        <f t="shared" si="54"/>
        <v>0.49693856973512607</v>
      </c>
      <c r="S179" s="814">
        <f t="shared" si="55"/>
        <v>1</v>
      </c>
      <c r="T179" s="175">
        <f t="shared" si="56"/>
        <v>7</v>
      </c>
      <c r="U179" s="250">
        <f t="shared" si="57"/>
        <v>1.4969385697351261</v>
      </c>
      <c r="V179" s="382">
        <f t="shared" si="58"/>
        <v>56.329169978777713</v>
      </c>
      <c r="W179" s="401">
        <f t="shared" si="59"/>
        <v>46.214701173592424</v>
      </c>
      <c r="X179" s="157">
        <f t="shared" si="60"/>
        <v>45456</v>
      </c>
      <c r="Y179" s="384">
        <f t="shared" si="61"/>
        <v>43.110615642492661</v>
      </c>
      <c r="Z179" s="384">
        <f t="shared" si="62"/>
        <v>45.187850107388876</v>
      </c>
      <c r="AA179" s="385">
        <f t="shared" si="63"/>
        <v>48.93952684863639</v>
      </c>
      <c r="AB179" s="196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7.6659440391627892E-2</v>
      </c>
      <c r="AD179" s="230">
        <f>(INDEX(Models!$BJ179:$BT179,,AH179)*(1-AF179)+INDEX(Models!$BJ179:$BT179,,AH179+1)*AF179-ERP_i)*AE179*Ramure*Pc/MaxiM</f>
        <v>8.8526656852700738E-4</v>
      </c>
      <c r="AE179" s="304">
        <f t="shared" si="65"/>
        <v>0.5</v>
      </c>
      <c r="AF179" s="176">
        <f t="shared" si="66"/>
        <v>0.49693856973512607</v>
      </c>
      <c r="AG179" s="814">
        <f t="shared" si="74"/>
        <v>1</v>
      </c>
      <c r="AH179" s="175">
        <f t="shared" si="67"/>
        <v>7</v>
      </c>
      <c r="AI179" s="224">
        <f t="shared" si="68"/>
        <v>1.4969385697351261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10">
        <f>'2023'!Wh/'2023'!Env_an*'2024'!Env_an</f>
        <v>51.936702651491615</v>
      </c>
      <c r="C180" s="843"/>
      <c r="D180" s="392">
        <f t="shared" si="50"/>
        <v>54.440402654518763</v>
      </c>
      <c r="E180" s="384">
        <f t="shared" si="75"/>
        <v>55.00589119860755</v>
      </c>
      <c r="F180" s="384">
        <f t="shared" si="51"/>
        <v>55.049799838464054</v>
      </c>
      <c r="G180" s="110">
        <f t="shared" si="76"/>
        <v>0.92287842638068318</v>
      </c>
      <c r="H180" s="413" t="b">
        <f>Wh_hp&gt;='2023'!Maxi_hp</f>
        <v>0</v>
      </c>
      <c r="I180" s="389">
        <f>IF(H180,Wh_hp,'2023'!Maxi_hp)</f>
        <v>55.051597615589515</v>
      </c>
      <c r="J180" s="85">
        <f>IF(H180,An,'2023'!An_max)</f>
        <v>2022</v>
      </c>
      <c r="K180" s="196">
        <f t="shared" si="52"/>
        <v>45457</v>
      </c>
      <c r="L180" s="147">
        <f>IF(t&lt;Tvie,1-EXP((T0-t)*PertePVj)+'2023'!Pspv,1-EXP((T0-t)*PertePVj)+Pspv)</f>
        <v>4.5989740724655205E-2</v>
      </c>
      <c r="M180" s="847"/>
      <c r="N180" s="847"/>
      <c r="O180" s="48">
        <f>IF(t&lt;Tnet,'2023'!Resal+('2023'!Salim-'2023'!Resal)*(1-EXP(('2023'!Tnet-t)/('2023'!Tau_j))),Resal+(Salim-Resal)*(1-EXP((Tnet-t)/(Tau_j))))*Salcycl</f>
        <v>1.0280508719457E-2</v>
      </c>
      <c r="P180" s="168">
        <f>(INDEX(Models!$BJ180:$BT180,,T180)*(1-R180)+INDEX(Models!$BJ180:$BT180,,T180+1)*R180-ERP_i)*Q180*Ramure*Pc/MaxiM</f>
        <v>8.9624238028805777E-4</v>
      </c>
      <c r="Q180" s="304">
        <f t="shared" si="53"/>
        <v>0.5</v>
      </c>
      <c r="R180" s="176">
        <f t="shared" si="54"/>
        <v>0.49999972086341016</v>
      </c>
      <c r="S180" s="814">
        <f t="shared" si="55"/>
        <v>1</v>
      </c>
      <c r="T180" s="175">
        <f t="shared" si="56"/>
        <v>7</v>
      </c>
      <c r="U180" s="250">
        <f t="shared" si="57"/>
        <v>1.4999997208634102</v>
      </c>
      <c r="V180" s="382">
        <f t="shared" si="58"/>
        <v>56.271308100462221</v>
      </c>
      <c r="W180" s="401">
        <f t="shared" si="59"/>
        <v>51.936702651491615</v>
      </c>
      <c r="X180" s="157">
        <f t="shared" si="60"/>
        <v>45457</v>
      </c>
      <c r="Y180" s="384">
        <f t="shared" si="61"/>
        <v>48.449788318862169</v>
      </c>
      <c r="Z180" s="384">
        <f t="shared" si="62"/>
        <v>50.785395490048579</v>
      </c>
      <c r="AA180" s="385">
        <f t="shared" si="63"/>
        <v>55.00589119860755</v>
      </c>
      <c r="AB180" s="196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7.6728067059584584E-2</v>
      </c>
      <c r="AD180" s="230">
        <f>(INDEX(Models!$BJ180:$BT180,,AH180)*(1-AF180)+INDEX(Models!$BJ180:$BT180,,AH180+1)*AF180-ERP_i)*AE180*Ramure*Pc/MaxiM</f>
        <v>8.9624238028805777E-4</v>
      </c>
      <c r="AE180" s="304">
        <f t="shared" si="65"/>
        <v>0.5</v>
      </c>
      <c r="AF180" s="176">
        <f t="shared" si="66"/>
        <v>0.49999972086341016</v>
      </c>
      <c r="AG180" s="814">
        <f t="shared" si="74"/>
        <v>1</v>
      </c>
      <c r="AH180" s="175">
        <f t="shared" si="67"/>
        <v>7</v>
      </c>
      <c r="AI180" s="224">
        <f t="shared" si="68"/>
        <v>1.4999997208634102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10">
        <f>'2023'!Wh/'2023'!Env_an*'2024'!Env_an</f>
        <v>49.298316691253063</v>
      </c>
      <c r="C181" s="843"/>
      <c r="D181" s="392">
        <f t="shared" si="50"/>
        <v>51.675959075926052</v>
      </c>
      <c r="E181" s="384">
        <f t="shared" si="75"/>
        <v>52.218220946627525</v>
      </c>
      <c r="F181" s="384">
        <f t="shared" si="51"/>
        <v>52.257271263805116</v>
      </c>
      <c r="G181" s="110">
        <f t="shared" si="76"/>
        <v>0.87685856036758569</v>
      </c>
      <c r="H181" s="413" t="b">
        <f>Wh_hp&gt;='2023'!Maxi_hp</f>
        <v>0</v>
      </c>
      <c r="I181" s="389">
        <f>IF(H181,Wh_hp,'2023'!Maxi_hp)</f>
        <v>60.496565061953568</v>
      </c>
      <c r="J181" s="85">
        <f>IF(H181,An,'2023'!An_max)</f>
        <v>2019</v>
      </c>
      <c r="K181" s="196">
        <f t="shared" si="52"/>
        <v>45458</v>
      </c>
      <c r="L181" s="147">
        <f>IF(t&lt;Tvie,1-EXP((T0-t)*PertePVj)+'2023'!Pspv,1-EXP((T0-t)*PertePVj)+Pspv)</f>
        <v>4.6010609714656404E-2</v>
      </c>
      <c r="M181" s="847"/>
      <c r="N181" s="847"/>
      <c r="O181" s="48">
        <f>IF(t&lt;Tnet,'2023'!Resal+('2023'!Salim-'2023'!Resal)*(1-EXP(('2023'!Tnet-t)/('2023'!Tau_j))),Resal+(Salim-Resal)*(1-EXP((Tnet-t)/(Tau_j))))*Salcycl</f>
        <v>1.0384533614343546E-2</v>
      </c>
      <c r="P181" s="168">
        <f>(INDEX(Models!$BJ181:$BT181,,T181)*(1-R181)+INDEX(Models!$BJ181:$BT181,,T181+1)*R181-ERP_i)*Q181*Ramure*Pc/MaxiM</f>
        <v>9.0656989068502126E-4</v>
      </c>
      <c r="Q181" s="304">
        <f t="shared" si="53"/>
        <v>0.5</v>
      </c>
      <c r="R181" s="176">
        <f t="shared" si="54"/>
        <v>0.50304802138557325</v>
      </c>
      <c r="S181" s="814">
        <f t="shared" si="55"/>
        <v>1</v>
      </c>
      <c r="T181" s="175">
        <f t="shared" si="56"/>
        <v>7</v>
      </c>
      <c r="U181" s="250">
        <f t="shared" si="57"/>
        <v>1.5030480213855733</v>
      </c>
      <c r="V181" s="382">
        <f t="shared" si="58"/>
        <v>56.212552234064525</v>
      </c>
      <c r="W181" s="401">
        <f t="shared" si="59"/>
        <v>49.298316691253063</v>
      </c>
      <c r="X181" s="157">
        <f t="shared" si="60"/>
        <v>45458</v>
      </c>
      <c r="Y181" s="384">
        <f t="shared" si="61"/>
        <v>45.990011427078905</v>
      </c>
      <c r="Z181" s="384">
        <f t="shared" si="62"/>
        <v>48.208095284291403</v>
      </c>
      <c r="AA181" s="385">
        <f t="shared" si="63"/>
        <v>52.218220946627525</v>
      </c>
      <c r="AB181" s="196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7.6795524428817374E-2</v>
      </c>
      <c r="AD181" s="230">
        <f>(INDEX(Models!$BJ181:$BT181,,AH181)*(1-AF181)+INDEX(Models!$BJ181:$BT181,,AH181+1)*AF181-ERP_i)*AE181*Ramure*Pc/MaxiM</f>
        <v>9.0656989068502126E-4</v>
      </c>
      <c r="AE181" s="304">
        <f t="shared" si="65"/>
        <v>0.5</v>
      </c>
      <c r="AF181" s="176">
        <f t="shared" si="66"/>
        <v>0.50304802138557325</v>
      </c>
      <c r="AG181" s="814">
        <f t="shared" si="74"/>
        <v>1</v>
      </c>
      <c r="AH181" s="175">
        <f t="shared" si="67"/>
        <v>7</v>
      </c>
      <c r="AI181" s="224">
        <f t="shared" si="68"/>
        <v>1.5030480213855733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10">
        <f>'2023'!Wh/'2023'!Env_an*'2024'!Env_an</f>
        <v>49.845415603483104</v>
      </c>
      <c r="C182" s="843"/>
      <c r="D182" s="392">
        <f t="shared" si="50"/>
        <v>52.250587379883115</v>
      </c>
      <c r="E182" s="384">
        <f t="shared" si="75"/>
        <v>52.804420761966014</v>
      </c>
      <c r="F182" s="384">
        <f t="shared" si="51"/>
        <v>52.845069569188674</v>
      </c>
      <c r="G182" s="110">
        <f t="shared" si="76"/>
        <v>0.88754236802618292</v>
      </c>
      <c r="H182" s="413" t="b">
        <f>Wh_hp&gt;='2023'!Maxi_hp</f>
        <v>0</v>
      </c>
      <c r="I182" s="389">
        <f>IF(H182,Wh_hp,'2023'!Maxi_hp)</f>
        <v>59.643028752560177</v>
      </c>
      <c r="J182" s="85">
        <f>IF(H182,An,'2023'!An_max)</f>
        <v>2019</v>
      </c>
      <c r="K182" s="196">
        <f t="shared" si="52"/>
        <v>45459</v>
      </c>
      <c r="L182" s="147">
        <f>IF(t&lt;Tvie,1-EXP((T0-t)*PertePVj)+'2023'!Pspv,1-EXP((T0-t)*PertePVj)+Pspv)</f>
        <v>4.6031478247573122E-2</v>
      </c>
      <c r="M182" s="847"/>
      <c r="N182" s="847"/>
      <c r="O182" s="48">
        <f>IF(t&lt;Tnet,'2023'!Resal+('2023'!Salim-'2023'!Resal)*(1-EXP(('2023'!Tnet-t)/('2023'!Tau_j))),Resal+(Salim-Resal)*(1-EXP((Tnet-t)/(Tau_j))))*Salcycl</f>
        <v>1.0488390443282947E-2</v>
      </c>
      <c r="P182" s="168">
        <f>(INDEX(Models!$BJ182:$BT182,,T182)*(1-R182)+INDEX(Models!$BJ182:$BT182,,T182+1)*R182-ERP_i)*Q182*Ramure*Pc/MaxiM</f>
        <v>9.1623241012299709E-4</v>
      </c>
      <c r="Q182" s="304">
        <f t="shared" si="53"/>
        <v>0.5</v>
      </c>
      <c r="R182" s="176">
        <f t="shared" si="54"/>
        <v>0.50608099590336897</v>
      </c>
      <c r="S182" s="814">
        <f t="shared" si="55"/>
        <v>1</v>
      </c>
      <c r="T182" s="175">
        <f t="shared" si="56"/>
        <v>7</v>
      </c>
      <c r="U182" s="250">
        <f t="shared" si="57"/>
        <v>1.506080995903369</v>
      </c>
      <c r="V182" s="382">
        <f t="shared" si="58"/>
        <v>56.15290404601793</v>
      </c>
      <c r="W182" s="401">
        <f t="shared" si="59"/>
        <v>49.845415603483104</v>
      </c>
      <c r="X182" s="157">
        <f t="shared" si="60"/>
        <v>45459</v>
      </c>
      <c r="Y182" s="384">
        <f t="shared" si="61"/>
        <v>46.501938565993697</v>
      </c>
      <c r="Z182" s="384">
        <f t="shared" si="62"/>
        <v>48.74577882357196</v>
      </c>
      <c r="AA182" s="385">
        <f t="shared" si="63"/>
        <v>52.804420761966014</v>
      </c>
      <c r="AB182" s="196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7.6861783158076374E-2</v>
      </c>
      <c r="AD182" s="230">
        <f>(INDEX(Models!$BJ182:$BT182,,AH182)*(1-AF182)+INDEX(Models!$BJ182:$BT182,,AH182+1)*AF182-ERP_i)*AE182*Ramure*Pc/MaxiM</f>
        <v>9.1623241012299709E-4</v>
      </c>
      <c r="AE182" s="304">
        <f t="shared" si="65"/>
        <v>0.5</v>
      </c>
      <c r="AF182" s="176">
        <f t="shared" si="66"/>
        <v>0.50608099590336897</v>
      </c>
      <c r="AG182" s="814">
        <f t="shared" si="74"/>
        <v>1</v>
      </c>
      <c r="AH182" s="175">
        <f t="shared" si="67"/>
        <v>7</v>
      </c>
      <c r="AI182" s="224">
        <f t="shared" si="68"/>
        <v>1.506080995903369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10">
        <f>'2023'!Wh/'2023'!Env_an*'2024'!Env_an</f>
        <v>52.429633606702048</v>
      </c>
      <c r="C183" s="843"/>
      <c r="D183" s="392">
        <f t="shared" si="50"/>
        <v>54.960702932319585</v>
      </c>
      <c r="E183" s="384">
        <f t="shared" si="75"/>
        <v>55.549082771589454</v>
      </c>
      <c r="F183" s="384">
        <f t="shared" si="51"/>
        <v>55.59572241620409</v>
      </c>
      <c r="G183" s="110">
        <f t="shared" si="76"/>
        <v>0.93462104237983346</v>
      </c>
      <c r="H183" s="413" t="b">
        <f>Wh_hp&gt;='2023'!Maxi_hp</f>
        <v>0</v>
      </c>
      <c r="I183" s="389">
        <f>IF(H183,Wh_hp,'2023'!Maxi_hp)</f>
        <v>57.817123290426146</v>
      </c>
      <c r="J183" s="85">
        <f>IF(H183,An,'2023'!An_max)</f>
        <v>2019</v>
      </c>
      <c r="K183" s="196">
        <f t="shared" si="52"/>
        <v>45460</v>
      </c>
      <c r="L183" s="147">
        <f>IF(t&lt;Tvie,1-EXP((T0-t)*PertePVj)+'2023'!Pspv,1-EXP((T0-t)*PertePVj)+Pspv)</f>
        <v>4.6052346323415462E-2</v>
      </c>
      <c r="M183" s="847"/>
      <c r="N183" s="847"/>
      <c r="O183" s="48">
        <f>IF(t&lt;Tnet,'2023'!Resal+('2023'!Salim-'2023'!Resal)*(1-EXP(('2023'!Tnet-t)/('2023'!Tau_j))),Resal+(Salim-Resal)*(1-EXP((Tnet-t)/(Tau_j))))*Salcycl</f>
        <v>1.0592071190251896E-2</v>
      </c>
      <c r="P183" s="168">
        <f>(INDEX(Models!$BJ183:$BT183,,T183)*(1-R183)+INDEX(Models!$BJ183:$BT183,,T183+1)*R183-ERP_i)*Q183*Ramure*Pc/MaxiM</f>
        <v>9.2521396112564536E-4</v>
      </c>
      <c r="Q183" s="304">
        <f t="shared" si="53"/>
        <v>0.5</v>
      </c>
      <c r="R183" s="176">
        <f t="shared" si="54"/>
        <v>0.50909621957273221</v>
      </c>
      <c r="S183" s="814">
        <f t="shared" si="55"/>
        <v>1</v>
      </c>
      <c r="T183" s="175">
        <f t="shared" si="56"/>
        <v>7</v>
      </c>
      <c r="U183" s="250">
        <f t="shared" si="57"/>
        <v>1.5090962195727322</v>
      </c>
      <c r="V183" s="382">
        <f t="shared" si="58"/>
        <v>56.092365131513461</v>
      </c>
      <c r="W183" s="401">
        <f t="shared" si="59"/>
        <v>52.429633606702048</v>
      </c>
      <c r="X183" s="157">
        <f t="shared" si="60"/>
        <v>45460</v>
      </c>
      <c r="Y183" s="384">
        <f t="shared" si="61"/>
        <v>48.914494558771153</v>
      </c>
      <c r="Z183" s="384">
        <f t="shared" si="62"/>
        <v>51.27586861842061</v>
      </c>
      <c r="AA183" s="385">
        <f t="shared" si="63"/>
        <v>55.549082771589454</v>
      </c>
      <c r="AB183" s="196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7.6926817509115952E-2</v>
      </c>
      <c r="AD183" s="230">
        <f>(INDEX(Models!$BJ183:$BT183,,AH183)*(1-AF183)+INDEX(Models!$BJ183:$BT183,,AH183+1)*AF183-ERP_i)*AE183*Ramure*Pc/MaxiM</f>
        <v>9.2521396112564536E-4</v>
      </c>
      <c r="AE183" s="304">
        <f t="shared" si="65"/>
        <v>0.5</v>
      </c>
      <c r="AF183" s="176">
        <f t="shared" si="66"/>
        <v>0.50909621957273221</v>
      </c>
      <c r="AG183" s="814">
        <f t="shared" si="74"/>
        <v>1</v>
      </c>
      <c r="AH183" s="175">
        <f t="shared" si="67"/>
        <v>7</v>
      </c>
      <c r="AI183" s="224">
        <f t="shared" si="68"/>
        <v>1.5090962195727322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10">
        <f>'2023'!Wh/'2023'!Env_an*'2024'!Env_an</f>
        <v>53.733557712353523</v>
      </c>
      <c r="C184" s="843"/>
      <c r="D184" s="392">
        <f t="shared" si="50"/>
        <v>56.328806882981631</v>
      </c>
      <c r="E184" s="384">
        <f t="shared" si="75"/>
        <v>56.937788889428653</v>
      </c>
      <c r="F184" s="384">
        <f t="shared" si="51"/>
        <v>56.987853312330451</v>
      </c>
      <c r="G184" s="110">
        <f t="shared" si="76"/>
        <v>0.9589452404565596</v>
      </c>
      <c r="H184" s="413" t="b">
        <f>Wh_hp&gt;='2023'!Maxi_hp</f>
        <v>0</v>
      </c>
      <c r="I184" s="389">
        <f>IF(H184,Wh_hp,'2023'!Maxi_hp)</f>
        <v>56.988879002316459</v>
      </c>
      <c r="J184" s="85">
        <f>IF(H184,An,'2023'!An_max)</f>
        <v>2022</v>
      </c>
      <c r="K184" s="196">
        <f t="shared" si="52"/>
        <v>45461</v>
      </c>
      <c r="L184" s="147">
        <f>IF(t&lt;Tvie,1-EXP((T0-t)*PertePVj)+'2023'!Pspv,1-EXP((T0-t)*PertePVj)+Pspv)</f>
        <v>4.6073213942193415E-2</v>
      </c>
      <c r="M184" s="847"/>
      <c r="N184" s="847"/>
      <c r="O184" s="48">
        <f>IF(t&lt;Tnet,'2023'!Resal+('2023'!Salim-'2023'!Resal)*(1-EXP(('2023'!Tnet-t)/('2023'!Tau_j))),Resal+(Salim-Resal)*(1-EXP((Tnet-t)/(Tau_j))))*Salcycl</f>
        <v>1.069556823904147E-2</v>
      </c>
      <c r="P184" s="168">
        <f>(INDEX(Models!$BJ184:$BT184,,T184)*(1-R184)+INDEX(Models!$BJ184:$BT184,,T184+1)*R184-ERP_i)*Q184*Ramure*Pc/MaxiM</f>
        <v>9.3317061387386297E-4</v>
      </c>
      <c r="Q184" s="304">
        <f t="shared" si="53"/>
        <v>0.5</v>
      </c>
      <c r="R184" s="176">
        <f t="shared" si="54"/>
        <v>0.51209132562137971</v>
      </c>
      <c r="S184" s="814">
        <f t="shared" si="55"/>
        <v>1</v>
      </c>
      <c r="T184" s="175">
        <f t="shared" si="56"/>
        <v>7</v>
      </c>
      <c r="U184" s="250">
        <f t="shared" si="57"/>
        <v>1.5120913256213797</v>
      </c>
      <c r="V184" s="382">
        <f t="shared" si="58"/>
        <v>56.03095544591892</v>
      </c>
      <c r="W184" s="401">
        <f t="shared" si="59"/>
        <v>53.733557712353523</v>
      </c>
      <c r="X184" s="157">
        <f t="shared" si="60"/>
        <v>45461</v>
      </c>
      <c r="Y184" s="384">
        <f t="shared" si="61"/>
        <v>50.132777111454828</v>
      </c>
      <c r="Z184" s="384">
        <f t="shared" si="62"/>
        <v>52.554114051701298</v>
      </c>
      <c r="AA184" s="385">
        <f t="shared" si="63"/>
        <v>56.937788889428653</v>
      </c>
      <c r="AB184" s="196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7.6990605417437463E-2</v>
      </c>
      <c r="AD184" s="230">
        <f>(INDEX(Models!$BJ184:$BT184,,AH184)*(1-AF184)+INDEX(Models!$BJ184:$BT184,,AH184+1)*AF184-ERP_i)*AE184*Ramure*Pc/MaxiM</f>
        <v>9.3317061387386297E-4</v>
      </c>
      <c r="AE184" s="304">
        <f t="shared" si="65"/>
        <v>0.5</v>
      </c>
      <c r="AF184" s="176">
        <f t="shared" si="66"/>
        <v>0.51209132562137971</v>
      </c>
      <c r="AG184" s="814">
        <f t="shared" si="74"/>
        <v>1</v>
      </c>
      <c r="AH184" s="175">
        <f t="shared" si="67"/>
        <v>7</v>
      </c>
      <c r="AI184" s="224">
        <f t="shared" si="68"/>
        <v>1.5120913256213797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10">
        <f>'2023'!Wh/'2023'!Env_an*'2024'!Env_an</f>
        <v>30.867656624015009</v>
      </c>
      <c r="C185" s="843"/>
      <c r="D185" s="392">
        <f t="shared" si="50"/>
        <v>32.359225383292419</v>
      </c>
      <c r="E185" s="384">
        <f t="shared" si="75"/>
        <v>32.712483382766685</v>
      </c>
      <c r="F185" s="384">
        <f t="shared" si="51"/>
        <v>32.723540427105817</v>
      </c>
      <c r="G185" s="110">
        <f t="shared" si="76"/>
        <v>0.55118441216646064</v>
      </c>
      <c r="H185" s="413" t="b">
        <f>Wh_hp&gt;='2023'!Maxi_hp</f>
        <v>0</v>
      </c>
      <c r="I185" s="389">
        <f>IF(H185,Wh_hp,'2023'!Maxi_hp)</f>
        <v>58.21085404536079</v>
      </c>
      <c r="J185" s="85">
        <f>IF(H185,An,'2023'!An_max)</f>
        <v>2020</v>
      </c>
      <c r="K185" s="196">
        <f t="shared" si="52"/>
        <v>45462</v>
      </c>
      <c r="L185" s="147">
        <f>IF(t&lt;Tvie,1-EXP((T0-t)*PertePVj)+'2023'!Pspv,1-EXP((T0-t)*PertePVj)+Pspv)</f>
        <v>4.6094081103916863E-2</v>
      </c>
      <c r="M185" s="847"/>
      <c r="N185" s="847"/>
      <c r="O185" s="48">
        <f>IF(t&lt;Tnet,'2023'!Resal+('2023'!Salim-'2023'!Resal)*(1-EXP(('2023'!Tnet-t)/('2023'!Tau_j))),Resal+(Salim-Resal)*(1-EXP((Tnet-t)/(Tau_j))))*Salcycl</f>
        <v>1.0798874403414111E-2</v>
      </c>
      <c r="P185" s="168">
        <f>(INDEX(Models!$BJ185:$BT185,,T185)*(1-R185)+INDEX(Models!$BJ185:$BT185,,T185+1)*R185-ERP_i)*Q185*Ramure*Pc/MaxiM</f>
        <v>9.4039385644964382E-4</v>
      </c>
      <c r="Q185" s="304">
        <f t="shared" si="53"/>
        <v>0.5</v>
      </c>
      <c r="R185" s="176">
        <f t="shared" si="54"/>
        <v>0.51506401246762912</v>
      </c>
      <c r="S185" s="814">
        <f t="shared" si="55"/>
        <v>1</v>
      </c>
      <c r="T185" s="175">
        <f t="shared" si="56"/>
        <v>7</v>
      </c>
      <c r="U185" s="250">
        <f t="shared" si="57"/>
        <v>1.5150640124676291</v>
      </c>
      <c r="V185" s="382">
        <f t="shared" si="58"/>
        <v>55.968659231012097</v>
      </c>
      <c r="W185" s="401">
        <f t="shared" si="59"/>
        <v>30.867656624015009</v>
      </c>
      <c r="X185" s="157">
        <f t="shared" si="60"/>
        <v>45462</v>
      </c>
      <c r="Y185" s="384">
        <f t="shared" si="61"/>
        <v>28.800217036919047</v>
      </c>
      <c r="Z185" s="384">
        <f t="shared" si="62"/>
        <v>30.191884195716469</v>
      </c>
      <c r="AA185" s="385">
        <f t="shared" si="63"/>
        <v>32.712483382766685</v>
      </c>
      <c r="AB185" s="196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7.7053128542912699E-2</v>
      </c>
      <c r="AD185" s="230">
        <f>(INDEX(Models!$BJ185:$BT185,,AH185)*(1-AF185)+INDEX(Models!$BJ185:$BT185,,AH185+1)*AF185-ERP_i)*AE185*Ramure*Pc/MaxiM</f>
        <v>9.4039385644964382E-4</v>
      </c>
      <c r="AE185" s="304">
        <f t="shared" si="65"/>
        <v>0.5</v>
      </c>
      <c r="AF185" s="176">
        <f t="shared" si="66"/>
        <v>0.51506401246762912</v>
      </c>
      <c r="AG185" s="814">
        <f t="shared" si="74"/>
        <v>1</v>
      </c>
      <c r="AH185" s="175">
        <f t="shared" si="67"/>
        <v>7</v>
      </c>
      <c r="AI185" s="224">
        <f t="shared" si="68"/>
        <v>1.5150640124676291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10">
        <f>'2023'!Wh/'2023'!Env_an*'2024'!Env_an</f>
        <v>18.891387506273706</v>
      </c>
      <c r="C186" s="843"/>
      <c r="D186" s="392">
        <f t="shared" si="50"/>
        <v>19.804679256555758</v>
      </c>
      <c r="E186" s="384">
        <f t="shared" si="75"/>
        <v>20.022969326857805</v>
      </c>
      <c r="F186" s="384">
        <f t="shared" si="51"/>
        <v>20.02399633086727</v>
      </c>
      <c r="G186" s="110">
        <f t="shared" si="76"/>
        <v>0.33761392607512464</v>
      </c>
      <c r="H186" s="413" t="b">
        <f>Wh_hp&gt;='2023'!Maxi_hp</f>
        <v>0</v>
      </c>
      <c r="I186" s="389">
        <f>IF(H186,Wh_hp,'2023'!Maxi_hp)</f>
        <v>52.532940622341521</v>
      </c>
      <c r="J186" s="85">
        <f>IF(H186,An,'2023'!An_max)</f>
        <v>2020</v>
      </c>
      <c r="K186" s="196">
        <f t="shared" si="52"/>
        <v>45463</v>
      </c>
      <c r="L186" s="147">
        <f>IF(t&lt;Tvie,1-EXP((T0-t)*PertePVj)+'2023'!Pspv,1-EXP((T0-t)*PertePVj)+Pspv)</f>
        <v>4.611494780859602E-2</v>
      </c>
      <c r="M186" s="847"/>
      <c r="N186" s="847"/>
      <c r="O186" s="48">
        <f>IF(t&lt;Tnet,'2023'!Resal+('2023'!Salim-'2023'!Resal)*(1-EXP(('2023'!Tnet-t)/('2023'!Tau_j))),Resal+(Salim-Resal)*(1-EXP((Tnet-t)/(Tau_j))))*Salcycl</f>
        <v>1.0901982954608171E-2</v>
      </c>
      <c r="P186" s="168">
        <f>(INDEX(Models!$BJ186:$BT186,,T186)*(1-R186)+INDEX(Models!$BJ186:$BT186,,T186+1)*R186-ERP_i)*Q186*Ramure*Pc/MaxiM</f>
        <v>9.4686996364280859E-4</v>
      </c>
      <c r="Q186" s="304">
        <f t="shared" si="53"/>
        <v>0.5</v>
      </c>
      <c r="R186" s="176">
        <f t="shared" si="54"/>
        <v>0.51801205039740505</v>
      </c>
      <c r="S186" s="814">
        <f t="shared" si="55"/>
        <v>1</v>
      </c>
      <c r="T186" s="175">
        <f t="shared" si="56"/>
        <v>7</v>
      </c>
      <c r="U186" s="250">
        <f t="shared" si="57"/>
        <v>1.5180120503974051</v>
      </c>
      <c r="V186" s="382">
        <f t="shared" si="58"/>
        <v>55.905477847212431</v>
      </c>
      <c r="W186" s="401">
        <f t="shared" si="59"/>
        <v>18.891387506273706</v>
      </c>
      <c r="X186" s="157">
        <f t="shared" si="60"/>
        <v>45463</v>
      </c>
      <c r="Y186" s="384">
        <f t="shared" si="61"/>
        <v>17.62675661703739</v>
      </c>
      <c r="Z186" s="384">
        <f t="shared" si="62"/>
        <v>18.478910615637211</v>
      </c>
      <c r="AA186" s="385">
        <f t="shared" si="63"/>
        <v>20.022969326857805</v>
      </c>
      <c r="AB186" s="196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7.711437229989021E-2</v>
      </c>
      <c r="AD186" s="230">
        <f>(INDEX(Models!$BJ186:$BT186,,AH186)*(1-AF186)+INDEX(Models!$BJ186:$BT186,,AH186+1)*AF186-ERP_i)*AE186*Ramure*Pc/MaxiM</f>
        <v>9.4686996364280859E-4</v>
      </c>
      <c r="AE186" s="304">
        <f t="shared" si="65"/>
        <v>0.5</v>
      </c>
      <c r="AF186" s="176">
        <f t="shared" si="66"/>
        <v>0.51801205039740505</v>
      </c>
      <c r="AG186" s="814">
        <f t="shared" si="74"/>
        <v>1</v>
      </c>
      <c r="AH186" s="175">
        <f t="shared" si="67"/>
        <v>7</v>
      </c>
      <c r="AI186" s="224">
        <f t="shared" si="68"/>
        <v>1.5180120503974051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10">
        <f>'2023'!Wh/'2023'!Env_an*'2024'!Env_an</f>
        <v>45.108828857977507</v>
      </c>
      <c r="C187" s="843"/>
      <c r="D187" s="392">
        <f t="shared" si="50"/>
        <v>47.290620114169137</v>
      </c>
      <c r="E187" s="384">
        <f t="shared" si="75"/>
        <v>47.816839055561431</v>
      </c>
      <c r="F187" s="384">
        <f t="shared" si="51"/>
        <v>47.849905084532473</v>
      </c>
      <c r="G187" s="110">
        <f t="shared" si="76"/>
        <v>0.80759100510173565</v>
      </c>
      <c r="H187" s="413" t="b">
        <f>Wh_hp&gt;='2023'!Maxi_hp</f>
        <v>0</v>
      </c>
      <c r="I187" s="389">
        <f>IF(H187,Wh_hp,'2023'!Maxi_hp)</f>
        <v>59.462179190219061</v>
      </c>
      <c r="J187" s="85">
        <f>IF(H187,An,'2023'!An_max)</f>
        <v>2020</v>
      </c>
      <c r="K187" s="196">
        <f t="shared" si="52"/>
        <v>45464</v>
      </c>
      <c r="L187" s="147">
        <f>IF(t&lt;Tvie,1-EXP((T0-t)*PertePVj)+'2023'!Pspv,1-EXP((T0-t)*PertePVj)+Pspv)</f>
        <v>4.6135814056240766E-2</v>
      </c>
      <c r="M187" s="847"/>
      <c r="N187" s="847"/>
      <c r="O187" s="48">
        <f>IF(t&lt;Tnet,'2023'!Resal+('2023'!Salim-'2023'!Resal)*(1-EXP(('2023'!Tnet-t)/('2023'!Tau_j))),Resal+(Salim-Resal)*(1-EXP((Tnet-t)/(Tau_j))))*Salcycl</f>
        <v>1.1004887645978473E-2</v>
      </c>
      <c r="P187" s="168">
        <f>(INDEX(Models!$BJ187:$BT187,,T187)*(1-R187)+INDEX(Models!$BJ187:$BT187,,T187+1)*R187-ERP_i)*Q187*Ramure*Pc/MaxiM</f>
        <v>9.5258606724605112E-4</v>
      </c>
      <c r="Q187" s="304">
        <f t="shared" si="53"/>
        <v>0.5</v>
      </c>
      <c r="R187" s="176">
        <f t="shared" si="54"/>
        <v>0.52093328776145764</v>
      </c>
      <c r="S187" s="814">
        <f t="shared" si="55"/>
        <v>1</v>
      </c>
      <c r="T187" s="175">
        <f t="shared" si="56"/>
        <v>7</v>
      </c>
      <c r="U187" s="250">
        <f t="shared" si="57"/>
        <v>1.5209332877614576</v>
      </c>
      <c r="V187" s="382">
        <f t="shared" si="58"/>
        <v>55.841412568923317</v>
      </c>
      <c r="W187" s="401">
        <f t="shared" si="59"/>
        <v>45.108828857977507</v>
      </c>
      <c r="X187" s="157">
        <f t="shared" si="60"/>
        <v>45464</v>
      </c>
      <c r="Y187" s="384">
        <f t="shared" si="61"/>
        <v>42.090789813056986</v>
      </c>
      <c r="Z187" s="384">
        <f t="shared" si="62"/>
        <v>44.126606736379451</v>
      </c>
      <c r="AA187" s="385">
        <f t="shared" si="63"/>
        <v>47.816839055561431</v>
      </c>
      <c r="AB187" s="196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7.7174325866543811E-2</v>
      </c>
      <c r="AD187" s="230">
        <f>(INDEX(Models!$BJ187:$BT187,,AH187)*(1-AF187)+INDEX(Models!$BJ187:$BT187,,AH187+1)*AF187-ERP_i)*AE187*Ramure*Pc/MaxiM</f>
        <v>9.5258606724605112E-4</v>
      </c>
      <c r="AE187" s="304">
        <f t="shared" si="65"/>
        <v>0.5</v>
      </c>
      <c r="AF187" s="176">
        <f t="shared" si="66"/>
        <v>0.52093328776145764</v>
      </c>
      <c r="AG187" s="814">
        <f t="shared" si="74"/>
        <v>1</v>
      </c>
      <c r="AH187" s="175">
        <f t="shared" si="67"/>
        <v>7</v>
      </c>
      <c r="AI187" s="224">
        <f t="shared" si="68"/>
        <v>1.5209332877614576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10">
        <f>'2023'!Wh/'2023'!Env_an*'2024'!Env_an</f>
        <v>40.496966740983581</v>
      </c>
      <c r="C188" s="843"/>
      <c r="D188" s="392">
        <f t="shared" si="50"/>
        <v>42.456623520183399</v>
      </c>
      <c r="E188" s="384">
        <f t="shared" si="75"/>
        <v>42.933511046215372</v>
      </c>
      <c r="F188" s="384">
        <f t="shared" si="51"/>
        <v>42.958547258545046</v>
      </c>
      <c r="G188" s="110">
        <f t="shared" si="76"/>
        <v>0.72578609510847447</v>
      </c>
      <c r="H188" s="413" t="b">
        <f>Wh_hp&gt;='2023'!Maxi_hp</f>
        <v>0</v>
      </c>
      <c r="I188" s="389">
        <f>IF(H188,Wh_hp,'2023'!Maxi_hp)</f>
        <v>53.377678678761548</v>
      </c>
      <c r="J188" s="85">
        <f>IF(H188,An,'2023'!An_max)</f>
        <v>2019</v>
      </c>
      <c r="K188" s="196">
        <f t="shared" si="52"/>
        <v>45465</v>
      </c>
      <c r="L188" s="147">
        <f>IF(t&lt;Tvie,1-EXP((T0-t)*PertePVj)+'2023'!Pspv,1-EXP((T0-t)*PertePVj)+Pspv)</f>
        <v>4.6156679846861094E-2</v>
      </c>
      <c r="M188" s="847"/>
      <c r="N188" s="847"/>
      <c r="O188" s="48">
        <f>IF(t&lt;Tnet,'2023'!Resal+('2023'!Salim-'2023'!Resal)*(1-EXP(('2023'!Tnet-t)/('2023'!Tau_j))),Resal+(Salim-Resal)*(1-EXP((Tnet-t)/(Tau_j))))*Salcycl</f>
        <v>1.1107582734582974E-2</v>
      </c>
      <c r="P188" s="168">
        <f>(INDEX(Models!$BJ188:$BT188,,T188)*(1-R188)+INDEX(Models!$BJ188:$BT188,,T188+1)*R188-ERP_i)*Q188*Ramure*Pc/MaxiM</f>
        <v>9.5752037954428826E-4</v>
      </c>
      <c r="Q188" s="304">
        <f t="shared" si="53"/>
        <v>0.5</v>
      </c>
      <c r="R188" s="176">
        <f t="shared" si="54"/>
        <v>0.52382565666019087</v>
      </c>
      <c r="S188" s="814">
        <f t="shared" si="55"/>
        <v>1</v>
      </c>
      <c r="T188" s="175">
        <f t="shared" si="56"/>
        <v>7</v>
      </c>
      <c r="U188" s="250">
        <f t="shared" si="57"/>
        <v>1.5238256566601909</v>
      </c>
      <c r="V188" s="382">
        <f t="shared" si="58"/>
        <v>55.776465130073852</v>
      </c>
      <c r="W188" s="401">
        <f t="shared" si="59"/>
        <v>40.496966740983581</v>
      </c>
      <c r="X188" s="157">
        <f t="shared" si="60"/>
        <v>45465</v>
      </c>
      <c r="Y188" s="384">
        <f t="shared" si="61"/>
        <v>37.789009783226255</v>
      </c>
      <c r="Z188" s="384">
        <f t="shared" si="62"/>
        <v>39.617627952942264</v>
      </c>
      <c r="AA188" s="385">
        <f t="shared" si="63"/>
        <v>42.933511046215372</v>
      </c>
      <c r="AB188" s="196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7.7232982173383216E-2</v>
      </c>
      <c r="AD188" s="230">
        <f>(INDEX(Models!$BJ188:$BT188,,AH188)*(1-AF188)+INDEX(Models!$BJ188:$BT188,,AH188+1)*AF188-ERP_i)*AE188*Ramure*Pc/MaxiM</f>
        <v>9.5752037954428826E-4</v>
      </c>
      <c r="AE188" s="304">
        <f t="shared" si="65"/>
        <v>0.5</v>
      </c>
      <c r="AF188" s="176">
        <f t="shared" si="66"/>
        <v>0.52382565666019087</v>
      </c>
      <c r="AG188" s="814">
        <f t="shared" si="74"/>
        <v>1</v>
      </c>
      <c r="AH188" s="175">
        <f t="shared" si="67"/>
        <v>7</v>
      </c>
      <c r="AI188" s="224">
        <f t="shared" si="68"/>
        <v>1.5238256566601909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10">
        <f>'2023'!Wh/'2023'!Env_an*'2024'!Env_an</f>
        <v>43.929290541438014</v>
      </c>
      <c r="C189" s="843"/>
      <c r="D189" s="392">
        <f t="shared" si="50"/>
        <v>46.056045671256101</v>
      </c>
      <c r="E189" s="384">
        <f t="shared" si="75"/>
        <v>46.578190116871248</v>
      </c>
      <c r="F189" s="384">
        <f t="shared" si="51"/>
        <v>46.609471180804455</v>
      </c>
      <c r="G189" s="110">
        <f t="shared" si="76"/>
        <v>0.78829684634275365</v>
      </c>
      <c r="H189" s="413" t="b">
        <f>Wh_hp&gt;='2023'!Maxi_hp</f>
        <v>0</v>
      </c>
      <c r="I189" s="389">
        <f>IF(H189,Wh_hp,'2023'!Maxi_hp)</f>
        <v>58.686977834802818</v>
      </c>
      <c r="J189" s="85">
        <f>IF(H189,An,'2023'!An_max)</f>
        <v>2020</v>
      </c>
      <c r="K189" s="196">
        <f t="shared" si="52"/>
        <v>45466</v>
      </c>
      <c r="L189" s="147">
        <f>IF(t&lt;Tvie,1-EXP((T0-t)*PertePVj)+'2023'!Pspv,1-EXP((T0-t)*PertePVj)+Pspv)</f>
        <v>4.6177545180467107E-2</v>
      </c>
      <c r="M189" s="847"/>
      <c r="N189" s="847"/>
      <c r="O189" s="48">
        <f>IF(t&lt;Tnet,'2023'!Resal+('2023'!Salim-'2023'!Resal)*(1-EXP(('2023'!Tnet-t)/('2023'!Tau_j))),Resal+(Salim-Resal)*(1-EXP((Tnet-t)/(Tau_j))))*Salcycl</f>
        <v>1.1210062999550104E-2</v>
      </c>
      <c r="P189" s="168">
        <f>(INDEX(Models!$BJ189:$BT189,,T189)*(1-R189)+INDEX(Models!$BJ189:$BT189,,T189+1)*R189-ERP_i)*Q189*Ramure*Pc/MaxiM</f>
        <v>9.6165130251262779E-4</v>
      </c>
      <c r="Q189" s="304">
        <f t="shared" si="53"/>
        <v>0.5</v>
      </c>
      <c r="R189" s="176">
        <f t="shared" si="54"/>
        <v>0.52668717808911625</v>
      </c>
      <c r="S189" s="814">
        <f t="shared" si="55"/>
        <v>1</v>
      </c>
      <c r="T189" s="175">
        <f t="shared" si="56"/>
        <v>7</v>
      </c>
      <c r="U189" s="250">
        <f t="shared" si="57"/>
        <v>1.5266871780891162</v>
      </c>
      <c r="V189" s="382">
        <f t="shared" si="58"/>
        <v>55.710637212630644</v>
      </c>
      <c r="W189" s="401">
        <f t="shared" si="59"/>
        <v>43.929290541438014</v>
      </c>
      <c r="X189" s="157">
        <f t="shared" si="60"/>
        <v>45466</v>
      </c>
      <c r="Y189" s="384">
        <f t="shared" si="61"/>
        <v>40.993520783614244</v>
      </c>
      <c r="Z189" s="384">
        <f t="shared" si="62"/>
        <v>42.978146065318192</v>
      </c>
      <c r="AA189" s="385">
        <f t="shared" si="63"/>
        <v>46.578190116871248</v>
      </c>
      <c r="AB189" s="196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7.7290337871008738E-2</v>
      </c>
      <c r="AD189" s="230">
        <f>(INDEX(Models!$BJ189:$BT189,,AH189)*(1-AF189)+INDEX(Models!$BJ189:$BT189,,AH189+1)*AF189-ERP_i)*AE189*Ramure*Pc/MaxiM</f>
        <v>9.6165130251262779E-4</v>
      </c>
      <c r="AE189" s="304">
        <f t="shared" si="65"/>
        <v>0.5</v>
      </c>
      <c r="AF189" s="176">
        <f t="shared" si="66"/>
        <v>0.52668717808911625</v>
      </c>
      <c r="AG189" s="814">
        <f t="shared" si="74"/>
        <v>1</v>
      </c>
      <c r="AH189" s="175">
        <f t="shared" si="67"/>
        <v>7</v>
      </c>
      <c r="AI189" s="224">
        <f t="shared" si="68"/>
        <v>1.5266871780891162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10">
        <f>'2023'!Wh/'2023'!Env_an*'2024'!Env_an</f>
        <v>30.881490043795672</v>
      </c>
      <c r="C190" s="843"/>
      <c r="D190" s="392">
        <f t="shared" si="50"/>
        <v>32.377268364213357</v>
      </c>
      <c r="E190" s="384">
        <f t="shared" si="75"/>
        <v>32.747721188605666</v>
      </c>
      <c r="F190" s="384">
        <f t="shared" si="51"/>
        <v>32.759236120651074</v>
      </c>
      <c r="G190" s="110">
        <f t="shared" si="76"/>
        <v>0.55464340339319618</v>
      </c>
      <c r="H190" s="413" t="b">
        <f>Wh_hp&gt;='2023'!Maxi_hp</f>
        <v>0</v>
      </c>
      <c r="I190" s="389">
        <f>IF(H190,Wh_hp,'2023'!Maxi_hp)</f>
        <v>55.730397600386027</v>
      </c>
      <c r="J190" s="85">
        <f>IF(H190,An,'2023'!An_max)</f>
        <v>2020</v>
      </c>
      <c r="K190" s="196">
        <f t="shared" si="52"/>
        <v>45467</v>
      </c>
      <c r="L190" s="147">
        <f>IF(t&lt;Tvie,1-EXP((T0-t)*PertePVj)+'2023'!Pspv,1-EXP((T0-t)*PertePVj)+Pspv)</f>
        <v>4.6198410057068685E-2</v>
      </c>
      <c r="M190" s="847"/>
      <c r="N190" s="847"/>
      <c r="O190" s="48">
        <f>IF(t&lt;Tnet,'2023'!Resal+('2023'!Salim-'2023'!Resal)*(1-EXP(('2023'!Tnet-t)/('2023'!Tau_j))),Resal+(Salim-Resal)*(1-EXP((Tnet-t)/(Tau_j))))*Salcycl</f>
        <v>1.1312323757086608E-2</v>
      </c>
      <c r="P190" s="168">
        <f>(INDEX(Models!$BJ190:$BT190,,T190)*(1-R190)+INDEX(Models!$BJ190:$BT190,,T190+1)*R190-ERP_i)*Q190*Ramure*Pc/MaxiM</f>
        <v>9.649676315164425E-4</v>
      </c>
      <c r="Q190" s="304">
        <f t="shared" si="53"/>
        <v>0.5</v>
      </c>
      <c r="R190" s="176">
        <f t="shared" si="54"/>
        <v>0.52951596652370192</v>
      </c>
      <c r="S190" s="814">
        <f t="shared" si="55"/>
        <v>1</v>
      </c>
      <c r="T190" s="175">
        <f t="shared" si="56"/>
        <v>7</v>
      </c>
      <c r="U190" s="250">
        <f t="shared" si="57"/>
        <v>1.5295159665237019</v>
      </c>
      <c r="V190" s="382">
        <f t="shared" si="58"/>
        <v>55.643929876487547</v>
      </c>
      <c r="W190" s="401">
        <f t="shared" si="59"/>
        <v>30.881490043795672</v>
      </c>
      <c r="X190" s="157">
        <f t="shared" si="60"/>
        <v>45467</v>
      </c>
      <c r="Y190" s="384">
        <f t="shared" si="61"/>
        <v>28.818927204749588</v>
      </c>
      <c r="Z190" s="384">
        <f t="shared" si="62"/>
        <v>30.214803066614628</v>
      </c>
      <c r="AA190" s="385">
        <f t="shared" si="63"/>
        <v>32.747721188605666</v>
      </c>
      <c r="AB190" s="196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7.7346393277354195E-2</v>
      </c>
      <c r="AD190" s="230">
        <f>(INDEX(Models!$BJ190:$BT190,,AH190)*(1-AF190)+INDEX(Models!$BJ190:$BT190,,AH190+1)*AF190-ERP_i)*AE190*Ramure*Pc/MaxiM</f>
        <v>9.649676315164425E-4</v>
      </c>
      <c r="AE190" s="304">
        <f t="shared" si="65"/>
        <v>0.5</v>
      </c>
      <c r="AF190" s="176">
        <f t="shared" si="66"/>
        <v>0.52951596652370192</v>
      </c>
      <c r="AG190" s="814">
        <f t="shared" si="74"/>
        <v>1</v>
      </c>
      <c r="AH190" s="175">
        <f t="shared" si="67"/>
        <v>7</v>
      </c>
      <c r="AI190" s="224">
        <f t="shared" si="68"/>
        <v>1.5295159665237019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10">
        <f>'2023'!Wh/'2023'!Env_an*'2024'!Env_an</f>
        <v>11.198496337400226</v>
      </c>
      <c r="C191" s="843"/>
      <c r="D191" s="392">
        <f t="shared" si="50"/>
        <v>11.741164439295826</v>
      </c>
      <c r="E191" s="384">
        <f t="shared" si="75"/>
        <v>11.876729718279639</v>
      </c>
      <c r="F191" s="384">
        <f t="shared" si="51"/>
        <v>11.876729718279639</v>
      </c>
      <c r="G191" s="110">
        <f t="shared" si="76"/>
        <v>0.20130339531541785</v>
      </c>
      <c r="H191" s="413" t="b">
        <f>Wh_hp&gt;='2023'!Maxi_hp</f>
        <v>0</v>
      </c>
      <c r="I191" s="389">
        <f>IF(H191,Wh_hp,'2023'!Maxi_hp)</f>
        <v>57.645147266339038</v>
      </c>
      <c r="J191" s="85">
        <f>IF(H191,An,'2023'!An_max)</f>
        <v>2019</v>
      </c>
      <c r="K191" s="196">
        <f t="shared" si="52"/>
        <v>45468</v>
      </c>
      <c r="L191" s="147">
        <f>IF(t&lt;Tvie,1-EXP((T0-t)*PertePVj)+'2023'!Pspv,1-EXP((T0-t)*PertePVj)+Pspv)</f>
        <v>4.6219274476675933E-2</v>
      </c>
      <c r="M191" s="847"/>
      <c r="N191" s="847"/>
      <c r="O191" s="48">
        <f>IF(t&lt;Tnet,'2023'!Resal+('2023'!Salim-'2023'!Resal)*(1-EXP(('2023'!Tnet-t)/('2023'!Tau_j))),Resal+(Salim-Resal)*(1-EXP((Tnet-t)/(Tau_j))))*Salcycl</f>
        <v>1.1414360872013696E-2</v>
      </c>
      <c r="P191" s="168">
        <f>(INDEX(Models!$BJ191:$BT191,,T191)*(1-R191)+INDEX(Models!$BJ191:$BT191,,T191+1)*R191-ERP_i)*Q191*Ramure*Pc/MaxiM</f>
        <v>9.6746298111755503E-4</v>
      </c>
      <c r="Q191" s="304">
        <f t="shared" si="53"/>
        <v>0.5</v>
      </c>
      <c r="R191" s="176">
        <f t="shared" si="54"/>
        <v>0.53231023392820109</v>
      </c>
      <c r="S191" s="814">
        <f t="shared" si="55"/>
        <v>1</v>
      </c>
      <c r="T191" s="175">
        <f t="shared" si="56"/>
        <v>7</v>
      </c>
      <c r="U191" s="250">
        <f t="shared" si="57"/>
        <v>1.5323102339282011</v>
      </c>
      <c r="V191" s="382">
        <f t="shared" si="58"/>
        <v>55.57612274358268</v>
      </c>
      <c r="W191" s="401">
        <f t="shared" si="59"/>
        <v>11.198496337400226</v>
      </c>
      <c r="X191" s="157">
        <f t="shared" si="60"/>
        <v>45468</v>
      </c>
      <c r="Y191" s="384">
        <f t="shared" si="61"/>
        <v>10.451011432775344</v>
      </c>
      <c r="Z191" s="384">
        <f t="shared" si="62"/>
        <v>10.957457152471857</v>
      </c>
      <c r="AA191" s="385">
        <f t="shared" si="63"/>
        <v>11.876729718279639</v>
      </c>
      <c r="AB191" s="196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7.7401152304823154E-2</v>
      </c>
      <c r="AD191" s="230">
        <f>(INDEX(Models!$BJ191:$BT191,,AH191)*(1-AF191)+INDEX(Models!$BJ191:$BT191,,AH191+1)*AF191-ERP_i)*AE191*Ramure*Pc/MaxiM</f>
        <v>9.6746298111755503E-4</v>
      </c>
      <c r="AE191" s="304">
        <f t="shared" si="65"/>
        <v>0.5</v>
      </c>
      <c r="AF191" s="176">
        <f t="shared" si="66"/>
        <v>0.53231023392820109</v>
      </c>
      <c r="AG191" s="814">
        <f t="shared" si="74"/>
        <v>1</v>
      </c>
      <c r="AH191" s="175">
        <f t="shared" si="67"/>
        <v>7</v>
      </c>
      <c r="AI191" s="224">
        <f t="shared" si="68"/>
        <v>1.5323102339282011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10">
        <f>'2023'!Wh/'2023'!Env_an*'2024'!Env_an</f>
        <v>16.703445584931568</v>
      </c>
      <c r="C192" s="843"/>
      <c r="D192" s="392">
        <f t="shared" si="50"/>
        <v>17.513261207699184</v>
      </c>
      <c r="E192" s="384">
        <f t="shared" si="75"/>
        <v>17.717296621095112</v>
      </c>
      <c r="F192" s="384">
        <f t="shared" si="51"/>
        <v>17.717319292848277</v>
      </c>
      <c r="G192" s="110">
        <f t="shared" si="76"/>
        <v>0.30063343380875163</v>
      </c>
      <c r="H192" s="413" t="b">
        <f>Wh_hp&gt;='2023'!Maxi_hp</f>
        <v>0</v>
      </c>
      <c r="I192" s="389">
        <f>IF(H192,Wh_hp,'2023'!Maxi_hp)</f>
        <v>57.559954834573851</v>
      </c>
      <c r="J192" s="85">
        <f>IF(H192,An,'2023'!An_max)</f>
        <v>2019</v>
      </c>
      <c r="K192" s="196">
        <f t="shared" si="52"/>
        <v>45469</v>
      </c>
      <c r="L192" s="147">
        <f>IF(t&lt;Tvie,1-EXP((T0-t)*PertePVj)+'2023'!Pspv,1-EXP((T0-t)*PertePVj)+Pspv)</f>
        <v>4.6240138439298951E-2</v>
      </c>
      <c r="M192" s="847"/>
      <c r="N192" s="847"/>
      <c r="O192" s="48">
        <f>IF(t&lt;Tnet,'2023'!Resal+('2023'!Salim-'2023'!Resal)*(1-EXP(('2023'!Tnet-t)/('2023'!Tau_j))),Resal+(Salim-Resal)*(1-EXP((Tnet-t)/(Tau_j))))*Salcycl</f>
        <v>1.1516170765747281E-2</v>
      </c>
      <c r="P192" s="168">
        <f>(INDEX(Models!$BJ192:$BT192,,T192)*(1-R192)+INDEX(Models!$BJ192:$BT192,,T192+1)*R192-ERP_i)*Q192*Ramure*Pc/MaxiM</f>
        <v>9.6880717605978613E-4</v>
      </c>
      <c r="Q192" s="304">
        <f t="shared" si="53"/>
        <v>0.5</v>
      </c>
      <c r="R192" s="176">
        <f t="shared" si="54"/>
        <v>0.53506829317883153</v>
      </c>
      <c r="S192" s="814">
        <f t="shared" si="55"/>
        <v>1</v>
      </c>
      <c r="T192" s="175">
        <f t="shared" si="56"/>
        <v>7</v>
      </c>
      <c r="U192" s="250">
        <f t="shared" si="57"/>
        <v>1.5350682931788315</v>
      </c>
      <c r="V192" s="382">
        <f t="shared" si="58"/>
        <v>55.507081528667364</v>
      </c>
      <c r="W192" s="401">
        <f t="shared" si="59"/>
        <v>16.703445584931568</v>
      </c>
      <c r="X192" s="157">
        <f t="shared" si="60"/>
        <v>45469</v>
      </c>
      <c r="Y192" s="384">
        <f t="shared" si="61"/>
        <v>15.58921457202354</v>
      </c>
      <c r="Z192" s="384">
        <f t="shared" si="62"/>
        <v>16.345010101928452</v>
      </c>
      <c r="AA192" s="385">
        <f t="shared" si="63"/>
        <v>17.717296621095112</v>
      </c>
      <c r="AB192" s="196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7.7454622367881407E-2</v>
      </c>
      <c r="AD192" s="230">
        <f>(INDEX(Models!$BJ192:$BT192,,AH192)*(1-AF192)+INDEX(Models!$BJ192:$BT192,,AH192+1)*AF192-ERP_i)*AE192*Ramure*Pc/MaxiM</f>
        <v>9.6880717605978613E-4</v>
      </c>
      <c r="AE192" s="304">
        <f t="shared" si="65"/>
        <v>0.5</v>
      </c>
      <c r="AF192" s="176">
        <f t="shared" si="66"/>
        <v>0.53506829317883153</v>
      </c>
      <c r="AG192" s="814">
        <f t="shared" si="74"/>
        <v>1</v>
      </c>
      <c r="AH192" s="175">
        <f t="shared" si="67"/>
        <v>7</v>
      </c>
      <c r="AI192" s="224">
        <f t="shared" si="68"/>
        <v>1.5350682931788315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10">
        <f>'2023'!Wh/'2023'!Env_an*'2024'!Env_an</f>
        <v>55.257278560801666</v>
      </c>
      <c r="C193" s="843"/>
      <c r="D193" s="392">
        <f t="shared" si="50"/>
        <v>57.937526591118868</v>
      </c>
      <c r="E193" s="384">
        <f t="shared" si="75"/>
        <v>58.61854218423877</v>
      </c>
      <c r="F193" s="384">
        <f t="shared" si="51"/>
        <v>58.67515453204205</v>
      </c>
      <c r="G193" s="110">
        <f t="shared" si="76"/>
        <v>0.99675559111855327</v>
      </c>
      <c r="H193" s="413" t="b">
        <f>Wh_hp&gt;='2023'!Maxi_hp</f>
        <v>0</v>
      </c>
      <c r="I193" s="389">
        <f>IF(H193,Wh_hp,'2023'!Maxi_hp)</f>
        <v>58.675240377645331</v>
      </c>
      <c r="J193" s="85">
        <f>IF(H193,An,'2023'!An_max)</f>
        <v>2022</v>
      </c>
      <c r="K193" s="196">
        <f t="shared" si="52"/>
        <v>45470</v>
      </c>
      <c r="L193" s="147">
        <f>IF(t&lt;Tvie,1-EXP((T0-t)*PertePVj)+'2023'!Pspv,1-EXP((T0-t)*PertePVj)+Pspv)</f>
        <v>4.6261001944947512E-2</v>
      </c>
      <c r="M193" s="847"/>
      <c r="N193" s="847"/>
      <c r="O193" s="48">
        <f>IF(t&lt;Tnet,'2023'!Resal+('2023'!Salim-'2023'!Resal)*(1-EXP(('2023'!Tnet-t)/('2023'!Tau_j))),Resal+(Salim-Resal)*(1-EXP((Tnet-t)/(Tau_j))))*Salcycl</f>
        <v>1.161775042066826E-2</v>
      </c>
      <c r="P193" s="168">
        <f>(INDEX(Models!$BJ193:$BT193,,T193)*(1-R193)+INDEX(Models!$BJ193:$BT193,,T193+1)*R193-ERP_i)*Q193*Ramure*Pc/MaxiM</f>
        <v>9.6933012845343497E-4</v>
      </c>
      <c r="Q193" s="304">
        <f t="shared" si="53"/>
        <v>0.5</v>
      </c>
      <c r="R193" s="176">
        <f t="shared" si="54"/>
        <v>0.53778856089732918</v>
      </c>
      <c r="S193" s="814">
        <f t="shared" si="55"/>
        <v>1</v>
      </c>
      <c r="T193" s="175">
        <f t="shared" si="56"/>
        <v>7</v>
      </c>
      <c r="U193" s="250">
        <f t="shared" si="57"/>
        <v>1.5377885608973292</v>
      </c>
      <c r="V193" s="382">
        <f t="shared" si="58"/>
        <v>55.436890347871795</v>
      </c>
      <c r="W193" s="401">
        <f t="shared" si="59"/>
        <v>55.257278560801666</v>
      </c>
      <c r="X193" s="157">
        <f t="shared" si="60"/>
        <v>45470</v>
      </c>
      <c r="Y193" s="384">
        <f t="shared" si="61"/>
        <v>51.573632525188202</v>
      </c>
      <c r="Z193" s="384">
        <f t="shared" si="62"/>
        <v>54.075205722280039</v>
      </c>
      <c r="AA193" s="385">
        <f t="shared" si="63"/>
        <v>58.61854218423877</v>
      </c>
      <c r="AB193" s="196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7.75068142718216E-2</v>
      </c>
      <c r="AD193" s="230">
        <f>(INDEX(Models!$BJ193:$BT193,,AH193)*(1-AF193)+INDEX(Models!$BJ193:$BT193,,AH193+1)*AF193-ERP_i)*AE193*Ramure*Pc/MaxiM</f>
        <v>9.6933012845343497E-4</v>
      </c>
      <c r="AE193" s="304">
        <f t="shared" si="65"/>
        <v>0.5</v>
      </c>
      <c r="AF193" s="176">
        <f t="shared" si="66"/>
        <v>0.53778856089732918</v>
      </c>
      <c r="AG193" s="814">
        <f t="shared" si="74"/>
        <v>1</v>
      </c>
      <c r="AH193" s="175">
        <f t="shared" si="67"/>
        <v>7</v>
      </c>
      <c r="AI193" s="224">
        <f t="shared" si="68"/>
        <v>1.5377885608973292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10">
        <f>'2023'!Wh/'2023'!Env_an*'2024'!Env_an</f>
        <v>53.028462203226418</v>
      </c>
      <c r="C194" s="843"/>
      <c r="D194" s="392">
        <f t="shared" si="50"/>
        <v>55.601818039113134</v>
      </c>
      <c r="E194" s="384">
        <f t="shared" si="75"/>
        <v>56.261147910232047</v>
      </c>
      <c r="F194" s="384">
        <f t="shared" si="51"/>
        <v>56.312425200480433</v>
      </c>
      <c r="G194" s="110">
        <f t="shared" si="76"/>
        <v>0.95773026304217623</v>
      </c>
      <c r="H194" s="413" t="b">
        <f>Wh_hp&gt;='2023'!Maxi_hp</f>
        <v>0</v>
      </c>
      <c r="I194" s="389">
        <f>IF(H194,Wh_hp,'2023'!Maxi_hp)</f>
        <v>56.313497394774842</v>
      </c>
      <c r="J194" s="85">
        <f>IF(H194,An,'2023'!An_max)</f>
        <v>2022</v>
      </c>
      <c r="K194" s="196">
        <f t="shared" si="52"/>
        <v>45471</v>
      </c>
      <c r="L194" s="147">
        <f>IF(t&lt;Tvie,1-EXP((T0-t)*PertePVj)+'2023'!Pspv,1-EXP((T0-t)*PertePVj)+Pspv)</f>
        <v>4.6281864993631829E-2</v>
      </c>
      <c r="M194" s="847"/>
      <c r="N194" s="847"/>
      <c r="O194" s="48">
        <f>IF(t&lt;Tnet,'2023'!Resal+('2023'!Salim-'2023'!Resal)*(1-EXP(('2023'!Tnet-t)/('2023'!Tau_j))),Resal+(Salim-Resal)*(1-EXP((Tnet-t)/(Tau_j))))*Salcycl</f>
        <v>1.1719097380858849E-2</v>
      </c>
      <c r="P194" s="168">
        <f>(INDEX(Models!$BJ194:$BT194,,T194)*(1-R194)+INDEX(Models!$BJ194:$BT194,,T194+1)*R194-ERP_i)*Q194*Ramure*Pc/MaxiM</f>
        <v>9.6902294729532827E-4</v>
      </c>
      <c r="Q194" s="304">
        <f t="shared" si="53"/>
        <v>0.5</v>
      </c>
      <c r="R194" s="176">
        <f t="shared" si="54"/>
        <v>0.54046955969639265</v>
      </c>
      <c r="S194" s="814">
        <f t="shared" si="55"/>
        <v>1</v>
      </c>
      <c r="T194" s="175">
        <f t="shared" si="56"/>
        <v>7</v>
      </c>
      <c r="U194" s="250">
        <f t="shared" si="57"/>
        <v>1.5404695596963927</v>
      </c>
      <c r="V194" s="382">
        <f t="shared" si="58"/>
        <v>55.365652093074416</v>
      </c>
      <c r="W194" s="401">
        <f t="shared" si="59"/>
        <v>53.028462203226418</v>
      </c>
      <c r="X194" s="157">
        <f t="shared" si="60"/>
        <v>45471</v>
      </c>
      <c r="Y194" s="384">
        <f t="shared" si="61"/>
        <v>49.49573980327277</v>
      </c>
      <c r="Z194" s="384">
        <f t="shared" si="62"/>
        <v>51.89766031128503</v>
      </c>
      <c r="AA194" s="385">
        <f t="shared" si="63"/>
        <v>56.261147910232047</v>
      </c>
      <c r="AB194" s="196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7.7557742083563891E-2</v>
      </c>
      <c r="AD194" s="230">
        <f>(INDEX(Models!$BJ194:$BT194,,AH194)*(1-AF194)+INDEX(Models!$BJ194:$BT194,,AH194+1)*AF194-ERP_i)*AE194*Ramure*Pc/MaxiM</f>
        <v>9.6902294729532827E-4</v>
      </c>
      <c r="AE194" s="304">
        <f t="shared" si="65"/>
        <v>0.5</v>
      </c>
      <c r="AF194" s="176">
        <f t="shared" si="66"/>
        <v>0.54046955969639265</v>
      </c>
      <c r="AG194" s="814">
        <f t="shared" si="74"/>
        <v>1</v>
      </c>
      <c r="AH194" s="175">
        <f t="shared" si="67"/>
        <v>7</v>
      </c>
      <c r="AI194" s="224">
        <f t="shared" si="68"/>
        <v>1.5404695596963927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10">
        <f>'2023'!Wh/'2023'!Env_an*'2024'!Env_an</f>
        <v>12.805672442882251</v>
      </c>
      <c r="C195" s="843"/>
      <c r="D195" s="392">
        <f t="shared" si="50"/>
        <v>13.427397574976748</v>
      </c>
      <c r="E195" s="384">
        <f t="shared" si="75"/>
        <v>13.588010711663143</v>
      </c>
      <c r="F195" s="384">
        <f t="shared" si="51"/>
        <v>13.588010711663143</v>
      </c>
      <c r="G195" s="110">
        <f t="shared" si="76"/>
        <v>0.23137050778757473</v>
      </c>
      <c r="H195" s="413" t="b">
        <f>Wh_hp&gt;='2023'!Maxi_hp</f>
        <v>0</v>
      </c>
      <c r="I195" s="389">
        <f>IF(H195,Wh_hp,'2023'!Maxi_hp)</f>
        <v>52.079984666293029</v>
      </c>
      <c r="J195" s="85">
        <f>IF(H195,An,'2023'!An_max)</f>
        <v>2019</v>
      </c>
      <c r="K195" s="196">
        <f t="shared" si="52"/>
        <v>45472</v>
      </c>
      <c r="L195" s="147">
        <f>IF(t&lt;Tvie,1-EXP((T0-t)*PertePVj)+'2023'!Pspv,1-EXP((T0-t)*PertePVj)+Pspv)</f>
        <v>4.6302727585361782E-2</v>
      </c>
      <c r="M195" s="847"/>
      <c r="N195" s="847"/>
      <c r="O195" s="48">
        <f>IF(t&lt;Tnet,'2023'!Resal+('2023'!Salim-'2023'!Resal)*(1-EXP(('2023'!Tnet-t)/('2023'!Tau_j))),Resal+(Salim-Resal)*(1-EXP((Tnet-t)/(Tau_j))))*Salcycl</f>
        <v>1.1820209749211802E-2</v>
      </c>
      <c r="P195" s="168">
        <f>(INDEX(Models!$BJ195:$BT195,,T195)*(1-R195)+INDEX(Models!$BJ195:$BT195,,T195+1)*R195-ERP_i)*Q195*Ramure*Pc/MaxiM</f>
        <v>9.6787761319556227E-4</v>
      </c>
      <c r="Q195" s="304">
        <f t="shared" si="53"/>
        <v>0.5</v>
      </c>
      <c r="R195" s="176">
        <f t="shared" si="54"/>
        <v>0.54310991984372592</v>
      </c>
      <c r="S195" s="814">
        <f t="shared" si="55"/>
        <v>1</v>
      </c>
      <c r="T195" s="175">
        <f t="shared" si="56"/>
        <v>7</v>
      </c>
      <c r="U195" s="250">
        <f t="shared" si="57"/>
        <v>1.5431099198437259</v>
      </c>
      <c r="V195" s="382">
        <f t="shared" si="58"/>
        <v>55.293469515780295</v>
      </c>
      <c r="W195" s="401">
        <f t="shared" si="59"/>
        <v>12.805672442882251</v>
      </c>
      <c r="X195" s="157">
        <f t="shared" si="60"/>
        <v>45472</v>
      </c>
      <c r="Y195" s="384">
        <f t="shared" si="61"/>
        <v>11.953145896655174</v>
      </c>
      <c r="Z195" s="384">
        <f t="shared" si="62"/>
        <v>12.533480216831652</v>
      </c>
      <c r="AA195" s="385">
        <f t="shared" si="63"/>
        <v>13.588010711663143</v>
      </c>
      <c r="AB195" s="196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7.7607422985495972E-2</v>
      </c>
      <c r="AD195" s="230">
        <f>(INDEX(Models!$BJ195:$BT195,,AH195)*(1-AF195)+INDEX(Models!$BJ195:$BT195,,AH195+1)*AF195-ERP_i)*AE195*Ramure*Pc/MaxiM</f>
        <v>9.6787761319556227E-4</v>
      </c>
      <c r="AE195" s="304">
        <f t="shared" si="65"/>
        <v>0.5</v>
      </c>
      <c r="AF195" s="176">
        <f t="shared" si="66"/>
        <v>0.54310991984372592</v>
      </c>
      <c r="AG195" s="814">
        <f t="shared" si="74"/>
        <v>1</v>
      </c>
      <c r="AH195" s="175">
        <f t="shared" si="67"/>
        <v>7</v>
      </c>
      <c r="AI195" s="224">
        <f t="shared" si="68"/>
        <v>1.5431099198437259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10">
        <f>'2023'!Wh/'2023'!Env_an*'2024'!Env_an</f>
        <v>50.241729571478501</v>
      </c>
      <c r="C196" s="843"/>
      <c r="D196" s="392">
        <f t="shared" si="50"/>
        <v>52.682156158958854</v>
      </c>
      <c r="E196" s="384">
        <f t="shared" si="75"/>
        <v>53.317761792259766</v>
      </c>
      <c r="F196" s="384">
        <f t="shared" si="51"/>
        <v>53.362665392663551</v>
      </c>
      <c r="G196" s="110">
        <f t="shared" si="76"/>
        <v>0.90972598397314253</v>
      </c>
      <c r="H196" s="413" t="b">
        <f>Wh_hp&gt;='2023'!Maxi_hp</f>
        <v>0</v>
      </c>
      <c r="I196" s="389">
        <f>IF(H196,Wh_hp,'2023'!Maxi_hp)</f>
        <v>57.002748716265671</v>
      </c>
      <c r="J196" s="85">
        <f>IF(H196,An,'2023'!An_max)</f>
        <v>2020</v>
      </c>
      <c r="K196" s="196">
        <f t="shared" si="52"/>
        <v>45473</v>
      </c>
      <c r="L196" s="147">
        <f>IF(t&lt;Tvie,1-EXP((T0-t)*PertePVj)+'2023'!Pspv,1-EXP((T0-t)*PertePVj)+Pspv)</f>
        <v>4.6323589720147475E-2</v>
      </c>
      <c r="M196" s="847"/>
      <c r="N196" s="847"/>
      <c r="O196" s="48">
        <f>IF(t&lt;Tnet,'2023'!Resal+('2023'!Salim-'2023'!Resal)*(1-EXP(('2023'!Tnet-t)/('2023'!Tau_j))),Resal+(Salim-Resal)*(1-EXP((Tnet-t)/(Tau_j))))*Salcycl</f>
        <v>1.1921086180950316E-2</v>
      </c>
      <c r="P196" s="168">
        <f>(INDEX(Models!$BJ196:$BT196,,T196)*(1-R196)+INDEX(Models!$BJ196:$BT196,,T196+1)*R196-ERP_i)*Q196*Ramure*Pc/MaxiM</f>
        <v>9.6588696194699146E-4</v>
      </c>
      <c r="Q196" s="304">
        <f t="shared" si="53"/>
        <v>0.5</v>
      </c>
      <c r="R196" s="176">
        <f t="shared" si="54"/>
        <v>0.54570838035629166</v>
      </c>
      <c r="S196" s="814">
        <f t="shared" si="55"/>
        <v>1</v>
      </c>
      <c r="T196" s="175">
        <f t="shared" si="56"/>
        <v>7</v>
      </c>
      <c r="U196" s="250">
        <f t="shared" si="57"/>
        <v>1.5457083803562917</v>
      </c>
      <c r="V196" s="382">
        <f t="shared" si="58"/>
        <v>55.220445229803197</v>
      </c>
      <c r="W196" s="401">
        <f t="shared" si="59"/>
        <v>50.241729571478501</v>
      </c>
      <c r="X196" s="157">
        <f t="shared" si="60"/>
        <v>45473</v>
      </c>
      <c r="Y196" s="384">
        <f t="shared" si="61"/>
        <v>46.899254043177713</v>
      </c>
      <c r="Z196" s="384">
        <f t="shared" si="62"/>
        <v>49.177324234553851</v>
      </c>
      <c r="AA196" s="385">
        <f t="shared" si="63"/>
        <v>53.317761792259766</v>
      </c>
      <c r="AB196" s="196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7.7655877113487287E-2</v>
      </c>
      <c r="AD196" s="230">
        <f>(INDEX(Models!$BJ196:$BT196,,AH196)*(1-AF196)+INDEX(Models!$BJ196:$BT196,,AH196+1)*AF196-ERP_i)*AE196*Ramure*Pc/MaxiM</f>
        <v>9.6588696194699146E-4</v>
      </c>
      <c r="AE196" s="304">
        <f t="shared" si="65"/>
        <v>0.5</v>
      </c>
      <c r="AF196" s="176">
        <f t="shared" si="66"/>
        <v>0.54570838035629166</v>
      </c>
      <c r="AG196" s="814">
        <f t="shared" si="74"/>
        <v>1</v>
      </c>
      <c r="AH196" s="175">
        <f t="shared" si="67"/>
        <v>7</v>
      </c>
      <c r="AI196" s="224">
        <f t="shared" si="68"/>
        <v>1.5457083803562917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10">
        <f>'2023'!Wh/'2023'!Env_an*'2024'!Env_an</f>
        <v>48.155902720969529</v>
      </c>
      <c r="C197" s="843"/>
      <c r="D197" s="392">
        <f t="shared" si="50"/>
        <v>50.496117588329504</v>
      </c>
      <c r="E197" s="384">
        <f t="shared" si="75"/>
        <v>51.110554665770415</v>
      </c>
      <c r="F197" s="384">
        <f t="shared" si="51"/>
        <v>51.150894379330325</v>
      </c>
      <c r="G197" s="110">
        <f t="shared" si="76"/>
        <v>0.87308059251841186</v>
      </c>
      <c r="H197" s="413" t="b">
        <f>Wh_hp&gt;='2023'!Maxi_hp</f>
        <v>0</v>
      </c>
      <c r="I197" s="389">
        <f>IF(H197,Wh_hp,'2023'!Maxi_hp)</f>
        <v>53.87379302070552</v>
      </c>
      <c r="J197" s="85">
        <f>IF(H197,An,'2023'!An_max)</f>
        <v>2021</v>
      </c>
      <c r="K197" s="196">
        <f t="shared" si="52"/>
        <v>45474</v>
      </c>
      <c r="L197" s="147">
        <f>IF(t&lt;Tvie,1-EXP((T0-t)*PertePVj)+'2023'!Pspv,1-EXP((T0-t)*PertePVj)+Pspv)</f>
        <v>4.63444513979989E-2</v>
      </c>
      <c r="M197" s="847"/>
      <c r="N197" s="847"/>
      <c r="O197" s="48">
        <f>IF(t&lt;Tnet,'2023'!Resal+('2023'!Salim-'2023'!Resal)*(1-EXP(('2023'!Tnet-t)/('2023'!Tau_j))),Resal+(Salim-Resal)*(1-EXP((Tnet-t)/(Tau_j))))*Salcycl</f>
        <v>1.2021725873626848E-2</v>
      </c>
      <c r="P197" s="168">
        <f>(INDEX(Models!$BJ197:$BT197,,T197)*(1-R197)+INDEX(Models!$BJ197:$BT197,,T197+1)*R197-ERP_i)*Q197*Ramure*Pc/MaxiM</f>
        <v>9.6304466275140826E-4</v>
      </c>
      <c r="Q197" s="304">
        <f t="shared" si="53"/>
        <v>0.5</v>
      </c>
      <c r="R197" s="176">
        <f t="shared" si="54"/>
        <v>0.54826378954088817</v>
      </c>
      <c r="S197" s="814">
        <f t="shared" si="55"/>
        <v>1</v>
      </c>
      <c r="T197" s="175">
        <f t="shared" si="56"/>
        <v>7</v>
      </c>
      <c r="U197" s="250">
        <f t="shared" si="57"/>
        <v>1.5482637895408882</v>
      </c>
      <c r="V197" s="382">
        <f t="shared" si="58"/>
        <v>55.146681714036596</v>
      </c>
      <c r="W197" s="401">
        <f t="shared" si="59"/>
        <v>48.155902720969529</v>
      </c>
      <c r="X197" s="157">
        <f t="shared" si="60"/>
        <v>45474</v>
      </c>
      <c r="Y197" s="384">
        <f t="shared" si="61"/>
        <v>44.954468778172789</v>
      </c>
      <c r="Z197" s="384">
        <f t="shared" si="62"/>
        <v>47.139104726096548</v>
      </c>
      <c r="AA197" s="385">
        <f t="shared" si="63"/>
        <v>51.110554665770415</v>
      </c>
      <c r="AB197" s="196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7.7703127380333664E-2</v>
      </c>
      <c r="AD197" s="230">
        <f>(INDEX(Models!$BJ197:$BT197,,AH197)*(1-AF197)+INDEX(Models!$BJ197:$BT197,,AH197+1)*AF197-ERP_i)*AE197*Ramure*Pc/MaxiM</f>
        <v>9.6304466275140826E-4</v>
      </c>
      <c r="AE197" s="304">
        <f t="shared" si="65"/>
        <v>0.5</v>
      </c>
      <c r="AF197" s="176">
        <f t="shared" si="66"/>
        <v>0.54826378954088817</v>
      </c>
      <c r="AG197" s="814">
        <f t="shared" si="74"/>
        <v>1</v>
      </c>
      <c r="AH197" s="175">
        <f t="shared" si="67"/>
        <v>7</v>
      </c>
      <c r="AI197" s="224">
        <f t="shared" si="68"/>
        <v>1.5482637895408882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10">
        <f>'2023'!Wh/'2023'!Env_an*'2024'!Env_an</f>
        <v>43.72744751056927</v>
      </c>
      <c r="C198" s="843"/>
      <c r="D198" s="392">
        <f t="shared" si="50"/>
        <v>45.853457397461163</v>
      </c>
      <c r="E198" s="384">
        <f t="shared" si="75"/>
        <v>46.416119565801694</v>
      </c>
      <c r="F198" s="384">
        <f t="shared" si="51"/>
        <v>46.447556464744821</v>
      </c>
      <c r="G198" s="110">
        <f t="shared" si="76"/>
        <v>0.79377654676208709</v>
      </c>
      <c r="H198" s="413" t="b">
        <f>Wh_hp&gt;='2023'!Maxi_hp</f>
        <v>0</v>
      </c>
      <c r="I198" s="389">
        <f>IF(H198,Wh_hp,'2023'!Maxi_hp)</f>
        <v>50.483737643611768</v>
      </c>
      <c r="J198" s="85">
        <f>IF(H198,An,'2023'!An_max)</f>
        <v>2019</v>
      </c>
      <c r="K198" s="196">
        <f t="shared" si="52"/>
        <v>45475</v>
      </c>
      <c r="L198" s="147">
        <f>IF(t&lt;Tvie,1-EXP((T0-t)*PertePVj)+'2023'!Pspv,1-EXP((T0-t)*PertePVj)+Pspv)</f>
        <v>4.6365312618926048E-2</v>
      </c>
      <c r="M198" s="847"/>
      <c r="N198" s="847"/>
      <c r="O198" s="48">
        <f>IF(t&lt;Tnet,'2023'!Resal+('2023'!Salim-'2023'!Resal)*(1-EXP(('2023'!Tnet-t)/('2023'!Tau_j))),Resal+(Salim-Resal)*(1-EXP((Tnet-t)/(Tau_j))))*Salcycl</f>
        <v>1.2122128553699445E-2</v>
      </c>
      <c r="P198" s="168">
        <f>(INDEX(Models!$BJ198:$BT198,,T198)*(1-R198)+INDEX(Models!$BJ198:$BT198,,T198+1)*R198-ERP_i)*Q198*Ramure*Pc/MaxiM</f>
        <v>9.5906318326217618E-4</v>
      </c>
      <c r="Q198" s="304">
        <f t="shared" si="53"/>
        <v>0.5</v>
      </c>
      <c r="R198" s="176">
        <f t="shared" si="54"/>
        <v>0.55077510500126592</v>
      </c>
      <c r="S198" s="814">
        <f t="shared" si="55"/>
        <v>1</v>
      </c>
      <c r="T198" s="175">
        <f t="shared" si="56"/>
        <v>7</v>
      </c>
      <c r="U198" s="250">
        <f t="shared" si="57"/>
        <v>1.5507751050012659</v>
      </c>
      <c r="V198" s="382">
        <f t="shared" si="58"/>
        <v>55.072296863037188</v>
      </c>
      <c r="W198" s="401">
        <f t="shared" si="59"/>
        <v>43.72744751056927</v>
      </c>
      <c r="X198" s="157">
        <f t="shared" si="60"/>
        <v>45475</v>
      </c>
      <c r="Y198" s="384">
        <f t="shared" si="61"/>
        <v>40.822529429432763</v>
      </c>
      <c r="Z198" s="384">
        <f t="shared" si="62"/>
        <v>42.807303435597468</v>
      </c>
      <c r="AA198" s="385">
        <f t="shared" si="63"/>
        <v>46.416119565801694</v>
      </c>
      <c r="AB198" s="196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7.7749199285998036E-2</v>
      </c>
      <c r="AD198" s="230">
        <f>(INDEX(Models!$BJ198:$BT198,,AH198)*(1-AF198)+INDEX(Models!$BJ198:$BT198,,AH198+1)*AF198-ERP_i)*AE198*Ramure*Pc/MaxiM</f>
        <v>9.5906318326217618E-4</v>
      </c>
      <c r="AE198" s="304">
        <f t="shared" si="65"/>
        <v>0.5</v>
      </c>
      <c r="AF198" s="176">
        <f t="shared" si="66"/>
        <v>0.55077510500126592</v>
      </c>
      <c r="AG198" s="814">
        <f t="shared" si="74"/>
        <v>1</v>
      </c>
      <c r="AH198" s="175">
        <f t="shared" si="67"/>
        <v>7</v>
      </c>
      <c r="AI198" s="224">
        <f t="shared" si="68"/>
        <v>1.5507751050012659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10">
        <f>'2023'!Wh/'2023'!Env_an*'2024'!Env_an</f>
        <v>44.799909410011075</v>
      </c>
      <c r="C199" s="843"/>
      <c r="D199" s="392">
        <f t="shared" si="50"/>
        <v>46.979089605840201</v>
      </c>
      <c r="E199" s="384">
        <f t="shared" si="75"/>
        <v>47.560386656174543</v>
      </c>
      <c r="F199" s="384">
        <f t="shared" si="51"/>
        <v>47.593774372719466</v>
      </c>
      <c r="G199" s="110">
        <f t="shared" si="76"/>
        <v>0.81437665709083928</v>
      </c>
      <c r="H199" s="413" t="b">
        <f>Wh_hp&gt;='2023'!Maxi_hp</f>
        <v>0</v>
      </c>
      <c r="I199" s="389">
        <f>IF(H199,Wh_hp,'2023'!Maxi_hp)</f>
        <v>48.796596745729502</v>
      </c>
      <c r="J199" s="85">
        <f>IF(H199,An,'2023'!An_max)</f>
        <v>2020</v>
      </c>
      <c r="K199" s="196">
        <f t="shared" si="52"/>
        <v>45476</v>
      </c>
      <c r="L199" s="147">
        <f>IF(t&lt;Tvie,1-EXP((T0-t)*PertePVj)+'2023'!Pspv,1-EXP((T0-t)*PertePVj)+Pspv)</f>
        <v>4.6386173382938913E-2</v>
      </c>
      <c r="M199" s="847"/>
      <c r="N199" s="847"/>
      <c r="O199" s="48">
        <f>IF(t&lt;Tnet,'2023'!Resal+('2023'!Salim-'2023'!Resal)*(1-EXP(('2023'!Tnet-t)/('2023'!Tau_j))),Resal+(Salim-Resal)*(1-EXP((Tnet-t)/(Tau_j))))*Salcycl</f>
        <v>1.222229445981334E-2</v>
      </c>
      <c r="P199" s="168">
        <f>(INDEX(Models!$BJ199:$BT199,,T199)*(1-R199)+INDEX(Models!$BJ199:$BT199,,T199+1)*R199-ERP_i)*Q199*Ramure*Pc/MaxiM</f>
        <v>9.5428791374636661E-4</v>
      </c>
      <c r="Q199" s="304">
        <f t="shared" si="53"/>
        <v>0.5</v>
      </c>
      <c r="R199" s="176">
        <f t="shared" si="54"/>
        <v>0.55324139313564014</v>
      </c>
      <c r="S199" s="814">
        <f t="shared" si="55"/>
        <v>1</v>
      </c>
      <c r="T199" s="175">
        <f t="shared" si="56"/>
        <v>7</v>
      </c>
      <c r="U199" s="250">
        <f t="shared" si="57"/>
        <v>1.5532413931356401</v>
      </c>
      <c r="V199" s="382">
        <f t="shared" si="58"/>
        <v>54.997373559752724</v>
      </c>
      <c r="W199" s="401">
        <f t="shared" si="59"/>
        <v>44.799909410011075</v>
      </c>
      <c r="X199" s="157">
        <f t="shared" si="60"/>
        <v>45476</v>
      </c>
      <c r="Y199" s="384">
        <f t="shared" si="61"/>
        <v>41.825948912973288</v>
      </c>
      <c r="Z199" s="384">
        <f t="shared" si="62"/>
        <v>43.860468195339166</v>
      </c>
      <c r="AA199" s="385">
        <f t="shared" si="63"/>
        <v>47.560386656174543</v>
      </c>
      <c r="AB199" s="196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7.7794120716111345E-2</v>
      </c>
      <c r="AD199" s="230">
        <f>(INDEX(Models!$BJ199:$BT199,,AH199)*(1-AF199)+INDEX(Models!$BJ199:$BT199,,AH199+1)*AF199-ERP_i)*AE199*Ramure*Pc/MaxiM</f>
        <v>9.5428791374636661E-4</v>
      </c>
      <c r="AE199" s="304">
        <f t="shared" si="65"/>
        <v>0.5</v>
      </c>
      <c r="AF199" s="176">
        <f t="shared" si="66"/>
        <v>0.55324139313564014</v>
      </c>
      <c r="AG199" s="814">
        <f t="shared" si="74"/>
        <v>1</v>
      </c>
      <c r="AH199" s="175">
        <f t="shared" si="67"/>
        <v>7</v>
      </c>
      <c r="AI199" s="224">
        <f t="shared" si="68"/>
        <v>1.5532413931356401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10">
        <f>'2023'!Wh/'2023'!Env_an*'2024'!Env_an</f>
        <v>52.673983028452483</v>
      </c>
      <c r="C200" s="843"/>
      <c r="D200" s="392">
        <f t="shared" si="50"/>
        <v>55.237386274230886</v>
      </c>
      <c r="E200" s="384">
        <f t="shared" si="75"/>
        <v>55.926525466633557</v>
      </c>
      <c r="F200" s="384">
        <f t="shared" si="51"/>
        <v>55.976526006304624</v>
      </c>
      <c r="G200" s="110">
        <f t="shared" si="76"/>
        <v>0.95901542278195651</v>
      </c>
      <c r="H200" s="413" t="b">
        <f>Wh_hp&gt;='2023'!Maxi_hp</f>
        <v>0</v>
      </c>
      <c r="I200" s="389">
        <f>IF(H200,Wh_hp,'2023'!Maxi_hp)</f>
        <v>57.87508432107736</v>
      </c>
      <c r="J200" s="85">
        <f>IF(H200,An,'2023'!An_max)</f>
        <v>2021</v>
      </c>
      <c r="K200" s="196">
        <f t="shared" si="52"/>
        <v>45477</v>
      </c>
      <c r="L200" s="147">
        <f>IF(t&lt;Tvie,1-EXP((T0-t)*PertePVj)+'2023'!Pspv,1-EXP((T0-t)*PertePVj)+Pspv)</f>
        <v>4.6407033690047485E-2</v>
      </c>
      <c r="M200" s="847"/>
      <c r="N200" s="847"/>
      <c r="O200" s="48">
        <f>IF(t&lt;Tnet,'2023'!Resal+('2023'!Salim-'2023'!Resal)*(1-EXP(('2023'!Tnet-t)/('2023'!Tau_j))),Resal+(Salim-Resal)*(1-EXP((Tnet-t)/(Tau_j))))*Salcycl</f>
        <v>1.2322224322943474E-2</v>
      </c>
      <c r="P200" s="168">
        <f>(INDEX(Models!$BJ200:$BT200,,T200)*(1-R200)+INDEX(Models!$BJ200:$BT200,,T200+1)*R200-ERP_i)*Q200*Ramure*Pc/MaxiM</f>
        <v>9.4871577050347931E-4</v>
      </c>
      <c r="Q200" s="304">
        <f t="shared" si="53"/>
        <v>0.5</v>
      </c>
      <c r="R200" s="176">
        <f t="shared" si="54"/>
        <v>0.55566182815162457</v>
      </c>
      <c r="S200" s="814">
        <f t="shared" si="55"/>
        <v>1</v>
      </c>
      <c r="T200" s="175">
        <f t="shared" si="56"/>
        <v>7</v>
      </c>
      <c r="U200" s="250">
        <f t="shared" si="57"/>
        <v>1.5556618281516246</v>
      </c>
      <c r="V200" s="382">
        <f t="shared" si="58"/>
        <v>54.922013868159027</v>
      </c>
      <c r="W200" s="401">
        <f t="shared" si="59"/>
        <v>52.673983028452483</v>
      </c>
      <c r="X200" s="157">
        <f t="shared" si="60"/>
        <v>45477</v>
      </c>
      <c r="Y200" s="384">
        <f t="shared" si="61"/>
        <v>49.179956111662023</v>
      </c>
      <c r="Z200" s="384">
        <f t="shared" si="62"/>
        <v>51.573320954715122</v>
      </c>
      <c r="AA200" s="385">
        <f t="shared" si="63"/>
        <v>55.926525466633557</v>
      </c>
      <c r="AB200" s="196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7.783792173028177E-2</v>
      </c>
      <c r="AD200" s="230">
        <f>(INDEX(Models!$BJ200:$BT200,,AH200)*(1-AF200)+INDEX(Models!$BJ200:$BT200,,AH200+1)*AF200-ERP_i)*AE200*Ramure*Pc/MaxiM</f>
        <v>9.4871577050347931E-4</v>
      </c>
      <c r="AE200" s="304">
        <f t="shared" si="65"/>
        <v>0.5</v>
      </c>
      <c r="AF200" s="176">
        <f t="shared" si="66"/>
        <v>0.55566182815162457</v>
      </c>
      <c r="AG200" s="814">
        <f t="shared" si="74"/>
        <v>1</v>
      </c>
      <c r="AH200" s="175">
        <f t="shared" si="67"/>
        <v>7</v>
      </c>
      <c r="AI200" s="224">
        <f t="shared" si="68"/>
        <v>1.5556618281516246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10">
        <f>'2023'!Wh/'2023'!Env_an*'2024'!Env_an</f>
        <v>40.599742484971642</v>
      </c>
      <c r="C201" s="843"/>
      <c r="D201" s="392">
        <f t="shared" si="50"/>
        <v>42.576478705636141</v>
      </c>
      <c r="E201" s="384">
        <f t="shared" si="75"/>
        <v>43.112012649507761</v>
      </c>
      <c r="F201" s="384">
        <f t="shared" si="51"/>
        <v>43.137578620157974</v>
      </c>
      <c r="G201" s="110">
        <f t="shared" si="76"/>
        <v>0.73998651534084581</v>
      </c>
      <c r="H201" s="413" t="b">
        <f>Wh_hp&gt;='2023'!Maxi_hp</f>
        <v>0</v>
      </c>
      <c r="I201" s="389">
        <f>IF(H201,Wh_hp,'2023'!Maxi_hp)</f>
        <v>56.501784231476087</v>
      </c>
      <c r="J201" s="85">
        <f>IF(H201,An,'2023'!An_max)</f>
        <v>2020</v>
      </c>
      <c r="K201" s="196">
        <f t="shared" si="52"/>
        <v>45478</v>
      </c>
      <c r="L201" s="147">
        <f>IF(t&lt;Tvie,1-EXP((T0-t)*PertePVj)+'2023'!Pspv,1-EXP((T0-t)*PertePVj)+Pspv)</f>
        <v>4.6427893540261757E-2</v>
      </c>
      <c r="M201" s="847"/>
      <c r="N201" s="847"/>
      <c r="O201" s="48">
        <f>IF(t&lt;Tnet,'2023'!Resal+('2023'!Salim-'2023'!Resal)*(1-EXP(('2023'!Tnet-t)/('2023'!Tau_j))),Resal+(Salim-Resal)*(1-EXP((Tnet-t)/(Tau_j))))*Salcycl</f>
        <v>1.2421919343580704E-2</v>
      </c>
      <c r="P201" s="168">
        <f>(INDEX(Models!$BJ201:$BT201,,T201)*(1-R201)+INDEX(Models!$BJ201:$BT201,,T201+1)*R201-ERP_i)*Q201*Ramure*Pc/MaxiM</f>
        <v>9.4234431919425524E-4</v>
      </c>
      <c r="Q201" s="304">
        <f t="shared" si="53"/>
        <v>0.5</v>
      </c>
      <c r="R201" s="176">
        <f t="shared" si="54"/>
        <v>0.55803569062830016</v>
      </c>
      <c r="S201" s="814">
        <f t="shared" si="55"/>
        <v>1</v>
      </c>
      <c r="T201" s="175">
        <f t="shared" si="56"/>
        <v>7</v>
      </c>
      <c r="U201" s="250">
        <f t="shared" si="57"/>
        <v>1.5580356906283002</v>
      </c>
      <c r="V201" s="382">
        <f t="shared" si="58"/>
        <v>54.846319738826061</v>
      </c>
      <c r="W201" s="401">
        <f t="shared" si="59"/>
        <v>40.599742484971642</v>
      </c>
      <c r="X201" s="157">
        <f t="shared" si="60"/>
        <v>45478</v>
      </c>
      <c r="Y201" s="384">
        <f t="shared" si="61"/>
        <v>37.908707695540457</v>
      </c>
      <c r="Z201" s="384">
        <f t="shared" si="62"/>
        <v>39.754421756611059</v>
      </c>
      <c r="AA201" s="385">
        <f t="shared" si="63"/>
        <v>43.112012649507761</v>
      </c>
      <c r="AB201" s="196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7.7880634341830873E-2</v>
      </c>
      <c r="AD201" s="230">
        <f>(INDEX(Models!$BJ201:$BT201,,AH201)*(1-AF201)+INDEX(Models!$BJ201:$BT201,,AH201+1)*AF201-ERP_i)*AE201*Ramure*Pc/MaxiM</f>
        <v>9.4234431919425524E-4</v>
      </c>
      <c r="AE201" s="304">
        <f t="shared" si="65"/>
        <v>0.5</v>
      </c>
      <c r="AF201" s="176">
        <f t="shared" si="66"/>
        <v>0.55803569062830016</v>
      </c>
      <c r="AG201" s="814">
        <f t="shared" si="74"/>
        <v>1</v>
      </c>
      <c r="AH201" s="175">
        <f t="shared" si="67"/>
        <v>7</v>
      </c>
      <c r="AI201" s="224">
        <f t="shared" si="68"/>
        <v>1.5580356906283002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10">
        <f>'2023'!Wh/'2023'!Env_an*'2024'!Env_an</f>
        <v>49.961163476773365</v>
      </c>
      <c r="C202" s="843"/>
      <c r="D202" s="392">
        <f t="shared" si="50"/>
        <v>52.394838379665941</v>
      </c>
      <c r="E202" s="384">
        <f t="shared" si="75"/>
        <v>53.059213010142891</v>
      </c>
      <c r="F202" s="384">
        <f t="shared" si="51"/>
        <v>53.102643803385497</v>
      </c>
      <c r="G202" s="110">
        <f t="shared" si="76"/>
        <v>0.9120858031035971</v>
      </c>
      <c r="H202" s="413" t="b">
        <f>Wh_hp&gt;='2023'!Maxi_hp</f>
        <v>0</v>
      </c>
      <c r="I202" s="389">
        <f>IF(H202,Wh_hp,'2023'!Maxi_hp)</f>
        <v>53.104663915061565</v>
      </c>
      <c r="J202" s="85">
        <f>IF(H202,An,'2023'!An_max)</f>
        <v>2022</v>
      </c>
      <c r="K202" s="196">
        <f t="shared" si="52"/>
        <v>45479</v>
      </c>
      <c r="L202" s="147">
        <f>IF(t&lt;Tvie,1-EXP((T0-t)*PertePVj)+'2023'!Pspv,1-EXP((T0-t)*PertePVj)+Pspv)</f>
        <v>4.6448752933591832E-2</v>
      </c>
      <c r="M202" s="847"/>
      <c r="N202" s="847"/>
      <c r="O202" s="48">
        <f>IF(t&lt;Tnet,'2023'!Resal+('2023'!Salim-'2023'!Resal)*(1-EXP(('2023'!Tnet-t)/('2023'!Tau_j))),Resal+(Salim-Resal)*(1-EXP((Tnet-t)/(Tau_j))))*Salcycl</f>
        <v>1.2521381166168981E-2</v>
      </c>
      <c r="P202" s="168">
        <f>(INDEX(Models!$BJ202:$BT202,,T202)*(1-R202)+INDEX(Models!$BJ202:$BT202,,T202+1)*R202-ERP_i)*Q202*Ramure*Pc/MaxiM</f>
        <v>9.3517173382983972E-4</v>
      </c>
      <c r="Q202" s="304">
        <f t="shared" si="53"/>
        <v>0.5</v>
      </c>
      <c r="R202" s="176">
        <f t="shared" si="54"/>
        <v>0.560362365657324</v>
      </c>
      <c r="S202" s="814">
        <f t="shared" si="55"/>
        <v>1</v>
      </c>
      <c r="T202" s="175">
        <f t="shared" si="56"/>
        <v>7</v>
      </c>
      <c r="U202" s="250">
        <f t="shared" si="57"/>
        <v>1.560362365657324</v>
      </c>
      <c r="V202" s="382">
        <f t="shared" si="58"/>
        <v>54.770393013607602</v>
      </c>
      <c r="W202" s="401">
        <f t="shared" si="59"/>
        <v>49.961163476773365</v>
      </c>
      <c r="X202" s="157">
        <f t="shared" si="60"/>
        <v>45479</v>
      </c>
      <c r="Y202" s="384">
        <f t="shared" si="61"/>
        <v>46.652225389508281</v>
      </c>
      <c r="Z202" s="384">
        <f t="shared" si="62"/>
        <v>48.924717505255678</v>
      </c>
      <c r="AA202" s="385">
        <f t="shared" si="63"/>
        <v>53.059213010142891</v>
      </c>
      <c r="AB202" s="196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7.7922292290631148E-2</v>
      </c>
      <c r="AD202" s="230">
        <f>(INDEX(Models!$BJ202:$BT202,,AH202)*(1-AF202)+INDEX(Models!$BJ202:$BT202,,AH202+1)*AF202-ERP_i)*AE202*Ramure*Pc/MaxiM</f>
        <v>9.3517173382983972E-4</v>
      </c>
      <c r="AE202" s="304">
        <f t="shared" si="65"/>
        <v>0.5</v>
      </c>
      <c r="AF202" s="176">
        <f t="shared" si="66"/>
        <v>0.560362365657324</v>
      </c>
      <c r="AG202" s="814">
        <f t="shared" si="74"/>
        <v>1</v>
      </c>
      <c r="AH202" s="175">
        <f t="shared" si="67"/>
        <v>7</v>
      </c>
      <c r="AI202" s="224">
        <f t="shared" si="68"/>
        <v>1.560362365657324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10">
        <f>'2023'!Wh/'2023'!Env_an*'2024'!Env_an</f>
        <v>54.442540267110246</v>
      </c>
      <c r="C203" s="843"/>
      <c r="D203" s="392">
        <f t="shared" si="50"/>
        <v>57.095757979860537</v>
      </c>
      <c r="E203" s="384">
        <f t="shared" si="75"/>
        <v>57.825551824508928</v>
      </c>
      <c r="F203" s="384">
        <f t="shared" si="51"/>
        <v>57.878863980912051</v>
      </c>
      <c r="G203" s="110">
        <f t="shared" si="76"/>
        <v>0.99539024557594347</v>
      </c>
      <c r="H203" s="413" t="b">
        <f>Wh_hp&gt;='2023'!Maxi_hp</f>
        <v>0</v>
      </c>
      <c r="I203" s="389">
        <f>IF(H203,Wh_hp,'2023'!Maxi_hp)</f>
        <v>58.837681305863043</v>
      </c>
      <c r="J203" s="85">
        <f>IF(H203,An,'2023'!An_max)</f>
        <v>2020</v>
      </c>
      <c r="K203" s="196">
        <f t="shared" si="52"/>
        <v>45480</v>
      </c>
      <c r="L203" s="147">
        <f>IF(t&lt;Tvie,1-EXP((T0-t)*PertePVj)+'2023'!Pspv,1-EXP((T0-t)*PertePVj)+Pspv)</f>
        <v>4.646961187004759E-2</v>
      </c>
      <c r="M203" s="847"/>
      <c r="N203" s="847"/>
      <c r="O203" s="48">
        <f>IF(t&lt;Tnet,'2023'!Resal+('2023'!Salim-'2023'!Resal)*(1-EXP(('2023'!Tnet-t)/('2023'!Tau_j))),Resal+(Salim-Resal)*(1-EXP((Tnet-t)/(Tau_j))))*Salcycl</f>
        <v>1.2620611851023844E-2</v>
      </c>
      <c r="P203" s="168">
        <f>(INDEX(Models!$BJ203:$BT203,,T203)*(1-R203)+INDEX(Models!$BJ203:$BT203,,T203+1)*R203-ERP_i)*Q203*Ramure*Pc/MaxiM</f>
        <v>9.2719675368848297E-4</v>
      </c>
      <c r="Q203" s="304">
        <f t="shared" si="53"/>
        <v>0.5</v>
      </c>
      <c r="R203" s="176">
        <f t="shared" si="54"/>
        <v>0.56264134059668525</v>
      </c>
      <c r="S203" s="814">
        <f t="shared" si="55"/>
        <v>1</v>
      </c>
      <c r="T203" s="175">
        <f t="shared" si="56"/>
        <v>7</v>
      </c>
      <c r="U203" s="250">
        <f t="shared" si="57"/>
        <v>1.5626413405966852</v>
      </c>
      <c r="V203" s="382">
        <f t="shared" si="58"/>
        <v>54.694335431668797</v>
      </c>
      <c r="W203" s="401">
        <f t="shared" si="59"/>
        <v>54.442540267110246</v>
      </c>
      <c r="X203" s="157">
        <f t="shared" si="60"/>
        <v>45480</v>
      </c>
      <c r="Y203" s="384">
        <f t="shared" si="61"/>
        <v>50.839667983356385</v>
      </c>
      <c r="Z203" s="384">
        <f t="shared" si="62"/>
        <v>53.317302328520732</v>
      </c>
      <c r="AA203" s="385">
        <f t="shared" si="63"/>
        <v>57.825551824508928</v>
      </c>
      <c r="AB203" s="196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7.7962930810759792E-2</v>
      </c>
      <c r="AD203" s="230">
        <f>(INDEX(Models!$BJ203:$BT203,,AH203)*(1-AF203)+INDEX(Models!$BJ203:$BT203,,AH203+1)*AF203-ERP_i)*AE203*Ramure*Pc/MaxiM</f>
        <v>9.2719675368848297E-4</v>
      </c>
      <c r="AE203" s="304">
        <f t="shared" si="65"/>
        <v>0.5</v>
      </c>
      <c r="AF203" s="176">
        <f t="shared" si="66"/>
        <v>0.56264134059668525</v>
      </c>
      <c r="AG203" s="814">
        <f t="shared" si="74"/>
        <v>1</v>
      </c>
      <c r="AH203" s="175">
        <f t="shared" si="67"/>
        <v>7</v>
      </c>
      <c r="AI203" s="224">
        <f t="shared" si="68"/>
        <v>1.5626413405966852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10">
        <f>'2023'!Wh/'2023'!Env_an*'2024'!Env_an</f>
        <v>53.618755234954229</v>
      </c>
      <c r="C204" s="843"/>
      <c r="D204" s="392">
        <f t="shared" si="50"/>
        <v>56.233056479902729</v>
      </c>
      <c r="E204" s="384">
        <f t="shared" si="75"/>
        <v>56.957534321983786</v>
      </c>
      <c r="F204" s="384">
        <f t="shared" si="51"/>
        <v>57.008523260838444</v>
      </c>
      <c r="G204" s="110">
        <f t="shared" si="76"/>
        <v>0.98167678493730859</v>
      </c>
      <c r="H204" s="413" t="b">
        <f>Wh_hp&gt;='2023'!Maxi_hp</f>
        <v>0</v>
      </c>
      <c r="I204" s="389">
        <f>IF(H204,Wh_hp,'2023'!Maxi_hp)</f>
        <v>58.42671028153908</v>
      </c>
      <c r="J204" s="85">
        <f>IF(H204,An,'2023'!An_max)</f>
        <v>2021</v>
      </c>
      <c r="K204" s="196">
        <f t="shared" si="52"/>
        <v>45481</v>
      </c>
      <c r="L204" s="147">
        <f>IF(t&lt;Tvie,1-EXP((T0-t)*PertePVj)+'2023'!Pspv,1-EXP((T0-t)*PertePVj)+Pspv)</f>
        <v>4.6490470349639136E-2</v>
      </c>
      <c r="M204" s="847"/>
      <c r="N204" s="847"/>
      <c r="O204" s="48">
        <f>IF(t&lt;Tnet,'2023'!Resal+('2023'!Salim-'2023'!Resal)*(1-EXP(('2023'!Tnet-t)/('2023'!Tau_j))),Resal+(Salim-Resal)*(1-EXP((Tnet-t)/(Tau_j))))*Salcycl</f>
        <v>1.2719613843983273E-2</v>
      </c>
      <c r="P204" s="168">
        <f>(INDEX(Models!$BJ204:$BT204,,T204)*(1-R204)+INDEX(Models!$BJ204:$BT204,,T204+1)*R204-ERP_i)*Q204*Ramure*Pc/MaxiM</f>
        <v>9.1841863874229674E-4</v>
      </c>
      <c r="Q204" s="304">
        <f t="shared" si="53"/>
        <v>0.5</v>
      </c>
      <c r="R204" s="176">
        <f t="shared" si="54"/>
        <v>0.56487220247195657</v>
      </c>
      <c r="S204" s="814">
        <f t="shared" si="55"/>
        <v>1</v>
      </c>
      <c r="T204" s="175">
        <f t="shared" si="56"/>
        <v>7</v>
      </c>
      <c r="U204" s="250">
        <f t="shared" si="57"/>
        <v>1.5648722024719566</v>
      </c>
      <c r="V204" s="382">
        <f t="shared" si="58"/>
        <v>54.618248634039475</v>
      </c>
      <c r="W204" s="401">
        <f t="shared" si="59"/>
        <v>53.618755234954229</v>
      </c>
      <c r="X204" s="157">
        <f t="shared" si="60"/>
        <v>45481</v>
      </c>
      <c r="Y204" s="384">
        <f t="shared" si="61"/>
        <v>50.073266258072657</v>
      </c>
      <c r="Z204" s="384">
        <f t="shared" si="62"/>
        <v>52.514699330203705</v>
      </c>
      <c r="AA204" s="385">
        <f t="shared" si="63"/>
        <v>56.957534321983786</v>
      </c>
      <c r="AB204" s="196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7.800258639470796E-2</v>
      </c>
      <c r="AD204" s="230">
        <f>(INDEX(Models!$BJ204:$BT204,,AH204)*(1-AF204)+INDEX(Models!$BJ204:$BT204,,AH204+1)*AF204-ERP_i)*AE204*Ramure*Pc/MaxiM</f>
        <v>9.1841863874229674E-4</v>
      </c>
      <c r="AE204" s="304">
        <f t="shared" si="65"/>
        <v>0.5</v>
      </c>
      <c r="AF204" s="176">
        <f t="shared" si="66"/>
        <v>0.56487220247195657</v>
      </c>
      <c r="AG204" s="814">
        <f t="shared" si="74"/>
        <v>1</v>
      </c>
      <c r="AH204" s="175">
        <f t="shared" si="67"/>
        <v>7</v>
      </c>
      <c r="AI204" s="224">
        <f t="shared" si="68"/>
        <v>1.5648722024719566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10">
        <f>'2023'!Wh/'2023'!Env_an*'2024'!Env_an</f>
        <v>53.41080331674619</v>
      </c>
      <c r="C205" s="843"/>
      <c r="D205" s="392">
        <f t="shared" si="50"/>
        <v>56.016190759322733</v>
      </c>
      <c r="E205" s="384">
        <f t="shared" si="75"/>
        <v>56.743551732237499</v>
      </c>
      <c r="F205" s="384">
        <f t="shared" si="51"/>
        <v>56.793638853719081</v>
      </c>
      <c r="G205" s="110">
        <f t="shared" si="76"/>
        <v>0.97923406187731776</v>
      </c>
      <c r="H205" s="413" t="b">
        <f>Wh_hp&gt;='2023'!Maxi_hp</f>
        <v>0</v>
      </c>
      <c r="I205" s="389">
        <f>IF(H205,Wh_hp,'2023'!Maxi_hp)</f>
        <v>57.577022545392943</v>
      </c>
      <c r="J205" s="85">
        <f>IF(H205,An,'2023'!An_max)</f>
        <v>2019</v>
      </c>
      <c r="K205" s="196">
        <f t="shared" si="52"/>
        <v>45482</v>
      </c>
      <c r="L205" s="147">
        <f>IF(t&lt;Tvie,1-EXP((T0-t)*PertePVj)+'2023'!Pspv,1-EXP((T0-t)*PertePVj)+Pspv)</f>
        <v>4.6511328372376461E-2</v>
      </c>
      <c r="M205" s="847"/>
      <c r="N205" s="847"/>
      <c r="O205" s="48">
        <f>IF(t&lt;Tnet,'2023'!Resal+('2023'!Salim-'2023'!Resal)*(1-EXP(('2023'!Tnet-t)/('2023'!Tau_j))),Resal+(Salim-Resal)*(1-EXP((Tnet-t)/(Tau_j))))*Salcycl</f>
        <v>1.2818389944060017E-2</v>
      </c>
      <c r="P205" s="168">
        <f>(INDEX(Models!$BJ205:$BT205,,T205)*(1-R205)+INDEX(Models!$BJ205:$BT205,,T205+1)*R205-ERP_i)*Q205*Ramure*Pc/MaxiM</f>
        <v>9.0884136864313974E-4</v>
      </c>
      <c r="Q205" s="304">
        <f t="shared" si="53"/>
        <v>0.5</v>
      </c>
      <c r="R205" s="176">
        <f t="shared" si="54"/>
        <v>0.56705463506065379</v>
      </c>
      <c r="S205" s="814">
        <f t="shared" si="55"/>
        <v>1</v>
      </c>
      <c r="T205" s="175">
        <f t="shared" si="56"/>
        <v>7</v>
      </c>
      <c r="U205" s="250">
        <f t="shared" si="57"/>
        <v>1.5670546350606538</v>
      </c>
      <c r="V205" s="382">
        <f t="shared" si="58"/>
        <v>54.541979215647075</v>
      </c>
      <c r="W205" s="401">
        <f t="shared" si="59"/>
        <v>53.41080331674619</v>
      </c>
      <c r="X205" s="157">
        <f t="shared" si="60"/>
        <v>45482</v>
      </c>
      <c r="Y205" s="384">
        <f t="shared" si="61"/>
        <v>49.881961408321914</v>
      </c>
      <c r="Z205" s="384">
        <f t="shared" si="62"/>
        <v>52.315211383867251</v>
      </c>
      <c r="AA205" s="385">
        <f t="shared" si="63"/>
        <v>56.743551732237499</v>
      </c>
      <c r="AB205" s="196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7.8041296555893883E-2</v>
      </c>
      <c r="AD205" s="230">
        <f>(INDEX(Models!$BJ205:$BT205,,AH205)*(1-AF205)+INDEX(Models!$BJ205:$BT205,,AH205+1)*AF205-ERP_i)*AE205*Ramure*Pc/MaxiM</f>
        <v>9.0884136864313974E-4</v>
      </c>
      <c r="AE205" s="304">
        <f t="shared" si="65"/>
        <v>0.5</v>
      </c>
      <c r="AF205" s="176">
        <f t="shared" si="66"/>
        <v>0.56705463506065379</v>
      </c>
      <c r="AG205" s="814">
        <f t="shared" si="74"/>
        <v>1</v>
      </c>
      <c r="AH205" s="175">
        <f t="shared" si="67"/>
        <v>7</v>
      </c>
      <c r="AI205" s="224">
        <f t="shared" si="68"/>
        <v>1.5670546350606538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10">
        <f>'2023'!Wh/'2023'!Env_an*'2024'!Env_an</f>
        <v>52.15886000334087</v>
      </c>
      <c r="C206" s="843"/>
      <c r="D206" s="392">
        <f t="shared" si="50"/>
        <v>54.704374111115982</v>
      </c>
      <c r="E206" s="384">
        <f t="shared" si="75"/>
        <v>55.420234131366612</v>
      </c>
      <c r="F206" s="384">
        <f t="shared" si="51"/>
        <v>55.467043264988725</v>
      </c>
      <c r="G206" s="110">
        <f t="shared" si="76"/>
        <v>0.95760064039586845</v>
      </c>
      <c r="H206" s="413" t="b">
        <f>Wh_hp&gt;='2023'!Maxi_hp</f>
        <v>0</v>
      </c>
      <c r="I206" s="389">
        <f>IF(H206,Wh_hp,'2023'!Maxi_hp)</f>
        <v>58.243264696264866</v>
      </c>
      <c r="J206" s="85">
        <f>IF(H206,An,'2023'!An_max)</f>
        <v>2019</v>
      </c>
      <c r="K206" s="196">
        <f t="shared" si="52"/>
        <v>45483</v>
      </c>
      <c r="L206" s="147">
        <f>IF(t&lt;Tvie,1-EXP((T0-t)*PertePVj)+'2023'!Pspv,1-EXP((T0-t)*PertePVj)+Pspv)</f>
        <v>4.6532185938269556E-2</v>
      </c>
      <c r="M206" s="847"/>
      <c r="N206" s="847"/>
      <c r="O206" s="48">
        <f>IF(t&lt;Tnet,'2023'!Resal+('2023'!Salim-'2023'!Resal)*(1-EXP(('2023'!Tnet-t)/('2023'!Tau_j))),Resal+(Salim-Resal)*(1-EXP((Tnet-t)/(Tau_j))))*Salcycl</f>
        <v>1.2916943269380197E-2</v>
      </c>
      <c r="P206" s="168">
        <f>(INDEX(Models!$BJ206:$BT206,,T206)*(1-R206)+INDEX(Models!$BJ206:$BT206,,T206+1)*R206-ERP_i)*Q206*Ramure*Pc/MaxiM</f>
        <v>8.9824954087326301E-4</v>
      </c>
      <c r="Q206" s="304">
        <f t="shared" si="53"/>
        <v>0.5</v>
      </c>
      <c r="R206" s="176">
        <f t="shared" si="54"/>
        <v>0.56918841569567236</v>
      </c>
      <c r="S206" s="814">
        <f t="shared" si="55"/>
        <v>1</v>
      </c>
      <c r="T206" s="175">
        <f t="shared" si="56"/>
        <v>7</v>
      </c>
      <c r="U206" s="250">
        <f t="shared" si="57"/>
        <v>1.5691884156956724</v>
      </c>
      <c r="V206" s="382">
        <f t="shared" si="58"/>
        <v>54.465317863589995</v>
      </c>
      <c r="W206" s="401">
        <f t="shared" si="59"/>
        <v>52.15886000334087</v>
      </c>
      <c r="X206" s="157">
        <f t="shared" si="60"/>
        <v>45483</v>
      </c>
      <c r="Y206" s="384">
        <f t="shared" si="61"/>
        <v>48.715599817755233</v>
      </c>
      <c r="Z206" s="384">
        <f t="shared" si="62"/>
        <v>51.093072151254844</v>
      </c>
      <c r="AA206" s="385">
        <f t="shared" si="63"/>
        <v>55.420234131366612</v>
      </c>
      <c r="AB206" s="196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7.8079099591221154E-2</v>
      </c>
      <c r="AD206" s="230">
        <f>(INDEX(Models!$BJ206:$BT206,,AH206)*(1-AF206)+INDEX(Models!$BJ206:$BT206,,AH206+1)*AF206-ERP_i)*AE206*Ramure*Pc/MaxiM</f>
        <v>8.9824954087326301E-4</v>
      </c>
      <c r="AE206" s="304">
        <f t="shared" si="65"/>
        <v>0.5</v>
      </c>
      <c r="AF206" s="176">
        <f t="shared" si="66"/>
        <v>0.56918841569567236</v>
      </c>
      <c r="AG206" s="814">
        <f t="shared" si="74"/>
        <v>1</v>
      </c>
      <c r="AH206" s="175">
        <f t="shared" si="67"/>
        <v>7</v>
      </c>
      <c r="AI206" s="224">
        <f t="shared" si="68"/>
        <v>1.5691884156956724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10">
        <f>'2023'!Wh/'2023'!Env_an*'2024'!Env_an</f>
        <v>51.754071577208968</v>
      </c>
      <c r="C207" s="843"/>
      <c r="D207" s="392">
        <f t="shared" ref="D207:D270" si="77">Wh/(1-Ppv)</f>
        <v>54.281018151886556</v>
      </c>
      <c r="E207" s="384">
        <f t="shared" si="75"/>
        <v>54.996816971076498</v>
      </c>
      <c r="F207" s="384">
        <f t="shared" ref="F207:F270" si="78">Wh_sa/(1-Pvg*MEDIAN((-Sdif+Wh/Env_an)/Csdif,0,1))</f>
        <v>55.042260707240025</v>
      </c>
      <c r="G207" s="110">
        <f t="shared" si="76"/>
        <v>0.95150877179312232</v>
      </c>
      <c r="H207" s="413" t="b">
        <f>Wh_hp&gt;='2023'!Maxi_hp</f>
        <v>0</v>
      </c>
      <c r="I207" s="389">
        <f>IF(H207,Wh_hp,'2023'!Maxi_hp)</f>
        <v>59.300969895752004</v>
      </c>
      <c r="J207" s="85">
        <f>IF(H207,An,'2023'!An_max)</f>
        <v>2019</v>
      </c>
      <c r="K207" s="196">
        <f t="shared" ref="K207:K270" si="79">t</f>
        <v>45484</v>
      </c>
      <c r="L207" s="147">
        <f>IF(t&lt;Tvie,1-EXP((T0-t)*PertePVj)+'2023'!Pspv,1-EXP((T0-t)*PertePVj)+Pspv)</f>
        <v>4.6553043047328414E-2</v>
      </c>
      <c r="M207" s="847"/>
      <c r="N207" s="847"/>
      <c r="O207" s="48">
        <f>IF(t&lt;Tnet,'2023'!Resal+('2023'!Salim-'2023'!Resal)*(1-EXP(('2023'!Tnet-t)/('2023'!Tau_j))),Resal+(Salim-Resal)*(1-EXP((Tnet-t)/(Tau_j))))*Salcycl</f>
        <v>1.3015277221705198E-2</v>
      </c>
      <c r="P207" s="168">
        <f>(INDEX(Models!$BJ207:$BT207,,T207)*(1-R207)+INDEX(Models!$BJ207:$BT207,,T207+1)*R207-ERP_i)*Q207*Ramure*Pc/MaxiM</f>
        <v>8.8698562412044973E-4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0.57127341182370328</v>
      </c>
      <c r="S207" s="814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1.5712734118237033</v>
      </c>
      <c r="V207" s="382">
        <f t="shared" ref="V207:V270" si="85">MaxiM*(1-Ppv)*(1-Pvg)*(1-Psa)</f>
        <v>54.388245622209404</v>
      </c>
      <c r="W207" s="401">
        <f t="shared" ref="W207:W270" si="86">Wh*(A207&gt;Tmaj)</f>
        <v>51.754071577208968</v>
      </c>
      <c r="X207" s="157">
        <f t="shared" ref="X207:X270" si="87">t</f>
        <v>45484</v>
      </c>
      <c r="Y207" s="384">
        <f t="shared" ref="Y207:Y270" si="88">Wh_pvt_s*(1-Ppv)</f>
        <v>48.340412615572731</v>
      </c>
      <c r="Z207" s="384">
        <f t="shared" ref="Z207:Z270" si="89">Wh_sa_s*(1-Psa_s)</f>
        <v>50.700683727676228</v>
      </c>
      <c r="AA207" s="385">
        <f t="shared" ref="AA207:AA270" si="90">Wh_hp*(1-Pvg_s*MEDIAN((-Sdif+Wh/Env_an)/Csdif,0,1))</f>
        <v>54.996816971076498</v>
      </c>
      <c r="AB207" s="196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7.8116034345399571E-2</v>
      </c>
      <c r="AD207" s="230">
        <f>(INDEX(Models!$BJ207:$BT207,,AH207)*(1-AF207)+INDEX(Models!$BJ207:$BT207,,AH207+1)*AF207-ERP_i)*AE207*Ramure*Pc/MaxiM</f>
        <v>8.8698562412044973E-4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0.57127341182370328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1.5712734118237033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10">
        <f>'2023'!Wh/'2023'!Env_an*'2024'!Env_an</f>
        <v>51.758147104239612</v>
      </c>
      <c r="C208" s="843"/>
      <c r="D208" s="392">
        <f t="shared" si="77"/>
        <v>54.286480187536249</v>
      </c>
      <c r="E208" s="384">
        <f t="shared" si="75"/>
        <v>55.007819477174074</v>
      </c>
      <c r="F208" s="384">
        <f t="shared" si="78"/>
        <v>55.052758988419271</v>
      </c>
      <c r="G208" s="110">
        <f t="shared" si="76"/>
        <v>0.95294379343561419</v>
      </c>
      <c r="H208" s="413" t="b">
        <f>Wh_hp&gt;='2023'!Maxi_hp</f>
        <v>0</v>
      </c>
      <c r="I208" s="389">
        <f>IF(H208,Wh_hp,'2023'!Maxi_hp)</f>
        <v>55.053807149848517</v>
      </c>
      <c r="J208" s="85">
        <f>IF(H208,An,'2023'!An_max)</f>
        <v>2022</v>
      </c>
      <c r="K208" s="196">
        <f t="shared" si="79"/>
        <v>45485</v>
      </c>
      <c r="L208" s="147">
        <f>IF(t&lt;Tvie,1-EXP((T0-t)*PertePVj)+'2023'!Pspv,1-EXP((T0-t)*PertePVj)+Pspv)</f>
        <v>4.6573899699563139E-2</v>
      </c>
      <c r="M208" s="847"/>
      <c r="N208" s="847"/>
      <c r="O208" s="48">
        <f>IF(t&lt;Tnet,'2023'!Resal+('2023'!Salim-'2023'!Resal)*(1-EXP(('2023'!Tnet-t)/('2023'!Tau_j))),Resal+(Salim-Resal)*(1-EXP((Tnet-t)/(Tau_j))))*Salcycl</f>
        <v>1.3113395449844125E-2</v>
      </c>
      <c r="P208" s="168">
        <f>(INDEX(Models!$BJ208:$BT208,,T208)*(1-R208)+INDEX(Models!$BJ208:$BT208,,T208+1)*R208-ERP_i)*Q208*Ramure*Pc/MaxiM</f>
        <v>8.7505273577572569E-4</v>
      </c>
      <c r="Q208" s="304">
        <f t="shared" si="80"/>
        <v>0.5</v>
      </c>
      <c r="R208" s="176">
        <f t="shared" si="81"/>
        <v>0.57330957735411059</v>
      </c>
      <c r="S208" s="814">
        <f t="shared" si="82"/>
        <v>1</v>
      </c>
      <c r="T208" s="175">
        <f t="shared" si="83"/>
        <v>7</v>
      </c>
      <c r="U208" s="250">
        <f t="shared" si="84"/>
        <v>1.5733095773541106</v>
      </c>
      <c r="V208" s="382">
        <f t="shared" si="85"/>
        <v>54.310762073338879</v>
      </c>
      <c r="W208" s="401">
        <f t="shared" si="86"/>
        <v>51.758147104239612</v>
      </c>
      <c r="X208" s="157">
        <f t="shared" si="87"/>
        <v>45485</v>
      </c>
      <c r="Y208" s="384">
        <f t="shared" si="88"/>
        <v>48.347132210249384</v>
      </c>
      <c r="Z208" s="384">
        <f t="shared" si="89"/>
        <v>50.708840669470426</v>
      </c>
      <c r="AA208" s="385">
        <f t="shared" si="90"/>
        <v>55.007819477174074</v>
      </c>
      <c r="AB208" s="196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7.8152139978708721E-2</v>
      </c>
      <c r="AD208" s="230">
        <f>(INDEX(Models!$BJ208:$BT208,,AH208)*(1-AF208)+INDEX(Models!$BJ208:$BT208,,AH208+1)*AF208-ERP_i)*AE208*Ramure*Pc/MaxiM</f>
        <v>8.7505273577572569E-4</v>
      </c>
      <c r="AE208" s="304">
        <f t="shared" si="92"/>
        <v>0.5</v>
      </c>
      <c r="AF208" s="176">
        <f t="shared" si="93"/>
        <v>0.57330957735411059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1.5733095773541106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10">
        <f>'2023'!Wh/'2023'!Env_an*'2024'!Env_an</f>
        <v>51.15347661653913</v>
      </c>
      <c r="C209" s="843"/>
      <c r="D209" s="392">
        <f t="shared" si="77"/>
        <v>53.653445827810692</v>
      </c>
      <c r="E209" s="384">
        <f t="shared" si="75"/>
        <v>54.371767660439382</v>
      </c>
      <c r="F209" s="384">
        <f t="shared" si="78"/>
        <v>54.414891224616746</v>
      </c>
      <c r="G209" s="110">
        <f t="shared" si="76"/>
        <v>0.94315307664188019</v>
      </c>
      <c r="H209" s="413" t="b">
        <f>Wh_hp&gt;='2023'!Maxi_hp</f>
        <v>0</v>
      </c>
      <c r="I209" s="389">
        <f>IF(H209,Wh_hp,'2023'!Maxi_hp)</f>
        <v>58.425013192463943</v>
      </c>
      <c r="J209" s="85">
        <f>IF(H209,An,'2023'!An_max)</f>
        <v>2019</v>
      </c>
      <c r="K209" s="196">
        <f t="shared" si="79"/>
        <v>45486</v>
      </c>
      <c r="L209" s="147">
        <f>IF(t&lt;Tvie,1-EXP((T0-t)*PertePVj)+'2023'!Pspv,1-EXP((T0-t)*PertePVj)+Pspv)</f>
        <v>4.6594755894983499E-2</v>
      </c>
      <c r="M209" s="847"/>
      <c r="N209" s="847"/>
      <c r="O209" s="48">
        <f>IF(t&lt;Tnet,'2023'!Resal+('2023'!Salim-'2023'!Resal)*(1-EXP(('2023'!Tnet-t)/('2023'!Tau_j))),Resal+(Salim-Resal)*(1-EXP((Tnet-t)/(Tau_j))))*Salcycl</f>
        <v>1.3211301812270029E-2</v>
      </c>
      <c r="P209" s="168">
        <f>(INDEX(Models!$BJ209:$BT209,,T209)*(1-R209)+INDEX(Models!$BJ209:$BT209,,T209+1)*R209-ERP_i)*Q209*Ramure*Pc/MaxiM</f>
        <v>8.624540792537634E-4</v>
      </c>
      <c r="Q209" s="304">
        <f t="shared" si="80"/>
        <v>0.5</v>
      </c>
      <c r="R209" s="176">
        <f t="shared" si="81"/>
        <v>0.57529694883299043</v>
      </c>
      <c r="S209" s="814">
        <f t="shared" si="82"/>
        <v>1</v>
      </c>
      <c r="T209" s="175">
        <f t="shared" si="83"/>
        <v>7</v>
      </c>
      <c r="U209" s="250">
        <f t="shared" si="84"/>
        <v>1.5752969488329904</v>
      </c>
      <c r="V209" s="382">
        <f t="shared" si="85"/>
        <v>54.232866782461358</v>
      </c>
      <c r="W209" s="401">
        <f t="shared" si="86"/>
        <v>51.15347661653913</v>
      </c>
      <c r="X209" s="157">
        <f t="shared" si="87"/>
        <v>45486</v>
      </c>
      <c r="Y209" s="384">
        <f t="shared" si="88"/>
        <v>47.785221409856867</v>
      </c>
      <c r="Z209" s="384">
        <f t="shared" si="89"/>
        <v>50.120577482992509</v>
      </c>
      <c r="AA209" s="385">
        <f t="shared" si="90"/>
        <v>54.371767660439382</v>
      </c>
      <c r="AB209" s="196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7.8187455739828937E-2</v>
      </c>
      <c r="AD209" s="230">
        <f>(INDEX(Models!$BJ209:$BT209,,AH209)*(1-AF209)+INDEX(Models!$BJ209:$BT209,,AH209+1)*AF209-ERP_i)*AE209*Ramure*Pc/MaxiM</f>
        <v>8.624540792537634E-4</v>
      </c>
      <c r="AE209" s="304">
        <f t="shared" si="92"/>
        <v>0.5</v>
      </c>
      <c r="AF209" s="176">
        <f t="shared" si="93"/>
        <v>0.57529694883299043</v>
      </c>
      <c r="AG209" s="814">
        <f t="shared" si="99"/>
        <v>1</v>
      </c>
      <c r="AH209" s="175">
        <f t="shared" si="94"/>
        <v>7</v>
      </c>
      <c r="AI209" s="224">
        <f t="shared" si="95"/>
        <v>1.5752969488329904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10">
        <f>'2023'!Wh/'2023'!Env_an*'2024'!Env_an</f>
        <v>49.569743470784147</v>
      </c>
      <c r="C210" s="843"/>
      <c r="D210" s="392">
        <f t="shared" si="77"/>
        <v>51.993449940711358</v>
      </c>
      <c r="E210" s="384">
        <f t="shared" si="75"/>
        <v>52.694764580388807</v>
      </c>
      <c r="F210" s="384">
        <f t="shared" si="78"/>
        <v>52.734129925077781</v>
      </c>
      <c r="G210" s="110">
        <f t="shared" si="76"/>
        <v>0.91524424171339613</v>
      </c>
      <c r="H210" s="413" t="b">
        <f>Wh_hp&gt;='2023'!Maxi_hp</f>
        <v>0</v>
      </c>
      <c r="I210" s="389">
        <f>IF(H210,Wh_hp,'2023'!Maxi_hp)</f>
        <v>59.682824722317406</v>
      </c>
      <c r="J210" s="85">
        <f>IF(H210,An,'2023'!An_max)</f>
        <v>2019</v>
      </c>
      <c r="K210" s="196">
        <f t="shared" si="79"/>
        <v>45487</v>
      </c>
      <c r="L210" s="147">
        <f>IF(t&lt;Tvie,1-EXP((T0-t)*PertePVj)+'2023'!Pspv,1-EXP((T0-t)*PertePVj)+Pspv)</f>
        <v>4.6615611633599709E-2</v>
      </c>
      <c r="M210" s="847"/>
      <c r="N210" s="847"/>
      <c r="O210" s="48">
        <f>IF(t&lt;Tnet,'2023'!Resal+('2023'!Salim-'2023'!Resal)*(1-EXP(('2023'!Tnet-t)/('2023'!Tau_j))),Resal+(Salim-Resal)*(1-EXP((Tnet-t)/(Tau_j))))*Salcycl</f>
        <v>1.3309000339256701E-2</v>
      </c>
      <c r="P210" s="168">
        <f>(INDEX(Models!$BJ210:$BT210,,T210)*(1-R210)+INDEX(Models!$BJ210:$BT210,,T210+1)*R210-ERP_i)*Q210*Ramure*Pc/MaxiM</f>
        <v>8.4919289216655442E-4</v>
      </c>
      <c r="Q210" s="304">
        <f t="shared" si="80"/>
        <v>0.5</v>
      </c>
      <c r="R210" s="176">
        <f t="shared" si="81"/>
        <v>0.57723564147608175</v>
      </c>
      <c r="S210" s="814">
        <f t="shared" si="82"/>
        <v>1</v>
      </c>
      <c r="T210" s="175">
        <f t="shared" si="83"/>
        <v>7</v>
      </c>
      <c r="U210" s="250">
        <f t="shared" si="84"/>
        <v>1.5772356414760818</v>
      </c>
      <c r="V210" s="382">
        <f t="shared" si="85"/>
        <v>54.154559303313427</v>
      </c>
      <c r="W210" s="401">
        <f t="shared" si="86"/>
        <v>49.569743470784147</v>
      </c>
      <c r="X210" s="157">
        <f t="shared" si="87"/>
        <v>45487</v>
      </c>
      <c r="Y210" s="384">
        <f t="shared" si="88"/>
        <v>46.308619399978248</v>
      </c>
      <c r="Z210" s="384">
        <f t="shared" si="89"/>
        <v>48.572873612213101</v>
      </c>
      <c r="AA210" s="385">
        <f t="shared" si="90"/>
        <v>52.694764580388807</v>
      </c>
      <c r="AB210" s="196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7.8222020745296786E-2</v>
      </c>
      <c r="AD210" s="230">
        <f>(INDEX(Models!$BJ210:$BT210,,AH210)*(1-AF210)+INDEX(Models!$BJ210:$BT210,,AH210+1)*AF210-ERP_i)*AE210*Ramure*Pc/MaxiM</f>
        <v>8.4919289216655442E-4</v>
      </c>
      <c r="AE210" s="304">
        <f t="shared" si="92"/>
        <v>0.5</v>
      </c>
      <c r="AF210" s="176">
        <f t="shared" si="93"/>
        <v>0.57723564147608175</v>
      </c>
      <c r="AG210" s="814">
        <f t="shared" si="99"/>
        <v>1</v>
      </c>
      <c r="AH210" s="175">
        <f t="shared" si="94"/>
        <v>7</v>
      </c>
      <c r="AI210" s="224">
        <f t="shared" si="95"/>
        <v>1.5772356414760818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10">
        <f>'2023'!Wh/'2023'!Env_an*'2024'!Env_an</f>
        <v>51.100728879465599</v>
      </c>
      <c r="C211" s="843"/>
      <c r="D211" s="392">
        <f t="shared" si="77"/>
        <v>53.60046520148591</v>
      </c>
      <c r="E211" s="384">
        <f t="shared" si="75"/>
        <v>54.328824323723929</v>
      </c>
      <c r="F211" s="384">
        <f t="shared" si="78"/>
        <v>54.370669248256746</v>
      </c>
      <c r="G211" s="110">
        <f t="shared" si="76"/>
        <v>0.94492054754736621</v>
      </c>
      <c r="H211" s="413" t="b">
        <f>Wh_hp&gt;='2023'!Maxi_hp</f>
        <v>0</v>
      </c>
      <c r="I211" s="389">
        <f>IF(H211,Wh_hp,'2023'!Maxi_hp)</f>
        <v>58.694583788185525</v>
      </c>
      <c r="J211" s="85">
        <f>IF(H211,An,'2023'!An_max)</f>
        <v>2019</v>
      </c>
      <c r="K211" s="196">
        <f t="shared" si="79"/>
        <v>45488</v>
      </c>
      <c r="L211" s="147">
        <f>IF(t&lt;Tvie,1-EXP((T0-t)*PertePVj)+'2023'!Pspv,1-EXP((T0-t)*PertePVj)+Pspv)</f>
        <v>4.6636466915421761E-2</v>
      </c>
      <c r="M211" s="847"/>
      <c r="N211" s="847"/>
      <c r="O211" s="48">
        <f>IF(t&lt;Tnet,'2023'!Resal+('2023'!Salim-'2023'!Resal)*(1-EXP(('2023'!Tnet-t)/('2023'!Tau_j))),Resal+(Salim-Resal)*(1-EXP((Tnet-t)/(Tau_j))))*Salcycl</f>
        <v>1.3406495194853074E-2</v>
      </c>
      <c r="P211" s="168">
        <f>(INDEX(Models!$BJ211:$BT211,,T211)*(1-R211)+INDEX(Models!$BJ211:$BT211,,T211+1)*R211-ERP_i)*Q211*Ramure*Pc/MaxiM</f>
        <v>8.3527239676777735E-4</v>
      </c>
      <c r="Q211" s="304">
        <f t="shared" si="80"/>
        <v>0.5</v>
      </c>
      <c r="R211" s="176">
        <f t="shared" si="81"/>
        <v>0.57912584509288667</v>
      </c>
      <c r="S211" s="814">
        <f t="shared" si="82"/>
        <v>1</v>
      </c>
      <c r="T211" s="175">
        <f t="shared" si="83"/>
        <v>7</v>
      </c>
      <c r="U211" s="250">
        <f t="shared" si="84"/>
        <v>1.5791258450928867</v>
      </c>
      <c r="V211" s="382">
        <f t="shared" si="85"/>
        <v>54.075839183242778</v>
      </c>
      <c r="W211" s="401">
        <f t="shared" si="86"/>
        <v>51.100728879465599</v>
      </c>
      <c r="X211" s="157">
        <f t="shared" si="87"/>
        <v>45488</v>
      </c>
      <c r="Y211" s="384">
        <f t="shared" si="88"/>
        <v>47.74184754051474</v>
      </c>
      <c r="Z211" s="384">
        <f t="shared" si="89"/>
        <v>50.07727470553386</v>
      </c>
      <c r="AA211" s="385">
        <f t="shared" si="90"/>
        <v>54.328824323723929</v>
      </c>
      <c r="AB211" s="196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7.8255873767059114E-2</v>
      </c>
      <c r="AD211" s="230">
        <f>(INDEX(Models!$BJ211:$BT211,,AH211)*(1-AF211)+INDEX(Models!$BJ211:$BT211,,AH211+1)*AF211-ERP_i)*AE211*Ramure*Pc/MaxiM</f>
        <v>8.3527239676777735E-4</v>
      </c>
      <c r="AE211" s="304">
        <f t="shared" si="92"/>
        <v>0.5</v>
      </c>
      <c r="AF211" s="176">
        <f t="shared" si="93"/>
        <v>0.57912584509288667</v>
      </c>
      <c r="AG211" s="814">
        <f t="shared" si="99"/>
        <v>1</v>
      </c>
      <c r="AH211" s="175">
        <f t="shared" si="94"/>
        <v>7</v>
      </c>
      <c r="AI211" s="224">
        <f t="shared" si="95"/>
        <v>1.5791258450928867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10">
        <f>'2023'!Wh/'2023'!Env_an*'2024'!Env_an</f>
        <v>50.760849754794712</v>
      </c>
      <c r="C212" s="843"/>
      <c r="D212" s="392">
        <f t="shared" si="77"/>
        <v>53.245124667517985</v>
      </c>
      <c r="E212" s="384">
        <f t="shared" si="75"/>
        <v>53.973977965924306</v>
      </c>
      <c r="F212" s="384">
        <f t="shared" si="78"/>
        <v>54.014509647351431</v>
      </c>
      <c r="G212" s="110">
        <f t="shared" si="76"/>
        <v>0.94000693440869276</v>
      </c>
      <c r="H212" s="413" t="b">
        <f>Wh_hp&gt;='2023'!Maxi_hp</f>
        <v>0</v>
      </c>
      <c r="I212" s="389">
        <f>IF(H212,Wh_hp,'2023'!Maxi_hp)</f>
        <v>57.888056189789317</v>
      </c>
      <c r="J212" s="85">
        <f>IF(H212,An,'2023'!An_max)</f>
        <v>2021</v>
      </c>
      <c r="K212" s="196">
        <f t="shared" si="79"/>
        <v>45489</v>
      </c>
      <c r="L212" s="147">
        <f>IF(t&lt;Tvie,1-EXP((T0-t)*PertePVj)+'2023'!Pspv,1-EXP((T0-t)*PertePVj)+Pspv)</f>
        <v>4.6657321740459647E-2</v>
      </c>
      <c r="M212" s="847"/>
      <c r="N212" s="847"/>
      <c r="O212" s="48">
        <f>IF(t&lt;Tnet,'2023'!Resal+('2023'!Salim-'2023'!Resal)*(1-EXP(('2023'!Tnet-t)/('2023'!Tau_j))),Resal+(Salim-Resal)*(1-EXP((Tnet-t)/(Tau_j))))*Salcycl</f>
        <v>1.350379063900886E-2</v>
      </c>
      <c r="P212" s="168">
        <f>(INDEX(Models!$BJ212:$BT212,,T212)*(1-R212)+INDEX(Models!$BJ212:$BT212,,T212+1)*R212-ERP_i)*Q212*Ramure*Pc/MaxiM</f>
        <v>8.2064002557869268E-4</v>
      </c>
      <c r="Q212" s="304">
        <f t="shared" si="80"/>
        <v>0.5</v>
      </c>
      <c r="R212" s="176">
        <f t="shared" si="81"/>
        <v>0.58096781993283253</v>
      </c>
      <c r="S212" s="814">
        <f t="shared" si="82"/>
        <v>1</v>
      </c>
      <c r="T212" s="175">
        <f t="shared" si="83"/>
        <v>7</v>
      </c>
      <c r="U212" s="250">
        <f t="shared" si="84"/>
        <v>1.5809678199328325</v>
      </c>
      <c r="V212" s="382">
        <f t="shared" si="85"/>
        <v>53.996708978833034</v>
      </c>
      <c r="W212" s="401">
        <f t="shared" si="86"/>
        <v>50.760849754794712</v>
      </c>
      <c r="X212" s="157">
        <f t="shared" si="87"/>
        <v>45489</v>
      </c>
      <c r="Y212" s="384">
        <f t="shared" si="88"/>
        <v>47.427278941928542</v>
      </c>
      <c r="Z212" s="384">
        <f t="shared" si="89"/>
        <v>49.748406342736736</v>
      </c>
      <c r="AA212" s="385">
        <f t="shared" si="90"/>
        <v>53.973977965924306</v>
      </c>
      <c r="AB212" s="196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7.8289053029504771E-2</v>
      </c>
      <c r="AD212" s="230">
        <f>(INDEX(Models!$BJ212:$BT212,,AH212)*(1-AF212)+INDEX(Models!$BJ212:$BT212,,AH212+1)*AF212-ERP_i)*AE212*Ramure*Pc/MaxiM</f>
        <v>8.2064002557869268E-4</v>
      </c>
      <c r="AE212" s="304">
        <f t="shared" si="92"/>
        <v>0.5</v>
      </c>
      <c r="AF212" s="176">
        <f t="shared" si="93"/>
        <v>0.58096781993283253</v>
      </c>
      <c r="AG212" s="814">
        <f t="shared" si="99"/>
        <v>1</v>
      </c>
      <c r="AH212" s="175">
        <f t="shared" si="94"/>
        <v>7</v>
      </c>
      <c r="AI212" s="224">
        <f t="shared" si="95"/>
        <v>1.5809678199328325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10">
        <f>'2023'!Wh/'2023'!Env_an*'2024'!Env_an</f>
        <v>51.523800209640726</v>
      </c>
      <c r="C213" s="843"/>
      <c r="D213" s="392">
        <f t="shared" si="77"/>
        <v>54.046596771833528</v>
      </c>
      <c r="E213" s="384">
        <f t="shared" si="75"/>
        <v>54.791814264802127</v>
      </c>
      <c r="F213" s="384">
        <f t="shared" si="78"/>
        <v>54.833186330252254</v>
      </c>
      <c r="G213" s="110">
        <f t="shared" si="76"/>
        <v>0.95556170663492968</v>
      </c>
      <c r="H213" s="413" t="b">
        <f>Wh_hp&gt;='2023'!Maxi_hp</f>
        <v>0</v>
      </c>
      <c r="I213" s="389">
        <f>IF(H213,Wh_hp,'2023'!Maxi_hp)</f>
        <v>54.83409502353642</v>
      </c>
      <c r="J213" s="85">
        <f>IF(H213,An,'2023'!An_max)</f>
        <v>2022</v>
      </c>
      <c r="K213" s="196">
        <f t="shared" si="79"/>
        <v>45490</v>
      </c>
      <c r="L213" s="147">
        <f>IF(t&lt;Tvie,1-EXP((T0-t)*PertePVj)+'2023'!Pspv,1-EXP((T0-t)*PertePVj)+Pspv)</f>
        <v>4.6678176108723247E-2</v>
      </c>
      <c r="M213" s="847"/>
      <c r="N213" s="847"/>
      <c r="O213" s="48">
        <f>IF(t&lt;Tnet,'2023'!Resal+('2023'!Salim-'2023'!Resal)*(1-EXP(('2023'!Tnet-t)/('2023'!Tau_j))),Resal+(Salim-Resal)*(1-EXP((Tnet-t)/(Tau_j))))*Salcycl</f>
        <v>1.3600890990158715E-2</v>
      </c>
      <c r="P213" s="168">
        <f>(INDEX(Models!$BJ213:$BT213,,T213)*(1-R213)+INDEX(Models!$BJ213:$BT213,,T213+1)*R213-ERP_i)*Q213*Ramure*Pc/MaxiM</f>
        <v>8.0559325020508978E-4</v>
      </c>
      <c r="Q213" s="304">
        <f t="shared" si="80"/>
        <v>0.5</v>
      </c>
      <c r="R213" s="176">
        <f t="shared" si="81"/>
        <v>0.58276189248260657</v>
      </c>
      <c r="S213" s="814">
        <f t="shared" si="82"/>
        <v>1</v>
      </c>
      <c r="T213" s="175">
        <f t="shared" si="83"/>
        <v>7</v>
      </c>
      <c r="U213" s="250">
        <f t="shared" si="84"/>
        <v>1.5827618924826066</v>
      </c>
      <c r="V213" s="382">
        <f t="shared" si="85"/>
        <v>53.91715233738126</v>
      </c>
      <c r="W213" s="401">
        <f t="shared" si="86"/>
        <v>51.523800209640726</v>
      </c>
      <c r="X213" s="157">
        <f t="shared" si="87"/>
        <v>45490</v>
      </c>
      <c r="Y213" s="384">
        <f t="shared" si="88"/>
        <v>48.143163868038592</v>
      </c>
      <c r="Z213" s="384">
        <f t="shared" si="89"/>
        <v>50.500431922902422</v>
      </c>
      <c r="AA213" s="385">
        <f t="shared" si="90"/>
        <v>54.791814264802127</v>
      </c>
      <c r="AB213" s="196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7.832159601724413E-2</v>
      </c>
      <c r="AD213" s="230">
        <f>(INDEX(Models!$BJ213:$BT213,,AH213)*(1-AF213)+INDEX(Models!$BJ213:$BT213,,AH213+1)*AF213-ERP_i)*AE213*Ramure*Pc/MaxiM</f>
        <v>8.0559325020508978E-4</v>
      </c>
      <c r="AE213" s="304">
        <f t="shared" si="92"/>
        <v>0.5</v>
      </c>
      <c r="AF213" s="176">
        <f t="shared" si="93"/>
        <v>0.58276189248260657</v>
      </c>
      <c r="AG213" s="814">
        <f t="shared" si="99"/>
        <v>1</v>
      </c>
      <c r="AH213" s="175">
        <f t="shared" si="94"/>
        <v>7</v>
      </c>
      <c r="AI213" s="224">
        <f t="shared" si="95"/>
        <v>1.5827618924826066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10">
        <f>'2023'!Wh/'2023'!Env_an*'2024'!Env_an</f>
        <v>40.724735564753843</v>
      </c>
      <c r="C214" s="843"/>
      <c r="D214" s="392">
        <f t="shared" si="77"/>
        <v>42.71970431921175</v>
      </c>
      <c r="E214" s="384">
        <f t="shared" si="75"/>
        <v>43.312997116608052</v>
      </c>
      <c r="F214" s="384">
        <f t="shared" si="78"/>
        <v>43.335324224324275</v>
      </c>
      <c r="G214" s="110">
        <f t="shared" si="76"/>
        <v>0.75623467386045362</v>
      </c>
      <c r="H214" s="413" t="b">
        <f>Wh_hp&gt;='2023'!Maxi_hp</f>
        <v>0</v>
      </c>
      <c r="I214" s="389">
        <f>IF(H214,Wh_hp,'2023'!Maxi_hp)</f>
        <v>57.925852793246442</v>
      </c>
      <c r="J214" s="85">
        <f>IF(H214,An,'2023'!An_max)</f>
        <v>2020</v>
      </c>
      <c r="K214" s="196">
        <f t="shared" si="79"/>
        <v>45491</v>
      </c>
      <c r="L214" s="147">
        <f>IF(t&lt;Tvie,1-EXP((T0-t)*PertePVj)+'2023'!Pspv,1-EXP((T0-t)*PertePVj)+Pspv)</f>
        <v>4.6699030020222777E-2</v>
      </c>
      <c r="M214" s="847"/>
      <c r="N214" s="847"/>
      <c r="O214" s="48">
        <f>IF(t&lt;Tnet,'2023'!Resal+('2023'!Salim-'2023'!Resal)*(1-EXP(('2023'!Tnet-t)/('2023'!Tau_j))),Resal+(Salim-Resal)*(1-EXP((Tnet-t)/(Tau_j))))*Salcycl</f>
        <v>1.3697800588563114E-2</v>
      </c>
      <c r="P214" s="168">
        <f>(INDEX(Models!$BJ214:$BT214,,T214)*(1-R214)+INDEX(Models!$BJ214:$BT214,,T214+1)*R214-ERP_i)*Q214*Ramure*Pc/MaxiM</f>
        <v>7.90136550438155E-4</v>
      </c>
      <c r="Q214" s="304">
        <f t="shared" si="80"/>
        <v>0.5</v>
      </c>
      <c r="R214" s="176">
        <f t="shared" si="81"/>
        <v>0.58450845124194495</v>
      </c>
      <c r="S214" s="814">
        <f t="shared" si="82"/>
        <v>1</v>
      </c>
      <c r="T214" s="175">
        <f t="shared" si="83"/>
        <v>7</v>
      </c>
      <c r="U214" s="250">
        <f t="shared" si="84"/>
        <v>1.5845084512419449</v>
      </c>
      <c r="V214" s="382">
        <f t="shared" si="85"/>
        <v>53.837168786277644</v>
      </c>
      <c r="W214" s="401">
        <f t="shared" si="86"/>
        <v>40.724735564753843</v>
      </c>
      <c r="X214" s="157">
        <f t="shared" si="87"/>
        <v>45491</v>
      </c>
      <c r="Y214" s="384">
        <f t="shared" si="88"/>
        <v>38.055079283822757</v>
      </c>
      <c r="Z214" s="384">
        <f t="shared" si="89"/>
        <v>39.919270495056807</v>
      </c>
      <c r="AA214" s="385">
        <f t="shared" si="90"/>
        <v>43.312997116608052</v>
      </c>
      <c r="AB214" s="196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7.8353539294789443E-2</v>
      </c>
      <c r="AD214" s="230">
        <f>(INDEX(Models!$BJ214:$BT214,,AH214)*(1-AF214)+INDEX(Models!$BJ214:$BT214,,AH214+1)*AF214-ERP_i)*AE214*Ramure*Pc/MaxiM</f>
        <v>7.90136550438155E-4</v>
      </c>
      <c r="AE214" s="304">
        <f t="shared" si="92"/>
        <v>0.5</v>
      </c>
      <c r="AF214" s="176">
        <f t="shared" si="93"/>
        <v>0.58450845124194495</v>
      </c>
      <c r="AG214" s="814">
        <f t="shared" si="99"/>
        <v>1</v>
      </c>
      <c r="AH214" s="175">
        <f t="shared" si="94"/>
        <v>7</v>
      </c>
      <c r="AI214" s="224">
        <f t="shared" si="95"/>
        <v>1.5845084512419449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10">
        <f>'2023'!Wh/'2023'!Env_an*'2024'!Env_an</f>
        <v>39.697983122325347</v>
      </c>
      <c r="C215" s="843"/>
      <c r="D215" s="392">
        <f t="shared" si="77"/>
        <v>41.643565657317396</v>
      </c>
      <c r="E215" s="384">
        <f t="shared" si="75"/>
        <v>42.226053962016657</v>
      </c>
      <c r="F215" s="384">
        <f t="shared" si="78"/>
        <v>42.246543493551215</v>
      </c>
      <c r="G215" s="110">
        <f t="shared" si="76"/>
        <v>0.73826055521013922</v>
      </c>
      <c r="H215" s="413" t="b">
        <f>Wh_hp&gt;='2023'!Maxi_hp</f>
        <v>0</v>
      </c>
      <c r="I215" s="389">
        <f>IF(H215,Wh_hp,'2023'!Maxi_hp)</f>
        <v>57.010821173837634</v>
      </c>
      <c r="J215" s="85">
        <f>IF(H215,An,'2023'!An_max)</f>
        <v>2020</v>
      </c>
      <c r="K215" s="196">
        <f t="shared" si="79"/>
        <v>45492</v>
      </c>
      <c r="L215" s="147">
        <f>IF(t&lt;Tvie,1-EXP((T0-t)*PertePVj)+'2023'!Pspv,1-EXP((T0-t)*PertePVj)+Pspv)</f>
        <v>4.6719883474968006E-2</v>
      </c>
      <c r="M215" s="847"/>
      <c r="N215" s="847"/>
      <c r="O215" s="48">
        <f>IF(t&lt;Tnet,'2023'!Resal+('2023'!Salim-'2023'!Resal)*(1-EXP(('2023'!Tnet-t)/('2023'!Tau_j))),Resal+(Salim-Resal)*(1-EXP((Tnet-t)/(Tau_j))))*Salcycl</f>
        <v>1.3794523760690975E-2</v>
      </c>
      <c r="P215" s="168">
        <f>(INDEX(Models!$BJ215:$BT215,,T215)*(1-R215)+INDEX(Models!$BJ215:$BT215,,T215+1)*R215-ERP_i)*Q215*Ramure*Pc/MaxiM</f>
        <v>7.7427415405709903E-4</v>
      </c>
      <c r="Q215" s="304">
        <f t="shared" si="80"/>
        <v>0.5</v>
      </c>
      <c r="R215" s="176">
        <f t="shared" si="81"/>
        <v>0.58620794250320607</v>
      </c>
      <c r="S215" s="814">
        <f t="shared" si="82"/>
        <v>1</v>
      </c>
      <c r="T215" s="175">
        <f t="shared" si="83"/>
        <v>7</v>
      </c>
      <c r="U215" s="250">
        <f t="shared" si="84"/>
        <v>1.5862079425032061</v>
      </c>
      <c r="V215" s="382">
        <f t="shared" si="85"/>
        <v>53.756757868181694</v>
      </c>
      <c r="W215" s="401">
        <f t="shared" si="86"/>
        <v>39.697983122325347</v>
      </c>
      <c r="X215" s="157">
        <f t="shared" si="87"/>
        <v>45492</v>
      </c>
      <c r="Y215" s="384">
        <f t="shared" si="88"/>
        <v>37.09800932820481</v>
      </c>
      <c r="Z215" s="384">
        <f t="shared" si="89"/>
        <v>38.916168170419049</v>
      </c>
      <c r="AA215" s="385">
        <f t="shared" si="90"/>
        <v>42.226053962016657</v>
      </c>
      <c r="AB215" s="196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7.838491833915931E-2</v>
      </c>
      <c r="AD215" s="230">
        <f>(INDEX(Models!$BJ215:$BT215,,AH215)*(1-AF215)+INDEX(Models!$BJ215:$BT215,,AH215+1)*AF215-ERP_i)*AE215*Ramure*Pc/MaxiM</f>
        <v>7.7427415405709903E-4</v>
      </c>
      <c r="AE215" s="304">
        <f t="shared" si="92"/>
        <v>0.5</v>
      </c>
      <c r="AF215" s="176">
        <f t="shared" si="93"/>
        <v>0.58620794250320607</v>
      </c>
      <c r="AG215" s="814">
        <f t="shared" si="99"/>
        <v>1</v>
      </c>
      <c r="AH215" s="175">
        <f t="shared" si="94"/>
        <v>7</v>
      </c>
      <c r="AI215" s="224">
        <f t="shared" si="95"/>
        <v>1.5862079425032061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10">
        <f>'2023'!Wh/'2023'!Env_an*'2024'!Env_an</f>
        <v>50.328601345236493</v>
      </c>
      <c r="C216" s="843"/>
      <c r="D216" s="392">
        <f t="shared" si="77"/>
        <v>52.796341216787312</v>
      </c>
      <c r="E216" s="384">
        <f t="shared" si="75"/>
        <v>53.54006979489705</v>
      </c>
      <c r="F216" s="384">
        <f t="shared" si="78"/>
        <v>53.577063706502386</v>
      </c>
      <c r="G216" s="110">
        <f t="shared" si="76"/>
        <v>0.93757500806706739</v>
      </c>
      <c r="H216" s="413" t="b">
        <f>Wh_hp&gt;='2023'!Maxi_hp</f>
        <v>0</v>
      </c>
      <c r="I216" s="389">
        <f>IF(H216,Wh_hp,'2023'!Maxi_hp)</f>
        <v>53.578238473295933</v>
      </c>
      <c r="J216" s="85">
        <f>IF(H216,An,'2023'!An_max)</f>
        <v>2022</v>
      </c>
      <c r="K216" s="196">
        <f t="shared" si="79"/>
        <v>45493</v>
      </c>
      <c r="L216" s="147">
        <f>IF(t&lt;Tvie,1-EXP((T0-t)*PertePVj)+'2023'!Pspv,1-EXP((T0-t)*PertePVj)+Pspv)</f>
        <v>4.6740736472969148E-2</v>
      </c>
      <c r="M216" s="847"/>
      <c r="N216" s="847"/>
      <c r="O216" s="48">
        <f>IF(t&lt;Tnet,'2023'!Resal+('2023'!Salim-'2023'!Resal)*(1-EXP(('2023'!Tnet-t)/('2023'!Tau_j))),Resal+(Salim-Resal)*(1-EXP((Tnet-t)/(Tau_j))))*Salcycl</f>
        <v>1.3891064784914113E-2</v>
      </c>
      <c r="P216" s="168">
        <f>(INDEX(Models!$BJ216:$BT216,,T216)*(1-R216)+INDEX(Models!$BJ216:$BT216,,T216+1)*R216-ERP_i)*Q216*Ramure*Pc/MaxiM</f>
        <v>7.5801001396875599E-4</v>
      </c>
      <c r="Q216" s="304">
        <f t="shared" si="80"/>
        <v>0.5</v>
      </c>
      <c r="R216" s="176">
        <f t="shared" si="81"/>
        <v>0.58786086615804201</v>
      </c>
      <c r="S216" s="814">
        <f t="shared" si="82"/>
        <v>1</v>
      </c>
      <c r="T216" s="175">
        <f t="shared" si="83"/>
        <v>7</v>
      </c>
      <c r="U216" s="250">
        <f t="shared" si="84"/>
        <v>1.587860866158042</v>
      </c>
      <c r="V216" s="382">
        <f t="shared" si="85"/>
        <v>53.675919144755881</v>
      </c>
      <c r="W216" s="401">
        <f t="shared" si="86"/>
        <v>50.328601345236493</v>
      </c>
      <c r="X216" s="157">
        <f t="shared" si="87"/>
        <v>45493</v>
      </c>
      <c r="Y216" s="384">
        <f t="shared" si="88"/>
        <v>47.035417480680493</v>
      </c>
      <c r="Z216" s="384">
        <f t="shared" si="89"/>
        <v>49.341684136014429</v>
      </c>
      <c r="AA216" s="385">
        <f t="shared" si="90"/>
        <v>53.54006979489705</v>
      </c>
      <c r="AB216" s="196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7.8415767386294535E-2</v>
      </c>
      <c r="AD216" s="230">
        <f>(INDEX(Models!$BJ216:$BT216,,AH216)*(1-AF216)+INDEX(Models!$BJ216:$BT216,,AH216+1)*AF216-ERP_i)*AE216*Ramure*Pc/MaxiM</f>
        <v>7.5801001396875599E-4</v>
      </c>
      <c r="AE216" s="304">
        <f t="shared" si="92"/>
        <v>0.5</v>
      </c>
      <c r="AF216" s="176">
        <f t="shared" si="93"/>
        <v>0.58786086615804201</v>
      </c>
      <c r="AG216" s="814">
        <f t="shared" si="99"/>
        <v>1</v>
      </c>
      <c r="AH216" s="175">
        <f t="shared" si="94"/>
        <v>7</v>
      </c>
      <c r="AI216" s="224">
        <f t="shared" si="95"/>
        <v>1.587860866158042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10">
        <f>'2023'!Wh/'2023'!Env_an*'2024'!Env_an</f>
        <v>39.302274402494383</v>
      </c>
      <c r="C217" s="843"/>
      <c r="D217" s="392">
        <f t="shared" si="77"/>
        <v>41.230267212848752</v>
      </c>
      <c r="E217" s="384">
        <f t="shared" si="75"/>
        <v>41.815153658043819</v>
      </c>
      <c r="F217" s="384">
        <f t="shared" si="78"/>
        <v>41.834352290932536</v>
      </c>
      <c r="G217" s="110">
        <f t="shared" si="76"/>
        <v>0.73311734755774005</v>
      </c>
      <c r="H217" s="413" t="b">
        <f>Wh_hp&gt;='2023'!Maxi_hp</f>
        <v>0</v>
      </c>
      <c r="I217" s="389">
        <f>IF(H217,Wh_hp,'2023'!Maxi_hp)</f>
        <v>54.375496718092663</v>
      </c>
      <c r="J217" s="85">
        <f>IF(H217,An,'2023'!An_max)</f>
        <v>2021</v>
      </c>
      <c r="K217" s="196">
        <f t="shared" si="79"/>
        <v>45494</v>
      </c>
      <c r="L217" s="147">
        <f>IF(t&lt;Tvie,1-EXP((T0-t)*PertePVj)+'2023'!Pspv,1-EXP((T0-t)*PertePVj)+Pspv)</f>
        <v>4.6761589014236084E-2</v>
      </c>
      <c r="M217" s="847"/>
      <c r="N217" s="847"/>
      <c r="O217" s="48">
        <f>IF(t&lt;Tnet,'2023'!Resal+('2023'!Salim-'2023'!Resal)*(1-EXP(('2023'!Tnet-t)/('2023'!Tau_j))),Resal+(Salim-Resal)*(1-EXP((Tnet-t)/(Tau_j))))*Salcycl</f>
        <v>1.3987427858765169E-2</v>
      </c>
      <c r="P217" s="168">
        <f>(INDEX(Models!$BJ217:$BT217,,T217)*(1-R217)+INDEX(Models!$BJ217:$BT217,,T217+1)*R217-ERP_i)*Q217*Ramure*Pc/MaxiM</f>
        <v>7.413477888300686E-4</v>
      </c>
      <c r="Q217" s="304">
        <f t="shared" si="80"/>
        <v>0.5</v>
      </c>
      <c r="R217" s="176">
        <f t="shared" si="81"/>
        <v>0.58946777155240948</v>
      </c>
      <c r="S217" s="814">
        <f t="shared" si="82"/>
        <v>1</v>
      </c>
      <c r="T217" s="175">
        <f t="shared" si="83"/>
        <v>7</v>
      </c>
      <c r="U217" s="250">
        <f t="shared" si="84"/>
        <v>1.5894677715524095</v>
      </c>
      <c r="V217" s="382">
        <f t="shared" si="85"/>
        <v>53.5946521982737</v>
      </c>
      <c r="W217" s="401">
        <f t="shared" si="86"/>
        <v>39.302274402494383</v>
      </c>
      <c r="X217" s="157">
        <f t="shared" si="87"/>
        <v>45494</v>
      </c>
      <c r="Y217" s="384">
        <f t="shared" si="88"/>
        <v>36.732963168628139</v>
      </c>
      <c r="Z217" s="384">
        <f t="shared" si="89"/>
        <v>38.534917125970416</v>
      </c>
      <c r="AA217" s="385">
        <f t="shared" si="90"/>
        <v>41.815153658043819</v>
      </c>
      <c r="AB217" s="196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7.8446119292028396E-2</v>
      </c>
      <c r="AD217" s="230">
        <f>(INDEX(Models!$BJ217:$BT217,,AH217)*(1-AF217)+INDEX(Models!$BJ217:$BT217,,AH217+1)*AF217-ERP_i)*AE217*Ramure*Pc/MaxiM</f>
        <v>7.413477888300686E-4</v>
      </c>
      <c r="AE217" s="304">
        <f t="shared" si="92"/>
        <v>0.5</v>
      </c>
      <c r="AF217" s="176">
        <f t="shared" si="93"/>
        <v>0.58946777155240948</v>
      </c>
      <c r="AG217" s="814">
        <f t="shared" si="99"/>
        <v>1</v>
      </c>
      <c r="AH217" s="175">
        <f t="shared" si="94"/>
        <v>7</v>
      </c>
      <c r="AI217" s="224">
        <f t="shared" si="95"/>
        <v>1.5894677715524095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10">
        <f>'2023'!Wh/'2023'!Env_an*'2024'!Env_an</f>
        <v>46.197248550017143</v>
      </c>
      <c r="C218" s="843"/>
      <c r="D218" s="392">
        <f t="shared" si="77"/>
        <v>48.464537941652011</v>
      </c>
      <c r="E218" s="384">
        <f t="shared" si="75"/>
        <v>49.156844110373385</v>
      </c>
      <c r="F218" s="384">
        <f t="shared" si="78"/>
        <v>49.185511283637275</v>
      </c>
      <c r="G218" s="110">
        <f t="shared" si="76"/>
        <v>0.8631687146703213</v>
      </c>
      <c r="H218" s="413" t="b">
        <f>Wh_hp&gt;='2023'!Maxi_hp</f>
        <v>0</v>
      </c>
      <c r="I218" s="389">
        <f>IF(H218,Wh_hp,'2023'!Maxi_hp)</f>
        <v>55.212338097424414</v>
      </c>
      <c r="J218" s="85">
        <f>IF(H218,An,'2023'!An_max)</f>
        <v>2019</v>
      </c>
      <c r="K218" s="196">
        <f t="shared" si="79"/>
        <v>45495</v>
      </c>
      <c r="L218" s="147">
        <f>IF(t&lt;Tvie,1-EXP((T0-t)*PertePVj)+'2023'!Pspv,1-EXP((T0-t)*PertePVj)+Pspv)</f>
        <v>4.6782441098778806E-2</v>
      </c>
      <c r="M218" s="847"/>
      <c r="N218" s="847"/>
      <c r="O218" s="48">
        <f>IF(t&lt;Tnet,'2023'!Resal+('2023'!Salim-'2023'!Resal)*(1-EXP(('2023'!Tnet-t)/('2023'!Tau_j))),Resal+(Salim-Resal)*(1-EXP((Tnet-t)/(Tau_j))))*Salcycl</f>
        <v>1.4083617067989837E-2</v>
      </c>
      <c r="P218" s="168">
        <f>(INDEX(Models!$BJ218:$BT218,,T218)*(1-R218)+INDEX(Models!$BJ218:$BT218,,T218+1)*R218-ERP_i)*Q218*Ramure*Pc/MaxiM</f>
        <v>7.2429082710941616E-4</v>
      </c>
      <c r="Q218" s="304">
        <f t="shared" si="80"/>
        <v>0.5</v>
      </c>
      <c r="R218" s="176">
        <f t="shared" si="81"/>
        <v>0.59102925340908863</v>
      </c>
      <c r="S218" s="814">
        <f t="shared" si="82"/>
        <v>1</v>
      </c>
      <c r="T218" s="175">
        <f t="shared" si="83"/>
        <v>7</v>
      </c>
      <c r="U218" s="250">
        <f t="shared" si="84"/>
        <v>1.5910292534090886</v>
      </c>
      <c r="V218" s="382">
        <f t="shared" si="85"/>
        <v>53.51295663476899</v>
      </c>
      <c r="W218" s="401">
        <f t="shared" si="86"/>
        <v>46.197248550017143</v>
      </c>
      <c r="X218" s="157">
        <f t="shared" si="87"/>
        <v>45495</v>
      </c>
      <c r="Y218" s="384">
        <f t="shared" si="88"/>
        <v>43.180003659496556</v>
      </c>
      <c r="Z218" s="384">
        <f t="shared" si="89"/>
        <v>45.299211346117431</v>
      </c>
      <c r="AA218" s="385">
        <f t="shared" si="90"/>
        <v>49.156844110373385</v>
      </c>
      <c r="AB218" s="196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7.8476005408205138E-2</v>
      </c>
      <c r="AD218" s="230">
        <f>(INDEX(Models!$BJ218:$BT218,,AH218)*(1-AF218)+INDEX(Models!$BJ218:$BT218,,AH218+1)*AF218-ERP_i)*AE218*Ramure*Pc/MaxiM</f>
        <v>7.2429082710941616E-4</v>
      </c>
      <c r="AE218" s="304">
        <f t="shared" si="92"/>
        <v>0.5</v>
      </c>
      <c r="AF218" s="176">
        <f t="shared" si="93"/>
        <v>0.59102925340908863</v>
      </c>
      <c r="AG218" s="814">
        <f t="shared" si="99"/>
        <v>1</v>
      </c>
      <c r="AH218" s="175">
        <f t="shared" si="94"/>
        <v>7</v>
      </c>
      <c r="AI218" s="224">
        <f t="shared" si="95"/>
        <v>1.5910292534090886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10">
        <f>'2023'!Wh/'2023'!Env_an*'2024'!Env_an</f>
        <v>50.658272758814533</v>
      </c>
      <c r="C219" s="843"/>
      <c r="D219" s="392">
        <f t="shared" si="77"/>
        <v>53.145664868820099</v>
      </c>
      <c r="E219" s="384">
        <f t="shared" si="75"/>
        <v>53.91009034593084</v>
      </c>
      <c r="F219" s="384">
        <f t="shared" si="78"/>
        <v>53.945393468793299</v>
      </c>
      <c r="G219" s="110">
        <f t="shared" si="76"/>
        <v>0.94804790888872692</v>
      </c>
      <c r="H219" s="413" t="b">
        <f>Wh_hp&gt;='2023'!Maxi_hp</f>
        <v>0</v>
      </c>
      <c r="I219" s="389">
        <f>IF(H219,Wh_hp,'2023'!Maxi_hp)</f>
        <v>55.317819769739138</v>
      </c>
      <c r="J219" s="85">
        <f>IF(H219,An,'2023'!An_max)</f>
        <v>2019</v>
      </c>
      <c r="K219" s="196">
        <f t="shared" si="79"/>
        <v>45496</v>
      </c>
      <c r="L219" s="147">
        <f>IF(t&lt;Tvie,1-EXP((T0-t)*PertePVj)+'2023'!Pspv,1-EXP((T0-t)*PertePVj)+Pspv)</f>
        <v>4.6803292726607416E-2</v>
      </c>
      <c r="M219" s="847"/>
      <c r="N219" s="847"/>
      <c r="O219" s="48">
        <f>IF(t&lt;Tnet,'2023'!Resal+('2023'!Salim-'2023'!Resal)*(1-EXP(('2023'!Tnet-t)/('2023'!Tau_j))),Resal+(Salim-Resal)*(1-EXP((Tnet-t)/(Tau_j))))*Salcycl</f>
        <v>1.4179636357601466E-2</v>
      </c>
      <c r="P219" s="168">
        <f>(INDEX(Models!$BJ219:$BT219,,T219)*(1-R219)+INDEX(Models!$BJ219:$BT219,,T219+1)*R219-ERP_i)*Q219*Ramure*Pc/MaxiM</f>
        <v>7.0683226485135039E-4</v>
      </c>
      <c r="Q219" s="304">
        <f t="shared" si="80"/>
        <v>0.5</v>
      </c>
      <c r="R219" s="176">
        <f t="shared" si="81"/>
        <v>0.59254594783481496</v>
      </c>
      <c r="S219" s="814">
        <f t="shared" si="82"/>
        <v>1</v>
      </c>
      <c r="T219" s="175">
        <f t="shared" si="83"/>
        <v>7</v>
      </c>
      <c r="U219" s="250">
        <f t="shared" si="84"/>
        <v>1.592545947834815</v>
      </c>
      <c r="V219" s="382">
        <f t="shared" si="85"/>
        <v>53.431493912981061</v>
      </c>
      <c r="W219" s="401">
        <f t="shared" si="86"/>
        <v>50.658272758814533</v>
      </c>
      <c r="X219" s="157">
        <f t="shared" si="87"/>
        <v>45496</v>
      </c>
      <c r="Y219" s="384">
        <f t="shared" si="88"/>
        <v>47.352766998908805</v>
      </c>
      <c r="Z219" s="384">
        <f t="shared" si="89"/>
        <v>49.677854148658163</v>
      </c>
      <c r="AA219" s="385">
        <f t="shared" si="90"/>
        <v>53.91009034593084</v>
      </c>
      <c r="AB219" s="196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7.8505455474387309E-2</v>
      </c>
      <c r="AD219" s="230">
        <f>(INDEX(Models!$BJ219:$BT219,,AH219)*(1-AF219)+INDEX(Models!$BJ219:$BT219,,AH219+1)*AF219-ERP_i)*AE219*Ramure*Pc/MaxiM</f>
        <v>7.0683226485135039E-4</v>
      </c>
      <c r="AE219" s="304">
        <f t="shared" si="92"/>
        <v>0.5</v>
      </c>
      <c r="AF219" s="176">
        <f t="shared" si="93"/>
        <v>0.59254594783481496</v>
      </c>
      <c r="AG219" s="814">
        <f t="shared" si="99"/>
        <v>1</v>
      </c>
      <c r="AH219" s="175">
        <f t="shared" si="94"/>
        <v>7</v>
      </c>
      <c r="AI219" s="224">
        <f t="shared" si="95"/>
        <v>1.592545947834815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10">
        <f>'2023'!Wh/'2023'!Env_an*'2024'!Env_an</f>
        <v>29.339193768919522</v>
      </c>
      <c r="C220" s="843"/>
      <c r="D220" s="392">
        <f t="shared" si="77"/>
        <v>30.780462577906153</v>
      </c>
      <c r="E220" s="384">
        <f t="shared" si="75"/>
        <v>31.226232329814884</v>
      </c>
      <c r="F220" s="384">
        <f t="shared" si="78"/>
        <v>31.23391499758706</v>
      </c>
      <c r="G220" s="110">
        <f t="shared" si="76"/>
        <v>0.54968691201389097</v>
      </c>
      <c r="H220" s="413" t="b">
        <f>Wh_hp&gt;='2023'!Maxi_hp</f>
        <v>0</v>
      </c>
      <c r="I220" s="389">
        <f>IF(H220,Wh_hp,'2023'!Maxi_hp)</f>
        <v>56.522396659484173</v>
      </c>
      <c r="J220" s="85">
        <f>IF(H220,An,'2023'!An_max)</f>
        <v>2020</v>
      </c>
      <c r="K220" s="196">
        <f t="shared" si="79"/>
        <v>45497</v>
      </c>
      <c r="L220" s="147">
        <f>IF(t&lt;Tvie,1-EXP((T0-t)*PertePVj)+'2023'!Pspv,1-EXP((T0-t)*PertePVj)+Pspv)</f>
        <v>4.6824143897731908E-2</v>
      </c>
      <c r="M220" s="847"/>
      <c r="N220" s="847"/>
      <c r="O220" s="48">
        <f>IF(t&lt;Tnet,'2023'!Resal+('2023'!Salim-'2023'!Resal)*(1-EXP(('2023'!Tnet-t)/('2023'!Tau_j))),Resal+(Salim-Resal)*(1-EXP((Tnet-t)/(Tau_j))))*Salcycl</f>
        <v>1.4275489505120543E-2</v>
      </c>
      <c r="P220" s="168">
        <f>(INDEX(Models!$BJ220:$BT220,,T220)*(1-R220)+INDEX(Models!$BJ220:$BT220,,T220+1)*R220-ERP_i)*Q220*Ramure*Pc/MaxiM</f>
        <v>6.8891288724780601E-4</v>
      </c>
      <c r="Q220" s="304">
        <f t="shared" si="80"/>
        <v>0.5</v>
      </c>
      <c r="R220" s="176">
        <f t="shared" si="81"/>
        <v>0.59401852842709602</v>
      </c>
      <c r="S220" s="814">
        <f t="shared" si="82"/>
        <v>1</v>
      </c>
      <c r="T220" s="175">
        <f t="shared" si="83"/>
        <v>7</v>
      </c>
      <c r="U220" s="250">
        <f t="shared" si="84"/>
        <v>1.594018528427096</v>
      </c>
      <c r="V220" s="382">
        <f t="shared" si="85"/>
        <v>53.350724569581523</v>
      </c>
      <c r="W220" s="401">
        <f t="shared" si="86"/>
        <v>29.339193768919522</v>
      </c>
      <c r="X220" s="157">
        <f t="shared" si="87"/>
        <v>45497</v>
      </c>
      <c r="Y220" s="384">
        <f t="shared" si="88"/>
        <v>27.426582823737593</v>
      </c>
      <c r="Z220" s="384">
        <f t="shared" si="89"/>
        <v>28.773895864180325</v>
      </c>
      <c r="AA220" s="385">
        <f t="shared" si="90"/>
        <v>31.226232329814884</v>
      </c>
      <c r="AB220" s="196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7.8534497525436717E-2</v>
      </c>
      <c r="AD220" s="230">
        <f>(INDEX(Models!$BJ220:$BT220,,AH220)*(1-AF220)+INDEX(Models!$BJ220:$BT220,,AH220+1)*AF220-ERP_i)*AE220*Ramure*Pc/MaxiM</f>
        <v>6.8891288724780601E-4</v>
      </c>
      <c r="AE220" s="304">
        <f t="shared" si="92"/>
        <v>0.5</v>
      </c>
      <c r="AF220" s="176">
        <f t="shared" si="93"/>
        <v>0.59401852842709602</v>
      </c>
      <c r="AG220" s="814">
        <f t="shared" si="99"/>
        <v>1</v>
      </c>
      <c r="AH220" s="175">
        <f t="shared" si="94"/>
        <v>7</v>
      </c>
      <c r="AI220" s="224">
        <f t="shared" si="95"/>
        <v>1.594018528427096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10">
        <f>'2023'!Wh/'2023'!Env_an*'2024'!Env_an</f>
        <v>50.900705453575448</v>
      </c>
      <c r="C221" s="843"/>
      <c r="D221" s="392">
        <f t="shared" si="77"/>
        <v>53.402337674200226</v>
      </c>
      <c r="E221" s="384">
        <f t="shared" si="75"/>
        <v>54.180982329037413</v>
      </c>
      <c r="F221" s="384">
        <f t="shared" si="78"/>
        <v>54.21503713189864</v>
      </c>
      <c r="G221" s="110">
        <f t="shared" si="76"/>
        <v>0.95547623043842533</v>
      </c>
      <c r="H221" s="413" t="b">
        <f>Wh_hp&gt;='2023'!Maxi_hp</f>
        <v>0</v>
      </c>
      <c r="I221" s="389">
        <f>IF(H221,Wh_hp,'2023'!Maxi_hp)</f>
        <v>56.237487014663813</v>
      </c>
      <c r="J221" s="85">
        <f>IF(H221,An,'2023'!An_max)</f>
        <v>2020</v>
      </c>
      <c r="K221" s="196">
        <f t="shared" si="79"/>
        <v>45498</v>
      </c>
      <c r="L221" s="147">
        <f>IF(t&lt;Tvie,1-EXP((T0-t)*PertePVj)+'2023'!Pspv,1-EXP((T0-t)*PertePVj)+Pspv)</f>
        <v>4.6844994612162162E-2</v>
      </c>
      <c r="M221" s="847"/>
      <c r="N221" s="847"/>
      <c r="O221" s="48">
        <f>IF(t&lt;Tnet,'2023'!Resal+('2023'!Salim-'2023'!Resal)*(1-EXP(('2023'!Tnet-t)/('2023'!Tau_j))),Resal+(Salim-Resal)*(1-EXP((Tnet-t)/(Tau_j))))*Salcycl</f>
        <v>1.4371180096154968E-2</v>
      </c>
      <c r="P221" s="168">
        <f>(INDEX(Models!$BJ221:$BT221,,T221)*(1-R221)+INDEX(Models!$BJ221:$BT221,,T221+1)*R221-ERP_i)*Q221*Ramure*Pc/MaxiM</f>
        <v>6.7076856513197678E-4</v>
      </c>
      <c r="Q221" s="304">
        <f t="shared" si="80"/>
        <v>0.5</v>
      </c>
      <c r="R221" s="176">
        <f t="shared" si="81"/>
        <v>0.5954477024938114</v>
      </c>
      <c r="S221" s="814">
        <f t="shared" si="82"/>
        <v>1</v>
      </c>
      <c r="T221" s="175">
        <f t="shared" si="83"/>
        <v>7</v>
      </c>
      <c r="U221" s="250">
        <f t="shared" si="84"/>
        <v>1.5954477024938114</v>
      </c>
      <c r="V221" s="382">
        <f t="shared" si="85"/>
        <v>53.270330337307236</v>
      </c>
      <c r="W221" s="401">
        <f t="shared" si="86"/>
        <v>50.900705453575448</v>
      </c>
      <c r="X221" s="157">
        <f t="shared" si="87"/>
        <v>45498</v>
      </c>
      <c r="Y221" s="384">
        <f t="shared" si="88"/>
        <v>47.585647204088453</v>
      </c>
      <c r="Z221" s="384">
        <f t="shared" si="89"/>
        <v>49.92435326374423</v>
      </c>
      <c r="AA221" s="385">
        <f t="shared" si="90"/>
        <v>54.180982329037413</v>
      </c>
      <c r="AB221" s="196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7.8563157815097553E-2</v>
      </c>
      <c r="AD221" s="230">
        <f>(INDEX(Models!$BJ221:$BT221,,AH221)*(1-AF221)+INDEX(Models!$BJ221:$BT221,,AH221+1)*AF221-ERP_i)*AE221*Ramure*Pc/MaxiM</f>
        <v>6.7076856513197678E-4</v>
      </c>
      <c r="AE221" s="304">
        <f t="shared" si="92"/>
        <v>0.5</v>
      </c>
      <c r="AF221" s="176">
        <f t="shared" si="93"/>
        <v>0.5954477024938114</v>
      </c>
      <c r="AG221" s="814">
        <f t="shared" si="99"/>
        <v>1</v>
      </c>
      <c r="AH221" s="175">
        <f t="shared" si="94"/>
        <v>7</v>
      </c>
      <c r="AI221" s="224">
        <f t="shared" si="95"/>
        <v>1.5954477024938114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10">
        <f>'2023'!Wh/'2023'!Env_an*'2024'!Env_an</f>
        <v>53.777979945716694</v>
      </c>
      <c r="C222" s="843"/>
      <c r="D222" s="392">
        <f t="shared" si="77"/>
        <v>56.422256674220876</v>
      </c>
      <c r="E222" s="384">
        <f t="shared" si="75"/>
        <v>57.250482893618731</v>
      </c>
      <c r="F222" s="384">
        <f t="shared" si="78"/>
        <v>57.287857875556988</v>
      </c>
      <c r="G222" s="110">
        <f t="shared" si="76"/>
        <v>1.0110542313078026</v>
      </c>
      <c r="H222" s="413" t="b">
        <f>Wh_hp&gt;='2023'!Maxi_hp</f>
        <v>1</v>
      </c>
      <c r="I222" s="389">
        <f>IF(H222,Wh_hp,'2023'!Maxi_hp)</f>
        <v>57.287857875556988</v>
      </c>
      <c r="J222" s="85">
        <f>IF(H222,An,'2023'!An_max)</f>
        <v>2024</v>
      </c>
      <c r="K222" s="196">
        <f t="shared" si="79"/>
        <v>45499</v>
      </c>
      <c r="L222" s="147">
        <f>IF(t&lt;Tvie,1-EXP((T0-t)*PertePVj)+'2023'!Pspv,1-EXP((T0-t)*PertePVj)+Pspv)</f>
        <v>4.6865844869908281E-2</v>
      </c>
      <c r="M222" s="847"/>
      <c r="N222" s="847"/>
      <c r="O222" s="48">
        <f>IF(t&lt;Tnet,'2023'!Resal+('2023'!Salim-'2023'!Resal)*(1-EXP(('2023'!Tnet-t)/('2023'!Tau_j))),Resal+(Salim-Resal)*(1-EXP((Tnet-t)/(Tau_j))))*Salcycl</f>
        <v>1.4466711502448673E-2</v>
      </c>
      <c r="P222" s="168">
        <f>(INDEX(Models!$BJ222:$BT222,,T222)*(1-R222)+INDEX(Models!$BJ222:$BT222,,T222+1)*R222-ERP_i)*Q222*Ramure*Pc/MaxiM</f>
        <v>6.5240669356920393E-4</v>
      </c>
      <c r="Q222" s="304">
        <f t="shared" si="80"/>
        <v>0.5</v>
      </c>
      <c r="R222" s="176">
        <f t="shared" si="81"/>
        <v>0.59683420739679094</v>
      </c>
      <c r="S222" s="814">
        <f t="shared" si="82"/>
        <v>1</v>
      </c>
      <c r="T222" s="175">
        <f t="shared" si="83"/>
        <v>7</v>
      </c>
      <c r="U222" s="250">
        <f t="shared" si="84"/>
        <v>1.5968342073967909</v>
      </c>
      <c r="V222" s="382">
        <f t="shared" si="85"/>
        <v>53.1900053236063</v>
      </c>
      <c r="W222" s="401">
        <f t="shared" si="86"/>
        <v>53.777979945716694</v>
      </c>
      <c r="X222" s="157">
        <f t="shared" si="87"/>
        <v>45499</v>
      </c>
      <c r="Y222" s="384">
        <f t="shared" si="88"/>
        <v>50.278859703299631</v>
      </c>
      <c r="Z222" s="384">
        <f t="shared" si="89"/>
        <v>52.75108381404835</v>
      </c>
      <c r="AA222" s="385">
        <f t="shared" si="90"/>
        <v>57.250482893618731</v>
      </c>
      <c r="AB222" s="196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7.8591460755554454E-2</v>
      </c>
      <c r="AD222" s="230">
        <f>(INDEX(Models!$BJ222:$BT222,,AH222)*(1-AF222)+INDEX(Models!$BJ222:$BT222,,AH222+1)*AF222-ERP_i)*AE222*Ramure*Pc/MaxiM</f>
        <v>6.5240669356920393E-4</v>
      </c>
      <c r="AE222" s="304">
        <f t="shared" si="92"/>
        <v>0.5</v>
      </c>
      <c r="AF222" s="176">
        <f t="shared" si="93"/>
        <v>0.59683420739679094</v>
      </c>
      <c r="AG222" s="814">
        <f t="shared" si="99"/>
        <v>1</v>
      </c>
      <c r="AH222" s="175">
        <f t="shared" si="94"/>
        <v>7</v>
      </c>
      <c r="AI222" s="224">
        <f t="shared" si="95"/>
        <v>1.5968342073967909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10">
        <f>'2023'!Wh/'2023'!Env_an*'2024'!Env_an</f>
        <v>45.269817927324354</v>
      </c>
      <c r="C223" s="843"/>
      <c r="D223" s="392">
        <f t="shared" si="77"/>
        <v>47.496785192498152</v>
      </c>
      <c r="E223" s="384">
        <f t="shared" si="75"/>
        <v>48.19865824045138</v>
      </c>
      <c r="F223" s="384">
        <f t="shared" si="78"/>
        <v>48.22277802559686</v>
      </c>
      <c r="G223" s="110">
        <f t="shared" si="76"/>
        <v>0.85227336031288081</v>
      </c>
      <c r="H223" s="413" t="b">
        <f>Wh_hp&gt;='2023'!Maxi_hp</f>
        <v>0</v>
      </c>
      <c r="I223" s="389">
        <f>IF(H223,Wh_hp,'2023'!Maxi_hp)</f>
        <v>58.386184765777948</v>
      </c>
      <c r="J223" s="85">
        <f>IF(H223,An,'2023'!An_max)</f>
        <v>2019</v>
      </c>
      <c r="K223" s="196">
        <f t="shared" si="79"/>
        <v>45500</v>
      </c>
      <c r="L223" s="147">
        <f>IF(t&lt;Tvie,1-EXP((T0-t)*PertePVj)+'2023'!Pspv,1-EXP((T0-t)*PertePVj)+Pspv)</f>
        <v>4.6886694670980257E-2</v>
      </c>
      <c r="M223" s="847"/>
      <c r="N223" s="847"/>
      <c r="O223" s="48">
        <f>IF(t&lt;Tnet,'2023'!Resal+('2023'!Salim-'2023'!Resal)*(1-EXP(('2023'!Tnet-t)/('2023'!Tau_j))),Resal+(Salim-Resal)*(1-EXP((Tnet-t)/(Tau_j))))*Salcycl</f>
        <v>1.4562086862496309E-2</v>
      </c>
      <c r="P223" s="168">
        <f>(INDEX(Models!$BJ223:$BT223,,T223)*(1-R223)+INDEX(Models!$BJ223:$BT223,,T223+1)*R223-ERP_i)*Q223*Ramure*Pc/MaxiM</f>
        <v>6.3383399283230149E-4</v>
      </c>
      <c r="Q223" s="304">
        <f t="shared" si="80"/>
        <v>0.5</v>
      </c>
      <c r="R223" s="176">
        <f t="shared" si="81"/>
        <v>0.59817880702873993</v>
      </c>
      <c r="S223" s="814">
        <f t="shared" si="82"/>
        <v>1</v>
      </c>
      <c r="T223" s="175">
        <f t="shared" si="83"/>
        <v>7</v>
      </c>
      <c r="U223" s="250">
        <f t="shared" si="84"/>
        <v>1.5981788070287399</v>
      </c>
      <c r="V223" s="382">
        <f t="shared" si="85"/>
        <v>53.109443810681825</v>
      </c>
      <c r="W223" s="401">
        <f t="shared" si="86"/>
        <v>45.269817927324354</v>
      </c>
      <c r="X223" s="157">
        <f t="shared" si="87"/>
        <v>45500</v>
      </c>
      <c r="Y223" s="384">
        <f t="shared" si="88"/>
        <v>42.327101627236665</v>
      </c>
      <c r="Z223" s="384">
        <f t="shared" si="89"/>
        <v>44.409307257152527</v>
      </c>
      <c r="AA223" s="385">
        <f t="shared" si="90"/>
        <v>48.19865824045138</v>
      </c>
      <c r="AB223" s="196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7.8619428872785321E-2</v>
      </c>
      <c r="AD223" s="230">
        <f>(INDEX(Models!$BJ223:$BT223,,AH223)*(1-AF223)+INDEX(Models!$BJ223:$BT223,,AH223+1)*AF223-ERP_i)*AE223*Ramure*Pc/MaxiM</f>
        <v>6.3383399283230149E-4</v>
      </c>
      <c r="AE223" s="304">
        <f t="shared" si="92"/>
        <v>0.5</v>
      </c>
      <c r="AF223" s="176">
        <f t="shared" si="93"/>
        <v>0.59817880702873993</v>
      </c>
      <c r="AG223" s="814">
        <f t="shared" si="99"/>
        <v>1</v>
      </c>
      <c r="AH223" s="175">
        <f t="shared" si="94"/>
        <v>7</v>
      </c>
      <c r="AI223" s="224">
        <f t="shared" si="95"/>
        <v>1.5981788070287399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10">
        <f>'2023'!Wh/'2023'!Env_an*'2024'!Env_an</f>
        <v>26.49936312554496</v>
      </c>
      <c r="C224" s="843"/>
      <c r="D224" s="392">
        <f t="shared" si="77"/>
        <v>27.803559832156306</v>
      </c>
      <c r="E224" s="384">
        <f t="shared" si="75"/>
        <v>28.217147280777407</v>
      </c>
      <c r="F224" s="384">
        <f t="shared" si="78"/>
        <v>28.22209983837439</v>
      </c>
      <c r="G224" s="110">
        <f t="shared" si="76"/>
        <v>0.49950107039332603</v>
      </c>
      <c r="H224" s="413" t="b">
        <f>Wh_hp&gt;='2023'!Maxi_hp</f>
        <v>0</v>
      </c>
      <c r="I224" s="389">
        <f>IF(H224,Wh_hp,'2023'!Maxi_hp)</f>
        <v>57.892402465153239</v>
      </c>
      <c r="J224" s="85">
        <f>IF(H224,An,'2023'!An_max)</f>
        <v>2019</v>
      </c>
      <c r="K224" s="196">
        <f t="shared" si="79"/>
        <v>45501</v>
      </c>
      <c r="L224" s="147">
        <f>IF(t&lt;Tvie,1-EXP((T0-t)*PertePVj)+'2023'!Pspv,1-EXP((T0-t)*PertePVj)+Pspv)</f>
        <v>4.6907544015387971E-2</v>
      </c>
      <c r="M224" s="847"/>
      <c r="N224" s="847"/>
      <c r="O224" s="48">
        <f>IF(t&lt;Tnet,'2023'!Resal+('2023'!Salim-'2023'!Resal)*(1-EXP(('2023'!Tnet-t)/('2023'!Tau_j))),Resal+(Salim-Resal)*(1-EXP((Tnet-t)/(Tau_j))))*Salcycl</f>
        <v>1.4657309064791632E-2</v>
      </c>
      <c r="P224" s="168">
        <f>(INDEX(Models!$BJ224:$BT224,,T224)*(1-R224)+INDEX(Models!$BJ224:$BT224,,T224+1)*R224-ERP_i)*Q224*Ramure*Pc/MaxiM</f>
        <v>6.1505650373294934E-4</v>
      </c>
      <c r="Q224" s="304">
        <f t="shared" si="80"/>
        <v>0.5</v>
      </c>
      <c r="R224" s="176">
        <f t="shared" si="81"/>
        <v>0.59948228843115992</v>
      </c>
      <c r="S224" s="814">
        <f t="shared" si="82"/>
        <v>1</v>
      </c>
      <c r="T224" s="175">
        <f t="shared" si="83"/>
        <v>7</v>
      </c>
      <c r="U224" s="250">
        <f t="shared" si="84"/>
        <v>1.5994822884311599</v>
      </c>
      <c r="V224" s="382">
        <f t="shared" si="85"/>
        <v>53.02834025476205</v>
      </c>
      <c r="W224" s="401">
        <f t="shared" si="86"/>
        <v>26.49936312554496</v>
      </c>
      <c r="X224" s="157">
        <f t="shared" si="87"/>
        <v>45501</v>
      </c>
      <c r="Y224" s="384">
        <f t="shared" si="88"/>
        <v>24.778450933745063</v>
      </c>
      <c r="Z224" s="384">
        <f t="shared" si="89"/>
        <v>25.997950962844595</v>
      </c>
      <c r="AA224" s="385">
        <f t="shared" si="90"/>
        <v>28.217147280777407</v>
      </c>
      <c r="AB224" s="196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7.8647082777379654E-2</v>
      </c>
      <c r="AD224" s="230">
        <f>(INDEX(Models!$BJ224:$BT224,,AH224)*(1-AF224)+INDEX(Models!$BJ224:$BT224,,AH224+1)*AF224-ERP_i)*AE224*Ramure*Pc/MaxiM</f>
        <v>6.1505650373294934E-4</v>
      </c>
      <c r="AE224" s="304">
        <f t="shared" si="92"/>
        <v>0.5</v>
      </c>
      <c r="AF224" s="176">
        <f t="shared" si="93"/>
        <v>0.59948228843115992</v>
      </c>
      <c r="AG224" s="814">
        <f t="shared" si="99"/>
        <v>1</v>
      </c>
      <c r="AH224" s="175">
        <f t="shared" si="94"/>
        <v>7</v>
      </c>
      <c r="AI224" s="224">
        <f t="shared" si="95"/>
        <v>1.5994822884311599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10">
        <f>'2023'!Wh/'2023'!Env_an*'2024'!Env_an</f>
        <v>45.728338701922183</v>
      </c>
      <c r="C225" s="843"/>
      <c r="D225" s="392">
        <f t="shared" si="77"/>
        <v>47.979961171243794</v>
      </c>
      <c r="E225" s="384">
        <f t="shared" si="75"/>
        <v>48.698378187379994</v>
      </c>
      <c r="F225" s="384">
        <f t="shared" si="78"/>
        <v>48.721764192290124</v>
      </c>
      <c r="G225" s="110">
        <f t="shared" si="76"/>
        <v>0.86357215718266522</v>
      </c>
      <c r="H225" s="413" t="b">
        <f>Wh_hp&gt;='2023'!Maxi_hp</f>
        <v>0</v>
      </c>
      <c r="I225" s="389">
        <f>IF(H225,Wh_hp,'2023'!Maxi_hp)</f>
        <v>50.981621896708326</v>
      </c>
      <c r="J225" s="85">
        <f>IF(H225,An,'2023'!An_max)</f>
        <v>2020</v>
      </c>
      <c r="K225" s="196">
        <f t="shared" si="79"/>
        <v>45502</v>
      </c>
      <c r="L225" s="147">
        <f>IF(t&lt;Tvie,1-EXP((T0-t)*PertePVj)+'2023'!Pspv,1-EXP((T0-t)*PertePVj)+Pspv)</f>
        <v>4.6928392903141637E-2</v>
      </c>
      <c r="M225" s="847"/>
      <c r="N225" s="847"/>
      <c r="O225" s="48">
        <f>IF(t&lt;Tnet,'2023'!Resal+('2023'!Salim-'2023'!Resal)*(1-EXP(('2023'!Tnet-t)/('2023'!Tau_j))),Resal+(Salim-Resal)*(1-EXP((Tnet-t)/(Tau_j))))*Salcycl</f>
        <v>1.4752380733746384E-2</v>
      </c>
      <c r="P225" s="168">
        <f>(INDEX(Models!$BJ225:$BT225,,T225)*(1-R225)+INDEX(Models!$BJ225:$BT225,,T225+1)*R225-ERP_i)*Q225*Ramure*Pc/MaxiM</f>
        <v>5.9607958555917332E-4</v>
      </c>
      <c r="Q225" s="304">
        <f t="shared" si="80"/>
        <v>0.5</v>
      </c>
      <c r="R225" s="176">
        <f t="shared" si="81"/>
        <v>0.60074545855928929</v>
      </c>
      <c r="S225" s="814">
        <f t="shared" si="82"/>
        <v>1</v>
      </c>
      <c r="T225" s="175">
        <f t="shared" si="83"/>
        <v>7</v>
      </c>
      <c r="U225" s="250">
        <f t="shared" si="84"/>
        <v>1.6007454585592893</v>
      </c>
      <c r="V225" s="382">
        <f t="shared" si="85"/>
        <v>52.946389286632019</v>
      </c>
      <c r="W225" s="401">
        <f t="shared" si="86"/>
        <v>45.728338701922183</v>
      </c>
      <c r="X225" s="157">
        <f t="shared" si="87"/>
        <v>45502</v>
      </c>
      <c r="Y225" s="384">
        <f t="shared" si="88"/>
        <v>42.761521455074067</v>
      </c>
      <c r="Z225" s="384">
        <f t="shared" si="89"/>
        <v>44.867060498559496</v>
      </c>
      <c r="AA225" s="385">
        <f t="shared" si="90"/>
        <v>48.698378187379994</v>
      </c>
      <c r="AB225" s="196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7.8674441150349647E-2</v>
      </c>
      <c r="AD225" s="230">
        <f>(INDEX(Models!$BJ225:$BT225,,AH225)*(1-AF225)+INDEX(Models!$BJ225:$BT225,,AH225+1)*AF225-ERP_i)*AE225*Ramure*Pc/MaxiM</f>
        <v>5.9607958555917332E-4</v>
      </c>
      <c r="AE225" s="304">
        <f t="shared" si="92"/>
        <v>0.5</v>
      </c>
      <c r="AF225" s="176">
        <f t="shared" si="93"/>
        <v>0.60074545855928929</v>
      </c>
      <c r="AG225" s="814">
        <f t="shared" si="99"/>
        <v>1</v>
      </c>
      <c r="AH225" s="175">
        <f t="shared" si="94"/>
        <v>7</v>
      </c>
      <c r="AI225" s="224">
        <f t="shared" si="95"/>
        <v>1.6007454585592893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10">
        <f>'2023'!Wh/'2023'!Env_an*'2024'!Env_an</f>
        <v>52.300628474976286</v>
      </c>
      <c r="C226" s="843"/>
      <c r="D226" s="392">
        <f t="shared" si="77"/>
        <v>54.877065045513497</v>
      </c>
      <c r="E226" s="384">
        <f t="shared" si="75"/>
        <v>55.704121077361279</v>
      </c>
      <c r="F226" s="384">
        <f t="shared" si="78"/>
        <v>55.735801204992178</v>
      </c>
      <c r="G226" s="110">
        <f t="shared" si="76"/>
        <v>0.98934794639768908</v>
      </c>
      <c r="H226" s="413" t="b">
        <f>Wh_hp&gt;='2023'!Maxi_hp</f>
        <v>0</v>
      </c>
      <c r="I226" s="389">
        <f>IF(H226,Wh_hp,'2023'!Maxi_hp)</f>
        <v>55.735960733869604</v>
      </c>
      <c r="J226" s="85">
        <f>IF(H226,An,'2023'!An_max)</f>
        <v>2022</v>
      </c>
      <c r="K226" s="196">
        <f t="shared" si="79"/>
        <v>45503</v>
      </c>
      <c r="L226" s="147">
        <f>IF(t&lt;Tvie,1-EXP((T0-t)*PertePVj)+'2023'!Pspv,1-EXP((T0-t)*PertePVj)+Pspv)</f>
        <v>4.6949241334251136E-2</v>
      </c>
      <c r="M226" s="847"/>
      <c r="N226" s="847"/>
      <c r="O226" s="48">
        <f>IF(t&lt;Tnet,'2023'!Resal+('2023'!Salim-'2023'!Resal)*(1-EXP(('2023'!Tnet-t)/('2023'!Tau_j))),Resal+(Salim-Resal)*(1-EXP((Tnet-t)/(Tau_j))))*Salcycl</f>
        <v>1.4847304218285336E-2</v>
      </c>
      <c r="P226" s="168">
        <f>(INDEX(Models!$BJ226:$BT226,,T226)*(1-R226)+INDEX(Models!$BJ226:$BT226,,T226+1)*R226-ERP_i)*Q226*Ramure*Pc/MaxiM</f>
        <v>5.7717399429246645E-4</v>
      </c>
      <c r="Q226" s="304">
        <f t="shared" si="80"/>
        <v>0.5</v>
      </c>
      <c r="R226" s="176">
        <f t="shared" si="81"/>
        <v>0.60196914119857325</v>
      </c>
      <c r="S226" s="814">
        <f t="shared" si="82"/>
        <v>1</v>
      </c>
      <c r="T226" s="175">
        <f t="shared" si="83"/>
        <v>7</v>
      </c>
      <c r="U226" s="250">
        <f t="shared" si="84"/>
        <v>1.6019691411985733</v>
      </c>
      <c r="V226" s="382">
        <f t="shared" si="85"/>
        <v>52.863271636088029</v>
      </c>
      <c r="W226" s="401">
        <f t="shared" si="86"/>
        <v>52.300628474976286</v>
      </c>
      <c r="X226" s="157">
        <f t="shared" si="87"/>
        <v>45503</v>
      </c>
      <c r="Y226" s="384">
        <f t="shared" si="88"/>
        <v>48.910681242088891</v>
      </c>
      <c r="Z226" s="384">
        <f t="shared" si="89"/>
        <v>51.320122036902653</v>
      </c>
      <c r="AA226" s="385">
        <f t="shared" si="90"/>
        <v>55.704121077361279</v>
      </c>
      <c r="AB226" s="196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7.8701520743324815E-2</v>
      </c>
      <c r="AD226" s="230">
        <f>(INDEX(Models!$BJ226:$BT226,,AH226)*(1-AF226)+INDEX(Models!$BJ226:$BT226,,AH226+1)*AF226-ERP_i)*AE226*Ramure*Pc/MaxiM</f>
        <v>5.7717399429246645E-4</v>
      </c>
      <c r="AE226" s="304">
        <f t="shared" si="92"/>
        <v>0.5</v>
      </c>
      <c r="AF226" s="176">
        <f t="shared" si="93"/>
        <v>0.60196914119857325</v>
      </c>
      <c r="AG226" s="814">
        <f t="shared" si="99"/>
        <v>1</v>
      </c>
      <c r="AH226" s="175">
        <f t="shared" si="94"/>
        <v>7</v>
      </c>
      <c r="AI226" s="224">
        <f t="shared" si="95"/>
        <v>1.6019691411985733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10">
        <f>'2023'!Wh/'2023'!Env_an*'2024'!Env_an</f>
        <v>52.086504083603344</v>
      </c>
      <c r="C227" s="843"/>
      <c r="D227" s="392">
        <f t="shared" si="77"/>
        <v>54.653587992660981</v>
      </c>
      <c r="E227" s="384">
        <f t="shared" si="75"/>
        <v>55.482613733510313</v>
      </c>
      <c r="F227" s="384">
        <f t="shared" si="78"/>
        <v>55.513031625695099</v>
      </c>
      <c r="G227" s="110">
        <f t="shared" si="76"/>
        <v>0.98687499675965862</v>
      </c>
      <c r="H227" s="413" t="b">
        <f>Wh_hp&gt;='2023'!Maxi_hp</f>
        <v>0</v>
      </c>
      <c r="I227" s="389">
        <f>IF(H227,Wh_hp,'2023'!Maxi_hp)</f>
        <v>55.513221214938589</v>
      </c>
      <c r="J227" s="85">
        <f>IF(H227,An,'2023'!An_max)</f>
        <v>2022</v>
      </c>
      <c r="K227" s="196">
        <f t="shared" si="79"/>
        <v>45504</v>
      </c>
      <c r="L227" s="147">
        <f>IF(t&lt;Tvie,1-EXP((T0-t)*PertePVj)+'2023'!Pspv,1-EXP((T0-t)*PertePVj)+Pspv)</f>
        <v>4.6970089308726572E-2</v>
      </c>
      <c r="M227" s="847"/>
      <c r="N227" s="847"/>
      <c r="O227" s="48">
        <f>IF(t&lt;Tnet,'2023'!Resal+('2023'!Salim-'2023'!Resal)*(1-EXP(('2023'!Tnet-t)/('2023'!Tau_j))),Resal+(Salim-Resal)*(1-EXP((Tnet-t)/(Tau_j))))*Salcycl</f>
        <v>1.4942081583092751E-2</v>
      </c>
      <c r="P227" s="168">
        <f>(INDEX(Models!$BJ227:$BT227,,T227)*(1-R227)+INDEX(Models!$BJ227:$BT227,,T227+1)*R227-ERP_i)*Q227*Ramure*Pc/MaxiM</f>
        <v>5.5840329426128533E-4</v>
      </c>
      <c r="Q227" s="304">
        <f t="shared" si="80"/>
        <v>0.5</v>
      </c>
      <c r="R227" s="176">
        <f t="shared" si="81"/>
        <v>0.60315417403577465</v>
      </c>
      <c r="S227" s="814">
        <f t="shared" si="82"/>
        <v>1</v>
      </c>
      <c r="T227" s="175">
        <f t="shared" si="83"/>
        <v>7</v>
      </c>
      <c r="U227" s="250">
        <f t="shared" si="84"/>
        <v>1.6031541740357746</v>
      </c>
      <c r="V227" s="382">
        <f t="shared" si="85"/>
        <v>52.778679200561371</v>
      </c>
      <c r="W227" s="401">
        <f t="shared" si="86"/>
        <v>52.086504083603344</v>
      </c>
      <c r="X227" s="157">
        <f t="shared" si="87"/>
        <v>45504</v>
      </c>
      <c r="Y227" s="384">
        <f t="shared" si="88"/>
        <v>48.713704414176959</v>
      </c>
      <c r="Z227" s="384">
        <f t="shared" si="89"/>
        <v>51.114559855569297</v>
      </c>
      <c r="AA227" s="385">
        <f t="shared" si="90"/>
        <v>55.482613733510313</v>
      </c>
      <c r="AB227" s="196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7.8728336392393183E-2</v>
      </c>
      <c r="AD227" s="230">
        <f>(INDEX(Models!$BJ227:$BT227,,AH227)*(1-AF227)+INDEX(Models!$BJ227:$BT227,,AH227+1)*AF227-ERP_i)*AE227*Ramure*Pc/MaxiM</f>
        <v>5.5840329426128533E-4</v>
      </c>
      <c r="AE227" s="304">
        <f t="shared" si="92"/>
        <v>0.5</v>
      </c>
      <c r="AF227" s="176">
        <f t="shared" si="93"/>
        <v>0.60315417403577465</v>
      </c>
      <c r="AG227" s="814">
        <f t="shared" si="99"/>
        <v>1</v>
      </c>
      <c r="AH227" s="175">
        <f t="shared" si="94"/>
        <v>7</v>
      </c>
      <c r="AI227" s="224">
        <f t="shared" si="95"/>
        <v>1.6031541740357746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10">
        <f>'2023'!Wh/'2023'!Env_an*'2024'!Env_an</f>
        <v>52.293413077478448</v>
      </c>
      <c r="C228" s="843"/>
      <c r="D228" s="392">
        <f t="shared" si="77"/>
        <v>54.871894820545307</v>
      </c>
      <c r="E228" s="384">
        <f t="shared" si="75"/>
        <v>55.709583934794331</v>
      </c>
      <c r="F228" s="384">
        <f t="shared" si="78"/>
        <v>55.739345146977172</v>
      </c>
      <c r="G228" s="110">
        <f t="shared" si="76"/>
        <v>0.99242395195613264</v>
      </c>
      <c r="H228" s="413" t="b">
        <f>Wh_hp&gt;='2023'!Maxi_hp</f>
        <v>0</v>
      </c>
      <c r="I228" s="389">
        <f>IF(H228,Wh_hp,'2023'!Maxi_hp)</f>
        <v>55.739451495445259</v>
      </c>
      <c r="J228" s="85">
        <f>IF(H228,An,'2023'!An_max)</f>
        <v>2022</v>
      </c>
      <c r="K228" s="196">
        <f t="shared" si="79"/>
        <v>45505</v>
      </c>
      <c r="L228" s="147">
        <f>IF(t&lt;Tvie,1-EXP((T0-t)*PertePVj)+'2023'!Pspv,1-EXP((T0-t)*PertePVj)+Pspv)</f>
        <v>4.6990936826577713E-2</v>
      </c>
      <c r="M228" s="847"/>
      <c r="N228" s="847"/>
      <c r="O228" s="48">
        <f>IF(t&lt;Tnet,'2023'!Resal+('2023'!Salim-'2023'!Resal)*(1-EXP(('2023'!Tnet-t)/('2023'!Tau_j))),Resal+(Salim-Resal)*(1-EXP((Tnet-t)/(Tau_j))))*Salcycl</f>
        <v>1.5036714602455148E-2</v>
      </c>
      <c r="P228" s="168">
        <f>(INDEX(Models!$BJ228:$BT228,,T228)*(1-R228)+INDEX(Models!$BJ228:$BT228,,T228+1)*R228-ERP_i)*Q228*Ramure*Pc/MaxiM</f>
        <v>5.3977289972819938E-4</v>
      </c>
      <c r="Q228" s="304">
        <f t="shared" si="80"/>
        <v>0.5</v>
      </c>
      <c r="R228" s="176">
        <f t="shared" si="81"/>
        <v>0.60430140588655679</v>
      </c>
      <c r="S228" s="814">
        <f t="shared" si="82"/>
        <v>1</v>
      </c>
      <c r="T228" s="175">
        <f t="shared" si="83"/>
        <v>7</v>
      </c>
      <c r="U228" s="250">
        <f t="shared" si="84"/>
        <v>1.6043014058865568</v>
      </c>
      <c r="V228" s="382">
        <f t="shared" si="85"/>
        <v>52.692307104254581</v>
      </c>
      <c r="W228" s="401">
        <f t="shared" si="86"/>
        <v>52.293413077478448</v>
      </c>
      <c r="X228" s="157">
        <f t="shared" si="87"/>
        <v>45505</v>
      </c>
      <c r="Y228" s="384">
        <f t="shared" si="88"/>
        <v>48.910503791850616</v>
      </c>
      <c r="Z228" s="384">
        <f t="shared" si="89"/>
        <v>51.322181164766327</v>
      </c>
      <c r="AA228" s="385">
        <f t="shared" si="90"/>
        <v>55.709583934794331</v>
      </c>
      <c r="AB228" s="196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7.8754901044733538E-2</v>
      </c>
      <c r="AD228" s="230">
        <f>(INDEX(Models!$BJ228:$BT228,,AH228)*(1-AF228)+INDEX(Models!$BJ228:$BT228,,AH228+1)*AF228-ERP_i)*AE228*Ramure*Pc/MaxiM</f>
        <v>5.3977289972819938E-4</v>
      </c>
      <c r="AE228" s="304">
        <f t="shared" si="92"/>
        <v>0.5</v>
      </c>
      <c r="AF228" s="176">
        <f t="shared" si="93"/>
        <v>0.60430140588655679</v>
      </c>
      <c r="AG228" s="814">
        <f t="shared" si="99"/>
        <v>1</v>
      </c>
      <c r="AH228" s="175">
        <f t="shared" si="94"/>
        <v>7</v>
      </c>
      <c r="AI228" s="224">
        <f t="shared" si="95"/>
        <v>1.6043014058865568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10">
        <f>'2023'!Wh/'2023'!Env_an*'2024'!Env_an</f>
        <v>50.104942126125863</v>
      </c>
      <c r="C229" s="843"/>
      <c r="D229" s="392">
        <f t="shared" si="77"/>
        <v>52.576664935621345</v>
      </c>
      <c r="E229" s="384">
        <f t="shared" si="75"/>
        <v>53.384435763982601</v>
      </c>
      <c r="F229" s="384">
        <f t="shared" si="78"/>
        <v>53.410388475148849</v>
      </c>
      <c r="G229" s="110">
        <f t="shared" si="76"/>
        <v>0.95246199899839823</v>
      </c>
      <c r="H229" s="413" t="b">
        <f>Wh_hp&gt;='2023'!Maxi_hp</f>
        <v>0</v>
      </c>
      <c r="I229" s="389">
        <f>IF(H229,Wh_hp,'2023'!Maxi_hp)</f>
        <v>56.092480847378184</v>
      </c>
      <c r="J229" s="85">
        <f>IF(H229,An,'2023'!An_max)</f>
        <v>2019</v>
      </c>
      <c r="K229" s="196">
        <f t="shared" si="79"/>
        <v>45506</v>
      </c>
      <c r="L229" s="147">
        <f>IF(t&lt;Tvie,1-EXP((T0-t)*PertePVj)+'2023'!Pspv,1-EXP((T0-t)*PertePVj)+Pspv)</f>
        <v>4.7011783887814775E-2</v>
      </c>
      <c r="M229" s="847"/>
      <c r="N229" s="847"/>
      <c r="O229" s="48">
        <f>IF(t&lt;Tnet,'2023'!Resal+('2023'!Salim-'2023'!Resal)*(1-EXP(('2023'!Tnet-t)/('2023'!Tau_j))),Resal+(Salim-Resal)*(1-EXP((Tnet-t)/(Tau_j))))*Salcycl</f>
        <v>1.513120475661647E-2</v>
      </c>
      <c r="P229" s="168">
        <f>(INDEX(Models!$BJ229:$BT229,,T229)*(1-R229)+INDEX(Models!$BJ229:$BT229,,T229+1)*R229-ERP_i)*Q229*Ramure*Pc/MaxiM</f>
        <v>5.2128757703125345E-4</v>
      </c>
      <c r="Q229" s="304">
        <f t="shared" si="80"/>
        <v>0.5</v>
      </c>
      <c r="R229" s="176">
        <f t="shared" si="81"/>
        <v>0.60541169408019058</v>
      </c>
      <c r="S229" s="814">
        <f t="shared" si="82"/>
        <v>1</v>
      </c>
      <c r="T229" s="175">
        <f t="shared" si="83"/>
        <v>7</v>
      </c>
      <c r="U229" s="250">
        <f t="shared" si="84"/>
        <v>1.6054116940801906</v>
      </c>
      <c r="V229" s="382">
        <f t="shared" si="85"/>
        <v>52.603850642511986</v>
      </c>
      <c r="W229" s="401">
        <f t="shared" si="86"/>
        <v>50.104942126125863</v>
      </c>
      <c r="X229" s="157">
        <f t="shared" si="87"/>
        <v>45506</v>
      </c>
      <c r="Y229" s="384">
        <f t="shared" si="88"/>
        <v>46.866763968830483</v>
      </c>
      <c r="Z229" s="384">
        <f t="shared" si="89"/>
        <v>49.178744476010763</v>
      </c>
      <c r="AA229" s="385">
        <f t="shared" si="90"/>
        <v>53.384435763982601</v>
      </c>
      <c r="AB229" s="196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7.8781225797076443E-2</v>
      </c>
      <c r="AD229" s="230">
        <f>(INDEX(Models!$BJ229:$BT229,,AH229)*(1-AF229)+INDEX(Models!$BJ229:$BT229,,AH229+1)*AF229-ERP_i)*AE229*Ramure*Pc/MaxiM</f>
        <v>5.2128757703125345E-4</v>
      </c>
      <c r="AE229" s="304">
        <f t="shared" si="92"/>
        <v>0.5</v>
      </c>
      <c r="AF229" s="176">
        <f t="shared" si="93"/>
        <v>0.60541169408019058</v>
      </c>
      <c r="AG229" s="814">
        <f t="shared" si="99"/>
        <v>1</v>
      </c>
      <c r="AH229" s="175">
        <f t="shared" si="94"/>
        <v>7</v>
      </c>
      <c r="AI229" s="224">
        <f t="shared" si="95"/>
        <v>1.6054116940801906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10">
        <f>'2023'!Wh/'2023'!Env_an*'2024'!Env_an</f>
        <v>47.017572340181729</v>
      </c>
      <c r="C230" s="843"/>
      <c r="D230" s="392">
        <f t="shared" si="77"/>
        <v>49.338071632482183</v>
      </c>
      <c r="E230" s="384">
        <f t="shared" si="75"/>
        <v>50.100885328955044</v>
      </c>
      <c r="F230" s="384">
        <f t="shared" si="78"/>
        <v>50.122325702843582</v>
      </c>
      <c r="G230" s="110">
        <f t="shared" si="76"/>
        <v>0.89528365969584445</v>
      </c>
      <c r="H230" s="413" t="b">
        <f>Wh_hp&gt;='2023'!Maxi_hp</f>
        <v>0</v>
      </c>
      <c r="I230" s="389">
        <f>IF(H230,Wh_hp,'2023'!Maxi_hp)</f>
        <v>52.936123470546605</v>
      </c>
      <c r="J230" s="85">
        <f>IF(H230,An,'2023'!An_max)</f>
        <v>2018</v>
      </c>
      <c r="K230" s="196">
        <f t="shared" si="79"/>
        <v>45507</v>
      </c>
      <c r="L230" s="147">
        <f>IF(t&lt;Tvie,1-EXP((T0-t)*PertePVj)+'2023'!Pspv,1-EXP((T0-t)*PertePVj)+Pspv)</f>
        <v>4.7032630492447748E-2</v>
      </c>
      <c r="M230" s="847"/>
      <c r="N230" s="847"/>
      <c r="O230" s="48">
        <f>IF(t&lt;Tnet,'2023'!Resal+('2023'!Salim-'2023'!Resal)*(1-EXP(('2023'!Tnet-t)/('2023'!Tau_j))),Resal+(Salim-Resal)*(1-EXP((Tnet-t)/(Tau_j))))*Salcycl</f>
        <v>1.5225553230533566E-2</v>
      </c>
      <c r="P230" s="168">
        <f>(INDEX(Models!$BJ230:$BT230,,T230)*(1-R230)+INDEX(Models!$BJ230:$BT230,,T230+1)*R230-ERP_i)*Q230*Ramure*Pc/MaxiM</f>
        <v>5.029514739544323E-4</v>
      </c>
      <c r="Q230" s="304">
        <f t="shared" si="80"/>
        <v>0.5</v>
      </c>
      <c r="R230" s="176">
        <f t="shared" si="81"/>
        <v>0.60648590200099672</v>
      </c>
      <c r="S230" s="814">
        <f t="shared" si="82"/>
        <v>1</v>
      </c>
      <c r="T230" s="175">
        <f t="shared" si="83"/>
        <v>7</v>
      </c>
      <c r="U230" s="250">
        <f t="shared" si="84"/>
        <v>1.6064859020009967</v>
      </c>
      <c r="V230" s="382">
        <f t="shared" si="85"/>
        <v>52.513005283230484</v>
      </c>
      <c r="W230" s="401">
        <f t="shared" si="86"/>
        <v>47.017572340181729</v>
      </c>
      <c r="X230" s="157">
        <f t="shared" si="87"/>
        <v>45507</v>
      </c>
      <c r="Y230" s="384">
        <f t="shared" si="88"/>
        <v>43.981892113285248</v>
      </c>
      <c r="Z230" s="384">
        <f t="shared" si="89"/>
        <v>46.152568829311519</v>
      </c>
      <c r="AA230" s="385">
        <f t="shared" si="90"/>
        <v>50.100885328955044</v>
      </c>
      <c r="AB230" s="196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7.8807319944936283E-2</v>
      </c>
      <c r="AD230" s="230">
        <f>(INDEX(Models!$BJ230:$BT230,,AH230)*(1-AF230)+INDEX(Models!$BJ230:$BT230,,AH230+1)*AF230-ERP_i)*AE230*Ramure*Pc/MaxiM</f>
        <v>5.029514739544323E-4</v>
      </c>
      <c r="AE230" s="304">
        <f t="shared" si="92"/>
        <v>0.5</v>
      </c>
      <c r="AF230" s="176">
        <f t="shared" si="93"/>
        <v>0.60648590200099672</v>
      </c>
      <c r="AG230" s="814">
        <f t="shared" si="99"/>
        <v>1</v>
      </c>
      <c r="AH230" s="175">
        <f t="shared" si="94"/>
        <v>7</v>
      </c>
      <c r="AI230" s="224">
        <f t="shared" si="95"/>
        <v>1.6064859020009967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10">
        <f>'2023'!Wh/'2023'!Env_an*'2024'!Env_an</f>
        <v>43.744541171009018</v>
      </c>
      <c r="C231" s="843"/>
      <c r="D231" s="392">
        <f t="shared" si="77"/>
        <v>45.904507859257627</v>
      </c>
      <c r="E231" s="384">
        <f t="shared" si="75"/>
        <v>46.618695122701752</v>
      </c>
      <c r="F231" s="384">
        <f t="shared" si="78"/>
        <v>46.635957966507981</v>
      </c>
      <c r="G231" s="110">
        <f t="shared" si="76"/>
        <v>0.83441379110987102</v>
      </c>
      <c r="H231" s="413" t="b">
        <f>Wh_hp&gt;='2023'!Maxi_hp</f>
        <v>0</v>
      </c>
      <c r="I231" s="389">
        <f>IF(H231,Wh_hp,'2023'!Maxi_hp)</f>
        <v>56.311096677498618</v>
      </c>
      <c r="J231" s="85">
        <f>IF(H231,An,'2023'!An_max)</f>
        <v>2020</v>
      </c>
      <c r="K231" s="196">
        <f t="shared" si="79"/>
        <v>45508</v>
      </c>
      <c r="L231" s="147">
        <f>IF(t&lt;Tvie,1-EXP((T0-t)*PertePVj)+'2023'!Pspv,1-EXP((T0-t)*PertePVj)+Pspv)</f>
        <v>4.7053476640486515E-2</v>
      </c>
      <c r="M231" s="847"/>
      <c r="N231" s="847"/>
      <c r="O231" s="48">
        <f>IF(t&lt;Tnet,'2023'!Resal+('2023'!Salim-'2023'!Resal)*(1-EXP(('2023'!Tnet-t)/('2023'!Tau_j))),Resal+(Salim-Resal)*(1-EXP((Tnet-t)/(Tau_j))))*Salcycl</f>
        <v>1.5319760914893997E-2</v>
      </c>
      <c r="P231" s="168">
        <f>(INDEX(Models!$BJ231:$BT231,,T231)*(1-R231)+INDEX(Models!$BJ231:$BT231,,T231+1)*R231-ERP_i)*Q231*Ramure*Pc/MaxiM</f>
        <v>4.8476814907645355E-4</v>
      </c>
      <c r="Q231" s="304">
        <f t="shared" si="80"/>
        <v>0.5</v>
      </c>
      <c r="R231" s="176">
        <f t="shared" si="81"/>
        <v>0.60752489678518207</v>
      </c>
      <c r="S231" s="814">
        <f t="shared" si="82"/>
        <v>1</v>
      </c>
      <c r="T231" s="175">
        <f t="shared" si="83"/>
        <v>7</v>
      </c>
      <c r="U231" s="250">
        <f t="shared" si="84"/>
        <v>1.6075248967851821</v>
      </c>
      <c r="V231" s="382">
        <f t="shared" si="85"/>
        <v>52.41946666326011</v>
      </c>
      <c r="W231" s="401">
        <f t="shared" si="86"/>
        <v>43.744541171009018</v>
      </c>
      <c r="X231" s="157">
        <f t="shared" si="87"/>
        <v>45508</v>
      </c>
      <c r="Y231" s="384">
        <f t="shared" si="88"/>
        <v>40.922949197491128</v>
      </c>
      <c r="Z231" s="384">
        <f t="shared" si="89"/>
        <v>42.943594623989547</v>
      </c>
      <c r="AA231" s="385">
        <f t="shared" si="90"/>
        <v>46.618695122701752</v>
      </c>
      <c r="AB231" s="196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7.8833191041474557E-2</v>
      </c>
      <c r="AD231" s="230">
        <f>(INDEX(Models!$BJ231:$BT231,,AH231)*(1-AF231)+INDEX(Models!$BJ231:$BT231,,AH231+1)*AF231-ERP_i)*AE231*Ramure*Pc/MaxiM</f>
        <v>4.8476814907645355E-4</v>
      </c>
      <c r="AE231" s="304">
        <f t="shared" si="92"/>
        <v>0.5</v>
      </c>
      <c r="AF231" s="176">
        <f t="shared" si="93"/>
        <v>0.60752489678518207</v>
      </c>
      <c r="AG231" s="814">
        <f t="shared" si="99"/>
        <v>1</v>
      </c>
      <c r="AH231" s="175">
        <f t="shared" si="94"/>
        <v>7</v>
      </c>
      <c r="AI231" s="224">
        <f t="shared" si="95"/>
        <v>1.6075248967851821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10">
        <f>'2023'!Wh/'2023'!Env_an*'2024'!Env_an</f>
        <v>47.934562652292229</v>
      </c>
      <c r="C232" s="843"/>
      <c r="D232" s="392">
        <f t="shared" si="77"/>
        <v>50.30251967770954</v>
      </c>
      <c r="E232" s="384">
        <f t="shared" si="75"/>
        <v>51.090012361678085</v>
      </c>
      <c r="F232" s="384">
        <f t="shared" si="78"/>
        <v>51.111009676862722</v>
      </c>
      <c r="G232" s="110">
        <f t="shared" si="76"/>
        <v>0.91607791036438213</v>
      </c>
      <c r="H232" s="413" t="b">
        <f>Wh_hp&gt;='2023'!Maxi_hp</f>
        <v>0</v>
      </c>
      <c r="I232" s="389">
        <f>IF(H232,Wh_hp,'2023'!Maxi_hp)</f>
        <v>56.389246381378285</v>
      </c>
      <c r="J232" s="85">
        <f>IF(H232,An,'2023'!An_max)</f>
        <v>2020</v>
      </c>
      <c r="K232" s="196">
        <f t="shared" si="79"/>
        <v>45509</v>
      </c>
      <c r="L232" s="147">
        <f>IF(t&lt;Tvie,1-EXP((T0-t)*PertePVj)+'2023'!Pspv,1-EXP((T0-t)*PertePVj)+Pspv)</f>
        <v>4.7074322331941178E-2</v>
      </c>
      <c r="M232" s="847"/>
      <c r="N232" s="847"/>
      <c r="O232" s="48">
        <f>IF(t&lt;Tnet,'2023'!Resal+('2023'!Salim-'2023'!Resal)*(1-EXP(('2023'!Tnet-t)/('2023'!Tau_j))),Resal+(Salim-Resal)*(1-EXP((Tnet-t)/(Tau_j))))*Salcycl</f>
        <v>1.5413828409233879E-2</v>
      </c>
      <c r="P232" s="168">
        <f>(INDEX(Models!$BJ232:$BT232,,T232)*(1-R232)+INDEX(Models!$BJ232:$BT232,,T232+1)*R232-ERP_i)*Q232*Ramure*Pc/MaxiM</f>
        <v>4.6674060071192621E-4</v>
      </c>
      <c r="Q232" s="304">
        <f t="shared" si="80"/>
        <v>0.5</v>
      </c>
      <c r="R232" s="176">
        <f t="shared" si="81"/>
        <v>0.60852954717090091</v>
      </c>
      <c r="S232" s="814">
        <f t="shared" si="82"/>
        <v>1</v>
      </c>
      <c r="T232" s="175">
        <f t="shared" si="83"/>
        <v>7</v>
      </c>
      <c r="U232" s="250">
        <f t="shared" si="84"/>
        <v>1.6085295471709009</v>
      </c>
      <c r="V232" s="382">
        <f t="shared" si="85"/>
        <v>52.322930588947095</v>
      </c>
      <c r="W232" s="401">
        <f t="shared" si="86"/>
        <v>47.934562652292229</v>
      </c>
      <c r="X232" s="157">
        <f t="shared" si="87"/>
        <v>45509</v>
      </c>
      <c r="Y232" s="384">
        <f t="shared" si="88"/>
        <v>44.845742995050578</v>
      </c>
      <c r="Z232" s="384">
        <f t="shared" si="89"/>
        <v>47.061112997599487</v>
      </c>
      <c r="AA232" s="385">
        <f t="shared" si="90"/>
        <v>51.090012361678085</v>
      </c>
      <c r="AB232" s="196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7.8858844964786484E-2</v>
      </c>
      <c r="AD232" s="230">
        <f>(INDEX(Models!$BJ232:$BT232,,AH232)*(1-AF232)+INDEX(Models!$BJ232:$BT232,,AH232+1)*AF232-ERP_i)*AE232*Ramure*Pc/MaxiM</f>
        <v>4.6674060071192621E-4</v>
      </c>
      <c r="AE232" s="304">
        <f t="shared" si="92"/>
        <v>0.5</v>
      </c>
      <c r="AF232" s="176">
        <f t="shared" si="93"/>
        <v>0.60852954717090091</v>
      </c>
      <c r="AG232" s="814">
        <f t="shared" si="99"/>
        <v>1</v>
      </c>
      <c r="AH232" s="175">
        <f t="shared" si="94"/>
        <v>7</v>
      </c>
      <c r="AI232" s="224">
        <f t="shared" si="95"/>
        <v>1.6085295471709009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10">
        <f>'2023'!Wh/'2023'!Env_an*'2024'!Env_an</f>
        <v>50.948696384343549</v>
      </c>
      <c r="C233" s="843"/>
      <c r="D233" s="392">
        <f t="shared" si="77"/>
        <v>53.466720547790153</v>
      </c>
      <c r="E233" s="384">
        <f t="shared" ref="E233:E296" si="100">Wh_pvt/(1-Psa)</f>
        <v>54.308930187219367</v>
      </c>
      <c r="F233" s="384">
        <f t="shared" si="78"/>
        <v>54.332467424540113</v>
      </c>
      <c r="G233" s="110">
        <f t="shared" ref="G233:G296" si="101">+Wh_hp/MaxiM</f>
        <v>0.97556754458312078</v>
      </c>
      <c r="H233" s="413" t="b">
        <f>Wh_hp&gt;='2023'!Maxi_hp</f>
        <v>0</v>
      </c>
      <c r="I233" s="389">
        <f>IF(H233,Wh_hp,'2023'!Maxi_hp)</f>
        <v>54.87487901548878</v>
      </c>
      <c r="J233" s="85">
        <f>IF(H233,An,'2023'!An_max)</f>
        <v>2020</v>
      </c>
      <c r="K233" s="196">
        <f t="shared" si="79"/>
        <v>45510</v>
      </c>
      <c r="L233" s="147">
        <f>IF(t&lt;Tvie,1-EXP((T0-t)*PertePVj)+'2023'!Pspv,1-EXP((T0-t)*PertePVj)+Pspv)</f>
        <v>4.7095167566821618E-2</v>
      </c>
      <c r="M233" s="847"/>
      <c r="N233" s="847"/>
      <c r="O233" s="48">
        <f>IF(t&lt;Tnet,'2023'!Resal+('2023'!Salim-'2023'!Resal)*(1-EXP(('2023'!Tnet-t)/('2023'!Tau_j))),Resal+(Salim-Resal)*(1-EXP((Tnet-t)/(Tau_j))))*Salcycl</f>
        <v>1.5507756026971352E-2</v>
      </c>
      <c r="P233" s="168">
        <f>(INDEX(Models!$BJ233:$BT233,,T233)*(1-R233)+INDEX(Models!$BJ233:$BT233,,T233+1)*R233-ERP_i)*Q233*Ramure*Pc/MaxiM</f>
        <v>4.4886474601826289E-4</v>
      </c>
      <c r="Q233" s="304">
        <f t="shared" si="80"/>
        <v>0.5</v>
      </c>
      <c r="R233" s="176">
        <f t="shared" si="81"/>
        <v>0.60950072149863921</v>
      </c>
      <c r="S233" s="814">
        <f t="shared" si="82"/>
        <v>1</v>
      </c>
      <c r="T233" s="175">
        <f t="shared" si="83"/>
        <v>7</v>
      </c>
      <c r="U233" s="250">
        <f t="shared" si="84"/>
        <v>1.6095007214986392</v>
      </c>
      <c r="V233" s="382">
        <f t="shared" si="85"/>
        <v>52.223855344375792</v>
      </c>
      <c r="W233" s="401">
        <f t="shared" si="86"/>
        <v>50.948696384343549</v>
      </c>
      <c r="X233" s="157">
        <f t="shared" si="87"/>
        <v>45510</v>
      </c>
      <c r="Y233" s="384">
        <f t="shared" si="88"/>
        <v>47.66888224373794</v>
      </c>
      <c r="Z233" s="384">
        <f t="shared" si="89"/>
        <v>50.024809006392232</v>
      </c>
      <c r="AA233" s="385">
        <f t="shared" si="90"/>
        <v>54.308930187219367</v>
      </c>
      <c r="AB233" s="196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7.888428599234909E-2</v>
      </c>
      <c r="AD233" s="230">
        <f>(INDEX(Models!$BJ233:$BT233,,AH233)*(1-AF233)+INDEX(Models!$BJ233:$BT233,,AH233+1)*AF233-ERP_i)*AE233*Ramure*Pc/MaxiM</f>
        <v>4.4886474601826289E-4</v>
      </c>
      <c r="AE233" s="304">
        <f t="shared" si="92"/>
        <v>0.5</v>
      </c>
      <c r="AF233" s="176">
        <f t="shared" si="93"/>
        <v>0.60950072149863921</v>
      </c>
      <c r="AG233" s="814">
        <f t="shared" si="99"/>
        <v>1</v>
      </c>
      <c r="AH233" s="175">
        <f t="shared" si="94"/>
        <v>7</v>
      </c>
      <c r="AI233" s="224">
        <f t="shared" si="95"/>
        <v>1.6095007214986392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10">
        <f>'2023'!Wh/'2023'!Env_an*'2024'!Env_an</f>
        <v>51.766286095143748</v>
      </c>
      <c r="C234" s="843"/>
      <c r="D234" s="392">
        <f t="shared" si="77"/>
        <v>54.325906160460825</v>
      </c>
      <c r="E234" s="384">
        <f t="shared" si="100"/>
        <v>55.186907109027615</v>
      </c>
      <c r="F234" s="384">
        <f t="shared" si="78"/>
        <v>55.210556847543472</v>
      </c>
      <c r="G234" s="110">
        <f t="shared" si="101"/>
        <v>0.99315540505707944</v>
      </c>
      <c r="H234" s="413" t="b">
        <f>Wh_hp&gt;='2023'!Maxi_hp</f>
        <v>0</v>
      </c>
      <c r="I234" s="389">
        <f>IF(H234,Wh_hp,'2023'!Maxi_hp)</f>
        <v>55.210634376515713</v>
      </c>
      <c r="J234" s="85">
        <f>IF(H234,An,'2023'!An_max)</f>
        <v>2022</v>
      </c>
      <c r="K234" s="196">
        <f t="shared" si="79"/>
        <v>45511</v>
      </c>
      <c r="L234" s="147">
        <f>IF(t&lt;Tvie,1-EXP((T0-t)*PertePVj)+'2023'!Pspv,1-EXP((T0-t)*PertePVj)+Pspv)</f>
        <v>4.7116012345137938E-2</v>
      </c>
      <c r="M234" s="847"/>
      <c r="N234" s="847"/>
      <c r="O234" s="48">
        <f>IF(t&lt;Tnet,'2023'!Resal+('2023'!Salim-'2023'!Resal)*(1-EXP(('2023'!Tnet-t)/('2023'!Tau_j))),Resal+(Salim-Resal)*(1-EXP((Tnet-t)/(Tau_j))))*Salcycl</f>
        <v>1.5601543802152068E-2</v>
      </c>
      <c r="P234" s="168">
        <f>(INDEX(Models!$BJ234:$BT234,,T234)*(1-R234)+INDEX(Models!$BJ234:$BT234,,T234+1)*R234-ERP_i)*Q234*Ramure*Pc/MaxiM</f>
        <v>4.3258256381328755E-4</v>
      </c>
      <c r="Q234" s="304">
        <f t="shared" si="80"/>
        <v>0.5</v>
      </c>
      <c r="R234" s="176">
        <f t="shared" si="81"/>
        <v>0.61043928585839202</v>
      </c>
      <c r="S234" s="814">
        <f t="shared" si="82"/>
        <v>1</v>
      </c>
      <c r="T234" s="175">
        <f t="shared" si="83"/>
        <v>7</v>
      </c>
      <c r="U234" s="250">
        <f t="shared" si="84"/>
        <v>1.610439285858392</v>
      </c>
      <c r="V234" s="382">
        <f t="shared" si="85"/>
        <v>52.122826812061405</v>
      </c>
      <c r="W234" s="401">
        <f t="shared" si="86"/>
        <v>51.766286095143748</v>
      </c>
      <c r="X234" s="157">
        <f t="shared" si="87"/>
        <v>45511</v>
      </c>
      <c r="Y234" s="384">
        <f t="shared" si="88"/>
        <v>48.437127433946358</v>
      </c>
      <c r="Z234" s="384">
        <f t="shared" si="89"/>
        <v>50.832134930879391</v>
      </c>
      <c r="AA234" s="385">
        <f t="shared" si="90"/>
        <v>55.186907109027615</v>
      </c>
      <c r="AB234" s="196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7.8909516881330258E-2</v>
      </c>
      <c r="AD234" s="230">
        <f>(INDEX(Models!$BJ234:$BT234,,AH234)*(1-AF234)+INDEX(Models!$BJ234:$BT234,,AH234+1)*AF234-ERP_i)*AE234*Ramure*Pc/MaxiM</f>
        <v>4.3258256381328755E-4</v>
      </c>
      <c r="AE234" s="304">
        <f t="shared" si="92"/>
        <v>0.5</v>
      </c>
      <c r="AF234" s="176">
        <f t="shared" si="93"/>
        <v>0.61043928585839202</v>
      </c>
      <c r="AG234" s="814">
        <f t="shared" si="99"/>
        <v>1</v>
      </c>
      <c r="AH234" s="175">
        <f t="shared" si="94"/>
        <v>7</v>
      </c>
      <c r="AI234" s="224">
        <f t="shared" si="95"/>
        <v>1.610439285858392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10">
        <f>'2023'!Wh/'2023'!Env_an*'2024'!Env_an</f>
        <v>50.034285366040798</v>
      </c>
      <c r="C235" s="843"/>
      <c r="D235" s="392">
        <f t="shared" si="77"/>
        <v>52.509414091746358</v>
      </c>
      <c r="E235" s="384">
        <f t="shared" si="100"/>
        <v>53.346700776198553</v>
      </c>
      <c r="F235" s="384">
        <f t="shared" si="78"/>
        <v>53.367790142906415</v>
      </c>
      <c r="G235" s="110">
        <f t="shared" si="101"/>
        <v>0.96180884360425012</v>
      </c>
      <c r="H235" s="413" t="b">
        <f>Wh_hp&gt;='2023'!Maxi_hp</f>
        <v>0</v>
      </c>
      <c r="I235" s="389">
        <f>IF(H235,Wh_hp,'2023'!Maxi_hp)</f>
        <v>55.479223820400136</v>
      </c>
      <c r="J235" s="85">
        <f>IF(H235,An,'2023'!An_max)</f>
        <v>2021</v>
      </c>
      <c r="K235" s="196">
        <f t="shared" si="79"/>
        <v>45512</v>
      </c>
      <c r="L235" s="147">
        <f>IF(t&lt;Tvie,1-EXP((T0-t)*PertePVj)+'2023'!Pspv,1-EXP((T0-t)*PertePVj)+Pspv)</f>
        <v>4.7136856666900241E-2</v>
      </c>
      <c r="M235" s="847"/>
      <c r="N235" s="847"/>
      <c r="O235" s="48">
        <f>IF(t&lt;Tnet,'2023'!Resal+('2023'!Salim-'2023'!Resal)*(1-EXP(('2023'!Tnet-t)/('2023'!Tau_j))),Resal+(Salim-Resal)*(1-EXP((Tnet-t)/(Tau_j))))*Salcycl</f>
        <v>1.5695191497686022E-2</v>
      </c>
      <c r="P235" s="168">
        <f>(INDEX(Models!$BJ235:$BT235,,T235)*(1-R235)+INDEX(Models!$BJ235:$BT235,,T235+1)*R235-ERP_i)*Q235*Ramure*Pc/MaxiM</f>
        <v>4.1796065610047662E-4</v>
      </c>
      <c r="Q235" s="304">
        <f t="shared" si="80"/>
        <v>0.5</v>
      </c>
      <c r="R235" s="176">
        <f t="shared" si="81"/>
        <v>0.61134610237956899</v>
      </c>
      <c r="S235" s="814">
        <f t="shared" si="82"/>
        <v>1</v>
      </c>
      <c r="T235" s="175">
        <f t="shared" si="83"/>
        <v>7</v>
      </c>
      <c r="U235" s="250">
        <f t="shared" si="84"/>
        <v>1.611346102379569</v>
      </c>
      <c r="V235" s="382">
        <f t="shared" si="85"/>
        <v>52.019842559959763</v>
      </c>
      <c r="W235" s="401">
        <f t="shared" si="86"/>
        <v>50.034285366040798</v>
      </c>
      <c r="X235" s="157">
        <f t="shared" si="87"/>
        <v>45512</v>
      </c>
      <c r="Y235" s="384">
        <f t="shared" si="88"/>
        <v>46.819696216793844</v>
      </c>
      <c r="Z235" s="384">
        <f t="shared" si="89"/>
        <v>49.135803545742476</v>
      </c>
      <c r="AA235" s="385">
        <f t="shared" si="90"/>
        <v>53.346700776198553</v>
      </c>
      <c r="AB235" s="196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7.8934538953434788E-2</v>
      </c>
      <c r="AD235" s="230">
        <f>(INDEX(Models!$BJ235:$BT235,,AH235)*(1-AF235)+INDEX(Models!$BJ235:$BT235,,AH235+1)*AF235-ERP_i)*AE235*Ramure*Pc/MaxiM</f>
        <v>4.1796065610047662E-4</v>
      </c>
      <c r="AE235" s="304">
        <f t="shared" si="92"/>
        <v>0.5</v>
      </c>
      <c r="AF235" s="176">
        <f t="shared" si="93"/>
        <v>0.61134610237956899</v>
      </c>
      <c r="AG235" s="814">
        <f t="shared" si="99"/>
        <v>1</v>
      </c>
      <c r="AH235" s="175">
        <f t="shared" si="94"/>
        <v>7</v>
      </c>
      <c r="AI235" s="224">
        <f t="shared" si="95"/>
        <v>1.611346102379569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10">
        <f>'2023'!Wh/'2023'!Env_an*'2024'!Env_an</f>
        <v>47.973551964591316</v>
      </c>
      <c r="C236" s="843"/>
      <c r="D236" s="392">
        <f t="shared" si="77"/>
        <v>50.347840341872235</v>
      </c>
      <c r="E236" s="384">
        <f t="shared" si="100"/>
        <v>51.155519420487998</v>
      </c>
      <c r="F236" s="384">
        <f t="shared" si="78"/>
        <v>51.173997502439526</v>
      </c>
      <c r="G236" s="110">
        <f t="shared" si="101"/>
        <v>0.9240399388983086</v>
      </c>
      <c r="H236" s="413" t="b">
        <f>Wh_hp&gt;='2023'!Maxi_hp</f>
        <v>0</v>
      </c>
      <c r="I236" s="389">
        <f>IF(H236,Wh_hp,'2023'!Maxi_hp)</f>
        <v>51.455396116933656</v>
      </c>
      <c r="J236" s="85">
        <f>IF(H236,An,'2023'!An_max)</f>
        <v>2021</v>
      </c>
      <c r="K236" s="196">
        <f t="shared" si="79"/>
        <v>45513</v>
      </c>
      <c r="L236" s="147">
        <f>IF(t&lt;Tvie,1-EXP((T0-t)*PertePVj)+'2023'!Pspv,1-EXP((T0-t)*PertePVj)+Pspv)</f>
        <v>4.7157700532118298E-2</v>
      </c>
      <c r="M236" s="847"/>
      <c r="N236" s="847"/>
      <c r="O236" s="48">
        <f>IF(t&lt;Tnet,'2023'!Resal+('2023'!Salim-'2023'!Resal)*(1-EXP(('2023'!Tnet-t)/('2023'!Tau_j))),Resal+(Salim-Resal)*(1-EXP((Tnet-t)/(Tau_j))))*Salcycl</f>
        <v>1.5788698614841643E-2</v>
      </c>
      <c r="P236" s="168">
        <f>(INDEX(Models!$BJ236:$BT236,,T236)*(1-R236)+INDEX(Models!$BJ236:$BT236,,T236+1)*R236-ERP_i)*Q236*Ramure*Pc/MaxiM</f>
        <v>4.0500924933949275E-4</v>
      </c>
      <c r="Q236" s="304">
        <f t="shared" si="80"/>
        <v>0.5</v>
      </c>
      <c r="R236" s="176">
        <f t="shared" si="81"/>
        <v>0.61222202765910727</v>
      </c>
      <c r="S236" s="814">
        <f t="shared" si="82"/>
        <v>1</v>
      </c>
      <c r="T236" s="175">
        <f t="shared" si="83"/>
        <v>7</v>
      </c>
      <c r="U236" s="250">
        <f t="shared" si="84"/>
        <v>1.6122220276591073</v>
      </c>
      <c r="V236" s="382">
        <f t="shared" si="85"/>
        <v>51.914903139873438</v>
      </c>
      <c r="W236" s="401">
        <f t="shared" si="86"/>
        <v>47.973551964591316</v>
      </c>
      <c r="X236" s="157">
        <f t="shared" si="87"/>
        <v>45513</v>
      </c>
      <c r="Y236" s="384">
        <f t="shared" si="88"/>
        <v>44.894415779788289</v>
      </c>
      <c r="Z236" s="384">
        <f t="shared" si="89"/>
        <v>47.116312746463649</v>
      </c>
      <c r="AA236" s="385">
        <f t="shared" si="90"/>
        <v>51.155519420487998</v>
      </c>
      <c r="AB236" s="196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7.8959352182955966E-2</v>
      </c>
      <c r="AD236" s="230">
        <f>(INDEX(Models!$BJ236:$BT236,,AH236)*(1-AF236)+INDEX(Models!$BJ236:$BT236,,AH236+1)*AF236-ERP_i)*AE236*Ramure*Pc/MaxiM</f>
        <v>4.0500924933949275E-4</v>
      </c>
      <c r="AE236" s="304">
        <f t="shared" si="92"/>
        <v>0.5</v>
      </c>
      <c r="AF236" s="176">
        <f t="shared" si="93"/>
        <v>0.61222202765910727</v>
      </c>
      <c r="AG236" s="814">
        <f t="shared" si="99"/>
        <v>1</v>
      </c>
      <c r="AH236" s="175">
        <f t="shared" si="94"/>
        <v>7</v>
      </c>
      <c r="AI236" s="224">
        <f t="shared" si="95"/>
        <v>1.6122220276591073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10">
        <f>'2023'!Wh/'2023'!Env_an*'2024'!Env_an</f>
        <v>44.14649720239656</v>
      </c>
      <c r="C237" s="843"/>
      <c r="D237" s="392">
        <f t="shared" si="77"/>
        <v>46.332391993966375</v>
      </c>
      <c r="E237" s="384">
        <f t="shared" si="100"/>
        <v>47.080121516020291</v>
      </c>
      <c r="F237" s="384">
        <f t="shared" si="78"/>
        <v>47.094747119097164</v>
      </c>
      <c r="G237" s="110">
        <f t="shared" si="101"/>
        <v>0.85204632683748072</v>
      </c>
      <c r="H237" s="413" t="b">
        <f>Wh_hp&gt;='2023'!Maxi_hp</f>
        <v>0</v>
      </c>
      <c r="I237" s="389">
        <f>IF(H237,Wh_hp,'2023'!Maxi_hp)</f>
        <v>54.32605328693775</v>
      </c>
      <c r="J237" s="85">
        <f>IF(H237,An,'2023'!An_max)</f>
        <v>2018</v>
      </c>
      <c r="K237" s="196">
        <f t="shared" si="79"/>
        <v>45514</v>
      </c>
      <c r="L237" s="147">
        <f>IF(t&lt;Tvie,1-EXP((T0-t)*PertePVj)+'2023'!Pspv,1-EXP((T0-t)*PertePVj)+Pspv)</f>
        <v>4.717854394080221E-2</v>
      </c>
      <c r="M237" s="847"/>
      <c r="N237" s="847"/>
      <c r="O237" s="48">
        <f>IF(t&lt;Tnet,'2023'!Resal+('2023'!Salim-'2023'!Resal)*(1-EXP(('2023'!Tnet-t)/('2023'!Tau_j))),Resal+(Salim-Resal)*(1-EXP((Tnet-t)/(Tau_j))))*Salcycl</f>
        <v>1.5882064403752321E-2</v>
      </c>
      <c r="P237" s="168">
        <f>(INDEX(Models!$BJ237:$BT237,,T237)*(1-R237)+INDEX(Models!$BJ237:$BT237,,T237+1)*R237-ERP_i)*Q237*Ramure*Pc/MaxiM</f>
        <v>3.9373865532357181E-4</v>
      </c>
      <c r="Q237" s="304">
        <f t="shared" si="80"/>
        <v>0.5</v>
      </c>
      <c r="R237" s="176">
        <f t="shared" si="81"/>
        <v>0.61306791132291272</v>
      </c>
      <c r="S237" s="814">
        <f t="shared" si="82"/>
        <v>1</v>
      </c>
      <c r="T237" s="175">
        <f t="shared" si="83"/>
        <v>7</v>
      </c>
      <c r="U237" s="250">
        <f t="shared" si="84"/>
        <v>1.6130679113229127</v>
      </c>
      <c r="V237" s="382">
        <f t="shared" si="85"/>
        <v>51.808009133102026</v>
      </c>
      <c r="W237" s="401">
        <f t="shared" si="86"/>
        <v>44.14649720239656</v>
      </c>
      <c r="X237" s="157">
        <f t="shared" si="87"/>
        <v>45514</v>
      </c>
      <c r="Y237" s="384">
        <f t="shared" si="88"/>
        <v>41.315812638515943</v>
      </c>
      <c r="Z237" s="384">
        <f t="shared" si="89"/>
        <v>43.361547303306146</v>
      </c>
      <c r="AA237" s="385">
        <f t="shared" si="90"/>
        <v>47.080121516020291</v>
      </c>
      <c r="AB237" s="196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7.8983955286708485E-2</v>
      </c>
      <c r="AD237" s="230">
        <f>(INDEX(Models!$BJ237:$BT237,,AH237)*(1-AF237)+INDEX(Models!$BJ237:$BT237,,AH237+1)*AF237-ERP_i)*AE237*Ramure*Pc/MaxiM</f>
        <v>3.9373865532357181E-4</v>
      </c>
      <c r="AE237" s="304">
        <f t="shared" si="92"/>
        <v>0.5</v>
      </c>
      <c r="AF237" s="176">
        <f t="shared" si="93"/>
        <v>0.61306791132291272</v>
      </c>
      <c r="AG237" s="814">
        <f t="shared" si="99"/>
        <v>1</v>
      </c>
      <c r="AH237" s="175">
        <f t="shared" si="94"/>
        <v>7</v>
      </c>
      <c r="AI237" s="224">
        <f t="shared" si="95"/>
        <v>1.6130679113229127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10">
        <f>'2023'!Wh/'2023'!Env_an*'2024'!Env_an</f>
        <v>46.330540795460351</v>
      </c>
      <c r="C238" s="843"/>
      <c r="D238" s="392">
        <f t="shared" si="77"/>
        <v>48.625641249724467</v>
      </c>
      <c r="E238" s="384">
        <f t="shared" si="100"/>
        <v>49.415061075754693</v>
      </c>
      <c r="F238" s="384">
        <f t="shared" si="78"/>
        <v>49.431233497286115</v>
      </c>
      <c r="G238" s="110">
        <f t="shared" si="101"/>
        <v>0.89610544075937282</v>
      </c>
      <c r="H238" s="413" t="b">
        <f>Wh_hp&gt;='2023'!Maxi_hp</f>
        <v>0</v>
      </c>
      <c r="I238" s="389">
        <f>IF(H238,Wh_hp,'2023'!Maxi_hp)</f>
        <v>51.451294762618211</v>
      </c>
      <c r="J238" s="85">
        <f>IF(H238,An,'2023'!An_max)</f>
        <v>2018</v>
      </c>
      <c r="K238" s="196">
        <f t="shared" si="79"/>
        <v>45515</v>
      </c>
      <c r="L238" s="147">
        <f>IF(t&lt;Tvie,1-EXP((T0-t)*PertePVj)+'2023'!Pspv,1-EXP((T0-t)*PertePVj)+Pspv)</f>
        <v>4.7199386892961971E-2</v>
      </c>
      <c r="M238" s="847"/>
      <c r="N238" s="847"/>
      <c r="O238" s="48">
        <f>IF(t&lt;Tnet,'2023'!Resal+('2023'!Salim-'2023'!Resal)*(1-EXP(('2023'!Tnet-t)/('2023'!Tau_j))),Resal+(Salim-Resal)*(1-EXP((Tnet-t)/(Tau_j))))*Salcycl</f>
        <v>1.5975287874683091E-2</v>
      </c>
      <c r="P238" s="168">
        <f>(INDEX(Models!$BJ238:$BT238,,T238)*(1-R238)+INDEX(Models!$BJ238:$BT238,,T238+1)*R238-ERP_i)*Q238*Ramure*Pc/MaxiM</f>
        <v>3.8415929023427679E-4</v>
      </c>
      <c r="Q238" s="304">
        <f t="shared" si="80"/>
        <v>0.5</v>
      </c>
      <c r="R238" s="176">
        <f t="shared" si="81"/>
        <v>0.61388459471545254</v>
      </c>
      <c r="S238" s="814">
        <f t="shared" si="82"/>
        <v>1</v>
      </c>
      <c r="T238" s="175">
        <f t="shared" si="83"/>
        <v>7</v>
      </c>
      <c r="U238" s="250">
        <f t="shared" si="84"/>
        <v>1.6138845947154525</v>
      </c>
      <c r="V238" s="382">
        <f t="shared" si="85"/>
        <v>51.699161152291431</v>
      </c>
      <c r="W238" s="401">
        <f t="shared" si="86"/>
        <v>46.330540795460351</v>
      </c>
      <c r="X238" s="157">
        <f t="shared" si="87"/>
        <v>45515</v>
      </c>
      <c r="Y238" s="384">
        <f t="shared" si="88"/>
        <v>43.362774207527998</v>
      </c>
      <c r="Z238" s="384">
        <f t="shared" si="89"/>
        <v>45.51085884183474</v>
      </c>
      <c r="AA238" s="385">
        <f t="shared" si="90"/>
        <v>49.415061075754693</v>
      </c>
      <c r="AB238" s="196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7.900834581454215E-2</v>
      </c>
      <c r="AD238" s="230">
        <f>(INDEX(Models!$BJ238:$BT238,,AH238)*(1-AF238)+INDEX(Models!$BJ238:$BT238,,AH238+1)*AF238-ERP_i)*AE238*Ramure*Pc/MaxiM</f>
        <v>3.8415929023427679E-4</v>
      </c>
      <c r="AE238" s="304">
        <f t="shared" si="92"/>
        <v>0.5</v>
      </c>
      <c r="AF238" s="176">
        <f t="shared" si="93"/>
        <v>0.61388459471545254</v>
      </c>
      <c r="AG238" s="814">
        <f t="shared" si="99"/>
        <v>1</v>
      </c>
      <c r="AH238" s="175">
        <f t="shared" si="94"/>
        <v>7</v>
      </c>
      <c r="AI238" s="224">
        <f t="shared" si="95"/>
        <v>1.6138845947154525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10">
        <f>'2023'!Wh/'2023'!Env_an*'2024'!Env_an</f>
        <v>32.273015724543114</v>
      </c>
      <c r="C239" s="843"/>
      <c r="D239" s="392">
        <f t="shared" si="77"/>
        <v>33.872482099230275</v>
      </c>
      <c r="E239" s="384">
        <f t="shared" si="100"/>
        <v>34.425646041921915</v>
      </c>
      <c r="F239" s="384">
        <f t="shared" si="78"/>
        <v>34.431672198832246</v>
      </c>
      <c r="G239" s="110">
        <f t="shared" si="101"/>
        <v>0.6254612338911385</v>
      </c>
      <c r="H239" s="413" t="b">
        <f>Wh_hp&gt;='2023'!Maxi_hp</f>
        <v>0</v>
      </c>
      <c r="I239" s="389">
        <f>IF(H239,Wh_hp,'2023'!Maxi_hp)</f>
        <v>51.299776685989691</v>
      </c>
      <c r="J239" s="85">
        <f>IF(H239,An,'2023'!An_max)</f>
        <v>2019</v>
      </c>
      <c r="K239" s="196">
        <f t="shared" si="79"/>
        <v>45516</v>
      </c>
      <c r="L239" s="147">
        <f>IF(t&lt;Tvie,1-EXP((T0-t)*PertePVj)+'2023'!Pspv,1-EXP((T0-t)*PertePVj)+Pspv)</f>
        <v>4.7220229388607572E-2</v>
      </c>
      <c r="M239" s="847"/>
      <c r="N239" s="847"/>
      <c r="O239" s="48">
        <f>IF(t&lt;Tnet,'2023'!Resal+('2023'!Salim-'2023'!Resal)*(1-EXP(('2023'!Tnet-t)/('2023'!Tau_j))),Resal+(Salim-Resal)*(1-EXP((Tnet-t)/(Tau_j))))*Salcycl</f>
        <v>1.6068367809801632E-2</v>
      </c>
      <c r="P239" s="168">
        <f>(INDEX(Models!$BJ239:$BT239,,T239)*(1-R239)+INDEX(Models!$BJ239:$BT239,,T239+1)*R239-ERP_i)*Q239*Ramure*Pc/MaxiM</f>
        <v>3.762816899329419E-4</v>
      </c>
      <c r="Q239" s="304">
        <f t="shared" si="80"/>
        <v>0.5</v>
      </c>
      <c r="R239" s="176">
        <f t="shared" si="81"/>
        <v>0.61467290971209865</v>
      </c>
      <c r="S239" s="814">
        <f t="shared" si="82"/>
        <v>1</v>
      </c>
      <c r="T239" s="175">
        <f t="shared" si="83"/>
        <v>7</v>
      </c>
      <c r="U239" s="250">
        <f t="shared" si="84"/>
        <v>1.6146729097120986</v>
      </c>
      <c r="V239" s="382">
        <f t="shared" si="85"/>
        <v>51.588359833937616</v>
      </c>
      <c r="W239" s="401">
        <f t="shared" si="86"/>
        <v>32.273015724543114</v>
      </c>
      <c r="X239" s="157">
        <f t="shared" si="87"/>
        <v>45516</v>
      </c>
      <c r="Y239" s="384">
        <f t="shared" si="88"/>
        <v>30.207787801224494</v>
      </c>
      <c r="Z239" s="384">
        <f t="shared" si="89"/>
        <v>31.704900474367083</v>
      </c>
      <c r="AA239" s="385">
        <f t="shared" si="90"/>
        <v>34.425646041921915</v>
      </c>
      <c r="AB239" s="196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7.9032520239173898E-2</v>
      </c>
      <c r="AD239" s="230">
        <f>(INDEX(Models!$BJ239:$BT239,,AH239)*(1-AF239)+INDEX(Models!$BJ239:$BT239,,AH239+1)*AF239-ERP_i)*AE239*Ramure*Pc/MaxiM</f>
        <v>3.762816899329419E-4</v>
      </c>
      <c r="AE239" s="304">
        <f t="shared" si="92"/>
        <v>0.5</v>
      </c>
      <c r="AF239" s="176">
        <f t="shared" si="93"/>
        <v>0.61467290971209865</v>
      </c>
      <c r="AG239" s="814">
        <f t="shared" si="99"/>
        <v>1</v>
      </c>
      <c r="AH239" s="175">
        <f t="shared" si="94"/>
        <v>7</v>
      </c>
      <c r="AI239" s="224">
        <f t="shared" si="95"/>
        <v>1.6146729097120986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10">
        <f>'2023'!Wh/'2023'!Env_an*'2024'!Env_an</f>
        <v>33.553103261474227</v>
      </c>
      <c r="C240" s="843"/>
      <c r="D240" s="392">
        <f t="shared" si="77"/>
        <v>35.216781764254847</v>
      </c>
      <c r="E240" s="384">
        <f t="shared" si="100"/>
        <v>35.795280124266107</v>
      </c>
      <c r="F240" s="384">
        <f t="shared" si="78"/>
        <v>35.801961930326883</v>
      </c>
      <c r="G240" s="110">
        <f t="shared" si="101"/>
        <v>0.65170569829342462</v>
      </c>
      <c r="H240" s="413" t="b">
        <f>Wh_hp&gt;='2023'!Maxi_hp</f>
        <v>0</v>
      </c>
      <c r="I240" s="389">
        <f>IF(H240,Wh_hp,'2023'!Maxi_hp)</f>
        <v>56.168421438709679</v>
      </c>
      <c r="J240" s="85">
        <f>IF(H240,An,'2023'!An_max)</f>
        <v>2019</v>
      </c>
      <c r="K240" s="196">
        <f t="shared" si="79"/>
        <v>45517</v>
      </c>
      <c r="L240" s="147">
        <f>IF(t&lt;Tvie,1-EXP((T0-t)*PertePVj)+'2023'!Pspv,1-EXP((T0-t)*PertePVj)+Pspv)</f>
        <v>4.7241071427749116E-2</v>
      </c>
      <c r="M240" s="847"/>
      <c r="N240" s="847"/>
      <c r="O240" s="48">
        <f>IF(t&lt;Tnet,'2023'!Resal+('2023'!Salim-'2023'!Resal)*(1-EXP(('2023'!Tnet-t)/('2023'!Tau_j))),Resal+(Salim-Resal)*(1-EXP((Tnet-t)/(Tau_j))))*Salcycl</f>
        <v>1.6161302775197079E-2</v>
      </c>
      <c r="P240" s="168">
        <f>(INDEX(Models!$BJ240:$BT240,,T240)*(1-R240)+INDEX(Models!$BJ240:$BT240,,T240+1)*R240-ERP_i)*Q240*Ramure*Pc/MaxiM</f>
        <v>3.7132741428232586E-4</v>
      </c>
      <c r="Q240" s="304">
        <f t="shared" si="80"/>
        <v>0.5</v>
      </c>
      <c r="R240" s="176">
        <f t="shared" si="81"/>
        <v>0.61543367764866796</v>
      </c>
      <c r="S240" s="814">
        <f t="shared" si="82"/>
        <v>1</v>
      </c>
      <c r="T240" s="175">
        <f t="shared" si="83"/>
        <v>7</v>
      </c>
      <c r="U240" s="250">
        <f t="shared" si="84"/>
        <v>1.615433677648668</v>
      </c>
      <c r="V240" s="382">
        <f t="shared" si="85"/>
        <v>51.475543487840284</v>
      </c>
      <c r="W240" s="401">
        <f t="shared" si="86"/>
        <v>33.553103261474227</v>
      </c>
      <c r="X240" s="157">
        <f t="shared" si="87"/>
        <v>45517</v>
      </c>
      <c r="Y240" s="384">
        <f t="shared" si="88"/>
        <v>31.408109186543701</v>
      </c>
      <c r="Z240" s="384">
        <f t="shared" si="89"/>
        <v>32.965431490219743</v>
      </c>
      <c r="AA240" s="385">
        <f t="shared" si="90"/>
        <v>35.795280124266107</v>
      </c>
      <c r="AB240" s="196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7.9056474044128716E-2</v>
      </c>
      <c r="AD240" s="230">
        <f>(INDEX(Models!$BJ240:$BT240,,AH240)*(1-AF240)+INDEX(Models!$BJ240:$BT240,,AH240+1)*AF240-ERP_i)*AE240*Ramure*Pc/MaxiM</f>
        <v>3.7132741428232586E-4</v>
      </c>
      <c r="AE240" s="304">
        <f t="shared" si="92"/>
        <v>0.5</v>
      </c>
      <c r="AF240" s="176">
        <f t="shared" si="93"/>
        <v>0.61543367764866796</v>
      </c>
      <c r="AG240" s="814">
        <f t="shared" si="99"/>
        <v>1</v>
      </c>
      <c r="AH240" s="175">
        <f t="shared" si="94"/>
        <v>7</v>
      </c>
      <c r="AI240" s="224">
        <f t="shared" si="95"/>
        <v>1.615433677648668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10">
        <f>'2023'!Wh/'2023'!Env_an*'2024'!Env_an</f>
        <v>38.472179824580657</v>
      </c>
      <c r="C241" s="843"/>
      <c r="D241" s="392">
        <f t="shared" si="77"/>
        <v>40.380646423134415</v>
      </c>
      <c r="E241" s="384">
        <f t="shared" si="100"/>
        <v>41.047841784305085</v>
      </c>
      <c r="F241" s="384">
        <f t="shared" si="78"/>
        <v>41.057561894910613</v>
      </c>
      <c r="G241" s="110">
        <f t="shared" si="101"/>
        <v>0.74895919834287672</v>
      </c>
      <c r="H241" s="413" t="b">
        <f>Wh_hp&gt;='2023'!Maxi_hp</f>
        <v>0</v>
      </c>
      <c r="I241" s="389">
        <f>IF(H241,Wh_hp,'2023'!Maxi_hp)</f>
        <v>54.459997130630313</v>
      </c>
      <c r="J241" s="85">
        <f>IF(H241,An,'2023'!An_max)</f>
        <v>2018</v>
      </c>
      <c r="K241" s="196">
        <f t="shared" si="79"/>
        <v>45518</v>
      </c>
      <c r="L241" s="147">
        <f>IF(t&lt;Tvie,1-EXP((T0-t)*PertePVj)+'2023'!Pspv,1-EXP((T0-t)*PertePVj)+Pspv)</f>
        <v>4.7261913010396485E-2</v>
      </c>
      <c r="M241" s="847"/>
      <c r="N241" s="847"/>
      <c r="O241" s="48">
        <f>IF(t&lt;Tnet,'2023'!Resal+('2023'!Salim-'2023'!Resal)*(1-EXP(('2023'!Tnet-t)/('2023'!Tau_j))),Resal+(Salim-Resal)*(1-EXP((Tnet-t)/(Tau_j))))*Salcycl</f>
        <v>1.6254091132893046E-2</v>
      </c>
      <c r="P241" s="168">
        <f>(INDEX(Models!$BJ241:$BT241,,T241)*(1-R241)+INDEX(Models!$BJ241:$BT241,,T241+1)*R241-ERP_i)*Q241*Ramure*Pc/MaxiM</f>
        <v>3.6903991684370945E-4</v>
      </c>
      <c r="Q241" s="304">
        <f t="shared" si="80"/>
        <v>0.5</v>
      </c>
      <c r="R241" s="176">
        <f t="shared" si="81"/>
        <v>0.61616770836249213</v>
      </c>
      <c r="S241" s="814">
        <f t="shared" si="82"/>
        <v>1</v>
      </c>
      <c r="T241" s="175">
        <f t="shared" si="83"/>
        <v>7</v>
      </c>
      <c r="U241" s="250">
        <f t="shared" si="84"/>
        <v>1.6161677083624921</v>
      </c>
      <c r="V241" s="382">
        <f t="shared" si="85"/>
        <v>51.360726956323411</v>
      </c>
      <c r="W241" s="401">
        <f t="shared" si="86"/>
        <v>38.472179824580657</v>
      </c>
      <c r="X241" s="157">
        <f t="shared" si="87"/>
        <v>45518</v>
      </c>
      <c r="Y241" s="384">
        <f t="shared" si="88"/>
        <v>36.015186198675671</v>
      </c>
      <c r="Z241" s="384">
        <f t="shared" si="89"/>
        <v>37.801770172192853</v>
      </c>
      <c r="AA241" s="385">
        <f t="shared" si="90"/>
        <v>41.047841784305085</v>
      </c>
      <c r="AB241" s="196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7.9080201808646236E-2</v>
      </c>
      <c r="AD241" s="230">
        <f>(INDEX(Models!$BJ241:$BT241,,AH241)*(1-AF241)+INDEX(Models!$BJ241:$BT241,,AH241+1)*AF241-ERP_i)*AE241*Ramure*Pc/MaxiM</f>
        <v>3.6903991684370945E-4</v>
      </c>
      <c r="AE241" s="304">
        <f t="shared" si="92"/>
        <v>0.5</v>
      </c>
      <c r="AF241" s="176">
        <f t="shared" si="93"/>
        <v>0.61616770836249213</v>
      </c>
      <c r="AG241" s="814">
        <f t="shared" si="99"/>
        <v>1</v>
      </c>
      <c r="AH241" s="175">
        <f t="shared" si="94"/>
        <v>7</v>
      </c>
      <c r="AI241" s="224">
        <f t="shared" si="95"/>
        <v>1.6161677083624921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10">
        <f>'2023'!Wh/'2023'!Env_an*'2024'!Env_an</f>
        <v>32.316863740157181</v>
      </c>
      <c r="C242" s="843"/>
      <c r="D242" s="392">
        <f t="shared" si="77"/>
        <v>33.920729240991811</v>
      </c>
      <c r="E242" s="384">
        <f t="shared" si="100"/>
        <v>34.484437059097473</v>
      </c>
      <c r="F242" s="384">
        <f t="shared" si="78"/>
        <v>34.49045580405916</v>
      </c>
      <c r="G242" s="110">
        <f t="shared" si="101"/>
        <v>0.63052492374645996</v>
      </c>
      <c r="H242" s="413" t="b">
        <f>Wh_hp&gt;='2023'!Maxi_hp</f>
        <v>0</v>
      </c>
      <c r="I242" s="389">
        <f>IF(H242,Wh_hp,'2023'!Maxi_hp)</f>
        <v>55.604090749056766</v>
      </c>
      <c r="J242" s="85">
        <f>IF(H242,An,'2023'!An_max)</f>
        <v>2019</v>
      </c>
      <c r="K242" s="196">
        <f t="shared" si="79"/>
        <v>45519</v>
      </c>
      <c r="L242" s="147">
        <f>IF(t&lt;Tvie,1-EXP((T0-t)*PertePVj)+'2023'!Pspv,1-EXP((T0-t)*PertePVj)+Pspv)</f>
        <v>4.728275413655967E-2</v>
      </c>
      <c r="M242" s="847"/>
      <c r="N242" s="847"/>
      <c r="O242" s="48">
        <f>IF(t&lt;Tnet,'2023'!Resal+('2023'!Salim-'2023'!Resal)*(1-EXP(('2023'!Tnet-t)/('2023'!Tau_j))),Resal+(Salim-Resal)*(1-EXP((Tnet-t)/(Tau_j))))*Salcycl</f>
        <v>1.6346731052608171E-2</v>
      </c>
      <c r="P242" s="168">
        <f>(INDEX(Models!$BJ242:$BT242,,T242)*(1-R242)+INDEX(Models!$BJ242:$BT242,,T242+1)*R242-ERP_i)*Q242*Ramure*Pc/MaxiM</f>
        <v>3.6943607957822813E-4</v>
      </c>
      <c r="Q242" s="304">
        <f t="shared" si="80"/>
        <v>0.5</v>
      </c>
      <c r="R242" s="176">
        <f t="shared" si="81"/>
        <v>0.61687579933930348</v>
      </c>
      <c r="S242" s="814">
        <f t="shared" si="82"/>
        <v>1</v>
      </c>
      <c r="T242" s="175">
        <f t="shared" si="83"/>
        <v>7</v>
      </c>
      <c r="U242" s="250">
        <f t="shared" si="84"/>
        <v>1.6168757993393035</v>
      </c>
      <c r="V242" s="382">
        <f t="shared" si="85"/>
        <v>51.24391098811693</v>
      </c>
      <c r="W242" s="401">
        <f t="shared" si="86"/>
        <v>32.316863740157181</v>
      </c>
      <c r="X242" s="157">
        <f t="shared" si="87"/>
        <v>45519</v>
      </c>
      <c r="Y242" s="384">
        <f t="shared" si="88"/>
        <v>30.255051523784477</v>
      </c>
      <c r="Z242" s="384">
        <f t="shared" si="89"/>
        <v>31.756590588810592</v>
      </c>
      <c r="AA242" s="385">
        <f t="shared" si="90"/>
        <v>34.484437059097473</v>
      </c>
      <c r="AB242" s="196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7.9103697288491398E-2</v>
      </c>
      <c r="AD242" s="230">
        <f>(INDEX(Models!$BJ242:$BT242,,AH242)*(1-AF242)+INDEX(Models!$BJ242:$BT242,,AH242+1)*AF242-ERP_i)*AE242*Ramure*Pc/MaxiM</f>
        <v>3.6943607957822813E-4</v>
      </c>
      <c r="AE242" s="304">
        <f t="shared" si="92"/>
        <v>0.5</v>
      </c>
      <c r="AF242" s="176">
        <f t="shared" si="93"/>
        <v>0.61687579933930348</v>
      </c>
      <c r="AG242" s="814">
        <f t="shared" si="99"/>
        <v>1</v>
      </c>
      <c r="AH242" s="175">
        <f t="shared" si="94"/>
        <v>7</v>
      </c>
      <c r="AI242" s="224">
        <f t="shared" si="95"/>
        <v>1.6168757993393035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10">
        <f>'2023'!Wh/'2023'!Env_an*'2024'!Env_an</f>
        <v>22.214258962384154</v>
      </c>
      <c r="C243" s="843"/>
      <c r="D243" s="392">
        <f t="shared" si="77"/>
        <v>23.317248644248224</v>
      </c>
      <c r="E243" s="384">
        <f t="shared" si="100"/>
        <v>23.706972798008081</v>
      </c>
      <c r="F243" s="384">
        <f t="shared" si="78"/>
        <v>23.708669954093086</v>
      </c>
      <c r="G243" s="110">
        <f t="shared" si="101"/>
        <v>0.43437713960297908</v>
      </c>
      <c r="H243" s="413" t="b">
        <f>Wh_hp&gt;='2023'!Maxi_hp</f>
        <v>0</v>
      </c>
      <c r="I243" s="389">
        <f>IF(H243,Wh_hp,'2023'!Maxi_hp)</f>
        <v>54.149035020517147</v>
      </c>
      <c r="J243" s="85">
        <f>IF(H243,An,'2023'!An_max)</f>
        <v>2019</v>
      </c>
      <c r="K243" s="196">
        <f t="shared" si="79"/>
        <v>45520</v>
      </c>
      <c r="L243" s="147">
        <f>IF(t&lt;Tvie,1-EXP((T0-t)*PertePVj)+'2023'!Pspv,1-EXP((T0-t)*PertePVj)+Pspv)</f>
        <v>4.7303594806248662E-2</v>
      </c>
      <c r="M243" s="847"/>
      <c r="N243" s="847"/>
      <c r="O243" s="48">
        <f>IF(t&lt;Tnet,'2023'!Resal+('2023'!Salim-'2023'!Resal)*(1-EXP(('2023'!Tnet-t)/('2023'!Tau_j))),Resal+(Salim-Resal)*(1-EXP((Tnet-t)/(Tau_j))))*Salcycl</f>
        <v>1.6439220523027064E-2</v>
      </c>
      <c r="P243" s="168">
        <f>(INDEX(Models!$BJ243:$BT243,,T243)*(1-R243)+INDEX(Models!$BJ243:$BT243,,T243+1)*R243-ERP_i)*Q243*Ramure*Pc/MaxiM</f>
        <v>3.7253304116025259E-4</v>
      </c>
      <c r="Q243" s="304">
        <f t="shared" si="80"/>
        <v>0.5</v>
      </c>
      <c r="R243" s="176">
        <f t="shared" si="81"/>
        <v>0.61755873496021496</v>
      </c>
      <c r="S243" s="814">
        <f t="shared" si="82"/>
        <v>1</v>
      </c>
      <c r="T243" s="175">
        <f t="shared" si="83"/>
        <v>7</v>
      </c>
      <c r="U243" s="250">
        <f t="shared" si="84"/>
        <v>1.617558734960215</v>
      </c>
      <c r="V243" s="382">
        <f t="shared" si="85"/>
        <v>51.12509636013781</v>
      </c>
      <c r="W243" s="401">
        <f t="shared" si="86"/>
        <v>22.214258962384154</v>
      </c>
      <c r="X243" s="157">
        <f t="shared" si="87"/>
        <v>45520</v>
      </c>
      <c r="Y243" s="384">
        <f t="shared" si="88"/>
        <v>20.798422175285591</v>
      </c>
      <c r="Z243" s="384">
        <f t="shared" si="89"/>
        <v>21.831112263991155</v>
      </c>
      <c r="AA243" s="385">
        <f t="shared" si="90"/>
        <v>23.706972798008081</v>
      </c>
      <c r="AB243" s="196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7.9126953491697613E-2</v>
      </c>
      <c r="AD243" s="230">
        <f>(INDEX(Models!$BJ243:$BT243,,AH243)*(1-AF243)+INDEX(Models!$BJ243:$BT243,,AH243+1)*AF243-ERP_i)*AE243*Ramure*Pc/MaxiM</f>
        <v>3.7253304116025259E-4</v>
      </c>
      <c r="AE243" s="304">
        <f t="shared" si="92"/>
        <v>0.5</v>
      </c>
      <c r="AF243" s="176">
        <f t="shared" si="93"/>
        <v>0.61755873496021496</v>
      </c>
      <c r="AG243" s="814">
        <f t="shared" si="99"/>
        <v>1</v>
      </c>
      <c r="AH243" s="175">
        <f t="shared" si="94"/>
        <v>7</v>
      </c>
      <c r="AI243" s="224">
        <f t="shared" si="95"/>
        <v>1.617558734960215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10">
        <f>'2023'!Wh/'2023'!Env_an*'2024'!Env_an</f>
        <v>38.65361995236271</v>
      </c>
      <c r="C244" s="843"/>
      <c r="D244" s="392">
        <f t="shared" si="77"/>
        <v>40.573749735202696</v>
      </c>
      <c r="E244" s="384">
        <f t="shared" si="100"/>
        <v>41.25577189481011</v>
      </c>
      <c r="F244" s="384">
        <f t="shared" si="78"/>
        <v>41.265983863655308</v>
      </c>
      <c r="G244" s="110">
        <f t="shared" si="101"/>
        <v>0.75775124609056166</v>
      </c>
      <c r="H244" s="413" t="b">
        <f>Wh_hp&gt;='2023'!Maxi_hp</f>
        <v>0</v>
      </c>
      <c r="I244" s="389">
        <f>IF(H244,Wh_hp,'2023'!Maxi_hp)</f>
        <v>52.532669315171944</v>
      </c>
      <c r="J244" s="85">
        <f>IF(H244,An,'2023'!An_max)</f>
        <v>2021</v>
      </c>
      <c r="K244" s="196">
        <f t="shared" si="79"/>
        <v>45521</v>
      </c>
      <c r="L244" s="147">
        <f>IF(t&lt;Tvie,1-EXP((T0-t)*PertePVj)+'2023'!Pspv,1-EXP((T0-t)*PertePVj)+Pspv)</f>
        <v>4.7324435019473567E-2</v>
      </c>
      <c r="M244" s="847"/>
      <c r="N244" s="847"/>
      <c r="O244" s="48">
        <f>IF(t&lt;Tnet,'2023'!Resal+('2023'!Salim-'2023'!Resal)*(1-EXP(('2023'!Tnet-t)/('2023'!Tau_j))),Resal+(Salim-Resal)*(1-EXP((Tnet-t)/(Tau_j))))*Salcycl</f>
        <v>1.6531557362357979E-2</v>
      </c>
      <c r="P244" s="168">
        <f>(INDEX(Models!$BJ244:$BT244,,T244)*(1-R244)+INDEX(Models!$BJ244:$BT244,,T244+1)*R244-ERP_i)*Q244*Ramure*Pc/MaxiM</f>
        <v>3.7834819225355203E-4</v>
      </c>
      <c r="Q244" s="304">
        <f t="shared" si="80"/>
        <v>0.5</v>
      </c>
      <c r="R244" s="176">
        <f t="shared" si="81"/>
        <v>0.6182172858431032</v>
      </c>
      <c r="S244" s="814">
        <f t="shared" si="82"/>
        <v>1</v>
      </c>
      <c r="T244" s="175">
        <f t="shared" si="83"/>
        <v>7</v>
      </c>
      <c r="U244" s="250">
        <f t="shared" si="84"/>
        <v>1.6182172858431032</v>
      </c>
      <c r="V244" s="382">
        <f t="shared" si="85"/>
        <v>51.004283882453329</v>
      </c>
      <c r="W244" s="401">
        <f t="shared" si="86"/>
        <v>38.65361995236271</v>
      </c>
      <c r="X244" s="157">
        <f t="shared" si="87"/>
        <v>45521</v>
      </c>
      <c r="Y244" s="384">
        <f t="shared" si="88"/>
        <v>36.192505859751257</v>
      </c>
      <c r="Z244" s="384">
        <f t="shared" si="89"/>
        <v>37.990379086180369</v>
      </c>
      <c r="AA244" s="385">
        <f t="shared" si="90"/>
        <v>41.25577189481011</v>
      </c>
      <c r="AB244" s="196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7.9149962748376448E-2</v>
      </c>
      <c r="AD244" s="230">
        <f>(INDEX(Models!$BJ244:$BT244,,AH244)*(1-AF244)+INDEX(Models!$BJ244:$BT244,,AH244+1)*AF244-ERP_i)*AE244*Ramure*Pc/MaxiM</f>
        <v>3.7834819225355203E-4</v>
      </c>
      <c r="AE244" s="304">
        <f t="shared" si="92"/>
        <v>0.5</v>
      </c>
      <c r="AF244" s="176">
        <f t="shared" si="93"/>
        <v>0.6182172858431032</v>
      </c>
      <c r="AG244" s="814">
        <f t="shared" si="99"/>
        <v>1</v>
      </c>
      <c r="AH244" s="175">
        <f t="shared" si="94"/>
        <v>7</v>
      </c>
      <c r="AI244" s="224">
        <f t="shared" si="95"/>
        <v>1.6182172858431032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10">
        <f>'2023'!Wh/'2023'!Env_an*'2024'!Env_an</f>
        <v>40.021666913762139</v>
      </c>
      <c r="C245" s="843"/>
      <c r="D245" s="392">
        <f t="shared" si="77"/>
        <v>42.010673808773703</v>
      </c>
      <c r="E245" s="384">
        <f t="shared" si="100"/>
        <v>42.72085414772156</v>
      </c>
      <c r="F245" s="384">
        <f t="shared" si="78"/>
        <v>42.732346230956395</v>
      </c>
      <c r="G245" s="110">
        <f t="shared" si="101"/>
        <v>0.78647375817175358</v>
      </c>
      <c r="H245" s="413" t="b">
        <f>Wh_hp&gt;='2023'!Maxi_hp</f>
        <v>0</v>
      </c>
      <c r="I245" s="389">
        <f>IF(H245,Wh_hp,'2023'!Maxi_hp)</f>
        <v>51.308352268844715</v>
      </c>
      <c r="J245" s="85">
        <f>IF(H245,An,'2023'!An_max)</f>
        <v>2018</v>
      </c>
      <c r="K245" s="196">
        <f t="shared" si="79"/>
        <v>45522</v>
      </c>
      <c r="L245" s="147">
        <f>IF(t&lt;Tvie,1-EXP((T0-t)*PertePVj)+'2023'!Pspv,1-EXP((T0-t)*PertePVj)+Pspv)</f>
        <v>4.7345274776244374E-2</v>
      </c>
      <c r="M245" s="847"/>
      <c r="N245" s="847"/>
      <c r="O245" s="48">
        <f>IF(t&lt;Tnet,'2023'!Resal+('2023'!Salim-'2023'!Resal)*(1-EXP(('2023'!Tnet-t)/('2023'!Tau_j))),Resal+(Salim-Resal)*(1-EXP((Tnet-t)/(Tau_j))))*Salcycl</f>
        <v>1.6623739227969891E-2</v>
      </c>
      <c r="P245" s="168">
        <f>(INDEX(Models!$BJ245:$BT245,,T245)*(1-R245)+INDEX(Models!$BJ245:$BT245,,T245+1)*R245-ERP_i)*Q245*Ramure*Pc/MaxiM</f>
        <v>3.8689916744130513E-4</v>
      </c>
      <c r="Q245" s="304">
        <f t="shared" si="80"/>
        <v>0.5</v>
      </c>
      <c r="R245" s="176">
        <f t="shared" si="81"/>
        <v>0.61885220827276677</v>
      </c>
      <c r="S245" s="814">
        <f t="shared" si="82"/>
        <v>1</v>
      </c>
      <c r="T245" s="175">
        <f t="shared" si="83"/>
        <v>7</v>
      </c>
      <c r="U245" s="250">
        <f t="shared" si="84"/>
        <v>1.6188522082727668</v>
      </c>
      <c r="V245" s="382">
        <f t="shared" si="85"/>
        <v>50.881474396212951</v>
      </c>
      <c r="W245" s="401">
        <f t="shared" si="86"/>
        <v>40.021666913762139</v>
      </c>
      <c r="X245" s="157">
        <f t="shared" si="87"/>
        <v>45522</v>
      </c>
      <c r="Y245" s="384">
        <f t="shared" si="88"/>
        <v>37.476034641561604</v>
      </c>
      <c r="Z245" s="384">
        <f t="shared" si="89"/>
        <v>39.338528061947507</v>
      </c>
      <c r="AA245" s="385">
        <f t="shared" si="90"/>
        <v>42.72085414772156</v>
      </c>
      <c r="AB245" s="196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7.9172716773839316E-2</v>
      </c>
      <c r="AD245" s="230">
        <f>(INDEX(Models!$BJ245:$BT245,,AH245)*(1-AF245)+INDEX(Models!$BJ245:$BT245,,AH245+1)*AF245-ERP_i)*AE245*Ramure*Pc/MaxiM</f>
        <v>3.8689916744130513E-4</v>
      </c>
      <c r="AE245" s="304">
        <f t="shared" si="92"/>
        <v>0.5</v>
      </c>
      <c r="AF245" s="176">
        <f t="shared" si="93"/>
        <v>0.61885220827276677</v>
      </c>
      <c r="AG245" s="814">
        <f t="shared" si="99"/>
        <v>1</v>
      </c>
      <c r="AH245" s="175">
        <f t="shared" si="94"/>
        <v>7</v>
      </c>
      <c r="AI245" s="224">
        <f t="shared" si="95"/>
        <v>1.6188522082727668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10">
        <f>'2023'!Wh/'2023'!Env_an*'2024'!Env_an</f>
        <v>47.66199588073723</v>
      </c>
      <c r="C246" s="843"/>
      <c r="D246" s="392">
        <f t="shared" si="77"/>
        <v>50.031808216161032</v>
      </c>
      <c r="E246" s="384">
        <f t="shared" si="100"/>
        <v>50.882345475816351</v>
      </c>
      <c r="F246" s="384">
        <f t="shared" si="78"/>
        <v>50.90084894454526</v>
      </c>
      <c r="G246" s="110">
        <f t="shared" si="101"/>
        <v>0.93899665444732106</v>
      </c>
      <c r="H246" s="413" t="b">
        <f>Wh_hp&gt;='2023'!Maxi_hp</f>
        <v>0</v>
      </c>
      <c r="I246" s="389">
        <f>IF(H246,Wh_hp,'2023'!Maxi_hp)</f>
        <v>52.975167716922265</v>
      </c>
      <c r="J246" s="85">
        <f>IF(H246,An,'2023'!An_max)</f>
        <v>2021</v>
      </c>
      <c r="K246" s="196">
        <f t="shared" si="79"/>
        <v>45523</v>
      </c>
      <c r="L246" s="147">
        <f>IF(t&lt;Tvie,1-EXP((T0-t)*PertePVj)+'2023'!Pspv,1-EXP((T0-t)*PertePVj)+Pspv)</f>
        <v>4.7366114076570855E-2</v>
      </c>
      <c r="M246" s="847"/>
      <c r="N246" s="847"/>
      <c r="O246" s="48">
        <f>IF(t&lt;Tnet,'2023'!Resal+('2023'!Salim-'2023'!Resal)*(1-EXP(('2023'!Tnet-t)/('2023'!Tau_j))),Resal+(Salim-Resal)*(1-EXP((Tnet-t)/(Tau_j))))*Salcycl</f>
        <v>1.6715763624921096E-2</v>
      </c>
      <c r="P246" s="168">
        <f>(INDEX(Models!$BJ246:$BT246,,T246)*(1-R246)+INDEX(Models!$BJ246:$BT246,,T246+1)*R246-ERP_i)*Q246*Ramure*Pc/MaxiM</f>
        <v>3.9820383399715527E-4</v>
      </c>
      <c r="Q246" s="304">
        <f t="shared" si="80"/>
        <v>0.5</v>
      </c>
      <c r="R246" s="176">
        <f t="shared" si="81"/>
        <v>0.61946424371433784</v>
      </c>
      <c r="S246" s="814">
        <f t="shared" si="82"/>
        <v>1</v>
      </c>
      <c r="T246" s="175">
        <f t="shared" si="83"/>
        <v>7</v>
      </c>
      <c r="U246" s="250">
        <f t="shared" si="84"/>
        <v>1.6194642437143378</v>
      </c>
      <c r="V246" s="382">
        <f t="shared" si="85"/>
        <v>50.756668775888343</v>
      </c>
      <c r="W246" s="401">
        <f t="shared" si="86"/>
        <v>47.66199588073723</v>
      </c>
      <c r="X246" s="157">
        <f t="shared" si="87"/>
        <v>45523</v>
      </c>
      <c r="Y246" s="384">
        <f t="shared" si="88"/>
        <v>44.633476913916141</v>
      </c>
      <c r="Z246" s="384">
        <f t="shared" si="89"/>
        <v>46.852707607236738</v>
      </c>
      <c r="AA246" s="385">
        <f t="shared" si="90"/>
        <v>50.882345475816351</v>
      </c>
      <c r="AB246" s="196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7.9195206724399947E-2</v>
      </c>
      <c r="AD246" s="230">
        <f>(INDEX(Models!$BJ246:$BT246,,AH246)*(1-AF246)+INDEX(Models!$BJ246:$BT246,,AH246+1)*AF246-ERP_i)*AE246*Ramure*Pc/MaxiM</f>
        <v>3.9820383399715527E-4</v>
      </c>
      <c r="AE246" s="304">
        <f t="shared" si="92"/>
        <v>0.5</v>
      </c>
      <c r="AF246" s="176">
        <f t="shared" si="93"/>
        <v>0.61946424371433784</v>
      </c>
      <c r="AG246" s="814">
        <f t="shared" si="99"/>
        <v>1</v>
      </c>
      <c r="AH246" s="175">
        <f t="shared" si="94"/>
        <v>7</v>
      </c>
      <c r="AI246" s="224">
        <f t="shared" si="95"/>
        <v>1.6194642437143378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10">
        <f>'2023'!Wh/'2023'!Env_an*'2024'!Env_an</f>
        <v>32.130284321349365</v>
      </c>
      <c r="C247" s="843"/>
      <c r="D247" s="392">
        <f t="shared" si="77"/>
        <v>33.728578901845239</v>
      </c>
      <c r="E247" s="384">
        <f t="shared" si="100"/>
        <v>34.305167390851175</v>
      </c>
      <c r="F247" s="384">
        <f t="shared" si="78"/>
        <v>34.311928959071921</v>
      </c>
      <c r="G247" s="110">
        <f t="shared" si="101"/>
        <v>0.63445812937319201</v>
      </c>
      <c r="H247" s="413" t="b">
        <f>Wh_hp&gt;='2023'!Maxi_hp</f>
        <v>0</v>
      </c>
      <c r="I247" s="389">
        <f>IF(H247,Wh_hp,'2023'!Maxi_hp)</f>
        <v>53.054891406226311</v>
      </c>
      <c r="J247" s="85">
        <f>IF(H247,An,'2023'!An_max)</f>
        <v>2020</v>
      </c>
      <c r="K247" s="196">
        <f t="shared" si="79"/>
        <v>45524</v>
      </c>
      <c r="L247" s="147">
        <f>IF(t&lt;Tvie,1-EXP((T0-t)*PertePVj)+'2023'!Pspv,1-EXP((T0-t)*PertePVj)+Pspv)</f>
        <v>4.7386952920463334E-2</v>
      </c>
      <c r="M247" s="847"/>
      <c r="N247" s="847"/>
      <c r="O247" s="48">
        <f>IF(t&lt;Tnet,'2023'!Resal+('2023'!Salim-'2023'!Resal)*(1-EXP(('2023'!Tnet-t)/('2023'!Tau_j))),Resal+(Salim-Resal)*(1-EXP((Tnet-t)/(Tau_j))))*Salcycl</f>
        <v>1.6807627913213653E-2</v>
      </c>
      <c r="P247" s="168">
        <f>(INDEX(Models!$BJ247:$BT247,,T247)*(1-R247)+INDEX(Models!$BJ247:$BT247,,T247+1)*R247-ERP_i)*Q247*Ramure*Pc/MaxiM</f>
        <v>4.1226954023390979E-4</v>
      </c>
      <c r="Q247" s="304">
        <f t="shared" si="80"/>
        <v>0.5</v>
      </c>
      <c r="R247" s="176">
        <f t="shared" si="81"/>
        <v>0.6200541184045365</v>
      </c>
      <c r="S247" s="814">
        <f t="shared" si="82"/>
        <v>1</v>
      </c>
      <c r="T247" s="175">
        <f t="shared" si="83"/>
        <v>7</v>
      </c>
      <c r="U247" s="250">
        <f t="shared" si="84"/>
        <v>1.6200541184045365</v>
      </c>
      <c r="V247" s="382">
        <f t="shared" si="85"/>
        <v>50.631187123722299</v>
      </c>
      <c r="W247" s="401">
        <f t="shared" si="86"/>
        <v>32.130284321349365</v>
      </c>
      <c r="X247" s="157">
        <f t="shared" si="87"/>
        <v>45524</v>
      </c>
      <c r="Y247" s="384">
        <f t="shared" si="88"/>
        <v>30.090760291883122</v>
      </c>
      <c r="Z247" s="384">
        <f t="shared" si="89"/>
        <v>31.587600426147375</v>
      </c>
      <c r="AA247" s="385">
        <f t="shared" si="90"/>
        <v>34.305167390851175</v>
      </c>
      <c r="AB247" s="196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7.9217423245354759E-2</v>
      </c>
      <c r="AD247" s="230">
        <f>(INDEX(Models!$BJ247:$BT247,,AH247)*(1-AF247)+INDEX(Models!$BJ247:$BT247,,AH247+1)*AF247-ERP_i)*AE247*Ramure*Pc/MaxiM</f>
        <v>4.1226954023390979E-4</v>
      </c>
      <c r="AE247" s="304">
        <f t="shared" si="92"/>
        <v>0.5</v>
      </c>
      <c r="AF247" s="176">
        <f t="shared" si="93"/>
        <v>0.6200541184045365</v>
      </c>
      <c r="AG247" s="814">
        <f t="shared" si="99"/>
        <v>1</v>
      </c>
      <c r="AH247" s="175">
        <f t="shared" si="94"/>
        <v>7</v>
      </c>
      <c r="AI247" s="224">
        <f t="shared" si="95"/>
        <v>1.6200541184045365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10">
        <f>'2023'!Wh/'2023'!Env_an*'2024'!Env_an</f>
        <v>25.032908457251825</v>
      </c>
      <c r="C248" s="843"/>
      <c r="D248" s="392">
        <f t="shared" si="77"/>
        <v>26.278724756338917</v>
      </c>
      <c r="E248" s="384">
        <f t="shared" si="100"/>
        <v>26.730451458233684</v>
      </c>
      <c r="F248" s="384">
        <f t="shared" si="78"/>
        <v>26.733651077718925</v>
      </c>
      <c r="G248" s="110">
        <f t="shared" si="101"/>
        <v>0.49548944736720674</v>
      </c>
      <c r="H248" s="413" t="b">
        <f>Wh_hp&gt;='2023'!Maxi_hp</f>
        <v>0</v>
      </c>
      <c r="I248" s="389">
        <f>IF(H248,Wh_hp,'2023'!Maxi_hp)</f>
        <v>55.9528605164124</v>
      </c>
      <c r="J248" s="85">
        <f>IF(H248,An,'2023'!An_max)</f>
        <v>2019</v>
      </c>
      <c r="K248" s="196">
        <f t="shared" si="79"/>
        <v>45525</v>
      </c>
      <c r="L248" s="147">
        <f>IF(t&lt;Tvie,1-EXP((T0-t)*PertePVj)+'2023'!Pspv,1-EXP((T0-t)*PertePVj)+Pspv)</f>
        <v>4.7407791307931581E-2</v>
      </c>
      <c r="M248" s="847"/>
      <c r="N248" s="847"/>
      <c r="O248" s="48">
        <f>IF(t&lt;Tnet,'2023'!Resal+('2023'!Salim-'2023'!Resal)*(1-EXP(('2023'!Tnet-t)/('2023'!Tau_j))),Resal+(Salim-Resal)*(1-EXP((Tnet-t)/(Tau_j))))*Salcycl</f>
        <v>1.6899329313632753E-2</v>
      </c>
      <c r="P248" s="168">
        <f>(INDEX(Models!$BJ248:$BT248,,T248)*(1-R248)+INDEX(Models!$BJ248:$BT248,,T248+1)*R248-ERP_i)*Q248*Ramure*Pc/MaxiM</f>
        <v>4.2822807047369302E-4</v>
      </c>
      <c r="Q248" s="304">
        <f t="shared" si="80"/>
        <v>0.5</v>
      </c>
      <c r="R248" s="176">
        <f t="shared" si="81"/>
        <v>0.62062254301550746</v>
      </c>
      <c r="S248" s="814">
        <f t="shared" si="82"/>
        <v>1</v>
      </c>
      <c r="T248" s="175">
        <f t="shared" si="83"/>
        <v>7</v>
      </c>
      <c r="U248" s="250">
        <f t="shared" si="84"/>
        <v>1.6206225430155075</v>
      </c>
      <c r="V248" s="382">
        <f t="shared" si="85"/>
        <v>50.505987438399252</v>
      </c>
      <c r="W248" s="401">
        <f t="shared" si="86"/>
        <v>25.032908457251825</v>
      </c>
      <c r="X248" s="157">
        <f t="shared" si="87"/>
        <v>45525</v>
      </c>
      <c r="Y248" s="384">
        <f t="shared" si="88"/>
        <v>23.44553064277115</v>
      </c>
      <c r="Z248" s="384">
        <f t="shared" si="89"/>
        <v>24.612347685440781</v>
      </c>
      <c r="AA248" s="385">
        <f t="shared" si="90"/>
        <v>26.730451458233684</v>
      </c>
      <c r="AB248" s="196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7.9239356510773351E-2</v>
      </c>
      <c r="AD248" s="230">
        <f>(INDEX(Models!$BJ248:$BT248,,AH248)*(1-AF248)+INDEX(Models!$BJ248:$BT248,,AH248+1)*AF248-ERP_i)*AE248*Ramure*Pc/MaxiM</f>
        <v>4.2822807047369302E-4</v>
      </c>
      <c r="AE248" s="304">
        <f t="shared" si="92"/>
        <v>0.5</v>
      </c>
      <c r="AF248" s="176">
        <f t="shared" si="93"/>
        <v>0.62062254301550746</v>
      </c>
      <c r="AG248" s="814">
        <f t="shared" si="99"/>
        <v>1</v>
      </c>
      <c r="AH248" s="175">
        <f t="shared" si="94"/>
        <v>7</v>
      </c>
      <c r="AI248" s="224">
        <f t="shared" si="95"/>
        <v>1.6206225430155075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10">
        <f>'2023'!Wh/'2023'!Env_an*'2024'!Env_an</f>
        <v>44.776961438982454</v>
      </c>
      <c r="C249" s="843"/>
      <c r="D249" s="392">
        <f t="shared" si="77"/>
        <v>47.006411082048274</v>
      </c>
      <c r="E249" s="384">
        <f t="shared" si="100"/>
        <v>47.818895475313099</v>
      </c>
      <c r="F249" s="384">
        <f t="shared" si="78"/>
        <v>47.836784325564246</v>
      </c>
      <c r="G249" s="110">
        <f t="shared" si="101"/>
        <v>0.8887121920705594</v>
      </c>
      <c r="H249" s="413" t="b">
        <f>Wh_hp&gt;='2023'!Maxi_hp</f>
        <v>0</v>
      </c>
      <c r="I249" s="389">
        <f>IF(H249,Wh_hp,'2023'!Maxi_hp)</f>
        <v>53.332836013800012</v>
      </c>
      <c r="J249" s="85">
        <f>IF(H249,An,'2023'!An_max)</f>
        <v>2019</v>
      </c>
      <c r="K249" s="196">
        <f t="shared" si="79"/>
        <v>45526</v>
      </c>
      <c r="L249" s="147">
        <f>IF(t&lt;Tvie,1-EXP((T0-t)*PertePVj)+'2023'!Pspv,1-EXP((T0-t)*PertePVj)+Pspv)</f>
        <v>4.7428629238985699E-2</v>
      </c>
      <c r="M249" s="847"/>
      <c r="N249" s="847"/>
      <c r="O249" s="48">
        <f>IF(t&lt;Tnet,'2023'!Resal+('2023'!Salim-'2023'!Resal)*(1-EXP(('2023'!Tnet-t)/('2023'!Tau_j))),Resal+(Salim-Resal)*(1-EXP((Tnet-t)/(Tau_j))))*Salcycl</f>
        <v>1.6990864912057136E-2</v>
      </c>
      <c r="P249" s="168">
        <f>(INDEX(Models!$BJ249:$BT249,,T249)*(1-R249)+INDEX(Models!$BJ249:$BT249,,T249+1)*R249-ERP_i)*Q249*Ramure*Pc/MaxiM</f>
        <v>4.445996619358571E-4</v>
      </c>
      <c r="Q249" s="304">
        <f t="shared" si="80"/>
        <v>0.5</v>
      </c>
      <c r="R249" s="176">
        <f t="shared" si="81"/>
        <v>0.62117021238613912</v>
      </c>
      <c r="S249" s="814">
        <f t="shared" si="82"/>
        <v>1</v>
      </c>
      <c r="T249" s="175">
        <f t="shared" si="83"/>
        <v>7</v>
      </c>
      <c r="U249" s="250">
        <f t="shared" si="84"/>
        <v>1.6211702123861391</v>
      </c>
      <c r="V249" s="382">
        <f t="shared" si="85"/>
        <v>50.380536516184335</v>
      </c>
      <c r="W249" s="401">
        <f t="shared" si="86"/>
        <v>44.776961438982454</v>
      </c>
      <c r="X249" s="157">
        <f t="shared" si="87"/>
        <v>45526</v>
      </c>
      <c r="Y249" s="384">
        <f t="shared" si="88"/>
        <v>41.94050023998448</v>
      </c>
      <c r="Z249" s="384">
        <f t="shared" si="89"/>
        <v>44.028722180132284</v>
      </c>
      <c r="AA249" s="385">
        <f t="shared" si="90"/>
        <v>47.818895475313099</v>
      </c>
      <c r="AB249" s="196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7.9260996254870042E-2</v>
      </c>
      <c r="AD249" s="230">
        <f>(INDEX(Models!$BJ249:$BT249,,AH249)*(1-AF249)+INDEX(Models!$BJ249:$BT249,,AH249+1)*AF249-ERP_i)*AE249*Ramure*Pc/MaxiM</f>
        <v>4.445996619358571E-4</v>
      </c>
      <c r="AE249" s="304">
        <f t="shared" si="92"/>
        <v>0.5</v>
      </c>
      <c r="AF249" s="176">
        <f t="shared" si="93"/>
        <v>0.62117021238613912</v>
      </c>
      <c r="AG249" s="814">
        <f t="shared" si="99"/>
        <v>1</v>
      </c>
      <c r="AH249" s="175">
        <f t="shared" si="94"/>
        <v>7</v>
      </c>
      <c r="AI249" s="224">
        <f t="shared" si="95"/>
        <v>1.6211702123861391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10">
        <f>'2023'!Wh/'2023'!Env_an*'2024'!Env_an</f>
        <v>46.262367228317586</v>
      </c>
      <c r="C250" s="843"/>
      <c r="D250" s="392">
        <f t="shared" si="77"/>
        <v>48.566837780993367</v>
      </c>
      <c r="E250" s="384">
        <f t="shared" si="100"/>
        <v>49.410885981969713</v>
      </c>
      <c r="F250" s="384">
        <f t="shared" si="78"/>
        <v>49.431104987346195</v>
      </c>
      <c r="G250" s="110">
        <f t="shared" si="101"/>
        <v>0.92051848686299242</v>
      </c>
      <c r="H250" s="413" t="b">
        <f>Wh_hp&gt;='2023'!Maxi_hp</f>
        <v>0</v>
      </c>
      <c r="I250" s="389">
        <f>IF(H250,Wh_hp,'2023'!Maxi_hp)</f>
        <v>53.598539486969429</v>
      </c>
      <c r="J250" s="85">
        <f>IF(H250,An,'2023'!An_max)</f>
        <v>2019</v>
      </c>
      <c r="K250" s="196">
        <f t="shared" si="79"/>
        <v>45527</v>
      </c>
      <c r="L250" s="147">
        <f>IF(t&lt;Tvie,1-EXP((T0-t)*PertePVj)+'2023'!Pspv,1-EXP((T0-t)*PertePVj)+Pspv)</f>
        <v>4.744946671363557E-2</v>
      </c>
      <c r="M250" s="847"/>
      <c r="N250" s="847"/>
      <c r="O250" s="48">
        <f>IF(t&lt;Tnet,'2023'!Resal+('2023'!Salim-'2023'!Resal)*(1-EXP(('2023'!Tnet-t)/('2023'!Tau_j))),Resal+(Salim-Resal)*(1-EXP((Tnet-t)/(Tau_j))))*Salcycl</f>
        <v>1.7082231662155323E-2</v>
      </c>
      <c r="P250" s="168">
        <f>(INDEX(Models!$BJ250:$BT250,,T250)*(1-R250)+INDEX(Models!$BJ250:$BT250,,T250+1)*R250-ERP_i)*Q250*Ramure*Pc/MaxiM</f>
        <v>4.6139091454350175E-4</v>
      </c>
      <c r="Q250" s="304">
        <f t="shared" si="80"/>
        <v>0.5</v>
      </c>
      <c r="R250" s="176">
        <f t="shared" si="81"/>
        <v>0.62169780531593766</v>
      </c>
      <c r="S250" s="814">
        <f t="shared" si="82"/>
        <v>1</v>
      </c>
      <c r="T250" s="175">
        <f t="shared" si="83"/>
        <v>7</v>
      </c>
      <c r="U250" s="250">
        <f t="shared" si="84"/>
        <v>1.6216978053159377</v>
      </c>
      <c r="V250" s="382">
        <f t="shared" si="85"/>
        <v>50.254226009746631</v>
      </c>
      <c r="W250" s="401">
        <f t="shared" si="86"/>
        <v>46.262367228317586</v>
      </c>
      <c r="X250" s="157">
        <f t="shared" si="87"/>
        <v>45527</v>
      </c>
      <c r="Y250" s="384">
        <f t="shared" si="88"/>
        <v>43.334834563155006</v>
      </c>
      <c r="Z250" s="384">
        <f t="shared" si="89"/>
        <v>45.493475725268731</v>
      </c>
      <c r="AA250" s="385">
        <f t="shared" si="90"/>
        <v>49.410885981969713</v>
      </c>
      <c r="AB250" s="196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7.9282331794869335E-2</v>
      </c>
      <c r="AD250" s="230">
        <f>(INDEX(Models!$BJ250:$BT250,,AH250)*(1-AF250)+INDEX(Models!$BJ250:$BT250,,AH250+1)*AF250-ERP_i)*AE250*Ramure*Pc/MaxiM</f>
        <v>4.6139091454350175E-4</v>
      </c>
      <c r="AE250" s="304">
        <f t="shared" si="92"/>
        <v>0.5</v>
      </c>
      <c r="AF250" s="176">
        <f t="shared" si="93"/>
        <v>0.62169780531593766</v>
      </c>
      <c r="AG250" s="814">
        <f t="shared" si="99"/>
        <v>1</v>
      </c>
      <c r="AH250" s="175">
        <f t="shared" si="94"/>
        <v>7</v>
      </c>
      <c r="AI250" s="224">
        <f t="shared" si="95"/>
        <v>1.6216978053159377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10">
        <f>'2023'!Wh/'2023'!Env_an*'2024'!Env_an</f>
        <v>33.009841595556985</v>
      </c>
      <c r="C251" s="843"/>
      <c r="D251" s="392">
        <f t="shared" si="77"/>
        <v>34.654921232256996</v>
      </c>
      <c r="E251" s="384">
        <f t="shared" si="100"/>
        <v>35.260464218870538</v>
      </c>
      <c r="F251" s="384">
        <f t="shared" si="78"/>
        <v>35.2691100135456</v>
      </c>
      <c r="G251" s="110">
        <f t="shared" si="101"/>
        <v>0.65837764816404476</v>
      </c>
      <c r="H251" s="413" t="b">
        <f>Wh_hp&gt;='2023'!Maxi_hp</f>
        <v>0</v>
      </c>
      <c r="I251" s="389">
        <f>IF(H251,Wh_hp,'2023'!Maxi_hp)</f>
        <v>49.950195766823477</v>
      </c>
      <c r="J251" s="85">
        <f>IF(H251,An,'2023'!An_max)</f>
        <v>2020</v>
      </c>
      <c r="K251" s="196">
        <f t="shared" si="79"/>
        <v>45528</v>
      </c>
      <c r="L251" s="147">
        <f>IF(t&lt;Tvie,1-EXP((T0-t)*PertePVj)+'2023'!Pspv,1-EXP((T0-t)*PertePVj)+Pspv)</f>
        <v>4.7470303731891407E-2</v>
      </c>
      <c r="M251" s="847"/>
      <c r="N251" s="847"/>
      <c r="O251" s="48">
        <f>IF(t&lt;Tnet,'2023'!Resal+('2023'!Salim-'2023'!Resal)*(1-EXP(('2023'!Tnet-t)/('2023'!Tau_j))),Resal+(Salim-Resal)*(1-EXP((Tnet-t)/(Tau_j))))*Salcycl</f>
        <v>1.71734263864135E-2</v>
      </c>
      <c r="P251" s="168">
        <f>(INDEX(Models!$BJ251:$BT251,,T251)*(1-R251)+INDEX(Models!$BJ251:$BT251,,T251+1)*R251-ERP_i)*Q251*Ramure*Pc/MaxiM</f>
        <v>4.7860939376024962E-4</v>
      </c>
      <c r="Q251" s="304">
        <f t="shared" si="80"/>
        <v>0.5</v>
      </c>
      <c r="R251" s="176">
        <f t="shared" si="81"/>
        <v>0.62220598441671648</v>
      </c>
      <c r="S251" s="814">
        <f t="shared" si="82"/>
        <v>1</v>
      </c>
      <c r="T251" s="175">
        <f t="shared" si="83"/>
        <v>7</v>
      </c>
      <c r="U251" s="250">
        <f t="shared" si="84"/>
        <v>1.6222059844167165</v>
      </c>
      <c r="V251" s="382">
        <f t="shared" si="85"/>
        <v>50.126447852570926</v>
      </c>
      <c r="W251" s="401">
        <f t="shared" si="86"/>
        <v>33.009841595556985</v>
      </c>
      <c r="X251" s="157">
        <f t="shared" si="87"/>
        <v>45528</v>
      </c>
      <c r="Y251" s="384">
        <f t="shared" si="88"/>
        <v>30.923106194409932</v>
      </c>
      <c r="Z251" s="384">
        <f t="shared" si="89"/>
        <v>32.464191211636518</v>
      </c>
      <c r="AA251" s="385">
        <f t="shared" si="90"/>
        <v>35.260464218870538</v>
      </c>
      <c r="AB251" s="196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7.9303352045419953E-2</v>
      </c>
      <c r="AD251" s="230">
        <f>(INDEX(Models!$BJ251:$BT251,,AH251)*(1-AF251)+INDEX(Models!$BJ251:$BT251,,AH251+1)*AF251-ERP_i)*AE251*Ramure*Pc/MaxiM</f>
        <v>4.7860939376024962E-4</v>
      </c>
      <c r="AE251" s="304">
        <f t="shared" si="92"/>
        <v>0.5</v>
      </c>
      <c r="AF251" s="176">
        <f t="shared" si="93"/>
        <v>0.62220598441671648</v>
      </c>
      <c r="AG251" s="814">
        <f t="shared" si="99"/>
        <v>1</v>
      </c>
      <c r="AH251" s="175">
        <f t="shared" si="94"/>
        <v>7</v>
      </c>
      <c r="AI251" s="224">
        <f t="shared" si="95"/>
        <v>1.6222059844167165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10">
        <f>'2023'!Wh/'2023'!Env_an*'2024'!Env_an</f>
        <v>41.469096600161087</v>
      </c>
      <c r="C252" s="843"/>
      <c r="D252" s="392">
        <f t="shared" si="77"/>
        <v>43.536704333595971</v>
      </c>
      <c r="E252" s="384">
        <f t="shared" si="100"/>
        <v>44.301545971795612</v>
      </c>
      <c r="F252" s="384">
        <f t="shared" si="78"/>
        <v>44.318180536694626</v>
      </c>
      <c r="G252" s="110">
        <f t="shared" si="101"/>
        <v>0.82933809597749808</v>
      </c>
      <c r="H252" s="413" t="b">
        <f>Wh_hp&gt;='2023'!Maxi_hp</f>
        <v>0</v>
      </c>
      <c r="I252" s="389">
        <f>IF(H252,Wh_hp,'2023'!Maxi_hp)</f>
        <v>53.423762617483668</v>
      </c>
      <c r="J252" s="85">
        <f>IF(H252,An,'2023'!An_max)</f>
        <v>2018</v>
      </c>
      <c r="K252" s="196">
        <f t="shared" si="79"/>
        <v>45529</v>
      </c>
      <c r="L252" s="147">
        <f>IF(t&lt;Tvie,1-EXP((T0-t)*PertePVj)+'2023'!Pspv,1-EXP((T0-t)*PertePVj)+Pspv)</f>
        <v>4.749114029376298E-2</v>
      </c>
      <c r="M252" s="847"/>
      <c r="N252" s="847"/>
      <c r="O252" s="48">
        <f>IF(t&lt;Tnet,'2023'!Resal+('2023'!Salim-'2023'!Resal)*(1-EXP(('2023'!Tnet-t)/('2023'!Tau_j))),Resal+(Salim-Resal)*(1-EXP((Tnet-t)/(Tau_j))))*Salcycl</f>
        <v>1.7264445775471964E-2</v>
      </c>
      <c r="P252" s="168">
        <f>(INDEX(Models!$BJ252:$BT252,,T252)*(1-R252)+INDEX(Models!$BJ252:$BT252,,T252+1)*R252-ERP_i)*Q252*Ramure*Pc/MaxiM</f>
        <v>4.962632353743379E-4</v>
      </c>
      <c r="Q252" s="304">
        <f t="shared" si="80"/>
        <v>0.5</v>
      </c>
      <c r="R252" s="176">
        <f t="shared" si="81"/>
        <v>0.62269539601755874</v>
      </c>
      <c r="S252" s="814">
        <f t="shared" si="82"/>
        <v>1</v>
      </c>
      <c r="T252" s="175">
        <f t="shared" si="83"/>
        <v>7</v>
      </c>
      <c r="U252" s="250">
        <f t="shared" si="84"/>
        <v>1.6226953960175587</v>
      </c>
      <c r="V252" s="382">
        <f t="shared" si="85"/>
        <v>49.996594282375227</v>
      </c>
      <c r="W252" s="401">
        <f t="shared" si="86"/>
        <v>41.469096600161087</v>
      </c>
      <c r="X252" s="157">
        <f t="shared" si="87"/>
        <v>45529</v>
      </c>
      <c r="Y252" s="384">
        <f t="shared" si="88"/>
        <v>38.850329500601852</v>
      </c>
      <c r="Z252" s="384">
        <f t="shared" si="89"/>
        <v>40.787368122311925</v>
      </c>
      <c r="AA252" s="385">
        <f t="shared" si="90"/>
        <v>44.301545971795612</v>
      </c>
      <c r="AB252" s="196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7.9324045524753792E-2</v>
      </c>
      <c r="AD252" s="230">
        <f>(INDEX(Models!$BJ252:$BT252,,AH252)*(1-AF252)+INDEX(Models!$BJ252:$BT252,,AH252+1)*AF252-ERP_i)*AE252*Ramure*Pc/MaxiM</f>
        <v>4.962632353743379E-4</v>
      </c>
      <c r="AE252" s="304">
        <f t="shared" si="92"/>
        <v>0.5</v>
      </c>
      <c r="AF252" s="176">
        <f t="shared" si="93"/>
        <v>0.62269539601755874</v>
      </c>
      <c r="AG252" s="814">
        <f t="shared" si="99"/>
        <v>1</v>
      </c>
      <c r="AH252" s="175">
        <f t="shared" si="94"/>
        <v>7</v>
      </c>
      <c r="AI252" s="224">
        <f t="shared" si="95"/>
        <v>1.6226953960175587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10">
        <f>'2023'!Wh/'2023'!Env_an*'2024'!Env_an</f>
        <v>48.857943871251358</v>
      </c>
      <c r="C253" s="843"/>
      <c r="D253" s="392">
        <f t="shared" si="77"/>
        <v>51.295074227338993</v>
      </c>
      <c r="E253" s="384">
        <f t="shared" si="100"/>
        <v>52.201038194845587</v>
      </c>
      <c r="F253" s="384">
        <f t="shared" si="78"/>
        <v>52.227127487421008</v>
      </c>
      <c r="G253" s="110">
        <f t="shared" si="101"/>
        <v>0.97980832817716224</v>
      </c>
      <c r="H253" s="413" t="b">
        <f>Wh_hp&gt;='2023'!Maxi_hp</f>
        <v>0</v>
      </c>
      <c r="I253" s="389">
        <f>IF(H253,Wh_hp,'2023'!Maxi_hp)</f>
        <v>52.471560857407106</v>
      </c>
      <c r="J253" s="85">
        <f>IF(H253,An,'2023'!An_max)</f>
        <v>2018</v>
      </c>
      <c r="K253" s="196">
        <f t="shared" si="79"/>
        <v>45530</v>
      </c>
      <c r="L253" s="147">
        <f>IF(t&lt;Tvie,1-EXP((T0-t)*PertePVj)+'2023'!Pspv,1-EXP((T0-t)*PertePVj)+Pspv)</f>
        <v>4.7511976399260282E-2</v>
      </c>
      <c r="M253" s="847"/>
      <c r="N253" s="847"/>
      <c r="O253" s="48">
        <f>IF(t&lt;Tnet,'2023'!Resal+('2023'!Salim-'2023'!Resal)*(1-EXP(('2023'!Tnet-t)/('2023'!Tau_j))),Resal+(Salim-Resal)*(1-EXP((Tnet-t)/(Tau_j))))*Salcycl</f>
        <v>1.7355286385780117E-2</v>
      </c>
      <c r="P253" s="168">
        <f>(INDEX(Models!$BJ253:$BT253,,T253)*(1-R253)+INDEX(Models!$BJ253:$BT253,,T253+1)*R253-ERP_i)*Q253*Ramure*Pc/MaxiM</f>
        <v>5.1436147989872099E-4</v>
      </c>
      <c r="Q253" s="304">
        <f t="shared" si="80"/>
        <v>0.5</v>
      </c>
      <c r="R253" s="176">
        <f t="shared" si="81"/>
        <v>0.62316667011870708</v>
      </c>
      <c r="S253" s="814">
        <f t="shared" si="82"/>
        <v>1</v>
      </c>
      <c r="T253" s="175">
        <f t="shared" si="83"/>
        <v>7</v>
      </c>
      <c r="U253" s="250">
        <f t="shared" si="84"/>
        <v>1.6231666701187071</v>
      </c>
      <c r="V253" s="382">
        <f t="shared" si="85"/>
        <v>49.864057822721016</v>
      </c>
      <c r="W253" s="401">
        <f t="shared" si="86"/>
        <v>48.857943871251358</v>
      </c>
      <c r="X253" s="157">
        <f t="shared" si="87"/>
        <v>45530</v>
      </c>
      <c r="Y253" s="384">
        <f t="shared" si="88"/>
        <v>45.775791584800011</v>
      </c>
      <c r="Z253" s="384">
        <f t="shared" si="89"/>
        <v>48.059178121475398</v>
      </c>
      <c r="AA253" s="385">
        <f t="shared" si="90"/>
        <v>52.201038194845587</v>
      </c>
      <c r="AB253" s="196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7.9344400352925545E-2</v>
      </c>
      <c r="AD253" s="230">
        <f>(INDEX(Models!$BJ253:$BT253,,AH253)*(1-AF253)+INDEX(Models!$BJ253:$BT253,,AH253+1)*AF253-ERP_i)*AE253*Ramure*Pc/MaxiM</f>
        <v>5.1436147989872099E-4</v>
      </c>
      <c r="AE253" s="304">
        <f t="shared" si="92"/>
        <v>0.5</v>
      </c>
      <c r="AF253" s="176">
        <f t="shared" si="93"/>
        <v>0.62316667011870708</v>
      </c>
      <c r="AG253" s="814">
        <f t="shared" si="99"/>
        <v>1</v>
      </c>
      <c r="AH253" s="175">
        <f t="shared" si="94"/>
        <v>7</v>
      </c>
      <c r="AI253" s="224">
        <f t="shared" si="95"/>
        <v>1.6231666701187071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10">
        <f>'2023'!Wh/'2023'!Env_an*'2024'!Env_an</f>
        <v>47.948336835257301</v>
      </c>
      <c r="C254" s="843"/>
      <c r="D254" s="392">
        <f t="shared" si="77"/>
        <v>50.341195415220426</v>
      </c>
      <c r="E254" s="384">
        <f t="shared" si="100"/>
        <v>51.235039070243346</v>
      </c>
      <c r="F254" s="384">
        <f t="shared" si="78"/>
        <v>51.260936576987234</v>
      </c>
      <c r="G254" s="110">
        <f t="shared" si="101"/>
        <v>0.9641808390857205</v>
      </c>
      <c r="H254" s="413" t="b">
        <f>Wh_hp&gt;='2023'!Maxi_hp</f>
        <v>0</v>
      </c>
      <c r="I254" s="389">
        <f>IF(H254,Wh_hp,'2023'!Maxi_hp)</f>
        <v>53.825007614477727</v>
      </c>
      <c r="J254" s="85">
        <f>IF(H254,An,'2023'!An_max)</f>
        <v>2021</v>
      </c>
      <c r="K254" s="196">
        <f t="shared" si="79"/>
        <v>45531</v>
      </c>
      <c r="L254" s="147">
        <f>IF(t&lt;Tvie,1-EXP((T0-t)*PertePVj)+'2023'!Pspv,1-EXP((T0-t)*PertePVj)+Pspv)</f>
        <v>4.7532812048393526E-2</v>
      </c>
      <c r="M254" s="847"/>
      <c r="N254" s="847"/>
      <c r="O254" s="48">
        <f>IF(t&lt;Tnet,'2023'!Resal+('2023'!Salim-'2023'!Resal)*(1-EXP(('2023'!Tnet-t)/('2023'!Tau_j))),Resal+(Salim-Resal)*(1-EXP((Tnet-t)/(Tau_j))))*Salcycl</f>
        <v>1.7445944635612769E-2</v>
      </c>
      <c r="P254" s="168">
        <f>(INDEX(Models!$BJ254:$BT254,,T254)*(1-R254)+INDEX(Models!$BJ254:$BT254,,T254+1)*R254-ERP_i)*Q254*Ramure*Pc/MaxiM</f>
        <v>5.3243419846943851E-4</v>
      </c>
      <c r="Q254" s="304">
        <f t="shared" si="80"/>
        <v>0.5</v>
      </c>
      <c r="R254" s="176">
        <f t="shared" si="81"/>
        <v>0.6236204203902429</v>
      </c>
      <c r="S254" s="814">
        <f t="shared" si="82"/>
        <v>1</v>
      </c>
      <c r="T254" s="175">
        <f t="shared" si="83"/>
        <v>7</v>
      </c>
      <c r="U254" s="250">
        <f t="shared" si="84"/>
        <v>1.6236204203902429</v>
      </c>
      <c r="V254" s="382">
        <f t="shared" si="85"/>
        <v>49.728255165119833</v>
      </c>
      <c r="W254" s="401">
        <f t="shared" si="86"/>
        <v>47.948336835257301</v>
      </c>
      <c r="X254" s="157">
        <f t="shared" si="87"/>
        <v>45531</v>
      </c>
      <c r="Y254" s="384">
        <f t="shared" si="88"/>
        <v>44.926734979006042</v>
      </c>
      <c r="Z254" s="384">
        <f t="shared" si="89"/>
        <v>47.168800718086999</v>
      </c>
      <c r="AA254" s="385">
        <f t="shared" si="90"/>
        <v>51.235039070243346</v>
      </c>
      <c r="AB254" s="196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7.9364404242602882E-2</v>
      </c>
      <c r="AD254" s="230">
        <f>(INDEX(Models!$BJ254:$BT254,,AH254)*(1-AF254)+INDEX(Models!$BJ254:$BT254,,AH254+1)*AF254-ERP_i)*AE254*Ramure*Pc/MaxiM</f>
        <v>5.3243419846943851E-4</v>
      </c>
      <c r="AE254" s="304">
        <f t="shared" si="92"/>
        <v>0.5</v>
      </c>
      <c r="AF254" s="176">
        <f t="shared" si="93"/>
        <v>0.6236204203902429</v>
      </c>
      <c r="AG254" s="814">
        <f t="shared" si="99"/>
        <v>1</v>
      </c>
      <c r="AH254" s="175">
        <f t="shared" si="94"/>
        <v>7</v>
      </c>
      <c r="AI254" s="224">
        <f t="shared" si="95"/>
        <v>1.6236204203902429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10">
        <f>'2023'!Wh/'2023'!Env_an*'2024'!Env_an</f>
        <v>32.327178514451745</v>
      </c>
      <c r="C255" s="843"/>
      <c r="D255" s="392">
        <f t="shared" si="77"/>
        <v>33.941206684044531</v>
      </c>
      <c r="E255" s="384">
        <f t="shared" si="100"/>
        <v>34.547037940559136</v>
      </c>
      <c r="F255" s="384">
        <f t="shared" si="78"/>
        <v>34.556579547727708</v>
      </c>
      <c r="G255" s="110">
        <f t="shared" si="101"/>
        <v>0.65172882034354507</v>
      </c>
      <c r="H255" s="413" t="b">
        <f>Wh_hp&gt;='2023'!Maxi_hp</f>
        <v>0</v>
      </c>
      <c r="I255" s="389">
        <f>IF(H255,Wh_hp,'2023'!Maxi_hp)</f>
        <v>53.392910497519651</v>
      </c>
      <c r="J255" s="85">
        <f>IF(H255,An,'2023'!An_max)</f>
        <v>2021</v>
      </c>
      <c r="K255" s="196">
        <f t="shared" si="79"/>
        <v>45532</v>
      </c>
      <c r="L255" s="147">
        <f>IF(t&lt;Tvie,1-EXP((T0-t)*PertePVj)+'2023'!Pspv,1-EXP((T0-t)*PertePVj)+Pspv)</f>
        <v>4.7553647241172593E-2</v>
      </c>
      <c r="M255" s="847"/>
      <c r="N255" s="847"/>
      <c r="O255" s="48">
        <f>IF(t&lt;Tnet,'2023'!Resal+('2023'!Salim-'2023'!Resal)*(1-EXP(('2023'!Tnet-t)/('2023'!Tau_j))),Resal+(Salim-Resal)*(1-EXP((Tnet-t)/(Tau_j))))*Salcycl</f>
        <v>1.753641679952378E-2</v>
      </c>
      <c r="P255" s="168">
        <f>(INDEX(Models!$BJ255:$BT255,,T255)*(1-R255)+INDEX(Models!$BJ255:$BT255,,T255+1)*R255-ERP_i)*Q255*Ramure*Pc/MaxiM</f>
        <v>5.4923855538030898E-4</v>
      </c>
      <c r="Q255" s="304">
        <f t="shared" si="80"/>
        <v>0.5</v>
      </c>
      <c r="R255" s="176">
        <f t="shared" si="81"/>
        <v>0.62405724421161968</v>
      </c>
      <c r="S255" s="814">
        <f t="shared" si="82"/>
        <v>1</v>
      </c>
      <c r="T255" s="175">
        <f t="shared" si="83"/>
        <v>7</v>
      </c>
      <c r="U255" s="250">
        <f t="shared" si="84"/>
        <v>1.6240572442116197</v>
      </c>
      <c r="V255" s="382">
        <f t="shared" si="85"/>
        <v>49.588641424514407</v>
      </c>
      <c r="W255" s="401">
        <f t="shared" si="86"/>
        <v>32.327178514451745</v>
      </c>
      <c r="X255" s="157">
        <f t="shared" si="87"/>
        <v>45532</v>
      </c>
      <c r="Y255" s="384">
        <f t="shared" si="88"/>
        <v>30.292131785995707</v>
      </c>
      <c r="Z255" s="384">
        <f t="shared" si="89"/>
        <v>31.804554343929642</v>
      </c>
      <c r="AA255" s="385">
        <f t="shared" si="90"/>
        <v>34.547037940559136</v>
      </c>
      <c r="AB255" s="196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7.9384044483007551E-2</v>
      </c>
      <c r="AD255" s="230">
        <f>(INDEX(Models!$BJ255:$BT255,,AH255)*(1-AF255)+INDEX(Models!$BJ255:$BT255,,AH255+1)*AF255-ERP_i)*AE255*Ramure*Pc/MaxiM</f>
        <v>5.4923855538030898E-4</v>
      </c>
      <c r="AE255" s="304">
        <f t="shared" si="92"/>
        <v>0.5</v>
      </c>
      <c r="AF255" s="176">
        <f t="shared" si="93"/>
        <v>0.62405724421161968</v>
      </c>
      <c r="AG255" s="814">
        <f t="shared" si="99"/>
        <v>1</v>
      </c>
      <c r="AH255" s="175">
        <f t="shared" si="94"/>
        <v>7</v>
      </c>
      <c r="AI255" s="224">
        <f t="shared" si="95"/>
        <v>1.6240572442116197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10">
        <f>'2023'!Wh/'2023'!Env_an*'2024'!Env_an</f>
        <v>46.938676864734546</v>
      </c>
      <c r="C256" s="843"/>
      <c r="D256" s="392">
        <f t="shared" si="77"/>
        <v>49.28330454878779</v>
      </c>
      <c r="E256" s="384">
        <f t="shared" si="100"/>
        <v>50.167593621169964</v>
      </c>
      <c r="F256" s="384">
        <f t="shared" si="78"/>
        <v>50.193889371258692</v>
      </c>
      <c r="G256" s="110">
        <f t="shared" si="101"/>
        <v>0.94927954017620475</v>
      </c>
      <c r="H256" s="413" t="b">
        <f>Wh_hp&gt;='2023'!Maxi_hp</f>
        <v>0</v>
      </c>
      <c r="I256" s="389">
        <f>IF(H256,Wh_hp,'2023'!Maxi_hp)</f>
        <v>51.895427977541566</v>
      </c>
      <c r="J256" s="85">
        <f>IF(H256,An,'2023'!An_max)</f>
        <v>2021</v>
      </c>
      <c r="K256" s="196">
        <f t="shared" si="79"/>
        <v>45533</v>
      </c>
      <c r="L256" s="147">
        <f>IF(t&lt;Tvie,1-EXP((T0-t)*PertePVj)+'2023'!Pspv,1-EXP((T0-t)*PertePVj)+Pspv)</f>
        <v>4.7574481977607365E-2</v>
      </c>
      <c r="M256" s="847"/>
      <c r="N256" s="847"/>
      <c r="O256" s="48">
        <f>IF(t&lt;Tnet,'2023'!Resal+('2023'!Salim-'2023'!Resal)*(1-EXP(('2023'!Tnet-t)/('2023'!Tau_j))),Resal+(Salim-Resal)*(1-EXP((Tnet-t)/(Tau_j))))*Salcycl</f>
        <v>1.7626699001345301E-2</v>
      </c>
      <c r="P256" s="168">
        <f>(INDEX(Models!$BJ256:$BT256,,T256)*(1-R256)+INDEX(Models!$BJ256:$BT256,,T256+1)*R256-ERP_i)*Q256*Ramure*Pc/MaxiM</f>
        <v>5.6477447255685409E-4</v>
      </c>
      <c r="Q256" s="304">
        <f t="shared" si="80"/>
        <v>0.5</v>
      </c>
      <c r="R256" s="176">
        <f t="shared" si="81"/>
        <v>0.62447772274832447</v>
      </c>
      <c r="S256" s="814">
        <f t="shared" si="82"/>
        <v>1</v>
      </c>
      <c r="T256" s="175">
        <f t="shared" si="83"/>
        <v>7</v>
      </c>
      <c r="U256" s="250">
        <f t="shared" si="84"/>
        <v>1.6244777227483245</v>
      </c>
      <c r="V256" s="382">
        <f t="shared" si="85"/>
        <v>49.444609836941567</v>
      </c>
      <c r="W256" s="401">
        <f t="shared" si="86"/>
        <v>46.938676864734546</v>
      </c>
      <c r="X256" s="157">
        <f t="shared" si="87"/>
        <v>45533</v>
      </c>
      <c r="Y256" s="384">
        <f t="shared" si="88"/>
        <v>43.986935117704775</v>
      </c>
      <c r="Z256" s="384">
        <f t="shared" si="89"/>
        <v>46.184120737376752</v>
      </c>
      <c r="AA256" s="385">
        <f t="shared" si="90"/>
        <v>50.167593621169964</v>
      </c>
      <c r="AB256" s="196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7.9403307917728039E-2</v>
      </c>
      <c r="AD256" s="230">
        <f>(INDEX(Models!$BJ256:$BT256,,AH256)*(1-AF256)+INDEX(Models!$BJ256:$BT256,,AH256+1)*AF256-ERP_i)*AE256*Ramure*Pc/MaxiM</f>
        <v>5.6477447255685409E-4</v>
      </c>
      <c r="AE256" s="304">
        <f t="shared" si="92"/>
        <v>0.5</v>
      </c>
      <c r="AF256" s="176">
        <f t="shared" si="93"/>
        <v>0.62447772274832447</v>
      </c>
      <c r="AG256" s="814">
        <f t="shared" si="99"/>
        <v>1</v>
      </c>
      <c r="AH256" s="175">
        <f t="shared" si="94"/>
        <v>7</v>
      </c>
      <c r="AI256" s="224">
        <f t="shared" si="95"/>
        <v>1.6244777227483245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10">
        <f>'2023'!Wh/'2023'!Env_an*'2024'!Env_an</f>
        <v>22.091094624864258</v>
      </c>
      <c r="C257" s="843"/>
      <c r="D257" s="392">
        <f t="shared" si="77"/>
        <v>23.195071382956172</v>
      </c>
      <c r="E257" s="384">
        <f t="shared" si="100"/>
        <v>23.613425416257773</v>
      </c>
      <c r="F257" s="384">
        <f t="shared" si="78"/>
        <v>23.616319319229174</v>
      </c>
      <c r="G257" s="110">
        <f t="shared" si="101"/>
        <v>0.44793103975000748</v>
      </c>
      <c r="H257" s="413" t="b">
        <f>Wh_hp&gt;='2023'!Maxi_hp</f>
        <v>0</v>
      </c>
      <c r="I257" s="389">
        <f>IF(H257,Wh_hp,'2023'!Maxi_hp)</f>
        <v>51.83189151482037</v>
      </c>
      <c r="J257" s="85">
        <f>IF(H257,An,'2023'!An_max)</f>
        <v>2021</v>
      </c>
      <c r="K257" s="196">
        <f t="shared" si="79"/>
        <v>45534</v>
      </c>
      <c r="L257" s="147">
        <f>IF(t&lt;Tvie,1-EXP((T0-t)*PertePVj)+'2023'!Pspv,1-EXP((T0-t)*PertePVj)+Pspv)</f>
        <v>4.7595316257708055E-2</v>
      </c>
      <c r="M257" s="847"/>
      <c r="N257" s="847"/>
      <c r="O257" s="48">
        <f>IF(t&lt;Tnet,'2023'!Resal+('2023'!Salim-'2023'!Resal)*(1-EXP(('2023'!Tnet-t)/('2023'!Tau_j))),Resal+(Salim-Resal)*(1-EXP((Tnet-t)/(Tau_j))))*Salcycl</f>
        <v>1.7716787205873361E-2</v>
      </c>
      <c r="P257" s="168">
        <f>(INDEX(Models!$BJ257:$BT257,,T257)*(1-R257)+INDEX(Models!$BJ257:$BT257,,T257+1)*R257-ERP_i)*Q257*Ramure*Pc/MaxiM</f>
        <v>5.7904222393888706E-4</v>
      </c>
      <c r="Q257" s="304">
        <f t="shared" si="80"/>
        <v>0.5</v>
      </c>
      <c r="R257" s="176">
        <f t="shared" si="81"/>
        <v>0.62488242106214464</v>
      </c>
      <c r="S257" s="814">
        <f t="shared" si="82"/>
        <v>1</v>
      </c>
      <c r="T257" s="175">
        <f t="shared" si="83"/>
        <v>7</v>
      </c>
      <c r="U257" s="250">
        <f t="shared" si="84"/>
        <v>1.6248824210621446</v>
      </c>
      <c r="V257" s="382">
        <f t="shared" si="85"/>
        <v>49.295553907783329</v>
      </c>
      <c r="W257" s="401">
        <f t="shared" si="86"/>
        <v>22.091094624864258</v>
      </c>
      <c r="X257" s="157">
        <f t="shared" si="87"/>
        <v>45534</v>
      </c>
      <c r="Y257" s="384">
        <f t="shared" si="88"/>
        <v>20.703368892012918</v>
      </c>
      <c r="Z257" s="384">
        <f t="shared" si="89"/>
        <v>21.737995670772001</v>
      </c>
      <c r="AA257" s="385">
        <f t="shared" si="90"/>
        <v>23.613425416257773</v>
      </c>
      <c r="AB257" s="196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7.9422180917239696E-2</v>
      </c>
      <c r="AD257" s="230">
        <f>(INDEX(Models!$BJ257:$BT257,,AH257)*(1-AF257)+INDEX(Models!$BJ257:$BT257,,AH257+1)*AF257-ERP_i)*AE257*Ramure*Pc/MaxiM</f>
        <v>5.7904222393888706E-4</v>
      </c>
      <c r="AE257" s="304">
        <f t="shared" si="92"/>
        <v>0.5</v>
      </c>
      <c r="AF257" s="176">
        <f t="shared" si="93"/>
        <v>0.62488242106214464</v>
      </c>
      <c r="AG257" s="814">
        <f t="shared" si="99"/>
        <v>1</v>
      </c>
      <c r="AH257" s="175">
        <f t="shared" si="94"/>
        <v>7</v>
      </c>
      <c r="AI257" s="224">
        <f t="shared" si="95"/>
        <v>1.6248824210621446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10">
        <f>'2023'!Wh/'2023'!Env_an*'2024'!Env_an</f>
        <v>42.584093768006596</v>
      </c>
      <c r="C258" s="843"/>
      <c r="D258" s="392">
        <f t="shared" si="77"/>
        <v>44.713162420435864</v>
      </c>
      <c r="E258" s="384">
        <f t="shared" si="100"/>
        <v>45.523789851673655</v>
      </c>
      <c r="F258" s="384">
        <f t="shared" si="78"/>
        <v>45.545614953288428</v>
      </c>
      <c r="G258" s="110">
        <f t="shared" si="101"/>
        <v>0.86647403871483597</v>
      </c>
      <c r="H258" s="413" t="b">
        <f>Wh_hp&gt;='2023'!Maxi_hp</f>
        <v>0</v>
      </c>
      <c r="I258" s="389">
        <f>IF(H258,Wh_hp,'2023'!Maxi_hp)</f>
        <v>53.126958868503813</v>
      </c>
      <c r="J258" s="85">
        <f>IF(H258,An,'2023'!An_max)</f>
        <v>2018</v>
      </c>
      <c r="K258" s="196">
        <f t="shared" si="79"/>
        <v>45535</v>
      </c>
      <c r="L258" s="147">
        <f>IF(t&lt;Tvie,1-EXP((T0-t)*PertePVj)+'2023'!Pspv,1-EXP((T0-t)*PertePVj)+Pspv)</f>
        <v>4.7616150081484433E-2</v>
      </c>
      <c r="M258" s="847"/>
      <c r="N258" s="847"/>
      <c r="O258" s="48">
        <f>IF(t&lt;Tnet,'2023'!Resal+('2023'!Salim-'2023'!Resal)*(1-EXP(('2023'!Tnet-t)/('2023'!Tau_j))),Resal+(Salim-Resal)*(1-EXP((Tnet-t)/(Tau_j))))*Salcycl</f>
        <v>1.7806677209410583E-2</v>
      </c>
      <c r="P258" s="168">
        <f>(INDEX(Models!$BJ258:$BT258,,T258)*(1-R258)+INDEX(Models!$BJ258:$BT258,,T258+1)*R258-ERP_i)*Q258*Ramure*Pc/MaxiM</f>
        <v>5.9204228964298666E-4</v>
      </c>
      <c r="Q258" s="304">
        <f t="shared" si="80"/>
        <v>0.5</v>
      </c>
      <c r="R258" s="176">
        <f t="shared" si="81"/>
        <v>0.62527188825171764</v>
      </c>
      <c r="S258" s="814">
        <f t="shared" si="82"/>
        <v>1</v>
      </c>
      <c r="T258" s="175">
        <f t="shared" si="83"/>
        <v>7</v>
      </c>
      <c r="U258" s="250">
        <f t="shared" si="84"/>
        <v>1.6252718882517176</v>
      </c>
      <c r="V258" s="382">
        <f t="shared" si="85"/>
        <v>49.140867401803384</v>
      </c>
      <c r="W258" s="401">
        <f t="shared" si="86"/>
        <v>42.584093768006596</v>
      </c>
      <c r="X258" s="157">
        <f t="shared" si="87"/>
        <v>45535</v>
      </c>
      <c r="Y258" s="384">
        <f t="shared" si="88"/>
        <v>39.911883737757442</v>
      </c>
      <c r="Z258" s="384">
        <f t="shared" si="89"/>
        <v>41.90735042511718</v>
      </c>
      <c r="AA258" s="385">
        <f t="shared" si="90"/>
        <v>45.523789851673655</v>
      </c>
      <c r="AB258" s="196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7.9440649347069334E-2</v>
      </c>
      <c r="AD258" s="230">
        <f>(INDEX(Models!$BJ258:$BT258,,AH258)*(1-AF258)+INDEX(Models!$BJ258:$BT258,,AH258+1)*AF258-ERP_i)*AE258*Ramure*Pc/MaxiM</f>
        <v>5.9204228964298666E-4</v>
      </c>
      <c r="AE258" s="304">
        <f t="shared" si="92"/>
        <v>0.5</v>
      </c>
      <c r="AF258" s="176">
        <f t="shared" si="93"/>
        <v>0.62527188825171764</v>
      </c>
      <c r="AG258" s="814">
        <f t="shared" si="99"/>
        <v>1</v>
      </c>
      <c r="AH258" s="175">
        <f t="shared" si="94"/>
        <v>7</v>
      </c>
      <c r="AI258" s="224">
        <f t="shared" si="95"/>
        <v>1.6252718882517176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10">
        <f>'2023'!Wh/'2023'!Env_an*'2024'!Env_an</f>
        <v>39.059988757881655</v>
      </c>
      <c r="C259" s="843"/>
      <c r="D259" s="392">
        <f t="shared" si="77"/>
        <v>41.013760592400921</v>
      </c>
      <c r="E259" s="384">
        <f t="shared" si="100"/>
        <v>41.7611330569231</v>
      </c>
      <c r="F259" s="384">
        <f t="shared" si="78"/>
        <v>41.779059822896279</v>
      </c>
      <c r="G259" s="110">
        <f t="shared" si="101"/>
        <v>0.79732966107397896</v>
      </c>
      <c r="H259" s="413" t="b">
        <f>Wh_hp&gt;='2023'!Maxi_hp</f>
        <v>0</v>
      </c>
      <c r="I259" s="389">
        <f>IF(H259,Wh_hp,'2023'!Maxi_hp)</f>
        <v>50.943890407811566</v>
      </c>
      <c r="J259" s="85">
        <f>IF(H259,An,'2023'!An_max)</f>
        <v>2018</v>
      </c>
      <c r="K259" s="196">
        <f t="shared" si="79"/>
        <v>45536</v>
      </c>
      <c r="L259" s="147">
        <f>IF(t&lt;Tvie,1-EXP((T0-t)*PertePVj)+'2023'!Pspv,1-EXP((T0-t)*PertePVj)+Pspv)</f>
        <v>4.7636983448946714E-2</v>
      </c>
      <c r="M259" s="847"/>
      <c r="N259" s="847"/>
      <c r="O259" s="48">
        <f>IF(t&lt;Tnet,'2023'!Resal+('2023'!Salim-'2023'!Resal)*(1-EXP(('2023'!Tnet-t)/('2023'!Tau_j))),Resal+(Salim-Resal)*(1-EXP((Tnet-t)/(Tau_j))))*Salcycl</f>
        <v>1.7896364629366307E-2</v>
      </c>
      <c r="P259" s="168">
        <f>(INDEX(Models!$BJ259:$BT259,,T259)*(1-R259)+INDEX(Models!$BJ259:$BT259,,T259+1)*R259-ERP_i)*Q259*Ramure*Pc/MaxiM</f>
        <v>6.0377520870617699E-4</v>
      </c>
      <c r="Q259" s="304">
        <f t="shared" si="80"/>
        <v>0.5</v>
      </c>
      <c r="R259" s="176">
        <f t="shared" si="81"/>
        <v>0.62564665762024152</v>
      </c>
      <c r="S259" s="814">
        <f t="shared" si="82"/>
        <v>1</v>
      </c>
      <c r="T259" s="175">
        <f t="shared" si="83"/>
        <v>7</v>
      </c>
      <c r="U259" s="250">
        <f t="shared" si="84"/>
        <v>1.6256466576202415</v>
      </c>
      <c r="V259" s="382">
        <f t="shared" si="85"/>
        <v>48.979944351786266</v>
      </c>
      <c r="W259" s="401">
        <f t="shared" si="86"/>
        <v>39.059988757881655</v>
      </c>
      <c r="X259" s="157">
        <f t="shared" si="87"/>
        <v>45536</v>
      </c>
      <c r="Y259" s="384">
        <f t="shared" si="88"/>
        <v>36.611546471785083</v>
      </c>
      <c r="Z259" s="384">
        <f t="shared" si="89"/>
        <v>38.442847774971796</v>
      </c>
      <c r="AA259" s="385">
        <f t="shared" si="90"/>
        <v>41.7611330569231</v>
      </c>
      <c r="AB259" s="196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7.9458698532634833E-2</v>
      </c>
      <c r="AD259" s="230">
        <f>(INDEX(Models!$BJ259:$BT259,,AH259)*(1-AF259)+INDEX(Models!$BJ259:$BT259,,AH259+1)*AF259-ERP_i)*AE259*Ramure*Pc/MaxiM</f>
        <v>6.0377520870617699E-4</v>
      </c>
      <c r="AE259" s="304">
        <f t="shared" si="92"/>
        <v>0.5</v>
      </c>
      <c r="AF259" s="176">
        <f t="shared" si="93"/>
        <v>0.62564665762024152</v>
      </c>
      <c r="AG259" s="814">
        <f t="shared" si="99"/>
        <v>1</v>
      </c>
      <c r="AH259" s="175">
        <f t="shared" si="94"/>
        <v>7</v>
      </c>
      <c r="AI259" s="224">
        <f t="shared" si="95"/>
        <v>1.6256466576202415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10">
        <f>'2023'!Wh/'2023'!Env_an*'2024'!Env_an</f>
        <v>32.612948920062706</v>
      </c>
      <c r="C260" s="843"/>
      <c r="D260" s="392">
        <f t="shared" si="77"/>
        <v>34.244990382988732</v>
      </c>
      <c r="E260" s="384">
        <f t="shared" si="100"/>
        <v>34.872196296663695</v>
      </c>
      <c r="F260" s="384">
        <f t="shared" si="78"/>
        <v>34.883464729693522</v>
      </c>
      <c r="G260" s="110">
        <f t="shared" si="101"/>
        <v>0.66793675775990169</v>
      </c>
      <c r="H260" s="413" t="b">
        <f>Wh_hp&gt;='2023'!Maxi_hp</f>
        <v>0</v>
      </c>
      <c r="I260" s="389">
        <f>IF(H260,Wh_hp,'2023'!Maxi_hp)</f>
        <v>53.385719153898613</v>
      </c>
      <c r="J260" s="85">
        <f>IF(H260,An,'2023'!An_max)</f>
        <v>2019</v>
      </c>
      <c r="K260" s="196">
        <f t="shared" si="79"/>
        <v>45537</v>
      </c>
      <c r="L260" s="147">
        <f>IF(t&lt;Tvie,1-EXP((T0-t)*PertePVj)+'2023'!Pspv,1-EXP((T0-t)*PertePVj)+Pspv)</f>
        <v>4.7657816360104667E-2</v>
      </c>
      <c r="M260" s="847"/>
      <c r="N260" s="847"/>
      <c r="O260" s="48">
        <f>IF(t&lt;Tnet,'2023'!Resal+('2023'!Salim-'2023'!Resal)*(1-EXP(('2023'!Tnet-t)/('2023'!Tau_j))),Resal+(Salim-Resal)*(1-EXP((Tnet-t)/(Tau_j))))*Salcycl</f>
        <v>1.7985844893141079E-2</v>
      </c>
      <c r="P260" s="168">
        <f>(INDEX(Models!$BJ260:$BT260,,T260)*(1-R260)+INDEX(Models!$BJ260:$BT260,,T260+1)*R260-ERP_i)*Q260*Ramure*Pc/MaxiM</f>
        <v>6.142414306691804E-4</v>
      </c>
      <c r="Q260" s="304">
        <f t="shared" si="80"/>
        <v>0.5</v>
      </c>
      <c r="R260" s="176">
        <f t="shared" si="81"/>
        <v>0.62600724686741671</v>
      </c>
      <c r="S260" s="814">
        <f t="shared" si="82"/>
        <v>1</v>
      </c>
      <c r="T260" s="175">
        <f t="shared" si="83"/>
        <v>7</v>
      </c>
      <c r="U260" s="250">
        <f t="shared" si="84"/>
        <v>1.6260072468674167</v>
      </c>
      <c r="V260" s="382">
        <f t="shared" si="85"/>
        <v>48.812179049159468</v>
      </c>
      <c r="W260" s="401">
        <f t="shared" si="86"/>
        <v>32.612948920062706</v>
      </c>
      <c r="X260" s="157">
        <f t="shared" si="87"/>
        <v>45537</v>
      </c>
      <c r="Y260" s="384">
        <f t="shared" si="88"/>
        <v>30.570834259854692</v>
      </c>
      <c r="Z260" s="384">
        <f t="shared" si="89"/>
        <v>32.10068270105559</v>
      </c>
      <c r="AA260" s="385">
        <f t="shared" si="90"/>
        <v>34.872196296663695</v>
      </c>
      <c r="AB260" s="196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7.947631322186792E-2</v>
      </c>
      <c r="AD260" s="230">
        <f>(INDEX(Models!$BJ260:$BT260,,AH260)*(1-AF260)+INDEX(Models!$BJ260:$BT260,,AH260+1)*AF260-ERP_i)*AE260*Ramure*Pc/MaxiM</f>
        <v>6.142414306691804E-4</v>
      </c>
      <c r="AE260" s="304">
        <f t="shared" si="92"/>
        <v>0.5</v>
      </c>
      <c r="AF260" s="176">
        <f t="shared" si="93"/>
        <v>0.62600724686741671</v>
      </c>
      <c r="AG260" s="814">
        <f t="shared" si="99"/>
        <v>1</v>
      </c>
      <c r="AH260" s="175">
        <f t="shared" si="94"/>
        <v>7</v>
      </c>
      <c r="AI260" s="224">
        <f t="shared" si="95"/>
        <v>1.6260072468674167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10">
        <f>'2023'!Wh/'2023'!Env_an*'2024'!Env_an</f>
        <v>47.300591638720377</v>
      </c>
      <c r="C261" s="843"/>
      <c r="D261" s="392">
        <f t="shared" si="77"/>
        <v>49.668729552121626</v>
      </c>
      <c r="E261" s="384">
        <f t="shared" si="100"/>
        <v>50.583023427922413</v>
      </c>
      <c r="F261" s="384">
        <f t="shared" si="78"/>
        <v>50.613337304080041</v>
      </c>
      <c r="G261" s="110">
        <f t="shared" si="101"/>
        <v>0.9724736512787715</v>
      </c>
      <c r="H261" s="413" t="b">
        <f>Wh_hp&gt;='2023'!Maxi_hp</f>
        <v>0</v>
      </c>
      <c r="I261" s="389">
        <f>IF(H261,Wh_hp,'2023'!Maxi_hp)</f>
        <v>53.038083158550982</v>
      </c>
      <c r="J261" s="85">
        <f>IF(H261,An,'2023'!An_max)</f>
        <v>2019</v>
      </c>
      <c r="K261" s="196">
        <f t="shared" si="79"/>
        <v>45538</v>
      </c>
      <c r="L261" s="147">
        <f>IF(t&lt;Tvie,1-EXP((T0-t)*PertePVj)+'2023'!Pspv,1-EXP((T0-t)*PertePVj)+Pspv)</f>
        <v>4.7678648814968395E-2</v>
      </c>
      <c r="M261" s="847"/>
      <c r="N261" s="847"/>
      <c r="O261" s="48">
        <f>IF(t&lt;Tnet,'2023'!Resal+('2023'!Salim-'2023'!Resal)*(1-EXP(('2023'!Tnet-t)/('2023'!Tau_j))),Resal+(Salim-Resal)*(1-EXP((Tnet-t)/(Tau_j))))*Salcycl</f>
        <v>1.807511322654717E-2</v>
      </c>
      <c r="P261" s="168">
        <f>(INDEX(Models!$BJ261:$BT261,,T261)*(1-R261)+INDEX(Models!$BJ261:$BT261,,T261+1)*R261-ERP_i)*Q261*Ramure*Pc/MaxiM</f>
        <v>6.234245099563389E-4</v>
      </c>
      <c r="Q261" s="304">
        <f t="shared" si="80"/>
        <v>0.5</v>
      </c>
      <c r="R261" s="176">
        <f t="shared" si="81"/>
        <v>0.62635415830287533</v>
      </c>
      <c r="S261" s="814">
        <f t="shared" si="82"/>
        <v>1</v>
      </c>
      <c r="T261" s="175">
        <f t="shared" si="83"/>
        <v>7</v>
      </c>
      <c r="U261" s="250">
        <f t="shared" si="84"/>
        <v>1.6263541583028753</v>
      </c>
      <c r="V261" s="382">
        <f t="shared" si="85"/>
        <v>48.638266245534702</v>
      </c>
      <c r="W261" s="401">
        <f t="shared" si="86"/>
        <v>47.300591638720377</v>
      </c>
      <c r="X261" s="157">
        <f t="shared" si="87"/>
        <v>45538</v>
      </c>
      <c r="Y261" s="384">
        <f t="shared" si="88"/>
        <v>44.341989602085711</v>
      </c>
      <c r="Z261" s="384">
        <f t="shared" si="89"/>
        <v>46.562002990805851</v>
      </c>
      <c r="AA261" s="385">
        <f t="shared" si="90"/>
        <v>50.583023427922413</v>
      </c>
      <c r="AB261" s="196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7.9493477546795102E-2</v>
      </c>
      <c r="AD261" s="230">
        <f>(INDEX(Models!$BJ261:$BT261,,AH261)*(1-AF261)+INDEX(Models!$BJ261:$BT261,,AH261+1)*AF261-ERP_i)*AE261*Ramure*Pc/MaxiM</f>
        <v>6.234245099563389E-4</v>
      </c>
      <c r="AE261" s="304">
        <f t="shared" si="92"/>
        <v>0.5</v>
      </c>
      <c r="AF261" s="176">
        <f t="shared" si="93"/>
        <v>0.62635415830287533</v>
      </c>
      <c r="AG261" s="814">
        <f t="shared" si="99"/>
        <v>1</v>
      </c>
      <c r="AH261" s="175">
        <f t="shared" si="94"/>
        <v>7</v>
      </c>
      <c r="AI261" s="224">
        <f t="shared" si="95"/>
        <v>1.6263541583028753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10">
        <f>'2023'!Wh/'2023'!Env_an*'2024'!Env_an</f>
        <v>39.986492231049631</v>
      </c>
      <c r="C262" s="843"/>
      <c r="D262" s="392">
        <f t="shared" si="77"/>
        <v>41.989363048137363</v>
      </c>
      <c r="E262" s="384">
        <f t="shared" si="100"/>
        <v>42.766174889948616</v>
      </c>
      <c r="F262" s="384">
        <f t="shared" si="78"/>
        <v>42.786441175993865</v>
      </c>
      <c r="G262" s="110">
        <f t="shared" si="101"/>
        <v>0.82502482472449434</v>
      </c>
      <c r="H262" s="413" t="b">
        <f>Wh_hp&gt;='2023'!Maxi_hp</f>
        <v>0</v>
      </c>
      <c r="I262" s="389">
        <f>IF(H262,Wh_hp,'2023'!Maxi_hp)</f>
        <v>52.253818490500642</v>
      </c>
      <c r="J262" s="85">
        <f>IF(H262,An,'2023'!An_max)</f>
        <v>2020</v>
      </c>
      <c r="K262" s="196">
        <f t="shared" si="79"/>
        <v>45539</v>
      </c>
      <c r="L262" s="147">
        <f>IF(t&lt;Tvie,1-EXP((T0-t)*PertePVj)+'2023'!Pspv,1-EXP((T0-t)*PertePVj)+Pspv)</f>
        <v>4.7699480813548002E-2</v>
      </c>
      <c r="M262" s="847"/>
      <c r="N262" s="847"/>
      <c r="O262" s="48">
        <f>IF(t&lt;Tnet,'2023'!Resal+('2023'!Salim-'2023'!Resal)*(1-EXP(('2023'!Tnet-t)/('2023'!Tau_j))),Resal+(Salim-Resal)*(1-EXP((Tnet-t)/(Tau_j))))*Salcycl</f>
        <v>1.8164164642038811E-2</v>
      </c>
      <c r="P262" s="168">
        <f>(INDEX(Models!$BJ262:$BT262,,T262)*(1-R262)+INDEX(Models!$BJ262:$BT262,,T262+1)*R262-ERP_i)*Q262*Ramure*Pc/MaxiM</f>
        <v>6.313621274205844E-4</v>
      </c>
      <c r="Q262" s="304">
        <f t="shared" si="80"/>
        <v>0.5</v>
      </c>
      <c r="R262" s="176">
        <f t="shared" si="81"/>
        <v>0.6266878790785384</v>
      </c>
      <c r="S262" s="814">
        <f t="shared" si="82"/>
        <v>1</v>
      </c>
      <c r="T262" s="175">
        <f t="shared" si="83"/>
        <v>7</v>
      </c>
      <c r="U262" s="250">
        <f t="shared" si="84"/>
        <v>1.6266878790785384</v>
      </c>
      <c r="V262" s="382">
        <f t="shared" si="85"/>
        <v>48.459370125743732</v>
      </c>
      <c r="W262" s="401">
        <f t="shared" si="86"/>
        <v>39.986492231049631</v>
      </c>
      <c r="X262" s="157">
        <f t="shared" si="87"/>
        <v>45539</v>
      </c>
      <c r="Y262" s="384">
        <f t="shared" si="88"/>
        <v>37.488099243486232</v>
      </c>
      <c r="Z262" s="384">
        <f t="shared" si="89"/>
        <v>39.365828840996777</v>
      </c>
      <c r="AA262" s="385">
        <f t="shared" si="90"/>
        <v>42.766174889948616</v>
      </c>
      <c r="AB262" s="196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7.9510174985301926E-2</v>
      </c>
      <c r="AD262" s="230">
        <f>(INDEX(Models!$BJ262:$BT262,,AH262)*(1-AF262)+INDEX(Models!$BJ262:$BT262,,AH262+1)*AF262-ERP_i)*AE262*Ramure*Pc/MaxiM</f>
        <v>6.313621274205844E-4</v>
      </c>
      <c r="AE262" s="304">
        <f t="shared" si="92"/>
        <v>0.5</v>
      </c>
      <c r="AF262" s="176">
        <f t="shared" si="93"/>
        <v>0.6266878790785384</v>
      </c>
      <c r="AG262" s="814">
        <f t="shared" si="99"/>
        <v>1</v>
      </c>
      <c r="AH262" s="175">
        <f t="shared" si="94"/>
        <v>7</v>
      </c>
      <c r="AI262" s="224">
        <f t="shared" si="95"/>
        <v>1.6266878790785384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10">
        <f>'2023'!Wh/'2023'!Env_an*'2024'!Env_an</f>
        <v>45.348100171298455</v>
      </c>
      <c r="C263" s="843"/>
      <c r="D263" s="392">
        <f t="shared" si="77"/>
        <v>47.620568578424198</v>
      </c>
      <c r="E263" s="384">
        <f t="shared" si="100"/>
        <v>48.505947340658764</v>
      </c>
      <c r="F263" s="384">
        <f t="shared" si="78"/>
        <v>48.534271971218196</v>
      </c>
      <c r="G263" s="110">
        <f t="shared" si="101"/>
        <v>0.93930755329168714</v>
      </c>
      <c r="H263" s="413" t="b">
        <f>Wh_hp&gt;='2023'!Maxi_hp</f>
        <v>0</v>
      </c>
      <c r="I263" s="389">
        <f>IF(H263,Wh_hp,'2023'!Maxi_hp)</f>
        <v>54.048993300295933</v>
      </c>
      <c r="J263" s="85">
        <f>IF(H263,An,'2023'!An_max)</f>
        <v>2019</v>
      </c>
      <c r="K263" s="196">
        <f t="shared" si="79"/>
        <v>45540</v>
      </c>
      <c r="L263" s="147">
        <f>IF(t&lt;Tvie,1-EXP((T0-t)*PertePVj)+'2023'!Pspv,1-EXP((T0-t)*PertePVj)+Pspv)</f>
        <v>4.7720312355853368E-2</v>
      </c>
      <c r="M263" s="847"/>
      <c r="N263" s="847"/>
      <c r="O263" s="48">
        <f>IF(t&lt;Tnet,'2023'!Resal+('2023'!Salim-'2023'!Resal)*(1-EXP(('2023'!Tnet-t)/('2023'!Tau_j))),Resal+(Salim-Resal)*(1-EXP((Tnet-t)/(Tau_j))))*Salcycl</f>
        <v>1.8252993927044173E-2</v>
      </c>
      <c r="P263" s="168">
        <f>(INDEX(Models!$BJ263:$BT263,,T263)*(1-R263)+INDEX(Models!$BJ263:$BT263,,T263+1)*R263-ERP_i)*Q263*Ramure*Pc/MaxiM</f>
        <v>6.3895253620953698E-4</v>
      </c>
      <c r="Q263" s="304">
        <f t="shared" si="80"/>
        <v>0.5</v>
      </c>
      <c r="R263" s="176">
        <f t="shared" si="81"/>
        <v>0.62700888143751743</v>
      </c>
      <c r="S263" s="814">
        <f t="shared" si="82"/>
        <v>1</v>
      </c>
      <c r="T263" s="175">
        <f t="shared" si="83"/>
        <v>7</v>
      </c>
      <c r="U263" s="250">
        <f t="shared" si="84"/>
        <v>1.6270088814375174</v>
      </c>
      <c r="V263" s="382">
        <f t="shared" si="85"/>
        <v>48.27554983645571</v>
      </c>
      <c r="W263" s="401">
        <f t="shared" si="86"/>
        <v>45.348100171298455</v>
      </c>
      <c r="X263" s="157">
        <f t="shared" si="87"/>
        <v>45540</v>
      </c>
      <c r="Y263" s="384">
        <f t="shared" si="88"/>
        <v>42.51780681692518</v>
      </c>
      <c r="Z263" s="384">
        <f t="shared" si="89"/>
        <v>44.648444536405442</v>
      </c>
      <c r="AA263" s="385">
        <f t="shared" si="90"/>
        <v>48.505947340658764</v>
      </c>
      <c r="AB263" s="196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7.9526388324342265E-2</v>
      </c>
      <c r="AD263" s="230">
        <f>(INDEX(Models!$BJ263:$BT263,,AH263)*(1-AF263)+INDEX(Models!$BJ263:$BT263,,AH263+1)*AF263-ERP_i)*AE263*Ramure*Pc/MaxiM</f>
        <v>6.3895253620953698E-4</v>
      </c>
      <c r="AE263" s="304">
        <f t="shared" si="92"/>
        <v>0.5</v>
      </c>
      <c r="AF263" s="176">
        <f t="shared" si="93"/>
        <v>0.62700888143751743</v>
      </c>
      <c r="AG263" s="814">
        <f t="shared" si="99"/>
        <v>1</v>
      </c>
      <c r="AH263" s="175">
        <f t="shared" si="94"/>
        <v>7</v>
      </c>
      <c r="AI263" s="224">
        <f t="shared" si="95"/>
        <v>1.6270088814375174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10">
        <f>'2023'!Wh/'2023'!Env_an*'2024'!Env_an</f>
        <v>35.282715505606269</v>
      </c>
      <c r="C264" s="843"/>
      <c r="D264" s="392">
        <f t="shared" si="77"/>
        <v>37.051601318924952</v>
      </c>
      <c r="E264" s="384">
        <f t="shared" si="100"/>
        <v>37.743884383902135</v>
      </c>
      <c r="F264" s="384">
        <f t="shared" si="78"/>
        <v>37.759002632177157</v>
      </c>
      <c r="G264" s="110">
        <f t="shared" si="101"/>
        <v>0.73354766361496959</v>
      </c>
      <c r="H264" s="413" t="b">
        <f>Wh_hp&gt;='2023'!Maxi_hp</f>
        <v>0</v>
      </c>
      <c r="I264" s="389">
        <f>IF(H264,Wh_hp,'2023'!Maxi_hp)</f>
        <v>52.847504684614634</v>
      </c>
      <c r="J264" s="85">
        <f>IF(H264,An,'2023'!An_max)</f>
        <v>2019</v>
      </c>
      <c r="K264" s="196">
        <f t="shared" si="79"/>
        <v>45541</v>
      </c>
      <c r="L264" s="147">
        <f>IF(t&lt;Tvie,1-EXP((T0-t)*PertePVj)+'2023'!Pspv,1-EXP((T0-t)*PertePVj)+Pspv)</f>
        <v>4.7741143441894375E-2</v>
      </c>
      <c r="M264" s="847"/>
      <c r="N264" s="847"/>
      <c r="O264" s="48">
        <f>IF(t&lt;Tnet,'2023'!Resal+('2023'!Salim-'2023'!Resal)*(1-EXP(('2023'!Tnet-t)/('2023'!Tau_j))),Resal+(Salim-Resal)*(1-EXP((Tnet-t)/(Tau_j))))*Salcycl</f>
        <v>1.834159563270717E-2</v>
      </c>
      <c r="P264" s="168">
        <f>(INDEX(Models!$BJ264:$BT264,,T264)*(1-R264)+INDEX(Models!$BJ264:$BT264,,T264+1)*R264-ERP_i)*Q264*Ramure*Pc/MaxiM</f>
        <v>6.4619181099726897E-4</v>
      </c>
      <c r="Q264" s="304">
        <f t="shared" si="80"/>
        <v>0.5</v>
      </c>
      <c r="R264" s="176">
        <f t="shared" si="81"/>
        <v>0.62731762297734006</v>
      </c>
      <c r="S264" s="814">
        <f t="shared" si="82"/>
        <v>1</v>
      </c>
      <c r="T264" s="175">
        <f t="shared" si="83"/>
        <v>7</v>
      </c>
      <c r="U264" s="250">
        <f t="shared" si="84"/>
        <v>1.6273176229773401</v>
      </c>
      <c r="V264" s="382">
        <f t="shared" si="85"/>
        <v>48.086908530219965</v>
      </c>
      <c r="W264" s="401">
        <f t="shared" si="86"/>
        <v>35.282715505606269</v>
      </c>
      <c r="X264" s="157">
        <f t="shared" si="87"/>
        <v>45541</v>
      </c>
      <c r="Y264" s="384">
        <f t="shared" si="88"/>
        <v>33.083050162158855</v>
      </c>
      <c r="Z264" s="384">
        <f t="shared" si="89"/>
        <v>34.741656571970324</v>
      </c>
      <c r="AA264" s="385">
        <f t="shared" si="90"/>
        <v>37.743884383902135</v>
      </c>
      <c r="AB264" s="196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7.9542099625873899E-2</v>
      </c>
      <c r="AD264" s="230">
        <f>(INDEX(Models!$BJ264:$BT264,,AH264)*(1-AF264)+INDEX(Models!$BJ264:$BT264,,AH264+1)*AF264-ERP_i)*AE264*Ramure*Pc/MaxiM</f>
        <v>6.4619181099726897E-4</v>
      </c>
      <c r="AE264" s="304">
        <f t="shared" si="92"/>
        <v>0.5</v>
      </c>
      <c r="AF264" s="176">
        <f t="shared" si="93"/>
        <v>0.62731762297734006</v>
      </c>
      <c r="AG264" s="814">
        <f t="shared" si="99"/>
        <v>1</v>
      </c>
      <c r="AH264" s="175">
        <f t="shared" si="94"/>
        <v>7</v>
      </c>
      <c r="AI264" s="224">
        <f t="shared" si="95"/>
        <v>1.6273176229773401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10">
        <f>'2023'!Wh/'2023'!Env_an*'2024'!Env_an</f>
        <v>38.636188531394247</v>
      </c>
      <c r="C265" s="843"/>
      <c r="D265" s="392">
        <f t="shared" si="77"/>
        <v>40.574087023807479</v>
      </c>
      <c r="E265" s="384">
        <f t="shared" si="100"/>
        <v>41.33590629128215</v>
      </c>
      <c r="F265" s="384">
        <f t="shared" si="78"/>
        <v>41.35545677541716</v>
      </c>
      <c r="G265" s="110">
        <f t="shared" si="101"/>
        <v>0.80656410735769213</v>
      </c>
      <c r="H265" s="413" t="b">
        <f>Wh_hp&gt;='2023'!Maxi_hp</f>
        <v>0</v>
      </c>
      <c r="I265" s="389">
        <f>IF(H265,Wh_hp,'2023'!Maxi_hp)</f>
        <v>46.460443083143332</v>
      </c>
      <c r="J265" s="85">
        <f>IF(H265,An,'2023'!An_max)</f>
        <v>2018</v>
      </c>
      <c r="K265" s="196">
        <f t="shared" si="79"/>
        <v>45542</v>
      </c>
      <c r="L265" s="147">
        <f>IF(t&lt;Tvie,1-EXP((T0-t)*PertePVj)+'2023'!Pspv,1-EXP((T0-t)*PertePVj)+Pspv)</f>
        <v>4.7761974071681236E-2</v>
      </c>
      <c r="M265" s="847"/>
      <c r="N265" s="847"/>
      <c r="O265" s="48">
        <f>IF(t&lt;Tnet,'2023'!Resal+('2023'!Salim-'2023'!Resal)*(1-EXP(('2023'!Tnet-t)/('2023'!Tau_j))),Resal+(Salim-Resal)*(1-EXP((Tnet-t)/(Tau_j))))*Salcycl</f>
        <v>1.8429964063358222E-2</v>
      </c>
      <c r="P265" s="168">
        <f>(INDEX(Models!$BJ265:$BT265,,T265)*(1-R265)+INDEX(Models!$BJ265:$BT265,,T265+1)*R265-ERP_i)*Q265*Ramure*Pc/MaxiM</f>
        <v>6.5307574853014404E-4</v>
      </c>
      <c r="Q265" s="304">
        <f t="shared" si="80"/>
        <v>0.5</v>
      </c>
      <c r="R265" s="176">
        <f t="shared" si="81"/>
        <v>0.62761454692544749</v>
      </c>
      <c r="S265" s="814">
        <f t="shared" si="82"/>
        <v>1</v>
      </c>
      <c r="T265" s="175">
        <f t="shared" si="83"/>
        <v>7</v>
      </c>
      <c r="U265" s="250">
        <f t="shared" si="84"/>
        <v>1.6276145469254475</v>
      </c>
      <c r="V265" s="382">
        <f t="shared" si="85"/>
        <v>47.893549311521319</v>
      </c>
      <c r="W265" s="401">
        <f t="shared" si="86"/>
        <v>38.636188531394247</v>
      </c>
      <c r="X265" s="157">
        <f t="shared" si="87"/>
        <v>45542</v>
      </c>
      <c r="Y265" s="384">
        <f t="shared" si="88"/>
        <v>36.230117838070477</v>
      </c>
      <c r="Z265" s="384">
        <f t="shared" si="89"/>
        <v>38.047333598918634</v>
      </c>
      <c r="AA265" s="385">
        <f t="shared" si="90"/>
        <v>41.33590629128215</v>
      </c>
      <c r="AB265" s="196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7.9557290196806088E-2</v>
      </c>
      <c r="AD265" s="230">
        <f>(INDEX(Models!$BJ265:$BT265,,AH265)*(1-AF265)+INDEX(Models!$BJ265:$BT265,,AH265+1)*AF265-ERP_i)*AE265*Ramure*Pc/MaxiM</f>
        <v>6.5307574853014404E-4</v>
      </c>
      <c r="AE265" s="304">
        <f t="shared" si="92"/>
        <v>0.5</v>
      </c>
      <c r="AF265" s="176">
        <f t="shared" si="93"/>
        <v>0.62761454692544749</v>
      </c>
      <c r="AG265" s="814">
        <f t="shared" si="99"/>
        <v>1</v>
      </c>
      <c r="AH265" s="175">
        <f t="shared" si="94"/>
        <v>7</v>
      </c>
      <c r="AI265" s="224">
        <f t="shared" si="95"/>
        <v>1.6276145469254475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10">
        <f>'2023'!Wh/'2023'!Env_an*'2024'!Env_an</f>
        <v>21.508470271089625</v>
      </c>
      <c r="C266" s="843"/>
      <c r="D266" s="392">
        <f t="shared" si="77"/>
        <v>22.587777627814113</v>
      </c>
      <c r="E266" s="384">
        <f t="shared" si="100"/>
        <v>23.013952139985598</v>
      </c>
      <c r="F266" s="384">
        <f t="shared" si="78"/>
        <v>23.017226132683319</v>
      </c>
      <c r="G266" s="110">
        <f t="shared" si="101"/>
        <v>0.45071982008470135</v>
      </c>
      <c r="H266" s="413" t="b">
        <f>Wh_hp&gt;='2023'!Maxi_hp</f>
        <v>0</v>
      </c>
      <c r="I266" s="389">
        <f>IF(H266,Wh_hp,'2023'!Maxi_hp)</f>
        <v>49.540166553764124</v>
      </c>
      <c r="J266" s="85">
        <f>IF(H266,An,'2023'!An_max)</f>
        <v>2020</v>
      </c>
      <c r="K266" s="196">
        <f t="shared" si="79"/>
        <v>45543</v>
      </c>
      <c r="L266" s="147">
        <f>IF(t&lt;Tvie,1-EXP((T0-t)*PertePVj)+'2023'!Pspv,1-EXP((T0-t)*PertePVj)+Pspv)</f>
        <v>4.7782804245223832E-2</v>
      </c>
      <c r="M266" s="847"/>
      <c r="N266" s="847"/>
      <c r="O266" s="48">
        <f>IF(t&lt;Tnet,'2023'!Resal+('2023'!Salim-'2023'!Resal)*(1-EXP(('2023'!Tnet-t)/('2023'!Tau_j))),Resal+(Salim-Resal)*(1-EXP((Tnet-t)/(Tau_j))))*Salcycl</f>
        <v>1.8518093267041576E-2</v>
      </c>
      <c r="P266" s="168">
        <f>(INDEX(Models!$BJ266:$BT266,,T266)*(1-R266)+INDEX(Models!$BJ266:$BT266,,T266+1)*R266-ERP_i)*Q266*Ramure*Pc/MaxiM</f>
        <v>6.5959986669739872E-4</v>
      </c>
      <c r="Q266" s="304">
        <f t="shared" si="80"/>
        <v>0.5</v>
      </c>
      <c r="R266" s="176">
        <f t="shared" si="81"/>
        <v>0.62790008242506068</v>
      </c>
      <c r="S266" s="814">
        <f t="shared" si="82"/>
        <v>1</v>
      </c>
      <c r="T266" s="175">
        <f t="shared" si="83"/>
        <v>7</v>
      </c>
      <c r="U266" s="250">
        <f t="shared" si="84"/>
        <v>1.6279000824250607</v>
      </c>
      <c r="V266" s="382">
        <f t="shared" si="85"/>
        <v>47.695575237167695</v>
      </c>
      <c r="W266" s="401">
        <f t="shared" si="86"/>
        <v>21.508470271089625</v>
      </c>
      <c r="X266" s="157">
        <f t="shared" si="87"/>
        <v>45543</v>
      </c>
      <c r="Y266" s="384">
        <f t="shared" si="88"/>
        <v>20.170519107121244</v>
      </c>
      <c r="Z266" s="384">
        <f t="shared" si="89"/>
        <v>21.182687308154581</v>
      </c>
      <c r="AA266" s="385">
        <f t="shared" si="90"/>
        <v>23.013952139985598</v>
      </c>
      <c r="AB266" s="196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7.9571940564232085E-2</v>
      </c>
      <c r="AD266" s="230">
        <f>(INDEX(Models!$BJ266:$BT266,,AH266)*(1-AF266)+INDEX(Models!$BJ266:$BT266,,AH266+1)*AF266-ERP_i)*AE266*Ramure*Pc/MaxiM</f>
        <v>6.5959986669739872E-4</v>
      </c>
      <c r="AE266" s="304">
        <f t="shared" si="92"/>
        <v>0.5</v>
      </c>
      <c r="AF266" s="176">
        <f t="shared" si="93"/>
        <v>0.62790008242506068</v>
      </c>
      <c r="AG266" s="814">
        <f t="shared" si="99"/>
        <v>1</v>
      </c>
      <c r="AH266" s="175">
        <f t="shared" si="94"/>
        <v>7</v>
      </c>
      <c r="AI266" s="224">
        <f t="shared" si="95"/>
        <v>1.6279000824250607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10">
        <f>'2023'!Wh/'2023'!Env_an*'2024'!Env_an</f>
        <v>45.437233598501017</v>
      </c>
      <c r="C267" s="843"/>
      <c r="D267" s="392">
        <f t="shared" si="77"/>
        <v>47.718343840763112</v>
      </c>
      <c r="E267" s="384">
        <f t="shared" si="100"/>
        <v>48.623022683822533</v>
      </c>
      <c r="F267" s="384">
        <f t="shared" si="78"/>
        <v>48.653411086036947</v>
      </c>
      <c r="G267" s="110">
        <f t="shared" si="101"/>
        <v>0.95667311662058596</v>
      </c>
      <c r="H267" s="413" t="b">
        <f>Wh_hp&gt;='2023'!Maxi_hp</f>
        <v>0</v>
      </c>
      <c r="I267" s="389">
        <f>IF(H267,Wh_hp,'2023'!Maxi_hp)</f>
        <v>48.654110343660342</v>
      </c>
      <c r="J267" s="85">
        <f>IF(H267,An,'2023'!An_max)</f>
        <v>2022</v>
      </c>
      <c r="K267" s="196">
        <f t="shared" si="79"/>
        <v>45544</v>
      </c>
      <c r="L267" s="147">
        <f>IF(t&lt;Tvie,1-EXP((T0-t)*PertePVj)+'2023'!Pspv,1-EXP((T0-t)*PertePVj)+Pspv)</f>
        <v>4.7803633962532156E-2</v>
      </c>
      <c r="M267" s="847"/>
      <c r="N267" s="847"/>
      <c r="O267" s="48">
        <f>IF(t&lt;Tnet,'2023'!Resal+('2023'!Salim-'2023'!Resal)*(1-EXP(('2023'!Tnet-t)/('2023'!Tau_j))),Resal+(Salim-Resal)*(1-EXP((Tnet-t)/(Tau_j))))*Salcycl</f>
        <v>1.8605977027430304E-2</v>
      </c>
      <c r="P267" s="168">
        <f>(INDEX(Models!$BJ267:$BT267,,T267)*(1-R267)+INDEX(Models!$BJ267:$BT267,,T267+1)*R267-ERP_i)*Q267*Ramure*Pc/MaxiM</f>
        <v>6.6575940437426067E-4</v>
      </c>
      <c r="Q267" s="304">
        <f t="shared" si="80"/>
        <v>0.5</v>
      </c>
      <c r="R267" s="176">
        <f t="shared" si="81"/>
        <v>0.62817464482965946</v>
      </c>
      <c r="S267" s="814">
        <f t="shared" si="82"/>
        <v>1</v>
      </c>
      <c r="T267" s="175">
        <f t="shared" si="83"/>
        <v>7</v>
      </c>
      <c r="U267" s="250">
        <f t="shared" si="84"/>
        <v>1.6281746448296595</v>
      </c>
      <c r="V267" s="382">
        <f t="shared" si="85"/>
        <v>47.493089318034777</v>
      </c>
      <c r="W267" s="401">
        <f t="shared" si="86"/>
        <v>45.437233598501017</v>
      </c>
      <c r="X267" s="157">
        <f t="shared" si="87"/>
        <v>45544</v>
      </c>
      <c r="Y267" s="384">
        <f t="shared" si="88"/>
        <v>42.613938502261639</v>
      </c>
      <c r="Z267" s="384">
        <f t="shared" si="89"/>
        <v>44.753309319587167</v>
      </c>
      <c r="AA267" s="385">
        <f t="shared" si="90"/>
        <v>48.623022683822533</v>
      </c>
      <c r="AB267" s="196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7.9586030457190593E-2</v>
      </c>
      <c r="AD267" s="230">
        <f>(INDEX(Models!$BJ267:$BT267,,AH267)*(1-AF267)+INDEX(Models!$BJ267:$BT267,,AH267+1)*AF267-ERP_i)*AE267*Ramure*Pc/MaxiM</f>
        <v>6.6575940437426067E-4</v>
      </c>
      <c r="AE267" s="304">
        <f t="shared" si="92"/>
        <v>0.5</v>
      </c>
      <c r="AF267" s="176">
        <f t="shared" si="93"/>
        <v>0.62817464482965946</v>
      </c>
      <c r="AG267" s="814">
        <f t="shared" si="99"/>
        <v>1</v>
      </c>
      <c r="AH267" s="175">
        <f t="shared" si="94"/>
        <v>7</v>
      </c>
      <c r="AI267" s="224">
        <f t="shared" si="95"/>
        <v>1.6281746448296595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10">
        <f>'2023'!Wh/'2023'!Env_an*'2024'!Env_an</f>
        <v>45.971174219716886</v>
      </c>
      <c r="C268" s="843"/>
      <c r="D268" s="392">
        <f t="shared" si="77"/>
        <v>48.280146300915845</v>
      </c>
      <c r="E268" s="384">
        <f t="shared" si="100"/>
        <v>49.199869415609356</v>
      </c>
      <c r="F268" s="384">
        <f t="shared" si="78"/>
        <v>49.231583029343049</v>
      </c>
      <c r="G268" s="110">
        <f t="shared" si="101"/>
        <v>0.9721635524800194</v>
      </c>
      <c r="H268" s="413" t="b">
        <f>Wh_hp&gt;='2023'!Maxi_hp</f>
        <v>0</v>
      </c>
      <c r="I268" s="389">
        <f>IF(H268,Wh_hp,'2023'!Maxi_hp)</f>
        <v>49.232037349545898</v>
      </c>
      <c r="J268" s="85">
        <f>IF(H268,An,'2023'!An_max)</f>
        <v>2022</v>
      </c>
      <c r="K268" s="196">
        <f t="shared" si="79"/>
        <v>45545</v>
      </c>
      <c r="L268" s="147">
        <f>IF(t&lt;Tvie,1-EXP((T0-t)*PertePVj)+'2023'!Pspv,1-EXP((T0-t)*PertePVj)+Pspv)</f>
        <v>4.78244632236162E-2</v>
      </c>
      <c r="M268" s="847"/>
      <c r="N268" s="847"/>
      <c r="O268" s="48">
        <f>IF(t&lt;Tnet,'2023'!Resal+('2023'!Salim-'2023'!Resal)*(1-EXP(('2023'!Tnet-t)/('2023'!Tau_j))),Resal+(Salim-Resal)*(1-EXP((Tnet-t)/(Tau_j))))*Salcycl</f>
        <v>1.8693608857460006E-2</v>
      </c>
      <c r="P268" s="168">
        <f>(INDEX(Models!$BJ268:$BT268,,T268)*(1-R268)+INDEX(Models!$BJ268:$BT268,,T268+1)*R268-ERP_i)*Q268*Ramure*Pc/MaxiM</f>
        <v>6.7082348844214282E-4</v>
      </c>
      <c r="Q268" s="304">
        <f t="shared" si="80"/>
        <v>0.5</v>
      </c>
      <c r="R268" s="176">
        <f t="shared" si="81"/>
        <v>0.62843863600446159</v>
      </c>
      <c r="S268" s="814">
        <f t="shared" si="82"/>
        <v>1</v>
      </c>
      <c r="T268" s="175">
        <f t="shared" si="83"/>
        <v>7</v>
      </c>
      <c r="U268" s="250">
        <f t="shared" si="84"/>
        <v>1.6284386360044616</v>
      </c>
      <c r="V268" s="382">
        <f t="shared" si="85"/>
        <v>47.286228863947507</v>
      </c>
      <c r="W268" s="401">
        <f t="shared" si="86"/>
        <v>45.971174219716886</v>
      </c>
      <c r="X268" s="157">
        <f t="shared" si="87"/>
        <v>45545</v>
      </c>
      <c r="Y268" s="384">
        <f t="shared" si="88"/>
        <v>43.117919475328975</v>
      </c>
      <c r="Z268" s="384">
        <f t="shared" si="89"/>
        <v>45.28358250129579</v>
      </c>
      <c r="AA268" s="385">
        <f t="shared" si="90"/>
        <v>49.199869415609356</v>
      </c>
      <c r="AB268" s="196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7.9599538796155195E-2</v>
      </c>
      <c r="AD268" s="230">
        <f>(INDEX(Models!$BJ268:$BT268,,AH268)*(1-AF268)+INDEX(Models!$BJ268:$BT268,,AH268+1)*AF268-ERP_i)*AE268*Ramure*Pc/MaxiM</f>
        <v>6.7082348844214282E-4</v>
      </c>
      <c r="AE268" s="304">
        <f t="shared" si="92"/>
        <v>0.5</v>
      </c>
      <c r="AF268" s="176">
        <f t="shared" si="93"/>
        <v>0.62843863600446159</v>
      </c>
      <c r="AG268" s="814">
        <f t="shared" si="99"/>
        <v>1</v>
      </c>
      <c r="AH268" s="175">
        <f t="shared" si="94"/>
        <v>7</v>
      </c>
      <c r="AI268" s="224">
        <f t="shared" si="95"/>
        <v>1.6284386360044616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10">
        <f>'2023'!Wh/'2023'!Env_an*'2024'!Env_an</f>
        <v>32.195683540334635</v>
      </c>
      <c r="C269" s="843"/>
      <c r="D269" s="392">
        <f t="shared" si="77"/>
        <v>33.81350033853726</v>
      </c>
      <c r="E269" s="384">
        <f t="shared" si="100"/>
        <v>34.460706242003567</v>
      </c>
      <c r="F269" s="384">
        <f t="shared" si="78"/>
        <v>34.473474005722892</v>
      </c>
      <c r="G269" s="110">
        <f t="shared" si="101"/>
        <v>0.68371349924365765</v>
      </c>
      <c r="H269" s="413" t="b">
        <f>Wh_hp&gt;='2023'!Maxi_hp</f>
        <v>0</v>
      </c>
      <c r="I269" s="389">
        <f>IF(H269,Wh_hp,'2023'!Maxi_hp)</f>
        <v>50.900576803696573</v>
      </c>
      <c r="J269" s="85">
        <f>IF(H269,An,'2023'!An_max)</f>
        <v>2019</v>
      </c>
      <c r="K269" s="196">
        <f t="shared" si="79"/>
        <v>45546</v>
      </c>
      <c r="L269" s="147">
        <f>IF(t&lt;Tvie,1-EXP((T0-t)*PertePVj)+'2023'!Pspv,1-EXP((T0-t)*PertePVj)+Pspv)</f>
        <v>4.7845292028485954E-2</v>
      </c>
      <c r="M269" s="847"/>
      <c r="N269" s="847"/>
      <c r="O269" s="48">
        <f>IF(t&lt;Tnet,'2023'!Resal+('2023'!Salim-'2023'!Resal)*(1-EXP(('2023'!Tnet-t)/('2023'!Tau_j))),Resal+(Salim-Resal)*(1-EXP((Tnet-t)/(Tau_j))))*Salcycl</f>
        <v>1.8780981995007367E-2</v>
      </c>
      <c r="P269" s="168">
        <f>(INDEX(Models!$BJ269:$BT269,,T269)*(1-R269)+INDEX(Models!$BJ269:$BT269,,T269+1)*R269-ERP_i)*Q269*Ramure*Pc/MaxiM</f>
        <v>6.7528125758327894E-4</v>
      </c>
      <c r="Q269" s="304">
        <f t="shared" si="80"/>
        <v>0.5</v>
      </c>
      <c r="R269" s="176">
        <f t="shared" si="81"/>
        <v>0.62869244463341367</v>
      </c>
      <c r="S269" s="814">
        <f t="shared" si="82"/>
        <v>1</v>
      </c>
      <c r="T269" s="175">
        <f t="shared" si="83"/>
        <v>7</v>
      </c>
      <c r="U269" s="250">
        <f t="shared" si="84"/>
        <v>1.6286924446334137</v>
      </c>
      <c r="V269" s="382">
        <f t="shared" si="85"/>
        <v>47.0750730345436</v>
      </c>
      <c r="W269" s="401">
        <f t="shared" si="86"/>
        <v>32.195683540334635</v>
      </c>
      <c r="X269" s="157">
        <f t="shared" si="87"/>
        <v>45546</v>
      </c>
      <c r="Y269" s="384">
        <f t="shared" si="88"/>
        <v>30.199686261302336</v>
      </c>
      <c r="Z269" s="384">
        <f t="shared" si="89"/>
        <v>31.717205206746542</v>
      </c>
      <c r="AA269" s="385">
        <f t="shared" si="90"/>
        <v>34.460706242003567</v>
      </c>
      <c r="AB269" s="196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7.9612443691389492E-2</v>
      </c>
      <c r="AD269" s="230">
        <f>(INDEX(Models!$BJ269:$BT269,,AH269)*(1-AF269)+INDEX(Models!$BJ269:$BT269,,AH269+1)*AF269-ERP_i)*AE269*Ramure*Pc/MaxiM</f>
        <v>6.7528125758327894E-4</v>
      </c>
      <c r="AE269" s="304">
        <f t="shared" si="92"/>
        <v>0.5</v>
      </c>
      <c r="AF269" s="176">
        <f t="shared" si="93"/>
        <v>0.62869244463341367</v>
      </c>
      <c r="AG269" s="814">
        <f t="shared" si="99"/>
        <v>1</v>
      </c>
      <c r="AH269" s="175">
        <f t="shared" si="94"/>
        <v>7</v>
      </c>
      <c r="AI269" s="224">
        <f t="shared" si="95"/>
        <v>1.6286924446334137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10">
        <f>'2023'!Wh/'2023'!Env_an*'2024'!Env_an</f>
        <v>11.415966630400932</v>
      </c>
      <c r="C270" s="843"/>
      <c r="D270" s="392">
        <f t="shared" si="77"/>
        <v>11.989875452098113</v>
      </c>
      <c r="E270" s="384">
        <f t="shared" si="100"/>
        <v>12.220452033587636</v>
      </c>
      <c r="F270" s="384">
        <f t="shared" si="78"/>
        <v>12.220452033587636</v>
      </c>
      <c r="G270" s="110">
        <f t="shared" si="101"/>
        <v>0.24345456250808883</v>
      </c>
      <c r="H270" s="413" t="b">
        <f>Wh_hp&gt;='2023'!Maxi_hp</f>
        <v>0</v>
      </c>
      <c r="I270" s="389">
        <f>IF(H270,Wh_hp,'2023'!Maxi_hp)</f>
        <v>48.380443853441712</v>
      </c>
      <c r="J270" s="85">
        <f>IF(H270,An,'2023'!An_max)</f>
        <v>2020</v>
      </c>
      <c r="K270" s="196">
        <f t="shared" si="79"/>
        <v>45547</v>
      </c>
      <c r="L270" s="147">
        <f>IF(t&lt;Tvie,1-EXP((T0-t)*PertePVj)+'2023'!Pspv,1-EXP((T0-t)*PertePVj)+Pspv)</f>
        <v>4.7866120377151412E-2</v>
      </c>
      <c r="M270" s="847"/>
      <c r="N270" s="847"/>
      <c r="O270" s="48">
        <f>IF(t&lt;Tnet,'2023'!Resal+('2023'!Salim-'2023'!Resal)*(1-EXP(('2023'!Tnet-t)/('2023'!Tau_j))),Resal+(Salim-Resal)*(1-EXP((Tnet-t)/(Tau_j))))*Salcycl</f>
        <v>1.8868089400931046E-2</v>
      </c>
      <c r="P270" s="168">
        <f>(INDEX(Models!$BJ270:$BT270,,T270)*(1-R270)+INDEX(Models!$BJ270:$BT270,,T270+1)*R270-ERP_i)*Q270*Ramure*Pc/MaxiM</f>
        <v>6.7912504314929581E-4</v>
      </c>
      <c r="Q270" s="304">
        <f t="shared" si="80"/>
        <v>0.5</v>
      </c>
      <c r="R270" s="176">
        <f t="shared" si="81"/>
        <v>0.62893644653033975</v>
      </c>
      <c r="S270" s="814">
        <f t="shared" si="82"/>
        <v>1</v>
      </c>
      <c r="T270" s="175">
        <f t="shared" si="83"/>
        <v>7</v>
      </c>
      <c r="U270" s="250">
        <f t="shared" si="84"/>
        <v>1.6289364465303398</v>
      </c>
      <c r="V270" s="382">
        <f t="shared" si="85"/>
        <v>46.859724640368697</v>
      </c>
      <c r="W270" s="401">
        <f t="shared" si="86"/>
        <v>11.415966630400932</v>
      </c>
      <c r="X270" s="157">
        <f t="shared" si="87"/>
        <v>45547</v>
      </c>
      <c r="Y270" s="384">
        <f t="shared" si="88"/>
        <v>10.709032437368508</v>
      </c>
      <c r="Z270" s="384">
        <f t="shared" si="89"/>
        <v>11.247401932184665</v>
      </c>
      <c r="AA270" s="385">
        <f t="shared" si="90"/>
        <v>12.220452033587636</v>
      </c>
      <c r="AB270" s="196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7.9624722451228772E-2</v>
      </c>
      <c r="AD270" s="230">
        <f>(INDEX(Models!$BJ270:$BT270,,AH270)*(1-AF270)+INDEX(Models!$BJ270:$BT270,,AH270+1)*AF270-ERP_i)*AE270*Ramure*Pc/MaxiM</f>
        <v>6.7912504314929581E-4</v>
      </c>
      <c r="AE270" s="304">
        <f t="shared" si="92"/>
        <v>0.5</v>
      </c>
      <c r="AF270" s="176">
        <f t="shared" si="93"/>
        <v>0.62893644653033975</v>
      </c>
      <c r="AG270" s="814">
        <f t="shared" si="99"/>
        <v>1</v>
      </c>
      <c r="AH270" s="175">
        <f t="shared" si="94"/>
        <v>7</v>
      </c>
      <c r="AI270" s="224">
        <f t="shared" si="95"/>
        <v>1.6289364465303398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10">
        <f>'2023'!Wh/'2023'!Env_an*'2024'!Env_an</f>
        <v>37.883094003908077</v>
      </c>
      <c r="C271" s="843"/>
      <c r="D271" s="392">
        <f t="shared" ref="D271:D334" si="102">Wh/(1-Ppv)</f>
        <v>39.788441020800065</v>
      </c>
      <c r="E271" s="384">
        <f t="shared" si="100"/>
        <v>40.557199648038775</v>
      </c>
      <c r="F271" s="384">
        <f t="shared" ref="F271:F334" si="103">Wh_sa/(1-Pvg*MEDIAN((-Sdif+Wh/Env_an)/Csdif,0,1))</f>
        <v>40.577460852776845</v>
      </c>
      <c r="G271" s="110">
        <f t="shared" si="101"/>
        <v>0.81209100280167068</v>
      </c>
      <c r="H271" s="413" t="b">
        <f>Wh_hp&gt;='2023'!Maxi_hp</f>
        <v>0</v>
      </c>
      <c r="I271" s="389">
        <f>IF(H271,Wh_hp,'2023'!Maxi_hp)</f>
        <v>48.09542285224876</v>
      </c>
      <c r="J271" s="85">
        <f>IF(H271,An,'2023'!An_max)</f>
        <v>2020</v>
      </c>
      <c r="K271" s="196">
        <f t="shared" ref="K271:K334" si="104">t</f>
        <v>45548</v>
      </c>
      <c r="L271" s="147">
        <f>IF(t&lt;Tvie,1-EXP((T0-t)*PertePVj)+'2023'!Pspv,1-EXP((T0-t)*PertePVj)+Pspv)</f>
        <v>4.7886948269622677E-2</v>
      </c>
      <c r="M271" s="847"/>
      <c r="N271" s="847"/>
      <c r="O271" s="48">
        <f>IF(t&lt;Tnet,'2023'!Resal+('2023'!Salim-'2023'!Resal)*(1-EXP(('2023'!Tnet-t)/('2023'!Tau_j))),Resal+(Salim-Resal)*(1-EXP((Tnet-t)/(Tau_j))))*Salcycl</f>
        <v>1.8954923759778877E-2</v>
      </c>
      <c r="P271" s="168">
        <f>(INDEX(Models!$BJ271:$BT271,,T271)*(1-R271)+INDEX(Models!$BJ271:$BT271,,T271+1)*R271-ERP_i)*Q271*Ramure*Pc/MaxiM</f>
        <v>6.8234681936653254E-4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0.62917100495300127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1.6291710049530013</v>
      </c>
      <c r="V271" s="382">
        <f t="shared" ref="V271:V334" si="110">MaxiM*(1-Ppv)*(1-Pvg)*(1-Psa)</f>
        <v>46.640286433127891</v>
      </c>
      <c r="W271" s="401">
        <f t="shared" ref="W271:W334" si="111">Wh*(A271&gt;Tmaj)</f>
        <v>37.883094003908077</v>
      </c>
      <c r="X271" s="157">
        <f t="shared" ref="X271:X334" si="112">t</f>
        <v>45548</v>
      </c>
      <c r="Y271" s="384">
        <f t="shared" ref="Y271:Y334" si="113">Wh_pvt_s*(1-Ppv)</f>
        <v>35.539878293555518</v>
      </c>
      <c r="Z271" s="384">
        <f t="shared" ref="Z271:Z334" si="114">Wh_sa_s*(1-Psa_s)</f>
        <v>37.327372236905141</v>
      </c>
      <c r="AA271" s="385">
        <f t="shared" ref="AA271:AA334" si="115">Wh_hp*(1-Pvg_s*MEDIAN((-Sdif+Wh/Env_an)/Csdif,0,1))</f>
        <v>40.557199648038775</v>
      </c>
      <c r="AB271" s="196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7.9636351601258065E-2</v>
      </c>
      <c r="AD271" s="230">
        <f>(INDEX(Models!$BJ271:$BT271,,AH271)*(1-AF271)+INDEX(Models!$BJ271:$BT271,,AH271+1)*AF271-ERP_i)*AE271*Ramure*Pc/MaxiM</f>
        <v>6.8234681936653254E-4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0.62917100495300127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1.6291710049530013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10">
        <f>'2023'!Wh/'2023'!Env_an*'2024'!Env_an</f>
        <v>41.611500496339978</v>
      </c>
      <c r="C272" s="843"/>
      <c r="D272" s="392">
        <f t="shared" si="102"/>
        <v>43.705325423902067</v>
      </c>
      <c r="E272" s="384">
        <f t="shared" si="100"/>
        <v>44.553693576952043</v>
      </c>
      <c r="F272" s="384">
        <f t="shared" si="103"/>
        <v>44.579712061680382</v>
      </c>
      <c r="G272" s="110">
        <f t="shared" si="101"/>
        <v>0.89638294891783776</v>
      </c>
      <c r="H272" s="413" t="b">
        <f>Wh_hp&gt;='2023'!Maxi_hp</f>
        <v>0</v>
      </c>
      <c r="I272" s="389">
        <f>IF(H272,Wh_hp,'2023'!Maxi_hp)</f>
        <v>48.958278323972046</v>
      </c>
      <c r="J272" s="85">
        <f>IF(H272,An,'2023'!An_max)</f>
        <v>2020</v>
      </c>
      <c r="K272" s="196">
        <f t="shared" si="104"/>
        <v>45549</v>
      </c>
      <c r="L272" s="147">
        <f>IF(t&lt;Tvie,1-EXP((T0-t)*PertePVj)+'2023'!Pspv,1-EXP((T0-t)*PertePVj)+Pspv)</f>
        <v>4.7907775705909629E-2</v>
      </c>
      <c r="M272" s="847"/>
      <c r="N272" s="847"/>
      <c r="O272" s="48">
        <f>IF(t&lt;Tnet,'2023'!Resal+('2023'!Salim-'2023'!Resal)*(1-EXP(('2023'!Tnet-t)/('2023'!Tau_j))),Resal+(Salim-Resal)*(1-EXP((Tnet-t)/(Tau_j))))*Salcycl</f>
        <v>1.9041477483448015E-2</v>
      </c>
      <c r="P272" s="168">
        <f>(INDEX(Models!$BJ272:$BT272,,T272)*(1-R272)+INDEX(Models!$BJ272:$BT272,,T272+1)*R272-ERP_i)*Q272*Ramure*Pc/MaxiM</f>
        <v>6.8493821776458908E-4</v>
      </c>
      <c r="Q272" s="304">
        <f t="shared" si="105"/>
        <v>0.5</v>
      </c>
      <c r="R272" s="176">
        <f t="shared" si="106"/>
        <v>0.62939647091894013</v>
      </c>
      <c r="S272" s="814">
        <f t="shared" si="107"/>
        <v>1</v>
      </c>
      <c r="T272" s="175">
        <f t="shared" si="108"/>
        <v>7</v>
      </c>
      <c r="U272" s="250">
        <f t="shared" si="109"/>
        <v>1.6293964709189401</v>
      </c>
      <c r="V272" s="382">
        <f t="shared" si="110"/>
        <v>46.416861116057085</v>
      </c>
      <c r="W272" s="401">
        <f t="shared" si="111"/>
        <v>41.611500496339978</v>
      </c>
      <c r="X272" s="157">
        <f t="shared" si="112"/>
        <v>45549</v>
      </c>
      <c r="Y272" s="384">
        <f t="shared" si="113"/>
        <v>39.040648168136691</v>
      </c>
      <c r="Z272" s="384">
        <f t="shared" si="114"/>
        <v>41.005111870420528</v>
      </c>
      <c r="AA272" s="385">
        <f t="shared" si="115"/>
        <v>44.553693576952043</v>
      </c>
      <c r="AB272" s="196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7.9647306915250321E-2</v>
      </c>
      <c r="AD272" s="230">
        <f>(INDEX(Models!$BJ272:$BT272,,AH272)*(1-AF272)+INDEX(Models!$BJ272:$BT272,,AH272+1)*AF272-ERP_i)*AE272*Ramure*Pc/MaxiM</f>
        <v>6.8493821776458908E-4</v>
      </c>
      <c r="AE272" s="304">
        <f t="shared" si="117"/>
        <v>0.5</v>
      </c>
      <c r="AF272" s="176">
        <f t="shared" si="118"/>
        <v>0.62939647091894013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1.6293964709189401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10">
        <f>'2023'!Wh/'2023'!Env_an*'2024'!Env_an</f>
        <v>27.704850505342996</v>
      </c>
      <c r="C273" s="843"/>
      <c r="D273" s="392">
        <f t="shared" si="102"/>
        <v>29.09955133985228</v>
      </c>
      <c r="E273" s="384">
        <f t="shared" si="100"/>
        <v>29.667014357699429</v>
      </c>
      <c r="F273" s="384">
        <f t="shared" si="103"/>
        <v>29.675744754213653</v>
      </c>
      <c r="G273" s="110">
        <f t="shared" si="101"/>
        <v>0.59957212999640708</v>
      </c>
      <c r="H273" s="413" t="b">
        <f>Wh_hp&gt;='2023'!Maxi_hp</f>
        <v>0</v>
      </c>
      <c r="I273" s="389">
        <f>IF(H273,Wh_hp,'2023'!Maxi_hp)</f>
        <v>47.140487034967791</v>
      </c>
      <c r="J273" s="85">
        <f>IF(H273,An,'2023'!An_max)</f>
        <v>2018</v>
      </c>
      <c r="K273" s="196">
        <f t="shared" si="104"/>
        <v>45550</v>
      </c>
      <c r="L273" s="147">
        <f>IF(t&lt;Tvie,1-EXP((T0-t)*PertePVj)+'2023'!Pspv,1-EXP((T0-t)*PertePVj)+Pspv)</f>
        <v>4.792860268602215E-2</v>
      </c>
      <c r="M273" s="847"/>
      <c r="N273" s="847"/>
      <c r="O273" s="48">
        <f>IF(t&lt;Tnet,'2023'!Resal+('2023'!Salim-'2023'!Resal)*(1-EXP(('2023'!Tnet-t)/('2023'!Tau_j))),Resal+(Salim-Resal)*(1-EXP((Tnet-t)/(Tau_j))))*Salcycl</f>
        <v>1.91277427180628E-2</v>
      </c>
      <c r="P273" s="168">
        <f>(INDEX(Models!$BJ273:$BT273,,T273)*(1-R273)+INDEX(Models!$BJ273:$BT273,,T273+1)*R273-ERP_i)*Q273*Ramure*Pc/MaxiM</f>
        <v>6.8689054406769466E-4</v>
      </c>
      <c r="Q273" s="304">
        <f t="shared" si="105"/>
        <v>0.5</v>
      </c>
      <c r="R273" s="176">
        <f t="shared" si="106"/>
        <v>0.62961318352207751</v>
      </c>
      <c r="S273" s="814">
        <f t="shared" si="107"/>
        <v>1</v>
      </c>
      <c r="T273" s="175">
        <f t="shared" si="108"/>
        <v>7</v>
      </c>
      <c r="U273" s="250">
        <f t="shared" si="109"/>
        <v>1.6296131835220775</v>
      </c>
      <c r="V273" s="382">
        <f t="shared" si="110"/>
        <v>46.1895513342713</v>
      </c>
      <c r="W273" s="401">
        <f t="shared" si="111"/>
        <v>27.704850505342996</v>
      </c>
      <c r="X273" s="157">
        <f t="shared" si="112"/>
        <v>45550</v>
      </c>
      <c r="Y273" s="384">
        <f t="shared" si="113"/>
        <v>25.995178708345616</v>
      </c>
      <c r="Z273" s="384">
        <f t="shared" si="114"/>
        <v>27.303812278873476</v>
      </c>
      <c r="AA273" s="385">
        <f t="shared" si="115"/>
        <v>29.667014357699429</v>
      </c>
      <c r="AB273" s="196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7.9657563458610511E-2</v>
      </c>
      <c r="AD273" s="230">
        <f>(INDEX(Models!$BJ273:$BT273,,AH273)*(1-AF273)+INDEX(Models!$BJ273:$BT273,,AH273+1)*AF273-ERP_i)*AE273*Ramure*Pc/MaxiM</f>
        <v>6.8689054406769466E-4</v>
      </c>
      <c r="AE273" s="304">
        <f t="shared" si="117"/>
        <v>0.5</v>
      </c>
      <c r="AF273" s="176">
        <f t="shared" si="118"/>
        <v>0.62961318352207751</v>
      </c>
      <c r="AG273" s="814">
        <f t="shared" si="124"/>
        <v>1</v>
      </c>
      <c r="AH273" s="175">
        <f t="shared" si="119"/>
        <v>7</v>
      </c>
      <c r="AI273" s="224">
        <f t="shared" si="120"/>
        <v>1.6296131835220775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10">
        <f>'2023'!Wh/'2023'!Env_an*'2024'!Env_an</f>
        <v>47.910990198463843</v>
      </c>
      <c r="C274" s="843"/>
      <c r="D274" s="392">
        <f t="shared" si="102"/>
        <v>50.323997136734448</v>
      </c>
      <c r="E274" s="384">
        <f t="shared" si="100"/>
        <v>51.309849780041134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Wh_hp&gt;='2023'!Maxi_hp</f>
        <v>1</v>
      </c>
      <c r="I274" s="389">
        <f>IF(H274,Wh_hp,'2023'!Maxi_hp)</f>
        <v>51.345185269403622</v>
      </c>
      <c r="J274" s="85">
        <f>IF(H274,An,'2023'!An_max)</f>
        <v>2024</v>
      </c>
      <c r="K274" s="196">
        <f t="shared" si="104"/>
        <v>45551</v>
      </c>
      <c r="L274" s="147">
        <f>IF(t&lt;Tvie,1-EXP((T0-t)*PertePVj)+'2023'!Pspv,1-EXP((T0-t)*PertePVj)+Pspv)</f>
        <v>4.7949429209970452E-2</v>
      </c>
      <c r="M274" s="847"/>
      <c r="N274" s="847"/>
      <c r="O274" s="48">
        <f>IF(t&lt;Tnet,'2023'!Resal+('2023'!Salim-'2023'!Resal)*(1-EXP(('2023'!Tnet-t)/('2023'!Tau_j))),Resal+(Salim-Resal)*(1-EXP((Tnet-t)/(Tau_j))))*Salcycl</f>
        <v>1.9213711354309413E-2</v>
      </c>
      <c r="P274" s="168">
        <f>(INDEX(Models!$BJ274:$BT274,,T274)*(1-R274)+INDEX(Models!$BJ274:$BT274,,T274+1)*R274-ERP_i)*Q274*Ramure*Pc/MaxiM</f>
        <v>6.8819479717687978E-4</v>
      </c>
      <c r="Q274" s="304">
        <f t="shared" si="105"/>
        <v>0.5</v>
      </c>
      <c r="R274" s="176">
        <f t="shared" si="106"/>
        <v>0.62982147024913648</v>
      </c>
      <c r="S274" s="814">
        <f t="shared" si="107"/>
        <v>1</v>
      </c>
      <c r="T274" s="175">
        <f t="shared" si="108"/>
        <v>7</v>
      </c>
      <c r="U274" s="250">
        <f t="shared" si="109"/>
        <v>1.6298214702491365</v>
      </c>
      <c r="V274" s="382">
        <f t="shared" si="110"/>
        <v>45.958459679190717</v>
      </c>
      <c r="W274" s="401">
        <f t="shared" si="111"/>
        <v>47.910990198463843</v>
      </c>
      <c r="X274" s="157">
        <f t="shared" si="112"/>
        <v>45551</v>
      </c>
      <c r="Y274" s="384">
        <f t="shared" si="113"/>
        <v>44.957868263804812</v>
      </c>
      <c r="Z274" s="384">
        <f t="shared" si="114"/>
        <v>47.22214307008705</v>
      </c>
      <c r="AA274" s="385">
        <f t="shared" si="115"/>
        <v>51.309849780041134</v>
      </c>
      <c r="AB274" s="196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7.9667095644940775E-2</v>
      </c>
      <c r="AD274" s="230">
        <f>(INDEX(Models!$BJ274:$BT274,,AH274)*(1-AF274)+INDEX(Models!$BJ274:$BT274,,AH274+1)*AF274-ERP_i)*AE274*Ramure*Pc/MaxiM</f>
        <v>6.8819479717687978E-4</v>
      </c>
      <c r="AE274" s="304">
        <f t="shared" si="117"/>
        <v>0.5</v>
      </c>
      <c r="AF274" s="176">
        <f t="shared" si="118"/>
        <v>0.62982147024913648</v>
      </c>
      <c r="AG274" s="814">
        <f t="shared" si="124"/>
        <v>1</v>
      </c>
      <c r="AH274" s="175">
        <f t="shared" si="119"/>
        <v>7</v>
      </c>
      <c r="AI274" s="224">
        <f t="shared" si="120"/>
        <v>1.6298214702491365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10">
        <f>'2023'!Wh/'2023'!Env_an*'2024'!Env_an</f>
        <v>46.322410452270894</v>
      </c>
      <c r="C275" s="843"/>
      <c r="D275" s="392">
        <f t="shared" si="102"/>
        <v>48.656473927488399</v>
      </c>
      <c r="E275" s="384">
        <f t="shared" si="100"/>
        <v>49.613992985417177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Wh_hp&gt;='2023'!Maxi_hp</f>
        <v>1</v>
      </c>
      <c r="I275" s="389">
        <f>IF(H275,Wh_hp,'2023'!Maxi_hp)</f>
        <v>49.64819390324049</v>
      </c>
      <c r="J275" s="85">
        <f>IF(H275,An,'2023'!An_max)</f>
        <v>2024</v>
      </c>
      <c r="K275" s="196">
        <f t="shared" si="104"/>
        <v>45552</v>
      </c>
      <c r="L275" s="147">
        <f>IF(t&lt;Tvie,1-EXP((T0-t)*PertePVj)+'2023'!Pspv,1-EXP((T0-t)*PertePVj)+Pspv)</f>
        <v>4.7970255277764419E-2</v>
      </c>
      <c r="M275" s="847"/>
      <c r="N275" s="847"/>
      <c r="O275" s="48">
        <f>IF(t&lt;Tnet,'2023'!Resal+('2023'!Salim-'2023'!Resal)*(1-EXP(('2023'!Tnet-t)/('2023'!Tau_j))),Resal+(Salim-Resal)*(1-EXP((Tnet-t)/(Tau_j))))*Salcycl</f>
        <v>1.9299375041436733E-2</v>
      </c>
      <c r="P275" s="168">
        <f>(INDEX(Models!$BJ275:$BT275,,T275)*(1-R275)+INDEX(Models!$BJ275:$BT275,,T275+1)*R275-ERP_i)*Q275*Ramure*Pc/MaxiM</f>
        <v>6.888652966906782E-4</v>
      </c>
      <c r="Q275" s="304">
        <f t="shared" si="105"/>
        <v>0.5</v>
      </c>
      <c r="R275" s="176">
        <f t="shared" si="106"/>
        <v>0.63002164729505106</v>
      </c>
      <c r="S275" s="814">
        <f t="shared" si="107"/>
        <v>1</v>
      </c>
      <c r="T275" s="175">
        <f t="shared" si="108"/>
        <v>7</v>
      </c>
      <c r="U275" s="250">
        <f t="shared" si="109"/>
        <v>1.6300216472950511</v>
      </c>
      <c r="V275" s="382">
        <f t="shared" si="110"/>
        <v>45.722120743444606</v>
      </c>
      <c r="W275" s="401">
        <f t="shared" si="111"/>
        <v>46.322410452270894</v>
      </c>
      <c r="X275" s="157">
        <f t="shared" si="112"/>
        <v>45552</v>
      </c>
      <c r="Y275" s="384">
        <f t="shared" si="113"/>
        <v>43.470586920804244</v>
      </c>
      <c r="Z275" s="384">
        <f t="shared" si="114"/>
        <v>45.66095456764036</v>
      </c>
      <c r="AA275" s="385">
        <f t="shared" si="115"/>
        <v>49.613992985417177</v>
      </c>
      <c r="AB275" s="196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7.9675877306201098E-2</v>
      </c>
      <c r="AD275" s="230">
        <f>(INDEX(Models!$BJ275:$BT275,,AH275)*(1-AF275)+INDEX(Models!$BJ275:$BT275,,AH275+1)*AF275-ERP_i)*AE275*Ramure*Pc/MaxiM</f>
        <v>6.888652966906782E-4</v>
      </c>
      <c r="AE275" s="304">
        <f t="shared" si="117"/>
        <v>0.5</v>
      </c>
      <c r="AF275" s="176">
        <f t="shared" si="118"/>
        <v>0.63002164729505106</v>
      </c>
      <c r="AG275" s="814">
        <f t="shared" si="124"/>
        <v>1</v>
      </c>
      <c r="AH275" s="175">
        <f t="shared" si="119"/>
        <v>7</v>
      </c>
      <c r="AI275" s="224">
        <f t="shared" si="120"/>
        <v>1.6300216472950511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10">
        <f>'2023'!Wh/'2023'!Env_an*'2024'!Env_an</f>
        <v>45.128323821763772</v>
      </c>
      <c r="C276" s="843"/>
      <c r="D276" s="392">
        <f t="shared" si="102"/>
        <v>47.403257381164977</v>
      </c>
      <c r="E276" s="384">
        <f t="shared" si="100"/>
        <v>48.340321224426752</v>
      </c>
      <c r="F276" s="384">
        <f t="shared" si="103"/>
        <v>48.373280333280526</v>
      </c>
      <c r="G276" s="110">
        <f t="shared" si="101"/>
        <v>0.99227288589961915</v>
      </c>
      <c r="H276" s="413" t="b">
        <f>Wh_hp&gt;='2023'!Maxi_hp</f>
        <v>0</v>
      </c>
      <c r="I276" s="389">
        <f>IF(H276,Wh_hp,'2023'!Maxi_hp)</f>
        <v>48.373399952604053</v>
      </c>
      <c r="J276" s="85">
        <f>IF(H276,An,'2023'!An_max)</f>
        <v>2022</v>
      </c>
      <c r="K276" s="196">
        <f t="shared" si="104"/>
        <v>45553</v>
      </c>
      <c r="L276" s="147">
        <f>IF(t&lt;Tvie,1-EXP((T0-t)*PertePVj)+'2023'!Pspv,1-EXP((T0-t)*PertePVj)+Pspv)</f>
        <v>4.7991080889414041E-2</v>
      </c>
      <c r="M276" s="847"/>
      <c r="N276" s="847"/>
      <c r="O276" s="48">
        <f>IF(t&lt;Tnet,'2023'!Resal+('2023'!Salim-'2023'!Resal)*(1-EXP(('2023'!Tnet-t)/('2023'!Tau_j))),Resal+(Salim-Resal)*(1-EXP((Tnet-t)/(Tau_j))))*Salcycl</f>
        <v>1.9384725205099883E-2</v>
      </c>
      <c r="P276" s="168">
        <f>(INDEX(Models!$BJ276:$BT276,,T276)*(1-R276)+INDEX(Models!$BJ276:$BT276,,T276+1)*R276-ERP_i)*Q276*Ramure*Pc/MaxiM</f>
        <v>6.8894714824498094E-4</v>
      </c>
      <c r="Q276" s="304">
        <f t="shared" si="105"/>
        <v>0.5</v>
      </c>
      <c r="R276" s="176">
        <f t="shared" si="106"/>
        <v>0.63021401987660797</v>
      </c>
      <c r="S276" s="814">
        <f t="shared" si="107"/>
        <v>1</v>
      </c>
      <c r="T276" s="175">
        <f t="shared" si="108"/>
        <v>7</v>
      </c>
      <c r="U276" s="250">
        <f t="shared" si="109"/>
        <v>1.630214019876608</v>
      </c>
      <c r="V276" s="382">
        <f t="shared" si="110"/>
        <v>45.479405271194466</v>
      </c>
      <c r="W276" s="401">
        <f t="shared" si="111"/>
        <v>45.128323821763772</v>
      </c>
      <c r="X276" s="157">
        <f t="shared" si="112"/>
        <v>45553</v>
      </c>
      <c r="Y276" s="384">
        <f t="shared" si="113"/>
        <v>42.35333149409928</v>
      </c>
      <c r="Z276" s="384">
        <f t="shared" si="114"/>
        <v>44.488376782927482</v>
      </c>
      <c r="AA276" s="385">
        <f t="shared" si="115"/>
        <v>48.340321224426752</v>
      </c>
      <c r="AB276" s="196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7.9683881776789964E-2</v>
      </c>
      <c r="AD276" s="230">
        <f>(INDEX(Models!$BJ276:$BT276,,AH276)*(1-AF276)+INDEX(Models!$BJ276:$BT276,,AH276+1)*AF276-ERP_i)*AE276*Ramure*Pc/MaxiM</f>
        <v>6.8894714824498094E-4</v>
      </c>
      <c r="AE276" s="304">
        <f t="shared" si="117"/>
        <v>0.5</v>
      </c>
      <c r="AF276" s="176">
        <f t="shared" si="118"/>
        <v>0.63021401987660797</v>
      </c>
      <c r="AG276" s="814">
        <f t="shared" si="124"/>
        <v>1</v>
      </c>
      <c r="AH276" s="175">
        <f t="shared" si="119"/>
        <v>7</v>
      </c>
      <c r="AI276" s="224">
        <f t="shared" si="120"/>
        <v>1.630214019876608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10">
        <f>'2023'!Wh/'2023'!Env_an*'2024'!Env_an</f>
        <v>46.488615614370786</v>
      </c>
      <c r="C277" s="843"/>
      <c r="D277" s="392">
        <f t="shared" si="102"/>
        <v>48.833190151813838</v>
      </c>
      <c r="E277" s="384">
        <f t="shared" si="100"/>
        <v>49.802839131855464</v>
      </c>
      <c r="F277" s="384">
        <f t="shared" si="103"/>
        <v>49.837145014855786</v>
      </c>
      <c r="G277" s="110">
        <f t="shared" si="101"/>
        <v>1.0278059854196933</v>
      </c>
      <c r="H277" s="413" t="b">
        <f>Wh_hp&gt;='2023'!Maxi_hp</f>
        <v>1</v>
      </c>
      <c r="I277" s="389">
        <f>IF(H277,Wh_hp,'2023'!Maxi_hp)</f>
        <v>49.837145014855786</v>
      </c>
      <c r="J277" s="85">
        <f>IF(H277,An,'2023'!An_max)</f>
        <v>2024</v>
      </c>
      <c r="K277" s="196">
        <f t="shared" si="104"/>
        <v>45554</v>
      </c>
      <c r="L277" s="147">
        <f>IF(t&lt;Tvie,1-EXP((T0-t)*PertePVj)+'2023'!Pspv,1-EXP((T0-t)*PertePVj)+Pspv)</f>
        <v>4.801190604492931E-2</v>
      </c>
      <c r="M277" s="847"/>
      <c r="N277" s="847"/>
      <c r="O277" s="48">
        <f>IF(t&lt;Tnet,'2023'!Resal+('2023'!Salim-'2023'!Resal)*(1-EXP(('2023'!Tnet-t)/('2023'!Tau_j))),Resal+(Salim-Resal)*(1-EXP((Tnet-t)/(Tau_j))))*Salcycl</f>
        <v>1.9469753069186232E-2</v>
      </c>
      <c r="P277" s="168">
        <f>(INDEX(Models!$BJ277:$BT277,,T277)*(1-R277)+INDEX(Models!$BJ277:$BT277,,T277+1)*R277-ERP_i)*Q277*Ramure*Pc/MaxiM</f>
        <v>6.8835971623370726E-4</v>
      </c>
      <c r="Q277" s="304">
        <f t="shared" si="105"/>
        <v>0.5</v>
      </c>
      <c r="R277" s="176">
        <f t="shared" si="106"/>
        <v>0.63039888254364329</v>
      </c>
      <c r="S277" s="814">
        <f t="shared" si="107"/>
        <v>1</v>
      </c>
      <c r="T277" s="175">
        <f t="shared" si="108"/>
        <v>7</v>
      </c>
      <c r="U277" s="250">
        <f t="shared" si="109"/>
        <v>1.6303988825436433</v>
      </c>
      <c r="V277" s="382">
        <f t="shared" si="110"/>
        <v>45.230925168613076</v>
      </c>
      <c r="W277" s="401">
        <f t="shared" si="111"/>
        <v>46.488615614370786</v>
      </c>
      <c r="X277" s="157">
        <f t="shared" si="112"/>
        <v>45554</v>
      </c>
      <c r="Y277" s="384">
        <f t="shared" si="113"/>
        <v>43.633419437782642</v>
      </c>
      <c r="Z277" s="384">
        <f t="shared" si="114"/>
        <v>45.833996995178737</v>
      </c>
      <c r="AA277" s="385">
        <f t="shared" si="115"/>
        <v>49.802839131855464</v>
      </c>
      <c r="AB277" s="196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7.9691081991711876E-2</v>
      </c>
      <c r="AD277" s="230">
        <f>(INDEX(Models!$BJ277:$BT277,,AH277)*(1-AF277)+INDEX(Models!$BJ277:$BT277,,AH277+1)*AF277-ERP_i)*AE277*Ramure*Pc/MaxiM</f>
        <v>6.8835971623370726E-4</v>
      </c>
      <c r="AE277" s="304">
        <f t="shared" si="117"/>
        <v>0.5</v>
      </c>
      <c r="AF277" s="176">
        <f t="shared" si="118"/>
        <v>0.63039888254364329</v>
      </c>
      <c r="AG277" s="814">
        <f t="shared" si="124"/>
        <v>1</v>
      </c>
      <c r="AH277" s="175">
        <f t="shared" si="119"/>
        <v>7</v>
      </c>
      <c r="AI277" s="224">
        <f t="shared" si="120"/>
        <v>1.6303988825436433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10">
        <f>'2023'!Wh/'2023'!Env_an*'2024'!Env_an</f>
        <v>45.355368151072824</v>
      </c>
      <c r="C278" s="843"/>
      <c r="D278" s="392">
        <f t="shared" si="102"/>
        <v>47.643831480188489</v>
      </c>
      <c r="E278" s="384">
        <f t="shared" si="100"/>
        <v>48.594061612827119</v>
      </c>
      <c r="F278" s="384">
        <f t="shared" si="103"/>
        <v>48.6274728390365</v>
      </c>
      <c r="G278" s="110">
        <f t="shared" si="101"/>
        <v>1.0084059985964877</v>
      </c>
      <c r="H278" s="413" t="b">
        <f>Wh_hp&gt;='2023'!Maxi_hp</f>
        <v>1</v>
      </c>
      <c r="I278" s="389">
        <f>IF(H278,Wh_hp,'2023'!Maxi_hp)</f>
        <v>48.6274728390365</v>
      </c>
      <c r="J278" s="85">
        <f>IF(H278,An,'2023'!An_max)</f>
        <v>2024</v>
      </c>
      <c r="K278" s="196">
        <f t="shared" si="104"/>
        <v>45555</v>
      </c>
      <c r="L278" s="147">
        <f>IF(t&lt;Tvie,1-EXP((T0-t)*PertePVj)+'2023'!Pspv,1-EXP((T0-t)*PertePVj)+Pspv)</f>
        <v>4.803273074432033E-2</v>
      </c>
      <c r="M278" s="847"/>
      <c r="N278" s="847"/>
      <c r="O278" s="48">
        <f>IF(t&lt;Tnet,'2023'!Resal+('2023'!Salim-'2023'!Resal)*(1-EXP(('2023'!Tnet-t)/('2023'!Tau_j))),Resal+(Salim-Resal)*(1-EXP((Tnet-t)/(Tau_j))))*Salcycl</f>
        <v>1.9554449681724168E-2</v>
      </c>
      <c r="P278" s="168">
        <f>(INDEX(Models!$BJ278:$BT278,,T278)*(1-R278)+INDEX(Models!$BJ278:$BT278,,T278+1)*R278-ERP_i)*Q278*Ramure*Pc/MaxiM</f>
        <v>6.8708539142010069E-4</v>
      </c>
      <c r="Q278" s="304">
        <f t="shared" si="105"/>
        <v>0.5</v>
      </c>
      <c r="R278" s="176">
        <f t="shared" si="106"/>
        <v>0.63057651948719595</v>
      </c>
      <c r="S278" s="814">
        <f t="shared" si="107"/>
        <v>1</v>
      </c>
      <c r="T278" s="175">
        <f t="shared" si="108"/>
        <v>7</v>
      </c>
      <c r="U278" s="250">
        <f t="shared" si="109"/>
        <v>1.630576519487196</v>
      </c>
      <c r="V278" s="382">
        <f t="shared" si="110"/>
        <v>44.977289121840805</v>
      </c>
      <c r="W278" s="401">
        <f t="shared" si="111"/>
        <v>45.355368151072824</v>
      </c>
      <c r="X278" s="157">
        <f t="shared" si="112"/>
        <v>45555</v>
      </c>
      <c r="Y278" s="384">
        <f t="shared" si="113"/>
        <v>42.573155566783619</v>
      </c>
      <c r="Z278" s="384">
        <f t="shared" si="114"/>
        <v>44.721238788042101</v>
      </c>
      <c r="AA278" s="385">
        <f t="shared" si="115"/>
        <v>48.594061612827119</v>
      </c>
      <c r="AB278" s="196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7.9697450598834679E-2</v>
      </c>
      <c r="AD278" s="230">
        <f>(INDEX(Models!$BJ278:$BT278,,AH278)*(1-AF278)+INDEX(Models!$BJ278:$BT278,,AH278+1)*AF278-ERP_i)*AE278*Ramure*Pc/MaxiM</f>
        <v>6.8708539142010069E-4</v>
      </c>
      <c r="AE278" s="304">
        <f t="shared" si="117"/>
        <v>0.5</v>
      </c>
      <c r="AF278" s="176">
        <f t="shared" si="118"/>
        <v>0.63057651948719595</v>
      </c>
      <c r="AG278" s="814">
        <f t="shared" si="124"/>
        <v>1</v>
      </c>
      <c r="AH278" s="175">
        <f t="shared" si="119"/>
        <v>7</v>
      </c>
      <c r="AI278" s="224">
        <f t="shared" si="120"/>
        <v>1.630576519487196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10">
        <f>'2023'!Wh/'2023'!Env_an*'2024'!Env_an</f>
        <v>44.173461667546697</v>
      </c>
      <c r="C279" s="843"/>
      <c r="D279" s="392">
        <f t="shared" si="102"/>
        <v>46.403305457977893</v>
      </c>
      <c r="E279" s="384">
        <f t="shared" si="100"/>
        <v>47.332866436746613</v>
      </c>
      <c r="F279" s="384">
        <f t="shared" si="103"/>
        <v>47.364750688907549</v>
      </c>
      <c r="G279" s="110">
        <f t="shared" si="101"/>
        <v>0.98778661317812899</v>
      </c>
      <c r="H279" s="413" t="b">
        <f>Wh_hp&gt;='2023'!Maxi_hp</f>
        <v>0</v>
      </c>
      <c r="I279" s="389">
        <f>IF(H279,Wh_hp,'2023'!Maxi_hp)</f>
        <v>47.364931992857663</v>
      </c>
      <c r="J279" s="85">
        <f>IF(H279,An,'2023'!An_max)</f>
        <v>2022</v>
      </c>
      <c r="K279" s="196">
        <f t="shared" si="104"/>
        <v>45556</v>
      </c>
      <c r="L279" s="147">
        <f>IF(t&lt;Tvie,1-EXP((T0-t)*PertePVj)+'2023'!Pspv,1-EXP((T0-t)*PertePVj)+Pspv)</f>
        <v>4.8053554987596871E-2</v>
      </c>
      <c r="M279" s="847"/>
      <c r="N279" s="847"/>
      <c r="O279" s="48">
        <f>IF(t&lt;Tnet,'2023'!Resal+('2023'!Salim-'2023'!Resal)*(1-EXP(('2023'!Tnet-t)/('2023'!Tau_j))),Resal+(Salim-Resal)*(1-EXP((Tnet-t)/(Tau_j))))*Salcycl</f>
        <v>1.9638805944933443E-2</v>
      </c>
      <c r="P279" s="168">
        <f>(INDEX(Models!$BJ279:$BT279,,T279)*(1-R279)+INDEX(Models!$BJ279:$BT279,,T279+1)*R279-ERP_i)*Q279*Ramure*Pc/MaxiM</f>
        <v>6.8510612039459772E-4</v>
      </c>
      <c r="Q279" s="304">
        <f t="shared" si="105"/>
        <v>0.5</v>
      </c>
      <c r="R279" s="176">
        <f t="shared" si="106"/>
        <v>0.63074720484408209</v>
      </c>
      <c r="S279" s="814">
        <f t="shared" si="107"/>
        <v>1</v>
      </c>
      <c r="T279" s="175">
        <f t="shared" si="108"/>
        <v>7</v>
      </c>
      <c r="U279" s="250">
        <f t="shared" si="109"/>
        <v>1.6307472048440821</v>
      </c>
      <c r="V279" s="382">
        <f t="shared" si="110"/>
        <v>44.719105528195541</v>
      </c>
      <c r="W279" s="401">
        <f t="shared" si="111"/>
        <v>44.173461667546697</v>
      </c>
      <c r="X279" s="157">
        <f t="shared" si="112"/>
        <v>45556</v>
      </c>
      <c r="Y279" s="384">
        <f t="shared" si="113"/>
        <v>41.467069751391335</v>
      </c>
      <c r="Z279" s="384">
        <f t="shared" si="114"/>
        <v>43.560296872426527</v>
      </c>
      <c r="AA279" s="385">
        <f t="shared" si="115"/>
        <v>47.332866436746613</v>
      </c>
      <c r="AB279" s="196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7.9702960085072619E-2</v>
      </c>
      <c r="AD279" s="230">
        <f>(INDEX(Models!$BJ279:$BT279,,AH279)*(1-AF279)+INDEX(Models!$BJ279:$BT279,,AH279+1)*AF279-ERP_i)*AE279*Ramure*Pc/MaxiM</f>
        <v>6.8510612039459772E-4</v>
      </c>
      <c r="AE279" s="304">
        <f t="shared" si="117"/>
        <v>0.5</v>
      </c>
      <c r="AF279" s="176">
        <f t="shared" si="118"/>
        <v>0.63074720484408209</v>
      </c>
      <c r="AG279" s="814">
        <f t="shared" si="124"/>
        <v>1</v>
      </c>
      <c r="AH279" s="175">
        <f t="shared" si="119"/>
        <v>7</v>
      </c>
      <c r="AI279" s="224">
        <f t="shared" si="120"/>
        <v>1.6307472048440821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10">
        <f>'2023'!Wh/'2023'!Env_an*'2024'!Env_an</f>
        <v>27.909335257238315</v>
      </c>
      <c r="C280" s="843"/>
      <c r="D280" s="392">
        <f t="shared" si="102"/>
        <v>29.318819280561005</v>
      </c>
      <c r="E280" s="384">
        <f t="shared" si="100"/>
        <v>29.908703026948984</v>
      </c>
      <c r="F280" s="384">
        <f t="shared" si="103"/>
        <v>29.91826325478004</v>
      </c>
      <c r="G280" s="110">
        <f t="shared" si="101"/>
        <v>0.6275550726603647</v>
      </c>
      <c r="H280" s="413" t="b">
        <f>Wh_hp&gt;='2023'!Maxi_hp</f>
        <v>0</v>
      </c>
      <c r="I280" s="389">
        <f>IF(H280,Wh_hp,'2023'!Maxi_hp)</f>
        <v>44.179127561148483</v>
      </c>
      <c r="J280" s="85">
        <f>IF(H280,An,'2023'!An_max)</f>
        <v>2018</v>
      </c>
      <c r="K280" s="196">
        <f t="shared" si="104"/>
        <v>45557</v>
      </c>
      <c r="L280" s="147">
        <f>IF(t&lt;Tvie,1-EXP((T0-t)*PertePVj)+'2023'!Pspv,1-EXP((T0-t)*PertePVj)+Pspv)</f>
        <v>4.8074378774769035E-2</v>
      </c>
      <c r="M280" s="847"/>
      <c r="N280" s="847"/>
      <c r="O280" s="48">
        <f>IF(t&lt;Tnet,'2023'!Resal+('2023'!Salim-'2023'!Resal)*(1-EXP(('2023'!Tnet-t)/('2023'!Tau_j))),Resal+(Salim-Resal)*(1-EXP((Tnet-t)/(Tau_j))))*Salcycl</f>
        <v>1.9722812649430821E-2</v>
      </c>
      <c r="P280" s="168">
        <f>(INDEX(Models!$BJ280:$BT280,,T280)*(1-R280)+INDEX(Models!$BJ280:$BT280,,T280+1)*R280-ERP_i)*Q280*Ramure*Pc/MaxiM</f>
        <v>6.8240712248902652E-4</v>
      </c>
      <c r="Q280" s="304">
        <f t="shared" si="105"/>
        <v>0.5</v>
      </c>
      <c r="R280" s="176">
        <f t="shared" si="106"/>
        <v>0.63091120299742109</v>
      </c>
      <c r="S280" s="814">
        <f t="shared" si="107"/>
        <v>1</v>
      </c>
      <c r="T280" s="175">
        <f t="shared" si="108"/>
        <v>7</v>
      </c>
      <c r="U280" s="250">
        <f t="shared" si="109"/>
        <v>1.6309112029974211</v>
      </c>
      <c r="V280" s="382">
        <f t="shared" si="110"/>
        <v>44.456982329591469</v>
      </c>
      <c r="W280" s="401">
        <f t="shared" si="111"/>
        <v>27.909335257238315</v>
      </c>
      <c r="X280" s="157">
        <f t="shared" si="112"/>
        <v>45557</v>
      </c>
      <c r="Y280" s="384">
        <f t="shared" si="113"/>
        <v>26.201517218314748</v>
      </c>
      <c r="Z280" s="384">
        <f t="shared" si="114"/>
        <v>27.524752600513651</v>
      </c>
      <c r="AA280" s="385">
        <f t="shared" si="115"/>
        <v>29.908703026948984</v>
      </c>
      <c r="AB280" s="196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7.970758291615973E-2</v>
      </c>
      <c r="AD280" s="230">
        <f>(INDEX(Models!$BJ280:$BT280,,AH280)*(1-AF280)+INDEX(Models!$BJ280:$BT280,,AH280+1)*AF280-ERP_i)*AE280*Ramure*Pc/MaxiM</f>
        <v>6.8240712248902652E-4</v>
      </c>
      <c r="AE280" s="304">
        <f t="shared" si="117"/>
        <v>0.5</v>
      </c>
      <c r="AF280" s="176">
        <f t="shared" si="118"/>
        <v>0.63091120299742109</v>
      </c>
      <c r="AG280" s="814">
        <f t="shared" si="124"/>
        <v>1</v>
      </c>
      <c r="AH280" s="175">
        <f t="shared" si="119"/>
        <v>7</v>
      </c>
      <c r="AI280" s="224">
        <f t="shared" si="120"/>
        <v>1.6309112029974211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10">
        <f>'2023'!Wh/'2023'!Env_an*'2024'!Env_an</f>
        <v>17.495319409311634</v>
      </c>
      <c r="C281" s="843"/>
      <c r="D281" s="392">
        <f t="shared" si="102"/>
        <v>18.37927432240658</v>
      </c>
      <c r="E281" s="384">
        <f t="shared" si="100"/>
        <v>18.750658499562665</v>
      </c>
      <c r="F281" s="384">
        <f t="shared" si="103"/>
        <v>18.752402787319731</v>
      </c>
      <c r="G281" s="110">
        <f t="shared" si="101"/>
        <v>0.39566559648141902</v>
      </c>
      <c r="H281" s="413" t="b">
        <f>Wh_hp&gt;='2023'!Maxi_hp</f>
        <v>0</v>
      </c>
      <c r="I281" s="389">
        <f>IF(H281,Wh_hp,'2023'!Maxi_hp)</f>
        <v>40.512868531707113</v>
      </c>
      <c r="J281" s="85">
        <f>IF(H281,An,'2023'!An_max)</f>
        <v>2021</v>
      </c>
      <c r="K281" s="196">
        <f t="shared" si="104"/>
        <v>45558</v>
      </c>
      <c r="L281" s="147">
        <f>IF(t&lt;Tvie,1-EXP((T0-t)*PertePVj)+'2023'!Pspv,1-EXP((T0-t)*PertePVj)+Pspv)</f>
        <v>4.8095202105846925E-2</v>
      </c>
      <c r="M281" s="847"/>
      <c r="N281" s="847"/>
      <c r="O281" s="48">
        <f>IF(t&lt;Tnet,'2023'!Resal+('2023'!Salim-'2023'!Resal)*(1-EXP(('2023'!Tnet-t)/('2023'!Tau_j))),Resal+(Salim-Resal)*(1-EXP((Tnet-t)/(Tau_j))))*Salcycl</f>
        <v>1.9806460512559854E-2</v>
      </c>
      <c r="P281" s="168">
        <f>(INDEX(Models!$BJ281:$BT281,,T281)*(1-R281)+INDEX(Models!$BJ281:$BT281,,T281+1)*R281-ERP_i)*Q281*Ramure*Pc/MaxiM</f>
        <v>6.789714749309083E-4</v>
      </c>
      <c r="Q281" s="304">
        <f t="shared" si="105"/>
        <v>0.5</v>
      </c>
      <c r="R281" s="176">
        <f t="shared" si="106"/>
        <v>0.6310687688727028</v>
      </c>
      <c r="S281" s="814">
        <f t="shared" si="107"/>
        <v>1</v>
      </c>
      <c r="T281" s="175">
        <f t="shared" si="108"/>
        <v>7</v>
      </c>
      <c r="U281" s="250">
        <f t="shared" si="109"/>
        <v>1.6310687688727028</v>
      </c>
      <c r="V281" s="382">
        <f t="shared" si="110"/>
        <v>44.191527255000942</v>
      </c>
      <c r="W281" s="401">
        <f t="shared" si="111"/>
        <v>17.495319409311634</v>
      </c>
      <c r="X281" s="157">
        <f t="shared" si="112"/>
        <v>45558</v>
      </c>
      <c r="Y281" s="384">
        <f t="shared" si="113"/>
        <v>16.426087555213062</v>
      </c>
      <c r="Z281" s="384">
        <f t="shared" si="114"/>
        <v>17.256019290533672</v>
      </c>
      <c r="AA281" s="385">
        <f t="shared" si="115"/>
        <v>18.750658499562665</v>
      </c>
      <c r="AB281" s="196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7.9711291689507982E-2</v>
      </c>
      <c r="AD281" s="230">
        <f>(INDEX(Models!$BJ281:$BT281,,AH281)*(1-AF281)+INDEX(Models!$BJ281:$BT281,,AH281+1)*AF281-ERP_i)*AE281*Ramure*Pc/MaxiM</f>
        <v>6.789714749309083E-4</v>
      </c>
      <c r="AE281" s="304">
        <f t="shared" si="117"/>
        <v>0.5</v>
      </c>
      <c r="AF281" s="176">
        <f t="shared" si="118"/>
        <v>0.6310687688727028</v>
      </c>
      <c r="AG281" s="814">
        <f t="shared" si="124"/>
        <v>1</v>
      </c>
      <c r="AH281" s="175">
        <f t="shared" si="119"/>
        <v>7</v>
      </c>
      <c r="AI281" s="224">
        <f t="shared" si="120"/>
        <v>1.6310687688727028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10">
        <f>'2023'!Wh/'2023'!Env_an*'2024'!Env_an</f>
        <v>30.969749438496084</v>
      </c>
      <c r="C282" s="843"/>
      <c r="D282" s="392">
        <f t="shared" si="102"/>
        <v>32.535214638814274</v>
      </c>
      <c r="E282" s="384">
        <f t="shared" si="100"/>
        <v>33.195463790107333</v>
      </c>
      <c r="F282" s="384">
        <f t="shared" si="103"/>
        <v>33.20844178682006</v>
      </c>
      <c r="G282" s="110">
        <f t="shared" si="101"/>
        <v>0.70488596303045636</v>
      </c>
      <c r="H282" s="413" t="b">
        <f>Wh_hp&gt;='2023'!Maxi_hp</f>
        <v>0</v>
      </c>
      <c r="I282" s="389">
        <f>IF(H282,Wh_hp,'2023'!Maxi_hp)</f>
        <v>46.527927467994083</v>
      </c>
      <c r="J282" s="85">
        <f>IF(H282,An,'2023'!An_max)</f>
        <v>2018</v>
      </c>
      <c r="K282" s="196">
        <f t="shared" si="104"/>
        <v>45559</v>
      </c>
      <c r="L282" s="147">
        <f>IF(t&lt;Tvie,1-EXP((T0-t)*PertePVj)+'2023'!Pspv,1-EXP((T0-t)*PertePVj)+Pspv)</f>
        <v>4.8116024980840312E-2</v>
      </c>
      <c r="M282" s="847"/>
      <c r="N282" s="847"/>
      <c r="O282" s="48">
        <f>IF(t&lt;Tnet,'2023'!Resal+('2023'!Salim-'2023'!Resal)*(1-EXP(('2023'!Tnet-t)/('2023'!Tau_j))),Resal+(Salim-Resal)*(1-EXP((Tnet-t)/(Tau_j))))*Salcycl</f>
        <v>1.9889740220765312E-2</v>
      </c>
      <c r="P282" s="168">
        <f>(INDEX(Models!$BJ282:$BT282,,T282)*(1-R282)+INDEX(Models!$BJ282:$BT282,,T282+1)*R282-ERP_i)*Q282*Ramure*Pc/MaxiM</f>
        <v>6.7531947097512919E-4</v>
      </c>
      <c r="Q282" s="304">
        <f t="shared" si="105"/>
        <v>0.5</v>
      </c>
      <c r="R282" s="176">
        <f t="shared" si="106"/>
        <v>0.63122014822903383</v>
      </c>
      <c r="S282" s="814">
        <f t="shared" si="107"/>
        <v>1</v>
      </c>
      <c r="T282" s="175">
        <f t="shared" si="108"/>
        <v>7</v>
      </c>
      <c r="U282" s="250">
        <f t="shared" si="109"/>
        <v>1.6312201482290338</v>
      </c>
      <c r="V282" s="382">
        <f t="shared" si="110"/>
        <v>43.923324124910238</v>
      </c>
      <c r="W282" s="401">
        <f t="shared" si="111"/>
        <v>30.969749438496084</v>
      </c>
      <c r="X282" s="157">
        <f t="shared" si="112"/>
        <v>45559</v>
      </c>
      <c r="Y282" s="384">
        <f t="shared" si="113"/>
        <v>29.07940684315016</v>
      </c>
      <c r="Z282" s="384">
        <f t="shared" si="114"/>
        <v>30.549318621069176</v>
      </c>
      <c r="AA282" s="385">
        <f t="shared" si="115"/>
        <v>33.195463790107333</v>
      </c>
      <c r="AB282" s="196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7.9714059299473908E-2</v>
      </c>
      <c r="AD282" s="230">
        <f>(INDEX(Models!$BJ282:$BT282,,AH282)*(1-AF282)+INDEX(Models!$BJ282:$BT282,,AH282+1)*AF282-ERP_i)*AE282*Ramure*Pc/MaxiM</f>
        <v>6.7531947097512919E-4</v>
      </c>
      <c r="AE282" s="304">
        <f t="shared" si="117"/>
        <v>0.5</v>
      </c>
      <c r="AF282" s="176">
        <f t="shared" si="118"/>
        <v>0.63122014822903383</v>
      </c>
      <c r="AG282" s="814">
        <f t="shared" si="124"/>
        <v>1</v>
      </c>
      <c r="AH282" s="175">
        <f t="shared" si="119"/>
        <v>7</v>
      </c>
      <c r="AI282" s="224">
        <f t="shared" si="120"/>
        <v>1.6312201482290338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10">
        <f>'2023'!Wh/'2023'!Env_an*'2024'!Env_an</f>
        <v>33.398737672828588</v>
      </c>
      <c r="C283" s="843"/>
      <c r="D283" s="392">
        <f t="shared" si="102"/>
        <v>35.087751407953959</v>
      </c>
      <c r="E283" s="384">
        <f t="shared" si="100"/>
        <v>35.802828501234572</v>
      </c>
      <c r="F283" s="384">
        <f t="shared" si="103"/>
        <v>35.818826188193626</v>
      </c>
      <c r="G283" s="110">
        <f t="shared" si="101"/>
        <v>0.76492431180199072</v>
      </c>
      <c r="H283" s="413" t="b">
        <f>Wh_hp&gt;='2023'!Maxi_hp</f>
        <v>0</v>
      </c>
      <c r="I283" s="389">
        <f>IF(H283,Wh_hp,'2023'!Maxi_hp)</f>
        <v>45.350079953012298</v>
      </c>
      <c r="J283" s="85">
        <f>IF(H283,An,'2023'!An_max)</f>
        <v>2018</v>
      </c>
      <c r="K283" s="196">
        <f t="shared" si="104"/>
        <v>45560</v>
      </c>
      <c r="L283" s="147">
        <f>IF(t&lt;Tvie,1-EXP((T0-t)*PertePVj)+'2023'!Pspv,1-EXP((T0-t)*PertePVj)+Pspv)</f>
        <v>4.8136847399759299E-2</v>
      </c>
      <c r="M283" s="847"/>
      <c r="N283" s="847"/>
      <c r="O283" s="48">
        <f>IF(t&lt;Tnet,'2023'!Resal+('2023'!Salim-'2023'!Resal)*(1-EXP(('2023'!Tnet-t)/('2023'!Tau_j))),Resal+(Salim-Resal)*(1-EXP((Tnet-t)/(Tau_j))))*Salcycl</f>
        <v>1.9972642475885764E-2</v>
      </c>
      <c r="P283" s="168">
        <f>(INDEX(Models!$BJ283:$BT283,,T283)*(1-R283)+INDEX(Models!$BJ283:$BT283,,T283+1)*R283-ERP_i)*Q283*Ramure*Pc/MaxiM</f>
        <v>6.7220288069004856E-4</v>
      </c>
      <c r="Q283" s="304">
        <f t="shared" si="105"/>
        <v>0.5</v>
      </c>
      <c r="R283" s="176">
        <f t="shared" si="106"/>
        <v>0.63136557794526049</v>
      </c>
      <c r="S283" s="814">
        <f t="shared" si="107"/>
        <v>1</v>
      </c>
      <c r="T283" s="175">
        <f t="shared" si="108"/>
        <v>7</v>
      </c>
      <c r="U283" s="250">
        <f t="shared" si="109"/>
        <v>1.6313655779452605</v>
      </c>
      <c r="V283" s="382">
        <f t="shared" si="110"/>
        <v>43.652946927582441</v>
      </c>
      <c r="W283" s="401">
        <f t="shared" si="111"/>
        <v>33.398737672828588</v>
      </c>
      <c r="X283" s="157">
        <f t="shared" si="112"/>
        <v>45560</v>
      </c>
      <c r="Y283" s="384">
        <f t="shared" si="113"/>
        <v>31.362725101429906</v>
      </c>
      <c r="Z283" s="384">
        <f t="shared" si="114"/>
        <v>32.948775268540608</v>
      </c>
      <c r="AA283" s="385">
        <f t="shared" si="115"/>
        <v>35.802828501234572</v>
      </c>
      <c r="AB283" s="196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7.9715859114191157E-2</v>
      </c>
      <c r="AD283" s="230">
        <f>(INDEX(Models!$BJ283:$BT283,,AH283)*(1-AF283)+INDEX(Models!$BJ283:$BT283,,AH283+1)*AF283-ERP_i)*AE283*Ramure*Pc/MaxiM</f>
        <v>6.7220288069004856E-4</v>
      </c>
      <c r="AE283" s="304">
        <f t="shared" si="117"/>
        <v>0.5</v>
      </c>
      <c r="AF283" s="176">
        <f t="shared" si="118"/>
        <v>0.63136557794526049</v>
      </c>
      <c r="AG283" s="814">
        <f t="shared" si="124"/>
        <v>1</v>
      </c>
      <c r="AH283" s="175">
        <f t="shared" si="119"/>
        <v>7</v>
      </c>
      <c r="AI283" s="224">
        <f t="shared" si="120"/>
        <v>1.6313655779452605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10">
        <f>'2023'!Wh/'2023'!Env_an*'2024'!Env_an</f>
        <v>15.095564804793554</v>
      </c>
      <c r="C284" s="843"/>
      <c r="D284" s="392">
        <f t="shared" si="102"/>
        <v>15.859312324011741</v>
      </c>
      <c r="E284" s="384">
        <f t="shared" si="100"/>
        <v>16.183882648308352</v>
      </c>
      <c r="F284" s="384">
        <f t="shared" si="103"/>
        <v>16.184625425420268</v>
      </c>
      <c r="G284" s="110">
        <f t="shared" si="101"/>
        <v>0.34775933851538549</v>
      </c>
      <c r="H284" s="413" t="b">
        <f>Wh_hp&gt;='2023'!Maxi_hp</f>
        <v>0</v>
      </c>
      <c r="I284" s="389">
        <f>IF(H284,Wh_hp,'2023'!Maxi_hp)</f>
        <v>44.445052403607114</v>
      </c>
      <c r="J284" s="85">
        <f>IF(H284,An,'2023'!An_max)</f>
        <v>2018</v>
      </c>
      <c r="K284" s="196">
        <f t="shared" si="104"/>
        <v>45561</v>
      </c>
      <c r="L284" s="147">
        <f>IF(t&lt;Tvie,1-EXP((T0-t)*PertePVj)+'2023'!Pspv,1-EXP((T0-t)*PertePVj)+Pspv)</f>
        <v>4.8157669362613988E-2</v>
      </c>
      <c r="M284" s="847"/>
      <c r="N284" s="847"/>
      <c r="O284" s="48">
        <f>IF(t&lt;Tnet,'2023'!Resal+('2023'!Salim-'2023'!Resal)*(1-EXP(('2023'!Tnet-t)/('2023'!Tau_j))),Resal+(Salim-Resal)*(1-EXP((Tnet-t)/(Tau_j))))*Salcycl</f>
        <v>2.0055158045188735E-2</v>
      </c>
      <c r="P284" s="168">
        <f>(INDEX(Models!$BJ284:$BT284,,T284)*(1-R284)+INDEX(Models!$BJ284:$BT284,,T284+1)*R284-ERP_i)*Q284*Ramure*Pc/MaxiM</f>
        <v>6.6961679900730861E-4</v>
      </c>
      <c r="Q284" s="304">
        <f t="shared" si="105"/>
        <v>0.5</v>
      </c>
      <c r="R284" s="176">
        <f t="shared" si="106"/>
        <v>0.63150528630070202</v>
      </c>
      <c r="S284" s="814">
        <f t="shared" si="107"/>
        <v>1</v>
      </c>
      <c r="T284" s="175">
        <f t="shared" si="108"/>
        <v>7</v>
      </c>
      <c r="U284" s="250">
        <f t="shared" si="109"/>
        <v>1.631505286300702</v>
      </c>
      <c r="V284" s="382">
        <f t="shared" si="110"/>
        <v>43.381003049554742</v>
      </c>
      <c r="W284" s="401">
        <f t="shared" si="111"/>
        <v>15.095564804793554</v>
      </c>
      <c r="X284" s="157">
        <f t="shared" si="112"/>
        <v>45561</v>
      </c>
      <c r="Y284" s="384">
        <f t="shared" si="113"/>
        <v>14.176508845223976</v>
      </c>
      <c r="Z284" s="384">
        <f t="shared" si="114"/>
        <v>14.893757494196443</v>
      </c>
      <c r="AA284" s="385">
        <f t="shared" si="115"/>
        <v>16.183882648308352</v>
      </c>
      <c r="AB284" s="196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7.9716665162964509E-2</v>
      </c>
      <c r="AD284" s="230">
        <f>(INDEX(Models!$BJ284:$BT284,,AH284)*(1-AF284)+INDEX(Models!$BJ284:$BT284,,AH284+1)*AF284-ERP_i)*AE284*Ramure*Pc/MaxiM</f>
        <v>6.6961679900730861E-4</v>
      </c>
      <c r="AE284" s="304">
        <f t="shared" si="117"/>
        <v>0.5</v>
      </c>
      <c r="AF284" s="176">
        <f t="shared" si="118"/>
        <v>0.63150528630070202</v>
      </c>
      <c r="AG284" s="814">
        <f t="shared" si="124"/>
        <v>1</v>
      </c>
      <c r="AH284" s="175">
        <f t="shared" si="119"/>
        <v>7</v>
      </c>
      <c r="AI284" s="224">
        <f t="shared" si="120"/>
        <v>1.631505286300702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10">
        <f>'2023'!Wh/'2023'!Env_an*'2024'!Env_an</f>
        <v>17.345225249768944</v>
      </c>
      <c r="C285" s="843"/>
      <c r="D285" s="392">
        <f t="shared" si="102"/>
        <v>18.22319109557888</v>
      </c>
      <c r="E285" s="384">
        <f t="shared" si="100"/>
        <v>18.597698109120348</v>
      </c>
      <c r="F285" s="384">
        <f t="shared" si="103"/>
        <v>18.599513818578298</v>
      </c>
      <c r="G285" s="110">
        <f t="shared" si="101"/>
        <v>0.40213646140614456</v>
      </c>
      <c r="H285" s="413" t="b">
        <f>Wh_hp&gt;='2023'!Maxi_hp</f>
        <v>0</v>
      </c>
      <c r="I285" s="389">
        <f>IF(H285,Wh_hp,'2023'!Maxi_hp)</f>
        <v>42.089507508036213</v>
      </c>
      <c r="J285" s="85">
        <f>IF(H285,An,'2023'!An_max)</f>
        <v>2018</v>
      </c>
      <c r="K285" s="196">
        <f t="shared" si="104"/>
        <v>45562</v>
      </c>
      <c r="L285" s="147">
        <f>IF(t&lt;Tvie,1-EXP((T0-t)*PertePVj)+'2023'!Pspv,1-EXP((T0-t)*PertePVj)+Pspv)</f>
        <v>4.8178490869414149E-2</v>
      </c>
      <c r="M285" s="847"/>
      <c r="N285" s="847"/>
      <c r="O285" s="48">
        <f>IF(t&lt;Tnet,'2023'!Resal+('2023'!Salim-'2023'!Resal)*(1-EXP(('2023'!Tnet-t)/('2023'!Tau_j))),Resal+(Salim-Resal)*(1-EXP((Tnet-t)/(Tau_j))))*Salcycl</f>
        <v>2.0137277814925223E-2</v>
      </c>
      <c r="P285" s="168">
        <f>(INDEX(Models!$BJ285:$BT285,,T285)*(1-R285)+INDEX(Models!$BJ285:$BT285,,T285+1)*R285-ERP_i)*Q285*Ramure*Pc/MaxiM</f>
        <v>6.6755629070287337E-4</v>
      </c>
      <c r="Q285" s="304">
        <f t="shared" si="105"/>
        <v>0.5</v>
      </c>
      <c r="R285" s="176">
        <f t="shared" si="106"/>
        <v>0.63163949325027402</v>
      </c>
      <c r="S285" s="814">
        <f t="shared" si="107"/>
        <v>1</v>
      </c>
      <c r="T285" s="175">
        <f t="shared" si="108"/>
        <v>7</v>
      </c>
      <c r="U285" s="250">
        <f t="shared" si="109"/>
        <v>1.631639493250274</v>
      </c>
      <c r="V285" s="382">
        <f t="shared" si="110"/>
        <v>43.10809960854175</v>
      </c>
      <c r="W285" s="401">
        <f t="shared" si="111"/>
        <v>17.345225249768944</v>
      </c>
      <c r="X285" s="157">
        <f t="shared" si="112"/>
        <v>45562</v>
      </c>
      <c r="Y285" s="384">
        <f t="shared" si="113"/>
        <v>16.29057322677135</v>
      </c>
      <c r="Z285" s="384">
        <f t="shared" si="114"/>
        <v>17.115155594299932</v>
      </c>
      <c r="AA285" s="385">
        <f t="shared" si="115"/>
        <v>18.597698109120348</v>
      </c>
      <c r="AB285" s="196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7.9716452333064444E-2</v>
      </c>
      <c r="AD285" s="230">
        <f>(INDEX(Models!$BJ285:$BT285,,AH285)*(1-AF285)+INDEX(Models!$BJ285:$BT285,,AH285+1)*AF285-ERP_i)*AE285*Ramure*Pc/MaxiM</f>
        <v>6.6755629070287337E-4</v>
      </c>
      <c r="AE285" s="304">
        <f t="shared" si="117"/>
        <v>0.5</v>
      </c>
      <c r="AF285" s="176">
        <f t="shared" si="118"/>
        <v>0.63163949325027402</v>
      </c>
      <c r="AG285" s="814">
        <f t="shared" si="124"/>
        <v>1</v>
      </c>
      <c r="AH285" s="175">
        <f t="shared" si="119"/>
        <v>7</v>
      </c>
      <c r="AI285" s="224">
        <f t="shared" si="120"/>
        <v>1.631639493250274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10">
        <f>'2023'!Wh/'2023'!Env_an*'2024'!Env_an</f>
        <v>23.788327833541839</v>
      </c>
      <c r="C286" s="843"/>
      <c r="D286" s="392">
        <f t="shared" si="102"/>
        <v>24.992971881048533</v>
      </c>
      <c r="E286" s="384">
        <f t="shared" si="100"/>
        <v>25.508732766391628</v>
      </c>
      <c r="F286" s="384">
        <f t="shared" si="103"/>
        <v>25.514931700138714</v>
      </c>
      <c r="G286" s="110">
        <f t="shared" si="101"/>
        <v>0.555114936986015</v>
      </c>
      <c r="H286" s="413" t="b">
        <f>Wh_hp&gt;='2023'!Maxi_hp</f>
        <v>0</v>
      </c>
      <c r="I286" s="389">
        <f>IF(H286,Wh_hp,'2023'!Maxi_hp)</f>
        <v>45.134596389109774</v>
      </c>
      <c r="J286" s="85">
        <f>IF(H286,An,'2023'!An_max)</f>
        <v>2019</v>
      </c>
      <c r="K286" s="196">
        <f t="shared" si="104"/>
        <v>45563</v>
      </c>
      <c r="L286" s="147">
        <f>IF(t&lt;Tvie,1-EXP((T0-t)*PertePVj)+'2023'!Pspv,1-EXP((T0-t)*PertePVj)+Pspv)</f>
        <v>4.8199311920169886E-2</v>
      </c>
      <c r="M286" s="847"/>
      <c r="N286" s="847"/>
      <c r="O286" s="48">
        <f>IF(t&lt;Tnet,'2023'!Resal+('2023'!Salim-'2023'!Resal)*(1-EXP(('2023'!Tnet-t)/('2023'!Tau_j))),Resal+(Salim-Resal)*(1-EXP((Tnet-t)/(Tau_j))))*Salcycl</f>
        <v>2.0218992847132838E-2</v>
      </c>
      <c r="P286" s="168">
        <f>(INDEX(Models!$BJ286:$BT286,,T286)*(1-R286)+INDEX(Models!$BJ286:$BT286,,T286+1)*R286-ERP_i)*Q286*Ramure*Pc/MaxiM</f>
        <v>6.6601630402143993E-4</v>
      </c>
      <c r="Q286" s="304">
        <f t="shared" si="105"/>
        <v>0.5</v>
      </c>
      <c r="R286" s="176">
        <f t="shared" si="106"/>
        <v>0.63176841069382017</v>
      </c>
      <c r="S286" s="814">
        <f t="shared" si="107"/>
        <v>1</v>
      </c>
      <c r="T286" s="175">
        <f t="shared" si="108"/>
        <v>7</v>
      </c>
      <c r="U286" s="250">
        <f t="shared" si="109"/>
        <v>1.6317684106938202</v>
      </c>
      <c r="V286" s="382">
        <f t="shared" si="110"/>
        <v>42.834843451784678</v>
      </c>
      <c r="W286" s="401">
        <f t="shared" si="111"/>
        <v>23.788327833541839</v>
      </c>
      <c r="X286" s="157">
        <f t="shared" si="112"/>
        <v>45563</v>
      </c>
      <c r="Y286" s="384">
        <f t="shared" si="113"/>
        <v>22.343805854866922</v>
      </c>
      <c r="Z286" s="384">
        <f t="shared" si="114"/>
        <v>23.475299119549373</v>
      </c>
      <c r="AA286" s="385">
        <f t="shared" si="115"/>
        <v>25.508732766391628</v>
      </c>
      <c r="AB286" s="196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7.9715196574615843E-2</v>
      </c>
      <c r="AD286" s="230">
        <f>(INDEX(Models!$BJ286:$BT286,,AH286)*(1-AF286)+INDEX(Models!$BJ286:$BT286,,AH286+1)*AF286-ERP_i)*AE286*Ramure*Pc/MaxiM</f>
        <v>6.6601630402143993E-4</v>
      </c>
      <c r="AE286" s="304">
        <f t="shared" si="117"/>
        <v>0.5</v>
      </c>
      <c r="AF286" s="176">
        <f t="shared" si="118"/>
        <v>0.63176841069382017</v>
      </c>
      <c r="AG286" s="814">
        <f t="shared" si="124"/>
        <v>1</v>
      </c>
      <c r="AH286" s="175">
        <f t="shared" si="119"/>
        <v>7</v>
      </c>
      <c r="AI286" s="224">
        <f t="shared" si="120"/>
        <v>1.6317684106938202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10">
        <f>'2023'!Wh/'2023'!Env_an*'2024'!Env_an</f>
        <v>29.068263202556423</v>
      </c>
      <c r="C287" s="843"/>
      <c r="D287" s="392">
        <f t="shared" si="102"/>
        <v>30.540951952853966</v>
      </c>
      <c r="E287" s="384">
        <f t="shared" si="100"/>
        <v>31.173789049346542</v>
      </c>
      <c r="F287" s="384">
        <f t="shared" si="103"/>
        <v>31.185134590748635</v>
      </c>
      <c r="G287" s="110">
        <f t="shared" si="101"/>
        <v>0.68275959100266648</v>
      </c>
      <c r="H287" s="413" t="b">
        <f>Wh_hp&gt;='2023'!Maxi_hp</f>
        <v>0</v>
      </c>
      <c r="I287" s="389">
        <f>IF(H287,Wh_hp,'2023'!Maxi_hp)</f>
        <v>39.258046137495292</v>
      </c>
      <c r="J287" s="85">
        <f>IF(H287,An,'2023'!An_max)</f>
        <v>2018</v>
      </c>
      <c r="K287" s="196">
        <f t="shared" si="104"/>
        <v>45564</v>
      </c>
      <c r="L287" s="147">
        <f>IF(t&lt;Tvie,1-EXP((T0-t)*PertePVj)+'2023'!Pspv,1-EXP((T0-t)*PertePVj)+Pspv)</f>
        <v>4.8220132514891191E-2</v>
      </c>
      <c r="M287" s="847"/>
      <c r="N287" s="847"/>
      <c r="O287" s="48">
        <f>IF(t&lt;Tnet,'2023'!Resal+('2023'!Salim-'2023'!Resal)*(1-EXP(('2023'!Tnet-t)/('2023'!Tau_j))),Resal+(Salim-Resal)*(1-EXP((Tnet-t)/(Tau_j))))*Salcycl</f>
        <v>2.0300294439371057E-2</v>
      </c>
      <c r="P287" s="168">
        <f>(INDEX(Models!$BJ287:$BT287,,T287)*(1-R287)+INDEX(Models!$BJ287:$BT287,,T287+1)*R287-ERP_i)*Q287*Ramure*Pc/MaxiM</f>
        <v>6.6499158319266005E-4</v>
      </c>
      <c r="Q287" s="304">
        <f t="shared" si="105"/>
        <v>0.5</v>
      </c>
      <c r="R287" s="176">
        <f t="shared" si="106"/>
        <v>0.63189224273950551</v>
      </c>
      <c r="S287" s="814">
        <f t="shared" si="107"/>
        <v>1</v>
      </c>
      <c r="T287" s="175">
        <f t="shared" si="108"/>
        <v>7</v>
      </c>
      <c r="U287" s="250">
        <f t="shared" si="109"/>
        <v>1.6318922427395055</v>
      </c>
      <c r="V287" s="382">
        <f t="shared" si="110"/>
        <v>42.561841160548667</v>
      </c>
      <c r="W287" s="401">
        <f t="shared" si="111"/>
        <v>29.068263202556423</v>
      </c>
      <c r="X287" s="157">
        <f t="shared" si="112"/>
        <v>45564</v>
      </c>
      <c r="Y287" s="384">
        <f t="shared" si="113"/>
        <v>27.305457188900668</v>
      </c>
      <c r="Z287" s="384">
        <f t="shared" si="114"/>
        <v>28.688836696083907</v>
      </c>
      <c r="AA287" s="385">
        <f t="shared" si="115"/>
        <v>31.173789049346542</v>
      </c>
      <c r="AB287" s="196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7.9712875112136053E-2</v>
      </c>
      <c r="AD287" s="230">
        <f>(INDEX(Models!$BJ287:$BT287,,AH287)*(1-AF287)+INDEX(Models!$BJ287:$BT287,,AH287+1)*AF287-ERP_i)*AE287*Ramure*Pc/MaxiM</f>
        <v>6.6499158319266005E-4</v>
      </c>
      <c r="AE287" s="304">
        <f t="shared" si="117"/>
        <v>0.5</v>
      </c>
      <c r="AF287" s="176">
        <f t="shared" si="118"/>
        <v>0.63189224273950551</v>
      </c>
      <c r="AG287" s="814">
        <f t="shared" si="124"/>
        <v>1</v>
      </c>
      <c r="AH287" s="175">
        <f t="shared" si="119"/>
        <v>7</v>
      </c>
      <c r="AI287" s="224">
        <f t="shared" si="120"/>
        <v>1.6318922427395055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10">
        <f>'2023'!Wh/'2023'!Env_an*'2024'!Env_an</f>
        <v>37.577179085331046</v>
      </c>
      <c r="C288" s="843"/>
      <c r="D288" s="392">
        <f t="shared" si="102"/>
        <v>39.481819679150448</v>
      </c>
      <c r="E288" s="384">
        <f t="shared" si="100"/>
        <v>40.303247180233612</v>
      </c>
      <c r="F288" s="384">
        <f t="shared" si="103"/>
        <v>40.325777086553366</v>
      </c>
      <c r="G288" s="110">
        <f t="shared" si="101"/>
        <v>0.88847172778829719</v>
      </c>
      <c r="H288" s="413" t="b">
        <f>Wh_hp&gt;='2023'!Maxi_hp</f>
        <v>0</v>
      </c>
      <c r="I288" s="389">
        <f>IF(H288,Wh_hp,'2023'!Maxi_hp)</f>
        <v>44.088165069651787</v>
      </c>
      <c r="J288" s="85">
        <f>IF(H288,An,'2023'!An_max)</f>
        <v>2020</v>
      </c>
      <c r="K288" s="196">
        <f t="shared" si="104"/>
        <v>45565</v>
      </c>
      <c r="L288" s="147">
        <f>IF(t&lt;Tvie,1-EXP((T0-t)*PertePVj)+'2023'!Pspv,1-EXP((T0-t)*PertePVj)+Pspv)</f>
        <v>4.8240952653588055E-2</v>
      </c>
      <c r="M288" s="847"/>
      <c r="N288" s="847"/>
      <c r="O288" s="48">
        <f>IF(t&lt;Tnet,'2023'!Resal+('2023'!Salim-'2023'!Resal)*(1-EXP(('2023'!Tnet-t)/('2023'!Tau_j))),Resal+(Salim-Resal)*(1-EXP((Tnet-t)/(Tau_j))))*Salcycl</f>
        <v>2.0381174187027437E-2</v>
      </c>
      <c r="P288" s="168">
        <f>(INDEX(Models!$BJ288:$BT288,,T288)*(1-R288)+INDEX(Models!$BJ288:$BT288,,T288+1)*R288-ERP_i)*Q288*Ramure*Pc/MaxiM</f>
        <v>6.644765802007993E-4</v>
      </c>
      <c r="Q288" s="304">
        <f t="shared" si="105"/>
        <v>0.5</v>
      </c>
      <c r="R288" s="176">
        <f t="shared" si="106"/>
        <v>0.63201118596115458</v>
      </c>
      <c r="S288" s="814">
        <f t="shared" si="107"/>
        <v>1</v>
      </c>
      <c r="T288" s="175">
        <f t="shared" si="108"/>
        <v>7</v>
      </c>
      <c r="U288" s="250">
        <f t="shared" si="109"/>
        <v>1.6320111859611546</v>
      </c>
      <c r="V288" s="382">
        <f t="shared" si="110"/>
        <v>42.289699046708968</v>
      </c>
      <c r="W288" s="401">
        <f t="shared" si="111"/>
        <v>37.577179085331046</v>
      </c>
      <c r="X288" s="157">
        <f t="shared" si="112"/>
        <v>45565</v>
      </c>
      <c r="Y288" s="384">
        <f t="shared" si="113"/>
        <v>35.301406292503181</v>
      </c>
      <c r="Z288" s="384">
        <f t="shared" si="114"/>
        <v>37.090696842784538</v>
      </c>
      <c r="AA288" s="385">
        <f t="shared" si="115"/>
        <v>40.303247180233612</v>
      </c>
      <c r="AB288" s="196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7.9709466661153763E-2</v>
      </c>
      <c r="AD288" s="230">
        <f>(INDEX(Models!$BJ288:$BT288,,AH288)*(1-AF288)+INDEX(Models!$BJ288:$BT288,,AH288+1)*AF288-ERP_i)*AE288*Ramure*Pc/MaxiM</f>
        <v>6.644765802007993E-4</v>
      </c>
      <c r="AE288" s="304">
        <f t="shared" si="117"/>
        <v>0.5</v>
      </c>
      <c r="AF288" s="176">
        <f t="shared" si="118"/>
        <v>0.63201118596115458</v>
      </c>
      <c r="AG288" s="814">
        <f t="shared" si="124"/>
        <v>1</v>
      </c>
      <c r="AH288" s="175">
        <f t="shared" si="119"/>
        <v>7</v>
      </c>
      <c r="AI288" s="224">
        <f t="shared" si="120"/>
        <v>1.6320111859611546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10">
        <f>'2023'!Wh/'2023'!Env_an*'2024'!Env_an</f>
        <v>40.389925225820519</v>
      </c>
      <c r="C289" s="843"/>
      <c r="D289" s="392">
        <f t="shared" si="102"/>
        <v>42.438061277592375</v>
      </c>
      <c r="E289" s="384">
        <f t="shared" si="100"/>
        <v>43.324551972084194</v>
      </c>
      <c r="F289" s="384">
        <f t="shared" si="103"/>
        <v>43.35176363467081</v>
      </c>
      <c r="G289" s="110">
        <f t="shared" si="101"/>
        <v>0.96121377397969321</v>
      </c>
      <c r="H289" s="413" t="b">
        <f>Wh_hp&gt;='2023'!Maxi_hp</f>
        <v>0</v>
      </c>
      <c r="I289" s="389">
        <f>IF(H289,Wh_hp,'2023'!Maxi_hp)</f>
        <v>43.352276629554488</v>
      </c>
      <c r="J289" s="85">
        <f>IF(H289,An,'2023'!An_max)</f>
        <v>2022</v>
      </c>
      <c r="K289" s="196">
        <f t="shared" si="104"/>
        <v>45566</v>
      </c>
      <c r="L289" s="147">
        <f>IF(t&lt;Tvie,1-EXP((T0-t)*PertePVj)+'2023'!Pspv,1-EXP((T0-t)*PertePVj)+Pspv)</f>
        <v>4.826177233627036E-2</v>
      </c>
      <c r="M289" s="847"/>
      <c r="N289" s="847"/>
      <c r="O289" s="48">
        <f>IF(t&lt;Tnet,'2023'!Resal+('2023'!Salim-'2023'!Resal)*(1-EXP(('2023'!Tnet-t)/('2023'!Tau_j))),Resal+(Salim-Resal)*(1-EXP((Tnet-t)/(Tau_j))))*Salcycl</f>
        <v>2.0461624047792192E-2</v>
      </c>
      <c r="P289" s="168">
        <f>(INDEX(Models!$BJ289:$BT289,,T289)*(1-R289)+INDEX(Models!$BJ289:$BT289,,T289+1)*R289-ERP_i)*Q289*Ramure*Pc/MaxiM</f>
        <v>6.6447893383333599E-4</v>
      </c>
      <c r="Q289" s="304">
        <f t="shared" si="105"/>
        <v>0.5</v>
      </c>
      <c r="R289" s="176">
        <f t="shared" si="106"/>
        <v>0.63212542964944829</v>
      </c>
      <c r="S289" s="814">
        <f t="shared" si="107"/>
        <v>1</v>
      </c>
      <c r="T289" s="175">
        <f t="shared" si="108"/>
        <v>7</v>
      </c>
      <c r="U289" s="250">
        <f t="shared" si="109"/>
        <v>1.6321254296494483</v>
      </c>
      <c r="V289" s="382">
        <f t="shared" si="110"/>
        <v>42.018164600327346</v>
      </c>
      <c r="W289" s="401">
        <f t="shared" si="111"/>
        <v>40.389925225820519</v>
      </c>
      <c r="X289" s="157">
        <f t="shared" si="112"/>
        <v>45566</v>
      </c>
      <c r="Y289" s="384">
        <f t="shared" si="113"/>
        <v>37.947107638827802</v>
      </c>
      <c r="Z289" s="384">
        <f t="shared" si="114"/>
        <v>39.871370651968142</v>
      </c>
      <c r="AA289" s="385">
        <f t="shared" si="115"/>
        <v>43.324551972084194</v>
      </c>
      <c r="AB289" s="196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7.9704951648226635E-2</v>
      </c>
      <c r="AD289" s="230">
        <f>(INDEX(Models!$BJ289:$BT289,,AH289)*(1-AF289)+INDEX(Models!$BJ289:$BT289,,AH289+1)*AF289-ERP_i)*AE289*Ramure*Pc/MaxiM</f>
        <v>6.6447893383333599E-4</v>
      </c>
      <c r="AE289" s="304">
        <f t="shared" si="117"/>
        <v>0.5</v>
      </c>
      <c r="AF289" s="176">
        <f t="shared" si="118"/>
        <v>0.63212542964944829</v>
      </c>
      <c r="AG289" s="814">
        <f t="shared" si="124"/>
        <v>1</v>
      </c>
      <c r="AH289" s="175">
        <f t="shared" si="119"/>
        <v>7</v>
      </c>
      <c r="AI289" s="224">
        <f t="shared" si="120"/>
        <v>1.6321254296494483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10">
        <f>'2023'!Wh/'2023'!Env_an*'2024'!Env_an</f>
        <v>37.398336492129772</v>
      </c>
      <c r="C290" s="843"/>
      <c r="D290" s="392">
        <f t="shared" si="102"/>
        <v>39.29563141389503</v>
      </c>
      <c r="E290" s="384">
        <f t="shared" si="100"/>
        <v>40.119756872338314</v>
      </c>
      <c r="F290" s="384">
        <f t="shared" si="103"/>
        <v>40.142479396188229</v>
      </c>
      <c r="G290" s="110">
        <f t="shared" si="101"/>
        <v>0.89575751566495299</v>
      </c>
      <c r="H290" s="413" t="b">
        <f>Wh_hp&gt;='2023'!Maxi_hp</f>
        <v>0</v>
      </c>
      <c r="I290" s="389">
        <f>IF(H290,Wh_hp,'2023'!Maxi_hp)</f>
        <v>41.859424132175342</v>
      </c>
      <c r="J290" s="85">
        <f>IF(H290,An,'2023'!An_max)</f>
        <v>2018</v>
      </c>
      <c r="K290" s="196">
        <f t="shared" si="104"/>
        <v>45567</v>
      </c>
      <c r="L290" s="147">
        <f>IF(t&lt;Tvie,1-EXP((T0-t)*PertePVj)+'2023'!Pspv,1-EXP((T0-t)*PertePVj)+Pspv)</f>
        <v>4.828259156294832E-2</v>
      </c>
      <c r="M290" s="847"/>
      <c r="N290" s="847"/>
      <c r="O290" s="48">
        <f>IF(t&lt;Tnet,'2023'!Resal+('2023'!Salim-'2023'!Resal)*(1-EXP(('2023'!Tnet-t)/('2023'!Tau_j))),Resal+(Salim-Resal)*(1-EXP((Tnet-t)/(Tau_j))))*Salcycl</f>
        <v>2.0541636407859203E-2</v>
      </c>
      <c r="P290" s="168">
        <f>(INDEX(Models!$BJ290:$BT290,,T290)*(1-R290)+INDEX(Models!$BJ290:$BT290,,T290+1)*R290-ERP_i)*Q290*Ramure*Pc/MaxiM</f>
        <v>6.6499171875853032E-4</v>
      </c>
      <c r="Q290" s="304">
        <f t="shared" si="105"/>
        <v>0.5</v>
      </c>
      <c r="R290" s="176">
        <f t="shared" si="106"/>
        <v>0.63223515605692127</v>
      </c>
      <c r="S290" s="814">
        <f t="shared" si="107"/>
        <v>1</v>
      </c>
      <c r="T290" s="175">
        <f t="shared" si="108"/>
        <v>7</v>
      </c>
      <c r="U290" s="250">
        <f t="shared" si="109"/>
        <v>1.6322351560569213</v>
      </c>
      <c r="V290" s="382">
        <f t="shared" si="110"/>
        <v>41.746380430814405</v>
      </c>
      <c r="W290" s="401">
        <f t="shared" si="111"/>
        <v>37.398336492129772</v>
      </c>
      <c r="X290" s="157">
        <f t="shared" si="112"/>
        <v>45567</v>
      </c>
      <c r="Y290" s="384">
        <f t="shared" si="113"/>
        <v>35.139538409125031</v>
      </c>
      <c r="Z290" s="384">
        <f t="shared" si="114"/>
        <v>36.922239834650689</v>
      </c>
      <c r="AA290" s="385">
        <f t="shared" si="115"/>
        <v>40.119756872338314</v>
      </c>
      <c r="AB290" s="196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7.9699312432579605E-2</v>
      </c>
      <c r="AD290" s="230">
        <f>(INDEX(Models!$BJ290:$BT290,,AH290)*(1-AF290)+INDEX(Models!$BJ290:$BT290,,AH290+1)*AF290-ERP_i)*AE290*Ramure*Pc/MaxiM</f>
        <v>6.6499171875853032E-4</v>
      </c>
      <c r="AE290" s="304">
        <f t="shared" si="117"/>
        <v>0.5</v>
      </c>
      <c r="AF290" s="176">
        <f t="shared" si="118"/>
        <v>0.63223515605692127</v>
      </c>
      <c r="AG290" s="814">
        <f t="shared" si="124"/>
        <v>1</v>
      </c>
      <c r="AH290" s="175">
        <f t="shared" si="119"/>
        <v>7</v>
      </c>
      <c r="AI290" s="224">
        <f t="shared" si="120"/>
        <v>1.6322351560569213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10">
        <f>'2023'!Wh/'2023'!Env_an*'2024'!Env_an</f>
        <v>41.8046529886876</v>
      </c>
      <c r="C291" s="843"/>
      <c r="D291" s="392">
        <f t="shared" si="102"/>
        <v>43.92645034416153</v>
      </c>
      <c r="E291" s="384">
        <f t="shared" si="100"/>
        <v>44.851338961254406</v>
      </c>
      <c r="F291" s="384">
        <f t="shared" si="103"/>
        <v>44.881229188425138</v>
      </c>
      <c r="G291" s="110">
        <f t="shared" si="101"/>
        <v>1.0079714315717951</v>
      </c>
      <c r="H291" s="413" t="b">
        <f>Wh_hp&gt;='2023'!Maxi_hp</f>
        <v>0</v>
      </c>
      <c r="I291" s="389">
        <f>IF(H291,Wh_hp,'2023'!Maxi_hp)</f>
        <v>44.881229188425152</v>
      </c>
      <c r="J291" s="85">
        <f>IF(H291,An,'2023'!An_max)</f>
        <v>2022</v>
      </c>
      <c r="K291" s="196">
        <f t="shared" si="104"/>
        <v>45568</v>
      </c>
      <c r="L291" s="147">
        <f>IF(t&lt;Tvie,1-EXP((T0-t)*PertePVj)+'2023'!Pspv,1-EXP((T0-t)*PertePVj)+Pspv)</f>
        <v>4.8303410333631704E-2</v>
      </c>
      <c r="M291" s="847"/>
      <c r="N291" s="847"/>
      <c r="O291" s="48">
        <f>IF(t&lt;Tnet,'2023'!Resal+('2023'!Salim-'2023'!Resal)*(1-EXP(('2023'!Tnet-t)/('2023'!Tau_j))),Resal+(Salim-Resal)*(1-EXP((Tnet-t)/(Tau_j))))*Salcycl</f>
        <v>2.0621204149375783E-2</v>
      </c>
      <c r="P291" s="168">
        <f>(INDEX(Models!$BJ291:$BT291,,T291)*(1-R291)+INDEX(Models!$BJ291:$BT291,,T291+1)*R291-ERP_i)*Q291*Ramure*Pc/MaxiM</f>
        <v>6.6598503898458229E-4</v>
      </c>
      <c r="Q291" s="304">
        <f t="shared" si="105"/>
        <v>0.5</v>
      </c>
      <c r="R291" s="176">
        <f t="shared" si="106"/>
        <v>0.63234054063671952</v>
      </c>
      <c r="S291" s="814">
        <f t="shared" si="107"/>
        <v>1</v>
      </c>
      <c r="T291" s="175">
        <f t="shared" si="108"/>
        <v>7</v>
      </c>
      <c r="U291" s="250">
        <f t="shared" si="109"/>
        <v>1.6323405406367195</v>
      </c>
      <c r="V291" s="382">
        <f t="shared" si="110"/>
        <v>41.474045473192518</v>
      </c>
      <c r="W291" s="401">
        <f t="shared" si="111"/>
        <v>41.8046529886876</v>
      </c>
      <c r="X291" s="157">
        <f t="shared" si="112"/>
        <v>45568</v>
      </c>
      <c r="Y291" s="384">
        <f t="shared" si="113"/>
        <v>39.283201190164363</v>
      </c>
      <c r="Z291" s="384">
        <f t="shared" si="114"/>
        <v>41.277022127331243</v>
      </c>
      <c r="AA291" s="385">
        <f t="shared" si="115"/>
        <v>44.851338961254406</v>
      </c>
      <c r="AB291" s="196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7.9692533527502801E-2</v>
      </c>
      <c r="AD291" s="230">
        <f>(INDEX(Models!$BJ291:$BT291,,AH291)*(1-AF291)+INDEX(Models!$BJ291:$BT291,,AH291+1)*AF291-ERP_i)*AE291*Ramure*Pc/MaxiM</f>
        <v>6.6598503898458229E-4</v>
      </c>
      <c r="AE291" s="304">
        <f t="shared" si="117"/>
        <v>0.5</v>
      </c>
      <c r="AF291" s="176">
        <f t="shared" si="118"/>
        <v>0.63234054063671952</v>
      </c>
      <c r="AG291" s="814">
        <f t="shared" si="124"/>
        <v>1</v>
      </c>
      <c r="AH291" s="175">
        <f t="shared" si="119"/>
        <v>7</v>
      </c>
      <c r="AI291" s="224">
        <f t="shared" si="120"/>
        <v>1.6323405406367195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10">
        <f>'2023'!Wh/'2023'!Env_an*'2024'!Env_an</f>
        <v>42.402962241908114</v>
      </c>
      <c r="C292" s="843"/>
      <c r="D292" s="392">
        <f t="shared" si="102"/>
        <v>44.556101477379208</v>
      </c>
      <c r="E292" s="384">
        <f t="shared" si="100"/>
        <v>45.497923077106954</v>
      </c>
      <c r="F292" s="384">
        <f t="shared" si="103"/>
        <v>45.528311712611462</v>
      </c>
      <c r="G292" s="110">
        <f t="shared" si="101"/>
        <v>1.0291767006339698</v>
      </c>
      <c r="H292" s="413" t="b">
        <f>Wh_hp&gt;='2023'!Maxi_hp</f>
        <v>1</v>
      </c>
      <c r="I292" s="389">
        <f>IF(H292,Wh_hp,'2023'!Maxi_hp)</f>
        <v>45.528311712611462</v>
      </c>
      <c r="J292" s="85">
        <f>IF(H292,An,'2023'!An_max)</f>
        <v>2024</v>
      </c>
      <c r="K292" s="196">
        <f t="shared" si="104"/>
        <v>45569</v>
      </c>
      <c r="L292" s="147">
        <f>IF(t&lt;Tvie,1-EXP((T0-t)*PertePVj)+'2023'!Pspv,1-EXP((T0-t)*PertePVj)+Pspv)</f>
        <v>4.8324228648330615E-2</v>
      </c>
      <c r="M292" s="847"/>
      <c r="N292" s="847"/>
      <c r="O292" s="48">
        <f>IF(t&lt;Tnet,'2023'!Resal+('2023'!Salim-'2023'!Resal)*(1-EXP(('2023'!Tnet-t)/('2023'!Tau_j))),Resal+(Salim-Resal)*(1-EXP((Tnet-t)/(Tau_j))))*Salcycl</f>
        <v>2.0700320718631704E-2</v>
      </c>
      <c r="P292" s="168">
        <f>(INDEX(Models!$BJ292:$BT292,,T292)*(1-R292)+INDEX(Models!$BJ292:$BT292,,T292+1)*R292-ERP_i)*Q292*Ramure*Pc/MaxiM</f>
        <v>6.6746677751487889E-4</v>
      </c>
      <c r="Q292" s="304">
        <f t="shared" si="105"/>
        <v>0.5</v>
      </c>
      <c r="R292" s="176">
        <f t="shared" si="106"/>
        <v>0.63244175227510846</v>
      </c>
      <c r="S292" s="814">
        <f t="shared" si="107"/>
        <v>1</v>
      </c>
      <c r="T292" s="175">
        <f t="shared" si="108"/>
        <v>7</v>
      </c>
      <c r="U292" s="250">
        <f t="shared" si="109"/>
        <v>1.6324417522751085</v>
      </c>
      <c r="V292" s="382">
        <f t="shared" si="110"/>
        <v>41.200857166498238</v>
      </c>
      <c r="W292" s="401">
        <f t="shared" si="111"/>
        <v>42.402962241908114</v>
      </c>
      <c r="X292" s="157">
        <f t="shared" si="112"/>
        <v>45569</v>
      </c>
      <c r="Y292" s="384">
        <f t="shared" si="113"/>
        <v>39.848985867459405</v>
      </c>
      <c r="Z292" s="384">
        <f t="shared" si="114"/>
        <v>41.872439193089591</v>
      </c>
      <c r="AA292" s="385">
        <f t="shared" si="115"/>
        <v>45.497923077106954</v>
      </c>
      <c r="AB292" s="196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7.9684601819584727E-2</v>
      </c>
      <c r="AD292" s="230">
        <f>(INDEX(Models!$BJ292:$BT292,,AH292)*(1-AF292)+INDEX(Models!$BJ292:$BT292,,AH292+1)*AF292-ERP_i)*AE292*Ramure*Pc/MaxiM</f>
        <v>6.6746677751487889E-4</v>
      </c>
      <c r="AE292" s="304">
        <f t="shared" si="117"/>
        <v>0.5</v>
      </c>
      <c r="AF292" s="176">
        <f t="shared" si="118"/>
        <v>0.63244175227510846</v>
      </c>
      <c r="AG292" s="814">
        <f t="shared" si="124"/>
        <v>1</v>
      </c>
      <c r="AH292" s="175">
        <f t="shared" si="119"/>
        <v>7</v>
      </c>
      <c r="AI292" s="224">
        <f t="shared" si="120"/>
        <v>1.6324417522751085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10">
        <f>'2023'!Wh/'2023'!Env_an*'2024'!Env_an</f>
        <v>15.179229193737788</v>
      </c>
      <c r="C293" s="843"/>
      <c r="D293" s="392">
        <f t="shared" si="102"/>
        <v>15.950349586290802</v>
      </c>
      <c r="E293" s="384">
        <f t="shared" si="100"/>
        <v>16.288814541029929</v>
      </c>
      <c r="F293" s="384">
        <f t="shared" si="103"/>
        <v>16.289918924610546</v>
      </c>
      <c r="G293" s="110">
        <f t="shared" si="101"/>
        <v>0.37066671141225926</v>
      </c>
      <c r="H293" s="413" t="b">
        <f>Wh_hp&gt;='2023'!Maxi_hp</f>
        <v>0</v>
      </c>
      <c r="I293" s="389">
        <f>IF(H293,Wh_hp,'2023'!Maxi_hp)</f>
        <v>40.753647143943134</v>
      </c>
      <c r="J293" s="85">
        <f>IF(H293,An,'2023'!An_max)</f>
        <v>2018</v>
      </c>
      <c r="K293" s="196">
        <f t="shared" si="104"/>
        <v>45570</v>
      </c>
      <c r="L293" s="147">
        <f>IF(t&lt;Tvie,1-EXP((T0-t)*PertePVj)+'2023'!Pspv,1-EXP((T0-t)*PertePVj)+Pspv)</f>
        <v>4.8345046507054935E-2</v>
      </c>
      <c r="M293" s="847"/>
      <c r="N293" s="847"/>
      <c r="O293" s="48">
        <f>IF(t&lt;Tnet,'2023'!Resal+('2023'!Salim-'2023'!Resal)*(1-EXP(('2023'!Tnet-t)/('2023'!Tau_j))),Resal+(Salim-Resal)*(1-EXP((Tnet-t)/(Tau_j))))*Salcycl</f>
        <v>2.0778980194449841E-2</v>
      </c>
      <c r="P293" s="168">
        <f>(INDEX(Models!$BJ293:$BT293,,T293)*(1-R293)+INDEX(Models!$BJ293:$BT293,,T293+1)*R293-ERP_i)*Q293*Ramure*Pc/MaxiM</f>
        <v>6.6944494238179266E-4</v>
      </c>
      <c r="Q293" s="304">
        <f t="shared" si="105"/>
        <v>0.5</v>
      </c>
      <c r="R293" s="176">
        <f t="shared" si="106"/>
        <v>0.63253895351773193</v>
      </c>
      <c r="S293" s="814">
        <f t="shared" si="107"/>
        <v>1</v>
      </c>
      <c r="T293" s="175">
        <f t="shared" si="108"/>
        <v>7</v>
      </c>
      <c r="U293" s="250">
        <f t="shared" si="109"/>
        <v>1.6325389535177319</v>
      </c>
      <c r="V293" s="382">
        <f t="shared" si="110"/>
        <v>40.926513045439684</v>
      </c>
      <c r="W293" s="401">
        <f t="shared" si="111"/>
        <v>15.179229193737788</v>
      </c>
      <c r="X293" s="157">
        <f t="shared" si="112"/>
        <v>45570</v>
      </c>
      <c r="Y293" s="384">
        <f t="shared" si="113"/>
        <v>14.266254637705011</v>
      </c>
      <c r="Z293" s="384">
        <f t="shared" si="114"/>
        <v>14.990994987565912</v>
      </c>
      <c r="AA293" s="385">
        <f t="shared" si="115"/>
        <v>16.288814541029929</v>
      </c>
      <c r="AB293" s="196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7.9675506783807734E-2</v>
      </c>
      <c r="AD293" s="230">
        <f>(INDEX(Models!$BJ293:$BT293,,AH293)*(1-AF293)+INDEX(Models!$BJ293:$BT293,,AH293+1)*AF293-ERP_i)*AE293*Ramure*Pc/MaxiM</f>
        <v>6.6944494238179266E-4</v>
      </c>
      <c r="AE293" s="304">
        <f t="shared" si="117"/>
        <v>0.5</v>
      </c>
      <c r="AF293" s="176">
        <f t="shared" si="118"/>
        <v>0.63253895351773193</v>
      </c>
      <c r="AG293" s="814">
        <f t="shared" si="124"/>
        <v>1</v>
      </c>
      <c r="AH293" s="175">
        <f t="shared" si="119"/>
        <v>7</v>
      </c>
      <c r="AI293" s="224">
        <f t="shared" si="120"/>
        <v>1.6325389535177319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10">
        <f>'2023'!Wh/'2023'!Env_an*'2024'!Env_an</f>
        <v>29.213290559251227</v>
      </c>
      <c r="C294" s="843"/>
      <c r="D294" s="392">
        <f t="shared" si="102"/>
        <v>30.698027163332778</v>
      </c>
      <c r="E294" s="384">
        <f t="shared" si="100"/>
        <v>31.35194013927925</v>
      </c>
      <c r="F294" s="384">
        <f t="shared" si="103"/>
        <v>31.364544065193417</v>
      </c>
      <c r="G294" s="110">
        <f t="shared" si="101"/>
        <v>0.71844740416233499</v>
      </c>
      <c r="H294" s="413" t="b">
        <f>Wh_hp&gt;='2023'!Maxi_hp</f>
        <v>0</v>
      </c>
      <c r="I294" s="389">
        <f>IF(H294,Wh_hp,'2023'!Maxi_hp)</f>
        <v>44.062156348589909</v>
      </c>
      <c r="J294" s="85">
        <f>IF(H294,An,'2023'!An_max)</f>
        <v>2021</v>
      </c>
      <c r="K294" s="196">
        <f t="shared" si="104"/>
        <v>45571</v>
      </c>
      <c r="L294" s="147">
        <f>IF(t&lt;Tvie,1-EXP((T0-t)*PertePVj)+'2023'!Pspv,1-EXP((T0-t)*PertePVj)+Pspv)</f>
        <v>4.8365863909814767E-2</v>
      </c>
      <c r="M294" s="847"/>
      <c r="N294" s="847"/>
      <c r="O294" s="48">
        <f>IF(t&lt;Tnet,'2023'!Resal+('2023'!Salim-'2023'!Resal)*(1-EXP(('2023'!Tnet-t)/('2023'!Tau_j))),Resal+(Salim-Resal)*(1-EXP((Tnet-t)/(Tau_j))))*Salcycl</f>
        <v>2.0857177356217817E-2</v>
      </c>
      <c r="P294" s="168">
        <f>(INDEX(Models!$BJ294:$BT294,,T294)*(1-R294)+INDEX(Models!$BJ294:$BT294,,T294+1)*R294-ERP_i)*Q294*Ramure*Pc/MaxiM</f>
        <v>6.7192771260251368E-4</v>
      </c>
      <c r="Q294" s="304">
        <f t="shared" si="105"/>
        <v>0.5</v>
      </c>
      <c r="R294" s="176">
        <f t="shared" si="106"/>
        <v>0.63263230078964572</v>
      </c>
      <c r="S294" s="814">
        <f t="shared" si="107"/>
        <v>1</v>
      </c>
      <c r="T294" s="175">
        <f t="shared" si="108"/>
        <v>7</v>
      </c>
      <c r="U294" s="250">
        <f t="shared" si="109"/>
        <v>1.6326323007896457</v>
      </c>
      <c r="V294" s="382">
        <f t="shared" si="110"/>
        <v>40.650710737740489</v>
      </c>
      <c r="W294" s="401">
        <f t="shared" si="111"/>
        <v>29.213290559251227</v>
      </c>
      <c r="X294" s="157">
        <f t="shared" si="112"/>
        <v>45571</v>
      </c>
      <c r="Y294" s="384">
        <f t="shared" si="113"/>
        <v>27.45871808857618</v>
      </c>
      <c r="Z294" s="384">
        <f t="shared" si="114"/>
        <v>28.854280281906522</v>
      </c>
      <c r="AA294" s="385">
        <f t="shared" si="115"/>
        <v>31.35194013927925</v>
      </c>
      <c r="AB294" s="196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7.9665240692506217E-2</v>
      </c>
      <c r="AD294" s="230">
        <f>(INDEX(Models!$BJ294:$BT294,,AH294)*(1-AF294)+INDEX(Models!$BJ294:$BT294,,AH294+1)*AF294-ERP_i)*AE294*Ramure*Pc/MaxiM</f>
        <v>6.7192771260251368E-4</v>
      </c>
      <c r="AE294" s="304">
        <f t="shared" si="117"/>
        <v>0.5</v>
      </c>
      <c r="AF294" s="176">
        <f t="shared" si="118"/>
        <v>0.63263230078964572</v>
      </c>
      <c r="AG294" s="814">
        <f t="shared" si="124"/>
        <v>1</v>
      </c>
      <c r="AH294" s="175">
        <f t="shared" si="119"/>
        <v>7</v>
      </c>
      <c r="AI294" s="224">
        <f t="shared" si="120"/>
        <v>1.6326323007896457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10">
        <f>'2023'!Wh/'2023'!Env_an*'2024'!Env_an</f>
        <v>16.345383169400897</v>
      </c>
      <c r="C295" s="843"/>
      <c r="D295" s="392">
        <f t="shared" si="102"/>
        <v>17.176496840244553</v>
      </c>
      <c r="E295" s="384">
        <f t="shared" si="100"/>
        <v>17.543774133329869</v>
      </c>
      <c r="F295" s="384">
        <f t="shared" si="103"/>
        <v>17.545548012814905</v>
      </c>
      <c r="G295" s="110">
        <f t="shared" si="101"/>
        <v>0.40462544301940956</v>
      </c>
      <c r="H295" s="413" t="b">
        <f>Wh_hp&gt;='2023'!Maxi_hp</f>
        <v>0</v>
      </c>
      <c r="I295" s="389">
        <f>IF(H295,Wh_hp,'2023'!Maxi_hp)</f>
        <v>43.274258019273653</v>
      </c>
      <c r="J295" s="85">
        <f>IF(H295,An,'2023'!An_max)</f>
        <v>2021</v>
      </c>
      <c r="K295" s="196">
        <f t="shared" si="104"/>
        <v>45572</v>
      </c>
      <c r="L295" s="147">
        <f>IF(t&lt;Tvie,1-EXP((T0-t)*PertePVj)+'2023'!Pspv,1-EXP((T0-t)*PertePVj)+Pspv)</f>
        <v>4.8386680856620103E-2</v>
      </c>
      <c r="M295" s="847"/>
      <c r="N295" s="847"/>
      <c r="O295" s="48">
        <f>IF(t&lt;Tnet,'2023'!Resal+('2023'!Salim-'2023'!Resal)*(1-EXP(('2023'!Tnet-t)/('2023'!Tau_j))),Resal+(Salim-Resal)*(1-EXP((Tnet-t)/(Tau_j))))*Salcycl</f>
        <v>2.0934907750981339E-2</v>
      </c>
      <c r="P295" s="168">
        <f>(INDEX(Models!$BJ295:$BT295,,T295)*(1-R295)+INDEX(Models!$BJ295:$BT295,,T295+1)*R295-ERP_i)*Q295*Ramure*Pc/MaxiM</f>
        <v>6.7492348935002287E-4</v>
      </c>
      <c r="Q295" s="304">
        <f t="shared" si="105"/>
        <v>0.5</v>
      </c>
      <c r="R295" s="176">
        <f t="shared" si="106"/>
        <v>0.63272194460916253</v>
      </c>
      <c r="S295" s="814">
        <f t="shared" si="107"/>
        <v>1</v>
      </c>
      <c r="T295" s="175">
        <f t="shared" si="108"/>
        <v>7</v>
      </c>
      <c r="U295" s="250">
        <f t="shared" si="109"/>
        <v>1.6327219446091625</v>
      </c>
      <c r="V295" s="382">
        <f t="shared" si="110"/>
        <v>40.373147959337018</v>
      </c>
      <c r="W295" s="401">
        <f t="shared" si="111"/>
        <v>16.345383169400897</v>
      </c>
      <c r="X295" s="157">
        <f t="shared" si="112"/>
        <v>45572</v>
      </c>
      <c r="Y295" s="384">
        <f t="shared" si="113"/>
        <v>15.365077793035969</v>
      </c>
      <c r="Z295" s="384">
        <f t="shared" si="114"/>
        <v>16.146345878037156</v>
      </c>
      <c r="AA295" s="385">
        <f t="shared" si="115"/>
        <v>17.543774133329869</v>
      </c>
      <c r="AB295" s="196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7.9653798816177249E-2</v>
      </c>
      <c r="AD295" s="230">
        <f>(INDEX(Models!$BJ295:$BT295,,AH295)*(1-AF295)+INDEX(Models!$BJ295:$BT295,,AH295+1)*AF295-ERP_i)*AE295*Ramure*Pc/MaxiM</f>
        <v>6.7492348935002287E-4</v>
      </c>
      <c r="AE295" s="304">
        <f t="shared" si="117"/>
        <v>0.5</v>
      </c>
      <c r="AF295" s="176">
        <f t="shared" si="118"/>
        <v>0.63272194460916253</v>
      </c>
      <c r="AG295" s="814">
        <f t="shared" si="124"/>
        <v>1</v>
      </c>
      <c r="AH295" s="175">
        <f t="shared" si="119"/>
        <v>7</v>
      </c>
      <c r="AI295" s="224">
        <f t="shared" si="120"/>
        <v>1.6327219446091625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10">
        <f>'2023'!Wh/'2023'!Env_an*'2024'!Env_an</f>
        <v>39.154465087948012</v>
      </c>
      <c r="C296" s="843"/>
      <c r="D296" s="392">
        <f t="shared" si="102"/>
        <v>41.146252181271699</v>
      </c>
      <c r="E296" s="384">
        <f t="shared" si="100"/>
        <v>42.029380576757688</v>
      </c>
      <c r="F296" s="384">
        <f t="shared" si="103"/>
        <v>42.056935071035866</v>
      </c>
      <c r="G296" s="110">
        <f t="shared" si="101"/>
        <v>0.9765555861756311</v>
      </c>
      <c r="H296" s="413" t="b">
        <f>Wh_hp&gt;='2023'!Maxi_hp</f>
        <v>0</v>
      </c>
      <c r="I296" s="389">
        <f>IF(H296,Wh_hp,'2023'!Maxi_hp)</f>
        <v>42.057245355193125</v>
      </c>
      <c r="J296" s="85">
        <f>IF(H296,An,'2023'!An_max)</f>
        <v>2022</v>
      </c>
      <c r="K296" s="196">
        <f t="shared" si="104"/>
        <v>45573</v>
      </c>
      <c r="L296" s="147">
        <f>IF(t&lt;Tvie,1-EXP((T0-t)*PertePVj)+'2023'!Pspv,1-EXP((T0-t)*PertePVj)+Pspv)</f>
        <v>4.8407497347480823E-2</v>
      </c>
      <c r="M296" s="847"/>
      <c r="N296" s="847"/>
      <c r="O296" s="48">
        <f>IF(t&lt;Tnet,'2023'!Resal+('2023'!Salim-'2023'!Resal)*(1-EXP(('2023'!Tnet-t)/('2023'!Tau_j))),Resal+(Salim-Resal)*(1-EXP((Tnet-t)/(Tau_j))))*Salcycl</f>
        <v>2.1012167759007116E-2</v>
      </c>
      <c r="P296" s="168">
        <f>(INDEX(Models!$BJ296:$BT296,,T296)*(1-R296)+INDEX(Models!$BJ296:$BT296,,T296+1)*R296-ERP_i)*Q296*Ramure*Pc/MaxiM</f>
        <v>6.7785242300272145E-4</v>
      </c>
      <c r="Q296" s="304">
        <f t="shared" si="105"/>
        <v>0.5</v>
      </c>
      <c r="R296" s="176">
        <f t="shared" si="106"/>
        <v>0.63280802979556006</v>
      </c>
      <c r="S296" s="814">
        <f t="shared" si="107"/>
        <v>1</v>
      </c>
      <c r="T296" s="175">
        <f t="shared" si="108"/>
        <v>7</v>
      </c>
      <c r="U296" s="250">
        <f t="shared" si="109"/>
        <v>1.6328080297955601</v>
      </c>
      <c r="V296" s="382">
        <f t="shared" si="110"/>
        <v>40.09354612311629</v>
      </c>
      <c r="W296" s="401">
        <f t="shared" si="111"/>
        <v>39.154465087948012</v>
      </c>
      <c r="X296" s="157">
        <f t="shared" si="112"/>
        <v>45573</v>
      </c>
      <c r="Y296" s="384">
        <f t="shared" si="113"/>
        <v>36.809606937292472</v>
      </c>
      <c r="Z296" s="384">
        <f t="shared" si="114"/>
        <v>38.682111129172867</v>
      </c>
      <c r="AA296" s="385">
        <f t="shared" si="115"/>
        <v>42.029380576757688</v>
      </c>
      <c r="AB296" s="196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7.9641179614145158E-2</v>
      </c>
      <c r="AD296" s="230">
        <f>(INDEX(Models!$BJ296:$BT296,,AH296)*(1-AF296)+INDEX(Models!$BJ296:$BT296,,AH296+1)*AF296-ERP_i)*AE296*Ramure*Pc/MaxiM</f>
        <v>6.7785242300272145E-4</v>
      </c>
      <c r="AE296" s="304">
        <f t="shared" si="117"/>
        <v>0.5</v>
      </c>
      <c r="AF296" s="176">
        <f t="shared" si="118"/>
        <v>0.63280802979556006</v>
      </c>
      <c r="AG296" s="814">
        <f t="shared" si="124"/>
        <v>1</v>
      </c>
      <c r="AH296" s="175">
        <f t="shared" si="119"/>
        <v>7</v>
      </c>
      <c r="AI296" s="224">
        <f t="shared" si="120"/>
        <v>1.6328080297955601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10">
        <f>'2023'!Wh/'2023'!Env_an*'2024'!Env_an</f>
        <v>31.600632385478438</v>
      </c>
      <c r="C297" s="843"/>
      <c r="D297" s="392">
        <f t="shared" si="102"/>
        <v>33.208882557029824</v>
      </c>
      <c r="E297" s="384">
        <f t="shared" ref="E297:E360" si="125">Wh_pvt/(1-Psa)</f>
        <v>33.924310809467961</v>
      </c>
      <c r="F297" s="384">
        <f t="shared" si="103"/>
        <v>33.940593883935243</v>
      </c>
      <c r="G297" s="110">
        <f t="shared" ref="G297:G360" si="126">+Wh_hp/MaxiM</f>
        <v>0.79359474224072557</v>
      </c>
      <c r="H297" s="413" t="b">
        <f>Wh_hp&gt;='2023'!Maxi_hp</f>
        <v>0</v>
      </c>
      <c r="I297" s="389">
        <f>IF(H297,Wh_hp,'2023'!Maxi_hp)</f>
        <v>33.942804963522448</v>
      </c>
      <c r="J297" s="85">
        <f>IF(H297,An,'2023'!An_max)</f>
        <v>2022</v>
      </c>
      <c r="K297" s="196">
        <f t="shared" si="104"/>
        <v>45574</v>
      </c>
      <c r="L297" s="147">
        <f>IF(t&lt;Tvie,1-EXP((T0-t)*PertePVj)+'2023'!Pspv,1-EXP((T0-t)*PertePVj)+Pspv)</f>
        <v>4.8428313382406919E-2</v>
      </c>
      <c r="M297" s="847"/>
      <c r="N297" s="847"/>
      <c r="O297" s="48">
        <f>IF(t&lt;Tnet,'2023'!Resal+('2023'!Salim-'2023'!Resal)*(1-EXP(('2023'!Tnet-t)/('2023'!Tau_j))),Resal+(Salim-Resal)*(1-EXP((Tnet-t)/(Tau_j))))*Salcycl</f>
        <v>2.1088954657215005E-2</v>
      </c>
      <c r="P297" s="168">
        <f>(INDEX(Models!$BJ297:$BT297,,T297)*(1-R297)+INDEX(Models!$BJ297:$BT297,,T297+1)*R297-ERP_i)*Q297*Ramure*Pc/MaxiM</f>
        <v>6.8014966133891962E-4</v>
      </c>
      <c r="Q297" s="304">
        <f t="shared" si="105"/>
        <v>0.5</v>
      </c>
      <c r="R297" s="176">
        <f t="shared" si="106"/>
        <v>0.63289069567071454</v>
      </c>
      <c r="S297" s="814">
        <f t="shared" si="107"/>
        <v>1</v>
      </c>
      <c r="T297" s="175">
        <f t="shared" si="108"/>
        <v>7</v>
      </c>
      <c r="U297" s="250">
        <f t="shared" si="109"/>
        <v>1.6328906956707145</v>
      </c>
      <c r="V297" s="382">
        <f t="shared" si="110"/>
        <v>39.811625477855962</v>
      </c>
      <c r="W297" s="401">
        <f t="shared" si="111"/>
        <v>31.600632385478438</v>
      </c>
      <c r="X297" s="157">
        <f t="shared" si="112"/>
        <v>45574</v>
      </c>
      <c r="Y297" s="384">
        <f t="shared" si="113"/>
        <v>29.710929103714204</v>
      </c>
      <c r="Z297" s="384">
        <f t="shared" si="114"/>
        <v>31.223006654730469</v>
      </c>
      <c r="AA297" s="385">
        <f t="shared" si="115"/>
        <v>33.924310809467961</v>
      </c>
      <c r="AB297" s="196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7.9627384913110263E-2</v>
      </c>
      <c r="AD297" s="230">
        <f>(INDEX(Models!$BJ297:$BT297,,AH297)*(1-AF297)+INDEX(Models!$BJ297:$BT297,,AH297+1)*AF297-ERP_i)*AE297*Ramure*Pc/MaxiM</f>
        <v>6.8014966133891962E-4</v>
      </c>
      <c r="AE297" s="304">
        <f t="shared" si="117"/>
        <v>0.5</v>
      </c>
      <c r="AF297" s="176">
        <f t="shared" si="118"/>
        <v>0.63289069567071454</v>
      </c>
      <c r="AG297" s="814">
        <f t="shared" si="124"/>
        <v>1</v>
      </c>
      <c r="AH297" s="175">
        <f t="shared" si="119"/>
        <v>7</v>
      </c>
      <c r="AI297" s="224">
        <f t="shared" si="120"/>
        <v>1.6328906956707145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10">
        <f>'2023'!Wh/'2023'!Env_an*'2024'!Env_an</f>
        <v>24.937125943118996</v>
      </c>
      <c r="C298" s="843"/>
      <c r="D298" s="392">
        <f t="shared" si="102"/>
        <v>26.206823725462847</v>
      </c>
      <c r="E298" s="384">
        <f t="shared" si="125"/>
        <v>26.773491819780006</v>
      </c>
      <c r="F298" s="384">
        <f t="shared" si="103"/>
        <v>26.782123452400192</v>
      </c>
      <c r="G298" s="110">
        <f t="shared" si="126"/>
        <v>0.6306601810192396</v>
      </c>
      <c r="H298" s="413" t="b">
        <f>Wh_hp&gt;='2023'!Maxi_hp</f>
        <v>0</v>
      </c>
      <c r="I298" s="389">
        <f>IF(H298,Wh_hp,'2023'!Maxi_hp)</f>
        <v>43.136286710165194</v>
      </c>
      <c r="J298" s="85">
        <f>IF(H298,An,'2023'!An_max)</f>
        <v>2019</v>
      </c>
      <c r="K298" s="196">
        <f t="shared" si="104"/>
        <v>45575</v>
      </c>
      <c r="L298" s="147">
        <f>IF(t&lt;Tvie,1-EXP((T0-t)*PertePVj)+'2023'!Pspv,1-EXP((T0-t)*PertePVj)+Pspv)</f>
        <v>4.8449128961408496E-2</v>
      </c>
      <c r="M298" s="847"/>
      <c r="N298" s="847"/>
      <c r="O298" s="48">
        <f>IF(t&lt;Tnet,'2023'!Resal+('2023'!Salim-'2023'!Resal)*(1-EXP(('2023'!Tnet-t)/('2023'!Tau_j))),Resal+(Salim-Resal)*(1-EXP((Tnet-t)/(Tau_j))))*Salcycl</f>
        <v>2.1165266679877403E-2</v>
      </c>
      <c r="P298" s="168">
        <f>(INDEX(Models!$BJ298:$BT298,,T298)*(1-R298)+INDEX(Models!$BJ298:$BT298,,T298+1)*R298-ERP_i)*Q298*Ramure*Pc/MaxiM</f>
        <v>6.8181441598634735E-4</v>
      </c>
      <c r="Q298" s="304">
        <f t="shared" si="105"/>
        <v>0.5</v>
      </c>
      <c r="R298" s="176">
        <f t="shared" si="106"/>
        <v>0.63297007625473434</v>
      </c>
      <c r="S298" s="814">
        <f t="shared" si="107"/>
        <v>1</v>
      </c>
      <c r="T298" s="175">
        <f t="shared" si="108"/>
        <v>7</v>
      </c>
      <c r="U298" s="250">
        <f t="shared" si="109"/>
        <v>1.6329700762547343</v>
      </c>
      <c r="V298" s="382">
        <f t="shared" si="110"/>
        <v>39.527083392673902</v>
      </c>
      <c r="W298" s="401">
        <f t="shared" si="111"/>
        <v>24.937125943118996</v>
      </c>
      <c r="X298" s="157">
        <f t="shared" si="112"/>
        <v>45575</v>
      </c>
      <c r="Y298" s="384">
        <f t="shared" si="113"/>
        <v>23.448106422730682</v>
      </c>
      <c r="Z298" s="384">
        <f t="shared" si="114"/>
        <v>24.641989342238446</v>
      </c>
      <c r="AA298" s="385">
        <f t="shared" si="115"/>
        <v>26.773491819780006</v>
      </c>
      <c r="AB298" s="196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7.961242007166297E-2</v>
      </c>
      <c r="AD298" s="230">
        <f>(INDEX(Models!$BJ298:$BT298,,AH298)*(1-AF298)+INDEX(Models!$BJ298:$BT298,,AH298+1)*AF298-ERP_i)*AE298*Ramure*Pc/MaxiM</f>
        <v>6.8181441598634735E-4</v>
      </c>
      <c r="AE298" s="304">
        <f t="shared" si="117"/>
        <v>0.5</v>
      </c>
      <c r="AF298" s="176">
        <f t="shared" si="118"/>
        <v>0.63297007625473434</v>
      </c>
      <c r="AG298" s="814">
        <f t="shared" si="124"/>
        <v>1</v>
      </c>
      <c r="AH298" s="175">
        <f t="shared" si="119"/>
        <v>7</v>
      </c>
      <c r="AI298" s="224">
        <f t="shared" si="120"/>
        <v>1.6329700762547343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10">
        <f>'2023'!Wh/'2023'!Env_an*'2024'!Env_an</f>
        <v>28.022093919022495</v>
      </c>
      <c r="C299" s="843"/>
      <c r="D299" s="392">
        <f t="shared" si="102"/>
        <v>29.449510023160894</v>
      </c>
      <c r="E299" s="384">
        <f t="shared" si="125"/>
        <v>30.088625621399842</v>
      </c>
      <c r="F299" s="384">
        <f t="shared" si="103"/>
        <v>30.100785718835613</v>
      </c>
      <c r="G299" s="110">
        <f t="shared" si="126"/>
        <v>0.71392837816465593</v>
      </c>
      <c r="H299" s="413" t="b">
        <f>Wh_hp&gt;='2023'!Maxi_hp</f>
        <v>0</v>
      </c>
      <c r="I299" s="389">
        <f>IF(H299,Wh_hp,'2023'!Maxi_hp)</f>
        <v>41.118712487030926</v>
      </c>
      <c r="J299" s="85">
        <f>IF(H299,An,'2023'!An_max)</f>
        <v>2021</v>
      </c>
      <c r="K299" s="196">
        <f t="shared" si="104"/>
        <v>45576</v>
      </c>
      <c r="L299" s="147">
        <f>IF(t&lt;Tvie,1-EXP((T0-t)*PertePVj)+'2023'!Pspv,1-EXP((T0-t)*PertePVj)+Pspv)</f>
        <v>4.8469944084495432E-2</v>
      </c>
      <c r="M299" s="847"/>
      <c r="N299" s="847"/>
      <c r="O299" s="48">
        <f>IF(t&lt;Tnet,'2023'!Resal+('2023'!Salim-'2023'!Resal)*(1-EXP(('2023'!Tnet-t)/('2023'!Tau_j))),Resal+(Salim-Resal)*(1-EXP((Tnet-t)/(Tau_j))))*Salcycl</f>
        <v>2.1241103075987335E-2</v>
      </c>
      <c r="P299" s="168">
        <f>(INDEX(Models!$BJ299:$BT299,,T299)*(1-R299)+INDEX(Models!$BJ299:$BT299,,T299+1)*R299-ERP_i)*Q299*Ramure*Pc/MaxiM</f>
        <v>6.8284649043947069E-4</v>
      </c>
      <c r="Q299" s="304">
        <f t="shared" si="105"/>
        <v>0.5</v>
      </c>
      <c r="R299" s="176">
        <f t="shared" si="106"/>
        <v>0.63304630045567523</v>
      </c>
      <c r="S299" s="814">
        <f t="shared" si="107"/>
        <v>1</v>
      </c>
      <c r="T299" s="175">
        <f t="shared" si="108"/>
        <v>7</v>
      </c>
      <c r="U299" s="250">
        <f t="shared" si="109"/>
        <v>1.6330463004556752</v>
      </c>
      <c r="V299" s="382">
        <f t="shared" si="110"/>
        <v>39.239617275291501</v>
      </c>
      <c r="W299" s="401">
        <f t="shared" si="111"/>
        <v>28.022093919022495</v>
      </c>
      <c r="X299" s="157">
        <f t="shared" si="112"/>
        <v>45576</v>
      </c>
      <c r="Y299" s="384">
        <f t="shared" si="113"/>
        <v>26.351371282950719</v>
      </c>
      <c r="Z299" s="384">
        <f t="shared" si="114"/>
        <v>27.693682526504144</v>
      </c>
      <c r="AA299" s="385">
        <f t="shared" si="115"/>
        <v>30.088625621399842</v>
      </c>
      <c r="AB299" s="196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7.9596294128913253E-2</v>
      </c>
      <c r="AD299" s="230">
        <f>(INDEX(Models!$BJ299:$BT299,,AH299)*(1-AF299)+INDEX(Models!$BJ299:$BT299,,AH299+1)*AF299-ERP_i)*AE299*Ramure*Pc/MaxiM</f>
        <v>6.8284649043947069E-4</v>
      </c>
      <c r="AE299" s="304">
        <f t="shared" si="117"/>
        <v>0.5</v>
      </c>
      <c r="AF299" s="176">
        <f t="shared" si="118"/>
        <v>0.63304630045567523</v>
      </c>
      <c r="AG299" s="814">
        <f t="shared" si="124"/>
        <v>1</v>
      </c>
      <c r="AH299" s="175">
        <f t="shared" si="119"/>
        <v>7</v>
      </c>
      <c r="AI299" s="224">
        <f t="shared" si="120"/>
        <v>1.6330463004556752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10">
        <f>'2023'!Wh/'2023'!Env_an*'2024'!Env_an</f>
        <v>22.684770230978049</v>
      </c>
      <c r="C300" s="843"/>
      <c r="D300" s="392">
        <f t="shared" si="102"/>
        <v>23.8408301754558</v>
      </c>
      <c r="E300" s="384">
        <f t="shared" si="125"/>
        <v>24.360101404034793</v>
      </c>
      <c r="F300" s="384">
        <f t="shared" si="103"/>
        <v>24.366818459486485</v>
      </c>
      <c r="G300" s="110">
        <f t="shared" si="126"/>
        <v>0.58218608145583217</v>
      </c>
      <c r="H300" s="413" t="b">
        <f>Wh_hp&gt;='2023'!Maxi_hp</f>
        <v>0</v>
      </c>
      <c r="I300" s="389">
        <f>IF(H300,Wh_hp,'2023'!Maxi_hp)</f>
        <v>39.212191078905711</v>
      </c>
      <c r="J300" s="85">
        <f>IF(H300,An,'2023'!An_max)</f>
        <v>2021</v>
      </c>
      <c r="K300" s="196">
        <f t="shared" si="104"/>
        <v>45577</v>
      </c>
      <c r="L300" s="147">
        <f>IF(t&lt;Tvie,1-EXP((T0-t)*PertePVj)+'2023'!Pspv,1-EXP((T0-t)*PertePVj)+Pspv)</f>
        <v>4.8490758751677833E-2</v>
      </c>
      <c r="M300" s="847"/>
      <c r="N300" s="847"/>
      <c r="O300" s="48">
        <f>IF(t&lt;Tnet,'2023'!Resal+('2023'!Salim-'2023'!Resal)*(1-EXP(('2023'!Tnet-t)/('2023'!Tau_j))),Resal+(Salim-Resal)*(1-EXP((Tnet-t)/(Tau_j))))*Salcycl</f>
        <v>2.1316464162706095E-2</v>
      </c>
      <c r="P300" s="168">
        <f>(INDEX(Models!$BJ300:$BT300,,T300)*(1-R300)+INDEX(Models!$BJ300:$BT300,,T300+1)*R300-ERP_i)*Q300*Ramure*Pc/MaxiM</f>
        <v>6.8324626341167928E-4</v>
      </c>
      <c r="Q300" s="304">
        <f t="shared" si="105"/>
        <v>0.5</v>
      </c>
      <c r="R300" s="176">
        <f t="shared" si="106"/>
        <v>0.63311949225343178</v>
      </c>
      <c r="S300" s="814">
        <f t="shared" si="107"/>
        <v>1</v>
      </c>
      <c r="T300" s="175">
        <f t="shared" si="108"/>
        <v>7</v>
      </c>
      <c r="U300" s="250">
        <f t="shared" si="109"/>
        <v>1.6331194922534318</v>
      </c>
      <c r="V300" s="382">
        <f t="shared" si="110"/>
        <v>38.948924569896825</v>
      </c>
      <c r="W300" s="401">
        <f t="shared" si="111"/>
        <v>22.684770230978049</v>
      </c>
      <c r="X300" s="157">
        <f t="shared" si="112"/>
        <v>45577</v>
      </c>
      <c r="Y300" s="384">
        <f t="shared" si="113"/>
        <v>21.334310514044063</v>
      </c>
      <c r="Z300" s="384">
        <f t="shared" si="114"/>
        <v>22.421548408772939</v>
      </c>
      <c r="AA300" s="385">
        <f t="shared" si="115"/>
        <v>24.360101404034793</v>
      </c>
      <c r="AB300" s="196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7.957901993547413E-2</v>
      </c>
      <c r="AD300" s="230">
        <f>(INDEX(Models!$BJ300:$BT300,,AH300)*(1-AF300)+INDEX(Models!$BJ300:$BT300,,AH300+1)*AF300-ERP_i)*AE300*Ramure*Pc/MaxiM</f>
        <v>6.8324626341167928E-4</v>
      </c>
      <c r="AE300" s="304">
        <f t="shared" si="117"/>
        <v>0.5</v>
      </c>
      <c r="AF300" s="176">
        <f t="shared" si="118"/>
        <v>0.63311949225343178</v>
      </c>
      <c r="AG300" s="814">
        <f t="shared" si="124"/>
        <v>1</v>
      </c>
      <c r="AH300" s="175">
        <f t="shared" si="119"/>
        <v>7</v>
      </c>
      <c r="AI300" s="224">
        <f t="shared" si="120"/>
        <v>1.6331194922534318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10">
        <f>'2023'!Wh/'2023'!Env_an*'2024'!Env_an</f>
        <v>17.830154531982895</v>
      </c>
      <c r="C301" s="843"/>
      <c r="D301" s="392">
        <f t="shared" si="102"/>
        <v>18.73922375231254</v>
      </c>
      <c r="E301" s="384">
        <f t="shared" si="125"/>
        <v>19.148843389672802</v>
      </c>
      <c r="F301" s="384">
        <f t="shared" si="103"/>
        <v>19.151857016579186</v>
      </c>
      <c r="G301" s="110">
        <f t="shared" si="126"/>
        <v>0.46102489946896996</v>
      </c>
      <c r="H301" s="413" t="b">
        <f>Wh_hp&gt;='2023'!Maxi_hp</f>
        <v>0</v>
      </c>
      <c r="I301" s="389">
        <f>IF(H301,Wh_hp,'2023'!Maxi_hp)</f>
        <v>43.45780557148769</v>
      </c>
      <c r="J301" s="85">
        <f>IF(H301,An,'2023'!An_max)</f>
        <v>2021</v>
      </c>
      <c r="K301" s="196">
        <f t="shared" si="104"/>
        <v>45578</v>
      </c>
      <c r="L301" s="147">
        <f>IF(t&lt;Tvie,1-EXP((T0-t)*PertePVj)+'2023'!Pspv,1-EXP((T0-t)*PertePVj)+Pspv)</f>
        <v>4.8511572962965467E-2</v>
      </c>
      <c r="M301" s="847"/>
      <c r="N301" s="847"/>
      <c r="O301" s="48">
        <f>IF(t&lt;Tnet,'2023'!Resal+('2023'!Salim-'2023'!Resal)*(1-EXP(('2023'!Tnet-t)/('2023'!Tau_j))),Resal+(Salim-Resal)*(1-EXP((Tnet-t)/(Tau_j))))*Salcycl</f>
        <v>2.1391351374317105E-2</v>
      </c>
      <c r="P301" s="168">
        <f>(INDEX(Models!$BJ301:$BT301,,T301)*(1-R301)+INDEX(Models!$BJ301:$BT301,,T301+1)*R301-ERP_i)*Q301*Ramure*Pc/MaxiM</f>
        <v>6.8301466617358853E-4</v>
      </c>
      <c r="Q301" s="304">
        <f t="shared" si="105"/>
        <v>0.5</v>
      </c>
      <c r="R301" s="176">
        <f t="shared" si="106"/>
        <v>0.63318977087790018</v>
      </c>
      <c r="S301" s="814">
        <f t="shared" si="107"/>
        <v>1</v>
      </c>
      <c r="T301" s="175">
        <f t="shared" si="108"/>
        <v>7</v>
      </c>
      <c r="U301" s="250">
        <f t="shared" si="109"/>
        <v>1.6331897708779002</v>
      </c>
      <c r="V301" s="382">
        <f t="shared" si="110"/>
        <v>38.654702754145625</v>
      </c>
      <c r="W301" s="401">
        <f t="shared" si="111"/>
        <v>17.830154531982895</v>
      </c>
      <c r="X301" s="157">
        <f t="shared" si="112"/>
        <v>45578</v>
      </c>
      <c r="Y301" s="384">
        <f t="shared" si="113"/>
        <v>16.770316211719177</v>
      </c>
      <c r="Z301" s="384">
        <f t="shared" si="114"/>
        <v>17.625349647123379</v>
      </c>
      <c r="AA301" s="385">
        <f t="shared" si="115"/>
        <v>19.148843389672802</v>
      </c>
      <c r="AB301" s="196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7.9560614265144658E-2</v>
      </c>
      <c r="AD301" s="230">
        <f>(INDEX(Models!$BJ301:$BT301,,AH301)*(1-AF301)+INDEX(Models!$BJ301:$BT301,,AH301+1)*AF301-ERP_i)*AE301*Ramure*Pc/MaxiM</f>
        <v>6.8301466617358853E-4</v>
      </c>
      <c r="AE301" s="304">
        <f t="shared" si="117"/>
        <v>0.5</v>
      </c>
      <c r="AF301" s="176">
        <f t="shared" si="118"/>
        <v>0.63318977087790018</v>
      </c>
      <c r="AG301" s="814">
        <f t="shared" si="124"/>
        <v>1</v>
      </c>
      <c r="AH301" s="175">
        <f t="shared" si="119"/>
        <v>7</v>
      </c>
      <c r="AI301" s="224">
        <f t="shared" si="120"/>
        <v>1.6331897708779002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10">
        <f>'2023'!Wh/'2023'!Env_an*'2024'!Env_an</f>
        <v>38.054579790652696</v>
      </c>
      <c r="C302" s="843"/>
      <c r="D302" s="392">
        <f t="shared" si="102"/>
        <v>39.995664864936039</v>
      </c>
      <c r="E302" s="384">
        <f t="shared" si="125"/>
        <v>40.873035943596513</v>
      </c>
      <c r="F302" s="384">
        <f t="shared" si="103"/>
        <v>40.900622540373909</v>
      </c>
      <c r="G302" s="110">
        <f t="shared" si="126"/>
        <v>0.99211709572171447</v>
      </c>
      <c r="H302" s="413" t="b">
        <f>Wh_hp&gt;='2023'!Maxi_hp</f>
        <v>0</v>
      </c>
      <c r="I302" s="389">
        <f>IF(H302,Wh_hp,'2023'!Maxi_hp)</f>
        <v>40.90072354329984</v>
      </c>
      <c r="J302" s="85">
        <f>IF(H302,An,'2023'!An_max)</f>
        <v>2022</v>
      </c>
      <c r="K302" s="196">
        <f t="shared" si="104"/>
        <v>45579</v>
      </c>
      <c r="L302" s="147">
        <f>IF(t&lt;Tvie,1-EXP((T0-t)*PertePVj)+'2023'!Pspv,1-EXP((T0-t)*PertePVj)+Pspv)</f>
        <v>4.8532386718368549E-2</v>
      </c>
      <c r="M302" s="847"/>
      <c r="N302" s="847"/>
      <c r="O302" s="48">
        <f>IF(t&lt;Tnet,'2023'!Resal+('2023'!Salim-'2023'!Resal)*(1-EXP(('2023'!Tnet-t)/('2023'!Tau_j))),Resal+(Salim-Resal)*(1-EXP((Tnet-t)/(Tau_j))))*Salcycl</f>
        <v>2.1465767306133633E-2</v>
      </c>
      <c r="P302" s="168">
        <f>(INDEX(Models!$BJ302:$BT302,,T302)*(1-R302)+INDEX(Models!$BJ302:$BT302,,T302+1)*R302-ERP_i)*Q302*Ramure*Pc/MaxiM</f>
        <v>6.8215315328252622E-4</v>
      </c>
      <c r="Q302" s="304">
        <f t="shared" si="105"/>
        <v>0.5</v>
      </c>
      <c r="R302" s="176">
        <f t="shared" si="106"/>
        <v>0.63325725098151997</v>
      </c>
      <c r="S302" s="814">
        <f t="shared" si="107"/>
        <v>1</v>
      </c>
      <c r="T302" s="175">
        <f t="shared" si="108"/>
        <v>7</v>
      </c>
      <c r="U302" s="250">
        <f t="shared" si="109"/>
        <v>1.63325725098152</v>
      </c>
      <c r="V302" s="382">
        <f t="shared" si="110"/>
        <v>38.35664933880949</v>
      </c>
      <c r="W302" s="401">
        <f t="shared" si="111"/>
        <v>38.054579790652696</v>
      </c>
      <c r="X302" s="157">
        <f t="shared" si="112"/>
        <v>45579</v>
      </c>
      <c r="Y302" s="384">
        <f t="shared" si="113"/>
        <v>35.796066773598589</v>
      </c>
      <c r="Z302" s="384">
        <f t="shared" si="114"/>
        <v>37.621949789901116</v>
      </c>
      <c r="AA302" s="385">
        <f t="shared" si="115"/>
        <v>40.873035943596513</v>
      </c>
      <c r="AB302" s="196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7.9541097905763386E-2</v>
      </c>
      <c r="AD302" s="230">
        <f>(INDEX(Models!$BJ302:$BT302,,AH302)*(1-AF302)+INDEX(Models!$BJ302:$BT302,,AH302+1)*AF302-ERP_i)*AE302*Ramure*Pc/MaxiM</f>
        <v>6.8215315328252622E-4</v>
      </c>
      <c r="AE302" s="304">
        <f t="shared" si="117"/>
        <v>0.5</v>
      </c>
      <c r="AF302" s="176">
        <f t="shared" si="118"/>
        <v>0.63325725098151997</v>
      </c>
      <c r="AG302" s="814">
        <f t="shared" si="124"/>
        <v>1</v>
      </c>
      <c r="AH302" s="175">
        <f t="shared" si="119"/>
        <v>7</v>
      </c>
      <c r="AI302" s="224">
        <f t="shared" si="120"/>
        <v>1.63325725098152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10">
        <f>'2023'!Wh/'2023'!Env_an*'2024'!Env_an</f>
        <v>34.237707607170364</v>
      </c>
      <c r="C303" s="843"/>
      <c r="D303" s="392">
        <f t="shared" si="102"/>
        <v>35.984889126553774</v>
      </c>
      <c r="E303" s="384">
        <f t="shared" si="125"/>
        <v>36.777056469124688</v>
      </c>
      <c r="F303" s="384">
        <f t="shared" si="103"/>
        <v>36.798517370321669</v>
      </c>
      <c r="G303" s="110">
        <f t="shared" si="126"/>
        <v>0.89965402696026464</v>
      </c>
      <c r="H303" s="413" t="b">
        <f>Wh_hp&gt;='2023'!Maxi_hp</f>
        <v>0</v>
      </c>
      <c r="I303" s="389">
        <f>IF(H303,Wh_hp,'2023'!Maxi_hp)</f>
        <v>39.25450354106809</v>
      </c>
      <c r="J303" s="85">
        <f>IF(H303,An,'2023'!An_max)</f>
        <v>2021</v>
      </c>
      <c r="K303" s="196">
        <f t="shared" si="104"/>
        <v>45580</v>
      </c>
      <c r="L303" s="147">
        <f>IF(t&lt;Tvie,1-EXP((T0-t)*PertePVj)+'2023'!Pspv,1-EXP((T0-t)*PertePVj)+Pspv)</f>
        <v>4.8553200017896959E-2</v>
      </c>
      <c r="M303" s="847"/>
      <c r="N303" s="847"/>
      <c r="O303" s="48">
        <f>IF(t&lt;Tnet,'2023'!Resal+('2023'!Salim-'2023'!Resal)*(1-EXP(('2023'!Tnet-t)/('2023'!Tau_j))),Resal+(Salim-Resal)*(1-EXP((Tnet-t)/(Tau_j))))*Salcycl</f>
        <v>2.1539715752835125E-2</v>
      </c>
      <c r="P303" s="168">
        <f>(INDEX(Models!$BJ303:$BT303,,T303)*(1-R303)+INDEX(Models!$BJ303:$BT303,,T303+1)*R303-ERP_i)*Q303*Ramure*Pc/MaxiM</f>
        <v>6.8069311475134342E-4</v>
      </c>
      <c r="Q303" s="304">
        <f t="shared" si="105"/>
        <v>0.5</v>
      </c>
      <c r="R303" s="176">
        <f t="shared" si="106"/>
        <v>0.63332204280629956</v>
      </c>
      <c r="S303" s="814">
        <f t="shared" si="107"/>
        <v>1</v>
      </c>
      <c r="T303" s="175">
        <f t="shared" si="108"/>
        <v>7</v>
      </c>
      <c r="U303" s="250">
        <f t="shared" si="109"/>
        <v>1.6333220428062996</v>
      </c>
      <c r="V303" s="382">
        <f t="shared" si="110"/>
        <v>38.052814413249799</v>
      </c>
      <c r="W303" s="401">
        <f t="shared" si="111"/>
        <v>34.237707607170364</v>
      </c>
      <c r="X303" s="157">
        <f t="shared" si="112"/>
        <v>45580</v>
      </c>
      <c r="Y303" s="384">
        <f t="shared" si="113"/>
        <v>32.208878206958801</v>
      </c>
      <c r="Z303" s="384">
        <f t="shared" si="114"/>
        <v>33.852526707289002</v>
      </c>
      <c r="AA303" s="385">
        <f t="shared" si="115"/>
        <v>36.777056469124688</v>
      </c>
      <c r="AB303" s="196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7.9520495727843449E-2</v>
      </c>
      <c r="AD303" s="230">
        <f>(INDEX(Models!$BJ303:$BT303,,AH303)*(1-AF303)+INDEX(Models!$BJ303:$BT303,,AH303+1)*AF303-ERP_i)*AE303*Ramure*Pc/MaxiM</f>
        <v>6.8069311475134342E-4</v>
      </c>
      <c r="AE303" s="304">
        <f t="shared" si="117"/>
        <v>0.5</v>
      </c>
      <c r="AF303" s="176">
        <f t="shared" si="118"/>
        <v>0.63332204280629956</v>
      </c>
      <c r="AG303" s="814">
        <f t="shared" si="124"/>
        <v>1</v>
      </c>
      <c r="AH303" s="175">
        <f t="shared" si="119"/>
        <v>7</v>
      </c>
      <c r="AI303" s="224">
        <f t="shared" si="120"/>
        <v>1.6333220428062996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10">
        <f>'2023'!Wh/'2023'!Env_an*'2024'!Env_an</f>
        <v>20.510731450395692</v>
      </c>
      <c r="C304" s="843"/>
      <c r="D304" s="392">
        <f t="shared" si="102"/>
        <v>21.55788440473955</v>
      </c>
      <c r="E304" s="384">
        <f t="shared" si="125"/>
        <v>22.034112115060424</v>
      </c>
      <c r="F304" s="384">
        <f t="shared" si="103"/>
        <v>22.03931621550549</v>
      </c>
      <c r="G304" s="110">
        <f t="shared" si="126"/>
        <v>0.54320252300974459</v>
      </c>
      <c r="H304" s="413" t="b">
        <f>Wh_hp&gt;='2023'!Maxi_hp</f>
        <v>0</v>
      </c>
      <c r="I304" s="389">
        <f>IF(H304,Wh_hp,'2023'!Maxi_hp)</f>
        <v>36.49082251593331</v>
      </c>
      <c r="J304" s="85">
        <f>IF(H304,An,'2023'!An_max)</f>
        <v>2021</v>
      </c>
      <c r="K304" s="196">
        <f t="shared" si="104"/>
        <v>45581</v>
      </c>
      <c r="L304" s="147">
        <f>IF(t&lt;Tvie,1-EXP((T0-t)*PertePVj)+'2023'!Pspv,1-EXP((T0-t)*PertePVj)+Pspv)</f>
        <v>4.8574012861560691E-2</v>
      </c>
      <c r="M304" s="847"/>
      <c r="N304" s="847"/>
      <c r="O304" s="48">
        <f>IF(t&lt;Tnet,'2023'!Resal+('2023'!Salim-'2023'!Resal)*(1-EXP(('2023'!Tnet-t)/('2023'!Tau_j))),Resal+(Salim-Resal)*(1-EXP((Tnet-t)/(Tau_j))))*Salcycl</f>
        <v>2.1613201740739586E-2</v>
      </c>
      <c r="P304" s="168">
        <f>(INDEX(Models!$BJ304:$BT304,,T304)*(1-R304)+INDEX(Models!$BJ304:$BT304,,T304+1)*R304-ERP_i)*Q304*Ramure*Pc/MaxiM</f>
        <v>6.789657703310044E-4</v>
      </c>
      <c r="Q304" s="304">
        <f t="shared" si="105"/>
        <v>0.5</v>
      </c>
      <c r="R304" s="176">
        <f t="shared" si="106"/>
        <v>0.63338425234544649</v>
      </c>
      <c r="S304" s="814">
        <f t="shared" si="107"/>
        <v>1</v>
      </c>
      <c r="T304" s="175">
        <f t="shared" si="108"/>
        <v>7</v>
      </c>
      <c r="U304" s="250">
        <f t="shared" si="109"/>
        <v>1.6333842523454465</v>
      </c>
      <c r="V304" s="382">
        <f t="shared" si="110"/>
        <v>37.742178121171584</v>
      </c>
      <c r="W304" s="401">
        <f t="shared" si="111"/>
        <v>20.510731450395692</v>
      </c>
      <c r="X304" s="157">
        <f t="shared" si="112"/>
        <v>45581</v>
      </c>
      <c r="Y304" s="384">
        <f t="shared" si="113"/>
        <v>19.297227020237997</v>
      </c>
      <c r="Z304" s="384">
        <f t="shared" si="114"/>
        <v>20.282425833540021</v>
      </c>
      <c r="AA304" s="385">
        <f t="shared" si="115"/>
        <v>22.034112115060424</v>
      </c>
      <c r="AB304" s="196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7.9498836729759409E-2</v>
      </c>
      <c r="AD304" s="230">
        <f>(INDEX(Models!$BJ304:$BT304,,AH304)*(1-AF304)+INDEX(Models!$BJ304:$BT304,,AH304+1)*AF304-ERP_i)*AE304*Ramure*Pc/MaxiM</f>
        <v>6.789657703310044E-4</v>
      </c>
      <c r="AE304" s="304">
        <f t="shared" si="117"/>
        <v>0.5</v>
      </c>
      <c r="AF304" s="176">
        <f t="shared" si="118"/>
        <v>0.63338425234544649</v>
      </c>
      <c r="AG304" s="814">
        <f t="shared" si="124"/>
        <v>1</v>
      </c>
      <c r="AH304" s="175">
        <f t="shared" si="119"/>
        <v>7</v>
      </c>
      <c r="AI304" s="224">
        <f t="shared" si="120"/>
        <v>1.6333842523454465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10">
        <f>'2023'!Wh/'2023'!Env_an*'2024'!Env_an</f>
        <v>34.738804800068344</v>
      </c>
      <c r="C305" s="843"/>
      <c r="D305" s="392">
        <f t="shared" si="102"/>
        <v>36.513155196127265</v>
      </c>
      <c r="E305" s="384">
        <f t="shared" si="125"/>
        <v>37.322540450503908</v>
      </c>
      <c r="F305" s="384">
        <f t="shared" si="103"/>
        <v>37.34522925442927</v>
      </c>
      <c r="G305" s="110">
        <f t="shared" si="126"/>
        <v>0.92813901123062093</v>
      </c>
      <c r="H305" s="413" t="b">
        <f>Wh_hp&gt;='2023'!Maxi_hp</f>
        <v>0</v>
      </c>
      <c r="I305" s="389">
        <f>IF(H305,Wh_hp,'2023'!Maxi_hp)</f>
        <v>40.595682285029085</v>
      </c>
      <c r="J305" s="85">
        <f>IF(H305,An,'2023'!An_max)</f>
        <v>2020</v>
      </c>
      <c r="K305" s="196">
        <f t="shared" si="104"/>
        <v>45582</v>
      </c>
      <c r="L305" s="147">
        <f>IF(t&lt;Tvie,1-EXP((T0-t)*PertePVj)+'2023'!Pspv,1-EXP((T0-t)*PertePVj)+Pspv)</f>
        <v>4.8594825249369734E-2</v>
      </c>
      <c r="M305" s="847"/>
      <c r="N305" s="847"/>
      <c r="O305" s="48">
        <f>IF(t&lt;Tnet,'2023'!Resal+('2023'!Salim-'2023'!Resal)*(1-EXP(('2023'!Tnet-t)/('2023'!Tau_j))),Resal+(Salim-Resal)*(1-EXP((Tnet-t)/(Tau_j))))*Salcycl</f>
        <v>2.1686231553557481E-2</v>
      </c>
      <c r="P305" s="168">
        <f>(INDEX(Models!$BJ305:$BT305,,T305)*(1-R305)+INDEX(Models!$BJ305:$BT305,,T305+1)*R305-ERP_i)*Q305*Ramure*Pc/MaxiM</f>
        <v>6.7697738385680663E-4</v>
      </c>
      <c r="Q305" s="304">
        <f t="shared" si="105"/>
        <v>0.5</v>
      </c>
      <c r="R305" s="176">
        <f t="shared" si="106"/>
        <v>0.63344398149971082</v>
      </c>
      <c r="S305" s="814">
        <f t="shared" si="107"/>
        <v>1</v>
      </c>
      <c r="T305" s="175">
        <f t="shared" si="108"/>
        <v>7</v>
      </c>
      <c r="U305" s="250">
        <f t="shared" si="109"/>
        <v>1.6334439814997108</v>
      </c>
      <c r="V305" s="382">
        <f t="shared" si="110"/>
        <v>37.425849812599772</v>
      </c>
      <c r="W305" s="401">
        <f t="shared" si="111"/>
        <v>34.738804800068344</v>
      </c>
      <c r="X305" s="157">
        <f t="shared" si="112"/>
        <v>45582</v>
      </c>
      <c r="Y305" s="384">
        <f t="shared" si="113"/>
        <v>32.686750641109022</v>
      </c>
      <c r="Z305" s="384">
        <f t="shared" si="114"/>
        <v>34.356288475807837</v>
      </c>
      <c r="AA305" s="385">
        <f t="shared" si="115"/>
        <v>37.322540450503908</v>
      </c>
      <c r="AB305" s="196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7.9476154058425605E-2</v>
      </c>
      <c r="AD305" s="230">
        <f>(INDEX(Models!$BJ305:$BT305,,AH305)*(1-AF305)+INDEX(Models!$BJ305:$BT305,,AH305+1)*AF305-ERP_i)*AE305*Ramure*Pc/MaxiM</f>
        <v>6.7697738385680663E-4</v>
      </c>
      <c r="AE305" s="304">
        <f t="shared" si="117"/>
        <v>0.5</v>
      </c>
      <c r="AF305" s="176">
        <f t="shared" si="118"/>
        <v>0.63344398149971082</v>
      </c>
      <c r="AG305" s="814">
        <f t="shared" si="124"/>
        <v>1</v>
      </c>
      <c r="AH305" s="175">
        <f t="shared" si="119"/>
        <v>7</v>
      </c>
      <c r="AI305" s="224">
        <f t="shared" si="120"/>
        <v>1.6334439814997108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10">
        <f>'2023'!Wh/'2023'!Env_an*'2024'!Env_an</f>
        <v>15.624786008799624</v>
      </c>
      <c r="C306" s="843"/>
      <c r="D306" s="392">
        <f t="shared" si="102"/>
        <v>16.423210869798279</v>
      </c>
      <c r="E306" s="384">
        <f t="shared" si="125"/>
        <v>16.788508891132555</v>
      </c>
      <c r="F306" s="384">
        <f t="shared" si="103"/>
        <v>16.79046870728348</v>
      </c>
      <c r="G306" s="110">
        <f t="shared" si="126"/>
        <v>0.42086220486441134</v>
      </c>
      <c r="H306" s="413" t="b">
        <f>Wh_hp&gt;='2023'!Maxi_hp</f>
        <v>0</v>
      </c>
      <c r="I306" s="389">
        <f>IF(H306,Wh_hp,'2023'!Maxi_hp)</f>
        <v>39.260964769799557</v>
      </c>
      <c r="J306" s="85">
        <f>IF(H306,An,'2023'!An_max)</f>
        <v>2020</v>
      </c>
      <c r="K306" s="196">
        <f t="shared" si="104"/>
        <v>45583</v>
      </c>
      <c r="L306" s="147">
        <f>IF(t&lt;Tvie,1-EXP((T0-t)*PertePVj)+'2023'!Pspv,1-EXP((T0-t)*PertePVj)+Pspv)</f>
        <v>4.8615637181334083E-2</v>
      </c>
      <c r="M306" s="847"/>
      <c r="N306" s="847"/>
      <c r="O306" s="48">
        <f>IF(t&lt;Tnet,'2023'!Resal+('2023'!Salim-'2023'!Resal)*(1-EXP(('2023'!Tnet-t)/('2023'!Tau_j))),Resal+(Salim-Resal)*(1-EXP((Tnet-t)/(Tau_j))))*Salcycl</f>
        <v>2.1758812751215835E-2</v>
      </c>
      <c r="P306" s="168">
        <f>(INDEX(Models!$BJ306:$BT306,,T306)*(1-R306)+INDEX(Models!$BJ306:$BT306,,T306+1)*R306-ERP_i)*Q306*Ramure*Pc/MaxiM</f>
        <v>6.7470892437350124E-4</v>
      </c>
      <c r="Q306" s="304">
        <f t="shared" si="105"/>
        <v>0.5</v>
      </c>
      <c r="R306" s="176">
        <f t="shared" si="106"/>
        <v>0.63350132822856886</v>
      </c>
      <c r="S306" s="814">
        <f t="shared" si="107"/>
        <v>1</v>
      </c>
      <c r="T306" s="175">
        <f t="shared" si="108"/>
        <v>7</v>
      </c>
      <c r="U306" s="250">
        <f t="shared" si="109"/>
        <v>1.6335013282285689</v>
      </c>
      <c r="V306" s="382">
        <f t="shared" si="110"/>
        <v>37.104939296981037</v>
      </c>
      <c r="W306" s="401">
        <f t="shared" si="111"/>
        <v>15.624786008799624</v>
      </c>
      <c r="X306" s="157">
        <f t="shared" si="112"/>
        <v>45583</v>
      </c>
      <c r="Y306" s="384">
        <f t="shared" si="113"/>
        <v>14.703283934698584</v>
      </c>
      <c r="Z306" s="384">
        <f t="shared" si="114"/>
        <v>15.454620140210391</v>
      </c>
      <c r="AA306" s="385">
        <f t="shared" si="115"/>
        <v>16.788508891132555</v>
      </c>
      <c r="AB306" s="196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7.9452485004591705E-2</v>
      </c>
      <c r="AD306" s="230">
        <f>(INDEX(Models!$BJ306:$BT306,,AH306)*(1-AF306)+INDEX(Models!$BJ306:$BT306,,AH306+1)*AF306-ERP_i)*AE306*Ramure*Pc/MaxiM</f>
        <v>6.7470892437350124E-4</v>
      </c>
      <c r="AE306" s="304">
        <f t="shared" si="117"/>
        <v>0.5</v>
      </c>
      <c r="AF306" s="176">
        <f t="shared" si="118"/>
        <v>0.63350132822856886</v>
      </c>
      <c r="AG306" s="814">
        <f t="shared" si="124"/>
        <v>1</v>
      </c>
      <c r="AH306" s="175">
        <f t="shared" si="119"/>
        <v>7</v>
      </c>
      <c r="AI306" s="224">
        <f t="shared" si="120"/>
        <v>1.6335013282285689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10">
        <f>'2023'!Wh/'2023'!Env_an*'2024'!Env_an</f>
        <v>9.146409433873723</v>
      </c>
      <c r="C307" s="843"/>
      <c r="D307" s="392">
        <f t="shared" si="102"/>
        <v>9.6140002641120521</v>
      </c>
      <c r="E307" s="384">
        <f t="shared" si="125"/>
        <v>9.8285672657595491</v>
      </c>
      <c r="F307" s="384">
        <f t="shared" si="103"/>
        <v>9.8285672657595491</v>
      </c>
      <c r="G307" s="110">
        <f t="shared" si="126"/>
        <v>0.24850798294893864</v>
      </c>
      <c r="H307" s="413" t="b">
        <f>Wh_hp&gt;='2023'!Maxi_hp</f>
        <v>0</v>
      </c>
      <c r="I307" s="389">
        <f>IF(H307,Wh_hp,'2023'!Maxi_hp)</f>
        <v>33.080208038674293</v>
      </c>
      <c r="J307" s="85">
        <f>IF(H307,An,'2023'!An_max)</f>
        <v>2020</v>
      </c>
      <c r="K307" s="196">
        <f t="shared" si="104"/>
        <v>45584</v>
      </c>
      <c r="L307" s="147">
        <f>IF(t&lt;Tvie,1-EXP((T0-t)*PertePVj)+'2023'!Pspv,1-EXP((T0-t)*PertePVj)+Pspv)</f>
        <v>4.8636448657463728E-2</v>
      </c>
      <c r="M307" s="847"/>
      <c r="N307" s="847"/>
      <c r="O307" s="48">
        <f>IF(t&lt;Tnet,'2023'!Resal+('2023'!Salim-'2023'!Resal)*(1-EXP(('2023'!Tnet-t)/('2023'!Tau_j))),Resal+(Salim-Resal)*(1-EXP((Tnet-t)/(Tau_j))))*Salcycl</f>
        <v>2.1830954181388997E-2</v>
      </c>
      <c r="P307" s="168">
        <f>(INDEX(Models!$BJ307:$BT307,,T307)*(1-R307)+INDEX(Models!$BJ307:$BT307,,T307+1)*R307-ERP_i)*Q307*Ramure*Pc/MaxiM</f>
        <v>6.7214126419515221E-4</v>
      </c>
      <c r="Q307" s="304">
        <f t="shared" si="105"/>
        <v>0.5</v>
      </c>
      <c r="R307" s="176">
        <f t="shared" si="106"/>
        <v>0.63355638669636494</v>
      </c>
      <c r="S307" s="814">
        <f t="shared" si="107"/>
        <v>1</v>
      </c>
      <c r="T307" s="175">
        <f t="shared" si="108"/>
        <v>7</v>
      </c>
      <c r="U307" s="250">
        <f t="shared" si="109"/>
        <v>1.6335563866963649</v>
      </c>
      <c r="V307" s="382">
        <f t="shared" si="110"/>
        <v>36.78055588480656</v>
      </c>
      <c r="W307" s="401">
        <f t="shared" si="111"/>
        <v>9.146409433873723</v>
      </c>
      <c r="X307" s="157">
        <f t="shared" si="112"/>
        <v>45584</v>
      </c>
      <c r="Y307" s="384">
        <f t="shared" si="113"/>
        <v>8.6078471216145989</v>
      </c>
      <c r="Z307" s="384">
        <f t="shared" si="114"/>
        <v>9.0479050931344371</v>
      </c>
      <c r="AA307" s="385">
        <f t="shared" si="115"/>
        <v>9.8285672657595491</v>
      </c>
      <c r="AB307" s="196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7.9427870972075293E-2</v>
      </c>
      <c r="AD307" s="230">
        <f>(INDEX(Models!$BJ307:$BT307,,AH307)*(1-AF307)+INDEX(Models!$BJ307:$BT307,,AH307+1)*AF307-ERP_i)*AE307*Ramure*Pc/MaxiM</f>
        <v>6.7214126419515221E-4</v>
      </c>
      <c r="AE307" s="304">
        <f t="shared" si="117"/>
        <v>0.5</v>
      </c>
      <c r="AF307" s="176">
        <f t="shared" si="118"/>
        <v>0.63355638669636494</v>
      </c>
      <c r="AG307" s="814">
        <f t="shared" si="124"/>
        <v>1</v>
      </c>
      <c r="AH307" s="175">
        <f t="shared" si="119"/>
        <v>7</v>
      </c>
      <c r="AI307" s="224">
        <f t="shared" si="120"/>
        <v>1.6335563866963649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10">
        <f>'2023'!Wh/'2023'!Env_an*'2024'!Env_an</f>
        <v>15.520632468531588</v>
      </c>
      <c r="C308" s="843"/>
      <c r="D308" s="392">
        <f t="shared" si="102"/>
        <v>16.314448842353659</v>
      </c>
      <c r="E308" s="384">
        <f t="shared" si="125"/>
        <v>16.679780503396398</v>
      </c>
      <c r="F308" s="384">
        <f t="shared" si="103"/>
        <v>16.681786288468579</v>
      </c>
      <c r="G308" s="110">
        <f t="shared" si="126"/>
        <v>0.42552784004794558</v>
      </c>
      <c r="H308" s="413" t="b">
        <f>Wh_hp&gt;='2023'!Maxi_hp</f>
        <v>0</v>
      </c>
      <c r="I308" s="389">
        <f>IF(H308,Wh_hp,'2023'!Maxi_hp)</f>
        <v>24.658725492939233</v>
      </c>
      <c r="J308" s="85">
        <f>IF(H308,An,'2023'!An_max)</f>
        <v>2019</v>
      </c>
      <c r="K308" s="196">
        <f t="shared" si="104"/>
        <v>45585</v>
      </c>
      <c r="L308" s="147">
        <f>IF(t&lt;Tvie,1-EXP((T0-t)*PertePVj)+'2023'!Pspv,1-EXP((T0-t)*PertePVj)+Pspv)</f>
        <v>4.8657259677768551E-2</v>
      </c>
      <c r="M308" s="847"/>
      <c r="N308" s="847"/>
      <c r="O308" s="48">
        <f>IF(t&lt;Tnet,'2023'!Resal+('2023'!Salim-'2023'!Resal)*(1-EXP(('2023'!Tnet-t)/('2023'!Tau_j))),Resal+(Salim-Resal)*(1-EXP((Tnet-t)/(Tau_j))))*Salcycl</f>
        <v>2.1902665983425034E-2</v>
      </c>
      <c r="P308" s="168">
        <f>(INDEX(Models!$BJ308:$BT308,,T308)*(1-R308)+INDEX(Models!$BJ308:$BT308,,T308+1)*R308-ERP_i)*Q308*Ramure*Pc/MaxiM</f>
        <v>6.6925521410819851E-4</v>
      </c>
      <c r="Q308" s="304">
        <f t="shared" si="105"/>
        <v>0.5</v>
      </c>
      <c r="R308" s="176">
        <f t="shared" si="106"/>
        <v>0.63360924741353619</v>
      </c>
      <c r="S308" s="814">
        <f t="shared" si="107"/>
        <v>1</v>
      </c>
      <c r="T308" s="175">
        <f t="shared" si="108"/>
        <v>7</v>
      </c>
      <c r="U308" s="250">
        <f t="shared" si="109"/>
        <v>1.6336092474135362</v>
      </c>
      <c r="V308" s="382">
        <f t="shared" si="110"/>
        <v>36.453808399758103</v>
      </c>
      <c r="W308" s="401">
        <f t="shared" si="111"/>
        <v>15.520632468531588</v>
      </c>
      <c r="X308" s="157">
        <f t="shared" si="112"/>
        <v>45585</v>
      </c>
      <c r="Y308" s="384">
        <f t="shared" si="113"/>
        <v>14.608216549572514</v>
      </c>
      <c r="Z308" s="384">
        <f t="shared" si="114"/>
        <v>15.355366610170938</v>
      </c>
      <c r="AA308" s="385">
        <f t="shared" si="115"/>
        <v>16.679780503396398</v>
      </c>
      <c r="AB308" s="196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7.9402357420457551E-2</v>
      </c>
      <c r="AD308" s="230">
        <f>(INDEX(Models!$BJ308:$BT308,,AH308)*(1-AF308)+INDEX(Models!$BJ308:$BT308,,AH308+1)*AF308-ERP_i)*AE308*Ramure*Pc/MaxiM</f>
        <v>6.6925521410819851E-4</v>
      </c>
      <c r="AE308" s="304">
        <f t="shared" si="117"/>
        <v>0.5</v>
      </c>
      <c r="AF308" s="176">
        <f t="shared" si="118"/>
        <v>0.63360924741353619</v>
      </c>
      <c r="AG308" s="814">
        <f t="shared" si="124"/>
        <v>1</v>
      </c>
      <c r="AH308" s="175">
        <f t="shared" si="119"/>
        <v>7</v>
      </c>
      <c r="AI308" s="224">
        <f t="shared" si="120"/>
        <v>1.6336092474135362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10">
        <f>'2023'!Wh/'2023'!Env_an*'2024'!Env_an</f>
        <v>34.197204511714126</v>
      </c>
      <c r="C309" s="843"/>
      <c r="D309" s="392">
        <f t="shared" si="102"/>
        <v>35.947036898878814</v>
      </c>
      <c r="E309" s="384">
        <f t="shared" si="125"/>
        <v>36.754682813561942</v>
      </c>
      <c r="F309" s="384">
        <f t="shared" si="103"/>
        <v>36.777309556737507</v>
      </c>
      <c r="G309" s="110">
        <f t="shared" si="126"/>
        <v>0.94656620716804962</v>
      </c>
      <c r="H309" s="413" t="b">
        <f>Wh_hp&gt;='2023'!Maxi_hp</f>
        <v>0</v>
      </c>
      <c r="I309" s="389">
        <f>IF(H309,Wh_hp,'2023'!Maxi_hp)</f>
        <v>36.777912321684994</v>
      </c>
      <c r="J309" s="85">
        <f>IF(H309,An,'2023'!An_max)</f>
        <v>2022</v>
      </c>
      <c r="K309" s="196">
        <f t="shared" si="104"/>
        <v>45586</v>
      </c>
      <c r="L309" s="147">
        <f>IF(t&lt;Tvie,1-EXP((T0-t)*PertePVj)+'2023'!Pspv,1-EXP((T0-t)*PertePVj)+Pspv)</f>
        <v>4.8678070242258654E-2</v>
      </c>
      <c r="M309" s="847"/>
      <c r="N309" s="847"/>
      <c r="O309" s="48">
        <f>IF(t&lt;Tnet,'2023'!Resal+('2023'!Salim-'2023'!Resal)*(1-EXP(('2023'!Tnet-t)/('2023'!Tau_j))),Resal+(Salim-Resal)*(1-EXP((Tnet-t)/(Tau_j))))*Salcycl</f>
        <v>2.1973959584413071E-2</v>
      </c>
      <c r="P309" s="168">
        <f>(INDEX(Models!$BJ309:$BT309,,T309)*(1-R309)+INDEX(Models!$BJ309:$BT309,,T309+1)*R309-ERP_i)*Q309*Ramure*Pc/MaxiM</f>
        <v>6.6603156770701506E-4</v>
      </c>
      <c r="Q309" s="304">
        <f t="shared" si="105"/>
        <v>0.5</v>
      </c>
      <c r="R309" s="176">
        <f t="shared" si="106"/>
        <v>0.63365999737304368</v>
      </c>
      <c r="S309" s="814">
        <f t="shared" si="107"/>
        <v>1</v>
      </c>
      <c r="T309" s="175">
        <f t="shared" si="108"/>
        <v>7</v>
      </c>
      <c r="U309" s="250">
        <f t="shared" si="109"/>
        <v>1.6336599973730437</v>
      </c>
      <c r="V309" s="382">
        <f t="shared" si="110"/>
        <v>36.125805183046765</v>
      </c>
      <c r="W309" s="401">
        <f t="shared" si="111"/>
        <v>34.197204511714126</v>
      </c>
      <c r="X309" s="157">
        <f t="shared" si="112"/>
        <v>45586</v>
      </c>
      <c r="Y309" s="384">
        <f t="shared" si="113"/>
        <v>32.190111631064148</v>
      </c>
      <c r="Z309" s="384">
        <f t="shared" si="114"/>
        <v>33.837243339130758</v>
      </c>
      <c r="AA309" s="385">
        <f t="shared" si="115"/>
        <v>36.754682813561942</v>
      </c>
      <c r="AB309" s="196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7.9375993780980023E-2</v>
      </c>
      <c r="AD309" s="230">
        <f>(INDEX(Models!$BJ309:$BT309,,AH309)*(1-AF309)+INDEX(Models!$BJ309:$BT309,,AH309+1)*AF309-ERP_i)*AE309*Ramure*Pc/MaxiM</f>
        <v>6.6603156770701506E-4</v>
      </c>
      <c r="AE309" s="304">
        <f t="shared" si="117"/>
        <v>0.5</v>
      </c>
      <c r="AF309" s="176">
        <f t="shared" si="118"/>
        <v>0.63365999737304368</v>
      </c>
      <c r="AG309" s="814">
        <f t="shared" si="124"/>
        <v>1</v>
      </c>
      <c r="AH309" s="175">
        <f t="shared" si="119"/>
        <v>7</v>
      </c>
      <c r="AI309" s="224">
        <f t="shared" si="120"/>
        <v>1.6336599973730437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10">
        <f>'2023'!Wh/'2023'!Env_an*'2024'!Env_an</f>
        <v>19.133495173083482</v>
      </c>
      <c r="C310" s="843"/>
      <c r="D310" s="392">
        <f t="shared" si="102"/>
        <v>20.112974512362616</v>
      </c>
      <c r="E310" s="384">
        <f t="shared" si="125"/>
        <v>20.566356713594356</v>
      </c>
      <c r="F310" s="384">
        <f t="shared" si="103"/>
        <v>20.570934295874348</v>
      </c>
      <c r="G310" s="110">
        <f t="shared" si="126"/>
        <v>0.53425500873437226</v>
      </c>
      <c r="H310" s="413" t="b">
        <f>Wh_hp&gt;='2023'!Maxi_hp</f>
        <v>0</v>
      </c>
      <c r="I310" s="389">
        <f>IF(H310,Wh_hp,'2023'!Maxi_hp)</f>
        <v>38.121231488419959</v>
      </c>
      <c r="J310" s="85">
        <f>IF(H310,An,'2023'!An_max)</f>
        <v>2018</v>
      </c>
      <c r="K310" s="196">
        <f t="shared" si="104"/>
        <v>45587</v>
      </c>
      <c r="L310" s="147">
        <f>IF(t&lt;Tvie,1-EXP((T0-t)*PertePVj)+'2023'!Pspv,1-EXP((T0-t)*PertePVj)+Pspv)</f>
        <v>4.8698880350944031E-2</v>
      </c>
      <c r="M310" s="847"/>
      <c r="N310" s="847"/>
      <c r="O310" s="48">
        <f>IF(t&lt;Tnet,'2023'!Resal+('2023'!Salim-'2023'!Resal)*(1-EXP(('2023'!Tnet-t)/('2023'!Tau_j))),Resal+(Salim-Resal)*(1-EXP((Tnet-t)/(Tau_j))))*Salcycl</f>
        <v>2.2044847687196657E-2</v>
      </c>
      <c r="P310" s="168">
        <f>(INDEX(Models!$BJ310:$BT310,,T310)*(1-R310)+INDEX(Models!$BJ310:$BT310,,T310+1)*R310-ERP_i)*Q310*Ramure*Pc/MaxiM</f>
        <v>6.6428382321762015E-4</v>
      </c>
      <c r="Q310" s="304">
        <f t="shared" si="105"/>
        <v>0.5</v>
      </c>
      <c r="R310" s="176">
        <f t="shared" si="106"/>
        <v>0.63370872018213675</v>
      </c>
      <c r="S310" s="814">
        <f t="shared" si="107"/>
        <v>1</v>
      </c>
      <c r="T310" s="175">
        <f t="shared" si="108"/>
        <v>7</v>
      </c>
      <c r="U310" s="250">
        <f t="shared" si="109"/>
        <v>1.6337087201821368</v>
      </c>
      <c r="V310" s="382">
        <f t="shared" si="110"/>
        <v>35.797588457720884</v>
      </c>
      <c r="W310" s="401">
        <f t="shared" si="111"/>
        <v>19.133495173083482</v>
      </c>
      <c r="X310" s="157">
        <f t="shared" si="112"/>
        <v>45587</v>
      </c>
      <c r="Y310" s="384">
        <f t="shared" si="113"/>
        <v>18.012354259412223</v>
      </c>
      <c r="Z310" s="384">
        <f t="shared" si="114"/>
        <v>18.934440302201214</v>
      </c>
      <c r="AA310" s="385">
        <f t="shared" si="115"/>
        <v>20.566356713594356</v>
      </c>
      <c r="AB310" s="196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7.9348833345599099E-2</v>
      </c>
      <c r="AD310" s="230">
        <f>(INDEX(Models!$BJ310:$BT310,,AH310)*(1-AF310)+INDEX(Models!$BJ310:$BT310,,AH310+1)*AF310-ERP_i)*AE310*Ramure*Pc/MaxiM</f>
        <v>6.6428382321762015E-4</v>
      </c>
      <c r="AE310" s="304">
        <f t="shared" si="117"/>
        <v>0.5</v>
      </c>
      <c r="AF310" s="176">
        <f t="shared" si="118"/>
        <v>0.63370872018213675</v>
      </c>
      <c r="AG310" s="814">
        <f t="shared" si="124"/>
        <v>1</v>
      </c>
      <c r="AH310" s="175">
        <f t="shared" si="119"/>
        <v>7</v>
      </c>
      <c r="AI310" s="224">
        <f t="shared" si="120"/>
        <v>1.6337087201821368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10">
        <f>'2023'!Wh/'2023'!Env_an*'2024'!Env_an</f>
        <v>26.258774410386106</v>
      </c>
      <c r="C311" s="843"/>
      <c r="D311" s="392">
        <f t="shared" si="102"/>
        <v>27.603613923736059</v>
      </c>
      <c r="E311" s="384">
        <f t="shared" si="125"/>
        <v>28.227883279926118</v>
      </c>
      <c r="F311" s="384">
        <f t="shared" si="103"/>
        <v>28.23968912010271</v>
      </c>
      <c r="G311" s="110">
        <f t="shared" si="126"/>
        <v>0.74012167577131938</v>
      </c>
      <c r="H311" s="413" t="b">
        <f>Wh_hp&gt;='2023'!Maxi_hp</f>
        <v>0</v>
      </c>
      <c r="I311" s="389">
        <f>IF(H311,Wh_hp,'2023'!Maxi_hp)</f>
        <v>39.472897554741962</v>
      </c>
      <c r="J311" s="85">
        <f>IF(H311,An,'2023'!An_max)</f>
        <v>2021</v>
      </c>
      <c r="K311" s="196">
        <f t="shared" si="104"/>
        <v>45588</v>
      </c>
      <c r="L311" s="147">
        <f>IF(t&lt;Tvie,1-EXP((T0-t)*PertePVj)+'2023'!Pspv,1-EXP((T0-t)*PertePVj)+Pspv)</f>
        <v>4.8719690003834561E-2</v>
      </c>
      <c r="M311" s="847"/>
      <c r="N311" s="847"/>
      <c r="O311" s="48">
        <f>IF(t&lt;Tnet,'2023'!Resal+('2023'!Salim-'2023'!Resal)*(1-EXP(('2023'!Tnet-t)/('2023'!Tau_j))),Resal+(Salim-Resal)*(1-EXP((Tnet-t)/(Tau_j))))*Salcycl</f>
        <v>2.2115344250201046E-2</v>
      </c>
      <c r="P311" s="168">
        <f>(INDEX(Models!$BJ311:$BT311,,T311)*(1-R311)+INDEX(Models!$BJ311:$BT311,,T311+1)*R311-ERP_i)*Q311*Ramure*Pc/MaxiM</f>
        <v>6.6463331816328053E-4</v>
      </c>
      <c r="Q311" s="304">
        <f t="shared" si="105"/>
        <v>0.5</v>
      </c>
      <c r="R311" s="176">
        <f t="shared" si="106"/>
        <v>0.63375549618957239</v>
      </c>
      <c r="S311" s="814">
        <f t="shared" si="107"/>
        <v>1</v>
      </c>
      <c r="T311" s="175">
        <f t="shared" si="108"/>
        <v>7</v>
      </c>
      <c r="U311" s="250">
        <f t="shared" si="109"/>
        <v>1.6337554961895724</v>
      </c>
      <c r="V311" s="382">
        <f t="shared" si="110"/>
        <v>35.470244701021286</v>
      </c>
      <c r="W311" s="401">
        <f t="shared" si="111"/>
        <v>26.258774410386106</v>
      </c>
      <c r="X311" s="157">
        <f t="shared" si="112"/>
        <v>45588</v>
      </c>
      <c r="Y311" s="384">
        <f t="shared" si="113"/>
        <v>24.722653923619902</v>
      </c>
      <c r="Z311" s="384">
        <f t="shared" si="114"/>
        <v>25.98882123789523</v>
      </c>
      <c r="AA311" s="385">
        <f t="shared" si="115"/>
        <v>28.227883279926118</v>
      </c>
      <c r="AB311" s="196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7.9320933129377311E-2</v>
      </c>
      <c r="AD311" s="230">
        <f>(INDEX(Models!$BJ311:$BT311,,AH311)*(1-AF311)+INDEX(Models!$BJ311:$BT311,,AH311+1)*AF311-ERP_i)*AE311*Ramure*Pc/MaxiM</f>
        <v>6.6463331816328053E-4</v>
      </c>
      <c r="AE311" s="304">
        <f t="shared" si="117"/>
        <v>0.5</v>
      </c>
      <c r="AF311" s="176">
        <f t="shared" si="118"/>
        <v>0.63375549618957239</v>
      </c>
      <c r="AG311" s="814">
        <f t="shared" si="124"/>
        <v>1</v>
      </c>
      <c r="AH311" s="175">
        <f t="shared" si="119"/>
        <v>7</v>
      </c>
      <c r="AI311" s="224">
        <f t="shared" si="120"/>
        <v>1.6337554961895724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10">
        <f>'2023'!Wh/'2023'!Env_an*'2024'!Env_an</f>
        <v>22.35165199386735</v>
      </c>
      <c r="C312" s="843"/>
      <c r="D312" s="392">
        <f t="shared" si="102"/>
        <v>23.496902764274022</v>
      </c>
      <c r="E312" s="384">
        <f t="shared" si="125"/>
        <v>24.030019917093959</v>
      </c>
      <c r="F312" s="384">
        <f t="shared" si="103"/>
        <v>24.037716521430124</v>
      </c>
      <c r="G312" s="110">
        <f t="shared" si="126"/>
        <v>0.63576527382238956</v>
      </c>
      <c r="H312" s="413" t="b">
        <f>Wh_hp&gt;='2023'!Maxi_hp</f>
        <v>0</v>
      </c>
      <c r="I312" s="389">
        <f>IF(H312,Wh_hp,'2023'!Maxi_hp)</f>
        <v>37.235103928768822</v>
      </c>
      <c r="J312" s="85">
        <f>IF(H312,An,'2023'!An_max)</f>
        <v>2018</v>
      </c>
      <c r="K312" s="196">
        <f t="shared" si="104"/>
        <v>45589</v>
      </c>
      <c r="L312" s="147">
        <f>IF(t&lt;Tvie,1-EXP((T0-t)*PertePVj)+'2023'!Pspv,1-EXP((T0-t)*PertePVj)+Pspv)</f>
        <v>4.8740499200940347E-2</v>
      </c>
      <c r="M312" s="847"/>
      <c r="N312" s="847"/>
      <c r="O312" s="48">
        <f>IF(t&lt;Tnet,'2023'!Resal+('2023'!Salim-'2023'!Resal)*(1-EXP(('2023'!Tnet-t)/('2023'!Tau_j))),Resal+(Salim-Resal)*(1-EXP((Tnet-t)/(Tau_j))))*Salcycl</f>
        <v>2.2185464459007723E-2</v>
      </c>
      <c r="P312" s="168">
        <f>(INDEX(Models!$BJ312:$BT312,,T312)*(1-R312)+INDEX(Models!$BJ312:$BT312,,T312+1)*R312-ERP_i)*Q312*Ramure*Pc/MaxiM</f>
        <v>6.6708757663978943E-4</v>
      </c>
      <c r="Q312" s="304">
        <f t="shared" si="105"/>
        <v>0.5</v>
      </c>
      <c r="R312" s="176">
        <f t="shared" si="106"/>
        <v>0.63380040260841719</v>
      </c>
      <c r="S312" s="814">
        <f t="shared" si="107"/>
        <v>1</v>
      </c>
      <c r="T312" s="175">
        <f t="shared" si="108"/>
        <v>7</v>
      </c>
      <c r="U312" s="250">
        <f t="shared" si="109"/>
        <v>1.6338004026084172</v>
      </c>
      <c r="V312" s="382">
        <f t="shared" si="110"/>
        <v>35.144882343593309</v>
      </c>
      <c r="W312" s="401">
        <f t="shared" si="111"/>
        <v>22.35165199386735</v>
      </c>
      <c r="X312" s="157">
        <f t="shared" si="112"/>
        <v>45589</v>
      </c>
      <c r="Y312" s="384">
        <f t="shared" si="113"/>
        <v>21.046257904784181</v>
      </c>
      <c r="Z312" s="384">
        <f t="shared" si="114"/>
        <v>22.124623078250767</v>
      </c>
      <c r="AA312" s="385">
        <f t="shared" si="115"/>
        <v>24.030019917093959</v>
      </c>
      <c r="AB312" s="196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7.929235370661393E-2</v>
      </c>
      <c r="AD312" s="230">
        <f>(INDEX(Models!$BJ312:$BT312,,AH312)*(1-AF312)+INDEX(Models!$BJ312:$BT312,,AH312+1)*AF312-ERP_i)*AE312*Ramure*Pc/MaxiM</f>
        <v>6.6708757663978943E-4</v>
      </c>
      <c r="AE312" s="304">
        <f t="shared" si="117"/>
        <v>0.5</v>
      </c>
      <c r="AF312" s="176">
        <f t="shared" si="118"/>
        <v>0.63380040260841719</v>
      </c>
      <c r="AG312" s="814">
        <f t="shared" si="124"/>
        <v>1</v>
      </c>
      <c r="AH312" s="175">
        <f t="shared" si="119"/>
        <v>7</v>
      </c>
      <c r="AI312" s="224">
        <f t="shared" si="120"/>
        <v>1.6338004026084172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10">
        <f>'2023'!Wh/'2023'!Env_an*'2024'!Env_an</f>
        <v>17.882368299093613</v>
      </c>
      <c r="C313" s="843"/>
      <c r="D313" s="392">
        <f t="shared" si="102"/>
        <v>18.799033773962982</v>
      </c>
      <c r="E313" s="384">
        <f t="shared" si="125"/>
        <v>19.226933499078438</v>
      </c>
      <c r="F313" s="384">
        <f t="shared" si="103"/>
        <v>19.23087349637288</v>
      </c>
      <c r="G313" s="110">
        <f t="shared" si="126"/>
        <v>0.51328777103572198</v>
      </c>
      <c r="H313" s="413" t="b">
        <f>Wh_hp&gt;='2023'!Maxi_hp</f>
        <v>0</v>
      </c>
      <c r="I313" s="389">
        <f>IF(H313,Wh_hp,'2023'!Maxi_hp)</f>
        <v>37.759644135743372</v>
      </c>
      <c r="J313" s="85">
        <f>IF(H313,An,'2023'!An_max)</f>
        <v>2019</v>
      </c>
      <c r="K313" s="196">
        <f t="shared" si="104"/>
        <v>45590</v>
      </c>
      <c r="L313" s="147">
        <f>IF(t&lt;Tvie,1-EXP((T0-t)*PertePVj)+'2023'!Pspv,1-EXP((T0-t)*PertePVj)+Pspv)</f>
        <v>4.8761307942271272E-2</v>
      </c>
      <c r="M313" s="847"/>
      <c r="N313" s="847"/>
      <c r="O313" s="48">
        <f>IF(t&lt;Tnet,'2023'!Resal+('2023'!Salim-'2023'!Resal)*(1-EXP(('2023'!Tnet-t)/('2023'!Tau_j))),Resal+(Salim-Resal)*(1-EXP((Tnet-t)/(Tau_j))))*Salcycl</f>
        <v>2.2255224689676344E-2</v>
      </c>
      <c r="P313" s="168">
        <f>(INDEX(Models!$BJ313:$BT313,,T313)*(1-R313)+INDEX(Models!$BJ313:$BT313,,T313+1)*R313-ERP_i)*Q313*Ramure*Pc/MaxiM</f>
        <v>6.7164703147691129E-4</v>
      </c>
      <c r="Q313" s="304">
        <f t="shared" si="105"/>
        <v>0.5</v>
      </c>
      <c r="R313" s="176">
        <f t="shared" si="106"/>
        <v>0.63384351363455504</v>
      </c>
      <c r="S313" s="814">
        <f t="shared" si="107"/>
        <v>1</v>
      </c>
      <c r="T313" s="175">
        <f t="shared" si="108"/>
        <v>7</v>
      </c>
      <c r="U313" s="250">
        <f t="shared" si="109"/>
        <v>1.633843513634555</v>
      </c>
      <c r="V313" s="382">
        <f t="shared" si="110"/>
        <v>34.822609605958561</v>
      </c>
      <c r="W313" s="401">
        <f t="shared" si="111"/>
        <v>17.882368299093613</v>
      </c>
      <c r="X313" s="157">
        <f t="shared" si="112"/>
        <v>45590</v>
      </c>
      <c r="Y313" s="384">
        <f t="shared" si="113"/>
        <v>16.839727209688853</v>
      </c>
      <c r="Z313" s="384">
        <f t="shared" si="114"/>
        <v>17.702946011648237</v>
      </c>
      <c r="AA313" s="385">
        <f t="shared" si="115"/>
        <v>19.226933499078438</v>
      </c>
      <c r="AB313" s="196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7.9263159021340998E-2</v>
      </c>
      <c r="AD313" s="230">
        <f>(INDEX(Models!$BJ313:$BT313,,AH313)*(1-AF313)+INDEX(Models!$BJ313:$BT313,,AH313+1)*AF313-ERP_i)*AE313*Ramure*Pc/MaxiM</f>
        <v>6.7164703147691129E-4</v>
      </c>
      <c r="AE313" s="304">
        <f t="shared" si="117"/>
        <v>0.5</v>
      </c>
      <c r="AF313" s="176">
        <f t="shared" si="118"/>
        <v>0.63384351363455504</v>
      </c>
      <c r="AG313" s="814">
        <f t="shared" si="124"/>
        <v>1</v>
      </c>
      <c r="AH313" s="175">
        <f t="shared" si="119"/>
        <v>7</v>
      </c>
      <c r="AI313" s="224">
        <f t="shared" si="120"/>
        <v>1.633843513634555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10">
        <f>'2023'!Wh/'2023'!Env_an*'2024'!Env_an</f>
        <v>14.008126124885312</v>
      </c>
      <c r="C314" s="843"/>
      <c r="D314" s="392">
        <f t="shared" si="102"/>
        <v>14.726516777979928</v>
      </c>
      <c r="E314" s="384">
        <f t="shared" si="125"/>
        <v>15.062788137662459</v>
      </c>
      <c r="F314" s="384">
        <f t="shared" si="103"/>
        <v>15.06433517602205</v>
      </c>
      <c r="G314" s="110">
        <f t="shared" si="126"/>
        <v>0.4057455722381208</v>
      </c>
      <c r="H314" s="413" t="b">
        <f>Wh_hp&gt;='2023'!Maxi_hp</f>
        <v>0</v>
      </c>
      <c r="I314" s="389">
        <f>IF(H314,Wh_hp,'2023'!Maxi_hp)</f>
        <v>36.161643424321802</v>
      </c>
      <c r="J314" s="85">
        <f>IF(H314,An,'2023'!An_max)</f>
        <v>2021</v>
      </c>
      <c r="K314" s="196">
        <f t="shared" si="104"/>
        <v>45591</v>
      </c>
      <c r="L314" s="147">
        <f>IF(t&lt;Tvie,1-EXP((T0-t)*PertePVj)+'2023'!Pspv,1-EXP((T0-t)*PertePVj)+Pspv)</f>
        <v>4.8782116227837437E-2</v>
      </c>
      <c r="M314" s="847"/>
      <c r="N314" s="847"/>
      <c r="O314" s="48">
        <f>IF(t&lt;Tnet,'2023'!Resal+('2023'!Salim-'2023'!Resal)*(1-EXP(('2023'!Tnet-t)/('2023'!Tau_j))),Resal+(Salim-Resal)*(1-EXP((Tnet-t)/(Tau_j))))*Salcycl</f>
        <v>2.2324642463882896E-2</v>
      </c>
      <c r="P314" s="168">
        <f>(INDEX(Models!$BJ314:$BT314,,T314)*(1-R314)+INDEX(Models!$BJ314:$BT314,,T314+1)*R314-ERP_i)*Q314*Ramure*Pc/MaxiM</f>
        <v>6.7830992568009756E-4</v>
      </c>
      <c r="Q314" s="304">
        <f t="shared" si="105"/>
        <v>0.5</v>
      </c>
      <c r="R314" s="176">
        <f t="shared" si="106"/>
        <v>0.63388490056102142</v>
      </c>
      <c r="S314" s="814">
        <f t="shared" si="107"/>
        <v>1</v>
      </c>
      <c r="T314" s="175">
        <f t="shared" si="108"/>
        <v>7</v>
      </c>
      <c r="U314" s="250">
        <f t="shared" si="109"/>
        <v>1.6338849005610214</v>
      </c>
      <c r="V314" s="382">
        <f t="shared" si="110"/>
        <v>34.504534304688676</v>
      </c>
      <c r="W314" s="401">
        <f t="shared" si="111"/>
        <v>14.008126124885312</v>
      </c>
      <c r="X314" s="157">
        <f t="shared" si="112"/>
        <v>45591</v>
      </c>
      <c r="Y314" s="384">
        <f t="shared" si="113"/>
        <v>13.192737587590743</v>
      </c>
      <c r="Z314" s="384">
        <f t="shared" si="114"/>
        <v>13.869311976424838</v>
      </c>
      <c r="AA314" s="385">
        <f t="shared" si="115"/>
        <v>15.062788137662459</v>
      </c>
      <c r="AB314" s="196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7.9233416173032117E-2</v>
      </c>
      <c r="AD314" s="230">
        <f>(INDEX(Models!$BJ314:$BT314,,AH314)*(1-AF314)+INDEX(Models!$BJ314:$BT314,,AH314+1)*AF314-ERP_i)*AE314*Ramure*Pc/MaxiM</f>
        <v>6.7830992568009756E-4</v>
      </c>
      <c r="AE314" s="304">
        <f t="shared" si="117"/>
        <v>0.5</v>
      </c>
      <c r="AF314" s="176">
        <f t="shared" si="118"/>
        <v>0.63388490056102142</v>
      </c>
      <c r="AG314" s="814">
        <f t="shared" si="124"/>
        <v>1</v>
      </c>
      <c r="AH314" s="175">
        <f t="shared" si="119"/>
        <v>7</v>
      </c>
      <c r="AI314" s="224">
        <f t="shared" si="120"/>
        <v>1.6338849005610214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10">
        <f>'2023'!Wh/'2023'!Env_an*'2024'!Env_an</f>
        <v>18.455625592641947</v>
      </c>
      <c r="C315" s="843"/>
      <c r="D315" s="392">
        <f t="shared" si="102"/>
        <v>19.402525574795266</v>
      </c>
      <c r="E315" s="384">
        <f t="shared" si="125"/>
        <v>19.846973466871013</v>
      </c>
      <c r="F315" s="384">
        <f t="shared" si="103"/>
        <v>19.851645350703283</v>
      </c>
      <c r="G315" s="110">
        <f t="shared" si="126"/>
        <v>0.53952427599522135</v>
      </c>
      <c r="H315" s="413" t="b">
        <f>Wh_hp&gt;='2023'!Maxi_hp</f>
        <v>0</v>
      </c>
      <c r="I315" s="389">
        <f>IF(H315,Wh_hp,'2023'!Maxi_hp)</f>
        <v>36.883267903412836</v>
      </c>
      <c r="J315" s="85">
        <f>IF(H315,An,'2023'!An_max)</f>
        <v>2021</v>
      </c>
      <c r="K315" s="196">
        <f t="shared" si="104"/>
        <v>45592</v>
      </c>
      <c r="L315" s="147">
        <f>IF(t&lt;Tvie,1-EXP((T0-t)*PertePVj)+'2023'!Pspv,1-EXP((T0-t)*PertePVj)+Pspv)</f>
        <v>4.8802924057648613E-2</v>
      </c>
      <c r="M315" s="847"/>
      <c r="N315" s="847"/>
      <c r="O315" s="48">
        <f>IF(t&lt;Tnet,'2023'!Resal+('2023'!Salim-'2023'!Resal)*(1-EXP(('2023'!Tnet-t)/('2023'!Tau_j))),Resal+(Salim-Resal)*(1-EXP((Tnet-t)/(Tau_j))))*Salcycl</f>
        <v>2.2393736396011724E-2</v>
      </c>
      <c r="P315" s="168">
        <f>(INDEX(Models!$BJ315:$BT315,,T315)*(1-R315)+INDEX(Models!$BJ315:$BT315,,T315+1)*R315-ERP_i)*Q315*Ramure*Pc/MaxiM</f>
        <v>6.8707168324438125E-4</v>
      </c>
      <c r="Q315" s="304">
        <f t="shared" si="105"/>
        <v>0.5</v>
      </c>
      <c r="R315" s="176">
        <f t="shared" si="106"/>
        <v>0.63392463188829051</v>
      </c>
      <c r="S315" s="814">
        <f t="shared" si="107"/>
        <v>1</v>
      </c>
      <c r="T315" s="175">
        <f t="shared" si="108"/>
        <v>7</v>
      </c>
      <c r="U315" s="250">
        <f t="shared" si="109"/>
        <v>1.6339246318882905</v>
      </c>
      <c r="V315" s="382">
        <f t="shared" si="110"/>
        <v>34.191763851762957</v>
      </c>
      <c r="W315" s="401">
        <f t="shared" si="111"/>
        <v>18.455625592641947</v>
      </c>
      <c r="X315" s="157">
        <f t="shared" si="112"/>
        <v>45592</v>
      </c>
      <c r="Y315" s="384">
        <f t="shared" si="113"/>
        <v>17.38315486445055</v>
      </c>
      <c r="Z315" s="384">
        <f t="shared" si="114"/>
        <v>18.275029753670186</v>
      </c>
      <c r="AA315" s="385">
        <f t="shared" si="115"/>
        <v>19.846973466871013</v>
      </c>
      <c r="AB315" s="196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7.9203195178587246E-2</v>
      </c>
      <c r="AD315" s="230">
        <f>(INDEX(Models!$BJ315:$BT315,,AH315)*(1-AF315)+INDEX(Models!$BJ315:$BT315,,AH315+1)*AF315-ERP_i)*AE315*Ramure*Pc/MaxiM</f>
        <v>6.8707168324438125E-4</v>
      </c>
      <c r="AE315" s="304">
        <f t="shared" si="117"/>
        <v>0.5</v>
      </c>
      <c r="AF315" s="176">
        <f t="shared" si="118"/>
        <v>0.63392463188829051</v>
      </c>
      <c r="AG315" s="814">
        <f t="shared" si="124"/>
        <v>1</v>
      </c>
      <c r="AH315" s="175">
        <f t="shared" si="119"/>
        <v>7</v>
      </c>
      <c r="AI315" s="224">
        <f t="shared" si="120"/>
        <v>1.6339246318882905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10">
        <f>'2023'!Wh/'2023'!Env_an*'2024'!Env_an</f>
        <v>27.248276006475621</v>
      </c>
      <c r="C316" s="843"/>
      <c r="D316" s="392">
        <f t="shared" si="102"/>
        <v>28.646925819007087</v>
      </c>
      <c r="E316" s="384">
        <f t="shared" si="125"/>
        <v>29.305194516652687</v>
      </c>
      <c r="F316" s="384">
        <f t="shared" si="103"/>
        <v>29.319931747374095</v>
      </c>
      <c r="G316" s="110">
        <f t="shared" si="126"/>
        <v>0.80397303303899859</v>
      </c>
      <c r="H316" s="413" t="b">
        <f>Wh_hp&gt;='2023'!Maxi_hp</f>
        <v>0</v>
      </c>
      <c r="I316" s="389">
        <f>IF(H316,Wh_hp,'2023'!Maxi_hp)</f>
        <v>30.389582180422003</v>
      </c>
      <c r="J316" s="85">
        <f>IF(H316,An,'2023'!An_max)</f>
        <v>2019</v>
      </c>
      <c r="K316" s="196">
        <f t="shared" si="104"/>
        <v>45593</v>
      </c>
      <c r="L316" s="147">
        <f>IF(t&lt;Tvie,1-EXP((T0-t)*PertePVj)+'2023'!Pspv,1-EXP((T0-t)*PertePVj)+Pspv)</f>
        <v>4.8823731431715013E-2</v>
      </c>
      <c r="M316" s="847"/>
      <c r="N316" s="847"/>
      <c r="O316" s="48">
        <f>IF(t&lt;Tnet,'2023'!Resal+('2023'!Salim-'2023'!Resal)*(1-EXP(('2023'!Tnet-t)/('2023'!Tau_j))),Resal+(Salim-Resal)*(1-EXP((Tnet-t)/(Tau_j))))*Salcycl</f>
        <v>2.2462526132407679E-2</v>
      </c>
      <c r="P316" s="168">
        <f>(INDEX(Models!$BJ316:$BT316,,T316)*(1-R316)+INDEX(Models!$BJ316:$BT316,,T316+1)*R316-ERP_i)*Q316*Ramure*Pc/MaxiM</f>
        <v>6.9792426249248201E-4</v>
      </c>
      <c r="Q316" s="304">
        <f t="shared" si="105"/>
        <v>0.5</v>
      </c>
      <c r="R316" s="176">
        <f t="shared" si="106"/>
        <v>0.63396277343063234</v>
      </c>
      <c r="S316" s="814">
        <f t="shared" si="107"/>
        <v>1</v>
      </c>
      <c r="T316" s="175">
        <f t="shared" si="108"/>
        <v>7</v>
      </c>
      <c r="U316" s="250">
        <f t="shared" si="109"/>
        <v>1.6339627734306323</v>
      </c>
      <c r="V316" s="382">
        <f t="shared" si="110"/>
        <v>33.885405258065674</v>
      </c>
      <c r="W316" s="401">
        <f t="shared" si="111"/>
        <v>27.248276006475621</v>
      </c>
      <c r="X316" s="157">
        <f t="shared" si="112"/>
        <v>45593</v>
      </c>
      <c r="Y316" s="384">
        <f t="shared" si="113"/>
        <v>25.667517279722826</v>
      </c>
      <c r="Z316" s="384">
        <f t="shared" si="114"/>
        <v>26.985026990168389</v>
      </c>
      <c r="AA316" s="385">
        <f t="shared" si="115"/>
        <v>29.305194516652687</v>
      </c>
      <c r="AB316" s="196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7.9172568711866481E-2</v>
      </c>
      <c r="AD316" s="230">
        <f>(INDEX(Models!$BJ316:$BT316,,AH316)*(1-AF316)+INDEX(Models!$BJ316:$BT316,,AH316+1)*AF316-ERP_i)*AE316*Ramure*Pc/MaxiM</f>
        <v>6.9792426249248201E-4</v>
      </c>
      <c r="AE316" s="304">
        <f t="shared" si="117"/>
        <v>0.5</v>
      </c>
      <c r="AF316" s="176">
        <f t="shared" si="118"/>
        <v>0.63396277343063234</v>
      </c>
      <c r="AG316" s="814">
        <f t="shared" si="124"/>
        <v>1</v>
      </c>
      <c r="AH316" s="175">
        <f t="shared" si="119"/>
        <v>7</v>
      </c>
      <c r="AI316" s="224">
        <f t="shared" si="120"/>
        <v>1.6339627734306323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10">
        <f>'2023'!Wh/'2023'!Env_an*'2024'!Env_an</f>
        <v>22.879611389178322</v>
      </c>
      <c r="C317" s="843"/>
      <c r="D317" s="392">
        <f t="shared" si="102"/>
        <v>24.054544511040749</v>
      </c>
      <c r="E317" s="384">
        <f t="shared" si="125"/>
        <v>24.609010930776336</v>
      </c>
      <c r="F317" s="384">
        <f t="shared" si="103"/>
        <v>24.61854357470434</v>
      </c>
      <c r="G317" s="110">
        <f t="shared" si="126"/>
        <v>0.68104877297259458</v>
      </c>
      <c r="H317" s="413" t="b">
        <f>Wh_hp&gt;='2023'!Maxi_hp</f>
        <v>0</v>
      </c>
      <c r="I317" s="389">
        <f>IF(H317,Wh_hp,'2023'!Maxi_hp)</f>
        <v>32.225870251285528</v>
      </c>
      <c r="J317" s="85">
        <f>IF(H317,An,'2023'!An_max)</f>
        <v>2018</v>
      </c>
      <c r="K317" s="196">
        <f t="shared" si="104"/>
        <v>45594</v>
      </c>
      <c r="L317" s="147">
        <f>IF(t&lt;Tvie,1-EXP((T0-t)*PertePVj)+'2023'!Pspv,1-EXP((T0-t)*PertePVj)+Pspv)</f>
        <v>4.8844538350046408E-2</v>
      </c>
      <c r="M317" s="847"/>
      <c r="N317" s="847"/>
      <c r="O317" s="48">
        <f>IF(t&lt;Tnet,'2023'!Resal+('2023'!Salim-'2023'!Resal)*(1-EXP(('2023'!Tnet-t)/('2023'!Tau_j))),Resal+(Salim-Resal)*(1-EXP((Tnet-t)/(Tau_j))))*Salcycl</f>
        <v>2.2531032283063565E-2</v>
      </c>
      <c r="P317" s="168">
        <f>(INDEX(Models!$BJ317:$BT317,,T317)*(1-R317)+INDEX(Models!$BJ317:$BT317,,T317+1)*R317-ERP_i)*Q317*Ramure*Pc/MaxiM</f>
        <v>7.1091408736557202E-4</v>
      </c>
      <c r="Q317" s="304">
        <f t="shared" si="105"/>
        <v>0.5</v>
      </c>
      <c r="R317" s="176">
        <f t="shared" si="106"/>
        <v>0.63399938841865788</v>
      </c>
      <c r="S317" s="814">
        <f t="shared" si="107"/>
        <v>1</v>
      </c>
      <c r="T317" s="175">
        <f t="shared" si="108"/>
        <v>7</v>
      </c>
      <c r="U317" s="250">
        <f t="shared" si="109"/>
        <v>1.6339993884186579</v>
      </c>
      <c r="V317" s="382">
        <f t="shared" si="110"/>
        <v>33.583795015921979</v>
      </c>
      <c r="W317" s="401">
        <f t="shared" si="111"/>
        <v>22.879611389178322</v>
      </c>
      <c r="X317" s="157">
        <f t="shared" si="112"/>
        <v>45594</v>
      </c>
      <c r="Y317" s="384">
        <f t="shared" si="113"/>
        <v>21.554527828318125</v>
      </c>
      <c r="Z317" s="384">
        <f t="shared" si="114"/>
        <v>22.661414140363391</v>
      </c>
      <c r="AA317" s="385">
        <f t="shared" si="115"/>
        <v>24.609010930776336</v>
      </c>
      <c r="AB317" s="196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7.9141611822247396E-2</v>
      </c>
      <c r="AD317" s="230">
        <f>(INDEX(Models!$BJ317:$BT317,,AH317)*(1-AF317)+INDEX(Models!$BJ317:$BT317,,AH317+1)*AF317-ERP_i)*AE317*Ramure*Pc/MaxiM</f>
        <v>7.1091408736557202E-4</v>
      </c>
      <c r="AE317" s="304">
        <f t="shared" si="117"/>
        <v>0.5</v>
      </c>
      <c r="AF317" s="176">
        <f t="shared" si="118"/>
        <v>0.63399938841865788</v>
      </c>
      <c r="AG317" s="814">
        <f t="shared" si="124"/>
        <v>1</v>
      </c>
      <c r="AH317" s="175">
        <f t="shared" si="119"/>
        <v>7</v>
      </c>
      <c r="AI317" s="224">
        <f t="shared" si="120"/>
        <v>1.6339993884186579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10">
        <f>'2023'!Wh/'2023'!Env_an*'2024'!Env_an</f>
        <v>21.989208698416487</v>
      </c>
      <c r="C318" s="843"/>
      <c r="D318" s="392">
        <f t="shared" si="102"/>
        <v>23.118922834417411</v>
      </c>
      <c r="E318" s="384">
        <f t="shared" si="125"/>
        <v>23.653474235203767</v>
      </c>
      <c r="F318" s="384">
        <f t="shared" si="103"/>
        <v>23.662339960719589</v>
      </c>
      <c r="G318" s="110">
        <f t="shared" si="126"/>
        <v>0.66041122078648107</v>
      </c>
      <c r="H318" s="413" t="b">
        <f>Wh_hp&gt;='2023'!Maxi_hp</f>
        <v>0</v>
      </c>
      <c r="I318" s="389">
        <f>IF(H318,Wh_hp,'2023'!Maxi_hp)</f>
        <v>35.005693815920047</v>
      </c>
      <c r="J318" s="85">
        <f>IF(H318,An,'2023'!An_max)</f>
        <v>2020</v>
      </c>
      <c r="K318" s="196">
        <f t="shared" si="104"/>
        <v>45595</v>
      </c>
      <c r="L318" s="147">
        <f>IF(t&lt;Tvie,1-EXP((T0-t)*PertePVj)+'2023'!Pspv,1-EXP((T0-t)*PertePVj)+Pspv)</f>
        <v>4.8865344812653012E-2</v>
      </c>
      <c r="M318" s="847"/>
      <c r="N318" s="847"/>
      <c r="O318" s="48">
        <f>IF(t&lt;Tnet,'2023'!Resal+('2023'!Salim-'2023'!Resal)*(1-EXP(('2023'!Tnet-t)/('2023'!Tau_j))),Resal+(Salim-Resal)*(1-EXP((Tnet-t)/(Tau_j))))*Salcycl</f>
        <v>2.2599276346084239E-2</v>
      </c>
      <c r="P318" s="168">
        <f>(INDEX(Models!$BJ318:$BT318,,T318)*(1-R318)+INDEX(Models!$BJ318:$BT318,,T318+1)*R318-ERP_i)*Q318*Ramure*Pc/MaxiM</f>
        <v>7.2723646958333568E-4</v>
      </c>
      <c r="Q318" s="304">
        <f t="shared" si="105"/>
        <v>0.5</v>
      </c>
      <c r="R318" s="176">
        <f t="shared" si="106"/>
        <v>0.63403453759817441</v>
      </c>
      <c r="S318" s="814">
        <f t="shared" si="107"/>
        <v>1</v>
      </c>
      <c r="T318" s="175">
        <f t="shared" si="108"/>
        <v>7</v>
      </c>
      <c r="U318" s="250">
        <f t="shared" si="109"/>
        <v>1.6340345375981744</v>
      </c>
      <c r="V318" s="382">
        <f t="shared" si="110"/>
        <v>33.284493946536756</v>
      </c>
      <c r="W318" s="401">
        <f t="shared" si="111"/>
        <v>21.989208698416487</v>
      </c>
      <c r="X318" s="157">
        <f t="shared" si="112"/>
        <v>45595</v>
      </c>
      <c r="Y318" s="384">
        <f t="shared" si="113"/>
        <v>20.717841798778824</v>
      </c>
      <c r="Z318" s="384">
        <f t="shared" si="114"/>
        <v>21.782238388420396</v>
      </c>
      <c r="AA318" s="385">
        <f t="shared" si="115"/>
        <v>23.653474235203767</v>
      </c>
      <c r="AB318" s="196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7.911040163387012E-2</v>
      </c>
      <c r="AD318" s="230">
        <f>(INDEX(Models!$BJ318:$BT318,,AH318)*(1-AF318)+INDEX(Models!$BJ318:$BT318,,AH318+1)*AF318-ERP_i)*AE318*Ramure*Pc/MaxiM</f>
        <v>7.2723646958333568E-4</v>
      </c>
      <c r="AE318" s="304">
        <f t="shared" si="117"/>
        <v>0.5</v>
      </c>
      <c r="AF318" s="176">
        <f t="shared" si="118"/>
        <v>0.63403453759817441</v>
      </c>
      <c r="AG318" s="814">
        <f t="shared" si="124"/>
        <v>1</v>
      </c>
      <c r="AH318" s="175">
        <f t="shared" si="119"/>
        <v>7</v>
      </c>
      <c r="AI318" s="224">
        <f t="shared" si="120"/>
        <v>1.6340345375981744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10">
        <f>'2023'!Wh/'2023'!Env_an*'2024'!Env_an</f>
        <v>20.892196133250181</v>
      </c>
      <c r="C319" s="843"/>
      <c r="D319" s="392">
        <f t="shared" si="102"/>
        <v>21.966030829276981</v>
      </c>
      <c r="E319" s="384">
        <f t="shared" si="125"/>
        <v>22.475489046689923</v>
      </c>
      <c r="F319" s="384">
        <f t="shared" si="103"/>
        <v>22.483482377344064</v>
      </c>
      <c r="G319" s="110">
        <f t="shared" si="126"/>
        <v>0.63308873189056947</v>
      </c>
      <c r="H319" s="413" t="b">
        <f>Wh_hp&gt;='2023'!Maxi_hp</f>
        <v>0</v>
      </c>
      <c r="I319" s="389">
        <f>IF(H319,Wh_hp,'2023'!Maxi_hp)</f>
        <v>32.902406059457448</v>
      </c>
      <c r="J319" s="85">
        <f>IF(H319,An,'2023'!An_max)</f>
        <v>2020</v>
      </c>
      <c r="K319" s="196">
        <f t="shared" si="104"/>
        <v>45596</v>
      </c>
      <c r="L319" s="147">
        <f>IF(t&lt;Tvie,1-EXP((T0-t)*PertePVj)+'2023'!Pspv,1-EXP((T0-t)*PertePVj)+Pspv)</f>
        <v>4.8886150819544595E-2</v>
      </c>
      <c r="M319" s="847"/>
      <c r="N319" s="847"/>
      <c r="O319" s="48">
        <f>IF(t&lt;Tnet,'2023'!Resal+('2023'!Salim-'2023'!Resal)*(1-EXP(('2023'!Tnet-t)/('2023'!Tau_j))),Resal+(Salim-Resal)*(1-EXP((Tnet-t)/(Tau_j))))*Salcycl</f>
        <v>2.2667280625333939E-2</v>
      </c>
      <c r="P319" s="168">
        <f>(INDEX(Models!$BJ319:$BT319,,T319)*(1-R319)+INDEX(Models!$BJ319:$BT319,,T319+1)*R319-ERP_i)*Q319*Ramure*Pc/MaxiM</f>
        <v>7.4658519709825788E-4</v>
      </c>
      <c r="Q319" s="304">
        <f t="shared" si="105"/>
        <v>0.5</v>
      </c>
      <c r="R319" s="176">
        <f t="shared" si="106"/>
        <v>0.63406827932545951</v>
      </c>
      <c r="S319" s="814">
        <f t="shared" si="107"/>
        <v>1</v>
      </c>
      <c r="T319" s="175">
        <f t="shared" si="108"/>
        <v>7</v>
      </c>
      <c r="U319" s="250">
        <f t="shared" si="109"/>
        <v>1.6340682793254595</v>
      </c>
      <c r="V319" s="382">
        <f t="shared" si="110"/>
        <v>32.987513388789779</v>
      </c>
      <c r="W319" s="401">
        <f t="shared" si="111"/>
        <v>20.892196133250181</v>
      </c>
      <c r="X319" s="157">
        <f t="shared" si="112"/>
        <v>45596</v>
      </c>
      <c r="Y319" s="384">
        <f t="shared" si="113"/>
        <v>19.686296609203207</v>
      </c>
      <c r="Z319" s="384">
        <f t="shared" si="114"/>
        <v>20.698149465667296</v>
      </c>
      <c r="AA319" s="385">
        <f t="shared" si="115"/>
        <v>22.475489046689923</v>
      </c>
      <c r="AB319" s="196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7.907901702741299E-2</v>
      </c>
      <c r="AD319" s="230">
        <f>(INDEX(Models!$BJ319:$BT319,,AH319)*(1-AF319)+INDEX(Models!$BJ319:$BT319,,AH319+1)*AF319-ERP_i)*AE319*Ramure*Pc/MaxiM</f>
        <v>7.4658519709825788E-4</v>
      </c>
      <c r="AE319" s="304">
        <f t="shared" si="117"/>
        <v>0.5</v>
      </c>
      <c r="AF319" s="176">
        <f t="shared" si="118"/>
        <v>0.63406827932545951</v>
      </c>
      <c r="AG319" s="814">
        <f t="shared" si="124"/>
        <v>1</v>
      </c>
      <c r="AH319" s="175">
        <f t="shared" si="119"/>
        <v>7</v>
      </c>
      <c r="AI319" s="224">
        <f t="shared" si="120"/>
        <v>1.6340682793254595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10">
        <f>'2023'!Wh/'2023'!Env_an*'2024'!Env_an</f>
        <v>30.144181077386406</v>
      </c>
      <c r="C320" s="843"/>
      <c r="D320" s="392">
        <f t="shared" si="102"/>
        <v>31.694250398845792</v>
      </c>
      <c r="E320" s="384">
        <f t="shared" si="125"/>
        <v>32.431584686641052</v>
      </c>
      <c r="F320" s="384">
        <f t="shared" si="103"/>
        <v>32.453761664007423</v>
      </c>
      <c r="G320" s="110">
        <f t="shared" si="126"/>
        <v>0.92196288952758532</v>
      </c>
      <c r="H320" s="413" t="b">
        <f>Wh_hp&gt;='2023'!Maxi_hp</f>
        <v>0</v>
      </c>
      <c r="I320" s="389">
        <f>IF(H320,Wh_hp,'2023'!Maxi_hp)</f>
        <v>32.454853760099304</v>
      </c>
      <c r="J320" s="85">
        <f>IF(H320,An,'2023'!An_max)</f>
        <v>2022</v>
      </c>
      <c r="K320" s="196">
        <f t="shared" si="104"/>
        <v>45597</v>
      </c>
      <c r="L320" s="147">
        <f>IF(t&lt;Tvie,1-EXP((T0-t)*PertePVj)+'2023'!Pspv,1-EXP((T0-t)*PertePVj)+Pspv)</f>
        <v>4.8906956370731371E-2</v>
      </c>
      <c r="M320" s="847"/>
      <c r="N320" s="847"/>
      <c r="O320" s="48">
        <f>IF(t&lt;Tnet,'2023'!Resal+('2023'!Salim-'2023'!Resal)*(1-EXP(('2023'!Tnet-t)/('2023'!Tau_j))),Resal+(Salim-Resal)*(1-EXP((Tnet-t)/(Tau_j))))*Salcycl</f>
        <v>2.2735068141735728E-2</v>
      </c>
      <c r="P320" s="168">
        <f>(INDEX(Models!$BJ320:$BT320,,T320)*(1-R320)+INDEX(Models!$BJ320:$BT320,,T320+1)*R320-ERP_i)*Q320*Ramure*Pc/MaxiM</f>
        <v>7.6898117158079554E-4</v>
      </c>
      <c r="Q320" s="304">
        <f t="shared" si="105"/>
        <v>0.5</v>
      </c>
      <c r="R320" s="176">
        <f t="shared" si="106"/>
        <v>0.63410066965907186</v>
      </c>
      <c r="S320" s="814">
        <f t="shared" si="107"/>
        <v>1</v>
      </c>
      <c r="T320" s="175">
        <f t="shared" si="108"/>
        <v>7</v>
      </c>
      <c r="U320" s="250">
        <f t="shared" si="109"/>
        <v>1.6341006696590719</v>
      </c>
      <c r="V320" s="382">
        <f t="shared" si="110"/>
        <v>32.692853577574397</v>
      </c>
      <c r="W320" s="401">
        <f t="shared" si="111"/>
        <v>30.144181077386406</v>
      </c>
      <c r="X320" s="157">
        <f t="shared" si="112"/>
        <v>45597</v>
      </c>
      <c r="Y320" s="384">
        <f t="shared" si="113"/>
        <v>28.407197336108659</v>
      </c>
      <c r="Z320" s="384">
        <f t="shared" si="114"/>
        <v>29.867947753786375</v>
      </c>
      <c r="AA320" s="385">
        <f t="shared" si="115"/>
        <v>32.431584686641052</v>
      </c>
      <c r="AB320" s="196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7.904753830640511E-2</v>
      </c>
      <c r="AD320" s="230">
        <f>(INDEX(Models!$BJ320:$BT320,,AH320)*(1-AF320)+INDEX(Models!$BJ320:$BT320,,AH320+1)*AF320-ERP_i)*AE320*Ramure*Pc/MaxiM</f>
        <v>7.6898117158079554E-4</v>
      </c>
      <c r="AE320" s="304">
        <f t="shared" si="117"/>
        <v>0.5</v>
      </c>
      <c r="AF320" s="176">
        <f t="shared" si="118"/>
        <v>0.63410066965907186</v>
      </c>
      <c r="AG320" s="814">
        <f t="shared" si="124"/>
        <v>1</v>
      </c>
      <c r="AH320" s="175">
        <f t="shared" si="119"/>
        <v>7</v>
      </c>
      <c r="AI320" s="224">
        <f t="shared" si="120"/>
        <v>1.6341006696590719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10">
        <f>'2023'!Wh/'2023'!Env_an*'2024'!Env_an</f>
        <v>9.7265271018052282</v>
      </c>
      <c r="C321" s="843"/>
      <c r="D321" s="392">
        <f t="shared" si="102"/>
        <v>10.226906756105251</v>
      </c>
      <c r="E321" s="384">
        <f t="shared" si="125"/>
        <v>10.46554914146069</v>
      </c>
      <c r="F321" s="384">
        <f t="shared" si="103"/>
        <v>10.465551477598307</v>
      </c>
      <c r="G321" s="110">
        <f t="shared" si="126"/>
        <v>0.29995826165293776</v>
      </c>
      <c r="H321" s="413" t="b">
        <f>Wh_hp&gt;='2023'!Maxi_hp</f>
        <v>0</v>
      </c>
      <c r="I321" s="389">
        <f>IF(H321,Wh_hp,'2023'!Maxi_hp)</f>
        <v>31.704368019491852</v>
      </c>
      <c r="J321" s="85">
        <f>IF(H321,An,'2023'!An_max)</f>
        <v>2020</v>
      </c>
      <c r="K321" s="196">
        <f t="shared" si="104"/>
        <v>45598</v>
      </c>
      <c r="L321" s="147">
        <f>IF(t&lt;Tvie,1-EXP((T0-t)*PertePVj)+'2023'!Pspv,1-EXP((T0-t)*PertePVj)+Pspv)</f>
        <v>4.8927761466222998E-2</v>
      </c>
      <c r="M321" s="847"/>
      <c r="N321" s="847"/>
      <c r="O321" s="48">
        <f>IF(t&lt;Tnet,'2023'!Resal+('2023'!Salim-'2023'!Resal)*(1-EXP(('2023'!Tnet-t)/('2023'!Tau_j))),Resal+(Salim-Resal)*(1-EXP((Tnet-t)/(Tau_j))))*Salcycl</f>
        <v>2.2802662538750674E-2</v>
      </c>
      <c r="P321" s="168">
        <f>(INDEX(Models!$BJ321:$BT321,,T321)*(1-R321)+INDEX(Models!$BJ321:$BT321,,T321+1)*R321-ERP_i)*Q321*Ramure*Pc/MaxiM</f>
        <v>7.9444539764180399E-4</v>
      </c>
      <c r="Q321" s="304">
        <f t="shared" si="105"/>
        <v>0.5</v>
      </c>
      <c r="R321" s="176">
        <f t="shared" si="106"/>
        <v>0.63413176244830782</v>
      </c>
      <c r="S321" s="814">
        <f t="shared" si="107"/>
        <v>1</v>
      </c>
      <c r="T321" s="175">
        <f t="shared" si="108"/>
        <v>7</v>
      </c>
      <c r="U321" s="250">
        <f t="shared" si="109"/>
        <v>1.6341317624483078</v>
      </c>
      <c r="V321" s="382">
        <f t="shared" si="110"/>
        <v>32.400514734967167</v>
      </c>
      <c r="W321" s="401">
        <f t="shared" si="111"/>
        <v>9.7265271018052282</v>
      </c>
      <c r="X321" s="157">
        <f t="shared" si="112"/>
        <v>45598</v>
      </c>
      <c r="Y321" s="384">
        <f t="shared" si="113"/>
        <v>9.167007560531939</v>
      </c>
      <c r="Z321" s="384">
        <f t="shared" si="114"/>
        <v>9.6386028201856462</v>
      </c>
      <c r="AA321" s="385">
        <f t="shared" si="115"/>
        <v>10.46554914146069</v>
      </c>
      <c r="AB321" s="196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7.9016046850230073E-2</v>
      </c>
      <c r="AD321" s="230">
        <f>(INDEX(Models!$BJ321:$BT321,,AH321)*(1-AF321)+INDEX(Models!$BJ321:$BT321,,AH321+1)*AF321-ERP_i)*AE321*Ramure*Pc/MaxiM</f>
        <v>7.9444539764180399E-4</v>
      </c>
      <c r="AE321" s="304">
        <f t="shared" si="117"/>
        <v>0.5</v>
      </c>
      <c r="AF321" s="176">
        <f t="shared" si="118"/>
        <v>0.63413176244830782</v>
      </c>
      <c r="AG321" s="814">
        <f t="shared" si="124"/>
        <v>1</v>
      </c>
      <c r="AH321" s="175">
        <f t="shared" si="119"/>
        <v>7</v>
      </c>
      <c r="AI321" s="224">
        <f t="shared" si="120"/>
        <v>1.6341317624483078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10">
        <f>'2023'!Wh/'2023'!Env_an*'2024'!Env_an</f>
        <v>14.356193876049218</v>
      </c>
      <c r="C322" s="843"/>
      <c r="D322" s="392">
        <f t="shared" si="102"/>
        <v>15.095076211882088</v>
      </c>
      <c r="E322" s="384">
        <f t="shared" si="125"/>
        <v>15.448382068988995</v>
      </c>
      <c r="F322" s="384">
        <f t="shared" si="103"/>
        <v>15.451054057257668</v>
      </c>
      <c r="G322" s="110">
        <f t="shared" si="126"/>
        <v>0.44679656460559897</v>
      </c>
      <c r="H322" s="413" t="b">
        <f>Wh_hp&gt;='2023'!Maxi_hp</f>
        <v>0</v>
      </c>
      <c r="I322" s="389">
        <f>IF(H322,Wh_hp,'2023'!Maxi_hp)</f>
        <v>22.319752291324583</v>
      </c>
      <c r="J322" s="85">
        <f>IF(H322,An,'2023'!An_max)</f>
        <v>2018</v>
      </c>
      <c r="K322" s="196">
        <f t="shared" si="104"/>
        <v>45599</v>
      </c>
      <c r="L322" s="147">
        <f>IF(t&lt;Tvie,1-EXP((T0-t)*PertePVj)+'2023'!Pspv,1-EXP((T0-t)*PertePVj)+Pspv)</f>
        <v>4.8948566106029802E-2</v>
      </c>
      <c r="M322" s="847"/>
      <c r="N322" s="847"/>
      <c r="O322" s="48">
        <f>IF(t&lt;Tnet,'2023'!Resal+('2023'!Salim-'2023'!Resal)*(1-EXP(('2023'!Tnet-t)/('2023'!Tau_j))),Resal+(Salim-Resal)*(1-EXP((Tnet-t)/(Tau_j))))*Salcycl</f>
        <v>2.2870087982619872E-2</v>
      </c>
      <c r="P322" s="168">
        <f>(INDEX(Models!$BJ322:$BT322,,T322)*(1-R322)+INDEX(Models!$BJ322:$BT322,,T322+1)*R322-ERP_i)*Q322*Ramure*Pc/MaxiM</f>
        <v>8.2299925573407718E-4</v>
      </c>
      <c r="Q322" s="304">
        <f t="shared" si="105"/>
        <v>0.5</v>
      </c>
      <c r="R322" s="176">
        <f t="shared" si="106"/>
        <v>0.63416160941841127</v>
      </c>
      <c r="S322" s="814">
        <f t="shared" si="107"/>
        <v>1</v>
      </c>
      <c r="T322" s="175">
        <f t="shared" si="108"/>
        <v>7</v>
      </c>
      <c r="U322" s="250">
        <f t="shared" si="109"/>
        <v>1.6341616094184113</v>
      </c>
      <c r="V322" s="382">
        <f t="shared" si="110"/>
        <v>32.110497065058986</v>
      </c>
      <c r="W322" s="401">
        <f t="shared" si="111"/>
        <v>14.356193876049218</v>
      </c>
      <c r="X322" s="157">
        <f t="shared" si="112"/>
        <v>45599</v>
      </c>
      <c r="Y322" s="384">
        <f t="shared" si="113"/>
        <v>13.531747546776952</v>
      </c>
      <c r="Z322" s="384">
        <f t="shared" si="114"/>
        <v>14.228197408180939</v>
      </c>
      <c r="AA322" s="385">
        <f t="shared" si="115"/>
        <v>15.448382068988995</v>
      </c>
      <c r="AB322" s="196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7.8984624756106264E-2</v>
      </c>
      <c r="AD322" s="230">
        <f>(INDEX(Models!$BJ322:$BT322,,AH322)*(1-AF322)+INDEX(Models!$BJ322:$BT322,,AH322+1)*AF322-ERP_i)*AE322*Ramure*Pc/MaxiM</f>
        <v>8.2299925573407718E-4</v>
      </c>
      <c r="AE322" s="304">
        <f t="shared" si="117"/>
        <v>0.5</v>
      </c>
      <c r="AF322" s="176">
        <f t="shared" si="118"/>
        <v>0.63416160941841127</v>
      </c>
      <c r="AG322" s="814">
        <f t="shared" si="124"/>
        <v>1</v>
      </c>
      <c r="AH322" s="175">
        <f t="shared" si="119"/>
        <v>7</v>
      </c>
      <c r="AI322" s="224">
        <f t="shared" si="120"/>
        <v>1.6341616094184113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10">
        <f>'2023'!Wh/'2023'!Env_an*'2024'!Env_an</f>
        <v>30.573828144675673</v>
      </c>
      <c r="C323" s="843"/>
      <c r="D323" s="392">
        <f t="shared" si="102"/>
        <v>32.148100376119132</v>
      </c>
      <c r="E323" s="384">
        <f t="shared" si="125"/>
        <v>32.902804137668014</v>
      </c>
      <c r="F323" s="384">
        <f t="shared" si="103"/>
        <v>32.92936975151899</v>
      </c>
      <c r="G323" s="110">
        <f t="shared" si="126"/>
        <v>0.96070619679189129</v>
      </c>
      <c r="H323" s="413" t="b">
        <f>Wh_hp&gt;='2023'!Maxi_hp</f>
        <v>0</v>
      </c>
      <c r="I323" s="389">
        <f>IF(H323,Wh_hp,'2023'!Maxi_hp)</f>
        <v>32.930013099566573</v>
      </c>
      <c r="J323" s="85">
        <f>IF(H323,An,'2023'!An_max)</f>
        <v>2022</v>
      </c>
      <c r="K323" s="196">
        <f t="shared" si="104"/>
        <v>45600</v>
      </c>
      <c r="L323" s="147">
        <f>IF(t&lt;Tvie,1-EXP((T0-t)*PertePVj)+'2023'!Pspv,1-EXP((T0-t)*PertePVj)+Pspv)</f>
        <v>4.8969370290161442E-2</v>
      </c>
      <c r="M323" s="847"/>
      <c r="N323" s="847"/>
      <c r="O323" s="48">
        <f>IF(t&lt;Tnet,'2023'!Resal+('2023'!Salim-'2023'!Resal)*(1-EXP(('2023'!Tnet-t)/('2023'!Tau_j))),Resal+(Salim-Resal)*(1-EXP((Tnet-t)/(Tau_j))))*Salcycl</f>
        <v>2.2937369058003098E-2</v>
      </c>
      <c r="P323" s="168">
        <f>(INDEX(Models!$BJ323:$BT323,,T323)*(1-R323)+INDEX(Models!$BJ323:$BT323,,T323+1)*R323-ERP_i)*Q323*Ramure*Pc/MaxiM</f>
        <v>8.5466478770583479E-4</v>
      </c>
      <c r="Q323" s="304">
        <f t="shared" si="105"/>
        <v>0.5</v>
      </c>
      <c r="R323" s="176">
        <f t="shared" si="106"/>
        <v>0.63419026025264502</v>
      </c>
      <c r="S323" s="814">
        <f t="shared" si="107"/>
        <v>1</v>
      </c>
      <c r="T323" s="175">
        <f t="shared" si="108"/>
        <v>7</v>
      </c>
      <c r="U323" s="250">
        <f t="shared" si="109"/>
        <v>1.634190260252645</v>
      </c>
      <c r="V323" s="382">
        <f t="shared" si="110"/>
        <v>31.822800749370209</v>
      </c>
      <c r="W323" s="401">
        <f t="shared" si="111"/>
        <v>30.573828144675673</v>
      </c>
      <c r="X323" s="157">
        <f t="shared" si="112"/>
        <v>45600</v>
      </c>
      <c r="Y323" s="384">
        <f t="shared" si="113"/>
        <v>28.820999761745391</v>
      </c>
      <c r="Z323" s="384">
        <f t="shared" si="114"/>
        <v>30.305017379449428</v>
      </c>
      <c r="AA323" s="385">
        <f t="shared" si="115"/>
        <v>32.902804137668014</v>
      </c>
      <c r="AB323" s="196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7.8953354472440562E-2</v>
      </c>
      <c r="AD323" s="230">
        <f>(INDEX(Models!$BJ323:$BT323,,AH323)*(1-AF323)+INDEX(Models!$BJ323:$BT323,,AH323+1)*AF323-ERP_i)*AE323*Ramure*Pc/MaxiM</f>
        <v>8.5466478770583479E-4</v>
      </c>
      <c r="AE323" s="304">
        <f t="shared" si="117"/>
        <v>0.5</v>
      </c>
      <c r="AF323" s="176">
        <f t="shared" si="118"/>
        <v>0.63419026025264502</v>
      </c>
      <c r="AG323" s="814">
        <f t="shared" si="124"/>
        <v>1</v>
      </c>
      <c r="AH323" s="175">
        <f t="shared" si="119"/>
        <v>7</v>
      </c>
      <c r="AI323" s="224">
        <f t="shared" si="120"/>
        <v>1.634190260252645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10">
        <f>'2023'!Wh/'2023'!Env_an*'2024'!Env_an</f>
        <v>31.473939731136046</v>
      </c>
      <c r="C324" s="843"/>
      <c r="D324" s="392">
        <f t="shared" si="102"/>
        <v>33.095283425339233</v>
      </c>
      <c r="E324" s="384">
        <f t="shared" si="125"/>
        <v>33.874551585879978</v>
      </c>
      <c r="F324" s="384">
        <f t="shared" si="103"/>
        <v>33.904554870044997</v>
      </c>
      <c r="G324" s="110">
        <f t="shared" si="126"/>
        <v>0.99798243040977153</v>
      </c>
      <c r="H324" s="413" t="b">
        <f>Wh_hp&gt;='2023'!Maxi_hp</f>
        <v>0</v>
      </c>
      <c r="I324" s="389">
        <f>IF(H324,Wh_hp,'2023'!Maxi_hp)</f>
        <v>33.904590428179517</v>
      </c>
      <c r="J324" s="85">
        <f>IF(H324,An,'2023'!An_max)</f>
        <v>2022</v>
      </c>
      <c r="K324" s="196">
        <f t="shared" si="104"/>
        <v>45601</v>
      </c>
      <c r="L324" s="147">
        <f>IF(t&lt;Tvie,1-EXP((T0-t)*PertePVj)+'2023'!Pspv,1-EXP((T0-t)*PertePVj)+Pspv)</f>
        <v>4.8990174018628131E-2</v>
      </c>
      <c r="M324" s="847"/>
      <c r="N324" s="847"/>
      <c r="O324" s="48">
        <f>IF(t&lt;Tnet,'2023'!Resal+('2023'!Salim-'2023'!Resal)*(1-EXP(('2023'!Tnet-t)/('2023'!Tau_j))),Resal+(Salim-Resal)*(1-EXP((Tnet-t)/(Tau_j))))*Salcycl</f>
        <v>2.3004530659693535E-2</v>
      </c>
      <c r="P324" s="168">
        <f>(INDEX(Models!$BJ324:$BT324,,T324)*(1-R324)+INDEX(Models!$BJ324:$BT324,,T324+1)*R324-ERP_i)*Q324*Ramure*Pc/MaxiM</f>
        <v>8.8748845022753914E-4</v>
      </c>
      <c r="Q324" s="304">
        <f t="shared" si="105"/>
        <v>0.5</v>
      </c>
      <c r="R324" s="176">
        <f t="shared" si="106"/>
        <v>0.63421776267132657</v>
      </c>
      <c r="S324" s="814">
        <f t="shared" si="107"/>
        <v>1</v>
      </c>
      <c r="T324" s="175">
        <f t="shared" si="108"/>
        <v>7</v>
      </c>
      <c r="U324" s="250">
        <f t="shared" si="109"/>
        <v>1.6342177626713266</v>
      </c>
      <c r="V324" s="382">
        <f t="shared" si="110"/>
        <v>31.53748833017746</v>
      </c>
      <c r="W324" s="401">
        <f t="shared" si="111"/>
        <v>31.473939731136046</v>
      </c>
      <c r="X324" s="157">
        <f t="shared" si="112"/>
        <v>45601</v>
      </c>
      <c r="Y324" s="384">
        <f t="shared" si="113"/>
        <v>29.672546441927675</v>
      </c>
      <c r="Z324" s="384">
        <f t="shared" si="114"/>
        <v>31.201093439079663</v>
      </c>
      <c r="AA324" s="385">
        <f t="shared" si="115"/>
        <v>33.874551585879978</v>
      </c>
      <c r="AB324" s="196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7.8922318426045301E-2</v>
      </c>
      <c r="AD324" s="230">
        <f>(INDEX(Models!$BJ324:$BT324,,AH324)*(1-AF324)+INDEX(Models!$BJ324:$BT324,,AH324+1)*AF324-ERP_i)*AE324*Ramure*Pc/MaxiM</f>
        <v>8.8748845022753914E-4</v>
      </c>
      <c r="AE324" s="304">
        <f t="shared" si="117"/>
        <v>0.5</v>
      </c>
      <c r="AF324" s="176">
        <f t="shared" si="118"/>
        <v>0.63421776267132657</v>
      </c>
      <c r="AG324" s="814">
        <f t="shared" si="124"/>
        <v>1</v>
      </c>
      <c r="AH324" s="175">
        <f t="shared" si="119"/>
        <v>7</v>
      </c>
      <c r="AI324" s="224">
        <f t="shared" si="120"/>
        <v>1.6342177626713266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10">
        <f>'2023'!Wh/'2023'!Env_an*'2024'!Env_an</f>
        <v>30.388941856181045</v>
      </c>
      <c r="C325" s="843"/>
      <c r="D325" s="392">
        <f t="shared" si="102"/>
        <v>31.955092151987998</v>
      </c>
      <c r="E325" s="384">
        <f t="shared" si="125"/>
        <v>32.709758547996181</v>
      </c>
      <c r="F325" s="384">
        <f t="shared" si="103"/>
        <v>32.738673413401656</v>
      </c>
      <c r="G325" s="110">
        <f t="shared" si="126"/>
        <v>0.9722670503269617</v>
      </c>
      <c r="H325" s="413" t="b">
        <f>Wh_hp&gt;='2023'!Maxi_hp</f>
        <v>0</v>
      </c>
      <c r="I325" s="389">
        <f>IF(H325,Wh_hp,'2023'!Maxi_hp)</f>
        <v>32.739164201753397</v>
      </c>
      <c r="J325" s="85">
        <f>IF(H325,An,'2023'!An_max)</f>
        <v>2022</v>
      </c>
      <c r="K325" s="196">
        <f t="shared" si="104"/>
        <v>45602</v>
      </c>
      <c r="L325" s="147">
        <f>IF(t&lt;Tvie,1-EXP((T0-t)*PertePVj)+'2023'!Pspv,1-EXP((T0-t)*PertePVj)+Pspv)</f>
        <v>4.9010977291439863E-2</v>
      </c>
      <c r="M325" s="847"/>
      <c r="N325" s="847"/>
      <c r="O325" s="48">
        <f>IF(t&lt;Tnet,'2023'!Resal+('2023'!Salim-'2023'!Resal)*(1-EXP(('2023'!Tnet-t)/('2023'!Tau_j))),Resal+(Salim-Resal)*(1-EXP((Tnet-t)/(Tau_j))))*Salcycl</f>
        <v>2.3071597881128753E-2</v>
      </c>
      <c r="P325" s="168">
        <f>(INDEX(Models!$BJ325:$BT325,,T325)*(1-R325)+INDEX(Models!$BJ325:$BT325,,T325+1)*R325-ERP_i)*Q325*Ramure*Pc/MaxiM</f>
        <v>9.1958830008441819E-4</v>
      </c>
      <c r="Q325" s="304">
        <f t="shared" si="105"/>
        <v>0.5</v>
      </c>
      <c r="R325" s="176">
        <f t="shared" si="106"/>
        <v>0.63424416250792914</v>
      </c>
      <c r="S325" s="814">
        <f t="shared" si="107"/>
        <v>1</v>
      </c>
      <c r="T325" s="175">
        <f t="shared" si="108"/>
        <v>7</v>
      </c>
      <c r="U325" s="250">
        <f t="shared" si="109"/>
        <v>1.6342441625079291</v>
      </c>
      <c r="V325" s="382">
        <f t="shared" si="110"/>
        <v>31.254617885759163</v>
      </c>
      <c r="W325" s="401">
        <f t="shared" si="111"/>
        <v>30.388941856181045</v>
      </c>
      <c r="X325" s="157">
        <f t="shared" si="112"/>
        <v>45602</v>
      </c>
      <c r="Y325" s="384">
        <f t="shared" si="113"/>
        <v>28.65257023061482</v>
      </c>
      <c r="Z325" s="384">
        <f t="shared" si="114"/>
        <v>30.129233404827303</v>
      </c>
      <c r="AA325" s="385">
        <f t="shared" si="115"/>
        <v>32.709758547996181</v>
      </c>
      <c r="AB325" s="196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7.889159864577977E-2</v>
      </c>
      <c r="AD325" s="230">
        <f>(INDEX(Models!$BJ325:$BT325,,AH325)*(1-AF325)+INDEX(Models!$BJ325:$BT325,,AH325+1)*AF325-ERP_i)*AE325*Ramure*Pc/MaxiM</f>
        <v>9.1958830008441819E-4</v>
      </c>
      <c r="AE325" s="304">
        <f t="shared" si="117"/>
        <v>0.5</v>
      </c>
      <c r="AF325" s="176">
        <f t="shared" si="118"/>
        <v>0.63424416250792914</v>
      </c>
      <c r="AG325" s="814">
        <f t="shared" si="124"/>
        <v>1</v>
      </c>
      <c r="AH325" s="175">
        <f t="shared" si="119"/>
        <v>7</v>
      </c>
      <c r="AI325" s="224">
        <f t="shared" si="120"/>
        <v>1.6342441625079291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10">
        <f>'2023'!Wh/'2023'!Env_an*'2024'!Env_an</f>
        <v>18.423034077452019</v>
      </c>
      <c r="C326" s="843"/>
      <c r="D326" s="392">
        <f t="shared" si="102"/>
        <v>19.372922976917192</v>
      </c>
      <c r="E326" s="384">
        <f t="shared" si="125"/>
        <v>19.831803053755404</v>
      </c>
      <c r="F326" s="384">
        <f t="shared" si="103"/>
        <v>19.83974838971476</v>
      </c>
      <c r="G326" s="110">
        <f t="shared" si="126"/>
        <v>0.59445913175432907</v>
      </c>
      <c r="H326" s="413" t="b">
        <f>Wh_hp&gt;='2023'!Maxi_hp</f>
        <v>0</v>
      </c>
      <c r="I326" s="389">
        <f>IF(H326,Wh_hp,'2023'!Maxi_hp)</f>
        <v>25.868696727513875</v>
      </c>
      <c r="J326" s="85">
        <f>IF(H326,An,'2023'!An_max)</f>
        <v>2021</v>
      </c>
      <c r="K326" s="196">
        <f t="shared" si="104"/>
        <v>45603</v>
      </c>
      <c r="L326" s="147">
        <f>IF(t&lt;Tvie,1-EXP((T0-t)*PertePVj)+'2023'!Pspv,1-EXP((T0-t)*PertePVj)+Pspv)</f>
        <v>4.9031780108606406E-2</v>
      </c>
      <c r="M326" s="847"/>
      <c r="N326" s="847"/>
      <c r="O326" s="48">
        <f>IF(t&lt;Tnet,'2023'!Resal+('2023'!Salim-'2023'!Resal)*(1-EXP(('2023'!Tnet-t)/('2023'!Tau_j))),Resal+(Salim-Resal)*(1-EXP((Tnet-t)/(Tau_j))))*Salcycl</f>
        <v>2.3138595900452839E-2</v>
      </c>
      <c r="P326" s="168">
        <f>(INDEX(Models!$BJ326:$BT326,,T326)*(1-R326)+INDEX(Models!$BJ326:$BT326,,T326+1)*R326-ERP_i)*Q326*Ramure*Pc/MaxiM</f>
        <v>9.5096881715828327E-4</v>
      </c>
      <c r="Q326" s="304">
        <f t="shared" si="105"/>
        <v>0.5</v>
      </c>
      <c r="R326" s="176">
        <f t="shared" si="106"/>
        <v>0.6342695037823487</v>
      </c>
      <c r="S326" s="814">
        <f t="shared" si="107"/>
        <v>1</v>
      </c>
      <c r="T326" s="175">
        <f t="shared" si="108"/>
        <v>7</v>
      </c>
      <c r="U326" s="250">
        <f t="shared" si="109"/>
        <v>1.6342695037823487</v>
      </c>
      <c r="V326" s="382">
        <f t="shared" si="110"/>
        <v>30.974186914114323</v>
      </c>
      <c r="W326" s="401">
        <f t="shared" si="111"/>
        <v>18.423034077452019</v>
      </c>
      <c r="X326" s="157">
        <f t="shared" si="112"/>
        <v>45603</v>
      </c>
      <c r="Y326" s="384">
        <f t="shared" si="113"/>
        <v>17.372136952077046</v>
      </c>
      <c r="Z326" s="384">
        <f t="shared" si="114"/>
        <v>18.2678417519158</v>
      </c>
      <c r="AA326" s="385">
        <f t="shared" si="115"/>
        <v>19.831803053755404</v>
      </c>
      <c r="AB326" s="196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7.8861276385227538E-2</v>
      </c>
      <c r="AD326" s="230">
        <f>(INDEX(Models!$BJ326:$BT326,,AH326)*(1-AF326)+INDEX(Models!$BJ326:$BT326,,AH326+1)*AF326-ERP_i)*AE326*Ramure*Pc/MaxiM</f>
        <v>9.5096881715828327E-4</v>
      </c>
      <c r="AE326" s="304">
        <f t="shared" si="117"/>
        <v>0.5</v>
      </c>
      <c r="AF326" s="176">
        <f t="shared" si="118"/>
        <v>0.6342695037823487</v>
      </c>
      <c r="AG326" s="814">
        <f t="shared" si="124"/>
        <v>1</v>
      </c>
      <c r="AH326" s="175">
        <f t="shared" si="119"/>
        <v>7</v>
      </c>
      <c r="AI326" s="224">
        <f t="shared" si="120"/>
        <v>1.6342695037823487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10">
        <f>'2023'!Wh/'2023'!Env_an*'2024'!Env_an</f>
        <v>9.1782497159644549</v>
      </c>
      <c r="C327" s="843"/>
      <c r="D327" s="392">
        <f t="shared" si="102"/>
        <v>9.6516900375053982</v>
      </c>
      <c r="E327" s="384">
        <f t="shared" si="125"/>
        <v>9.8809836974100342</v>
      </c>
      <c r="F327" s="384">
        <f t="shared" si="103"/>
        <v>9.8809836974100342</v>
      </c>
      <c r="G327" s="110">
        <f t="shared" si="126"/>
        <v>0.29870935597817788</v>
      </c>
      <c r="H327" s="413" t="b">
        <f>Wh_hp&gt;='2023'!Maxi_hp</f>
        <v>0</v>
      </c>
      <c r="I327" s="389">
        <f>IF(H327,Wh_hp,'2023'!Maxi_hp)</f>
        <v>23.871171034928089</v>
      </c>
      <c r="J327" s="85">
        <f>IF(H327,An,'2023'!An_max)</f>
        <v>2020</v>
      </c>
      <c r="K327" s="196">
        <f t="shared" si="104"/>
        <v>45604</v>
      </c>
      <c r="L327" s="147">
        <f>IF(t&lt;Tvie,1-EXP((T0-t)*PertePVj)+'2023'!Pspv,1-EXP((T0-t)*PertePVj)+Pspv)</f>
        <v>4.9052582470137975E-2</v>
      </c>
      <c r="M327" s="847"/>
      <c r="N327" s="847"/>
      <c r="O327" s="48">
        <f>IF(t&lt;Tnet,'2023'!Resal+('2023'!Salim-'2023'!Resal)*(1-EXP(('2023'!Tnet-t)/('2023'!Tau_j))),Resal+(Salim-Resal)*(1-EXP((Tnet-t)/(Tau_j))))*Salcycl</f>
        <v>2.3205549864912474E-2</v>
      </c>
      <c r="P327" s="168">
        <f>(INDEX(Models!$BJ327:$BT327,,T327)*(1-R327)+INDEX(Models!$BJ327:$BT327,,T327+1)*R327-ERP_i)*Q327*Ramure*Pc/MaxiM</f>
        <v>9.8163589213708731E-4</v>
      </c>
      <c r="Q327" s="304">
        <f t="shared" si="105"/>
        <v>0.5</v>
      </c>
      <c r="R327" s="176">
        <f t="shared" si="106"/>
        <v>0.63429382877143037</v>
      </c>
      <c r="S327" s="814">
        <f t="shared" si="107"/>
        <v>1</v>
      </c>
      <c r="T327" s="175">
        <f t="shared" si="108"/>
        <v>7</v>
      </c>
      <c r="U327" s="250">
        <f t="shared" si="109"/>
        <v>1.6342938287714304</v>
      </c>
      <c r="V327" s="382">
        <f t="shared" si="110"/>
        <v>30.696192914982291</v>
      </c>
      <c r="W327" s="401">
        <f t="shared" si="111"/>
        <v>9.1782497159644549</v>
      </c>
      <c r="X327" s="157">
        <f t="shared" si="112"/>
        <v>45604</v>
      </c>
      <c r="Y327" s="384">
        <f t="shared" si="113"/>
        <v>8.6555724684489874</v>
      </c>
      <c r="Z327" s="384">
        <f t="shared" si="114"/>
        <v>9.1020516054739495</v>
      </c>
      <c r="AA327" s="385">
        <f t="shared" si="115"/>
        <v>9.8809836974100342</v>
      </c>
      <c r="AB327" s="196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7.8831431747049222E-2</v>
      </c>
      <c r="AD327" s="230">
        <f>(INDEX(Models!$BJ327:$BT327,,AH327)*(1-AF327)+INDEX(Models!$BJ327:$BT327,,AH327+1)*AF327-ERP_i)*AE327*Ramure*Pc/MaxiM</f>
        <v>9.8163589213708731E-4</v>
      </c>
      <c r="AE327" s="304">
        <f t="shared" si="117"/>
        <v>0.5</v>
      </c>
      <c r="AF327" s="176">
        <f t="shared" si="118"/>
        <v>0.63429382877143037</v>
      </c>
      <c r="AG327" s="814">
        <f t="shared" si="124"/>
        <v>1</v>
      </c>
      <c r="AH327" s="175">
        <f t="shared" si="119"/>
        <v>7</v>
      </c>
      <c r="AI327" s="224">
        <f t="shared" si="120"/>
        <v>1.6342938287714304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10">
        <f>'2023'!Wh/'2023'!Env_an*'2024'!Env_an</f>
        <v>24.677979155781664</v>
      </c>
      <c r="C328" s="843"/>
      <c r="D328" s="392">
        <f t="shared" si="102"/>
        <v>25.951507456323615</v>
      </c>
      <c r="E328" s="384">
        <f t="shared" si="125"/>
        <v>26.569853978495992</v>
      </c>
      <c r="F328" s="384">
        <f t="shared" si="103"/>
        <v>26.589498055106368</v>
      </c>
      <c r="G328" s="110">
        <f t="shared" si="126"/>
        <v>0.81100355651763245</v>
      </c>
      <c r="H328" s="413" t="b">
        <f>Wh_hp&gt;='2023'!Maxi_hp</f>
        <v>0</v>
      </c>
      <c r="I328" s="389">
        <f>IF(H328,Wh_hp,'2023'!Maxi_hp)</f>
        <v>26.592469844178034</v>
      </c>
      <c r="J328" s="85">
        <f>IF(H328,An,'2023'!An_max)</f>
        <v>2022</v>
      </c>
      <c r="K328" s="196">
        <f t="shared" si="104"/>
        <v>45605</v>
      </c>
      <c r="L328" s="147">
        <f>IF(t&lt;Tvie,1-EXP((T0-t)*PertePVj)+'2023'!Pspv,1-EXP((T0-t)*PertePVj)+Pspv)</f>
        <v>4.9073384376044339E-2</v>
      </c>
      <c r="M328" s="847"/>
      <c r="N328" s="847"/>
      <c r="O328" s="48">
        <f>IF(t&lt;Tnet,'2023'!Resal+('2023'!Salim-'2023'!Resal)*(1-EXP(('2023'!Tnet-t)/('2023'!Tau_j))),Resal+(Salim-Resal)*(1-EXP((Tnet-t)/(Tau_j))))*Salcycl</f>
        <v>2.3272484774392317E-2</v>
      </c>
      <c r="P328" s="168">
        <f>(INDEX(Models!$BJ328:$BT328,,T328)*(1-R328)+INDEX(Models!$BJ328:$BT328,,T328+1)*R328-ERP_i)*Q328*Ramure*Pc/MaxiM</f>
        <v>1.0115967224167354E-3</v>
      </c>
      <c r="Q328" s="304">
        <f t="shared" si="105"/>
        <v>0.5</v>
      </c>
      <c r="R328" s="176">
        <f t="shared" si="106"/>
        <v>0.63431717807685151</v>
      </c>
      <c r="S328" s="814">
        <f t="shared" si="107"/>
        <v>1</v>
      </c>
      <c r="T328" s="175">
        <f t="shared" si="108"/>
        <v>7</v>
      </c>
      <c r="U328" s="250">
        <f t="shared" si="109"/>
        <v>1.6343171780768515</v>
      </c>
      <c r="V328" s="382">
        <f t="shared" si="110"/>
        <v>30.420633400768754</v>
      </c>
      <c r="W328" s="401">
        <f t="shared" si="111"/>
        <v>24.677979155781664</v>
      </c>
      <c r="X328" s="157">
        <f t="shared" si="112"/>
        <v>45605</v>
      </c>
      <c r="Y328" s="384">
        <f t="shared" si="113"/>
        <v>23.274967840395789</v>
      </c>
      <c r="Z328" s="384">
        <f t="shared" si="114"/>
        <v>24.476092537512784</v>
      </c>
      <c r="AA328" s="385">
        <f t="shared" si="115"/>
        <v>26.569853978495992</v>
      </c>
      <c r="AB328" s="196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7.8802143311655845E-2</v>
      </c>
      <c r="AD328" s="230">
        <f>(INDEX(Models!$BJ328:$BT328,,AH328)*(1-AF328)+INDEX(Models!$BJ328:$BT328,,AH328+1)*AF328-ERP_i)*AE328*Ramure*Pc/MaxiM</f>
        <v>1.0115967224167354E-3</v>
      </c>
      <c r="AE328" s="304">
        <f t="shared" si="117"/>
        <v>0.5</v>
      </c>
      <c r="AF328" s="176">
        <f t="shared" si="118"/>
        <v>0.63431717807685151</v>
      </c>
      <c r="AG328" s="814">
        <f t="shared" si="124"/>
        <v>1</v>
      </c>
      <c r="AH328" s="175">
        <f t="shared" si="119"/>
        <v>7</v>
      </c>
      <c r="AI328" s="224">
        <f t="shared" si="120"/>
        <v>1.6343171780768515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10">
        <f>'2023'!Wh/'2023'!Env_an*'2024'!Env_an</f>
        <v>28.775277867123286</v>
      </c>
      <c r="C329" s="843"/>
      <c r="D329" s="392">
        <f t="shared" si="102"/>
        <v>30.260912740478883</v>
      </c>
      <c r="E329" s="384">
        <f t="shared" si="125"/>
        <v>30.984062965565361</v>
      </c>
      <c r="F329" s="384">
        <f t="shared" si="103"/>
        <v>31.014245357341476</v>
      </c>
      <c r="G329" s="110">
        <f t="shared" si="126"/>
        <v>0.95441820345377482</v>
      </c>
      <c r="H329" s="413" t="b">
        <f>Wh_hp&gt;='2023'!Maxi_hp</f>
        <v>0</v>
      </c>
      <c r="I329" s="389">
        <f>IF(H329,Wh_hp,'2023'!Maxi_hp)</f>
        <v>31.015099805009147</v>
      </c>
      <c r="J329" s="85">
        <f>IF(H329,An,'2023'!An_max)</f>
        <v>2022</v>
      </c>
      <c r="K329" s="196">
        <f t="shared" si="104"/>
        <v>45606</v>
      </c>
      <c r="L329" s="147">
        <f>IF(t&lt;Tvie,1-EXP((T0-t)*PertePVj)+'2023'!Pspv,1-EXP((T0-t)*PertePVj)+Pspv)</f>
        <v>4.9094185826335603E-2</v>
      </c>
      <c r="M329" s="847"/>
      <c r="N329" s="847"/>
      <c r="O329" s="48">
        <f>IF(t&lt;Tnet,'2023'!Resal+('2023'!Salim-'2023'!Resal)*(1-EXP(('2023'!Tnet-t)/('2023'!Tau_j))),Resal+(Salim-Resal)*(1-EXP((Tnet-t)/(Tau_j))))*Salcycl</f>
        <v>2.3339425364909756E-2</v>
      </c>
      <c r="P329" s="168">
        <f>(INDEX(Models!$BJ329:$BT329,,T329)*(1-R329)+INDEX(Models!$BJ329:$BT329,,T329+1)*R329-ERP_i)*Q329*Ramure*Pc/MaxiM</f>
        <v>1.04085969462364E-3</v>
      </c>
      <c r="Q329" s="304">
        <f t="shared" si="105"/>
        <v>0.5</v>
      </c>
      <c r="R329" s="176">
        <f t="shared" si="106"/>
        <v>0.63433959069044987</v>
      </c>
      <c r="S329" s="814">
        <f t="shared" si="107"/>
        <v>1</v>
      </c>
      <c r="T329" s="175">
        <f t="shared" si="108"/>
        <v>7</v>
      </c>
      <c r="U329" s="250">
        <f t="shared" si="109"/>
        <v>1.6343395906904499</v>
      </c>
      <c r="V329" s="382">
        <f t="shared" si="110"/>
        <v>30.14750590047516</v>
      </c>
      <c r="W329" s="401">
        <f t="shared" si="111"/>
        <v>28.775277867123286</v>
      </c>
      <c r="X329" s="157">
        <f t="shared" si="112"/>
        <v>45606</v>
      </c>
      <c r="Y329" s="384">
        <f t="shared" si="113"/>
        <v>27.142028209546606</v>
      </c>
      <c r="Z329" s="384">
        <f t="shared" si="114"/>
        <v>28.543340260394753</v>
      </c>
      <c r="AA329" s="385">
        <f t="shared" si="115"/>
        <v>30.984062965565361</v>
      </c>
      <c r="AB329" s="196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7.877348777283151E-2</v>
      </c>
      <c r="AD329" s="230">
        <f>(INDEX(Models!$BJ329:$BT329,,AH329)*(1-AF329)+INDEX(Models!$BJ329:$BT329,,AH329+1)*AF329-ERP_i)*AE329*Ramure*Pc/MaxiM</f>
        <v>1.04085969462364E-3</v>
      </c>
      <c r="AE329" s="304">
        <f t="shared" si="117"/>
        <v>0.5</v>
      </c>
      <c r="AF329" s="176">
        <f t="shared" si="118"/>
        <v>0.63433959069044987</v>
      </c>
      <c r="AG329" s="814">
        <f t="shared" si="124"/>
        <v>1</v>
      </c>
      <c r="AH329" s="175">
        <f t="shared" si="119"/>
        <v>7</v>
      </c>
      <c r="AI329" s="224">
        <f t="shared" si="120"/>
        <v>1.6343395906904499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10">
        <f>'2023'!Wh/'2023'!Env_an*'2024'!Env_an</f>
        <v>28.636596385442672</v>
      </c>
      <c r="C330" s="843"/>
      <c r="D330" s="392">
        <f t="shared" si="102"/>
        <v>30.115730070984526</v>
      </c>
      <c r="E330" s="384">
        <f t="shared" si="125"/>
        <v>30.837525401984397</v>
      </c>
      <c r="F330" s="384">
        <f t="shared" si="103"/>
        <v>30.868579671896185</v>
      </c>
      <c r="G330" s="110">
        <f t="shared" si="126"/>
        <v>0.95842830617879415</v>
      </c>
      <c r="H330" s="413" t="b">
        <f>Wh_hp&gt;='2023'!Maxi_hp</f>
        <v>0</v>
      </c>
      <c r="I330" s="389">
        <f>IF(H330,Wh_hp,'2023'!Maxi_hp)</f>
        <v>30.869369637269219</v>
      </c>
      <c r="J330" s="85">
        <f>IF(H330,An,'2023'!An_max)</f>
        <v>2022</v>
      </c>
      <c r="K330" s="196">
        <f t="shared" si="104"/>
        <v>45607</v>
      </c>
      <c r="L330" s="147">
        <f>IF(t&lt;Tvie,1-EXP((T0-t)*PertePVj)+'2023'!Pspv,1-EXP((T0-t)*PertePVj)+Pspv)</f>
        <v>4.9114986821021757E-2</v>
      </c>
      <c r="M330" s="847"/>
      <c r="N330" s="847"/>
      <c r="O330" s="48">
        <f>IF(t&lt;Tnet,'2023'!Resal+('2023'!Salim-'2023'!Resal)*(1-EXP(('2023'!Tnet-t)/('2023'!Tau_j))),Resal+(Salim-Resal)*(1-EXP((Tnet-t)/(Tau_j))))*Salcycl</f>
        <v>2.3406395992897174E-2</v>
      </c>
      <c r="P330" s="168">
        <f>(INDEX(Models!$BJ330:$BT330,,T330)*(1-R330)+INDEX(Models!$BJ330:$BT330,,T330+1)*R330-ERP_i)*Q330*Ramure*Pc/MaxiM</f>
        <v>1.0694342540931332E-3</v>
      </c>
      <c r="Q330" s="304">
        <f t="shared" si="105"/>
        <v>0.5</v>
      </c>
      <c r="R330" s="176">
        <f t="shared" si="106"/>
        <v>0.63436110405708779</v>
      </c>
      <c r="S330" s="814">
        <f t="shared" si="107"/>
        <v>1</v>
      </c>
      <c r="T330" s="175">
        <f t="shared" si="108"/>
        <v>7</v>
      </c>
      <c r="U330" s="250">
        <f t="shared" si="109"/>
        <v>1.6343611040570878</v>
      </c>
      <c r="V330" s="382">
        <f t="shared" si="110"/>
        <v>29.876807973002737</v>
      </c>
      <c r="W330" s="401">
        <f t="shared" si="111"/>
        <v>28.636596385442672</v>
      </c>
      <c r="X330" s="157">
        <f t="shared" si="112"/>
        <v>45607</v>
      </c>
      <c r="Y330" s="384">
        <f t="shared" si="113"/>
        <v>27.013889956893031</v>
      </c>
      <c r="Z330" s="384">
        <f t="shared" si="114"/>
        <v>28.409207824803946</v>
      </c>
      <c r="AA330" s="385">
        <f t="shared" si="115"/>
        <v>30.837525401984397</v>
      </c>
      <c r="AB330" s="196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7.8745539582893639E-2</v>
      </c>
      <c r="AD330" s="230">
        <f>(INDEX(Models!$BJ330:$BT330,,AH330)*(1-AF330)+INDEX(Models!$BJ330:$BT330,,AH330+1)*AF330-ERP_i)*AE330*Ramure*Pc/MaxiM</f>
        <v>1.0694342540931332E-3</v>
      </c>
      <c r="AE330" s="304">
        <f t="shared" si="117"/>
        <v>0.5</v>
      </c>
      <c r="AF330" s="176">
        <f t="shared" si="118"/>
        <v>0.63436110405708779</v>
      </c>
      <c r="AG330" s="814">
        <f t="shared" si="124"/>
        <v>1</v>
      </c>
      <c r="AH330" s="175">
        <f t="shared" si="119"/>
        <v>7</v>
      </c>
      <c r="AI330" s="224">
        <f t="shared" si="120"/>
        <v>1.6343611040570878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10">
        <f>'2023'!Wh/'2023'!Env_an*'2024'!Env_an</f>
        <v>25.106850562065507</v>
      </c>
      <c r="C331" s="843"/>
      <c r="D331" s="392">
        <f t="shared" si="102"/>
        <v>26.404243874486852</v>
      </c>
      <c r="E331" s="384">
        <f t="shared" si="125"/>
        <v>27.038940290367595</v>
      </c>
      <c r="F331" s="384">
        <f t="shared" si="103"/>
        <v>27.062188626234715</v>
      </c>
      <c r="G331" s="110">
        <f t="shared" si="126"/>
        <v>0.84778880672658352</v>
      </c>
      <c r="H331" s="413" t="b">
        <f>Wh_hp&gt;='2023'!Maxi_hp</f>
        <v>0</v>
      </c>
      <c r="I331" s="389">
        <f>IF(H331,Wh_hp,'2023'!Maxi_hp)</f>
        <v>31.04926746236552</v>
      </c>
      <c r="J331" s="85">
        <f>IF(H331,An,'2023'!An_max)</f>
        <v>2020</v>
      </c>
      <c r="K331" s="196">
        <f t="shared" si="104"/>
        <v>45608</v>
      </c>
      <c r="L331" s="147">
        <f>IF(t&lt;Tvie,1-EXP((T0-t)*PertePVj)+'2023'!Pspv,1-EXP((T0-t)*PertePVj)+Pspv)</f>
        <v>4.9135787360112683E-2</v>
      </c>
      <c r="M331" s="847"/>
      <c r="N331" s="847"/>
      <c r="O331" s="48">
        <f>IF(t&lt;Tnet,'2023'!Resal+('2023'!Salim-'2023'!Resal)*(1-EXP(('2023'!Tnet-t)/('2023'!Tau_j))),Resal+(Salim-Resal)*(1-EXP((Tnet-t)/(Tau_j))))*Salcycl</f>
        <v>2.3473420521101129E-2</v>
      </c>
      <c r="P331" s="168">
        <f>(INDEX(Models!$BJ331:$BT331,,T331)*(1-R331)+INDEX(Models!$BJ331:$BT331,,T331+1)*R331-ERP_i)*Q331*Ramure*Pc/MaxiM</f>
        <v>1.0973711122044233E-3</v>
      </c>
      <c r="Q331" s="304">
        <f t="shared" si="105"/>
        <v>0.5</v>
      </c>
      <c r="R331" s="176">
        <f t="shared" si="106"/>
        <v>0.6343817541351382</v>
      </c>
      <c r="S331" s="814">
        <f t="shared" si="107"/>
        <v>1</v>
      </c>
      <c r="T331" s="175">
        <f t="shared" si="108"/>
        <v>7</v>
      </c>
      <c r="U331" s="250">
        <f t="shared" si="109"/>
        <v>1.6343817541351382</v>
      </c>
      <c r="V331" s="382">
        <f t="shared" si="110"/>
        <v>29.607447336191388</v>
      </c>
      <c r="W331" s="401">
        <f t="shared" si="111"/>
        <v>25.106850562065507</v>
      </c>
      <c r="X331" s="157">
        <f t="shared" si="112"/>
        <v>45608</v>
      </c>
      <c r="Y331" s="384">
        <f t="shared" si="113"/>
        <v>23.686482970095959</v>
      </c>
      <c r="Z331" s="384">
        <f t="shared" si="114"/>
        <v>24.910478967690981</v>
      </c>
      <c r="AA331" s="385">
        <f t="shared" si="115"/>
        <v>27.038940290367595</v>
      </c>
      <c r="AB331" s="196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7.8718370609918445E-2</v>
      </c>
      <c r="AD331" s="230">
        <f>(INDEX(Models!$BJ331:$BT331,,AH331)*(1-AF331)+INDEX(Models!$BJ331:$BT331,,AH331+1)*AF331-ERP_i)*AE331*Ramure*Pc/MaxiM</f>
        <v>1.0973711122044233E-3</v>
      </c>
      <c r="AE331" s="304">
        <f t="shared" si="117"/>
        <v>0.5</v>
      </c>
      <c r="AF331" s="176">
        <f t="shared" si="118"/>
        <v>0.6343817541351382</v>
      </c>
      <c r="AG331" s="814">
        <f t="shared" si="124"/>
        <v>1</v>
      </c>
      <c r="AH331" s="175">
        <f t="shared" si="119"/>
        <v>7</v>
      </c>
      <c r="AI331" s="224">
        <f t="shared" si="120"/>
        <v>1.6343817541351382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10">
        <f>'2023'!Wh/'2023'!Env_an*'2024'!Env_an</f>
        <v>11.78706266338496</v>
      </c>
      <c r="C332" s="843"/>
      <c r="D332" s="392">
        <f t="shared" si="102"/>
        <v>12.396428799664246</v>
      </c>
      <c r="E332" s="384">
        <f t="shared" si="125"/>
        <v>12.695282376368281</v>
      </c>
      <c r="F332" s="384">
        <f t="shared" si="103"/>
        <v>12.697353234268441</v>
      </c>
      <c r="G332" s="110">
        <f t="shared" si="126"/>
        <v>0.4013722213400136</v>
      </c>
      <c r="H332" s="413" t="b">
        <f>Wh_hp&gt;='2023'!Maxi_hp</f>
        <v>0</v>
      </c>
      <c r="I332" s="389">
        <f>IF(H332,Wh_hp,'2023'!Maxi_hp)</f>
        <v>19.84263142805246</v>
      </c>
      <c r="J332" s="85">
        <f>IF(H332,An,'2023'!An_max)</f>
        <v>2020</v>
      </c>
      <c r="K332" s="196">
        <f t="shared" si="104"/>
        <v>45609</v>
      </c>
      <c r="L332" s="147">
        <f>IF(t&lt;Tvie,1-EXP((T0-t)*PertePVj)+'2023'!Pspv,1-EXP((T0-t)*PertePVj)+Pspv)</f>
        <v>4.9156587443618484E-2</v>
      </c>
      <c r="M332" s="847"/>
      <c r="N332" s="847"/>
      <c r="O332" s="48">
        <f>IF(t&lt;Tnet,'2023'!Resal+('2023'!Salim-'2023'!Resal)*(1-EXP(('2023'!Tnet-t)/('2023'!Tau_j))),Resal+(Salim-Resal)*(1-EXP((Tnet-t)/(Tau_j))))*Salcycl</f>
        <v>2.3540522206921391E-2</v>
      </c>
      <c r="P332" s="168">
        <f>(INDEX(Models!$BJ332:$BT332,,T332)*(1-R332)+INDEX(Models!$BJ332:$BT332,,T332+1)*R332-ERP_i)*Q332*Ramure*Pc/MaxiM</f>
        <v>1.121937539311715E-3</v>
      </c>
      <c r="Q332" s="304">
        <f t="shared" si="105"/>
        <v>0.5</v>
      </c>
      <c r="R332" s="176">
        <f t="shared" si="106"/>
        <v>0.63440157545467524</v>
      </c>
      <c r="S332" s="814">
        <f t="shared" si="107"/>
        <v>1</v>
      </c>
      <c r="T332" s="175">
        <f t="shared" si="108"/>
        <v>7</v>
      </c>
      <c r="U332" s="250">
        <f t="shared" si="109"/>
        <v>1.6344015754546752</v>
      </c>
      <c r="V332" s="382">
        <f t="shared" si="110"/>
        <v>29.338749023750779</v>
      </c>
      <c r="W332" s="401">
        <f t="shared" si="111"/>
        <v>11.78706266338496</v>
      </c>
      <c r="X332" s="157">
        <f t="shared" si="112"/>
        <v>45609</v>
      </c>
      <c r="Y332" s="384">
        <f t="shared" si="113"/>
        <v>11.121316130510948</v>
      </c>
      <c r="Z332" s="384">
        <f t="shared" si="114"/>
        <v>11.696264583261753</v>
      </c>
      <c r="AA332" s="385">
        <f t="shared" si="115"/>
        <v>12.695282376368281</v>
      </c>
      <c r="AB332" s="196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7.869204980947539E-2</v>
      </c>
      <c r="AD332" s="230">
        <f>(INDEX(Models!$BJ332:$BT332,,AH332)*(1-AF332)+INDEX(Models!$BJ332:$BT332,,AH332+1)*AF332-ERP_i)*AE332*Ramure*Pc/MaxiM</f>
        <v>1.121937539311715E-3</v>
      </c>
      <c r="AE332" s="304">
        <f t="shared" si="117"/>
        <v>0.5</v>
      </c>
      <c r="AF332" s="176">
        <f t="shared" si="118"/>
        <v>0.63440157545467524</v>
      </c>
      <c r="AG332" s="814">
        <f t="shared" si="124"/>
        <v>1</v>
      </c>
      <c r="AH332" s="175">
        <f t="shared" si="119"/>
        <v>7</v>
      </c>
      <c r="AI332" s="224">
        <f t="shared" si="120"/>
        <v>1.6344015754546752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10">
        <f>'2023'!Wh/'2023'!Env_an*'2024'!Env_an</f>
        <v>12.765847995372846</v>
      </c>
      <c r="C333" s="843"/>
      <c r="D333" s="392">
        <f t="shared" si="102"/>
        <v>13.426108952178939</v>
      </c>
      <c r="E333" s="384">
        <f t="shared" si="125"/>
        <v>13.750732442906108</v>
      </c>
      <c r="F333" s="384">
        <f t="shared" si="103"/>
        <v>13.753854003962335</v>
      </c>
      <c r="G333" s="110">
        <f t="shared" si="126"/>
        <v>0.43872094650843318</v>
      </c>
      <c r="H333" s="413" t="b">
        <f>Wh_hp&gt;='2023'!Maxi_hp</f>
        <v>0</v>
      </c>
      <c r="I333" s="389">
        <f>IF(H333,Wh_hp,'2023'!Maxi_hp)</f>
        <v>29.001692225643055</v>
      </c>
      <c r="J333" s="85">
        <f>IF(H333,An,'2023'!An_max)</f>
        <v>2020</v>
      </c>
      <c r="K333" s="196">
        <f t="shared" si="104"/>
        <v>45610</v>
      </c>
      <c r="L333" s="147">
        <f>IF(t&lt;Tvie,1-EXP((T0-t)*PertePVj)+'2023'!Pspv,1-EXP((T0-t)*PertePVj)+Pspv)</f>
        <v>4.917738707154904E-2</v>
      </c>
      <c r="M333" s="847"/>
      <c r="N333" s="847"/>
      <c r="O333" s="48">
        <f>IF(t&lt;Tnet,'2023'!Resal+('2023'!Salim-'2023'!Resal)*(1-EXP(('2023'!Tnet-t)/('2023'!Tau_j))),Resal+(Salim-Resal)*(1-EXP((Tnet-t)/(Tau_j))))*Salcycl</f>
        <v>2.3607723593999416E-2</v>
      </c>
      <c r="P333" s="168">
        <f>(INDEX(Models!$BJ333:$BT333,,T333)*(1-R333)+INDEX(Models!$BJ333:$BT333,,T333+1)*R333-ERP_i)*Q333*Ramure*Pc/MaxiM</f>
        <v>1.1419499163771915E-3</v>
      </c>
      <c r="Q333" s="304">
        <f t="shared" si="105"/>
        <v>0.5</v>
      </c>
      <c r="R333" s="176">
        <f t="shared" si="106"/>
        <v>0.63442060117345234</v>
      </c>
      <c r="S333" s="814">
        <f t="shared" si="107"/>
        <v>1</v>
      </c>
      <c r="T333" s="175">
        <f t="shared" si="108"/>
        <v>7</v>
      </c>
      <c r="U333" s="250">
        <f t="shared" si="109"/>
        <v>1.6344206011734523</v>
      </c>
      <c r="V333" s="382">
        <f t="shared" si="110"/>
        <v>29.07124633640608</v>
      </c>
      <c r="W333" s="401">
        <f t="shared" si="111"/>
        <v>12.765847995372846</v>
      </c>
      <c r="X333" s="157">
        <f t="shared" si="112"/>
        <v>45610</v>
      </c>
      <c r="Y333" s="384">
        <f t="shared" si="113"/>
        <v>12.045979749993299</v>
      </c>
      <c r="Z333" s="384">
        <f t="shared" si="114"/>
        <v>12.669008484024932</v>
      </c>
      <c r="AA333" s="385">
        <f t="shared" si="115"/>
        <v>13.750732442906108</v>
      </c>
      <c r="AB333" s="196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7.8666642913209184E-2</v>
      </c>
      <c r="AD333" s="230">
        <f>(INDEX(Models!$BJ333:$BT333,,AH333)*(1-AF333)+INDEX(Models!$BJ333:$BT333,,AH333+1)*AF333-ERP_i)*AE333*Ramure*Pc/MaxiM</f>
        <v>1.1419499163771915E-3</v>
      </c>
      <c r="AE333" s="304">
        <f t="shared" si="117"/>
        <v>0.5</v>
      </c>
      <c r="AF333" s="176">
        <f t="shared" si="118"/>
        <v>0.63442060117345234</v>
      </c>
      <c r="AG333" s="814">
        <f t="shared" si="124"/>
        <v>1</v>
      </c>
      <c r="AH333" s="175">
        <f t="shared" si="119"/>
        <v>7</v>
      </c>
      <c r="AI333" s="224">
        <f t="shared" si="120"/>
        <v>1.6344206011734523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10">
        <f>'2023'!Wh/'2023'!Env_an*'2024'!Env_an</f>
        <v>28.35794373106215</v>
      </c>
      <c r="C334" s="843"/>
      <c r="D334" s="392">
        <f t="shared" si="102"/>
        <v>29.825294105230817</v>
      </c>
      <c r="E334" s="384">
        <f t="shared" si="125"/>
        <v>30.548532018459397</v>
      </c>
      <c r="F334" s="384">
        <f t="shared" si="103"/>
        <v>30.5831426561478</v>
      </c>
      <c r="G334" s="110">
        <f t="shared" si="126"/>
        <v>0.98443962393818729</v>
      </c>
      <c r="H334" s="413" t="b">
        <f>Wh_hp&gt;='2023'!Maxi_hp</f>
        <v>0</v>
      </c>
      <c r="I334" s="389">
        <f>IF(H334,Wh_hp,'2023'!Maxi_hp)</f>
        <v>30.583445229560123</v>
      </c>
      <c r="J334" s="85">
        <f>IF(H334,An,'2023'!An_max)</f>
        <v>2022</v>
      </c>
      <c r="K334" s="196">
        <f t="shared" si="104"/>
        <v>45611</v>
      </c>
      <c r="L334" s="147">
        <f>IF(t&lt;Tvie,1-EXP((T0-t)*PertePVj)+'2023'!Pspv,1-EXP((T0-t)*PertePVj)+Pspv)</f>
        <v>4.9198186243914345E-2</v>
      </c>
      <c r="M334" s="847"/>
      <c r="N334" s="847"/>
      <c r="O334" s="48">
        <f>IF(t&lt;Tnet,'2023'!Resal+('2023'!Salim-'2023'!Resal)*(1-EXP(('2023'!Tnet-t)/('2023'!Tau_j))),Resal+(Salim-Resal)*(1-EXP((Tnet-t)/(Tau_j))))*Salcycl</f>
        <v>2.3675046407845457E-2</v>
      </c>
      <c r="P334" s="168">
        <f>(INDEX(Models!$BJ334:$BT334,,T334)*(1-R334)+INDEX(Models!$BJ334:$BT334,,T334+1)*R334-ERP_i)*Q334*Ramure*Pc/MaxiM</f>
        <v>1.1573756039867684E-3</v>
      </c>
      <c r="Q334" s="304">
        <f t="shared" si="105"/>
        <v>0.5</v>
      </c>
      <c r="R334" s="176">
        <f t="shared" si="106"/>
        <v>0.63443886313074604</v>
      </c>
      <c r="S334" s="814">
        <f t="shared" si="107"/>
        <v>1</v>
      </c>
      <c r="T334" s="175">
        <f t="shared" si="108"/>
        <v>7</v>
      </c>
      <c r="U334" s="250">
        <f t="shared" si="109"/>
        <v>1.634438863130746</v>
      </c>
      <c r="V334" s="382">
        <f t="shared" si="110"/>
        <v>28.805437963140509</v>
      </c>
      <c r="W334" s="401">
        <f t="shared" si="111"/>
        <v>28.35794373106215</v>
      </c>
      <c r="X334" s="157">
        <f t="shared" si="112"/>
        <v>45611</v>
      </c>
      <c r="Y334" s="384">
        <f t="shared" si="113"/>
        <v>26.761389441372398</v>
      </c>
      <c r="Z334" s="384">
        <f t="shared" si="114"/>
        <v>28.146127883005533</v>
      </c>
      <c r="AA334" s="385">
        <f t="shared" si="115"/>
        <v>30.548532018459397</v>
      </c>
      <c r="AB334" s="196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7.8642212136484202E-2</v>
      </c>
      <c r="AD334" s="230">
        <f>(INDEX(Models!$BJ334:$BT334,,AH334)*(1-AF334)+INDEX(Models!$BJ334:$BT334,,AH334+1)*AF334-ERP_i)*AE334*Ramure*Pc/MaxiM</f>
        <v>1.1573756039867684E-3</v>
      </c>
      <c r="AE334" s="304">
        <f t="shared" si="117"/>
        <v>0.5</v>
      </c>
      <c r="AF334" s="176">
        <f t="shared" si="118"/>
        <v>0.63443886313074604</v>
      </c>
      <c r="AG334" s="814">
        <f t="shared" si="124"/>
        <v>1</v>
      </c>
      <c r="AH334" s="175">
        <f t="shared" si="119"/>
        <v>7</v>
      </c>
      <c r="AI334" s="224">
        <f t="shared" si="120"/>
        <v>1.634438863130746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10">
        <f>'2023'!Wh/'2023'!Env_an*'2024'!Env_an</f>
        <v>14.609964505330035</v>
      </c>
      <c r="C335" s="843"/>
      <c r="D335" s="392">
        <f t="shared" ref="D335:D380" si="127">Wh/(1-Ppv)</f>
        <v>15.366277065099492</v>
      </c>
      <c r="E335" s="384">
        <f t="shared" si="125"/>
        <v>15.739983811054902</v>
      </c>
      <c r="F335" s="384">
        <f t="shared" ref="F335:F380" si="128">Wh_sa/(1-Pvg*MEDIAN((-Sdif+Wh/Env_an)/Csdif,0,1))</f>
        <v>15.745551266553134</v>
      </c>
      <c r="G335" s="110">
        <f t="shared" si="126"/>
        <v>0.51146205386512678</v>
      </c>
      <c r="H335" s="413" t="b">
        <f>Wh_hp&gt;='2023'!Maxi_hp</f>
        <v>0</v>
      </c>
      <c r="I335" s="389">
        <f>IF(H335,Wh_hp,'2023'!Maxi_hp)</f>
        <v>29.428386616561589</v>
      </c>
      <c r="J335" s="85">
        <f>IF(H335,An,'2023'!An_max)</f>
        <v>2018</v>
      </c>
      <c r="K335" s="196">
        <f t="shared" ref="K335:K380" si="129">t</f>
        <v>45612</v>
      </c>
      <c r="L335" s="147">
        <f>IF(t&lt;Tvie,1-EXP((T0-t)*PertePVj)+'2023'!Pspv,1-EXP((T0-t)*PertePVj)+Pspv)</f>
        <v>4.9218984960724389E-2</v>
      </c>
      <c r="M335" s="847"/>
      <c r="N335" s="847"/>
      <c r="O335" s="48">
        <f>IF(t&lt;Tnet,'2023'!Resal+('2023'!Salim-'2023'!Resal)*(1-EXP(('2023'!Tnet-t)/('2023'!Tau_j))),Resal+(Salim-Resal)*(1-EXP((Tnet-t)/(Tau_j))))*Salcycl</f>
        <v>2.374251145626587E-2</v>
      </c>
      <c r="P335" s="168">
        <f>(INDEX(Models!$BJ335:$BT335,,T335)*(1-R335)+INDEX(Models!$BJ335:$BT335,,T335+1)*R335-ERP_i)*Q335*Ramure*Pc/MaxiM</f>
        <v>1.1681770156679644E-3</v>
      </c>
      <c r="Q335" s="304">
        <f t="shared" ref="Q335:Q380" si="130">IF(OR(t&lt;Ttai,Notai),Dd+PousD*Croivg,Dens+PousD*(Croivg-Croi_tai))</f>
        <v>0.5</v>
      </c>
      <c r="R335" s="176">
        <f t="shared" ref="R335:R379" si="131">(Hp_vg-S335)/(INDEX(Echel_vg,T335+1)-S335)</f>
        <v>0.6344563918991426</v>
      </c>
      <c r="S335" s="814">
        <f t="shared" ref="S335:S379" si="132">INDEX(Echel_vg,T335)</f>
        <v>1</v>
      </c>
      <c r="T335" s="175">
        <f t="shared" ref="T335:T380" si="133">MIN(MATCH(Hp_vg,Echel_vg),10)</f>
        <v>7</v>
      </c>
      <c r="U335" s="250">
        <f t="shared" ref="U335:U380" si="134">IF(OR(t&lt;Ttai,Notai),Hdd+PousH*Croivg,Hdtf+PousH*(Croivg-Croi_tai))</f>
        <v>1.6344563918991426</v>
      </c>
      <c r="V335" s="382">
        <f t="shared" ref="V335:V380" si="135">MaxiM*(1-Ppv)*(1-Pvg)*(1-Psa)</f>
        <v>28.541822575247974</v>
      </c>
      <c r="W335" s="401">
        <f t="shared" ref="W335:W380" si="136">Wh*(A335&gt;Tmaj)</f>
        <v>14.609964505330035</v>
      </c>
      <c r="X335" s="157">
        <f t="shared" ref="X335:X380" si="137">t</f>
        <v>45612</v>
      </c>
      <c r="Y335" s="384">
        <f t="shared" ref="Y335:Y380" si="138">Wh_pvt_s*(1-Ppv)</f>
        <v>13.788725365431393</v>
      </c>
      <c r="Z335" s="384">
        <f t="shared" ref="Z335:Z380" si="139">Wh_sa_s*(1-Psa_s)</f>
        <v>14.502524921431879</v>
      </c>
      <c r="AA335" s="385">
        <f t="shared" ref="AA335:AA380" si="140">Wh_hp*(1-Pvg_s*MEDIAN((-Sdif+Wh/Env_an)/Csdif,0,1))</f>
        <v>15.739983811054902</v>
      </c>
      <c r="AB335" s="196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7.8618815907161146E-2</v>
      </c>
      <c r="AD335" s="230">
        <f>(INDEX(Models!$BJ335:$BT335,,AH335)*(1-AF335)+INDEX(Models!$BJ335:$BT335,,AH335+1)*AF335-ERP_i)*AE335*Ramure*Pc/MaxiM</f>
        <v>1.1681770156679644E-3</v>
      </c>
      <c r="AE335" s="304">
        <f t="shared" ref="AE335:AE380" si="142">IF(OR(t&lt;Ttai,Notai),Dd_s+PousD*Croivg,Dens_s+PousD*(Croivg-Croi_tai))</f>
        <v>0.5</v>
      </c>
      <c r="AF335" s="176">
        <f t="shared" ref="AF335:AF379" si="143">(Hp_vg_s-AG335)/(INDEX(Echel_vg,AH335+1)-AG335)</f>
        <v>0.6344563918991426</v>
      </c>
      <c r="AG335" s="814">
        <f t="shared" si="124"/>
        <v>1</v>
      </c>
      <c r="AH335" s="175">
        <f t="shared" ref="AH335:AH380" si="144">MIN(MATCH(Hp_vg_s,Echel_vg),10)</f>
        <v>7</v>
      </c>
      <c r="AI335" s="224">
        <f t="shared" ref="AI335:AI380" si="145">IF(OR(t&lt;Ttai,Notai),Hdd_s+PousH*Croivg,Hdtai_s+PousH*(Croivg-Croi_tai))</f>
        <v>1.6344563918991426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45613</v>
      </c>
      <c r="B336" s="410">
        <f>'2023'!Wh/'2023'!Env_an*'2024'!Env_an</f>
        <v>13.036320434193899</v>
      </c>
      <c r="C336" s="843"/>
      <c r="D336" s="392">
        <f t="shared" si="127"/>
        <v>13.711470257319041</v>
      </c>
      <c r="E336" s="384">
        <f t="shared" si="125"/>
        <v>14.045905206130961</v>
      </c>
      <c r="F336" s="384">
        <f t="shared" si="128"/>
        <v>14.049698934891204</v>
      </c>
      <c r="G336" s="110">
        <f t="shared" si="126"/>
        <v>0.46054153775531381</v>
      </c>
      <c r="H336" s="413" t="b">
        <f>Wh_hp&gt;='2023'!Maxi_hp</f>
        <v>0</v>
      </c>
      <c r="I336" s="389">
        <f>IF(H336,Wh_hp,'2023'!Maxi_hp)</f>
        <v>28.461608184939823</v>
      </c>
      <c r="J336" s="85">
        <f>IF(H336,An,'2023'!An_max)</f>
        <v>2020</v>
      </c>
      <c r="K336" s="196">
        <f t="shared" si="129"/>
        <v>45613</v>
      </c>
      <c r="L336" s="147">
        <f>IF(t&lt;Tvie,1-EXP((T0-t)*PertePVj)+'2023'!Pspv,1-EXP((T0-t)*PertePVj)+Pspv)</f>
        <v>4.9239783221989165E-2</v>
      </c>
      <c r="M336" s="847"/>
      <c r="N336" s="847"/>
      <c r="O336" s="48">
        <f>IF(t&lt;Tnet,'2023'!Resal+('2023'!Salim-'2023'!Resal)*(1-EXP(('2023'!Tnet-t)/('2023'!Tau_j))),Resal+(Salim-Resal)*(1-EXP((Tnet-t)/(Tau_j))))*Salcycl</f>
        <v>2.3810138535317805E-2</v>
      </c>
      <c r="P336" s="168">
        <f>(INDEX(Models!$BJ336:$BT336,,T336)*(1-R336)+INDEX(Models!$BJ336:$BT336,,T336+1)*R336-ERP_i)*Q336*Ramure*Pc/MaxiM</f>
        <v>1.1743117566570568E-3</v>
      </c>
      <c r="Q336" s="304">
        <f t="shared" si="130"/>
        <v>0.5</v>
      </c>
      <c r="R336" s="176">
        <f t="shared" si="131"/>
        <v>0.63447321683434055</v>
      </c>
      <c r="S336" s="814">
        <f t="shared" si="132"/>
        <v>1</v>
      </c>
      <c r="T336" s="175">
        <f t="shared" si="133"/>
        <v>7</v>
      </c>
      <c r="U336" s="250">
        <f t="shared" si="134"/>
        <v>1.6344732168343405</v>
      </c>
      <c r="V336" s="382">
        <f t="shared" si="135"/>
        <v>28.28089883810145</v>
      </c>
      <c r="W336" s="401">
        <f t="shared" si="136"/>
        <v>13.036320434193899</v>
      </c>
      <c r="X336" s="157">
        <f t="shared" si="137"/>
        <v>45613</v>
      </c>
      <c r="Y336" s="384">
        <f t="shared" si="138"/>
        <v>12.30468747629272</v>
      </c>
      <c r="Z336" s="384">
        <f t="shared" si="139"/>
        <v>12.941946096557901</v>
      </c>
      <c r="AA336" s="385">
        <f t="shared" si="140"/>
        <v>14.045905206130961</v>
      </c>
      <c r="AB336" s="196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7.8596508617414559E-2</v>
      </c>
      <c r="AD336" s="230">
        <f>(INDEX(Models!$BJ336:$BT336,,AH336)*(1-AF336)+INDEX(Models!$BJ336:$BT336,,AH336+1)*AF336-ERP_i)*AE336*Ramure*Pc/MaxiM</f>
        <v>1.1743117566570568E-3</v>
      </c>
      <c r="AE336" s="304">
        <f t="shared" si="142"/>
        <v>0.5</v>
      </c>
      <c r="AF336" s="176">
        <f t="shared" si="143"/>
        <v>0.63447321683434055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1.6344732168343405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10">
        <f>'2023'!Wh/'2023'!Env_an*'2024'!Env_an</f>
        <v>8.6694647921906345</v>
      </c>
      <c r="C337" s="843"/>
      <c r="D337" s="392">
        <f t="shared" si="127"/>
        <v>9.1186550375307327</v>
      </c>
      <c r="E337" s="384">
        <f t="shared" si="125"/>
        <v>9.3417160316723304</v>
      </c>
      <c r="F337" s="384">
        <f t="shared" si="128"/>
        <v>9.3418630194784562</v>
      </c>
      <c r="G337" s="110">
        <f t="shared" si="126"/>
        <v>0.30900891945937475</v>
      </c>
      <c r="H337" s="413" t="b">
        <f>Wh_hp&gt;='2023'!Maxi_hp</f>
        <v>0</v>
      </c>
      <c r="I337" s="389">
        <f>IF(H337,Wh_hp,'2023'!Maxi_hp)</f>
        <v>29.760900399703338</v>
      </c>
      <c r="J337" s="85">
        <f>IF(H337,An,'2023'!An_max)</f>
        <v>2021</v>
      </c>
      <c r="K337" s="196">
        <f t="shared" si="129"/>
        <v>45614</v>
      </c>
      <c r="L337" s="147">
        <f>IF(t&lt;Tvie,1-EXP((T0-t)*PertePVj)+'2023'!Pspv,1-EXP((T0-t)*PertePVj)+Pspv)</f>
        <v>4.9260581027718665E-2</v>
      </c>
      <c r="M337" s="847"/>
      <c r="N337" s="847"/>
      <c r="O337" s="48">
        <f>IF(t&lt;Tnet,'2023'!Resal+('2023'!Salim-'2023'!Resal)*(1-EXP(('2023'!Tnet-t)/('2023'!Tau_j))),Resal+(Salim-Resal)*(1-EXP((Tnet-t)/(Tau_j))))*Salcycl</f>
        <v>2.3877946341478152E-2</v>
      </c>
      <c r="P337" s="168">
        <f>(INDEX(Models!$BJ337:$BT337,,T337)*(1-R337)+INDEX(Models!$BJ337:$BT337,,T337+1)*R337-ERP_i)*Q337*Ramure*Pc/MaxiM</f>
        <v>1.1757328345596376E-3</v>
      </c>
      <c r="Q337" s="304">
        <f t="shared" si="130"/>
        <v>0.5</v>
      </c>
      <c r="R337" s="176">
        <f t="shared" si="131"/>
        <v>0.63448936612304285</v>
      </c>
      <c r="S337" s="814">
        <f t="shared" si="132"/>
        <v>1</v>
      </c>
      <c r="T337" s="175">
        <f t="shared" si="133"/>
        <v>7</v>
      </c>
      <c r="U337" s="250">
        <f t="shared" si="134"/>
        <v>1.6344893661230429</v>
      </c>
      <c r="V337" s="382">
        <f t="shared" si="135"/>
        <v>28.023165424389848</v>
      </c>
      <c r="W337" s="401">
        <f t="shared" si="136"/>
        <v>8.6694647921906345</v>
      </c>
      <c r="X337" s="157">
        <f t="shared" si="137"/>
        <v>45614</v>
      </c>
      <c r="Y337" s="384">
        <f t="shared" si="138"/>
        <v>8.1836678262882501</v>
      </c>
      <c r="Z337" s="384">
        <f t="shared" si="139"/>
        <v>8.607687514560542</v>
      </c>
      <c r="AA337" s="385">
        <f t="shared" si="140"/>
        <v>9.3417160316723304</v>
      </c>
      <c r="AB337" s="196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7.8575340400320992E-2</v>
      </c>
      <c r="AD337" s="230">
        <f>(INDEX(Models!$BJ337:$BT337,,AH337)*(1-AF337)+INDEX(Models!$BJ337:$BT337,,AH337+1)*AF337-ERP_i)*AE337*Ramure*Pc/MaxiM</f>
        <v>1.1757328345596376E-3</v>
      </c>
      <c r="AE337" s="304">
        <f t="shared" si="142"/>
        <v>0.5</v>
      </c>
      <c r="AF337" s="176">
        <f t="shared" si="143"/>
        <v>0.63448936612304285</v>
      </c>
      <c r="AG337" s="814">
        <f t="shared" si="149"/>
        <v>1</v>
      </c>
      <c r="AH337" s="175">
        <f t="shared" si="144"/>
        <v>7</v>
      </c>
      <c r="AI337" s="224">
        <f t="shared" si="145"/>
        <v>1.6344893661230429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10">
        <f>'2023'!Wh/'2023'!Env_an*'2024'!Env_an</f>
        <v>17.827656049184785</v>
      </c>
      <c r="C338" s="843"/>
      <c r="D338" s="392">
        <f t="shared" si="127"/>
        <v>18.751769076288809</v>
      </c>
      <c r="E338" s="384">
        <f t="shared" si="125"/>
        <v>19.211814266041763</v>
      </c>
      <c r="F338" s="384">
        <f t="shared" si="128"/>
        <v>19.222826161319681</v>
      </c>
      <c r="G338" s="110">
        <f t="shared" si="126"/>
        <v>0.64161057269015731</v>
      </c>
      <c r="H338" s="413" t="b">
        <f>Wh_hp&gt;='2023'!Maxi_hp</f>
        <v>0</v>
      </c>
      <c r="I338" s="389">
        <f>IF(H338,Wh_hp,'2023'!Maxi_hp)</f>
        <v>30.755738511673645</v>
      </c>
      <c r="J338" s="85">
        <f>IF(H338,An,'2023'!An_max)</f>
        <v>2019</v>
      </c>
      <c r="K338" s="196">
        <f t="shared" si="129"/>
        <v>45615</v>
      </c>
      <c r="L338" s="147">
        <f>IF(t&lt;Tvie,1-EXP((T0-t)*PertePVj)+'2023'!Pspv,1-EXP((T0-t)*PertePVj)+Pspv)</f>
        <v>4.9281378377922881E-2</v>
      </c>
      <c r="M338" s="847"/>
      <c r="N338" s="847"/>
      <c r="O338" s="48">
        <f>IF(t&lt;Tnet,'2023'!Resal+('2023'!Salim-'2023'!Resal)*(1-EXP(('2023'!Tnet-t)/('2023'!Tau_j))),Resal+(Salim-Resal)*(1-EXP((Tnet-t)/(Tau_j))))*Salcycl</f>
        <v>2.3945952390665947E-2</v>
      </c>
      <c r="P338" s="168">
        <f>(INDEX(Models!$BJ338:$BT338,,T338)*(1-R338)+INDEX(Models!$BJ338:$BT338,,T338+1)*R338-ERP_i)*Q338*Ramure*Pc/MaxiM</f>
        <v>1.1725250461612567E-3</v>
      </c>
      <c r="Q338" s="304">
        <f t="shared" si="130"/>
        <v>0.5</v>
      </c>
      <c r="R338" s="176">
        <f t="shared" si="131"/>
        <v>0.63450486682900631</v>
      </c>
      <c r="S338" s="814">
        <f t="shared" si="132"/>
        <v>1</v>
      </c>
      <c r="T338" s="175">
        <f t="shared" si="133"/>
        <v>7</v>
      </c>
      <c r="U338" s="250">
        <f t="shared" si="134"/>
        <v>1.6345048668290063</v>
      </c>
      <c r="V338" s="382">
        <f t="shared" si="135"/>
        <v>27.769117236305707</v>
      </c>
      <c r="W338" s="401">
        <f t="shared" si="136"/>
        <v>17.827656049184785</v>
      </c>
      <c r="X338" s="157">
        <f t="shared" si="137"/>
        <v>45615</v>
      </c>
      <c r="Y338" s="384">
        <f t="shared" si="138"/>
        <v>16.830213659993639</v>
      </c>
      <c r="Z338" s="384">
        <f t="shared" si="139"/>
        <v>17.702623339047065</v>
      </c>
      <c r="AA338" s="385">
        <f t="shared" si="140"/>
        <v>19.211814266041763</v>
      </c>
      <c r="AB338" s="196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7.8555356932754616E-2</v>
      </c>
      <c r="AD338" s="230">
        <f>(INDEX(Models!$BJ338:$BT338,,AH338)*(1-AF338)+INDEX(Models!$BJ338:$BT338,,AH338+1)*AF338-ERP_i)*AE338*Ramure*Pc/MaxiM</f>
        <v>1.1725250461612567E-3</v>
      </c>
      <c r="AE338" s="304">
        <f t="shared" si="142"/>
        <v>0.5</v>
      </c>
      <c r="AF338" s="176">
        <f t="shared" si="143"/>
        <v>0.63450486682900631</v>
      </c>
      <c r="AG338" s="814">
        <f t="shared" si="149"/>
        <v>1</v>
      </c>
      <c r="AH338" s="175">
        <f t="shared" si="144"/>
        <v>7</v>
      </c>
      <c r="AI338" s="224">
        <f t="shared" si="145"/>
        <v>1.6345048668290063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10">
        <f>'2023'!Wh/'2023'!Env_an*'2024'!Env_an</f>
        <v>3.0513808045248698</v>
      </c>
      <c r="C339" s="843"/>
      <c r="D339" s="392">
        <f t="shared" si="127"/>
        <v>3.2096221587546498</v>
      </c>
      <c r="E339" s="384">
        <f t="shared" si="125"/>
        <v>3.2885950490065969</v>
      </c>
      <c r="F339" s="384">
        <f t="shared" si="128"/>
        <v>3.2885950490065969</v>
      </c>
      <c r="G339" s="110">
        <f t="shared" si="126"/>
        <v>0.11075253587408526</v>
      </c>
      <c r="H339" s="413" t="b">
        <f>Wh_hp&gt;='2023'!Maxi_hp</f>
        <v>0</v>
      </c>
      <c r="I339" s="389">
        <f>IF(H339,Wh_hp,'2023'!Maxi_hp)</f>
        <v>29.244111126722764</v>
      </c>
      <c r="J339" s="85">
        <f>IF(H339,An,'2023'!An_max)</f>
        <v>2019</v>
      </c>
      <c r="K339" s="196">
        <f t="shared" si="129"/>
        <v>45616</v>
      </c>
      <c r="L339" s="147">
        <f>IF(t&lt;Tvie,1-EXP((T0-t)*PertePVj)+'2023'!Pspv,1-EXP((T0-t)*PertePVj)+Pspv)</f>
        <v>4.9302175272611694E-2</v>
      </c>
      <c r="M339" s="847"/>
      <c r="N339" s="847"/>
      <c r="O339" s="48">
        <f>IF(t&lt;Tnet,'2023'!Resal+('2023'!Salim-'2023'!Resal)*(1-EXP(('2023'!Tnet-t)/('2023'!Tau_j))),Resal+(Salim-Resal)*(1-EXP((Tnet-t)/(Tau_j))))*Salcycl</f>
        <v>2.4014172944705613E-2</v>
      </c>
      <c r="P339" s="168">
        <f>(INDEX(Models!$BJ339:$BT339,,T339)*(1-R339)+INDEX(Models!$BJ339:$BT339,,T339+1)*R339-ERP_i)*Q339*Ramure*Pc/MaxiM</f>
        <v>1.1666783947484507E-3</v>
      </c>
      <c r="Q339" s="304">
        <f t="shared" si="130"/>
        <v>0.5</v>
      </c>
      <c r="R339" s="176">
        <f t="shared" si="131"/>
        <v>0.63451974493731722</v>
      </c>
      <c r="S339" s="814">
        <f t="shared" si="132"/>
        <v>1</v>
      </c>
      <c r="T339" s="175">
        <f t="shared" si="133"/>
        <v>7</v>
      </c>
      <c r="U339" s="250">
        <f t="shared" si="134"/>
        <v>1.6345197449373172</v>
      </c>
      <c r="V339" s="382">
        <f t="shared" si="135"/>
        <v>27.519196742647527</v>
      </c>
      <c r="W339" s="401">
        <f t="shared" si="136"/>
        <v>3.0513808045248698</v>
      </c>
      <c r="X339" s="157">
        <f t="shared" si="137"/>
        <v>45616</v>
      </c>
      <c r="Y339" s="384">
        <f t="shared" si="138"/>
        <v>2.8809186108323259</v>
      </c>
      <c r="Z339" s="384">
        <f t="shared" si="139"/>
        <v>3.0303199774948748</v>
      </c>
      <c r="AA339" s="385">
        <f t="shared" si="140"/>
        <v>3.2885950490065969</v>
      </c>
      <c r="AB339" s="196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7.8536599265920673E-2</v>
      </c>
      <c r="AD339" s="230">
        <f>(INDEX(Models!$BJ339:$BT339,,AH339)*(1-AF339)+INDEX(Models!$BJ339:$BT339,,AH339+1)*AF339-ERP_i)*AE339*Ramure*Pc/MaxiM</f>
        <v>1.1666783947484507E-3</v>
      </c>
      <c r="AE339" s="304">
        <f t="shared" si="142"/>
        <v>0.5</v>
      </c>
      <c r="AF339" s="176">
        <f t="shared" si="143"/>
        <v>0.63451974493731722</v>
      </c>
      <c r="AG339" s="814">
        <f t="shared" si="149"/>
        <v>1</v>
      </c>
      <c r="AH339" s="175">
        <f t="shared" si="144"/>
        <v>7</v>
      </c>
      <c r="AI339" s="224">
        <f t="shared" si="145"/>
        <v>1.6345197449373172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10">
        <f>'2023'!Wh/'2023'!Env_an*'2024'!Env_an</f>
        <v>9.5316372106775855</v>
      </c>
      <c r="C340" s="843"/>
      <c r="D340" s="392">
        <f t="shared" si="127"/>
        <v>10.026157072334348</v>
      </c>
      <c r="E340" s="384">
        <f t="shared" si="125"/>
        <v>10.273571624062912</v>
      </c>
      <c r="F340" s="384">
        <f t="shared" si="128"/>
        <v>10.274412708626571</v>
      </c>
      <c r="G340" s="110">
        <f t="shared" si="126"/>
        <v>0.34910211725453183</v>
      </c>
      <c r="H340" s="413" t="b">
        <f>Wh_hp&gt;='2023'!Maxi_hp</f>
        <v>0</v>
      </c>
      <c r="I340" s="389">
        <f>IF(H340,Wh_hp,'2023'!Maxi_hp)</f>
        <v>30.738398160711071</v>
      </c>
      <c r="J340" s="85">
        <f>IF(H340,An,'2023'!An_max)</f>
        <v>2020</v>
      </c>
      <c r="K340" s="196">
        <f t="shared" si="129"/>
        <v>45617</v>
      </c>
      <c r="L340" s="147">
        <f>IF(t&lt;Tvie,1-EXP((T0-t)*PertePVj)+'2023'!Pspv,1-EXP((T0-t)*PertePVj)+Pspv)</f>
        <v>4.9322971711795095E-2</v>
      </c>
      <c r="M340" s="847"/>
      <c r="N340" s="847"/>
      <c r="O340" s="48">
        <f>IF(t&lt;Tnet,'2023'!Resal+('2023'!Salim-'2023'!Resal)*(1-EXP(('2023'!Tnet-t)/('2023'!Tau_j))),Resal+(Salim-Resal)*(1-EXP((Tnet-t)/(Tau_j))))*Salcycl</f>
        <v>2.4082622945759823E-2</v>
      </c>
      <c r="P340" s="168">
        <f>(INDEX(Models!$BJ340:$BT340,,T340)*(1-R340)+INDEX(Models!$BJ340:$BT340,,T340+1)*R340-ERP_i)*Q340*Ramure*Pc/MaxiM</f>
        <v>1.1581532430963175E-3</v>
      </c>
      <c r="Q340" s="304">
        <f t="shared" si="130"/>
        <v>0.5</v>
      </c>
      <c r="R340" s="176">
        <f t="shared" si="131"/>
        <v>0.63453402539695847</v>
      </c>
      <c r="S340" s="814">
        <f t="shared" si="132"/>
        <v>1</v>
      </c>
      <c r="T340" s="175">
        <f t="shared" si="133"/>
        <v>7</v>
      </c>
      <c r="U340" s="250">
        <f t="shared" si="134"/>
        <v>1.6345340253969585</v>
      </c>
      <c r="V340" s="382">
        <f t="shared" si="135"/>
        <v>27.273903775107929</v>
      </c>
      <c r="W340" s="401">
        <f t="shared" si="136"/>
        <v>9.5316372106775855</v>
      </c>
      <c r="X340" s="157">
        <f t="shared" si="137"/>
        <v>45617</v>
      </c>
      <c r="Y340" s="384">
        <f t="shared" si="138"/>
        <v>8.9999643481702947</v>
      </c>
      <c r="Z340" s="384">
        <f t="shared" si="139"/>
        <v>9.4668999885015506</v>
      </c>
      <c r="AA340" s="385">
        <f t="shared" si="140"/>
        <v>10.273571624062912</v>
      </c>
      <c r="AB340" s="196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7.8519103684639005E-2</v>
      </c>
      <c r="AD340" s="230">
        <f>(INDEX(Models!$BJ340:$BT340,,AH340)*(1-AF340)+INDEX(Models!$BJ340:$BT340,,AH340+1)*AF340-ERP_i)*AE340*Ramure*Pc/MaxiM</f>
        <v>1.1581532430963175E-3</v>
      </c>
      <c r="AE340" s="304">
        <f t="shared" si="142"/>
        <v>0.5</v>
      </c>
      <c r="AF340" s="176">
        <f t="shared" si="143"/>
        <v>0.63453402539695847</v>
      </c>
      <c r="AG340" s="814">
        <f t="shared" si="149"/>
        <v>1</v>
      </c>
      <c r="AH340" s="175">
        <f t="shared" si="144"/>
        <v>7</v>
      </c>
      <c r="AI340" s="224">
        <f t="shared" si="145"/>
        <v>1.6345340253969585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10">
        <f>'2023'!Wh/'2023'!Env_an*'2024'!Env_an</f>
        <v>15.603743251471604</v>
      </c>
      <c r="C341" s="843"/>
      <c r="D341" s="392">
        <f t="shared" si="127"/>
        <v>16.413654822044411</v>
      </c>
      <c r="E341" s="384">
        <f t="shared" si="125"/>
        <v>16.819876985516462</v>
      </c>
      <c r="F341" s="384">
        <f t="shared" si="128"/>
        <v>16.827519451583594</v>
      </c>
      <c r="G341" s="110">
        <f t="shared" si="126"/>
        <v>0.57679514678883692</v>
      </c>
      <c r="H341" s="413" t="b">
        <f>Wh_hp&gt;='2023'!Maxi_hp</f>
        <v>0</v>
      </c>
      <c r="I341" s="389">
        <f>IF(H341,Wh_hp,'2023'!Maxi_hp)</f>
        <v>30.216505837462773</v>
      </c>
      <c r="J341" s="85">
        <f>IF(H341,An,'2023'!An_max)</f>
        <v>2020</v>
      </c>
      <c r="K341" s="196">
        <f t="shared" si="129"/>
        <v>45618</v>
      </c>
      <c r="L341" s="147">
        <f>IF(t&lt;Tvie,1-EXP((T0-t)*PertePVj)+'2023'!Pspv,1-EXP((T0-t)*PertePVj)+Pspv)</f>
        <v>4.9343767695483189E-2</v>
      </c>
      <c r="M341" s="847"/>
      <c r="N341" s="847"/>
      <c r="O341" s="48">
        <f>IF(t&lt;Tnet,'2023'!Resal+('2023'!Salim-'2023'!Resal)*(1-EXP(('2023'!Tnet-t)/('2023'!Tau_j))),Resal+(Salim-Resal)*(1-EXP((Tnet-t)/(Tau_j))))*Salcycl</f>
        <v>2.4151315959198054E-2</v>
      </c>
      <c r="P341" s="168">
        <f>(INDEX(Models!$BJ341:$BT341,,T341)*(1-R341)+INDEX(Models!$BJ341:$BT341,,T341+1)*R341-ERP_i)*Q341*Ramure*Pc/MaxiM</f>
        <v>1.146900641587622E-3</v>
      </c>
      <c r="Q341" s="304">
        <f t="shared" si="130"/>
        <v>0.5</v>
      </c>
      <c r="R341" s="176">
        <f t="shared" si="131"/>
        <v>0.63454773216172833</v>
      </c>
      <c r="S341" s="814">
        <f t="shared" si="132"/>
        <v>1</v>
      </c>
      <c r="T341" s="175">
        <f t="shared" si="133"/>
        <v>7</v>
      </c>
      <c r="U341" s="250">
        <f t="shared" si="134"/>
        <v>1.6345477321617283</v>
      </c>
      <c r="V341" s="382">
        <f t="shared" si="135"/>
        <v>27.033738327681817</v>
      </c>
      <c r="W341" s="401">
        <f t="shared" si="136"/>
        <v>15.603743251471604</v>
      </c>
      <c r="X341" s="157">
        <f t="shared" si="137"/>
        <v>45618</v>
      </c>
      <c r="Y341" s="384">
        <f t="shared" si="138"/>
        <v>14.734665697276048</v>
      </c>
      <c r="Z341" s="384">
        <f t="shared" si="139"/>
        <v>15.499467837661216</v>
      </c>
      <c r="AA341" s="385">
        <f t="shared" si="140"/>
        <v>16.819876985516462</v>
      </c>
      <c r="AB341" s="196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7.8502901596262969E-2</v>
      </c>
      <c r="AD341" s="230">
        <f>(INDEX(Models!$BJ341:$BT341,,AH341)*(1-AF341)+INDEX(Models!$BJ341:$BT341,,AH341+1)*AF341-ERP_i)*AE341*Ramure*Pc/MaxiM</f>
        <v>1.146900641587622E-3</v>
      </c>
      <c r="AE341" s="304">
        <f t="shared" si="142"/>
        <v>0.5</v>
      </c>
      <c r="AF341" s="176">
        <f t="shared" si="143"/>
        <v>0.63454773216172833</v>
      </c>
      <c r="AG341" s="814">
        <f t="shared" si="149"/>
        <v>1</v>
      </c>
      <c r="AH341" s="175">
        <f t="shared" si="144"/>
        <v>7</v>
      </c>
      <c r="AI341" s="224">
        <f t="shared" si="145"/>
        <v>1.6345477321617283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10">
        <f>'2023'!Wh/'2023'!Env_an*'2024'!Env_an</f>
        <v>13.960492832118691</v>
      </c>
      <c r="C342" s="843"/>
      <c r="D342" s="392">
        <f t="shared" si="127"/>
        <v>14.685432808459058</v>
      </c>
      <c r="E342" s="384">
        <f t="shared" si="125"/>
        <v>15.0499464874569</v>
      </c>
      <c r="F342" s="384">
        <f t="shared" si="128"/>
        <v>15.055329529953278</v>
      </c>
      <c r="G342" s="110">
        <f t="shared" si="126"/>
        <v>0.52052542371819543</v>
      </c>
      <c r="H342" s="413" t="b">
        <f>Wh_hp&gt;='2023'!Maxi_hp</f>
        <v>0</v>
      </c>
      <c r="I342" s="389">
        <f>IF(H342,Wh_hp,'2023'!Maxi_hp)</f>
        <v>28.331820487180057</v>
      </c>
      <c r="J342" s="85">
        <f>IF(H342,An,'2023'!An_max)</f>
        <v>2020</v>
      </c>
      <c r="K342" s="196">
        <f t="shared" si="129"/>
        <v>45619</v>
      </c>
      <c r="L342" s="147">
        <f>IF(t&lt;Tvie,1-EXP((T0-t)*PertePVj)+'2023'!Pspv,1-EXP((T0-t)*PertePVj)+Pspv)</f>
        <v>4.9364563223685855E-2</v>
      </c>
      <c r="M342" s="847"/>
      <c r="N342" s="847"/>
      <c r="O342" s="48">
        <f>IF(t&lt;Tnet,'2023'!Resal+('2023'!Salim-'2023'!Resal)*(1-EXP(('2023'!Tnet-t)/('2023'!Tau_j))),Resal+(Salim-Resal)*(1-EXP((Tnet-t)/(Tau_j))))*Salcycl</f>
        <v>2.4220264125300317E-2</v>
      </c>
      <c r="P342" s="168">
        <f>(INDEX(Models!$BJ342:$BT342,,T342)*(1-R342)+INDEX(Models!$BJ342:$BT342,,T342+1)*R342-ERP_i)*Q342*Ramure*Pc/MaxiM</f>
        <v>1.1328749050721614E-3</v>
      </c>
      <c r="Q342" s="304">
        <f t="shared" si="130"/>
        <v>0.5</v>
      </c>
      <c r="R342" s="176">
        <f t="shared" si="131"/>
        <v>0.63456088822957701</v>
      </c>
      <c r="S342" s="814">
        <f t="shared" si="132"/>
        <v>1</v>
      </c>
      <c r="T342" s="175">
        <f t="shared" si="133"/>
        <v>7</v>
      </c>
      <c r="U342" s="250">
        <f t="shared" si="134"/>
        <v>1.634560888229577</v>
      </c>
      <c r="V342" s="382">
        <f t="shared" si="135"/>
        <v>26.799200223405414</v>
      </c>
      <c r="W342" s="401">
        <f t="shared" si="136"/>
        <v>13.960492832118691</v>
      </c>
      <c r="X342" s="157">
        <f t="shared" si="137"/>
        <v>45619</v>
      </c>
      <c r="Y342" s="384">
        <f t="shared" si="138"/>
        <v>13.184083380917174</v>
      </c>
      <c r="Z342" s="384">
        <f t="shared" si="139"/>
        <v>13.868705994829654</v>
      </c>
      <c r="AA342" s="385">
        <f t="shared" si="140"/>
        <v>15.0499464874569</v>
      </c>
      <c r="AB342" s="196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7.8488019449885038E-2</v>
      </c>
      <c r="AD342" s="230">
        <f>(INDEX(Models!$BJ342:$BT342,,AH342)*(1-AF342)+INDEX(Models!$BJ342:$BT342,,AH342+1)*AF342-ERP_i)*AE342*Ramure*Pc/MaxiM</f>
        <v>1.1328749050721614E-3</v>
      </c>
      <c r="AE342" s="304">
        <f t="shared" si="142"/>
        <v>0.5</v>
      </c>
      <c r="AF342" s="176">
        <f t="shared" si="143"/>
        <v>0.63456088822957701</v>
      </c>
      <c r="AG342" s="814">
        <f t="shared" si="149"/>
        <v>1</v>
      </c>
      <c r="AH342" s="175">
        <f t="shared" si="144"/>
        <v>7</v>
      </c>
      <c r="AI342" s="224">
        <f t="shared" si="145"/>
        <v>1.634560888229577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10">
        <f>'2023'!Wh/'2023'!Env_an*'2024'!Env_an</f>
        <v>4.5879818158264447</v>
      </c>
      <c r="C343" s="843"/>
      <c r="D343" s="392">
        <f t="shared" si="127"/>
        <v>4.8263319483532978</v>
      </c>
      <c r="E343" s="384">
        <f t="shared" si="125"/>
        <v>4.9464793503041573</v>
      </c>
      <c r="F343" s="384">
        <f t="shared" si="128"/>
        <v>4.9464793503041573</v>
      </c>
      <c r="G343" s="110">
        <f t="shared" si="126"/>
        <v>0.17247743195684861</v>
      </c>
      <c r="H343" s="413" t="b">
        <f>Wh_hp&gt;='2023'!Maxi_hp</f>
        <v>0</v>
      </c>
      <c r="I343" s="389">
        <f>IF(H343,Wh_hp,'2023'!Maxi_hp)</f>
        <v>25.716385889252038</v>
      </c>
      <c r="J343" s="85">
        <f>IF(H343,An,'2023'!An_max)</f>
        <v>2020</v>
      </c>
      <c r="K343" s="196">
        <f t="shared" si="129"/>
        <v>45620</v>
      </c>
      <c r="L343" s="147">
        <f>IF(t&lt;Tvie,1-EXP((T0-t)*PertePVj)+'2023'!Pspv,1-EXP((T0-t)*PertePVj)+Pspv)</f>
        <v>4.9385358296413086E-2</v>
      </c>
      <c r="M343" s="847"/>
      <c r="N343" s="847"/>
      <c r="O343" s="48">
        <f>IF(t&lt;Tnet,'2023'!Resal+('2023'!Salim-'2023'!Resal)*(1-EXP(('2023'!Tnet-t)/('2023'!Tau_j))),Resal+(Salim-Resal)*(1-EXP((Tnet-t)/(Tau_j))))*Salcycl</f>
        <v>2.4289478120124323E-2</v>
      </c>
      <c r="P343" s="168">
        <f>(INDEX(Models!$BJ343:$BT343,,T343)*(1-R343)+INDEX(Models!$BJ343:$BT343,,T343+1)*R343-ERP_i)*Q343*Ramure*Pc/MaxiM</f>
        <v>1.1160350064228495E-3</v>
      </c>
      <c r="Q343" s="304">
        <f t="shared" si="130"/>
        <v>0.5</v>
      </c>
      <c r="R343" s="176">
        <f t="shared" si="131"/>
        <v>0.63457351568041553</v>
      </c>
      <c r="S343" s="814">
        <f t="shared" si="132"/>
        <v>1</v>
      </c>
      <c r="T343" s="175">
        <f t="shared" si="133"/>
        <v>7</v>
      </c>
      <c r="U343" s="250">
        <f t="shared" si="134"/>
        <v>1.6345735156804155</v>
      </c>
      <c r="V343" s="382">
        <f t="shared" si="135"/>
        <v>26.570789091164791</v>
      </c>
      <c r="W343" s="401">
        <f t="shared" si="136"/>
        <v>4.5879818158264447</v>
      </c>
      <c r="X343" s="157">
        <f t="shared" si="137"/>
        <v>45620</v>
      </c>
      <c r="Y343" s="384">
        <f t="shared" si="138"/>
        <v>4.3331933394155211</v>
      </c>
      <c r="Z343" s="384">
        <f t="shared" si="139"/>
        <v>4.5583069619567915</v>
      </c>
      <c r="AA343" s="385">
        <f t="shared" si="140"/>
        <v>4.9464793503041573</v>
      </c>
      <c r="AB343" s="196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7.8474478686239163E-2</v>
      </c>
      <c r="AD343" s="230">
        <f>(INDEX(Models!$BJ343:$BT343,,AH343)*(1-AF343)+INDEX(Models!$BJ343:$BT343,,AH343+1)*AF343-ERP_i)*AE343*Ramure*Pc/MaxiM</f>
        <v>1.1160350064228495E-3</v>
      </c>
      <c r="AE343" s="304">
        <f t="shared" si="142"/>
        <v>0.5</v>
      </c>
      <c r="AF343" s="176">
        <f t="shared" si="143"/>
        <v>0.63457351568041553</v>
      </c>
      <c r="AG343" s="814">
        <f t="shared" si="149"/>
        <v>1</v>
      </c>
      <c r="AH343" s="175">
        <f t="shared" si="144"/>
        <v>7</v>
      </c>
      <c r="AI343" s="224">
        <f t="shared" si="145"/>
        <v>1.6345735156804155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10">
        <f>'2023'!Wh/'2023'!Env_an*'2024'!Env_an</f>
        <v>10.709572861755035</v>
      </c>
      <c r="C344" s="843"/>
      <c r="D344" s="392">
        <f t="shared" si="127"/>
        <v>11.266192069916144</v>
      </c>
      <c r="E344" s="384">
        <f t="shared" si="125"/>
        <v>11.54747667461903</v>
      </c>
      <c r="F344" s="384">
        <f t="shared" si="128"/>
        <v>11.549402226016367</v>
      </c>
      <c r="G344" s="110">
        <f t="shared" si="126"/>
        <v>0.40607285168917773</v>
      </c>
      <c r="H344" s="413" t="b">
        <f>Wh_hp&gt;='2023'!Maxi_hp</f>
        <v>0</v>
      </c>
      <c r="I344" s="389">
        <f>IF(H344,Wh_hp,'2023'!Maxi_hp)</f>
        <v>27.213789763808492</v>
      </c>
      <c r="J344" s="85">
        <f>IF(H344,An,'2023'!An_max)</f>
        <v>2020</v>
      </c>
      <c r="K344" s="196">
        <f t="shared" si="129"/>
        <v>45621</v>
      </c>
      <c r="L344" s="147">
        <f>IF(t&lt;Tvie,1-EXP((T0-t)*PertePVj)+'2023'!Pspv,1-EXP((T0-t)*PertePVj)+Pspv)</f>
        <v>4.9406152913674874E-2</v>
      </c>
      <c r="M344" s="847"/>
      <c r="N344" s="847"/>
      <c r="O344" s="48">
        <f>IF(t&lt;Tnet,'2023'!Resal+('2023'!Salim-'2023'!Resal)*(1-EXP(('2023'!Tnet-t)/('2023'!Tau_j))),Resal+(Salim-Resal)*(1-EXP((Tnet-t)/(Tau_j))))*Salcycl</f>
        <v>2.435896712579123E-2</v>
      </c>
      <c r="P344" s="168">
        <f>(INDEX(Models!$BJ344:$BT344,,T344)*(1-R344)+INDEX(Models!$BJ344:$BT344,,T344+1)*R344-ERP_i)*Q344*Ramure*Pc/MaxiM</f>
        <v>1.0963390700271815E-3</v>
      </c>
      <c r="Q344" s="304">
        <f t="shared" si="130"/>
        <v>0.5</v>
      </c>
      <c r="R344" s="176">
        <f t="shared" si="131"/>
        <v>0.63458563571245463</v>
      </c>
      <c r="S344" s="814">
        <f t="shared" si="132"/>
        <v>1</v>
      </c>
      <c r="T344" s="175">
        <f t="shared" si="133"/>
        <v>7</v>
      </c>
      <c r="U344" s="250">
        <f t="shared" si="134"/>
        <v>1.6345856357124546</v>
      </c>
      <c r="V344" s="382">
        <f t="shared" si="135"/>
        <v>26.349004535652266</v>
      </c>
      <c r="W344" s="401">
        <f t="shared" si="136"/>
        <v>10.709572861755035</v>
      </c>
      <c r="X344" s="157">
        <f t="shared" si="137"/>
        <v>45621</v>
      </c>
      <c r="Y344" s="384">
        <f t="shared" si="138"/>
        <v>10.115682772979461</v>
      </c>
      <c r="Z344" s="384">
        <f t="shared" si="139"/>
        <v>10.641435144972949</v>
      </c>
      <c r="AA344" s="385">
        <f t="shared" si="140"/>
        <v>11.54747667461903</v>
      </c>
      <c r="AB344" s="196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7.8462295718469119E-2</v>
      </c>
      <c r="AD344" s="230">
        <f>(INDEX(Models!$BJ344:$BT344,,AH344)*(1-AF344)+INDEX(Models!$BJ344:$BT344,,AH344+1)*AF344-ERP_i)*AE344*Ramure*Pc/MaxiM</f>
        <v>1.0963390700271815E-3</v>
      </c>
      <c r="AE344" s="304">
        <f t="shared" si="142"/>
        <v>0.5</v>
      </c>
      <c r="AF344" s="176">
        <f t="shared" si="143"/>
        <v>0.63458563571245463</v>
      </c>
      <c r="AG344" s="814">
        <f t="shared" si="149"/>
        <v>1</v>
      </c>
      <c r="AH344" s="175">
        <f t="shared" si="144"/>
        <v>7</v>
      </c>
      <c r="AI344" s="224">
        <f t="shared" si="145"/>
        <v>1.6345856357124546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10">
        <f>'2023'!Wh/'2023'!Env_an*'2024'!Env_an</f>
        <v>14.73249260968881</v>
      </c>
      <c r="C345" s="843"/>
      <c r="D345" s="392">
        <f t="shared" si="127"/>
        <v>15.498538028574494</v>
      </c>
      <c r="E345" s="384">
        <f t="shared" si="125"/>
        <v>15.886628322440805</v>
      </c>
      <c r="F345" s="384">
        <f t="shared" si="128"/>
        <v>15.893060664410099</v>
      </c>
      <c r="G345" s="110">
        <f t="shared" si="126"/>
        <v>0.56343219472635186</v>
      </c>
      <c r="H345" s="413" t="b">
        <f>Wh_hp&gt;='2023'!Maxi_hp</f>
        <v>0</v>
      </c>
      <c r="I345" s="389">
        <f>IF(H345,Wh_hp,'2023'!Maxi_hp)</f>
        <v>25.74929122512259</v>
      </c>
      <c r="J345" s="85">
        <f>IF(H345,An,'2023'!An_max)</f>
        <v>2018</v>
      </c>
      <c r="K345" s="196">
        <f t="shared" si="129"/>
        <v>45622</v>
      </c>
      <c r="L345" s="147">
        <f>IF(t&lt;Tvie,1-EXP((T0-t)*PertePVj)+'2023'!Pspv,1-EXP((T0-t)*PertePVj)+Pspv)</f>
        <v>4.9426947075481099E-2</v>
      </c>
      <c r="M345" s="847"/>
      <c r="N345" s="847"/>
      <c r="O345" s="48">
        <f>IF(t&lt;Tnet,'2023'!Resal+('2023'!Salim-'2023'!Resal)*(1-EXP(('2023'!Tnet-t)/('2023'!Tau_j))),Resal+(Salim-Resal)*(1-EXP((Tnet-t)/(Tau_j))))*Salcycl</f>
        <v>2.4428738810368656E-2</v>
      </c>
      <c r="P345" s="168">
        <f>(INDEX(Models!$BJ345:$BT345,,T345)*(1-R345)+INDEX(Models!$BJ345:$BT345,,T345+1)*R345-ERP_i)*Q345*Ramure*Pc/MaxiM</f>
        <v>1.0739126570746744E-3</v>
      </c>
      <c r="Q345" s="304">
        <f t="shared" si="130"/>
        <v>0.5</v>
      </c>
      <c r="R345" s="176">
        <f t="shared" si="131"/>
        <v>0.63459726867713084</v>
      </c>
      <c r="S345" s="814">
        <f t="shared" si="132"/>
        <v>1</v>
      </c>
      <c r="T345" s="175">
        <f t="shared" si="133"/>
        <v>7</v>
      </c>
      <c r="U345" s="250">
        <f t="shared" si="134"/>
        <v>1.6345972686771308</v>
      </c>
      <c r="V345" s="382">
        <f t="shared" si="135"/>
        <v>26.130260171261568</v>
      </c>
      <c r="W345" s="401">
        <f t="shared" si="136"/>
        <v>14.73249260968881</v>
      </c>
      <c r="X345" s="157">
        <f t="shared" si="137"/>
        <v>45622</v>
      </c>
      <c r="Y345" s="384">
        <f t="shared" si="138"/>
        <v>13.916673514119923</v>
      </c>
      <c r="Z345" s="384">
        <f t="shared" si="139"/>
        <v>14.64029878745678</v>
      </c>
      <c r="AA345" s="385">
        <f t="shared" si="140"/>
        <v>15.886628322440805</v>
      </c>
      <c r="AB345" s="196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7.8451481943686591E-2</v>
      </c>
      <c r="AD345" s="230">
        <f>(INDEX(Models!$BJ345:$BT345,,AH345)*(1-AF345)+INDEX(Models!$BJ345:$BT345,,AH345+1)*AF345-ERP_i)*AE345*Ramure*Pc/MaxiM</f>
        <v>1.0739126570746744E-3</v>
      </c>
      <c r="AE345" s="304">
        <f t="shared" si="142"/>
        <v>0.5</v>
      </c>
      <c r="AF345" s="176">
        <f t="shared" si="143"/>
        <v>0.63459726867713084</v>
      </c>
      <c r="AG345" s="814">
        <f t="shared" si="149"/>
        <v>1</v>
      </c>
      <c r="AH345" s="175">
        <f t="shared" si="144"/>
        <v>7</v>
      </c>
      <c r="AI345" s="224">
        <f t="shared" si="145"/>
        <v>1.6345972686771308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10">
        <f>'2023'!Wh/'2023'!Env_an*'2024'!Env_an</f>
        <v>10.409740765617169</v>
      </c>
      <c r="C346" s="843"/>
      <c r="D346" s="392">
        <f t="shared" si="127"/>
        <v>10.951255614477546</v>
      </c>
      <c r="E346" s="384">
        <f t="shared" si="125"/>
        <v>11.226286145844895</v>
      </c>
      <c r="F346" s="384">
        <f t="shared" si="128"/>
        <v>11.227999748783857</v>
      </c>
      <c r="G346" s="110">
        <f t="shared" si="126"/>
        <v>0.40138189729229229</v>
      </c>
      <c r="H346" s="413" t="b">
        <f>Wh_hp&gt;='2023'!Maxi_hp</f>
        <v>0</v>
      </c>
      <c r="I346" s="389">
        <f>IF(H346,Wh_hp,'2023'!Maxi_hp)</f>
        <v>19.489438693359329</v>
      </c>
      <c r="J346" s="85">
        <f>IF(H346,An,'2023'!An_max)</f>
        <v>2018</v>
      </c>
      <c r="K346" s="196">
        <f t="shared" si="129"/>
        <v>45623</v>
      </c>
      <c r="L346" s="147">
        <f>IF(t&lt;Tvie,1-EXP((T0-t)*PertePVj)+'2023'!Pspv,1-EXP((T0-t)*PertePVj)+Pspv)</f>
        <v>4.9447740781841866E-2</v>
      </c>
      <c r="M346" s="847"/>
      <c r="N346" s="847"/>
      <c r="O346" s="48">
        <f>IF(t&lt;Tnet,'2023'!Resal+('2023'!Salim-'2023'!Resal)*(1-EXP(('2023'!Tnet-t)/('2023'!Tau_j))),Resal+(Salim-Resal)*(1-EXP((Tnet-t)/(Tau_j))))*Salcycl</f>
        <v>2.4498799317452379E-2</v>
      </c>
      <c r="P346" s="168">
        <f>(INDEX(Models!$BJ346:$BT346,,T346)*(1-R346)+INDEX(Models!$BJ346:$BT346,,T346+1)*R346-ERP_i)*Q346*Ramure*Pc/MaxiM</f>
        <v>1.0500343700250376E-3</v>
      </c>
      <c r="Q346" s="304">
        <f t="shared" si="130"/>
        <v>0.5</v>
      </c>
      <c r="R346" s="176">
        <f t="shared" si="131"/>
        <v>0.63460843411267165</v>
      </c>
      <c r="S346" s="814">
        <f t="shared" si="132"/>
        <v>1</v>
      </c>
      <c r="T346" s="175">
        <f t="shared" si="133"/>
        <v>7</v>
      </c>
      <c r="U346" s="250">
        <f t="shared" si="134"/>
        <v>1.6346084341126716</v>
      </c>
      <c r="V346" s="382">
        <f t="shared" si="135"/>
        <v>25.91147619145519</v>
      </c>
      <c r="W346" s="401">
        <f t="shared" si="136"/>
        <v>10.409740765617169</v>
      </c>
      <c r="X346" s="157">
        <f t="shared" si="137"/>
        <v>45623</v>
      </c>
      <c r="Y346" s="384">
        <f t="shared" si="138"/>
        <v>9.8341031440841604</v>
      </c>
      <c r="Z346" s="384">
        <f t="shared" si="139"/>
        <v>10.345673316449577</v>
      </c>
      <c r="AA346" s="385">
        <f t="shared" si="140"/>
        <v>11.226286145844895</v>
      </c>
      <c r="AB346" s="196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7.8442043785001192E-2</v>
      </c>
      <c r="AD346" s="230">
        <f>(INDEX(Models!$BJ346:$BT346,,AH346)*(1-AF346)+INDEX(Models!$BJ346:$BT346,,AH346+1)*AF346-ERP_i)*AE346*Ramure*Pc/MaxiM</f>
        <v>1.0500343700250376E-3</v>
      </c>
      <c r="AE346" s="304">
        <f t="shared" si="142"/>
        <v>0.5</v>
      </c>
      <c r="AF346" s="176">
        <f t="shared" si="143"/>
        <v>0.63460843411267165</v>
      </c>
      <c r="AG346" s="814">
        <f t="shared" si="149"/>
        <v>1</v>
      </c>
      <c r="AH346" s="175">
        <f t="shared" si="144"/>
        <v>7</v>
      </c>
      <c r="AI346" s="224">
        <f t="shared" si="145"/>
        <v>1.6346084341126716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10">
        <f>'2023'!Wh/'2023'!Env_an*'2024'!Env_an</f>
        <v>12.703560404970647</v>
      </c>
      <c r="C347" s="843"/>
      <c r="D347" s="392">
        <f t="shared" si="127"/>
        <v>13.364692132568043</v>
      </c>
      <c r="E347" s="384">
        <f t="shared" si="125"/>
        <v>13.701322013046125</v>
      </c>
      <c r="F347" s="384">
        <f t="shared" si="128"/>
        <v>13.705233301817465</v>
      </c>
      <c r="G347" s="110">
        <f t="shared" si="126"/>
        <v>0.49405259354682174</v>
      </c>
      <c r="H347" s="413" t="b">
        <f>Wh_hp&gt;='2023'!Maxi_hp</f>
        <v>0</v>
      </c>
      <c r="I347" s="389">
        <f>IF(H347,Wh_hp,'2023'!Maxi_hp)</f>
        <v>27.334557288633277</v>
      </c>
      <c r="J347" s="85">
        <f>IF(H347,An,'2023'!An_max)</f>
        <v>2018</v>
      </c>
      <c r="K347" s="196">
        <f t="shared" si="129"/>
        <v>45624</v>
      </c>
      <c r="L347" s="147">
        <f>IF(t&lt;Tvie,1-EXP((T0-t)*PertePVj)+'2023'!Pspv,1-EXP((T0-t)*PertePVj)+Pspv)</f>
        <v>4.9468534032767054E-2</v>
      </c>
      <c r="M347" s="847"/>
      <c r="N347" s="847"/>
      <c r="O347" s="48">
        <f>IF(t&lt;Tnet,'2023'!Resal+('2023'!Salim-'2023'!Resal)*(1-EXP(('2023'!Tnet-t)/('2023'!Tau_j))),Resal+(Salim-Resal)*(1-EXP((Tnet-t)/(Tau_j))))*Salcycl</f>
        <v>2.4569153265469521E-2</v>
      </c>
      <c r="P347" s="168">
        <f>(INDEX(Models!$BJ347:$BT347,,T347)*(1-R347)+INDEX(Models!$BJ347:$BT347,,T347+1)*R347-ERP_i)*Q347*Ramure*Pc/MaxiM</f>
        <v>1.0275226107689126E-3</v>
      </c>
      <c r="Q347" s="304">
        <f t="shared" si="130"/>
        <v>0.5</v>
      </c>
      <c r="R347" s="176">
        <f t="shared" si="131"/>
        <v>0.63461915077634923</v>
      </c>
      <c r="S347" s="814">
        <f t="shared" si="132"/>
        <v>1</v>
      </c>
      <c r="T347" s="175">
        <f t="shared" si="133"/>
        <v>7</v>
      </c>
      <c r="U347" s="250">
        <f t="shared" si="134"/>
        <v>1.6346191507763492</v>
      </c>
      <c r="V347" s="382">
        <f t="shared" si="135"/>
        <v>25.693883826806641</v>
      </c>
      <c r="W347" s="401">
        <f t="shared" si="136"/>
        <v>12.703560404970647</v>
      </c>
      <c r="X347" s="157">
        <f t="shared" si="137"/>
        <v>45624</v>
      </c>
      <c r="Y347" s="384">
        <f t="shared" si="138"/>
        <v>12.002049767366762</v>
      </c>
      <c r="Z347" s="384">
        <f t="shared" si="139"/>
        <v>12.626672758438174</v>
      </c>
      <c r="AA347" s="385">
        <f t="shared" si="140"/>
        <v>13.701322013046125</v>
      </c>
      <c r="AB347" s="196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7.8433982763465609E-2</v>
      </c>
      <c r="AD347" s="230">
        <f>(INDEX(Models!$BJ347:$BT347,,AH347)*(1-AF347)+INDEX(Models!$BJ347:$BT347,,AH347+1)*AF347-ERP_i)*AE347*Ramure*Pc/MaxiM</f>
        <v>1.0275226107689126E-3</v>
      </c>
      <c r="AE347" s="304">
        <f t="shared" si="142"/>
        <v>0.5</v>
      </c>
      <c r="AF347" s="176">
        <f t="shared" si="143"/>
        <v>0.63461915077634923</v>
      </c>
      <c r="AG347" s="814">
        <f t="shared" si="149"/>
        <v>1</v>
      </c>
      <c r="AH347" s="175">
        <f t="shared" si="144"/>
        <v>7</v>
      </c>
      <c r="AI347" s="224">
        <f t="shared" si="145"/>
        <v>1.6346191507763492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10">
        <f>'2023'!Wh/'2023'!Env_an*'2024'!Env_an</f>
        <v>3.9611595243056739</v>
      </c>
      <c r="C348" s="843"/>
      <c r="D348" s="392">
        <f t="shared" si="127"/>
        <v>4.167401414954961</v>
      </c>
      <c r="E348" s="384">
        <f t="shared" si="125"/>
        <v>4.2726793968073631</v>
      </c>
      <c r="F348" s="384">
        <f t="shared" si="128"/>
        <v>4.2726793968073631</v>
      </c>
      <c r="G348" s="110">
        <f t="shared" si="126"/>
        <v>0.15531245264038451</v>
      </c>
      <c r="H348" s="413" t="b">
        <f>Wh_hp&gt;='2023'!Maxi_hp</f>
        <v>0</v>
      </c>
      <c r="I348" s="389">
        <f>IF(H348,Wh_hp,'2023'!Maxi_hp)</f>
        <v>26.225428056883853</v>
      </c>
      <c r="J348" s="85">
        <f>IF(H348,An,'2023'!An_max)</f>
        <v>2020</v>
      </c>
      <c r="K348" s="196">
        <f t="shared" si="129"/>
        <v>45625</v>
      </c>
      <c r="L348" s="147">
        <f>IF(t&lt;Tvie,1-EXP((T0-t)*PertePVj)+'2023'!Pspv,1-EXP((T0-t)*PertePVj)+Pspv)</f>
        <v>4.9489326828266768E-2</v>
      </c>
      <c r="M348" s="847"/>
      <c r="N348" s="847"/>
      <c r="O348" s="48">
        <f>IF(t&lt;Tnet,'2023'!Resal+('2023'!Salim-'2023'!Resal)*(1-EXP(('2023'!Tnet-t)/('2023'!Tau_j))),Resal+(Salim-Resal)*(1-EXP((Tnet-t)/(Tau_j))))*Salcycl</f>
        <v>2.4639803756646979E-2</v>
      </c>
      <c r="P348" s="168">
        <f>(INDEX(Models!$BJ348:$BT348,,T348)*(1-R348)+INDEX(Models!$BJ348:$BT348,,T348+1)*R348-ERP_i)*Q348*Ramure*Pc/MaxiM</f>
        <v>1.0063297331859063E-3</v>
      </c>
      <c r="Q348" s="304">
        <f t="shared" si="130"/>
        <v>0.5</v>
      </c>
      <c r="R348" s="176">
        <f t="shared" si="131"/>
        <v>0.63462943667547478</v>
      </c>
      <c r="S348" s="814">
        <f t="shared" si="132"/>
        <v>1</v>
      </c>
      <c r="T348" s="175">
        <f t="shared" si="133"/>
        <v>7</v>
      </c>
      <c r="U348" s="250">
        <f t="shared" si="134"/>
        <v>1.6346294366754748</v>
      </c>
      <c r="V348" s="382">
        <f t="shared" si="135"/>
        <v>25.478789526690683</v>
      </c>
      <c r="W348" s="401">
        <f t="shared" si="136"/>
        <v>3.9611595243056739</v>
      </c>
      <c r="X348" s="157">
        <f t="shared" si="137"/>
        <v>45625</v>
      </c>
      <c r="Y348" s="384">
        <f t="shared" si="138"/>
        <v>3.7427162902870617</v>
      </c>
      <c r="Z348" s="384">
        <f t="shared" si="139"/>
        <v>3.9375847067535745</v>
      </c>
      <c r="AA348" s="385">
        <f t="shared" si="140"/>
        <v>4.2726793968073631</v>
      </c>
      <c r="AB348" s="196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7.8427295599145241E-2</v>
      </c>
      <c r="AD348" s="230">
        <f>(INDEX(Models!$BJ348:$BT348,,AH348)*(1-AF348)+INDEX(Models!$BJ348:$BT348,,AH348+1)*AF348-ERP_i)*AE348*Ramure*Pc/MaxiM</f>
        <v>1.0063297331859063E-3</v>
      </c>
      <c r="AE348" s="304">
        <f t="shared" si="142"/>
        <v>0.5</v>
      </c>
      <c r="AF348" s="176">
        <f t="shared" si="143"/>
        <v>0.63462943667547478</v>
      </c>
      <c r="AG348" s="814">
        <f t="shared" si="149"/>
        <v>1</v>
      </c>
      <c r="AH348" s="175">
        <f t="shared" si="144"/>
        <v>7</v>
      </c>
      <c r="AI348" s="224">
        <f t="shared" si="145"/>
        <v>1.6346294366754748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10">
        <f>'2023'!Wh/'2023'!Env_an*'2024'!Env_an</f>
        <v>3.5045768434989188</v>
      </c>
      <c r="C349" s="843"/>
      <c r="D349" s="392">
        <f t="shared" si="127"/>
        <v>3.6871269375666818</v>
      </c>
      <c r="E349" s="384">
        <f t="shared" si="125"/>
        <v>3.7805471008965026</v>
      </c>
      <c r="F349" s="384">
        <f t="shared" si="128"/>
        <v>3.7805471008965026</v>
      </c>
      <c r="G349" s="110">
        <f t="shared" si="126"/>
        <v>0.13856218430613002</v>
      </c>
      <c r="H349" s="413" t="b">
        <f>Wh_hp&gt;='2023'!Maxi_hp</f>
        <v>0</v>
      </c>
      <c r="I349" s="389">
        <f>IF(H349,Wh_hp,'2023'!Maxi_hp)</f>
        <v>26.861538170544915</v>
      </c>
      <c r="J349" s="85">
        <f>IF(H349,An,'2023'!An_max)</f>
        <v>2020</v>
      </c>
      <c r="K349" s="196">
        <f t="shared" si="129"/>
        <v>45626</v>
      </c>
      <c r="L349" s="147">
        <f>IF(t&lt;Tvie,1-EXP((T0-t)*PertePVj)+'2023'!Pspv,1-EXP((T0-t)*PertePVj)+Pspv)</f>
        <v>4.9510119168350776E-2</v>
      </c>
      <c r="M349" s="847"/>
      <c r="N349" s="847"/>
      <c r="O349" s="48">
        <f>IF(t&lt;Tnet,'2023'!Resal+('2023'!Salim-'2023'!Resal)*(1-EXP(('2023'!Tnet-t)/('2023'!Tau_j))),Resal+(Salim-Resal)*(1-EXP((Tnet-t)/(Tau_j))))*Salcycl</f>
        <v>2.4710752395511109E-2</v>
      </c>
      <c r="P349" s="168">
        <f>(INDEX(Models!$BJ349:$BT349,,T349)*(1-R349)+INDEX(Models!$BJ349:$BT349,,T349+1)*R349-ERP_i)*Q349*Ramure*Pc/MaxiM</f>
        <v>9.8641089978846212E-4</v>
      </c>
      <c r="Q349" s="304">
        <f t="shared" si="130"/>
        <v>0.5</v>
      </c>
      <c r="R349" s="176">
        <f t="shared" si="131"/>
        <v>0.63463930909718003</v>
      </c>
      <c r="S349" s="814">
        <f t="shared" si="132"/>
        <v>1</v>
      </c>
      <c r="T349" s="175">
        <f t="shared" si="133"/>
        <v>7</v>
      </c>
      <c r="U349" s="250">
        <f t="shared" si="134"/>
        <v>1.63463930909718</v>
      </c>
      <c r="V349" s="382">
        <f t="shared" si="135"/>
        <v>25.267499269253761</v>
      </c>
      <c r="W349" s="401">
        <f t="shared" si="136"/>
        <v>3.5045768434989188</v>
      </c>
      <c r="X349" s="157">
        <f t="shared" si="137"/>
        <v>45626</v>
      </c>
      <c r="Y349" s="384">
        <f t="shared" si="138"/>
        <v>3.3115724551843049</v>
      </c>
      <c r="Z349" s="384">
        <f t="shared" si="139"/>
        <v>3.4840691331577158</v>
      </c>
      <c r="AA349" s="385">
        <f t="shared" si="140"/>
        <v>3.7805471008965026</v>
      </c>
      <c r="AB349" s="196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7.8421974340296213E-2</v>
      </c>
      <c r="AD349" s="230">
        <f>(INDEX(Models!$BJ349:$BT349,,AH349)*(1-AF349)+INDEX(Models!$BJ349:$BT349,,AH349+1)*AF349-ERP_i)*AE349*Ramure*Pc/MaxiM</f>
        <v>9.8641089978846212E-4</v>
      </c>
      <c r="AE349" s="304">
        <f t="shared" si="142"/>
        <v>0.5</v>
      </c>
      <c r="AF349" s="176">
        <f t="shared" si="143"/>
        <v>0.63463930909718003</v>
      </c>
      <c r="AG349" s="814">
        <f t="shared" si="149"/>
        <v>1</v>
      </c>
      <c r="AH349" s="175">
        <f t="shared" si="144"/>
        <v>7</v>
      </c>
      <c r="AI349" s="224">
        <f t="shared" si="145"/>
        <v>1.63463930909718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10">
        <f>'2023'!Wh/'2023'!Env_an*'2024'!Env_an</f>
        <v>5.0725794581996047</v>
      </c>
      <c r="C350" s="843"/>
      <c r="D350" s="392">
        <f t="shared" si="127"/>
        <v>5.3369220705741629</v>
      </c>
      <c r="E350" s="384">
        <f t="shared" si="125"/>
        <v>5.4725426179939394</v>
      </c>
      <c r="F350" s="384">
        <f t="shared" si="128"/>
        <v>5.4725426179939394</v>
      </c>
      <c r="G350" s="110">
        <f t="shared" si="126"/>
        <v>0.2022108530365323</v>
      </c>
      <c r="H350" s="413" t="b">
        <f>Wh_hp&gt;='2023'!Maxi_hp</f>
        <v>0</v>
      </c>
      <c r="I350" s="389">
        <f>IF(H350,Wh_hp,'2023'!Maxi_hp)</f>
        <v>9.5659847348518507</v>
      </c>
      <c r="J350" s="85">
        <f>IF(H350,An,'2023'!An_max)</f>
        <v>2021</v>
      </c>
      <c r="K350" s="196">
        <f t="shared" si="129"/>
        <v>45627</v>
      </c>
      <c r="L350" s="147">
        <f>IF(t&lt;Tvie,1-EXP((T0-t)*PertePVj)+'2023'!Pspv,1-EXP((T0-t)*PertePVj)+Pspv)</f>
        <v>4.9530911053029293E-2</v>
      </c>
      <c r="M350" s="847"/>
      <c r="N350" s="847"/>
      <c r="O350" s="48">
        <f>IF(t&lt;Tnet,'2023'!Resal+('2023'!Salim-'2023'!Resal)*(1-EXP(('2023'!Tnet-t)/('2023'!Tau_j))),Resal+(Salim-Resal)*(1-EXP((Tnet-t)/(Tau_j))))*Salcycl</f>
        <v>2.4781999316707135E-2</v>
      </c>
      <c r="P350" s="168">
        <f>(INDEX(Models!$BJ350:$BT350,,T350)*(1-R350)+INDEX(Models!$BJ350:$BT350,,T350+1)*R350-ERP_i)*Q350*Ramure*Pc/MaxiM</f>
        <v>9.6772372656735238E-4</v>
      </c>
      <c r="Q350" s="304">
        <f t="shared" si="130"/>
        <v>0.5</v>
      </c>
      <c r="R350" s="176">
        <f t="shared" si="131"/>
        <v>0.634648784637033</v>
      </c>
      <c r="S350" s="814">
        <f t="shared" si="132"/>
        <v>1</v>
      </c>
      <c r="T350" s="175">
        <f t="shared" si="133"/>
        <v>7</v>
      </c>
      <c r="U350" s="250">
        <f t="shared" si="134"/>
        <v>1.634648784637033</v>
      </c>
      <c r="V350" s="382">
        <f t="shared" si="135"/>
        <v>25.061318552409542</v>
      </c>
      <c r="W350" s="401">
        <f t="shared" si="136"/>
        <v>5.0725794581996047</v>
      </c>
      <c r="X350" s="157">
        <f t="shared" si="137"/>
        <v>45627</v>
      </c>
      <c r="Y350" s="384">
        <f t="shared" si="138"/>
        <v>4.7935927001970908</v>
      </c>
      <c r="Z350" s="384">
        <f t="shared" si="139"/>
        <v>5.0433967352982885</v>
      </c>
      <c r="AA350" s="385">
        <f t="shared" si="140"/>
        <v>5.4725426179939394</v>
      </c>
      <c r="AB350" s="196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7.8418006519419631E-2</v>
      </c>
      <c r="AD350" s="230">
        <f>(INDEX(Models!$BJ350:$BT350,,AH350)*(1-AF350)+INDEX(Models!$BJ350:$BT350,,AH350+1)*AF350-ERP_i)*AE350*Ramure*Pc/MaxiM</f>
        <v>9.6772372656735238E-4</v>
      </c>
      <c r="AE350" s="304">
        <f t="shared" si="142"/>
        <v>0.5</v>
      </c>
      <c r="AF350" s="176">
        <f t="shared" si="143"/>
        <v>0.634648784637033</v>
      </c>
      <c r="AG350" s="814">
        <f t="shared" si="149"/>
        <v>1</v>
      </c>
      <c r="AH350" s="175">
        <f t="shared" si="144"/>
        <v>7</v>
      </c>
      <c r="AI350" s="224">
        <f t="shared" si="145"/>
        <v>1.634648784637033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10">
        <f>'2023'!Wh/'2023'!Env_an*'2024'!Env_an</f>
        <v>9.9972686881812365</v>
      </c>
      <c r="C351" s="843"/>
      <c r="D351" s="392">
        <f t="shared" si="127"/>
        <v>10.518477137884702</v>
      </c>
      <c r="E351" s="384">
        <f t="shared" si="125"/>
        <v>10.786561408054956</v>
      </c>
      <c r="F351" s="384">
        <f t="shared" si="128"/>
        <v>10.78805686438646</v>
      </c>
      <c r="G351" s="110">
        <f t="shared" si="126"/>
        <v>0.40179123024130409</v>
      </c>
      <c r="H351" s="413" t="b">
        <f>Wh_hp&gt;='2023'!Maxi_hp</f>
        <v>0</v>
      </c>
      <c r="I351" s="389">
        <f>IF(H351,Wh_hp,'2023'!Maxi_hp)</f>
        <v>16.831353899278419</v>
      </c>
      <c r="J351" s="85">
        <f>IF(H351,An,'2023'!An_max)</f>
        <v>2021</v>
      </c>
      <c r="K351" s="196">
        <f t="shared" si="129"/>
        <v>45628</v>
      </c>
      <c r="L351" s="147">
        <f>IF(t&lt;Tvie,1-EXP((T0-t)*PertePVj)+'2023'!Pspv,1-EXP((T0-t)*PertePVj)+Pspv)</f>
        <v>4.9551702482312089E-2</v>
      </c>
      <c r="M351" s="847"/>
      <c r="N351" s="847"/>
      <c r="O351" s="48">
        <f>IF(t&lt;Tnet,'2023'!Resal+('2023'!Salim-'2023'!Resal)*(1-EXP(('2023'!Tnet-t)/('2023'!Tau_j))),Resal+(Salim-Resal)*(1-EXP((Tnet-t)/(Tau_j))))*Salcycl</f>
        <v>2.4853543221851987E-2</v>
      </c>
      <c r="P351" s="168">
        <f>(INDEX(Models!$BJ351:$BT351,,T351)*(1-R351)+INDEX(Models!$BJ351:$BT351,,T351+1)*R351-ERP_i)*Q351*Ramure*Pc/MaxiM</f>
        <v>9.5022793377032278E-4</v>
      </c>
      <c r="Q351" s="304">
        <f t="shared" si="130"/>
        <v>0.5</v>
      </c>
      <c r="R351" s="176">
        <f t="shared" si="131"/>
        <v>0.63465787922653072</v>
      </c>
      <c r="S351" s="814">
        <f t="shared" si="132"/>
        <v>1</v>
      </c>
      <c r="T351" s="175">
        <f t="shared" si="133"/>
        <v>7</v>
      </c>
      <c r="U351" s="250">
        <f t="shared" si="134"/>
        <v>1.6346578792265307</v>
      </c>
      <c r="V351" s="382">
        <f t="shared" si="135"/>
        <v>24.861552377371385</v>
      </c>
      <c r="W351" s="401">
        <f t="shared" si="136"/>
        <v>9.9972686881812365</v>
      </c>
      <c r="X351" s="157">
        <f t="shared" si="137"/>
        <v>45628</v>
      </c>
      <c r="Y351" s="384">
        <f t="shared" si="138"/>
        <v>9.4481490935378503</v>
      </c>
      <c r="Z351" s="384">
        <f t="shared" si="139"/>
        <v>9.940729146670936</v>
      </c>
      <c r="AA351" s="385">
        <f t="shared" si="140"/>
        <v>10.786561408054956</v>
      </c>
      <c r="AB351" s="196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7.8415375334755594E-2</v>
      </c>
      <c r="AD351" s="230">
        <f>(INDEX(Models!$BJ351:$BT351,,AH351)*(1-AF351)+INDEX(Models!$BJ351:$BT351,,AH351+1)*AF351-ERP_i)*AE351*Ramure*Pc/MaxiM</f>
        <v>9.5022793377032278E-4</v>
      </c>
      <c r="AE351" s="304">
        <f t="shared" si="142"/>
        <v>0.5</v>
      </c>
      <c r="AF351" s="176">
        <f t="shared" si="143"/>
        <v>0.63465787922653072</v>
      </c>
      <c r="AG351" s="814">
        <f t="shared" si="149"/>
        <v>1</v>
      </c>
      <c r="AH351" s="175">
        <f t="shared" si="144"/>
        <v>7</v>
      </c>
      <c r="AI351" s="224">
        <f t="shared" si="145"/>
        <v>1.6346578792265307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10">
        <f>'2023'!Wh/'2023'!Env_an*'2024'!Env_an</f>
        <v>18.143910927278956</v>
      </c>
      <c r="C352" s="843"/>
      <c r="D352" s="392">
        <f t="shared" si="127"/>
        <v>19.09026285787845</v>
      </c>
      <c r="E352" s="384">
        <f t="shared" si="125"/>
        <v>19.578258416549371</v>
      </c>
      <c r="F352" s="384">
        <f t="shared" si="128"/>
        <v>19.589644111493744</v>
      </c>
      <c r="G352" s="110">
        <f t="shared" si="126"/>
        <v>0.73521978330659188</v>
      </c>
      <c r="H352" s="413" t="b">
        <f>Wh_hp&gt;='2023'!Maxi_hp</f>
        <v>0</v>
      </c>
      <c r="I352" s="389">
        <f>IF(H352,Wh_hp,'2023'!Maxi_hp)</f>
        <v>19.591985764484328</v>
      </c>
      <c r="J352" s="85">
        <f>IF(H352,An,'2023'!An_max)</f>
        <v>2022</v>
      </c>
      <c r="K352" s="196">
        <f t="shared" si="129"/>
        <v>45629</v>
      </c>
      <c r="L352" s="147">
        <f>IF(t&lt;Tvie,1-EXP((T0-t)*PertePVj)+'2023'!Pspv,1-EXP((T0-t)*PertePVj)+Pspv)</f>
        <v>4.9572493456209267E-2</v>
      </c>
      <c r="M352" s="847"/>
      <c r="N352" s="847"/>
      <c r="O352" s="48">
        <f>IF(t&lt;Tnet,'2023'!Resal+('2023'!Salim-'2023'!Resal)*(1-EXP(('2023'!Tnet-t)/('2023'!Tau_j))),Resal+(Salim-Resal)*(1-EXP((Tnet-t)/(Tau_j))))*Salcycl</f>
        <v>2.4925381425061829E-2</v>
      </c>
      <c r="P352" s="168">
        <f>(INDEX(Models!$BJ352:$BT352,,T352)*(1-R352)+INDEX(Models!$BJ352:$BT352,,T352+1)*R352-ERP_i)*Q352*Ramure*Pc/MaxiM</f>
        <v>9.3425027382108784E-4</v>
      </c>
      <c r="Q352" s="304">
        <f t="shared" si="130"/>
        <v>0.5</v>
      </c>
      <c r="R352" s="176">
        <f t="shared" si="131"/>
        <v>0.63466660815951159</v>
      </c>
      <c r="S352" s="814">
        <f t="shared" si="132"/>
        <v>1</v>
      </c>
      <c r="T352" s="175">
        <f t="shared" si="133"/>
        <v>7</v>
      </c>
      <c r="U352" s="250">
        <f t="shared" si="134"/>
        <v>1.6346666081595116</v>
      </c>
      <c r="V352" s="382">
        <f t="shared" si="135"/>
        <v>24.669496225124291</v>
      </c>
      <c r="W352" s="401">
        <f t="shared" si="136"/>
        <v>18.143910927278956</v>
      </c>
      <c r="X352" s="157">
        <f t="shared" si="137"/>
        <v>45629</v>
      </c>
      <c r="Y352" s="384">
        <f t="shared" si="138"/>
        <v>17.148608825702652</v>
      </c>
      <c r="Z352" s="384">
        <f t="shared" si="139"/>
        <v>18.043047689205885</v>
      </c>
      <c r="AA352" s="385">
        <f t="shared" si="140"/>
        <v>19.578258416549371</v>
      </c>
      <c r="AB352" s="196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7.8414059855588844E-2</v>
      </c>
      <c r="AD352" s="230">
        <f>(INDEX(Models!$BJ352:$BT352,,AH352)*(1-AF352)+INDEX(Models!$BJ352:$BT352,,AH352+1)*AF352-ERP_i)*AE352*Ramure*Pc/MaxiM</f>
        <v>9.3425027382108784E-4</v>
      </c>
      <c r="AE352" s="304">
        <f t="shared" si="142"/>
        <v>0.5</v>
      </c>
      <c r="AF352" s="176">
        <f t="shared" si="143"/>
        <v>0.63466660815951159</v>
      </c>
      <c r="AG352" s="814">
        <f t="shared" si="149"/>
        <v>1</v>
      </c>
      <c r="AH352" s="175">
        <f t="shared" si="144"/>
        <v>7</v>
      </c>
      <c r="AI352" s="224">
        <f t="shared" si="145"/>
        <v>1.6346666081595116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10">
        <f>'2023'!Wh/'2023'!Env_an*'2024'!Env_an</f>
        <v>25.579786227144655</v>
      </c>
      <c r="C353" s="843"/>
      <c r="D353" s="392">
        <f t="shared" si="127"/>
        <v>26.914568043166636</v>
      </c>
      <c r="E353" s="384">
        <f t="shared" si="125"/>
        <v>27.604614671898787</v>
      </c>
      <c r="F353" s="384">
        <f t="shared" si="128"/>
        <v>27.630023642459495</v>
      </c>
      <c r="G353" s="110">
        <f t="shared" si="126"/>
        <v>1.0446503344484388</v>
      </c>
      <c r="H353" s="413" t="b">
        <f>Wh_hp&gt;='2023'!Maxi_hp</f>
        <v>1</v>
      </c>
      <c r="I353" s="389">
        <f>IF(H353,Wh_hp,'2023'!Maxi_hp)</f>
        <v>27.630023642459495</v>
      </c>
      <c r="J353" s="85">
        <f>IF(H353,An,'2023'!An_max)</f>
        <v>2024</v>
      </c>
      <c r="K353" s="196">
        <f t="shared" si="129"/>
        <v>45630</v>
      </c>
      <c r="L353" s="147">
        <f>IF(t&lt;Tvie,1-EXP((T0-t)*PertePVj)+'2023'!Pspv,1-EXP((T0-t)*PertePVj)+Pspv)</f>
        <v>4.9593283974730819E-2</v>
      </c>
      <c r="M353" s="847"/>
      <c r="N353" s="847"/>
      <c r="O353" s="48">
        <f>IF(t&lt;Tnet,'2023'!Resal+('2023'!Salim-'2023'!Resal)*(1-EXP(('2023'!Tnet-t)/('2023'!Tau_j))),Resal+(Salim-Resal)*(1-EXP((Tnet-t)/(Tau_j))))*Salcycl</f>
        <v>2.4997509906726216E-2</v>
      </c>
      <c r="P353" s="168">
        <f>(INDEX(Models!$BJ353:$BT353,,T353)*(1-R353)+INDEX(Models!$BJ353:$BT353,,T353+1)*R353-ERP_i)*Q353*Ramure*Pc/MaxiM</f>
        <v>9.1961450665066936E-4</v>
      </c>
      <c r="Q353" s="304">
        <f t="shared" si="130"/>
        <v>0.5</v>
      </c>
      <c r="R353" s="176">
        <f t="shared" si="131"/>
        <v>0.63467498611753292</v>
      </c>
      <c r="S353" s="814">
        <f t="shared" si="132"/>
        <v>1</v>
      </c>
      <c r="T353" s="175">
        <f t="shared" si="133"/>
        <v>7</v>
      </c>
      <c r="U353" s="250">
        <f t="shared" si="134"/>
        <v>1.6346749861175329</v>
      </c>
      <c r="V353" s="382">
        <f t="shared" si="135"/>
        <v>24.486457701323033</v>
      </c>
      <c r="W353" s="401">
        <f t="shared" si="136"/>
        <v>25.579786227144655</v>
      </c>
      <c r="X353" s="157">
        <f t="shared" si="137"/>
        <v>45630</v>
      </c>
      <c r="Y353" s="384">
        <f t="shared" si="138"/>
        <v>24.178371037798939</v>
      </c>
      <c r="Z353" s="384">
        <f t="shared" si="139"/>
        <v>25.440025443965919</v>
      </c>
      <c r="AA353" s="385">
        <f t="shared" si="140"/>
        <v>27.604614671898787</v>
      </c>
      <c r="AB353" s="196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7.8414035249562655E-2</v>
      </c>
      <c r="AD353" s="230">
        <f>(INDEX(Models!$BJ353:$BT353,,AH353)*(1-AF353)+INDEX(Models!$BJ353:$BT353,,AH353+1)*AF353-ERP_i)*AE353*Ramure*Pc/MaxiM</f>
        <v>9.1961450665066936E-4</v>
      </c>
      <c r="AE353" s="304">
        <f t="shared" si="142"/>
        <v>0.5</v>
      </c>
      <c r="AF353" s="176">
        <f t="shared" si="143"/>
        <v>0.63467498611753292</v>
      </c>
      <c r="AG353" s="814">
        <f t="shared" si="149"/>
        <v>1</v>
      </c>
      <c r="AH353" s="175">
        <f t="shared" si="144"/>
        <v>7</v>
      </c>
      <c r="AI353" s="224">
        <f t="shared" si="145"/>
        <v>1.6346749861175329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10">
        <f>'2023'!Wh/'2023'!Env_an*'2024'!Env_an</f>
        <v>14.299030143447396</v>
      </c>
      <c r="C354" s="843"/>
      <c r="D354" s="392">
        <f t="shared" si="127"/>
        <v>15.045498626225887</v>
      </c>
      <c r="E354" s="384">
        <f t="shared" si="125"/>
        <v>15.432387395730725</v>
      </c>
      <c r="F354" s="384">
        <f t="shared" si="128"/>
        <v>15.438145948973533</v>
      </c>
      <c r="G354" s="110">
        <f t="shared" si="126"/>
        <v>0.58779117226645428</v>
      </c>
      <c r="H354" s="413" t="b">
        <f>Wh_hp&gt;='2023'!Maxi_hp</f>
        <v>0</v>
      </c>
      <c r="I354" s="389">
        <f>IF(H354,Wh_hp,'2023'!Maxi_hp)</f>
        <v>23.185833675036029</v>
      </c>
      <c r="J354" s="85">
        <f>IF(H354,An,'2023'!An_max)</f>
        <v>2020</v>
      </c>
      <c r="K354" s="196">
        <f t="shared" si="129"/>
        <v>45631</v>
      </c>
      <c r="L354" s="147">
        <f>IF(t&lt;Tvie,1-EXP((T0-t)*PertePVj)+'2023'!Pspv,1-EXP((T0-t)*PertePVj)+Pspv)</f>
        <v>4.9614074037886514E-2</v>
      </c>
      <c r="M354" s="847"/>
      <c r="N354" s="847"/>
      <c r="O354" s="48">
        <f>IF(t&lt;Tnet,'2023'!Resal+('2023'!Salim-'2023'!Resal)*(1-EXP(('2023'!Tnet-t)/('2023'!Tau_j))),Resal+(Salim-Resal)*(1-EXP((Tnet-t)/(Tau_j))))*Salcycl</f>
        <v>2.5069923375035746E-2</v>
      </c>
      <c r="P354" s="168">
        <f>(INDEX(Models!$BJ354:$BT354,,T354)*(1-R354)+INDEX(Models!$BJ354:$BT354,,T354+1)*R354-ERP_i)*Q354*Ramure*Pc/MaxiM</f>
        <v>9.0628672759944008E-4</v>
      </c>
      <c r="Q354" s="304">
        <f t="shared" si="130"/>
        <v>0.5</v>
      </c>
      <c r="R354" s="176">
        <f t="shared" si="131"/>
        <v>0.63468302719424674</v>
      </c>
      <c r="S354" s="814">
        <f t="shared" si="132"/>
        <v>1</v>
      </c>
      <c r="T354" s="175">
        <f t="shared" si="133"/>
        <v>7</v>
      </c>
      <c r="U354" s="250">
        <f t="shared" si="134"/>
        <v>1.6346830271942467</v>
      </c>
      <c r="V354" s="382">
        <f t="shared" si="135"/>
        <v>24.313740329849505</v>
      </c>
      <c r="W354" s="401">
        <f t="shared" si="136"/>
        <v>14.299030143447396</v>
      </c>
      <c r="X354" s="157">
        <f t="shared" si="137"/>
        <v>45631</v>
      </c>
      <c r="Y354" s="384">
        <f t="shared" si="138"/>
        <v>13.516628634848701</v>
      </c>
      <c r="Z354" s="384">
        <f t="shared" si="139"/>
        <v>14.222252524589187</v>
      </c>
      <c r="AA354" s="385">
        <f t="shared" si="140"/>
        <v>15.432387395730725</v>
      </c>
      <c r="AB354" s="196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7.841527303003766E-2</v>
      </c>
      <c r="AD354" s="230">
        <f>(INDEX(Models!$BJ354:$BT354,,AH354)*(1-AF354)+INDEX(Models!$BJ354:$BT354,,AH354+1)*AF354-ERP_i)*AE354*Ramure*Pc/MaxiM</f>
        <v>9.0628672759944008E-4</v>
      </c>
      <c r="AE354" s="304">
        <f t="shared" si="142"/>
        <v>0.5</v>
      </c>
      <c r="AF354" s="176">
        <f t="shared" si="143"/>
        <v>0.63468302719424674</v>
      </c>
      <c r="AG354" s="814">
        <f t="shared" si="149"/>
        <v>1</v>
      </c>
      <c r="AH354" s="175">
        <f t="shared" si="144"/>
        <v>7</v>
      </c>
      <c r="AI354" s="224">
        <f t="shared" si="145"/>
        <v>1.6346830271942467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10">
        <f>'2023'!Wh/'2023'!Env_an*'2024'!Env_an</f>
        <v>20.206316607084961</v>
      </c>
      <c r="C355" s="843"/>
      <c r="D355" s="392">
        <f t="shared" si="127"/>
        <v>21.261634959167608</v>
      </c>
      <c r="E355" s="384">
        <f t="shared" si="125"/>
        <v>21.809995280968831</v>
      </c>
      <c r="F355" s="384">
        <f t="shared" si="128"/>
        <v>21.824956396729995</v>
      </c>
      <c r="G355" s="110">
        <f t="shared" si="126"/>
        <v>0.83643403525198612</v>
      </c>
      <c r="H355" s="413" t="b">
        <f>Wh_hp&gt;='2023'!Maxi_hp</f>
        <v>0</v>
      </c>
      <c r="I355" s="389">
        <f>IF(H355,Wh_hp,'2023'!Maxi_hp)</f>
        <v>22.326722541325999</v>
      </c>
      <c r="J355" s="85">
        <f>IF(H355,An,'2023'!An_max)</f>
        <v>2018</v>
      </c>
      <c r="K355" s="196">
        <f t="shared" si="129"/>
        <v>45632</v>
      </c>
      <c r="L355" s="147">
        <f>IF(t&lt;Tvie,1-EXP((T0-t)*PertePVj)+'2023'!Pspv,1-EXP((T0-t)*PertePVj)+Pspv)</f>
        <v>4.9634863645686568E-2</v>
      </c>
      <c r="M355" s="847"/>
      <c r="N355" s="847"/>
      <c r="O355" s="48">
        <f>IF(t&lt;Tnet,'2023'!Resal+('2023'!Salim-'2023'!Resal)*(1-EXP(('2023'!Tnet-t)/('2023'!Tau_j))),Resal+(Salim-Resal)*(1-EXP((Tnet-t)/(Tau_j))))*Salcycl</f>
        <v>2.5142615334709271E-2</v>
      </c>
      <c r="P355" s="168">
        <f>(INDEX(Models!$BJ355:$BT355,,T355)*(1-R355)+INDEX(Models!$BJ355:$BT355,,T355+1)*R355-ERP_i)*Q355*Ramure*Pc/MaxiM</f>
        <v>8.9423335492682852E-4</v>
      </c>
      <c r="Q355" s="304">
        <f t="shared" si="130"/>
        <v>0.5</v>
      </c>
      <c r="R355" s="176">
        <f t="shared" si="131"/>
        <v>0.63469074491881772</v>
      </c>
      <c r="S355" s="814">
        <f t="shared" si="132"/>
        <v>1</v>
      </c>
      <c r="T355" s="175">
        <f t="shared" si="133"/>
        <v>7</v>
      </c>
      <c r="U355" s="250">
        <f t="shared" si="134"/>
        <v>1.6346907449188177</v>
      </c>
      <c r="V355" s="382">
        <f t="shared" si="135"/>
        <v>24.152647107051198</v>
      </c>
      <c r="W355" s="401">
        <f t="shared" si="136"/>
        <v>20.206316607084961</v>
      </c>
      <c r="X355" s="157">
        <f t="shared" si="137"/>
        <v>45632</v>
      </c>
      <c r="Y355" s="384">
        <f t="shared" si="138"/>
        <v>19.102058610066425</v>
      </c>
      <c r="Z355" s="384">
        <f t="shared" si="139"/>
        <v>20.099704712805067</v>
      </c>
      <c r="AA355" s="385">
        <f t="shared" si="140"/>
        <v>21.809995280968831</v>
      </c>
      <c r="AB355" s="196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7.8417741321390538E-2</v>
      </c>
      <c r="AD355" s="230">
        <f>(INDEX(Models!$BJ355:$BT355,,AH355)*(1-AF355)+INDEX(Models!$BJ355:$BT355,,AH355+1)*AF355-ERP_i)*AE355*Ramure*Pc/MaxiM</f>
        <v>8.9423335492682852E-4</v>
      </c>
      <c r="AE355" s="304">
        <f t="shared" si="142"/>
        <v>0.5</v>
      </c>
      <c r="AF355" s="176">
        <f t="shared" si="143"/>
        <v>0.63469074491881772</v>
      </c>
      <c r="AG355" s="814">
        <f t="shared" si="149"/>
        <v>1</v>
      </c>
      <c r="AH355" s="175">
        <f t="shared" si="144"/>
        <v>7</v>
      </c>
      <c r="AI355" s="224">
        <f t="shared" si="145"/>
        <v>1.6346907449188177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10">
        <f>'2023'!Wh/'2023'!Env_an*'2024'!Env_an</f>
        <v>3.7239910041893625</v>
      </c>
      <c r="C356" s="843"/>
      <c r="D356" s="392">
        <f t="shared" si="127"/>
        <v>3.9185701637033712</v>
      </c>
      <c r="E356" s="384">
        <f t="shared" si="125"/>
        <v>4.0199351527550915</v>
      </c>
      <c r="F356" s="384">
        <f t="shared" si="128"/>
        <v>4.0199351527550915</v>
      </c>
      <c r="G356" s="110">
        <f t="shared" si="126"/>
        <v>0.15500027821120879</v>
      </c>
      <c r="H356" s="413" t="b">
        <f>Wh_hp&gt;='2023'!Maxi_hp</f>
        <v>0</v>
      </c>
      <c r="I356" s="389">
        <f>IF(H356,Wh_hp,'2023'!Maxi_hp)</f>
        <v>18.567301939285336</v>
      </c>
      <c r="J356" s="85">
        <f>IF(H356,An,'2023'!An_max)</f>
        <v>2019</v>
      </c>
      <c r="K356" s="196">
        <f t="shared" si="129"/>
        <v>45633</v>
      </c>
      <c r="L356" s="147">
        <f>IF(t&lt;Tvie,1-EXP((T0-t)*PertePVj)+'2023'!Pspv,1-EXP((T0-t)*PertePVj)+Pspv)</f>
        <v>4.965565279814086E-2</v>
      </c>
      <c r="M356" s="847"/>
      <c r="N356" s="847"/>
      <c r="O356" s="48">
        <f>IF(t&lt;Tnet,'2023'!Resal+('2023'!Salim-'2023'!Resal)*(1-EXP(('2023'!Tnet-t)/('2023'!Tau_j))),Resal+(Salim-Resal)*(1-EXP((Tnet-t)/(Tau_j))))*Salcycl</f>
        <v>2.5215578162311569E-2</v>
      </c>
      <c r="P356" s="168">
        <f>(INDEX(Models!$BJ356:$BT356,,T356)*(1-R356)+INDEX(Models!$BJ356:$BT356,,T356+1)*R356-ERP_i)*Q356*Ramure*Pc/MaxiM</f>
        <v>8.834206359108691E-4</v>
      </c>
      <c r="Q356" s="304">
        <f t="shared" si="130"/>
        <v>0.5</v>
      </c>
      <c r="R356" s="176">
        <f t="shared" si="131"/>
        <v>0.6346981522784183</v>
      </c>
      <c r="S356" s="814">
        <f t="shared" si="132"/>
        <v>1</v>
      </c>
      <c r="T356" s="175">
        <f t="shared" si="133"/>
        <v>7</v>
      </c>
      <c r="U356" s="250">
        <f t="shared" si="134"/>
        <v>1.6346981522784183</v>
      </c>
      <c r="V356" s="382">
        <f t="shared" si="135"/>
        <v>24.004480486276023</v>
      </c>
      <c r="W356" s="401">
        <f t="shared" si="136"/>
        <v>3.7239910041893625</v>
      </c>
      <c r="X356" s="157">
        <f t="shared" si="137"/>
        <v>45633</v>
      </c>
      <c r="Y356" s="384">
        <f t="shared" si="138"/>
        <v>3.5207275783521612</v>
      </c>
      <c r="Z356" s="384">
        <f t="shared" si="139"/>
        <v>3.704686189504252</v>
      </c>
      <c r="AA356" s="385">
        <f t="shared" si="140"/>
        <v>4.0199351527550915</v>
      </c>
      <c r="AB356" s="196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7.842140514002606E-2</v>
      </c>
      <c r="AD356" s="230">
        <f>(INDEX(Models!$BJ356:$BT356,,AH356)*(1-AF356)+INDEX(Models!$BJ356:$BT356,,AH356+1)*AF356-ERP_i)*AE356*Ramure*Pc/MaxiM</f>
        <v>8.834206359108691E-4</v>
      </c>
      <c r="AE356" s="304">
        <f t="shared" si="142"/>
        <v>0.5</v>
      </c>
      <c r="AF356" s="176">
        <f t="shared" si="143"/>
        <v>0.6346981522784183</v>
      </c>
      <c r="AG356" s="814">
        <f t="shared" si="149"/>
        <v>1</v>
      </c>
      <c r="AH356" s="175">
        <f t="shared" si="144"/>
        <v>7</v>
      </c>
      <c r="AI356" s="224">
        <f t="shared" si="145"/>
        <v>1.6346981522784183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10">
        <f>'2023'!Wh/'2023'!Env_an*'2024'!Env_an</f>
        <v>8.4085050286703229</v>
      </c>
      <c r="C357" s="843"/>
      <c r="D357" s="392">
        <f t="shared" si="127"/>
        <v>8.8480443880613091</v>
      </c>
      <c r="E357" s="384">
        <f t="shared" si="125"/>
        <v>9.0776061842689337</v>
      </c>
      <c r="F357" s="384">
        <f t="shared" si="128"/>
        <v>9.0781983510926842</v>
      </c>
      <c r="G357" s="110">
        <f t="shared" si="126"/>
        <v>0.35196961454880316</v>
      </c>
      <c r="H357" s="413" t="b">
        <f>Wh_hp&gt;='2023'!Maxi_hp</f>
        <v>0</v>
      </c>
      <c r="I357" s="389">
        <f>IF(H357,Wh_hp,'2023'!Maxi_hp)</f>
        <v>10.545859216009614</v>
      </c>
      <c r="J357" s="85">
        <f>IF(H357,An,'2023'!An_max)</f>
        <v>2020</v>
      </c>
      <c r="K357" s="196">
        <f t="shared" si="129"/>
        <v>45634</v>
      </c>
      <c r="L357" s="147">
        <f>IF(t&lt;Tvie,1-EXP((T0-t)*PertePVj)+'2023'!Pspv,1-EXP((T0-t)*PertePVj)+Pspv)</f>
        <v>4.9676441495259384E-2</v>
      </c>
      <c r="M357" s="847"/>
      <c r="N357" s="847"/>
      <c r="O357" s="48">
        <f>IF(t&lt;Tnet,'2023'!Resal+('2023'!Salim-'2023'!Resal)*(1-EXP(('2023'!Tnet-t)/('2023'!Tau_j))),Resal+(Salim-Resal)*(1-EXP((Tnet-t)/(Tau_j))))*Salcycl</f>
        <v>2.5288803187501551E-2</v>
      </c>
      <c r="P357" s="168">
        <f>(INDEX(Models!$BJ357:$BT357,,T357)*(1-R357)+INDEX(Models!$BJ357:$BT357,,T357+1)*R357-ERP_i)*Q357*Ramure*Pc/MaxiM</f>
        <v>8.7381415430310425E-4</v>
      </c>
      <c r="Q357" s="304">
        <f t="shared" si="130"/>
        <v>0.5</v>
      </c>
      <c r="R357" s="176">
        <f t="shared" si="131"/>
        <v>0.63470526173983433</v>
      </c>
      <c r="S357" s="814">
        <f t="shared" si="132"/>
        <v>1</v>
      </c>
      <c r="T357" s="175">
        <f t="shared" si="133"/>
        <v>7</v>
      </c>
      <c r="U357" s="250">
        <f t="shared" si="134"/>
        <v>1.6347052617398343</v>
      </c>
      <c r="V357" s="382">
        <f t="shared" si="135"/>
        <v>23.870542371203367</v>
      </c>
      <c r="W357" s="401">
        <f t="shared" si="136"/>
        <v>8.4085050286703229</v>
      </c>
      <c r="X357" s="157">
        <f t="shared" si="137"/>
        <v>45634</v>
      </c>
      <c r="Y357" s="384">
        <f t="shared" si="138"/>
        <v>7.9501063828127982</v>
      </c>
      <c r="Z357" s="384">
        <f t="shared" si="139"/>
        <v>8.3656837838700593</v>
      </c>
      <c r="AA357" s="385">
        <f t="shared" si="140"/>
        <v>9.0776061842689337</v>
      </c>
      <c r="AB357" s="196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7.8426226688772083E-2</v>
      </c>
      <c r="AD357" s="230">
        <f>(INDEX(Models!$BJ357:$BT357,,AH357)*(1-AF357)+INDEX(Models!$BJ357:$BT357,,AH357+1)*AF357-ERP_i)*AE357*Ramure*Pc/MaxiM</f>
        <v>8.7381415430310425E-4</v>
      </c>
      <c r="AE357" s="304">
        <f t="shared" si="142"/>
        <v>0.5</v>
      </c>
      <c r="AF357" s="176">
        <f t="shared" si="143"/>
        <v>0.63470526173983433</v>
      </c>
      <c r="AG357" s="814">
        <f t="shared" si="149"/>
        <v>1</v>
      </c>
      <c r="AH357" s="175">
        <f t="shared" si="144"/>
        <v>7</v>
      </c>
      <c r="AI357" s="224">
        <f t="shared" si="145"/>
        <v>1.6347052617398343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10">
        <f>'2023'!Wh/'2023'!Env_an*'2024'!Env_an</f>
        <v>15.549559440765037</v>
      </c>
      <c r="C358" s="843"/>
      <c r="D358" s="392">
        <f t="shared" si="127"/>
        <v>16.362742409413883</v>
      </c>
      <c r="E358" s="384">
        <f t="shared" si="125"/>
        <v>16.788538024673091</v>
      </c>
      <c r="F358" s="384">
        <f t="shared" si="128"/>
        <v>16.795902178916304</v>
      </c>
      <c r="G358" s="110">
        <f t="shared" si="126"/>
        <v>0.65437985027143541</v>
      </c>
      <c r="H358" s="413" t="b">
        <f>Wh_hp&gt;='2023'!Maxi_hp</f>
        <v>0</v>
      </c>
      <c r="I358" s="389">
        <f>IF(H358,Wh_hp,'2023'!Maxi_hp)</f>
        <v>22.599335595679641</v>
      </c>
      <c r="J358" s="85">
        <f>IF(H358,An,'2023'!An_max)</f>
        <v>2019</v>
      </c>
      <c r="K358" s="196">
        <f t="shared" si="129"/>
        <v>45635</v>
      </c>
      <c r="L358" s="147">
        <f>IF(t&lt;Tvie,1-EXP((T0-t)*PertePVj)+'2023'!Pspv,1-EXP((T0-t)*PertePVj)+Pspv)</f>
        <v>4.9697229737052019E-2</v>
      </c>
      <c r="M358" s="847"/>
      <c r="N358" s="847"/>
      <c r="O358" s="48">
        <f>IF(t&lt;Tnet,'2023'!Resal+('2023'!Salim-'2023'!Resal)*(1-EXP(('2023'!Tnet-t)/('2023'!Tau_j))),Resal+(Salim-Resal)*(1-EXP((Tnet-t)/(Tau_j))))*Salcycl</f>
        <v>2.5362280779508157E-2</v>
      </c>
      <c r="P358" s="168">
        <f>(INDEX(Models!$BJ358:$BT358,,T358)*(1-R358)+INDEX(Models!$BJ358:$BT358,,T358+1)*R358-ERP_i)*Q358*Ramure*Pc/MaxiM</f>
        <v>8.6537834631642983E-4</v>
      </c>
      <c r="Q358" s="304">
        <f t="shared" si="130"/>
        <v>0.5</v>
      </c>
      <c r="R358" s="176">
        <f t="shared" si="131"/>
        <v>0.63471208527022105</v>
      </c>
      <c r="S358" s="814">
        <f t="shared" si="132"/>
        <v>1</v>
      </c>
      <c r="T358" s="175">
        <f t="shared" si="133"/>
        <v>7</v>
      </c>
      <c r="U358" s="250">
        <f t="shared" si="134"/>
        <v>1.634712085270221</v>
      </c>
      <c r="V358" s="382">
        <f t="shared" si="135"/>
        <v>23.752134125580866</v>
      </c>
      <c r="W358" s="401">
        <f t="shared" si="136"/>
        <v>15.549559440765037</v>
      </c>
      <c r="X358" s="157">
        <f t="shared" si="137"/>
        <v>45635</v>
      </c>
      <c r="Y358" s="384">
        <f t="shared" si="138"/>
        <v>14.702872191518503</v>
      </c>
      <c r="Z358" s="384">
        <f t="shared" si="139"/>
        <v>15.47177662909499</v>
      </c>
      <c r="AA358" s="385">
        <f t="shared" si="140"/>
        <v>16.788538024673091</v>
      </c>
      <c r="AB358" s="196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7.8432165662247505E-2</v>
      </c>
      <c r="AD358" s="230">
        <f>(INDEX(Models!$BJ358:$BT358,,AH358)*(1-AF358)+INDEX(Models!$BJ358:$BT358,,AH358+1)*AF358-ERP_i)*AE358*Ramure*Pc/MaxiM</f>
        <v>8.6537834631642983E-4</v>
      </c>
      <c r="AE358" s="304">
        <f t="shared" si="142"/>
        <v>0.5</v>
      </c>
      <c r="AF358" s="176">
        <f t="shared" si="143"/>
        <v>0.63471208527022105</v>
      </c>
      <c r="AG358" s="814">
        <f t="shared" si="149"/>
        <v>1</v>
      </c>
      <c r="AH358" s="175">
        <f t="shared" si="144"/>
        <v>7</v>
      </c>
      <c r="AI358" s="224">
        <f t="shared" si="145"/>
        <v>1.634712085270221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10">
        <f>'2023'!Wh/'2023'!Env_an*'2024'!Env_an</f>
        <v>16.683070118684313</v>
      </c>
      <c r="C359" s="843"/>
      <c r="D359" s="392">
        <f t="shared" si="127"/>
        <v>17.55591542965762</v>
      </c>
      <c r="E359" s="384">
        <f t="shared" si="125"/>
        <v>18.014122661569154</v>
      </c>
      <c r="F359" s="384">
        <f t="shared" si="128"/>
        <v>18.023082933660753</v>
      </c>
      <c r="G359" s="110">
        <f t="shared" si="126"/>
        <v>0.70525177380934956</v>
      </c>
      <c r="H359" s="413" t="b">
        <f>Wh_hp&gt;='2023'!Maxi_hp</f>
        <v>0</v>
      </c>
      <c r="I359" s="389">
        <f>IF(H359,Wh_hp,'2023'!Maxi_hp)</f>
        <v>18.967198725102847</v>
      </c>
      <c r="J359" s="85">
        <f>IF(H359,An,'2023'!An_max)</f>
        <v>2018</v>
      </c>
      <c r="K359" s="196">
        <f t="shared" si="129"/>
        <v>45636</v>
      </c>
      <c r="L359" s="147">
        <f>IF(t&lt;Tvie,1-EXP((T0-t)*PertePVj)+'2023'!Pspv,1-EXP((T0-t)*PertePVj)+Pspv)</f>
        <v>4.9718017523528758E-2</v>
      </c>
      <c r="M359" s="847"/>
      <c r="N359" s="847"/>
      <c r="O359" s="48">
        <f>IF(t&lt;Tnet,'2023'!Resal+('2023'!Salim-'2023'!Resal)*(1-EXP(('2023'!Tnet-t)/('2023'!Tau_j))),Resal+(Salim-Resal)*(1-EXP((Tnet-t)/(Tau_j))))*Salcycl</f>
        <v>2.5436000438092885E-2</v>
      </c>
      <c r="P359" s="168">
        <f>(INDEX(Models!$BJ359:$BT359,,T359)*(1-R359)+INDEX(Models!$BJ359:$BT359,,T359+1)*R359-ERP_i)*Q359*Ramure*Pc/MaxiM</f>
        <v>8.5820729680066547E-4</v>
      </c>
      <c r="Q359" s="304">
        <f t="shared" si="130"/>
        <v>0.5</v>
      </c>
      <c r="R359" s="176">
        <f t="shared" si="131"/>
        <v>0.6347186343570359</v>
      </c>
      <c r="S359" s="814">
        <f t="shared" si="132"/>
        <v>1</v>
      </c>
      <c r="T359" s="175">
        <f t="shared" si="133"/>
        <v>7</v>
      </c>
      <c r="U359" s="250">
        <f t="shared" si="134"/>
        <v>1.6347186343570359</v>
      </c>
      <c r="V359" s="382">
        <f t="shared" si="135"/>
        <v>23.646936153830694</v>
      </c>
      <c r="W359" s="401">
        <f t="shared" si="136"/>
        <v>16.683070118684313</v>
      </c>
      <c r="X359" s="157">
        <f t="shared" si="137"/>
        <v>45636</v>
      </c>
      <c r="Y359" s="384">
        <f t="shared" si="138"/>
        <v>15.775735398528772</v>
      </c>
      <c r="Z359" s="384">
        <f t="shared" si="139"/>
        <v>16.601109659489282</v>
      </c>
      <c r="AA359" s="385">
        <f t="shared" si="140"/>
        <v>18.014122661569154</v>
      </c>
      <c r="AB359" s="196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7.8439179560731764E-2</v>
      </c>
      <c r="AD359" s="230">
        <f>(INDEX(Models!$BJ359:$BT359,,AH359)*(1-AF359)+INDEX(Models!$BJ359:$BT359,,AH359+1)*AF359-ERP_i)*AE359*Ramure*Pc/MaxiM</f>
        <v>8.5820729680066547E-4</v>
      </c>
      <c r="AE359" s="304">
        <f t="shared" si="142"/>
        <v>0.5</v>
      </c>
      <c r="AF359" s="176">
        <f t="shared" si="143"/>
        <v>0.6347186343570359</v>
      </c>
      <c r="AG359" s="814">
        <f t="shared" si="149"/>
        <v>1</v>
      </c>
      <c r="AH359" s="175">
        <f t="shared" si="144"/>
        <v>7</v>
      </c>
      <c r="AI359" s="224">
        <f t="shared" si="145"/>
        <v>1.6347186343570359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10">
        <f>'2023'!Wh/'2023'!Env_an*'2024'!Env_an</f>
        <v>5.3625791919603154</v>
      </c>
      <c r="C360" s="843"/>
      <c r="D360" s="392">
        <f t="shared" si="127"/>
        <v>5.6432686290429306</v>
      </c>
      <c r="E360" s="384">
        <f t="shared" si="125"/>
        <v>5.7909966696803652</v>
      </c>
      <c r="F360" s="384">
        <f t="shared" si="128"/>
        <v>5.7909966696803652</v>
      </c>
      <c r="G360" s="110">
        <f t="shared" si="126"/>
        <v>0.22749819253648967</v>
      </c>
      <c r="H360" s="413" t="b">
        <f>Wh_hp&gt;='2023'!Maxi_hp</f>
        <v>0</v>
      </c>
      <c r="I360" s="389">
        <f>IF(H360,Wh_hp,'2023'!Maxi_hp)</f>
        <v>25.182974084445021</v>
      </c>
      <c r="J360" s="85">
        <f>IF(H360,An,'2023'!An_max)</f>
        <v>2021</v>
      </c>
      <c r="K360" s="196">
        <f t="shared" si="129"/>
        <v>45637</v>
      </c>
      <c r="L360" s="147">
        <f>IF(t&lt;Tvie,1-EXP((T0-t)*PertePVj)+'2023'!Pspv,1-EXP((T0-t)*PertePVj)+Pspv)</f>
        <v>4.9738804854699704E-2</v>
      </c>
      <c r="M360" s="847"/>
      <c r="N360" s="847"/>
      <c r="O360" s="48">
        <f>IF(t&lt;Tnet,'2023'!Resal+('2023'!Salim-'2023'!Resal)*(1-EXP(('2023'!Tnet-t)/('2023'!Tau_j))),Resal+(Salim-Resal)*(1-EXP((Tnet-t)/(Tau_j))))*Salcycl</f>
        <v>2.5509950888227335E-2</v>
      </c>
      <c r="P360" s="168">
        <f>(INDEX(Models!$BJ360:$BT360,,T360)*(1-R360)+INDEX(Models!$BJ360:$BT360,,T360+1)*R360-ERP_i)*Q360*Ramure*Pc/MaxiM</f>
        <v>8.5241872796334647E-4</v>
      </c>
      <c r="Q360" s="304">
        <f t="shared" si="130"/>
        <v>0.5</v>
      </c>
      <c r="R360" s="176">
        <f t="shared" si="131"/>
        <v>0.63472492002718472</v>
      </c>
      <c r="S360" s="814">
        <f t="shared" si="132"/>
        <v>1</v>
      </c>
      <c r="T360" s="175">
        <f t="shared" si="133"/>
        <v>7</v>
      </c>
      <c r="U360" s="250">
        <f t="shared" si="134"/>
        <v>1.6347249200271847</v>
      </c>
      <c r="V360" s="382">
        <f t="shared" si="135"/>
        <v>23.551870761203968</v>
      </c>
      <c r="W360" s="401">
        <f t="shared" si="136"/>
        <v>5.3625791919603154</v>
      </c>
      <c r="X360" s="157">
        <f t="shared" si="137"/>
        <v>45637</v>
      </c>
      <c r="Y360" s="384">
        <f t="shared" si="138"/>
        <v>5.0712675263554825</v>
      </c>
      <c r="Z360" s="384">
        <f t="shared" si="139"/>
        <v>5.3367090566926256</v>
      </c>
      <c r="AA360" s="385">
        <f t="shared" si="140"/>
        <v>5.7909966696803652</v>
      </c>
      <c r="AB360" s="196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7.8447224010027516E-2</v>
      </c>
      <c r="AD360" s="230">
        <f>(INDEX(Models!$BJ360:$BT360,,AH360)*(1-AF360)+INDEX(Models!$BJ360:$BT360,,AH360+1)*AF360-ERP_i)*AE360*Ramure*Pc/MaxiM</f>
        <v>8.5241872796334647E-4</v>
      </c>
      <c r="AE360" s="304">
        <f t="shared" si="142"/>
        <v>0.5</v>
      </c>
      <c r="AF360" s="176">
        <f t="shared" si="143"/>
        <v>0.63472492002718472</v>
      </c>
      <c r="AG360" s="814">
        <f t="shared" si="149"/>
        <v>1</v>
      </c>
      <c r="AH360" s="175">
        <f t="shared" si="144"/>
        <v>7</v>
      </c>
      <c r="AI360" s="224">
        <f t="shared" si="145"/>
        <v>1.6347249200271847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10">
        <f>'2023'!Wh/'2023'!Env_an*'2024'!Env_an</f>
        <v>5.0193987653650947</v>
      </c>
      <c r="C361" s="843"/>
      <c r="D361" s="392">
        <f t="shared" si="127"/>
        <v>5.2822409168079973</v>
      </c>
      <c r="E361" s="384">
        <f t="shared" ref="E361:E380" si="150">Wh_pvt/(1-Psa)</f>
        <v>5.4209306582434262</v>
      </c>
      <c r="F361" s="384">
        <f t="shared" si="128"/>
        <v>5.4209306582434262</v>
      </c>
      <c r="G361" s="110">
        <f t="shared" ref="G361:G380" si="151">+Wh_hp/MaxiM</f>
        <v>0.21370948763511516</v>
      </c>
      <c r="H361" s="413" t="b">
        <f>Wh_hp&gt;='2023'!Maxi_hp</f>
        <v>0</v>
      </c>
      <c r="I361" s="389">
        <f>IF(H361,Wh_hp,'2023'!Maxi_hp)</f>
        <v>25.628630345535896</v>
      </c>
      <c r="J361" s="85">
        <f>IF(H361,An,'2023'!An_max)</f>
        <v>2021</v>
      </c>
      <c r="K361" s="196">
        <f t="shared" si="129"/>
        <v>45638</v>
      </c>
      <c r="L361" s="147">
        <f>IF(t&lt;Tvie,1-EXP((T0-t)*PertePVj)+'2023'!Pspv,1-EXP((T0-t)*PertePVj)+Pspv)</f>
        <v>4.9759591730574738E-2</v>
      </c>
      <c r="M361" s="847"/>
      <c r="N361" s="847"/>
      <c r="O361" s="48">
        <f>IF(t&lt;Tnet,'2023'!Resal+('2023'!Salim-'2023'!Resal)*(1-EXP(('2023'!Tnet-t)/('2023'!Tau_j))),Resal+(Salim-Resal)*(1-EXP((Tnet-t)/(Tau_j))))*Salcycl</f>
        <v>2.5584120177690805E-2</v>
      </c>
      <c r="P361" s="168">
        <f>(INDEX(Models!$BJ361:$BT361,,T361)*(1-R361)+INDEX(Models!$BJ361:$BT361,,T361+1)*R361-ERP_i)*Q361*Ramure*Pc/MaxiM</f>
        <v>8.4709517335850991E-4</v>
      </c>
      <c r="Q361" s="304">
        <f t="shared" si="130"/>
        <v>0.5</v>
      </c>
      <c r="R361" s="176">
        <f t="shared" si="131"/>
        <v>0.63473095286541015</v>
      </c>
      <c r="S361" s="814">
        <f t="shared" si="132"/>
        <v>1</v>
      </c>
      <c r="T361" s="175">
        <f t="shared" si="133"/>
        <v>7</v>
      </c>
      <c r="U361" s="250">
        <f t="shared" si="134"/>
        <v>1.6347309528654101</v>
      </c>
      <c r="V361" s="382">
        <f t="shared" si="135"/>
        <v>23.467123113694374</v>
      </c>
      <c r="W361" s="401">
        <f t="shared" si="136"/>
        <v>5.0193987653650947</v>
      </c>
      <c r="X361" s="157">
        <f t="shared" si="137"/>
        <v>45638</v>
      </c>
      <c r="Y361" s="384">
        <f t="shared" si="138"/>
        <v>4.7470445025378938</v>
      </c>
      <c r="Z361" s="384">
        <f t="shared" si="139"/>
        <v>4.9956247505651712</v>
      </c>
      <c r="AA361" s="385">
        <f t="shared" si="140"/>
        <v>5.4209306582434262</v>
      </c>
      <c r="AB361" s="196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7.8456253084792052E-2</v>
      </c>
      <c r="AD361" s="230">
        <f>(INDEX(Models!$BJ361:$BT361,,AH361)*(1-AF361)+INDEX(Models!$BJ361:$BT361,,AH361+1)*AF361-ERP_i)*AE361*Ramure*Pc/MaxiM</f>
        <v>8.4709517335850991E-4</v>
      </c>
      <c r="AE361" s="304">
        <f t="shared" si="142"/>
        <v>0.5</v>
      </c>
      <c r="AF361" s="176">
        <f t="shared" si="143"/>
        <v>0.63473095286541015</v>
      </c>
      <c r="AG361" s="814">
        <f t="shared" si="149"/>
        <v>1</v>
      </c>
      <c r="AH361" s="175">
        <f t="shared" si="144"/>
        <v>7</v>
      </c>
      <c r="AI361" s="224">
        <f t="shared" si="145"/>
        <v>1.6347309528654101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10">
        <f>'2023'!Wh/'2023'!Env_an*'2024'!Env_an</f>
        <v>16.296952068161854</v>
      </c>
      <c r="C362" s="843"/>
      <c r="D362" s="392">
        <f t="shared" si="127"/>
        <v>17.150721468425353</v>
      </c>
      <c r="E362" s="384">
        <f t="shared" si="150"/>
        <v>17.60237185225775</v>
      </c>
      <c r="F362" s="384">
        <f t="shared" si="128"/>
        <v>17.610776766458645</v>
      </c>
      <c r="G362" s="110">
        <f t="shared" si="151"/>
        <v>0.69640923203852634</v>
      </c>
      <c r="H362" s="413" t="b">
        <f>Wh_hp&gt;='2023'!Maxi_hp</f>
        <v>0</v>
      </c>
      <c r="I362" s="389">
        <f>IF(H362,Wh_hp,'2023'!Maxi_hp)</f>
        <v>25.793549080224839</v>
      </c>
      <c r="J362" s="85">
        <f>IF(H362,An,'2023'!An_max)</f>
        <v>2021</v>
      </c>
      <c r="K362" s="196">
        <f t="shared" si="129"/>
        <v>45639</v>
      </c>
      <c r="L362" s="147">
        <f>IF(t&lt;Tvie,1-EXP((T0-t)*PertePVj)+'2023'!Pspv,1-EXP((T0-t)*PertePVj)+Pspv)</f>
        <v>4.9780378151163852E-2</v>
      </c>
      <c r="M362" s="847"/>
      <c r="N362" s="847"/>
      <c r="O362" s="48">
        <f>IF(t&lt;Tnet,'2023'!Resal+('2023'!Salim-'2023'!Resal)*(1-EXP(('2023'!Tnet-t)/('2023'!Tau_j))),Resal+(Salim-Resal)*(1-EXP((Tnet-t)/(Tau_j))))*Salcycl</f>
        <v>2.5658495776776109E-2</v>
      </c>
      <c r="P362" s="168">
        <f>(INDEX(Models!$BJ362:$BT362,,T362)*(1-R362)+INDEX(Models!$BJ362:$BT362,,T362+1)*R362-ERP_i)*Q362*Ramure*Pc/MaxiM</f>
        <v>8.4222949681003365E-4</v>
      </c>
      <c r="Q362" s="304">
        <f t="shared" si="130"/>
        <v>0.5</v>
      </c>
      <c r="R362" s="176">
        <f t="shared" si="131"/>
        <v>0.63473674303195171</v>
      </c>
      <c r="S362" s="814">
        <f t="shared" si="132"/>
        <v>1</v>
      </c>
      <c r="T362" s="175">
        <f t="shared" si="133"/>
        <v>7</v>
      </c>
      <c r="U362" s="250">
        <f t="shared" si="134"/>
        <v>1.6347367430319517</v>
      </c>
      <c r="V362" s="382">
        <f t="shared" si="135"/>
        <v>23.392856647371126</v>
      </c>
      <c r="W362" s="401">
        <f t="shared" si="136"/>
        <v>16.296952068161854</v>
      </c>
      <c r="X362" s="157">
        <f t="shared" si="137"/>
        <v>45639</v>
      </c>
      <c r="Y362" s="384">
        <f t="shared" si="138"/>
        <v>15.41368378822056</v>
      </c>
      <c r="Z362" s="384">
        <f t="shared" si="139"/>
        <v>16.221180276439942</v>
      </c>
      <c r="AA362" s="385">
        <f t="shared" si="140"/>
        <v>17.60237185225775</v>
      </c>
      <c r="AB362" s="196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7.8466219632819106E-2</v>
      </c>
      <c r="AD362" s="230">
        <f>(INDEX(Models!$BJ362:$BT362,,AH362)*(1-AF362)+INDEX(Models!$BJ362:$BT362,,AH362+1)*AF362-ERP_i)*AE362*Ramure*Pc/MaxiM</f>
        <v>8.4222949681003365E-4</v>
      </c>
      <c r="AE362" s="304">
        <f t="shared" si="142"/>
        <v>0.5</v>
      </c>
      <c r="AF362" s="176">
        <f t="shared" si="143"/>
        <v>0.63473674303195171</v>
      </c>
      <c r="AG362" s="814">
        <f t="shared" si="149"/>
        <v>1</v>
      </c>
      <c r="AH362" s="175">
        <f t="shared" si="144"/>
        <v>7</v>
      </c>
      <c r="AI362" s="224">
        <f t="shared" si="145"/>
        <v>1.6347367430319517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10">
        <f>'2023'!Wh/'2023'!Env_an*'2024'!Env_an</f>
        <v>5.9474580321351214</v>
      </c>
      <c r="C363" s="843"/>
      <c r="D363" s="392">
        <f t="shared" si="127"/>
        <v>6.2591720885502866</v>
      </c>
      <c r="E363" s="384">
        <f t="shared" si="150"/>
        <v>6.4244940084001128</v>
      </c>
      <c r="F363" s="384">
        <f t="shared" si="128"/>
        <v>6.4244940084001128</v>
      </c>
      <c r="G363" s="110">
        <f t="shared" si="151"/>
        <v>0.2547222505056555</v>
      </c>
      <c r="H363" s="413" t="b">
        <f>Wh_hp&gt;='2023'!Maxi_hp</f>
        <v>0</v>
      </c>
      <c r="I363" s="389">
        <f>IF(H363,Wh_hp,'2023'!Maxi_hp)</f>
        <v>25.480565606345994</v>
      </c>
      <c r="J363" s="85">
        <f>IF(H363,An,'2023'!An_max)</f>
        <v>2019</v>
      </c>
      <c r="K363" s="196">
        <f t="shared" si="129"/>
        <v>45640</v>
      </c>
      <c r="L363" s="147">
        <f>IF(t&lt;Tvie,1-EXP((T0-t)*PertePVj)+'2023'!Pspv,1-EXP((T0-t)*PertePVj)+Pspv)</f>
        <v>4.9801164116477038E-2</v>
      </c>
      <c r="M363" s="847"/>
      <c r="N363" s="847"/>
      <c r="O363" s="48">
        <f>IF(t&lt;Tnet,'2023'!Resal+('2023'!Salim-'2023'!Resal)*(1-EXP(('2023'!Tnet-t)/('2023'!Tau_j))),Resal+(Salim-Resal)*(1-EXP((Tnet-t)/(Tau_j))))*Salcycl</f>
        <v>2.5733064679282974E-2</v>
      </c>
      <c r="P363" s="168">
        <f>(INDEX(Models!$BJ363:$BT363,,T363)*(1-R363)+INDEX(Models!$BJ363:$BT363,,T363+1)*R363-ERP_i)*Q363*Ramure*Pc/MaxiM</f>
        <v>8.3781412269247119E-4</v>
      </c>
      <c r="Q363" s="304">
        <f t="shared" si="130"/>
        <v>0.5</v>
      </c>
      <c r="R363" s="176">
        <f t="shared" si="131"/>
        <v>0.63474230027950584</v>
      </c>
      <c r="S363" s="814">
        <f t="shared" si="132"/>
        <v>1</v>
      </c>
      <c r="T363" s="175">
        <f t="shared" si="133"/>
        <v>7</v>
      </c>
      <c r="U363" s="250">
        <f t="shared" si="134"/>
        <v>1.6347423002795058</v>
      </c>
      <c r="V363" s="382">
        <f t="shared" si="135"/>
        <v>23.329234709591027</v>
      </c>
      <c r="W363" s="401">
        <f t="shared" si="136"/>
        <v>5.9474580321351214</v>
      </c>
      <c r="X363" s="157">
        <f t="shared" si="137"/>
        <v>45640</v>
      </c>
      <c r="Y363" s="384">
        <f t="shared" si="138"/>
        <v>5.6254797528650951</v>
      </c>
      <c r="Z363" s="384">
        <f t="shared" si="139"/>
        <v>5.9203185064254029</v>
      </c>
      <c r="AA363" s="385">
        <f t="shared" si="140"/>
        <v>6.4244940084001128</v>
      </c>
      <c r="AB363" s="196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7.847707559778147E-2</v>
      </c>
      <c r="AD363" s="230">
        <f>(INDEX(Models!$BJ363:$BT363,,AH363)*(1-AF363)+INDEX(Models!$BJ363:$BT363,,AH363+1)*AF363-ERP_i)*AE363*Ramure*Pc/MaxiM</f>
        <v>8.3781412269247119E-4</v>
      </c>
      <c r="AE363" s="304">
        <f t="shared" si="142"/>
        <v>0.5</v>
      </c>
      <c r="AF363" s="176">
        <f t="shared" si="143"/>
        <v>0.63474230027950584</v>
      </c>
      <c r="AG363" s="814">
        <f t="shared" si="149"/>
        <v>1</v>
      </c>
      <c r="AH363" s="175">
        <f t="shared" si="144"/>
        <v>7</v>
      </c>
      <c r="AI363" s="224">
        <f t="shared" si="145"/>
        <v>1.6347423002795058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10">
        <f>'2023'!Wh/'2023'!Env_an*'2024'!Env_an</f>
        <v>4.9220955082592761</v>
      </c>
      <c r="C364" s="843"/>
      <c r="D364" s="392">
        <f t="shared" si="127"/>
        <v>5.1801822893347236</v>
      </c>
      <c r="E364" s="384">
        <f t="shared" si="150"/>
        <v>5.3174130948091616</v>
      </c>
      <c r="F364" s="384">
        <f t="shared" si="128"/>
        <v>5.3174130948091616</v>
      </c>
      <c r="G364" s="110">
        <f t="shared" si="151"/>
        <v>0.21128640683560762</v>
      </c>
      <c r="H364" s="413" t="b">
        <f>Wh_hp&gt;='2023'!Maxi_hp</f>
        <v>0</v>
      </c>
      <c r="I364" s="389">
        <f>IF(H364,Wh_hp,'2023'!Maxi_hp)</f>
        <v>25.377084616872267</v>
      </c>
      <c r="J364" s="85">
        <f>IF(H364,An,'2023'!An_max)</f>
        <v>2021</v>
      </c>
      <c r="K364" s="196">
        <f t="shared" si="129"/>
        <v>45641</v>
      </c>
      <c r="L364" s="147">
        <f>IF(t&lt;Tvie,1-EXP((T0-t)*PertePVj)+'2023'!Pspv,1-EXP((T0-t)*PertePVj)+Pspv)</f>
        <v>4.9821949626524177E-2</v>
      </c>
      <c r="M364" s="847"/>
      <c r="N364" s="847"/>
      <c r="O364" s="48">
        <f>IF(t&lt;Tnet,'2023'!Resal+('2023'!Salim-'2023'!Resal)*(1-EXP(('2023'!Tnet-t)/('2023'!Tau_j))),Resal+(Salim-Resal)*(1-EXP((Tnet-t)/(Tau_j))))*Salcycl</f>
        <v>2.5807813503976682E-2</v>
      </c>
      <c r="P364" s="168">
        <f>(INDEX(Models!$BJ364:$BT364,,T364)*(1-R364)+INDEX(Models!$BJ364:$BT364,,T364+1)*R364-ERP_i)*Q364*Ramure*Pc/MaxiM</f>
        <v>8.3384103905540007E-4</v>
      </c>
      <c r="Q364" s="304">
        <f t="shared" si="130"/>
        <v>0.5</v>
      </c>
      <c r="R364" s="176">
        <f t="shared" si="131"/>
        <v>0.63474763396951284</v>
      </c>
      <c r="S364" s="814">
        <f t="shared" si="132"/>
        <v>1</v>
      </c>
      <c r="T364" s="175">
        <f t="shared" si="133"/>
        <v>7</v>
      </c>
      <c r="U364" s="250">
        <f t="shared" si="134"/>
        <v>1.6347476339695128</v>
      </c>
      <c r="V364" s="382">
        <f t="shared" si="135"/>
        <v>23.276420554838655</v>
      </c>
      <c r="W364" s="401">
        <f t="shared" si="136"/>
        <v>4.9220955082592761</v>
      </c>
      <c r="X364" s="157">
        <f t="shared" si="137"/>
        <v>45641</v>
      </c>
      <c r="Y364" s="384">
        <f t="shared" si="138"/>
        <v>4.6559255323119624</v>
      </c>
      <c r="Z364" s="384">
        <f t="shared" si="139"/>
        <v>4.9000558689836184</v>
      </c>
      <c r="AA364" s="385">
        <f t="shared" si="140"/>
        <v>5.3174130948091616</v>
      </c>
      <c r="AB364" s="196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7.8488772337993798E-2</v>
      </c>
      <c r="AD364" s="230">
        <f>(INDEX(Models!$BJ364:$BT364,,AH364)*(1-AF364)+INDEX(Models!$BJ364:$BT364,,AH364+1)*AF364-ERP_i)*AE364*Ramure*Pc/MaxiM</f>
        <v>8.3384103905540007E-4</v>
      </c>
      <c r="AE364" s="304">
        <f t="shared" si="142"/>
        <v>0.5</v>
      </c>
      <c r="AF364" s="176">
        <f t="shared" si="143"/>
        <v>0.63474763396951284</v>
      </c>
      <c r="AG364" s="814">
        <f t="shared" si="149"/>
        <v>1</v>
      </c>
      <c r="AH364" s="175">
        <f t="shared" si="144"/>
        <v>7</v>
      </c>
      <c r="AI364" s="224">
        <f t="shared" si="145"/>
        <v>1.6347476339695128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10">
        <f>'2023'!Wh/'2023'!Env_an*'2024'!Env_an</f>
        <v>2.9089000488758083</v>
      </c>
      <c r="C365" s="843"/>
      <c r="D365" s="392">
        <f t="shared" si="127"/>
        <v>3.0614932443842937</v>
      </c>
      <c r="E365" s="384">
        <f t="shared" si="150"/>
        <v>3.1428384797764561</v>
      </c>
      <c r="F365" s="384">
        <f t="shared" si="128"/>
        <v>3.1428384797764561</v>
      </c>
      <c r="G365" s="110">
        <f t="shared" si="151"/>
        <v>0.12509307745871401</v>
      </c>
      <c r="H365" s="413" t="b">
        <f>Wh_hp&gt;='2023'!Maxi_hp</f>
        <v>0</v>
      </c>
      <c r="I365" s="389">
        <f>IF(H365,Wh_hp,'2023'!Maxi_hp)</f>
        <v>25.511567876955379</v>
      </c>
      <c r="J365" s="85">
        <f>IF(H365,An,'2023'!An_max)</f>
        <v>2021</v>
      </c>
      <c r="K365" s="196">
        <f t="shared" si="129"/>
        <v>45642</v>
      </c>
      <c r="L365" s="147">
        <f>IF(t&lt;Tvie,1-EXP((T0-t)*PertePVj)+'2023'!Pspv,1-EXP((T0-t)*PertePVj)+Pspv)</f>
        <v>4.9842734681315261E-2</v>
      </c>
      <c r="M365" s="847"/>
      <c r="N365" s="847"/>
      <c r="O365" s="48">
        <f>IF(t&lt;Tnet,'2023'!Resal+('2023'!Salim-'2023'!Resal)*(1-EXP(('2023'!Tnet-t)/('2023'!Tau_j))),Resal+(Salim-Resal)*(1-EXP((Tnet-t)/(Tau_j))))*Salcycl</f>
        <v>2.588272859569549E-2</v>
      </c>
      <c r="P365" s="168">
        <f>(INDEX(Models!$BJ365:$BT365,,T365)*(1-R365)+INDEX(Models!$BJ365:$BT365,,T365+1)*R365-ERP_i)*Q365*Ramure*Pc/MaxiM</f>
        <v>8.3030180066071132E-4</v>
      </c>
      <c r="Q365" s="304">
        <f t="shared" si="130"/>
        <v>0.5</v>
      </c>
      <c r="R365" s="176">
        <f t="shared" si="131"/>
        <v>0.63475275308780033</v>
      </c>
      <c r="S365" s="814">
        <f t="shared" si="132"/>
        <v>1</v>
      </c>
      <c r="T365" s="175">
        <f t="shared" si="133"/>
        <v>7</v>
      </c>
      <c r="U365" s="250">
        <f t="shared" si="134"/>
        <v>1.6347527530878003</v>
      </c>
      <c r="V365" s="382">
        <f t="shared" si="135"/>
        <v>23.234577348107429</v>
      </c>
      <c r="W365" s="401">
        <f t="shared" si="136"/>
        <v>2.9089000488758083</v>
      </c>
      <c r="X365" s="157">
        <f t="shared" si="137"/>
        <v>45642</v>
      </c>
      <c r="Y365" s="384">
        <f t="shared" si="138"/>
        <v>2.7517710708790935</v>
      </c>
      <c r="Z365" s="384">
        <f t="shared" si="139"/>
        <v>2.89612169618694</v>
      </c>
      <c r="AA365" s="385">
        <f t="shared" si="140"/>
        <v>3.1428384797764561</v>
      </c>
      <c r="AB365" s="196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7.8501260938826395E-2</v>
      </c>
      <c r="AD365" s="230">
        <f>(INDEX(Models!$BJ365:$BT365,,AH365)*(1-AF365)+INDEX(Models!$BJ365:$BT365,,AH365+1)*AF365-ERP_i)*AE365*Ramure*Pc/MaxiM</f>
        <v>8.3030180066071132E-4</v>
      </c>
      <c r="AE365" s="304">
        <f t="shared" si="142"/>
        <v>0.5</v>
      </c>
      <c r="AF365" s="176">
        <f t="shared" si="143"/>
        <v>0.63475275308780033</v>
      </c>
      <c r="AG365" s="814">
        <f t="shared" si="149"/>
        <v>1</v>
      </c>
      <c r="AH365" s="175">
        <f t="shared" si="144"/>
        <v>7</v>
      </c>
      <c r="AI365" s="224">
        <f t="shared" si="145"/>
        <v>1.6347527530878003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10">
        <f>'2023'!Wh/'2023'!Env_an*'2024'!Env_an</f>
        <v>19.274082986350223</v>
      </c>
      <c r="C366" s="843"/>
      <c r="D366" s="392">
        <f t="shared" si="127"/>
        <v>20.285594098820464</v>
      </c>
      <c r="E366" s="384">
        <f t="shared" si="150"/>
        <v>20.826196255280589</v>
      </c>
      <c r="F366" s="384">
        <f t="shared" si="128"/>
        <v>20.839268793322621</v>
      </c>
      <c r="G366" s="110">
        <f t="shared" si="151"/>
        <v>0.83047480892116332</v>
      </c>
      <c r="H366" s="413" t="b">
        <f>Wh_hp&gt;='2023'!Maxi_hp</f>
        <v>0</v>
      </c>
      <c r="I366" s="389">
        <f>IF(H366,Wh_hp,'2023'!Maxi_hp)</f>
        <v>25.730204802155043</v>
      </c>
      <c r="J366" s="85">
        <f>IF(H366,An,'2023'!An_max)</f>
        <v>2021</v>
      </c>
      <c r="K366" s="196">
        <f t="shared" si="129"/>
        <v>45643</v>
      </c>
      <c r="L366" s="147">
        <f>IF(t&lt;Tvie,1-EXP((T0-t)*PertePVj)+'2023'!Pspv,1-EXP((T0-t)*PertePVj)+Pspv)</f>
        <v>4.9863519280860392E-2</v>
      </c>
      <c r="M366" s="847"/>
      <c r="N366" s="847"/>
      <c r="O366" s="48">
        <f>IF(t&lt;Tnet,'2023'!Resal+('2023'!Salim-'2023'!Resal)*(1-EXP(('2023'!Tnet-t)/('2023'!Tau_j))),Resal+(Salim-Resal)*(1-EXP((Tnet-t)/(Tau_j))))*Salcycl</f>
        <v>2.5957796125303124E-2</v>
      </c>
      <c r="P366" s="168">
        <f>(INDEX(Models!$BJ366:$BT366,,T366)*(1-R366)+INDEX(Models!$BJ366:$BT366,,T366+1)*R366-ERP_i)*Q366*Ramure*Pc/MaxiM</f>
        <v>8.2751237844348269E-4</v>
      </c>
      <c r="Q366" s="304">
        <f t="shared" si="130"/>
        <v>0.5</v>
      </c>
      <c r="R366" s="176">
        <f t="shared" si="131"/>
        <v>0.63475766625960195</v>
      </c>
      <c r="S366" s="814">
        <f t="shared" si="132"/>
        <v>1</v>
      </c>
      <c r="T366" s="175">
        <f t="shared" si="133"/>
        <v>7</v>
      </c>
      <c r="U366" s="250">
        <f t="shared" si="134"/>
        <v>1.6347576662596019</v>
      </c>
      <c r="V366" s="382">
        <f t="shared" si="135"/>
        <v>23.203860619281983</v>
      </c>
      <c r="W366" s="401">
        <f t="shared" si="136"/>
        <v>19.274082986350223</v>
      </c>
      <c r="X366" s="157">
        <f t="shared" si="137"/>
        <v>45643</v>
      </c>
      <c r="Y366" s="384">
        <f t="shared" si="138"/>
        <v>18.2341053306567</v>
      </c>
      <c r="Z366" s="384">
        <f t="shared" si="139"/>
        <v>19.1910380252484</v>
      </c>
      <c r="AA366" s="385">
        <f t="shared" si="140"/>
        <v>20.826196255280589</v>
      </c>
      <c r="AB366" s="196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7.8514492516490508E-2</v>
      </c>
      <c r="AD366" s="230">
        <f>(INDEX(Models!$BJ366:$BT366,,AH366)*(1-AF366)+INDEX(Models!$BJ366:$BT366,,AH366+1)*AF366-ERP_i)*AE366*Ramure*Pc/MaxiM</f>
        <v>8.2751237844348269E-4</v>
      </c>
      <c r="AE366" s="304">
        <f t="shared" si="142"/>
        <v>0.5</v>
      </c>
      <c r="AF366" s="176">
        <f t="shared" si="143"/>
        <v>0.63475766625960195</v>
      </c>
      <c r="AG366" s="814">
        <f t="shared" si="149"/>
        <v>1</v>
      </c>
      <c r="AH366" s="175">
        <f t="shared" si="144"/>
        <v>7</v>
      </c>
      <c r="AI366" s="224">
        <f t="shared" si="145"/>
        <v>1.6347576662596019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10">
        <f>'2023'!Wh/'2023'!Env_an*'2024'!Env_an</f>
        <v>18.119087213568974</v>
      </c>
      <c r="C367" s="843"/>
      <c r="D367" s="392">
        <f t="shared" si="127"/>
        <v>19.070400877375597</v>
      </c>
      <c r="E367" s="384">
        <f t="shared" si="150"/>
        <v>19.580130456382111</v>
      </c>
      <c r="F367" s="384">
        <f t="shared" si="128"/>
        <v>19.591249781494977</v>
      </c>
      <c r="G367" s="110">
        <f t="shared" si="151"/>
        <v>0.78131785257162156</v>
      </c>
      <c r="H367" s="413" t="b">
        <f>Wh_hp&gt;='2023'!Maxi_hp</f>
        <v>0</v>
      </c>
      <c r="I367" s="389">
        <f>IF(H367,Wh_hp,'2023'!Maxi_hp)</f>
        <v>25.266435662050515</v>
      </c>
      <c r="J367" s="85">
        <f>IF(H367,An,'2023'!An_max)</f>
        <v>2021</v>
      </c>
      <c r="K367" s="196">
        <f t="shared" si="129"/>
        <v>45644</v>
      </c>
      <c r="L367" s="147">
        <f>IF(t&lt;Tvie,1-EXP((T0-t)*PertePVj)+'2023'!Pspv,1-EXP((T0-t)*PertePVj)+Pspv)</f>
        <v>4.9884303425169453E-2</v>
      </c>
      <c r="M367" s="847"/>
      <c r="N367" s="847"/>
      <c r="O367" s="48">
        <f>IF(t&lt;Tnet,'2023'!Resal+('2023'!Salim-'2023'!Resal)*(1-EXP(('2023'!Tnet-t)/('2023'!Tau_j))),Resal+(Salim-Resal)*(1-EXP((Tnet-t)/(Tau_j))))*Salcycl</f>
        <v>2.6033002187703453E-2</v>
      </c>
      <c r="P367" s="168">
        <f>(INDEX(Models!$BJ367:$BT367,,T367)*(1-R367)+INDEX(Models!$BJ367:$BT367,,T367+1)*R367-ERP_i)*Q367*Ramure*Pc/MaxiM</f>
        <v>8.250888051191252E-4</v>
      </c>
      <c r="Q367" s="304">
        <f t="shared" si="130"/>
        <v>0.5</v>
      </c>
      <c r="R367" s="176">
        <f t="shared" si="131"/>
        <v>0.63476238176398159</v>
      </c>
      <c r="S367" s="814">
        <f t="shared" si="132"/>
        <v>1</v>
      </c>
      <c r="T367" s="175">
        <f t="shared" si="133"/>
        <v>7</v>
      </c>
      <c r="U367" s="250">
        <f t="shared" si="134"/>
        <v>1.6347623817639816</v>
      </c>
      <c r="V367" s="382">
        <f t="shared" si="135"/>
        <v>23.184442060259833</v>
      </c>
      <c r="W367" s="401">
        <f t="shared" si="136"/>
        <v>18.119087213568974</v>
      </c>
      <c r="X367" s="157">
        <f t="shared" si="137"/>
        <v>45644</v>
      </c>
      <c r="Y367" s="384">
        <f t="shared" si="138"/>
        <v>17.142494547892021</v>
      </c>
      <c r="Z367" s="384">
        <f t="shared" si="139"/>
        <v>18.042533777402852</v>
      </c>
      <c r="AA367" s="385">
        <f t="shared" si="140"/>
        <v>19.580130456382111</v>
      </c>
      <c r="AB367" s="196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7.8528418511025919E-2</v>
      </c>
      <c r="AD367" s="230">
        <f>(INDEX(Models!$BJ367:$BT367,,AH367)*(1-AF367)+INDEX(Models!$BJ367:$BT367,,AH367+1)*AF367-ERP_i)*AE367*Ramure*Pc/MaxiM</f>
        <v>8.250888051191252E-4</v>
      </c>
      <c r="AE367" s="304">
        <f t="shared" si="142"/>
        <v>0.5</v>
      </c>
      <c r="AF367" s="176">
        <f t="shared" si="143"/>
        <v>0.63476238176398159</v>
      </c>
      <c r="AG367" s="814">
        <f t="shared" si="149"/>
        <v>1</v>
      </c>
      <c r="AH367" s="175">
        <f t="shared" si="144"/>
        <v>7</v>
      </c>
      <c r="AI367" s="224">
        <f t="shared" si="145"/>
        <v>1.6347623817639816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10">
        <f>'2023'!Wh/'2023'!Env_an*'2024'!Env_an</f>
        <v>3.5960560530930361</v>
      </c>
      <c r="C368" s="843"/>
      <c r="D368" s="392">
        <f t="shared" si="127"/>
        <v>3.784944013825569</v>
      </c>
      <c r="E368" s="384">
        <f t="shared" si="150"/>
        <v>3.8864117454512463</v>
      </c>
      <c r="F368" s="384">
        <f t="shared" si="128"/>
        <v>3.8864117454512463</v>
      </c>
      <c r="G368" s="110">
        <f t="shared" si="151"/>
        <v>0.15503198580002267</v>
      </c>
      <c r="H368" s="413" t="b">
        <f>Wh_hp&gt;='2023'!Maxi_hp</f>
        <v>0</v>
      </c>
      <c r="I368" s="389">
        <f>IF(H368,Wh_hp,'2023'!Maxi_hp)</f>
        <v>25.824781167990668</v>
      </c>
      <c r="J368" s="85">
        <f>IF(H368,An,'2023'!An_max)</f>
        <v>2021</v>
      </c>
      <c r="K368" s="196">
        <f t="shared" si="129"/>
        <v>45645</v>
      </c>
      <c r="L368" s="147">
        <f>IF(t&lt;Tvie,1-EXP((T0-t)*PertePVj)+'2023'!Pspv,1-EXP((T0-t)*PertePVj)+Pspv)</f>
        <v>4.9905087114252324E-2</v>
      </c>
      <c r="M368" s="847"/>
      <c r="N368" s="847"/>
      <c r="O368" s="48">
        <f>IF(t&lt;Tnet,'2023'!Resal+('2023'!Salim-'2023'!Resal)*(1-EXP(('2023'!Tnet-t)/('2023'!Tau_j))),Resal+(Salim-Resal)*(1-EXP((Tnet-t)/(Tau_j))))*Salcycl</f>
        <v>2.6108332897160989E-2</v>
      </c>
      <c r="P368" s="168">
        <f>(INDEX(Models!$BJ368:$BT368,,T368)*(1-R368)+INDEX(Models!$BJ368:$BT368,,T368+1)*R368-ERP_i)*Q368*Ramure*Pc/MaxiM</f>
        <v>8.2302115588841996E-4</v>
      </c>
      <c r="Q368" s="304">
        <f t="shared" si="130"/>
        <v>0.5</v>
      </c>
      <c r="R368" s="176">
        <f t="shared" si="131"/>
        <v>0.6347669075476845</v>
      </c>
      <c r="S368" s="814">
        <f t="shared" si="132"/>
        <v>1</v>
      </c>
      <c r="T368" s="175">
        <f t="shared" si="133"/>
        <v>7</v>
      </c>
      <c r="U368" s="250">
        <f t="shared" si="134"/>
        <v>1.6347669075476845</v>
      </c>
      <c r="V368" s="382">
        <f t="shared" si="135"/>
        <v>23.176484545056088</v>
      </c>
      <c r="W368" s="401">
        <f t="shared" si="136"/>
        <v>3.5960560530930361</v>
      </c>
      <c r="X368" s="157">
        <f t="shared" si="137"/>
        <v>45645</v>
      </c>
      <c r="Y368" s="384">
        <f t="shared" si="138"/>
        <v>3.4024431740519274</v>
      </c>
      <c r="Z368" s="384">
        <f t="shared" si="139"/>
        <v>3.5811613428363693</v>
      </c>
      <c r="AA368" s="385">
        <f t="shared" si="140"/>
        <v>3.8864117454512463</v>
      </c>
      <c r="AB368" s="196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7.8542990966448553E-2</v>
      </c>
      <c r="AD368" s="230">
        <f>(INDEX(Models!$BJ368:$BT368,,AH368)*(1-AF368)+INDEX(Models!$BJ368:$BT368,,AH368+1)*AF368-ERP_i)*AE368*Ramure*Pc/MaxiM</f>
        <v>8.2302115588841996E-4</v>
      </c>
      <c r="AE368" s="304">
        <f t="shared" si="142"/>
        <v>0.5</v>
      </c>
      <c r="AF368" s="176">
        <f t="shared" si="143"/>
        <v>0.6347669075476845</v>
      </c>
      <c r="AG368" s="814">
        <f t="shared" si="149"/>
        <v>1</v>
      </c>
      <c r="AH368" s="175">
        <f t="shared" si="144"/>
        <v>7</v>
      </c>
      <c r="AI368" s="224">
        <f t="shared" si="145"/>
        <v>1.6347669075476845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10">
        <f>'2023'!Wh/'2023'!Env_an*'2024'!Env_an</f>
        <v>21.418275890855806</v>
      </c>
      <c r="C369" s="843"/>
      <c r="D369" s="392">
        <f t="shared" si="127"/>
        <v>22.5437944497065</v>
      </c>
      <c r="E369" s="384">
        <f t="shared" si="150"/>
        <v>23.149947453021884</v>
      </c>
      <c r="F369" s="384">
        <f t="shared" si="128"/>
        <v>23.166908416468718</v>
      </c>
      <c r="G369" s="110">
        <f t="shared" si="151"/>
        <v>0.92390962266519994</v>
      </c>
      <c r="H369" s="413" t="b">
        <f>Wh_hp&gt;='2023'!Maxi_hp</f>
        <v>0</v>
      </c>
      <c r="I369" s="389">
        <f>IF(H369,Wh_hp,'2023'!Maxi_hp)</f>
        <v>23.167622051420128</v>
      </c>
      <c r="J369" s="85">
        <f>IF(H369,An,'2023'!An_max)</f>
        <v>2022</v>
      </c>
      <c r="K369" s="196">
        <f t="shared" si="129"/>
        <v>45646</v>
      </c>
      <c r="L369" s="147">
        <f>IF(t&lt;Tvie,1-EXP((T0-t)*PertePVj)+'2023'!Pspv,1-EXP((T0-t)*PertePVj)+Pspv)</f>
        <v>4.9925870348119107E-2</v>
      </c>
      <c r="M369" s="847"/>
      <c r="N369" s="847"/>
      <c r="O369" s="48">
        <f>IF(t&lt;Tnet,'2023'!Resal+('2023'!Salim-'2023'!Resal)*(1-EXP(('2023'!Tnet-t)/('2023'!Tau_j))),Resal+(Salim-Resal)*(1-EXP((Tnet-t)/(Tau_j))))*Salcycl</f>
        <v>2.6183774479205474E-2</v>
      </c>
      <c r="P369" s="168">
        <f>(INDEX(Models!$BJ369:$BT369,,T369)*(1-R369)+INDEX(Models!$BJ369:$BT369,,T369+1)*R369-ERP_i)*Q369*Ramure*Pc/MaxiM</f>
        <v>8.2129919358048459E-4</v>
      </c>
      <c r="Q369" s="304">
        <f t="shared" si="130"/>
        <v>0.5</v>
      </c>
      <c r="R369" s="176">
        <f t="shared" si="131"/>
        <v>0.6347712512384367</v>
      </c>
      <c r="S369" s="814">
        <f t="shared" si="132"/>
        <v>1</v>
      </c>
      <c r="T369" s="175">
        <f t="shared" si="133"/>
        <v>7</v>
      </c>
      <c r="U369" s="250">
        <f t="shared" si="134"/>
        <v>1.6347712512384367</v>
      </c>
      <c r="V369" s="382">
        <f t="shared" si="135"/>
        <v>23.180150858323845</v>
      </c>
      <c r="W369" s="401">
        <f t="shared" si="136"/>
        <v>21.418275890855806</v>
      </c>
      <c r="X369" s="157">
        <f t="shared" si="137"/>
        <v>45646</v>
      </c>
      <c r="Y369" s="384">
        <f t="shared" si="138"/>
        <v>20.26634489074597</v>
      </c>
      <c r="Z369" s="384">
        <f t="shared" si="139"/>
        <v>21.331330112284832</v>
      </c>
      <c r="AA369" s="385">
        <f t="shared" si="140"/>
        <v>23.149947453021884</v>
      </c>
      <c r="AB369" s="196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7.8558162796160513E-2</v>
      </c>
      <c r="AD369" s="230">
        <f>(INDEX(Models!$BJ369:$BT369,,AH369)*(1-AF369)+INDEX(Models!$BJ369:$BT369,,AH369+1)*AF369-ERP_i)*AE369*Ramure*Pc/MaxiM</f>
        <v>8.2129919358048459E-4</v>
      </c>
      <c r="AE369" s="304">
        <f t="shared" si="142"/>
        <v>0.5</v>
      </c>
      <c r="AF369" s="176">
        <f t="shared" si="143"/>
        <v>0.6347712512384367</v>
      </c>
      <c r="AG369" s="814">
        <f t="shared" si="149"/>
        <v>1</v>
      </c>
      <c r="AH369" s="175">
        <f t="shared" si="144"/>
        <v>7</v>
      </c>
      <c r="AI369" s="224">
        <f t="shared" si="145"/>
        <v>1.6347712512384367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10">
        <f>'2023'!Wh/'2023'!Env_an*'2024'!Env_an</f>
        <v>18.702638597024372</v>
      </c>
      <c r="C370" s="843"/>
      <c r="D370" s="392">
        <f t="shared" si="127"/>
        <v>19.68588254394113</v>
      </c>
      <c r="E370" s="384">
        <f t="shared" si="150"/>
        <v>20.216760800904673</v>
      </c>
      <c r="F370" s="384">
        <f t="shared" si="128"/>
        <v>20.228757103147966</v>
      </c>
      <c r="G370" s="110">
        <f t="shared" si="151"/>
        <v>0.80611796404274128</v>
      </c>
      <c r="H370" s="413" t="b">
        <f>Wh_hp&gt;='2023'!Maxi_hp</f>
        <v>0</v>
      </c>
      <c r="I370" s="389">
        <f>IF(H370,Wh_hp,'2023'!Maxi_hp)</f>
        <v>25.028510849440355</v>
      </c>
      <c r="J370" s="85">
        <f>IF(H370,An,'2023'!An_max)</f>
        <v>2021</v>
      </c>
      <c r="K370" s="196">
        <f t="shared" si="129"/>
        <v>45647</v>
      </c>
      <c r="L370" s="147">
        <f>IF(t&lt;Tvie,1-EXP((T0-t)*PertePVj)+'2023'!Pspv,1-EXP((T0-t)*PertePVj)+Pspv)</f>
        <v>4.9946653126779796E-2</v>
      </c>
      <c r="M370" s="847"/>
      <c r="N370" s="847"/>
      <c r="O370" s="48">
        <f>IF(t&lt;Tnet,'2023'!Resal+('2023'!Salim-'2023'!Resal)*(1-EXP(('2023'!Tnet-t)/('2023'!Tau_j))),Resal+(Salim-Resal)*(1-EXP((Tnet-t)/(Tau_j))))*Salcycl</f>
        <v>2.6259313358438036E-2</v>
      </c>
      <c r="P370" s="168">
        <f>(INDEX(Models!$BJ370:$BT370,,T370)*(1-R370)+INDEX(Models!$BJ370:$BT370,,T370+1)*R370-ERP_i)*Q370*Ramure*Pc/MaxiM</f>
        <v>8.1991238928486368E-4</v>
      </c>
      <c r="Q370" s="304">
        <f t="shared" si="130"/>
        <v>0.5</v>
      </c>
      <c r="R370" s="176">
        <f t="shared" si="131"/>
        <v>0.63477542015771515</v>
      </c>
      <c r="S370" s="814">
        <f t="shared" si="132"/>
        <v>1</v>
      </c>
      <c r="T370" s="175">
        <f t="shared" si="133"/>
        <v>7</v>
      </c>
      <c r="U370" s="250">
        <f t="shared" si="134"/>
        <v>1.6347754201577152</v>
      </c>
      <c r="V370" s="382">
        <f t="shared" si="135"/>
        <v>23.195603687151863</v>
      </c>
      <c r="W370" s="401">
        <f t="shared" si="136"/>
        <v>18.702638597024372</v>
      </c>
      <c r="X370" s="157">
        <f t="shared" si="137"/>
        <v>45647</v>
      </c>
      <c r="Y370" s="384">
        <f t="shared" si="138"/>
        <v>17.697832495259171</v>
      </c>
      <c r="Z370" s="384">
        <f t="shared" si="139"/>
        <v>18.628251301367033</v>
      </c>
      <c r="AA370" s="385">
        <f t="shared" si="140"/>
        <v>20.216760800904673</v>
      </c>
      <c r="AB370" s="196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7.8573888031882769E-2</v>
      </c>
      <c r="AD370" s="230">
        <f>(INDEX(Models!$BJ370:$BT370,,AH370)*(1-AF370)+INDEX(Models!$BJ370:$BT370,,AH370+1)*AF370-ERP_i)*AE370*Ramure*Pc/MaxiM</f>
        <v>8.1991238928486368E-4</v>
      </c>
      <c r="AE370" s="304">
        <f t="shared" si="142"/>
        <v>0.5</v>
      </c>
      <c r="AF370" s="176">
        <f t="shared" si="143"/>
        <v>0.63477542015771515</v>
      </c>
      <c r="AG370" s="814">
        <f t="shared" si="149"/>
        <v>1</v>
      </c>
      <c r="AH370" s="175">
        <f t="shared" si="144"/>
        <v>7</v>
      </c>
      <c r="AI370" s="224">
        <f t="shared" si="145"/>
        <v>1.6347754201577152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10">
        <f>'2023'!Wh/'2023'!Env_an*'2024'!Env_an</f>
        <v>19.533425117385651</v>
      </c>
      <c r="C371" s="843"/>
      <c r="D371" s="392">
        <f t="shared" si="127"/>
        <v>20.560795330887455</v>
      </c>
      <c r="E371" s="384">
        <f t="shared" si="150"/>
        <v>21.116907750106321</v>
      </c>
      <c r="F371" s="384">
        <f t="shared" si="128"/>
        <v>21.130283176005705</v>
      </c>
      <c r="G371" s="110">
        <f t="shared" si="151"/>
        <v>0.84096747877869138</v>
      </c>
      <c r="H371" s="413" t="b">
        <f>Wh_hp&gt;='2023'!Maxi_hp</f>
        <v>0</v>
      </c>
      <c r="I371" s="389">
        <f>IF(H371,Wh_hp,'2023'!Maxi_hp)</f>
        <v>21.278593952413768</v>
      </c>
      <c r="J371" s="85">
        <f>IF(H371,An,'2023'!An_max)</f>
        <v>2020</v>
      </c>
      <c r="K371" s="196">
        <f t="shared" si="129"/>
        <v>45648</v>
      </c>
      <c r="L371" s="147">
        <f>IF(t&lt;Tvie,1-EXP((T0-t)*PertePVj)+'2023'!Pspv,1-EXP((T0-t)*PertePVj)+Pspv)</f>
        <v>4.996743545024427E-2</v>
      </c>
      <c r="M371" s="847"/>
      <c r="N371" s="847"/>
      <c r="O371" s="48">
        <f>IF(t&lt;Tnet,'2023'!Resal+('2023'!Salim-'2023'!Resal)*(1-EXP(('2023'!Tnet-t)/('2023'!Tau_j))),Resal+(Salim-Resal)*(1-EXP((Tnet-t)/(Tau_j))))*Salcycl</f>
        <v>2.6334936241603234E-2</v>
      </c>
      <c r="P371" s="168">
        <f>(INDEX(Models!$BJ371:$BT371,,T371)*(1-R371)+INDEX(Models!$BJ371:$BT371,,T371+1)*R371-ERP_i)*Q371*Ramure*Pc/MaxiM</f>
        <v>8.188486275661367E-4</v>
      </c>
      <c r="Q371" s="304">
        <f t="shared" si="130"/>
        <v>0.5</v>
      </c>
      <c r="R371" s="176">
        <f t="shared" si="131"/>
        <v>0.63477542015771515</v>
      </c>
      <c r="S371" s="814">
        <f t="shared" si="132"/>
        <v>1</v>
      </c>
      <c r="T371" s="175">
        <f t="shared" si="133"/>
        <v>7</v>
      </c>
      <c r="U371" s="250">
        <f t="shared" si="134"/>
        <v>1.6347754201577152</v>
      </c>
      <c r="V371" s="382">
        <f t="shared" si="135"/>
        <v>23.22300565771614</v>
      </c>
      <c r="W371" s="401">
        <f t="shared" si="136"/>
        <v>19.533425117385651</v>
      </c>
      <c r="X371" s="157">
        <f t="shared" si="137"/>
        <v>45648</v>
      </c>
      <c r="Y371" s="384">
        <f t="shared" si="138"/>
        <v>18.485094642086352</v>
      </c>
      <c r="Z371" s="384">
        <f t="shared" si="139"/>
        <v>19.457327392610907</v>
      </c>
      <c r="AA371" s="385">
        <f t="shared" si="140"/>
        <v>21.116907750106321</v>
      </c>
      <c r="AB371" s="196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7.8590122054544659E-2</v>
      </c>
      <c r="AD371" s="230">
        <f>(INDEX(Models!$BJ371:$BT371,,AH371)*(1-AF371)+INDEX(Models!$BJ371:$BT371,,AH371+1)*AF371-ERP_i)*AE371*Ramure*Pc/MaxiM</f>
        <v>8.188486275661367E-4</v>
      </c>
      <c r="AE371" s="304">
        <f t="shared" si="142"/>
        <v>0.5</v>
      </c>
      <c r="AF371" s="176">
        <f t="shared" si="143"/>
        <v>0.63477542015771515</v>
      </c>
      <c r="AG371" s="814">
        <f t="shared" si="149"/>
        <v>1</v>
      </c>
      <c r="AH371" s="175">
        <f t="shared" si="144"/>
        <v>7</v>
      </c>
      <c r="AI371" s="224">
        <f t="shared" si="145"/>
        <v>1.6347754201577152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10">
        <f>'2023'!Wh/'2023'!Env_an*'2024'!Env_an</f>
        <v>22.305384186417648</v>
      </c>
      <c r="C372" s="843"/>
      <c r="D372" s="392">
        <f t="shared" si="127"/>
        <v>23.479060568553237</v>
      </c>
      <c r="E372" s="384">
        <f t="shared" si="150"/>
        <v>24.115978765528332</v>
      </c>
      <c r="F372" s="384">
        <f t="shared" si="128"/>
        <v>24.134562632106338</v>
      </c>
      <c r="G372" s="110">
        <f t="shared" si="151"/>
        <v>0.95880891126835521</v>
      </c>
      <c r="H372" s="413" t="b">
        <f>Wh_hp&gt;='2023'!Maxi_hp</f>
        <v>0</v>
      </c>
      <c r="I372" s="389">
        <f>IF(H372,Wh_hp,'2023'!Maxi_hp)</f>
        <v>24.134963342063681</v>
      </c>
      <c r="J372" s="85">
        <f>IF(H372,An,'2023'!An_max)</f>
        <v>2022</v>
      </c>
      <c r="K372" s="196">
        <f t="shared" si="129"/>
        <v>45649</v>
      </c>
      <c r="L372" s="147">
        <f>IF(t&lt;Tvie,1-EXP((T0-t)*PertePVj)+'2023'!Pspv,1-EXP((T0-t)*PertePVj)+Pspv)</f>
        <v>4.9988217318522411E-2</v>
      </c>
      <c r="M372" s="847"/>
      <c r="N372" s="847"/>
      <c r="O372" s="48">
        <f>IF(t&lt;Tnet,'2023'!Resal+('2023'!Salim-'2023'!Resal)*(1-EXP(('2023'!Tnet-t)/('2023'!Tau_j))),Resal+(Salim-Resal)*(1-EXP((Tnet-t)/(Tau_j))))*Salcycl</f>
        <v>2.6410630195342264E-2</v>
      </c>
      <c r="P372" s="168">
        <f>(INDEX(Models!$BJ372:$BT372,,T372)*(1-R372)+INDEX(Models!$BJ372:$BT372,,T372+1)*R372-ERP_i)*Q372*Ramure*Pc/MaxiM</f>
        <v>8.1809700675805803E-4</v>
      </c>
      <c r="Q372" s="304">
        <f t="shared" si="130"/>
        <v>0.5</v>
      </c>
      <c r="R372" s="176">
        <f t="shared" si="131"/>
        <v>0.63477542015771515</v>
      </c>
      <c r="S372" s="814">
        <f t="shared" si="132"/>
        <v>1</v>
      </c>
      <c r="T372" s="175">
        <f t="shared" si="133"/>
        <v>7</v>
      </c>
      <c r="U372" s="250">
        <f t="shared" si="134"/>
        <v>1.6347754201577152</v>
      </c>
      <c r="V372" s="382">
        <f t="shared" si="135"/>
        <v>23.262519267063986</v>
      </c>
      <c r="W372" s="401">
        <f t="shared" si="136"/>
        <v>22.305384186417648</v>
      </c>
      <c r="X372" s="157">
        <f t="shared" si="137"/>
        <v>45649</v>
      </c>
      <c r="Y372" s="384">
        <f t="shared" si="138"/>
        <v>21.109545218730943</v>
      </c>
      <c r="Z372" s="384">
        <f t="shared" si="139"/>
        <v>22.220298320035266</v>
      </c>
      <c r="AA372" s="385">
        <f t="shared" si="140"/>
        <v>24.115978765528332</v>
      </c>
      <c r="AB372" s="196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7.8606821805747046E-2</v>
      </c>
      <c r="AD372" s="230">
        <f>(INDEX(Models!$BJ372:$BT372,,AH372)*(1-AF372)+INDEX(Models!$BJ372:$BT372,,AH372+1)*AF372-ERP_i)*AE372*Ramure*Pc/MaxiM</f>
        <v>8.1809700675805803E-4</v>
      </c>
      <c r="AE372" s="304">
        <f t="shared" si="142"/>
        <v>0.5</v>
      </c>
      <c r="AF372" s="176">
        <f t="shared" si="143"/>
        <v>0.63477542015771515</v>
      </c>
      <c r="AG372" s="814">
        <f t="shared" si="149"/>
        <v>1</v>
      </c>
      <c r="AH372" s="175">
        <f t="shared" si="144"/>
        <v>7</v>
      </c>
      <c r="AI372" s="224">
        <f t="shared" si="145"/>
        <v>1.6347754201577152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10">
        <f>'2023'!Wh/'2023'!Env_an*'2024'!Env_an</f>
        <v>10.894023187383583</v>
      </c>
      <c r="C373" s="843"/>
      <c r="D373" s="392">
        <f t="shared" si="127"/>
        <v>11.467501453001644</v>
      </c>
      <c r="E373" s="384">
        <f t="shared" si="150"/>
        <v>11.779497738325924</v>
      </c>
      <c r="F373" s="384">
        <f t="shared" si="128"/>
        <v>11.781799329198833</v>
      </c>
      <c r="G373" s="110">
        <f t="shared" si="151"/>
        <v>0.46695959774318457</v>
      </c>
      <c r="H373" s="413" t="b">
        <f>Wh_hp&gt;='2023'!Maxi_hp</f>
        <v>0</v>
      </c>
      <c r="I373" s="389">
        <f>IF(H373,Wh_hp,'2023'!Maxi_hp)</f>
        <v>16.698245889929026</v>
      </c>
      <c r="J373" s="85">
        <f>IF(H373,An,'2023'!An_max)</f>
        <v>2018</v>
      </c>
      <c r="K373" s="196">
        <f t="shared" si="129"/>
        <v>45650</v>
      </c>
      <c r="L373" s="147">
        <f>IF(t&lt;Tvie,1-EXP((T0-t)*PertePVj)+'2023'!Pspv,1-EXP((T0-t)*PertePVj)+Pspv)</f>
        <v>5.0008998731624434E-2</v>
      </c>
      <c r="M373" s="847"/>
      <c r="N373" s="847"/>
      <c r="O373" s="48">
        <f>IF(t&lt;Tnet,'2023'!Resal+('2023'!Salim-'2023'!Resal)*(1-EXP(('2023'!Tnet-t)/('2023'!Tau_j))),Resal+(Salim-Resal)*(1-EXP((Tnet-t)/(Tau_j))))*Salcycl</f>
        <v>2.6486382718098941E-2</v>
      </c>
      <c r="P373" s="168">
        <f>(INDEX(Models!$BJ373:$BT373,,T373)*(1-R373)+INDEX(Models!$BJ373:$BT373,,T373+1)*R373-ERP_i)*Q373*Ramure*Pc/MaxiM</f>
        <v>8.1761220177498702E-4</v>
      </c>
      <c r="Q373" s="304">
        <f t="shared" si="130"/>
        <v>0.5</v>
      </c>
      <c r="R373" s="176">
        <f t="shared" si="131"/>
        <v>0.63477542015771515</v>
      </c>
      <c r="S373" s="814">
        <f t="shared" si="132"/>
        <v>1</v>
      </c>
      <c r="T373" s="175">
        <f t="shared" si="133"/>
        <v>7</v>
      </c>
      <c r="U373" s="250">
        <f t="shared" si="134"/>
        <v>1.6347754201577152</v>
      </c>
      <c r="V373" s="382">
        <f t="shared" si="135"/>
        <v>23.315171144904362</v>
      </c>
      <c r="W373" s="401">
        <f t="shared" si="136"/>
        <v>10.894023187383583</v>
      </c>
      <c r="X373" s="157">
        <f t="shared" si="137"/>
        <v>45650</v>
      </c>
      <c r="Y373" s="384">
        <f t="shared" si="138"/>
        <v>10.310582120909803</v>
      </c>
      <c r="Z373" s="384">
        <f t="shared" si="139"/>
        <v>10.853347144492615</v>
      </c>
      <c r="AA373" s="385">
        <f t="shared" si="140"/>
        <v>11.779497738325924</v>
      </c>
      <c r="AB373" s="196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7.8623945978611165E-2</v>
      </c>
      <c r="AD373" s="230">
        <f>(INDEX(Models!$BJ373:$BT373,,AH373)*(1-AF373)+INDEX(Models!$BJ373:$BT373,,AH373+1)*AF373-ERP_i)*AE373*Ramure*Pc/MaxiM</f>
        <v>8.1761220177498702E-4</v>
      </c>
      <c r="AE373" s="304">
        <f t="shared" si="142"/>
        <v>0.5</v>
      </c>
      <c r="AF373" s="176">
        <f t="shared" si="143"/>
        <v>0.63477542015771515</v>
      </c>
      <c r="AG373" s="814">
        <f t="shared" si="149"/>
        <v>1</v>
      </c>
      <c r="AH373" s="175">
        <f t="shared" si="144"/>
        <v>7</v>
      </c>
      <c r="AI373" s="224">
        <f t="shared" si="145"/>
        <v>1.6347754201577152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10">
        <f>'2023'!Wh/'2023'!Env_an*'2024'!Env_an</f>
        <v>20.04003907244962</v>
      </c>
      <c r="C374" s="843"/>
      <c r="D374" s="392">
        <f t="shared" si="127"/>
        <v>21.095439250612252</v>
      </c>
      <c r="E374" s="384">
        <f t="shared" si="150"/>
        <v>21.671070156020786</v>
      </c>
      <c r="F374" s="384">
        <f t="shared" si="128"/>
        <v>21.685176224598557</v>
      </c>
      <c r="G374" s="110">
        <f t="shared" si="151"/>
        <v>0.85694598511329867</v>
      </c>
      <c r="H374" s="413" t="b">
        <f>Wh_hp&gt;='2023'!Maxi_hp</f>
        <v>0</v>
      </c>
      <c r="I374" s="389">
        <f>IF(H374,Wh_hp,'2023'!Maxi_hp)</f>
        <v>24.848198087219174</v>
      </c>
      <c r="J374" s="85">
        <f>IF(H374,An,'2023'!An_max)</f>
        <v>2018</v>
      </c>
      <c r="K374" s="196">
        <f t="shared" si="129"/>
        <v>45651</v>
      </c>
      <c r="L374" s="147">
        <f>IF(t&lt;Tvie,1-EXP((T0-t)*PertePVj)+'2023'!Pspv,1-EXP((T0-t)*PertePVj)+Pspv)</f>
        <v>5.0029779689560107E-2</v>
      </c>
      <c r="M374" s="847"/>
      <c r="N374" s="847"/>
      <c r="O374" s="48">
        <f>IF(t&lt;Tnet,'2023'!Resal+('2023'!Salim-'2023'!Resal)*(1-EXP(('2023'!Tnet-t)/('2023'!Tau_j))),Resal+(Salim-Resal)*(1-EXP((Tnet-t)/(Tau_j))))*Salcycl</f>
        <v>2.6562181805710607E-2</v>
      </c>
      <c r="P374" s="168">
        <f>(INDEX(Models!$BJ374:$BT374,,T374)*(1-R374)+INDEX(Models!$BJ374:$BT374,,T374+1)*R374-ERP_i)*Q374*Ramure*Pc/MaxiM</f>
        <v>8.1736570572141611E-4</v>
      </c>
      <c r="Q374" s="304">
        <f t="shared" si="130"/>
        <v>0.5</v>
      </c>
      <c r="R374" s="176">
        <f t="shared" si="131"/>
        <v>0.63477542015771515</v>
      </c>
      <c r="S374" s="814">
        <f t="shared" si="132"/>
        <v>1</v>
      </c>
      <c r="T374" s="175">
        <f t="shared" si="133"/>
        <v>7</v>
      </c>
      <c r="U374" s="250">
        <f t="shared" si="134"/>
        <v>1.6347754201577152</v>
      </c>
      <c r="V374" s="382">
        <f t="shared" si="135"/>
        <v>23.381511927786679</v>
      </c>
      <c r="W374" s="401">
        <f t="shared" si="136"/>
        <v>20.04003907244962</v>
      </c>
      <c r="X374" s="157">
        <f t="shared" si="137"/>
        <v>45651</v>
      </c>
      <c r="Y374" s="384">
        <f t="shared" si="138"/>
        <v>18.96788977444686</v>
      </c>
      <c r="Z374" s="384">
        <f t="shared" si="139"/>
        <v>19.966825663491178</v>
      </c>
      <c r="AA374" s="385">
        <f t="shared" si="140"/>
        <v>21.671070156020786</v>
      </c>
      <c r="AB374" s="196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7.8641455187026046E-2</v>
      </c>
      <c r="AD374" s="230">
        <f>(INDEX(Models!$BJ374:$BT374,,AH374)*(1-AF374)+INDEX(Models!$BJ374:$BT374,,AH374+1)*AF374-ERP_i)*AE374*Ramure*Pc/MaxiM</f>
        <v>8.1736570572141611E-4</v>
      </c>
      <c r="AE374" s="304">
        <f t="shared" si="142"/>
        <v>0.5</v>
      </c>
      <c r="AF374" s="176">
        <f t="shared" si="143"/>
        <v>0.63477542015771515</v>
      </c>
      <c r="AG374" s="814">
        <f t="shared" si="149"/>
        <v>1</v>
      </c>
      <c r="AH374" s="175">
        <f t="shared" si="144"/>
        <v>7</v>
      </c>
      <c r="AI374" s="224">
        <f t="shared" si="145"/>
        <v>1.6347754201577152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10">
        <f>'2023'!Wh/'2023'!Env_an*'2024'!Env_an</f>
        <v>6.409405804867145</v>
      </c>
      <c r="C375" s="843"/>
      <c r="D375" s="392">
        <f t="shared" si="127"/>
        <v>6.7471020417306411</v>
      </c>
      <c r="E375" s="384">
        <f t="shared" si="150"/>
        <v>6.931750112198654</v>
      </c>
      <c r="F375" s="384">
        <f t="shared" si="128"/>
        <v>6.931750112198654</v>
      </c>
      <c r="G375" s="110">
        <f t="shared" si="151"/>
        <v>0.27297087171199003</v>
      </c>
      <c r="H375" s="413" t="b">
        <f>Wh_hp&gt;='2023'!Maxi_hp</f>
        <v>0</v>
      </c>
      <c r="I375" s="389">
        <f>IF(H375,Wh_hp,'2023'!Maxi_hp)</f>
        <v>25.062175747198527</v>
      </c>
      <c r="J375" s="85">
        <f>IF(H375,An,'2023'!An_max)</f>
        <v>2018</v>
      </c>
      <c r="K375" s="196">
        <f t="shared" si="129"/>
        <v>45652</v>
      </c>
      <c r="L375" s="147">
        <f>IF(t&lt;Tvie,1-EXP((T0-t)*PertePVj)+'2023'!Pspv,1-EXP((T0-t)*PertePVj)+Pspv)</f>
        <v>5.0050560192339534E-2</v>
      </c>
      <c r="M375" s="847"/>
      <c r="N375" s="847"/>
      <c r="O375" s="48">
        <f>IF(t&lt;Tnet,'2023'!Resal+('2023'!Salim-'2023'!Resal)*(1-EXP(('2023'!Tnet-t)/('2023'!Tau_j))),Resal+(Salim-Resal)*(1-EXP((Tnet-t)/(Tau_j))))*Salcycl</f>
        <v>2.6638016010280745E-2</v>
      </c>
      <c r="P375" s="168">
        <f>(INDEX(Models!$BJ375:$BT375,,T375)*(1-R375)+INDEX(Models!$BJ375:$BT375,,T375+1)*R375-ERP_i)*Q375*Ramure*Pc/MaxiM</f>
        <v>8.1773458229271814E-4</v>
      </c>
      <c r="Q375" s="304">
        <f t="shared" si="130"/>
        <v>0.5</v>
      </c>
      <c r="R375" s="176">
        <f t="shared" si="131"/>
        <v>0.63477542015771515</v>
      </c>
      <c r="S375" s="814">
        <f t="shared" si="132"/>
        <v>1</v>
      </c>
      <c r="T375" s="175">
        <f t="shared" si="133"/>
        <v>7</v>
      </c>
      <c r="U375" s="250">
        <f t="shared" si="134"/>
        <v>1.6347754201577152</v>
      </c>
      <c r="V375" s="382">
        <f t="shared" si="135"/>
        <v>23.460981649520296</v>
      </c>
      <c r="W375" s="401">
        <f t="shared" si="136"/>
        <v>6.409405804867145</v>
      </c>
      <c r="X375" s="157">
        <f t="shared" si="137"/>
        <v>45652</v>
      </c>
      <c r="Y375" s="384">
        <f t="shared" si="138"/>
        <v>6.0668553429642635</v>
      </c>
      <c r="Z375" s="384">
        <f t="shared" si="139"/>
        <v>6.3865034166372485</v>
      </c>
      <c r="AA375" s="385">
        <f t="shared" si="140"/>
        <v>6.931750112198654</v>
      </c>
      <c r="AB375" s="196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7.8659312112516491E-2</v>
      </c>
      <c r="AD375" s="230">
        <f>(INDEX(Models!$BJ375:$BT375,,AH375)*(1-AF375)+INDEX(Models!$BJ375:$BT375,,AH375+1)*AF375-ERP_i)*AE375*Ramure*Pc/MaxiM</f>
        <v>8.1773458229271814E-4</v>
      </c>
      <c r="AE375" s="304">
        <f t="shared" si="142"/>
        <v>0.5</v>
      </c>
      <c r="AF375" s="176">
        <f t="shared" si="143"/>
        <v>0.63477542015771515</v>
      </c>
      <c r="AG375" s="814">
        <f t="shared" si="149"/>
        <v>1</v>
      </c>
      <c r="AH375" s="175">
        <f t="shared" si="144"/>
        <v>7</v>
      </c>
      <c r="AI375" s="224">
        <f t="shared" si="145"/>
        <v>1.6347754201577152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10">
        <f>'2023'!Wh/'2023'!Env_an*'2024'!Env_an</f>
        <v>19.57319087496337</v>
      </c>
      <c r="C376" s="843"/>
      <c r="D376" s="392">
        <f t="shared" si="127"/>
        <v>20.604906140960082</v>
      </c>
      <c r="E376" s="384">
        <f t="shared" si="150"/>
        <v>21.170450909495322</v>
      </c>
      <c r="F376" s="384">
        <f t="shared" si="128"/>
        <v>21.183602755579756</v>
      </c>
      <c r="G376" s="110">
        <f t="shared" si="151"/>
        <v>0.8308619378535943</v>
      </c>
      <c r="H376" s="413" t="b">
        <f>Wh_hp&gt;='2023'!Maxi_hp</f>
        <v>0</v>
      </c>
      <c r="I376" s="389">
        <f>IF(H376,Wh_hp,'2023'!Maxi_hp)</f>
        <v>21.18504333390667</v>
      </c>
      <c r="J376" s="85">
        <f>IF(H376,An,'2023'!An_max)</f>
        <v>2022</v>
      </c>
      <c r="K376" s="196">
        <f t="shared" si="129"/>
        <v>45653</v>
      </c>
      <c r="L376" s="147">
        <f>IF(t&lt;Tvie,1-EXP((T0-t)*PertePVj)+'2023'!Pspv,1-EXP((T0-t)*PertePVj)+Pspv)</f>
        <v>5.0071340239972596E-2</v>
      </c>
      <c r="M376" s="847"/>
      <c r="N376" s="847"/>
      <c r="O376" s="48">
        <f>IF(t&lt;Tnet,'2023'!Resal+('2023'!Salim-'2023'!Resal)*(1-EXP(('2023'!Tnet-t)/('2023'!Tau_j))),Resal+(Salim-Resal)*(1-EXP((Tnet-t)/(Tau_j))))*Salcycl</f>
        <v>2.6713874491996872E-2</v>
      </c>
      <c r="P376" s="168">
        <f>(INDEX(Models!$BJ376:$BT376,,T376)*(1-R376)+INDEX(Models!$BJ376:$BT376,,T376+1)*R376-ERP_i)*Q376*Ramure*Pc/MaxiM</f>
        <v>8.1840631801310634E-4</v>
      </c>
      <c r="Q376" s="304">
        <f t="shared" si="130"/>
        <v>0.5</v>
      </c>
      <c r="R376" s="176">
        <f t="shared" si="131"/>
        <v>0.63477542015771515</v>
      </c>
      <c r="S376" s="814">
        <f t="shared" si="132"/>
        <v>1</v>
      </c>
      <c r="T376" s="175">
        <f t="shared" si="133"/>
        <v>7</v>
      </c>
      <c r="U376" s="250">
        <f t="shared" si="134"/>
        <v>1.6347754201577152</v>
      </c>
      <c r="V376" s="382">
        <f t="shared" si="135"/>
        <v>23.553036647260541</v>
      </c>
      <c r="W376" s="401">
        <f t="shared" si="136"/>
        <v>19.57319087496337</v>
      </c>
      <c r="X376" s="157">
        <f t="shared" si="137"/>
        <v>45653</v>
      </c>
      <c r="Y376" s="384">
        <f t="shared" si="138"/>
        <v>18.528181011602843</v>
      </c>
      <c r="Z376" s="384">
        <f t="shared" si="139"/>
        <v>19.504813147003549</v>
      </c>
      <c r="AA376" s="385">
        <f t="shared" si="140"/>
        <v>21.170450909495322</v>
      </c>
      <c r="AB376" s="196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7.8677481628164334E-2</v>
      </c>
      <c r="AD376" s="230">
        <f>(INDEX(Models!$BJ376:$BT376,,AH376)*(1-AF376)+INDEX(Models!$BJ376:$BT376,,AH376+1)*AF376-ERP_i)*AE376*Ramure*Pc/MaxiM</f>
        <v>8.1840631801310634E-4</v>
      </c>
      <c r="AE376" s="304">
        <f t="shared" si="142"/>
        <v>0.5</v>
      </c>
      <c r="AF376" s="176">
        <f t="shared" si="143"/>
        <v>0.63477542015771515</v>
      </c>
      <c r="AG376" s="814">
        <f t="shared" si="149"/>
        <v>1</v>
      </c>
      <c r="AH376" s="175">
        <f t="shared" si="144"/>
        <v>7</v>
      </c>
      <c r="AI376" s="224">
        <f t="shared" si="145"/>
        <v>1.6347754201577152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10">
        <f>'2023'!Wh/'2023'!Env_an*'2024'!Env_an</f>
        <v>10.723684380735321</v>
      </c>
      <c r="C377" s="843"/>
      <c r="D377" s="392">
        <f t="shared" si="127"/>
        <v>11.289183514136166</v>
      </c>
      <c r="E377" s="384">
        <f t="shared" si="150"/>
        <v>11.599943054519217</v>
      </c>
      <c r="F377" s="384">
        <f t="shared" si="128"/>
        <v>11.602024941118637</v>
      </c>
      <c r="G377" s="110">
        <f t="shared" si="151"/>
        <v>0.45300602340182761</v>
      </c>
      <c r="H377" s="413" t="b">
        <f>Wh_hp&gt;='2023'!Maxi_hp</f>
        <v>0</v>
      </c>
      <c r="I377" s="389">
        <f>IF(H377,Wh_hp,'2023'!Maxi_hp)</f>
        <v>24.833306177671162</v>
      </c>
      <c r="J377" s="85">
        <f>IF(H377,An,'2023'!An_max)</f>
        <v>2019</v>
      </c>
      <c r="K377" s="196">
        <f t="shared" si="129"/>
        <v>45654</v>
      </c>
      <c r="L377" s="147">
        <f>IF(t&lt;Tvie,1-EXP((T0-t)*PertePVj)+'2023'!Pspv,1-EXP((T0-t)*PertePVj)+Pspv)</f>
        <v>5.0092119832469174E-2</v>
      </c>
      <c r="M377" s="847"/>
      <c r="N377" s="847"/>
      <c r="O377" s="48">
        <f>IF(t&lt;Tnet,'2023'!Resal+('2023'!Salim-'2023'!Resal)*(1-EXP(('2023'!Tnet-t)/('2023'!Tau_j))),Resal+(Salim-Resal)*(1-EXP((Tnet-t)/(Tau_j))))*Salcycl</f>
        <v>2.6789747063627484E-2</v>
      </c>
      <c r="P377" s="168">
        <f>(INDEX(Models!$BJ377:$BT377,,T377)*(1-R377)+INDEX(Models!$BJ377:$BT377,,T377+1)*R377-ERP_i)*Q377*Ramure*Pc/MaxiM</f>
        <v>8.1938882360569406E-4</v>
      </c>
      <c r="Q377" s="304">
        <f t="shared" si="130"/>
        <v>0.5</v>
      </c>
      <c r="R377" s="176">
        <f t="shared" si="131"/>
        <v>0.63477542015771515</v>
      </c>
      <c r="S377" s="814">
        <f t="shared" si="132"/>
        <v>1</v>
      </c>
      <c r="T377" s="175">
        <f t="shared" si="133"/>
        <v>7</v>
      </c>
      <c r="U377" s="250">
        <f t="shared" si="134"/>
        <v>1.6347754201577152</v>
      </c>
      <c r="V377" s="382">
        <f t="shared" si="135"/>
        <v>23.657125963105287</v>
      </c>
      <c r="W377" s="401">
        <f t="shared" si="136"/>
        <v>10.723684380735321</v>
      </c>
      <c r="X377" s="157">
        <f t="shared" si="137"/>
        <v>45654</v>
      </c>
      <c r="Y377" s="384">
        <f t="shared" si="138"/>
        <v>10.151736509058074</v>
      </c>
      <c r="Z377" s="384">
        <f t="shared" si="139"/>
        <v>10.687074737465762</v>
      </c>
      <c r="AA377" s="385">
        <f t="shared" si="140"/>
        <v>11.599943054519217</v>
      </c>
      <c r="AB377" s="196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7.8695930899230618E-2</v>
      </c>
      <c r="AD377" s="230">
        <f>(INDEX(Models!$BJ377:$BT377,,AH377)*(1-AF377)+INDEX(Models!$BJ377:$BT377,,AH377+1)*AF377-ERP_i)*AE377*Ramure*Pc/MaxiM</f>
        <v>8.1938882360569406E-4</v>
      </c>
      <c r="AE377" s="304">
        <f t="shared" si="142"/>
        <v>0.5</v>
      </c>
      <c r="AF377" s="176">
        <f t="shared" si="143"/>
        <v>0.63477542015771515</v>
      </c>
      <c r="AG377" s="814">
        <f t="shared" si="149"/>
        <v>1</v>
      </c>
      <c r="AH377" s="175">
        <f t="shared" si="144"/>
        <v>7</v>
      </c>
      <c r="AI377" s="224">
        <f t="shared" si="145"/>
        <v>1.6347754201577152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10">
        <f>'2023'!Wh/'2023'!Env_an*'2024'!Env_an</f>
        <v>15.148261222257101</v>
      </c>
      <c r="C378" s="843"/>
      <c r="D378" s="392">
        <f t="shared" si="127"/>
        <v>15.947433337950041</v>
      </c>
      <c r="E378" s="384">
        <f t="shared" si="150"/>
        <v>16.387699104032365</v>
      </c>
      <c r="F378" s="384">
        <f t="shared" si="128"/>
        <v>16.394180584625758</v>
      </c>
      <c r="G378" s="110">
        <f t="shared" si="151"/>
        <v>0.63694137834274944</v>
      </c>
      <c r="H378" s="413" t="b">
        <f>Wh_hp&gt;='2023'!Maxi_hp</f>
        <v>0</v>
      </c>
      <c r="I378" s="389">
        <f>IF(H378,Wh_hp,'2023'!Maxi_hp)</f>
        <v>25.966265464195352</v>
      </c>
      <c r="J378" s="85">
        <f>IF(H378,An,'2023'!An_max)</f>
        <v>2019</v>
      </c>
      <c r="K378" s="196">
        <f t="shared" si="129"/>
        <v>45655</v>
      </c>
      <c r="L378" s="147">
        <f>IF(t&lt;Tvie,1-EXP((T0-t)*PertePVj)+'2023'!Pspv,1-EXP((T0-t)*PertePVj)+Pspv)</f>
        <v>5.0112898969839482E-2</v>
      </c>
      <c r="M378" s="847"/>
      <c r="N378" s="847"/>
      <c r="O378" s="48">
        <f>IF(t&lt;Tnet,'2023'!Resal+('2023'!Salim-'2023'!Resal)*(1-EXP(('2023'!Tnet-t)/('2023'!Tau_j))),Resal+(Salim-Resal)*(1-EXP((Tnet-t)/(Tau_j))))*Salcycl</f>
        <v>2.6865624227503149E-2</v>
      </c>
      <c r="P378" s="168">
        <f>(INDEX(Models!$BJ378:$BT378,,T378)*(1-R378)+INDEX(Models!$BJ378:$BT378,,T378+1)*R378-ERP_i)*Q378*Ramure*Pc/MaxiM</f>
        <v>8.2068947805933603E-4</v>
      </c>
      <c r="Q378" s="304">
        <f t="shared" si="130"/>
        <v>0.5</v>
      </c>
      <c r="R378" s="176">
        <f t="shared" si="131"/>
        <v>0.63477542015771515</v>
      </c>
      <c r="S378" s="814">
        <f t="shared" si="132"/>
        <v>1</v>
      </c>
      <c r="T378" s="175">
        <f t="shared" si="133"/>
        <v>7</v>
      </c>
      <c r="U378" s="250">
        <f t="shared" si="134"/>
        <v>1.6347754201577152</v>
      </c>
      <c r="V378" s="382">
        <f t="shared" si="135"/>
        <v>23.77269882824049</v>
      </c>
      <c r="W378" s="401">
        <f t="shared" si="136"/>
        <v>15.148261222257101</v>
      </c>
      <c r="X378" s="157">
        <f t="shared" si="137"/>
        <v>45655</v>
      </c>
      <c r="Y378" s="384">
        <f t="shared" si="138"/>
        <v>14.341155549150345</v>
      </c>
      <c r="Z378" s="384">
        <f t="shared" si="139"/>
        <v>15.097747441350917</v>
      </c>
      <c r="AA378" s="385">
        <f t="shared" si="140"/>
        <v>16.387699104032365</v>
      </c>
      <c r="AB378" s="196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7.8714629460339705E-2</v>
      </c>
      <c r="AD378" s="230">
        <f>(INDEX(Models!$BJ378:$BT378,,AH378)*(1-AF378)+INDEX(Models!$BJ378:$BT378,,AH378+1)*AF378-ERP_i)*AE378*Ramure*Pc/MaxiM</f>
        <v>8.2068947805933603E-4</v>
      </c>
      <c r="AE378" s="304">
        <f t="shared" si="142"/>
        <v>0.5</v>
      </c>
      <c r="AF378" s="176">
        <f t="shared" si="143"/>
        <v>0.63477542015771515</v>
      </c>
      <c r="AG378" s="814">
        <f t="shared" si="149"/>
        <v>1</v>
      </c>
      <c r="AH378" s="175">
        <f t="shared" si="144"/>
        <v>7</v>
      </c>
      <c r="AI378" s="224">
        <f t="shared" si="145"/>
        <v>1.6347754201577152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10">
        <f>'2023'!Wh/'2023'!Env_an*'2024'!Env_an</f>
        <v>12.203130260681224</v>
      </c>
      <c r="C379" s="843"/>
      <c r="D379" s="392">
        <f t="shared" si="127"/>
        <v>12.847208047672622</v>
      </c>
      <c r="E379" s="384">
        <f t="shared" si="150"/>
        <v>13.202914327112515</v>
      </c>
      <c r="F379" s="384">
        <f t="shared" si="128"/>
        <v>13.206181655772845</v>
      </c>
      <c r="G379" s="110">
        <f t="shared" si="151"/>
        <v>0.51031459154708281</v>
      </c>
      <c r="H379" s="413" t="b">
        <f>Wh_hp&gt;='2023'!Maxi_hp</f>
        <v>0</v>
      </c>
      <c r="I379" s="389">
        <f>IF(H379,Wh_hp,'2023'!Maxi_hp)</f>
        <v>25.625929752628863</v>
      </c>
      <c r="J379" s="85">
        <f>IF(H379,An,'2023'!An_max)</f>
        <v>2021</v>
      </c>
      <c r="K379" s="196">
        <f t="shared" si="129"/>
        <v>45656</v>
      </c>
      <c r="L379" s="147">
        <f>IF(t&lt;Tvie,1-EXP((T0-t)*PertePVj)+'2023'!Pspv,1-EXP((T0-t)*PertePVj)+Pspv)</f>
        <v>5.0133677652093291E-2</v>
      </c>
      <c r="M379" s="847"/>
      <c r="N379" s="847"/>
      <c r="O379" s="48">
        <f>IF(t&lt;Tnet,'2023'!Resal+('2023'!Salim-'2023'!Resal)*(1-EXP(('2023'!Tnet-t)/('2023'!Tau_j))),Resal+(Salim-Resal)*(1-EXP((Tnet-t)/(Tau_j))))*Salcycl</f>
        <v>2.6941497204858986E-2</v>
      </c>
      <c r="P379" s="168">
        <f>(INDEX(Models!$BJ379:$BT379,,T379)*(1-R379)+INDEX(Models!$BJ379:$BT379,,T379+1)*R379-ERP_i)*Q379*Ramure*Pc/MaxiM</f>
        <v>8.2231513972307708E-4</v>
      </c>
      <c r="Q379" s="305">
        <f t="shared" si="130"/>
        <v>0.5</v>
      </c>
      <c r="R379" s="176">
        <f t="shared" si="131"/>
        <v>0.63477542015771515</v>
      </c>
      <c r="S379" s="814">
        <f t="shared" si="132"/>
        <v>1</v>
      </c>
      <c r="T379" s="175">
        <f t="shared" si="133"/>
        <v>7</v>
      </c>
      <c r="U379" s="306">
        <f t="shared" si="134"/>
        <v>1.6347754201577152</v>
      </c>
      <c r="V379" s="382">
        <f t="shared" si="135"/>
        <v>23.899204671884071</v>
      </c>
      <c r="W379" s="401">
        <f t="shared" si="136"/>
        <v>12.203130260681224</v>
      </c>
      <c r="X379" s="157">
        <f t="shared" si="137"/>
        <v>45656</v>
      </c>
      <c r="Y379" s="384">
        <f t="shared" si="138"/>
        <v>11.553605945344763</v>
      </c>
      <c r="Z379" s="384">
        <f t="shared" si="139"/>
        <v>12.163402021440481</v>
      </c>
      <c r="AA379" s="385">
        <f t="shared" si="140"/>
        <v>13.202914327112515</v>
      </c>
      <c r="AB379" s="196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7.8733549269297959E-2</v>
      </c>
      <c r="AD379" s="230">
        <f>(INDEX(Models!$BJ379:$BT379,,AH379)*(1-AF379)+INDEX(Models!$BJ379:$BT379,,AH379+1)*AF379-ERP_i)*AE379*Ramure*Pc/MaxiM</f>
        <v>8.2231513972307708E-4</v>
      </c>
      <c r="AE379" s="305">
        <f t="shared" si="142"/>
        <v>0.5</v>
      </c>
      <c r="AF379" s="176">
        <f t="shared" si="143"/>
        <v>0.63477542015771515</v>
      </c>
      <c r="AG379" s="814">
        <f t="shared" si="149"/>
        <v>1</v>
      </c>
      <c r="AH379" s="175">
        <f t="shared" si="144"/>
        <v>7</v>
      </c>
      <c r="AI379" s="221">
        <f t="shared" si="145"/>
        <v>1.6347754201577152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5">
        <f>A379+1</f>
        <v>45657</v>
      </c>
      <c r="B380" s="806">
        <f>AVERAGE(B366:B379)</f>
        <v>15.567191774859507</v>
      </c>
      <c r="C380" s="853"/>
      <c r="D380" s="604">
        <f t="shared" si="127"/>
        <v>16.389182295179943</v>
      </c>
      <c r="E380" s="600">
        <f t="shared" si="150"/>
        <v>16.844269966394609</v>
      </c>
      <c r="F380" s="600">
        <f t="shared" si="128"/>
        <v>16.851168488797253</v>
      </c>
      <c r="G380" s="110">
        <f t="shared" si="151"/>
        <v>0.64739017021834111</v>
      </c>
      <c r="H380" s="601" t="b">
        <f>Wh_hp&gt;='2023'!Maxi_hp</f>
        <v>1</v>
      </c>
      <c r="I380" s="602">
        <f>IF(H380,Wh_hp,'2023'!Maxi_hp)</f>
        <v>16.851168488797253</v>
      </c>
      <c r="J380" s="151">
        <f>IF(H380,An,'2023'!An_max)</f>
        <v>2024</v>
      </c>
      <c r="K380" s="233">
        <f t="shared" si="129"/>
        <v>45657</v>
      </c>
      <c r="L380" s="147">
        <f>IF(t&lt;Tvie,1-EXP((T0-t)*PertePVj)+'2023'!Pspv,1-EXP((T0-t)*PertePVj)+Pspv)</f>
        <v>5.0154455879240702E-2</v>
      </c>
      <c r="M380" s="847"/>
      <c r="N380" s="847"/>
      <c r="O380" s="48">
        <f>IF(t&lt;Tnet,'2023'!Resal+('2023'!Salim-'2023'!Resal)*(1-EXP(('2023'!Tnet-t)/('2023'!Tau_j))),Resal+(Salim-Resal)*(1-EXP((Tnet-t)/(Tau_j))))*Salcycl</f>
        <v>2.7017357957489125E-2</v>
      </c>
      <c r="P380" s="230">
        <f>(INDEX(Models!$BJ380:$BT380,,T380)*(1-R380)+INDEX(Models!$BJ380:$BT380,,T380+1)*R380-ERP_i)*Q380*Ramure*Pc/MaxiM</f>
        <v>8.2427216593732781E-4</v>
      </c>
      <c r="Q380" s="327">
        <f t="shared" si="130"/>
        <v>0.5</v>
      </c>
      <c r="R380" s="313">
        <f>(Hp_vg-S380)/(INDEX(Echel_vg,T380+1)-S380)</f>
        <v>0.63477542015771515</v>
      </c>
      <c r="S380" s="815">
        <f>INDEX(Echel_vg,T380)</f>
        <v>1</v>
      </c>
      <c r="T380" s="232">
        <f t="shared" si="133"/>
        <v>7</v>
      </c>
      <c r="U380" s="300">
        <f t="shared" si="134"/>
        <v>1.6347754201577152</v>
      </c>
      <c r="V380" s="382">
        <f t="shared" si="135"/>
        <v>24.036093118743917</v>
      </c>
      <c r="W380" s="401">
        <f t="shared" si="136"/>
        <v>15.567191774859507</v>
      </c>
      <c r="X380" s="325">
        <f t="shared" si="137"/>
        <v>45657</v>
      </c>
      <c r="Y380" s="600">
        <f t="shared" si="138"/>
        <v>14.739455073935364</v>
      </c>
      <c r="Z380" s="600">
        <f t="shared" si="139"/>
        <v>15.517738820977669</v>
      </c>
      <c r="AA380" s="603">
        <f t="shared" si="140"/>
        <v>16.844269966394609</v>
      </c>
      <c r="AB380" s="233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7.8752664737828007E-2</v>
      </c>
      <c r="AD380" s="230">
        <f>(INDEX(Models!$BJ380:$BT380,,AH380)*(1-AF380)+INDEX(Models!$BJ380:$BT380,,AH380+1)*AF380-ERP_i)*AE380*Ramure*Pc/MaxiM</f>
        <v>8.2427216593732781E-4</v>
      </c>
      <c r="AE380" s="327">
        <f t="shared" si="142"/>
        <v>0.5</v>
      </c>
      <c r="AF380" s="313">
        <f>(Hp_vg_s-AG380)/(INDEX(Echel_vg,AH380+1)-AG380)</f>
        <v>0.63477542015771515</v>
      </c>
      <c r="AG380" s="815">
        <f>INDEX(Echel_vg,AH380)</f>
        <v>1</v>
      </c>
      <c r="AH380" s="232">
        <f t="shared" si="144"/>
        <v>7</v>
      </c>
      <c r="AI380" s="224">
        <f t="shared" si="145"/>
        <v>1.6347754201577152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1.4340551308458716</v>
      </c>
      <c r="C381" s="374"/>
      <c r="D381" s="372">
        <f>MIN(D15:D380)</f>
        <v>1.4980653265566686</v>
      </c>
      <c r="E381" s="372">
        <f>MIN(E15:E380)</f>
        <v>1.6091529200912036</v>
      </c>
      <c r="F381" s="373">
        <f>MIN(F15:F380)</f>
        <v>1.6091529200912036</v>
      </c>
      <c r="G381" s="125">
        <f>+MIN(G15:G380)</f>
        <v>5.7857521085935594E-2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4.2540089963845486E-2</v>
      </c>
      <c r="M381" s="849"/>
      <c r="N381" s="849"/>
      <c r="O381" s="47">
        <f t="shared" si="152"/>
        <v>5.5637072603969369E-3</v>
      </c>
      <c r="P381" s="167">
        <f t="shared" si="152"/>
        <v>2.0748869072041395E-4</v>
      </c>
      <c r="Q381" s="309">
        <f t="shared" si="152"/>
        <v>0.5</v>
      </c>
      <c r="R381" s="310">
        <f t="shared" si="152"/>
        <v>0.33477618397941766</v>
      </c>
      <c r="S381" s="814">
        <f t="shared" si="152"/>
        <v>1</v>
      </c>
      <c r="T381" s="175">
        <f t="shared" si="152"/>
        <v>7</v>
      </c>
      <c r="U381" s="251">
        <f>+MIN(U15:U380)</f>
        <v>1.3347761839794177</v>
      </c>
      <c r="V381" s="372">
        <f>MIN(V15:V380)</f>
        <v>23.176484545056088</v>
      </c>
      <c r="W381" s="807" t="s">
        <v>40</v>
      </c>
      <c r="X381" s="112" t="s">
        <v>7</v>
      </c>
      <c r="Y381" s="372">
        <f>MIN(Y15:Y380)</f>
        <v>1.4116475534560198</v>
      </c>
      <c r="Z381" s="372">
        <f>MIN(Z15:Z380)</f>
        <v>1.4746575690598753</v>
      </c>
      <c r="AA381" s="372">
        <f>MIN(AA15:AA380)</f>
        <v>1.6091529200912036</v>
      </c>
      <c r="AB381" s="199" t="s">
        <v>7</v>
      </c>
      <c r="AC381" s="47">
        <f t="shared" ref="AC381:AH381" si="153">MIN(AC15:AC380)</f>
        <v>7.3274893548213912E-2</v>
      </c>
      <c r="AD381" s="167">
        <f t="shared" si="153"/>
        <v>2.0748869072041395E-4</v>
      </c>
      <c r="AE381" s="309">
        <f t="shared" si="153"/>
        <v>0.5</v>
      </c>
      <c r="AF381" s="310">
        <f t="shared" si="153"/>
        <v>0.33477618397941766</v>
      </c>
      <c r="AG381" s="814">
        <f t="shared" si="153"/>
        <v>1</v>
      </c>
      <c r="AH381" s="175">
        <f t="shared" si="153"/>
        <v>7</v>
      </c>
      <c r="AI381" s="225">
        <f>MIN(AI15:AI380)</f>
        <v>1.3347761839794177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29.955608093524376</v>
      </c>
      <c r="C382" s="374"/>
      <c r="D382" s="374">
        <f>AVERAGE(D15:D380)</f>
        <v>31.409415084354084</v>
      </c>
      <c r="E382" s="374">
        <f>AVERAGE(E15:E380)</f>
        <v>32.39818438417101</v>
      </c>
      <c r="F382" s="375">
        <f>AVERAGE(F15:F380)</f>
        <v>32.412437996826945</v>
      </c>
      <c r="G382" s="126">
        <f>AVERAGE(G15:G380)</f>
        <v>0.68024334191561864</v>
      </c>
      <c r="H382" s="94"/>
      <c r="I382" s="375">
        <f>AVERAGE(I15:I380)</f>
        <v>43.582001750598209</v>
      </c>
      <c r="J382" s="59">
        <f>AVERAGE(J15:J380)</f>
        <v>2020.311475409836</v>
      </c>
      <c r="K382" s="199" t="s">
        <v>8</v>
      </c>
      <c r="L382" s="147">
        <f t="shared" ref="L382:V382" si="154">AVERAGE(L15:L380)</f>
        <v>4.6352331787599767E-2</v>
      </c>
      <c r="M382" s="847"/>
      <c r="N382" s="847"/>
      <c r="O382" s="48">
        <f t="shared" si="154"/>
        <v>3.4742088486438089E-2</v>
      </c>
      <c r="P382" s="168">
        <f t="shared" si="154"/>
        <v>6.3642256524017084E-4</v>
      </c>
      <c r="Q382" s="311">
        <f t="shared" si="154"/>
        <v>0.5</v>
      </c>
      <c r="R382" s="176">
        <f t="shared" si="154"/>
        <v>0.50306718665425643</v>
      </c>
      <c r="S382" s="814">
        <f t="shared" si="154"/>
        <v>1</v>
      </c>
      <c r="T382" s="175">
        <f t="shared" si="154"/>
        <v>7</v>
      </c>
      <c r="U382" s="250">
        <f t="shared" si="154"/>
        <v>1.5030671866542542</v>
      </c>
      <c r="V382" s="374">
        <f t="shared" si="154"/>
        <v>42.725477190594006</v>
      </c>
      <c r="X382" s="112" t="s">
        <v>8</v>
      </c>
      <c r="Y382" s="374">
        <f>AVERAGE(Y15:Y380)</f>
        <v>28.434939662523803</v>
      </c>
      <c r="Z382" s="374">
        <f>AVERAGE(Z15:Z380)</f>
        <v>29.814090483119475</v>
      </c>
      <c r="AA382" s="374">
        <f>AVERAGE(AA15:AA380)</f>
        <v>32.39818438417101</v>
      </c>
      <c r="AB382" s="199" t="s">
        <v>8</v>
      </c>
      <c r="AC382" s="48">
        <f t="shared" ref="AC382:AH382" si="155">AVERAGE(AC15:AC380)</f>
        <v>8.0209397103222779E-2</v>
      </c>
      <c r="AD382" s="168">
        <f t="shared" si="155"/>
        <v>6.3642256524017084E-4</v>
      </c>
      <c r="AE382" s="311">
        <f t="shared" si="155"/>
        <v>0.5</v>
      </c>
      <c r="AF382" s="176">
        <f t="shared" si="155"/>
        <v>0.50306718665425643</v>
      </c>
      <c r="AG382" s="814">
        <f t="shared" si="155"/>
        <v>1</v>
      </c>
      <c r="AH382" s="175">
        <f t="shared" si="155"/>
        <v>7</v>
      </c>
      <c r="AI382" s="224">
        <f>AVERAGE(AI15:AI380)</f>
        <v>1.5030671866542542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56.744920871327793</v>
      </c>
      <c r="C383" s="376"/>
      <c r="D383" s="376">
        <f>MAX(D15:D380)</f>
        <v>59.458294052767172</v>
      </c>
      <c r="E383" s="376">
        <f>MAX(E15:E380)</f>
        <v>59.967739648325491</v>
      </c>
      <c r="F383" s="377">
        <f>MAX(F15:F380)</f>
        <v>60.005708246077674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2024</v>
      </c>
      <c r="K383" s="199" t="s">
        <v>9</v>
      </c>
      <c r="L383" s="148">
        <f t="shared" ref="L383:T383" si="156">MAX(L15:L380)</f>
        <v>5.0154455879240702E-2</v>
      </c>
      <c r="M383" s="850"/>
      <c r="N383" s="850"/>
      <c r="O383" s="49">
        <f t="shared" si="156"/>
        <v>7.3207891017906104E-2</v>
      </c>
      <c r="P383" s="169">
        <f t="shared" si="156"/>
        <v>1.1757328345596376E-3</v>
      </c>
      <c r="Q383" s="312">
        <f t="shared" si="156"/>
        <v>0.5</v>
      </c>
      <c r="R383" s="313">
        <f t="shared" si="156"/>
        <v>0.63477542015771515</v>
      </c>
      <c r="S383" s="815">
        <f t="shared" si="156"/>
        <v>1</v>
      </c>
      <c r="T383" s="232">
        <f t="shared" si="156"/>
        <v>7</v>
      </c>
      <c r="U383" s="252">
        <f>+MAX(U15:U380)</f>
        <v>1.6347754201577152</v>
      </c>
      <c r="V383" s="376">
        <f>MAX(V15:V380)</f>
        <v>57.314852161946057</v>
      </c>
      <c r="X383" s="112" t="s">
        <v>9</v>
      </c>
      <c r="Y383" s="376">
        <f>MAX(Y15:Y380)</f>
        <v>52.913702886656928</v>
      </c>
      <c r="Z383" s="376">
        <f>MAX(Z15:Z380)</f>
        <v>55.443878629942745</v>
      </c>
      <c r="AA383" s="376">
        <f>MAX(AA15:AA380)</f>
        <v>59.967739648325491</v>
      </c>
      <c r="AB383" s="199" t="s">
        <v>9</v>
      </c>
      <c r="AC383" s="49">
        <f t="shared" ref="AC383:AH383" si="157">MAX(AC15:AC380)</f>
        <v>8.6302149949058327E-2</v>
      </c>
      <c r="AD383" s="169">
        <f t="shared" si="157"/>
        <v>1.1757328345596376E-3</v>
      </c>
      <c r="AE383" s="312">
        <f t="shared" si="157"/>
        <v>0.5</v>
      </c>
      <c r="AF383" s="313">
        <f t="shared" si="157"/>
        <v>0.63477542015771515</v>
      </c>
      <c r="AG383" s="815">
        <f t="shared" si="157"/>
        <v>1</v>
      </c>
      <c r="AH383" s="232">
        <f t="shared" si="157"/>
        <v>7</v>
      </c>
      <c r="AI383" s="226">
        <f>MAX(AI15:AI380)</f>
        <v>1.6347754201577152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'2024'!An+1</f>
        <v>2025</v>
      </c>
      <c r="K1" s="1295"/>
      <c r="L1" s="113" t="str">
        <f>"Calcul pertes et enveloppes en "&amp;TEXT(An,0)</f>
        <v>Calcul pertes et enveloppes en 2025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-3.9970158593262362E-2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494.49003201937273</v>
      </c>
      <c r="AK4" s="836">
        <f>AM12-AK12</f>
        <v>4.222863869796563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494.49003201937273</v>
      </c>
      <c r="AA5" s="236">
        <f>Wh_Pvg_s-Wh_Pvg</f>
        <v>4.1940637952231814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1969.1772481212481</v>
      </c>
      <c r="AL5" s="515">
        <f>SUMIF(AJ15:AJ380,"VRAI",Wh_s)</f>
        <v>0</v>
      </c>
      <c r="AM5" s="515">
        <f>SUMIF(AK15:AK380,"VRAI",Wh_s)</f>
        <v>1869.4908381224861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10755.608361595179</v>
      </c>
      <c r="AK6" s="515">
        <f>SUMIF(AK15:AK380,"FAUX",Wh)</f>
        <v>8786.4311134739291</v>
      </c>
      <c r="AL6" s="515">
        <f>SUMIF(AJ15:AJ380,"FAUX",Wh_s)</f>
        <v>10256.407799812889</v>
      </c>
      <c r="AM6" s="515">
        <f>SUMIF(AK15:AK380,"FAUX",Wh_s)</f>
        <v>8386.9169616904073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AND(YEAR(Tnet)=An,Resal_2025="I")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2141.345435093021</v>
      </c>
      <c r="AL7" s="515">
        <f>SUMIF(AJ15:AJ380,"VRAI",Wh_pvt_s)</f>
        <v>0</v>
      </c>
      <c r="AM7" s="515">
        <f>SUMIF(AK15:AK380,"VRAI",Wh_sa_s)</f>
        <v>2141.345435093021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AND(YEAR(Tnet)=An,Resal_2025&lt;&gt;"I")</f>
        <v>0</v>
      </c>
      <c r="F8" s="320" t="b">
        <f>YEAR(Ttai)=An</f>
        <v>1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11367.693625550823</v>
      </c>
      <c r="AK8" s="515">
        <f>SUMIF(AK15:AK380,"FAUX",Wh_sa)</f>
        <v>9705.0037326002675</v>
      </c>
      <c r="AL8" s="515">
        <f>SUMIF(AJ15:AJ380,"FAUX",Wh_pvt_s)</f>
        <v>10840.154735183452</v>
      </c>
      <c r="AM8" s="515">
        <f>SUMIF(AK15:AK380,"FAUX",Wh_sa_s)</f>
        <v>9700.102051666443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11367.693625550823</v>
      </c>
      <c r="E9" s="183">
        <f>SUM(E$15:E$380)</f>
        <v>11846.349167693281</v>
      </c>
      <c r="F9" s="183">
        <f>SUM(F$15:F$380)</f>
        <v>11847.581814747755</v>
      </c>
      <c r="H9" s="1296">
        <f>+SUM(Wh)</f>
        <v>10755.608361595179</v>
      </c>
      <c r="I9" s="1297"/>
      <c r="J9" s="1298"/>
      <c r="K9" s="190"/>
      <c r="L9" s="231"/>
      <c r="M9" s="231"/>
      <c r="N9" s="231"/>
      <c r="O9" s="222">
        <f>Tnet_2025</f>
        <v>45412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10256.407799812889</v>
      </c>
      <c r="Y9" s="1291"/>
      <c r="Z9" s="515">
        <f>SUM(Z$15:Z$380)</f>
        <v>10840.154735183452</v>
      </c>
      <c r="AA9" s="515">
        <f>SUM(AA$15:AA$380)</f>
        <v>11841.447486759462</v>
      </c>
      <c r="AB9" s="515">
        <f>F9</f>
        <v>11847.581814747755</v>
      </c>
      <c r="AC9" s="324">
        <f>IF(An_Tnet,Tnet,'2024'!Tnet_s)</f>
        <v>45412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2142.2040267169414</v>
      </c>
      <c r="AL9" s="515">
        <f>SUMIF(AJ15:AJ380,"VRAI",Wh_sa_s)</f>
        <v>0</v>
      </c>
      <c r="AM9" s="515">
        <f>SUMIF(AK15:AK380,"VRAI",Wh_hp)</f>
        <v>2142.2040267169414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IF(Inflex,'2024'!Resal+('2024'!Salim-'2024'!Resal)*(1-EXP(-(Tnet-'2024'!Tnet)/('2024'!Tau_j))),IF(An_Tnet,Resal_2025,'2024'!Resal))</f>
        <v>5.4999999999999997E-3</v>
      </c>
      <c r="P10" s="420" t="b">
        <f>NOT(Acti_tai)</f>
        <v>0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IF(OR(Inflex,GainD),'2024'!Resal_s+('2024'!Salim-'2024'!Resal_s)*(1-EXP(('2024'!Tnet_s-Tnet)/('2024'!Tau_j))),IF(Acti_net,'2024'!Resal+('2024'!Salim-'2024'!Resal)*(1-EXP(('2024'!Tnet-Tnet)/'2024'!Tau_j)),'2024'!Resal_s))</f>
        <v>7.2435858979112436E-2</v>
      </c>
      <c r="AD10" s="427"/>
      <c r="AE10" s="427"/>
      <c r="AF10" s="259"/>
      <c r="AG10" s="260"/>
      <c r="AH10" s="261"/>
      <c r="AI10" s="472"/>
      <c r="AJ10" s="515">
        <f>SUMIF(AJ15:AJ380,"FAUX",Wh_sa)</f>
        <v>11846.349167693281</v>
      </c>
      <c r="AK10" s="515">
        <f>SUMIF(AK15:AK380,"FAUX",Wh_hp)</f>
        <v>9705.3777880308226</v>
      </c>
      <c r="AL10" s="515">
        <f>SUMIF(AJ15:AJ380,"FAUX",Wh_sa_s)</f>
        <v>11841.447486759462</v>
      </c>
      <c r="AM10" s="515">
        <f>SUMIF(AK15:AK380,"FAUX",Wh_hp)</f>
        <v>9705.3777880308226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612.08526395564331</v>
      </c>
      <c r="E11" s="51">
        <f>(E$9-D$9)*Prod_an/D$9</f>
        <v>452.88267972139681</v>
      </c>
      <c r="F11" s="185">
        <f>(F$9-E$9)*Prod_an/E$9</f>
        <v>1.1191523040830476</v>
      </c>
      <c r="G11" s="184" t="s">
        <v>6</v>
      </c>
      <c r="K11" s="193"/>
      <c r="L11" s="210">
        <f>Tvie_2025</f>
        <v>44375</v>
      </c>
      <c r="M11" s="846"/>
      <c r="N11" s="846"/>
      <c r="O11" s="201">
        <f>IF(An_Tnet,Salim_2025,'2024'!Salim)</f>
        <v>0.1</v>
      </c>
      <c r="P11" s="255">
        <f>Ttai_2025</f>
        <v>45747</v>
      </c>
      <c r="Q11" s="271">
        <f>Dens_2025</f>
        <v>0.5</v>
      </c>
      <c r="R11" s="276"/>
      <c r="S11" s="229"/>
      <c r="T11" s="229"/>
      <c r="U11" s="265">
        <f>Htf_2025</f>
        <v>-0.46522425418292995</v>
      </c>
      <c r="V11" s="427"/>
      <c r="W11" s="518"/>
      <c r="X11" s="525" t="s">
        <v>43</v>
      </c>
      <c r="Y11" s="50">
        <f>Z$9-Prod_an_s</f>
        <v>583.74693537056373</v>
      </c>
      <c r="Z11" s="51">
        <f>(AA$9-Z$9)*Prod_an_s/Z$9</f>
        <v>947.37271174076955</v>
      </c>
      <c r="AA11" s="185">
        <f>(AB$9-AA$9)*Prod_an_s/AA$9</f>
        <v>5.3132160993062287</v>
      </c>
      <c r="AB11" s="526" t="s">
        <v>6</v>
      </c>
      <c r="AC11" s="324"/>
      <c r="AD11" s="427"/>
      <c r="AE11" s="271">
        <f>IF(Acti_tai,IF(GainD,Dd_s,Dd)+PousD*Croi_tai,"NA")</f>
        <v>0.5</v>
      </c>
      <c r="AF11" s="246"/>
      <c r="AG11" s="246"/>
      <c r="AH11" s="246"/>
      <c r="AI11" s="265">
        <f>IF(Acti_tai,IF(GainD,Hdd_s,Hdd)+PousH*Croi_tai,"NA")</f>
        <v>1.6497682856414575</v>
      </c>
      <c r="AJ11" s="835">
        <f>IF($AJ7=0,0,($AJ9-$AJ7)*$AJ5/$AJ7)</f>
        <v>0</v>
      </c>
      <c r="AK11" s="836">
        <f>IF($AK7=0,0,($AK9-$AK7)*$AK5/$AK7)</f>
        <v>0.78955924791180498</v>
      </c>
      <c r="AL11" s="835">
        <f>IF($AL7=0,0,($AL9-$AL7)*$AL5/$AL7)</f>
        <v>0</v>
      </c>
      <c r="AM11" s="836">
        <f>IF($AM7=0,0,($AM9-$AM7)*$AM5/$AM7)</f>
        <v>0.74958908931854262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Pspv_2025</f>
        <v>-1.1999999999999999E-3</v>
      </c>
      <c r="M12" s="211"/>
      <c r="N12" s="211"/>
      <c r="O12" s="204">
        <f>IF(An_Tnet,Tau_2025*365,'2024'!Tau_j)</f>
        <v>949</v>
      </c>
      <c r="P12" s="280">
        <f>INDEX(Croivg,MIN(MAX(Ttai-$A$15,0)+1,366))</f>
        <v>4.9976218279140845E-2</v>
      </c>
      <c r="Q12" s="279">
        <f>'2024'!Df</f>
        <v>0.5</v>
      </c>
      <c r="R12" s="277"/>
      <c r="S12" s="278"/>
      <c r="T12" s="278"/>
      <c r="U12" s="266">
        <f>'2024'!Hdf</f>
        <v>1.6347754201577152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'2024'!Df_s</f>
        <v>0.5</v>
      </c>
      <c r="AF12" s="202"/>
      <c r="AG12" s="202"/>
      <c r="AH12" s="202"/>
      <c r="AI12" s="296">
        <f>'2024'!Hdf_s</f>
        <v>1.6347754201577152</v>
      </c>
      <c r="AJ12" s="835">
        <f>IF($AJ8=0,0,($AJ10-$AJ8)*$AJ6/$AJ8)</f>
        <v>452.88267972139681</v>
      </c>
      <c r="AK12" s="836">
        <f>IF($AK8=0,0,($AK10-$AK8)*$AK6/$AK8)</f>
        <v>0.33865131469783677</v>
      </c>
      <c r="AL12" s="835">
        <f>IF($AL8=0,0,($AL10-$AL8)*$AL6/$AL8)</f>
        <v>947.37271174076955</v>
      </c>
      <c r="AM12" s="836">
        <f>IF($AM8=0,0,($AM10-$AM8)*$AM6/$AM8)</f>
        <v>4.5615151844944002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452.88267972139681</v>
      </c>
      <c r="AK13" s="73">
        <f>+AK11+AK12</f>
        <v>1.1282105626096417</v>
      </c>
      <c r="AL13" s="73">
        <f>+AL11+AL12</f>
        <v>947.37271174076955</v>
      </c>
      <c r="AM13" s="73">
        <f>+AM11+AM12</f>
        <v>5.3111042738129424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2025</v>
      </c>
      <c r="W14" s="840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9">
        <f>'2024'!Wh/'2024'!Env_an*'2025'!Env_an</f>
        <v>23.840165539307058</v>
      </c>
      <c r="C15" s="843"/>
      <c r="D15" s="392">
        <f t="shared" ref="D15:D78" si="0">Wh/(1-Ppv)</f>
        <v>25.099540866840943</v>
      </c>
      <c r="E15" s="399">
        <f t="shared" ref="E15:E79" si="1">Wh_pvt/(1-Psa)</f>
        <v>25.798533625266263</v>
      </c>
      <c r="F15" s="399">
        <f t="shared" ref="F15:F78" si="2">Wh_sa/(1-Pvg*MEDIAN((-Sdif+Wh/Env_an)/Csdif,0,1))</f>
        <v>25.819571202080947</v>
      </c>
      <c r="G15" s="123">
        <f>+Wh_hp/MaxiM</f>
        <v>0.99193931895629128</v>
      </c>
      <c r="H15" s="413" t="b">
        <f>Wh_hp&gt;='2024'!Maxi_hp</f>
        <v>0</v>
      </c>
      <c r="I15" s="395">
        <f>IF(H15,Wh_hp,'2024'!Maxi_hp)</f>
        <v>25.81968983853487</v>
      </c>
      <c r="J15" s="84">
        <f>IF(H15,An,'2024'!An_max)</f>
        <v>2022</v>
      </c>
      <c r="K15" s="196">
        <f t="shared" ref="K15:K78" si="3">t</f>
        <v>45658</v>
      </c>
      <c r="L15" s="146">
        <f>IF(t&lt;Tvie,1-EXP((T0-t)*PertePVj)+'2024'!Pspv,1-EXP((T0-t)*PertePVj)+Pspv)</f>
        <v>5.0175233651291486E-2</v>
      </c>
      <c r="M15" s="847"/>
      <c r="N15" s="847"/>
      <c r="O15" s="48">
        <f>IF(t&lt;Tnet,'2024'!Resal+('2024'!Salim-'2024'!Resal)*(1-EXP(('2024'!Tnet-t)/('2024'!Tau_j))),Resal+(Salim-Resal)*(1-EXP((Tnet-t)/(Tau_j))))*Salcycl</f>
        <v>2.7094282511497012E-2</v>
      </c>
      <c r="P15" s="301">
        <f>(INDEX(Models!$BJ15:$BT15,,T15)*(1-R15)+INDEX(Models!$BJ15:$BT15,,T15+1)*R15-ERP_i)*Q15*Ramure*Pc/MaxiM</f>
        <v>8.2427250250989982E-4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0.63477613745665273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1.6347761374566527</v>
      </c>
      <c r="V15" s="381">
        <f t="shared" ref="V15:V78" si="9">MaxiM*(1-Ppv)*(1-Pvg)*(1-Psa)</f>
        <v>24.033667059732302</v>
      </c>
      <c r="W15" s="401">
        <f t="shared" ref="W15:W78" si="10">Wh*(A15&gt;Tmaj)</f>
        <v>23.840165539307058</v>
      </c>
      <c r="X15" s="156">
        <f t="shared" ref="X15:X78" si="11">t</f>
        <v>45658</v>
      </c>
      <c r="Y15" s="384">
        <f t="shared" ref="Y15:Y78" si="12">Wh_pvt_s*(1-Ppv)</f>
        <v>22.573774275233891</v>
      </c>
      <c r="Z15" s="384">
        <f>Wh_sa_s*(1-Psa_s)</f>
        <v>23.766251497117096</v>
      </c>
      <c r="AA15" s="385">
        <f t="shared" ref="AA15:AA78" si="13">Wh_hp*(1-Pvg_s*MEDIAN((-Sdif+Wh/Env_an)/Csdif,0,1))</f>
        <v>25.798533625266263</v>
      </c>
      <c r="AB15" s="196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7.8775102401898292E-2</v>
      </c>
      <c r="AD15" s="230">
        <f>(INDEX(Models!$BJ15:$BT15,,AH15)*(1-AF15)+INDEX(Models!$BJ15:$BT15,,AH15+1)*AF15-ERP_i)*AE15*Ramure*Pc/MaxiM</f>
        <v>8.2427250250989982E-4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0.63477613745665273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1.6347761374566527</v>
      </c>
      <c r="AJ15" s="264" t="b">
        <f t="shared" ref="AJ15:AJ78" si="18">t&lt;Tnet</f>
        <v>0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10">
        <f>'2024'!Wh/'2024'!Env_an*'2025'!Env_an</f>
        <v>16.878452655174087</v>
      </c>
      <c r="C16" s="843"/>
      <c r="D16" s="392">
        <f t="shared" si="0"/>
        <v>17.770458800010346</v>
      </c>
      <c r="E16" s="384">
        <f t="shared" si="1"/>
        <v>18.266767600307027</v>
      </c>
      <c r="F16" s="384">
        <f t="shared" si="2"/>
        <v>18.275365972410555</v>
      </c>
      <c r="G16" s="110">
        <f t="shared" ref="G16:G79" si="21">+Wh_hp/MaxiM</f>
        <v>0.69777411439750547</v>
      </c>
      <c r="H16" s="413" t="b">
        <f>Wh_hp&gt;='2024'!Maxi_hp</f>
        <v>0</v>
      </c>
      <c r="I16" s="389">
        <f>IF(H16,Wh_hp,'2024'!Maxi_hp)</f>
        <v>25.015272489823854</v>
      </c>
      <c r="J16" s="85">
        <f>IF(H16,An,'2024'!An_max)</f>
        <v>2020</v>
      </c>
      <c r="K16" s="196">
        <f t="shared" si="3"/>
        <v>45659</v>
      </c>
      <c r="L16" s="147">
        <f>IF(t&lt;Tvie,1-EXP((T0-t)*PertePVj)+'2024'!Pspv,1-EXP((T0-t)*PertePVj)+Pspv)</f>
        <v>5.0196010968255857E-2</v>
      </c>
      <c r="M16" s="847"/>
      <c r="N16" s="847"/>
      <c r="O16" s="48">
        <f>IF(t&lt;Tnet,'2024'!Resal+('2024'!Salim-'2024'!Resal)*(1-EXP(('2024'!Tnet-t)/('2024'!Tau_j))),Resal+(Salim-Resal)*(1-EXP((Tnet-t)/(Tau_j))))*Salcycl</f>
        <v>2.7170039667463688E-2</v>
      </c>
      <c r="P16" s="168">
        <f>(INDEX(Models!$BJ16:$BT16,,T16)*(1-R16)+INDEX(Models!$BJ16:$BT16,,T16+1)*R16-ERP_i)*Q16*Ramure*Pc/MaxiM</f>
        <v>8.274458704746932E-4</v>
      </c>
      <c r="Q16" s="304">
        <f t="shared" si="4"/>
        <v>0.5</v>
      </c>
      <c r="R16" s="176">
        <f t="shared" si="5"/>
        <v>0.63479366622504929</v>
      </c>
      <c r="S16" s="814">
        <f t="shared" si="6"/>
        <v>1</v>
      </c>
      <c r="T16" s="175">
        <f t="shared" si="7"/>
        <v>7</v>
      </c>
      <c r="U16" s="250">
        <f t="shared" si="8"/>
        <v>1.6347936662250493</v>
      </c>
      <c r="V16" s="382">
        <f t="shared" si="9"/>
        <v>24.180353790491232</v>
      </c>
      <c r="W16" s="401">
        <f t="shared" si="10"/>
        <v>16.878452655174087</v>
      </c>
      <c r="X16" s="157">
        <f t="shared" si="11"/>
        <v>45659</v>
      </c>
      <c r="Y16" s="384">
        <f t="shared" si="12"/>
        <v>15.98277840447801</v>
      </c>
      <c r="Z16" s="384">
        <f t="shared" ref="Z16:Z78" si="22">Wh_sa_s*(1-Psa_s)</f>
        <v>16.827449230626296</v>
      </c>
      <c r="AA16" s="385">
        <f t="shared" si="13"/>
        <v>18.266767600307027</v>
      </c>
      <c r="AB16" s="196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7.8794365876562578E-2</v>
      </c>
      <c r="AD16" s="230">
        <f>(INDEX(Models!$BJ16:$BT16,,AH16)*(1-AF16)+INDEX(Models!$BJ16:$BT16,,AH16+1)*AF16-ERP_i)*AE16*Ramure*Pc/MaxiM</f>
        <v>8.274458704746932E-4</v>
      </c>
      <c r="AE16" s="304">
        <f t="shared" si="15"/>
        <v>0.5</v>
      </c>
      <c r="AF16" s="176">
        <f t="shared" ref="AF16:AF78" si="23">(Hp_vg_s-AG16)/(INDEX(Echel_vg,AH16+1)-AG16)</f>
        <v>0.63479366622504929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1.6347936662250493</v>
      </c>
      <c r="AJ16" s="264" t="b">
        <f t="shared" si="18"/>
        <v>0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10">
        <f>'2024'!Wh/'2024'!Env_an*'2025'!Env_an</f>
        <v>18.105527139070837</v>
      </c>
      <c r="C17" s="843"/>
      <c r="D17" s="392">
        <f t="shared" si="0"/>
        <v>19.062799707427235</v>
      </c>
      <c r="E17" s="384">
        <f t="shared" si="1"/>
        <v>19.596727662791089</v>
      </c>
      <c r="F17" s="384">
        <f t="shared" si="2"/>
        <v>19.60707188013879</v>
      </c>
      <c r="G17" s="110">
        <f t="shared" si="21"/>
        <v>0.74374556034619144</v>
      </c>
      <c r="H17" s="413" t="b">
        <f>Wh_hp&gt;='2024'!Maxi_hp</f>
        <v>0</v>
      </c>
      <c r="I17" s="389">
        <f>IF(H17,Wh_hp,'2024'!Maxi_hp)</f>
        <v>27.472426453662738</v>
      </c>
      <c r="J17" s="85">
        <f>IF(H17,An,'2024'!An_max)</f>
        <v>2019</v>
      </c>
      <c r="K17" s="196">
        <f t="shared" si="3"/>
        <v>45660</v>
      </c>
      <c r="L17" s="147">
        <f>IF(t&lt;Tvie,1-EXP((T0-t)*PertePVj)+'2024'!Pspv,1-EXP((T0-t)*PertePVj)+Pspv)</f>
        <v>5.0216787830143585E-2</v>
      </c>
      <c r="M17" s="847"/>
      <c r="N17" s="847"/>
      <c r="O17" s="48">
        <f>IF(t&lt;Tnet,'2024'!Resal+('2024'!Salim-'2024'!Resal)*(1-EXP(('2024'!Tnet-t)/('2024'!Tau_j))),Resal+(Salim-Resal)*(1-EXP((Tnet-t)/(Tau_j))))*Salcycl</f>
        <v>2.7245771056850412E-2</v>
      </c>
      <c r="P17" s="168">
        <f>(INDEX(Models!$BJ17:$BT17,,T17)*(1-R17)+INDEX(Models!$BJ17:$BT17,,T17+1)*R17-ERP_i)*Q17*Ramure*Pc/MaxiM</f>
        <v>8.3181611414357901E-4</v>
      </c>
      <c r="Q17" s="304">
        <f t="shared" si="4"/>
        <v>0.5</v>
      </c>
      <c r="R17" s="176">
        <f t="shared" si="5"/>
        <v>0.634811928182343</v>
      </c>
      <c r="S17" s="814">
        <f t="shared" si="6"/>
        <v>1</v>
      </c>
      <c r="T17" s="175">
        <f t="shared" si="7"/>
        <v>7</v>
      </c>
      <c r="U17" s="250">
        <f t="shared" si="8"/>
        <v>1.634811928182343</v>
      </c>
      <c r="V17" s="382">
        <f t="shared" si="9"/>
        <v>24.336300968832049</v>
      </c>
      <c r="W17" s="401">
        <f t="shared" si="10"/>
        <v>18.105527139070837</v>
      </c>
      <c r="X17" s="157">
        <f t="shared" si="11"/>
        <v>45660</v>
      </c>
      <c r="Y17" s="384">
        <f t="shared" si="12"/>
        <v>17.145710177200311</v>
      </c>
      <c r="Z17" s="384">
        <f t="shared" si="22"/>
        <v>18.052235454898756</v>
      </c>
      <c r="AA17" s="385">
        <f t="shared" si="13"/>
        <v>19.596727662791089</v>
      </c>
      <c r="AB17" s="196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7.8813781283744944E-2</v>
      </c>
      <c r="AD17" s="230">
        <f>(INDEX(Models!$BJ17:$BT17,,AH17)*(1-AF17)+INDEX(Models!$BJ17:$BT17,,AH17+1)*AF17-ERP_i)*AE17*Ramure*Pc/MaxiM</f>
        <v>8.3181611414357901E-4</v>
      </c>
      <c r="AE17" s="304">
        <f t="shared" si="15"/>
        <v>0.5</v>
      </c>
      <c r="AF17" s="176">
        <f>(Hp_vg_s-AG17)/(INDEX(Echel_vg,AH17+1)-AG17)</f>
        <v>0.634811928182343</v>
      </c>
      <c r="AG17" s="814">
        <f>INDEX(Echel_vg,AH17)</f>
        <v>1</v>
      </c>
      <c r="AH17" s="175">
        <f t="shared" si="16"/>
        <v>7</v>
      </c>
      <c r="AI17" s="224">
        <f t="shared" si="17"/>
        <v>1.634811928182343</v>
      </c>
      <c r="AJ17" s="264" t="b">
        <f t="shared" si="18"/>
        <v>0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10">
        <f>'2024'!Wh/'2024'!Env_an*'2025'!Env_an</f>
        <v>19.509556401652176</v>
      </c>
      <c r="C18" s="843"/>
      <c r="D18" s="392">
        <f t="shared" si="0"/>
        <v>20.541511926588548</v>
      </c>
      <c r="E18" s="384">
        <f t="shared" si="1"/>
        <v>21.118500421264898</v>
      </c>
      <c r="F18" s="384">
        <f t="shared" si="2"/>
        <v>21.131045249464609</v>
      </c>
      <c r="G18" s="110">
        <f t="shared" si="21"/>
        <v>0.79608309071534389</v>
      </c>
      <c r="H18" s="413" t="b">
        <f>Wh_hp&gt;='2024'!Maxi_hp</f>
        <v>0</v>
      </c>
      <c r="I18" s="389">
        <f>IF(H18,Wh_hp,'2024'!Maxi_hp)</f>
        <v>24.427777295299801</v>
      </c>
      <c r="J18" s="85">
        <f>IF(H18,An,'2024'!An_max)</f>
        <v>2019</v>
      </c>
      <c r="K18" s="196">
        <f t="shared" si="3"/>
        <v>45661</v>
      </c>
      <c r="L18" s="147">
        <f>IF(t&lt;Tvie,1-EXP((T0-t)*PertePVj)+'2024'!Pspv,1-EXP((T0-t)*PertePVj)+Pspv)</f>
        <v>5.0237564236964773E-2</v>
      </c>
      <c r="M18" s="847"/>
      <c r="N18" s="847"/>
      <c r="O18" s="48">
        <f>IF(t&lt;Tnet,'2024'!Resal+('2024'!Salim-'2024'!Resal)*(1-EXP(('2024'!Tnet-t)/('2024'!Tau_j))),Resal+(Salim-Resal)*(1-EXP((Tnet-t)/(Tau_j))))*Salcycl</f>
        <v>2.7321470898348413E-2</v>
      </c>
      <c r="P18" s="168">
        <f>(INDEX(Models!$BJ18:$BT18,,T18)*(1-R18)+INDEX(Models!$BJ18:$BT18,,T18+1)*R18-ERP_i)*Q18*Ramure*Pc/MaxiM</f>
        <v>8.3737000863608158E-4</v>
      </c>
      <c r="Q18" s="304">
        <f t="shared" si="4"/>
        <v>0.5</v>
      </c>
      <c r="R18" s="176">
        <f t="shared" si="5"/>
        <v>0.6348309539011201</v>
      </c>
      <c r="S18" s="814">
        <f t="shared" si="6"/>
        <v>1</v>
      </c>
      <c r="T18" s="175">
        <f t="shared" si="7"/>
        <v>7</v>
      </c>
      <c r="U18" s="250">
        <f t="shared" si="8"/>
        <v>1.6348309539011201</v>
      </c>
      <c r="V18" s="382">
        <f t="shared" si="9"/>
        <v>24.50095886897105</v>
      </c>
      <c r="W18" s="401">
        <f t="shared" si="10"/>
        <v>19.509556401652176</v>
      </c>
      <c r="X18" s="157">
        <f t="shared" si="11"/>
        <v>45661</v>
      </c>
      <c r="Y18" s="384">
        <f t="shared" si="12"/>
        <v>18.476354272351163</v>
      </c>
      <c r="Z18" s="384">
        <f>Wh_sa_s*(1-Psa_s)</f>
        <v>19.453658700985933</v>
      </c>
      <c r="AA18" s="385">
        <f t="shared" si="13"/>
        <v>21.118500421264898</v>
      </c>
      <c r="AB18" s="196">
        <f>t</f>
        <v>45661</v>
      </c>
      <c r="AC18" s="119">
        <f>IF(OR(t&lt;Tnet,NoTnet),'2024'!Resal_s+('2024'!Salim-'2024'!Resal_s)*(1-EXP(('2024'!Tnet_s-t)/'2024'!Tau_j)),Resal_s+(Salim-Resal_s)*(1-EXP((Tnet_s-t)/Tau_j)))*Salcycl</f>
        <v>7.8833330353445974E-2</v>
      </c>
      <c r="AD18" s="230">
        <f>(INDEX(Models!$BJ18:$BT18,,AH18)*(1-AF18)+INDEX(Models!$BJ18:$BT18,,AH18+1)*AF18-ERP_i)*AE18*Ramure*Pc/MaxiM</f>
        <v>8.3737000863608158E-4</v>
      </c>
      <c r="AE18" s="304">
        <f t="shared" si="15"/>
        <v>0.5</v>
      </c>
      <c r="AF18" s="176">
        <f t="shared" si="23"/>
        <v>0.6348309539011201</v>
      </c>
      <c r="AG18" s="814">
        <f t="shared" si="24"/>
        <v>1</v>
      </c>
      <c r="AH18" s="175">
        <f t="shared" si="16"/>
        <v>7</v>
      </c>
      <c r="AI18" s="224">
        <f t="shared" si="17"/>
        <v>1.6348309539011201</v>
      </c>
      <c r="AJ18" s="264" t="b">
        <f t="shared" si="18"/>
        <v>0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10">
        <f>'2024'!Wh/'2024'!Env_an*'2025'!Env_an</f>
        <v>14.262877020448563</v>
      </c>
      <c r="C19" s="843"/>
      <c r="D19" s="392">
        <f t="shared" si="0"/>
        <v>15.017638610569986</v>
      </c>
      <c r="E19" s="384">
        <f t="shared" si="1"/>
        <v>15.440668682046892</v>
      </c>
      <c r="F19" s="384">
        <f t="shared" si="2"/>
        <v>15.44584760592682</v>
      </c>
      <c r="G19" s="110">
        <f t="shared" si="21"/>
        <v>0.57776387919410221</v>
      </c>
      <c r="H19" s="413" t="b">
        <f>Wh_hp&gt;='2024'!Maxi_hp</f>
        <v>0</v>
      </c>
      <c r="I19" s="389">
        <f>IF(H19,Wh_hp,'2024'!Maxi_hp)</f>
        <v>27.076162439381022</v>
      </c>
      <c r="J19" s="85">
        <f>IF(H19,An,'2024'!An_max)</f>
        <v>2019</v>
      </c>
      <c r="K19" s="196">
        <f t="shared" si="3"/>
        <v>45662</v>
      </c>
      <c r="L19" s="147">
        <f>IF(t&lt;Tvie,1-EXP((T0-t)*PertePVj)+'2024'!Pspv,1-EXP((T0-t)*PertePVj)+Pspv)</f>
        <v>5.0258340188729302E-2</v>
      </c>
      <c r="M19" s="847"/>
      <c r="N19" s="847"/>
      <c r="O19" s="48">
        <f>IF(t&lt;Tnet,'2024'!Resal+('2024'!Salim-'2024'!Resal)*(1-EXP(('2024'!Tnet-t)/('2024'!Tau_j))),Resal+(Salim-Resal)*(1-EXP((Tnet-t)/(Tau_j))))*Salcycl</f>
        <v>2.7397134164841578E-2</v>
      </c>
      <c r="P19" s="168">
        <f>(INDEX(Models!$BJ19:$BT19,,T19)*(1-R19)+INDEX(Models!$BJ19:$BT19,,T19+1)*R19-ERP_i)*Q19*Ramure*Pc/MaxiM</f>
        <v>8.4409297009175504E-4</v>
      </c>
      <c r="Q19" s="304">
        <f t="shared" si="4"/>
        <v>0.5</v>
      </c>
      <c r="R19" s="176">
        <f t="shared" si="5"/>
        <v>0.63485077522065714</v>
      </c>
      <c r="S19" s="814">
        <f t="shared" si="6"/>
        <v>1</v>
      </c>
      <c r="T19" s="175">
        <f t="shared" si="7"/>
        <v>7</v>
      </c>
      <c r="U19" s="250">
        <f t="shared" si="8"/>
        <v>1.6348507752206571</v>
      </c>
      <c r="V19" s="382">
        <f t="shared" si="9"/>
        <v>24.673777964785618</v>
      </c>
      <c r="W19" s="401">
        <f t="shared" si="10"/>
        <v>14.262877020448563</v>
      </c>
      <c r="X19" s="157">
        <f t="shared" si="11"/>
        <v>45662</v>
      </c>
      <c r="Y19" s="384">
        <f t="shared" si="12"/>
        <v>13.508294989207146</v>
      </c>
      <c r="Z19" s="384">
        <f t="shared" si="22"/>
        <v>14.223125678083308</v>
      </c>
      <c r="AA19" s="385">
        <f t="shared" si="13"/>
        <v>15.440668682046892</v>
      </c>
      <c r="AB19" s="196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7.8852997174872333E-2</v>
      </c>
      <c r="AD19" s="230">
        <f>(INDEX(Models!$BJ19:$BT19,,AH19)*(1-AF19)+INDEX(Models!$BJ19:$BT19,,AH19+1)*AF19-ERP_i)*AE19*Ramure*Pc/MaxiM</f>
        <v>8.4409297009175504E-4</v>
      </c>
      <c r="AE19" s="304">
        <f t="shared" si="15"/>
        <v>0.5</v>
      </c>
      <c r="AF19" s="176">
        <f t="shared" si="23"/>
        <v>0.63485077522065714</v>
      </c>
      <c r="AG19" s="814">
        <f t="shared" si="24"/>
        <v>1</v>
      </c>
      <c r="AH19" s="175">
        <f t="shared" si="16"/>
        <v>7</v>
      </c>
      <c r="AI19" s="224">
        <f t="shared" si="17"/>
        <v>1.6348507752206571</v>
      </c>
      <c r="AJ19" s="264" t="b">
        <f t="shared" si="18"/>
        <v>0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10">
        <f>'2024'!Wh/'2024'!Env_an*'2025'!Env_an</f>
        <v>25.805556070061712</v>
      </c>
      <c r="C20" s="843"/>
      <c r="D20" s="392">
        <f t="shared" si="0"/>
        <v>27.1717264474883</v>
      </c>
      <c r="E20" s="384">
        <f t="shared" si="1"/>
        <v>27.939295923071576</v>
      </c>
      <c r="F20" s="384">
        <f t="shared" si="2"/>
        <v>27.96311964376342</v>
      </c>
      <c r="G20" s="110">
        <f t="shared" si="21"/>
        <v>1.0382771042356747</v>
      </c>
      <c r="H20" s="413" t="b">
        <f>Wh_hp&gt;='2024'!Maxi_hp</f>
        <v>1</v>
      </c>
      <c r="I20" s="389">
        <f>IF(H20,Wh_hp,'2024'!Maxi_hp)</f>
        <v>27.96311964376342</v>
      </c>
      <c r="J20" s="85">
        <f>IF(H20,An,'2024'!An_max)</f>
        <v>2025</v>
      </c>
      <c r="K20" s="196">
        <f t="shared" si="3"/>
        <v>45663</v>
      </c>
      <c r="L20" s="147">
        <f>IF(t&lt;Tvie,1-EXP((T0-t)*PertePVj)+'2024'!Pspv,1-EXP((T0-t)*PertePVj)+Pspv)</f>
        <v>5.0279115685447164E-2</v>
      </c>
      <c r="M20" s="847"/>
      <c r="N20" s="847"/>
      <c r="O20" s="48">
        <f>IF(t&lt;Tnet,'2024'!Resal+('2024'!Salim-'2024'!Resal)*(1-EXP(('2024'!Tnet-t)/('2024'!Tau_j))),Resal+(Salim-Resal)*(1-EXP((Tnet-t)/(Tau_j))))*Salcycl</f>
        <v>2.7472756568265425E-2</v>
      </c>
      <c r="P20" s="168">
        <f>(INDEX(Models!$BJ20:$BT20,,T20)*(1-R20)+INDEX(Models!$BJ20:$BT20,,T20+1)*R20-ERP_i)*Q20*Ramure*Pc/MaxiM</f>
        <v>8.5196934374092825E-4</v>
      </c>
      <c r="Q20" s="304">
        <f t="shared" si="4"/>
        <v>0.5</v>
      </c>
      <c r="R20" s="176">
        <f t="shared" si="5"/>
        <v>0.63487142529870755</v>
      </c>
      <c r="S20" s="814">
        <f t="shared" si="6"/>
        <v>1</v>
      </c>
      <c r="T20" s="175">
        <f t="shared" si="7"/>
        <v>7</v>
      </c>
      <c r="U20" s="250">
        <f t="shared" si="8"/>
        <v>1.6348714252987075</v>
      </c>
      <c r="V20" s="382">
        <f t="shared" si="9"/>
        <v>24.854208924368422</v>
      </c>
      <c r="W20" s="401">
        <f t="shared" si="10"/>
        <v>25.805556070061712</v>
      </c>
      <c r="X20" s="157">
        <f t="shared" si="11"/>
        <v>45663</v>
      </c>
      <c r="Y20" s="384">
        <f t="shared" si="12"/>
        <v>24.441680775947543</v>
      </c>
      <c r="Z20" s="384">
        <f t="shared" si="22"/>
        <v>25.735646314219959</v>
      </c>
      <c r="AA20" s="385">
        <f t="shared" si="13"/>
        <v>27.939295923071576</v>
      </c>
      <c r="AB20" s="196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7.8872768122689077E-2</v>
      </c>
      <c r="AD20" s="230">
        <f>(INDEX(Models!$BJ20:$BT20,,AH20)*(1-AF20)+INDEX(Models!$BJ20:$BT20,,AH20+1)*AF20-ERP_i)*AE20*Ramure*Pc/MaxiM</f>
        <v>8.5196934374092825E-4</v>
      </c>
      <c r="AE20" s="304">
        <f t="shared" si="15"/>
        <v>0.5</v>
      </c>
      <c r="AF20" s="176">
        <f t="shared" si="23"/>
        <v>0.63487142529870755</v>
      </c>
      <c r="AG20" s="814">
        <f t="shared" si="24"/>
        <v>1</v>
      </c>
      <c r="AH20" s="175">
        <f t="shared" si="16"/>
        <v>7</v>
      </c>
      <c r="AI20" s="224">
        <f t="shared" si="17"/>
        <v>1.6348714252987075</v>
      </c>
      <c r="AJ20" s="264" t="b">
        <f t="shared" si="18"/>
        <v>0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10">
        <f>'2024'!Wh/'2024'!Env_an*'2025'!Env_an</f>
        <v>9.7860428441125098</v>
      </c>
      <c r="C21" s="843"/>
      <c r="D21" s="392">
        <f t="shared" si="0"/>
        <v>10.304350550833458</v>
      </c>
      <c r="E21" s="384">
        <f t="shared" si="1"/>
        <v>10.596259862372843</v>
      </c>
      <c r="F21" s="384">
        <f t="shared" si="2"/>
        <v>10.597443270932056</v>
      </c>
      <c r="G21" s="110">
        <f t="shared" si="21"/>
        <v>0.39049697862287303</v>
      </c>
      <c r="H21" s="413" t="b">
        <f>Wh_hp&gt;='2024'!Maxi_hp</f>
        <v>0</v>
      </c>
      <c r="I21" s="389">
        <f>IF(H21,Wh_hp,'2024'!Maxi_hp)</f>
        <v>14.031962129731935</v>
      </c>
      <c r="J21" s="85">
        <f>IF(H21,An,'2024'!An_max)</f>
        <v>2021</v>
      </c>
      <c r="K21" s="196">
        <f t="shared" si="3"/>
        <v>45664</v>
      </c>
      <c r="L21" s="147">
        <f>IF(t&lt;Tvie,1-EXP((T0-t)*PertePVj)+'2024'!Pspv,1-EXP((T0-t)*PertePVj)+Pspv)</f>
        <v>5.029989072712835E-2</v>
      </c>
      <c r="M21" s="847"/>
      <c r="N21" s="847"/>
      <c r="O21" s="48">
        <f>IF(t&lt;Tnet,'2024'!Resal+('2024'!Salim-'2024'!Resal)*(1-EXP(('2024'!Tnet-t)/('2024'!Tau_j))),Resal+(Salim-Resal)*(1-EXP((Tnet-t)/(Tau_j))))*Salcycl</f>
        <v>2.7548334537920362E-2</v>
      </c>
      <c r="P21" s="168">
        <f>(INDEX(Models!$BJ21:$BT21,,T21)*(1-R21)+INDEX(Models!$BJ21:$BT21,,T21+1)*R21-ERP_i)*Q21*Ramure*Pc/MaxiM</f>
        <v>8.6098268374156504E-4</v>
      </c>
      <c r="Q21" s="304">
        <f t="shared" si="4"/>
        <v>0.5</v>
      </c>
      <c r="R21" s="176">
        <f t="shared" si="5"/>
        <v>0.63489293866534546</v>
      </c>
      <c r="S21" s="814">
        <f t="shared" si="6"/>
        <v>1</v>
      </c>
      <c r="T21" s="175">
        <f t="shared" si="7"/>
        <v>7</v>
      </c>
      <c r="U21" s="250">
        <f t="shared" si="8"/>
        <v>1.6348929386653455</v>
      </c>
      <c r="V21" s="382">
        <f t="shared" si="9"/>
        <v>25.041702617793689</v>
      </c>
      <c r="W21" s="401">
        <f t="shared" si="10"/>
        <v>9.7860428441125098</v>
      </c>
      <c r="X21" s="157">
        <f t="shared" si="11"/>
        <v>45664</v>
      </c>
      <c r="Y21" s="384">
        <f t="shared" si="12"/>
        <v>9.2693513618331522</v>
      </c>
      <c r="Z21" s="384">
        <f t="shared" si="22"/>
        <v>9.7602930349562005</v>
      </c>
      <c r="AA21" s="385">
        <f t="shared" si="13"/>
        <v>10.596259862372843</v>
      </c>
      <c r="AB21" s="196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7.8892631765775031E-2</v>
      </c>
      <c r="AD21" s="230">
        <f>(INDEX(Models!$BJ21:$BT21,,AH21)*(1-AF21)+INDEX(Models!$BJ21:$BT21,,AH21+1)*AF21-ERP_i)*AE21*Ramure*Pc/MaxiM</f>
        <v>8.6098268374156504E-4</v>
      </c>
      <c r="AE21" s="304">
        <f t="shared" si="15"/>
        <v>0.5</v>
      </c>
      <c r="AF21" s="176">
        <f t="shared" si="23"/>
        <v>0.63489293866534546</v>
      </c>
      <c r="AG21" s="814">
        <f t="shared" si="24"/>
        <v>1</v>
      </c>
      <c r="AH21" s="175">
        <f t="shared" si="16"/>
        <v>7</v>
      </c>
      <c r="AI21" s="224">
        <f t="shared" si="17"/>
        <v>1.6348929386653455</v>
      </c>
      <c r="AJ21" s="264" t="b">
        <f t="shared" si="18"/>
        <v>0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10">
        <f>'2024'!Wh/'2024'!Env_an*'2025'!Env_an</f>
        <v>6.6706284989806575</v>
      </c>
      <c r="C22" s="843"/>
      <c r="D22" s="392">
        <f t="shared" si="0"/>
        <v>7.0240851362578027</v>
      </c>
      <c r="E22" s="384">
        <f t="shared" si="1"/>
        <v>7.2236297095562145</v>
      </c>
      <c r="F22" s="384">
        <f t="shared" si="2"/>
        <v>7.2236297095562145</v>
      </c>
      <c r="G22" s="110">
        <f t="shared" si="21"/>
        <v>0.26410263783813037</v>
      </c>
      <c r="H22" s="413" t="b">
        <f>Wh_hp&gt;='2024'!Maxi_hp</f>
        <v>0</v>
      </c>
      <c r="I22" s="389">
        <f>IF(H22,Wh_hp,'2024'!Maxi_hp)</f>
        <v>20.064125599545072</v>
      </c>
      <c r="J22" s="85">
        <f>IF(H22,An,'2024'!An_max)</f>
        <v>2021</v>
      </c>
      <c r="K22" s="196">
        <f t="shared" si="3"/>
        <v>45665</v>
      </c>
      <c r="L22" s="147">
        <f>IF(t&lt;Tvie,1-EXP((T0-t)*PertePVj)+'2024'!Pspv,1-EXP((T0-t)*PertePVj)+Pspv)</f>
        <v>5.0320665313782743E-2</v>
      </c>
      <c r="M22" s="847"/>
      <c r="N22" s="847"/>
      <c r="O22" s="48">
        <f>IF(t&lt;Tnet,'2024'!Resal+('2024'!Salim-'2024'!Resal)*(1-EXP(('2024'!Tnet-t)/('2024'!Tau_j))),Resal+(Salim-Resal)*(1-EXP((Tnet-t)/(Tau_j))))*Salcycl</f>
        <v>2.762386519265126E-2</v>
      </c>
      <c r="P22" s="168">
        <f>(INDEX(Models!$BJ22:$BT22,,T22)*(1-R22)+INDEX(Models!$BJ22:$BT22,,T22+1)*R22-ERP_i)*Q22*Ramure*Pc/MaxiM</f>
        <v>8.7111602301379097E-4</v>
      </c>
      <c r="Q22" s="304">
        <f t="shared" si="4"/>
        <v>0.5</v>
      </c>
      <c r="R22" s="176">
        <f t="shared" si="5"/>
        <v>0.63491535127894383</v>
      </c>
      <c r="S22" s="814">
        <f t="shared" si="6"/>
        <v>1</v>
      </c>
      <c r="T22" s="175">
        <f t="shared" si="7"/>
        <v>7</v>
      </c>
      <c r="U22" s="250">
        <f t="shared" si="8"/>
        <v>1.6349153512789438</v>
      </c>
      <c r="V22" s="382">
        <f t="shared" si="9"/>
        <v>25.235710109402685</v>
      </c>
      <c r="W22" s="401">
        <f t="shared" si="10"/>
        <v>6.6706284989806575</v>
      </c>
      <c r="X22" s="157">
        <f t="shared" si="11"/>
        <v>45665</v>
      </c>
      <c r="Y22" s="384">
        <f t="shared" si="12"/>
        <v>6.3187811611540257</v>
      </c>
      <c r="Z22" s="384">
        <f t="shared" si="22"/>
        <v>6.6535944611681046</v>
      </c>
      <c r="AA22" s="385">
        <f t="shared" si="13"/>
        <v>7.2236297095562145</v>
      </c>
      <c r="AB22" s="196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7.8912578759955623E-2</v>
      </c>
      <c r="AD22" s="230">
        <f>(INDEX(Models!$BJ22:$BT22,,AH22)*(1-AF22)+INDEX(Models!$BJ22:$BT22,,AH22+1)*AF22-ERP_i)*AE22*Ramure*Pc/MaxiM</f>
        <v>8.7111602301379097E-4</v>
      </c>
      <c r="AE22" s="304">
        <f t="shared" si="15"/>
        <v>0.5</v>
      </c>
      <c r="AF22" s="176">
        <f t="shared" si="23"/>
        <v>0.63491535127894383</v>
      </c>
      <c r="AG22" s="814">
        <f t="shared" si="24"/>
        <v>1</v>
      </c>
      <c r="AH22" s="175">
        <f t="shared" si="16"/>
        <v>7</v>
      </c>
      <c r="AI22" s="224">
        <f t="shared" si="17"/>
        <v>1.6349153512789438</v>
      </c>
      <c r="AJ22" s="264" t="b">
        <f t="shared" si="18"/>
        <v>0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10">
        <f>'2024'!Wh/'2024'!Env_an*'2025'!Env_an</f>
        <v>1.8509374241898313</v>
      </c>
      <c r="C23" s="843"/>
      <c r="D23" s="392">
        <f t="shared" si="0"/>
        <v>1.9490556933524876</v>
      </c>
      <c r="E23" s="384">
        <f t="shared" si="1"/>
        <v>2.0045812845546118</v>
      </c>
      <c r="F23" s="384">
        <f t="shared" si="2"/>
        <v>2.0045812845546118</v>
      </c>
      <c r="G23" s="110">
        <f t="shared" si="21"/>
        <v>7.2694888121185047E-2</v>
      </c>
      <c r="H23" s="413" t="b">
        <f>Wh_hp&gt;='2024'!Maxi_hp</f>
        <v>0</v>
      </c>
      <c r="I23" s="389">
        <f>IF(H23,Wh_hp,'2024'!Maxi_hp)</f>
        <v>26.291265960705861</v>
      </c>
      <c r="J23" s="85">
        <f>IF(H23,An,'2024'!An_max)</f>
        <v>2020</v>
      </c>
      <c r="K23" s="196">
        <f t="shared" si="3"/>
        <v>45666</v>
      </c>
      <c r="L23" s="147">
        <f>IF(t&lt;Tvie,1-EXP((T0-t)*PertePVj)+'2024'!Pspv,1-EXP((T0-t)*PertePVj)+Pspv)</f>
        <v>5.0341439445420445E-2</v>
      </c>
      <c r="M23" s="847"/>
      <c r="N23" s="847"/>
      <c r="O23" s="48">
        <f>IF(t&lt;Tnet,'2024'!Resal+('2024'!Salim-'2024'!Resal)*(1-EXP(('2024'!Tnet-t)/('2024'!Tau_j))),Resal+(Salim-Resal)*(1-EXP((Tnet-t)/(Tau_j))))*Salcycl</f>
        <v>2.7699346307356678E-2</v>
      </c>
      <c r="P23" s="168">
        <f>(INDEX(Models!$BJ23:$BT23,,T23)*(1-R23)+INDEX(Models!$BJ23:$BT23,,T23+1)*R23-ERP_i)*Q23*Ramure*Pc/MaxiM</f>
        <v>8.8222801015521758E-4</v>
      </c>
      <c r="Q23" s="304">
        <f t="shared" si="4"/>
        <v>0.5</v>
      </c>
      <c r="R23" s="176">
        <f t="shared" si="5"/>
        <v>0.63493870058436475</v>
      </c>
      <c r="S23" s="814">
        <f t="shared" si="6"/>
        <v>1</v>
      </c>
      <c r="T23" s="175">
        <f t="shared" si="7"/>
        <v>7</v>
      </c>
      <c r="U23" s="250">
        <f t="shared" si="8"/>
        <v>1.6349387005843647</v>
      </c>
      <c r="V23" s="382">
        <f t="shared" si="9"/>
        <v>25.439264343681337</v>
      </c>
      <c r="W23" s="401">
        <f t="shared" si="10"/>
        <v>1.8509374241898313</v>
      </c>
      <c r="X23" s="157">
        <f t="shared" si="11"/>
        <v>45666</v>
      </c>
      <c r="Y23" s="384">
        <f t="shared" si="12"/>
        <v>1.7534063267274811</v>
      </c>
      <c r="Z23" s="384">
        <f t="shared" si="22"/>
        <v>1.8463544683928619</v>
      </c>
      <c r="AA23" s="385">
        <f t="shared" si="13"/>
        <v>2.0045812845546118</v>
      </c>
      <c r="AB23" s="196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7.893260172630287E-2</v>
      </c>
      <c r="AD23" s="230">
        <f>(INDEX(Models!$BJ23:$BT23,,AH23)*(1-AF23)+INDEX(Models!$BJ23:$BT23,,AH23+1)*AF23-ERP_i)*AE23*Ramure*Pc/MaxiM</f>
        <v>8.8222801015521758E-4</v>
      </c>
      <c r="AE23" s="304">
        <f t="shared" si="15"/>
        <v>0.5</v>
      </c>
      <c r="AF23" s="176">
        <f t="shared" si="23"/>
        <v>0.63493870058436475</v>
      </c>
      <c r="AG23" s="814">
        <f t="shared" si="24"/>
        <v>1</v>
      </c>
      <c r="AH23" s="175">
        <f t="shared" si="16"/>
        <v>7</v>
      </c>
      <c r="AI23" s="224">
        <f t="shared" si="17"/>
        <v>1.6349387005843647</v>
      </c>
      <c r="AJ23" s="264" t="b">
        <f t="shared" si="18"/>
        <v>0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10">
        <f>'2024'!Wh/'2024'!Env_an*'2025'!Env_an</f>
        <v>1.4854448824266173</v>
      </c>
      <c r="C24" s="843"/>
      <c r="D24" s="392">
        <f t="shared" si="0"/>
        <v>1.5642225940800025</v>
      </c>
      <c r="E24" s="384">
        <f t="shared" si="1"/>
        <v>1.6089097010729143</v>
      </c>
      <c r="F24" s="384">
        <f t="shared" si="2"/>
        <v>1.6089097010729143</v>
      </c>
      <c r="G24" s="110">
        <f t="shared" si="21"/>
        <v>5.7848776081465554E-2</v>
      </c>
      <c r="H24" s="413" t="b">
        <f>Wh_hp&gt;='2024'!Maxi_hp</f>
        <v>0</v>
      </c>
      <c r="I24" s="389">
        <f>IF(H24,Wh_hp,'2024'!Maxi_hp)</f>
        <v>14.840705904124258</v>
      </c>
      <c r="J24" s="85">
        <f>IF(H24,An,'2024'!An_max)</f>
        <v>2019</v>
      </c>
      <c r="K24" s="196">
        <f t="shared" si="3"/>
        <v>45667</v>
      </c>
      <c r="L24" s="147">
        <f>IF(t&lt;Tvie,1-EXP((T0-t)*PertePVj)+'2024'!Pspv,1-EXP((T0-t)*PertePVj)+Pspv)</f>
        <v>5.0362213122051337E-2</v>
      </c>
      <c r="M24" s="847"/>
      <c r="N24" s="847"/>
      <c r="O24" s="48">
        <f>IF(t&lt;Tnet,'2024'!Resal+('2024'!Salim-'2024'!Resal)*(1-EXP(('2024'!Tnet-t)/('2024'!Tau_j))),Resal+(Salim-Resal)*(1-EXP((Tnet-t)/(Tau_j))))*Salcycl</f>
        <v>2.7774776274337699E-2</v>
      </c>
      <c r="P24" s="168">
        <f>(INDEX(Models!$BJ24:$BT24,,T24)*(1-R24)+INDEX(Models!$BJ24:$BT24,,T24+1)*R24-ERP_i)*Q24*Ramure*Pc/MaxiM</f>
        <v>8.9431561917414806E-4</v>
      </c>
      <c r="Q24" s="304">
        <f t="shared" si="4"/>
        <v>0.5</v>
      </c>
      <c r="R24" s="176">
        <f t="shared" si="5"/>
        <v>0.63496302557344664</v>
      </c>
      <c r="S24" s="814">
        <f t="shared" si="6"/>
        <v>1</v>
      </c>
      <c r="T24" s="175">
        <f t="shared" si="7"/>
        <v>7</v>
      </c>
      <c r="U24" s="250">
        <f t="shared" si="8"/>
        <v>1.6349630255734466</v>
      </c>
      <c r="V24" s="382">
        <f t="shared" si="9"/>
        <v>25.655105023774986</v>
      </c>
      <c r="W24" s="401">
        <f t="shared" si="10"/>
        <v>1.4854448824266173</v>
      </c>
      <c r="X24" s="157">
        <f t="shared" si="11"/>
        <v>45667</v>
      </c>
      <c r="Y24" s="384">
        <f t="shared" si="12"/>
        <v>1.4072510896896904</v>
      </c>
      <c r="Z24" s="384">
        <f t="shared" si="22"/>
        <v>1.4818819439738196</v>
      </c>
      <c r="AA24" s="385">
        <f t="shared" si="13"/>
        <v>1.6089097010729143</v>
      </c>
      <c r="AB24" s="196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7.8952695116690175E-2</v>
      </c>
      <c r="AD24" s="230">
        <f>(INDEX(Models!$BJ24:$BT24,,AH24)*(1-AF24)+INDEX(Models!$BJ24:$BT24,,AH24+1)*AF24-ERP_i)*AE24*Ramure*Pc/MaxiM</f>
        <v>8.9431561917414806E-4</v>
      </c>
      <c r="AE24" s="304">
        <f t="shared" si="15"/>
        <v>0.5</v>
      </c>
      <c r="AF24" s="176">
        <f t="shared" si="23"/>
        <v>0.63496302557344664</v>
      </c>
      <c r="AG24" s="814">
        <f t="shared" si="24"/>
        <v>1</v>
      </c>
      <c r="AH24" s="175">
        <f t="shared" si="16"/>
        <v>7</v>
      </c>
      <c r="AI24" s="224">
        <f t="shared" si="17"/>
        <v>1.6349630255734466</v>
      </c>
      <c r="AJ24" s="264" t="b">
        <f t="shared" si="18"/>
        <v>0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10">
        <f>'2024'!Wh/'2024'!Env_an*'2025'!Env_an</f>
        <v>26.53921198506691</v>
      </c>
      <c r="C25" s="843"/>
      <c r="D25" s="392">
        <f t="shared" si="0"/>
        <v>27.947279380434498</v>
      </c>
      <c r="E25" s="384">
        <f t="shared" si="1"/>
        <v>28.747913191728706</v>
      </c>
      <c r="F25" s="384">
        <f t="shared" si="2"/>
        <v>28.774012285280158</v>
      </c>
      <c r="G25" s="110">
        <f t="shared" si="21"/>
        <v>1.0253824281395252</v>
      </c>
      <c r="H25" s="413" t="b">
        <f>Wh_hp&gt;='2024'!Maxi_hp</f>
        <v>1</v>
      </c>
      <c r="I25" s="389">
        <f>IF(H25,Wh_hp,'2024'!Maxi_hp)</f>
        <v>28.774012285280158</v>
      </c>
      <c r="J25" s="85">
        <f>IF(H25,An,'2024'!An_max)</f>
        <v>2025</v>
      </c>
      <c r="K25" s="196">
        <f t="shared" si="3"/>
        <v>45668</v>
      </c>
      <c r="L25" s="147">
        <f>IF(t&lt;Tvie,1-EXP((T0-t)*PertePVj)+'2024'!Pspv,1-EXP((T0-t)*PertePVj)+Pspv)</f>
        <v>5.03829863436853E-2</v>
      </c>
      <c r="M25" s="847"/>
      <c r="N25" s="847"/>
      <c r="O25" s="48">
        <f>IF(t&lt;Tnet,'2024'!Resal+('2024'!Salim-'2024'!Resal)*(1-EXP(('2024'!Tnet-t)/('2024'!Tau_j))),Resal+(Salim-Resal)*(1-EXP((Tnet-t)/(Tau_j))))*Salcycl</f>
        <v>2.7850154060036728E-2</v>
      </c>
      <c r="P25" s="168">
        <f>(INDEX(Models!$BJ25:$BT25,,T25)*(1-R25)+INDEX(Models!$BJ25:$BT25,,T25+1)*R25-ERP_i)*Q25*Ramure*Pc/MaxiM</f>
        <v>9.0703699201536911E-4</v>
      </c>
      <c r="Q25" s="304">
        <f t="shared" si="4"/>
        <v>0.5</v>
      </c>
      <c r="R25" s="176">
        <f t="shared" si="5"/>
        <v>0.63498836684786619</v>
      </c>
      <c r="S25" s="814">
        <f t="shared" si="6"/>
        <v>1</v>
      </c>
      <c r="T25" s="175">
        <f t="shared" si="7"/>
        <v>7</v>
      </c>
      <c r="U25" s="250">
        <f t="shared" si="8"/>
        <v>1.6349883668478662</v>
      </c>
      <c r="V25" s="382">
        <f t="shared" si="9"/>
        <v>25.882257445371092</v>
      </c>
      <c r="W25" s="401">
        <f t="shared" si="10"/>
        <v>26.53921198506691</v>
      </c>
      <c r="X25" s="157">
        <f t="shared" si="11"/>
        <v>45668</v>
      </c>
      <c r="Y25" s="384">
        <f t="shared" si="12"/>
        <v>25.143587426799819</v>
      </c>
      <c r="Z25" s="384">
        <f t="shared" si="22"/>
        <v>26.477608409720197</v>
      </c>
      <c r="AA25" s="385">
        <f t="shared" si="13"/>
        <v>28.747913191728706</v>
      </c>
      <c r="AB25" s="196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7.8972855068371289E-2</v>
      </c>
      <c r="AD25" s="230">
        <f>(INDEX(Models!$BJ25:$BT25,,AH25)*(1-AF25)+INDEX(Models!$BJ25:$BT25,,AH25+1)*AF25-ERP_i)*AE25*Ramure*Pc/MaxiM</f>
        <v>9.0703699201536911E-4</v>
      </c>
      <c r="AE25" s="304">
        <f t="shared" si="15"/>
        <v>0.5</v>
      </c>
      <c r="AF25" s="176">
        <f t="shared" si="23"/>
        <v>0.63498836684786619</v>
      </c>
      <c r="AG25" s="814">
        <f t="shared" si="24"/>
        <v>1</v>
      </c>
      <c r="AH25" s="175">
        <f t="shared" si="16"/>
        <v>7</v>
      </c>
      <c r="AI25" s="224">
        <f t="shared" si="17"/>
        <v>1.6349883668478662</v>
      </c>
      <c r="AJ25" s="264" t="b">
        <f t="shared" si="18"/>
        <v>0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10">
        <f>'2024'!Wh/'2024'!Env_an*'2025'!Env_an</f>
        <v>24.30171812012011</v>
      </c>
      <c r="C26" s="843"/>
      <c r="D26" s="392">
        <f t="shared" si="0"/>
        <v>25.591632605192359</v>
      </c>
      <c r="E26" s="384">
        <f t="shared" si="1"/>
        <v>26.326821716321312</v>
      </c>
      <c r="F26" s="384">
        <f t="shared" si="2"/>
        <v>26.348661425022879</v>
      </c>
      <c r="G26" s="110">
        <f t="shared" si="21"/>
        <v>0.93031146063566128</v>
      </c>
      <c r="H26" s="413" t="b">
        <f>Wh_hp&gt;='2024'!Maxi_hp</f>
        <v>0</v>
      </c>
      <c r="I26" s="389">
        <f>IF(H26,Wh_hp,'2024'!Maxi_hp)</f>
        <v>28.636326712021056</v>
      </c>
      <c r="J26" s="85">
        <f>IF(H26,An,'2024'!An_max)</f>
        <v>2020</v>
      </c>
      <c r="K26" s="196">
        <f t="shared" si="3"/>
        <v>45669</v>
      </c>
      <c r="L26" s="147">
        <f>IF(t&lt;Tvie,1-EXP((T0-t)*PertePVj)+'2024'!Pspv,1-EXP((T0-t)*PertePVj)+Pspv)</f>
        <v>5.0403759110332548E-2</v>
      </c>
      <c r="M26" s="847"/>
      <c r="N26" s="847"/>
      <c r="O26" s="48">
        <f>IF(t&lt;Tnet,'2024'!Resal+('2024'!Salim-'2024'!Resal)*(1-EXP(('2024'!Tnet-t)/('2024'!Tau_j))),Resal+(Salim-Resal)*(1-EXP((Tnet-t)/(Tau_j))))*Salcycl</f>
        <v>2.7925479157750736E-2</v>
      </c>
      <c r="P26" s="168">
        <f>(INDEX(Models!$BJ26:$BT26,,T26)*(1-R26)+INDEX(Models!$BJ26:$BT26,,T26+1)*R26-ERP_i)*Q26*Ramure*Pc/MaxiM</f>
        <v>9.2039109486113295E-4</v>
      </c>
      <c r="Q26" s="304">
        <f t="shared" si="4"/>
        <v>0.5</v>
      </c>
      <c r="R26" s="176">
        <f t="shared" si="5"/>
        <v>0.63501476668446877</v>
      </c>
      <c r="S26" s="814">
        <f t="shared" si="6"/>
        <v>1</v>
      </c>
      <c r="T26" s="175">
        <f t="shared" si="7"/>
        <v>7</v>
      </c>
      <c r="U26" s="250">
        <f t="shared" si="8"/>
        <v>1.6350147666844688</v>
      </c>
      <c r="V26" s="382">
        <f t="shared" si="9"/>
        <v>26.119738678831471</v>
      </c>
      <c r="W26" s="401">
        <f t="shared" si="10"/>
        <v>24.30171812012011</v>
      </c>
      <c r="X26" s="157">
        <f t="shared" si="11"/>
        <v>45669</v>
      </c>
      <c r="Y26" s="384">
        <f t="shared" si="12"/>
        <v>23.02503573014932</v>
      </c>
      <c r="Z26" s="384">
        <f t="shared" si="22"/>
        <v>24.247185002098774</v>
      </c>
      <c r="AA26" s="385">
        <f t="shared" si="13"/>
        <v>26.326821716321312</v>
      </c>
      <c r="AB26" s="196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7.8993079249413012E-2</v>
      </c>
      <c r="AD26" s="230">
        <f>(INDEX(Models!$BJ26:$BT26,,AH26)*(1-AF26)+INDEX(Models!$BJ26:$BT26,,AH26+1)*AF26-ERP_i)*AE26*Ramure*Pc/MaxiM</f>
        <v>9.2039109486113295E-4</v>
      </c>
      <c r="AE26" s="304">
        <f t="shared" si="15"/>
        <v>0.5</v>
      </c>
      <c r="AF26" s="176">
        <f t="shared" si="23"/>
        <v>0.63501476668446877</v>
      </c>
      <c r="AG26" s="814">
        <f t="shared" si="24"/>
        <v>1</v>
      </c>
      <c r="AH26" s="175">
        <f t="shared" si="16"/>
        <v>7</v>
      </c>
      <c r="AI26" s="224">
        <f t="shared" si="17"/>
        <v>1.6350147666844688</v>
      </c>
      <c r="AJ26" s="264" t="b">
        <f t="shared" si="18"/>
        <v>0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10">
        <f>'2024'!Wh/'2024'!Env_an*'2025'!Env_an</f>
        <v>5.2596139597322873</v>
      </c>
      <c r="C27" s="843"/>
      <c r="D27" s="392">
        <f t="shared" si="0"/>
        <v>5.5389109489197672</v>
      </c>
      <c r="E27" s="384">
        <f t="shared" si="1"/>
        <v>5.6984724604241599</v>
      </c>
      <c r="F27" s="384">
        <f t="shared" si="2"/>
        <v>5.6984724604241599</v>
      </c>
      <c r="G27" s="110">
        <f t="shared" si="21"/>
        <v>0.19929404003492482</v>
      </c>
      <c r="H27" s="413" t="b">
        <f>Wh_hp&gt;='2024'!Maxi_hp</f>
        <v>0</v>
      </c>
      <c r="I27" s="389">
        <f>IF(H27,Wh_hp,'2024'!Maxi_hp)</f>
        <v>16.901313212419812</v>
      </c>
      <c r="J27" s="85">
        <f>IF(H27,An,'2024'!An_max)</f>
        <v>2020</v>
      </c>
      <c r="K27" s="196">
        <f t="shared" si="3"/>
        <v>45670</v>
      </c>
      <c r="L27" s="147">
        <f>IF(t&lt;Tvie,1-EXP((T0-t)*PertePVj)+'2024'!Pspv,1-EXP((T0-t)*PertePVj)+Pspv)</f>
        <v>5.042453142200274E-2</v>
      </c>
      <c r="M27" s="847"/>
      <c r="N27" s="847"/>
      <c r="O27" s="48">
        <f>IF(t&lt;Tnet,'2024'!Resal+('2024'!Salim-'2024'!Resal)*(1-EXP(('2024'!Tnet-t)/('2024'!Tau_j))),Resal+(Salim-Resal)*(1-EXP((Tnet-t)/(Tau_j))))*Salcycl</f>
        <v>2.8000751536933089E-2</v>
      </c>
      <c r="P27" s="168">
        <f>(INDEX(Models!$BJ27:$BT27,,T27)*(1-R27)+INDEX(Models!$BJ27:$BT27,,T27+1)*R27-ERP_i)*Q27*Ramure*Pc/MaxiM</f>
        <v>9.3437733844451418E-4</v>
      </c>
      <c r="Q27" s="304">
        <f t="shared" si="4"/>
        <v>0.5</v>
      </c>
      <c r="R27" s="176">
        <f t="shared" si="5"/>
        <v>0.63504226910315031</v>
      </c>
      <c r="S27" s="814">
        <f t="shared" si="6"/>
        <v>1</v>
      </c>
      <c r="T27" s="175">
        <f t="shared" si="7"/>
        <v>7</v>
      </c>
      <c r="U27" s="250">
        <f t="shared" si="8"/>
        <v>1.6350422691031503</v>
      </c>
      <c r="V27" s="382">
        <f t="shared" si="9"/>
        <v>26.366566178890746</v>
      </c>
      <c r="W27" s="401">
        <f t="shared" si="10"/>
        <v>5.2596139597322873</v>
      </c>
      <c r="X27" s="157">
        <f t="shared" si="11"/>
        <v>45670</v>
      </c>
      <c r="Y27" s="384">
        <f t="shared" si="12"/>
        <v>4.98357808497021</v>
      </c>
      <c r="Z27" s="384">
        <f t="shared" si="22"/>
        <v>5.2482169662967273</v>
      </c>
      <c r="AA27" s="385">
        <f t="shared" si="13"/>
        <v>5.6984724604241599</v>
      </c>
      <c r="AB27" s="196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7.9013366696856532E-2</v>
      </c>
      <c r="AD27" s="230">
        <f>(INDEX(Models!$BJ27:$BT27,,AH27)*(1-AF27)+INDEX(Models!$BJ27:$BT27,,AH27+1)*AF27-ERP_i)*AE27*Ramure*Pc/MaxiM</f>
        <v>9.3437733844451418E-4</v>
      </c>
      <c r="AE27" s="304">
        <f t="shared" si="15"/>
        <v>0.5</v>
      </c>
      <c r="AF27" s="176">
        <f t="shared" si="23"/>
        <v>0.63504226910315031</v>
      </c>
      <c r="AG27" s="814">
        <f t="shared" si="24"/>
        <v>1</v>
      </c>
      <c r="AH27" s="175">
        <f t="shared" si="16"/>
        <v>7</v>
      </c>
      <c r="AI27" s="224">
        <f t="shared" si="17"/>
        <v>1.6350422691031503</v>
      </c>
      <c r="AJ27" s="264" t="b">
        <f t="shared" si="18"/>
        <v>0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10">
        <f>'2024'!Wh/'2024'!Env_an*'2025'!Env_an</f>
        <v>27.519613996484242</v>
      </c>
      <c r="C28" s="843"/>
      <c r="D28" s="392">
        <f t="shared" si="0"/>
        <v>28.981599576629328</v>
      </c>
      <c r="E28" s="384">
        <f t="shared" si="1"/>
        <v>29.818791108635121</v>
      </c>
      <c r="F28" s="384">
        <f t="shared" si="2"/>
        <v>29.847115895042652</v>
      </c>
      <c r="G28" s="110">
        <f t="shared" si="21"/>
        <v>1.0337264061663216</v>
      </c>
      <c r="H28" s="413" t="b">
        <f>Wh_hp&gt;='2024'!Maxi_hp</f>
        <v>1</v>
      </c>
      <c r="I28" s="389">
        <f>IF(H28,Wh_hp,'2024'!Maxi_hp)</f>
        <v>29.847115895042652</v>
      </c>
      <c r="J28" s="85">
        <f>IF(H28,An,'2024'!An_max)</f>
        <v>2025</v>
      </c>
      <c r="K28" s="196">
        <f t="shared" si="3"/>
        <v>45671</v>
      </c>
      <c r="L28" s="147">
        <f>IF(t&lt;Tvie,1-EXP((T0-t)*PertePVj)+'2024'!Pspv,1-EXP((T0-t)*PertePVj)+Pspv)</f>
        <v>5.044530327870609E-2</v>
      </c>
      <c r="M28" s="847"/>
      <c r="N28" s="847"/>
      <c r="O28" s="48">
        <f>IF(t&lt;Tnet,'2024'!Resal+('2024'!Salim-'2024'!Resal)*(1-EXP(('2024'!Tnet-t)/('2024'!Tau_j))),Resal+(Salim-Resal)*(1-EXP((Tnet-t)/(Tau_j))))*Salcycl</f>
        <v>2.8075971589718682E-2</v>
      </c>
      <c r="P28" s="168">
        <f>(INDEX(Models!$BJ28:$BT28,,T28)*(1-R28)+INDEX(Models!$BJ28:$BT28,,T28+1)*R28-ERP_i)*Q28*Ramure*Pc/MaxiM</f>
        <v>9.4899575915926063E-4</v>
      </c>
      <c r="Q28" s="304">
        <f t="shared" si="4"/>
        <v>0.5</v>
      </c>
      <c r="R28" s="176">
        <f t="shared" si="5"/>
        <v>0.63507091993738407</v>
      </c>
      <c r="S28" s="814">
        <f t="shared" si="6"/>
        <v>1</v>
      </c>
      <c r="T28" s="175">
        <f t="shared" si="7"/>
        <v>7</v>
      </c>
      <c r="U28" s="250">
        <f t="shared" si="8"/>
        <v>1.6350709199373841</v>
      </c>
      <c r="V28" s="382">
        <f t="shared" si="9"/>
        <v>26.62175778071056</v>
      </c>
      <c r="W28" s="401">
        <f t="shared" si="10"/>
        <v>27.519613996484242</v>
      </c>
      <c r="X28" s="157">
        <f t="shared" si="11"/>
        <v>45671</v>
      </c>
      <c r="Y28" s="384">
        <f t="shared" si="12"/>
        <v>26.076767168229647</v>
      </c>
      <c r="Z28" s="384">
        <f t="shared" si="22"/>
        <v>27.462101191505667</v>
      </c>
      <c r="AA28" s="385">
        <f t="shared" si="13"/>
        <v>29.818791108635121</v>
      </c>
      <c r="AB28" s="196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7.9033717649505494E-2</v>
      </c>
      <c r="AD28" s="230">
        <f>(INDEX(Models!$BJ28:$BT28,,AH28)*(1-AF28)+INDEX(Models!$BJ28:$BT28,,AH28+1)*AF28-ERP_i)*AE28*Ramure*Pc/MaxiM</f>
        <v>9.4899575915926063E-4</v>
      </c>
      <c r="AE28" s="304">
        <f t="shared" si="15"/>
        <v>0.5</v>
      </c>
      <c r="AF28" s="176">
        <f t="shared" si="23"/>
        <v>0.63507091993738407</v>
      </c>
      <c r="AG28" s="814">
        <f t="shared" si="24"/>
        <v>1</v>
      </c>
      <c r="AH28" s="175">
        <f t="shared" si="16"/>
        <v>7</v>
      </c>
      <c r="AI28" s="224">
        <f t="shared" si="17"/>
        <v>1.6350709199373841</v>
      </c>
      <c r="AJ28" s="264" t="b">
        <f t="shared" si="18"/>
        <v>0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10">
        <f>'2024'!Wh/'2024'!Env_an*'2025'!Env_an</f>
        <v>27.86811426653885</v>
      </c>
      <c r="C29" s="843"/>
      <c r="D29" s="392">
        <f t="shared" si="0"/>
        <v>29.349256012269777</v>
      </c>
      <c r="E29" s="384">
        <f t="shared" si="1"/>
        <v>30.199403654745762</v>
      </c>
      <c r="F29" s="384">
        <f t="shared" si="2"/>
        <v>30.228551450413256</v>
      </c>
      <c r="G29" s="110">
        <f t="shared" si="21"/>
        <v>1.0365931566084636</v>
      </c>
      <c r="H29" s="413" t="b">
        <f>Wh_hp&gt;='2024'!Maxi_hp</f>
        <v>1</v>
      </c>
      <c r="I29" s="389">
        <f>IF(H29,Wh_hp,'2024'!Maxi_hp)</f>
        <v>30.228551450413256</v>
      </c>
      <c r="J29" s="85">
        <f>IF(H29,An,'2024'!An_max)</f>
        <v>2025</v>
      </c>
      <c r="K29" s="196">
        <f t="shared" si="3"/>
        <v>45672</v>
      </c>
      <c r="L29" s="147">
        <f>IF(t&lt;Tvie,1-EXP((T0-t)*PertePVj)+'2024'!Pspv,1-EXP((T0-t)*PertePVj)+Pspv)</f>
        <v>5.0466074680452479E-2</v>
      </c>
      <c r="M29" s="847"/>
      <c r="N29" s="847"/>
      <c r="O29" s="48">
        <f>IF(t&lt;Tnet,'2024'!Resal+('2024'!Salim-'2024'!Resal)*(1-EXP(('2024'!Tnet-t)/('2024'!Tau_j))),Resal+(Salim-Resal)*(1-EXP((Tnet-t)/(Tau_j))))*Salcycl</f>
        <v>2.8151140075323482E-2</v>
      </c>
      <c r="P29" s="168">
        <f>(INDEX(Models!$BJ29:$BT29,,T29)*(1-R29)+INDEX(Models!$BJ29:$BT29,,T29+1)*R29-ERP_i)*Q29*Ramure*Pc/MaxiM</f>
        <v>9.6424718582069509E-4</v>
      </c>
      <c r="Q29" s="304">
        <f t="shared" si="4"/>
        <v>0.5</v>
      </c>
      <c r="R29" s="176">
        <f t="shared" si="5"/>
        <v>0.63510076690748729</v>
      </c>
      <c r="S29" s="814">
        <f t="shared" si="6"/>
        <v>1</v>
      </c>
      <c r="T29" s="175">
        <f t="shared" si="7"/>
        <v>7</v>
      </c>
      <c r="U29" s="250">
        <f t="shared" si="8"/>
        <v>1.6351007669074873</v>
      </c>
      <c r="V29" s="382">
        <f t="shared" si="9"/>
        <v>26.88433170610352</v>
      </c>
      <c r="W29" s="401">
        <f t="shared" si="10"/>
        <v>27.86811426653885</v>
      </c>
      <c r="X29" s="157">
        <f t="shared" si="11"/>
        <v>45672</v>
      </c>
      <c r="Y29" s="384">
        <f t="shared" si="12"/>
        <v>26.408452695338593</v>
      </c>
      <c r="Z29" s="384">
        <f t="shared" si="22"/>
        <v>27.812015970310206</v>
      </c>
      <c r="AA29" s="385">
        <f t="shared" si="13"/>
        <v>30.199403654745762</v>
      </c>
      <c r="AB29" s="196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7.9054133377245789E-2</v>
      </c>
      <c r="AD29" s="230">
        <f>(INDEX(Models!$BJ29:$BT29,,AH29)*(1-AF29)+INDEX(Models!$BJ29:$BT29,,AH29+1)*AF29-ERP_i)*AE29*Ramure*Pc/MaxiM</f>
        <v>9.6424718582069509E-4</v>
      </c>
      <c r="AE29" s="304">
        <f t="shared" si="15"/>
        <v>0.5</v>
      </c>
      <c r="AF29" s="176">
        <f t="shared" si="23"/>
        <v>0.63510076690748729</v>
      </c>
      <c r="AG29" s="814">
        <f t="shared" si="24"/>
        <v>1</v>
      </c>
      <c r="AH29" s="175">
        <f t="shared" si="16"/>
        <v>7</v>
      </c>
      <c r="AI29" s="224">
        <f t="shared" si="17"/>
        <v>1.6351007669074873</v>
      </c>
      <c r="AJ29" s="264" t="b">
        <f t="shared" si="18"/>
        <v>0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10">
        <f>'2024'!Wh/'2024'!Env_an*'2025'!Env_an</f>
        <v>27.431061960295427</v>
      </c>
      <c r="C30" s="843"/>
      <c r="D30" s="392">
        <f t="shared" si="0"/>
        <v>28.889607093875899</v>
      </c>
      <c r="E30" s="384">
        <f t="shared" si="1"/>
        <v>29.728738128168271</v>
      </c>
      <c r="F30" s="384">
        <f t="shared" si="2"/>
        <v>29.757828642764938</v>
      </c>
      <c r="G30" s="110">
        <f t="shared" si="21"/>
        <v>1.0102265688655998</v>
      </c>
      <c r="H30" s="413" t="b">
        <f>Wh_hp&gt;='2024'!Maxi_hp</f>
        <v>1</v>
      </c>
      <c r="I30" s="389">
        <f>IF(H30,Wh_hp,'2024'!Maxi_hp)</f>
        <v>29.757828642764938</v>
      </c>
      <c r="J30" s="85">
        <f>IF(H30,An,'2024'!An_max)</f>
        <v>2025</v>
      </c>
      <c r="K30" s="196">
        <f t="shared" si="3"/>
        <v>45673</v>
      </c>
      <c r="L30" s="147">
        <f>IF(t&lt;Tvie,1-EXP((T0-t)*PertePVj)+'2024'!Pspv,1-EXP((T0-t)*PertePVj)+Pspv)</f>
        <v>5.0486845627251788E-2</v>
      </c>
      <c r="M30" s="847"/>
      <c r="N30" s="847"/>
      <c r="O30" s="48">
        <f>IF(t&lt;Tnet,'2024'!Resal+('2024'!Salim-'2024'!Resal)*(1-EXP(('2024'!Tnet-t)/('2024'!Tau_j))),Resal+(Salim-Resal)*(1-EXP((Tnet-t)/(Tau_j))))*Salcycl</f>
        <v>2.8226258062977926E-2</v>
      </c>
      <c r="P30" s="168">
        <f>(INDEX(Models!$BJ30:$BT30,,T30)*(1-R30)+INDEX(Models!$BJ30:$BT30,,T30+1)*R30-ERP_i)*Q30*Ramure*Pc/MaxiM</f>
        <v>9.7757517680110094E-4</v>
      </c>
      <c r="Q30" s="304">
        <f t="shared" si="4"/>
        <v>0.5</v>
      </c>
      <c r="R30" s="176">
        <f t="shared" si="5"/>
        <v>0.63513185969672348</v>
      </c>
      <c r="S30" s="814">
        <f t="shared" si="6"/>
        <v>1</v>
      </c>
      <c r="T30" s="175">
        <f t="shared" si="7"/>
        <v>7</v>
      </c>
      <c r="U30" s="250">
        <f t="shared" si="8"/>
        <v>1.6351318596967235</v>
      </c>
      <c r="V30" s="382">
        <f t="shared" si="9"/>
        <v>27.153376089779769</v>
      </c>
      <c r="W30" s="401">
        <f t="shared" si="10"/>
        <v>27.431061960295427</v>
      </c>
      <c r="X30" s="157">
        <f t="shared" si="11"/>
        <v>45673</v>
      </c>
      <c r="Y30" s="384">
        <f t="shared" si="12"/>
        <v>25.995723262410333</v>
      </c>
      <c r="Z30" s="384">
        <f t="shared" si="22"/>
        <v>27.377949576257532</v>
      </c>
      <c r="AA30" s="385">
        <f t="shared" si="13"/>
        <v>29.728738128168271</v>
      </c>
      <c r="AB30" s="196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7.9074616008788651E-2</v>
      </c>
      <c r="AD30" s="230">
        <f>(INDEX(Models!$BJ30:$BT30,,AH30)*(1-AF30)+INDEX(Models!$BJ30:$BT30,,AH30+1)*AF30-ERP_i)*AE30*Ramure*Pc/MaxiM</f>
        <v>9.7757517680110094E-4</v>
      </c>
      <c r="AE30" s="304">
        <f t="shared" si="15"/>
        <v>0.5</v>
      </c>
      <c r="AF30" s="176">
        <f t="shared" si="23"/>
        <v>0.63513185969672348</v>
      </c>
      <c r="AG30" s="814">
        <f t="shared" si="24"/>
        <v>1</v>
      </c>
      <c r="AH30" s="175">
        <f t="shared" si="16"/>
        <v>7</v>
      </c>
      <c r="AI30" s="224">
        <f t="shared" si="17"/>
        <v>1.6351318596967235</v>
      </c>
      <c r="AJ30" s="264" t="b">
        <f t="shared" si="18"/>
        <v>0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10">
        <f>'2024'!Wh/'2024'!Env_an*'2025'!Env_an</f>
        <v>17.751653041978372</v>
      </c>
      <c r="C31" s="843"/>
      <c r="D31" s="392">
        <f t="shared" si="0"/>
        <v>18.69594042389425</v>
      </c>
      <c r="E31" s="384">
        <f t="shared" si="1"/>
        <v>19.240471291114979</v>
      </c>
      <c r="F31" s="384">
        <f t="shared" si="2"/>
        <v>19.249905153929848</v>
      </c>
      <c r="G31" s="110">
        <f t="shared" si="21"/>
        <v>0.64688818486848088</v>
      </c>
      <c r="H31" s="413" t="b">
        <f>Wh_hp&gt;='2024'!Maxi_hp</f>
        <v>0</v>
      </c>
      <c r="I31" s="389">
        <f>IF(H31,Wh_hp,'2024'!Maxi_hp)</f>
        <v>19.2546417129969</v>
      </c>
      <c r="J31" s="85">
        <f>IF(H31,An,'2024'!An_max)</f>
        <v>2022</v>
      </c>
      <c r="K31" s="196">
        <f t="shared" si="3"/>
        <v>45674</v>
      </c>
      <c r="L31" s="147">
        <f>IF(t&lt;Tvie,1-EXP((T0-t)*PertePVj)+'2024'!Pspv,1-EXP((T0-t)*PertePVj)+Pspv)</f>
        <v>5.050761611911412E-2</v>
      </c>
      <c r="M31" s="847"/>
      <c r="N31" s="847"/>
      <c r="O31" s="48">
        <f>IF(t&lt;Tnet,'2024'!Resal+('2024'!Salim-'2024'!Resal)*(1-EXP(('2024'!Tnet-t)/('2024'!Tau_j))),Resal+(Salim-Resal)*(1-EXP((Tnet-t)/(Tau_j))))*Salcycl</f>
        <v>2.8301326874055687E-2</v>
      </c>
      <c r="P31" s="168">
        <f>(INDEX(Models!$BJ31:$BT31,,T31)*(1-R31)+INDEX(Models!$BJ31:$BT31,,T31+1)*R31-ERP_i)*Q31*Ramure*Pc/MaxiM</f>
        <v>9.8802060665607026E-4</v>
      </c>
      <c r="Q31" s="304">
        <f t="shared" si="4"/>
        <v>0.5</v>
      </c>
      <c r="R31" s="176">
        <f t="shared" si="5"/>
        <v>0.63516425003033583</v>
      </c>
      <c r="S31" s="814">
        <f t="shared" si="6"/>
        <v>1</v>
      </c>
      <c r="T31" s="175">
        <f t="shared" si="7"/>
        <v>7</v>
      </c>
      <c r="U31" s="250">
        <f t="shared" si="8"/>
        <v>1.6351642500303358</v>
      </c>
      <c r="V31" s="382">
        <f t="shared" si="9"/>
        <v>27.427938449824524</v>
      </c>
      <c r="W31" s="401">
        <f t="shared" si="10"/>
        <v>17.751653041978372</v>
      </c>
      <c r="X31" s="157">
        <f t="shared" si="11"/>
        <v>45674</v>
      </c>
      <c r="Y31" s="384">
        <f t="shared" si="12"/>
        <v>16.82371655749013</v>
      </c>
      <c r="Z31" s="384">
        <f t="shared" si="22"/>
        <v>17.718642975024295</v>
      </c>
      <c r="AA31" s="385">
        <f t="shared" si="13"/>
        <v>19.240471291114979</v>
      </c>
      <c r="AB31" s="196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7.9095168359698431E-2</v>
      </c>
      <c r="AD31" s="230">
        <f>(INDEX(Models!$BJ31:$BT31,,AH31)*(1-AF31)+INDEX(Models!$BJ31:$BT31,,AH31+1)*AF31-ERP_i)*AE31*Ramure*Pc/MaxiM</f>
        <v>9.8802060665607026E-4</v>
      </c>
      <c r="AE31" s="304">
        <f t="shared" si="15"/>
        <v>0.5</v>
      </c>
      <c r="AF31" s="176">
        <f t="shared" si="23"/>
        <v>0.63516425003033583</v>
      </c>
      <c r="AG31" s="814">
        <f t="shared" si="24"/>
        <v>1</v>
      </c>
      <c r="AH31" s="175">
        <f t="shared" si="16"/>
        <v>7</v>
      </c>
      <c r="AI31" s="224">
        <f t="shared" si="17"/>
        <v>1.6351642500303358</v>
      </c>
      <c r="AJ31" s="264" t="b">
        <f t="shared" si="18"/>
        <v>0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10">
        <f>'2024'!Wh/'2024'!Env_an*'2025'!Env_an</f>
        <v>3.7559378176091398</v>
      </c>
      <c r="C32" s="843"/>
      <c r="D32" s="392">
        <f t="shared" si="0"/>
        <v>3.9558189658805776</v>
      </c>
      <c r="E32" s="384">
        <f t="shared" si="1"/>
        <v>4.0713489815072066</v>
      </c>
      <c r="F32" s="384">
        <f t="shared" si="2"/>
        <v>4.0713489815072066</v>
      </c>
      <c r="G32" s="110">
        <f t="shared" si="21"/>
        <v>0.1354240040249429</v>
      </c>
      <c r="H32" s="413" t="b">
        <f>Wh_hp&gt;='2024'!Maxi_hp</f>
        <v>0</v>
      </c>
      <c r="I32" s="389">
        <f>IF(H32,Wh_hp,'2024'!Maxi_hp)</f>
        <v>29.889326692258766</v>
      </c>
      <c r="J32" s="85">
        <f>IF(H32,An,'2024'!An_max)</f>
        <v>2021</v>
      </c>
      <c r="K32" s="196">
        <f t="shared" si="3"/>
        <v>45675</v>
      </c>
      <c r="L32" s="147">
        <f>IF(t&lt;Tvie,1-EXP((T0-t)*PertePVj)+'2024'!Pspv,1-EXP((T0-t)*PertePVj)+Pspv)</f>
        <v>5.0528386156049356E-2</v>
      </c>
      <c r="M32" s="847"/>
      <c r="N32" s="847"/>
      <c r="O32" s="48">
        <f>IF(t&lt;Tnet,'2024'!Resal+('2024'!Salim-'2024'!Resal)*(1-EXP(('2024'!Tnet-t)/('2024'!Tau_j))),Resal+(Salim-Resal)*(1-EXP((Tnet-t)/(Tau_j))))*Salcycl</f>
        <v>2.8376348024054799E-2</v>
      </c>
      <c r="P32" s="168">
        <f>(INDEX(Models!$BJ32:$BT32,,T32)*(1-R32)+INDEX(Models!$BJ32:$BT32,,T32+1)*R32-ERP_i)*Q32*Ramure*Pc/MaxiM</f>
        <v>9.956959810722664E-4</v>
      </c>
      <c r="Q32" s="304">
        <f t="shared" si="4"/>
        <v>0.5</v>
      </c>
      <c r="R32" s="176">
        <f t="shared" si="5"/>
        <v>0.63519799175762093</v>
      </c>
      <c r="S32" s="814">
        <f t="shared" si="6"/>
        <v>1</v>
      </c>
      <c r="T32" s="175">
        <f t="shared" si="7"/>
        <v>7</v>
      </c>
      <c r="U32" s="250">
        <f t="shared" si="8"/>
        <v>1.6351979917576209</v>
      </c>
      <c r="V32" s="382">
        <f t="shared" si="9"/>
        <v>27.70703814611695</v>
      </c>
      <c r="W32" s="401">
        <f t="shared" si="10"/>
        <v>3.7559378176091398</v>
      </c>
      <c r="X32" s="157">
        <f t="shared" si="11"/>
        <v>45675</v>
      </c>
      <c r="Y32" s="384">
        <f t="shared" si="12"/>
        <v>3.5597978793665312</v>
      </c>
      <c r="Z32" s="384">
        <f t="shared" si="22"/>
        <v>3.7492409751510465</v>
      </c>
      <c r="AA32" s="385">
        <f t="shared" si="13"/>
        <v>4.0713489815072066</v>
      </c>
      <c r="AB32" s="196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7.9115793762517539E-2</v>
      </c>
      <c r="AD32" s="230">
        <f>(INDEX(Models!$BJ32:$BT32,,AH32)*(1-AF32)+INDEX(Models!$BJ32:$BT32,,AH32+1)*AF32-ERP_i)*AE32*Ramure*Pc/MaxiM</f>
        <v>9.956959810722664E-4</v>
      </c>
      <c r="AE32" s="304">
        <f t="shared" si="15"/>
        <v>0.5</v>
      </c>
      <c r="AF32" s="176">
        <f t="shared" si="23"/>
        <v>0.63519799175762093</v>
      </c>
      <c r="AG32" s="814">
        <f t="shared" si="24"/>
        <v>1</v>
      </c>
      <c r="AH32" s="175">
        <f t="shared" si="16"/>
        <v>7</v>
      </c>
      <c r="AI32" s="224">
        <f t="shared" si="17"/>
        <v>1.6351979917576209</v>
      </c>
      <c r="AJ32" s="264" t="b">
        <f t="shared" si="18"/>
        <v>0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10">
        <f>'2024'!Wh/'2024'!Env_an*'2025'!Env_an</f>
        <v>11.741546586372884</v>
      </c>
      <c r="C33" s="843"/>
      <c r="D33" s="392">
        <f t="shared" si="0"/>
        <v>12.366671384130816</v>
      </c>
      <c r="E33" s="384">
        <f t="shared" si="1"/>
        <v>12.728823247867028</v>
      </c>
      <c r="F33" s="384">
        <f t="shared" si="2"/>
        <v>12.730998076779303</v>
      </c>
      <c r="G33" s="110">
        <f t="shared" si="21"/>
        <v>0.41914714803006475</v>
      </c>
      <c r="H33" s="413" t="b">
        <f>Wh_hp&gt;='2024'!Maxi_hp</f>
        <v>0</v>
      </c>
      <c r="I33" s="389">
        <f>IF(H33,Wh_hp,'2024'!Maxi_hp)</f>
        <v>31.224540909778487</v>
      </c>
      <c r="J33" s="85">
        <f>IF(H33,An,'2024'!An_max)</f>
        <v>2021</v>
      </c>
      <c r="K33" s="196">
        <f t="shared" si="3"/>
        <v>45676</v>
      </c>
      <c r="L33" s="147">
        <f>IF(t&lt;Tvie,1-EXP((T0-t)*PertePVj)+'2024'!Pspv,1-EXP((T0-t)*PertePVj)+Pspv)</f>
        <v>5.0549155738067487E-2</v>
      </c>
      <c r="M33" s="847"/>
      <c r="N33" s="847"/>
      <c r="O33" s="48">
        <f>IF(t&lt;Tnet,'2024'!Resal+('2024'!Salim-'2024'!Resal)*(1-EXP(('2024'!Tnet-t)/('2024'!Tau_j))),Resal+(Salim-Resal)*(1-EXP((Tnet-t)/(Tau_j))))*Salcycl</f>
        <v>2.8451323165077147E-2</v>
      </c>
      <c r="P33" s="168">
        <f>(INDEX(Models!$BJ33:$BT33,,T33)*(1-R33)+INDEX(Models!$BJ33:$BT33,,T33+1)*R33-ERP_i)*Q33*Ramure*Pc/MaxiM</f>
        <v>1.0007134021901253E-3</v>
      </c>
      <c r="Q33" s="304">
        <f t="shared" si="4"/>
        <v>0.5</v>
      </c>
      <c r="R33" s="176">
        <f t="shared" si="5"/>
        <v>0.63523314093713745</v>
      </c>
      <c r="S33" s="814">
        <f t="shared" si="6"/>
        <v>1</v>
      </c>
      <c r="T33" s="175">
        <f t="shared" si="7"/>
        <v>7</v>
      </c>
      <c r="U33" s="250">
        <f t="shared" si="8"/>
        <v>1.6352331409371375</v>
      </c>
      <c r="V33" s="382">
        <f t="shared" si="9"/>
        <v>27.989694920050432</v>
      </c>
      <c r="W33" s="401">
        <f t="shared" si="10"/>
        <v>11.741546586372884</v>
      </c>
      <c r="X33" s="157">
        <f t="shared" si="11"/>
        <v>45676</v>
      </c>
      <c r="Y33" s="384">
        <f t="shared" si="12"/>
        <v>11.1289964063316</v>
      </c>
      <c r="Z33" s="384">
        <f t="shared" si="22"/>
        <v>11.721508779090996</v>
      </c>
      <c r="AA33" s="385">
        <f t="shared" si="13"/>
        <v>12.728823247867028</v>
      </c>
      <c r="AB33" s="196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7.9136495900736778E-2</v>
      </c>
      <c r="AD33" s="230">
        <f>(INDEX(Models!$BJ33:$BT33,,AH33)*(1-AF33)+INDEX(Models!$BJ33:$BT33,,AH33+1)*AF33-ERP_i)*AE33*Ramure*Pc/MaxiM</f>
        <v>1.0007134021901253E-3</v>
      </c>
      <c r="AE33" s="304">
        <f t="shared" si="15"/>
        <v>0.5</v>
      </c>
      <c r="AF33" s="176">
        <f t="shared" si="23"/>
        <v>0.63523314093713745</v>
      </c>
      <c r="AG33" s="814">
        <f t="shared" si="24"/>
        <v>1</v>
      </c>
      <c r="AH33" s="175">
        <f t="shared" si="16"/>
        <v>7</v>
      </c>
      <c r="AI33" s="224">
        <f t="shared" si="17"/>
        <v>1.6352331409371375</v>
      </c>
      <c r="AJ33" s="264" t="b">
        <f t="shared" si="18"/>
        <v>0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10">
        <f>'2024'!Wh/'2024'!Env_an*'2025'!Env_an</f>
        <v>5.4683516781940984</v>
      </c>
      <c r="C34" s="843"/>
      <c r="D34" s="392">
        <f t="shared" si="0"/>
        <v>5.7596149747179419</v>
      </c>
      <c r="E34" s="384">
        <f t="shared" si="1"/>
        <v>5.9287397097527466</v>
      </c>
      <c r="F34" s="384">
        <f t="shared" si="2"/>
        <v>5.9287397097527466</v>
      </c>
      <c r="G34" s="110">
        <f t="shared" si="21"/>
        <v>0.19320529288626548</v>
      </c>
      <c r="H34" s="413" t="b">
        <f>Wh_hp&gt;='2024'!Maxi_hp</f>
        <v>0</v>
      </c>
      <c r="I34" s="389">
        <f>IF(H34,Wh_hp,'2024'!Maxi_hp)</f>
        <v>10.158617938876899</v>
      </c>
      <c r="J34" s="85">
        <f>IF(H34,An,'2024'!An_max)</f>
        <v>2020</v>
      </c>
      <c r="K34" s="196">
        <f t="shared" si="3"/>
        <v>45677</v>
      </c>
      <c r="L34" s="147">
        <f>IF(t&lt;Tvie,1-EXP((T0-t)*PertePVj)+'2024'!Pspv,1-EXP((T0-t)*PertePVj)+Pspv)</f>
        <v>5.0569924865178507E-2</v>
      </c>
      <c r="M34" s="847"/>
      <c r="N34" s="847"/>
      <c r="O34" s="48">
        <f>IF(t&lt;Tnet,'2024'!Resal+('2024'!Salim-'2024'!Resal)*(1-EXP(('2024'!Tnet-t)/('2024'!Tau_j))),Resal+(Salim-Resal)*(1-EXP((Tnet-t)/(Tau_j))))*Salcycl</f>
        <v>2.8526254029434858E-2</v>
      </c>
      <c r="P34" s="168">
        <f>(INDEX(Models!$BJ34:$BT34,,T34)*(1-R34)+INDEX(Models!$BJ34:$BT34,,T34+1)*R34-ERP_i)*Q34*Ramure*Pc/MaxiM</f>
        <v>1.0031891075241285E-3</v>
      </c>
      <c r="Q34" s="304">
        <f t="shared" si="4"/>
        <v>0.5</v>
      </c>
      <c r="R34" s="176">
        <f t="shared" si="5"/>
        <v>0.63526975592516299</v>
      </c>
      <c r="S34" s="814">
        <f t="shared" si="6"/>
        <v>1</v>
      </c>
      <c r="T34" s="175">
        <f t="shared" si="7"/>
        <v>7</v>
      </c>
      <c r="U34" s="250">
        <f t="shared" si="8"/>
        <v>1.635269755925163</v>
      </c>
      <c r="V34" s="382">
        <f t="shared" si="9"/>
        <v>28.274928733811958</v>
      </c>
      <c r="W34" s="401">
        <f t="shared" si="10"/>
        <v>5.4683516781940984</v>
      </c>
      <c r="X34" s="157">
        <f t="shared" si="11"/>
        <v>45677</v>
      </c>
      <c r="Y34" s="384">
        <f t="shared" si="12"/>
        <v>5.183353499301961</v>
      </c>
      <c r="Z34" s="384">
        <f t="shared" si="22"/>
        <v>5.4594368085147416</v>
      </c>
      <c r="AA34" s="385">
        <f t="shared" si="13"/>
        <v>5.9287397097527466</v>
      </c>
      <c r="AB34" s="196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7.9157278648277332E-2</v>
      </c>
      <c r="AD34" s="230">
        <f>(INDEX(Models!$BJ34:$BT34,,AH34)*(1-AF34)+INDEX(Models!$BJ34:$BT34,,AH34+1)*AF34-ERP_i)*AE34*Ramure*Pc/MaxiM</f>
        <v>1.0031891075241285E-3</v>
      </c>
      <c r="AE34" s="304">
        <f t="shared" si="15"/>
        <v>0.5</v>
      </c>
      <c r="AF34" s="176">
        <f t="shared" si="23"/>
        <v>0.63526975592516299</v>
      </c>
      <c r="AG34" s="814">
        <f t="shared" si="24"/>
        <v>1</v>
      </c>
      <c r="AH34" s="175">
        <f t="shared" si="16"/>
        <v>7</v>
      </c>
      <c r="AI34" s="224">
        <f t="shared" si="17"/>
        <v>1.635269755925163</v>
      </c>
      <c r="AJ34" s="264" t="b">
        <f t="shared" si="18"/>
        <v>0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10">
        <f>'2024'!Wh/'2024'!Env_an*'2025'!Env_an</f>
        <v>18.748758459051256</v>
      </c>
      <c r="C35" s="843"/>
      <c r="D35" s="392">
        <f t="shared" si="0"/>
        <v>19.74781406863076</v>
      </c>
      <c r="E35" s="384">
        <f t="shared" si="1"/>
        <v>20.329253955386058</v>
      </c>
      <c r="F35" s="384">
        <f t="shared" si="2"/>
        <v>20.339644123506321</v>
      </c>
      <c r="G35" s="110">
        <f t="shared" si="21"/>
        <v>0.65610529017702923</v>
      </c>
      <c r="H35" s="413" t="b">
        <f>Wh_hp&gt;='2024'!Maxi_hp</f>
        <v>0</v>
      </c>
      <c r="I35" s="389">
        <f>IF(H35,Wh_hp,'2024'!Maxi_hp)</f>
        <v>20.344723444640852</v>
      </c>
      <c r="J35" s="85">
        <f>IF(H35,An,'2024'!An_max)</f>
        <v>2022</v>
      </c>
      <c r="K35" s="196">
        <f t="shared" si="3"/>
        <v>45678</v>
      </c>
      <c r="L35" s="147">
        <f>IF(t&lt;Tvie,1-EXP((T0-t)*PertePVj)+'2024'!Pspv,1-EXP((T0-t)*PertePVj)+Pspv)</f>
        <v>5.0590693537392296E-2</v>
      </c>
      <c r="M35" s="847"/>
      <c r="N35" s="847"/>
      <c r="O35" s="48">
        <f>IF(t&lt;Tnet,'2024'!Resal+('2024'!Salim-'2024'!Resal)*(1-EXP(('2024'!Tnet-t)/('2024'!Tau_j))),Resal+(Salim-Resal)*(1-EXP((Tnet-t)/(Tau_j))))*Salcycl</f>
        <v>2.8601142374988682E-2</v>
      </c>
      <c r="P35" s="168">
        <f>(INDEX(Models!$BJ35:$BT35,,T35)*(1-R35)+INDEX(Models!$BJ35:$BT35,,T35+1)*R35-ERP_i)*Q35*Ramure*Pc/MaxiM</f>
        <v>1.0032394852424252E-3</v>
      </c>
      <c r="Q35" s="304">
        <f t="shared" si="4"/>
        <v>0.5</v>
      </c>
      <c r="R35" s="176">
        <f t="shared" si="5"/>
        <v>0.6353078974675046</v>
      </c>
      <c r="S35" s="814">
        <f t="shared" si="6"/>
        <v>1</v>
      </c>
      <c r="T35" s="175">
        <f t="shared" si="7"/>
        <v>7</v>
      </c>
      <c r="U35" s="250">
        <f t="shared" si="8"/>
        <v>1.6353078974675046</v>
      </c>
      <c r="V35" s="382">
        <f t="shared" si="9"/>
        <v>28.561759853336898</v>
      </c>
      <c r="W35" s="401">
        <f t="shared" si="10"/>
        <v>18.748758459051256</v>
      </c>
      <c r="X35" s="157">
        <f t="shared" si="11"/>
        <v>45678</v>
      </c>
      <c r="Y35" s="384">
        <f t="shared" si="12"/>
        <v>17.77258269403908</v>
      </c>
      <c r="Z35" s="384">
        <f t="shared" si="22"/>
        <v>18.719621319341943</v>
      </c>
      <c r="AA35" s="385">
        <f t="shared" si="13"/>
        <v>20.329253955386058</v>
      </c>
      <c r="AB35" s="196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7.9178145916055931E-2</v>
      </c>
      <c r="AD35" s="230">
        <f>(INDEX(Models!$BJ35:$BT35,,AH35)*(1-AF35)+INDEX(Models!$BJ35:$BT35,,AH35+1)*AF35-ERP_i)*AE35*Ramure*Pc/MaxiM</f>
        <v>1.0032394852424252E-3</v>
      </c>
      <c r="AE35" s="304">
        <f t="shared" si="15"/>
        <v>0.5</v>
      </c>
      <c r="AF35" s="176">
        <f t="shared" si="23"/>
        <v>0.6353078974675046</v>
      </c>
      <c r="AG35" s="814">
        <f t="shared" si="24"/>
        <v>1</v>
      </c>
      <c r="AH35" s="175">
        <f t="shared" si="16"/>
        <v>7</v>
      </c>
      <c r="AI35" s="224">
        <f t="shared" si="17"/>
        <v>1.6353078974675046</v>
      </c>
      <c r="AJ35" s="264" t="b">
        <f t="shared" si="18"/>
        <v>0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10">
        <f>'2024'!Wh/'2024'!Env_an*'2025'!Env_an</f>
        <v>28.966806389505848</v>
      </c>
      <c r="C36" s="843"/>
      <c r="D36" s="392">
        <f t="shared" si="0"/>
        <v>30.511013376087412</v>
      </c>
      <c r="E36" s="384">
        <f t="shared" si="1"/>
        <v>31.41177718233936</v>
      </c>
      <c r="F36" s="384">
        <f t="shared" si="2"/>
        <v>31.443251036621692</v>
      </c>
      <c r="G36" s="110">
        <f t="shared" si="21"/>
        <v>1.0040762762424642</v>
      </c>
      <c r="H36" s="413" t="b">
        <f>Wh_hp&gt;='2024'!Maxi_hp</f>
        <v>1</v>
      </c>
      <c r="I36" s="389">
        <f>IF(H36,Wh_hp,'2024'!Maxi_hp)</f>
        <v>31.443251036621692</v>
      </c>
      <c r="J36" s="85">
        <f>IF(H36,An,'2024'!An_max)</f>
        <v>2025</v>
      </c>
      <c r="K36" s="196">
        <f t="shared" si="3"/>
        <v>45679</v>
      </c>
      <c r="L36" s="147">
        <f>IF(t&lt;Tvie,1-EXP((T0-t)*PertePVj)+'2024'!Pspv,1-EXP((T0-t)*PertePVj)+Pspv)</f>
        <v>5.0611461754718846E-2</v>
      </c>
      <c r="M36" s="847"/>
      <c r="N36" s="847"/>
      <c r="O36" s="48">
        <f>IF(t&lt;Tnet,'2024'!Resal+('2024'!Salim-'2024'!Resal)*(1-EXP(('2024'!Tnet-t)/('2024'!Tau_j))),Resal+(Salim-Resal)*(1-EXP((Tnet-t)/(Tau_j))))*Salcycl</f>
        <v>2.867598993279457E-2</v>
      </c>
      <c r="P36" s="168">
        <f>(INDEX(Models!$BJ36:$BT36,,T36)*(1-R36)+INDEX(Models!$BJ36:$BT36,,T36+1)*R36-ERP_i)*Q36*Ramure*Pc/MaxiM</f>
        <v>1.0009732850357383E-3</v>
      </c>
      <c r="Q36" s="304">
        <f t="shared" si="4"/>
        <v>0.5</v>
      </c>
      <c r="R36" s="176">
        <f t="shared" si="5"/>
        <v>0.63534762879477391</v>
      </c>
      <c r="S36" s="814">
        <f t="shared" si="6"/>
        <v>1</v>
      </c>
      <c r="T36" s="175">
        <f t="shared" si="7"/>
        <v>7</v>
      </c>
      <c r="U36" s="250">
        <f t="shared" si="8"/>
        <v>1.6353476287947739</v>
      </c>
      <c r="V36" s="382">
        <f t="shared" si="9"/>
        <v>28.849209044065635</v>
      </c>
      <c r="W36" s="401">
        <f t="shared" si="10"/>
        <v>28.966806389505848</v>
      </c>
      <c r="X36" s="157">
        <f t="shared" si="11"/>
        <v>45679</v>
      </c>
      <c r="Y36" s="384">
        <f t="shared" si="12"/>
        <v>27.460107104818242</v>
      </c>
      <c r="Z36" s="384">
        <f t="shared" si="22"/>
        <v>28.923992652757022</v>
      </c>
      <c r="AA36" s="385">
        <f t="shared" si="13"/>
        <v>31.41177718233936</v>
      </c>
      <c r="AB36" s="196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7.9199101507094749E-2</v>
      </c>
      <c r="AD36" s="230">
        <f>(INDEX(Models!$BJ36:$BT36,,AH36)*(1-AF36)+INDEX(Models!$BJ36:$BT36,,AH36+1)*AF36-ERP_i)*AE36*Ramure*Pc/MaxiM</f>
        <v>1.0009732850357383E-3</v>
      </c>
      <c r="AE36" s="304">
        <f t="shared" si="15"/>
        <v>0.5</v>
      </c>
      <c r="AF36" s="176">
        <f t="shared" si="23"/>
        <v>0.63534762879477391</v>
      </c>
      <c r="AG36" s="814">
        <f t="shared" si="24"/>
        <v>1</v>
      </c>
      <c r="AH36" s="175">
        <f t="shared" si="16"/>
        <v>7</v>
      </c>
      <c r="AI36" s="224">
        <f t="shared" si="17"/>
        <v>1.6353476287947739</v>
      </c>
      <c r="AJ36" s="264" t="b">
        <f t="shared" si="18"/>
        <v>0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10">
        <f>'2024'!Wh/'2024'!Env_an*'2025'!Env_an</f>
        <v>28.767164600386593</v>
      </c>
      <c r="C37" s="843"/>
      <c r="D37" s="392">
        <f t="shared" si="0"/>
        <v>30.301391615344301</v>
      </c>
      <c r="E37" s="384">
        <f t="shared" si="1"/>
        <v>31.198369650244334</v>
      </c>
      <c r="F37" s="384">
        <f t="shared" si="2"/>
        <v>31.228917431679395</v>
      </c>
      <c r="G37" s="110">
        <f t="shared" si="21"/>
        <v>0.9872006174138982</v>
      </c>
      <c r="H37" s="413" t="b">
        <f>Wh_hp&gt;='2024'!Maxi_hp</f>
        <v>0</v>
      </c>
      <c r="I37" s="389">
        <f>IF(H37,Wh_hp,'2024'!Maxi_hp)</f>
        <v>31.229210353885971</v>
      </c>
      <c r="J37" s="85">
        <f>IF(H37,An,'2024'!An_max)</f>
        <v>2022</v>
      </c>
      <c r="K37" s="196">
        <f t="shared" si="3"/>
        <v>45680</v>
      </c>
      <c r="L37" s="147">
        <f>IF(t&lt;Tvie,1-EXP((T0-t)*PertePVj)+'2024'!Pspv,1-EXP((T0-t)*PertePVj)+Pspv)</f>
        <v>5.0632229517168149E-2</v>
      </c>
      <c r="M37" s="847"/>
      <c r="N37" s="847"/>
      <c r="O37" s="48">
        <f>IF(t&lt;Tnet,'2024'!Resal+('2024'!Salim-'2024'!Resal)*(1-EXP(('2024'!Tnet-t)/('2024'!Tau_j))),Resal+(Salim-Resal)*(1-EXP((Tnet-t)/(Tau_j))))*Salcycl</f>
        <v>2.8750798357599711E-2</v>
      </c>
      <c r="P37" s="168">
        <f>(INDEX(Models!$BJ37:$BT37,,T37)*(1-R37)+INDEX(Models!$BJ37:$BT37,,T37+1)*R37-ERP_i)*Q37*Ramure*Pc/MaxiM</f>
        <v>9.9638202143985974E-4</v>
      </c>
      <c r="Q37" s="304">
        <f t="shared" si="4"/>
        <v>0.5</v>
      </c>
      <c r="R37" s="176">
        <f t="shared" si="5"/>
        <v>0.63538901572124029</v>
      </c>
      <c r="S37" s="814">
        <f t="shared" si="6"/>
        <v>1</v>
      </c>
      <c r="T37" s="175">
        <f t="shared" si="7"/>
        <v>7</v>
      </c>
      <c r="U37" s="250">
        <f t="shared" si="8"/>
        <v>1.6353890157212403</v>
      </c>
      <c r="V37" s="382">
        <f t="shared" si="9"/>
        <v>29.139609737823982</v>
      </c>
      <c r="W37" s="401">
        <f t="shared" si="10"/>
        <v>28.767164600386593</v>
      </c>
      <c r="X37" s="157">
        <f t="shared" si="11"/>
        <v>45680</v>
      </c>
      <c r="Y37" s="384">
        <f t="shared" si="12"/>
        <v>27.272326700682072</v>
      </c>
      <c r="Z37" s="384">
        <f t="shared" si="22"/>
        <v>28.726830158571577</v>
      </c>
      <c r="AA37" s="385">
        <f t="shared" si="13"/>
        <v>31.198369650244334</v>
      </c>
      <c r="AB37" s="196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7.9220148981515914E-2</v>
      </c>
      <c r="AD37" s="230">
        <f>(INDEX(Models!$BJ37:$BT37,,AH37)*(1-AF37)+INDEX(Models!$BJ37:$BT37,,AH37+1)*AF37-ERP_i)*AE37*Ramure*Pc/MaxiM</f>
        <v>9.9638202143985974E-4</v>
      </c>
      <c r="AE37" s="304">
        <f t="shared" si="15"/>
        <v>0.5</v>
      </c>
      <c r="AF37" s="176">
        <f t="shared" si="23"/>
        <v>0.63538901572124029</v>
      </c>
      <c r="AG37" s="814">
        <f t="shared" si="24"/>
        <v>1</v>
      </c>
      <c r="AH37" s="175">
        <f t="shared" si="16"/>
        <v>7</v>
      </c>
      <c r="AI37" s="224">
        <f t="shared" si="17"/>
        <v>1.6353890157212403</v>
      </c>
      <c r="AJ37" s="264" t="b">
        <f t="shared" si="18"/>
        <v>0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10">
        <f>'2024'!Wh/'2024'!Env_an*'2025'!Env_an</f>
        <v>29.430105442393604</v>
      </c>
      <c r="C38" s="843"/>
      <c r="D38" s="392">
        <f t="shared" si="0"/>
        <v>31.000366930068452</v>
      </c>
      <c r="E38" s="384">
        <f t="shared" si="1"/>
        <v>31.920493318535584</v>
      </c>
      <c r="F38" s="384">
        <f t="shared" si="2"/>
        <v>31.952045061605766</v>
      </c>
      <c r="G38" s="110">
        <f t="shared" si="21"/>
        <v>0.9998086288233019</v>
      </c>
      <c r="H38" s="413" t="b">
        <f>Wh_hp&gt;='2024'!Maxi_hp</f>
        <v>0</v>
      </c>
      <c r="I38" s="389">
        <f>IF(H38,Wh_hp,'2024'!Maxi_hp)</f>
        <v>31.952049540874114</v>
      </c>
      <c r="J38" s="85">
        <f>IF(H38,An,'2024'!An_max)</f>
        <v>2022</v>
      </c>
      <c r="K38" s="196">
        <f t="shared" si="3"/>
        <v>45681</v>
      </c>
      <c r="L38" s="147">
        <f>IF(t&lt;Tvie,1-EXP((T0-t)*PertePVj)+'2024'!Pspv,1-EXP((T0-t)*PertePVj)+Pspv)</f>
        <v>5.0652996824750197E-2</v>
      </c>
      <c r="M38" s="847"/>
      <c r="N38" s="847"/>
      <c r="O38" s="48">
        <f>IF(t&lt;Tnet,'2024'!Resal+('2024'!Salim-'2024'!Resal)*(1-EXP(('2024'!Tnet-t)/('2024'!Tau_j))),Resal+(Salim-Resal)*(1-EXP((Tnet-t)/(Tau_j))))*Salcycl</f>
        <v>2.8825569181690342E-2</v>
      </c>
      <c r="P38" s="168">
        <f>(INDEX(Models!$BJ38:$BT38,,T38)*(1-R38)+INDEX(Models!$BJ38:$BT38,,T38+1)*R38-ERP_i)*Q38*Ramure*Pc/MaxiM</f>
        <v>9.8774144334957178E-4</v>
      </c>
      <c r="Q38" s="304">
        <f t="shared" si="4"/>
        <v>0.5</v>
      </c>
      <c r="R38" s="176">
        <f t="shared" si="5"/>
        <v>0.63543212674737792</v>
      </c>
      <c r="S38" s="814">
        <f t="shared" si="6"/>
        <v>1</v>
      </c>
      <c r="T38" s="175">
        <f t="shared" si="7"/>
        <v>7</v>
      </c>
      <c r="U38" s="250">
        <f t="shared" si="8"/>
        <v>1.6354321267473779</v>
      </c>
      <c r="V38" s="382">
        <f t="shared" si="9"/>
        <v>29.435730648977902</v>
      </c>
      <c r="W38" s="401">
        <f t="shared" si="10"/>
        <v>29.430105442393604</v>
      </c>
      <c r="X38" s="157">
        <f t="shared" si="11"/>
        <v>45681</v>
      </c>
      <c r="Y38" s="384">
        <f t="shared" si="12"/>
        <v>27.902326314711704</v>
      </c>
      <c r="Z38" s="384">
        <f t="shared" si="22"/>
        <v>29.391072201616172</v>
      </c>
      <c r="AA38" s="385">
        <f t="shared" si="13"/>
        <v>31.920493318535584</v>
      </c>
      <c r="AB38" s="196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7.9241291532628891E-2</v>
      </c>
      <c r="AD38" s="230">
        <f>(INDEX(Models!$BJ38:$BT38,,AH38)*(1-AF38)+INDEX(Models!$BJ38:$BT38,,AH38+1)*AF38-ERP_i)*AE38*Ramure*Pc/MaxiM</f>
        <v>9.8774144334957178E-4</v>
      </c>
      <c r="AE38" s="304">
        <f t="shared" si="15"/>
        <v>0.5</v>
      </c>
      <c r="AF38" s="176">
        <f t="shared" si="23"/>
        <v>0.63543212674737792</v>
      </c>
      <c r="AG38" s="814">
        <f t="shared" si="24"/>
        <v>1</v>
      </c>
      <c r="AH38" s="175">
        <f t="shared" si="16"/>
        <v>7</v>
      </c>
      <c r="AI38" s="224">
        <f t="shared" si="17"/>
        <v>1.6354321267473779</v>
      </c>
      <c r="AJ38" s="264" t="b">
        <f t="shared" si="18"/>
        <v>0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10">
        <f>'2024'!Wh/'2024'!Env_an*'2025'!Env_an</f>
        <v>28.565445658616152</v>
      </c>
      <c r="C39" s="843"/>
      <c r="D39" s="392">
        <f t="shared" si="0"/>
        <v>30.090230908683427</v>
      </c>
      <c r="E39" s="384">
        <f t="shared" si="1"/>
        <v>30.985727856345346</v>
      </c>
      <c r="F39" s="384">
        <f t="shared" si="2"/>
        <v>31.014266977170021</v>
      </c>
      <c r="G39" s="110">
        <f t="shared" si="21"/>
        <v>0.96054441808827884</v>
      </c>
      <c r="H39" s="413" t="b">
        <f>Wh_hp&gt;='2024'!Maxi_hp</f>
        <v>0</v>
      </c>
      <c r="I39" s="389">
        <f>IF(H39,Wh_hp,'2024'!Maxi_hp)</f>
        <v>31.015158927984054</v>
      </c>
      <c r="J39" s="85">
        <f>IF(H39,An,'2024'!An_max)</f>
        <v>2022</v>
      </c>
      <c r="K39" s="196">
        <f t="shared" si="3"/>
        <v>45682</v>
      </c>
      <c r="L39" s="147">
        <f>IF(t&lt;Tvie,1-EXP((T0-t)*PertePVj)+'2024'!Pspv,1-EXP((T0-t)*PertePVj)+Pspv)</f>
        <v>5.0673763677474871E-2</v>
      </c>
      <c r="M39" s="847"/>
      <c r="N39" s="847"/>
      <c r="O39" s="48">
        <f>IF(t&lt;Tnet,'2024'!Resal+('2024'!Salim-'2024'!Resal)*(1-EXP(('2024'!Tnet-t)/('2024'!Tau_j))),Resal+(Salim-Resal)*(1-EXP((Tnet-t)/(Tau_j))))*Salcycl</f>
        <v>2.8900303772549103E-2</v>
      </c>
      <c r="P39" s="168">
        <f>(INDEX(Models!$BJ39:$BT39,,T39)*(1-R39)+INDEX(Models!$BJ39:$BT39,,T39+1)*R39-ERP_i)*Q39*Ramure*Pc/MaxiM</f>
        <v>9.7508030939290975E-4</v>
      </c>
      <c r="Q39" s="304">
        <f t="shared" si="4"/>
        <v>0.5</v>
      </c>
      <c r="R39" s="176">
        <f t="shared" si="5"/>
        <v>0.63547703316622295</v>
      </c>
      <c r="S39" s="814">
        <f t="shared" si="6"/>
        <v>1</v>
      </c>
      <c r="T39" s="175">
        <f t="shared" si="7"/>
        <v>7</v>
      </c>
      <c r="U39" s="250">
        <f t="shared" si="8"/>
        <v>1.6354770331662229</v>
      </c>
      <c r="V39" s="382">
        <f t="shared" si="9"/>
        <v>29.737173841105076</v>
      </c>
      <c r="W39" s="401">
        <f t="shared" si="10"/>
        <v>28.565445658616152</v>
      </c>
      <c r="X39" s="157">
        <f t="shared" si="11"/>
        <v>45682</v>
      </c>
      <c r="Y39" s="384">
        <f t="shared" si="12"/>
        <v>27.084012294254912</v>
      </c>
      <c r="Z39" s="384">
        <f t="shared" si="22"/>
        <v>28.529720614456252</v>
      </c>
      <c r="AA39" s="385">
        <f t="shared" si="13"/>
        <v>30.985727856345346</v>
      </c>
      <c r="AB39" s="196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7.9262531875175693E-2</v>
      </c>
      <c r="AD39" s="230">
        <f>(INDEX(Models!$BJ39:$BT39,,AH39)*(1-AF39)+INDEX(Models!$BJ39:$BT39,,AH39+1)*AF39-ERP_i)*AE39*Ramure*Pc/MaxiM</f>
        <v>9.7508030939290975E-4</v>
      </c>
      <c r="AE39" s="304">
        <f t="shared" si="15"/>
        <v>0.5</v>
      </c>
      <c r="AF39" s="176">
        <f t="shared" si="23"/>
        <v>0.63547703316622295</v>
      </c>
      <c r="AG39" s="814">
        <f t="shared" si="24"/>
        <v>1</v>
      </c>
      <c r="AH39" s="175">
        <f t="shared" si="16"/>
        <v>7</v>
      </c>
      <c r="AI39" s="224">
        <f t="shared" si="17"/>
        <v>1.6354770331662229</v>
      </c>
      <c r="AJ39" s="264" t="b">
        <f t="shared" si="18"/>
        <v>0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10">
        <f>'2024'!Wh/'2024'!Env_an*'2025'!Env_an</f>
        <v>29.43568653704709</v>
      </c>
      <c r="C40" s="843"/>
      <c r="D40" s="392">
        <f t="shared" si="0"/>
        <v>31.007602367848548</v>
      </c>
      <c r="E40" s="384">
        <f t="shared" si="1"/>
        <v>31.932857004772032</v>
      </c>
      <c r="F40" s="384">
        <f t="shared" si="2"/>
        <v>31.962608969028256</v>
      </c>
      <c r="G40" s="110">
        <f t="shared" si="21"/>
        <v>0.97974047134759523</v>
      </c>
      <c r="H40" s="413" t="b">
        <f>Wh_hp&gt;='2024'!Maxi_hp</f>
        <v>0</v>
      </c>
      <c r="I40" s="389">
        <f>IF(H40,Wh_hp,'2024'!Maxi_hp)</f>
        <v>31.963076487742448</v>
      </c>
      <c r="J40" s="85">
        <f>IF(H40,An,'2024'!An_max)</f>
        <v>2022</v>
      </c>
      <c r="K40" s="196">
        <f t="shared" si="3"/>
        <v>45683</v>
      </c>
      <c r="L40" s="147">
        <f>IF(t&lt;Tvie,1-EXP((T0-t)*PertePVj)+'2024'!Pspv,1-EXP((T0-t)*PertePVj)+Pspv)</f>
        <v>5.0694530075352164E-2</v>
      </c>
      <c r="M40" s="847"/>
      <c r="N40" s="847"/>
      <c r="O40" s="48">
        <f>IF(t&lt;Tnet,'2024'!Resal+('2024'!Salim-'2024'!Resal)*(1-EXP(('2024'!Tnet-t)/('2024'!Tau_j))),Resal+(Salim-Resal)*(1-EXP((Tnet-t)/(Tau_j))))*Salcycl</f>
        <v>2.8975003294732231E-2</v>
      </c>
      <c r="P40" s="168">
        <f>(INDEX(Models!$BJ40:$BT40,,T40)*(1-R40)+INDEX(Models!$BJ40:$BT40,,T40+1)*R40-ERP_i)*Q40*Ramure*Pc/MaxiM</f>
        <v>9.5854162017223056E-4</v>
      </c>
      <c r="Q40" s="304">
        <f t="shared" si="4"/>
        <v>0.5</v>
      </c>
      <c r="R40" s="176">
        <f t="shared" si="5"/>
        <v>0.63552380917365858</v>
      </c>
      <c r="S40" s="814">
        <f t="shared" si="6"/>
        <v>1</v>
      </c>
      <c r="T40" s="175">
        <f t="shared" si="7"/>
        <v>7</v>
      </c>
      <c r="U40" s="250">
        <f t="shared" si="8"/>
        <v>1.6355238091736586</v>
      </c>
      <c r="V40" s="382">
        <f t="shared" si="9"/>
        <v>30.043538181703045</v>
      </c>
      <c r="W40" s="401">
        <f t="shared" si="10"/>
        <v>29.43568653704709</v>
      </c>
      <c r="X40" s="157">
        <f t="shared" si="11"/>
        <v>45683</v>
      </c>
      <c r="Y40" s="384">
        <f t="shared" si="12"/>
        <v>27.910621684357235</v>
      </c>
      <c r="Z40" s="384">
        <f t="shared" si="22"/>
        <v>29.401096452728407</v>
      </c>
      <c r="AA40" s="385">
        <f t="shared" si="13"/>
        <v>31.932857004772032</v>
      </c>
      <c r="AB40" s="196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7.9283872146650627E-2</v>
      </c>
      <c r="AD40" s="230">
        <f>(INDEX(Models!$BJ40:$BT40,,AH40)*(1-AF40)+INDEX(Models!$BJ40:$BT40,,AH40+1)*AF40-ERP_i)*AE40*Ramure*Pc/MaxiM</f>
        <v>9.5854162017223056E-4</v>
      </c>
      <c r="AE40" s="304">
        <f t="shared" si="15"/>
        <v>0.5</v>
      </c>
      <c r="AF40" s="176">
        <f t="shared" si="23"/>
        <v>0.63552380917365858</v>
      </c>
      <c r="AG40" s="814">
        <f t="shared" si="24"/>
        <v>1</v>
      </c>
      <c r="AH40" s="175">
        <f t="shared" si="16"/>
        <v>7</v>
      </c>
      <c r="AI40" s="224">
        <f t="shared" si="17"/>
        <v>1.6355238091736586</v>
      </c>
      <c r="AJ40" s="264" t="b">
        <f t="shared" si="18"/>
        <v>0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10">
        <f>'2024'!Wh/'2024'!Env_an*'2025'!Env_an</f>
        <v>25.806283612527114</v>
      </c>
      <c r="C41" s="843"/>
      <c r="D41" s="392">
        <f t="shared" si="0"/>
        <v>27.184977809383415</v>
      </c>
      <c r="E41" s="384">
        <f t="shared" si="1"/>
        <v>27.998319720765483</v>
      </c>
      <c r="F41" s="384">
        <f t="shared" si="2"/>
        <v>28.018981768853408</v>
      </c>
      <c r="G41" s="110">
        <f t="shared" si="21"/>
        <v>0.8499946525421519</v>
      </c>
      <c r="H41" s="413" t="b">
        <f>Wh_hp&gt;='2024'!Maxi_hp</f>
        <v>0</v>
      </c>
      <c r="I41" s="389">
        <f>IF(H41,Wh_hp,'2024'!Maxi_hp)</f>
        <v>28.021974293111494</v>
      </c>
      <c r="J41" s="85">
        <f>IF(H41,An,'2024'!An_max)</f>
        <v>2022</v>
      </c>
      <c r="K41" s="196">
        <f t="shared" si="3"/>
        <v>45684</v>
      </c>
      <c r="L41" s="147">
        <f>IF(t&lt;Tvie,1-EXP((T0-t)*PertePVj)+'2024'!Pspv,1-EXP((T0-t)*PertePVj)+Pspv)</f>
        <v>5.0715296018392066E-2</v>
      </c>
      <c r="M41" s="847"/>
      <c r="N41" s="847"/>
      <c r="O41" s="48">
        <f>IF(t&lt;Tnet,'2024'!Resal+('2024'!Salim-'2024'!Resal)*(1-EXP(('2024'!Tnet-t)/('2024'!Tau_j))),Resal+(Salim-Resal)*(1-EXP((Tnet-t)/(Tau_j))))*Salcycl</f>
        <v>2.9049668676325552E-2</v>
      </c>
      <c r="P41" s="168">
        <f>(INDEX(Models!$BJ41:$BT41,,T41)*(1-R41)+INDEX(Models!$BJ41:$BT41,,T41+1)*R41-ERP_i)*Q41*Ramure*Pc/MaxiM</f>
        <v>9.3826537408308946E-4</v>
      </c>
      <c r="Q41" s="304">
        <f t="shared" si="4"/>
        <v>0.5</v>
      </c>
      <c r="R41" s="176">
        <f t="shared" si="5"/>
        <v>0.63557253198275165</v>
      </c>
      <c r="S41" s="814">
        <f t="shared" si="6"/>
        <v>1</v>
      </c>
      <c r="T41" s="175">
        <f t="shared" si="7"/>
        <v>7</v>
      </c>
      <c r="U41" s="250">
        <f t="shared" si="8"/>
        <v>1.6355725319827517</v>
      </c>
      <c r="V41" s="382">
        <f t="shared" si="9"/>
        <v>30.354422707841728</v>
      </c>
      <c r="W41" s="401">
        <f t="shared" si="10"/>
        <v>25.806283612527114</v>
      </c>
      <c r="X41" s="157">
        <f t="shared" si="11"/>
        <v>45684</v>
      </c>
      <c r="Y41" s="384">
        <f t="shared" si="12"/>
        <v>24.470570147139565</v>
      </c>
      <c r="Z41" s="384">
        <f t="shared" si="22"/>
        <v>25.777904188808751</v>
      </c>
      <c r="AA41" s="385">
        <f t="shared" si="13"/>
        <v>27.998319720765483</v>
      </c>
      <c r="AB41" s="196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7.930531382245487E-2</v>
      </c>
      <c r="AD41" s="230">
        <f>(INDEX(Models!$BJ41:$BT41,,AH41)*(1-AF41)+INDEX(Models!$BJ41:$BT41,,AH41+1)*AF41-ERP_i)*AE41*Ramure*Pc/MaxiM</f>
        <v>9.3826537408308946E-4</v>
      </c>
      <c r="AE41" s="304">
        <f t="shared" si="15"/>
        <v>0.5</v>
      </c>
      <c r="AF41" s="176">
        <f t="shared" si="23"/>
        <v>0.63557253198275165</v>
      </c>
      <c r="AG41" s="814">
        <f t="shared" si="24"/>
        <v>1</v>
      </c>
      <c r="AH41" s="175">
        <f t="shared" si="16"/>
        <v>7</v>
      </c>
      <c r="AI41" s="224">
        <f t="shared" si="17"/>
        <v>1.6355725319827517</v>
      </c>
      <c r="AJ41" s="264" t="b">
        <f t="shared" si="18"/>
        <v>0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10">
        <f>'2024'!Wh/'2024'!Env_an*'2025'!Env_an</f>
        <v>3.8162237285571141</v>
      </c>
      <c r="C42" s="843"/>
      <c r="D42" s="392">
        <f t="shared" si="0"/>
        <v>4.020192460501506</v>
      </c>
      <c r="E42" s="384">
        <f t="shared" si="1"/>
        <v>4.1407900752942295</v>
      </c>
      <c r="F42" s="384">
        <f t="shared" si="2"/>
        <v>4.1407900752942295</v>
      </c>
      <c r="G42" s="110">
        <f t="shared" si="21"/>
        <v>0.12431710137200253</v>
      </c>
      <c r="H42" s="413" t="b">
        <f>Wh_hp&gt;='2024'!Maxi_hp</f>
        <v>0</v>
      </c>
      <c r="I42" s="389">
        <f>IF(H42,Wh_hp,'2024'!Maxi_hp)</f>
        <v>19.765771987607742</v>
      </c>
      <c r="J42" s="85">
        <f>IF(H42,An,'2024'!An_max)</f>
        <v>2020</v>
      </c>
      <c r="K42" s="196">
        <f t="shared" si="3"/>
        <v>45685</v>
      </c>
      <c r="L42" s="147">
        <f>IF(t&lt;Tvie,1-EXP((T0-t)*PertePVj)+'2024'!Pspv,1-EXP((T0-t)*PertePVj)+Pspv)</f>
        <v>5.0736061506604459E-2</v>
      </c>
      <c r="M42" s="847"/>
      <c r="N42" s="847"/>
      <c r="O42" s="48">
        <f>IF(t&lt;Tnet,'2024'!Resal+('2024'!Salim-'2024'!Resal)*(1-EXP(('2024'!Tnet-t)/('2024'!Tau_j))),Resal+(Salim-Resal)*(1-EXP((Tnet-t)/(Tau_j))))*Salcycl</f>
        <v>2.9124300580283435E-2</v>
      </c>
      <c r="P42" s="168">
        <f>(INDEX(Models!$BJ42:$BT42,,T42)*(1-R42)+INDEX(Models!$BJ42:$BT42,,T42+1)*R42-ERP_i)*Q42*Ramure*Pc/MaxiM</f>
        <v>9.1438794353185184E-4</v>
      </c>
      <c r="Q42" s="304">
        <f t="shared" si="4"/>
        <v>0.5</v>
      </c>
      <c r="R42" s="176">
        <f t="shared" si="5"/>
        <v>0.63562328194225914</v>
      </c>
      <c r="S42" s="814">
        <f t="shared" si="6"/>
        <v>1</v>
      </c>
      <c r="T42" s="175">
        <f t="shared" si="7"/>
        <v>7</v>
      </c>
      <c r="U42" s="250">
        <f t="shared" si="8"/>
        <v>1.6356232819422591</v>
      </c>
      <c r="V42" s="382">
        <f t="shared" si="9"/>
        <v>30.669426631665075</v>
      </c>
      <c r="W42" s="401">
        <f t="shared" si="10"/>
        <v>3.8162237285571141</v>
      </c>
      <c r="X42" s="157">
        <f t="shared" si="11"/>
        <v>45685</v>
      </c>
      <c r="Y42" s="384">
        <f t="shared" si="12"/>
        <v>3.6188924021875533</v>
      </c>
      <c r="Z42" s="384">
        <f t="shared" si="22"/>
        <v>3.812314210451524</v>
      </c>
      <c r="AA42" s="385">
        <f t="shared" si="13"/>
        <v>4.1407900752942295</v>
      </c>
      <c r="AB42" s="196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7.9326857645485693E-2</v>
      </c>
      <c r="AD42" s="230">
        <f>(INDEX(Models!$BJ42:$BT42,,AH42)*(1-AF42)+INDEX(Models!$BJ42:$BT42,,AH42+1)*AF42-ERP_i)*AE42*Ramure*Pc/MaxiM</f>
        <v>9.1438794353185184E-4</v>
      </c>
      <c r="AE42" s="304">
        <f t="shared" si="15"/>
        <v>0.5</v>
      </c>
      <c r="AF42" s="176">
        <f t="shared" si="23"/>
        <v>0.63562328194225914</v>
      </c>
      <c r="AG42" s="814">
        <f t="shared" si="24"/>
        <v>1</v>
      </c>
      <c r="AH42" s="175">
        <f t="shared" si="16"/>
        <v>7</v>
      </c>
      <c r="AI42" s="224">
        <f t="shared" si="17"/>
        <v>1.6356232819422591</v>
      </c>
      <c r="AJ42" s="264" t="b">
        <f t="shared" si="18"/>
        <v>0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10">
        <f>'2024'!Wh/'2024'!Env_an*'2025'!Env_an</f>
        <v>6.1349667363954463</v>
      </c>
      <c r="C43" s="843"/>
      <c r="D43" s="392">
        <f t="shared" si="0"/>
        <v>6.4630085397753598</v>
      </c>
      <c r="E43" s="384">
        <f t="shared" si="1"/>
        <v>6.6573972110803741</v>
      </c>
      <c r="F43" s="384">
        <f t="shared" si="2"/>
        <v>6.6573972110803741</v>
      </c>
      <c r="G43" s="110">
        <f t="shared" si="21"/>
        <v>0.19780222105249121</v>
      </c>
      <c r="H43" s="413" t="b">
        <f>Wh_hp&gt;='2024'!Maxi_hp</f>
        <v>0</v>
      </c>
      <c r="I43" s="389">
        <f>IF(H43,Wh_hp,'2024'!Maxi_hp)</f>
        <v>24.438772504901799</v>
      </c>
      <c r="J43" s="85">
        <f>IF(H43,An,'2024'!An_max)</f>
        <v>2020</v>
      </c>
      <c r="K43" s="196">
        <f t="shared" si="3"/>
        <v>45686</v>
      </c>
      <c r="L43" s="147">
        <f>IF(t&lt;Tvie,1-EXP((T0-t)*PertePVj)+'2024'!Pspv,1-EXP((T0-t)*PertePVj)+Pspv)</f>
        <v>5.0756826539999446E-2</v>
      </c>
      <c r="M43" s="847"/>
      <c r="N43" s="847"/>
      <c r="O43" s="48">
        <f>IF(t&lt;Tnet,'2024'!Resal+('2024'!Salim-'2024'!Resal)*(1-EXP(('2024'!Tnet-t)/('2024'!Tau_j))),Resal+(Salim-Resal)*(1-EXP((Tnet-t)/(Tau_j))))*Salcycl</f>
        <v>2.9198899380899188E-2</v>
      </c>
      <c r="P43" s="168">
        <f>(INDEX(Models!$BJ43:$BT43,,T43)*(1-R43)+INDEX(Models!$BJ43:$BT43,,T43+1)*R43-ERP_i)*Q43*Ramure*Pc/MaxiM</f>
        <v>8.8704154219184945E-4</v>
      </c>
      <c r="Q43" s="304">
        <f t="shared" si="4"/>
        <v>0.5</v>
      </c>
      <c r="R43" s="176">
        <f t="shared" si="5"/>
        <v>0.6356761426594304</v>
      </c>
      <c r="S43" s="814">
        <f t="shared" si="6"/>
        <v>1</v>
      </c>
      <c r="T43" s="175">
        <f t="shared" si="7"/>
        <v>7</v>
      </c>
      <c r="U43" s="250">
        <f t="shared" si="8"/>
        <v>1.6356761426594304</v>
      </c>
      <c r="V43" s="382">
        <f t="shared" si="9"/>
        <v>30.988149341425714</v>
      </c>
      <c r="W43" s="401">
        <f t="shared" si="10"/>
        <v>6.1349667363954463</v>
      </c>
      <c r="X43" s="157">
        <f t="shared" si="11"/>
        <v>45686</v>
      </c>
      <c r="Y43" s="384">
        <f t="shared" si="12"/>
        <v>5.8180468716044054</v>
      </c>
      <c r="Z43" s="384">
        <f t="shared" si="22"/>
        <v>6.1291427047060747</v>
      </c>
      <c r="AA43" s="385">
        <f t="shared" si="13"/>
        <v>6.6573972110803741</v>
      </c>
      <c r="AB43" s="196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7.9348503570597848E-2</v>
      </c>
      <c r="AD43" s="230">
        <f>(INDEX(Models!$BJ43:$BT43,,AH43)*(1-AF43)+INDEX(Models!$BJ43:$BT43,,AH43+1)*AF43-ERP_i)*AE43*Ramure*Pc/MaxiM</f>
        <v>8.8704154219184945E-4</v>
      </c>
      <c r="AE43" s="304">
        <f t="shared" si="15"/>
        <v>0.5</v>
      </c>
      <c r="AF43" s="176">
        <f t="shared" si="23"/>
        <v>0.6356761426594304</v>
      </c>
      <c r="AG43" s="814">
        <f t="shared" si="24"/>
        <v>1</v>
      </c>
      <c r="AH43" s="175">
        <f t="shared" si="16"/>
        <v>7</v>
      </c>
      <c r="AI43" s="224">
        <f t="shared" si="17"/>
        <v>1.6356761426594304</v>
      </c>
      <c r="AJ43" s="264" t="b">
        <f t="shared" si="18"/>
        <v>0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10">
        <f>'2024'!Wh/'2024'!Env_an*'2025'!Env_an</f>
        <v>4.3660293081349852</v>
      </c>
      <c r="C44" s="843"/>
      <c r="D44" s="392">
        <f t="shared" si="0"/>
        <v>4.5995851628492641</v>
      </c>
      <c r="E44" s="384">
        <f t="shared" si="1"/>
        <v>4.7382913701222176</v>
      </c>
      <c r="F44" s="384">
        <f t="shared" si="2"/>
        <v>4.7382913701222176</v>
      </c>
      <c r="G44" s="110">
        <f t="shared" si="21"/>
        <v>0.13932494137464896</v>
      </c>
      <c r="H44" s="413" t="b">
        <f>Wh_hp&gt;='2024'!Maxi_hp</f>
        <v>0</v>
      </c>
      <c r="I44" s="389">
        <f>IF(H44,Wh_hp,'2024'!Maxi_hp)</f>
        <v>10.973075209769302</v>
      </c>
      <c r="J44" s="85">
        <f>IF(H44,An,'2024'!An_max)</f>
        <v>2020</v>
      </c>
      <c r="K44" s="196">
        <f t="shared" si="3"/>
        <v>45687</v>
      </c>
      <c r="L44" s="147">
        <f>IF(t&lt;Tvie,1-EXP((T0-t)*PertePVj)+'2024'!Pspv,1-EXP((T0-t)*PertePVj)+Pspv)</f>
        <v>5.0777591118586908E-2</v>
      </c>
      <c r="M44" s="847"/>
      <c r="N44" s="847"/>
      <c r="O44" s="48">
        <f>IF(t&lt;Tnet,'2024'!Resal+('2024'!Salim-'2024'!Resal)*(1-EXP(('2024'!Tnet-t)/('2024'!Tau_j))),Resal+(Salim-Resal)*(1-EXP((Tnet-t)/(Tau_j))))*Salcycl</f>
        <v>2.9273465145596537E-2</v>
      </c>
      <c r="P44" s="168">
        <f>(INDEX(Models!$BJ44:$BT44,,T44)*(1-R44)+INDEX(Models!$BJ44:$BT44,,T44+1)*R44-ERP_i)*Q44*Ramure*Pc/MaxiM</f>
        <v>8.5727928270525847E-4</v>
      </c>
      <c r="Q44" s="304">
        <f t="shared" si="4"/>
        <v>0.5</v>
      </c>
      <c r="R44" s="176">
        <f t="shared" si="5"/>
        <v>0.63573120112722648</v>
      </c>
      <c r="S44" s="814">
        <f t="shared" si="6"/>
        <v>1</v>
      </c>
      <c r="T44" s="175">
        <f t="shared" si="7"/>
        <v>7</v>
      </c>
      <c r="U44" s="250">
        <f t="shared" si="8"/>
        <v>1.6357312011272265</v>
      </c>
      <c r="V44" s="382">
        <f t="shared" si="9"/>
        <v>31.310161401260654</v>
      </c>
      <c r="W44" s="401">
        <f t="shared" si="10"/>
        <v>4.3660293081349852</v>
      </c>
      <c r="X44" s="157">
        <f t="shared" si="11"/>
        <v>45687</v>
      </c>
      <c r="Y44" s="384">
        <f t="shared" si="12"/>
        <v>4.1407093789621552</v>
      </c>
      <c r="Z44" s="384">
        <f t="shared" si="22"/>
        <v>4.362211996071256</v>
      </c>
      <c r="AA44" s="385">
        <f t="shared" si="13"/>
        <v>4.7382913701222176</v>
      </c>
      <c r="AB44" s="196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7.937025072421007E-2</v>
      </c>
      <c r="AD44" s="230">
        <f>(INDEX(Models!$BJ44:$BT44,,AH44)*(1-AF44)+INDEX(Models!$BJ44:$BT44,,AH44+1)*AF44-ERP_i)*AE44*Ramure*Pc/MaxiM</f>
        <v>8.5727928270525847E-4</v>
      </c>
      <c r="AE44" s="304">
        <f t="shared" si="15"/>
        <v>0.5</v>
      </c>
      <c r="AF44" s="176">
        <f t="shared" si="23"/>
        <v>0.63573120112722648</v>
      </c>
      <c r="AG44" s="814">
        <f t="shared" si="24"/>
        <v>1</v>
      </c>
      <c r="AH44" s="175">
        <f t="shared" si="16"/>
        <v>7</v>
      </c>
      <c r="AI44" s="224">
        <f t="shared" si="17"/>
        <v>1.6357312011272265</v>
      </c>
      <c r="AJ44" s="264" t="b">
        <f t="shared" si="18"/>
        <v>0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10">
        <f>'2024'!Wh/'2024'!Env_an*'2025'!Env_an</f>
        <v>10.862488282683749</v>
      </c>
      <c r="C45" s="843"/>
      <c r="D45" s="392">
        <f t="shared" si="0"/>
        <v>11.443815276423656</v>
      </c>
      <c r="E45" s="384">
        <f t="shared" si="1"/>
        <v>11.789822973001138</v>
      </c>
      <c r="F45" s="384">
        <f t="shared" si="2"/>
        <v>11.790427372559735</v>
      </c>
      <c r="G45" s="110">
        <f t="shared" si="21"/>
        <v>0.3431028779552836</v>
      </c>
      <c r="H45" s="413" t="b">
        <f>Wh_hp&gt;='2024'!Maxi_hp</f>
        <v>0</v>
      </c>
      <c r="I45" s="389">
        <f>IF(H45,Wh_hp,'2024'!Maxi_hp)</f>
        <v>22.393686095850722</v>
      </c>
      <c r="J45" s="85">
        <f>IF(H45,An,'2024'!An_max)</f>
        <v>2020</v>
      </c>
      <c r="K45" s="196">
        <f t="shared" si="3"/>
        <v>45688</v>
      </c>
      <c r="L45" s="147">
        <f>IF(t&lt;Tvie,1-EXP((T0-t)*PertePVj)+'2024'!Pspv,1-EXP((T0-t)*PertePVj)+Pspv)</f>
        <v>5.0798355242376726E-2</v>
      </c>
      <c r="M45" s="847"/>
      <c r="N45" s="847"/>
      <c r="O45" s="48">
        <f>IF(t&lt;Tnet,'2024'!Resal+('2024'!Salim-'2024'!Resal)*(1-EXP(('2024'!Tnet-t)/('2024'!Tau_j))),Resal+(Salim-Resal)*(1-EXP((Tnet-t)/(Tau_j))))*Salcycl</f>
        <v>2.9347997622173348E-2</v>
      </c>
      <c r="P45" s="168">
        <f>(INDEX(Models!$BJ45:$BT45,,T45)*(1-R45)+INDEX(Models!$BJ45:$BT45,,T45+1)*R45-ERP_i)*Q45*Ramure*Pc/MaxiM</f>
        <v>8.2738819654554544E-4</v>
      </c>
      <c r="Q45" s="304">
        <f t="shared" si="4"/>
        <v>0.5</v>
      </c>
      <c r="R45" s="176">
        <f t="shared" si="5"/>
        <v>0.63578854785608452</v>
      </c>
      <c r="S45" s="814">
        <f t="shared" si="6"/>
        <v>1</v>
      </c>
      <c r="T45" s="175">
        <f t="shared" si="7"/>
        <v>7</v>
      </c>
      <c r="U45" s="250">
        <f t="shared" si="8"/>
        <v>1.6357885478560845</v>
      </c>
      <c r="V45" s="382">
        <f t="shared" si="9"/>
        <v>31.634993131604965</v>
      </c>
      <c r="W45" s="401">
        <f t="shared" si="10"/>
        <v>10.862488282683749</v>
      </c>
      <c r="X45" s="157">
        <f t="shared" si="11"/>
        <v>45688</v>
      </c>
      <c r="Y45" s="384">
        <f t="shared" si="12"/>
        <v>10.302448797990866</v>
      </c>
      <c r="Z45" s="384">
        <f t="shared" si="22"/>
        <v>10.853804199445499</v>
      </c>
      <c r="AA45" s="385">
        <f t="shared" si="13"/>
        <v>11.789822973001138</v>
      </c>
      <c r="AB45" s="196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7.9392097379166429E-2</v>
      </c>
      <c r="AD45" s="230">
        <f>(INDEX(Models!$BJ45:$BT45,,AH45)*(1-AF45)+INDEX(Models!$BJ45:$BT45,,AH45+1)*AF45-ERP_i)*AE45*Ramure*Pc/MaxiM</f>
        <v>8.2738819654554544E-4</v>
      </c>
      <c r="AE45" s="304">
        <f t="shared" si="15"/>
        <v>0.5</v>
      </c>
      <c r="AF45" s="176">
        <f t="shared" si="23"/>
        <v>0.63578854785608452</v>
      </c>
      <c r="AG45" s="814">
        <f t="shared" si="24"/>
        <v>1</v>
      </c>
      <c r="AH45" s="175">
        <f t="shared" si="16"/>
        <v>7</v>
      </c>
      <c r="AI45" s="224">
        <f t="shared" si="17"/>
        <v>1.6357885478560845</v>
      </c>
      <c r="AJ45" s="264" t="b">
        <f t="shared" si="18"/>
        <v>0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10">
        <f>'2024'!Wh/'2024'!Env_an*'2025'!Env_an</f>
        <v>13.779021350930631</v>
      </c>
      <c r="C46" s="843"/>
      <c r="D46" s="392">
        <f t="shared" si="0"/>
        <v>14.516749784432438</v>
      </c>
      <c r="E46" s="384">
        <f t="shared" si="1"/>
        <v>14.956816666436941</v>
      </c>
      <c r="F46" s="384">
        <f t="shared" si="2"/>
        <v>14.959050699755561</v>
      </c>
      <c r="G46" s="110">
        <f t="shared" si="21"/>
        <v>0.43082364169730797</v>
      </c>
      <c r="H46" s="413" t="b">
        <f>Wh_hp&gt;='2024'!Maxi_hp</f>
        <v>0</v>
      </c>
      <c r="I46" s="389">
        <f>IF(H46,Wh_hp,'2024'!Maxi_hp)</f>
        <v>27.773324166847818</v>
      </c>
      <c r="J46" s="85">
        <f>IF(H46,An,'2024'!An_max)</f>
        <v>2019</v>
      </c>
      <c r="K46" s="196">
        <f t="shared" si="3"/>
        <v>45689</v>
      </c>
      <c r="L46" s="147">
        <f>IF(t&lt;Tvie,1-EXP((T0-t)*PertePVj)+'2024'!Pspv,1-EXP((T0-t)*PertePVj)+Pspv)</f>
        <v>5.0819118911379003E-2</v>
      </c>
      <c r="M46" s="847"/>
      <c r="N46" s="847"/>
      <c r="O46" s="48">
        <f>IF(t&lt;Tnet,'2024'!Resal+('2024'!Salim-'2024'!Resal)*(1-EXP(('2024'!Tnet-t)/('2024'!Tau_j))),Resal+(Salim-Resal)*(1-EXP((Tnet-t)/(Tau_j))))*Salcycl</f>
        <v>2.9422496231568524E-2</v>
      </c>
      <c r="P46" s="168">
        <f>(INDEX(Models!$BJ46:$BT46,,T46)*(1-R46)+INDEX(Models!$BJ46:$BT46,,T46+1)*R46-ERP_i)*Q46*Ramure*Pc/MaxiM</f>
        <v>7.9739008048355367E-4</v>
      </c>
      <c r="Q46" s="304">
        <f t="shared" si="4"/>
        <v>0.5</v>
      </c>
      <c r="R46" s="176">
        <f t="shared" si="5"/>
        <v>0.63584827701034863</v>
      </c>
      <c r="S46" s="814">
        <f t="shared" si="6"/>
        <v>1</v>
      </c>
      <c r="T46" s="175">
        <f t="shared" si="7"/>
        <v>7</v>
      </c>
      <c r="U46" s="250">
        <f t="shared" si="8"/>
        <v>1.6358482770103486</v>
      </c>
      <c r="V46" s="382">
        <f t="shared" si="9"/>
        <v>31.962244485654086</v>
      </c>
      <c r="W46" s="401">
        <f t="shared" si="10"/>
        <v>13.779021350930631</v>
      </c>
      <c r="X46" s="157">
        <f t="shared" si="11"/>
        <v>45689</v>
      </c>
      <c r="Y46" s="384">
        <f t="shared" si="12"/>
        <v>13.069305167220294</v>
      </c>
      <c r="Z46" s="384">
        <f t="shared" si="22"/>
        <v>13.769035415284634</v>
      </c>
      <c r="AA46" s="385">
        <f t="shared" si="13"/>
        <v>14.956816666436941</v>
      </c>
      <c r="AB46" s="196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7.9414040944801118E-2</v>
      </c>
      <c r="AD46" s="230">
        <f>(INDEX(Models!$BJ46:$BT46,,AH46)*(1-AF46)+INDEX(Models!$BJ46:$BT46,,AH46+1)*AF46-ERP_i)*AE46*Ramure*Pc/MaxiM</f>
        <v>7.9739008048355367E-4</v>
      </c>
      <c r="AE46" s="304">
        <f t="shared" si="15"/>
        <v>0.5</v>
      </c>
      <c r="AF46" s="176">
        <f t="shared" si="23"/>
        <v>0.63584827701034863</v>
      </c>
      <c r="AG46" s="814">
        <f t="shared" si="24"/>
        <v>1</v>
      </c>
      <c r="AH46" s="175">
        <f t="shared" si="16"/>
        <v>7</v>
      </c>
      <c r="AI46" s="224">
        <f t="shared" si="17"/>
        <v>1.6358482770103486</v>
      </c>
      <c r="AJ46" s="264" t="b">
        <f t="shared" si="18"/>
        <v>0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10">
        <f>'2024'!Wh/'2024'!Env_an*'2025'!Env_an</f>
        <v>5.0921990630634388</v>
      </c>
      <c r="C47" s="843"/>
      <c r="D47" s="392">
        <f t="shared" si="0"/>
        <v>5.364952621974048</v>
      </c>
      <c r="E47" s="384">
        <f t="shared" si="1"/>
        <v>5.5280121763861807</v>
      </c>
      <c r="F47" s="384">
        <f t="shared" si="2"/>
        <v>5.5280121763861807</v>
      </c>
      <c r="G47" s="110">
        <f t="shared" si="21"/>
        <v>0.15757364447257699</v>
      </c>
      <c r="H47" s="413" t="b">
        <f>Wh_hp&gt;='2024'!Maxi_hp</f>
        <v>0</v>
      </c>
      <c r="I47" s="389">
        <f>IF(H47,Wh_hp,'2024'!Maxi_hp)</f>
        <v>31.04236433925411</v>
      </c>
      <c r="J47" s="85">
        <f>IF(H47,An,'2024'!An_max)</f>
        <v>2021</v>
      </c>
      <c r="K47" s="196">
        <f t="shared" si="3"/>
        <v>45690</v>
      </c>
      <c r="L47" s="147">
        <f>IF(t&lt;Tvie,1-EXP((T0-t)*PertePVj)+'2024'!Pspv,1-EXP((T0-t)*PertePVj)+Pspv)</f>
        <v>5.0839882125603732E-2</v>
      </c>
      <c r="M47" s="847"/>
      <c r="N47" s="847"/>
      <c r="O47" s="48">
        <f>IF(t&lt;Tnet,'2024'!Resal+('2024'!Salim-'2024'!Resal)*(1-EXP(('2024'!Tnet-t)/('2024'!Tau_j))),Resal+(Salim-Resal)*(1-EXP((Tnet-t)/(Tau_j))))*Salcycl</f>
        <v>2.9496960066164223E-2</v>
      </c>
      <c r="P47" s="168">
        <f>(INDEX(Models!$BJ47:$BT47,,T47)*(1-R47)+INDEX(Models!$BJ47:$BT47,,T47+1)*R47-ERP_i)*Q47*Ramure*Pc/MaxiM</f>
        <v>7.6730417900829474E-4</v>
      </c>
      <c r="Q47" s="304">
        <f t="shared" si="4"/>
        <v>0.5</v>
      </c>
      <c r="R47" s="176">
        <f t="shared" si="5"/>
        <v>0.63591048654949556</v>
      </c>
      <c r="S47" s="814">
        <f t="shared" si="6"/>
        <v>1</v>
      </c>
      <c r="T47" s="175">
        <f t="shared" si="7"/>
        <v>7</v>
      </c>
      <c r="U47" s="250">
        <f t="shared" si="8"/>
        <v>1.6359104865494956</v>
      </c>
      <c r="V47" s="382">
        <f t="shared" si="9"/>
        <v>32.291515592428517</v>
      </c>
      <c r="W47" s="401">
        <f t="shared" si="10"/>
        <v>5.0921990630634388</v>
      </c>
      <c r="X47" s="157">
        <f t="shared" si="11"/>
        <v>45690</v>
      </c>
      <c r="Y47" s="384">
        <f t="shared" si="12"/>
        <v>4.8301700750577563</v>
      </c>
      <c r="Z47" s="384">
        <f t="shared" si="22"/>
        <v>5.0888885701126139</v>
      </c>
      <c r="AA47" s="385">
        <f t="shared" si="13"/>
        <v>5.5280121763861807</v>
      </c>
      <c r="AB47" s="196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7.9436077971997948E-2</v>
      </c>
      <c r="AD47" s="230">
        <f>(INDEX(Models!$BJ47:$BT47,,AH47)*(1-AF47)+INDEX(Models!$BJ47:$BT47,,AH47+1)*AF47-ERP_i)*AE47*Ramure*Pc/MaxiM</f>
        <v>7.6730417900829474E-4</v>
      </c>
      <c r="AE47" s="304">
        <f t="shared" si="15"/>
        <v>0.5</v>
      </c>
      <c r="AF47" s="176">
        <f t="shared" si="23"/>
        <v>0.63591048654949556</v>
      </c>
      <c r="AG47" s="814">
        <f t="shared" si="24"/>
        <v>1</v>
      </c>
      <c r="AH47" s="175">
        <f t="shared" si="16"/>
        <v>7</v>
      </c>
      <c r="AI47" s="224">
        <f t="shared" si="17"/>
        <v>1.6359104865494956</v>
      </c>
      <c r="AJ47" s="264" t="b">
        <f t="shared" si="18"/>
        <v>0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10">
        <f>'2024'!Wh/'2024'!Env_an*'2025'!Env_an</f>
        <v>14.229561167207921</v>
      </c>
      <c r="C48" s="843"/>
      <c r="D48" s="392">
        <f t="shared" si="0"/>
        <v>14.992067382439055</v>
      </c>
      <c r="E48" s="384">
        <f t="shared" si="1"/>
        <v>15.448913186820727</v>
      </c>
      <c r="F48" s="384">
        <f t="shared" si="2"/>
        <v>15.451129142408131</v>
      </c>
      <c r="G48" s="110">
        <f t="shared" si="21"/>
        <v>0.43593078643923533</v>
      </c>
      <c r="H48" s="413" t="b">
        <f>Wh_hp&gt;='2024'!Maxi_hp</f>
        <v>0</v>
      </c>
      <c r="I48" s="389">
        <f>IF(H48,Wh_hp,'2024'!Maxi_hp)</f>
        <v>27.850010824525498</v>
      </c>
      <c r="J48" s="85">
        <f>IF(H48,An,'2024'!An_max)</f>
        <v>2020</v>
      </c>
      <c r="K48" s="196">
        <f t="shared" si="3"/>
        <v>45691</v>
      </c>
      <c r="L48" s="147">
        <f>IF(t&lt;Tvie,1-EXP((T0-t)*PertePVj)+'2024'!Pspv,1-EXP((T0-t)*PertePVj)+Pspv)</f>
        <v>5.0860644885060681E-2</v>
      </c>
      <c r="M48" s="847"/>
      <c r="N48" s="847"/>
      <c r="O48" s="48">
        <f>IF(t&lt;Tnet,'2024'!Resal+('2024'!Salim-'2024'!Resal)*(1-EXP(('2024'!Tnet-t)/('2024'!Tau_j))),Resal+(Salim-Resal)*(1-EXP((Tnet-t)/(Tau_j))))*Salcycl</f>
        <v>2.9571387893576943E-2</v>
      </c>
      <c r="P48" s="168">
        <f>(INDEX(Models!$BJ48:$BT48,,T48)*(1-R48)+INDEX(Models!$BJ48:$BT48,,T48+1)*R48-ERP_i)*Q48*Ramure*Pc/MaxiM</f>
        <v>7.3714729962171314E-4</v>
      </c>
      <c r="Q48" s="304">
        <f t="shared" si="4"/>
        <v>0.5</v>
      </c>
      <c r="R48" s="176">
        <f t="shared" si="5"/>
        <v>0.63597527837427537</v>
      </c>
      <c r="S48" s="814">
        <f t="shared" si="6"/>
        <v>1</v>
      </c>
      <c r="T48" s="175">
        <f t="shared" si="7"/>
        <v>7</v>
      </c>
      <c r="U48" s="250">
        <f t="shared" si="8"/>
        <v>1.6359752783742754</v>
      </c>
      <c r="V48" s="382">
        <f t="shared" si="9"/>
        <v>32.622406760572474</v>
      </c>
      <c r="W48" s="401">
        <f t="shared" si="10"/>
        <v>14.229561167207921</v>
      </c>
      <c r="X48" s="157">
        <f t="shared" si="11"/>
        <v>45691</v>
      </c>
      <c r="Y48" s="384">
        <f t="shared" si="12"/>
        <v>13.498062224547088</v>
      </c>
      <c r="Z48" s="384">
        <f t="shared" si="22"/>
        <v>14.22137028857316</v>
      </c>
      <c r="AA48" s="385">
        <f t="shared" si="13"/>
        <v>15.448913186820727</v>
      </c>
      <c r="AB48" s="196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7.9458204172884309E-2</v>
      </c>
      <c r="AD48" s="230">
        <f>(INDEX(Models!$BJ48:$BT48,,AH48)*(1-AF48)+INDEX(Models!$BJ48:$BT48,,AH48+1)*AF48-ERP_i)*AE48*Ramure*Pc/MaxiM</f>
        <v>7.3714729962171314E-4</v>
      </c>
      <c r="AE48" s="304">
        <f t="shared" si="15"/>
        <v>0.5</v>
      </c>
      <c r="AF48" s="176">
        <f t="shared" si="23"/>
        <v>0.63597527837427537</v>
      </c>
      <c r="AG48" s="814">
        <f t="shared" si="24"/>
        <v>1</v>
      </c>
      <c r="AH48" s="175">
        <f t="shared" si="16"/>
        <v>7</v>
      </c>
      <c r="AI48" s="224">
        <f t="shared" si="17"/>
        <v>1.6359752783742754</v>
      </c>
      <c r="AJ48" s="264" t="b">
        <f t="shared" si="18"/>
        <v>0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10">
        <f>'2024'!Wh/'2024'!Env_an*'2025'!Env_an</f>
        <v>11.839980606775676</v>
      </c>
      <c r="C49" s="843"/>
      <c r="D49" s="392">
        <f t="shared" si="0"/>
        <v>12.474711481226747</v>
      </c>
      <c r="E49" s="384">
        <f t="shared" si="1"/>
        <v>12.855832643925652</v>
      </c>
      <c r="F49" s="384">
        <f t="shared" si="2"/>
        <v>12.856602364769245</v>
      </c>
      <c r="G49" s="110">
        <f t="shared" si="21"/>
        <v>0.3590499715265475</v>
      </c>
      <c r="H49" s="413" t="b">
        <f>Wh_hp&gt;='2024'!Maxi_hp</f>
        <v>0</v>
      </c>
      <c r="I49" s="389">
        <f>IF(H49,Wh_hp,'2024'!Maxi_hp)</f>
        <v>29.1914143774355</v>
      </c>
      <c r="J49" s="85">
        <f>IF(H49,An,'2024'!An_max)</f>
        <v>2019</v>
      </c>
      <c r="K49" s="196">
        <f t="shared" si="3"/>
        <v>45692</v>
      </c>
      <c r="L49" s="147">
        <f>IF(t&lt;Tvie,1-EXP((T0-t)*PertePVj)+'2024'!Pspv,1-EXP((T0-t)*PertePVj)+Pspv)</f>
        <v>5.0881407189759843E-2</v>
      </c>
      <c r="M49" s="847"/>
      <c r="N49" s="847"/>
      <c r="O49" s="48">
        <f>IF(t&lt;Tnet,'2024'!Resal+('2024'!Salim-'2024'!Resal)*(1-EXP(('2024'!Tnet-t)/('2024'!Tau_j))),Resal+(Salim-Resal)*(1-EXP((Tnet-t)/(Tau_j))))*Salcycl</f>
        <v>2.9645778165833848E-2</v>
      </c>
      <c r="P49" s="168">
        <f>(INDEX(Models!$BJ49:$BT49,,T49)*(1-R49)+INDEX(Models!$BJ49:$BT49,,T49+1)*R49-ERP_i)*Q49*Ramure*Pc/MaxiM</f>
        <v>7.0693393046354581E-4</v>
      </c>
      <c r="Q49" s="304">
        <f t="shared" si="4"/>
        <v>0.5</v>
      </c>
      <c r="R49" s="176">
        <f t="shared" si="5"/>
        <v>0.63604275847789493</v>
      </c>
      <c r="S49" s="814">
        <f t="shared" si="6"/>
        <v>1</v>
      </c>
      <c r="T49" s="175">
        <f t="shared" si="7"/>
        <v>7</v>
      </c>
      <c r="U49" s="250">
        <f t="shared" si="8"/>
        <v>1.6360427584778949</v>
      </c>
      <c r="V49" s="382">
        <f t="shared" si="9"/>
        <v>32.954518474823253</v>
      </c>
      <c r="W49" s="401">
        <f t="shared" si="10"/>
        <v>11.839980606775676</v>
      </c>
      <c r="X49" s="157">
        <f t="shared" si="11"/>
        <v>45692</v>
      </c>
      <c r="Y49" s="384">
        <f t="shared" si="12"/>
        <v>11.231912837368698</v>
      </c>
      <c r="Z49" s="384">
        <f t="shared" si="22"/>
        <v>11.834045737226775</v>
      </c>
      <c r="AA49" s="385">
        <f t="shared" si="13"/>
        <v>12.855832643925652</v>
      </c>
      <c r="AB49" s="196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7.9480414454653758E-2</v>
      </c>
      <c r="AD49" s="230">
        <f>(INDEX(Models!$BJ49:$BT49,,AH49)*(1-AF49)+INDEX(Models!$BJ49:$BT49,,AH49+1)*AF49-ERP_i)*AE49*Ramure*Pc/MaxiM</f>
        <v>7.0693393046354581E-4</v>
      </c>
      <c r="AE49" s="304">
        <f t="shared" si="15"/>
        <v>0.5</v>
      </c>
      <c r="AF49" s="176">
        <f t="shared" si="23"/>
        <v>0.63604275847789493</v>
      </c>
      <c r="AG49" s="814">
        <f t="shared" si="24"/>
        <v>1</v>
      </c>
      <c r="AH49" s="175">
        <f t="shared" si="16"/>
        <v>7</v>
      </c>
      <c r="AI49" s="224">
        <f t="shared" si="17"/>
        <v>1.6360427584778949</v>
      </c>
      <c r="AJ49" s="264" t="b">
        <f t="shared" si="18"/>
        <v>0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10">
        <f>'2024'!Wh/'2024'!Env_an*'2025'!Env_an</f>
        <v>9.8111315220821673</v>
      </c>
      <c r="C50" s="843"/>
      <c r="D50" s="392">
        <f t="shared" si="0"/>
        <v>10.33732372157605</v>
      </c>
      <c r="E50" s="384">
        <f t="shared" si="1"/>
        <v>10.653960811618132</v>
      </c>
      <c r="F50" s="384">
        <f t="shared" si="2"/>
        <v>10.653960811618132</v>
      </c>
      <c r="G50" s="110">
        <f t="shared" si="21"/>
        <v>0.29454019909052909</v>
      </c>
      <c r="H50" s="413" t="b">
        <f>Wh_hp&gt;='2024'!Maxi_hp</f>
        <v>0</v>
      </c>
      <c r="I50" s="389">
        <f>IF(H50,Wh_hp,'2024'!Maxi_hp)</f>
        <v>36.34952786245141</v>
      </c>
      <c r="J50" s="85">
        <f>IF(H50,An,'2024'!An_max)</f>
        <v>2020</v>
      </c>
      <c r="K50" s="196">
        <f t="shared" si="3"/>
        <v>45693</v>
      </c>
      <c r="L50" s="147">
        <f>IF(t&lt;Tvie,1-EXP((T0-t)*PertePVj)+'2024'!Pspv,1-EXP((T0-t)*PertePVj)+Pspv)</f>
        <v>5.0902169039711322E-2</v>
      </c>
      <c r="M50" s="847"/>
      <c r="N50" s="847"/>
      <c r="O50" s="48">
        <f>IF(t&lt;Tnet,'2024'!Resal+('2024'!Salim-'2024'!Resal)*(1-EXP(('2024'!Tnet-t)/('2024'!Tau_j))),Resal+(Salim-Resal)*(1-EXP((Tnet-t)/(Tau_j))))*Salcycl</f>
        <v>2.9720129033775865E-2</v>
      </c>
      <c r="P50" s="168">
        <f>(INDEX(Models!$BJ50:$BT50,,T50)*(1-R50)+INDEX(Models!$BJ50:$BT50,,T50+1)*R50-ERP_i)*Q50*Ramure*Pc/MaxiM</f>
        <v>6.7667635818190815E-4</v>
      </c>
      <c r="Q50" s="304">
        <f t="shared" si="4"/>
        <v>0.5</v>
      </c>
      <c r="R50" s="176">
        <f t="shared" si="5"/>
        <v>0.63611303710236355</v>
      </c>
      <c r="S50" s="814">
        <f t="shared" si="6"/>
        <v>1</v>
      </c>
      <c r="T50" s="175">
        <f t="shared" si="7"/>
        <v>7</v>
      </c>
      <c r="U50" s="250">
        <f t="shared" si="8"/>
        <v>1.6361130371023636</v>
      </c>
      <c r="V50" s="382">
        <f t="shared" si="9"/>
        <v>33.287451395796332</v>
      </c>
      <c r="W50" s="401">
        <f t="shared" si="10"/>
        <v>9.8111315220821673</v>
      </c>
      <c r="X50" s="157">
        <f t="shared" si="11"/>
        <v>45693</v>
      </c>
      <c r="Y50" s="384">
        <f t="shared" si="12"/>
        <v>9.3077475037380175</v>
      </c>
      <c r="Z50" s="384">
        <f t="shared" si="22"/>
        <v>9.806942129791322</v>
      </c>
      <c r="AA50" s="385">
        <f t="shared" si="13"/>
        <v>10.653960811618132</v>
      </c>
      <c r="AB50" s="196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7.9502702966875657E-2</v>
      </c>
      <c r="AD50" s="230">
        <f>(INDEX(Models!$BJ50:$BT50,,AH50)*(1-AF50)+INDEX(Models!$BJ50:$BT50,,AH50+1)*AF50-ERP_i)*AE50*Ramure*Pc/MaxiM</f>
        <v>6.7667635818190815E-4</v>
      </c>
      <c r="AE50" s="304">
        <f t="shared" si="15"/>
        <v>0.5</v>
      </c>
      <c r="AF50" s="176">
        <f t="shared" si="23"/>
        <v>0.63611303710236355</v>
      </c>
      <c r="AG50" s="814">
        <f t="shared" si="24"/>
        <v>1</v>
      </c>
      <c r="AH50" s="175">
        <f t="shared" si="16"/>
        <v>7</v>
      </c>
      <c r="AI50" s="224">
        <f t="shared" si="17"/>
        <v>1.6361130371023636</v>
      </c>
      <c r="AJ50" s="264" t="b">
        <f t="shared" si="18"/>
        <v>0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10">
        <f>'2024'!Wh/'2024'!Env_an*'2025'!Env_an</f>
        <v>22.215852022035723</v>
      </c>
      <c r="C51" s="843"/>
      <c r="D51" s="392">
        <f t="shared" si="0"/>
        <v>23.407848250107214</v>
      </c>
      <c r="E51" s="384">
        <f t="shared" si="1"/>
        <v>24.126689410742713</v>
      </c>
      <c r="F51" s="384">
        <f t="shared" si="2"/>
        <v>24.134727608370142</v>
      </c>
      <c r="G51" s="110">
        <f t="shared" si="21"/>
        <v>0.66050775967316833</v>
      </c>
      <c r="H51" s="413" t="b">
        <f>Wh_hp&gt;='2024'!Maxi_hp</f>
        <v>0</v>
      </c>
      <c r="I51" s="389">
        <f>IF(H51,Wh_hp,'2024'!Maxi_hp)</f>
        <v>37.913350711029565</v>
      </c>
      <c r="J51" s="85">
        <f>IF(H51,An,'2024'!An_max)</f>
        <v>2020</v>
      </c>
      <c r="K51" s="196">
        <f t="shared" si="3"/>
        <v>45694</v>
      </c>
      <c r="L51" s="147">
        <f>IF(t&lt;Tvie,1-EXP((T0-t)*PertePVj)+'2024'!Pspv,1-EXP((T0-t)*PertePVj)+Pspv)</f>
        <v>5.0922930434925108E-2</v>
      </c>
      <c r="M51" s="847"/>
      <c r="N51" s="847"/>
      <c r="O51" s="48">
        <f>IF(t&lt;Tnet,'2024'!Resal+('2024'!Salim-'2024'!Resal)*(1-EXP(('2024'!Tnet-t)/('2024'!Tau_j))),Resal+(Salim-Resal)*(1-EXP((Tnet-t)/(Tau_j))))*Salcycl</f>
        <v>2.9794438366476689E-2</v>
      </c>
      <c r="P51" s="168">
        <f>(INDEX(Models!$BJ51:$BT51,,T51)*(1-R51)+INDEX(Models!$BJ51:$BT51,,T51+1)*R51-ERP_i)*Q51*Ramure*Pc/MaxiM</f>
        <v>6.4632409136392206E-4</v>
      </c>
      <c r="Q51" s="304">
        <f t="shared" si="4"/>
        <v>0.5</v>
      </c>
      <c r="R51" s="176">
        <f t="shared" si="5"/>
        <v>0.63618622890012011</v>
      </c>
      <c r="S51" s="814">
        <f t="shared" si="6"/>
        <v>1</v>
      </c>
      <c r="T51" s="175">
        <f t="shared" si="7"/>
        <v>7</v>
      </c>
      <c r="U51" s="250">
        <f t="shared" si="8"/>
        <v>1.6361862289001201</v>
      </c>
      <c r="V51" s="382">
        <f t="shared" si="9"/>
        <v>33.623965568579329</v>
      </c>
      <c r="W51" s="401">
        <f t="shared" si="10"/>
        <v>22.215852022035723</v>
      </c>
      <c r="X51" s="157">
        <f t="shared" si="11"/>
        <v>45694</v>
      </c>
      <c r="Y51" s="384">
        <f t="shared" si="12"/>
        <v>21.077115814886007</v>
      </c>
      <c r="Z51" s="384">
        <f t="shared" si="22"/>
        <v>22.208012911474967</v>
      </c>
      <c r="AA51" s="385">
        <f t="shared" si="13"/>
        <v>24.126689410742713</v>
      </c>
      <c r="AB51" s="196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7.9525063161522316E-2</v>
      </c>
      <c r="AD51" s="230">
        <f>(INDEX(Models!$BJ51:$BT51,,AH51)*(1-AF51)+INDEX(Models!$BJ51:$BT51,,AH51+1)*AF51-ERP_i)*AE51*Ramure*Pc/MaxiM</f>
        <v>6.4632409136392206E-4</v>
      </c>
      <c r="AE51" s="304">
        <f t="shared" si="15"/>
        <v>0.5</v>
      </c>
      <c r="AF51" s="176">
        <f t="shared" si="23"/>
        <v>0.63618622890012011</v>
      </c>
      <c r="AG51" s="814">
        <f t="shared" si="24"/>
        <v>1</v>
      </c>
      <c r="AH51" s="175">
        <f t="shared" si="16"/>
        <v>7</v>
      </c>
      <c r="AI51" s="224">
        <f t="shared" si="17"/>
        <v>1.6361862289001201</v>
      </c>
      <c r="AJ51" s="264" t="b">
        <f t="shared" si="18"/>
        <v>0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10">
        <f>'2024'!Wh/'2024'!Env_an*'2025'!Env_an</f>
        <v>13.749416234195968</v>
      </c>
      <c r="C52" s="843"/>
      <c r="D52" s="392">
        <f t="shared" si="0"/>
        <v>14.487460974915365</v>
      </c>
      <c r="E52" s="384">
        <f t="shared" si="1"/>
        <v>14.933505424776607</v>
      </c>
      <c r="F52" s="384">
        <f t="shared" si="2"/>
        <v>14.93488553008776</v>
      </c>
      <c r="G52" s="110">
        <f t="shared" si="21"/>
        <v>0.40458247363759386</v>
      </c>
      <c r="H52" s="413" t="b">
        <f>Wh_hp&gt;='2024'!Maxi_hp</f>
        <v>0</v>
      </c>
      <c r="I52" s="389">
        <f>IF(H52,Wh_hp,'2024'!Maxi_hp)</f>
        <v>24.755005366085477</v>
      </c>
      <c r="J52" s="85">
        <f>IF(H52,An,'2024'!An_max)</f>
        <v>2021</v>
      </c>
      <c r="K52" s="196">
        <f t="shared" si="3"/>
        <v>45695</v>
      </c>
      <c r="L52" s="147">
        <f>IF(t&lt;Tvie,1-EXP((T0-t)*PertePVj)+'2024'!Pspv,1-EXP((T0-t)*PertePVj)+Pspv)</f>
        <v>5.0943691375410861E-2</v>
      </c>
      <c r="M52" s="847"/>
      <c r="N52" s="847"/>
      <c r="O52" s="48">
        <f>IF(t&lt;Tnet,'2024'!Resal+('2024'!Salim-'2024'!Resal)*(1-EXP(('2024'!Tnet-t)/('2024'!Tau_j))),Resal+(Salim-Resal)*(1-EXP((Tnet-t)/(Tau_j))))*Salcycl</f>
        <v>2.9868703775417466E-2</v>
      </c>
      <c r="P52" s="168">
        <f>(INDEX(Models!$BJ52:$BT52,,T52)*(1-R52)+INDEX(Models!$BJ52:$BT52,,T52+1)*R52-ERP_i)*Q52*Ramure*Pc/MaxiM</f>
        <v>6.1725982558274691E-4</v>
      </c>
      <c r="Q52" s="304">
        <f t="shared" si="4"/>
        <v>0.5</v>
      </c>
      <c r="R52" s="176">
        <f t="shared" si="5"/>
        <v>0.636262453101061</v>
      </c>
      <c r="S52" s="814">
        <f t="shared" si="6"/>
        <v>1</v>
      </c>
      <c r="T52" s="175">
        <f t="shared" si="7"/>
        <v>7</v>
      </c>
      <c r="U52" s="250">
        <f t="shared" si="8"/>
        <v>1.636262453101061</v>
      </c>
      <c r="V52" s="382">
        <f t="shared" si="9"/>
        <v>33.966372887412781</v>
      </c>
      <c r="W52" s="401">
        <f t="shared" si="10"/>
        <v>13.749416234195968</v>
      </c>
      <c r="X52" s="157">
        <f t="shared" si="11"/>
        <v>45695</v>
      </c>
      <c r="Y52" s="384">
        <f t="shared" si="12"/>
        <v>13.045331866325071</v>
      </c>
      <c r="Z52" s="384">
        <f t="shared" si="22"/>
        <v>13.745582583219846</v>
      </c>
      <c r="AA52" s="385">
        <f t="shared" si="13"/>
        <v>14.933505424776607</v>
      </c>
      <c r="AB52" s="196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7.9547487864827973E-2</v>
      </c>
      <c r="AD52" s="230">
        <f>(INDEX(Models!$BJ52:$BT52,,AH52)*(1-AF52)+INDEX(Models!$BJ52:$BT52,,AH52+1)*AF52-ERP_i)*AE52*Ramure*Pc/MaxiM</f>
        <v>6.1725982558274691E-4</v>
      </c>
      <c r="AE52" s="304">
        <f t="shared" si="15"/>
        <v>0.5</v>
      </c>
      <c r="AF52" s="176">
        <f t="shared" si="23"/>
        <v>0.636262453101061</v>
      </c>
      <c r="AG52" s="814">
        <f t="shared" si="24"/>
        <v>1</v>
      </c>
      <c r="AH52" s="175">
        <f t="shared" si="16"/>
        <v>7</v>
      </c>
      <c r="AI52" s="224">
        <f t="shared" si="17"/>
        <v>1.636262453101061</v>
      </c>
      <c r="AJ52" s="264" t="b">
        <f t="shared" si="18"/>
        <v>0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10">
        <f>'2024'!Wh/'2024'!Env_an*'2025'!Env_an</f>
        <v>34.695080806909495</v>
      </c>
      <c r="C53" s="843"/>
      <c r="D53" s="392">
        <f t="shared" si="0"/>
        <v>36.558252085447108</v>
      </c>
      <c r="E53" s="384">
        <f t="shared" si="1"/>
        <v>37.686702090826692</v>
      </c>
      <c r="F53" s="384">
        <f t="shared" si="2"/>
        <v>37.708985818537428</v>
      </c>
      <c r="G53" s="110">
        <f t="shared" si="21"/>
        <v>1.011116771820453</v>
      </c>
      <c r="H53" s="413" t="b">
        <f>Wh_hp&gt;='2024'!Maxi_hp</f>
        <v>1</v>
      </c>
      <c r="I53" s="389">
        <f>IF(H53,Wh_hp,'2024'!Maxi_hp)</f>
        <v>37.708985818537428</v>
      </c>
      <c r="J53" s="85">
        <f>IF(H53,An,'2024'!An_max)</f>
        <v>2025</v>
      </c>
      <c r="K53" s="196">
        <f t="shared" si="3"/>
        <v>45696</v>
      </c>
      <c r="L53" s="147">
        <f>IF(t&lt;Tvie,1-EXP((T0-t)*PertePVj)+'2024'!Pspv,1-EXP((T0-t)*PertePVj)+Pspv)</f>
        <v>5.0964451861178907E-2</v>
      </c>
      <c r="M53" s="847"/>
      <c r="N53" s="847"/>
      <c r="O53" s="48">
        <f>IF(t&lt;Tnet,'2024'!Resal+('2024'!Salim-'2024'!Resal)*(1-EXP(('2024'!Tnet-t)/('2024'!Tau_j))),Resal+(Salim-Resal)*(1-EXP((Tnet-t)/(Tau_j))))*Salcycl</f>
        <v>2.994292264311078E-2</v>
      </c>
      <c r="P53" s="168">
        <f>(INDEX(Models!$BJ53:$BT53,,T53)*(1-R53)+INDEX(Models!$BJ53:$BT53,,T53+1)*R53-ERP_i)*Q53*Ramure*Pc/MaxiM</f>
        <v>5.9093945984042156E-4</v>
      </c>
      <c r="Q53" s="304">
        <f t="shared" si="4"/>
        <v>0.5</v>
      </c>
      <c r="R53" s="176">
        <f t="shared" si="5"/>
        <v>0.63634183368508057</v>
      </c>
      <c r="S53" s="814">
        <f t="shared" si="6"/>
        <v>1</v>
      </c>
      <c r="T53" s="175">
        <f t="shared" si="7"/>
        <v>7</v>
      </c>
      <c r="U53" s="250">
        <f t="shared" si="8"/>
        <v>1.6363418336850806</v>
      </c>
      <c r="V53" s="382">
        <f t="shared" si="9"/>
        <v>34.313624077704837</v>
      </c>
      <c r="W53" s="401">
        <f t="shared" si="10"/>
        <v>34.695080806909495</v>
      </c>
      <c r="X53" s="157">
        <f t="shared" si="11"/>
        <v>45696</v>
      </c>
      <c r="Y53" s="384">
        <f t="shared" si="12"/>
        <v>32.920118862668247</v>
      </c>
      <c r="Z53" s="384">
        <f t="shared" si="22"/>
        <v>34.687972360180574</v>
      </c>
      <c r="AA53" s="385">
        <f t="shared" si="13"/>
        <v>37.686702090826692</v>
      </c>
      <c r="AB53" s="196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7.9569969359989071E-2</v>
      </c>
      <c r="AD53" s="230">
        <f>(INDEX(Models!$BJ53:$BT53,,AH53)*(1-AF53)+INDEX(Models!$BJ53:$BT53,,AH53+1)*AF53-ERP_i)*AE53*Ramure*Pc/MaxiM</f>
        <v>5.9093945984042156E-4</v>
      </c>
      <c r="AE53" s="304">
        <f t="shared" si="15"/>
        <v>0.5</v>
      </c>
      <c r="AF53" s="176">
        <f t="shared" si="23"/>
        <v>0.63634183368508057</v>
      </c>
      <c r="AG53" s="814">
        <f t="shared" si="24"/>
        <v>1</v>
      </c>
      <c r="AH53" s="175">
        <f t="shared" si="16"/>
        <v>7</v>
      </c>
      <c r="AI53" s="224">
        <f t="shared" si="17"/>
        <v>1.6363418336850806</v>
      </c>
      <c r="AJ53" s="264" t="b">
        <f t="shared" si="18"/>
        <v>0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10">
        <f>'2024'!Wh/'2024'!Env_an*'2025'!Env_an</f>
        <v>34.786973615675755</v>
      </c>
      <c r="C54" s="843"/>
      <c r="D54" s="392">
        <f t="shared" si="0"/>
        <v>36.655881501106471</v>
      </c>
      <c r="E54" s="384">
        <f t="shared" si="1"/>
        <v>37.790234451219007</v>
      </c>
      <c r="F54" s="384">
        <f t="shared" si="2"/>
        <v>37.811685305334414</v>
      </c>
      <c r="G54" s="110">
        <f t="shared" si="21"/>
        <v>1.0035267302787514</v>
      </c>
      <c r="H54" s="413" t="b">
        <f>Wh_hp&gt;='2024'!Maxi_hp</f>
        <v>1</v>
      </c>
      <c r="I54" s="389">
        <f>IF(H54,Wh_hp,'2024'!Maxi_hp)</f>
        <v>37.811685305334414</v>
      </c>
      <c r="J54" s="85">
        <f>IF(H54,An,'2024'!An_max)</f>
        <v>2025</v>
      </c>
      <c r="K54" s="196">
        <f t="shared" si="3"/>
        <v>45697</v>
      </c>
      <c r="L54" s="147">
        <f>IF(t&lt;Tvie,1-EXP((T0-t)*PertePVj)+'2024'!Pspv,1-EXP((T0-t)*PertePVj)+Pspv)</f>
        <v>5.0985211892238903E-2</v>
      </c>
      <c r="M54" s="847"/>
      <c r="N54" s="847"/>
      <c r="O54" s="48">
        <f>IF(t&lt;Tnet,'2024'!Resal+('2024'!Salim-'2024'!Resal)*(1-EXP(('2024'!Tnet-t)/('2024'!Tau_j))),Resal+(Salim-Resal)*(1-EXP((Tnet-t)/(Tau_j))))*Salcycl</f>
        <v>3.0017092155826697E-2</v>
      </c>
      <c r="P54" s="168">
        <f>(INDEX(Models!$BJ54:$BT54,,T54)*(1-R54)+INDEX(Models!$BJ54:$BT54,,T54+1)*R54-ERP_i)*Q54*Ramure*Pc/MaxiM</f>
        <v>5.6730753845503205E-4</v>
      </c>
      <c r="Q54" s="304">
        <f t="shared" si="4"/>
        <v>0.5</v>
      </c>
      <c r="R54" s="176">
        <f t="shared" si="5"/>
        <v>0.63642449956023528</v>
      </c>
      <c r="S54" s="814">
        <f t="shared" si="6"/>
        <v>1</v>
      </c>
      <c r="T54" s="175">
        <f t="shared" si="7"/>
        <v>7</v>
      </c>
      <c r="U54" s="250">
        <f t="shared" si="8"/>
        <v>1.6364244995602353</v>
      </c>
      <c r="V54" s="382">
        <f t="shared" si="9"/>
        <v>34.664720496297015</v>
      </c>
      <c r="W54" s="401">
        <f t="shared" si="10"/>
        <v>34.786973615675755</v>
      </c>
      <c r="X54" s="157">
        <f t="shared" si="11"/>
        <v>45697</v>
      </c>
      <c r="Y54" s="384">
        <f t="shared" si="12"/>
        <v>33.009026424428626</v>
      </c>
      <c r="Z54" s="384">
        <f t="shared" si="22"/>
        <v>34.782415235325537</v>
      </c>
      <c r="AA54" s="385">
        <f t="shared" si="13"/>
        <v>37.790234451219007</v>
      </c>
      <c r="AB54" s="196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7.9592499479622617E-2</v>
      </c>
      <c r="AD54" s="230">
        <f>(INDEX(Models!$BJ54:$BT54,,AH54)*(1-AF54)+INDEX(Models!$BJ54:$BT54,,AH54+1)*AF54-ERP_i)*AE54*Ramure*Pc/MaxiM</f>
        <v>5.6730753845503205E-4</v>
      </c>
      <c r="AE54" s="304">
        <f t="shared" si="15"/>
        <v>0.5</v>
      </c>
      <c r="AF54" s="176">
        <f t="shared" si="23"/>
        <v>0.63642449956023528</v>
      </c>
      <c r="AG54" s="814">
        <f t="shared" si="24"/>
        <v>1</v>
      </c>
      <c r="AH54" s="175">
        <f t="shared" si="16"/>
        <v>7</v>
      </c>
      <c r="AI54" s="224">
        <f t="shared" si="17"/>
        <v>1.6364244995602353</v>
      </c>
      <c r="AJ54" s="264" t="b">
        <f t="shared" si="18"/>
        <v>0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10">
        <f>'2024'!Wh/'2024'!Env_an*'2025'!Env_an</f>
        <v>32.558116020467189</v>
      </c>
      <c r="C55" s="843"/>
      <c r="D55" s="392">
        <f t="shared" si="0"/>
        <v>34.308030442353783</v>
      </c>
      <c r="E55" s="384">
        <f t="shared" si="1"/>
        <v>35.372429627129385</v>
      </c>
      <c r="F55" s="384">
        <f t="shared" si="2"/>
        <v>35.389822652073981</v>
      </c>
      <c r="G55" s="110">
        <f t="shared" si="21"/>
        <v>0.92968509185016257</v>
      </c>
      <c r="H55" s="413" t="b">
        <f>Wh_hp&gt;='2024'!Maxi_hp</f>
        <v>0</v>
      </c>
      <c r="I55" s="389">
        <f>IF(H55,Wh_hp,'2024'!Maxi_hp)</f>
        <v>35.390836884509106</v>
      </c>
      <c r="J55" s="85">
        <f>IF(H55,An,'2024'!An_max)</f>
        <v>2022</v>
      </c>
      <c r="K55" s="196">
        <f t="shared" si="3"/>
        <v>45698</v>
      </c>
      <c r="L55" s="147">
        <f>IF(t&lt;Tvie,1-EXP((T0-t)*PertePVj)+'2024'!Pspv,1-EXP((T0-t)*PertePVj)+Pspv)</f>
        <v>5.1005971468600954E-2</v>
      </c>
      <c r="M55" s="847"/>
      <c r="N55" s="847"/>
      <c r="O55" s="48">
        <f>IF(t&lt;Tnet,'2024'!Resal+('2024'!Salim-'2024'!Resal)*(1-EXP(('2024'!Tnet-t)/('2024'!Tau_j))),Resal+(Salim-Resal)*(1-EXP((Tnet-t)/(Tau_j))))*Salcycl</f>
        <v>3.0091209340034966E-2</v>
      </c>
      <c r="P55" s="168">
        <f>(INDEX(Models!$BJ55:$BT55,,T55)*(1-R55)+INDEX(Models!$BJ55:$BT55,,T55+1)*R55-ERP_i)*Q55*Ramure*Pc/MaxiM</f>
        <v>5.4630626753723356E-4</v>
      </c>
      <c r="Q55" s="304">
        <f t="shared" si="4"/>
        <v>0.5</v>
      </c>
      <c r="R55" s="176">
        <f t="shared" si="5"/>
        <v>0.6365105847466328</v>
      </c>
      <c r="S55" s="814">
        <f t="shared" si="6"/>
        <v>1</v>
      </c>
      <c r="T55" s="175">
        <f t="shared" si="7"/>
        <v>7</v>
      </c>
      <c r="U55" s="250">
        <f t="shared" si="8"/>
        <v>1.6365105847466328</v>
      </c>
      <c r="V55" s="382">
        <f t="shared" si="9"/>
        <v>35.01866390255681</v>
      </c>
      <c r="W55" s="401">
        <f t="shared" si="10"/>
        <v>32.558116020467189</v>
      </c>
      <c r="X55" s="157">
        <f t="shared" si="11"/>
        <v>45698</v>
      </c>
      <c r="Y55" s="384">
        <f t="shared" si="12"/>
        <v>30.895687958024229</v>
      </c>
      <c r="Z55" s="384">
        <f t="shared" si="22"/>
        <v>32.556251176665853</v>
      </c>
      <c r="AA55" s="385">
        <f t="shared" si="13"/>
        <v>35.372429627129385</v>
      </c>
      <c r="AB55" s="196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7.9615069706821043E-2</v>
      </c>
      <c r="AD55" s="230">
        <f>(INDEX(Models!$BJ55:$BT55,,AH55)*(1-AF55)+INDEX(Models!$BJ55:$BT55,,AH55+1)*AF55-ERP_i)*AE55*Ramure*Pc/MaxiM</f>
        <v>5.4630626753723356E-4</v>
      </c>
      <c r="AE55" s="304">
        <f t="shared" si="15"/>
        <v>0.5</v>
      </c>
      <c r="AF55" s="176">
        <f t="shared" si="23"/>
        <v>0.6365105847466328</v>
      </c>
      <c r="AG55" s="814">
        <f t="shared" si="24"/>
        <v>1</v>
      </c>
      <c r="AH55" s="175">
        <f t="shared" si="16"/>
        <v>7</v>
      </c>
      <c r="AI55" s="224">
        <f t="shared" si="17"/>
        <v>1.6365105847466328</v>
      </c>
      <c r="AJ55" s="264" t="b">
        <f t="shared" si="18"/>
        <v>0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10">
        <f>'2024'!Wh/'2024'!Env_an*'2025'!Env_an</f>
        <v>15.150900232564075</v>
      </c>
      <c r="C56" s="843"/>
      <c r="D56" s="392">
        <f t="shared" si="0"/>
        <v>15.965571129298672</v>
      </c>
      <c r="E56" s="384">
        <f t="shared" si="1"/>
        <v>16.462156544386044</v>
      </c>
      <c r="F56" s="384">
        <f t="shared" si="2"/>
        <v>16.463749455771538</v>
      </c>
      <c r="G56" s="110">
        <f t="shared" si="21"/>
        <v>0.42811591206022642</v>
      </c>
      <c r="H56" s="413" t="b">
        <f>Wh_hp&gt;='2024'!Maxi_hp</f>
        <v>0</v>
      </c>
      <c r="I56" s="389">
        <f>IF(H56,Wh_hp,'2024'!Maxi_hp)</f>
        <v>33.522126825040729</v>
      </c>
      <c r="J56" s="85">
        <f>IF(H56,An,'2024'!An_max)</f>
        <v>2021</v>
      </c>
      <c r="K56" s="196">
        <f t="shared" si="3"/>
        <v>45699</v>
      </c>
      <c r="L56" s="147">
        <f>IF(t&lt;Tvie,1-EXP((T0-t)*PertePVj)+'2024'!Pspv,1-EXP((T0-t)*PertePVj)+Pspv)</f>
        <v>5.102673059027505E-2</v>
      </c>
      <c r="M56" s="847"/>
      <c r="N56" s="847"/>
      <c r="O56" s="48">
        <f>IF(t&lt;Tnet,'2024'!Resal+('2024'!Salim-'2024'!Resal)*(1-EXP(('2024'!Tnet-t)/('2024'!Tau_j))),Resal+(Salim-Resal)*(1-EXP((Tnet-t)/(Tau_j))))*Salcycl</f>
        <v>3.0165271102145941E-2</v>
      </c>
      <c r="P56" s="168">
        <f>(INDEX(Models!$BJ56:$BT56,,T56)*(1-R56)+INDEX(Models!$BJ56:$BT56,,T56+1)*R56-ERP_i)*Q56*Ramure*Pc/MaxiM</f>
        <v>5.27876449161698E-4</v>
      </c>
      <c r="Q56" s="304">
        <f t="shared" si="4"/>
        <v>0.5</v>
      </c>
      <c r="R56" s="176">
        <f t="shared" si="5"/>
        <v>0.63660022856614962</v>
      </c>
      <c r="S56" s="814">
        <f t="shared" si="6"/>
        <v>1</v>
      </c>
      <c r="T56" s="175">
        <f t="shared" si="7"/>
        <v>7</v>
      </c>
      <c r="U56" s="250">
        <f t="shared" si="8"/>
        <v>1.6366002285661496</v>
      </c>
      <c r="V56" s="382">
        <f t="shared" si="9"/>
        <v>35.374456450290687</v>
      </c>
      <c r="W56" s="401">
        <f t="shared" si="10"/>
        <v>15.150900232564075</v>
      </c>
      <c r="X56" s="157">
        <f t="shared" si="11"/>
        <v>45699</v>
      </c>
      <c r="Y56" s="384">
        <f t="shared" si="12"/>
        <v>14.378035148359329</v>
      </c>
      <c r="Z56" s="384">
        <f t="shared" si="22"/>
        <v>15.151148732885463</v>
      </c>
      <c r="AA56" s="385">
        <f t="shared" si="13"/>
        <v>16.462156544386044</v>
      </c>
      <c r="AB56" s="196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7.9637671283575642E-2</v>
      </c>
      <c r="AD56" s="230">
        <f>(INDEX(Models!$BJ56:$BT56,,AH56)*(1-AF56)+INDEX(Models!$BJ56:$BT56,,AH56+1)*AF56-ERP_i)*AE56*Ramure*Pc/MaxiM</f>
        <v>5.27876449161698E-4</v>
      </c>
      <c r="AE56" s="304">
        <f t="shared" si="15"/>
        <v>0.5</v>
      </c>
      <c r="AF56" s="176">
        <f t="shared" si="23"/>
        <v>0.63660022856614962</v>
      </c>
      <c r="AG56" s="814">
        <f t="shared" si="24"/>
        <v>1</v>
      </c>
      <c r="AH56" s="175">
        <f t="shared" si="16"/>
        <v>7</v>
      </c>
      <c r="AI56" s="224">
        <f t="shared" si="17"/>
        <v>1.6366002285661496</v>
      </c>
      <c r="AJ56" s="264" t="b">
        <f t="shared" si="18"/>
        <v>0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10">
        <f>'2024'!Wh/'2024'!Env_an*'2025'!Env_an</f>
        <v>26.736435528927217</v>
      </c>
      <c r="C57" s="843"/>
      <c r="D57" s="392">
        <f t="shared" si="0"/>
        <v>28.174682322091197</v>
      </c>
      <c r="E57" s="384">
        <f t="shared" si="1"/>
        <v>29.053230940977123</v>
      </c>
      <c r="F57" s="384">
        <f t="shared" si="2"/>
        <v>29.062759145048513</v>
      </c>
      <c r="G57" s="110">
        <f t="shared" si="21"/>
        <v>0.74813008775339851</v>
      </c>
      <c r="H57" s="413" t="b">
        <f>Wh_hp&gt;='2024'!Maxi_hp</f>
        <v>0</v>
      </c>
      <c r="I57" s="389">
        <f>IF(H57,Wh_hp,'2024'!Maxi_hp)</f>
        <v>38.964390120778035</v>
      </c>
      <c r="J57" s="85">
        <f>IF(H57,An,'2024'!An_max)</f>
        <v>2019</v>
      </c>
      <c r="K57" s="196">
        <f t="shared" si="3"/>
        <v>45700</v>
      </c>
      <c r="L57" s="147">
        <f>IF(t&lt;Tvie,1-EXP((T0-t)*PertePVj)+'2024'!Pspv,1-EXP((T0-t)*PertePVj)+Pspv)</f>
        <v>5.1047489257271185E-2</v>
      </c>
      <c r="M57" s="847"/>
      <c r="N57" s="847"/>
      <c r="O57" s="48">
        <f>IF(t&lt;Tnet,'2024'!Resal+('2024'!Salim-'2024'!Resal)*(1-EXP(('2024'!Tnet-t)/('2024'!Tau_j))),Resal+(Salim-Resal)*(1-EXP((Tnet-t)/(Tau_j))))*Salcycl</f>
        <v>3.0239274271103837E-2</v>
      </c>
      <c r="P57" s="168">
        <f>(INDEX(Models!$BJ57:$BT57,,T57)*(1-R57)+INDEX(Models!$BJ57:$BT57,,T57+1)*R57-ERP_i)*Q57*Ramure*Pc/MaxiM</f>
        <v>5.1195832657502231E-4</v>
      </c>
      <c r="Q57" s="304">
        <f t="shared" si="4"/>
        <v>0.5</v>
      </c>
      <c r="R57" s="176">
        <f t="shared" si="5"/>
        <v>0.63669357583806319</v>
      </c>
      <c r="S57" s="814">
        <f t="shared" si="6"/>
        <v>1</v>
      </c>
      <c r="T57" s="175">
        <f t="shared" si="7"/>
        <v>7</v>
      </c>
      <c r="U57" s="250">
        <f t="shared" si="8"/>
        <v>1.6366935758380632</v>
      </c>
      <c r="V57" s="382">
        <f t="shared" si="9"/>
        <v>35.731100689538721</v>
      </c>
      <c r="W57" s="401">
        <f t="shared" si="10"/>
        <v>26.736435528927217</v>
      </c>
      <c r="X57" s="157">
        <f t="shared" si="11"/>
        <v>45700</v>
      </c>
      <c r="Y57" s="384">
        <f t="shared" si="12"/>
        <v>25.373891235131591</v>
      </c>
      <c r="Z57" s="384">
        <f t="shared" si="22"/>
        <v>26.738841984065022</v>
      </c>
      <c r="AA57" s="385">
        <f t="shared" si="13"/>
        <v>29.053230940977123</v>
      </c>
      <c r="AB57" s="196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7.9660295325290287E-2</v>
      </c>
      <c r="AD57" s="230">
        <f>(INDEX(Models!$BJ57:$BT57,,AH57)*(1-AF57)+INDEX(Models!$BJ57:$BT57,,AH57+1)*AF57-ERP_i)*AE57*Ramure*Pc/MaxiM</f>
        <v>5.1195832657502231E-4</v>
      </c>
      <c r="AE57" s="304">
        <f t="shared" si="15"/>
        <v>0.5</v>
      </c>
      <c r="AF57" s="176">
        <f t="shared" si="23"/>
        <v>0.63669357583806319</v>
      </c>
      <c r="AG57" s="814">
        <f t="shared" si="24"/>
        <v>1</v>
      </c>
      <c r="AH57" s="175">
        <f t="shared" si="16"/>
        <v>7</v>
      </c>
      <c r="AI57" s="224">
        <f t="shared" si="17"/>
        <v>1.6366935758380632</v>
      </c>
      <c r="AJ57" s="264" t="b">
        <f t="shared" si="18"/>
        <v>0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10">
        <f>'2024'!Wh/'2024'!Env_an*'2025'!Env_an</f>
        <v>32.185089404977631</v>
      </c>
      <c r="C58" s="843"/>
      <c r="D58" s="392">
        <f t="shared" si="0"/>
        <v>33.917180365346155</v>
      </c>
      <c r="E58" s="384">
        <f t="shared" si="1"/>
        <v>34.977459642135287</v>
      </c>
      <c r="F58" s="384">
        <f t="shared" si="2"/>
        <v>34.992215206842026</v>
      </c>
      <c r="G58" s="110">
        <f t="shared" si="21"/>
        <v>0.89179154563403251</v>
      </c>
      <c r="H58" s="413" t="b">
        <f>Wh_hp&gt;='2024'!Maxi_hp</f>
        <v>0</v>
      </c>
      <c r="I58" s="389">
        <f>IF(H58,Wh_hp,'2024'!Maxi_hp)</f>
        <v>40.487434831791077</v>
      </c>
      <c r="J58" s="85">
        <f>IF(H58,An,'2024'!An_max)</f>
        <v>2019</v>
      </c>
      <c r="K58" s="196">
        <f t="shared" si="3"/>
        <v>45701</v>
      </c>
      <c r="L58" s="147">
        <f>IF(t&lt;Tvie,1-EXP((T0-t)*PertePVj)+'2024'!Pspv,1-EXP((T0-t)*PertePVj)+Pspv)</f>
        <v>5.1068247469599128E-2</v>
      </c>
      <c r="M58" s="847"/>
      <c r="N58" s="847"/>
      <c r="O58" s="48">
        <f>IF(t&lt;Tnet,'2024'!Resal+('2024'!Salim-'2024'!Resal)*(1-EXP(('2024'!Tnet-t)/('2024'!Tau_j))),Resal+(Salim-Resal)*(1-EXP((Tnet-t)/(Tau_j))))*Salcycl</f>
        <v>3.0313215643364765E-2</v>
      </c>
      <c r="P58" s="168">
        <f>(INDEX(Models!$BJ58:$BT58,,T58)*(1-R58)+INDEX(Models!$BJ58:$BT58,,T58+1)*R58-ERP_i)*Q58*Ramure*Pc/MaxiM</f>
        <v>4.9872740863714281E-4</v>
      </c>
      <c r="Q58" s="304">
        <f t="shared" si="4"/>
        <v>0.5</v>
      </c>
      <c r="R58" s="176">
        <f t="shared" si="5"/>
        <v>0.63679077708068688</v>
      </c>
      <c r="S58" s="814">
        <f t="shared" si="6"/>
        <v>1</v>
      </c>
      <c r="T58" s="175">
        <f t="shared" si="7"/>
        <v>7</v>
      </c>
      <c r="U58" s="250">
        <f t="shared" si="8"/>
        <v>1.6367907770806869</v>
      </c>
      <c r="V58" s="382">
        <f t="shared" si="9"/>
        <v>36.087591076969332</v>
      </c>
      <c r="W58" s="401">
        <f t="shared" si="10"/>
        <v>32.185089404977631</v>
      </c>
      <c r="X58" s="157">
        <f t="shared" si="11"/>
        <v>45701</v>
      </c>
      <c r="Y58" s="384">
        <f t="shared" si="12"/>
        <v>30.546448154290481</v>
      </c>
      <c r="Z58" s="384">
        <f t="shared" si="22"/>
        <v>32.19035307105699</v>
      </c>
      <c r="AA58" s="385">
        <f t="shared" si="13"/>
        <v>34.977459642135287</v>
      </c>
      <c r="AB58" s="196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7.9682932940070741E-2</v>
      </c>
      <c r="AD58" s="230">
        <f>(INDEX(Models!$BJ58:$BT58,,AH58)*(1-AF58)+INDEX(Models!$BJ58:$BT58,,AH58+1)*AF58-ERP_i)*AE58*Ramure*Pc/MaxiM</f>
        <v>4.9872740863714281E-4</v>
      </c>
      <c r="AE58" s="304">
        <f t="shared" si="15"/>
        <v>0.5</v>
      </c>
      <c r="AF58" s="176">
        <f t="shared" si="23"/>
        <v>0.63679077708068688</v>
      </c>
      <c r="AG58" s="814">
        <f t="shared" si="24"/>
        <v>1</v>
      </c>
      <c r="AH58" s="175">
        <f t="shared" si="16"/>
        <v>7</v>
      </c>
      <c r="AI58" s="224">
        <f t="shared" si="17"/>
        <v>1.6367907770806869</v>
      </c>
      <c r="AJ58" s="264" t="b">
        <f t="shared" si="18"/>
        <v>0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10">
        <f>'2024'!Wh/'2024'!Env_an*'2025'!Env_an</f>
        <v>17.704199072626707</v>
      </c>
      <c r="C59" s="843"/>
      <c r="D59" s="392">
        <f t="shared" si="0"/>
        <v>18.657386383079007</v>
      </c>
      <c r="E59" s="384">
        <f t="shared" si="1"/>
        <v>19.242097779139616</v>
      </c>
      <c r="F59" s="384">
        <f t="shared" si="2"/>
        <v>19.244587135707693</v>
      </c>
      <c r="G59" s="110">
        <f t="shared" si="21"/>
        <v>0.48563181260193089</v>
      </c>
      <c r="H59" s="413" t="b">
        <f>Wh_hp&gt;='2024'!Maxi_hp</f>
        <v>0</v>
      </c>
      <c r="I59" s="389">
        <f>IF(H59,Wh_hp,'2024'!Maxi_hp)</f>
        <v>40.730011197654498</v>
      </c>
      <c r="J59" s="85">
        <f>IF(H59,An,'2024'!An_max)</f>
        <v>2019</v>
      </c>
      <c r="K59" s="196">
        <f t="shared" si="3"/>
        <v>45702</v>
      </c>
      <c r="L59" s="147">
        <f>IF(t&lt;Tvie,1-EXP((T0-t)*PertePVj)+'2024'!Pspv,1-EXP((T0-t)*PertePVj)+Pspv)</f>
        <v>5.1089005227268981E-2</v>
      </c>
      <c r="M59" s="847"/>
      <c r="N59" s="847"/>
      <c r="O59" s="48">
        <f>IF(t&lt;Tnet,'2024'!Resal+('2024'!Salim-'2024'!Resal)*(1-EXP(('2024'!Tnet-t)/('2024'!Tau_j))),Resal+(Salim-Resal)*(1-EXP((Tnet-t)/(Tau_j))))*Salcycl</f>
        <v>3.0387092029773133E-2</v>
      </c>
      <c r="P59" s="168">
        <f>(INDEX(Models!$BJ59:$BT59,,T59)*(1-R59)+INDEX(Models!$BJ59:$BT59,,T59+1)*R59-ERP_i)*Q59*Ramure*Pc/MaxiM</f>
        <v>4.8732357985982239E-4</v>
      </c>
      <c r="Q59" s="304">
        <f t="shared" si="4"/>
        <v>0.5</v>
      </c>
      <c r="R59" s="176">
        <f t="shared" si="5"/>
        <v>0.63689198871907582</v>
      </c>
      <c r="S59" s="814">
        <f t="shared" si="6"/>
        <v>1</v>
      </c>
      <c r="T59" s="175">
        <f t="shared" si="7"/>
        <v>7</v>
      </c>
      <c r="U59" s="250">
        <f t="shared" si="8"/>
        <v>1.6368919887190758</v>
      </c>
      <c r="V59" s="382">
        <f t="shared" si="9"/>
        <v>36.442959916632418</v>
      </c>
      <c r="W59" s="401">
        <f t="shared" si="10"/>
        <v>17.704199072626707</v>
      </c>
      <c r="X59" s="157">
        <f t="shared" si="11"/>
        <v>45702</v>
      </c>
      <c r="Y59" s="384">
        <f t="shared" si="12"/>
        <v>16.803691004396839</v>
      </c>
      <c r="Z59" s="384">
        <f t="shared" si="22"/>
        <v>17.708395304684405</v>
      </c>
      <c r="AA59" s="385">
        <f t="shared" si="13"/>
        <v>19.242097779139616</v>
      </c>
      <c r="AB59" s="196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7.9705575351451563E-2</v>
      </c>
      <c r="AD59" s="230">
        <f>(INDEX(Models!$BJ59:$BT59,,AH59)*(1-AF59)+INDEX(Models!$BJ59:$BT59,,AH59+1)*AF59-ERP_i)*AE59*Ramure*Pc/MaxiM</f>
        <v>4.8732357985982239E-4</v>
      </c>
      <c r="AE59" s="304">
        <f t="shared" si="15"/>
        <v>0.5</v>
      </c>
      <c r="AF59" s="176">
        <f t="shared" si="23"/>
        <v>0.63689198871907582</v>
      </c>
      <c r="AG59" s="814">
        <f t="shared" si="24"/>
        <v>1</v>
      </c>
      <c r="AH59" s="175">
        <f t="shared" si="16"/>
        <v>7</v>
      </c>
      <c r="AI59" s="224">
        <f t="shared" si="17"/>
        <v>1.6368919887190758</v>
      </c>
      <c r="AJ59" s="264" t="b">
        <f t="shared" si="18"/>
        <v>0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10">
        <f>'2024'!Wh/'2024'!Env_an*'2025'!Env_an</f>
        <v>21.031231899940124</v>
      </c>
      <c r="C60" s="843"/>
      <c r="D60" s="392">
        <f t="shared" si="0"/>
        <v>22.164030221263065</v>
      </c>
      <c r="E60" s="384">
        <f t="shared" si="1"/>
        <v>22.860377913803536</v>
      </c>
      <c r="F60" s="384">
        <f t="shared" si="2"/>
        <v>22.864615241741184</v>
      </c>
      <c r="G60" s="110">
        <f t="shared" si="21"/>
        <v>0.57139257125942378</v>
      </c>
      <c r="H60" s="413" t="b">
        <f>Wh_hp&gt;='2024'!Maxi_hp</f>
        <v>0</v>
      </c>
      <c r="I60" s="389">
        <f>IF(H60,Wh_hp,'2024'!Maxi_hp)</f>
        <v>40.824287994702445</v>
      </c>
      <c r="J60" s="85">
        <f>IF(H60,An,'2024'!An_max)</f>
        <v>2019</v>
      </c>
      <c r="K60" s="196">
        <f t="shared" si="3"/>
        <v>45703</v>
      </c>
      <c r="L60" s="147">
        <f>IF(t&lt;Tvie,1-EXP((T0-t)*PertePVj)+'2024'!Pspv,1-EXP((T0-t)*PertePVj)+Pspv)</f>
        <v>5.1109762530290627E-2</v>
      </c>
      <c r="M60" s="847"/>
      <c r="N60" s="847"/>
      <c r="O60" s="48">
        <f>IF(t&lt;Tnet,'2024'!Resal+('2024'!Salim-'2024'!Resal)*(1-EXP(('2024'!Tnet-t)/('2024'!Tau_j))),Resal+(Salim-Resal)*(1-EXP((Tnet-t)/(Tau_j))))*Salcycl</f>
        <v>3.0460900303839761E-2</v>
      </c>
      <c r="P60" s="168">
        <f>(INDEX(Models!$BJ60:$BT60,,T60)*(1-R60)+INDEX(Models!$BJ60:$BT60,,T60+1)*R60-ERP_i)*Q60*Ramure*Pc/MaxiM</f>
        <v>4.7770619296945844E-4</v>
      </c>
      <c r="Q60" s="304">
        <f t="shared" si="4"/>
        <v>0.5</v>
      </c>
      <c r="R60" s="176">
        <f t="shared" si="5"/>
        <v>0.63699737329887407</v>
      </c>
      <c r="S60" s="814">
        <f t="shared" si="6"/>
        <v>1</v>
      </c>
      <c r="T60" s="175">
        <f t="shared" si="7"/>
        <v>7</v>
      </c>
      <c r="U60" s="250">
        <f t="shared" si="8"/>
        <v>1.6369973732988741</v>
      </c>
      <c r="V60" s="382">
        <f t="shared" si="9"/>
        <v>36.796210921696471</v>
      </c>
      <c r="W60" s="401">
        <f t="shared" si="10"/>
        <v>21.031231899940124</v>
      </c>
      <c r="X60" s="157">
        <f t="shared" si="11"/>
        <v>45703</v>
      </c>
      <c r="Y60" s="384">
        <f t="shared" si="12"/>
        <v>19.962525851629092</v>
      </c>
      <c r="Z60" s="384">
        <f t="shared" si="22"/>
        <v>21.03776081084019</v>
      </c>
      <c r="AA60" s="385">
        <f t="shared" si="13"/>
        <v>22.860377913803536</v>
      </c>
      <c r="AB60" s="196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7.9728214023216712E-2</v>
      </c>
      <c r="AD60" s="230">
        <f>(INDEX(Models!$BJ60:$BT60,,AH60)*(1-AF60)+INDEX(Models!$BJ60:$BT60,,AH60+1)*AF60-ERP_i)*AE60*Ramure*Pc/MaxiM</f>
        <v>4.7770619296945844E-4</v>
      </c>
      <c r="AE60" s="304">
        <f t="shared" si="15"/>
        <v>0.5</v>
      </c>
      <c r="AF60" s="176">
        <f t="shared" si="23"/>
        <v>0.63699737329887407</v>
      </c>
      <c r="AG60" s="814">
        <f t="shared" si="24"/>
        <v>1</v>
      </c>
      <c r="AH60" s="175">
        <f t="shared" si="16"/>
        <v>7</v>
      </c>
      <c r="AI60" s="224">
        <f t="shared" si="17"/>
        <v>1.6369973732988741</v>
      </c>
      <c r="AJ60" s="264" t="b">
        <f t="shared" si="18"/>
        <v>0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10">
        <f>'2024'!Wh/'2024'!Env_an*'2025'!Env_an</f>
        <v>9.192326275565474</v>
      </c>
      <c r="C61" s="843"/>
      <c r="D61" s="392">
        <f t="shared" si="0"/>
        <v>9.687661436371922</v>
      </c>
      <c r="E61" s="384">
        <f t="shared" si="1"/>
        <v>9.9927875823221601</v>
      </c>
      <c r="F61" s="384">
        <f t="shared" si="2"/>
        <v>9.9927875823221601</v>
      </c>
      <c r="G61" s="110">
        <f t="shared" si="21"/>
        <v>0.24734618176924483</v>
      </c>
      <c r="H61" s="413" t="b">
        <f>Wh_hp&gt;='2024'!Maxi_hp</f>
        <v>0</v>
      </c>
      <c r="I61" s="389">
        <f>IF(H61,Wh_hp,'2024'!Maxi_hp)</f>
        <v>41.302237931814616</v>
      </c>
      <c r="J61" s="85">
        <f>IF(H61,An,'2024'!An_max)</f>
        <v>2019</v>
      </c>
      <c r="K61" s="196">
        <f t="shared" si="3"/>
        <v>45704</v>
      </c>
      <c r="L61" s="147">
        <f>IF(t&lt;Tvie,1-EXP((T0-t)*PertePVj)+'2024'!Pspv,1-EXP((T0-t)*PertePVj)+Pspv)</f>
        <v>5.1130519378674057E-2</v>
      </c>
      <c r="M61" s="847"/>
      <c r="N61" s="847"/>
      <c r="O61" s="48">
        <f>IF(t&lt;Tnet,'2024'!Resal+('2024'!Salim-'2024'!Resal)*(1-EXP(('2024'!Tnet-t)/('2024'!Tau_j))),Resal+(Salim-Resal)*(1-EXP((Tnet-t)/(Tau_j))))*Salcycl</f>
        <v>3.0534637450917584E-2</v>
      </c>
      <c r="P61" s="168">
        <f>(INDEX(Models!$BJ61:$BT61,,T61)*(1-R61)+INDEX(Models!$BJ61:$BT61,,T61+1)*R61-ERP_i)*Q61*Ramure*Pc/MaxiM</f>
        <v>4.6983575667656607E-4</v>
      </c>
      <c r="Q61" s="304">
        <f t="shared" si="4"/>
        <v>0.5</v>
      </c>
      <c r="R61" s="176">
        <f t="shared" si="5"/>
        <v>0.63710709970634682</v>
      </c>
      <c r="S61" s="814">
        <f t="shared" si="6"/>
        <v>1</v>
      </c>
      <c r="T61" s="175">
        <f t="shared" si="7"/>
        <v>7</v>
      </c>
      <c r="U61" s="250">
        <f t="shared" si="8"/>
        <v>1.6371070997063468</v>
      </c>
      <c r="V61" s="382">
        <f t="shared" si="9"/>
        <v>37.146348192129715</v>
      </c>
      <c r="W61" s="401">
        <f t="shared" si="10"/>
        <v>9.192326275565474</v>
      </c>
      <c r="X61" s="157">
        <f t="shared" si="11"/>
        <v>45704</v>
      </c>
      <c r="Y61" s="384">
        <f t="shared" si="12"/>
        <v>8.725665560734285</v>
      </c>
      <c r="Z61" s="384">
        <f t="shared" si="22"/>
        <v>9.1958543708463072</v>
      </c>
      <c r="AA61" s="385">
        <f t="shared" si="13"/>
        <v>9.9927875823221601</v>
      </c>
      <c r="AB61" s="196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7.9750840784975324E-2</v>
      </c>
      <c r="AD61" s="230">
        <f>(INDEX(Models!$BJ61:$BT61,,AH61)*(1-AF61)+INDEX(Models!$BJ61:$BT61,,AH61+1)*AF61-ERP_i)*AE61*Ramure*Pc/MaxiM</f>
        <v>4.6983575667656607E-4</v>
      </c>
      <c r="AE61" s="304">
        <f t="shared" si="15"/>
        <v>0.5</v>
      </c>
      <c r="AF61" s="176">
        <f t="shared" si="23"/>
        <v>0.63710709970634682</v>
      </c>
      <c r="AG61" s="814">
        <f t="shared" si="24"/>
        <v>1</v>
      </c>
      <c r="AH61" s="175">
        <f t="shared" si="16"/>
        <v>7</v>
      </c>
      <c r="AI61" s="224">
        <f t="shared" si="17"/>
        <v>1.6371070997063468</v>
      </c>
      <c r="AJ61" s="264" t="b">
        <f t="shared" si="18"/>
        <v>0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10">
        <f>'2024'!Wh/'2024'!Env_an*'2025'!Env_an</f>
        <v>11.152780144434928</v>
      </c>
      <c r="C62" s="843"/>
      <c r="D62" s="392">
        <f t="shared" si="0"/>
        <v>11.754012899700184</v>
      </c>
      <c r="E62" s="384">
        <f t="shared" si="1"/>
        <v>12.125142919204629</v>
      </c>
      <c r="F62" s="384">
        <f t="shared" si="2"/>
        <v>12.125142919204629</v>
      </c>
      <c r="G62" s="110">
        <f t="shared" si="21"/>
        <v>0.29733001783407664</v>
      </c>
      <c r="H62" s="413" t="b">
        <f>Wh_hp&gt;='2024'!Maxi_hp</f>
        <v>0</v>
      </c>
      <c r="I62" s="389">
        <f>IF(H62,Wh_hp,'2024'!Maxi_hp)</f>
        <v>41.977734594143215</v>
      </c>
      <c r="J62" s="85">
        <f>IF(H62,An,'2024'!An_max)</f>
        <v>2019</v>
      </c>
      <c r="K62" s="196">
        <f t="shared" si="3"/>
        <v>45705</v>
      </c>
      <c r="L62" s="147">
        <f>IF(t&lt;Tvie,1-EXP((T0-t)*PertePVj)+'2024'!Pspv,1-EXP((T0-t)*PertePVj)+Pspv)</f>
        <v>5.1151275772429262E-2</v>
      </c>
      <c r="M62" s="847"/>
      <c r="N62" s="847"/>
      <c r="O62" s="48">
        <f>IF(t&lt;Tnet,'2024'!Resal+('2024'!Salim-'2024'!Resal)*(1-EXP(('2024'!Tnet-t)/('2024'!Tau_j))),Resal+(Salim-Resal)*(1-EXP((Tnet-t)/(Tau_j))))*Salcycl</f>
        <v>3.0608300617770444E-2</v>
      </c>
      <c r="P62" s="168">
        <f>(INDEX(Models!$BJ62:$BT62,,T62)*(1-R62)+INDEX(Models!$BJ62:$BT62,,T62+1)*R62-ERP_i)*Q62*Ramure*Pc/MaxiM</f>
        <v>4.6367433293994706E-4</v>
      </c>
      <c r="Q62" s="304">
        <f t="shared" si="4"/>
        <v>0.5</v>
      </c>
      <c r="R62" s="176">
        <f t="shared" si="5"/>
        <v>0.63722134339464076</v>
      </c>
      <c r="S62" s="814">
        <f t="shared" si="6"/>
        <v>1</v>
      </c>
      <c r="T62" s="175">
        <f t="shared" si="7"/>
        <v>7</v>
      </c>
      <c r="U62" s="250">
        <f t="shared" si="8"/>
        <v>1.6372213433946408</v>
      </c>
      <c r="V62" s="382">
        <f t="shared" si="9"/>
        <v>37.49237620791417</v>
      </c>
      <c r="W62" s="401">
        <f t="shared" si="10"/>
        <v>11.152780144434928</v>
      </c>
      <c r="X62" s="157">
        <f t="shared" si="11"/>
        <v>45705</v>
      </c>
      <c r="Y62" s="384">
        <f t="shared" si="12"/>
        <v>10.587138743343329</v>
      </c>
      <c r="Z62" s="384">
        <f t="shared" si="22"/>
        <v>11.157878461566149</v>
      </c>
      <c r="AA62" s="385">
        <f t="shared" si="13"/>
        <v>12.125142919204629</v>
      </c>
      <c r="AB62" s="196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7.97734479571751E-2</v>
      </c>
      <c r="AD62" s="230">
        <f>(INDEX(Models!$BJ62:$BT62,,AH62)*(1-AF62)+INDEX(Models!$BJ62:$BT62,,AH62+1)*AF62-ERP_i)*AE62*Ramure*Pc/MaxiM</f>
        <v>4.6367433293994706E-4</v>
      </c>
      <c r="AE62" s="304">
        <f t="shared" si="15"/>
        <v>0.5</v>
      </c>
      <c r="AF62" s="176">
        <f t="shared" si="23"/>
        <v>0.63722134339464076</v>
      </c>
      <c r="AG62" s="814">
        <f t="shared" si="24"/>
        <v>1</v>
      </c>
      <c r="AH62" s="175">
        <f t="shared" si="16"/>
        <v>7</v>
      </c>
      <c r="AI62" s="224">
        <f t="shared" si="17"/>
        <v>1.6372213433946408</v>
      </c>
      <c r="AJ62" s="264" t="b">
        <f t="shared" si="18"/>
        <v>0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10">
        <f>'2024'!Wh/'2024'!Env_an*'2025'!Env_an</f>
        <v>31.229454388122111</v>
      </c>
      <c r="C63" s="843"/>
      <c r="D63" s="392">
        <f t="shared" si="0"/>
        <v>32.913716112791363</v>
      </c>
      <c r="E63" s="384">
        <f t="shared" si="1"/>
        <v>33.955536038036826</v>
      </c>
      <c r="F63" s="384">
        <f t="shared" si="2"/>
        <v>33.967243999056386</v>
      </c>
      <c r="G63" s="110">
        <f t="shared" si="21"/>
        <v>0.82535431648214308</v>
      </c>
      <c r="H63" s="413" t="b">
        <f>Wh_hp&gt;='2024'!Maxi_hp</f>
        <v>0</v>
      </c>
      <c r="I63" s="389">
        <f>IF(H63,Wh_hp,'2024'!Maxi_hp)</f>
        <v>41.235106126634335</v>
      </c>
      <c r="J63" s="85">
        <f>IF(H63,An,'2024'!An_max)</f>
        <v>2019</v>
      </c>
      <c r="K63" s="196">
        <f t="shared" si="3"/>
        <v>45706</v>
      </c>
      <c r="L63" s="147">
        <f>IF(t&lt;Tvie,1-EXP((T0-t)*PertePVj)+'2024'!Pspv,1-EXP((T0-t)*PertePVj)+Pspv)</f>
        <v>5.1172031711566236E-2</v>
      </c>
      <c r="M63" s="847"/>
      <c r="N63" s="847"/>
      <c r="O63" s="48">
        <f>IF(t&lt;Tnet,'2024'!Resal+('2024'!Salim-'2024'!Resal)*(1-EXP(('2024'!Tnet-t)/('2024'!Tau_j))),Resal+(Salim-Resal)*(1-EXP((Tnet-t)/(Tau_j))))*Salcycl</f>
        <v>3.0681887162035095E-2</v>
      </c>
      <c r="P63" s="168">
        <f>(INDEX(Models!$BJ63:$BT63,,T63)*(1-R63)+INDEX(Models!$BJ63:$BT63,,T63+1)*R63-ERP_i)*Q63*Ramure*Pc/MaxiM</f>
        <v>4.591858947149236E-4</v>
      </c>
      <c r="Q63" s="304">
        <f t="shared" si="4"/>
        <v>0.5</v>
      </c>
      <c r="R63" s="176">
        <f t="shared" si="5"/>
        <v>0.63734028661628961</v>
      </c>
      <c r="S63" s="814">
        <f t="shared" si="6"/>
        <v>1</v>
      </c>
      <c r="T63" s="175">
        <f t="shared" si="7"/>
        <v>7</v>
      </c>
      <c r="U63" s="250">
        <f t="shared" si="8"/>
        <v>1.6373402866162896</v>
      </c>
      <c r="V63" s="382">
        <f t="shared" si="9"/>
        <v>37.833299827412993</v>
      </c>
      <c r="W63" s="401">
        <f t="shared" si="10"/>
        <v>31.229454388122111</v>
      </c>
      <c r="X63" s="157">
        <f t="shared" si="11"/>
        <v>45706</v>
      </c>
      <c r="Y63" s="384">
        <f t="shared" si="12"/>
        <v>29.6470968363463</v>
      </c>
      <c r="Z63" s="384">
        <f t="shared" si="22"/>
        <v>31.246019117486526</v>
      </c>
      <c r="AA63" s="385">
        <f t="shared" si="13"/>
        <v>33.955536038036826</v>
      </c>
      <c r="AB63" s="196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7.9796028474270364E-2</v>
      </c>
      <c r="AD63" s="230">
        <f>(INDEX(Models!$BJ63:$BT63,,AH63)*(1-AF63)+INDEX(Models!$BJ63:$BT63,,AH63+1)*AF63-ERP_i)*AE63*Ramure*Pc/MaxiM</f>
        <v>4.591858947149236E-4</v>
      </c>
      <c r="AE63" s="304">
        <f t="shared" si="15"/>
        <v>0.5</v>
      </c>
      <c r="AF63" s="176">
        <f t="shared" si="23"/>
        <v>0.63734028661628961</v>
      </c>
      <c r="AG63" s="814">
        <f t="shared" si="24"/>
        <v>1</v>
      </c>
      <c r="AH63" s="175">
        <f t="shared" si="16"/>
        <v>7</v>
      </c>
      <c r="AI63" s="224">
        <f t="shared" si="17"/>
        <v>1.6373402866162896</v>
      </c>
      <c r="AJ63" s="264" t="b">
        <f t="shared" si="18"/>
        <v>0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10">
        <f>'2024'!Wh/'2024'!Env_an*'2025'!Env_an</f>
        <v>16.980737076680917</v>
      </c>
      <c r="C64" s="843"/>
      <c r="D64" s="392">
        <f t="shared" si="0"/>
        <v>17.896930849102233</v>
      </c>
      <c r="E64" s="384">
        <f t="shared" si="1"/>
        <v>18.464823792940106</v>
      </c>
      <c r="F64" s="384">
        <f t="shared" si="2"/>
        <v>18.466568093652647</v>
      </c>
      <c r="G64" s="110">
        <f t="shared" si="21"/>
        <v>0.44473213801437805</v>
      </c>
      <c r="H64" s="413" t="b">
        <f>Wh_hp&gt;='2024'!Maxi_hp</f>
        <v>0</v>
      </c>
      <c r="I64" s="389">
        <f>IF(H64,Wh_hp,'2024'!Maxi_hp)</f>
        <v>39.639407492619156</v>
      </c>
      <c r="J64" s="85">
        <f>IF(H64,An,'2024'!An_max)</f>
        <v>2021</v>
      </c>
      <c r="K64" s="196">
        <f t="shared" si="3"/>
        <v>45707</v>
      </c>
      <c r="L64" s="147">
        <f>IF(t&lt;Tvie,1-EXP((T0-t)*PertePVj)+'2024'!Pspv,1-EXP((T0-t)*PertePVj)+Pspv)</f>
        <v>5.1192787196094859E-2</v>
      </c>
      <c r="M64" s="847"/>
      <c r="N64" s="847"/>
      <c r="O64" s="48">
        <f>IF(t&lt;Tnet,'2024'!Resal+('2024'!Salim-'2024'!Resal)*(1-EXP(('2024'!Tnet-t)/('2024'!Tau_j))),Resal+(Salim-Resal)*(1-EXP((Tnet-t)/(Tau_j))))*Salcycl</f>
        <v>3.0755394701085757E-2</v>
      </c>
      <c r="P64" s="168">
        <f>(INDEX(Models!$BJ64:$BT64,,T64)*(1-R64)+INDEX(Models!$BJ64:$BT64,,T64+1)*R64-ERP_i)*Q64*Ramure*Pc/MaxiM</f>
        <v>4.563366496598177E-4</v>
      </c>
      <c r="Q64" s="304">
        <f t="shared" si="4"/>
        <v>0.5</v>
      </c>
      <c r="R64" s="176">
        <f t="shared" si="5"/>
        <v>0.63746411866197517</v>
      </c>
      <c r="S64" s="814">
        <f t="shared" si="6"/>
        <v>1</v>
      </c>
      <c r="T64" s="175">
        <f t="shared" si="7"/>
        <v>7</v>
      </c>
      <c r="U64" s="250">
        <f t="shared" si="8"/>
        <v>1.6374641186619752</v>
      </c>
      <c r="V64" s="382">
        <f t="shared" si="9"/>
        <v>38.168124283872579</v>
      </c>
      <c r="W64" s="401">
        <f t="shared" si="10"/>
        <v>16.980737076680917</v>
      </c>
      <c r="X64" s="157">
        <f t="shared" si="11"/>
        <v>45707</v>
      </c>
      <c r="Y64" s="384">
        <f t="shared" si="12"/>
        <v>16.121171826269141</v>
      </c>
      <c r="Z64" s="384">
        <f t="shared" si="22"/>
        <v>16.99098785160794</v>
      </c>
      <c r="AA64" s="385">
        <f t="shared" si="13"/>
        <v>18.464823792940106</v>
      </c>
      <c r="AB64" s="196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7.9818576004807462E-2</v>
      </c>
      <c r="AD64" s="230">
        <f>(INDEX(Models!$BJ64:$BT64,,AH64)*(1-AF64)+INDEX(Models!$BJ64:$BT64,,AH64+1)*AF64-ERP_i)*AE64*Ramure*Pc/MaxiM</f>
        <v>4.563366496598177E-4</v>
      </c>
      <c r="AE64" s="304">
        <f t="shared" si="15"/>
        <v>0.5</v>
      </c>
      <c r="AF64" s="176">
        <f t="shared" si="23"/>
        <v>0.63746411866197517</v>
      </c>
      <c r="AG64" s="814">
        <f t="shared" si="24"/>
        <v>1</v>
      </c>
      <c r="AH64" s="175">
        <f t="shared" si="16"/>
        <v>7</v>
      </c>
      <c r="AI64" s="224">
        <f t="shared" si="17"/>
        <v>1.6374641186619752</v>
      </c>
      <c r="AJ64" s="264" t="b">
        <f t="shared" si="18"/>
        <v>0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10">
        <f>'2024'!Wh/'2024'!Env_an*'2025'!Env_an</f>
        <v>21.118918909796676</v>
      </c>
      <c r="C65" s="843"/>
      <c r="D65" s="392">
        <f t="shared" si="0"/>
        <v>22.258874730722326</v>
      </c>
      <c r="E65" s="384">
        <f t="shared" si="1"/>
        <v>22.966917730013332</v>
      </c>
      <c r="F65" s="384">
        <f t="shared" si="2"/>
        <v>22.970629797911251</v>
      </c>
      <c r="G65" s="110">
        <f t="shared" si="21"/>
        <v>0.54841512646349666</v>
      </c>
      <c r="H65" s="413" t="b">
        <f>Wh_hp&gt;='2024'!Maxi_hp</f>
        <v>0</v>
      </c>
      <c r="I65" s="389">
        <f>IF(H65,Wh_hp,'2024'!Maxi_hp)</f>
        <v>41.874871627810187</v>
      </c>
      <c r="J65" s="85">
        <f>IF(H65,An,'2024'!An_max)</f>
        <v>2020</v>
      </c>
      <c r="K65" s="196">
        <f t="shared" si="3"/>
        <v>45708</v>
      </c>
      <c r="L65" s="147">
        <f>IF(t&lt;Tvie,1-EXP((T0-t)*PertePVj)+'2024'!Pspv,1-EXP((T0-t)*PertePVj)+Pspv)</f>
        <v>5.1213542226025012E-2</v>
      </c>
      <c r="M65" s="847"/>
      <c r="N65" s="847"/>
      <c r="O65" s="48">
        <f>IF(t&lt;Tnet,'2024'!Resal+('2024'!Salim-'2024'!Resal)*(1-EXP(('2024'!Tnet-t)/('2024'!Tau_j))),Resal+(Salim-Resal)*(1-EXP((Tnet-t)/(Tau_j))))*Salcycl</f>
        <v>3.08288211598256E-2</v>
      </c>
      <c r="P65" s="168">
        <f>(INDEX(Models!$BJ65:$BT65,,T65)*(1-R65)+INDEX(Models!$BJ65:$BT65,,T65+1)*R65-ERP_i)*Q65*Ramure*Pc/MaxiM</f>
        <v>4.5507355698059669E-4</v>
      </c>
      <c r="Q65" s="304">
        <f t="shared" si="4"/>
        <v>0.5</v>
      </c>
      <c r="R65" s="176">
        <f t="shared" si="5"/>
        <v>0.63759303610552132</v>
      </c>
      <c r="S65" s="814">
        <f t="shared" si="6"/>
        <v>1</v>
      </c>
      <c r="T65" s="175">
        <f t="shared" si="7"/>
        <v>7</v>
      </c>
      <c r="U65" s="250">
        <f t="shared" si="8"/>
        <v>1.6375930361055213</v>
      </c>
      <c r="V65" s="382">
        <f t="shared" si="9"/>
        <v>38.497698290965772</v>
      </c>
      <c r="W65" s="401">
        <f t="shared" si="10"/>
        <v>21.118918909796676</v>
      </c>
      <c r="X65" s="157">
        <f t="shared" si="11"/>
        <v>45708</v>
      </c>
      <c r="Y65" s="384">
        <f t="shared" si="12"/>
        <v>20.050907345229565</v>
      </c>
      <c r="Z65" s="384">
        <f t="shared" si="22"/>
        <v>21.133214097798813</v>
      </c>
      <c r="AA65" s="385">
        <f t="shared" si="13"/>
        <v>22.966917730013332</v>
      </c>
      <c r="AB65" s="196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7.9841085067249629E-2</v>
      </c>
      <c r="AD65" s="230">
        <f>(INDEX(Models!$BJ65:$BT65,,AH65)*(1-AF65)+INDEX(Models!$BJ65:$BT65,,AH65+1)*AF65-ERP_i)*AE65*Ramure*Pc/MaxiM</f>
        <v>4.5507355698059669E-4</v>
      </c>
      <c r="AE65" s="304">
        <f t="shared" si="15"/>
        <v>0.5</v>
      </c>
      <c r="AF65" s="176">
        <f t="shared" si="23"/>
        <v>0.63759303610552132</v>
      </c>
      <c r="AG65" s="814">
        <f t="shared" si="24"/>
        <v>1</v>
      </c>
      <c r="AH65" s="175">
        <f t="shared" si="16"/>
        <v>7</v>
      </c>
      <c r="AI65" s="224">
        <f t="shared" si="17"/>
        <v>1.6375930361055213</v>
      </c>
      <c r="AJ65" s="264" t="b">
        <f t="shared" si="18"/>
        <v>0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10">
        <f>'2024'!Wh/'2024'!Env_an*'2025'!Env_an</f>
        <v>21.412436905320472</v>
      </c>
      <c r="C66" s="843"/>
      <c r="D66" s="392">
        <f t="shared" si="0"/>
        <v>22.568729912065102</v>
      </c>
      <c r="E66" s="384">
        <f t="shared" si="1"/>
        <v>23.28839162849037</v>
      </c>
      <c r="F66" s="384">
        <f t="shared" si="2"/>
        <v>23.292199111926482</v>
      </c>
      <c r="G66" s="110">
        <f t="shared" si="21"/>
        <v>0.55136856376534749</v>
      </c>
      <c r="H66" s="413" t="b">
        <f>Wh_hp&gt;='2024'!Maxi_hp</f>
        <v>0</v>
      </c>
      <c r="I66" s="389">
        <f>IF(H66,Wh_hp,'2024'!Maxi_hp)</f>
        <v>39.365531433595841</v>
      </c>
      <c r="J66" s="85">
        <f>IF(H66,An,'2024'!An_max)</f>
        <v>2019</v>
      </c>
      <c r="K66" s="196">
        <f t="shared" si="3"/>
        <v>45709</v>
      </c>
      <c r="L66" s="147">
        <f>IF(t&lt;Tvie,1-EXP((T0-t)*PertePVj)+'2024'!Pspv,1-EXP((T0-t)*PertePVj)+Pspv)</f>
        <v>5.1234296801366798E-2</v>
      </c>
      <c r="M66" s="847"/>
      <c r="N66" s="847"/>
      <c r="O66" s="48">
        <f>IF(t&lt;Tnet,'2024'!Resal+('2024'!Salim-'2024'!Resal)*(1-EXP(('2024'!Tnet-t)/('2024'!Tau_j))),Resal+(Salim-Resal)*(1-EXP((Tnet-t)/(Tau_j))))*Salcycl</f>
        <v>3.0902164816949042E-2</v>
      </c>
      <c r="P66" s="168">
        <f>(INDEX(Models!$BJ66:$BT66,,T66)*(1-R66)+INDEX(Models!$BJ66:$BT66,,T66+1)*R66-ERP_i)*Q66*Ramure*Pc/MaxiM</f>
        <v>4.5492198283664915E-4</v>
      </c>
      <c r="Q66" s="304">
        <f t="shared" si="4"/>
        <v>0.5</v>
      </c>
      <c r="R66" s="176">
        <f t="shared" si="5"/>
        <v>0.63772724305509332</v>
      </c>
      <c r="S66" s="814">
        <f t="shared" si="6"/>
        <v>1</v>
      </c>
      <c r="T66" s="175">
        <f t="shared" si="7"/>
        <v>7</v>
      </c>
      <c r="U66" s="250">
        <f t="shared" si="8"/>
        <v>1.6377272430550933</v>
      </c>
      <c r="V66" s="382">
        <f t="shared" si="9"/>
        <v>38.823749683369549</v>
      </c>
      <c r="W66" s="401">
        <f t="shared" si="10"/>
        <v>21.412436905320472</v>
      </c>
      <c r="X66" s="157">
        <f t="shared" si="11"/>
        <v>45709</v>
      </c>
      <c r="Y66" s="384">
        <f t="shared" si="12"/>
        <v>20.330623947549718</v>
      </c>
      <c r="Z66" s="384">
        <f t="shared" si="22"/>
        <v>21.428497972690003</v>
      </c>
      <c r="AA66" s="385">
        <f t="shared" si="13"/>
        <v>23.28839162849037</v>
      </c>
      <c r="AB66" s="196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7.9863551140432795E-2</v>
      </c>
      <c r="AD66" s="230">
        <f>(INDEX(Models!$BJ66:$BT66,,AH66)*(1-AF66)+INDEX(Models!$BJ66:$BT66,,AH66+1)*AF66-ERP_i)*AE66*Ramure*Pc/MaxiM</f>
        <v>4.5492198283664915E-4</v>
      </c>
      <c r="AE66" s="304">
        <f t="shared" si="15"/>
        <v>0.5</v>
      </c>
      <c r="AF66" s="176">
        <f t="shared" si="23"/>
        <v>0.63772724305509332</v>
      </c>
      <c r="AG66" s="814">
        <f t="shared" si="24"/>
        <v>1</v>
      </c>
      <c r="AH66" s="175">
        <f t="shared" si="16"/>
        <v>7</v>
      </c>
      <c r="AI66" s="224">
        <f t="shared" si="17"/>
        <v>1.6377272430550933</v>
      </c>
      <c r="AJ66" s="264" t="b">
        <f t="shared" si="18"/>
        <v>0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10">
        <f>'2024'!Wh/'2024'!Env_an*'2025'!Env_an</f>
        <v>35.443635732503523</v>
      </c>
      <c r="C67" s="843"/>
      <c r="D67" s="392">
        <f t="shared" si="0"/>
        <v>37.358444718944611</v>
      </c>
      <c r="E67" s="384">
        <f t="shared" si="1"/>
        <v>38.552628754390668</v>
      </c>
      <c r="F67" s="384">
        <f t="shared" si="2"/>
        <v>38.567793065927276</v>
      </c>
      <c r="G67" s="110">
        <f t="shared" si="21"/>
        <v>0.90535150747520787</v>
      </c>
      <c r="H67" s="413" t="b">
        <f>Wh_hp&gt;='2024'!Maxi_hp</f>
        <v>0</v>
      </c>
      <c r="I67" s="389">
        <f>IF(H67,Wh_hp,'2024'!Maxi_hp)</f>
        <v>40.864561185039193</v>
      </c>
      <c r="J67" s="85">
        <f>IF(H67,An,'2024'!An_max)</f>
        <v>2020</v>
      </c>
      <c r="K67" s="196">
        <f t="shared" si="3"/>
        <v>45710</v>
      </c>
      <c r="L67" s="147">
        <f>IF(t&lt;Tvie,1-EXP((T0-t)*PertePVj)+'2024'!Pspv,1-EXP((T0-t)*PertePVj)+Pspv)</f>
        <v>5.1255050922130098E-2</v>
      </c>
      <c r="M67" s="847"/>
      <c r="N67" s="847"/>
      <c r="O67" s="48">
        <f>IF(t&lt;Tnet,'2024'!Resal+('2024'!Salim-'2024'!Resal)*(1-EXP(('2024'!Tnet-t)/('2024'!Tau_j))),Resal+(Salim-Resal)*(1-EXP((Tnet-t)/(Tau_j))))*Salcycl</f>
        <v>3.0975424349242397E-2</v>
      </c>
      <c r="P67" s="168">
        <f>(INDEX(Models!$BJ67:$BT67,,T67)*(1-R67)+INDEX(Models!$BJ67:$BT67,,T67+1)*R67-ERP_i)*Q67*Ramure*Pc/MaxiM</f>
        <v>4.5461985849349994E-4</v>
      </c>
      <c r="Q67" s="304">
        <f t="shared" si="4"/>
        <v>0.5</v>
      </c>
      <c r="R67" s="176">
        <f t="shared" si="5"/>
        <v>0.63786695141053484</v>
      </c>
      <c r="S67" s="814">
        <f t="shared" si="6"/>
        <v>1</v>
      </c>
      <c r="T67" s="175">
        <f t="shared" si="7"/>
        <v>7</v>
      </c>
      <c r="U67" s="250">
        <f t="shared" si="8"/>
        <v>1.6378669514105348</v>
      </c>
      <c r="V67" s="382">
        <f t="shared" si="9"/>
        <v>39.146626630355399</v>
      </c>
      <c r="W67" s="401">
        <f t="shared" si="10"/>
        <v>35.443635732503523</v>
      </c>
      <c r="X67" s="157">
        <f t="shared" si="11"/>
        <v>45710</v>
      </c>
      <c r="Y67" s="384">
        <f t="shared" si="12"/>
        <v>33.654653663017186</v>
      </c>
      <c r="Z67" s="384">
        <f t="shared" si="22"/>
        <v>35.472814580702362</v>
      </c>
      <c r="AA67" s="385">
        <f t="shared" si="13"/>
        <v>38.552628754390668</v>
      </c>
      <c r="AB67" s="196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7.9885970767623674E-2</v>
      </c>
      <c r="AD67" s="230">
        <f>(INDEX(Models!$BJ67:$BT67,,AH67)*(1-AF67)+INDEX(Models!$BJ67:$BT67,,AH67+1)*AF67-ERP_i)*AE67*Ramure*Pc/MaxiM</f>
        <v>4.5461985849349994E-4</v>
      </c>
      <c r="AE67" s="304">
        <f t="shared" si="15"/>
        <v>0.5</v>
      </c>
      <c r="AF67" s="176">
        <f t="shared" si="23"/>
        <v>0.63786695141053484</v>
      </c>
      <c r="AG67" s="814">
        <f t="shared" si="24"/>
        <v>1</v>
      </c>
      <c r="AH67" s="175">
        <f t="shared" si="16"/>
        <v>7</v>
      </c>
      <c r="AI67" s="224">
        <f t="shared" si="17"/>
        <v>1.6378669514105348</v>
      </c>
      <c r="AJ67" s="264" t="b">
        <f t="shared" si="18"/>
        <v>0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10">
        <f>'2024'!Wh/'2024'!Env_an*'2025'!Env_an</f>
        <v>36.445199522406675</v>
      </c>
      <c r="C68" s="843"/>
      <c r="D68" s="392">
        <f t="shared" si="0"/>
        <v>38.41495736976772</v>
      </c>
      <c r="E68" s="384">
        <f t="shared" si="1"/>
        <v>39.645907240659689</v>
      </c>
      <c r="F68" s="384">
        <f t="shared" si="2"/>
        <v>39.661950281400919</v>
      </c>
      <c r="G68" s="110">
        <f t="shared" si="21"/>
        <v>0.92339754898780757</v>
      </c>
      <c r="H68" s="413" t="b">
        <f>Wh_hp&gt;='2024'!Maxi_hp</f>
        <v>0</v>
      </c>
      <c r="I68" s="389">
        <f>IF(H68,Wh_hp,'2024'!Maxi_hp)</f>
        <v>41.700793464247006</v>
      </c>
      <c r="J68" s="85">
        <f>IF(H68,An,'2024'!An_max)</f>
        <v>2020</v>
      </c>
      <c r="K68" s="196">
        <f t="shared" si="3"/>
        <v>45711</v>
      </c>
      <c r="L68" s="147">
        <f>IF(t&lt;Tvie,1-EXP((T0-t)*PertePVj)+'2024'!Pspv,1-EXP((T0-t)*PertePVj)+Pspv)</f>
        <v>5.1275804588324904E-2</v>
      </c>
      <c r="M68" s="847"/>
      <c r="N68" s="847"/>
      <c r="O68" s="48">
        <f>IF(t&lt;Tnet,'2024'!Resal+('2024'!Salim-'2024'!Resal)*(1-EXP(('2024'!Tnet-t)/('2024'!Tau_j))),Resal+(Salim-Resal)*(1-EXP((Tnet-t)/(Tau_j))))*Salcycl</f>
        <v>3.1048598873518619E-2</v>
      </c>
      <c r="P68" s="168">
        <f>(INDEX(Models!$BJ68:$BT68,,T68)*(1-R68)+INDEX(Models!$BJ68:$BT68,,T68+1)*R68-ERP_i)*Q68*Ramure*Pc/MaxiM</f>
        <v>4.5416493912028947E-4</v>
      </c>
      <c r="Q68" s="304">
        <f t="shared" si="4"/>
        <v>0.5</v>
      </c>
      <c r="R68" s="176">
        <f t="shared" si="5"/>
        <v>0.63801238112676151</v>
      </c>
      <c r="S68" s="814">
        <f t="shared" si="6"/>
        <v>1</v>
      </c>
      <c r="T68" s="175">
        <f t="shared" si="7"/>
        <v>7</v>
      </c>
      <c r="U68" s="250">
        <f t="shared" si="8"/>
        <v>1.6380123811267615</v>
      </c>
      <c r="V68" s="382">
        <f t="shared" si="9"/>
        <v>39.466629059988279</v>
      </c>
      <c r="W68" s="401">
        <f t="shared" si="10"/>
        <v>36.445199522406675</v>
      </c>
      <c r="X68" s="157">
        <f t="shared" si="11"/>
        <v>45711</v>
      </c>
      <c r="Y68" s="384">
        <f t="shared" si="12"/>
        <v>34.607436480679084</v>
      </c>
      <c r="Z68" s="384">
        <f t="shared" si="22"/>
        <v>36.47786853972039</v>
      </c>
      <c r="AA68" s="385">
        <f t="shared" si="13"/>
        <v>39.645907240659689</v>
      </c>
      <c r="AB68" s="196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7.9908341653240039E-2</v>
      </c>
      <c r="AD68" s="230">
        <f>(INDEX(Models!$BJ68:$BT68,,AH68)*(1-AF68)+INDEX(Models!$BJ68:$BT68,,AH68+1)*AF68-ERP_i)*AE68*Ramure*Pc/MaxiM</f>
        <v>4.5416493912028947E-4</v>
      </c>
      <c r="AE68" s="304">
        <f t="shared" si="15"/>
        <v>0.5</v>
      </c>
      <c r="AF68" s="176">
        <f t="shared" si="23"/>
        <v>0.63801238112676151</v>
      </c>
      <c r="AG68" s="814">
        <f t="shared" si="24"/>
        <v>1</v>
      </c>
      <c r="AH68" s="175">
        <f t="shared" si="16"/>
        <v>7</v>
      </c>
      <c r="AI68" s="224">
        <f t="shared" si="17"/>
        <v>1.6380123811267615</v>
      </c>
      <c r="AJ68" s="264" t="b">
        <f t="shared" si="18"/>
        <v>0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10">
        <f>'2024'!Wh/'2024'!Env_an*'2025'!Env_an</f>
        <v>21.748896831552578</v>
      </c>
      <c r="C69" s="843"/>
      <c r="D69" s="392">
        <f t="shared" si="0"/>
        <v>22.924863412656109</v>
      </c>
      <c r="E69" s="384">
        <f t="shared" si="1"/>
        <v>23.66124117795346</v>
      </c>
      <c r="F69" s="384">
        <f t="shared" si="2"/>
        <v>23.665023546667584</v>
      </c>
      <c r="G69" s="110">
        <f t="shared" si="21"/>
        <v>0.54651308523221143</v>
      </c>
      <c r="H69" s="413" t="b">
        <f>Wh_hp&gt;='2024'!Maxi_hp</f>
        <v>0</v>
      </c>
      <c r="I69" s="389">
        <f>IF(H69,Wh_hp,'2024'!Maxi_hp)</f>
        <v>41.717998173912889</v>
      </c>
      <c r="J69" s="85">
        <f>IF(H69,An,'2024'!An_max)</f>
        <v>2020</v>
      </c>
      <c r="K69" s="196">
        <f t="shared" si="3"/>
        <v>45712</v>
      </c>
      <c r="L69" s="147">
        <f>IF(t&lt;Tvie,1-EXP((T0-t)*PertePVj)+'2024'!Pspv,1-EXP((T0-t)*PertePVj)+Pspv)</f>
        <v>5.1296557799961208E-2</v>
      </c>
      <c r="M69" s="847"/>
      <c r="N69" s="847"/>
      <c r="O69" s="48">
        <f>IF(t&lt;Tnet,'2024'!Resal+('2024'!Salim-'2024'!Resal)*(1-EXP(('2024'!Tnet-t)/('2024'!Tau_j))),Resal+(Salim-Resal)*(1-EXP((Tnet-t)/(Tau_j))))*Salcycl</f>
        <v>3.1121687985813589E-2</v>
      </c>
      <c r="P69" s="168">
        <f>(INDEX(Models!$BJ69:$BT69,,T69)*(1-R69)+INDEX(Models!$BJ69:$BT69,,T69+1)*R69-ERP_i)*Q69*Ramure*Pc/MaxiM</f>
        <v>4.5355727932626968E-4</v>
      </c>
      <c r="Q69" s="304">
        <f t="shared" si="4"/>
        <v>0.5</v>
      </c>
      <c r="R69" s="176">
        <f t="shared" si="5"/>
        <v>0.63816376048309253</v>
      </c>
      <c r="S69" s="814">
        <f t="shared" si="6"/>
        <v>1</v>
      </c>
      <c r="T69" s="175">
        <f t="shared" si="7"/>
        <v>7</v>
      </c>
      <c r="U69" s="250">
        <f t="shared" si="8"/>
        <v>1.6381637604830925</v>
      </c>
      <c r="V69" s="382">
        <f t="shared" si="9"/>
        <v>39.78405667230637</v>
      </c>
      <c r="W69" s="401">
        <f t="shared" si="10"/>
        <v>21.748896831552578</v>
      </c>
      <c r="X69" s="157">
        <f t="shared" si="11"/>
        <v>45712</v>
      </c>
      <c r="Y69" s="384">
        <f t="shared" si="12"/>
        <v>20.653257324023979</v>
      </c>
      <c r="Z69" s="384">
        <f t="shared" si="22"/>
        <v>21.769982489079172</v>
      </c>
      <c r="AA69" s="385">
        <f t="shared" si="13"/>
        <v>23.66124117795346</v>
      </c>
      <c r="AB69" s="196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7.993066275138945E-2</v>
      </c>
      <c r="AD69" s="230">
        <f>(INDEX(Models!$BJ69:$BT69,,AH69)*(1-AF69)+INDEX(Models!$BJ69:$BT69,,AH69+1)*AF69-ERP_i)*AE69*Ramure*Pc/MaxiM</f>
        <v>4.5355727932626968E-4</v>
      </c>
      <c r="AE69" s="304">
        <f t="shared" si="15"/>
        <v>0.5</v>
      </c>
      <c r="AF69" s="176">
        <f t="shared" si="23"/>
        <v>0.63816376048309253</v>
      </c>
      <c r="AG69" s="814">
        <f t="shared" si="24"/>
        <v>1</v>
      </c>
      <c r="AH69" s="175">
        <f t="shared" si="16"/>
        <v>7</v>
      </c>
      <c r="AI69" s="224">
        <f t="shared" si="17"/>
        <v>1.6381637604830925</v>
      </c>
      <c r="AJ69" s="264" t="b">
        <f t="shared" si="18"/>
        <v>0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10">
        <f>'2024'!Wh/'2024'!Env_an*'2025'!Env_an</f>
        <v>30.92347879625391</v>
      </c>
      <c r="C70" s="843"/>
      <c r="D70" s="392">
        <f t="shared" si="0"/>
        <v>32.596229635444921</v>
      </c>
      <c r="E70" s="384">
        <f t="shared" si="1"/>
        <v>33.645799996620021</v>
      </c>
      <c r="F70" s="384">
        <f t="shared" si="2"/>
        <v>33.656057704369964</v>
      </c>
      <c r="G70" s="110">
        <f t="shared" si="21"/>
        <v>0.77106010226988342</v>
      </c>
      <c r="H70" s="413" t="b">
        <f>Wh_hp&gt;='2024'!Maxi_hp</f>
        <v>0</v>
      </c>
      <c r="I70" s="389">
        <f>IF(H70,Wh_hp,'2024'!Maxi_hp)</f>
        <v>42.62355723611401</v>
      </c>
      <c r="J70" s="85">
        <f>IF(H70,An,'2024'!An_max)</f>
        <v>2019</v>
      </c>
      <c r="K70" s="196">
        <f t="shared" si="3"/>
        <v>45713</v>
      </c>
      <c r="L70" s="147">
        <f>IF(t&lt;Tvie,1-EXP((T0-t)*PertePVj)+'2024'!Pspv,1-EXP((T0-t)*PertePVj)+Pspv)</f>
        <v>5.1317310557048891E-2</v>
      </c>
      <c r="M70" s="847"/>
      <c r="N70" s="847"/>
      <c r="O70" s="48">
        <f>IF(t&lt;Tnet,'2024'!Resal+('2024'!Salim-'2024'!Resal)*(1-EXP(('2024'!Tnet-t)/('2024'!Tau_j))),Resal+(Salim-Resal)*(1-EXP((Tnet-t)/(Tau_j))))*Salcycl</f>
        <v>3.1194691797506346E-2</v>
      </c>
      <c r="P70" s="168">
        <f>(INDEX(Models!$BJ70:$BT70,,T70)*(1-R70)+INDEX(Models!$BJ70:$BT70,,T70+1)*R70-ERP_i)*Q70*Ramure*Pc/MaxiM</f>
        <v>4.5279699811734869E-4</v>
      </c>
      <c r="Q70" s="304">
        <f t="shared" si="4"/>
        <v>0.5</v>
      </c>
      <c r="R70" s="176">
        <f t="shared" si="5"/>
        <v>0.63832132635837402</v>
      </c>
      <c r="S70" s="814">
        <f t="shared" si="6"/>
        <v>1</v>
      </c>
      <c r="T70" s="175">
        <f t="shared" si="7"/>
        <v>7</v>
      </c>
      <c r="U70" s="250">
        <f t="shared" si="8"/>
        <v>1.638321326358374</v>
      </c>
      <c r="V70" s="382">
        <f t="shared" si="9"/>
        <v>40.099209027383402</v>
      </c>
      <c r="W70" s="401">
        <f t="shared" si="10"/>
        <v>30.92347879625391</v>
      </c>
      <c r="X70" s="157">
        <f t="shared" si="11"/>
        <v>45713</v>
      </c>
      <c r="Y70" s="384">
        <f t="shared" si="12"/>
        <v>29.367155284389018</v>
      </c>
      <c r="Z70" s="384">
        <f t="shared" si="22"/>
        <v>30.955719558488905</v>
      </c>
      <c r="AA70" s="385">
        <f t="shared" si="13"/>
        <v>33.645799996620021</v>
      </c>
      <c r="AB70" s="196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7.9952934345486004E-2</v>
      </c>
      <c r="AD70" s="230">
        <f>(INDEX(Models!$BJ70:$BT70,,AH70)*(1-AF70)+INDEX(Models!$BJ70:$BT70,,AH70+1)*AF70-ERP_i)*AE70*Ramure*Pc/MaxiM</f>
        <v>4.5279699811734869E-4</v>
      </c>
      <c r="AE70" s="304">
        <f t="shared" si="15"/>
        <v>0.5</v>
      </c>
      <c r="AF70" s="176">
        <f t="shared" si="23"/>
        <v>0.63832132635837402</v>
      </c>
      <c r="AG70" s="814">
        <f t="shared" si="24"/>
        <v>1</v>
      </c>
      <c r="AH70" s="175">
        <f t="shared" si="16"/>
        <v>7</v>
      </c>
      <c r="AI70" s="224">
        <f t="shared" si="17"/>
        <v>1.638321326358374</v>
      </c>
      <c r="AJ70" s="264" t="b">
        <f t="shared" si="18"/>
        <v>0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10">
        <f>'2024'!Wh/'2024'!Env_an*'2025'!Env_an</f>
        <v>41.053021526788108</v>
      </c>
      <c r="C71" s="843"/>
      <c r="D71" s="392">
        <f t="shared" si="0"/>
        <v>43.274658674022731</v>
      </c>
      <c r="E71" s="384">
        <f t="shared" si="1"/>
        <v>44.671427490173535</v>
      </c>
      <c r="F71" s="384">
        <f t="shared" si="2"/>
        <v>44.691622932804925</v>
      </c>
      <c r="G71" s="110">
        <f t="shared" si="21"/>
        <v>1.0158524665485094</v>
      </c>
      <c r="H71" s="413" t="b">
        <f>Wh_hp&gt;='2024'!Maxi_hp</f>
        <v>1</v>
      </c>
      <c r="I71" s="389">
        <f>IF(H71,Wh_hp,'2024'!Maxi_hp)</f>
        <v>44.691622932804925</v>
      </c>
      <c r="J71" s="85">
        <f>IF(H71,An,'2024'!An_max)</f>
        <v>2025</v>
      </c>
      <c r="K71" s="196">
        <f t="shared" si="3"/>
        <v>45714</v>
      </c>
      <c r="L71" s="147">
        <f>IF(t&lt;Tvie,1-EXP((T0-t)*PertePVj)+'2024'!Pspv,1-EXP((T0-t)*PertePVj)+Pspv)</f>
        <v>5.1338062859597945E-2</v>
      </c>
      <c r="M71" s="847"/>
      <c r="N71" s="847"/>
      <c r="O71" s="48">
        <f>IF(t&lt;Tnet,'2024'!Resal+('2024'!Salim-'2024'!Resal)*(1-EXP(('2024'!Tnet-t)/('2024'!Tau_j))),Resal+(Salim-Resal)*(1-EXP((Tnet-t)/(Tau_j))))*Salcycl</f>
        <v>3.126761096806354E-2</v>
      </c>
      <c r="P71" s="168">
        <f>(INDEX(Models!$BJ71:$BT71,,T71)*(1-R71)+INDEX(Models!$BJ71:$BT71,,T71+1)*R71-ERP_i)*Q71*Ramure*Pc/MaxiM</f>
        <v>4.5188429746124579E-4</v>
      </c>
      <c r="Q71" s="304">
        <f t="shared" si="4"/>
        <v>0.5</v>
      </c>
      <c r="R71" s="176">
        <f t="shared" si="5"/>
        <v>0.63848532451171325</v>
      </c>
      <c r="S71" s="814">
        <f t="shared" si="6"/>
        <v>1</v>
      </c>
      <c r="T71" s="175">
        <f t="shared" si="7"/>
        <v>7</v>
      </c>
      <c r="U71" s="250">
        <f t="shared" si="8"/>
        <v>1.6384853245117132</v>
      </c>
      <c r="V71" s="382">
        <f t="shared" si="9"/>
        <v>40.412385536918642</v>
      </c>
      <c r="W71" s="401">
        <f t="shared" si="10"/>
        <v>41.053021526788108</v>
      </c>
      <c r="X71" s="157">
        <f t="shared" si="11"/>
        <v>45714</v>
      </c>
      <c r="Y71" s="384">
        <f t="shared" si="12"/>
        <v>38.988889053965124</v>
      </c>
      <c r="Z71" s="384">
        <f t="shared" si="22"/>
        <v>41.098823013276188</v>
      </c>
      <c r="AA71" s="385">
        <f t="shared" si="13"/>
        <v>44.671427490173535</v>
      </c>
      <c r="AB71" s="196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7.9975158118312115E-2</v>
      </c>
      <c r="AD71" s="230">
        <f>(INDEX(Models!$BJ71:$BT71,,AH71)*(1-AF71)+INDEX(Models!$BJ71:$BT71,,AH71+1)*AF71-ERP_i)*AE71*Ramure*Pc/MaxiM</f>
        <v>4.5188429746124579E-4</v>
      </c>
      <c r="AE71" s="304">
        <f t="shared" si="15"/>
        <v>0.5</v>
      </c>
      <c r="AF71" s="176">
        <f t="shared" si="23"/>
        <v>0.63848532451171325</v>
      </c>
      <c r="AG71" s="814">
        <f t="shared" si="24"/>
        <v>1</v>
      </c>
      <c r="AH71" s="175">
        <f t="shared" si="16"/>
        <v>7</v>
      </c>
      <c r="AI71" s="224">
        <f t="shared" si="17"/>
        <v>1.6384853245117132</v>
      </c>
      <c r="AJ71" s="264" t="b">
        <f t="shared" si="18"/>
        <v>0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10">
        <f>'2024'!Wh/'2024'!Env_an*'2025'!Env_an</f>
        <v>27.026988444140077</v>
      </c>
      <c r="C72" s="843"/>
      <c r="D72" s="392">
        <f t="shared" si="0"/>
        <v>28.490211961238074</v>
      </c>
      <c r="E72" s="384">
        <f t="shared" si="1"/>
        <v>29.41199708936216</v>
      </c>
      <c r="F72" s="384">
        <f t="shared" si="2"/>
        <v>29.418887022339504</v>
      </c>
      <c r="G72" s="110">
        <f t="shared" si="21"/>
        <v>0.66352049216962994</v>
      </c>
      <c r="H72" s="413" t="b">
        <f>Wh_hp&gt;='2024'!Maxi_hp</f>
        <v>0</v>
      </c>
      <c r="I72" s="389">
        <f>IF(H72,Wh_hp,'2024'!Maxi_hp)</f>
        <v>43.393091127418728</v>
      </c>
      <c r="J72" s="85">
        <f>IF(H72,An,'2024'!An_max)</f>
        <v>2019</v>
      </c>
      <c r="K72" s="196">
        <f t="shared" si="3"/>
        <v>45715</v>
      </c>
      <c r="L72" s="147">
        <f>IF(t&lt;Tvie,1-EXP((T0-t)*PertePVj)+'2024'!Pspv,1-EXP((T0-t)*PertePVj)+Pspv)</f>
        <v>5.1358814707618251E-2</v>
      </c>
      <c r="M72" s="847"/>
      <c r="N72" s="847"/>
      <c r="O72" s="48">
        <f>IF(t&lt;Tnet,'2024'!Resal+('2024'!Salim-'2024'!Resal)*(1-EXP(('2024'!Tnet-t)/('2024'!Tau_j))),Resal+(Salim-Resal)*(1-EXP((Tnet-t)/(Tau_j))))*Salcycl</f>
        <v>3.1340446734148535E-2</v>
      </c>
      <c r="P72" s="168">
        <f>(INDEX(Models!$BJ72:$BT72,,T72)*(1-R72)+INDEX(Models!$BJ72:$BT72,,T72+1)*R72-ERP_i)*Q72*Ramure*Pc/MaxiM</f>
        <v>4.5080233561121599E-4</v>
      </c>
      <c r="Q72" s="304">
        <f t="shared" si="4"/>
        <v>0.5</v>
      </c>
      <c r="R72" s="176">
        <f t="shared" si="5"/>
        <v>0.63865600986859938</v>
      </c>
      <c r="S72" s="814">
        <f t="shared" si="6"/>
        <v>1</v>
      </c>
      <c r="T72" s="175">
        <f t="shared" si="7"/>
        <v>7</v>
      </c>
      <c r="U72" s="250">
        <f t="shared" si="8"/>
        <v>1.6386560098685994</v>
      </c>
      <c r="V72" s="382">
        <f t="shared" si="9"/>
        <v>40.723886164897337</v>
      </c>
      <c r="W72" s="401">
        <f t="shared" si="10"/>
        <v>27.026988444140077</v>
      </c>
      <c r="X72" s="157">
        <f t="shared" si="11"/>
        <v>45715</v>
      </c>
      <c r="Y72" s="384">
        <f t="shared" si="12"/>
        <v>25.669391533812693</v>
      </c>
      <c r="Z72" s="384">
        <f t="shared" si="22"/>
        <v>27.059115640125935</v>
      </c>
      <c r="AA72" s="385">
        <f t="shared" si="13"/>
        <v>29.41199708936216</v>
      </c>
      <c r="AB72" s="196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7.9997337212005373E-2</v>
      </c>
      <c r="AD72" s="230">
        <f>(INDEX(Models!$BJ72:$BT72,,AH72)*(1-AF72)+INDEX(Models!$BJ72:$BT72,,AH72+1)*AF72-ERP_i)*AE72*Ramure*Pc/MaxiM</f>
        <v>4.5080233561121599E-4</v>
      </c>
      <c r="AE72" s="304">
        <f t="shared" si="15"/>
        <v>0.5</v>
      </c>
      <c r="AF72" s="176">
        <f t="shared" si="23"/>
        <v>0.63865600986859938</v>
      </c>
      <c r="AG72" s="814">
        <f t="shared" si="24"/>
        <v>1</v>
      </c>
      <c r="AH72" s="175">
        <f t="shared" si="16"/>
        <v>7</v>
      </c>
      <c r="AI72" s="224">
        <f t="shared" si="17"/>
        <v>1.6386560098685994</v>
      </c>
      <c r="AJ72" s="264" t="b">
        <f t="shared" si="18"/>
        <v>0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10">
        <f>'2024'!Wh/'2024'!Env_an*'2025'!Env_an</f>
        <v>36.247153252465999</v>
      </c>
      <c r="C73" s="843"/>
      <c r="D73" s="392">
        <f t="shared" si="0"/>
        <v>38.210386322259872</v>
      </c>
      <c r="E73" s="384">
        <f t="shared" si="1"/>
        <v>39.449625329542421</v>
      </c>
      <c r="F73" s="384">
        <f t="shared" si="2"/>
        <v>39.464403172795485</v>
      </c>
      <c r="G73" s="110">
        <f t="shared" si="21"/>
        <v>0.88327780645844833</v>
      </c>
      <c r="H73" s="413" t="b">
        <f>Wh_hp&gt;='2024'!Maxi_hp</f>
        <v>0</v>
      </c>
      <c r="I73" s="389">
        <f>IF(H73,Wh_hp,'2024'!Maxi_hp)</f>
        <v>39.465776394788492</v>
      </c>
      <c r="J73" s="85">
        <f>IF(H73,An,'2024'!An_max)</f>
        <v>2022</v>
      </c>
      <c r="K73" s="196">
        <f t="shared" si="3"/>
        <v>45716</v>
      </c>
      <c r="L73" s="147">
        <f>IF(t&lt;Tvie,1-EXP((T0-t)*PertePVj)+'2024'!Pspv,1-EXP((T0-t)*PertePVj)+Pspv)</f>
        <v>5.1379566101119802E-2</v>
      </c>
      <c r="M73" s="847"/>
      <c r="N73" s="847"/>
      <c r="O73" s="48">
        <f>IF(t&lt;Tnet,'2024'!Resal+('2024'!Salim-'2024'!Resal)*(1-EXP(('2024'!Tnet-t)/('2024'!Tau_j))),Resal+(Salim-Resal)*(1-EXP((Tnet-t)/(Tau_j))))*Salcycl</f>
        <v>3.141320093487756E-2</v>
      </c>
      <c r="P73" s="168">
        <f>(INDEX(Models!$BJ73:$BT73,,T73)*(1-R73)+INDEX(Models!$BJ73:$BT73,,T73+1)*R73-ERP_i)*Q73*Ramure*Pc/MaxiM</f>
        <v>4.4934388567768879E-4</v>
      </c>
      <c r="Q73" s="304">
        <f t="shared" si="4"/>
        <v>0.5</v>
      </c>
      <c r="R73" s="176">
        <f t="shared" si="5"/>
        <v>0.63883364681215205</v>
      </c>
      <c r="S73" s="814">
        <f t="shared" si="6"/>
        <v>1</v>
      </c>
      <c r="T73" s="175">
        <f t="shared" si="7"/>
        <v>7</v>
      </c>
      <c r="U73" s="250">
        <f t="shared" si="8"/>
        <v>1.638833646812152</v>
      </c>
      <c r="V73" s="382">
        <f t="shared" si="9"/>
        <v>41.03401856764868</v>
      </c>
      <c r="W73" s="401">
        <f t="shared" si="10"/>
        <v>36.247153252465999</v>
      </c>
      <c r="X73" s="157">
        <f t="shared" si="11"/>
        <v>45716</v>
      </c>
      <c r="Y73" s="384">
        <f t="shared" si="12"/>
        <v>34.428174186182581</v>
      </c>
      <c r="Z73" s="384">
        <f t="shared" si="22"/>
        <v>36.292886971326311</v>
      </c>
      <c r="AA73" s="385">
        <f t="shared" si="13"/>
        <v>39.449625329542421</v>
      </c>
      <c r="AB73" s="196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8.0019476277564033E-2</v>
      </c>
      <c r="AD73" s="230">
        <f>(INDEX(Models!$BJ73:$BT73,,AH73)*(1-AF73)+INDEX(Models!$BJ73:$BT73,,AH73+1)*AF73-ERP_i)*AE73*Ramure*Pc/MaxiM</f>
        <v>4.4934388567768879E-4</v>
      </c>
      <c r="AE73" s="304">
        <f t="shared" si="15"/>
        <v>0.5</v>
      </c>
      <c r="AF73" s="176">
        <f t="shared" si="23"/>
        <v>0.63883364681215205</v>
      </c>
      <c r="AG73" s="814">
        <f t="shared" si="24"/>
        <v>1</v>
      </c>
      <c r="AH73" s="175">
        <f t="shared" si="16"/>
        <v>7</v>
      </c>
      <c r="AI73" s="224">
        <f t="shared" si="17"/>
        <v>1.638833646812152</v>
      </c>
      <c r="AJ73" s="264" t="b">
        <f t="shared" si="18"/>
        <v>0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10">
        <f>'2024'!Wh/'2024'!Env_an*'2025'!Env_an</f>
        <v>39.760698391584448</v>
      </c>
      <c r="C74" s="843"/>
      <c r="D74" s="392">
        <f t="shared" si="0"/>
        <v>41.915150411520621</v>
      </c>
      <c r="E74" s="384">
        <f t="shared" si="1"/>
        <v>43.277789527570064</v>
      </c>
      <c r="F74" s="384">
        <f t="shared" si="2"/>
        <v>43.29610573146951</v>
      </c>
      <c r="G74" s="110">
        <f t="shared" si="21"/>
        <v>0.96170201668861577</v>
      </c>
      <c r="H74" s="413" t="b">
        <f>Wh_hp&gt;='2024'!Maxi_hp</f>
        <v>0</v>
      </c>
      <c r="I74" s="389">
        <f>IF(H74,Wh_hp,'2024'!Maxi_hp)</f>
        <v>43.296598895095009</v>
      </c>
      <c r="J74" s="85">
        <f>IF(H74,An,'2024'!An_max)</f>
        <v>2022</v>
      </c>
      <c r="K74" s="196">
        <f t="shared" si="3"/>
        <v>45717</v>
      </c>
      <c r="L74" s="147">
        <f>IF(t&lt;Tvie,1-EXP((T0-t)*PertePVj)+'2024'!Pspv,1-EXP((T0-t)*PertePVj)+Pspv)</f>
        <v>5.1400317040112699E-2</v>
      </c>
      <c r="M74" s="847"/>
      <c r="N74" s="847"/>
      <c r="O74" s="48">
        <f>IF(t&lt;Tnet,'2024'!Resal+('2024'!Salim-'2024'!Resal)*(1-EXP(('2024'!Tnet-t)/('2024'!Tau_j))),Resal+(Salim-Resal)*(1-EXP((Tnet-t)/(Tau_j))))*Salcycl</f>
        <v>3.1485876033048615E-2</v>
      </c>
      <c r="P74" s="168">
        <f>(INDEX(Models!$BJ74:$BT74,,T74)*(1-R74)+INDEX(Models!$BJ74:$BT74,,T74+1)*R74-ERP_i)*Q74*Ramure*Pc/MaxiM</f>
        <v>4.4751414233936847E-4</v>
      </c>
      <c r="Q74" s="304">
        <f t="shared" si="4"/>
        <v>0.5</v>
      </c>
      <c r="R74" s="176">
        <f t="shared" si="5"/>
        <v>0.63901850947918715</v>
      </c>
      <c r="S74" s="814">
        <f t="shared" si="6"/>
        <v>1</v>
      </c>
      <c r="T74" s="175">
        <f t="shared" si="7"/>
        <v>7</v>
      </c>
      <c r="U74" s="250">
        <f t="shared" si="8"/>
        <v>1.6390185094791871</v>
      </c>
      <c r="V74" s="382">
        <f t="shared" si="9"/>
        <v>41.343081726248656</v>
      </c>
      <c r="W74" s="401">
        <f t="shared" si="10"/>
        <v>39.760698391584448</v>
      </c>
      <c r="X74" s="157">
        <f t="shared" si="11"/>
        <v>45717</v>
      </c>
      <c r="Y74" s="384">
        <f t="shared" si="12"/>
        <v>37.767326572808642</v>
      </c>
      <c r="Z74" s="384">
        <f t="shared" si="22"/>
        <v>39.813766809371451</v>
      </c>
      <c r="AA74" s="385">
        <f t="shared" si="13"/>
        <v>43.277789527570064</v>
      </c>
      <c r="AB74" s="196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8.0041581513581289E-2</v>
      </c>
      <c r="AD74" s="230">
        <f>(INDEX(Models!$BJ74:$BT74,,AH74)*(1-AF74)+INDEX(Models!$BJ74:$BT74,,AH74+1)*AF74-ERP_i)*AE74*Ramure*Pc/MaxiM</f>
        <v>4.4751414233936847E-4</v>
      </c>
      <c r="AE74" s="304">
        <f t="shared" si="15"/>
        <v>0.5</v>
      </c>
      <c r="AF74" s="176">
        <f t="shared" si="23"/>
        <v>0.63901850947918715</v>
      </c>
      <c r="AG74" s="814">
        <f t="shared" si="24"/>
        <v>1</v>
      </c>
      <c r="AH74" s="175">
        <f t="shared" si="16"/>
        <v>7</v>
      </c>
      <c r="AI74" s="224">
        <f t="shared" si="17"/>
        <v>1.6390185094791871</v>
      </c>
      <c r="AJ74" s="264" t="b">
        <f t="shared" si="18"/>
        <v>0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10">
        <f>'2024'!Wh/'2024'!Env_an*'2025'!Env_an</f>
        <v>15.735270188137926</v>
      </c>
      <c r="C75" s="843"/>
      <c r="D75" s="392">
        <f t="shared" si="0"/>
        <v>16.588256021115154</v>
      </c>
      <c r="E75" s="384">
        <f t="shared" si="1"/>
        <v>17.128815313221732</v>
      </c>
      <c r="F75" s="384">
        <f t="shared" si="2"/>
        <v>17.129662965800435</v>
      </c>
      <c r="G75" s="110">
        <f t="shared" si="21"/>
        <v>0.37763558895731281</v>
      </c>
      <c r="H75" s="413" t="b">
        <f>Wh_hp&gt;='2024'!Maxi_hp</f>
        <v>0</v>
      </c>
      <c r="I75" s="389">
        <f>IF(H75,Wh_hp,'2024'!Maxi_hp)</f>
        <v>29.944510502068969</v>
      </c>
      <c r="J75" s="85">
        <f>IF(H75,An,'2024'!An_max)</f>
        <v>2020</v>
      </c>
      <c r="K75" s="196">
        <f t="shared" si="3"/>
        <v>45718</v>
      </c>
      <c r="L75" s="147">
        <f>IF(t&lt;Tvie,1-EXP((T0-t)*PertePVj)+'2024'!Pspv,1-EXP((T0-t)*PertePVj)+Pspv)</f>
        <v>5.1421067524606713E-2</v>
      </c>
      <c r="M75" s="847"/>
      <c r="N75" s="847"/>
      <c r="O75" s="48">
        <f>IF(t&lt;Tnet,'2024'!Resal+('2024'!Salim-'2024'!Resal)*(1-EXP(('2024'!Tnet-t)/('2024'!Tau_j))),Resal+(Salim-Resal)*(1-EXP((Tnet-t)/(Tau_j))))*Salcycl</f>
        <v>3.1558475132213049E-2</v>
      </c>
      <c r="P75" s="168">
        <f>(INDEX(Models!$BJ75:$BT75,,T75)*(1-R75)+INDEX(Models!$BJ75:$BT75,,T75+1)*R75-ERP_i)*Q75*Ramure*Pc/MaxiM</f>
        <v>4.4531824769857876E-4</v>
      </c>
      <c r="Q75" s="304">
        <f t="shared" si="4"/>
        <v>0.5</v>
      </c>
      <c r="R75" s="176">
        <f t="shared" si="5"/>
        <v>0.63921088206074406</v>
      </c>
      <c r="S75" s="814">
        <f t="shared" si="6"/>
        <v>1</v>
      </c>
      <c r="T75" s="175">
        <f t="shared" si="7"/>
        <v>7</v>
      </c>
      <c r="U75" s="250">
        <f t="shared" si="8"/>
        <v>1.6392108820607441</v>
      </c>
      <c r="V75" s="382">
        <f t="shared" si="9"/>
        <v>41.651374469646804</v>
      </c>
      <c r="W75" s="401">
        <f t="shared" si="10"/>
        <v>15.735270188137926</v>
      </c>
      <c r="X75" s="157">
        <f t="shared" si="11"/>
        <v>45718</v>
      </c>
      <c r="Y75" s="384">
        <f t="shared" si="12"/>
        <v>14.947156315753929</v>
      </c>
      <c r="Z75" s="384">
        <f t="shared" si="22"/>
        <v>15.757419655893179</v>
      </c>
      <c r="AA75" s="385">
        <f t="shared" si="13"/>
        <v>17.128815313221732</v>
      </c>
      <c r="AB75" s="196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8.0063660694033686E-2</v>
      </c>
      <c r="AD75" s="230">
        <f>(INDEX(Models!$BJ75:$BT75,,AH75)*(1-AF75)+INDEX(Models!$BJ75:$BT75,,AH75+1)*AF75-ERP_i)*AE75*Ramure*Pc/MaxiM</f>
        <v>4.4531824769857876E-4</v>
      </c>
      <c r="AE75" s="304">
        <f t="shared" si="15"/>
        <v>0.5</v>
      </c>
      <c r="AF75" s="176">
        <f t="shared" si="23"/>
        <v>0.63921088206074406</v>
      </c>
      <c r="AG75" s="814">
        <f t="shared" si="24"/>
        <v>1</v>
      </c>
      <c r="AH75" s="175">
        <f t="shared" si="16"/>
        <v>7</v>
      </c>
      <c r="AI75" s="224">
        <f t="shared" si="17"/>
        <v>1.6392108820607441</v>
      </c>
      <c r="AJ75" s="264" t="b">
        <f t="shared" si="18"/>
        <v>0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10">
        <f>'2024'!Wh/'2024'!Env_an*'2025'!Env_an</f>
        <v>36.65781252034369</v>
      </c>
      <c r="C76" s="843"/>
      <c r="D76" s="392">
        <f t="shared" si="0"/>
        <v>38.645823944968406</v>
      </c>
      <c r="E76" s="384">
        <f t="shared" si="1"/>
        <v>39.908159001750199</v>
      </c>
      <c r="F76" s="384">
        <f t="shared" si="2"/>
        <v>39.922644747114347</v>
      </c>
      <c r="G76" s="110">
        <f t="shared" si="21"/>
        <v>0.87358400221725674</v>
      </c>
      <c r="H76" s="413" t="b">
        <f>Wh_hp&gt;='2024'!Maxi_hp</f>
        <v>0</v>
      </c>
      <c r="I76" s="389">
        <f>IF(H76,Wh_hp,'2024'!Maxi_hp)</f>
        <v>39.924133521636918</v>
      </c>
      <c r="J76" s="85">
        <f>IF(H76,An,'2024'!An_max)</f>
        <v>2022</v>
      </c>
      <c r="K76" s="196">
        <f t="shared" si="3"/>
        <v>45719</v>
      </c>
      <c r="L76" s="147">
        <f>IF(t&lt;Tvie,1-EXP((T0-t)*PertePVj)+'2024'!Pspv,1-EXP((T0-t)*PertePVj)+Pspv)</f>
        <v>5.1441817554611836E-2</v>
      </c>
      <c r="M76" s="847"/>
      <c r="N76" s="847"/>
      <c r="O76" s="48">
        <f>IF(t&lt;Tnet,'2024'!Resal+('2024'!Salim-'2024'!Resal)*(1-EXP(('2024'!Tnet-t)/('2024'!Tau_j))),Resal+(Salim-Resal)*(1-EXP((Tnet-t)/(Tau_j))))*Salcycl</f>
        <v>3.1631001989503818E-2</v>
      </c>
      <c r="P76" s="168">
        <f>(INDEX(Models!$BJ76:$BT76,,T76)*(1-R76)+INDEX(Models!$BJ76:$BT76,,T76+1)*R76-ERP_i)*Q76*Ramure*Pc/MaxiM</f>
        <v>4.4276131905387453E-4</v>
      </c>
      <c r="Q76" s="304">
        <f t="shared" si="4"/>
        <v>0.5</v>
      </c>
      <c r="R76" s="176">
        <f t="shared" si="5"/>
        <v>0.63941105910665885</v>
      </c>
      <c r="S76" s="814">
        <f t="shared" si="6"/>
        <v>1</v>
      </c>
      <c r="T76" s="175">
        <f t="shared" si="7"/>
        <v>7</v>
      </c>
      <c r="U76" s="250">
        <f t="shared" si="8"/>
        <v>1.6394110591066589</v>
      </c>
      <c r="V76" s="382">
        <f t="shared" si="9"/>
        <v>41.959195473762392</v>
      </c>
      <c r="W76" s="401">
        <f t="shared" si="10"/>
        <v>36.65781252034369</v>
      </c>
      <c r="X76" s="157">
        <f t="shared" si="11"/>
        <v>45719</v>
      </c>
      <c r="Y76" s="384">
        <f t="shared" si="12"/>
        <v>34.823548836808172</v>
      </c>
      <c r="Z76" s="384">
        <f t="shared" si="22"/>
        <v>36.712085227110556</v>
      </c>
      <c r="AA76" s="385">
        <f t="shared" si="13"/>
        <v>39.908159001750199</v>
      </c>
      <c r="AB76" s="196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8.0085723185062865E-2</v>
      </c>
      <c r="AD76" s="230">
        <f>(INDEX(Models!$BJ76:$BT76,,AH76)*(1-AF76)+INDEX(Models!$BJ76:$BT76,,AH76+1)*AF76-ERP_i)*AE76*Ramure*Pc/MaxiM</f>
        <v>4.4276131905387453E-4</v>
      </c>
      <c r="AE76" s="304">
        <f t="shared" si="15"/>
        <v>0.5</v>
      </c>
      <c r="AF76" s="176">
        <f t="shared" si="23"/>
        <v>0.63941105910665885</v>
      </c>
      <c r="AG76" s="814">
        <f t="shared" si="24"/>
        <v>1</v>
      </c>
      <c r="AH76" s="175">
        <f t="shared" si="16"/>
        <v>7</v>
      </c>
      <c r="AI76" s="224">
        <f t="shared" si="17"/>
        <v>1.6394110591066589</v>
      </c>
      <c r="AJ76" s="264" t="b">
        <f t="shared" si="18"/>
        <v>0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10">
        <f>'2024'!Wh/'2024'!Env_an*'2025'!Env_an</f>
        <v>5.4660482610014203</v>
      </c>
      <c r="C77" s="843"/>
      <c r="D77" s="392">
        <f t="shared" si="0"/>
        <v>5.7626068003067994</v>
      </c>
      <c r="E77" s="384">
        <f t="shared" si="1"/>
        <v>5.9512830711983922</v>
      </c>
      <c r="F77" s="384">
        <f t="shared" si="2"/>
        <v>5.9512830711983922</v>
      </c>
      <c r="G77" s="110">
        <f t="shared" si="21"/>
        <v>0.12926548581557892</v>
      </c>
      <c r="H77" s="413" t="b">
        <f>Wh_hp&gt;='2024'!Maxi_hp</f>
        <v>0</v>
      </c>
      <c r="I77" s="389">
        <f>IF(H77,Wh_hp,'2024'!Maxi_hp)</f>
        <v>32.295079329869516</v>
      </c>
      <c r="J77" s="85">
        <f>IF(H77,An,'2024'!An_max)</f>
        <v>2021</v>
      </c>
      <c r="K77" s="196">
        <f t="shared" si="3"/>
        <v>45720</v>
      </c>
      <c r="L77" s="147">
        <f>IF(t&lt;Tvie,1-EXP((T0-t)*PertePVj)+'2024'!Pspv,1-EXP((T0-t)*PertePVj)+Pspv)</f>
        <v>5.1462567130138061E-2</v>
      </c>
      <c r="M77" s="847"/>
      <c r="N77" s="847"/>
      <c r="O77" s="48">
        <f>IF(t&lt;Tnet,'2024'!Resal+('2024'!Salim-'2024'!Resal)*(1-EXP(('2024'!Tnet-t)/('2024'!Tau_j))),Resal+(Salim-Resal)*(1-EXP((Tnet-t)/(Tau_j))))*Salcycl</f>
        <v>3.1703461024178717E-2</v>
      </c>
      <c r="P77" s="168">
        <f>(INDEX(Models!$BJ77:$BT77,,T77)*(1-R77)+INDEX(Models!$BJ77:$BT77,,T77+1)*R77-ERP_i)*Q77*Ramure*Pc/MaxiM</f>
        <v>4.3984847231164694E-4</v>
      </c>
      <c r="Q77" s="304">
        <f t="shared" si="4"/>
        <v>0.5</v>
      </c>
      <c r="R77" s="176">
        <f t="shared" si="5"/>
        <v>0.63961934583371782</v>
      </c>
      <c r="S77" s="814">
        <f t="shared" si="6"/>
        <v>1</v>
      </c>
      <c r="T77" s="175">
        <f t="shared" si="7"/>
        <v>7</v>
      </c>
      <c r="U77" s="250">
        <f t="shared" si="8"/>
        <v>1.6396193458337178</v>
      </c>
      <c r="V77" s="382">
        <f t="shared" si="9"/>
        <v>42.266843261001121</v>
      </c>
      <c r="W77" s="401">
        <f t="shared" si="10"/>
        <v>5.4660482610014203</v>
      </c>
      <c r="X77" s="157">
        <f t="shared" si="11"/>
        <v>45720</v>
      </c>
      <c r="Y77" s="384">
        <f t="shared" si="12"/>
        <v>5.1928051658916541</v>
      </c>
      <c r="Z77" s="384">
        <f t="shared" si="22"/>
        <v>5.4745389965058973</v>
      </c>
      <c r="AA77" s="385">
        <f t="shared" si="13"/>
        <v>5.9512830711983922</v>
      </c>
      <c r="AB77" s="196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8.0107779950802191E-2</v>
      </c>
      <c r="AD77" s="230">
        <f>(INDEX(Models!$BJ77:$BT77,,AH77)*(1-AF77)+INDEX(Models!$BJ77:$BT77,,AH77+1)*AF77-ERP_i)*AE77*Ramure*Pc/MaxiM</f>
        <v>4.3984847231164694E-4</v>
      </c>
      <c r="AE77" s="304">
        <f t="shared" si="15"/>
        <v>0.5</v>
      </c>
      <c r="AF77" s="176">
        <f t="shared" si="23"/>
        <v>0.63961934583371782</v>
      </c>
      <c r="AG77" s="814">
        <f t="shared" si="24"/>
        <v>1</v>
      </c>
      <c r="AH77" s="175">
        <f t="shared" si="16"/>
        <v>7</v>
      </c>
      <c r="AI77" s="224">
        <f t="shared" si="17"/>
        <v>1.6396193458337178</v>
      </c>
      <c r="AJ77" s="264" t="b">
        <f t="shared" si="18"/>
        <v>0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10">
        <f>'2024'!Wh/'2024'!Env_an*'2025'!Env_an</f>
        <v>12.770666918641744</v>
      </c>
      <c r="C78" s="843"/>
      <c r="D78" s="392">
        <f t="shared" si="0"/>
        <v>13.463829511325493</v>
      </c>
      <c r="E78" s="384">
        <f t="shared" si="1"/>
        <v>13.905694888049759</v>
      </c>
      <c r="F78" s="384">
        <f t="shared" si="2"/>
        <v>13.905694888049759</v>
      </c>
      <c r="G78" s="110">
        <f t="shared" si="21"/>
        <v>0.29982869086924185</v>
      </c>
      <c r="H78" s="413" t="b">
        <f>Wh_hp&gt;='2024'!Maxi_hp</f>
        <v>0</v>
      </c>
      <c r="I78" s="389">
        <f>IF(H78,Wh_hp,'2024'!Maxi_hp)</f>
        <v>45.312703719886137</v>
      </c>
      <c r="J78" s="85">
        <f>IF(H78,An,'2024'!An_max)</f>
        <v>2019</v>
      </c>
      <c r="K78" s="196">
        <f t="shared" si="3"/>
        <v>45721</v>
      </c>
      <c r="L78" s="147">
        <f>IF(t&lt;Tvie,1-EXP((T0-t)*PertePVj)+'2024'!Pspv,1-EXP((T0-t)*PertePVj)+Pspv)</f>
        <v>5.1483316251195378E-2</v>
      </c>
      <c r="M78" s="847"/>
      <c r="N78" s="847"/>
      <c r="O78" s="48">
        <f>IF(t&lt;Tnet,'2024'!Resal+('2024'!Salim-'2024'!Resal)*(1-EXP(('2024'!Tnet-t)/('2024'!Tau_j))),Resal+(Salim-Resal)*(1-EXP((Tnet-t)/(Tau_j))))*Salcycl</f>
        <v>3.1775857321880048E-2</v>
      </c>
      <c r="P78" s="168">
        <f>(INDEX(Models!$BJ78:$BT78,,T78)*(1-R78)+INDEX(Models!$BJ78:$BT78,,T78+1)*R78-ERP_i)*Q78*Ramure*Pc/MaxiM</f>
        <v>4.3658484127934182E-4</v>
      </c>
      <c r="Q78" s="304">
        <f t="shared" si="4"/>
        <v>0.5</v>
      </c>
      <c r="R78" s="176">
        <f t="shared" si="5"/>
        <v>0.6398360584368552</v>
      </c>
      <c r="S78" s="814">
        <f t="shared" si="6"/>
        <v>1</v>
      </c>
      <c r="T78" s="175">
        <f t="shared" si="7"/>
        <v>7</v>
      </c>
      <c r="U78" s="250">
        <f t="shared" si="8"/>
        <v>1.6398360584368552</v>
      </c>
      <c r="V78" s="382">
        <f t="shared" si="9"/>
        <v>42.574616198484534</v>
      </c>
      <c r="W78" s="401">
        <f t="shared" si="10"/>
        <v>12.770666918641744</v>
      </c>
      <c r="X78" s="157">
        <f t="shared" si="11"/>
        <v>45721</v>
      </c>
      <c r="Y78" s="384">
        <f t="shared" si="12"/>
        <v>12.132888304095429</v>
      </c>
      <c r="Z78" s="384">
        <f t="shared" si="22"/>
        <v>12.79143373223847</v>
      </c>
      <c r="AA78" s="385">
        <f t="shared" si="13"/>
        <v>13.905694888049759</v>
      </c>
      <c r="AB78" s="196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8.0129843548405494E-2</v>
      </c>
      <c r="AD78" s="230">
        <f>(INDEX(Models!$BJ78:$BT78,,AH78)*(1-AF78)+INDEX(Models!$BJ78:$BT78,,AH78+1)*AF78-ERP_i)*AE78*Ramure*Pc/MaxiM</f>
        <v>4.3658484127934182E-4</v>
      </c>
      <c r="AE78" s="304">
        <f t="shared" si="15"/>
        <v>0.5</v>
      </c>
      <c r="AF78" s="176">
        <f t="shared" si="23"/>
        <v>0.6398360584368552</v>
      </c>
      <c r="AG78" s="814">
        <f t="shared" si="24"/>
        <v>1</v>
      </c>
      <c r="AH78" s="175">
        <f t="shared" si="16"/>
        <v>7</v>
      </c>
      <c r="AI78" s="224">
        <f t="shared" si="17"/>
        <v>1.6398360584368552</v>
      </c>
      <c r="AJ78" s="264" t="b">
        <f t="shared" si="18"/>
        <v>0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10">
        <f>'2024'!Wh/'2024'!Env_an*'2025'!Env_an</f>
        <v>20.174980696859592</v>
      </c>
      <c r="C79" s="843"/>
      <c r="D79" s="392">
        <f t="shared" ref="D79:D142" si="25">Wh/(1-Ppv)</f>
        <v>21.270497796188259</v>
      </c>
      <c r="E79" s="384">
        <f t="shared" si="1"/>
        <v>21.970209343463399</v>
      </c>
      <c r="F79" s="384">
        <f t="shared" ref="F79:F142" si="26">Wh_sa/(1-Pvg*MEDIAN((-Sdif+Wh/Env_an)/Csdif,0,1))</f>
        <v>21.972526202516203</v>
      </c>
      <c r="G79" s="110">
        <f t="shared" si="21"/>
        <v>0.47031710337467053</v>
      </c>
      <c r="H79" s="413" t="b">
        <f>Wh_hp&gt;='2024'!Maxi_hp</f>
        <v>0</v>
      </c>
      <c r="I79" s="389">
        <f>IF(H79,Wh_hp,'2024'!Maxi_hp)</f>
        <v>24.720173237036324</v>
      </c>
      <c r="J79" s="85">
        <f>IF(H79,An,'2024'!An_max)</f>
        <v>2019</v>
      </c>
      <c r="K79" s="196">
        <f t="shared" ref="K79:K142" si="27">t</f>
        <v>45722</v>
      </c>
      <c r="L79" s="147">
        <f>IF(t&lt;Tvie,1-EXP((T0-t)*PertePVj)+'2024'!Pspv,1-EXP((T0-t)*PertePVj)+Pspv)</f>
        <v>5.150406491779367E-2</v>
      </c>
      <c r="M79" s="847"/>
      <c r="N79" s="847"/>
      <c r="O79" s="48">
        <f>IF(t&lt;Tnet,'2024'!Resal+('2024'!Salim-'2024'!Resal)*(1-EXP(('2024'!Tnet-t)/('2024'!Tau_j))),Resal+(Salim-Resal)*(1-EXP((Tnet-t)/(Tau_j))))*Salcycl</f>
        <v>3.1848196634654269E-2</v>
      </c>
      <c r="P79" s="168">
        <f>(INDEX(Models!$BJ79:$BT79,,T79)*(1-R79)+INDEX(Models!$BJ79:$BT79,,T79+1)*R79-ERP_i)*Q79*Ramure*Pc/MaxiM</f>
        <v>4.3297877273341782E-4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0.64006152440279407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1.6400615244027941</v>
      </c>
      <c r="V79" s="382">
        <f t="shared" ref="V79:V142" si="33">MaxiM*(1-Ppv)*(1-Pvg)*(1-Psa)</f>
        <v>42.882497439628857</v>
      </c>
      <c r="W79" s="401">
        <f t="shared" ref="W79:W142" si="34">Wh*(A79&gt;Tmaj)</f>
        <v>20.174980696859592</v>
      </c>
      <c r="X79" s="157">
        <f t="shared" ref="X79:X142" si="35">t</f>
        <v>45722</v>
      </c>
      <c r="Y79" s="384">
        <f t="shared" ref="Y79:Y142" si="36">Wh_pvt_s*(1-Ppv)</f>
        <v>19.16839593735688</v>
      </c>
      <c r="Z79" s="384">
        <f t="shared" ref="Z79:Z142" si="37">Wh_sa_s*(1-Psa_s)</f>
        <v>20.20925470354868</v>
      </c>
      <c r="AA79" s="385">
        <f t="shared" ref="AA79:AA142" si="38">Wh_hp*(1-Pvg_s*MEDIAN((-Sdif+Wh/Env_an)/Csdif,0,1))</f>
        <v>21.970209343463399</v>
      </c>
      <c r="AB79" s="196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8.0151928112539322E-2</v>
      </c>
      <c r="AD79" s="230">
        <f>(INDEX(Models!$BJ79:$BT79,,AH79)*(1-AF79)+INDEX(Models!$BJ79:$BT79,,AH79+1)*AF79-ERP_i)*AE79*Ramure*Pc/MaxiM</f>
        <v>4.3297877273341782E-4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0.64006152440279407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1.6400615244027941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10">
        <f>'2024'!Wh/'2024'!Env_an*'2025'!Env_an</f>
        <v>39.218566659200455</v>
      </c>
      <c r="C80" s="843"/>
      <c r="D80" s="392">
        <f t="shared" si="25"/>
        <v>41.349069751229528</v>
      </c>
      <c r="E80" s="384">
        <f t="shared" ref="E80:E143" si="47">Wh_pvt/(1-Psa)</f>
        <v>42.712472608537993</v>
      </c>
      <c r="F80" s="384">
        <f t="shared" si="26"/>
        <v>42.728410027476528</v>
      </c>
      <c r="G80" s="110">
        <f t="shared" ref="G80:G143" si="48">+Wh_hp/MaxiM</f>
        <v>0.90799356228942307</v>
      </c>
      <c r="H80" s="413" t="b">
        <f>Wh_hp&gt;='2024'!Maxi_hp</f>
        <v>0</v>
      </c>
      <c r="I80" s="389">
        <f>IF(H80,Wh_hp,'2024'!Maxi_hp)</f>
        <v>42.729535510180014</v>
      </c>
      <c r="J80" s="85">
        <f>IF(H80,An,'2024'!An_max)</f>
        <v>2022</v>
      </c>
      <c r="K80" s="196">
        <f t="shared" si="27"/>
        <v>45723</v>
      </c>
      <c r="L80" s="147">
        <f>IF(t&lt;Tvie,1-EXP((T0-t)*PertePVj)+'2024'!Pspv,1-EXP((T0-t)*PertePVj)+Pspv)</f>
        <v>5.1524813129942816E-2</v>
      </c>
      <c r="M80" s="847"/>
      <c r="N80" s="847"/>
      <c r="O80" s="48">
        <f>IF(t&lt;Tnet,'2024'!Resal+('2024'!Salim-'2024'!Resal)*(1-EXP(('2024'!Tnet-t)/('2024'!Tau_j))),Resal+(Salim-Resal)*(1-EXP((Tnet-t)/(Tau_j))))*Salcycl</f>
        <v>3.1920485376815369E-2</v>
      </c>
      <c r="P80" s="168">
        <f>(INDEX(Models!$BJ80:$BT80,,T80)*(1-R80)+INDEX(Models!$BJ80:$BT80,,T80+1)*R80-ERP_i)*Q80*Ramure*Pc/MaxiM</f>
        <v>4.2940165680876383E-4</v>
      </c>
      <c r="Q80" s="304">
        <f t="shared" si="28"/>
        <v>0.5</v>
      </c>
      <c r="R80" s="176">
        <f t="shared" si="29"/>
        <v>0.64029608282545536</v>
      </c>
      <c r="S80" s="814">
        <f t="shared" si="30"/>
        <v>1</v>
      </c>
      <c r="T80" s="175">
        <f t="shared" si="31"/>
        <v>7</v>
      </c>
      <c r="U80" s="250">
        <f t="shared" si="32"/>
        <v>1.6402960828254554</v>
      </c>
      <c r="V80" s="382">
        <f t="shared" si="33"/>
        <v>43.190122942672865</v>
      </c>
      <c r="W80" s="401">
        <f t="shared" si="34"/>
        <v>39.218566659200455</v>
      </c>
      <c r="X80" s="157">
        <f t="shared" si="35"/>
        <v>45723</v>
      </c>
      <c r="Y80" s="384">
        <f t="shared" si="36"/>
        <v>37.263731766152866</v>
      </c>
      <c r="Z80" s="384">
        <f t="shared" si="37"/>
        <v>39.288040722627848</v>
      </c>
      <c r="AA80" s="385">
        <f t="shared" si="38"/>
        <v>42.712472608537993</v>
      </c>
      <c r="AB80" s="196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8.0174049329694422E-2</v>
      </c>
      <c r="AD80" s="230">
        <f>(INDEX(Models!$BJ80:$BT80,,AH80)*(1-AF80)+INDEX(Models!$BJ80:$BT80,,AH80+1)*AF80-ERP_i)*AE80*Ramure*Pc/MaxiM</f>
        <v>4.2940165680876383E-4</v>
      </c>
      <c r="AE80" s="304">
        <f t="shared" si="40"/>
        <v>0.5</v>
      </c>
      <c r="AF80" s="176">
        <f t="shared" si="41"/>
        <v>0.64029608282545536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1.6402960828254554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10">
        <f>'2024'!Wh/'2024'!Env_an*'2025'!Env_an</f>
        <v>30.871648635057067</v>
      </c>
      <c r="C81" s="843"/>
      <c r="D81" s="392">
        <f t="shared" si="25"/>
        <v>32.54942711212324</v>
      </c>
      <c r="E81" s="384">
        <f t="shared" si="47"/>
        <v>33.625188716673968</v>
      </c>
      <c r="F81" s="384">
        <f t="shared" si="26"/>
        <v>33.633579876277679</v>
      </c>
      <c r="G81" s="110">
        <f t="shared" si="48"/>
        <v>0.70961202428717096</v>
      </c>
      <c r="H81" s="413" t="b">
        <f>Wh_hp&gt;='2024'!Maxi_hp</f>
        <v>0</v>
      </c>
      <c r="I81" s="389">
        <f>IF(H81,Wh_hp,'2024'!Maxi_hp)</f>
        <v>33.636353545695187</v>
      </c>
      <c r="J81" s="85">
        <f>IF(H81,An,'2024'!An_max)</f>
        <v>2022</v>
      </c>
      <c r="K81" s="196">
        <f t="shared" si="27"/>
        <v>45724</v>
      </c>
      <c r="L81" s="147">
        <f>IF(t&lt;Tvie,1-EXP((T0-t)*PertePVj)+'2024'!Pspv,1-EXP((T0-t)*PertePVj)+Pspv)</f>
        <v>5.1545560887653032E-2</v>
      </c>
      <c r="M81" s="847"/>
      <c r="N81" s="847"/>
      <c r="O81" s="48">
        <f>IF(t&lt;Tnet,'2024'!Resal+('2024'!Salim-'2024'!Resal)*(1-EXP(('2024'!Tnet-t)/('2024'!Tau_j))),Resal+(Salim-Resal)*(1-EXP((Tnet-t)/(Tau_j))))*Salcycl</f>
        <v>3.1992730616773719E-2</v>
      </c>
      <c r="P81" s="168">
        <f>(INDEX(Models!$BJ81:$BT81,,T81)*(1-R81)+INDEX(Models!$BJ81:$BT81,,T81+1)*R81-ERP_i)*Q81*Ramure*Pc/MaxiM</f>
        <v>4.2622725715574141E-4</v>
      </c>
      <c r="Q81" s="304">
        <f t="shared" si="28"/>
        <v>0.5</v>
      </c>
      <c r="R81" s="176">
        <f t="shared" si="29"/>
        <v>0.64054008472238144</v>
      </c>
      <c r="S81" s="814">
        <f t="shared" si="30"/>
        <v>1</v>
      </c>
      <c r="T81" s="175">
        <f t="shared" si="31"/>
        <v>7</v>
      </c>
      <c r="U81" s="250">
        <f t="shared" si="32"/>
        <v>1.6405400847223814</v>
      </c>
      <c r="V81" s="382">
        <f t="shared" si="33"/>
        <v>43.497277344571678</v>
      </c>
      <c r="W81" s="401">
        <f t="shared" si="34"/>
        <v>30.871648635057067</v>
      </c>
      <c r="X81" s="157">
        <f t="shared" si="35"/>
        <v>45724</v>
      </c>
      <c r="Y81" s="384">
        <f t="shared" si="36"/>
        <v>29.334344763267598</v>
      </c>
      <c r="Z81" s="384">
        <f t="shared" si="37"/>
        <v>30.928575536766367</v>
      </c>
      <c r="AA81" s="385">
        <f t="shared" si="38"/>
        <v>33.625188716673968</v>
      </c>
      <c r="AB81" s="196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8.0196224402761904E-2</v>
      </c>
      <c r="AD81" s="230">
        <f>(INDEX(Models!$BJ81:$BT81,,AH81)*(1-AF81)+INDEX(Models!$BJ81:$BT81,,AH81+1)*AF81-ERP_i)*AE81*Ramure*Pc/MaxiM</f>
        <v>4.2622725715574141E-4</v>
      </c>
      <c r="AE81" s="304">
        <f t="shared" si="40"/>
        <v>0.5</v>
      </c>
      <c r="AF81" s="176">
        <f t="shared" si="41"/>
        <v>0.64054008472238144</v>
      </c>
      <c r="AG81" s="814">
        <f t="shared" si="49"/>
        <v>1</v>
      </c>
      <c r="AH81" s="175">
        <f t="shared" si="42"/>
        <v>7</v>
      </c>
      <c r="AI81" s="224">
        <f t="shared" si="43"/>
        <v>1.6405400847223814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10">
        <f>'2024'!Wh/'2024'!Env_an*'2025'!Env_an</f>
        <v>29.320246423288943</v>
      </c>
      <c r="C82" s="843"/>
      <c r="D82" s="392">
        <f t="shared" si="25"/>
        <v>30.914387243416854</v>
      </c>
      <c r="E82" s="384">
        <f t="shared" si="47"/>
        <v>31.938493110780044</v>
      </c>
      <c r="F82" s="384">
        <f t="shared" si="26"/>
        <v>31.945630827609023</v>
      </c>
      <c r="G82" s="110">
        <f t="shared" si="48"/>
        <v>0.6692206235421776</v>
      </c>
      <c r="H82" s="413" t="b">
        <f>Wh_hp&gt;='2024'!Maxi_hp</f>
        <v>0</v>
      </c>
      <c r="I82" s="389">
        <f>IF(H82,Wh_hp,'2024'!Maxi_hp)</f>
        <v>44.764426477667158</v>
      </c>
      <c r="J82" s="85">
        <f>IF(H82,An,'2024'!An_max)</f>
        <v>2021</v>
      </c>
      <c r="K82" s="196">
        <f t="shared" si="27"/>
        <v>45725</v>
      </c>
      <c r="L82" s="147">
        <f>IF(t&lt;Tvie,1-EXP((T0-t)*PertePVj)+'2024'!Pspv,1-EXP((T0-t)*PertePVj)+Pspv)</f>
        <v>5.1566308190933975E-2</v>
      </c>
      <c r="M82" s="847"/>
      <c r="N82" s="847"/>
      <c r="O82" s="48">
        <f>IF(t&lt;Tnet,'2024'!Resal+('2024'!Salim-'2024'!Resal)*(1-EXP(('2024'!Tnet-t)/('2024'!Tau_j))),Resal+(Salim-Resal)*(1-EXP((Tnet-t)/(Tau_j))))*Salcycl</f>
        <v>3.2064940064987786E-2</v>
      </c>
      <c r="P82" s="168">
        <f>(INDEX(Models!$BJ82:$BT82,,T82)*(1-R82)+INDEX(Models!$BJ82:$BT82,,T82+1)*R82-ERP_i)*Q82*Ramure*Pc/MaxiM</f>
        <v>4.2345030426816873E-4</v>
      </c>
      <c r="Q82" s="304">
        <f t="shared" si="28"/>
        <v>0.5</v>
      </c>
      <c r="R82" s="176">
        <f t="shared" si="29"/>
        <v>0.64079389335133374</v>
      </c>
      <c r="S82" s="814">
        <f t="shared" si="30"/>
        <v>1</v>
      </c>
      <c r="T82" s="175">
        <f t="shared" si="31"/>
        <v>7</v>
      </c>
      <c r="U82" s="250">
        <f t="shared" si="32"/>
        <v>1.6407938933513337</v>
      </c>
      <c r="V82" s="382">
        <f t="shared" si="33"/>
        <v>43.803761469321771</v>
      </c>
      <c r="W82" s="401">
        <f t="shared" si="34"/>
        <v>29.320246423288943</v>
      </c>
      <c r="X82" s="157">
        <f t="shared" si="35"/>
        <v>45725</v>
      </c>
      <c r="Y82" s="384">
        <f t="shared" si="36"/>
        <v>27.86160164316421</v>
      </c>
      <c r="Z82" s="384">
        <f t="shared" si="37"/>
        <v>29.376435995246329</v>
      </c>
      <c r="AA82" s="385">
        <f t="shared" si="38"/>
        <v>31.938493110780044</v>
      </c>
      <c r="AB82" s="196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8.0218472006400227E-2</v>
      </c>
      <c r="AD82" s="230">
        <f>(INDEX(Models!$BJ82:$BT82,,AH82)*(1-AF82)+INDEX(Models!$BJ82:$BT82,,AH82+1)*AF82-ERP_i)*AE82*Ramure*Pc/MaxiM</f>
        <v>4.2345030426816873E-4</v>
      </c>
      <c r="AE82" s="304">
        <f t="shared" si="40"/>
        <v>0.5</v>
      </c>
      <c r="AF82" s="176">
        <f t="shared" si="41"/>
        <v>0.64079389335133374</v>
      </c>
      <c r="AG82" s="814">
        <f t="shared" si="49"/>
        <v>1</v>
      </c>
      <c r="AH82" s="175">
        <f t="shared" si="42"/>
        <v>7</v>
      </c>
      <c r="AI82" s="224">
        <f t="shared" si="43"/>
        <v>1.6407938933513337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10">
        <f>'2024'!Wh/'2024'!Env_an*'2025'!Env_an</f>
        <v>23.004951818034989</v>
      </c>
      <c r="C83" s="843"/>
      <c r="D83" s="392">
        <f t="shared" si="25"/>
        <v>24.256260883280422</v>
      </c>
      <c r="E83" s="384">
        <f t="shared" si="47"/>
        <v>25.061670858647929</v>
      </c>
      <c r="F83" s="384">
        <f t="shared" si="26"/>
        <v>25.065011105280217</v>
      </c>
      <c r="G83" s="110">
        <f t="shared" si="48"/>
        <v>0.52139322857956583</v>
      </c>
      <c r="H83" s="413" t="b">
        <f>Wh_hp&gt;='2024'!Maxi_hp</f>
        <v>0</v>
      </c>
      <c r="I83" s="389">
        <f>IF(H83,Wh_hp,'2024'!Maxi_hp)</f>
        <v>45.253306652586467</v>
      </c>
      <c r="J83" s="85">
        <f>IF(H83,An,'2024'!An_max)</f>
        <v>2021</v>
      </c>
      <c r="K83" s="196">
        <f t="shared" si="27"/>
        <v>45726</v>
      </c>
      <c r="L83" s="147">
        <f>IF(t&lt;Tvie,1-EXP((T0-t)*PertePVj)+'2024'!Pspv,1-EXP((T0-t)*PertePVj)+Pspv)</f>
        <v>5.158705503979575E-2</v>
      </c>
      <c r="M83" s="847"/>
      <c r="N83" s="847"/>
      <c r="O83" s="48">
        <f>IF(t&lt;Tnet,'2024'!Resal+('2024'!Salim-'2024'!Resal)*(1-EXP(('2024'!Tnet-t)/('2024'!Tau_j))),Resal+(Salim-Resal)*(1-EXP((Tnet-t)/(Tau_j))))*Salcycl</f>
        <v>3.2137122058228149E-2</v>
      </c>
      <c r="P83" s="168">
        <f>(INDEX(Models!$BJ83:$BT83,,T83)*(1-R83)+INDEX(Models!$BJ83:$BT83,,T83+1)*R83-ERP_i)*Q83*Ramure*Pc/MaxiM</f>
        <v>4.2106578690458705E-4</v>
      </c>
      <c r="Q83" s="304">
        <f t="shared" si="28"/>
        <v>0.5</v>
      </c>
      <c r="R83" s="176">
        <f t="shared" si="29"/>
        <v>0.64105788452613566</v>
      </c>
      <c r="S83" s="814">
        <f t="shared" si="30"/>
        <v>1</v>
      </c>
      <c r="T83" s="175">
        <f t="shared" si="31"/>
        <v>7</v>
      </c>
      <c r="U83" s="250">
        <f t="shared" si="32"/>
        <v>1.6410578845261357</v>
      </c>
      <c r="V83" s="382">
        <f t="shared" si="33"/>
        <v>44.10937617352733</v>
      </c>
      <c r="W83" s="401">
        <f t="shared" si="34"/>
        <v>23.004951818034989</v>
      </c>
      <c r="X83" s="157">
        <f t="shared" si="35"/>
        <v>45726</v>
      </c>
      <c r="Y83" s="384">
        <f t="shared" si="36"/>
        <v>21.861584198531069</v>
      </c>
      <c r="Z83" s="384">
        <f t="shared" si="37"/>
        <v>23.050702033014101</v>
      </c>
      <c r="AA83" s="385">
        <f t="shared" si="38"/>
        <v>25.061670858647929</v>
      </c>
      <c r="AB83" s="196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8.0240812233790523E-2</v>
      </c>
      <c r="AD83" s="230">
        <f>(INDEX(Models!$BJ83:$BT83,,AH83)*(1-AF83)+INDEX(Models!$BJ83:$BT83,,AH83+1)*AF83-ERP_i)*AE83*Ramure*Pc/MaxiM</f>
        <v>4.2106578690458705E-4</v>
      </c>
      <c r="AE83" s="304">
        <f t="shared" si="40"/>
        <v>0.5</v>
      </c>
      <c r="AF83" s="176">
        <f t="shared" si="41"/>
        <v>0.64105788452613566</v>
      </c>
      <c r="AG83" s="814">
        <f t="shared" si="49"/>
        <v>1</v>
      </c>
      <c r="AH83" s="175">
        <f t="shared" si="42"/>
        <v>7</v>
      </c>
      <c r="AI83" s="224">
        <f t="shared" si="43"/>
        <v>1.6410578845261357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10">
        <f>'2024'!Wh/'2024'!Env_an*'2025'!Env_an</f>
        <v>14.601462948094024</v>
      </c>
      <c r="C84" s="843"/>
      <c r="D84" s="392">
        <f t="shared" si="25"/>
        <v>15.396017565492143</v>
      </c>
      <c r="E84" s="384">
        <f t="shared" si="47"/>
        <v>15.908416288214356</v>
      </c>
      <c r="F84" s="384">
        <f t="shared" si="26"/>
        <v>15.908690187557616</v>
      </c>
      <c r="G84" s="110">
        <f t="shared" si="48"/>
        <v>0.32862657583789073</v>
      </c>
      <c r="H84" s="413" t="b">
        <f>Wh_hp&gt;='2024'!Maxi_hp</f>
        <v>0</v>
      </c>
      <c r="I84" s="389">
        <f>IF(H84,Wh_hp,'2024'!Maxi_hp)</f>
        <v>35.768760137724279</v>
      </c>
      <c r="J84" s="85">
        <f>IF(H84,An,'2024'!An_max)</f>
        <v>2021</v>
      </c>
      <c r="K84" s="196">
        <f t="shared" si="27"/>
        <v>45727</v>
      </c>
      <c r="L84" s="147">
        <f>IF(t&lt;Tvie,1-EXP((T0-t)*PertePVj)+'2024'!Pspv,1-EXP((T0-t)*PertePVj)+Pspv)</f>
        <v>5.1607801434248347E-2</v>
      </c>
      <c r="M84" s="847"/>
      <c r="N84" s="847"/>
      <c r="O84" s="48">
        <f>IF(t&lt;Tnet,'2024'!Resal+('2024'!Salim-'2024'!Resal)*(1-EXP(('2024'!Tnet-t)/('2024'!Tau_j))),Resal+(Salim-Resal)*(1-EXP((Tnet-t)/(Tau_j))))*Salcycl</f>
        <v>3.2209285540372855E-2</v>
      </c>
      <c r="P84" s="168">
        <f>(INDEX(Models!$BJ84:$BT84,,T84)*(1-R84)+INDEX(Models!$BJ84:$BT84,,T84+1)*R84-ERP_i)*Q84*Ramure*Pc/MaxiM</f>
        <v>4.1906896593068503E-4</v>
      </c>
      <c r="Q84" s="304">
        <f t="shared" si="28"/>
        <v>0.5</v>
      </c>
      <c r="R84" s="176">
        <f t="shared" si="29"/>
        <v>0.64133244693073466</v>
      </c>
      <c r="S84" s="814">
        <f t="shared" si="30"/>
        <v>1</v>
      </c>
      <c r="T84" s="175">
        <f t="shared" si="31"/>
        <v>7</v>
      </c>
      <c r="U84" s="250">
        <f t="shared" si="32"/>
        <v>1.6413324469307347</v>
      </c>
      <c r="V84" s="382">
        <f t="shared" si="33"/>
        <v>44.413922345555889</v>
      </c>
      <c r="W84" s="401">
        <f t="shared" si="34"/>
        <v>14.601462948094024</v>
      </c>
      <c r="X84" s="157">
        <f t="shared" si="35"/>
        <v>45727</v>
      </c>
      <c r="Y84" s="384">
        <f t="shared" si="36"/>
        <v>13.87645245509743</v>
      </c>
      <c r="Z84" s="384">
        <f t="shared" si="37"/>
        <v>14.631554831516659</v>
      </c>
      <c r="AA84" s="385">
        <f t="shared" si="38"/>
        <v>15.908416288214356</v>
      </c>
      <c r="AB84" s="196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8.0263266535440775E-2</v>
      </c>
      <c r="AD84" s="230">
        <f>(INDEX(Models!$BJ84:$BT84,,AH84)*(1-AF84)+INDEX(Models!$BJ84:$BT84,,AH84+1)*AF84-ERP_i)*AE84*Ramure*Pc/MaxiM</f>
        <v>4.1906896593068503E-4</v>
      </c>
      <c r="AE84" s="304">
        <f t="shared" si="40"/>
        <v>0.5</v>
      </c>
      <c r="AF84" s="176">
        <f t="shared" si="41"/>
        <v>0.64133244693073466</v>
      </c>
      <c r="AG84" s="814">
        <f t="shared" si="49"/>
        <v>1</v>
      </c>
      <c r="AH84" s="175">
        <f t="shared" si="42"/>
        <v>7</v>
      </c>
      <c r="AI84" s="224">
        <f t="shared" si="43"/>
        <v>1.6413324469307347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10">
        <f>'2024'!Wh/'2024'!Env_an*'2025'!Env_an</f>
        <v>13.968830509580934</v>
      </c>
      <c r="C85" s="843"/>
      <c r="D85" s="392">
        <f t="shared" si="25"/>
        <v>14.729281940010196</v>
      </c>
      <c r="E85" s="384">
        <f t="shared" si="47"/>
        <v>15.220625654445124</v>
      </c>
      <c r="F85" s="384">
        <f t="shared" si="26"/>
        <v>15.220738043575322</v>
      </c>
      <c r="G85" s="110">
        <f t="shared" si="48"/>
        <v>0.31225349453605949</v>
      </c>
      <c r="H85" s="413" t="b">
        <f>Wh_hp&gt;='2024'!Maxi_hp</f>
        <v>0</v>
      </c>
      <c r="I85" s="389">
        <f>IF(H85,Wh_hp,'2024'!Maxi_hp)</f>
        <v>43.865300261572678</v>
      </c>
      <c r="J85" s="85">
        <f>IF(H85,An,'2024'!An_max)</f>
        <v>2020</v>
      </c>
      <c r="K85" s="196">
        <f t="shared" si="27"/>
        <v>45728</v>
      </c>
      <c r="L85" s="147">
        <f>IF(t&lt;Tvie,1-EXP((T0-t)*PertePVj)+'2024'!Pspv,1-EXP((T0-t)*PertePVj)+Pspv)</f>
        <v>5.1628547374301649E-2</v>
      </c>
      <c r="M85" s="847"/>
      <c r="N85" s="847"/>
      <c r="O85" s="48">
        <f>IF(t&lt;Tnet,'2024'!Resal+('2024'!Salim-'2024'!Resal)*(1-EXP(('2024'!Tnet-t)/('2024'!Tau_j))),Resal+(Salim-Resal)*(1-EXP((Tnet-t)/(Tau_j))))*Salcycl</f>
        <v>3.2281440039978439E-2</v>
      </c>
      <c r="P85" s="168">
        <f>(INDEX(Models!$BJ85:$BT85,,T85)*(1-R85)+INDEX(Models!$BJ85:$BT85,,T85+1)*R85-ERP_i)*Q85*Ramure*Pc/MaxiM</f>
        <v>4.1745538781579912E-4</v>
      </c>
      <c r="Q85" s="304">
        <f t="shared" si="28"/>
        <v>0.5</v>
      </c>
      <c r="R85" s="176">
        <f t="shared" si="29"/>
        <v>0.64161798243034784</v>
      </c>
      <c r="S85" s="814">
        <f t="shared" si="30"/>
        <v>1</v>
      </c>
      <c r="T85" s="175">
        <f t="shared" si="31"/>
        <v>7</v>
      </c>
      <c r="U85" s="250">
        <f t="shared" si="32"/>
        <v>1.6416179824303478</v>
      </c>
      <c r="V85" s="382">
        <f t="shared" si="33"/>
        <v>44.717200906215304</v>
      </c>
      <c r="W85" s="401">
        <f t="shared" si="34"/>
        <v>13.968830509580934</v>
      </c>
      <c r="X85" s="157">
        <f t="shared" si="35"/>
        <v>45728</v>
      </c>
      <c r="Y85" s="384">
        <f t="shared" si="36"/>
        <v>13.275896012857284</v>
      </c>
      <c r="Z85" s="384">
        <f t="shared" si="37"/>
        <v>13.998624669796966</v>
      </c>
      <c r="AA85" s="385">
        <f t="shared" si="38"/>
        <v>15.220625654445124</v>
      </c>
      <c r="AB85" s="196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8.0285857650751538E-2</v>
      </c>
      <c r="AD85" s="230">
        <f>(INDEX(Models!$BJ85:$BT85,,AH85)*(1-AF85)+INDEX(Models!$BJ85:$BT85,,AH85+1)*AF85-ERP_i)*AE85*Ramure*Pc/MaxiM</f>
        <v>4.1745538781579912E-4</v>
      </c>
      <c r="AE85" s="304">
        <f t="shared" si="40"/>
        <v>0.5</v>
      </c>
      <c r="AF85" s="176">
        <f t="shared" si="41"/>
        <v>0.64161798243034784</v>
      </c>
      <c r="AG85" s="814">
        <f t="shared" si="49"/>
        <v>1</v>
      </c>
      <c r="AH85" s="175">
        <f t="shared" si="42"/>
        <v>7</v>
      </c>
      <c r="AI85" s="224">
        <f t="shared" si="43"/>
        <v>1.6416179824303478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10">
        <f>'2024'!Wh/'2024'!Env_an*'2025'!Env_an</f>
        <v>8.4940861045577716</v>
      </c>
      <c r="C86" s="843"/>
      <c r="D86" s="392">
        <f t="shared" si="25"/>
        <v>8.9566929624311733</v>
      </c>
      <c r="E86" s="384">
        <f t="shared" si="47"/>
        <v>9.2561631212802382</v>
      </c>
      <c r="F86" s="384">
        <f t="shared" si="26"/>
        <v>9.2561631212802382</v>
      </c>
      <c r="G86" s="110">
        <f t="shared" si="48"/>
        <v>0.18859921972588067</v>
      </c>
      <c r="H86" s="413" t="b">
        <f>Wh_hp&gt;='2024'!Maxi_hp</f>
        <v>0</v>
      </c>
      <c r="I86" s="389">
        <f>IF(H86,Wh_hp,'2024'!Maxi_hp)</f>
        <v>45.683346556341533</v>
      </c>
      <c r="J86" s="85">
        <f>IF(H86,An,'2024'!An_max)</f>
        <v>2021</v>
      </c>
      <c r="K86" s="196">
        <f t="shared" si="27"/>
        <v>45729</v>
      </c>
      <c r="L86" s="147">
        <f>IF(t&lt;Tvie,1-EXP((T0-t)*PertePVj)+'2024'!Pspv,1-EXP((T0-t)*PertePVj)+Pspv)</f>
        <v>5.1649292859965647E-2</v>
      </c>
      <c r="M86" s="847"/>
      <c r="N86" s="847"/>
      <c r="O86" s="48">
        <f>IF(t&lt;Tnet,'2024'!Resal+('2024'!Salim-'2024'!Resal)*(1-EXP(('2024'!Tnet-t)/('2024'!Tau_j))),Resal+(Salim-Resal)*(1-EXP((Tnet-t)/(Tau_j))))*Salcycl</f>
        <v>3.2353595644892361E-2</v>
      </c>
      <c r="P86" s="168">
        <f>(INDEX(Models!$BJ86:$BT86,,T86)*(1-R86)+INDEX(Models!$BJ86:$BT86,,T86+1)*R86-ERP_i)*Q86*Ramure*Pc/MaxiM</f>
        <v>4.1624582178184443E-4</v>
      </c>
      <c r="Q86" s="304">
        <f t="shared" si="28"/>
        <v>0.5</v>
      </c>
      <c r="R86" s="176">
        <f t="shared" si="29"/>
        <v>0.64191490637845527</v>
      </c>
      <c r="S86" s="814">
        <f t="shared" si="30"/>
        <v>1</v>
      </c>
      <c r="T86" s="175">
        <f t="shared" si="31"/>
        <v>7</v>
      </c>
      <c r="U86" s="250">
        <f t="shared" si="32"/>
        <v>1.6419149063784553</v>
      </c>
      <c r="V86" s="382">
        <f t="shared" si="33"/>
        <v>45.019011685453826</v>
      </c>
      <c r="W86" s="401">
        <f t="shared" si="34"/>
        <v>8.4940861045577716</v>
      </c>
      <c r="X86" s="157">
        <f t="shared" si="35"/>
        <v>45729</v>
      </c>
      <c r="Y86" s="384">
        <f t="shared" si="36"/>
        <v>8.0731327322531943</v>
      </c>
      <c r="Z86" s="384">
        <f t="shared" si="37"/>
        <v>8.5128135313986828</v>
      </c>
      <c r="AA86" s="385">
        <f t="shared" si="38"/>
        <v>9.2561631212802382</v>
      </c>
      <c r="AB86" s="196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8.0308609533097763E-2</v>
      </c>
      <c r="AD86" s="230">
        <f>(INDEX(Models!$BJ86:$BT86,,AH86)*(1-AF86)+INDEX(Models!$BJ86:$BT86,,AH86+1)*AF86-ERP_i)*AE86*Ramure*Pc/MaxiM</f>
        <v>4.1624582178184443E-4</v>
      </c>
      <c r="AE86" s="304">
        <f t="shared" si="40"/>
        <v>0.5</v>
      </c>
      <c r="AF86" s="176">
        <f t="shared" si="41"/>
        <v>0.64191490637845527</v>
      </c>
      <c r="AG86" s="814">
        <f t="shared" si="49"/>
        <v>1</v>
      </c>
      <c r="AH86" s="175">
        <f t="shared" si="42"/>
        <v>7</v>
      </c>
      <c r="AI86" s="224">
        <f t="shared" si="43"/>
        <v>1.6419149063784553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10">
        <f>'2024'!Wh/'2024'!Env_an*'2025'!Env_an</f>
        <v>11.385783364632266</v>
      </c>
      <c r="C87" s="843"/>
      <c r="D87" s="392">
        <f t="shared" si="25"/>
        <v>12.006141131842252</v>
      </c>
      <c r="E87" s="384">
        <f t="shared" si="47"/>
        <v>12.408496084752615</v>
      </c>
      <c r="F87" s="384">
        <f t="shared" si="26"/>
        <v>12.408496084752615</v>
      </c>
      <c r="G87" s="110">
        <f t="shared" si="48"/>
        <v>0.25113118577513227</v>
      </c>
      <c r="H87" s="413" t="b">
        <f>Wh_hp&gt;='2024'!Maxi_hp</f>
        <v>0</v>
      </c>
      <c r="I87" s="389">
        <f>IF(H87,Wh_hp,'2024'!Maxi_hp)</f>
        <v>40.234319557946243</v>
      </c>
      <c r="J87" s="85">
        <f>IF(H87,An,'2024'!An_max)</f>
        <v>2020</v>
      </c>
      <c r="K87" s="196">
        <f t="shared" si="27"/>
        <v>45730</v>
      </c>
      <c r="L87" s="147">
        <f>IF(t&lt;Tvie,1-EXP((T0-t)*PertePVj)+'2024'!Pspv,1-EXP((T0-t)*PertePVj)+Pspv)</f>
        <v>5.1670037891250221E-2</v>
      </c>
      <c r="M87" s="847"/>
      <c r="N87" s="847"/>
      <c r="O87" s="48">
        <f>IF(t&lt;Tnet,'2024'!Resal+('2024'!Salim-'2024'!Resal)*(1-EXP(('2024'!Tnet-t)/('2024'!Tau_j))),Resal+(Salim-Resal)*(1-EXP((Tnet-t)/(Tau_j))))*Salcycl</f>
        <v>3.2425762974190864E-2</v>
      </c>
      <c r="P87" s="168">
        <f>(INDEX(Models!$BJ87:$BT87,,T87)*(1-R87)+INDEX(Models!$BJ87:$BT87,,T87+1)*R87-ERP_i)*Q87*Ramure*Pc/MaxiM</f>
        <v>4.1545184650604343E-4</v>
      </c>
      <c r="Q87" s="304">
        <f t="shared" si="28"/>
        <v>0.5</v>
      </c>
      <c r="R87" s="176">
        <f t="shared" si="29"/>
        <v>0.64222364791827791</v>
      </c>
      <c r="S87" s="814">
        <f t="shared" si="30"/>
        <v>1</v>
      </c>
      <c r="T87" s="175">
        <f t="shared" si="31"/>
        <v>7</v>
      </c>
      <c r="U87" s="250">
        <f t="shared" si="32"/>
        <v>1.6422236479182779</v>
      </c>
      <c r="V87" s="382">
        <f t="shared" si="33"/>
        <v>45.319154945974439</v>
      </c>
      <c r="W87" s="401">
        <f t="shared" si="34"/>
        <v>11.385783364632266</v>
      </c>
      <c r="X87" s="157">
        <f t="shared" si="35"/>
        <v>45730</v>
      </c>
      <c r="Y87" s="384">
        <f t="shared" si="36"/>
        <v>10.822059299828156</v>
      </c>
      <c r="Z87" s="384">
        <f t="shared" si="37"/>
        <v>11.411702394980468</v>
      </c>
      <c r="AA87" s="385">
        <f t="shared" si="38"/>
        <v>12.408496084752615</v>
      </c>
      <c r="AB87" s="196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8.0331547269212891E-2</v>
      </c>
      <c r="AD87" s="230">
        <f>(INDEX(Models!$BJ87:$BT87,,AH87)*(1-AF87)+INDEX(Models!$BJ87:$BT87,,AH87+1)*AF87-ERP_i)*AE87*Ramure*Pc/MaxiM</f>
        <v>4.1545184650604343E-4</v>
      </c>
      <c r="AE87" s="304">
        <f t="shared" si="40"/>
        <v>0.5</v>
      </c>
      <c r="AF87" s="176">
        <f t="shared" si="41"/>
        <v>0.64222364791827791</v>
      </c>
      <c r="AG87" s="814">
        <f t="shared" si="49"/>
        <v>1</v>
      </c>
      <c r="AH87" s="175">
        <f t="shared" si="42"/>
        <v>7</v>
      </c>
      <c r="AI87" s="224">
        <f t="shared" si="43"/>
        <v>1.6422236479182779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10">
        <f>'2024'!Wh/'2024'!Env_an*'2025'!Env_an</f>
        <v>13.537442028250696</v>
      </c>
      <c r="C88" s="843"/>
      <c r="D88" s="392">
        <f t="shared" si="25"/>
        <v>14.275345823891294</v>
      </c>
      <c r="E88" s="384">
        <f t="shared" si="47"/>
        <v>14.754848189040739</v>
      </c>
      <c r="F88" s="384">
        <f t="shared" si="26"/>
        <v>14.754848189040739</v>
      </c>
      <c r="G88" s="110">
        <f t="shared" si="48"/>
        <v>0.29663710884008193</v>
      </c>
      <c r="H88" s="413" t="b">
        <f>Wh_hp&gt;='2024'!Maxi_hp</f>
        <v>0</v>
      </c>
      <c r="I88" s="389">
        <f>IF(H88,Wh_hp,'2024'!Maxi_hp)</f>
        <v>34.275990691254492</v>
      </c>
      <c r="J88" s="85">
        <f>IF(H88,An,'2024'!An_max)</f>
        <v>2020</v>
      </c>
      <c r="K88" s="196">
        <f t="shared" si="27"/>
        <v>45731</v>
      </c>
      <c r="L88" s="147">
        <f>IF(t&lt;Tvie,1-EXP((T0-t)*PertePVj)+'2024'!Pspv,1-EXP((T0-t)*PertePVj)+Pspv)</f>
        <v>5.1690782468165365E-2</v>
      </c>
      <c r="M88" s="847"/>
      <c r="N88" s="847"/>
      <c r="O88" s="48">
        <f>IF(t&lt;Tnet,'2024'!Resal+('2024'!Salim-'2024'!Resal)*(1-EXP(('2024'!Tnet-t)/('2024'!Tau_j))),Resal+(Salim-Resal)*(1-EXP((Tnet-t)/(Tau_j))))*Salcycl</f>
        <v>3.2497953147738866E-2</v>
      </c>
      <c r="P88" s="168">
        <f>(INDEX(Models!$BJ88:$BT88,,T88)*(1-R88)+INDEX(Models!$BJ88:$BT88,,T88+1)*R88-ERP_i)*Q88*Ramure*Pc/MaxiM</f>
        <v>4.1506942294672761E-4</v>
      </c>
      <c r="Q88" s="304">
        <f t="shared" si="28"/>
        <v>0.5</v>
      </c>
      <c r="R88" s="176">
        <f t="shared" si="29"/>
        <v>0.64254465027725671</v>
      </c>
      <c r="S88" s="814">
        <f t="shared" si="30"/>
        <v>1</v>
      </c>
      <c r="T88" s="175">
        <f t="shared" si="31"/>
        <v>7</v>
      </c>
      <c r="U88" s="250">
        <f t="shared" si="32"/>
        <v>1.6425446502772567</v>
      </c>
      <c r="V88" s="382">
        <f t="shared" si="33"/>
        <v>45.617431692590102</v>
      </c>
      <c r="W88" s="401">
        <f t="shared" si="34"/>
        <v>13.537442028250696</v>
      </c>
      <c r="X88" s="157">
        <f t="shared" si="35"/>
        <v>45731</v>
      </c>
      <c r="Y88" s="384">
        <f t="shared" si="36"/>
        <v>12.867822881104617</v>
      </c>
      <c r="Z88" s="384">
        <f t="shared" si="37"/>
        <v>13.569226833622595</v>
      </c>
      <c r="AA88" s="385">
        <f t="shared" si="38"/>
        <v>14.754848189040739</v>
      </c>
      <c r="AB88" s="196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8.0354696993681779E-2</v>
      </c>
      <c r="AD88" s="230">
        <f>(INDEX(Models!$BJ88:$BT88,,AH88)*(1-AF88)+INDEX(Models!$BJ88:$BT88,,AH88+1)*AF88-ERP_i)*AE88*Ramure*Pc/MaxiM</f>
        <v>4.1506942294672761E-4</v>
      </c>
      <c r="AE88" s="304">
        <f t="shared" si="40"/>
        <v>0.5</v>
      </c>
      <c r="AF88" s="176">
        <f t="shared" si="41"/>
        <v>0.64254465027725671</v>
      </c>
      <c r="AG88" s="814">
        <f t="shared" si="49"/>
        <v>1</v>
      </c>
      <c r="AH88" s="175">
        <f t="shared" si="42"/>
        <v>7</v>
      </c>
      <c r="AI88" s="224">
        <f t="shared" si="43"/>
        <v>1.6425446502772567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10">
        <f>'2024'!Wh/'2024'!Env_an*'2025'!Env_an</f>
        <v>11.349323773952088</v>
      </c>
      <c r="C89" s="843"/>
      <c r="D89" s="392">
        <f t="shared" si="25"/>
        <v>11.9682186298744</v>
      </c>
      <c r="E89" s="384">
        <f t="shared" si="47"/>
        <v>12.371149156932981</v>
      </c>
      <c r="F89" s="384">
        <f t="shared" si="26"/>
        <v>12.371149156932981</v>
      </c>
      <c r="G89" s="110">
        <f t="shared" si="48"/>
        <v>0.24708587678166066</v>
      </c>
      <c r="H89" s="413" t="b">
        <f>Wh_hp&gt;='2024'!Maxi_hp</f>
        <v>0</v>
      </c>
      <c r="I89" s="389">
        <f>IF(H89,Wh_hp,'2024'!Maxi_hp)</f>
        <v>51.528895224299958</v>
      </c>
      <c r="J89" s="85">
        <f>IF(H89,An,'2024'!An_max)</f>
        <v>2020</v>
      </c>
      <c r="K89" s="196">
        <f t="shared" si="27"/>
        <v>45732</v>
      </c>
      <c r="L89" s="147">
        <f>IF(t&lt;Tvie,1-EXP((T0-t)*PertePVj)+'2024'!Pspv,1-EXP((T0-t)*PertePVj)+Pspv)</f>
        <v>5.1711526590720959E-2</v>
      </c>
      <c r="M89" s="847"/>
      <c r="N89" s="847"/>
      <c r="O89" s="48">
        <f>IF(t&lt;Tnet,'2024'!Resal+('2024'!Salim-'2024'!Resal)*(1-EXP(('2024'!Tnet-t)/('2024'!Tau_j))),Resal+(Salim-Resal)*(1-EXP((Tnet-t)/(Tau_j))))*Salcycl</f>
        <v>3.2570177753678743E-2</v>
      </c>
      <c r="P89" s="168">
        <f>(INDEX(Models!$BJ89:$BT89,,T89)*(1-R89)+INDEX(Models!$BJ89:$BT89,,T89+1)*R89-ERP_i)*Q89*Ramure*Pc/MaxiM</f>
        <v>4.1509490153573123E-4</v>
      </c>
      <c r="Q89" s="304">
        <f t="shared" si="28"/>
        <v>0.5</v>
      </c>
      <c r="R89" s="176">
        <f t="shared" si="29"/>
        <v>0.64287837105292001</v>
      </c>
      <c r="S89" s="814">
        <f t="shared" si="30"/>
        <v>1</v>
      </c>
      <c r="T89" s="175">
        <f t="shared" si="31"/>
        <v>7</v>
      </c>
      <c r="U89" s="250">
        <f t="shared" si="32"/>
        <v>1.64287837105292</v>
      </c>
      <c r="V89" s="382">
        <f t="shared" si="33"/>
        <v>45.913642962047554</v>
      </c>
      <c r="W89" s="401">
        <f t="shared" si="34"/>
        <v>11.349323773952088</v>
      </c>
      <c r="X89" s="157">
        <f t="shared" si="35"/>
        <v>45732</v>
      </c>
      <c r="Y89" s="384">
        <f t="shared" si="36"/>
        <v>10.788469213870515</v>
      </c>
      <c r="Z89" s="384">
        <f t="shared" si="37"/>
        <v>11.376779868560353</v>
      </c>
      <c r="AA89" s="385">
        <f t="shared" si="38"/>
        <v>12.371149156932981</v>
      </c>
      <c r="AB89" s="196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8.0378085799359136E-2</v>
      </c>
      <c r="AD89" s="230">
        <f>(INDEX(Models!$BJ89:$BT89,,AH89)*(1-AF89)+INDEX(Models!$BJ89:$BT89,,AH89+1)*AF89-ERP_i)*AE89*Ramure*Pc/MaxiM</f>
        <v>4.1509490153573123E-4</v>
      </c>
      <c r="AE89" s="304">
        <f t="shared" si="40"/>
        <v>0.5</v>
      </c>
      <c r="AF89" s="176">
        <f t="shared" si="41"/>
        <v>0.64287837105292001</v>
      </c>
      <c r="AG89" s="814">
        <f t="shared" si="49"/>
        <v>1</v>
      </c>
      <c r="AH89" s="175">
        <f t="shared" si="42"/>
        <v>7</v>
      </c>
      <c r="AI89" s="224">
        <f t="shared" si="43"/>
        <v>1.64287837105292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10">
        <f>'2024'!Wh/'2024'!Env_an*'2025'!Env_an</f>
        <v>10.016237503807577</v>
      </c>
      <c r="C90" s="843"/>
      <c r="D90" s="392">
        <f t="shared" si="25"/>
        <v>10.562668315774639</v>
      </c>
      <c r="E90" s="384">
        <f t="shared" si="47"/>
        <v>10.919094292308282</v>
      </c>
      <c r="F90" s="384">
        <f t="shared" si="26"/>
        <v>10.919094292308282</v>
      </c>
      <c r="G90" s="110">
        <f t="shared" si="48"/>
        <v>0.21667599510475424</v>
      </c>
      <c r="H90" s="413" t="b">
        <f>Wh_hp&gt;='2024'!Maxi_hp</f>
        <v>0</v>
      </c>
      <c r="I90" s="389">
        <f>IF(H90,Wh_hp,'2024'!Maxi_hp)</f>
        <v>25.74376126702278</v>
      </c>
      <c r="J90" s="85">
        <f>IF(H90,An,'2024'!An_max)</f>
        <v>2021</v>
      </c>
      <c r="K90" s="196">
        <f t="shared" si="27"/>
        <v>45733</v>
      </c>
      <c r="L90" s="147">
        <f>IF(t&lt;Tvie,1-EXP((T0-t)*PertePVj)+'2024'!Pspv,1-EXP((T0-t)*PertePVj)+Pspv)</f>
        <v>5.1732270258927217E-2</v>
      </c>
      <c r="M90" s="847"/>
      <c r="N90" s="847"/>
      <c r="O90" s="48">
        <f>IF(t&lt;Tnet,'2024'!Resal+('2024'!Salim-'2024'!Resal)*(1-EXP(('2024'!Tnet-t)/('2024'!Tau_j))),Resal+(Salim-Resal)*(1-EXP((Tnet-t)/(Tau_j))))*Salcycl</f>
        <v>3.2642448814158502E-2</v>
      </c>
      <c r="P90" s="168">
        <f>(INDEX(Models!$BJ90:$BT90,,T90)*(1-R90)+INDEX(Models!$BJ90:$BT90,,T90+1)*R90-ERP_i)*Q90*Ramure*Pc/MaxiM</f>
        <v>4.1552503712337645E-4</v>
      </c>
      <c r="Q90" s="304">
        <f t="shared" si="28"/>
        <v>0.5</v>
      </c>
      <c r="R90" s="176">
        <f t="shared" si="29"/>
        <v>0.6432252824883784</v>
      </c>
      <c r="S90" s="814">
        <f t="shared" si="30"/>
        <v>1</v>
      </c>
      <c r="T90" s="175">
        <f t="shared" si="31"/>
        <v>7</v>
      </c>
      <c r="U90" s="250">
        <f t="shared" si="32"/>
        <v>1.6432252824883784</v>
      </c>
      <c r="V90" s="382">
        <f t="shared" si="33"/>
        <v>46.207589823259056</v>
      </c>
      <c r="W90" s="401">
        <f t="shared" si="34"/>
        <v>10.016237503807577</v>
      </c>
      <c r="X90" s="157">
        <f t="shared" si="35"/>
        <v>45733</v>
      </c>
      <c r="Y90" s="384">
        <f t="shared" si="36"/>
        <v>9.5217270516831594</v>
      </c>
      <c r="Z90" s="384">
        <f t="shared" si="37"/>
        <v>10.041180094025865</v>
      </c>
      <c r="AA90" s="385">
        <f t="shared" si="38"/>
        <v>10.919094292308282</v>
      </c>
      <c r="AB90" s="196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8.0401741644528624E-2</v>
      </c>
      <c r="AD90" s="230">
        <f>(INDEX(Models!$BJ90:$BT90,,AH90)*(1-AF90)+INDEX(Models!$BJ90:$BT90,,AH90+1)*AF90-ERP_i)*AE90*Ramure*Pc/MaxiM</f>
        <v>4.1552503712337645E-4</v>
      </c>
      <c r="AE90" s="304">
        <f t="shared" si="40"/>
        <v>0.5</v>
      </c>
      <c r="AF90" s="176">
        <f t="shared" si="41"/>
        <v>0.6432252824883784</v>
      </c>
      <c r="AG90" s="814">
        <f t="shared" si="49"/>
        <v>1</v>
      </c>
      <c r="AH90" s="175">
        <f t="shared" si="42"/>
        <v>7</v>
      </c>
      <c r="AI90" s="224">
        <f t="shared" si="43"/>
        <v>1.6432252824883784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10">
        <f>'2024'!Wh/'2024'!Env_an*'2025'!Env_an</f>
        <v>12.821552177903623</v>
      </c>
      <c r="C91" s="843"/>
      <c r="D91" s="392">
        <f t="shared" si="25"/>
        <v>13.52132130138413</v>
      </c>
      <c r="E91" s="384">
        <f t="shared" si="47"/>
        <v>13.978629058247598</v>
      </c>
      <c r="F91" s="384">
        <f t="shared" si="26"/>
        <v>13.978629058247598</v>
      </c>
      <c r="G91" s="110">
        <f t="shared" si="48"/>
        <v>0.27562299425770309</v>
      </c>
      <c r="H91" s="413" t="b">
        <f>Wh_hp&gt;='2024'!Maxi_hp</f>
        <v>0</v>
      </c>
      <c r="I91" s="389">
        <f>IF(H91,Wh_hp,'2024'!Maxi_hp)</f>
        <v>31.959695723000372</v>
      </c>
      <c r="J91" s="85">
        <f>IF(H91,An,'2024'!An_max)</f>
        <v>2019</v>
      </c>
      <c r="K91" s="196">
        <f t="shared" si="27"/>
        <v>45734</v>
      </c>
      <c r="L91" s="147">
        <f>IF(t&lt;Tvie,1-EXP((T0-t)*PertePVj)+'2024'!Pspv,1-EXP((T0-t)*PertePVj)+Pspv)</f>
        <v>5.1753013472793798E-2</v>
      </c>
      <c r="M91" s="847"/>
      <c r="N91" s="847"/>
      <c r="O91" s="48">
        <f>IF(t&lt;Tnet,'2024'!Resal+('2024'!Salim-'2024'!Resal)*(1-EXP(('2024'!Tnet-t)/('2024'!Tau_j))),Resal+(Salim-Resal)*(1-EXP((Tnet-t)/(Tau_j))))*Salcycl</f>
        <v>3.2714778749612032E-2</v>
      </c>
      <c r="P91" s="168">
        <f>(INDEX(Models!$BJ91:$BT91,,T91)*(1-R91)+INDEX(Models!$BJ91:$BT91,,T91+1)*R91-ERP_i)*Q91*Ramure*Pc/MaxiM</f>
        <v>4.163570037559566E-4</v>
      </c>
      <c r="Q91" s="304">
        <f t="shared" si="28"/>
        <v>0.5</v>
      </c>
      <c r="R91" s="176">
        <f t="shared" si="29"/>
        <v>0.64358587173555382</v>
      </c>
      <c r="S91" s="814">
        <f t="shared" si="30"/>
        <v>1</v>
      </c>
      <c r="T91" s="175">
        <f t="shared" si="31"/>
        <v>7</v>
      </c>
      <c r="U91" s="250">
        <f t="shared" si="32"/>
        <v>1.6435858717355538</v>
      </c>
      <c r="V91" s="382">
        <f t="shared" si="33"/>
        <v>46.499073378734053</v>
      </c>
      <c r="W91" s="401">
        <f t="shared" si="34"/>
        <v>12.821552177903623</v>
      </c>
      <c r="X91" s="157">
        <f t="shared" si="35"/>
        <v>45734</v>
      </c>
      <c r="Y91" s="384">
        <f t="shared" si="36"/>
        <v>12.189134803606308</v>
      </c>
      <c r="Z91" s="384">
        <f t="shared" si="37"/>
        <v>12.854388125447093</v>
      </c>
      <c r="AA91" s="385">
        <f t="shared" si="38"/>
        <v>13.978629058247598</v>
      </c>
      <c r="AB91" s="196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8.0425693257607858E-2</v>
      </c>
      <c r="AD91" s="230">
        <f>(INDEX(Models!$BJ91:$BT91,,AH91)*(1-AF91)+INDEX(Models!$BJ91:$BT91,,AH91+1)*AF91-ERP_i)*AE91*Ramure*Pc/MaxiM</f>
        <v>4.163570037559566E-4</v>
      </c>
      <c r="AE91" s="304">
        <f t="shared" si="40"/>
        <v>0.5</v>
      </c>
      <c r="AF91" s="176">
        <f t="shared" si="41"/>
        <v>0.64358587173555382</v>
      </c>
      <c r="AG91" s="814">
        <f t="shared" si="49"/>
        <v>1</v>
      </c>
      <c r="AH91" s="175">
        <f t="shared" si="42"/>
        <v>7</v>
      </c>
      <c r="AI91" s="224">
        <f t="shared" si="43"/>
        <v>1.6435858717355538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10">
        <f>'2024'!Wh/'2024'!Env_an*'2025'!Env_an</f>
        <v>28.806304486283711</v>
      </c>
      <c r="C92" s="843"/>
      <c r="D92" s="392">
        <f t="shared" si="25"/>
        <v>30.379147039661266</v>
      </c>
      <c r="E92" s="384">
        <f t="shared" si="47"/>
        <v>31.408958217075696</v>
      </c>
      <c r="F92" s="384">
        <f t="shared" si="26"/>
        <v>31.414874253403671</v>
      </c>
      <c r="G92" s="110">
        <f t="shared" si="48"/>
        <v>0.61553739486985315</v>
      </c>
      <c r="H92" s="413" t="b">
        <f>Wh_hp&gt;='2024'!Maxi_hp</f>
        <v>0</v>
      </c>
      <c r="I92" s="389">
        <f>IF(H92,Wh_hp,'2024'!Maxi_hp)</f>
        <v>46.728461228850939</v>
      </c>
      <c r="J92" s="85">
        <f>IF(H92,An,'2024'!An_max)</f>
        <v>2020</v>
      </c>
      <c r="K92" s="196">
        <f t="shared" si="27"/>
        <v>45735</v>
      </c>
      <c r="L92" s="147">
        <f>IF(t&lt;Tvie,1-EXP((T0-t)*PertePVj)+'2024'!Pspv,1-EXP((T0-t)*PertePVj)+Pspv)</f>
        <v>5.1773756232330694E-2</v>
      </c>
      <c r="M92" s="847"/>
      <c r="N92" s="847"/>
      <c r="O92" s="48">
        <f>IF(t&lt;Tnet,'2024'!Resal+('2024'!Salim-'2024'!Resal)*(1-EXP(('2024'!Tnet-t)/('2024'!Tau_j))),Resal+(Salim-Resal)*(1-EXP((Tnet-t)/(Tau_j))))*Salcycl</f>
        <v>3.2787180341898953E-2</v>
      </c>
      <c r="P92" s="168">
        <f>(INDEX(Models!$BJ92:$BT92,,T92)*(1-R92)+INDEX(Models!$BJ92:$BT92,,T92+1)*R92-ERP_i)*Q92*Ramure*Pc/MaxiM</f>
        <v>4.175884093242881E-4</v>
      </c>
      <c r="Q92" s="304">
        <f t="shared" si="28"/>
        <v>0.5</v>
      </c>
      <c r="R92" s="176">
        <f t="shared" si="29"/>
        <v>0.64396064110407769</v>
      </c>
      <c r="S92" s="814">
        <f t="shared" si="30"/>
        <v>1</v>
      </c>
      <c r="T92" s="175">
        <f t="shared" si="31"/>
        <v>7</v>
      </c>
      <c r="U92" s="250">
        <f t="shared" si="32"/>
        <v>1.6439606411040777</v>
      </c>
      <c r="V92" s="382">
        <f t="shared" si="33"/>
        <v>46.787894764810929</v>
      </c>
      <c r="W92" s="401">
        <f t="shared" si="34"/>
        <v>28.806304486283711</v>
      </c>
      <c r="X92" s="157">
        <f t="shared" si="35"/>
        <v>45735</v>
      </c>
      <c r="Y92" s="384">
        <f t="shared" si="36"/>
        <v>27.38677322614204</v>
      </c>
      <c r="Z92" s="384">
        <f t="shared" si="37"/>
        <v>28.882108469518631</v>
      </c>
      <c r="AA92" s="385">
        <f t="shared" si="38"/>
        <v>31.408958217075696</v>
      </c>
      <c r="AB92" s="196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8.0449970040181992E-2</v>
      </c>
      <c r="AD92" s="230">
        <f>(INDEX(Models!$BJ92:$BT92,,AH92)*(1-AF92)+INDEX(Models!$BJ92:$BT92,,AH92+1)*AF92-ERP_i)*AE92*Ramure*Pc/MaxiM</f>
        <v>4.175884093242881E-4</v>
      </c>
      <c r="AE92" s="304">
        <f t="shared" si="40"/>
        <v>0.5</v>
      </c>
      <c r="AF92" s="176">
        <f t="shared" si="41"/>
        <v>0.64396064110407769</v>
      </c>
      <c r="AG92" s="814">
        <f t="shared" si="49"/>
        <v>1</v>
      </c>
      <c r="AH92" s="175">
        <f t="shared" si="42"/>
        <v>7</v>
      </c>
      <c r="AI92" s="224">
        <f t="shared" si="43"/>
        <v>1.6439606411040777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10">
        <f>'2024'!Wh/'2024'!Env_an*'2025'!Env_an</f>
        <v>31.998863561409998</v>
      </c>
      <c r="C93" s="843"/>
      <c r="D93" s="392">
        <f t="shared" si="25"/>
        <v>33.74676007685779</v>
      </c>
      <c r="E93" s="384">
        <f t="shared" si="47"/>
        <v>34.893343721475574</v>
      </c>
      <c r="F93" s="384">
        <f t="shared" si="26"/>
        <v>34.901280196377371</v>
      </c>
      <c r="G93" s="110">
        <f t="shared" si="48"/>
        <v>0.67959317194284241</v>
      </c>
      <c r="H93" s="413" t="b">
        <f>Wh_hp&gt;='2024'!Maxi_hp</f>
        <v>0</v>
      </c>
      <c r="I93" s="389">
        <f>IF(H93,Wh_hp,'2024'!Maxi_hp)</f>
        <v>52.177110378201441</v>
      </c>
      <c r="J93" s="85">
        <f>IF(H93,An,'2024'!An_max)</f>
        <v>2019</v>
      </c>
      <c r="K93" s="196">
        <f t="shared" si="27"/>
        <v>45736</v>
      </c>
      <c r="L93" s="147">
        <f>IF(t&lt;Tvie,1-EXP((T0-t)*PertePVj)+'2024'!Pspv,1-EXP((T0-t)*PertePVj)+Pspv)</f>
        <v>5.1794498537548007E-2</v>
      </c>
      <c r="M93" s="847"/>
      <c r="N93" s="847"/>
      <c r="O93" s="48">
        <f>IF(t&lt;Tnet,'2024'!Resal+('2024'!Salim-'2024'!Resal)*(1-EXP(('2024'!Tnet-t)/('2024'!Tau_j))),Resal+(Salim-Resal)*(1-EXP((Tnet-t)/(Tau_j))))*Salcycl</f>
        <v>3.2859666696605699E-2</v>
      </c>
      <c r="P93" s="168">
        <f>(INDEX(Models!$BJ93:$BT93,,T93)*(1-R93)+INDEX(Models!$BJ93:$BT93,,T93+1)*R93-ERP_i)*Q93*Ramure*Pc/MaxiM</f>
        <v>4.1919565574229046E-4</v>
      </c>
      <c r="Q93" s="304">
        <f t="shared" si="28"/>
        <v>0.5</v>
      </c>
      <c r="R93" s="176">
        <f t="shared" si="29"/>
        <v>0.64435010829365069</v>
      </c>
      <c r="S93" s="814">
        <f t="shared" si="30"/>
        <v>1</v>
      </c>
      <c r="T93" s="175">
        <f t="shared" si="31"/>
        <v>7</v>
      </c>
      <c r="U93" s="250">
        <f t="shared" si="32"/>
        <v>1.6443501082936507</v>
      </c>
      <c r="V93" s="382">
        <f t="shared" si="33"/>
        <v>47.076289423454121</v>
      </c>
      <c r="W93" s="401">
        <f t="shared" si="34"/>
        <v>31.998863561409998</v>
      </c>
      <c r="X93" s="157">
        <f t="shared" si="35"/>
        <v>45736</v>
      </c>
      <c r="Y93" s="384">
        <f t="shared" si="36"/>
        <v>30.423472933178829</v>
      </c>
      <c r="Z93" s="384">
        <f t="shared" si="37"/>
        <v>32.085315774118158</v>
      </c>
      <c r="AA93" s="385">
        <f t="shared" si="38"/>
        <v>34.893343721475574</v>
      </c>
      <c r="AB93" s="196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8.0474601969119333E-2</v>
      </c>
      <c r="AD93" s="230">
        <f>(INDEX(Models!$BJ93:$BT93,,AH93)*(1-AF93)+INDEX(Models!$BJ93:$BT93,,AH93+1)*AF93-ERP_i)*AE93*Ramure*Pc/MaxiM</f>
        <v>4.1919565574229046E-4</v>
      </c>
      <c r="AE93" s="304">
        <f t="shared" si="40"/>
        <v>0.5</v>
      </c>
      <c r="AF93" s="176">
        <f t="shared" si="41"/>
        <v>0.64435010829365069</v>
      </c>
      <c r="AG93" s="814">
        <f t="shared" si="49"/>
        <v>1</v>
      </c>
      <c r="AH93" s="175">
        <f t="shared" si="42"/>
        <v>7</v>
      </c>
      <c r="AI93" s="224">
        <f t="shared" si="43"/>
        <v>1.6443501082936507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10">
        <f>'2024'!Wh/'2024'!Env_an*'2025'!Env_an</f>
        <v>46.04446503854917</v>
      </c>
      <c r="C94" s="843"/>
      <c r="D94" s="392">
        <f t="shared" si="25"/>
        <v>48.560646616396603</v>
      </c>
      <c r="E94" s="384">
        <f t="shared" si="47"/>
        <v>50.214317121933448</v>
      </c>
      <c r="F94" s="384">
        <f t="shared" si="26"/>
        <v>50.234608291550828</v>
      </c>
      <c r="G94" s="110">
        <f t="shared" si="48"/>
        <v>0.97208216473817211</v>
      </c>
      <c r="H94" s="413" t="b">
        <f>Wh_hp&gt;='2024'!Maxi_hp</f>
        <v>0</v>
      </c>
      <c r="I94" s="389">
        <f>IF(H94,Wh_hp,'2024'!Maxi_hp)</f>
        <v>51.739394586450686</v>
      </c>
      <c r="J94" s="85">
        <f>IF(H94,An,'2024'!An_max)</f>
        <v>2020</v>
      </c>
      <c r="K94" s="196">
        <f t="shared" si="27"/>
        <v>45737</v>
      </c>
      <c r="L94" s="147">
        <f>IF(t&lt;Tvie,1-EXP((T0-t)*PertePVj)+'2024'!Pspv,1-EXP((T0-t)*PertePVj)+Pspv)</f>
        <v>5.181524038845562E-2</v>
      </c>
      <c r="M94" s="847"/>
      <c r="N94" s="847"/>
      <c r="O94" s="48">
        <f>IF(t&lt;Tnet,'2024'!Resal+('2024'!Salim-'2024'!Resal)*(1-EXP(('2024'!Tnet-t)/('2024'!Tau_j))),Resal+(Salim-Resal)*(1-EXP((Tnet-t)/(Tau_j))))*Salcycl</f>
        <v>3.2932251204796772E-2</v>
      </c>
      <c r="P94" s="168">
        <f>(INDEX(Models!$BJ94:$BT94,,T94)*(1-R94)+INDEX(Models!$BJ94:$BT94,,T94+1)*R94-ERP_i)*Q94*Ramure*Pc/MaxiM</f>
        <v>4.2069678483070745E-4</v>
      </c>
      <c r="Q94" s="304">
        <f t="shared" si="28"/>
        <v>0.5</v>
      </c>
      <c r="R94" s="176">
        <f t="shared" si="29"/>
        <v>0.64475480660747064</v>
      </c>
      <c r="S94" s="814">
        <f t="shared" si="30"/>
        <v>1</v>
      </c>
      <c r="T94" s="175">
        <f t="shared" si="31"/>
        <v>7</v>
      </c>
      <c r="U94" s="250">
        <f t="shared" si="32"/>
        <v>1.6447548066074706</v>
      </c>
      <c r="V94" s="382">
        <f t="shared" si="33"/>
        <v>47.366050207890993</v>
      </c>
      <c r="W94" s="401">
        <f t="shared" si="34"/>
        <v>46.04446503854917</v>
      </c>
      <c r="X94" s="157">
        <f t="shared" si="35"/>
        <v>45737</v>
      </c>
      <c r="Y94" s="384">
        <f t="shared" si="36"/>
        <v>43.779666084077761</v>
      </c>
      <c r="Z94" s="384">
        <f t="shared" si="37"/>
        <v>46.172083700241679</v>
      </c>
      <c r="AA94" s="385">
        <f t="shared" si="38"/>
        <v>50.214317121933448</v>
      </c>
      <c r="AB94" s="196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8.049961949848225E-2</v>
      </c>
      <c r="AD94" s="230">
        <f>(INDEX(Models!$BJ94:$BT94,,AH94)*(1-AF94)+INDEX(Models!$BJ94:$BT94,,AH94+1)*AF94-ERP_i)*AE94*Ramure*Pc/MaxiM</f>
        <v>4.2069678483070745E-4</v>
      </c>
      <c r="AE94" s="304">
        <f t="shared" si="40"/>
        <v>0.5</v>
      </c>
      <c r="AF94" s="176">
        <f t="shared" si="41"/>
        <v>0.64475480660747064</v>
      </c>
      <c r="AG94" s="814">
        <f t="shared" si="49"/>
        <v>1</v>
      </c>
      <c r="AH94" s="175">
        <f t="shared" si="42"/>
        <v>7</v>
      </c>
      <c r="AI94" s="224">
        <f t="shared" si="43"/>
        <v>1.6447548066074706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10">
        <f>'2024'!Wh/'2024'!Env_an*'2025'!Env_an</f>
        <v>43.204138562846005</v>
      </c>
      <c r="C95" s="843"/>
      <c r="D95" s="392">
        <f t="shared" si="25"/>
        <v>45.566102206856982</v>
      </c>
      <c r="E95" s="384">
        <f t="shared" si="47"/>
        <v>47.121339544876939</v>
      </c>
      <c r="F95" s="384">
        <f t="shared" si="26"/>
        <v>47.1385680594802</v>
      </c>
      <c r="G95" s="110">
        <f t="shared" si="48"/>
        <v>0.90652669385054419</v>
      </c>
      <c r="H95" s="413" t="b">
        <f>Wh_hp&gt;='2024'!Maxi_hp</f>
        <v>0</v>
      </c>
      <c r="I95" s="389">
        <f>IF(H95,Wh_hp,'2024'!Maxi_hp)</f>
        <v>50.590016829396532</v>
      </c>
      <c r="J95" s="85">
        <f>IF(H95,An,'2024'!An_max)</f>
        <v>2019</v>
      </c>
      <c r="K95" s="196">
        <f t="shared" si="27"/>
        <v>45738</v>
      </c>
      <c r="L95" s="147">
        <f>IF(t&lt;Tvie,1-EXP((T0-t)*PertePVj)+'2024'!Pspv,1-EXP((T0-t)*PertePVj)+Pspv)</f>
        <v>5.1835981785063413E-2</v>
      </c>
      <c r="M95" s="847"/>
      <c r="N95" s="847"/>
      <c r="O95" s="48">
        <f>IF(t&lt;Tnet,'2024'!Resal+('2024'!Salim-'2024'!Resal)*(1-EXP(('2024'!Tnet-t)/('2024'!Tau_j))),Resal+(Salim-Resal)*(1-EXP((Tnet-t)/(Tau_j))))*Salcycl</f>
        <v>3.3004947504490928E-2</v>
      </c>
      <c r="P95" s="168">
        <f>(INDEX(Models!$BJ95:$BT95,,T95)*(1-R95)+INDEX(Models!$BJ95:$BT95,,T95+1)*R95-ERP_i)*Q95*Ramure*Pc/MaxiM</f>
        <v>4.2177712089743E-4</v>
      </c>
      <c r="Q95" s="304">
        <f t="shared" si="28"/>
        <v>0.5</v>
      </c>
      <c r="R95" s="176">
        <f t="shared" si="29"/>
        <v>0.64517528514417544</v>
      </c>
      <c r="S95" s="814">
        <f t="shared" si="30"/>
        <v>1</v>
      </c>
      <c r="T95" s="175">
        <f t="shared" si="31"/>
        <v>7</v>
      </c>
      <c r="U95" s="250">
        <f t="shared" si="32"/>
        <v>1.6451752851441754</v>
      </c>
      <c r="V95" s="382">
        <f t="shared" si="33"/>
        <v>47.656297363248179</v>
      </c>
      <c r="W95" s="401">
        <f t="shared" si="34"/>
        <v>43.204138562846005</v>
      </c>
      <c r="X95" s="157">
        <f t="shared" si="35"/>
        <v>45738</v>
      </c>
      <c r="Y95" s="384">
        <f t="shared" si="36"/>
        <v>41.080999217916883</v>
      </c>
      <c r="Z95" s="384">
        <f t="shared" si="37"/>
        <v>43.32689115882939</v>
      </c>
      <c r="AA95" s="385">
        <f t="shared" si="38"/>
        <v>47.121339544876939</v>
      </c>
      <c r="AB95" s="196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8.0525053461899768E-2</v>
      </c>
      <c r="AD95" s="230">
        <f>(INDEX(Models!$BJ95:$BT95,,AH95)*(1-AF95)+INDEX(Models!$BJ95:$BT95,,AH95+1)*AF95-ERP_i)*AE95*Ramure*Pc/MaxiM</f>
        <v>4.2177712089743E-4</v>
      </c>
      <c r="AE95" s="304">
        <f t="shared" si="40"/>
        <v>0.5</v>
      </c>
      <c r="AF95" s="176">
        <f t="shared" si="41"/>
        <v>0.64517528514417544</v>
      </c>
      <c r="AG95" s="814">
        <f t="shared" si="49"/>
        <v>1</v>
      </c>
      <c r="AH95" s="175">
        <f t="shared" si="42"/>
        <v>7</v>
      </c>
      <c r="AI95" s="224">
        <f t="shared" si="43"/>
        <v>1.6451752851441754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10">
        <f>'2024'!Wh/'2024'!Env_an*'2025'!Env_an</f>
        <v>48.046391472195396</v>
      </c>
      <c r="C96" s="843"/>
      <c r="D96" s="392">
        <f t="shared" si="25"/>
        <v>50.674188831885445</v>
      </c>
      <c r="E96" s="384">
        <f t="shared" si="47"/>
        <v>52.407719287463422</v>
      </c>
      <c r="F96" s="384">
        <f t="shared" si="26"/>
        <v>52.429868509754343</v>
      </c>
      <c r="G96" s="110">
        <f t="shared" si="48"/>
        <v>1.0020910044790494</v>
      </c>
      <c r="H96" s="413" t="b">
        <f>Wh_hp&gt;='2024'!Maxi_hp</f>
        <v>1</v>
      </c>
      <c r="I96" s="389">
        <f>IF(H96,Wh_hp,'2024'!Maxi_hp)</f>
        <v>52.429868509754343</v>
      </c>
      <c r="J96" s="85">
        <f>IF(H96,An,'2024'!An_max)</f>
        <v>2025</v>
      </c>
      <c r="K96" s="196">
        <f t="shared" si="27"/>
        <v>45739</v>
      </c>
      <c r="L96" s="147">
        <f>IF(t&lt;Tvie,1-EXP((T0-t)*PertePVj)+'2024'!Pspv,1-EXP((T0-t)*PertePVj)+Pspv)</f>
        <v>5.1856722727381378E-2</v>
      </c>
      <c r="M96" s="847"/>
      <c r="N96" s="847"/>
      <c r="O96" s="48">
        <f>IF(t&lt;Tnet,'2024'!Resal+('2024'!Salim-'2024'!Resal)*(1-EXP(('2024'!Tnet-t)/('2024'!Tau_j))),Resal+(Salim-Resal)*(1-EXP((Tnet-t)/(Tau_j))))*Salcycl</f>
        <v>3.3077769442118404E-2</v>
      </c>
      <c r="P96" s="168">
        <f>(INDEX(Models!$BJ96:$BT96,,T96)*(1-R96)+INDEX(Models!$BJ96:$BT96,,T96+1)*R96-ERP_i)*Q96*Ramure*Pc/MaxiM</f>
        <v>4.2245427883913798E-4</v>
      </c>
      <c r="Q96" s="304">
        <f t="shared" si="28"/>
        <v>0.5</v>
      </c>
      <c r="R96" s="176">
        <f t="shared" si="29"/>
        <v>0.64561210896555243</v>
      </c>
      <c r="S96" s="814">
        <f t="shared" si="30"/>
        <v>1</v>
      </c>
      <c r="T96" s="175">
        <f t="shared" si="31"/>
        <v>7</v>
      </c>
      <c r="U96" s="250">
        <f t="shared" si="32"/>
        <v>1.6456121089655524</v>
      </c>
      <c r="V96" s="382">
        <f t="shared" si="33"/>
        <v>47.946135887301935</v>
      </c>
      <c r="W96" s="401">
        <f t="shared" si="34"/>
        <v>48.046391472195396</v>
      </c>
      <c r="X96" s="157">
        <f t="shared" si="35"/>
        <v>45739</v>
      </c>
      <c r="Y96" s="384">
        <f t="shared" si="36"/>
        <v>45.687448608352206</v>
      </c>
      <c r="Z96" s="384">
        <f t="shared" si="37"/>
        <v>48.18622849889779</v>
      </c>
      <c r="AA96" s="385">
        <f t="shared" si="38"/>
        <v>52.407719287463422</v>
      </c>
      <c r="AB96" s="196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8.0550934976013455E-2</v>
      </c>
      <c r="AD96" s="230">
        <f>(INDEX(Models!$BJ96:$BT96,,AH96)*(1-AF96)+INDEX(Models!$BJ96:$BT96,,AH96+1)*AF96-ERP_i)*AE96*Ramure*Pc/MaxiM</f>
        <v>4.2245427883913798E-4</v>
      </c>
      <c r="AE96" s="304">
        <f t="shared" si="40"/>
        <v>0.5</v>
      </c>
      <c r="AF96" s="176">
        <f t="shared" si="41"/>
        <v>0.64561210896555243</v>
      </c>
      <c r="AG96" s="814">
        <f t="shared" si="49"/>
        <v>1</v>
      </c>
      <c r="AH96" s="175">
        <f t="shared" si="42"/>
        <v>7</v>
      </c>
      <c r="AI96" s="224">
        <f t="shared" si="43"/>
        <v>1.6456121089655524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10">
        <f>'2024'!Wh/'2024'!Env_an*'2025'!Env_an</f>
        <v>47.166886455644125</v>
      </c>
      <c r="C97" s="843"/>
      <c r="D97" s="392">
        <f t="shared" si="25"/>
        <v>49.747669341985848</v>
      </c>
      <c r="E97" s="384">
        <f t="shared" si="47"/>
        <v>51.453386726142575</v>
      </c>
      <c r="F97" s="384">
        <f t="shared" si="26"/>
        <v>51.474459143803273</v>
      </c>
      <c r="G97" s="110">
        <f t="shared" si="48"/>
        <v>0.9778496366934164</v>
      </c>
      <c r="H97" s="413" t="b">
        <f>Wh_hp&gt;='2024'!Maxi_hp</f>
        <v>0</v>
      </c>
      <c r="I97" s="389">
        <f>IF(H97,Wh_hp,'2024'!Maxi_hp)</f>
        <v>51.706853506641295</v>
      </c>
      <c r="J97" s="85">
        <f>IF(H97,An,'2024'!An_max)</f>
        <v>2021</v>
      </c>
      <c r="K97" s="196">
        <f t="shared" si="27"/>
        <v>45740</v>
      </c>
      <c r="L97" s="147">
        <f>IF(t&lt;Tvie,1-EXP((T0-t)*PertePVj)+'2024'!Pspv,1-EXP((T0-t)*PertePVj)+Pspv)</f>
        <v>5.1877463215419507E-2</v>
      </c>
      <c r="M97" s="847"/>
      <c r="N97" s="847"/>
      <c r="O97" s="48">
        <f>IF(t&lt;Tnet,'2024'!Resal+('2024'!Salim-'2024'!Resal)*(1-EXP(('2024'!Tnet-t)/('2024'!Tau_j))),Resal+(Salim-Resal)*(1-EXP((Tnet-t)/(Tau_j))))*Salcycl</f>
        <v>3.3150731034194227E-2</v>
      </c>
      <c r="P97" s="168">
        <f>(INDEX(Models!$BJ97:$BT97,,T97)*(1-R97)+INDEX(Models!$BJ97:$BT97,,T97+1)*R97-ERP_i)*Q97*Ramure*Pc/MaxiM</f>
        <v>4.2274537657762431E-4</v>
      </c>
      <c r="Q97" s="304">
        <f t="shared" si="28"/>
        <v>0.5</v>
      </c>
      <c r="R97" s="176">
        <f t="shared" si="29"/>
        <v>0.64606585923708826</v>
      </c>
      <c r="S97" s="814">
        <f t="shared" si="30"/>
        <v>1</v>
      </c>
      <c r="T97" s="175">
        <f t="shared" si="31"/>
        <v>7</v>
      </c>
      <c r="U97" s="250">
        <f t="shared" si="32"/>
        <v>1.6460658592370883</v>
      </c>
      <c r="V97" s="382">
        <f t="shared" si="33"/>
        <v>48.234671103114607</v>
      </c>
      <c r="W97" s="401">
        <f t="shared" si="34"/>
        <v>47.166886455644125</v>
      </c>
      <c r="X97" s="157">
        <f t="shared" si="35"/>
        <v>45740</v>
      </c>
      <c r="Y97" s="384">
        <f t="shared" si="36"/>
        <v>44.85322346218944</v>
      </c>
      <c r="Z97" s="384">
        <f t="shared" si="37"/>
        <v>47.307411987381521</v>
      </c>
      <c r="AA97" s="385">
        <f t="shared" si="38"/>
        <v>51.453386726142575</v>
      </c>
      <c r="AB97" s="196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8.057729534554732E-2</v>
      </c>
      <c r="AD97" s="230">
        <f>(INDEX(Models!$BJ97:$BT97,,AH97)*(1-AF97)+INDEX(Models!$BJ97:$BT97,,AH97+1)*AF97-ERP_i)*AE97*Ramure*Pc/MaxiM</f>
        <v>4.2274537657762431E-4</v>
      </c>
      <c r="AE97" s="304">
        <f t="shared" si="40"/>
        <v>0.5</v>
      </c>
      <c r="AF97" s="176">
        <f t="shared" si="41"/>
        <v>0.64606585923708826</v>
      </c>
      <c r="AG97" s="814">
        <f t="shared" si="49"/>
        <v>1</v>
      </c>
      <c r="AH97" s="175">
        <f t="shared" si="42"/>
        <v>7</v>
      </c>
      <c r="AI97" s="224">
        <f t="shared" si="43"/>
        <v>1.6460658592370883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10">
        <f>'2024'!Wh/'2024'!Env_an*'2025'!Env_an</f>
        <v>40.483402458538201</v>
      </c>
      <c r="C98" s="843"/>
      <c r="D98" s="392">
        <f t="shared" si="25"/>
        <v>42.69942594484754</v>
      </c>
      <c r="E98" s="384">
        <f t="shared" si="47"/>
        <v>44.166817506975434</v>
      </c>
      <c r="F98" s="384">
        <f t="shared" si="26"/>
        <v>44.181072290506862</v>
      </c>
      <c r="G98" s="110">
        <f t="shared" si="48"/>
        <v>0.83426443546858897</v>
      </c>
      <c r="H98" s="413" t="b">
        <f>Wh_hp&gt;='2024'!Maxi_hp</f>
        <v>0</v>
      </c>
      <c r="I98" s="389">
        <f>IF(H98,Wh_hp,'2024'!Maxi_hp)</f>
        <v>50.650647588143606</v>
      </c>
      <c r="J98" s="85">
        <f>IF(H98,An,'2024'!An_max)</f>
        <v>2020</v>
      </c>
      <c r="K98" s="196">
        <f t="shared" si="27"/>
        <v>45741</v>
      </c>
      <c r="L98" s="147">
        <f>IF(t&lt;Tvie,1-EXP((T0-t)*PertePVj)+'2024'!Pspv,1-EXP((T0-t)*PertePVj)+Pspv)</f>
        <v>5.1898203249187681E-2</v>
      </c>
      <c r="M98" s="847"/>
      <c r="N98" s="847"/>
      <c r="O98" s="48">
        <f>IF(t&lt;Tnet,'2024'!Resal+('2024'!Salim-'2024'!Resal)*(1-EXP(('2024'!Tnet-t)/('2024'!Tau_j))),Resal+(Salim-Resal)*(1-EXP((Tnet-t)/(Tau_j))))*Salcycl</f>
        <v>3.3223846429418225E-2</v>
      </c>
      <c r="P98" s="168">
        <f>(INDEX(Models!$BJ98:$BT98,,T98)*(1-R98)+INDEX(Models!$BJ98:$BT98,,T98+1)*R98-ERP_i)*Q98*Ramure*Pc/MaxiM</f>
        <v>4.2266695459180608E-4</v>
      </c>
      <c r="Q98" s="304">
        <f t="shared" si="28"/>
        <v>0.5</v>
      </c>
      <c r="R98" s="176">
        <f t="shared" si="29"/>
        <v>0.64653713333823659</v>
      </c>
      <c r="S98" s="814">
        <f t="shared" si="30"/>
        <v>1</v>
      </c>
      <c r="T98" s="175">
        <f t="shared" si="31"/>
        <v>7</v>
      </c>
      <c r="U98" s="250">
        <f t="shared" si="32"/>
        <v>1.6465371333382366</v>
      </c>
      <c r="V98" s="382">
        <f t="shared" si="33"/>
        <v>48.521008669012922</v>
      </c>
      <c r="W98" s="401">
        <f t="shared" si="34"/>
        <v>40.483402458538201</v>
      </c>
      <c r="X98" s="157">
        <f t="shared" si="35"/>
        <v>45741</v>
      </c>
      <c r="Y98" s="384">
        <f t="shared" si="36"/>
        <v>38.499368680386922</v>
      </c>
      <c r="Z98" s="384">
        <f t="shared" si="37"/>
        <v>40.606788018255003</v>
      </c>
      <c r="AA98" s="385">
        <f t="shared" si="38"/>
        <v>44.166817506975434</v>
      </c>
      <c r="AB98" s="196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8.0604165970486377E-2</v>
      </c>
      <c r="AD98" s="230">
        <f>(INDEX(Models!$BJ98:$BT98,,AH98)*(1-AF98)+INDEX(Models!$BJ98:$BT98,,AH98+1)*AF98-ERP_i)*AE98*Ramure*Pc/MaxiM</f>
        <v>4.2266695459180608E-4</v>
      </c>
      <c r="AE98" s="304">
        <f t="shared" si="40"/>
        <v>0.5</v>
      </c>
      <c r="AF98" s="176">
        <f t="shared" si="41"/>
        <v>0.64653713333823659</v>
      </c>
      <c r="AG98" s="814">
        <f t="shared" si="49"/>
        <v>1</v>
      </c>
      <c r="AH98" s="175">
        <f t="shared" si="42"/>
        <v>7</v>
      </c>
      <c r="AI98" s="224">
        <f t="shared" si="43"/>
        <v>1.6465371333382366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10">
        <f>'2024'!Wh/'2024'!Env_an*'2025'!Env_an</f>
        <v>44.917752456707639</v>
      </c>
      <c r="C99" s="843"/>
      <c r="D99" s="392">
        <f t="shared" si="25"/>
        <v>47.377544479924858</v>
      </c>
      <c r="E99" s="384">
        <f t="shared" si="47"/>
        <v>49.009417416565242</v>
      </c>
      <c r="F99" s="384">
        <f t="shared" si="26"/>
        <v>49.027763603606559</v>
      </c>
      <c r="G99" s="110">
        <f t="shared" si="48"/>
        <v>0.92032127968604571</v>
      </c>
      <c r="H99" s="413" t="b">
        <f>Wh_hp&gt;='2024'!Maxi_hp</f>
        <v>0</v>
      </c>
      <c r="I99" s="389">
        <f>IF(H99,Wh_hp,'2024'!Maxi_hp)</f>
        <v>54.179948097742042</v>
      </c>
      <c r="J99" s="85">
        <f>IF(H99,An,'2024'!An_max)</f>
        <v>2019</v>
      </c>
      <c r="K99" s="196">
        <f t="shared" si="27"/>
        <v>45742</v>
      </c>
      <c r="L99" s="147">
        <f>IF(t&lt;Tvie,1-EXP((T0-t)*PertePVj)+'2024'!Pspv,1-EXP((T0-t)*PertePVj)+Pspv)</f>
        <v>5.1918942828696003E-2</v>
      </c>
      <c r="M99" s="847"/>
      <c r="N99" s="847"/>
      <c r="O99" s="48">
        <f>IF(t&lt;Tnet,'2024'!Resal+('2024'!Salim-'2024'!Resal)*(1-EXP(('2024'!Tnet-t)/('2024'!Tau_j))),Resal+(Salim-Resal)*(1-EXP((Tnet-t)/(Tau_j))))*Salcycl</f>
        <v>3.3297129871386839E-2</v>
      </c>
      <c r="P99" s="168">
        <f>(INDEX(Models!$BJ99:$BT99,,T99)*(1-R99)+INDEX(Models!$BJ99:$BT99,,T99+1)*R99-ERP_i)*Q99*Ramure*Pc/MaxiM</f>
        <v>4.2223490429325297E-4</v>
      </c>
      <c r="Q99" s="304">
        <f t="shared" si="28"/>
        <v>0.5</v>
      </c>
      <c r="R99" s="176">
        <f t="shared" si="29"/>
        <v>0.64702654493907863</v>
      </c>
      <c r="S99" s="814">
        <f t="shared" si="30"/>
        <v>1</v>
      </c>
      <c r="T99" s="175">
        <f t="shared" si="31"/>
        <v>7</v>
      </c>
      <c r="U99" s="250">
        <f t="shared" si="32"/>
        <v>1.6470265449390786</v>
      </c>
      <c r="V99" s="382">
        <f t="shared" si="33"/>
        <v>48.804254577795035</v>
      </c>
      <c r="W99" s="401">
        <f t="shared" si="34"/>
        <v>44.917752456707639</v>
      </c>
      <c r="X99" s="157">
        <f t="shared" si="35"/>
        <v>45742</v>
      </c>
      <c r="Y99" s="384">
        <f t="shared" si="36"/>
        <v>42.718362032924176</v>
      </c>
      <c r="Z99" s="384">
        <f t="shared" si="37"/>
        <v>45.0577107408714</v>
      </c>
      <c r="AA99" s="385">
        <f t="shared" si="38"/>
        <v>49.009417416565242</v>
      </c>
      <c r="AB99" s="196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8.0631578255777506E-2</v>
      </c>
      <c r="AD99" s="230">
        <f>(INDEX(Models!$BJ99:$BT99,,AH99)*(1-AF99)+INDEX(Models!$BJ99:$BT99,,AH99+1)*AF99-ERP_i)*AE99*Ramure*Pc/MaxiM</f>
        <v>4.2223490429325297E-4</v>
      </c>
      <c r="AE99" s="304">
        <f t="shared" si="40"/>
        <v>0.5</v>
      </c>
      <c r="AF99" s="176">
        <f t="shared" si="41"/>
        <v>0.64702654493907863</v>
      </c>
      <c r="AG99" s="814">
        <f t="shared" si="49"/>
        <v>1</v>
      </c>
      <c r="AH99" s="175">
        <f t="shared" si="42"/>
        <v>7</v>
      </c>
      <c r="AI99" s="224">
        <f t="shared" si="43"/>
        <v>1.6470265449390786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10">
        <f>'2024'!Wh/'2024'!Env_an*'2025'!Env_an</f>
        <v>44.881763611589498</v>
      </c>
      <c r="C100" s="843"/>
      <c r="D100" s="392">
        <f t="shared" si="25"/>
        <v>47.340620377499718</v>
      </c>
      <c r="E100" s="384">
        <f t="shared" si="47"/>
        <v>48.974943411663247</v>
      </c>
      <c r="F100" s="384">
        <f t="shared" si="26"/>
        <v>48.99306865485665</v>
      </c>
      <c r="G100" s="110">
        <f t="shared" si="48"/>
        <v>0.91434875404510141</v>
      </c>
      <c r="H100" s="413" t="b">
        <f>Wh_hp&gt;='2024'!Maxi_hp</f>
        <v>0</v>
      </c>
      <c r="I100" s="389">
        <f>IF(H100,Wh_hp,'2024'!Maxi_hp)</f>
        <v>53.631049698889107</v>
      </c>
      <c r="J100" s="85">
        <f>IF(H100,An,'2024'!An_max)</f>
        <v>2019</v>
      </c>
      <c r="K100" s="196">
        <f t="shared" si="27"/>
        <v>45743</v>
      </c>
      <c r="L100" s="147">
        <f>IF(t&lt;Tvie,1-EXP((T0-t)*PertePVj)+'2024'!Pspv,1-EXP((T0-t)*PertePVj)+Pspv)</f>
        <v>5.1939681953954243E-2</v>
      </c>
      <c r="M100" s="847"/>
      <c r="N100" s="847"/>
      <c r="O100" s="48">
        <f>IF(t&lt;Tnet,'2024'!Resal+('2024'!Salim-'2024'!Resal)*(1-EXP(('2024'!Tnet-t)/('2024'!Tau_j))),Resal+(Salim-Resal)*(1-EXP((Tnet-t)/(Tau_j))))*Salcycl</f>
        <v>3.3370595662073128E-2</v>
      </c>
      <c r="P100" s="168">
        <f>(INDEX(Models!$BJ100:$BT100,,T100)*(1-R100)+INDEX(Models!$BJ100:$BT100,,T100+1)*R100-ERP_i)*Q100*Ramure*Pc/MaxiM</f>
        <v>4.2150130916591386E-4</v>
      </c>
      <c r="Q100" s="304">
        <f t="shared" si="28"/>
        <v>0.5</v>
      </c>
      <c r="R100" s="176">
        <f t="shared" si="29"/>
        <v>0.64753472403985746</v>
      </c>
      <c r="S100" s="814">
        <f t="shared" si="30"/>
        <v>1</v>
      </c>
      <c r="T100" s="175">
        <f t="shared" si="31"/>
        <v>7</v>
      </c>
      <c r="U100" s="250">
        <f t="shared" si="32"/>
        <v>1.6475347240398575</v>
      </c>
      <c r="V100" s="382">
        <f t="shared" si="33"/>
        <v>49.083513352001219</v>
      </c>
      <c r="W100" s="401">
        <f t="shared" si="34"/>
        <v>44.881763611589498</v>
      </c>
      <c r="X100" s="157">
        <f t="shared" si="35"/>
        <v>45743</v>
      </c>
      <c r="Y100" s="384">
        <f t="shared" si="36"/>
        <v>42.686080066804337</v>
      </c>
      <c r="Z100" s="384">
        <f t="shared" si="37"/>
        <v>45.02464585247111</v>
      </c>
      <c r="AA100" s="385">
        <f t="shared" si="38"/>
        <v>48.974943411663247</v>
      </c>
      <c r="AB100" s="196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8.0659563523893474E-2</v>
      </c>
      <c r="AD100" s="230">
        <f>(INDEX(Models!$BJ100:$BT100,,AH100)*(1-AF100)+INDEX(Models!$BJ100:$BT100,,AH100+1)*AF100-ERP_i)*AE100*Ramure*Pc/MaxiM</f>
        <v>4.2150130916591386E-4</v>
      </c>
      <c r="AE100" s="304">
        <f t="shared" si="40"/>
        <v>0.5</v>
      </c>
      <c r="AF100" s="176">
        <f t="shared" si="41"/>
        <v>0.64753472403985746</v>
      </c>
      <c r="AG100" s="814">
        <f t="shared" si="49"/>
        <v>1</v>
      </c>
      <c r="AH100" s="175">
        <f t="shared" si="42"/>
        <v>7</v>
      </c>
      <c r="AI100" s="224">
        <f t="shared" si="43"/>
        <v>1.6475347240398575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10">
        <f>'2024'!Wh/'2024'!Env_an*'2025'!Env_an</f>
        <v>34.657496855387123</v>
      </c>
      <c r="C101" s="843"/>
      <c r="D101" s="392">
        <f t="shared" si="25"/>
        <v>36.557014716868942</v>
      </c>
      <c r="E101" s="384">
        <f t="shared" si="47"/>
        <v>37.821941490925582</v>
      </c>
      <c r="F101" s="384">
        <f t="shared" si="26"/>
        <v>37.831080059183265</v>
      </c>
      <c r="G101" s="110">
        <f t="shared" si="48"/>
        <v>0.7020416259715585</v>
      </c>
      <c r="H101" s="413" t="b">
        <f>Wh_hp&gt;='2024'!Maxi_hp</f>
        <v>0</v>
      </c>
      <c r="I101" s="389">
        <f>IF(H101,Wh_hp,'2024'!Maxi_hp)</f>
        <v>52.658123194281352</v>
      </c>
      <c r="J101" s="85">
        <f>IF(H101,An,'2024'!An_max)</f>
        <v>2019</v>
      </c>
      <c r="K101" s="196">
        <f t="shared" si="27"/>
        <v>45744</v>
      </c>
      <c r="L101" s="147">
        <f>IF(t&lt;Tvie,1-EXP((T0-t)*PertePVj)+'2024'!Pspv,1-EXP((T0-t)*PertePVj)+Pspv)</f>
        <v>5.1960420624972393E-2</v>
      </c>
      <c r="M101" s="847"/>
      <c r="N101" s="847"/>
      <c r="O101" s="48">
        <f>IF(t&lt;Tnet,'2024'!Resal+('2024'!Salim-'2024'!Resal)*(1-EXP(('2024'!Tnet-t)/('2024'!Tau_j))),Resal+(Salim-Resal)*(1-EXP((Tnet-t)/(Tau_j))))*Salcycl</f>
        <v>3.3444258126202331E-2</v>
      </c>
      <c r="P101" s="168">
        <f>(INDEX(Models!$BJ101:$BT101,,T101)*(1-R101)+INDEX(Models!$BJ101:$BT101,,T101+1)*R101-ERP_i)*Q101*Ramure*Pc/MaxiM</f>
        <v>4.2045617682719496E-4</v>
      </c>
      <c r="Q101" s="304">
        <f t="shared" si="28"/>
        <v>0.5</v>
      </c>
      <c r="R101" s="176">
        <f t="shared" si="29"/>
        <v>0.64806231696965599</v>
      </c>
      <c r="S101" s="814">
        <f t="shared" si="30"/>
        <v>1</v>
      </c>
      <c r="T101" s="175">
        <f t="shared" si="31"/>
        <v>7</v>
      </c>
      <c r="U101" s="250">
        <f t="shared" si="32"/>
        <v>1.648062316969656</v>
      </c>
      <c r="V101" s="382">
        <f t="shared" si="33"/>
        <v>49.357892846439185</v>
      </c>
      <c r="W101" s="401">
        <f t="shared" si="34"/>
        <v>34.657496855387123</v>
      </c>
      <c r="X101" s="157">
        <f t="shared" si="35"/>
        <v>45744</v>
      </c>
      <c r="Y101" s="384">
        <f t="shared" si="36"/>
        <v>32.963486810562628</v>
      </c>
      <c r="Z101" s="384">
        <f t="shared" si="37"/>
        <v>34.770158891776454</v>
      </c>
      <c r="AA101" s="385">
        <f t="shared" si="38"/>
        <v>37.821941490925582</v>
      </c>
      <c r="AB101" s="196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8.0688152930523768E-2</v>
      </c>
      <c r="AD101" s="230">
        <f>(INDEX(Models!$BJ101:$BT101,,AH101)*(1-AF101)+INDEX(Models!$BJ101:$BT101,,AH101+1)*AF101-ERP_i)*AE101*Ramure*Pc/MaxiM</f>
        <v>4.2045617682719496E-4</v>
      </c>
      <c r="AE101" s="304">
        <f t="shared" si="40"/>
        <v>0.5</v>
      </c>
      <c r="AF101" s="176">
        <f t="shared" si="41"/>
        <v>0.64806231696965599</v>
      </c>
      <c r="AG101" s="814">
        <f t="shared" si="49"/>
        <v>1</v>
      </c>
      <c r="AH101" s="175">
        <f t="shared" si="42"/>
        <v>7</v>
      </c>
      <c r="AI101" s="224">
        <f t="shared" si="43"/>
        <v>1.648062316969656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10">
        <f>'2024'!Wh/'2024'!Env_an*'2025'!Env_an</f>
        <v>26.751433196335199</v>
      </c>
      <c r="C102" s="843"/>
      <c r="D102" s="392">
        <f t="shared" si="25"/>
        <v>28.218250560982213</v>
      </c>
      <c r="E102" s="384">
        <f t="shared" si="47"/>
        <v>29.196875267835686</v>
      </c>
      <c r="F102" s="384">
        <f t="shared" si="26"/>
        <v>29.201054820275747</v>
      </c>
      <c r="G102" s="110">
        <f t="shared" si="48"/>
        <v>0.5389066155150839</v>
      </c>
      <c r="H102" s="413" t="b">
        <f>Wh_hp&gt;='2024'!Maxi_hp</f>
        <v>0</v>
      </c>
      <c r="I102" s="389">
        <f>IF(H102,Wh_hp,'2024'!Maxi_hp)</f>
        <v>54.496222253055954</v>
      </c>
      <c r="J102" s="85">
        <f>IF(H102,An,'2024'!An_max)</f>
        <v>2021</v>
      </c>
      <c r="K102" s="196">
        <f t="shared" si="27"/>
        <v>45745</v>
      </c>
      <c r="L102" s="147">
        <f>IF(t&lt;Tvie,1-EXP((T0-t)*PertePVj)+'2024'!Pspv,1-EXP((T0-t)*PertePVj)+Pspv)</f>
        <v>5.1981158841760446E-2</v>
      </c>
      <c r="M102" s="847"/>
      <c r="N102" s="847"/>
      <c r="O102" s="48">
        <f>IF(t&lt;Tnet,'2024'!Resal+('2024'!Salim-'2024'!Resal)*(1-EXP(('2024'!Tnet-t)/('2024'!Tau_j))),Resal+(Salim-Resal)*(1-EXP((Tnet-t)/(Tau_j))))*Salcycl</f>
        <v>3.3518131576619745E-2</v>
      </c>
      <c r="P102" s="168">
        <f>(INDEX(Models!$BJ102:$BT102,,T102)*(1-R102)+INDEX(Models!$BJ102:$BT102,,T102+1)*R102-ERP_i)*Q102*Ramure*Pc/MaxiM</f>
        <v>4.1911259146941459E-4</v>
      </c>
      <c r="Q102" s="304">
        <f t="shared" si="28"/>
        <v>0.5</v>
      </c>
      <c r="R102" s="176">
        <f t="shared" si="29"/>
        <v>0.64860998634028788</v>
      </c>
      <c r="S102" s="814">
        <f t="shared" si="30"/>
        <v>1</v>
      </c>
      <c r="T102" s="175">
        <f t="shared" si="31"/>
        <v>7</v>
      </c>
      <c r="U102" s="250">
        <f t="shared" si="32"/>
        <v>1.6486099863402879</v>
      </c>
      <c r="V102" s="382">
        <f t="shared" si="33"/>
        <v>49.626500110875355</v>
      </c>
      <c r="W102" s="401">
        <f t="shared" si="34"/>
        <v>26.751433196335199</v>
      </c>
      <c r="X102" s="157">
        <f t="shared" si="35"/>
        <v>45745</v>
      </c>
      <c r="Y102" s="384">
        <f t="shared" si="36"/>
        <v>25.444996404942447</v>
      </c>
      <c r="Z102" s="384">
        <f t="shared" si="37"/>
        <v>26.840180068420466</v>
      </c>
      <c r="AA102" s="385">
        <f t="shared" si="38"/>
        <v>29.196875267835686</v>
      </c>
      <c r="AB102" s="196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8.0717377383580549E-2</v>
      </c>
      <c r="AD102" s="230">
        <f>(INDEX(Models!$BJ102:$BT102,,AH102)*(1-AF102)+INDEX(Models!$BJ102:$BT102,,AH102+1)*AF102-ERP_i)*AE102*Ramure*Pc/MaxiM</f>
        <v>4.1911259146941459E-4</v>
      </c>
      <c r="AE102" s="304">
        <f t="shared" si="40"/>
        <v>0.5</v>
      </c>
      <c r="AF102" s="176">
        <f t="shared" si="41"/>
        <v>0.64860998634028788</v>
      </c>
      <c r="AG102" s="814">
        <f t="shared" si="49"/>
        <v>1</v>
      </c>
      <c r="AH102" s="175">
        <f t="shared" si="42"/>
        <v>7</v>
      </c>
      <c r="AI102" s="224">
        <f t="shared" si="43"/>
        <v>1.6486099863402879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10">
        <f>'2024'!Wh/'2024'!Env_an*'2025'!Env_an</f>
        <v>6.7905540453061848</v>
      </c>
      <c r="C103" s="843"/>
      <c r="D103" s="392">
        <f t="shared" si="25"/>
        <v>7.1630460240192804</v>
      </c>
      <c r="E103" s="384">
        <f t="shared" si="47"/>
        <v>7.4120327344842902</v>
      </c>
      <c r="F103" s="384">
        <f t="shared" si="26"/>
        <v>7.4120327344842902</v>
      </c>
      <c r="G103" s="110">
        <f t="shared" si="48"/>
        <v>0.13605794766637988</v>
      </c>
      <c r="H103" s="413" t="b">
        <f>Wh_hp&gt;='2024'!Maxi_hp</f>
        <v>0</v>
      </c>
      <c r="I103" s="389">
        <f>IF(H103,Wh_hp,'2024'!Maxi_hp)</f>
        <v>54.590031723801168</v>
      </c>
      <c r="J103" s="85">
        <f>IF(H103,An,'2024'!An_max)</f>
        <v>2019</v>
      </c>
      <c r="K103" s="196">
        <f t="shared" si="27"/>
        <v>45746</v>
      </c>
      <c r="L103" s="147">
        <f>IF(t&lt;Tvie,1-EXP((T0-t)*PertePVj)+'2024'!Pspv,1-EXP((T0-t)*PertePVj)+Pspv)</f>
        <v>5.2001896604328281E-2</v>
      </c>
      <c r="M103" s="847"/>
      <c r="N103" s="847"/>
      <c r="O103" s="48">
        <f>IF(t&lt;Tnet,'2024'!Resal+('2024'!Salim-'2024'!Resal)*(1-EXP(('2024'!Tnet-t)/('2024'!Tau_j))),Resal+(Salim-Resal)*(1-EXP((Tnet-t)/(Tau_j))))*Salcycl</f>
        <v>3.3592230280717103E-2</v>
      </c>
      <c r="P103" s="168">
        <f>(INDEX(Models!$BJ103:$BT103,,T103)*(1-R103)+INDEX(Models!$BJ103:$BT103,,T103+1)*R103-ERP_i)*Q103*Ramure*Pc/MaxiM</f>
        <v>4.1748277743416484E-4</v>
      </c>
      <c r="Q103" s="304">
        <f t="shared" si="28"/>
        <v>0.5</v>
      </c>
      <c r="R103" s="176">
        <f t="shared" si="29"/>
        <v>0.64917841095125883</v>
      </c>
      <c r="S103" s="814">
        <f t="shared" si="30"/>
        <v>1</v>
      </c>
      <c r="T103" s="175">
        <f t="shared" si="31"/>
        <v>7</v>
      </c>
      <c r="U103" s="250">
        <f t="shared" si="32"/>
        <v>1.6491784109512588</v>
      </c>
      <c r="V103" s="382">
        <f t="shared" si="33"/>
        <v>49.888442552336763</v>
      </c>
      <c r="W103" s="401">
        <f t="shared" si="34"/>
        <v>6.7905540453061848</v>
      </c>
      <c r="X103" s="157">
        <f t="shared" si="35"/>
        <v>45746</v>
      </c>
      <c r="Y103" s="384">
        <f t="shared" si="36"/>
        <v>6.4592147923057786</v>
      </c>
      <c r="Z103" s="384">
        <f t="shared" si="37"/>
        <v>6.8135313448088795</v>
      </c>
      <c r="AA103" s="385">
        <f t="shared" si="38"/>
        <v>7.4120327344842902</v>
      </c>
      <c r="AB103" s="196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8.0747267465630448E-2</v>
      </c>
      <c r="AD103" s="230">
        <f>(INDEX(Models!$BJ103:$BT103,,AH103)*(1-AF103)+INDEX(Models!$BJ103:$BT103,,AH103+1)*AF103-ERP_i)*AE103*Ramure*Pc/MaxiM</f>
        <v>4.1748277743416484E-4</v>
      </c>
      <c r="AE103" s="304">
        <f t="shared" si="40"/>
        <v>0.5</v>
      </c>
      <c r="AF103" s="176">
        <f t="shared" si="41"/>
        <v>0.64917841095125883</v>
      </c>
      <c r="AG103" s="814">
        <f t="shared" si="49"/>
        <v>1</v>
      </c>
      <c r="AH103" s="175">
        <f t="shared" si="42"/>
        <v>7</v>
      </c>
      <c r="AI103" s="224">
        <f t="shared" si="43"/>
        <v>1.6491784109512588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10">
        <f>'2024'!Wh/'2024'!Env_an*'2025'!Env_an</f>
        <v>27.030864668946489</v>
      </c>
      <c r="C104" s="843"/>
      <c r="D104" s="392">
        <f t="shared" si="25"/>
        <v>28.514251116051216</v>
      </c>
      <c r="E104" s="384">
        <f t="shared" si="47"/>
        <v>29.50767321551087</v>
      </c>
      <c r="F104" s="384">
        <f t="shared" si="26"/>
        <v>29.50767321551087</v>
      </c>
      <c r="G104" s="110">
        <f t="shared" si="48"/>
        <v>0.5388533583709717</v>
      </c>
      <c r="H104" s="413" t="b">
        <f>Wh_hp&gt;='2024'!Maxi_hp</f>
        <v>0</v>
      </c>
      <c r="I104" s="389">
        <f>IF(H104,Wh_hp,'2024'!Maxi_hp)</f>
        <v>49.035449054954384</v>
      </c>
      <c r="J104" s="85">
        <f>IF(H104,An,'2024'!An_max)</f>
        <v>2021</v>
      </c>
      <c r="K104" s="196">
        <f t="shared" si="27"/>
        <v>45747</v>
      </c>
      <c r="L104" s="147">
        <f>IF(t&lt;Tvie,1-EXP((T0-t)*PertePVj)+'2024'!Pspv,1-EXP((T0-t)*PertePVj)+Pspv)</f>
        <v>5.2022633912685891E-2</v>
      </c>
      <c r="M104" s="847"/>
      <c r="N104" s="847"/>
      <c r="O104" s="48">
        <f>IF(t&lt;Tnet,'2024'!Resal+('2024'!Salim-'2024'!Resal)*(1-EXP(('2024'!Tnet-t)/('2024'!Tau_j))),Resal+(Salim-Resal)*(1-EXP((Tnet-t)/(Tau_j))))*Salcycl</f>
        <v>3.3666568427952397E-2</v>
      </c>
      <c r="P104" s="168">
        <f>(INDEX(Models!$BJ104:$BT104,,T104)*(1-R104)+INDEX(Models!$BJ104:$BT104,,T104+1)*R104-ERP_i)*Q104*Ramure*Pc/MaxiM</f>
        <v>0</v>
      </c>
      <c r="Q104" s="304">
        <f t="shared" si="28"/>
        <v>0.5</v>
      </c>
      <c r="R104" s="176">
        <f t="shared" si="29"/>
        <v>0.5347757458170701</v>
      </c>
      <c r="S104" s="814">
        <f t="shared" si="30"/>
        <v>-1</v>
      </c>
      <c r="T104" s="175">
        <f t="shared" si="31"/>
        <v>5</v>
      </c>
      <c r="U104" s="250">
        <f t="shared" si="32"/>
        <v>-0.46522425418292995</v>
      </c>
      <c r="V104" s="382">
        <f t="shared" si="33"/>
        <v>50.163674864465044</v>
      </c>
      <c r="W104" s="401">
        <f t="shared" si="34"/>
        <v>27.030864668946489</v>
      </c>
      <c r="X104" s="157">
        <f t="shared" si="35"/>
        <v>45747</v>
      </c>
      <c r="Y104" s="384">
        <f t="shared" si="36"/>
        <v>25.709393051304119</v>
      </c>
      <c r="Z104" s="384">
        <f t="shared" si="37"/>
        <v>27.120260431340444</v>
      </c>
      <c r="AA104" s="385">
        <f t="shared" si="38"/>
        <v>29.503488934057895</v>
      </c>
      <c r="AB104" s="196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8.0777853359787793E-2</v>
      </c>
      <c r="AD104" s="230">
        <f>(INDEX(Models!$BJ104:$BT104,,AH104)*(1-AF104)+INDEX(Models!$BJ104:$BT104,,AH104+1)*AF104-ERP_i)*AE104*Ramure*Pc/MaxiM</f>
        <v>4.1557806077653262E-4</v>
      </c>
      <c r="AE104" s="304">
        <f t="shared" si="40"/>
        <v>0.5</v>
      </c>
      <c r="AF104" s="176">
        <f t="shared" si="41"/>
        <v>0.6497682856414575</v>
      </c>
      <c r="AG104" s="814">
        <f t="shared" si="49"/>
        <v>1</v>
      </c>
      <c r="AH104" s="175">
        <f t="shared" si="42"/>
        <v>7</v>
      </c>
      <c r="AI104" s="224">
        <f t="shared" si="43"/>
        <v>1.6497682856414575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10">
        <f>'2024'!Wh/'2024'!Env_an*'2025'!Env_an</f>
        <v>29.479890315303866</v>
      </c>
      <c r="C105" s="843"/>
      <c r="D105" s="392">
        <f t="shared" si="25"/>
        <v>31.098353454367874</v>
      </c>
      <c r="E105" s="384">
        <f t="shared" si="47"/>
        <v>32.184288691772281</v>
      </c>
      <c r="F105" s="384">
        <f t="shared" si="26"/>
        <v>32.184289890134025</v>
      </c>
      <c r="G105" s="110">
        <f t="shared" si="48"/>
        <v>0.58480703993493466</v>
      </c>
      <c r="H105" s="413" t="b">
        <f>Wh_hp&gt;='2024'!Maxi_hp</f>
        <v>0</v>
      </c>
      <c r="I105" s="389">
        <f>IF(H105,Wh_hp,'2024'!Maxi_hp)</f>
        <v>50.125309607744178</v>
      </c>
      <c r="J105" s="85">
        <f>IF(H105,An,'2024'!An_max)</f>
        <v>2021</v>
      </c>
      <c r="K105" s="196">
        <f t="shared" si="27"/>
        <v>45748</v>
      </c>
      <c r="L105" s="147">
        <f>IF(t&lt;Tvie,1-EXP((T0-t)*PertePVj)+'2024'!Pspv,1-EXP((T0-t)*PertePVj)+Pspv)</f>
        <v>5.2043370766843268E-2</v>
      </c>
      <c r="M105" s="847"/>
      <c r="N105" s="847"/>
      <c r="O105" s="48">
        <f>IF(t&lt;Tnet,'2024'!Resal+('2024'!Salim-'2024'!Resal)*(1-EXP(('2024'!Tnet-t)/('2024'!Tau_j))),Resal+(Salim-Resal)*(1-EXP((Tnet-t)/(Tau_j))))*Salcycl</f>
        <v>3.3741160098468122E-2</v>
      </c>
      <c r="P105" s="168">
        <f>(INDEX(Models!$BJ105:$BT105,,T105)*(1-R105)+INDEX(Models!$BJ105:$BT105,,T105+1)*R105-ERP_i)*Q105*Ramure*Pc/MaxiM</f>
        <v>9.1514787427144823E-8</v>
      </c>
      <c r="Q105" s="304">
        <f t="shared" si="28"/>
        <v>0.5</v>
      </c>
      <c r="R105" s="176">
        <f t="shared" si="29"/>
        <v>0.53538778125864117</v>
      </c>
      <c r="S105" s="814">
        <f t="shared" si="30"/>
        <v>-1</v>
      </c>
      <c r="T105" s="175">
        <f t="shared" si="31"/>
        <v>5</v>
      </c>
      <c r="U105" s="250">
        <f t="shared" si="32"/>
        <v>-0.46461221874135883</v>
      </c>
      <c r="V105" s="382">
        <f t="shared" si="33"/>
        <v>50.409599580748825</v>
      </c>
      <c r="W105" s="401">
        <f t="shared" si="34"/>
        <v>29.479890315303866</v>
      </c>
      <c r="X105" s="157">
        <f t="shared" si="35"/>
        <v>45748</v>
      </c>
      <c r="Y105" s="384">
        <f t="shared" si="36"/>
        <v>28.039161971022668</v>
      </c>
      <c r="Z105" s="384">
        <f t="shared" si="37"/>
        <v>29.57852828531276</v>
      </c>
      <c r="AA105" s="385">
        <f t="shared" si="38"/>
        <v>32.178876411667297</v>
      </c>
      <c r="AB105" s="196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8.080916477903223E-2</v>
      </c>
      <c r="AD105" s="230">
        <f>(INDEX(Models!$BJ105:$BT105,,AH105)*(1-AF105)+INDEX(Models!$BJ105:$BT105,,AH105+1)*AF105-ERP_i)*AE105*Ramure*Pc/MaxiM</f>
        <v>4.134088350301012E-4</v>
      </c>
      <c r="AE105" s="304">
        <f t="shared" si="40"/>
        <v>0.5</v>
      </c>
      <c r="AF105" s="176">
        <f t="shared" si="41"/>
        <v>0.65038032108302857</v>
      </c>
      <c r="AG105" s="814">
        <f t="shared" si="49"/>
        <v>1</v>
      </c>
      <c r="AH105" s="175">
        <f t="shared" si="42"/>
        <v>7</v>
      </c>
      <c r="AI105" s="224">
        <f t="shared" si="43"/>
        <v>1.6503803210830286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10">
        <f>'2024'!Wh/'2024'!Env_an*'2025'!Env_an</f>
        <v>19.432085395332091</v>
      </c>
      <c r="C106" s="843"/>
      <c r="D106" s="392">
        <f t="shared" si="25"/>
        <v>20.499366615661632</v>
      </c>
      <c r="E106" s="384">
        <f t="shared" si="47"/>
        <v>21.216835534143016</v>
      </c>
      <c r="F106" s="384">
        <f t="shared" si="26"/>
        <v>21.216835999058144</v>
      </c>
      <c r="G106" s="110">
        <f t="shared" si="48"/>
        <v>0.38368318449604333</v>
      </c>
      <c r="H106" s="413" t="b">
        <f>Wh_hp&gt;='2024'!Maxi_hp</f>
        <v>0</v>
      </c>
      <c r="I106" s="389">
        <f>IF(H106,Wh_hp,'2024'!Maxi_hp)</f>
        <v>43.183256148076218</v>
      </c>
      <c r="J106" s="85">
        <f>IF(H106,An,'2024'!An_max)</f>
        <v>2020</v>
      </c>
      <c r="K106" s="196">
        <f t="shared" si="27"/>
        <v>45749</v>
      </c>
      <c r="L106" s="147">
        <f>IF(t&lt;Tvie,1-EXP((T0-t)*PertePVj)+'2024'!Pspv,1-EXP((T0-t)*PertePVj)+Pspv)</f>
        <v>5.2064107166810293E-2</v>
      </c>
      <c r="M106" s="847"/>
      <c r="N106" s="847"/>
      <c r="O106" s="48">
        <f>IF(t&lt;Tnet,'2024'!Resal+('2024'!Salim-'2024'!Resal)*(1-EXP(('2024'!Tnet-t)/('2024'!Tau_j))),Resal+(Salim-Resal)*(1-EXP((Tnet-t)/(Tau_j))))*Salcycl</f>
        <v>3.381601923278342E-2</v>
      </c>
      <c r="P106" s="168">
        <f>(INDEX(Models!$BJ106:$BT106,,T106)*(1-R106)+INDEX(Models!$BJ106:$BT106,,T106+1)*R106-ERP_i)*Q106*Ramure*Pc/MaxiM</f>
        <v>1.8329582735533234E-7</v>
      </c>
      <c r="Q106" s="304">
        <f t="shared" si="28"/>
        <v>0.5</v>
      </c>
      <c r="R106" s="176">
        <f t="shared" si="29"/>
        <v>0.53602270368830474</v>
      </c>
      <c r="S106" s="814">
        <f t="shared" si="30"/>
        <v>-1</v>
      </c>
      <c r="T106" s="175">
        <f t="shared" si="31"/>
        <v>5</v>
      </c>
      <c r="U106" s="250">
        <f t="shared" si="32"/>
        <v>-0.46397729631169521</v>
      </c>
      <c r="V106" s="382">
        <f t="shared" si="33"/>
        <v>50.646166015437991</v>
      </c>
      <c r="W106" s="401">
        <f t="shared" si="34"/>
        <v>19.432085395332091</v>
      </c>
      <c r="X106" s="157">
        <f t="shared" si="35"/>
        <v>45749</v>
      </c>
      <c r="Y106" s="384">
        <f t="shared" si="36"/>
        <v>18.485397069077763</v>
      </c>
      <c r="Z106" s="384">
        <f t="shared" si="37"/>
        <v>19.500682703161107</v>
      </c>
      <c r="AA106" s="385">
        <f t="shared" si="38"/>
        <v>21.215793569842997</v>
      </c>
      <c r="AB106" s="196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8.084123089884411E-2</v>
      </c>
      <c r="AD106" s="230">
        <f>(INDEX(Models!$BJ106:$BT106,,AH106)*(1-AF106)+INDEX(Models!$BJ106:$BT106,,AH106+1)*AF106-ERP_i)*AE106*Ramure*Pc/MaxiM</f>
        <v>4.1098453033439037E-4</v>
      </c>
      <c r="AE106" s="304">
        <f t="shared" si="40"/>
        <v>0.5</v>
      </c>
      <c r="AF106" s="176">
        <f t="shared" si="41"/>
        <v>0.65101524351269235</v>
      </c>
      <c r="AG106" s="814">
        <f t="shared" si="49"/>
        <v>1</v>
      </c>
      <c r="AH106" s="175">
        <f t="shared" si="42"/>
        <v>7</v>
      </c>
      <c r="AI106" s="224">
        <f t="shared" si="43"/>
        <v>1.6510152435126924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10">
        <f>'2024'!Wh/'2024'!Env_an*'2025'!Env_an</f>
        <v>24.453394045700559</v>
      </c>
      <c r="C107" s="843"/>
      <c r="D107" s="392">
        <f t="shared" si="25"/>
        <v>25.79702821294293</v>
      </c>
      <c r="E107" s="384">
        <f t="shared" si="47"/>
        <v>26.701989604327689</v>
      </c>
      <c r="F107" s="384">
        <f t="shared" si="26"/>
        <v>26.701991499537094</v>
      </c>
      <c r="G107" s="110">
        <f t="shared" si="48"/>
        <v>0.48065695251804591</v>
      </c>
      <c r="H107" s="413" t="b">
        <f>Wh_hp&gt;='2024'!Maxi_hp</f>
        <v>0</v>
      </c>
      <c r="I107" s="389">
        <f>IF(H107,Wh_hp,'2024'!Maxi_hp)</f>
        <v>51.063430423468454</v>
      </c>
      <c r="J107" s="85">
        <f>IF(H107,An,'2024'!An_max)</f>
        <v>2021</v>
      </c>
      <c r="K107" s="196">
        <f t="shared" si="27"/>
        <v>45750</v>
      </c>
      <c r="L107" s="147">
        <f>IF(t&lt;Tvie,1-EXP((T0-t)*PertePVj)+'2024'!Pspv,1-EXP((T0-t)*PertePVj)+Pspv)</f>
        <v>5.2084843112596958E-2</v>
      </c>
      <c r="M107" s="847"/>
      <c r="N107" s="847"/>
      <c r="O107" s="48">
        <f>IF(t&lt;Tnet,'2024'!Resal+('2024'!Salim-'2024'!Resal)*(1-EXP(('2024'!Tnet-t)/('2024'!Tau_j))),Resal+(Salim-Resal)*(1-EXP((Tnet-t)/(Tau_j))))*Salcycl</f>
        <v>3.3891159602507166E-2</v>
      </c>
      <c r="P107" s="168">
        <f>(INDEX(Models!$BJ107:$BT107,,T107)*(1-R107)+INDEX(Models!$BJ107:$BT107,,T107+1)*R107-ERP_i)*Q107*Ramure*Pc/MaxiM</f>
        <v>2.7501518484520323E-7</v>
      </c>
      <c r="Q107" s="304">
        <f t="shared" si="28"/>
        <v>0.5</v>
      </c>
      <c r="R107" s="176">
        <f t="shared" si="29"/>
        <v>0.53668125457119298</v>
      </c>
      <c r="S107" s="814">
        <f t="shared" si="30"/>
        <v>-1</v>
      </c>
      <c r="T107" s="175">
        <f t="shared" si="31"/>
        <v>5</v>
      </c>
      <c r="U107" s="250">
        <f t="shared" si="32"/>
        <v>-0.46331874542880708</v>
      </c>
      <c r="V107" s="382">
        <f t="shared" si="33"/>
        <v>50.874930505326752</v>
      </c>
      <c r="W107" s="401">
        <f t="shared" si="34"/>
        <v>24.453394045700559</v>
      </c>
      <c r="X107" s="157">
        <f t="shared" si="35"/>
        <v>45750</v>
      </c>
      <c r="Y107" s="384">
        <f t="shared" si="36"/>
        <v>23.261749202573597</v>
      </c>
      <c r="Z107" s="384">
        <f t="shared" si="37"/>
        <v>24.539906376174461</v>
      </c>
      <c r="AA107" s="385">
        <f t="shared" si="38"/>
        <v>26.699177827557008</v>
      </c>
      <c r="AB107" s="196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8.087408029298572E-2</v>
      </c>
      <c r="AD107" s="230">
        <f>(INDEX(Models!$BJ107:$BT107,,AH107)*(1-AF107)+INDEX(Models!$BJ107:$BT107,,AH107+1)*AF107-ERP_i)*AE107*Ramure*Pc/MaxiM</f>
        <v>4.0829394250587126E-4</v>
      </c>
      <c r="AE107" s="304">
        <f t="shared" si="40"/>
        <v>0.5</v>
      </c>
      <c r="AF107" s="176">
        <f t="shared" si="41"/>
        <v>0.65167379439558037</v>
      </c>
      <c r="AG107" s="814">
        <f t="shared" si="49"/>
        <v>1</v>
      </c>
      <c r="AH107" s="175">
        <f t="shared" si="42"/>
        <v>7</v>
      </c>
      <c r="AI107" s="224">
        <f t="shared" si="43"/>
        <v>1.6516737943955804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10">
        <f>'2024'!Wh/'2024'!Env_an*'2025'!Env_an</f>
        <v>43.354561951767145</v>
      </c>
      <c r="C108" s="843"/>
      <c r="D108" s="392">
        <f t="shared" si="25"/>
        <v>45.737754092831345</v>
      </c>
      <c r="E108" s="384">
        <f t="shared" si="47"/>
        <v>47.345934256289652</v>
      </c>
      <c r="F108" s="384">
        <f t="shared" si="26"/>
        <v>47.345947830363528</v>
      </c>
      <c r="G108" s="110">
        <f t="shared" si="48"/>
        <v>0.84845937691667173</v>
      </c>
      <c r="H108" s="413" t="b">
        <f>Wh_hp&gt;='2024'!Maxi_hp</f>
        <v>0</v>
      </c>
      <c r="I108" s="389">
        <f>IF(H108,Wh_hp,'2024'!Maxi_hp)</f>
        <v>56.358160230802568</v>
      </c>
      <c r="J108" s="85">
        <f>IF(H108,An,'2024'!An_max)</f>
        <v>2020</v>
      </c>
      <c r="K108" s="196">
        <f t="shared" si="27"/>
        <v>45751</v>
      </c>
      <c r="L108" s="147">
        <f>IF(t&lt;Tvie,1-EXP((T0-t)*PertePVj)+'2024'!Pspv,1-EXP((T0-t)*PertePVj)+Pspv)</f>
        <v>5.2105578604213255E-2</v>
      </c>
      <c r="M108" s="847"/>
      <c r="N108" s="847"/>
      <c r="O108" s="48">
        <f>IF(t&lt;Tnet,'2024'!Resal+('2024'!Salim-'2024'!Resal)*(1-EXP(('2024'!Tnet-t)/('2024'!Tau_j))),Resal+(Salim-Resal)*(1-EXP((Tnet-t)/(Tau_j))))*Salcycl</f>
        <v>3.3966594781993736E-2</v>
      </c>
      <c r="P108" s="168">
        <f>(INDEX(Models!$BJ108:$BT108,,T108)*(1-R108)+INDEX(Models!$BJ108:$BT108,,T108+1)*R108-ERP_i)*Q108*Ramure*Pc/MaxiM</f>
        <v>3.6591559070374761E-7</v>
      </c>
      <c r="Q108" s="304">
        <f t="shared" si="28"/>
        <v>0.5</v>
      </c>
      <c r="R108" s="176">
        <f t="shared" si="29"/>
        <v>0.53736419019210457</v>
      </c>
      <c r="S108" s="814">
        <f t="shared" si="30"/>
        <v>-1</v>
      </c>
      <c r="T108" s="175">
        <f t="shared" si="31"/>
        <v>5</v>
      </c>
      <c r="U108" s="250">
        <f t="shared" si="32"/>
        <v>-0.46263580980789543</v>
      </c>
      <c r="V108" s="382">
        <f t="shared" si="33"/>
        <v>51.097977931426939</v>
      </c>
      <c r="W108" s="401">
        <f t="shared" si="34"/>
        <v>43.354561951767145</v>
      </c>
      <c r="X108" s="157">
        <f t="shared" si="35"/>
        <v>45751</v>
      </c>
      <c r="Y108" s="384">
        <f t="shared" si="36"/>
        <v>41.234815208208992</v>
      </c>
      <c r="Z108" s="384">
        <f t="shared" si="37"/>
        <v>43.501485268254029</v>
      </c>
      <c r="AA108" s="385">
        <f t="shared" si="38"/>
        <v>47.330923349888629</v>
      </c>
      <c r="AB108" s="196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8.0907740872196876E-2</v>
      </c>
      <c r="AD108" s="230">
        <f>(INDEX(Models!$BJ108:$BT108,,AH108)*(1-AF108)+INDEX(Models!$BJ108:$BT108,,AH108+1)*AF108-ERP_i)*AE108*Ramure*Pc/MaxiM</f>
        <v>4.0501412466173832E-4</v>
      </c>
      <c r="AE108" s="304">
        <f t="shared" si="40"/>
        <v>0.5</v>
      </c>
      <c r="AF108" s="176">
        <f t="shared" si="41"/>
        <v>0.65235673001649208</v>
      </c>
      <c r="AG108" s="814">
        <f t="shared" si="49"/>
        <v>1</v>
      </c>
      <c r="AH108" s="175">
        <f t="shared" si="42"/>
        <v>7</v>
      </c>
      <c r="AI108" s="224">
        <f t="shared" si="43"/>
        <v>1.6523567300164921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10">
        <f>'2024'!Wh/'2024'!Env_an*'2025'!Env_an</f>
        <v>51.413011406043545</v>
      </c>
      <c r="C109" s="843"/>
      <c r="D109" s="392">
        <f t="shared" si="25"/>
        <v>54.24036150171969</v>
      </c>
      <c r="E109" s="384">
        <f t="shared" si="47"/>
        <v>56.151903589854214</v>
      </c>
      <c r="F109" s="384">
        <f t="shared" si="26"/>
        <v>56.15192918452896</v>
      </c>
      <c r="G109" s="110">
        <f t="shared" si="48"/>
        <v>1.0019058973129338</v>
      </c>
      <c r="H109" s="413" t="b">
        <f>Wh_hp&gt;='2024'!Maxi_hp</f>
        <v>0</v>
      </c>
      <c r="I109" s="389">
        <f>IF(H109,Wh_hp,'2024'!Maxi_hp)</f>
        <v>58.338550286510831</v>
      </c>
      <c r="J109" s="85">
        <f>IF(H109,An,'2024'!An_max)</f>
        <v>2020</v>
      </c>
      <c r="K109" s="196">
        <f t="shared" si="27"/>
        <v>45752</v>
      </c>
      <c r="L109" s="147">
        <f>IF(t&lt;Tvie,1-EXP((T0-t)*PertePVj)+'2024'!Pspv,1-EXP((T0-t)*PertePVj)+Pspv)</f>
        <v>5.2126313641668955E-2</v>
      </c>
      <c r="M109" s="847"/>
      <c r="N109" s="847"/>
      <c r="O109" s="48">
        <f>IF(t&lt;Tnet,'2024'!Resal+('2024'!Salim-'2024'!Resal)*(1-EXP(('2024'!Tnet-t)/('2024'!Tau_j))),Resal+(Salim-Resal)*(1-EXP((Tnet-t)/(Tau_j))))*Salcycl</f>
        <v>3.4042338120838136E-2</v>
      </c>
      <c r="P109" s="168">
        <f>(INDEX(Models!$BJ109:$BT109,,T109)*(1-R109)+INDEX(Models!$BJ109:$BT109,,T109+1)*R109-ERP_i)*Q109*Ramure*Pc/MaxiM</f>
        <v>4.5581113806809319E-7</v>
      </c>
      <c r="Q109" s="304">
        <f t="shared" si="28"/>
        <v>0.5</v>
      </c>
      <c r="R109" s="176">
        <f t="shared" si="29"/>
        <v>0.53807228116891581</v>
      </c>
      <c r="S109" s="814">
        <f t="shared" si="30"/>
        <v>-1</v>
      </c>
      <c r="T109" s="175">
        <f t="shared" si="31"/>
        <v>5</v>
      </c>
      <c r="U109" s="250">
        <f t="shared" si="32"/>
        <v>-0.46192771883108419</v>
      </c>
      <c r="V109" s="382">
        <f t="shared" si="33"/>
        <v>51.315209885410312</v>
      </c>
      <c r="W109" s="401">
        <f t="shared" si="34"/>
        <v>51.413011406043545</v>
      </c>
      <c r="X109" s="157">
        <f t="shared" si="35"/>
        <v>45752</v>
      </c>
      <c r="Y109" s="384">
        <f t="shared" si="36"/>
        <v>48.897146236978728</v>
      </c>
      <c r="Z109" s="384">
        <f t="shared" si="37"/>
        <v>51.586141635430749</v>
      </c>
      <c r="AA109" s="385">
        <f t="shared" si="38"/>
        <v>56.129379317397145</v>
      </c>
      <c r="AB109" s="196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8.0942239825520998E-2</v>
      </c>
      <c r="AD109" s="230">
        <f>(INDEX(Models!$BJ109:$BT109,,AH109)*(1-AF109)+INDEX(Models!$BJ109:$BT109,,AH109+1)*AF109-ERP_i)*AE109*Ramure*Pc/MaxiM</f>
        <v>4.0158668560987616E-4</v>
      </c>
      <c r="AE109" s="304">
        <f t="shared" si="40"/>
        <v>0.5</v>
      </c>
      <c r="AF109" s="176">
        <f t="shared" si="41"/>
        <v>0.65306482099330321</v>
      </c>
      <c r="AG109" s="814">
        <f t="shared" si="49"/>
        <v>1</v>
      </c>
      <c r="AH109" s="175">
        <f t="shared" si="42"/>
        <v>7</v>
      </c>
      <c r="AI109" s="224">
        <f t="shared" si="43"/>
        <v>1.6530648209933032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10">
        <f>'2024'!Wh/'2024'!Env_an*'2025'!Env_an</f>
        <v>11.488060005344716</v>
      </c>
      <c r="C110" s="843"/>
      <c r="D110" s="392">
        <f t="shared" si="25"/>
        <v>12.120086753785225</v>
      </c>
      <c r="E110" s="384">
        <f t="shared" si="47"/>
        <v>12.548211693731206</v>
      </c>
      <c r="F110" s="384">
        <f t="shared" si="26"/>
        <v>12.548211693731206</v>
      </c>
      <c r="G110" s="110">
        <f t="shared" si="48"/>
        <v>0.22295415960066867</v>
      </c>
      <c r="H110" s="413" t="b">
        <f>Wh_hp&gt;='2024'!Maxi_hp</f>
        <v>0</v>
      </c>
      <c r="I110" s="389">
        <f>IF(H110,Wh_hp,'2024'!Maxi_hp)</f>
        <v>58.925500878405153</v>
      </c>
      <c r="J110" s="85">
        <f>IF(H110,An,'2024'!An_max)</f>
        <v>2020</v>
      </c>
      <c r="K110" s="196">
        <f t="shared" si="27"/>
        <v>45753</v>
      </c>
      <c r="L110" s="147">
        <f>IF(t&lt;Tvie,1-EXP((T0-t)*PertePVj)+'2024'!Pspv,1-EXP((T0-t)*PertePVj)+Pspv)</f>
        <v>5.2147048224974159E-2</v>
      </c>
      <c r="M110" s="847"/>
      <c r="N110" s="847"/>
      <c r="O110" s="48">
        <f>IF(t&lt;Tnet,'2024'!Resal+('2024'!Salim-'2024'!Resal)*(1-EXP(('2024'!Tnet-t)/('2024'!Tau_j))),Resal+(Salim-Resal)*(1-EXP((Tnet-t)/(Tau_j))))*Salcycl</f>
        <v>3.4118402717086944E-2</v>
      </c>
      <c r="P110" s="168">
        <f>(INDEX(Models!$BJ110:$BT110,,T110)*(1-R110)+INDEX(Models!$BJ110:$BT110,,T110+1)*R110-ERP_i)*Q110*Ramure*Pc/MaxiM</f>
        <v>5.4428621482901813E-7</v>
      </c>
      <c r="Q110" s="304">
        <f t="shared" si="28"/>
        <v>0.5</v>
      </c>
      <c r="R110" s="176">
        <f t="shared" si="29"/>
        <v>0.53880631188273997</v>
      </c>
      <c r="S110" s="814">
        <f t="shared" si="30"/>
        <v>-1</v>
      </c>
      <c r="T110" s="175">
        <f t="shared" si="31"/>
        <v>5</v>
      </c>
      <c r="U110" s="250">
        <f t="shared" si="32"/>
        <v>-0.46119368811726008</v>
      </c>
      <c r="V110" s="382">
        <f t="shared" si="33"/>
        <v>51.526528023196228</v>
      </c>
      <c r="W110" s="401">
        <f t="shared" si="34"/>
        <v>11.488060005344716</v>
      </c>
      <c r="X110" s="157">
        <f t="shared" si="35"/>
        <v>45753</v>
      </c>
      <c r="Y110" s="384">
        <f t="shared" si="36"/>
        <v>10.930723254499313</v>
      </c>
      <c r="Z110" s="384">
        <f t="shared" si="37"/>
        <v>11.532087581759976</v>
      </c>
      <c r="AA110" s="385">
        <f t="shared" si="38"/>
        <v>12.548211693731206</v>
      </c>
      <c r="AB110" s="196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8.0977603563929523E-2</v>
      </c>
      <c r="AD110" s="230">
        <f>(INDEX(Models!$BJ110:$BT110,,AH110)*(1-AF110)+INDEX(Models!$BJ110:$BT110,,AH110+1)*AF110-ERP_i)*AE110*Ramure*Pc/MaxiM</f>
        <v>3.9801129759314889E-4</v>
      </c>
      <c r="AE110" s="304">
        <f t="shared" si="40"/>
        <v>0.5</v>
      </c>
      <c r="AF110" s="176">
        <f t="shared" si="41"/>
        <v>0.65379885170712737</v>
      </c>
      <c r="AG110" s="814">
        <f t="shared" si="49"/>
        <v>1</v>
      </c>
      <c r="AH110" s="175">
        <f t="shared" si="42"/>
        <v>7</v>
      </c>
      <c r="AI110" s="224">
        <f t="shared" si="43"/>
        <v>1.6537988517071274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10">
        <f>'2024'!Wh/'2024'!Env_an*'2025'!Env_an</f>
        <v>39.280513840823247</v>
      </c>
      <c r="C111" s="843"/>
      <c r="D111" s="392">
        <f t="shared" si="25"/>
        <v>41.44247590399975</v>
      </c>
      <c r="E111" s="384">
        <f t="shared" si="47"/>
        <v>42.909766859495257</v>
      </c>
      <c r="F111" s="384">
        <f t="shared" si="26"/>
        <v>42.909784622629317</v>
      </c>
      <c r="G111" s="110">
        <f t="shared" si="48"/>
        <v>0.75931012376566953</v>
      </c>
      <c r="H111" s="413" t="b">
        <f>Wh_hp&gt;='2024'!Maxi_hp</f>
        <v>0</v>
      </c>
      <c r="I111" s="389">
        <f>IF(H111,Wh_hp,'2024'!Maxi_hp)</f>
        <v>56.811227959193118</v>
      </c>
      <c r="J111" s="85">
        <f>IF(H111,An,'2024'!An_max)</f>
        <v>2021</v>
      </c>
      <c r="K111" s="196">
        <f t="shared" si="27"/>
        <v>45754</v>
      </c>
      <c r="L111" s="147">
        <f>IF(t&lt;Tvie,1-EXP((T0-t)*PertePVj)+'2024'!Pspv,1-EXP((T0-t)*PertePVj)+Pspv)</f>
        <v>5.216778235413886E-2</v>
      </c>
      <c r="M111" s="847"/>
      <c r="N111" s="847"/>
      <c r="O111" s="48">
        <f>IF(t&lt;Tnet,'2024'!Resal+('2024'!Salim-'2024'!Resal)*(1-EXP(('2024'!Tnet-t)/('2024'!Tau_j))),Resal+(Salim-Resal)*(1-EXP((Tnet-t)/(Tau_j))))*Salcycl</f>
        <v>3.4194801391022212E-2</v>
      </c>
      <c r="P111" s="168">
        <f>(INDEX(Models!$BJ111:$BT111,,T111)*(1-R111)+INDEX(Models!$BJ111:$BT111,,T111+1)*R111-ERP_i)*Q111*Ramure*Pc/MaxiM</f>
        <v>6.3089215223409161E-7</v>
      </c>
      <c r="Q111" s="304">
        <f t="shared" si="28"/>
        <v>0.5</v>
      </c>
      <c r="R111" s="176">
        <f t="shared" si="29"/>
        <v>0.53956707981930929</v>
      </c>
      <c r="S111" s="814">
        <f t="shared" si="30"/>
        <v>-1</v>
      </c>
      <c r="T111" s="175">
        <f t="shared" si="31"/>
        <v>5</v>
      </c>
      <c r="U111" s="250">
        <f t="shared" si="32"/>
        <v>-0.46043292018069071</v>
      </c>
      <c r="V111" s="382">
        <f t="shared" si="33"/>
        <v>51.731834056144351</v>
      </c>
      <c r="W111" s="401">
        <f t="shared" si="34"/>
        <v>39.280513840823247</v>
      </c>
      <c r="X111" s="157">
        <f t="shared" si="35"/>
        <v>45754</v>
      </c>
      <c r="Y111" s="384">
        <f t="shared" si="36"/>
        <v>37.366669526488998</v>
      </c>
      <c r="Z111" s="384">
        <f t="shared" si="37"/>
        <v>39.423295421732881</v>
      </c>
      <c r="AA111" s="385">
        <f t="shared" si="38"/>
        <v>42.898683239773398</v>
      </c>
      <c r="AB111" s="196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8.1013857665876279E-2</v>
      </c>
      <c r="AD111" s="230">
        <f>(INDEX(Models!$BJ111:$BT111,,AH111)*(1-AF111)+INDEX(Models!$BJ111:$BT111,,AH111+1)*AF111-ERP_i)*AE111*Ramure*Pc/MaxiM</f>
        <v>3.9428713978956843E-4</v>
      </c>
      <c r="AE111" s="304">
        <f t="shared" si="40"/>
        <v>0.5</v>
      </c>
      <c r="AF111" s="176">
        <f t="shared" si="41"/>
        <v>0.65455961964369669</v>
      </c>
      <c r="AG111" s="814">
        <f t="shared" si="49"/>
        <v>1</v>
      </c>
      <c r="AH111" s="175">
        <f t="shared" si="42"/>
        <v>7</v>
      </c>
      <c r="AI111" s="224">
        <f t="shared" si="43"/>
        <v>1.6545596196436967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10">
        <f>'2024'!Wh/'2024'!Env_an*'2025'!Env_an</f>
        <v>31.170620085126512</v>
      </c>
      <c r="C112" s="843"/>
      <c r="D112" s="392">
        <f t="shared" si="25"/>
        <v>32.886940717934912</v>
      </c>
      <c r="E112" s="384">
        <f t="shared" si="47"/>
        <v>34.054024818439082</v>
      </c>
      <c r="F112" s="384">
        <f t="shared" si="26"/>
        <v>34.054035263716422</v>
      </c>
      <c r="G112" s="110">
        <f t="shared" si="48"/>
        <v>0.60023087356241056</v>
      </c>
      <c r="H112" s="413" t="b">
        <f>Wh_hp&gt;='2024'!Maxi_hp</f>
        <v>0</v>
      </c>
      <c r="I112" s="389">
        <f>IF(H112,Wh_hp,'2024'!Maxi_hp)</f>
        <v>54.816109955651925</v>
      </c>
      <c r="J112" s="85">
        <f>IF(H112,An,'2024'!An_max)</f>
        <v>2021</v>
      </c>
      <c r="K112" s="196">
        <f t="shared" si="27"/>
        <v>45755</v>
      </c>
      <c r="L112" s="147">
        <f>IF(t&lt;Tvie,1-EXP((T0-t)*PertePVj)+'2024'!Pspv,1-EXP((T0-t)*PertePVj)+Pspv)</f>
        <v>5.2188516029172828E-2</v>
      </c>
      <c r="M112" s="847"/>
      <c r="N112" s="847"/>
      <c r="O112" s="48">
        <f>IF(t&lt;Tnet,'2024'!Resal+('2024'!Salim-'2024'!Resal)*(1-EXP(('2024'!Tnet-t)/('2024'!Tau_j))),Resal+(Salim-Resal)*(1-EXP((Tnet-t)/(Tau_j))))*Salcycl</f>
        <v>3.4271546659360885E-2</v>
      </c>
      <c r="P112" s="168">
        <f>(INDEX(Models!$BJ112:$BT112,,T112)*(1-R112)+INDEX(Models!$BJ112:$BT112,,T112+1)*R112-ERP_i)*Q112*Ramure*Pc/MaxiM</f>
        <v>7.1514437932104136E-7</v>
      </c>
      <c r="Q112" s="304">
        <f t="shared" si="28"/>
        <v>0.5</v>
      </c>
      <c r="R112" s="176">
        <f t="shared" si="29"/>
        <v>0.5403553948159554</v>
      </c>
      <c r="S112" s="814">
        <f t="shared" si="30"/>
        <v>-1</v>
      </c>
      <c r="T112" s="175">
        <f t="shared" si="31"/>
        <v>5</v>
      </c>
      <c r="U112" s="250">
        <f t="shared" si="32"/>
        <v>-0.45964460518404454</v>
      </c>
      <c r="V112" s="382">
        <f t="shared" si="33"/>
        <v>51.931029754411846</v>
      </c>
      <c r="W112" s="401">
        <f t="shared" si="34"/>
        <v>31.170620085126512</v>
      </c>
      <c r="X112" s="157">
        <f t="shared" si="35"/>
        <v>45755</v>
      </c>
      <c r="Y112" s="384">
        <f t="shared" si="36"/>
        <v>29.655770801735397</v>
      </c>
      <c r="Z112" s="384">
        <f t="shared" si="37"/>
        <v>31.288680611352643</v>
      </c>
      <c r="AA112" s="385">
        <f t="shared" si="38"/>
        <v>34.048332959367812</v>
      </c>
      <c r="AB112" s="196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8.1051026824380853E-2</v>
      </c>
      <c r="AD112" s="230">
        <f>(INDEX(Models!$BJ112:$BT112,,AH112)*(1-AF112)+INDEX(Models!$BJ112:$BT112,,AH112+1)*AF112-ERP_i)*AE112*Ramure*Pc/MaxiM</f>
        <v>3.9041288928832291E-4</v>
      </c>
      <c r="AE112" s="304">
        <f t="shared" si="40"/>
        <v>0.5</v>
      </c>
      <c r="AF112" s="176">
        <f t="shared" si="41"/>
        <v>0.65534793464034302</v>
      </c>
      <c r="AG112" s="814">
        <f t="shared" si="49"/>
        <v>1</v>
      </c>
      <c r="AH112" s="175">
        <f t="shared" si="42"/>
        <v>7</v>
      </c>
      <c r="AI112" s="224">
        <f t="shared" si="43"/>
        <v>1.655347934640343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10">
        <f>'2024'!Wh/'2024'!Env_an*'2025'!Env_an</f>
        <v>35.313452477208884</v>
      </c>
      <c r="C113" s="843"/>
      <c r="D113" s="392">
        <f t="shared" si="25"/>
        <v>37.25870130012143</v>
      </c>
      <c r="E113" s="384">
        <f t="shared" si="47"/>
        <v>38.584009981971782</v>
      </c>
      <c r="F113" s="384">
        <f t="shared" si="26"/>
        <v>38.584026555320193</v>
      </c>
      <c r="G113" s="110">
        <f t="shared" si="48"/>
        <v>0.67748883495652079</v>
      </c>
      <c r="H113" s="413" t="b">
        <f>Wh_hp&gt;='2024'!Maxi_hp</f>
        <v>0</v>
      </c>
      <c r="I113" s="389">
        <f>IF(H113,Wh_hp,'2024'!Maxi_hp)</f>
        <v>51.284257833174017</v>
      </c>
      <c r="J113" s="85">
        <f>IF(H113,An,'2024'!An_max)</f>
        <v>2020</v>
      </c>
      <c r="K113" s="196">
        <f t="shared" si="27"/>
        <v>45756</v>
      </c>
      <c r="L113" s="147">
        <f>IF(t&lt;Tvie,1-EXP((T0-t)*PertePVj)+'2024'!Pspv,1-EXP((T0-t)*PertePVj)+Pspv)</f>
        <v>5.2209249250086055E-2</v>
      </c>
      <c r="M113" s="847"/>
      <c r="N113" s="847"/>
      <c r="O113" s="48">
        <f>IF(t&lt;Tnet,'2024'!Resal+('2024'!Salim-'2024'!Resal)*(1-EXP(('2024'!Tnet-t)/('2024'!Tau_j))),Resal+(Salim-Resal)*(1-EXP((Tnet-t)/(Tau_j))))*Salcycl</f>
        <v>3.4348650709700702E-2</v>
      </c>
      <c r="P113" s="168">
        <f>(INDEX(Models!$BJ113:$BT113,,T113)*(1-R113)+INDEX(Models!$BJ113:$BT113,,T113+1)*R113-ERP_i)*Q113*Ramure*Pc/MaxiM</f>
        <v>7.9651939548638947E-7</v>
      </c>
      <c r="Q113" s="304">
        <f t="shared" si="28"/>
        <v>0.5</v>
      </c>
      <c r="R113" s="176">
        <f t="shared" si="29"/>
        <v>0.54117207820849511</v>
      </c>
      <c r="S113" s="814">
        <f t="shared" si="30"/>
        <v>-1</v>
      </c>
      <c r="T113" s="175">
        <f t="shared" si="31"/>
        <v>5</v>
      </c>
      <c r="U113" s="250">
        <f t="shared" si="32"/>
        <v>-0.45882792179150489</v>
      </c>
      <c r="V113" s="382">
        <f t="shared" si="33"/>
        <v>52.124016951701854</v>
      </c>
      <c r="W113" s="401">
        <f t="shared" si="34"/>
        <v>35.313452477208884</v>
      </c>
      <c r="X113" s="157">
        <f t="shared" si="35"/>
        <v>45756</v>
      </c>
      <c r="Y113" s="384">
        <f t="shared" si="36"/>
        <v>33.597185613007184</v>
      </c>
      <c r="Z113" s="384">
        <f t="shared" si="37"/>
        <v>35.44789352124856</v>
      </c>
      <c r="AA113" s="385">
        <f t="shared" si="38"/>
        <v>38.575986924856956</v>
      </c>
      <c r="AB113" s="196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8.1089134795220619E-2</v>
      </c>
      <c r="AD113" s="230">
        <f>(INDEX(Models!$BJ113:$BT113,,AH113)*(1-AF113)+INDEX(Models!$BJ113:$BT113,,AH113+1)*AF113-ERP_i)*AE113*Ramure*Pc/MaxiM</f>
        <v>3.8638671190055176E-4</v>
      </c>
      <c r="AE113" s="304">
        <f t="shared" si="40"/>
        <v>0.5</v>
      </c>
      <c r="AF113" s="176">
        <f t="shared" si="41"/>
        <v>0.65616461803288262</v>
      </c>
      <c r="AG113" s="814">
        <f t="shared" si="49"/>
        <v>1</v>
      </c>
      <c r="AH113" s="175">
        <f t="shared" si="42"/>
        <v>7</v>
      </c>
      <c r="AI113" s="224">
        <f t="shared" si="43"/>
        <v>1.6561646180328826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10">
        <f>'2024'!Wh/'2024'!Env_an*'2025'!Env_an</f>
        <v>52.55789802212972</v>
      </c>
      <c r="C114" s="843"/>
      <c r="D114" s="392">
        <f t="shared" si="25"/>
        <v>55.454273742457922</v>
      </c>
      <c r="E114" s="384">
        <f t="shared" si="47"/>
        <v>57.431414829856216</v>
      </c>
      <c r="F114" s="384">
        <f t="shared" si="26"/>
        <v>57.431465085598639</v>
      </c>
      <c r="G114" s="110">
        <f t="shared" si="48"/>
        <v>1.0047256205209432</v>
      </c>
      <c r="H114" s="413" t="b">
        <f>Wh_hp&gt;='2024'!Maxi_hp</f>
        <v>1</v>
      </c>
      <c r="I114" s="389">
        <f>IF(H114,Wh_hp,'2024'!Maxi_hp)</f>
        <v>57.431465085598639</v>
      </c>
      <c r="J114" s="85">
        <f>IF(H114,An,'2024'!An_max)</f>
        <v>2025</v>
      </c>
      <c r="K114" s="196">
        <f t="shared" si="27"/>
        <v>45757</v>
      </c>
      <c r="L114" s="147">
        <f>IF(t&lt;Tvie,1-EXP((T0-t)*PertePVj)+'2024'!Pspv,1-EXP((T0-t)*PertePVj)+Pspv)</f>
        <v>5.2229982016888644E-2</v>
      </c>
      <c r="M114" s="847"/>
      <c r="N114" s="847"/>
      <c r="O114" s="48">
        <f>IF(t&lt;Tnet,'2024'!Resal+('2024'!Salim-'2024'!Resal)*(1-EXP(('2024'!Tnet-t)/('2024'!Tau_j))),Resal+(Salim-Resal)*(1-EXP((Tnet-t)/(Tau_j))))*Salcycl</f>
        <v>3.4426125375035366E-2</v>
      </c>
      <c r="P114" s="168">
        <f>(INDEX(Models!$BJ114:$BT114,,T114)*(1-R114)+INDEX(Models!$BJ114:$BT114,,T114+1)*R114-ERP_i)*Q114*Ramure*Pc/MaxiM</f>
        <v>8.7505590099516843E-7</v>
      </c>
      <c r="Q114" s="304">
        <f t="shared" si="28"/>
        <v>0.5</v>
      </c>
      <c r="R114" s="176">
        <f t="shared" si="29"/>
        <v>0.54201796187230067</v>
      </c>
      <c r="S114" s="814">
        <f t="shared" si="30"/>
        <v>-1</v>
      </c>
      <c r="T114" s="175">
        <f t="shared" si="31"/>
        <v>5</v>
      </c>
      <c r="U114" s="250">
        <f t="shared" si="32"/>
        <v>-0.45798203812769939</v>
      </c>
      <c r="V114" s="382">
        <f t="shared" si="33"/>
        <v>52.310697516481</v>
      </c>
      <c r="W114" s="401">
        <f t="shared" si="34"/>
        <v>52.55789802212972</v>
      </c>
      <c r="X114" s="157">
        <f t="shared" si="35"/>
        <v>45757</v>
      </c>
      <c r="Y114" s="384">
        <f t="shared" si="36"/>
        <v>49.99677645812227</v>
      </c>
      <c r="Z114" s="384">
        <f t="shared" si="37"/>
        <v>52.752013156648708</v>
      </c>
      <c r="AA114" s="385">
        <f t="shared" si="38"/>
        <v>57.409546583254524</v>
      </c>
      <c r="AB114" s="196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8.1128204345796789E-2</v>
      </c>
      <c r="AD114" s="230">
        <f>(INDEX(Models!$BJ114:$BT114,,AH114)*(1-AF114)+INDEX(Models!$BJ114:$BT114,,AH114+1)*AF114-ERP_i)*AE114*Ramure*Pc/MaxiM</f>
        <v>3.8164623367070998E-4</v>
      </c>
      <c r="AE114" s="304">
        <f t="shared" si="40"/>
        <v>0.5</v>
      </c>
      <c r="AF114" s="176">
        <f t="shared" si="41"/>
        <v>0.65701050169668807</v>
      </c>
      <c r="AG114" s="814">
        <f t="shared" si="49"/>
        <v>1</v>
      </c>
      <c r="AH114" s="175">
        <f t="shared" si="42"/>
        <v>7</v>
      </c>
      <c r="AI114" s="224">
        <f t="shared" si="43"/>
        <v>1.6570105016966881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10">
        <f>'2024'!Wh/'2024'!Env_an*'2025'!Env_an</f>
        <v>39.886184731029125</v>
      </c>
      <c r="C115" s="843"/>
      <c r="D115" s="392">
        <f t="shared" si="25"/>
        <v>42.085164646486469</v>
      </c>
      <c r="E115" s="384">
        <f t="shared" si="47"/>
        <v>43.58916439487686</v>
      </c>
      <c r="F115" s="384">
        <f t="shared" si="26"/>
        <v>43.589191617323081</v>
      </c>
      <c r="G115" s="110">
        <f t="shared" si="48"/>
        <v>0.75986725235737551</v>
      </c>
      <c r="H115" s="413" t="b">
        <f>Wh_hp&gt;='2024'!Maxi_hp</f>
        <v>0</v>
      </c>
      <c r="I115" s="389">
        <f>IF(H115,Wh_hp,'2024'!Maxi_hp)</f>
        <v>57.80661489847374</v>
      </c>
      <c r="J115" s="85">
        <f>IF(H115,An,'2024'!An_max)</f>
        <v>2020</v>
      </c>
      <c r="K115" s="196">
        <f t="shared" si="27"/>
        <v>45758</v>
      </c>
      <c r="L115" s="147">
        <f>IF(t&lt;Tvie,1-EXP((T0-t)*PertePVj)+'2024'!Pspv,1-EXP((T0-t)*PertePVj)+Pspv)</f>
        <v>5.2250714329590366E-2</v>
      </c>
      <c r="M115" s="847"/>
      <c r="N115" s="847"/>
      <c r="O115" s="48">
        <f>IF(t&lt;Tnet,'2024'!Resal+('2024'!Salim-'2024'!Resal)*(1-EXP(('2024'!Tnet-t)/('2024'!Tau_j))),Resal+(Salim-Resal)*(1-EXP((Tnet-t)/(Tau_j))))*Salcycl</f>
        <v>3.4503982108158041E-2</v>
      </c>
      <c r="P115" s="168">
        <f>(INDEX(Models!$BJ115:$BT115,,T115)*(1-R115)+INDEX(Models!$BJ115:$BT115,,T115+1)*R115-ERP_i)*Q115*Ramure*Pc/MaxiM</f>
        <v>9.5063468397723015E-7</v>
      </c>
      <c r="Q115" s="304">
        <f t="shared" si="28"/>
        <v>0.5</v>
      </c>
      <c r="R115" s="176">
        <f t="shared" si="29"/>
        <v>0.54289388715183884</v>
      </c>
      <c r="S115" s="814">
        <f t="shared" si="30"/>
        <v>-1</v>
      </c>
      <c r="T115" s="175">
        <f t="shared" si="31"/>
        <v>5</v>
      </c>
      <c r="U115" s="250">
        <f t="shared" si="32"/>
        <v>-0.45710611284816116</v>
      </c>
      <c r="V115" s="382">
        <f t="shared" si="33"/>
        <v>52.490973390316867</v>
      </c>
      <c r="W115" s="401">
        <f t="shared" si="34"/>
        <v>39.886184731029125</v>
      </c>
      <c r="X115" s="157">
        <f t="shared" si="35"/>
        <v>45758</v>
      </c>
      <c r="Y115" s="384">
        <f t="shared" si="36"/>
        <v>37.949052471284389</v>
      </c>
      <c r="Z115" s="384">
        <f t="shared" si="37"/>
        <v>40.041235635899596</v>
      </c>
      <c r="AA115" s="385">
        <f t="shared" si="38"/>
        <v>43.578420042460337</v>
      </c>
      <c r="AB115" s="196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8.1168257204238078E-2</v>
      </c>
      <c r="AD115" s="230">
        <f>(INDEX(Models!$BJ115:$BT115,,AH115)*(1-AF115)+INDEX(Models!$BJ115:$BT115,,AH115+1)*AF115-ERP_i)*AE115*Ramure*Pc/MaxiM</f>
        <v>3.7615402313799241E-4</v>
      </c>
      <c r="AE115" s="304">
        <f t="shared" si="40"/>
        <v>0.5</v>
      </c>
      <c r="AF115" s="176">
        <f t="shared" si="41"/>
        <v>0.65788642697622635</v>
      </c>
      <c r="AG115" s="814">
        <f t="shared" si="49"/>
        <v>1</v>
      </c>
      <c r="AH115" s="175">
        <f t="shared" si="42"/>
        <v>7</v>
      </c>
      <c r="AI115" s="224">
        <f t="shared" si="43"/>
        <v>1.6578864269762263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10">
        <f>'2024'!Wh/'2024'!Env_an*'2025'!Env_an</f>
        <v>35.559287019536121</v>
      </c>
      <c r="C116" s="843"/>
      <c r="D116" s="392">
        <f t="shared" si="25"/>
        <v>37.520539901974438</v>
      </c>
      <c r="E116" s="384">
        <f t="shared" si="47"/>
        <v>38.864563242900189</v>
      </c>
      <c r="F116" s="384">
        <f t="shared" si="26"/>
        <v>38.864584551854243</v>
      </c>
      <c r="G116" s="110">
        <f t="shared" si="48"/>
        <v>0.67520063118779072</v>
      </c>
      <c r="H116" s="413" t="b">
        <f>Wh_hp&gt;='2024'!Maxi_hp</f>
        <v>0</v>
      </c>
      <c r="I116" s="389">
        <f>IF(H116,Wh_hp,'2024'!Maxi_hp)</f>
        <v>57.16977965777064</v>
      </c>
      <c r="J116" s="85">
        <f>IF(H116,An,'2024'!An_max)</f>
        <v>2019</v>
      </c>
      <c r="K116" s="196">
        <f t="shared" si="27"/>
        <v>45759</v>
      </c>
      <c r="L116" s="147">
        <f>IF(t&lt;Tvie,1-EXP((T0-t)*PertePVj)+'2024'!Pspv,1-EXP((T0-t)*PertePVj)+Pspv)</f>
        <v>5.2271446188201211E-2</v>
      </c>
      <c r="M116" s="847"/>
      <c r="N116" s="847"/>
      <c r="O116" s="48">
        <f>IF(t&lt;Tnet,'2024'!Resal+('2024'!Salim-'2024'!Resal)*(1-EXP(('2024'!Tnet-t)/('2024'!Tau_j))),Resal+(Salim-Resal)*(1-EXP((Tnet-t)/(Tau_j))))*Salcycl</f>
        <v>3.4582231955772223E-2</v>
      </c>
      <c r="P116" s="168">
        <f>(INDEX(Models!$BJ116:$BT116,,T116)*(1-R116)+INDEX(Models!$BJ116:$BT116,,T116+1)*R116-ERP_i)*Q116*Ramure*Pc/MaxiM</f>
        <v>1.0229212767955705E-6</v>
      </c>
      <c r="Q116" s="304">
        <f t="shared" si="28"/>
        <v>0.5</v>
      </c>
      <c r="R116" s="176">
        <f t="shared" si="29"/>
        <v>0.54380070367301592</v>
      </c>
      <c r="S116" s="814">
        <f t="shared" si="30"/>
        <v>-1</v>
      </c>
      <c r="T116" s="175">
        <f t="shared" si="31"/>
        <v>5</v>
      </c>
      <c r="U116" s="250">
        <f t="shared" si="32"/>
        <v>-0.45619929632698414</v>
      </c>
      <c r="V116" s="382">
        <f t="shared" si="33"/>
        <v>52.664746594390216</v>
      </c>
      <c r="W116" s="401">
        <f t="shared" si="34"/>
        <v>35.559287019536121</v>
      </c>
      <c r="X116" s="157">
        <f t="shared" si="35"/>
        <v>45759</v>
      </c>
      <c r="Y116" s="384">
        <f t="shared" si="36"/>
        <v>33.83517780003482</v>
      </c>
      <c r="Z116" s="384">
        <f t="shared" si="37"/>
        <v>35.701338388453635</v>
      </c>
      <c r="AA116" s="385">
        <f t="shared" si="38"/>
        <v>38.856878865635977</v>
      </c>
      <c r="AB116" s="196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8.1209314008311204E-2</v>
      </c>
      <c r="AD116" s="230">
        <f>(INDEX(Models!$BJ116:$BT116,,AH116)*(1-AF116)+INDEX(Models!$BJ116:$BT116,,AH116+1)*AF116-ERP_i)*AE116*Ramure*Pc/MaxiM</f>
        <v>3.6990602008655566E-4</v>
      </c>
      <c r="AE116" s="304">
        <f t="shared" si="40"/>
        <v>0.5</v>
      </c>
      <c r="AF116" s="176">
        <f t="shared" si="41"/>
        <v>0.65879324349740331</v>
      </c>
      <c r="AG116" s="814">
        <f t="shared" si="49"/>
        <v>1</v>
      </c>
      <c r="AH116" s="175">
        <f t="shared" si="42"/>
        <v>7</v>
      </c>
      <c r="AI116" s="224">
        <f t="shared" si="43"/>
        <v>1.6587932434974033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10">
        <f>'2024'!Wh/'2024'!Env_an*'2025'!Env_an</f>
        <v>6.9990957975513899</v>
      </c>
      <c r="C117" s="843"/>
      <c r="D117" s="392">
        <f t="shared" si="25"/>
        <v>7.3852886217326095</v>
      </c>
      <c r="E117" s="384">
        <f t="shared" si="47"/>
        <v>7.6504603522707919</v>
      </c>
      <c r="F117" s="384">
        <f t="shared" si="26"/>
        <v>7.6504603522707919</v>
      </c>
      <c r="G117" s="110">
        <f t="shared" si="48"/>
        <v>0.13247840056894072</v>
      </c>
      <c r="H117" s="413" t="b">
        <f>Wh_hp&gt;='2024'!Maxi_hp</f>
        <v>0</v>
      </c>
      <c r="I117" s="389">
        <f>IF(H117,Wh_hp,'2024'!Maxi_hp)</f>
        <v>58.311942637393507</v>
      </c>
      <c r="J117" s="85">
        <f>IF(H117,An,'2024'!An_max)</f>
        <v>2019</v>
      </c>
      <c r="K117" s="196">
        <f t="shared" si="27"/>
        <v>45760</v>
      </c>
      <c r="L117" s="147">
        <f>IF(t&lt;Tvie,1-EXP((T0-t)*PertePVj)+'2024'!Pspv,1-EXP((T0-t)*PertePVj)+Pspv)</f>
        <v>5.2292177592731283E-2</v>
      </c>
      <c r="M117" s="847"/>
      <c r="N117" s="847"/>
      <c r="O117" s="48">
        <f>IF(t&lt;Tnet,'2024'!Resal+('2024'!Salim-'2024'!Resal)*(1-EXP(('2024'!Tnet-t)/('2024'!Tau_j))),Resal+(Salim-Resal)*(1-EXP((Tnet-t)/(Tau_j))))*Salcycl</f>
        <v>3.466088553213327E-2</v>
      </c>
      <c r="P117" s="168">
        <f>(INDEX(Models!$BJ117:$BT117,,T117)*(1-R117)+INDEX(Models!$BJ117:$BT117,,T117+1)*R117-ERP_i)*Q117*Ramure*Pc/MaxiM</f>
        <v>1.0915526666470062E-6</v>
      </c>
      <c r="Q117" s="304">
        <f t="shared" si="28"/>
        <v>0.5</v>
      </c>
      <c r="R117" s="176">
        <f t="shared" si="29"/>
        <v>0.54473926803276873</v>
      </c>
      <c r="S117" s="814">
        <f t="shared" si="30"/>
        <v>-1</v>
      </c>
      <c r="T117" s="175">
        <f t="shared" si="31"/>
        <v>5</v>
      </c>
      <c r="U117" s="250">
        <f t="shared" si="32"/>
        <v>-0.45526073196723121</v>
      </c>
      <c r="V117" s="382">
        <f t="shared" si="33"/>
        <v>52.831919223144894</v>
      </c>
      <c r="W117" s="401">
        <f t="shared" si="34"/>
        <v>6.9990957975513899</v>
      </c>
      <c r="X117" s="157">
        <f t="shared" si="35"/>
        <v>45760</v>
      </c>
      <c r="Y117" s="384">
        <f t="shared" si="36"/>
        <v>6.661295920894764</v>
      </c>
      <c r="Z117" s="384">
        <f t="shared" si="37"/>
        <v>7.0288497819659588</v>
      </c>
      <c r="AA117" s="385">
        <f t="shared" si="38"/>
        <v>7.6504603522707919</v>
      </c>
      <c r="AB117" s="196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8.1251394253723297E-2</v>
      </c>
      <c r="AD117" s="230">
        <f>(INDEX(Models!$BJ117:$BT117,,AH117)*(1-AF117)+INDEX(Models!$BJ117:$BT117,,AH117+1)*AF117-ERP_i)*AE117*Ramure*Pc/MaxiM</f>
        <v>3.6289657064894897E-4</v>
      </c>
      <c r="AE117" s="304">
        <f t="shared" si="40"/>
        <v>0.5</v>
      </c>
      <c r="AF117" s="176">
        <f t="shared" si="41"/>
        <v>0.65973180785715635</v>
      </c>
      <c r="AG117" s="814">
        <f t="shared" si="49"/>
        <v>1</v>
      </c>
      <c r="AH117" s="175">
        <f t="shared" si="42"/>
        <v>7</v>
      </c>
      <c r="AI117" s="224">
        <f t="shared" si="43"/>
        <v>1.6597318078571563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10">
        <f>'2024'!Wh/'2024'!Env_an*'2025'!Env_an</f>
        <v>39.009068140540329</v>
      </c>
      <c r="C118" s="843"/>
      <c r="D118" s="392">
        <f t="shared" si="25"/>
        <v>41.162392621149408</v>
      </c>
      <c r="E118" s="384">
        <f t="shared" si="47"/>
        <v>42.643837532426595</v>
      </c>
      <c r="F118" s="384">
        <f t="shared" si="26"/>
        <v>42.643868249439038</v>
      </c>
      <c r="G118" s="110">
        <f t="shared" si="48"/>
        <v>0.73612548142165657</v>
      </c>
      <c r="H118" s="413" t="b">
        <f>Wh_hp&gt;='2024'!Maxi_hp</f>
        <v>0</v>
      </c>
      <c r="I118" s="389">
        <f>IF(H118,Wh_hp,'2024'!Maxi_hp)</f>
        <v>57.317133350603086</v>
      </c>
      <c r="J118" s="85">
        <f>IF(H118,An,'2024'!An_max)</f>
        <v>2021</v>
      </c>
      <c r="K118" s="196">
        <f t="shared" si="27"/>
        <v>45761</v>
      </c>
      <c r="L118" s="147">
        <f>IF(t&lt;Tvie,1-EXP((T0-t)*PertePVj)+'2024'!Pspv,1-EXP((T0-t)*PertePVj)+Pspv)</f>
        <v>5.2312908543190241E-2</v>
      </c>
      <c r="M118" s="847"/>
      <c r="N118" s="847"/>
      <c r="O118" s="48">
        <f>IF(t&lt;Tnet,'2024'!Resal+('2024'!Salim-'2024'!Resal)*(1-EXP(('2024'!Tnet-t)/('2024'!Tau_j))),Resal+(Salim-Resal)*(1-EXP((Tnet-t)/(Tau_j))))*Salcycl</f>
        <v>3.4739952992051654E-2</v>
      </c>
      <c r="P118" s="168">
        <f>(INDEX(Models!$BJ118:$BT118,,T118)*(1-R118)+INDEX(Models!$BJ118:$BT118,,T118+1)*R118-ERP_i)*Q118*Ramure*Pc/MaxiM</f>
        <v>1.1561352411770931E-6</v>
      </c>
      <c r="Q118" s="304">
        <f t="shared" si="28"/>
        <v>0.5</v>
      </c>
      <c r="R118" s="176">
        <f t="shared" si="29"/>
        <v>0.54571044236050692</v>
      </c>
      <c r="S118" s="814">
        <f t="shared" si="30"/>
        <v>-1</v>
      </c>
      <c r="T118" s="175">
        <f t="shared" si="31"/>
        <v>5</v>
      </c>
      <c r="U118" s="250">
        <f t="shared" si="32"/>
        <v>-0.45428955763949308</v>
      </c>
      <c r="V118" s="382">
        <f t="shared" si="33"/>
        <v>52.992393449340412</v>
      </c>
      <c r="W118" s="401">
        <f t="shared" si="34"/>
        <v>39.009068140540329</v>
      </c>
      <c r="X118" s="157">
        <f t="shared" si="35"/>
        <v>45761</v>
      </c>
      <c r="Y118" s="384">
        <f t="shared" si="36"/>
        <v>37.119470081927624</v>
      </c>
      <c r="Z118" s="384">
        <f t="shared" si="37"/>
        <v>39.168487591053484</v>
      </c>
      <c r="AA118" s="385">
        <f t="shared" si="38"/>
        <v>42.634433214449565</v>
      </c>
      <c r="AB118" s="196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8.1294516241426432E-2</v>
      </c>
      <c r="AD118" s="230">
        <f>(INDEX(Models!$BJ118:$BT118,,AH118)*(1-AF118)+INDEX(Models!$BJ118:$BT118,,AH118+1)*AF118-ERP_i)*AE118*Ramure*Pc/MaxiM</f>
        <v>3.5511840454605803E-4</v>
      </c>
      <c r="AE118" s="304">
        <f t="shared" si="40"/>
        <v>0.5</v>
      </c>
      <c r="AF118" s="176">
        <f t="shared" si="41"/>
        <v>0.66070298218489443</v>
      </c>
      <c r="AG118" s="814">
        <f t="shared" si="49"/>
        <v>1</v>
      </c>
      <c r="AH118" s="175">
        <f t="shared" si="42"/>
        <v>7</v>
      </c>
      <c r="AI118" s="224">
        <f t="shared" si="43"/>
        <v>1.6607029821848944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10">
        <f>'2024'!Wh/'2024'!Env_an*'2025'!Env_an</f>
        <v>42.965270112018672</v>
      </c>
      <c r="C119" s="843"/>
      <c r="D119" s="392">
        <f t="shared" si="25"/>
        <v>45.337971127808686</v>
      </c>
      <c r="E119" s="384">
        <f t="shared" si="47"/>
        <v>46.973564527500059</v>
      </c>
      <c r="F119" s="384">
        <f t="shared" si="26"/>
        <v>46.97360602419846</v>
      </c>
      <c r="G119" s="110">
        <f t="shared" si="48"/>
        <v>0.80843709760714333</v>
      </c>
      <c r="H119" s="413" t="b">
        <f>Wh_hp&gt;='2024'!Maxi_hp</f>
        <v>0</v>
      </c>
      <c r="I119" s="389">
        <f>IF(H119,Wh_hp,'2024'!Maxi_hp)</f>
        <v>57.589029120758397</v>
      </c>
      <c r="J119" s="85">
        <f>IF(H119,An,'2024'!An_max)</f>
        <v>2021</v>
      </c>
      <c r="K119" s="196">
        <f t="shared" si="27"/>
        <v>45762</v>
      </c>
      <c r="L119" s="147">
        <f>IF(t&lt;Tvie,1-EXP((T0-t)*PertePVj)+'2024'!Pspv,1-EXP((T0-t)*PertePVj)+Pspv)</f>
        <v>5.2333639039588299E-2</v>
      </c>
      <c r="M119" s="847"/>
      <c r="N119" s="847"/>
      <c r="O119" s="48">
        <f>IF(t&lt;Tnet,'2024'!Resal+('2024'!Salim-'2024'!Resal)*(1-EXP(('2024'!Tnet-t)/('2024'!Tau_j))),Resal+(Salim-Resal)*(1-EXP((Tnet-t)/(Tau_j))))*Salcycl</f>
        <v>3.4819444003101774E-2</v>
      </c>
      <c r="P119" s="168">
        <f>(INDEX(Models!$BJ119:$BT119,,T119)*(1-R119)+INDEX(Models!$BJ119:$BT119,,T119+1)*R119-ERP_i)*Q119*Ramure*Pc/MaxiM</f>
        <v>1.2162426329041439E-6</v>
      </c>
      <c r="Q119" s="304">
        <f t="shared" si="28"/>
        <v>0.5</v>
      </c>
      <c r="R119" s="176">
        <f t="shared" si="29"/>
        <v>0.54671509274622587</v>
      </c>
      <c r="S119" s="814">
        <f t="shared" si="30"/>
        <v>-1</v>
      </c>
      <c r="T119" s="175">
        <f t="shared" si="31"/>
        <v>5</v>
      </c>
      <c r="U119" s="250">
        <f t="shared" si="32"/>
        <v>-0.45328490725377418</v>
      </c>
      <c r="V119" s="382">
        <f t="shared" si="33"/>
        <v>53.146071523313125</v>
      </c>
      <c r="W119" s="401">
        <f t="shared" si="34"/>
        <v>42.965270112018672</v>
      </c>
      <c r="X119" s="157">
        <f t="shared" si="35"/>
        <v>45762</v>
      </c>
      <c r="Y119" s="384">
        <f t="shared" si="36"/>
        <v>40.884195229980129</v>
      </c>
      <c r="Z119" s="384">
        <f t="shared" si="37"/>
        <v>43.141971599103798</v>
      </c>
      <c r="AA119" s="385">
        <f t="shared" si="38"/>
        <v>46.961781735363452</v>
      </c>
      <c r="AB119" s="196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8.1338697023567968E-2</v>
      </c>
      <c r="AD119" s="230">
        <f>(INDEX(Models!$BJ119:$BT119,,AH119)*(1-AF119)+INDEX(Models!$BJ119:$BT119,,AH119+1)*AF119-ERP_i)*AE119*Ramure*Pc/MaxiM</f>
        <v>3.4656261194751422E-4</v>
      </c>
      <c r="AE119" s="304">
        <f t="shared" si="40"/>
        <v>0.5</v>
      </c>
      <c r="AF119" s="176">
        <f t="shared" si="41"/>
        <v>0.66170763257061327</v>
      </c>
      <c r="AG119" s="814">
        <f t="shared" si="49"/>
        <v>1</v>
      </c>
      <c r="AH119" s="175">
        <f t="shared" si="42"/>
        <v>7</v>
      </c>
      <c r="AI119" s="224">
        <f t="shared" si="43"/>
        <v>1.6617076325706133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10">
        <f>'2024'!Wh/'2024'!Env_an*'2025'!Env_an</f>
        <v>44.171143065493823</v>
      </c>
      <c r="C120" s="843"/>
      <c r="D120" s="392">
        <f t="shared" si="25"/>
        <v>46.611456460471921</v>
      </c>
      <c r="E120" s="384">
        <f t="shared" si="47"/>
        <v>48.296990905709855</v>
      </c>
      <c r="F120" s="384">
        <f t="shared" si="26"/>
        <v>48.297037296513452</v>
      </c>
      <c r="G120" s="110">
        <f t="shared" si="48"/>
        <v>0.82883772483229601</v>
      </c>
      <c r="H120" s="413" t="b">
        <f>Wh_hp&gt;='2024'!Maxi_hp</f>
        <v>0</v>
      </c>
      <c r="I120" s="389">
        <f>IF(H120,Wh_hp,'2024'!Maxi_hp)</f>
        <v>51.189407245873092</v>
      </c>
      <c r="J120" s="85">
        <f>IF(H120,An,'2024'!An_max)</f>
        <v>2020</v>
      </c>
      <c r="K120" s="196">
        <f t="shared" si="27"/>
        <v>45763</v>
      </c>
      <c r="L120" s="147">
        <f>IF(t&lt;Tvie,1-EXP((T0-t)*PertePVj)+'2024'!Pspv,1-EXP((T0-t)*PertePVj)+Pspv)</f>
        <v>5.2354369081935116E-2</v>
      </c>
      <c r="M120" s="847"/>
      <c r="N120" s="847"/>
      <c r="O120" s="48">
        <f>IF(t&lt;Tnet,'2024'!Resal+('2024'!Salim-'2024'!Resal)*(1-EXP(('2024'!Tnet-t)/('2024'!Tau_j))),Resal+(Salim-Resal)*(1-EXP((Tnet-t)/(Tau_j))))*Salcycl</f>
        <v>3.4899367716895613E-2</v>
      </c>
      <c r="P120" s="168">
        <f>(INDEX(Models!$BJ120:$BT120,,T120)*(1-R120)+INDEX(Models!$BJ120:$BT120,,T120+1)*R120-ERP_i)*Q120*Ramure*Pc/MaxiM</f>
        <v>1.2714134615362039E-6</v>
      </c>
      <c r="Q120" s="304">
        <f t="shared" si="28"/>
        <v>0.5</v>
      </c>
      <c r="R120" s="176">
        <f t="shared" si="29"/>
        <v>0.54775408753041122</v>
      </c>
      <c r="S120" s="814">
        <f t="shared" si="30"/>
        <v>-1</v>
      </c>
      <c r="T120" s="175">
        <f t="shared" si="31"/>
        <v>5</v>
      </c>
      <c r="U120" s="250">
        <f t="shared" si="32"/>
        <v>-0.45224591246958873</v>
      </c>
      <c r="V120" s="382">
        <f t="shared" si="33"/>
        <v>53.292855778718653</v>
      </c>
      <c r="W120" s="401">
        <f t="shared" si="34"/>
        <v>44.171143065493823</v>
      </c>
      <c r="X120" s="157">
        <f t="shared" si="35"/>
        <v>45763</v>
      </c>
      <c r="Y120" s="384">
        <f t="shared" si="36"/>
        <v>42.032945716533561</v>
      </c>
      <c r="Z120" s="384">
        <f t="shared" si="37"/>
        <v>44.355130594347465</v>
      </c>
      <c r="AA120" s="385">
        <f t="shared" si="38"/>
        <v>48.284733004293862</v>
      </c>
      <c r="AB120" s="196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8.138395234777307E-2</v>
      </c>
      <c r="AD120" s="230">
        <f>(INDEX(Models!$BJ120:$BT120,,AH120)*(1-AF120)+INDEX(Models!$BJ120:$BT120,,AH120+1)*AF120-ERP_i)*AE120*Ramure*Pc/MaxiM</f>
        <v>3.3721861985409304E-4</v>
      </c>
      <c r="AE120" s="304">
        <f t="shared" si="40"/>
        <v>0.5</v>
      </c>
      <c r="AF120" s="176">
        <f t="shared" si="41"/>
        <v>0.66274662735479883</v>
      </c>
      <c r="AG120" s="814">
        <f t="shared" si="49"/>
        <v>1</v>
      </c>
      <c r="AH120" s="175">
        <f t="shared" si="42"/>
        <v>7</v>
      </c>
      <c r="AI120" s="224">
        <f t="shared" si="43"/>
        <v>1.6627466273547988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10">
        <f>'2024'!Wh/'2024'!Env_an*'2025'!Env_an</f>
        <v>52.294751657665948</v>
      </c>
      <c r="C121" s="843"/>
      <c r="D121" s="392">
        <f t="shared" si="25"/>
        <v>55.185075428350494</v>
      </c>
      <c r="E121" s="384">
        <f t="shared" si="47"/>
        <v>57.185405634016917</v>
      </c>
      <c r="F121" s="384">
        <f t="shared" si="26"/>
        <v>57.185478888145539</v>
      </c>
      <c r="G121" s="110">
        <f t="shared" si="48"/>
        <v>0.9787152401788316</v>
      </c>
      <c r="H121" s="413" t="b">
        <f>Wh_hp&gt;='2024'!Maxi_hp</f>
        <v>1</v>
      </c>
      <c r="I121" s="389">
        <f>IF(H121,Wh_hp,'2024'!Maxi_hp)</f>
        <v>57.185478888145539</v>
      </c>
      <c r="J121" s="85">
        <f>IF(H121,An,'2024'!An_max)</f>
        <v>2025</v>
      </c>
      <c r="K121" s="196">
        <f t="shared" si="27"/>
        <v>45764</v>
      </c>
      <c r="L121" s="147">
        <f>IF(t&lt;Tvie,1-EXP((T0-t)*PertePVj)+'2024'!Pspv,1-EXP((T0-t)*PertePVj)+Pspv)</f>
        <v>5.2375098670240906E-2</v>
      </c>
      <c r="M121" s="847"/>
      <c r="N121" s="847"/>
      <c r="O121" s="48">
        <f>IF(t&lt;Tnet,'2024'!Resal+('2024'!Salim-'2024'!Resal)*(1-EXP(('2024'!Tnet-t)/('2024'!Tau_j))),Resal+(Salim-Resal)*(1-EXP((Tnet-t)/(Tau_j))))*Salcycl</f>
        <v>3.4979732739300884E-2</v>
      </c>
      <c r="P121" s="168">
        <f>(INDEX(Models!$BJ121:$BT121,,T121)*(1-R121)+INDEX(Models!$BJ121:$BT121,,T121+1)*R121-ERP_i)*Q121*Ramure*Pc/MaxiM</f>
        <v>1.3211640815834564E-6</v>
      </c>
      <c r="Q121" s="304">
        <f t="shared" si="28"/>
        <v>0.5</v>
      </c>
      <c r="R121" s="176">
        <f t="shared" si="29"/>
        <v>0.54882829545121736</v>
      </c>
      <c r="S121" s="814">
        <f t="shared" si="30"/>
        <v>-1</v>
      </c>
      <c r="T121" s="175">
        <f t="shared" si="31"/>
        <v>5</v>
      </c>
      <c r="U121" s="250">
        <f t="shared" si="32"/>
        <v>-0.45117170454878264</v>
      </c>
      <c r="V121" s="382">
        <f t="shared" si="33"/>
        <v>53.432037644890052</v>
      </c>
      <c r="W121" s="401">
        <f t="shared" si="34"/>
        <v>52.294751657665948</v>
      </c>
      <c r="X121" s="157">
        <f t="shared" si="35"/>
        <v>45764</v>
      </c>
      <c r="Y121" s="384">
        <f t="shared" si="36"/>
        <v>49.761858653481291</v>
      </c>
      <c r="Z121" s="384">
        <f t="shared" si="37"/>
        <v>52.512189774300708</v>
      </c>
      <c r="AA121" s="385">
        <f t="shared" si="38"/>
        <v>57.167343512313685</v>
      </c>
      <c r="AB121" s="196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8.1430296599495938E-2</v>
      </c>
      <c r="AD121" s="230">
        <f>(INDEX(Models!$BJ121:$BT121,,AH121)*(1-AF121)+INDEX(Models!$BJ121:$BT121,,AH121+1)*AF121-ERP_i)*AE121*Ramure*Pc/MaxiM</f>
        <v>3.2707790815377928E-4</v>
      </c>
      <c r="AE121" s="304">
        <f t="shared" si="40"/>
        <v>0.5</v>
      </c>
      <c r="AF121" s="176">
        <f t="shared" si="41"/>
        <v>0.66382083527560476</v>
      </c>
      <c r="AG121" s="814">
        <f t="shared" si="49"/>
        <v>1</v>
      </c>
      <c r="AH121" s="175">
        <f t="shared" si="42"/>
        <v>7</v>
      </c>
      <c r="AI121" s="224">
        <f t="shared" si="43"/>
        <v>1.6638208352756048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10">
        <f>'2024'!Wh/'2024'!Env_an*'2025'!Env_an</f>
        <v>39.33267462844293</v>
      </c>
      <c r="C122" s="843"/>
      <c r="D122" s="392">
        <f t="shared" si="25"/>
        <v>41.507494144220445</v>
      </c>
      <c r="E122" s="384">
        <f t="shared" si="47"/>
        <v>43.01564623506048</v>
      </c>
      <c r="F122" s="384">
        <f t="shared" si="26"/>
        <v>43.01568281475236</v>
      </c>
      <c r="G122" s="110">
        <f t="shared" si="48"/>
        <v>0.73432180403510072</v>
      </c>
      <c r="H122" s="413" t="b">
        <f>Wh_hp&gt;='2024'!Maxi_hp</f>
        <v>1</v>
      </c>
      <c r="I122" s="389">
        <f>IF(H122,Wh_hp,'2024'!Maxi_hp)</f>
        <v>43.01568281475236</v>
      </c>
      <c r="J122" s="85">
        <f>IF(H122,An,'2024'!An_max)</f>
        <v>2025</v>
      </c>
      <c r="K122" s="196">
        <f t="shared" si="27"/>
        <v>45765</v>
      </c>
      <c r="L122" s="147">
        <f>IF(t&lt;Tvie,1-EXP((T0-t)*PertePVj)+'2024'!Pspv,1-EXP((T0-t)*PertePVj)+Pspv)</f>
        <v>5.239582780451555E-2</v>
      </c>
      <c r="M122" s="847"/>
      <c r="N122" s="847"/>
      <c r="O122" s="48">
        <f>IF(t&lt;Tnet,'2024'!Resal+('2024'!Salim-'2024'!Resal)*(1-EXP(('2024'!Tnet-t)/('2024'!Tau_j))),Resal+(Salim-Resal)*(1-EXP((Tnet-t)/(Tau_j))))*Salcycl</f>
        <v>3.5060547099506269E-2</v>
      </c>
      <c r="P122" s="168">
        <f>(INDEX(Models!$BJ122:$BT122,,T122)*(1-R122)+INDEX(Models!$BJ122:$BT122,,T122+1)*R122-ERP_i)*Q122*Ramure*Pc/MaxiM</f>
        <v>1.3705637699117592E-6</v>
      </c>
      <c r="Q122" s="304">
        <f t="shared" si="28"/>
        <v>0.5</v>
      </c>
      <c r="R122" s="176">
        <f t="shared" si="29"/>
        <v>0.54993858364485115</v>
      </c>
      <c r="S122" s="814">
        <f t="shared" si="30"/>
        <v>-1</v>
      </c>
      <c r="T122" s="175">
        <f t="shared" si="31"/>
        <v>5</v>
      </c>
      <c r="U122" s="250">
        <f t="shared" si="32"/>
        <v>-0.4500614163551489</v>
      </c>
      <c r="V122" s="382">
        <f t="shared" si="33"/>
        <v>53.563238830833697</v>
      </c>
      <c r="W122" s="401">
        <f t="shared" si="34"/>
        <v>39.33267462844293</v>
      </c>
      <c r="X122" s="157">
        <f t="shared" si="35"/>
        <v>45765</v>
      </c>
      <c r="Y122" s="384">
        <f t="shared" si="36"/>
        <v>37.433295611095502</v>
      </c>
      <c r="Z122" s="384">
        <f t="shared" si="37"/>
        <v>39.5030928624629</v>
      </c>
      <c r="AA122" s="385">
        <f t="shared" si="38"/>
        <v>43.007224430683685</v>
      </c>
      <c r="AB122" s="196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8.1477742742234419E-2</v>
      </c>
      <c r="AD122" s="230">
        <f>(INDEX(Models!$BJ122:$BT122,,AH122)*(1-AF122)+INDEX(Models!$BJ122:$BT122,,AH122+1)*AF122-ERP_i)*AE122*Ramure*Pc/MaxiM</f>
        <v>3.1691778038494986E-4</v>
      </c>
      <c r="AE122" s="304">
        <f t="shared" si="40"/>
        <v>0.5</v>
      </c>
      <c r="AF122" s="176">
        <f t="shared" si="41"/>
        <v>0.66493112346923855</v>
      </c>
      <c r="AG122" s="814">
        <f t="shared" si="49"/>
        <v>1</v>
      </c>
      <c r="AH122" s="175">
        <f t="shared" si="42"/>
        <v>7</v>
      </c>
      <c r="AI122" s="224">
        <f t="shared" si="43"/>
        <v>1.6649311234692385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10">
        <f>'2024'!Wh/'2024'!Env_an*'2025'!Env_an</f>
        <v>10.468101704586966</v>
      </c>
      <c r="C123" s="843"/>
      <c r="D123" s="392">
        <f t="shared" si="25"/>
        <v>11.047155557882757</v>
      </c>
      <c r="E123" s="384">
        <f t="shared" si="47"/>
        <v>11.449512235547569</v>
      </c>
      <c r="F123" s="384">
        <f t="shared" si="26"/>
        <v>11.449512235547569</v>
      </c>
      <c r="G123" s="110">
        <f t="shared" si="48"/>
        <v>0.19498416064418628</v>
      </c>
      <c r="H123" s="413" t="b">
        <f>Wh_hp&gt;='2024'!Maxi_hp</f>
        <v>0</v>
      </c>
      <c r="I123" s="389">
        <f>IF(H123,Wh_hp,'2024'!Maxi_hp)</f>
        <v>57.532999013855843</v>
      </c>
      <c r="J123" s="85">
        <f>IF(H123,An,'2024'!An_max)</f>
        <v>2021</v>
      </c>
      <c r="K123" s="196">
        <f t="shared" si="27"/>
        <v>45766</v>
      </c>
      <c r="L123" s="147">
        <f>IF(t&lt;Tvie,1-EXP((T0-t)*PertePVj)+'2024'!Pspv,1-EXP((T0-t)*PertePVj)+Pspv)</f>
        <v>5.2416556484768929E-2</v>
      </c>
      <c r="M123" s="847"/>
      <c r="N123" s="847"/>
      <c r="O123" s="48">
        <f>IF(t&lt;Tnet,'2024'!Resal+('2024'!Salim-'2024'!Resal)*(1-EXP(('2024'!Tnet-t)/('2024'!Tau_j))),Resal+(Salim-Resal)*(1-EXP((Tnet-t)/(Tau_j))))*Salcycl</f>
        <v>3.514181821786308E-2</v>
      </c>
      <c r="P123" s="168">
        <f>(INDEX(Models!$BJ123:$BT123,,T123)*(1-R123)+INDEX(Models!$BJ123:$BT123,,T123+1)*R123-ERP_i)*Q123*Ramure*Pc/MaxiM</f>
        <v>1.4227548210016312E-6</v>
      </c>
      <c r="Q123" s="304">
        <f t="shared" si="28"/>
        <v>0.5</v>
      </c>
      <c r="R123" s="176">
        <f t="shared" si="29"/>
        <v>0.55108581549563318</v>
      </c>
      <c r="S123" s="814">
        <f t="shared" si="30"/>
        <v>-1</v>
      </c>
      <c r="T123" s="175">
        <f t="shared" si="31"/>
        <v>5</v>
      </c>
      <c r="U123" s="250">
        <f t="shared" si="32"/>
        <v>-0.44891418450436682</v>
      </c>
      <c r="V123" s="382">
        <f t="shared" si="33"/>
        <v>53.686857314258063</v>
      </c>
      <c r="W123" s="401">
        <f t="shared" si="34"/>
        <v>10.468101704586966</v>
      </c>
      <c r="X123" s="157">
        <f t="shared" si="35"/>
        <v>45766</v>
      </c>
      <c r="Y123" s="384">
        <f t="shared" si="36"/>
        <v>9.9648593570705959</v>
      </c>
      <c r="Z123" s="384">
        <f t="shared" si="37"/>
        <v>10.516075840354659</v>
      </c>
      <c r="AA123" s="385">
        <f t="shared" si="38"/>
        <v>11.449512235547569</v>
      </c>
      <c r="AB123" s="196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8.1526302255466226E-2</v>
      </c>
      <c r="AD123" s="230">
        <f>(INDEX(Models!$BJ123:$BT123,,AH123)*(1-AF123)+INDEX(Models!$BJ123:$BT123,,AH123+1)*AF123-ERP_i)*AE123*Ramure*Pc/MaxiM</f>
        <v>3.0703468756902914E-4</v>
      </c>
      <c r="AE123" s="304">
        <f t="shared" si="40"/>
        <v>0.5</v>
      </c>
      <c r="AF123" s="176">
        <f t="shared" si="41"/>
        <v>0.66607835532002069</v>
      </c>
      <c r="AG123" s="814">
        <f t="shared" si="49"/>
        <v>1</v>
      </c>
      <c r="AH123" s="175">
        <f t="shared" si="42"/>
        <v>7</v>
      </c>
      <c r="AI123" s="224">
        <f t="shared" si="43"/>
        <v>1.6660783553200207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10">
        <f>'2024'!Wh/'2024'!Env_an*'2025'!Env_an</f>
        <v>9.8452264262450164</v>
      </c>
      <c r="C124" s="843"/>
      <c r="D124" s="392">
        <f t="shared" si="25"/>
        <v>10.39005257107695</v>
      </c>
      <c r="E124" s="384">
        <f t="shared" si="47"/>
        <v>10.769388703478006</v>
      </c>
      <c r="F124" s="384">
        <f t="shared" si="26"/>
        <v>10.769388703478006</v>
      </c>
      <c r="G124" s="110">
        <f t="shared" si="48"/>
        <v>0.18298530949107933</v>
      </c>
      <c r="H124" s="413" t="b">
        <f>Wh_hp&gt;='2024'!Maxi_hp</f>
        <v>0</v>
      </c>
      <c r="I124" s="389">
        <f>IF(H124,Wh_hp,'2024'!Maxi_hp)</f>
        <v>50.447436278195291</v>
      </c>
      <c r="J124" s="85">
        <f>IF(H124,An,'2024'!An_max)</f>
        <v>2019</v>
      </c>
      <c r="K124" s="196">
        <f t="shared" si="27"/>
        <v>45767</v>
      </c>
      <c r="L124" s="147">
        <f>IF(t&lt;Tvie,1-EXP((T0-t)*PertePVj)+'2024'!Pspv,1-EXP((T0-t)*PertePVj)+Pspv)</f>
        <v>5.2437284711010924E-2</v>
      </c>
      <c r="M124" s="847"/>
      <c r="N124" s="847"/>
      <c r="O124" s="48">
        <f>IF(t&lt;Tnet,'2024'!Resal+('2024'!Salim-'2024'!Resal)*(1-EXP(('2024'!Tnet-t)/('2024'!Tau_j))),Resal+(Salim-Resal)*(1-EXP((Tnet-t)/(Tau_j))))*Salcycl</f>
        <v>3.5223552872462281E-2</v>
      </c>
      <c r="P124" s="168">
        <f>(INDEX(Models!$BJ124:$BT124,,T124)*(1-R124)+INDEX(Models!$BJ124:$BT124,,T124+1)*R124-ERP_i)*Q124*Ramure*Pc/MaxiM</f>
        <v>1.4790502883095609E-6</v>
      </c>
      <c r="Q124" s="304">
        <f t="shared" si="28"/>
        <v>0.5</v>
      </c>
      <c r="R124" s="176">
        <f t="shared" si="29"/>
        <v>0.55227084833283469</v>
      </c>
      <c r="S124" s="814">
        <f t="shared" si="30"/>
        <v>-1</v>
      </c>
      <c r="T124" s="175">
        <f t="shared" si="31"/>
        <v>5</v>
      </c>
      <c r="U124" s="250">
        <f t="shared" si="32"/>
        <v>-0.44772915166716526</v>
      </c>
      <c r="V124" s="382">
        <f t="shared" si="33"/>
        <v>53.803291051296085</v>
      </c>
      <c r="W124" s="401">
        <f t="shared" si="34"/>
        <v>9.8452264262450164</v>
      </c>
      <c r="X124" s="157">
        <f t="shared" si="35"/>
        <v>45767</v>
      </c>
      <c r="Y124" s="384">
        <f t="shared" si="36"/>
        <v>9.372215096259751</v>
      </c>
      <c r="Z124" s="384">
        <f t="shared" si="37"/>
        <v>9.8908652113875117</v>
      </c>
      <c r="AA124" s="385">
        <f t="shared" si="38"/>
        <v>10.769388703478006</v>
      </c>
      <c r="AB124" s="196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8.1575985070236307E-2</v>
      </c>
      <c r="AD124" s="230">
        <f>(INDEX(Models!$BJ124:$BT124,,AH124)*(1-AF124)+INDEX(Models!$BJ124:$BT124,,AH124+1)*AF124-ERP_i)*AE124*Ramure*Pc/MaxiM</f>
        <v>2.9741792384252805E-4</v>
      </c>
      <c r="AE124" s="304">
        <f t="shared" si="40"/>
        <v>0.5</v>
      </c>
      <c r="AF124" s="176">
        <f t="shared" si="41"/>
        <v>0.66726338815722208</v>
      </c>
      <c r="AG124" s="814">
        <f t="shared" si="49"/>
        <v>1</v>
      </c>
      <c r="AH124" s="175">
        <f t="shared" si="42"/>
        <v>7</v>
      </c>
      <c r="AI124" s="224">
        <f t="shared" si="43"/>
        <v>1.6672633881572221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10">
        <f>'2024'!Wh/'2024'!Env_an*'2025'!Env_an</f>
        <v>9.2954611937174558</v>
      </c>
      <c r="C125" s="843"/>
      <c r="D125" s="392">
        <f t="shared" si="25"/>
        <v>9.8100784093783009</v>
      </c>
      <c r="E125" s="384">
        <f t="shared" si="47"/>
        <v>10.169106410900893</v>
      </c>
      <c r="F125" s="384">
        <f t="shared" si="26"/>
        <v>10.169106410900893</v>
      </c>
      <c r="G125" s="110">
        <f t="shared" si="48"/>
        <v>0.17241588449557793</v>
      </c>
      <c r="H125" s="413" t="b">
        <f>Wh_hp&gt;='2024'!Maxi_hp</f>
        <v>0</v>
      </c>
      <c r="I125" s="389">
        <f>IF(H125,Wh_hp,'2024'!Maxi_hp)</f>
        <v>56.950308189704678</v>
      </c>
      <c r="J125" s="85">
        <f>IF(H125,An,'2024'!An_max)</f>
        <v>2021</v>
      </c>
      <c r="K125" s="196">
        <f t="shared" si="27"/>
        <v>45768</v>
      </c>
      <c r="L125" s="147">
        <f>IF(t&lt;Tvie,1-EXP((T0-t)*PertePVj)+'2024'!Pspv,1-EXP((T0-t)*PertePVj)+Pspv)</f>
        <v>5.2458012483251638E-2</v>
      </c>
      <c r="M125" s="847"/>
      <c r="N125" s="847"/>
      <c r="O125" s="48">
        <f>IF(t&lt;Tnet,'2024'!Resal+('2024'!Salim-'2024'!Resal)*(1-EXP(('2024'!Tnet-t)/('2024'!Tau_j))),Resal+(Salim-Resal)*(1-EXP((Tnet-t)/(Tau_j))))*Salcycl</f>
        <v>3.5305757164437492E-2</v>
      </c>
      <c r="P125" s="168">
        <f>(INDEX(Models!$BJ125:$BT125,,T125)*(1-R125)+INDEX(Models!$BJ125:$BT125,,T125+1)*R125-ERP_i)*Q125*Ramure*Pc/MaxiM</f>
        <v>1.540873469599194E-6</v>
      </c>
      <c r="Q125" s="304">
        <f t="shared" si="28"/>
        <v>0.5</v>
      </c>
      <c r="R125" s="176">
        <f t="shared" si="29"/>
        <v>0.55349453097211865</v>
      </c>
      <c r="S125" s="814">
        <f t="shared" si="30"/>
        <v>-1</v>
      </c>
      <c r="T125" s="175">
        <f t="shared" si="31"/>
        <v>5</v>
      </c>
      <c r="U125" s="250">
        <f t="shared" si="32"/>
        <v>-0.44650546902788141</v>
      </c>
      <c r="V125" s="382">
        <f t="shared" si="33"/>
        <v>53.91293788146487</v>
      </c>
      <c r="W125" s="401">
        <f t="shared" si="34"/>
        <v>9.2954611937174558</v>
      </c>
      <c r="X125" s="157">
        <f t="shared" si="35"/>
        <v>45768</v>
      </c>
      <c r="Y125" s="384">
        <f t="shared" si="36"/>
        <v>8.8491275966189065</v>
      </c>
      <c r="Z125" s="384">
        <f t="shared" si="37"/>
        <v>9.3390348007797321</v>
      </c>
      <c r="AA125" s="385">
        <f t="shared" si="38"/>
        <v>10.169106410900893</v>
      </c>
      <c r="AB125" s="196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8.1626799502398345E-2</v>
      </c>
      <c r="AD125" s="230">
        <f>(INDEX(Models!$BJ125:$BT125,,AH125)*(1-AF125)+INDEX(Models!$BJ125:$BT125,,AH125+1)*AF125-ERP_i)*AE125*Ramure*Pc/MaxiM</f>
        <v>2.8805828736069898E-4</v>
      </c>
      <c r="AE125" s="304">
        <f t="shared" si="40"/>
        <v>0.5</v>
      </c>
      <c r="AF125" s="176">
        <f t="shared" si="41"/>
        <v>0.66848707079650604</v>
      </c>
      <c r="AG125" s="814">
        <f t="shared" si="49"/>
        <v>1</v>
      </c>
      <c r="AH125" s="175">
        <f t="shared" si="42"/>
        <v>7</v>
      </c>
      <c r="AI125" s="224">
        <f t="shared" si="43"/>
        <v>1.668487070796506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10">
        <f>'2024'!Wh/'2024'!Env_an*'2025'!Env_an</f>
        <v>29.515319711807468</v>
      </c>
      <c r="C126" s="843"/>
      <c r="D126" s="392">
        <f t="shared" si="25"/>
        <v>31.150034254243771</v>
      </c>
      <c r="E126" s="384">
        <f t="shared" si="47"/>
        <v>32.292826908106129</v>
      </c>
      <c r="F126" s="384">
        <f t="shared" si="26"/>
        <v>32.292845207604906</v>
      </c>
      <c r="G126" s="110">
        <f t="shared" si="48"/>
        <v>0.54641554515714486</v>
      </c>
      <c r="H126" s="413" t="b">
        <f>Wh_hp&gt;='2024'!Maxi_hp</f>
        <v>0</v>
      </c>
      <c r="I126" s="389">
        <f>IF(H126,Wh_hp,'2024'!Maxi_hp)</f>
        <v>61.518685977469168</v>
      </c>
      <c r="J126" s="85">
        <f>IF(H126,An,'2024'!An_max)</f>
        <v>2021</v>
      </c>
      <c r="K126" s="196">
        <f t="shared" si="27"/>
        <v>45769</v>
      </c>
      <c r="L126" s="147">
        <f>IF(t&lt;Tvie,1-EXP((T0-t)*PertePVj)+'2024'!Pspv,1-EXP((T0-t)*PertePVj)+Pspv)</f>
        <v>5.2478739801500952E-2</v>
      </c>
      <c r="M126" s="847"/>
      <c r="N126" s="847"/>
      <c r="O126" s="48">
        <f>IF(t&lt;Tnet,'2024'!Resal+('2024'!Salim-'2024'!Resal)*(1-EXP(('2024'!Tnet-t)/('2024'!Tau_j))),Resal+(Salim-Resal)*(1-EXP((Tnet-t)/(Tau_j))))*Salcycl</f>
        <v>3.5388436482019392E-2</v>
      </c>
      <c r="P126" s="168">
        <f>(INDEX(Models!$BJ126:$BT126,,T126)*(1-R126)+INDEX(Models!$BJ126:$BT126,,T126+1)*R126-ERP_i)*Q126*Ramure*Pc/MaxiM</f>
        <v>1.609762541434357E-6</v>
      </c>
      <c r="Q126" s="304">
        <f t="shared" si="28"/>
        <v>0.5</v>
      </c>
      <c r="R126" s="176">
        <f t="shared" si="29"/>
        <v>0.55475770110024802</v>
      </c>
      <c r="S126" s="814">
        <f t="shared" si="30"/>
        <v>-1</v>
      </c>
      <c r="T126" s="175">
        <f t="shared" si="31"/>
        <v>5</v>
      </c>
      <c r="U126" s="250">
        <f t="shared" si="32"/>
        <v>-0.44524229889975198</v>
      </c>
      <c r="V126" s="382">
        <f t="shared" si="33"/>
        <v>54.016195524222027</v>
      </c>
      <c r="W126" s="401">
        <f t="shared" si="34"/>
        <v>29.515319711807468</v>
      </c>
      <c r="X126" s="157">
        <f t="shared" si="35"/>
        <v>45769</v>
      </c>
      <c r="Y126" s="384">
        <f t="shared" si="36"/>
        <v>28.096178873856243</v>
      </c>
      <c r="Z126" s="384">
        <f t="shared" si="37"/>
        <v>29.652293889395466</v>
      </c>
      <c r="AA126" s="385">
        <f t="shared" si="38"/>
        <v>32.289674185262513</v>
      </c>
      <c r="AB126" s="196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8.167875218359387E-2</v>
      </c>
      <c r="AD126" s="230">
        <f>(INDEX(Models!$BJ126:$BT126,,AH126)*(1-AF126)+INDEX(Models!$BJ126:$BT126,,AH126+1)*AF126-ERP_i)*AE126*Ramure*Pc/MaxiM</f>
        <v>2.7894714753832475E-4</v>
      </c>
      <c r="AE126" s="304">
        <f t="shared" si="40"/>
        <v>0.5</v>
      </c>
      <c r="AF126" s="176">
        <f t="shared" si="41"/>
        <v>0.66975024092463542</v>
      </c>
      <c r="AG126" s="814">
        <f t="shared" si="49"/>
        <v>1</v>
      </c>
      <c r="AH126" s="175">
        <f t="shared" si="42"/>
        <v>7</v>
      </c>
      <c r="AI126" s="224">
        <f t="shared" si="43"/>
        <v>1.6697502409246354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10">
        <f>'2024'!Wh/'2024'!Env_an*'2025'!Env_an</f>
        <v>8.1948989443660043</v>
      </c>
      <c r="C127" s="843"/>
      <c r="D127" s="392">
        <f t="shared" si="25"/>
        <v>8.6489649937487165</v>
      </c>
      <c r="E127" s="384">
        <f t="shared" si="47"/>
        <v>8.9670402168239551</v>
      </c>
      <c r="F127" s="384">
        <f t="shared" si="26"/>
        <v>8.9670402168239551</v>
      </c>
      <c r="G127" s="110">
        <f t="shared" si="48"/>
        <v>0.15143893732493874</v>
      </c>
      <c r="H127" s="413" t="b">
        <f>Wh_hp&gt;='2024'!Maxi_hp</f>
        <v>0</v>
      </c>
      <c r="I127" s="389">
        <f>IF(H127,Wh_hp,'2024'!Maxi_hp)</f>
        <v>60.576716442775776</v>
      </c>
      <c r="J127" s="85">
        <f>IF(H127,An,'2024'!An_max)</f>
        <v>2021</v>
      </c>
      <c r="K127" s="196">
        <f t="shared" si="27"/>
        <v>45770</v>
      </c>
      <c r="L127" s="147">
        <f>IF(t&lt;Tvie,1-EXP((T0-t)*PertePVj)+'2024'!Pspv,1-EXP((T0-t)*PertePVj)+Pspv)</f>
        <v>5.2499466665768858E-2</v>
      </c>
      <c r="M127" s="847"/>
      <c r="N127" s="847"/>
      <c r="O127" s="48">
        <f>IF(t&lt;Tnet,'2024'!Resal+('2024'!Salim-'2024'!Resal)*(1-EXP(('2024'!Tnet-t)/('2024'!Tau_j))),Resal+(Salim-Resal)*(1-EXP((Tnet-t)/(Tau_j))))*Salcycl</f>
        <v>3.547159546340245E-2</v>
      </c>
      <c r="P127" s="168">
        <f>(INDEX(Models!$BJ127:$BT127,,T127)*(1-R127)+INDEX(Models!$BJ127:$BT127,,T127+1)*R127-ERP_i)*Q127*Ramure*Pc/MaxiM</f>
        <v>1.687374251332938E-6</v>
      </c>
      <c r="Q127" s="304">
        <f t="shared" si="28"/>
        <v>0.5</v>
      </c>
      <c r="R127" s="176">
        <f t="shared" si="29"/>
        <v>0.55606118250266801</v>
      </c>
      <c r="S127" s="814">
        <f t="shared" si="30"/>
        <v>-1</v>
      </c>
      <c r="T127" s="175">
        <f t="shared" si="31"/>
        <v>5</v>
      </c>
      <c r="U127" s="250">
        <f t="shared" si="32"/>
        <v>-0.44393881749733194</v>
      </c>
      <c r="V127" s="382">
        <f t="shared" si="33"/>
        <v>54.113461579045371</v>
      </c>
      <c r="W127" s="401">
        <f t="shared" si="34"/>
        <v>8.1948989443660043</v>
      </c>
      <c r="X127" s="157">
        <f t="shared" si="35"/>
        <v>45770</v>
      </c>
      <c r="Y127" s="384">
        <f t="shared" si="36"/>
        <v>7.8018590993864851</v>
      </c>
      <c r="Z127" s="384">
        <f t="shared" si="37"/>
        <v>8.2341474489010942</v>
      </c>
      <c r="AA127" s="385">
        <f t="shared" si="38"/>
        <v>8.9670402168239551</v>
      </c>
      <c r="AB127" s="196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8.17318479901325E-2</v>
      </c>
      <c r="AD127" s="230">
        <f>(INDEX(Models!$BJ127:$BT127,,AH127)*(1-AF127)+INDEX(Models!$BJ127:$BT127,,AH127+1)*AF127-ERP_i)*AE127*Ramure*Pc/MaxiM</f>
        <v>2.700756444445196E-4</v>
      </c>
      <c r="AE127" s="304">
        <f t="shared" si="40"/>
        <v>0.5</v>
      </c>
      <c r="AF127" s="176">
        <f t="shared" si="41"/>
        <v>0.67105372232705562</v>
      </c>
      <c r="AG127" s="814">
        <f t="shared" si="49"/>
        <v>1</v>
      </c>
      <c r="AH127" s="175">
        <f t="shared" si="42"/>
        <v>7</v>
      </c>
      <c r="AI127" s="224">
        <f t="shared" si="43"/>
        <v>1.6710537223270556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10">
        <f>'2024'!Wh/'2024'!Env_an*'2025'!Env_an</f>
        <v>36.931392739358309</v>
      </c>
      <c r="C128" s="843"/>
      <c r="D128" s="392">
        <f t="shared" si="25"/>
        <v>38.978553916899699</v>
      </c>
      <c r="E128" s="384">
        <f t="shared" si="47"/>
        <v>40.415537987258368</v>
      </c>
      <c r="F128" s="384">
        <f t="shared" si="26"/>
        <v>40.415577178839598</v>
      </c>
      <c r="G128" s="110">
        <f t="shared" si="48"/>
        <v>0.68132592943673742</v>
      </c>
      <c r="H128" s="413" t="b">
        <f>Wh_hp&gt;='2024'!Maxi_hp</f>
        <v>0</v>
      </c>
      <c r="I128" s="389">
        <f>IF(H128,Wh_hp,'2024'!Maxi_hp)</f>
        <v>57.276493751473431</v>
      </c>
      <c r="J128" s="85">
        <f>IF(H128,An,'2024'!An_max)</f>
        <v>2021</v>
      </c>
      <c r="K128" s="196">
        <f t="shared" si="27"/>
        <v>45771</v>
      </c>
      <c r="L128" s="147">
        <f>IF(t&lt;Tvie,1-EXP((T0-t)*PertePVj)+'2024'!Pspv,1-EXP((T0-t)*PertePVj)+Pspv)</f>
        <v>5.2520193076065126E-2</v>
      </c>
      <c r="M128" s="847"/>
      <c r="N128" s="847"/>
      <c r="O128" s="48">
        <f>IF(t&lt;Tnet,'2024'!Resal+('2024'!Salim-'2024'!Resal)*(1-EXP(('2024'!Tnet-t)/('2024'!Tau_j))),Resal+(Salim-Resal)*(1-EXP((Tnet-t)/(Tau_j))))*Salcycl</f>
        <v>3.5555237958522223E-2</v>
      </c>
      <c r="P128" s="168">
        <f>(INDEX(Models!$BJ128:$BT128,,T128)*(1-R128)+INDEX(Models!$BJ128:$BT128,,T128+1)*R128-ERP_i)*Q128*Ramure*Pc/MaxiM</f>
        <v>1.780102762875075E-6</v>
      </c>
      <c r="Q128" s="304">
        <f t="shared" si="28"/>
        <v>0.5</v>
      </c>
      <c r="R128" s="176">
        <f t="shared" si="29"/>
        <v>0.557405782134617</v>
      </c>
      <c r="S128" s="814">
        <f t="shared" si="30"/>
        <v>-1</v>
      </c>
      <c r="T128" s="175">
        <f t="shared" si="31"/>
        <v>5</v>
      </c>
      <c r="U128" s="250">
        <f t="shared" si="32"/>
        <v>-0.442594217865383</v>
      </c>
      <c r="V128" s="382">
        <f t="shared" si="33"/>
        <v>54.205133277553315</v>
      </c>
      <c r="W128" s="401">
        <f t="shared" si="34"/>
        <v>36.931392739358309</v>
      </c>
      <c r="X128" s="157">
        <f t="shared" si="35"/>
        <v>45771</v>
      </c>
      <c r="Y128" s="384">
        <f t="shared" si="36"/>
        <v>35.15608686530679</v>
      </c>
      <c r="Z128" s="384">
        <f t="shared" si="37"/>
        <v>37.104840238699857</v>
      </c>
      <c r="AA128" s="385">
        <f t="shared" si="38"/>
        <v>40.409799757322794</v>
      </c>
      <c r="AB128" s="196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8.1786089970021167E-2</v>
      </c>
      <c r="AD128" s="230">
        <f>(INDEX(Models!$BJ128:$BT128,,AH128)*(1-AF128)+INDEX(Models!$BJ128:$BT128,,AH128+1)*AF128-ERP_i)*AE128*Ramure*Pc/MaxiM</f>
        <v>2.6241360215708154E-4</v>
      </c>
      <c r="AE128" s="304">
        <f t="shared" si="40"/>
        <v>0.5</v>
      </c>
      <c r="AF128" s="176">
        <f t="shared" si="41"/>
        <v>0.6723983219590044</v>
      </c>
      <c r="AG128" s="814">
        <f t="shared" si="49"/>
        <v>1</v>
      </c>
      <c r="AH128" s="175">
        <f t="shared" si="42"/>
        <v>7</v>
      </c>
      <c r="AI128" s="224">
        <f t="shared" si="43"/>
        <v>1.6723983219590044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10">
        <f>'2024'!Wh/'2024'!Env_an*'2025'!Env_an</f>
        <v>46.457481567551078</v>
      </c>
      <c r="C129" s="843"/>
      <c r="D129" s="392">
        <f t="shared" si="25"/>
        <v>49.033760402724731</v>
      </c>
      <c r="E129" s="384">
        <f t="shared" si="47"/>
        <v>50.845875209228033</v>
      </c>
      <c r="F129" s="384">
        <f t="shared" si="26"/>
        <v>50.845951446846726</v>
      </c>
      <c r="G129" s="110">
        <f t="shared" si="48"/>
        <v>0.85570247691268997</v>
      </c>
      <c r="H129" s="413" t="b">
        <f>Wh_hp&gt;='2024'!Maxi_hp</f>
        <v>0</v>
      </c>
      <c r="I129" s="389">
        <f>IF(H129,Wh_hp,'2024'!Maxi_hp)</f>
        <v>55.011025243549312</v>
      </c>
      <c r="J129" s="85">
        <f>IF(H129,An,'2024'!An_max)</f>
        <v>2020</v>
      </c>
      <c r="K129" s="196">
        <f t="shared" si="27"/>
        <v>45772</v>
      </c>
      <c r="L129" s="147">
        <f>IF(t&lt;Tvie,1-EXP((T0-t)*PertePVj)+'2024'!Pspv,1-EXP((T0-t)*PertePVj)+Pspv)</f>
        <v>5.2540919032399859E-2</v>
      </c>
      <c r="M129" s="847"/>
      <c r="N129" s="847"/>
      <c r="O129" s="48">
        <f>IF(t&lt;Tnet,'2024'!Resal+('2024'!Salim-'2024'!Resal)*(1-EXP(('2024'!Tnet-t)/('2024'!Tau_j))),Resal+(Salim-Resal)*(1-EXP((Tnet-t)/(Tau_j))))*Salcycl</f>
        <v>3.5639366989879635E-2</v>
      </c>
      <c r="P129" s="168">
        <f>(INDEX(Models!$BJ129:$BT129,,T129)*(1-R129)+INDEX(Models!$BJ129:$BT129,,T129+1)*R129-ERP_i)*Q129*Ramure*Pc/MaxiM</f>
        <v>1.8887235313550075E-6</v>
      </c>
      <c r="Q129" s="304">
        <f t="shared" si="28"/>
        <v>0.5</v>
      </c>
      <c r="R129" s="176">
        <f t="shared" si="29"/>
        <v>0.55879228703759654</v>
      </c>
      <c r="S129" s="814">
        <f t="shared" si="30"/>
        <v>-1</v>
      </c>
      <c r="T129" s="175">
        <f t="shared" si="31"/>
        <v>5</v>
      </c>
      <c r="U129" s="250">
        <f t="shared" si="32"/>
        <v>-0.44120771296240352</v>
      </c>
      <c r="V129" s="382">
        <f t="shared" si="33"/>
        <v>54.291608045142532</v>
      </c>
      <c r="W129" s="401">
        <f t="shared" si="34"/>
        <v>46.457481567551078</v>
      </c>
      <c r="X129" s="157">
        <f t="shared" si="35"/>
        <v>45772</v>
      </c>
      <c r="Y129" s="384">
        <f t="shared" si="36"/>
        <v>44.222781265336195</v>
      </c>
      <c r="Z129" s="384">
        <f t="shared" si="37"/>
        <v>46.675135796021216</v>
      </c>
      <c r="AA129" s="385">
        <f t="shared" si="38"/>
        <v>50.835596187501061</v>
      </c>
      <c r="AB129" s="196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8.1841479268473322E-2</v>
      </c>
      <c r="AD129" s="230">
        <f>(INDEX(Models!$BJ129:$BT129,,AH129)*(1-AF129)+INDEX(Models!$BJ129:$BT129,,AH129+1)*AF129-ERP_i)*AE129*Ramure*Pc/MaxiM</f>
        <v>2.5654292900904391E-4</v>
      </c>
      <c r="AE129" s="304">
        <f t="shared" si="40"/>
        <v>0.5</v>
      </c>
      <c r="AF129" s="176">
        <f t="shared" si="41"/>
        <v>0.67378482686198393</v>
      </c>
      <c r="AG129" s="814">
        <f t="shared" si="49"/>
        <v>1</v>
      </c>
      <c r="AH129" s="175">
        <f t="shared" si="42"/>
        <v>7</v>
      </c>
      <c r="AI129" s="224">
        <f t="shared" si="43"/>
        <v>1.6737848268619839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10">
        <f>'2024'!Wh/'2024'!Env_an*'2025'!Env_an</f>
        <v>52.585512536380293</v>
      </c>
      <c r="C130" s="843"/>
      <c r="D130" s="392">
        <f t="shared" si="25"/>
        <v>55.502832699399669</v>
      </c>
      <c r="E130" s="384">
        <f t="shared" si="47"/>
        <v>57.559072111584591</v>
      </c>
      <c r="F130" s="384">
        <f t="shared" si="26"/>
        <v>57.559182694409039</v>
      </c>
      <c r="G130" s="110">
        <f t="shared" si="48"/>
        <v>0.96712033122367758</v>
      </c>
      <c r="H130" s="413" t="b">
        <f>Wh_hp&gt;='2024'!Maxi_hp</f>
        <v>1</v>
      </c>
      <c r="I130" s="389">
        <f>IF(H130,Wh_hp,'2024'!Maxi_hp)</f>
        <v>57.559182694409039</v>
      </c>
      <c r="J130" s="85">
        <f>IF(H130,An,'2024'!An_max)</f>
        <v>2025</v>
      </c>
      <c r="K130" s="196">
        <f t="shared" si="27"/>
        <v>45773</v>
      </c>
      <c r="L130" s="147">
        <f>IF(t&lt;Tvie,1-EXP((T0-t)*PertePVj)+'2024'!Pspv,1-EXP((T0-t)*PertePVj)+Pspv)</f>
        <v>5.2561644534782938E-2</v>
      </c>
      <c r="M130" s="847"/>
      <c r="N130" s="847"/>
      <c r="O130" s="48">
        <f>IF(t&lt;Tnet,'2024'!Resal+('2024'!Salim-'2024'!Resal)*(1-EXP(('2024'!Tnet-t)/('2024'!Tau_j))),Resal+(Salim-Resal)*(1-EXP((Tnet-t)/(Tau_j))))*Salcycl</f>
        <v>3.5723984712586643E-2</v>
      </c>
      <c r="P130" s="168">
        <f>(INDEX(Models!$BJ130:$BT130,,T130)*(1-R130)+INDEX(Models!$BJ130:$BT130,,T130+1)*R130-ERP_i)*Q130*Ramure*Pc/MaxiM</f>
        <v>2.0158901537473069E-6</v>
      </c>
      <c r="Q130" s="304">
        <f t="shared" si="28"/>
        <v>0.5</v>
      </c>
      <c r="R130" s="176">
        <f t="shared" si="29"/>
        <v>0.56022146110431192</v>
      </c>
      <c r="S130" s="814">
        <f t="shared" si="30"/>
        <v>-1</v>
      </c>
      <c r="T130" s="175">
        <f t="shared" si="31"/>
        <v>5</v>
      </c>
      <c r="U130" s="250">
        <f t="shared" si="32"/>
        <v>-0.43977853889568813</v>
      </c>
      <c r="V130" s="382">
        <f t="shared" si="33"/>
        <v>54.373283095617644</v>
      </c>
      <c r="W130" s="401">
        <f t="shared" si="34"/>
        <v>52.585512536380293</v>
      </c>
      <c r="X130" s="157">
        <f t="shared" si="35"/>
        <v>45773</v>
      </c>
      <c r="Y130" s="384">
        <f t="shared" si="36"/>
        <v>50.055522084556692</v>
      </c>
      <c r="Z130" s="384">
        <f t="shared" si="37"/>
        <v>52.832484346676168</v>
      </c>
      <c r="AA130" s="385">
        <f t="shared" si="38"/>
        <v>57.545332885525234</v>
      </c>
      <c r="AB130" s="196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8.1898015052312367E-2</v>
      </c>
      <c r="AD130" s="230">
        <f>(INDEX(Models!$BJ130:$BT130,,AH130)*(1-AF130)+INDEX(Models!$BJ130:$BT130,,AH130+1)*AF130-ERP_i)*AE130*Ramure*Pc/MaxiM</f>
        <v>2.5247766548802165E-4</v>
      </c>
      <c r="AE130" s="304">
        <f t="shared" si="40"/>
        <v>0.5</v>
      </c>
      <c r="AF130" s="176">
        <f t="shared" si="41"/>
        <v>0.67521400092869932</v>
      </c>
      <c r="AG130" s="814">
        <f t="shared" si="49"/>
        <v>1</v>
      </c>
      <c r="AH130" s="175">
        <f t="shared" si="42"/>
        <v>7</v>
      </c>
      <c r="AI130" s="224">
        <f t="shared" si="43"/>
        <v>1.6752140009286993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10">
        <f>'2024'!Wh/'2024'!Env_an*'2025'!Env_an</f>
        <v>37.763639578963307</v>
      </c>
      <c r="C131" s="843"/>
      <c r="D131" s="392">
        <f t="shared" si="25"/>
        <v>39.859549122334592</v>
      </c>
      <c r="E131" s="384">
        <f t="shared" si="47"/>
        <v>41.339893175791417</v>
      </c>
      <c r="F131" s="384">
        <f t="shared" si="26"/>
        <v>41.339943480637821</v>
      </c>
      <c r="G131" s="110">
        <f t="shared" si="48"/>
        <v>0.6935393667054357</v>
      </c>
      <c r="H131" s="413" t="b">
        <f>Wh_hp&gt;='2024'!Maxi_hp</f>
        <v>1</v>
      </c>
      <c r="I131" s="389">
        <f>IF(H131,Wh_hp,'2024'!Maxi_hp)</f>
        <v>41.339943480637821</v>
      </c>
      <c r="J131" s="85">
        <f>IF(H131,An,'2024'!An_max)</f>
        <v>2025</v>
      </c>
      <c r="K131" s="196">
        <f t="shared" si="27"/>
        <v>45774</v>
      </c>
      <c r="L131" s="147">
        <f>IF(t&lt;Tvie,1-EXP((T0-t)*PertePVj)+'2024'!Pspv,1-EXP((T0-t)*PertePVj)+Pspv)</f>
        <v>5.2582369583224355E-2</v>
      </c>
      <c r="M131" s="847"/>
      <c r="N131" s="847"/>
      <c r="O131" s="48">
        <f>IF(t&lt;Tnet,'2024'!Resal+('2024'!Salim-'2024'!Resal)*(1-EXP(('2024'!Tnet-t)/('2024'!Tau_j))),Resal+(Salim-Resal)*(1-EXP((Tnet-t)/(Tau_j))))*Salcycl</f>
        <v>3.5809092373845705E-2</v>
      </c>
      <c r="P131" s="168">
        <f>(INDEX(Models!$BJ131:$BT131,,T131)*(1-R131)+INDEX(Models!$BJ131:$BT131,,T131+1)*R131-ERP_i)*Q131*Ramure*Pc/MaxiM</f>
        <v>2.1644575920504723E-6</v>
      </c>
      <c r="Q131" s="304">
        <f t="shared" si="28"/>
        <v>0.5</v>
      </c>
      <c r="R131" s="176">
        <f t="shared" si="29"/>
        <v>0.56169404169659276</v>
      </c>
      <c r="S131" s="814">
        <f t="shared" si="30"/>
        <v>-1</v>
      </c>
      <c r="T131" s="175">
        <f t="shared" si="31"/>
        <v>5</v>
      </c>
      <c r="U131" s="250">
        <f t="shared" si="32"/>
        <v>-0.43830595830340718</v>
      </c>
      <c r="V131" s="382">
        <f t="shared" si="33"/>
        <v>54.450555522905852</v>
      </c>
      <c r="W131" s="401">
        <f t="shared" si="34"/>
        <v>37.763639578963307</v>
      </c>
      <c r="X131" s="157">
        <f t="shared" si="35"/>
        <v>45774</v>
      </c>
      <c r="Y131" s="384">
        <f t="shared" si="36"/>
        <v>35.951240483348641</v>
      </c>
      <c r="Z131" s="384">
        <f t="shared" si="37"/>
        <v>37.946560554856298</v>
      </c>
      <c r="AA131" s="385">
        <f t="shared" si="38"/>
        <v>41.334127693816981</v>
      </c>
      <c r="AB131" s="196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8.1955694433764853E-2</v>
      </c>
      <c r="AD131" s="230">
        <f>(INDEX(Models!$BJ131:$BT131,,AH131)*(1-AF131)+INDEX(Models!$BJ131:$BT131,,AH131+1)*AF131-ERP_i)*AE131*Ramure*Pc/MaxiM</f>
        <v>2.5023481507327223E-4</v>
      </c>
      <c r="AE131" s="304">
        <f t="shared" si="40"/>
        <v>0.5</v>
      </c>
      <c r="AF131" s="176">
        <f t="shared" si="41"/>
        <v>0.67668658152098038</v>
      </c>
      <c r="AG131" s="814">
        <f t="shared" si="49"/>
        <v>1</v>
      </c>
      <c r="AH131" s="175">
        <f t="shared" si="42"/>
        <v>7</v>
      </c>
      <c r="AI131" s="224">
        <f t="shared" si="43"/>
        <v>1.6766865815209804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10">
        <f>'2024'!Wh/'2024'!Env_an*'2025'!Env_an</f>
        <v>22.492529177814006</v>
      </c>
      <c r="C132" s="843"/>
      <c r="D132" s="392">
        <f t="shared" si="25"/>
        <v>23.741400293356737</v>
      </c>
      <c r="E132" s="384">
        <f t="shared" si="47"/>
        <v>24.625318472789658</v>
      </c>
      <c r="F132" s="384">
        <f t="shared" si="26"/>
        <v>24.625327725940579</v>
      </c>
      <c r="G132" s="110">
        <f t="shared" si="48"/>
        <v>0.4125258300844169</v>
      </c>
      <c r="H132" s="413" t="b">
        <f>Wh_hp&gt;='2024'!Maxi_hp</f>
        <v>0</v>
      </c>
      <c r="I132" s="389">
        <f>IF(H132,Wh_hp,'2024'!Maxi_hp)</f>
        <v>46.272317689396395</v>
      </c>
      <c r="J132" s="85">
        <f>IF(H132,An,'2024'!An_max)</f>
        <v>2019</v>
      </c>
      <c r="K132" s="196">
        <f t="shared" si="27"/>
        <v>45775</v>
      </c>
      <c r="L132" s="147">
        <f>IF(t&lt;Tvie,1-EXP((T0-t)*PertePVj)+'2024'!Pspv,1-EXP((T0-t)*PertePVj)+Pspv)</f>
        <v>5.2603094177734101E-2</v>
      </c>
      <c r="M132" s="847"/>
      <c r="N132" s="847"/>
      <c r="O132" s="48">
        <f>IF(t&lt;Tnet,'2024'!Resal+('2024'!Salim-'2024'!Resal)*(1-EXP(('2024'!Tnet-t)/('2024'!Tau_j))),Resal+(Salim-Resal)*(1-EXP((Tnet-t)/(Tau_j))))*Salcycl</f>
        <v>3.5894690272112798E-2</v>
      </c>
      <c r="P132" s="168">
        <f>(INDEX(Models!$BJ132:$BT132,,T132)*(1-R132)+INDEX(Models!$BJ132:$BT132,,T132+1)*R132-ERP_i)*Q132*Ramure*Pc/MaxiM</f>
        <v>2.3374929949176478E-6</v>
      </c>
      <c r="Q132" s="304">
        <f t="shared" si="28"/>
        <v>0.5</v>
      </c>
      <c r="R132" s="176">
        <f t="shared" si="29"/>
        <v>0.5632107361223192</v>
      </c>
      <c r="S132" s="814">
        <f t="shared" si="30"/>
        <v>-1</v>
      </c>
      <c r="T132" s="175">
        <f t="shared" si="31"/>
        <v>5</v>
      </c>
      <c r="U132" s="250">
        <f t="shared" si="32"/>
        <v>-0.4367892638776808</v>
      </c>
      <c r="V132" s="382">
        <f t="shared" si="33"/>
        <v>54.523822299324216</v>
      </c>
      <c r="W132" s="401">
        <f t="shared" si="34"/>
        <v>22.492529177814006</v>
      </c>
      <c r="X132" s="157">
        <f t="shared" si="35"/>
        <v>45775</v>
      </c>
      <c r="Y132" s="384">
        <f t="shared" si="36"/>
        <v>21.415703936940663</v>
      </c>
      <c r="Z132" s="384">
        <f t="shared" si="37"/>
        <v>22.604785602876252</v>
      </c>
      <c r="AA132" s="385">
        <f t="shared" si="38"/>
        <v>24.624338737458984</v>
      </c>
      <c r="AB132" s="196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8.2014512394217157E-2</v>
      </c>
      <c r="AD132" s="230">
        <f>(INDEX(Models!$BJ132:$BT132,,AH132)*(1-AF132)+INDEX(Models!$BJ132:$BT132,,AH132+1)*AF132-ERP_i)*AE132*Ramure*Pc/MaxiM</f>
        <v>2.4983420967692615E-4</v>
      </c>
      <c r="AE132" s="304">
        <f t="shared" si="40"/>
        <v>0.5</v>
      </c>
      <c r="AF132" s="176">
        <f t="shared" si="41"/>
        <v>0.67820327594670671</v>
      </c>
      <c r="AG132" s="814">
        <f t="shared" si="49"/>
        <v>1</v>
      </c>
      <c r="AH132" s="175">
        <f t="shared" si="42"/>
        <v>7</v>
      </c>
      <c r="AI132" s="224">
        <f t="shared" si="43"/>
        <v>1.6782032759467067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10">
        <f>'2024'!Wh/'2024'!Env_an*'2025'!Env_an</f>
        <v>42.372481425366495</v>
      </c>
      <c r="C133" s="843"/>
      <c r="D133" s="392">
        <f t="shared" si="25"/>
        <v>44.726141784725392</v>
      </c>
      <c r="E133" s="384">
        <f t="shared" si="47"/>
        <v>46.39548750777886</v>
      </c>
      <c r="F133" s="384">
        <f t="shared" si="26"/>
        <v>46.395567612607117</v>
      </c>
      <c r="G133" s="110">
        <f t="shared" si="48"/>
        <v>0.7761448219477437</v>
      </c>
      <c r="H133" s="413" t="b">
        <f>Wh_hp&gt;='2024'!Maxi_hp</f>
        <v>0</v>
      </c>
      <c r="I133" s="389">
        <f>IF(H133,Wh_hp,'2024'!Maxi_hp)</f>
        <v>53.368157207245993</v>
      </c>
      <c r="J133" s="85">
        <f>IF(H133,An,'2024'!An_max)</f>
        <v>2019</v>
      </c>
      <c r="K133" s="196">
        <f t="shared" si="27"/>
        <v>45776</v>
      </c>
      <c r="L133" s="147">
        <f>IF(t&lt;Tvie,1-EXP((T0-t)*PertePVj)+'2024'!Pspv,1-EXP((T0-t)*PertePVj)+Pspv)</f>
        <v>5.2623818318321948E-2</v>
      </c>
      <c r="M133" s="847"/>
      <c r="N133" s="847"/>
      <c r="O133" s="48">
        <f>IF(t&lt;Tnet,'2024'!Resal+('2024'!Salim-'2024'!Resal)*(1-EXP(('2024'!Tnet-t)/('2024'!Tau_j))),Resal+(Salim-Resal)*(1-EXP((Tnet-t)/(Tau_j))))*Salcycl</f>
        <v>3.5980777716229026E-2</v>
      </c>
      <c r="P133" s="168">
        <f>(INDEX(Models!$BJ133:$BT133,,T133)*(1-R133)+INDEX(Models!$BJ133:$BT133,,T133+1)*R133-ERP_i)*Q133*Ramure*Pc/MaxiM</f>
        <v>2.5382862719323022E-6</v>
      </c>
      <c r="Q133" s="304">
        <f t="shared" si="28"/>
        <v>0.5</v>
      </c>
      <c r="R133" s="176">
        <f t="shared" si="29"/>
        <v>0.56477221797899846</v>
      </c>
      <c r="S133" s="814">
        <f t="shared" si="30"/>
        <v>-1</v>
      </c>
      <c r="T133" s="175">
        <f t="shared" si="31"/>
        <v>5</v>
      </c>
      <c r="U133" s="250">
        <f t="shared" si="32"/>
        <v>-0.43522778202100154</v>
      </c>
      <c r="V133" s="382">
        <f t="shared" si="33"/>
        <v>54.59348027885472</v>
      </c>
      <c r="W133" s="401">
        <f t="shared" si="34"/>
        <v>42.372481425366495</v>
      </c>
      <c r="X133" s="157">
        <f t="shared" si="35"/>
        <v>45776</v>
      </c>
      <c r="Y133" s="384">
        <f t="shared" si="36"/>
        <v>40.339653589057157</v>
      </c>
      <c r="Z133" s="384">
        <f t="shared" si="37"/>
        <v>42.580396646082697</v>
      </c>
      <c r="AA133" s="385">
        <f t="shared" si="38"/>
        <v>46.387636981252108</v>
      </c>
      <c r="AB133" s="196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8.2074461708582624E-2</v>
      </c>
      <c r="AD133" s="230">
        <f>(INDEX(Models!$BJ133:$BT133,,AH133)*(1-AF133)+INDEX(Models!$BJ133:$BT133,,AH133+1)*AF133-ERP_i)*AE133*Ramure*Pc/MaxiM</f>
        <v>2.5129836906377011E-4</v>
      </c>
      <c r="AE133" s="304">
        <f t="shared" si="40"/>
        <v>0.5</v>
      </c>
      <c r="AF133" s="176">
        <f t="shared" si="41"/>
        <v>0.67976475780338586</v>
      </c>
      <c r="AG133" s="814">
        <f t="shared" si="49"/>
        <v>1</v>
      </c>
      <c r="AH133" s="175">
        <f t="shared" si="42"/>
        <v>7</v>
      </c>
      <c r="AI133" s="224">
        <f t="shared" si="43"/>
        <v>1.6797647578033859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10">
        <f>'2024'!Wh/'2024'!Env_an*'2025'!Env_an</f>
        <v>42.970406915135051</v>
      </c>
      <c r="C134" s="843"/>
      <c r="D134" s="392">
        <f t="shared" si="25"/>
        <v>45.358272391313704</v>
      </c>
      <c r="E134" s="384">
        <f t="shared" si="47"/>
        <v>47.055437464190753</v>
      </c>
      <c r="F134" s="384">
        <f t="shared" si="26"/>
        <v>47.055527998059866</v>
      </c>
      <c r="G134" s="110">
        <f t="shared" si="48"/>
        <v>0.78614029572836275</v>
      </c>
      <c r="H134" s="413" t="b">
        <f>Wh_hp&gt;='2024'!Maxi_hp</f>
        <v>0</v>
      </c>
      <c r="I134" s="389">
        <f>IF(H134,Wh_hp,'2024'!Maxi_hp)</f>
        <v>60.260535835391735</v>
      </c>
      <c r="J134" s="85">
        <f>IF(H134,An,'2024'!An_max)</f>
        <v>2019</v>
      </c>
      <c r="K134" s="196">
        <f t="shared" si="27"/>
        <v>45777</v>
      </c>
      <c r="L134" s="147">
        <f>IF(t&lt;Tvie,1-EXP((T0-t)*PertePVj)+'2024'!Pspv,1-EXP((T0-t)*PertePVj)+Pspv)</f>
        <v>5.2644542004997887E-2</v>
      </c>
      <c r="M134" s="847"/>
      <c r="N134" s="847"/>
      <c r="O134" s="48">
        <f>IF(t&lt;Tnet,'2024'!Resal+('2024'!Salim-'2024'!Resal)*(1-EXP(('2024'!Tnet-t)/('2024'!Tau_j))),Resal+(Salim-Resal)*(1-EXP((Tnet-t)/(Tau_j))))*Salcycl</f>
        <v>3.6067352984840338E-2</v>
      </c>
      <c r="P134" s="168">
        <f>(INDEX(Models!$BJ134:$BT134,,T134)*(1-R134)+INDEX(Models!$BJ134:$BT134,,T134+1)*R134-ERP_i)*Q134*Ramure*Pc/MaxiM</f>
        <v>2.7703602991871874E-6</v>
      </c>
      <c r="Q134" s="304">
        <f t="shared" si="28"/>
        <v>0.5</v>
      </c>
      <c r="R134" s="176">
        <f t="shared" si="29"/>
        <v>0.56637912337336593</v>
      </c>
      <c r="S134" s="814">
        <f t="shared" si="30"/>
        <v>-1</v>
      </c>
      <c r="T134" s="175">
        <f t="shared" si="31"/>
        <v>5</v>
      </c>
      <c r="U134" s="250">
        <f t="shared" si="32"/>
        <v>-0.43362087662663407</v>
      </c>
      <c r="V134" s="382">
        <f t="shared" si="33"/>
        <v>54.659926197935889</v>
      </c>
      <c r="W134" s="401">
        <f t="shared" si="34"/>
        <v>42.970406915135051</v>
      </c>
      <c r="X134" s="157">
        <f t="shared" si="35"/>
        <v>45777</v>
      </c>
      <c r="Y134" s="384">
        <f t="shared" si="36"/>
        <v>40.909611668576801</v>
      </c>
      <c r="Z134" s="384">
        <f t="shared" si="37"/>
        <v>43.182958754635294</v>
      </c>
      <c r="AA134" s="385">
        <f t="shared" si="38"/>
        <v>47.047206097549065</v>
      </c>
      <c r="AB134" s="196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8.2135532870996134E-2</v>
      </c>
      <c r="AD134" s="230">
        <f>(INDEX(Models!$BJ134:$BT134,,AH134)*(1-AF134)+INDEX(Models!$BJ134:$BT134,,AH134+1)*AF134-ERP_i)*AE134*Ramure*Pc/MaxiM</f>
        <v>2.5465235293429411E-4</v>
      </c>
      <c r="AE134" s="304">
        <f t="shared" si="40"/>
        <v>0.5</v>
      </c>
      <c r="AF134" s="176">
        <f t="shared" si="41"/>
        <v>0.68137166319775333</v>
      </c>
      <c r="AG134" s="814">
        <f t="shared" si="49"/>
        <v>1</v>
      </c>
      <c r="AH134" s="175">
        <f t="shared" si="42"/>
        <v>7</v>
      </c>
      <c r="AI134" s="224">
        <f t="shared" si="43"/>
        <v>1.6813716631977533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10">
        <f>'2024'!Wh/'2024'!Env_an*'2025'!Env_an</f>
        <v>43.745909085239944</v>
      </c>
      <c r="C135" s="843"/>
      <c r="D135" s="392">
        <f t="shared" si="25"/>
        <v>46.177879349288034</v>
      </c>
      <c r="E135" s="384">
        <f t="shared" si="47"/>
        <v>47.910038688605987</v>
      </c>
      <c r="F135" s="384">
        <f t="shared" si="26"/>
        <v>47.910142519828845</v>
      </c>
      <c r="G135" s="110">
        <f t="shared" si="48"/>
        <v>0.79942441503421868</v>
      </c>
      <c r="H135" s="413" t="b">
        <f>Wh_hp&gt;='2024'!Maxi_hp</f>
        <v>0</v>
      </c>
      <c r="I135" s="389">
        <f>IF(H135,Wh_hp,'2024'!Maxi_hp)</f>
        <v>56.919945297038041</v>
      </c>
      <c r="J135" s="85">
        <f>IF(H135,An,'2024'!An_max)</f>
        <v>2019</v>
      </c>
      <c r="K135" s="196">
        <f t="shared" si="27"/>
        <v>45778</v>
      </c>
      <c r="L135" s="147">
        <f>IF(t&lt;Tvie,1-EXP((T0-t)*PertePVj)+'2024'!Pspv,1-EXP((T0-t)*PertePVj)+Pspv)</f>
        <v>5.266526523777202E-2</v>
      </c>
      <c r="M135" s="847"/>
      <c r="N135" s="847"/>
      <c r="O135" s="48">
        <f>IF(t&lt;Tnet,'2024'!Resal+('2024'!Salim-'2024'!Resal)*(1-EXP(('2024'!Tnet-t)/('2024'!Tau_j))),Resal+(Salim-Resal)*(1-EXP((Tnet-t)/(Tau_j))))*Salcycl</f>
        <v>3.6154413286455918E-2</v>
      </c>
      <c r="P135" s="168">
        <f>(INDEX(Models!$BJ135:$BT135,,T135)*(1-R135)+INDEX(Models!$BJ135:$BT135,,T135+1)*R135-ERP_i)*Q135*Ramure*Pc/MaxiM</f>
        <v>3.0375831249638512E-6</v>
      </c>
      <c r="Q135" s="304">
        <f t="shared" si="28"/>
        <v>0.5</v>
      </c>
      <c r="R135" s="176">
        <f t="shared" si="29"/>
        <v>0.56803204702820187</v>
      </c>
      <c r="S135" s="814">
        <f t="shared" si="30"/>
        <v>-1</v>
      </c>
      <c r="T135" s="175">
        <f t="shared" si="31"/>
        <v>5</v>
      </c>
      <c r="U135" s="250">
        <f t="shared" si="32"/>
        <v>-0.43196795297179807</v>
      </c>
      <c r="V135" s="382">
        <f t="shared" si="33"/>
        <v>54.721710004208951</v>
      </c>
      <c r="W135" s="401">
        <f t="shared" si="34"/>
        <v>43.745909085239944</v>
      </c>
      <c r="X135" s="157">
        <f t="shared" si="35"/>
        <v>45778</v>
      </c>
      <c r="Y135" s="384">
        <f t="shared" si="36"/>
        <v>41.648514010659106</v>
      </c>
      <c r="Z135" s="384">
        <f t="shared" si="37"/>
        <v>43.963883601409897</v>
      </c>
      <c r="AA135" s="385">
        <f t="shared" si="38"/>
        <v>47.901257463737821</v>
      </c>
      <c r="AB135" s="196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8.2197714022613971E-2</v>
      </c>
      <c r="AD135" s="230">
        <f>(INDEX(Models!$BJ135:$BT135,,AH135)*(1-AF135)+INDEX(Models!$BJ135:$BT135,,AH135+1)*AF135-ERP_i)*AE135*Ramure*Pc/MaxiM</f>
        <v>2.5993237587344374E-4</v>
      </c>
      <c r="AE135" s="304">
        <f t="shared" si="40"/>
        <v>0.5</v>
      </c>
      <c r="AF135" s="176">
        <f t="shared" si="41"/>
        <v>0.68302458685258949</v>
      </c>
      <c r="AG135" s="814">
        <f t="shared" si="49"/>
        <v>1</v>
      </c>
      <c r="AH135" s="175">
        <f t="shared" si="42"/>
        <v>7</v>
      </c>
      <c r="AI135" s="224">
        <f t="shared" si="43"/>
        <v>1.6830245868525895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10">
        <f>'2024'!Wh/'2024'!Env_an*'2025'!Env_an</f>
        <v>26.499499613521827</v>
      </c>
      <c r="C136" s="843"/>
      <c r="D136" s="392">
        <f t="shared" si="25"/>
        <v>27.9733005933704</v>
      </c>
      <c r="E136" s="384">
        <f t="shared" si="47"/>
        <v>29.025231727387098</v>
      </c>
      <c r="F136" s="384">
        <f t="shared" si="26"/>
        <v>29.025257226460734</v>
      </c>
      <c r="G136" s="110">
        <f t="shared" si="48"/>
        <v>0.4837659839833941</v>
      </c>
      <c r="H136" s="413" t="b">
        <f>Wh_hp&gt;='2024'!Maxi_hp</f>
        <v>0</v>
      </c>
      <c r="I136" s="389">
        <f>IF(H136,Wh_hp,'2024'!Maxi_hp)</f>
        <v>40.444664400159141</v>
      </c>
      <c r="J136" s="85">
        <f>IF(H136,An,'2024'!An_max)</f>
        <v>2021</v>
      </c>
      <c r="K136" s="196">
        <f t="shared" si="27"/>
        <v>45779</v>
      </c>
      <c r="L136" s="147">
        <f>IF(t&lt;Tvie,1-EXP((T0-t)*PertePVj)+'2024'!Pspv,1-EXP((T0-t)*PertePVj)+Pspv)</f>
        <v>5.2685988016654008E-2</v>
      </c>
      <c r="M136" s="847"/>
      <c r="N136" s="847"/>
      <c r="O136" s="48">
        <f>IF(t&lt;Tnet,'2024'!Resal+('2024'!Salim-'2024'!Resal)*(1-EXP(('2024'!Tnet-t)/('2024'!Tau_j))),Resal+(Salim-Resal)*(1-EXP((Tnet-t)/(Tau_j))))*Salcycl</f>
        <v>3.6241954720524626E-2</v>
      </c>
      <c r="P136" s="168">
        <f>(INDEX(Models!$BJ136:$BT136,,T136)*(1-R136)+INDEX(Models!$BJ136:$BT136,,T136+1)*R136-ERP_i)*Q136*Ramure*Pc/MaxiM</f>
        <v>3.3464043802024189E-6</v>
      </c>
      <c r="Q136" s="304">
        <f t="shared" si="28"/>
        <v>0.5</v>
      </c>
      <c r="R136" s="176">
        <f t="shared" si="29"/>
        <v>0.56973153828946299</v>
      </c>
      <c r="S136" s="814">
        <f t="shared" si="30"/>
        <v>-1</v>
      </c>
      <c r="T136" s="175">
        <f t="shared" si="31"/>
        <v>5</v>
      </c>
      <c r="U136" s="250">
        <f t="shared" si="32"/>
        <v>-0.43026846171053701</v>
      </c>
      <c r="V136" s="382">
        <f t="shared" si="33"/>
        <v>54.777382232179598</v>
      </c>
      <c r="W136" s="401">
        <f t="shared" si="34"/>
        <v>26.499499613521827</v>
      </c>
      <c r="X136" s="157">
        <f t="shared" si="35"/>
        <v>45779</v>
      </c>
      <c r="Y136" s="384">
        <f t="shared" si="36"/>
        <v>25.232410745270116</v>
      </c>
      <c r="Z136" s="384">
        <f t="shared" si="37"/>
        <v>26.635741080660495</v>
      </c>
      <c r="AA136" s="385">
        <f t="shared" si="38"/>
        <v>29.02321990896866</v>
      </c>
      <c r="AB136" s="196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8.2260990882351961E-2</v>
      </c>
      <c r="AD136" s="230">
        <f>(INDEX(Models!$BJ136:$BT136,,AH136)*(1-AF136)+INDEX(Models!$BJ136:$BT136,,AH136+1)*AF136-ERP_i)*AE136*Ramure*Pc/MaxiM</f>
        <v>2.6737003376767649E-4</v>
      </c>
      <c r="AE136" s="304">
        <f t="shared" si="40"/>
        <v>0.5</v>
      </c>
      <c r="AF136" s="176">
        <f t="shared" si="41"/>
        <v>0.68472407811385039</v>
      </c>
      <c r="AG136" s="814">
        <f t="shared" si="49"/>
        <v>1</v>
      </c>
      <c r="AH136" s="175">
        <f t="shared" si="42"/>
        <v>7</v>
      </c>
      <c r="AI136" s="224">
        <f t="shared" si="43"/>
        <v>1.6847240781138504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10">
        <f>'2024'!Wh/'2024'!Env_an*'2025'!Env_an</f>
        <v>10.725913950424282</v>
      </c>
      <c r="C137" s="843"/>
      <c r="D137" s="392">
        <f t="shared" si="25"/>
        <v>11.32269600927156</v>
      </c>
      <c r="E137" s="384">
        <f t="shared" si="47"/>
        <v>11.74955709226507</v>
      </c>
      <c r="F137" s="384">
        <f t="shared" si="26"/>
        <v>11.74955709226507</v>
      </c>
      <c r="G137" s="110">
        <f t="shared" si="48"/>
        <v>0.1956300296772</v>
      </c>
      <c r="H137" s="413" t="b">
        <f>Wh_hp&gt;='2024'!Maxi_hp</f>
        <v>0</v>
      </c>
      <c r="I137" s="389">
        <f>IF(H137,Wh_hp,'2024'!Maxi_hp)</f>
        <v>59.833471224448644</v>
      </c>
      <c r="J137" s="85">
        <f>IF(H137,An,'2024'!An_max)</f>
        <v>2021</v>
      </c>
      <c r="K137" s="196">
        <f t="shared" si="27"/>
        <v>45780</v>
      </c>
      <c r="L137" s="147">
        <f>IF(t&lt;Tvie,1-EXP((T0-t)*PertePVj)+'2024'!Pspv,1-EXP((T0-t)*PertePVj)+Pspv)</f>
        <v>5.2706710341654063E-2</v>
      </c>
      <c r="M137" s="847"/>
      <c r="N137" s="847"/>
      <c r="O137" s="48">
        <f>IF(t&lt;Tnet,'2024'!Resal+('2024'!Salim-'2024'!Resal)*(1-EXP(('2024'!Tnet-t)/('2024'!Tau_j))),Resal+(Salim-Resal)*(1-EXP((Tnet-t)/(Tau_j))))*Salcycl</f>
        <v>3.6329972239934026E-2</v>
      </c>
      <c r="P137" s="168">
        <f>(INDEX(Models!$BJ137:$BT137,,T137)*(1-R137)+INDEX(Models!$BJ137:$BT137,,T137+1)*R137-ERP_i)*Q137*Ramure*Pc/MaxiM</f>
        <v>3.6872817748102048E-6</v>
      </c>
      <c r="Q137" s="304">
        <f t="shared" si="28"/>
        <v>0.5</v>
      </c>
      <c r="R137" s="176">
        <f t="shared" si="29"/>
        <v>0.57147809704880126</v>
      </c>
      <c r="S137" s="814">
        <f t="shared" si="30"/>
        <v>-1</v>
      </c>
      <c r="T137" s="175">
        <f t="shared" si="31"/>
        <v>5</v>
      </c>
      <c r="U137" s="250">
        <f t="shared" si="32"/>
        <v>-0.42852190295119874</v>
      </c>
      <c r="V137" s="382">
        <f t="shared" si="33"/>
        <v>54.82734127605827</v>
      </c>
      <c r="W137" s="401">
        <f t="shared" si="34"/>
        <v>10.725913950424282</v>
      </c>
      <c r="X137" s="157">
        <f t="shared" si="35"/>
        <v>45780</v>
      </c>
      <c r="Y137" s="384">
        <f t="shared" si="36"/>
        <v>10.213972711031506</v>
      </c>
      <c r="Z137" s="384">
        <f t="shared" si="37"/>
        <v>10.782270731290954</v>
      </c>
      <c r="AA137" s="385">
        <f t="shared" si="38"/>
        <v>11.74955709226507</v>
      </c>
      <c r="AB137" s="196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8.2325346681441827E-2</v>
      </c>
      <c r="AD137" s="230">
        <f>(INDEX(Models!$BJ137:$BT137,,AH137)*(1-AF137)+INDEX(Models!$BJ137:$BT137,,AH137+1)*AF137-ERP_i)*AE137*Ramure*Pc/MaxiM</f>
        <v>2.7616175151889852E-4</v>
      </c>
      <c r="AE137" s="304">
        <f t="shared" si="40"/>
        <v>0.5</v>
      </c>
      <c r="AF137" s="176">
        <f t="shared" si="41"/>
        <v>0.68647063687318877</v>
      </c>
      <c r="AG137" s="814">
        <f t="shared" si="49"/>
        <v>1</v>
      </c>
      <c r="AH137" s="175">
        <f t="shared" si="42"/>
        <v>7</v>
      </c>
      <c r="AI137" s="224">
        <f t="shared" si="43"/>
        <v>1.6864706368731888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10">
        <f>'2024'!Wh/'2024'!Env_an*'2025'!Env_an</f>
        <v>16.835003464755772</v>
      </c>
      <c r="C138" s="843"/>
      <c r="D138" s="392">
        <f t="shared" si="25"/>
        <v>17.772079586429395</v>
      </c>
      <c r="E138" s="384">
        <f t="shared" si="47"/>
        <v>18.443773403271241</v>
      </c>
      <c r="F138" s="384">
        <f t="shared" si="26"/>
        <v>18.443774131763213</v>
      </c>
      <c r="G138" s="110">
        <f t="shared" si="48"/>
        <v>0.30680384173280756</v>
      </c>
      <c r="H138" s="413" t="b">
        <f>Wh_hp&gt;='2024'!Maxi_hp</f>
        <v>0</v>
      </c>
      <c r="I138" s="389">
        <f>IF(H138,Wh_hp,'2024'!Maxi_hp)</f>
        <v>55.569460873367788</v>
      </c>
      <c r="J138" s="85">
        <f>IF(H138,An,'2024'!An_max)</f>
        <v>2020</v>
      </c>
      <c r="K138" s="196">
        <f t="shared" si="27"/>
        <v>45781</v>
      </c>
      <c r="L138" s="147">
        <f>IF(t&lt;Tvie,1-EXP((T0-t)*PertePVj)+'2024'!Pspv,1-EXP((T0-t)*PertePVj)+Pspv)</f>
        <v>5.2727432212782067E-2</v>
      </c>
      <c r="M138" s="847"/>
      <c r="N138" s="847"/>
      <c r="O138" s="48">
        <f>IF(t&lt;Tnet,'2024'!Resal+('2024'!Salim-'2024'!Resal)*(1-EXP(('2024'!Tnet-t)/('2024'!Tau_j))),Resal+(Salim-Resal)*(1-EXP((Tnet-t)/(Tau_j))))*Salcycl</f>
        <v>3.6418459615357876E-2</v>
      </c>
      <c r="P138" s="168">
        <f>(INDEX(Models!$BJ138:$BT138,,T138)*(1-R138)+INDEX(Models!$BJ138:$BT138,,T138+1)*R138-ERP_i)*Q138*Ramure*Pc/MaxiM</f>
        <v>4.0629364162457849E-6</v>
      </c>
      <c r="Q138" s="304">
        <f t="shared" si="28"/>
        <v>0.5</v>
      </c>
      <c r="R138" s="176">
        <f t="shared" si="29"/>
        <v>0.57327216959857552</v>
      </c>
      <c r="S138" s="814">
        <f t="shared" si="30"/>
        <v>-1</v>
      </c>
      <c r="T138" s="175">
        <f t="shared" si="31"/>
        <v>5</v>
      </c>
      <c r="U138" s="250">
        <f t="shared" si="32"/>
        <v>-0.42672783040142448</v>
      </c>
      <c r="V138" s="382">
        <f t="shared" si="33"/>
        <v>54.871984767435215</v>
      </c>
      <c r="W138" s="401">
        <f t="shared" si="34"/>
        <v>16.835003464755772</v>
      </c>
      <c r="X138" s="157">
        <f t="shared" si="35"/>
        <v>45781</v>
      </c>
      <c r="Y138" s="384">
        <f t="shared" si="36"/>
        <v>16.031764475773752</v>
      </c>
      <c r="Z138" s="384">
        <f t="shared" si="37"/>
        <v>16.924130414990444</v>
      </c>
      <c r="AA138" s="385">
        <f t="shared" si="38"/>
        <v>18.44372279181982</v>
      </c>
      <c r="AB138" s="196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8.2390762102721934E-2</v>
      </c>
      <c r="AD138" s="230">
        <f>(INDEX(Models!$BJ138:$BT138,,AH138)*(1-AF138)+INDEX(Models!$BJ138:$BT138,,AH138+1)*AF138-ERP_i)*AE138*Ramure*Pc/MaxiM</f>
        <v>2.8633249753690521E-4</v>
      </c>
      <c r="AE138" s="304">
        <f t="shared" si="40"/>
        <v>0.5</v>
      </c>
      <c r="AF138" s="176">
        <f t="shared" si="41"/>
        <v>0.68826470942296303</v>
      </c>
      <c r="AG138" s="814">
        <f t="shared" si="49"/>
        <v>1</v>
      </c>
      <c r="AH138" s="175">
        <f t="shared" si="42"/>
        <v>7</v>
      </c>
      <c r="AI138" s="224">
        <f t="shared" si="43"/>
        <v>1.688264709422963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10">
        <f>'2024'!Wh/'2024'!Env_an*'2025'!Env_an</f>
        <v>36.313358542990059</v>
      </c>
      <c r="C139" s="843"/>
      <c r="D139" s="392">
        <f t="shared" si="25"/>
        <v>38.335484572713902</v>
      </c>
      <c r="E139" s="384">
        <f t="shared" si="47"/>
        <v>39.788042945837795</v>
      </c>
      <c r="F139" s="384">
        <f t="shared" si="26"/>
        <v>39.788134872646637</v>
      </c>
      <c r="G139" s="110">
        <f t="shared" si="48"/>
        <v>0.66130302152349429</v>
      </c>
      <c r="H139" s="413" t="b">
        <f>Wh_hp&gt;='2024'!Maxi_hp</f>
        <v>0</v>
      </c>
      <c r="I139" s="389">
        <f>IF(H139,Wh_hp,'2024'!Maxi_hp)</f>
        <v>58.993355519975921</v>
      </c>
      <c r="J139" s="85">
        <f>IF(H139,An,'2024'!An_max)</f>
        <v>2020</v>
      </c>
      <c r="K139" s="196">
        <f t="shared" si="27"/>
        <v>45782</v>
      </c>
      <c r="L139" s="147">
        <f>IF(t&lt;Tvie,1-EXP((T0-t)*PertePVj)+'2024'!Pspv,1-EXP((T0-t)*PertePVj)+Pspv)</f>
        <v>5.2748153630047791E-2</v>
      </c>
      <c r="M139" s="847"/>
      <c r="N139" s="847"/>
      <c r="O139" s="48">
        <f>IF(t&lt;Tnet,'2024'!Resal+('2024'!Salim-'2024'!Resal)*(1-EXP(('2024'!Tnet-t)/('2024'!Tau_j))),Resal+(Salim-Resal)*(1-EXP((Tnet-t)/(Tau_j))))*Salcycl</f>
        <v>3.6507409401895272E-2</v>
      </c>
      <c r="P139" s="168">
        <f>(INDEX(Models!$BJ139:$BT139,,T139)*(1-R139)+INDEX(Models!$BJ139:$BT139,,T139+1)*R139-ERP_i)*Q139*Ramure*Pc/MaxiM</f>
        <v>4.4762396275056646E-6</v>
      </c>
      <c r="Q139" s="304">
        <f t="shared" si="28"/>
        <v>0.5</v>
      </c>
      <c r="R139" s="176">
        <f t="shared" si="29"/>
        <v>0.57511414443852127</v>
      </c>
      <c r="S139" s="814">
        <f t="shared" si="30"/>
        <v>-1</v>
      </c>
      <c r="T139" s="175">
        <f t="shared" si="31"/>
        <v>5</v>
      </c>
      <c r="U139" s="250">
        <f t="shared" si="32"/>
        <v>-0.42488585556147868</v>
      </c>
      <c r="V139" s="382">
        <f t="shared" si="33"/>
        <v>54.911710233102198</v>
      </c>
      <c r="W139" s="401">
        <f t="shared" si="34"/>
        <v>36.313358542990059</v>
      </c>
      <c r="X139" s="157">
        <f t="shared" si="35"/>
        <v>45782</v>
      </c>
      <c r="Y139" s="384">
        <f t="shared" si="36"/>
        <v>34.576305098854334</v>
      </c>
      <c r="Z139" s="384">
        <f t="shared" si="37"/>
        <v>36.501702510644094</v>
      </c>
      <c r="AA139" s="385">
        <f t="shared" si="38"/>
        <v>39.782016834908873</v>
      </c>
      <c r="AB139" s="196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8.2457215225606423E-2</v>
      </c>
      <c r="AD139" s="230">
        <f>(INDEX(Models!$BJ139:$BT139,,AH139)*(1-AF139)+INDEX(Models!$BJ139:$BT139,,AH139+1)*AF139-ERP_i)*AE139*Ramure*Pc/MaxiM</f>
        <v>2.9790877448570728E-4</v>
      </c>
      <c r="AE139" s="304">
        <f t="shared" si="40"/>
        <v>0.5</v>
      </c>
      <c r="AF139" s="176">
        <f t="shared" si="41"/>
        <v>0.69010668426290889</v>
      </c>
      <c r="AG139" s="814">
        <f t="shared" si="49"/>
        <v>1</v>
      </c>
      <c r="AH139" s="175">
        <f t="shared" si="42"/>
        <v>7</v>
      </c>
      <c r="AI139" s="224">
        <f t="shared" si="43"/>
        <v>1.6901066842629089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10">
        <f>'2024'!Wh/'2024'!Env_an*'2025'!Env_an</f>
        <v>35.366317430550907</v>
      </c>
      <c r="C140" s="843"/>
      <c r="D140" s="392">
        <f t="shared" si="25"/>
        <v>37.336523771188546</v>
      </c>
      <c r="E140" s="384">
        <f t="shared" si="47"/>
        <v>38.754826921328025</v>
      </c>
      <c r="F140" s="384">
        <f t="shared" si="26"/>
        <v>38.754920721783947</v>
      </c>
      <c r="G140" s="110">
        <f t="shared" si="48"/>
        <v>0.64364357127139449</v>
      </c>
      <c r="H140" s="413" t="b">
        <f>Wh_hp&gt;='2024'!Maxi_hp</f>
        <v>0</v>
      </c>
      <c r="I140" s="389">
        <f>IF(H140,Wh_hp,'2024'!Maxi_hp)</f>
        <v>62.888390720107274</v>
      </c>
      <c r="J140" s="85">
        <f>IF(H140,An,'2024'!An_max)</f>
        <v>2019</v>
      </c>
      <c r="K140" s="196">
        <f t="shared" si="27"/>
        <v>45783</v>
      </c>
      <c r="L140" s="147">
        <f>IF(t&lt;Tvie,1-EXP((T0-t)*PertePVj)+'2024'!Pspv,1-EXP((T0-t)*PertePVj)+Pspv)</f>
        <v>5.2768874593461336E-2</v>
      </c>
      <c r="M140" s="847"/>
      <c r="N140" s="847"/>
      <c r="O140" s="48">
        <f>IF(t&lt;Tnet,'2024'!Resal+('2024'!Salim-'2024'!Resal)*(1-EXP(('2024'!Tnet-t)/('2024'!Tau_j))),Resal+(Salim-Resal)*(1-EXP((Tnet-t)/(Tau_j))))*Salcycl</f>
        <v>3.6596812908457149E-2</v>
      </c>
      <c r="P140" s="168">
        <f>(INDEX(Models!$BJ140:$BT140,,T140)*(1-R140)+INDEX(Models!$BJ140:$BT140,,T140+1)*R140-ERP_i)*Q140*Ramure*Pc/MaxiM</f>
        <v>4.9302151412199918E-6</v>
      </c>
      <c r="Q140" s="304">
        <f t="shared" si="28"/>
        <v>0.5</v>
      </c>
      <c r="R140" s="176">
        <f t="shared" si="29"/>
        <v>0.57700434805532619</v>
      </c>
      <c r="S140" s="814">
        <f t="shared" si="30"/>
        <v>-1</v>
      </c>
      <c r="T140" s="175">
        <f t="shared" si="31"/>
        <v>5</v>
      </c>
      <c r="U140" s="250">
        <f t="shared" si="32"/>
        <v>-0.42299565194467381</v>
      </c>
      <c r="V140" s="382">
        <f t="shared" si="33"/>
        <v>54.946915100502835</v>
      </c>
      <c r="W140" s="401">
        <f t="shared" si="34"/>
        <v>35.366317430550907</v>
      </c>
      <c r="X140" s="157">
        <f t="shared" si="35"/>
        <v>45783</v>
      </c>
      <c r="Y140" s="384">
        <f t="shared" si="36"/>
        <v>33.675256212692709</v>
      </c>
      <c r="Z140" s="384">
        <f t="shared" si="37"/>
        <v>35.551255981204953</v>
      </c>
      <c r="AA140" s="385">
        <f t="shared" si="38"/>
        <v>38.749005301269648</v>
      </c>
      <c r="AB140" s="196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8.2524681477692582E-2</v>
      </c>
      <c r="AD140" s="230">
        <f>(INDEX(Models!$BJ140:$BT140,,AH140)*(1-AF140)+INDEX(Models!$BJ140:$BT140,,AH140+1)*AF140-ERP_i)*AE140*Ramure*Pc/MaxiM</f>
        <v>3.1091848649110368E-4</v>
      </c>
      <c r="AE140" s="304">
        <f t="shared" si="40"/>
        <v>0.5</v>
      </c>
      <c r="AF140" s="176">
        <f t="shared" si="41"/>
        <v>0.69199688787971358</v>
      </c>
      <c r="AG140" s="814">
        <f t="shared" si="49"/>
        <v>1</v>
      </c>
      <c r="AH140" s="175">
        <f t="shared" si="42"/>
        <v>7</v>
      </c>
      <c r="AI140" s="224">
        <f t="shared" si="43"/>
        <v>1.6919968878797136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10">
        <f>'2024'!Wh/'2024'!Env_an*'2025'!Env_an</f>
        <v>46.690580142693044</v>
      </c>
      <c r="C141" s="843"/>
      <c r="D141" s="392">
        <f t="shared" si="25"/>
        <v>49.292723033138351</v>
      </c>
      <c r="E141" s="384">
        <f t="shared" si="47"/>
        <v>51.169978650825961</v>
      </c>
      <c r="F141" s="384">
        <f t="shared" si="26"/>
        <v>51.170196592164601</v>
      </c>
      <c r="G141" s="110">
        <f t="shared" si="48"/>
        <v>0.84925840113018214</v>
      </c>
      <c r="H141" s="413" t="b">
        <f>Wh_hp&gt;='2024'!Maxi_hp</f>
        <v>0</v>
      </c>
      <c r="I141" s="389">
        <f>IF(H141,Wh_hp,'2024'!Maxi_hp)</f>
        <v>58.152952169417603</v>
      </c>
      <c r="J141" s="85">
        <f>IF(H141,An,'2024'!An_max)</f>
        <v>2020</v>
      </c>
      <c r="K141" s="196">
        <f t="shared" si="27"/>
        <v>45784</v>
      </c>
      <c r="L141" s="147">
        <f>IF(t&lt;Tvie,1-EXP((T0-t)*PertePVj)+'2024'!Pspv,1-EXP((T0-t)*PertePVj)+Pspv)</f>
        <v>5.2789595103032695E-2</v>
      </c>
      <c r="M141" s="847"/>
      <c r="N141" s="847"/>
      <c r="O141" s="48">
        <f>IF(t&lt;Tnet,'2024'!Resal+('2024'!Salim-'2024'!Resal)*(1-EXP(('2024'!Tnet-t)/('2024'!Tau_j))),Resal+(Salim-Resal)*(1-EXP((Tnet-t)/(Tau_j))))*Salcycl</f>
        <v>3.6686660170363469E-2</v>
      </c>
      <c r="P141" s="168">
        <f>(INDEX(Models!$BJ141:$BT141,,T141)*(1-R141)+INDEX(Models!$BJ141:$BT141,,T141+1)*R141-ERP_i)*Q141*Ramure*Pc/MaxiM</f>
        <v>5.4280404493629206E-6</v>
      </c>
      <c r="Q141" s="304">
        <f t="shared" si="28"/>
        <v>0.5</v>
      </c>
      <c r="R141" s="176">
        <f t="shared" si="29"/>
        <v>0.57894304069841751</v>
      </c>
      <c r="S141" s="814">
        <f t="shared" si="30"/>
        <v>-1</v>
      </c>
      <c r="T141" s="175">
        <f t="shared" si="31"/>
        <v>5</v>
      </c>
      <c r="U141" s="250">
        <f t="shared" si="32"/>
        <v>-0.42105695930158243</v>
      </c>
      <c r="V141" s="382">
        <f t="shared" si="33"/>
        <v>54.97799668977774</v>
      </c>
      <c r="W141" s="401">
        <f t="shared" si="34"/>
        <v>46.690580142693044</v>
      </c>
      <c r="X141" s="157">
        <f t="shared" si="35"/>
        <v>45784</v>
      </c>
      <c r="Y141" s="384">
        <f t="shared" si="36"/>
        <v>44.454387788801817</v>
      </c>
      <c r="Z141" s="384">
        <f t="shared" si="37"/>
        <v>46.931903998285726</v>
      </c>
      <c r="AA141" s="385">
        <f t="shared" si="38"/>
        <v>51.157131821067615</v>
      </c>
      <c r="AB141" s="196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8.2593133593972315E-2</v>
      </c>
      <c r="AD141" s="230">
        <f>(INDEX(Models!$BJ141:$BT141,,AH141)*(1-AF141)+INDEX(Models!$BJ141:$BT141,,AH141+1)*AF141-ERP_i)*AE141*Ramure*Pc/MaxiM</f>
        <v>3.2539079744583945E-4</v>
      </c>
      <c r="AE141" s="304">
        <f t="shared" si="40"/>
        <v>0.5</v>
      </c>
      <c r="AF141" s="176">
        <f t="shared" si="41"/>
        <v>0.69393558052280513</v>
      </c>
      <c r="AG141" s="814">
        <f t="shared" si="49"/>
        <v>1</v>
      </c>
      <c r="AH141" s="175">
        <f t="shared" si="42"/>
        <v>7</v>
      </c>
      <c r="AI141" s="224">
        <f t="shared" si="43"/>
        <v>1.6939355805228051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10">
        <f>'2024'!Wh/'2024'!Env_an*'2025'!Env_an</f>
        <v>48.115281551940789</v>
      </c>
      <c r="C142" s="843"/>
      <c r="D142" s="392">
        <f t="shared" si="25"/>
        <v>50.797936592823078</v>
      </c>
      <c r="E142" s="384">
        <f t="shared" si="47"/>
        <v>52.737458952550739</v>
      </c>
      <c r="F142" s="384">
        <f t="shared" si="26"/>
        <v>52.737717570462401</v>
      </c>
      <c r="G142" s="110">
        <f t="shared" si="48"/>
        <v>0.87473724214464721</v>
      </c>
      <c r="H142" s="413" t="b">
        <f>Wh_hp&gt;='2024'!Maxi_hp</f>
        <v>0</v>
      </c>
      <c r="I142" s="389">
        <f>IF(H142,Wh_hp,'2024'!Maxi_hp)</f>
        <v>57.718187862260137</v>
      </c>
      <c r="J142" s="85">
        <f>IF(H142,An,'2024'!An_max)</f>
        <v>2021</v>
      </c>
      <c r="K142" s="196">
        <f t="shared" si="27"/>
        <v>45785</v>
      </c>
      <c r="L142" s="147">
        <f>IF(t&lt;Tvie,1-EXP((T0-t)*PertePVj)+'2024'!Pspv,1-EXP((T0-t)*PertePVj)+Pspv)</f>
        <v>5.2810315158771638E-2</v>
      </c>
      <c r="M142" s="847"/>
      <c r="N142" s="847"/>
      <c r="O142" s="48">
        <f>IF(t&lt;Tnet,'2024'!Resal+('2024'!Salim-'2024'!Resal)*(1-EXP(('2024'!Tnet-t)/('2024'!Tau_j))),Resal+(Salim-Resal)*(1-EXP((Tnet-t)/(Tau_j))))*Salcycl</f>
        <v>3.6776939925617105E-2</v>
      </c>
      <c r="P142" s="168">
        <f>(INDEX(Models!$BJ142:$BT142,,T142)*(1-R142)+INDEX(Models!$BJ142:$BT142,,T142+1)*R142-ERP_i)*Q142*Ramure*Pc/MaxiM</f>
        <v>5.9726252261621035E-6</v>
      </c>
      <c r="Q142" s="304">
        <f t="shared" si="28"/>
        <v>0.5</v>
      </c>
      <c r="R142" s="176">
        <f t="shared" si="29"/>
        <v>0.58093041217729735</v>
      </c>
      <c r="S142" s="814">
        <f t="shared" si="30"/>
        <v>-1</v>
      </c>
      <c r="T142" s="175">
        <f t="shared" si="31"/>
        <v>5</v>
      </c>
      <c r="U142" s="250">
        <f t="shared" si="32"/>
        <v>-0.41906958782270265</v>
      </c>
      <c r="V142" s="382">
        <f t="shared" si="33"/>
        <v>55.005352246522762</v>
      </c>
      <c r="W142" s="401">
        <f t="shared" si="34"/>
        <v>48.115281551940789</v>
      </c>
      <c r="X142" s="157">
        <f t="shared" si="35"/>
        <v>45785</v>
      </c>
      <c r="Y142" s="384">
        <f t="shared" si="36"/>
        <v>45.810569914119235</v>
      </c>
      <c r="Z142" s="384">
        <f t="shared" si="37"/>
        <v>48.364726355522109</v>
      </c>
      <c r="AA142" s="385">
        <f t="shared" si="38"/>
        <v>52.722938447392323</v>
      </c>
      <c r="AB142" s="196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8.2662541584606494E-2</v>
      </c>
      <c r="AD142" s="230">
        <f>(INDEX(Models!$BJ142:$BT142,,AH142)*(1-AF142)+INDEX(Models!$BJ142:$BT142,,AH142+1)*AF142-ERP_i)*AE142*Ramure*Pc/MaxiM</f>
        <v>3.4131496423889365E-4</v>
      </c>
      <c r="AE142" s="304">
        <f t="shared" si="40"/>
        <v>0.5</v>
      </c>
      <c r="AF142" s="176">
        <f t="shared" si="41"/>
        <v>0.69592295200168475</v>
      </c>
      <c r="AG142" s="814">
        <f t="shared" si="49"/>
        <v>1</v>
      </c>
      <c r="AH142" s="175">
        <f t="shared" si="42"/>
        <v>7</v>
      </c>
      <c r="AI142" s="224">
        <f t="shared" si="43"/>
        <v>1.6959229520016847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10">
        <f>'2024'!Wh/'2024'!Env_an*'2025'!Env_an</f>
        <v>52.861743108736754</v>
      </c>
      <c r="C143" s="843"/>
      <c r="D143" s="392">
        <f t="shared" ref="D143:D206" si="50">Wh/(1-Ppv)</f>
        <v>55.810256721598449</v>
      </c>
      <c r="E143" s="384">
        <f t="shared" si="47"/>
        <v>57.946611510538865</v>
      </c>
      <c r="F143" s="384">
        <f t="shared" ref="F143:F206" si="51">Wh_sa/(1-Pvg*MEDIAN((-Sdif+Wh/Env_an)/Csdif,0,1))</f>
        <v>57.946970080239403</v>
      </c>
      <c r="G143" s="110">
        <f t="shared" si="48"/>
        <v>0.96060911671627502</v>
      </c>
      <c r="H143" s="413" t="b">
        <f>Wh_hp&gt;='2024'!Maxi_hp</f>
        <v>1</v>
      </c>
      <c r="I143" s="389">
        <f>IF(H143,Wh_hp,'2024'!Maxi_hp)</f>
        <v>57.946970080239403</v>
      </c>
      <c r="J143" s="85">
        <f>IF(H143,An,'2024'!An_max)</f>
        <v>2025</v>
      </c>
      <c r="K143" s="196">
        <f t="shared" ref="K143:K206" si="52">t</f>
        <v>45786</v>
      </c>
      <c r="L143" s="147">
        <f>IF(t&lt;Tvie,1-EXP((T0-t)*PertePVj)+'2024'!Pspv,1-EXP((T0-t)*PertePVj)+Pspv)</f>
        <v>5.2831034760688157E-2</v>
      </c>
      <c r="M143" s="847"/>
      <c r="N143" s="847"/>
      <c r="O143" s="48">
        <f>IF(t&lt;Tnet,'2024'!Resal+('2024'!Salim-'2024'!Resal)*(1-EXP(('2024'!Tnet-t)/('2024'!Tau_j))),Resal+(Salim-Resal)*(1-EXP((Tnet-t)/(Tau_j))))*Salcycl</f>
        <v>3.6867639595317359E-2</v>
      </c>
      <c r="P143" s="168">
        <f>(INDEX(Models!$BJ143:$BT143,,T143)*(1-R143)+INDEX(Models!$BJ143:$BT143,,T143+1)*R143-ERP_i)*Q143*Ramure*Pc/MaxiM</f>
        <v>6.5568628564985549E-6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0.58296657770770455</v>
      </c>
      <c r="S143" s="814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-0.41703342229229545</v>
      </c>
      <c r="V143" s="382">
        <f t="shared" ref="V143:V206" si="58">MaxiM*(1-Ppv)*(1-Pvg)*(1-Psa)</f>
        <v>55.029379468074652</v>
      </c>
      <c r="W143" s="401">
        <f t="shared" ref="W143:W206" si="59">Wh*(A143&gt;Tmaj)</f>
        <v>52.861743108736754</v>
      </c>
      <c r="X143" s="157">
        <f t="shared" ref="X143:X206" si="60">t</f>
        <v>45786</v>
      </c>
      <c r="Y143" s="384">
        <f t="shared" ref="Y143:Y206" si="61">Wh_pvt_s*(1-Ppv)</f>
        <v>50.327737802057122</v>
      </c>
      <c r="Z143" s="384">
        <f t="shared" ref="Z143:Z206" si="62">Wh_sa_s*(1-Psa_s)</f>
        <v>53.134910083694848</v>
      </c>
      <c r="AA143" s="385">
        <f t="shared" ref="AA143:AA206" si="63">Wh_hp*(1-Pvg_s*MEDIAN((-Sdif+Wh/Env_an)/Csdif,0,1))</f>
        <v>57.92741122295066</v>
      </c>
      <c r="AB143" s="196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8.2732872712203004E-2</v>
      </c>
      <c r="AD143" s="230">
        <f>(INDEX(Models!$BJ143:$BT143,,AH143)*(1-AF143)+INDEX(Models!$BJ143:$BT143,,AH143+1)*AF143-ERP_i)*AE143*Ramure*Pc/MaxiM</f>
        <v>3.5765639060016558E-4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0.69795911753209205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1.6979591175320921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10">
        <f>'2024'!Wh/'2024'!Env_an*'2025'!Env_an</f>
        <v>48.84021875011544</v>
      </c>
      <c r="C144" s="843"/>
      <c r="D144" s="392">
        <f t="shared" si="50"/>
        <v>51.56554842568147</v>
      </c>
      <c r="E144" s="384">
        <f t="shared" ref="E144:E169" si="72">Wh_pvt/(1-Psa)</f>
        <v>53.544485422970965</v>
      </c>
      <c r="F144" s="384">
        <f t="shared" si="51"/>
        <v>53.544808041153175</v>
      </c>
      <c r="G144" s="110">
        <f t="shared" ref="G144:G169" si="73">+Wh_hp/MaxiM</f>
        <v>0.88718874471469156</v>
      </c>
      <c r="H144" s="413" t="b">
        <f>Wh_hp&gt;='2024'!Maxi_hp</f>
        <v>1</v>
      </c>
      <c r="I144" s="389">
        <f>IF(H144,Wh_hp,'2024'!Maxi_hp)</f>
        <v>53.544808041153175</v>
      </c>
      <c r="J144" s="85">
        <f>IF(H144,An,'2024'!An_max)</f>
        <v>2025</v>
      </c>
      <c r="K144" s="196">
        <f t="shared" si="52"/>
        <v>45787</v>
      </c>
      <c r="L144" s="147">
        <f>IF(t&lt;Tvie,1-EXP((T0-t)*PertePVj)+'2024'!Pspv,1-EXP((T0-t)*PertePVj)+Pspv)</f>
        <v>5.2851753908792244E-2</v>
      </c>
      <c r="M144" s="847"/>
      <c r="N144" s="847"/>
      <c r="O144" s="48">
        <f>IF(t&lt;Tnet,'2024'!Resal+('2024'!Salim-'2024'!Resal)*(1-EXP(('2024'!Tnet-t)/('2024'!Tau_j))),Resal+(Salim-Resal)*(1-EXP((Tnet-t)/(Tau_j))))*Salcycl</f>
        <v>3.6958745268667999E-2</v>
      </c>
      <c r="P144" s="168">
        <f>(INDEX(Models!$BJ144:$BT144,,T144)*(1-R144)+INDEX(Models!$BJ144:$BT144,,T144+1)*R144-ERP_i)*Q144*Ramure*Pc/MaxiM</f>
        <v>7.1827546494174816E-6</v>
      </c>
      <c r="Q144" s="304">
        <f t="shared" si="53"/>
        <v>0.5</v>
      </c>
      <c r="R144" s="176">
        <f t="shared" si="54"/>
        <v>0.58505157383573558</v>
      </c>
      <c r="S144" s="814">
        <f t="shared" si="55"/>
        <v>-1</v>
      </c>
      <c r="T144" s="175">
        <f t="shared" si="56"/>
        <v>5</v>
      </c>
      <c r="U144" s="250">
        <f t="shared" si="57"/>
        <v>-0.41494842616426447</v>
      </c>
      <c r="V144" s="382">
        <f t="shared" si="58"/>
        <v>55.050475454648897</v>
      </c>
      <c r="W144" s="401">
        <f t="shared" si="59"/>
        <v>48.84021875011544</v>
      </c>
      <c r="X144" s="157">
        <f t="shared" si="60"/>
        <v>45787</v>
      </c>
      <c r="Y144" s="384">
        <f t="shared" si="61"/>
        <v>46.500862535560003</v>
      </c>
      <c r="Z144" s="384">
        <f t="shared" si="62"/>
        <v>49.095653956457944</v>
      </c>
      <c r="AA144" s="385">
        <f t="shared" si="63"/>
        <v>53.527990585624309</v>
      </c>
      <c r="AB144" s="196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8.2804091479509609E-2</v>
      </c>
      <c r="AD144" s="230">
        <f>(INDEX(Models!$BJ144:$BT144,,AH144)*(1-AF144)+INDEX(Models!$BJ144:$BT144,,AH144+1)*AF144-ERP_i)*AE144*Ramure*Pc/MaxiM</f>
        <v>3.7442296669490318E-4</v>
      </c>
      <c r="AE144" s="304">
        <f t="shared" si="65"/>
        <v>0.5</v>
      </c>
      <c r="AF144" s="176">
        <f t="shared" si="66"/>
        <v>0.70004411366012298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1.700044113660123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10">
        <f>'2024'!Wh/'2024'!Env_an*'2025'!Env_an</f>
        <v>53.145081041558868</v>
      </c>
      <c r="C145" s="843"/>
      <c r="D145" s="392">
        <f t="shared" si="50"/>
        <v>56.111853477243223</v>
      </c>
      <c r="E145" s="384">
        <f t="shared" si="72"/>
        <v>58.270800727856113</v>
      </c>
      <c r="F145" s="384">
        <f t="shared" si="51"/>
        <v>58.271235456095248</v>
      </c>
      <c r="G145" s="110">
        <f t="shared" si="73"/>
        <v>0.96506245449074579</v>
      </c>
      <c r="H145" s="413" t="b">
        <f>Wh_hp&gt;='2024'!Maxi_hp</f>
        <v>1</v>
      </c>
      <c r="I145" s="389">
        <f>IF(H145,Wh_hp,'2024'!Maxi_hp)</f>
        <v>58.271235456095248</v>
      </c>
      <c r="J145" s="85">
        <f>IF(H145,An,'2024'!An_max)</f>
        <v>2025</v>
      </c>
      <c r="K145" s="196">
        <f t="shared" si="52"/>
        <v>45788</v>
      </c>
      <c r="L145" s="147">
        <f>IF(t&lt;Tvie,1-EXP((T0-t)*PertePVj)+'2024'!Pspv,1-EXP((T0-t)*PertePVj)+Pspv)</f>
        <v>5.287247260309378E-2</v>
      </c>
      <c r="M145" s="847"/>
      <c r="N145" s="847"/>
      <c r="O145" s="48">
        <f>IF(t&lt;Tnet,'2024'!Resal+('2024'!Salim-'2024'!Resal)*(1-EXP(('2024'!Tnet-t)/('2024'!Tau_j))),Resal+(Salim-Resal)*(1-EXP((Tnet-t)/(Tau_j))))*Salcycl</f>
        <v>3.7050241693020292E-2</v>
      </c>
      <c r="P145" s="168">
        <f>(INDEX(Models!$BJ145:$BT145,,T145)*(1-R145)+INDEX(Models!$BJ145:$BT145,,T145+1)*R145-ERP_i)*Q145*Ramure*Pc/MaxiM</f>
        <v>7.8523380530961264E-6</v>
      </c>
      <c r="Q145" s="304">
        <f t="shared" si="53"/>
        <v>0.5</v>
      </c>
      <c r="R145" s="176">
        <f t="shared" si="54"/>
        <v>0.58718535447075404</v>
      </c>
      <c r="S145" s="814">
        <f t="shared" si="55"/>
        <v>-1</v>
      </c>
      <c r="T145" s="175">
        <f t="shared" si="56"/>
        <v>5</v>
      </c>
      <c r="U145" s="250">
        <f t="shared" si="57"/>
        <v>-0.41281464552924596</v>
      </c>
      <c r="V145" s="382">
        <f t="shared" si="58"/>
        <v>55.069037206767057</v>
      </c>
      <c r="W145" s="401">
        <f t="shared" si="59"/>
        <v>53.145081041558868</v>
      </c>
      <c r="X145" s="157">
        <f t="shared" si="60"/>
        <v>45788</v>
      </c>
      <c r="Y145" s="384">
        <f t="shared" si="61"/>
        <v>50.597498652985884</v>
      </c>
      <c r="Z145" s="384">
        <f t="shared" si="62"/>
        <v>53.422054780783853</v>
      </c>
      <c r="AA145" s="385">
        <f t="shared" si="63"/>
        <v>58.249554126886167</v>
      </c>
      <c r="AB145" s="196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8.2876159628389207E-2</v>
      </c>
      <c r="AD145" s="230">
        <f>(INDEX(Models!$BJ145:$BT145,,AH145)*(1-AF145)+INDEX(Models!$BJ145:$BT145,,AH145+1)*AF145-ERP_i)*AE145*Ramure*Pc/MaxiM</f>
        <v>3.9162196302037176E-4</v>
      </c>
      <c r="AE145" s="304">
        <f t="shared" si="65"/>
        <v>0.5</v>
      </c>
      <c r="AF145" s="176">
        <f t="shared" si="66"/>
        <v>0.70217789429514155</v>
      </c>
      <c r="AG145" s="814">
        <f t="shared" si="74"/>
        <v>1</v>
      </c>
      <c r="AH145" s="175">
        <f t="shared" si="67"/>
        <v>7</v>
      </c>
      <c r="AI145" s="224">
        <f t="shared" si="68"/>
        <v>1.7021778942951415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10">
        <f>'2024'!Wh/'2024'!Env_an*'2025'!Env_an</f>
        <v>41.663756614187413</v>
      </c>
      <c r="C146" s="843"/>
      <c r="D146" s="392">
        <f t="shared" si="50"/>
        <v>43.990557571112774</v>
      </c>
      <c r="E146" s="384">
        <f t="shared" si="72"/>
        <v>45.687487355786942</v>
      </c>
      <c r="F146" s="384">
        <f t="shared" si="51"/>
        <v>45.687742544027031</v>
      </c>
      <c r="G146" s="110">
        <f t="shared" si="73"/>
        <v>0.75634534298974143</v>
      </c>
      <c r="H146" s="413" t="b">
        <f>Wh_hp&gt;='2024'!Maxi_hp</f>
        <v>0</v>
      </c>
      <c r="I146" s="389">
        <f>IF(H146,Wh_hp,'2024'!Maxi_hp)</f>
        <v>55.50428873596136</v>
      </c>
      <c r="J146" s="85">
        <f>IF(H146,An,'2024'!An_max)</f>
        <v>2019</v>
      </c>
      <c r="K146" s="196">
        <f t="shared" si="52"/>
        <v>45789</v>
      </c>
      <c r="L146" s="147">
        <f>IF(t&lt;Tvie,1-EXP((T0-t)*PertePVj)+'2024'!Pspv,1-EXP((T0-t)*PertePVj)+Pspv)</f>
        <v>5.2893190843602757E-2</v>
      </c>
      <c r="M146" s="847"/>
      <c r="N146" s="847"/>
      <c r="O146" s="48">
        <f>IF(t&lt;Tnet,'2024'!Resal+('2024'!Salim-'2024'!Resal)*(1-EXP(('2024'!Tnet-t)/('2024'!Tau_j))),Resal+(Salim-Resal)*(1-EXP((Tnet-t)/(Tau_j))))*Salcycl</f>
        <v>3.7142112269372363E-2</v>
      </c>
      <c r="P146" s="168">
        <f>(INDEX(Models!$BJ146:$BT146,,T146)*(1-R146)+INDEX(Models!$BJ146:$BT146,,T146+1)*R146-ERP_i)*Q146*Ramure*Pc/MaxiM</f>
        <v>8.5676798041871004E-6</v>
      </c>
      <c r="Q146" s="304">
        <f t="shared" si="53"/>
        <v>0.5</v>
      </c>
      <c r="R146" s="176">
        <f t="shared" si="54"/>
        <v>0.58936778705945136</v>
      </c>
      <c r="S146" s="814">
        <f t="shared" si="55"/>
        <v>-1</v>
      </c>
      <c r="T146" s="175">
        <f t="shared" si="56"/>
        <v>5</v>
      </c>
      <c r="U146" s="250">
        <f t="shared" si="57"/>
        <v>-0.41063221294054869</v>
      </c>
      <c r="V146" s="382">
        <f t="shared" si="58"/>
        <v>55.085461621803056</v>
      </c>
      <c r="W146" s="401">
        <f t="shared" si="59"/>
        <v>41.663756614187413</v>
      </c>
      <c r="X146" s="157">
        <f t="shared" si="60"/>
        <v>45789</v>
      </c>
      <c r="Y146" s="384">
        <f t="shared" si="61"/>
        <v>39.671282647875671</v>
      </c>
      <c r="Z146" s="384">
        <f t="shared" si="62"/>
        <v>41.886809665333836</v>
      </c>
      <c r="AA146" s="385">
        <f t="shared" si="63"/>
        <v>45.675552740846285</v>
      </c>
      <c r="AB146" s="196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8.2949036150892302E-2</v>
      </c>
      <c r="AD146" s="230">
        <f>(INDEX(Models!$BJ146:$BT146,,AH146)*(1-AF146)+INDEX(Models!$BJ146:$BT146,,AH146+1)*AF146-ERP_i)*AE146*Ramure*Pc/MaxiM</f>
        <v>4.0925996626290777E-4</v>
      </c>
      <c r="AE146" s="304">
        <f t="shared" si="65"/>
        <v>0.5</v>
      </c>
      <c r="AF146" s="176">
        <f t="shared" si="66"/>
        <v>0.70436032688383876</v>
      </c>
      <c r="AG146" s="814">
        <f t="shared" si="74"/>
        <v>1</v>
      </c>
      <c r="AH146" s="175">
        <f t="shared" si="67"/>
        <v>7</v>
      </c>
      <c r="AI146" s="224">
        <f t="shared" si="68"/>
        <v>1.7043603268838388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10">
        <f>'2024'!Wh/'2024'!Env_an*'2025'!Env_an</f>
        <v>43.704201573333656</v>
      </c>
      <c r="C147" s="843"/>
      <c r="D147" s="392">
        <f t="shared" si="50"/>
        <v>46.145964946152759</v>
      </c>
      <c r="E147" s="384">
        <f t="shared" si="72"/>
        <v>47.93063028525237</v>
      </c>
      <c r="F147" s="384">
        <f t="shared" si="51"/>
        <v>47.93094538159292</v>
      </c>
      <c r="G147" s="110">
        <f t="shared" si="73"/>
        <v>0.79317542073383074</v>
      </c>
      <c r="H147" s="413" t="b">
        <f>Wh_hp&gt;='2024'!Maxi_hp</f>
        <v>0</v>
      </c>
      <c r="I147" s="389">
        <f>IF(H147,Wh_hp,'2024'!Maxi_hp)</f>
        <v>62.466176005743364</v>
      </c>
      <c r="J147" s="85">
        <f>IF(H147,An,'2024'!An_max)</f>
        <v>2019</v>
      </c>
      <c r="K147" s="196">
        <f t="shared" si="52"/>
        <v>45790</v>
      </c>
      <c r="L147" s="147">
        <f>IF(t&lt;Tvie,1-EXP((T0-t)*PertePVj)+'2024'!Pspv,1-EXP((T0-t)*PertePVj)+Pspv)</f>
        <v>5.2913908630329166E-2</v>
      </c>
      <c r="M147" s="847"/>
      <c r="N147" s="847"/>
      <c r="O147" s="48">
        <f>IF(t&lt;Tnet,'2024'!Resal+('2024'!Salim-'2024'!Resal)*(1-EXP(('2024'!Tnet-t)/('2024'!Tau_j))),Resal+(Salim-Resal)*(1-EXP((Tnet-t)/(Tau_j))))*Salcycl</f>
        <v>3.7234339053720519E-2</v>
      </c>
      <c r="P147" s="168">
        <f>(INDEX(Models!$BJ147:$BT147,,T147)*(1-R147)+INDEX(Models!$BJ147:$BT147,,T147+1)*R147-ERP_i)*Q147*Ramure*Pc/MaxiM</f>
        <v>9.3308682004292523E-6</v>
      </c>
      <c r="Q147" s="304">
        <f t="shared" si="53"/>
        <v>0.5</v>
      </c>
      <c r="R147" s="176">
        <f t="shared" si="54"/>
        <v>0.59159864893472258</v>
      </c>
      <c r="S147" s="814">
        <f t="shared" si="55"/>
        <v>-1</v>
      </c>
      <c r="T147" s="175">
        <f t="shared" si="56"/>
        <v>5</v>
      </c>
      <c r="U147" s="250">
        <f t="shared" si="57"/>
        <v>-0.40840135106527742</v>
      </c>
      <c r="V147" s="382">
        <f t="shared" si="58"/>
        <v>55.100145493463316</v>
      </c>
      <c r="W147" s="401">
        <f t="shared" si="59"/>
        <v>43.704201573333656</v>
      </c>
      <c r="X147" s="157">
        <f t="shared" si="60"/>
        <v>45790</v>
      </c>
      <c r="Y147" s="384">
        <f t="shared" si="61"/>
        <v>41.613406821738714</v>
      </c>
      <c r="Z147" s="384">
        <f t="shared" si="62"/>
        <v>43.93835703104628</v>
      </c>
      <c r="AA147" s="385">
        <f t="shared" si="63"/>
        <v>47.916514338983845</v>
      </c>
      <c r="AB147" s="196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8.3022677313174711E-2</v>
      </c>
      <c r="AD147" s="230">
        <f>(INDEX(Models!$BJ147:$BT147,,AH147)*(1-AF147)+INDEX(Models!$BJ147:$BT147,,AH147+1)*AF147-ERP_i)*AE147*Ramure*Pc/MaxiM</f>
        <v>4.2734281313139841E-4</v>
      </c>
      <c r="AE147" s="304">
        <f t="shared" si="65"/>
        <v>0.5</v>
      </c>
      <c r="AF147" s="176">
        <f t="shared" si="66"/>
        <v>0.70659118875911009</v>
      </c>
      <c r="AG147" s="814">
        <f t="shared" si="74"/>
        <v>1</v>
      </c>
      <c r="AH147" s="175">
        <f t="shared" si="67"/>
        <v>7</v>
      </c>
      <c r="AI147" s="224">
        <f t="shared" si="68"/>
        <v>1.7065911887591101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10">
        <f>'2024'!Wh/'2024'!Env_an*'2025'!Env_an</f>
        <v>46.149694162721538</v>
      </c>
      <c r="C148" s="843"/>
      <c r="D148" s="392">
        <f t="shared" si="50"/>
        <v>48.729153686630653</v>
      </c>
      <c r="E148" s="384">
        <f t="shared" si="72"/>
        <v>50.618588829969603</v>
      </c>
      <c r="F148" s="384">
        <f t="shared" si="51"/>
        <v>50.61898300415325</v>
      </c>
      <c r="G148" s="110">
        <f t="shared" si="73"/>
        <v>0.83735559384797709</v>
      </c>
      <c r="H148" s="413" t="b">
        <f>Wh_hp&gt;='2024'!Maxi_hp</f>
        <v>0</v>
      </c>
      <c r="I148" s="389">
        <f>IF(H148,Wh_hp,'2024'!Maxi_hp)</f>
        <v>61.499322120098213</v>
      </c>
      <c r="J148" s="85">
        <f>IF(H148,An,'2024'!An_max)</f>
        <v>2019</v>
      </c>
      <c r="K148" s="196">
        <f t="shared" si="52"/>
        <v>45791</v>
      </c>
      <c r="L148" s="147">
        <f>IF(t&lt;Tvie,1-EXP((T0-t)*PertePVj)+'2024'!Pspv,1-EXP((T0-t)*PertePVj)+Pspv)</f>
        <v>5.2934625963282779E-2</v>
      </c>
      <c r="M148" s="847"/>
      <c r="N148" s="847"/>
      <c r="O148" s="48">
        <f>IF(t&lt;Tnet,'2024'!Resal+('2024'!Salim-'2024'!Resal)*(1-EXP(('2024'!Tnet-t)/('2024'!Tau_j))),Resal+(Salim-Resal)*(1-EXP((Tnet-t)/(Tau_j))))*Salcycl</f>
        <v>3.7326902764627794E-2</v>
      </c>
      <c r="P148" s="168">
        <f>(INDEX(Models!$BJ148:$BT148,,T148)*(1-R148)+INDEX(Models!$BJ148:$BT148,,T148+1)*R148-ERP_i)*Q148*Ramure*Pc/MaxiM</f>
        <v>1.0144004475620862E-5</v>
      </c>
      <c r="Q148" s="304">
        <f t="shared" si="53"/>
        <v>0.5</v>
      </c>
      <c r="R148" s="176">
        <f t="shared" si="54"/>
        <v>0.59387762387408394</v>
      </c>
      <c r="S148" s="814">
        <f t="shared" si="55"/>
        <v>-1</v>
      </c>
      <c r="T148" s="175">
        <f t="shared" si="56"/>
        <v>5</v>
      </c>
      <c r="U148" s="250">
        <f t="shared" si="57"/>
        <v>-0.40612237612591601</v>
      </c>
      <c r="V148" s="382">
        <f t="shared" si="58"/>
        <v>55.113485512837904</v>
      </c>
      <c r="W148" s="401">
        <f t="shared" si="59"/>
        <v>46.149694162721538</v>
      </c>
      <c r="X148" s="157">
        <f t="shared" si="60"/>
        <v>45791</v>
      </c>
      <c r="Y148" s="384">
        <f t="shared" si="61"/>
        <v>43.940811717108055</v>
      </c>
      <c r="Z148" s="384">
        <f t="shared" si="62"/>
        <v>46.396809472420323</v>
      </c>
      <c r="AA148" s="385">
        <f t="shared" si="63"/>
        <v>50.601657240889672</v>
      </c>
      <c r="AB148" s="196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8.3097036692931489E-2</v>
      </c>
      <c r="AD148" s="230">
        <f>(INDEX(Models!$BJ148:$BT148,,AH148)*(1-AF148)+INDEX(Models!$BJ148:$BT148,,AH148+1)*AF148-ERP_i)*AE148*Ramure*Pc/MaxiM</f>
        <v>4.4587552249926411E-4</v>
      </c>
      <c r="AE148" s="304">
        <f t="shared" si="65"/>
        <v>0.5</v>
      </c>
      <c r="AF148" s="176">
        <f t="shared" si="66"/>
        <v>0.70887016369847133</v>
      </c>
      <c r="AG148" s="814">
        <f t="shared" si="74"/>
        <v>1</v>
      </c>
      <c r="AH148" s="175">
        <f t="shared" si="67"/>
        <v>7</v>
      </c>
      <c r="AI148" s="224">
        <f t="shared" si="68"/>
        <v>1.7088701636984713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10">
        <f>'2024'!Wh/'2024'!Env_an*'2025'!Env_an</f>
        <v>49.898906501531066</v>
      </c>
      <c r="C149" s="843"/>
      <c r="D149" s="392">
        <f t="shared" si="50"/>
        <v>52.689074506051675</v>
      </c>
      <c r="E149" s="384">
        <f t="shared" si="72"/>
        <v>54.737333641834596</v>
      </c>
      <c r="F149" s="384">
        <f t="shared" si="51"/>
        <v>54.737854656620165</v>
      </c>
      <c r="G149" s="110">
        <f t="shared" si="73"/>
        <v>0.90519602995846571</v>
      </c>
      <c r="H149" s="413" t="b">
        <f>Wh_hp&gt;='2024'!Maxi_hp</f>
        <v>0</v>
      </c>
      <c r="I149" s="389">
        <f>IF(H149,Wh_hp,'2024'!Maxi_hp)</f>
        <v>61.883239006526935</v>
      </c>
      <c r="J149" s="85">
        <f>IF(H149,An,'2024'!An_max)</f>
        <v>2019</v>
      </c>
      <c r="K149" s="196">
        <f t="shared" si="52"/>
        <v>45792</v>
      </c>
      <c r="L149" s="147">
        <f>IF(t&lt;Tvie,1-EXP((T0-t)*PertePVj)+'2024'!Pspv,1-EXP((T0-t)*PertePVj)+Pspv)</f>
        <v>5.2955342842473697E-2</v>
      </c>
      <c r="M149" s="847"/>
      <c r="N149" s="847"/>
      <c r="O149" s="48">
        <f>IF(t&lt;Tnet,'2024'!Resal+('2024'!Salim-'2024'!Resal)*(1-EXP(('2024'!Tnet-t)/('2024'!Tau_j))),Resal+(Salim-Resal)*(1-EXP((Tnet-t)/(Tau_j))))*Salcycl</f>
        <v>3.7419782797338978E-2</v>
      </c>
      <c r="P149" s="168">
        <f>(INDEX(Models!$BJ149:$BT149,,T149)*(1-R149)+INDEX(Models!$BJ149:$BT149,,T149+1)*R149-ERP_i)*Q149*Ramure*Pc/MaxiM</f>
        <v>1.1009390518400914E-5</v>
      </c>
      <c r="Q149" s="304">
        <f t="shared" si="53"/>
        <v>0.5</v>
      </c>
      <c r="R149" s="176">
        <f t="shared" si="54"/>
        <v>0.59620429890310778</v>
      </c>
      <c r="S149" s="814">
        <f t="shared" si="55"/>
        <v>-1</v>
      </c>
      <c r="T149" s="175">
        <f t="shared" si="56"/>
        <v>5</v>
      </c>
      <c r="U149" s="250">
        <f t="shared" si="57"/>
        <v>-0.40379570109689222</v>
      </c>
      <c r="V149" s="382">
        <f t="shared" si="58"/>
        <v>55.124890574789077</v>
      </c>
      <c r="W149" s="401">
        <f t="shared" si="59"/>
        <v>49.898906501531066</v>
      </c>
      <c r="X149" s="157">
        <f t="shared" si="60"/>
        <v>45792</v>
      </c>
      <c r="Y149" s="384">
        <f t="shared" si="61"/>
        <v>47.508518148317144</v>
      </c>
      <c r="Z149" s="384">
        <f t="shared" si="62"/>
        <v>50.165024203726475</v>
      </c>
      <c r="AA149" s="385">
        <f t="shared" si="63"/>
        <v>54.71585485270154</v>
      </c>
      <c r="AB149" s="196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8.3172065230931402E-2</v>
      </c>
      <c r="AD149" s="230">
        <f>(INDEX(Models!$BJ149:$BT149,,AH149)*(1-AF149)+INDEX(Models!$BJ149:$BT149,,AH149+1)*AF149-ERP_i)*AE149*Ramure*Pc/MaxiM</f>
        <v>4.6487055526108135E-4</v>
      </c>
      <c r="AE149" s="304">
        <f t="shared" si="65"/>
        <v>0.5</v>
      </c>
      <c r="AF149" s="176">
        <f t="shared" si="66"/>
        <v>0.71119683872749517</v>
      </c>
      <c r="AG149" s="814">
        <f t="shared" si="74"/>
        <v>1</v>
      </c>
      <c r="AH149" s="175">
        <f t="shared" si="67"/>
        <v>7</v>
      </c>
      <c r="AI149" s="224">
        <f t="shared" si="68"/>
        <v>1.7111968387274952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10">
        <f>'2024'!Wh/'2024'!Env_an*'2025'!Env_an</f>
        <v>47.978322971179452</v>
      </c>
      <c r="C150" s="843"/>
      <c r="D150" s="392">
        <f t="shared" si="50"/>
        <v>50.662207054755392</v>
      </c>
      <c r="E150" s="384">
        <f t="shared" si="72"/>
        <v>52.636767877650463</v>
      </c>
      <c r="F150" s="384">
        <f t="shared" si="51"/>
        <v>52.637279355801638</v>
      </c>
      <c r="G150" s="110">
        <f t="shared" si="73"/>
        <v>0.87021885225394968</v>
      </c>
      <c r="H150" s="413" t="b">
        <f>Wh_hp&gt;='2024'!Maxi_hp</f>
        <v>0</v>
      </c>
      <c r="I150" s="389">
        <f>IF(H150,Wh_hp,'2024'!Maxi_hp)</f>
        <v>52.836978218882514</v>
      </c>
      <c r="J150" s="85">
        <f>IF(H150,An,'2024'!An_max)</f>
        <v>2019</v>
      </c>
      <c r="K150" s="196">
        <f t="shared" si="52"/>
        <v>45793</v>
      </c>
      <c r="L150" s="147">
        <f>IF(t&lt;Tvie,1-EXP((T0-t)*PertePVj)+'2024'!Pspv,1-EXP((T0-t)*PertePVj)+Pspv)</f>
        <v>5.2976059267911803E-2</v>
      </c>
      <c r="M150" s="847"/>
      <c r="N150" s="847"/>
      <c r="O150" s="48">
        <f>IF(t&lt;Tnet,'2024'!Resal+('2024'!Salim-'2024'!Resal)*(1-EXP(('2024'!Tnet-t)/('2024'!Tau_j))),Resal+(Salim-Resal)*(1-EXP((Tnet-t)/(Tau_j))))*Salcycl</f>
        <v>3.7512957244729916E-2</v>
      </c>
      <c r="P150" s="168">
        <f>(INDEX(Models!$BJ150:$BT150,,T150)*(1-R150)+INDEX(Models!$BJ150:$BT150,,T150+1)*R150-ERP_i)*Q150*Ramure*Pc/MaxiM</f>
        <v>1.1928577467376624E-5</v>
      </c>
      <c r="Q150" s="304">
        <f t="shared" si="53"/>
        <v>0.5</v>
      </c>
      <c r="R150" s="176">
        <f t="shared" si="54"/>
        <v>0.59857816137978337</v>
      </c>
      <c r="S150" s="814">
        <f t="shared" si="55"/>
        <v>-1</v>
      </c>
      <c r="T150" s="175">
        <f t="shared" si="56"/>
        <v>5</v>
      </c>
      <c r="U150" s="250">
        <f t="shared" si="57"/>
        <v>-0.40142183862021658</v>
      </c>
      <c r="V150" s="382">
        <f t="shared" si="58"/>
        <v>55.133506634174573</v>
      </c>
      <c r="W150" s="401">
        <f t="shared" si="59"/>
        <v>47.978322971179452</v>
      </c>
      <c r="X150" s="157">
        <f t="shared" si="60"/>
        <v>45793</v>
      </c>
      <c r="Y150" s="384">
        <f t="shared" si="61"/>
        <v>45.680939596958936</v>
      </c>
      <c r="Z150" s="384">
        <f t="shared" si="62"/>
        <v>48.236309170437345</v>
      </c>
      <c r="AA150" s="385">
        <f t="shared" si="63"/>
        <v>52.61651349536109</v>
      </c>
      <c r="AB150" s="196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8.3247711297137275E-2</v>
      </c>
      <c r="AD150" s="230">
        <f>(INDEX(Models!$BJ150:$BT150,,AH150)*(1-AF150)+INDEX(Models!$BJ150:$BT150,,AH150+1)*AF150-ERP_i)*AE150*Ramure*Pc/MaxiM</f>
        <v>4.8429668867027082E-4</v>
      </c>
      <c r="AE150" s="304">
        <f t="shared" si="65"/>
        <v>0.5</v>
      </c>
      <c r="AF150" s="176">
        <f t="shared" si="66"/>
        <v>0.71357070120417099</v>
      </c>
      <c r="AG150" s="814">
        <f t="shared" si="74"/>
        <v>1</v>
      </c>
      <c r="AH150" s="175">
        <f t="shared" si="67"/>
        <v>7</v>
      </c>
      <c r="AI150" s="224">
        <f t="shared" si="68"/>
        <v>1.713570701204171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10">
        <f>'2024'!Wh/'2024'!Env_an*'2025'!Env_an</f>
        <v>51.545384648307675</v>
      </c>
      <c r="C151" s="843"/>
      <c r="D151" s="392">
        <f t="shared" si="50"/>
        <v>54.429999075609786</v>
      </c>
      <c r="E151" s="384">
        <f t="shared" si="72"/>
        <v>56.556900670430046</v>
      </c>
      <c r="F151" s="384">
        <f t="shared" si="51"/>
        <v>56.557562276813748</v>
      </c>
      <c r="G151" s="110">
        <f t="shared" si="73"/>
        <v>0.93481942924620676</v>
      </c>
      <c r="H151" s="413" t="b">
        <f>Wh_hp&gt;='2024'!Maxi_hp</f>
        <v>0</v>
      </c>
      <c r="I151" s="389">
        <f>IF(H151,Wh_hp,'2024'!Maxi_hp)</f>
        <v>56.920827652240035</v>
      </c>
      <c r="J151" s="85">
        <f>IF(H151,An,'2024'!An_max)</f>
        <v>2021</v>
      </c>
      <c r="K151" s="196">
        <f t="shared" si="52"/>
        <v>45794</v>
      </c>
      <c r="L151" s="147">
        <f>IF(t&lt;Tvie,1-EXP((T0-t)*PertePVj)+'2024'!Pspv,1-EXP((T0-t)*PertePVj)+Pspv)</f>
        <v>5.2996775239606976E-2</v>
      </c>
      <c r="M151" s="847"/>
      <c r="N151" s="847"/>
      <c r="O151" s="48">
        <f>IF(t&lt;Tnet,'2024'!Resal+('2024'!Salim-'2024'!Resal)*(1-EXP(('2024'!Tnet-t)/('2024'!Tau_j))),Resal+(Salim-Resal)*(1-EXP((Tnet-t)/(Tau_j))))*Salcycl</f>
        <v>3.7606402925333571E-2</v>
      </c>
      <c r="P151" s="168">
        <f>(INDEX(Models!$BJ151:$BT151,,T151)*(1-R151)+INDEX(Models!$BJ151:$BT151,,T151+1)*R151-ERP_i)*Q151*Ramure*Pc/MaxiM</f>
        <v>1.2899000696157033E-5</v>
      </c>
      <c r="Q151" s="304">
        <f t="shared" si="53"/>
        <v>0.5</v>
      </c>
      <c r="R151" s="176">
        <f t="shared" si="54"/>
        <v>0.6009985963957678</v>
      </c>
      <c r="S151" s="814">
        <f t="shared" si="55"/>
        <v>-1</v>
      </c>
      <c r="T151" s="175">
        <f t="shared" si="56"/>
        <v>5</v>
      </c>
      <c r="U151" s="250">
        <f t="shared" si="57"/>
        <v>-0.39900140360423225</v>
      </c>
      <c r="V151" s="382">
        <f t="shared" si="58"/>
        <v>55.139336138399642</v>
      </c>
      <c r="W151" s="401">
        <f t="shared" si="59"/>
        <v>51.545384648307675</v>
      </c>
      <c r="X151" s="157">
        <f t="shared" si="60"/>
        <v>45794</v>
      </c>
      <c r="Y151" s="384">
        <f t="shared" si="61"/>
        <v>49.07490994131475</v>
      </c>
      <c r="Z151" s="384">
        <f t="shared" si="62"/>
        <v>51.821270147978105</v>
      </c>
      <c r="AA151" s="385">
        <f t="shared" si="63"/>
        <v>56.531714225169715</v>
      </c>
      <c r="AB151" s="196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8.3323920771791599E-2</v>
      </c>
      <c r="AD151" s="230">
        <f>(INDEX(Models!$BJ151:$BT151,,AH151)*(1-AF151)+INDEX(Models!$BJ151:$BT151,,AH151+1)*AF151-ERP_i)*AE151*Ramure*Pc/MaxiM</f>
        <v>5.0394621993438539E-4</v>
      </c>
      <c r="AE151" s="304">
        <f t="shared" si="65"/>
        <v>0.5</v>
      </c>
      <c r="AF151" s="176">
        <f t="shared" si="66"/>
        <v>0.7159911362201552</v>
      </c>
      <c r="AG151" s="814">
        <f t="shared" si="74"/>
        <v>1</v>
      </c>
      <c r="AH151" s="175">
        <f t="shared" si="67"/>
        <v>7</v>
      </c>
      <c r="AI151" s="224">
        <f t="shared" si="68"/>
        <v>1.7159911362201552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10">
        <f>'2024'!Wh/'2024'!Env_an*'2025'!Env_an</f>
        <v>50.127280886715361</v>
      </c>
      <c r="C152" s="843"/>
      <c r="D152" s="392">
        <f t="shared" si="50"/>
        <v>52.933692436216482</v>
      </c>
      <c r="E152" s="384">
        <f t="shared" si="72"/>
        <v>55.007479668455872</v>
      </c>
      <c r="F152" s="384">
        <f t="shared" si="51"/>
        <v>55.008146001797535</v>
      </c>
      <c r="G152" s="110">
        <f t="shared" si="73"/>
        <v>0.90905015260328303</v>
      </c>
      <c r="H152" s="413" t="b">
        <f>Wh_hp&gt;='2024'!Maxi_hp</f>
        <v>0</v>
      </c>
      <c r="I152" s="389">
        <f>IF(H152,Wh_hp,'2024'!Maxi_hp)</f>
        <v>62.196197916934416</v>
      </c>
      <c r="J152" s="85">
        <f>IF(H152,An,'2024'!An_max)</f>
        <v>2020</v>
      </c>
      <c r="K152" s="196">
        <f t="shared" si="52"/>
        <v>45795</v>
      </c>
      <c r="L152" s="147">
        <f>IF(t&lt;Tvie,1-EXP((T0-t)*PertePVj)+'2024'!Pspv,1-EXP((T0-t)*PertePVj)+Pspv)</f>
        <v>5.3017490757569209E-2</v>
      </c>
      <c r="M152" s="847"/>
      <c r="N152" s="847"/>
      <c r="O152" s="48">
        <f>IF(t&lt;Tnet,'2024'!Resal+('2024'!Salim-'2024'!Resal)*(1-EXP(('2024'!Tnet-t)/('2024'!Tau_j))),Resal+(Salim-Resal)*(1-EXP((Tnet-t)/(Tau_j))))*Salcycl</f>
        <v>3.7700095418634574E-2</v>
      </c>
      <c r="P152" s="168">
        <f>(INDEX(Models!$BJ152:$BT152,,T152)*(1-R152)+INDEX(Models!$BJ152:$BT152,,T152+1)*R152-ERP_i)*Q152*Ramure*Pc/MaxiM</f>
        <v>1.3922215384049309E-5</v>
      </c>
      <c r="Q152" s="304">
        <f t="shared" si="53"/>
        <v>0.5</v>
      </c>
      <c r="R152" s="176">
        <f t="shared" si="54"/>
        <v>0.60346488453014202</v>
      </c>
      <c r="S152" s="814">
        <f t="shared" si="55"/>
        <v>-1</v>
      </c>
      <c r="T152" s="175">
        <f t="shared" si="56"/>
        <v>5</v>
      </c>
      <c r="U152" s="250">
        <f t="shared" si="57"/>
        <v>-0.39653511546985798</v>
      </c>
      <c r="V152" s="382">
        <f t="shared" si="58"/>
        <v>55.142381384505498</v>
      </c>
      <c r="W152" s="401">
        <f t="shared" si="59"/>
        <v>50.127280886715361</v>
      </c>
      <c r="X152" s="157">
        <f t="shared" si="60"/>
        <v>45795</v>
      </c>
      <c r="Y152" s="384">
        <f t="shared" si="61"/>
        <v>47.725505399542158</v>
      </c>
      <c r="Z152" s="384">
        <f t="shared" si="62"/>
        <v>50.397451836488209</v>
      </c>
      <c r="AA152" s="385">
        <f t="shared" si="63"/>
        <v>54.983075352934826</v>
      </c>
      <c r="AB152" s="196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8.3400637141731834E-2</v>
      </c>
      <c r="AD152" s="230">
        <f>(INDEX(Models!$BJ152:$BT152,,AH152)*(1-AF152)+INDEX(Models!$BJ152:$BT152,,AH152+1)*AF152-ERP_i)*AE152*Ramure*Pc/MaxiM</f>
        <v>5.2382036356609415E-4</v>
      </c>
      <c r="AE152" s="304">
        <f t="shared" si="65"/>
        <v>0.5</v>
      </c>
      <c r="AF152" s="176">
        <f t="shared" si="66"/>
        <v>0.71845742435452942</v>
      </c>
      <c r="AG152" s="814">
        <f t="shared" si="74"/>
        <v>1</v>
      </c>
      <c r="AH152" s="175">
        <f t="shared" si="67"/>
        <v>7</v>
      </c>
      <c r="AI152" s="224">
        <f t="shared" si="68"/>
        <v>1.7184574243545294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10">
        <f>'2024'!Wh/'2024'!Env_an*'2025'!Env_an</f>
        <v>51.586843129193092</v>
      </c>
      <c r="C153" s="843"/>
      <c r="D153" s="392">
        <f t="shared" si="50"/>
        <v>54.476160966939602</v>
      </c>
      <c r="E153" s="384">
        <f t="shared" si="72"/>
        <v>56.615902917446178</v>
      </c>
      <c r="F153" s="384">
        <f t="shared" si="51"/>
        <v>56.616673921574701</v>
      </c>
      <c r="G153" s="110">
        <f t="shared" si="73"/>
        <v>0.93551500988042369</v>
      </c>
      <c r="H153" s="413" t="b">
        <f>Wh_hp&gt;='2024'!Maxi_hp</f>
        <v>0</v>
      </c>
      <c r="I153" s="389">
        <f>IF(H153,Wh_hp,'2024'!Maxi_hp)</f>
        <v>60.966167385308943</v>
      </c>
      <c r="J153" s="85">
        <f>IF(H153,An,'2024'!An_max)</f>
        <v>2020</v>
      </c>
      <c r="K153" s="196">
        <f t="shared" si="52"/>
        <v>45796</v>
      </c>
      <c r="L153" s="147">
        <f>IF(t&lt;Tvie,1-EXP((T0-t)*PertePVj)+'2024'!Pspv,1-EXP((T0-t)*PertePVj)+Pspv)</f>
        <v>5.3038205821808494E-2</v>
      </c>
      <c r="M153" s="847"/>
      <c r="N153" s="847"/>
      <c r="O153" s="48">
        <f>IF(t&lt;Tnet,'2024'!Resal+('2024'!Salim-'2024'!Resal)*(1-EXP(('2024'!Tnet-t)/('2024'!Tau_j))),Resal+(Salim-Resal)*(1-EXP((Tnet-t)/(Tau_j))))*Salcycl</f>
        <v>3.7794009107769908E-2</v>
      </c>
      <c r="P153" s="168">
        <f>(INDEX(Models!$BJ153:$BT153,,T153)*(1-R153)+INDEX(Models!$BJ153:$BT153,,T153+1)*R153-ERP_i)*Q153*Ramure*Pc/MaxiM</f>
        <v>1.499973877343212E-5</v>
      </c>
      <c r="Q153" s="304">
        <f t="shared" si="53"/>
        <v>0.5</v>
      </c>
      <c r="R153" s="176">
        <f t="shared" si="54"/>
        <v>0.60597619999051988</v>
      </c>
      <c r="S153" s="814">
        <f t="shared" si="55"/>
        <v>-1</v>
      </c>
      <c r="T153" s="175">
        <f t="shared" si="56"/>
        <v>5</v>
      </c>
      <c r="U153" s="250">
        <f t="shared" si="57"/>
        <v>-0.39402380000948012</v>
      </c>
      <c r="V153" s="382">
        <f t="shared" si="58"/>
        <v>55.142644748898419</v>
      </c>
      <c r="W153" s="401">
        <f t="shared" si="59"/>
        <v>51.586843129193092</v>
      </c>
      <c r="X153" s="157">
        <f t="shared" si="60"/>
        <v>45796</v>
      </c>
      <c r="Y153" s="384">
        <f t="shared" si="61"/>
        <v>49.113997529842074</v>
      </c>
      <c r="Z153" s="384">
        <f t="shared" si="62"/>
        <v>51.864814221428034</v>
      </c>
      <c r="AA153" s="385">
        <f t="shared" si="63"/>
        <v>56.588715813597744</v>
      </c>
      <c r="AB153" s="196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8.3477801612076838E-2</v>
      </c>
      <c r="AD153" s="230">
        <f>(INDEX(Models!$BJ153:$BT153,,AH153)*(1-AF153)+INDEX(Models!$BJ153:$BT153,,AH153+1)*AF153-ERP_i)*AE153*Ramure*Pc/MaxiM</f>
        <v>5.4391967661218232E-4</v>
      </c>
      <c r="AE153" s="304">
        <f t="shared" si="65"/>
        <v>0.5</v>
      </c>
      <c r="AF153" s="176">
        <f t="shared" si="66"/>
        <v>0.72096873981490739</v>
      </c>
      <c r="AG153" s="814">
        <f t="shared" si="74"/>
        <v>1</v>
      </c>
      <c r="AH153" s="175">
        <f t="shared" si="67"/>
        <v>7</v>
      </c>
      <c r="AI153" s="224">
        <f t="shared" si="68"/>
        <v>1.7209687398149074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10">
        <f>'2024'!Wh/'2024'!Env_an*'2025'!Env_an</f>
        <v>45.953862106155377</v>
      </c>
      <c r="C154" s="843"/>
      <c r="D154" s="392">
        <f t="shared" si="50"/>
        <v>48.528744921633383</v>
      </c>
      <c r="E154" s="384">
        <f t="shared" si="72"/>
        <v>50.439814527496274</v>
      </c>
      <c r="F154" s="384">
        <f t="shared" si="51"/>
        <v>50.440434612476494</v>
      </c>
      <c r="G154" s="110">
        <f t="shared" si="73"/>
        <v>0.83339823026019166</v>
      </c>
      <c r="H154" s="413" t="b">
        <f>Wh_hp&gt;='2024'!Maxi_hp</f>
        <v>0</v>
      </c>
      <c r="I154" s="389">
        <f>IF(H154,Wh_hp,'2024'!Maxi_hp)</f>
        <v>61.160542885736888</v>
      </c>
      <c r="J154" s="85">
        <f>IF(H154,An,'2024'!An_max)</f>
        <v>2021</v>
      </c>
      <c r="K154" s="196">
        <f t="shared" si="52"/>
        <v>45797</v>
      </c>
      <c r="L154" s="147">
        <f>IF(t&lt;Tvie,1-EXP((T0-t)*PertePVj)+'2024'!Pspv,1-EXP((T0-t)*PertePVj)+Pspv)</f>
        <v>5.3058920432334601E-2</v>
      </c>
      <c r="M154" s="847"/>
      <c r="N154" s="847"/>
      <c r="O154" s="48">
        <f>IF(t&lt;Tnet,'2024'!Resal+('2024'!Salim-'2024'!Resal)*(1-EXP(('2024'!Tnet-t)/('2024'!Tau_j))),Resal+(Salim-Resal)*(1-EXP((Tnet-t)/(Tau_j))))*Salcycl</f>
        <v>3.7888117229715683E-2</v>
      </c>
      <c r="P154" s="168">
        <f>(INDEX(Models!$BJ154:$BT154,,T154)*(1-R154)+INDEX(Models!$BJ154:$BT154,,T154+1)*R154-ERP_i)*Q154*Ramure*Pc/MaxiM</f>
        <v>1.6133041691894992E-5</v>
      </c>
      <c r="Q154" s="304">
        <f t="shared" si="53"/>
        <v>0.5</v>
      </c>
      <c r="R154" s="176">
        <f t="shared" si="54"/>
        <v>0.60853160917511628</v>
      </c>
      <c r="S154" s="814">
        <f t="shared" si="55"/>
        <v>-1</v>
      </c>
      <c r="T154" s="175">
        <f t="shared" si="56"/>
        <v>5</v>
      </c>
      <c r="U154" s="250">
        <f t="shared" si="57"/>
        <v>-0.39146839082488372</v>
      </c>
      <c r="V154" s="382">
        <f t="shared" si="58"/>
        <v>55.14012867986002</v>
      </c>
      <c r="W154" s="401">
        <f t="shared" si="59"/>
        <v>45.953862106155377</v>
      </c>
      <c r="X154" s="157">
        <f t="shared" si="60"/>
        <v>45797</v>
      </c>
      <c r="Y154" s="384">
        <f t="shared" si="61"/>
        <v>43.754351221232142</v>
      </c>
      <c r="Z154" s="384">
        <f t="shared" si="62"/>
        <v>46.205991233592478</v>
      </c>
      <c r="AA154" s="385">
        <f t="shared" si="63"/>
        <v>50.418747489672555</v>
      </c>
      <c r="AB154" s="196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8.3555353233298629E-2</v>
      </c>
      <c r="AD154" s="230">
        <f>(INDEX(Models!$BJ154:$BT154,,AH154)*(1-AF154)+INDEX(Models!$BJ154:$BT154,,AH154+1)*AF154-ERP_i)*AE154*Ramure*Pc/MaxiM</f>
        <v>5.6424404320985343E-4</v>
      </c>
      <c r="AE154" s="304">
        <f t="shared" si="65"/>
        <v>0.5</v>
      </c>
      <c r="AF154" s="176">
        <f t="shared" si="66"/>
        <v>0.72352414899950368</v>
      </c>
      <c r="AG154" s="814">
        <f t="shared" si="74"/>
        <v>1</v>
      </c>
      <c r="AH154" s="175">
        <f t="shared" si="67"/>
        <v>7</v>
      </c>
      <c r="AI154" s="224">
        <f t="shared" si="68"/>
        <v>1.7235241489995037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10">
        <f>'2024'!Wh/'2024'!Env_an*'2025'!Env_an</f>
        <v>47.030838167736043</v>
      </c>
      <c r="C155" s="843"/>
      <c r="D155" s="392">
        <f t="shared" si="50"/>
        <v>49.667152472035674</v>
      </c>
      <c r="E155" s="384">
        <f t="shared" si="72"/>
        <v>51.628111643228365</v>
      </c>
      <c r="F155" s="384">
        <f t="shared" si="51"/>
        <v>51.628818233480807</v>
      </c>
      <c r="G155" s="110">
        <f t="shared" si="73"/>
        <v>0.85301182989232816</v>
      </c>
      <c r="H155" s="413" t="b">
        <f>Wh_hp&gt;='2024'!Maxi_hp</f>
        <v>0</v>
      </c>
      <c r="I155" s="389">
        <f>IF(H155,Wh_hp,'2024'!Maxi_hp)</f>
        <v>59.215074303893267</v>
      </c>
      <c r="J155" s="85">
        <f>IF(H155,An,'2024'!An_max)</f>
        <v>2020</v>
      </c>
      <c r="K155" s="196">
        <f t="shared" si="52"/>
        <v>45798</v>
      </c>
      <c r="L155" s="147">
        <f>IF(t&lt;Tvie,1-EXP((T0-t)*PertePVj)+'2024'!Pspv,1-EXP((T0-t)*PertePVj)+Pspv)</f>
        <v>5.3079634589157633E-2</v>
      </c>
      <c r="M155" s="847"/>
      <c r="N155" s="847"/>
      <c r="O155" s="48">
        <f>IF(t&lt;Tnet,'2024'!Resal+('2024'!Salim-'2024'!Resal)*(1-EXP(('2024'!Tnet-t)/('2024'!Tau_j))),Resal+(Salim-Resal)*(1-EXP((Tnet-t)/(Tau_j))))*Salcycl</f>
        <v>3.7982391932978928E-2</v>
      </c>
      <c r="P155" s="168">
        <f>(INDEX(Models!$BJ155:$BT155,,T155)*(1-R155)+INDEX(Models!$BJ155:$BT155,,T155+1)*R155-ERP_i)*Q155*Ramure*Pc/MaxiM</f>
        <v>1.7323539838034375E-5</v>
      </c>
      <c r="Q155" s="304">
        <f t="shared" si="53"/>
        <v>0.5</v>
      </c>
      <c r="R155" s="176">
        <f t="shared" si="54"/>
        <v>0.61113006968768202</v>
      </c>
      <c r="S155" s="814">
        <f t="shared" si="55"/>
        <v>-1</v>
      </c>
      <c r="T155" s="175">
        <f t="shared" si="56"/>
        <v>5</v>
      </c>
      <c r="U155" s="250">
        <f t="shared" si="57"/>
        <v>-0.38886993031231798</v>
      </c>
      <c r="V155" s="382">
        <f t="shared" si="58"/>
        <v>55.134835695286846</v>
      </c>
      <c r="W155" s="401">
        <f t="shared" si="59"/>
        <v>47.030838167736043</v>
      </c>
      <c r="X155" s="157">
        <f t="shared" si="60"/>
        <v>45798</v>
      </c>
      <c r="Y155" s="384">
        <f t="shared" si="61"/>
        <v>44.778988997284031</v>
      </c>
      <c r="Z155" s="384">
        <f t="shared" si="62"/>
        <v>47.289075864215548</v>
      </c>
      <c r="AA155" s="385">
        <f t="shared" si="63"/>
        <v>51.604965787725462</v>
      </c>
      <c r="AB155" s="196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8.3633229043559881E-2</v>
      </c>
      <c r="AD155" s="230">
        <f>(INDEX(Models!$BJ155:$BT155,,AH155)*(1-AF155)+INDEX(Models!$BJ155:$BT155,,AH155+1)*AF155-ERP_i)*AE155*Ramure*Pc/MaxiM</f>
        <v>5.8479266144414435E-4</v>
      </c>
      <c r="AE155" s="304">
        <f t="shared" si="65"/>
        <v>0.5</v>
      </c>
      <c r="AF155" s="176">
        <f t="shared" si="66"/>
        <v>0.72612260951206942</v>
      </c>
      <c r="AG155" s="814">
        <f t="shared" si="74"/>
        <v>1</v>
      </c>
      <c r="AH155" s="175">
        <f t="shared" si="67"/>
        <v>7</v>
      </c>
      <c r="AI155" s="224">
        <f t="shared" si="68"/>
        <v>1.7261226095120694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10">
        <f>'2024'!Wh/'2024'!Env_an*'2025'!Env_an</f>
        <v>34.021197631123478</v>
      </c>
      <c r="C156" s="843"/>
      <c r="D156" s="392">
        <f t="shared" si="50"/>
        <v>35.929042290560574</v>
      </c>
      <c r="E156" s="384">
        <f t="shared" si="72"/>
        <v>37.351258866370792</v>
      </c>
      <c r="F156" s="384">
        <f t="shared" si="51"/>
        <v>37.351573081053594</v>
      </c>
      <c r="G156" s="110">
        <f t="shared" si="73"/>
        <v>0.61713851480920956</v>
      </c>
      <c r="H156" s="413" t="b">
        <f>Wh_hp&gt;='2024'!Maxi_hp</f>
        <v>0</v>
      </c>
      <c r="I156" s="389">
        <f>IF(H156,Wh_hp,'2024'!Maxi_hp)</f>
        <v>59.915343833320051</v>
      </c>
      <c r="J156" s="85">
        <f>IF(H156,An,'2024'!An_max)</f>
        <v>2019</v>
      </c>
      <c r="K156" s="196">
        <f t="shared" si="52"/>
        <v>45799</v>
      </c>
      <c r="L156" s="147">
        <f>IF(t&lt;Tvie,1-EXP((T0-t)*PertePVj)+'2024'!Pspv,1-EXP((T0-t)*PertePVj)+Pspv)</f>
        <v>5.3100348292287471E-2</v>
      </c>
      <c r="M156" s="847"/>
      <c r="N156" s="847"/>
      <c r="O156" s="48">
        <f>IF(t&lt;Tnet,'2024'!Resal+('2024'!Salim-'2024'!Resal)*(1-EXP(('2024'!Tnet-t)/('2024'!Tau_j))),Resal+(Salim-Resal)*(1-EXP((Tnet-t)/(Tau_j))))*Salcycl</f>
        <v>3.8076804342750264E-2</v>
      </c>
      <c r="P156" s="168">
        <f>(INDEX(Models!$BJ156:$BT156,,T156)*(1-R156)+INDEX(Models!$BJ156:$BT156,,T156+1)*R156-ERP_i)*Q156*Ramure*Pc/MaxiM</f>
        <v>1.8567697303920257E-5</v>
      </c>
      <c r="Q156" s="304">
        <f t="shared" si="53"/>
        <v>0.5</v>
      </c>
      <c r="R156" s="176">
        <f t="shared" si="54"/>
        <v>0.61377042983501529</v>
      </c>
      <c r="S156" s="814">
        <f t="shared" si="55"/>
        <v>-1</v>
      </c>
      <c r="T156" s="175">
        <f t="shared" si="56"/>
        <v>5</v>
      </c>
      <c r="U156" s="250">
        <f t="shared" si="57"/>
        <v>-0.38622957016498466</v>
      </c>
      <c r="V156" s="382">
        <f t="shared" si="58"/>
        <v>55.126768650662228</v>
      </c>
      <c r="W156" s="401">
        <f t="shared" si="59"/>
        <v>34.021197631123478</v>
      </c>
      <c r="X156" s="157">
        <f t="shared" si="60"/>
        <v>45799</v>
      </c>
      <c r="Y156" s="384">
        <f t="shared" si="61"/>
        <v>32.398583496958267</v>
      </c>
      <c r="Z156" s="384">
        <f t="shared" si="62"/>
        <v>34.215435013127461</v>
      </c>
      <c r="AA156" s="385">
        <f t="shared" si="63"/>
        <v>37.341328569711621</v>
      </c>
      <c r="AB156" s="196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8.3711364226061444E-2</v>
      </c>
      <c r="AD156" s="230">
        <f>(INDEX(Models!$BJ156:$BT156,,AH156)*(1-AF156)+INDEX(Models!$BJ156:$BT156,,AH156+1)*AF156-ERP_i)*AE156*Ramure*Pc/MaxiM</f>
        <v>6.0537268318598876E-4</v>
      </c>
      <c r="AE156" s="304">
        <f t="shared" si="65"/>
        <v>0.5</v>
      </c>
      <c r="AF156" s="176">
        <f t="shared" si="66"/>
        <v>0.72876296965940268</v>
      </c>
      <c r="AG156" s="814">
        <f t="shared" si="74"/>
        <v>1</v>
      </c>
      <c r="AH156" s="175">
        <f t="shared" si="67"/>
        <v>7</v>
      </c>
      <c r="AI156" s="224">
        <f t="shared" si="68"/>
        <v>1.7287629696594027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10">
        <f>'2024'!Wh/'2024'!Env_an*'2025'!Env_an</f>
        <v>16.460717851162094</v>
      </c>
      <c r="C157" s="843"/>
      <c r="D157" s="392">
        <f t="shared" si="50"/>
        <v>17.384184168214663</v>
      </c>
      <c r="E157" s="384">
        <f t="shared" si="72"/>
        <v>18.074096368138377</v>
      </c>
      <c r="F157" s="384">
        <f t="shared" si="51"/>
        <v>18.074096368138377</v>
      </c>
      <c r="G157" s="110">
        <f t="shared" si="73"/>
        <v>0.29865033162929849</v>
      </c>
      <c r="H157" s="413" t="b">
        <f>Wh_hp&gt;='2024'!Maxi_hp</f>
        <v>0</v>
      </c>
      <c r="I157" s="389">
        <f>IF(H157,Wh_hp,'2024'!Maxi_hp)</f>
        <v>55.585260349029333</v>
      </c>
      <c r="J157" s="85">
        <f>IF(H157,An,'2024'!An_max)</f>
        <v>2020</v>
      </c>
      <c r="K157" s="196">
        <f t="shared" si="52"/>
        <v>45800</v>
      </c>
      <c r="L157" s="147">
        <f>IF(t&lt;Tvie,1-EXP((T0-t)*PertePVj)+'2024'!Pspv,1-EXP((T0-t)*PertePVj)+Pspv)</f>
        <v>5.3121061541733995E-2</v>
      </c>
      <c r="M157" s="847"/>
      <c r="N157" s="847"/>
      <c r="O157" s="48">
        <f>IF(t&lt;Tnet,'2024'!Resal+('2024'!Salim-'2024'!Resal)*(1-EXP(('2024'!Tnet-t)/('2024'!Tau_j))),Resal+(Salim-Resal)*(1-EXP((Tnet-t)/(Tau_j))))*Salcycl</f>
        <v>3.81713246334082E-2</v>
      </c>
      <c r="P157" s="168">
        <f>(INDEX(Models!$BJ157:$BT157,,T157)*(1-R157)+INDEX(Models!$BJ157:$BT157,,T157+1)*R157-ERP_i)*Q157*Ramure*Pc/MaxiM</f>
        <v>1.9866905596382293E-5</v>
      </c>
      <c r="Q157" s="304">
        <f t="shared" si="53"/>
        <v>0.5</v>
      </c>
      <c r="R157" s="176">
        <f t="shared" si="54"/>
        <v>0.61645142863407876</v>
      </c>
      <c r="S157" s="814">
        <f t="shared" si="55"/>
        <v>-1</v>
      </c>
      <c r="T157" s="175">
        <f t="shared" si="56"/>
        <v>5</v>
      </c>
      <c r="U157" s="250">
        <f t="shared" si="57"/>
        <v>-0.38354857136592124</v>
      </c>
      <c r="V157" s="382">
        <f t="shared" si="58"/>
        <v>55.115930184420669</v>
      </c>
      <c r="W157" s="401">
        <f t="shared" si="59"/>
        <v>16.460717851162094</v>
      </c>
      <c r="X157" s="157">
        <f t="shared" si="60"/>
        <v>45800</v>
      </c>
      <c r="Y157" s="384">
        <f t="shared" si="61"/>
        <v>15.680005965657671</v>
      </c>
      <c r="Z157" s="384">
        <f t="shared" si="62"/>
        <v>16.559673395194832</v>
      </c>
      <c r="AA157" s="385">
        <f t="shared" si="63"/>
        <v>18.074096368138377</v>
      </c>
      <c r="AB157" s="196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8.3789692281005135E-2</v>
      </c>
      <c r="AD157" s="230">
        <f>(INDEX(Models!$BJ157:$BT157,,AH157)*(1-AF157)+INDEX(Models!$BJ157:$BT157,,AH157+1)*AF157-ERP_i)*AE157*Ramure*Pc/MaxiM</f>
        <v>6.2601965436896766E-4</v>
      </c>
      <c r="AE157" s="304">
        <f t="shared" si="65"/>
        <v>0.5</v>
      </c>
      <c r="AF157" s="176">
        <f t="shared" si="66"/>
        <v>0.73144396845846615</v>
      </c>
      <c r="AG157" s="814">
        <f t="shared" si="74"/>
        <v>1</v>
      </c>
      <c r="AH157" s="175">
        <f t="shared" si="67"/>
        <v>7</v>
      </c>
      <c r="AI157" s="224">
        <f t="shared" si="68"/>
        <v>1.7314439684584662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10">
        <f>'2024'!Wh/'2024'!Env_an*'2025'!Env_an</f>
        <v>13.483481239289526</v>
      </c>
      <c r="C158" s="843"/>
      <c r="D158" s="392">
        <f t="shared" si="50"/>
        <v>14.240232459147173</v>
      </c>
      <c r="E158" s="384">
        <f t="shared" si="72"/>
        <v>14.806829441214065</v>
      </c>
      <c r="F158" s="384">
        <f t="shared" si="51"/>
        <v>14.806829441214065</v>
      </c>
      <c r="G158" s="110">
        <f t="shared" si="73"/>
        <v>0.24469376885649272</v>
      </c>
      <c r="H158" s="413" t="b">
        <f>Wh_hp&gt;='2024'!Maxi_hp</f>
        <v>0</v>
      </c>
      <c r="I158" s="389">
        <f>IF(H158,Wh_hp,'2024'!Maxi_hp)</f>
        <v>26.001334753599281</v>
      </c>
      <c r="J158" s="85">
        <f>IF(H158,An,'2024'!An_max)</f>
        <v>2021</v>
      </c>
      <c r="K158" s="196">
        <f t="shared" si="52"/>
        <v>45801</v>
      </c>
      <c r="L158" s="147">
        <f>IF(t&lt;Tvie,1-EXP((T0-t)*PertePVj)+'2024'!Pspv,1-EXP((T0-t)*PertePVj)+Pspv)</f>
        <v>5.314177433750731E-2</v>
      </c>
      <c r="M158" s="847"/>
      <c r="N158" s="847"/>
      <c r="O158" s="48">
        <f>IF(t&lt;Tnet,'2024'!Resal+('2024'!Salim-'2024'!Resal)*(1-EXP(('2024'!Tnet-t)/('2024'!Tau_j))),Resal+(Salim-Resal)*(1-EXP((Tnet-t)/(Tau_j))))*Salcycl</f>
        <v>3.8265922108199422E-2</v>
      </c>
      <c r="P158" s="168">
        <f>(INDEX(Models!$BJ158:$BT158,,T158)*(1-R158)+INDEX(Models!$BJ158:$BT158,,T158+1)*R158-ERP_i)*Q158*Ramure*Pc/MaxiM</f>
        <v>2.1221713197200274E-5</v>
      </c>
      <c r="Q158" s="304">
        <f t="shared" si="53"/>
        <v>0.5</v>
      </c>
      <c r="R158" s="176">
        <f t="shared" si="54"/>
        <v>0.61917169635257641</v>
      </c>
      <c r="S158" s="814">
        <f t="shared" si="55"/>
        <v>-1</v>
      </c>
      <c r="T158" s="175">
        <f t="shared" si="56"/>
        <v>5</v>
      </c>
      <c r="U158" s="250">
        <f t="shared" si="57"/>
        <v>-0.38082830364742354</v>
      </c>
      <c r="V158" s="382">
        <f t="shared" si="58"/>
        <v>55.102323037189194</v>
      </c>
      <c r="W158" s="401">
        <f t="shared" si="59"/>
        <v>13.483481239289526</v>
      </c>
      <c r="X158" s="157">
        <f t="shared" si="60"/>
        <v>45801</v>
      </c>
      <c r="Y158" s="384">
        <f t="shared" si="61"/>
        <v>12.844139519140681</v>
      </c>
      <c r="Z158" s="384">
        <f t="shared" si="62"/>
        <v>13.565008119514369</v>
      </c>
      <c r="AA158" s="385">
        <f t="shared" si="63"/>
        <v>14.806829441214065</v>
      </c>
      <c r="AB158" s="196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8.3868145211637893E-2</v>
      </c>
      <c r="AD158" s="230">
        <f>(INDEX(Models!$BJ158:$BT158,,AH158)*(1-AF158)+INDEX(Models!$BJ158:$BT158,,AH158+1)*AF158-ERP_i)*AE158*Ramure*Pc/MaxiM</f>
        <v>6.4672370006094073E-4</v>
      </c>
      <c r="AE158" s="304">
        <f t="shared" si="65"/>
        <v>0.5</v>
      </c>
      <c r="AF158" s="176">
        <f t="shared" si="66"/>
        <v>0.73416423617696402</v>
      </c>
      <c r="AG158" s="814">
        <f t="shared" si="74"/>
        <v>1</v>
      </c>
      <c r="AH158" s="175">
        <f t="shared" si="67"/>
        <v>7</v>
      </c>
      <c r="AI158" s="224">
        <f t="shared" si="68"/>
        <v>1.734164236176964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10">
        <f>'2024'!Wh/'2024'!Env_an*'2025'!Env_an</f>
        <v>38.490937128294746</v>
      </c>
      <c r="C159" s="843"/>
      <c r="D159" s="392">
        <f t="shared" si="50"/>
        <v>40.652104069381664</v>
      </c>
      <c r="E159" s="384">
        <f t="shared" si="72"/>
        <v>42.273748976887312</v>
      </c>
      <c r="F159" s="384">
        <f t="shared" si="51"/>
        <v>42.274293990487799</v>
      </c>
      <c r="G159" s="110">
        <f t="shared" si="73"/>
        <v>0.69873646934438993</v>
      </c>
      <c r="H159" s="413" t="b">
        <f>Wh_hp&gt;='2024'!Maxi_hp</f>
        <v>0</v>
      </c>
      <c r="I159" s="389">
        <f>IF(H159,Wh_hp,'2024'!Maxi_hp)</f>
        <v>56.074384360716962</v>
      </c>
      <c r="J159" s="85">
        <f>IF(H159,An,'2024'!An_max)</f>
        <v>2020</v>
      </c>
      <c r="K159" s="196">
        <f t="shared" si="52"/>
        <v>45802</v>
      </c>
      <c r="L159" s="147">
        <f>IF(t&lt;Tvie,1-EXP((T0-t)*PertePVj)+'2024'!Pspv,1-EXP((T0-t)*PertePVj)+Pspv)</f>
        <v>5.3162486679617184E-2</v>
      </c>
      <c r="M159" s="847"/>
      <c r="N159" s="847"/>
      <c r="O159" s="48">
        <f>IF(t&lt;Tnet,'2024'!Resal+('2024'!Salim-'2024'!Resal)*(1-EXP(('2024'!Tnet-t)/('2024'!Tau_j))),Resal+(Salim-Resal)*(1-EXP((Tnet-t)/(Tau_j))))*Salcycl</f>
        <v>3.8360565285853042E-2</v>
      </c>
      <c r="P159" s="168">
        <f>(INDEX(Models!$BJ159:$BT159,,T159)*(1-R159)+INDEX(Models!$BJ159:$BT159,,T159+1)*R159-ERP_i)*Q159*Ramure*Pc/MaxiM</f>
        <v>2.2632662365274611E-5</v>
      </c>
      <c r="Q159" s="304">
        <f t="shared" si="53"/>
        <v>0.5</v>
      </c>
      <c r="R159" s="176">
        <f t="shared" si="54"/>
        <v>0.62192975560320674</v>
      </c>
      <c r="S159" s="814">
        <f t="shared" si="55"/>
        <v>-1</v>
      </c>
      <c r="T159" s="175">
        <f t="shared" si="56"/>
        <v>5</v>
      </c>
      <c r="U159" s="250">
        <f t="shared" si="57"/>
        <v>-0.37807024439679326</v>
      </c>
      <c r="V159" s="382">
        <f t="shared" si="58"/>
        <v>55.085949992786674</v>
      </c>
      <c r="W159" s="401">
        <f t="shared" si="59"/>
        <v>38.490937128294746</v>
      </c>
      <c r="X159" s="157">
        <f t="shared" si="60"/>
        <v>45802</v>
      </c>
      <c r="Y159" s="384">
        <f t="shared" si="61"/>
        <v>36.652822795667952</v>
      </c>
      <c r="Z159" s="384">
        <f t="shared" si="62"/>
        <v>38.710784353202619</v>
      </c>
      <c r="AA159" s="385">
        <f t="shared" si="63"/>
        <v>42.258220561673348</v>
      </c>
      <c r="AB159" s="196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8.3946653723704676E-2</v>
      </c>
      <c r="AD159" s="230">
        <f>(INDEX(Models!$BJ159:$BT159,,AH159)*(1-AF159)+INDEX(Models!$BJ159:$BT159,,AH159+1)*AF159-ERP_i)*AE159*Ramure*Pc/MaxiM</f>
        <v>6.6747781539210863E-4</v>
      </c>
      <c r="AE159" s="304">
        <f t="shared" si="65"/>
        <v>0.5</v>
      </c>
      <c r="AF159" s="176">
        <f t="shared" si="66"/>
        <v>0.73692229542759424</v>
      </c>
      <c r="AG159" s="814">
        <f t="shared" si="74"/>
        <v>1</v>
      </c>
      <c r="AH159" s="175">
        <f t="shared" si="67"/>
        <v>7</v>
      </c>
      <c r="AI159" s="224">
        <f t="shared" si="68"/>
        <v>1.7369222954275942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10">
        <f>'2024'!Wh/'2024'!Env_an*'2025'!Env_an</f>
        <v>20.670194006018189</v>
      </c>
      <c r="C160" s="843"/>
      <c r="D160" s="392">
        <f t="shared" si="50"/>
        <v>21.831249693454371</v>
      </c>
      <c r="E160" s="384">
        <f t="shared" si="72"/>
        <v>22.704350533443428</v>
      </c>
      <c r="F160" s="384">
        <f t="shared" si="51"/>
        <v>22.7044094457789</v>
      </c>
      <c r="G160" s="110">
        <f t="shared" si="73"/>
        <v>0.37535764330224491</v>
      </c>
      <c r="H160" s="413" t="b">
        <f>Wh_hp&gt;='2024'!Maxi_hp</f>
        <v>0</v>
      </c>
      <c r="I160" s="389">
        <f>IF(H160,Wh_hp,'2024'!Maxi_hp)</f>
        <v>59.949871504131856</v>
      </c>
      <c r="J160" s="85">
        <f>IF(H160,An,'2024'!An_max)</f>
        <v>2020</v>
      </c>
      <c r="K160" s="196">
        <f t="shared" si="52"/>
        <v>45803</v>
      </c>
      <c r="L160" s="147">
        <f>IF(t&lt;Tvie,1-EXP((T0-t)*PertePVj)+'2024'!Pspv,1-EXP((T0-t)*PertePVj)+Pspv)</f>
        <v>5.318319856807361E-2</v>
      </c>
      <c r="M160" s="847"/>
      <c r="N160" s="847"/>
      <c r="O160" s="48">
        <f>IF(t&lt;Tnet,'2024'!Resal+('2024'!Salim-'2024'!Resal)*(1-EXP(('2024'!Tnet-t)/('2024'!Tau_j))),Resal+(Salim-Resal)*(1-EXP((Tnet-t)/(Tau_j))))*Salcycl</f>
        <v>3.8455221993819351E-2</v>
      </c>
      <c r="P160" s="168">
        <f>(INDEX(Models!$BJ160:$BT160,,T160)*(1-R160)+INDEX(Models!$BJ160:$BT160,,T160+1)*R160-ERP_i)*Q160*Ramure*Pc/MaxiM</f>
        <v>2.4100177539083047E-5</v>
      </c>
      <c r="Q160" s="304">
        <f t="shared" si="53"/>
        <v>0.5</v>
      </c>
      <c r="R160" s="176">
        <f t="shared" si="54"/>
        <v>0.62472402300770613</v>
      </c>
      <c r="S160" s="814">
        <f t="shared" si="55"/>
        <v>-1</v>
      </c>
      <c r="T160" s="175">
        <f t="shared" si="56"/>
        <v>5</v>
      </c>
      <c r="U160" s="250">
        <f t="shared" si="57"/>
        <v>-0.37527597699229387</v>
      </c>
      <c r="V160" s="382">
        <f t="shared" si="58"/>
        <v>55.066813883751287</v>
      </c>
      <c r="W160" s="401">
        <f t="shared" si="59"/>
        <v>20.670194006018189</v>
      </c>
      <c r="X160" s="157">
        <f t="shared" si="60"/>
        <v>45803</v>
      </c>
      <c r="Y160" s="384">
        <f t="shared" si="61"/>
        <v>19.689175625338553</v>
      </c>
      <c r="Z160" s="384">
        <f t="shared" si="62"/>
        <v>20.795126993481169</v>
      </c>
      <c r="AA160" s="385">
        <f t="shared" si="63"/>
        <v>22.702726974769497</v>
      </c>
      <c r="AB160" s="196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8.40251474375006E-2</v>
      </c>
      <c r="AD160" s="230">
        <f>(INDEX(Models!$BJ160:$BT160,,AH160)*(1-AF160)+INDEX(Models!$BJ160:$BT160,,AH160+1)*AF160-ERP_i)*AE160*Ramure*Pc/MaxiM</f>
        <v>6.882743606440925E-4</v>
      </c>
      <c r="AE160" s="304">
        <f t="shared" si="65"/>
        <v>0.5</v>
      </c>
      <c r="AF160" s="176">
        <f t="shared" si="66"/>
        <v>0.73971656283209364</v>
      </c>
      <c r="AG160" s="814">
        <f t="shared" si="74"/>
        <v>1</v>
      </c>
      <c r="AH160" s="175">
        <f t="shared" si="67"/>
        <v>7</v>
      </c>
      <c r="AI160" s="224">
        <f t="shared" si="68"/>
        <v>1.7397165628320936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10">
        <f>'2024'!Wh/'2024'!Env_an*'2025'!Env_an</f>
        <v>38.652610545425226</v>
      </c>
      <c r="C161" s="843"/>
      <c r="D161" s="392">
        <f t="shared" si="50"/>
        <v>40.824641075084145</v>
      </c>
      <c r="E161" s="384">
        <f t="shared" si="72"/>
        <v>42.461526972666896</v>
      </c>
      <c r="F161" s="384">
        <f t="shared" si="51"/>
        <v>42.462152150803199</v>
      </c>
      <c r="G161" s="110">
        <f t="shared" si="73"/>
        <v>0.70219360606797243</v>
      </c>
      <c r="H161" s="413" t="b">
        <f>Wh_hp&gt;='2024'!Maxi_hp</f>
        <v>0</v>
      </c>
      <c r="I161" s="389">
        <f>IF(H161,Wh_hp,'2024'!Maxi_hp)</f>
        <v>59.872524660282878</v>
      </c>
      <c r="J161" s="85">
        <f>IF(H161,An,'2024'!An_max)</f>
        <v>2021</v>
      </c>
      <c r="K161" s="196">
        <f t="shared" si="52"/>
        <v>45804</v>
      </c>
      <c r="L161" s="147">
        <f>IF(t&lt;Tvie,1-EXP((T0-t)*PertePVj)+'2024'!Pspv,1-EXP((T0-t)*PertePVj)+Pspv)</f>
        <v>5.3203910002886469E-2</v>
      </c>
      <c r="M161" s="847"/>
      <c r="N161" s="847"/>
      <c r="O161" s="48">
        <f>IF(t&lt;Tnet,'2024'!Resal+('2024'!Salim-'2024'!Resal)*(1-EXP(('2024'!Tnet-t)/('2024'!Tau_j))),Resal+(Salim-Resal)*(1-EXP((Tnet-t)/(Tau_j))))*Salcycl</f>
        <v>3.8549859467758706E-2</v>
      </c>
      <c r="P161" s="168">
        <f>(INDEX(Models!$BJ161:$BT161,,T161)*(1-R161)+INDEX(Models!$BJ161:$BT161,,T161+1)*R161-ERP_i)*Q161*Ramure*Pc/MaxiM</f>
        <v>2.5624558493443313E-5</v>
      </c>
      <c r="Q161" s="304">
        <f t="shared" si="53"/>
        <v>0.5</v>
      </c>
      <c r="R161" s="176">
        <f t="shared" si="54"/>
        <v>0.62755281144229169</v>
      </c>
      <c r="S161" s="814">
        <f t="shared" si="55"/>
        <v>-1</v>
      </c>
      <c r="T161" s="175">
        <f t="shared" si="56"/>
        <v>5</v>
      </c>
      <c r="U161" s="250">
        <f t="shared" si="57"/>
        <v>-0.37244718855770836</v>
      </c>
      <c r="V161" s="382">
        <f t="shared" si="58"/>
        <v>55.044917582102073</v>
      </c>
      <c r="W161" s="401">
        <f t="shared" si="59"/>
        <v>38.652610545425226</v>
      </c>
      <c r="X161" s="157">
        <f t="shared" si="60"/>
        <v>45804</v>
      </c>
      <c r="Y161" s="384">
        <f t="shared" si="61"/>
        <v>36.806782031644417</v>
      </c>
      <c r="Z161" s="384">
        <f t="shared" si="62"/>
        <v>38.875088755126384</v>
      </c>
      <c r="AA161" s="385">
        <f t="shared" si="63"/>
        <v>42.444851677377557</v>
      </c>
      <c r="AB161" s="196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8.4103555111580255E-2</v>
      </c>
      <c r="AD161" s="230">
        <f>(INDEX(Models!$BJ161:$BT161,,AH161)*(1-AF161)+INDEX(Models!$BJ161:$BT161,,AH161+1)*AF161-ERP_i)*AE161*Ramure*Pc/MaxiM</f>
        <v>7.0910508144050432E-4</v>
      </c>
      <c r="AE161" s="304">
        <f t="shared" si="65"/>
        <v>0.5</v>
      </c>
      <c r="AF161" s="176">
        <f t="shared" si="66"/>
        <v>0.74254535126667909</v>
      </c>
      <c r="AG161" s="814">
        <f t="shared" si="74"/>
        <v>1</v>
      </c>
      <c r="AH161" s="175">
        <f t="shared" si="67"/>
        <v>7</v>
      </c>
      <c r="AI161" s="224">
        <f t="shared" si="68"/>
        <v>1.7425453512666791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10">
        <f>'2024'!Wh/'2024'!Env_an*'2025'!Env_an</f>
        <v>50.025853678036412</v>
      </c>
      <c r="C162" s="843"/>
      <c r="D162" s="392">
        <f t="shared" si="50"/>
        <v>52.838143858401374</v>
      </c>
      <c r="E162" s="384">
        <f t="shared" si="72"/>
        <v>54.962124630931392</v>
      </c>
      <c r="F162" s="384">
        <f t="shared" si="51"/>
        <v>54.963426053857916</v>
      </c>
      <c r="G162" s="110">
        <f t="shared" si="73"/>
        <v>0.90922277635390936</v>
      </c>
      <c r="H162" s="413" t="b">
        <f>Wh_hp&gt;='2024'!Maxi_hp</f>
        <v>0</v>
      </c>
      <c r="I162" s="389">
        <f>IF(H162,Wh_hp,'2024'!Maxi_hp)</f>
        <v>58.893102499621982</v>
      </c>
      <c r="J162" s="85">
        <f>IF(H162,An,'2024'!An_max)</f>
        <v>2020</v>
      </c>
      <c r="K162" s="196">
        <f t="shared" si="52"/>
        <v>45805</v>
      </c>
      <c r="L162" s="147">
        <f>IF(t&lt;Tvie,1-EXP((T0-t)*PertePVj)+'2024'!Pspv,1-EXP((T0-t)*PertePVj)+Pspv)</f>
        <v>5.3224620984065864E-2</v>
      </c>
      <c r="M162" s="847"/>
      <c r="N162" s="847"/>
      <c r="O162" s="48">
        <f>IF(t&lt;Tnet,'2024'!Resal+('2024'!Salim-'2024'!Resal)*(1-EXP(('2024'!Tnet-t)/('2024'!Tau_j))),Resal+(Salim-Resal)*(1-EXP((Tnet-t)/(Tau_j))))*Salcycl</f>
        <v>3.8644444456841343E-2</v>
      </c>
      <c r="P162" s="168">
        <f>(INDEX(Models!$BJ162:$BT162,,T162)*(1-R162)+INDEX(Models!$BJ162:$BT162,,T162+1)*R162-ERP_i)*Q162*Ramure*Pc/MaxiM</f>
        <v>2.7205974026505422E-5</v>
      </c>
      <c r="Q162" s="304">
        <f t="shared" si="53"/>
        <v>0.5</v>
      </c>
      <c r="R162" s="176">
        <f t="shared" si="54"/>
        <v>0.63041433287121706</v>
      </c>
      <c r="S162" s="814">
        <f t="shared" si="55"/>
        <v>-1</v>
      </c>
      <c r="T162" s="175">
        <f t="shared" si="56"/>
        <v>5</v>
      </c>
      <c r="U162" s="250">
        <f t="shared" si="57"/>
        <v>-0.36958566712878294</v>
      </c>
      <c r="V162" s="382">
        <f t="shared" si="58"/>
        <v>55.020263992478114</v>
      </c>
      <c r="W162" s="401">
        <f t="shared" si="59"/>
        <v>50.025853678036412</v>
      </c>
      <c r="X162" s="157">
        <f t="shared" si="60"/>
        <v>45805</v>
      </c>
      <c r="Y162" s="384">
        <f t="shared" si="61"/>
        <v>47.62708740044723</v>
      </c>
      <c r="Z162" s="384">
        <f t="shared" si="62"/>
        <v>50.304526771651162</v>
      </c>
      <c r="AA162" s="385">
        <f t="shared" si="63"/>
        <v>54.92850768803293</v>
      </c>
      <c r="AB162" s="196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8.4181804877054414E-2</v>
      </c>
      <c r="AD162" s="230">
        <f>(INDEX(Models!$BJ162:$BT162,,AH162)*(1-AF162)+INDEX(Models!$BJ162:$BT162,,AH162+1)*AF162-ERP_i)*AE162*Ramure*Pc/MaxiM</f>
        <v>7.2996113278897686E-4</v>
      </c>
      <c r="AE162" s="304">
        <f t="shared" si="65"/>
        <v>0.5</v>
      </c>
      <c r="AF162" s="176">
        <f t="shared" si="66"/>
        <v>0.74540687269560446</v>
      </c>
      <c r="AG162" s="814">
        <f t="shared" si="74"/>
        <v>1</v>
      </c>
      <c r="AH162" s="175">
        <f t="shared" si="67"/>
        <v>7</v>
      </c>
      <c r="AI162" s="224">
        <f t="shared" si="68"/>
        <v>1.7454068726956045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10">
        <f>'2024'!Wh/'2024'!Env_an*'2025'!Env_an</f>
        <v>54.6086710849575</v>
      </c>
      <c r="C163" s="843"/>
      <c r="D163" s="392">
        <f t="shared" si="50"/>
        <v>57.679854034570127</v>
      </c>
      <c r="E163" s="384">
        <f t="shared" si="72"/>
        <v>60.004359517742316</v>
      </c>
      <c r="F163" s="384">
        <f t="shared" si="51"/>
        <v>60.006073151050671</v>
      </c>
      <c r="G163" s="110">
        <f t="shared" si="73"/>
        <v>0.99302905730191227</v>
      </c>
      <c r="H163" s="413" t="b">
        <f>Wh_hp&gt;='2024'!Maxi_hp</f>
        <v>1</v>
      </c>
      <c r="I163" s="389">
        <f>IF(H163,Wh_hp,'2024'!Maxi_hp)</f>
        <v>60.006073151050671</v>
      </c>
      <c r="J163" s="85">
        <f>IF(H163,An,'2024'!An_max)</f>
        <v>2025</v>
      </c>
      <c r="K163" s="196">
        <f t="shared" si="52"/>
        <v>45806</v>
      </c>
      <c r="L163" s="147">
        <f>IF(t&lt;Tvie,1-EXP((T0-t)*PertePVj)+'2024'!Pspv,1-EXP((T0-t)*PertePVj)+Pspv)</f>
        <v>5.3245331511621453E-2</v>
      </c>
      <c r="M163" s="847"/>
      <c r="N163" s="847"/>
      <c r="O163" s="48">
        <f>IF(t&lt;Tnet,'2024'!Resal+('2024'!Salim-'2024'!Resal)*(1-EXP(('2024'!Tnet-t)/('2024'!Tau_j))),Resal+(Salim-Resal)*(1-EXP((Tnet-t)/(Tau_j))))*Salcycl</f>
        <v>3.8738943334356693E-2</v>
      </c>
      <c r="P163" s="168">
        <f>(INDEX(Models!$BJ163:$BT163,,T163)*(1-R163)+INDEX(Models!$BJ163:$BT163,,T163+1)*R163-ERP_i)*Q163*Ramure*Pc/MaxiM</f>
        <v>2.884490448199881E-5</v>
      </c>
      <c r="Q163" s="304">
        <f t="shared" si="53"/>
        <v>0.5</v>
      </c>
      <c r="R163" s="176">
        <f t="shared" si="54"/>
        <v>0.6333067017699503</v>
      </c>
      <c r="S163" s="814">
        <f t="shared" si="55"/>
        <v>-1</v>
      </c>
      <c r="T163" s="175">
        <f t="shared" si="56"/>
        <v>5</v>
      </c>
      <c r="U163" s="250">
        <f t="shared" si="57"/>
        <v>-0.36669329823004976</v>
      </c>
      <c r="V163" s="382">
        <f t="shared" si="58"/>
        <v>54.99200148995854</v>
      </c>
      <c r="W163" s="401">
        <f t="shared" si="59"/>
        <v>54.6086710849575</v>
      </c>
      <c r="X163" s="157">
        <f t="shared" si="60"/>
        <v>45806</v>
      </c>
      <c r="Y163" s="384">
        <f t="shared" si="61"/>
        <v>51.985469413625985</v>
      </c>
      <c r="Z163" s="384">
        <f t="shared" si="62"/>
        <v>54.909123919745539</v>
      </c>
      <c r="AA163" s="385">
        <f t="shared" si="63"/>
        <v>59.961466568442816</v>
      </c>
      <c r="AB163" s="196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8.4259824481282442E-2</v>
      </c>
      <c r="AD163" s="230">
        <f>(INDEX(Models!$BJ163:$BT163,,AH163)*(1-AF163)+INDEX(Models!$BJ163:$BT163,,AH163+1)*AF163-ERP_i)*AE163*Ramure*Pc/MaxiM</f>
        <v>7.5084477426946405E-4</v>
      </c>
      <c r="AE163" s="304">
        <f t="shared" si="65"/>
        <v>0.5</v>
      </c>
      <c r="AF163" s="176">
        <f t="shared" si="66"/>
        <v>0.74829924159433769</v>
      </c>
      <c r="AG163" s="814">
        <f t="shared" si="74"/>
        <v>1</v>
      </c>
      <c r="AH163" s="175">
        <f t="shared" si="67"/>
        <v>7</v>
      </c>
      <c r="AI163" s="224">
        <f t="shared" si="68"/>
        <v>1.7482992415943377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10">
        <f>'2024'!Wh/'2024'!Env_an*'2025'!Env_an</f>
        <v>46.61054241265672</v>
      </c>
      <c r="C164" s="843"/>
      <c r="D164" s="392">
        <f t="shared" si="50"/>
        <v>49.232988843791709</v>
      </c>
      <c r="E164" s="384">
        <f t="shared" si="72"/>
        <v>51.222113689115773</v>
      </c>
      <c r="F164" s="384">
        <f t="shared" si="51"/>
        <v>51.223338142109647</v>
      </c>
      <c r="G164" s="110">
        <f t="shared" si="73"/>
        <v>0.84808263525884131</v>
      </c>
      <c r="H164" s="413" t="b">
        <f>Wh_hp&gt;='2024'!Maxi_hp</f>
        <v>0</v>
      </c>
      <c r="I164" s="389">
        <f>IF(H164,Wh_hp,'2024'!Maxi_hp)</f>
        <v>59.235447555070827</v>
      </c>
      <c r="J164" s="85">
        <f>IF(H164,An,'2024'!An_max)</f>
        <v>2019</v>
      </c>
      <c r="K164" s="196">
        <f t="shared" si="52"/>
        <v>45807</v>
      </c>
      <c r="L164" s="147">
        <f>IF(t&lt;Tvie,1-EXP((T0-t)*PertePVj)+'2024'!Pspv,1-EXP((T0-t)*PertePVj)+Pspv)</f>
        <v>5.3266041585563452E-2</v>
      </c>
      <c r="M164" s="847"/>
      <c r="N164" s="847"/>
      <c r="O164" s="48">
        <f>IF(t&lt;Tnet,'2024'!Resal+('2024'!Salim-'2024'!Resal)*(1-EXP(('2024'!Tnet-t)/('2024'!Tau_j))),Resal+(Salim-Resal)*(1-EXP((Tnet-t)/(Tau_j))))*Salcycl</f>
        <v>3.8833322213072424E-2</v>
      </c>
      <c r="P164" s="168">
        <f>(INDEX(Models!$BJ164:$BT164,,T164)*(1-R164)+INDEX(Models!$BJ164:$BT164,,T164+1)*R164-ERP_i)*Q164*Ramure*Pc/MaxiM</f>
        <v>3.0529647154146785E-5</v>
      </c>
      <c r="Q164" s="304">
        <f t="shared" si="53"/>
        <v>0.5</v>
      </c>
      <c r="R164" s="176">
        <f t="shared" si="54"/>
        <v>0.63622793913400277</v>
      </c>
      <c r="S164" s="814">
        <f t="shared" si="55"/>
        <v>-1</v>
      </c>
      <c r="T164" s="175">
        <f t="shared" si="56"/>
        <v>5</v>
      </c>
      <c r="U164" s="250">
        <f t="shared" si="57"/>
        <v>-0.36377206086599723</v>
      </c>
      <c r="V164" s="382">
        <f t="shared" si="58"/>
        <v>54.959542445331095</v>
      </c>
      <c r="W164" s="401">
        <f t="shared" si="59"/>
        <v>46.61054241265672</v>
      </c>
      <c r="X164" s="157">
        <f t="shared" si="60"/>
        <v>45807</v>
      </c>
      <c r="Y164" s="384">
        <f t="shared" si="61"/>
        <v>44.378111776685948</v>
      </c>
      <c r="Z164" s="384">
        <f t="shared" si="62"/>
        <v>46.874955083484238</v>
      </c>
      <c r="AA164" s="385">
        <f t="shared" si="63"/>
        <v>51.192395899142703</v>
      </c>
      <c r="AB164" s="196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8.4337541539655989E-2</v>
      </c>
      <c r="AD164" s="230">
        <f>(INDEX(Models!$BJ164:$BT164,,AH164)*(1-AF164)+INDEX(Models!$BJ164:$BT164,,AH164+1)*AF164-ERP_i)*AE164*Ramure*Pc/MaxiM</f>
        <v>7.7149205781085336E-4</v>
      </c>
      <c r="AE164" s="304">
        <f t="shared" si="65"/>
        <v>0.5</v>
      </c>
      <c r="AF164" s="176">
        <f t="shared" si="66"/>
        <v>0.75122047895839028</v>
      </c>
      <c r="AG164" s="814">
        <f t="shared" si="74"/>
        <v>1</v>
      </c>
      <c r="AH164" s="175">
        <f t="shared" si="67"/>
        <v>7</v>
      </c>
      <c r="AI164" s="224">
        <f t="shared" si="68"/>
        <v>1.7512204789583903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10">
        <f>'2024'!Wh/'2024'!Env_an*'2025'!Env_an</f>
        <v>51.907162705150398</v>
      </c>
      <c r="C165" s="843"/>
      <c r="D165" s="392">
        <f t="shared" si="50"/>
        <v>54.828811967370861</v>
      </c>
      <c r="E165" s="384">
        <f t="shared" si="72"/>
        <v>57.049613481184132</v>
      </c>
      <c r="F165" s="384">
        <f t="shared" si="51"/>
        <v>57.051309577688464</v>
      </c>
      <c r="G165" s="110">
        <f t="shared" si="73"/>
        <v>0.94508243035351192</v>
      </c>
      <c r="H165" s="413" t="b">
        <f>Wh_hp&gt;='2024'!Maxi_hp</f>
        <v>0</v>
      </c>
      <c r="I165" s="389">
        <f>IF(H165,Wh_hp,'2024'!Maxi_hp)</f>
        <v>60.201047487090179</v>
      </c>
      <c r="J165" s="85">
        <f>IF(H165,An,'2024'!An_max)</f>
        <v>2019</v>
      </c>
      <c r="K165" s="196">
        <f t="shared" si="52"/>
        <v>45808</v>
      </c>
      <c r="L165" s="147">
        <f>IF(t&lt;Tvie,1-EXP((T0-t)*PertePVj)+'2024'!Pspv,1-EXP((T0-t)*PertePVj)+Pspv)</f>
        <v>5.328675120590174E-2</v>
      </c>
      <c r="M165" s="847"/>
      <c r="N165" s="847"/>
      <c r="O165" s="48">
        <f>IF(t&lt;Tnet,'2024'!Resal+('2024'!Salim-'2024'!Resal)*(1-EXP(('2024'!Tnet-t)/('2024'!Tau_j))),Resal+(Salim-Resal)*(1-EXP((Tnet-t)/(Tau_j))))*Salcycl</f>
        <v>3.8927547064726863E-2</v>
      </c>
      <c r="P165" s="168">
        <f>(INDEX(Models!$BJ165:$BT165,,T165)*(1-R165)+INDEX(Models!$BJ165:$BT165,,T165+1)*R165-ERP_i)*Q165*Ramure*Pc/MaxiM</f>
        <v>3.2260133289998375E-5</v>
      </c>
      <c r="Q165" s="304">
        <f t="shared" si="53"/>
        <v>0.5</v>
      </c>
      <c r="R165" s="176">
        <f t="shared" si="54"/>
        <v>0.63917597706377882</v>
      </c>
      <c r="S165" s="814">
        <f t="shared" si="55"/>
        <v>-1</v>
      </c>
      <c r="T165" s="175">
        <f t="shared" si="56"/>
        <v>5</v>
      </c>
      <c r="U165" s="250">
        <f t="shared" si="57"/>
        <v>-0.36082402293622123</v>
      </c>
      <c r="V165" s="382">
        <f t="shared" si="58"/>
        <v>54.923284643403186</v>
      </c>
      <c r="W165" s="401">
        <f t="shared" si="59"/>
        <v>51.907162705150398</v>
      </c>
      <c r="X165" s="157">
        <f t="shared" si="60"/>
        <v>45808</v>
      </c>
      <c r="Y165" s="384">
        <f t="shared" si="61"/>
        <v>49.415788523501689</v>
      </c>
      <c r="Z165" s="384">
        <f t="shared" si="62"/>
        <v>52.197208168837179</v>
      </c>
      <c r="AA165" s="385">
        <f t="shared" si="63"/>
        <v>57.009673098592486</v>
      </c>
      <c r="AB165" s="196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8.4414883794064838E-2</v>
      </c>
      <c r="AD165" s="230">
        <f>(INDEX(Models!$BJ165:$BT165,,AH165)*(1-AF165)+INDEX(Models!$BJ165:$BT165,,AH165+1)*AF165-ERP_i)*AE165*Ramure*Pc/MaxiM</f>
        <v>7.919351062462412E-4</v>
      </c>
      <c r="AE165" s="304">
        <f t="shared" si="65"/>
        <v>0.5</v>
      </c>
      <c r="AF165" s="176">
        <f t="shared" si="66"/>
        <v>0.75416851688816622</v>
      </c>
      <c r="AG165" s="814">
        <f t="shared" si="74"/>
        <v>1</v>
      </c>
      <c r="AH165" s="175">
        <f t="shared" si="67"/>
        <v>7</v>
      </c>
      <c r="AI165" s="224">
        <f t="shared" si="68"/>
        <v>1.7541685168881662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10">
        <f>'2024'!Wh/'2024'!Env_an*'2025'!Env_an</f>
        <v>52.305239071954567</v>
      </c>
      <c r="C166" s="843"/>
      <c r="D166" s="392">
        <f t="shared" si="50"/>
        <v>55.250503075204811</v>
      </c>
      <c r="E166" s="384">
        <f t="shared" si="72"/>
        <v>57.494010423411581</v>
      </c>
      <c r="F166" s="384">
        <f t="shared" si="51"/>
        <v>57.495835944046895</v>
      </c>
      <c r="G166" s="110">
        <f t="shared" si="73"/>
        <v>0.95301866215265563</v>
      </c>
      <c r="H166" s="413" t="b">
        <f>Wh_hp&gt;='2024'!Maxi_hp</f>
        <v>0</v>
      </c>
      <c r="I166" s="389">
        <f>IF(H166,Wh_hp,'2024'!Maxi_hp)</f>
        <v>61.029409506694016</v>
      </c>
      <c r="J166" s="85">
        <f>IF(H166,An,'2024'!An_max)</f>
        <v>2019</v>
      </c>
      <c r="K166" s="196">
        <f t="shared" si="52"/>
        <v>45809</v>
      </c>
      <c r="L166" s="147">
        <f>IF(t&lt;Tvie,1-EXP((T0-t)*PertePVj)+'2024'!Pspv,1-EXP((T0-t)*PertePVj)+Pspv)</f>
        <v>5.3307460372646089E-2</v>
      </c>
      <c r="M166" s="847"/>
      <c r="N166" s="847"/>
      <c r="O166" s="48">
        <f>IF(t&lt;Tnet,'2024'!Resal+('2024'!Salim-'2024'!Resal)*(1-EXP(('2024'!Tnet-t)/('2024'!Tau_j))),Resal+(Salim-Resal)*(1-EXP((Tnet-t)/(Tau_j))))*Salcycl</f>
        <v>3.9021583842987817E-2</v>
      </c>
      <c r="P166" s="168">
        <f>(INDEX(Models!$BJ166:$BT166,,T166)*(1-R166)+INDEX(Models!$BJ166:$BT166,,T166+1)*R166-ERP_i)*Q166*Ramure*Pc/MaxiM</f>
        <v>3.4034655046067437E-5</v>
      </c>
      <c r="Q166" s="304">
        <f t="shared" si="53"/>
        <v>0.5</v>
      </c>
      <c r="R166" s="176">
        <f t="shared" si="54"/>
        <v>0.64214866391002823</v>
      </c>
      <c r="S166" s="814">
        <f t="shared" si="55"/>
        <v>-1</v>
      </c>
      <c r="T166" s="175">
        <f t="shared" si="56"/>
        <v>5</v>
      </c>
      <c r="U166" s="250">
        <f t="shared" si="57"/>
        <v>-0.35785133608997183</v>
      </c>
      <c r="V166" s="382">
        <f t="shared" si="58"/>
        <v>54.883625758091192</v>
      </c>
      <c r="W166" s="401">
        <f t="shared" si="59"/>
        <v>52.305239071954567</v>
      </c>
      <c r="X166" s="157">
        <f t="shared" si="60"/>
        <v>45809</v>
      </c>
      <c r="Y166" s="384">
        <f t="shared" si="61"/>
        <v>49.79416211195587</v>
      </c>
      <c r="Z166" s="384">
        <f t="shared" si="62"/>
        <v>52.598029484373377</v>
      </c>
      <c r="AA166" s="385">
        <f t="shared" si="63"/>
        <v>57.452274375596872</v>
      </c>
      <c r="AB166" s="196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8.4491779376542078E-2</v>
      </c>
      <c r="AD166" s="230">
        <f>(INDEX(Models!$BJ166:$BT166,,AH166)*(1-AF166)+INDEX(Models!$BJ166:$BT166,,AH166+1)*AF166-ERP_i)*AE166*Ramure*Pc/MaxiM</f>
        <v>8.1215349023156642E-4</v>
      </c>
      <c r="AE166" s="304">
        <f t="shared" si="65"/>
        <v>0.5</v>
      </c>
      <c r="AF166" s="176">
        <f t="shared" si="66"/>
        <v>0.75714120373441562</v>
      </c>
      <c r="AG166" s="814">
        <f t="shared" si="74"/>
        <v>1</v>
      </c>
      <c r="AH166" s="175">
        <f t="shared" si="67"/>
        <v>7</v>
      </c>
      <c r="AI166" s="224">
        <f t="shared" si="68"/>
        <v>1.7571412037344156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10">
        <f>'2024'!Wh/'2024'!Env_an*'2025'!Env_an</f>
        <v>41.134238093335398</v>
      </c>
      <c r="C167" s="843"/>
      <c r="D167" s="392">
        <f t="shared" si="50"/>
        <v>43.451422921935254</v>
      </c>
      <c r="E167" s="384">
        <f t="shared" si="72"/>
        <v>45.220230253499039</v>
      </c>
      <c r="F167" s="384">
        <f t="shared" si="51"/>
        <v>45.221272627704039</v>
      </c>
      <c r="G167" s="110">
        <f t="shared" si="73"/>
        <v>0.75005450449702304</v>
      </c>
      <c r="H167" s="413" t="b">
        <f>Wh_hp&gt;='2024'!Maxi_hp</f>
        <v>0</v>
      </c>
      <c r="I167" s="389">
        <f>IF(H167,Wh_hp,'2024'!Maxi_hp)</f>
        <v>60.469553797129123</v>
      </c>
      <c r="J167" s="85">
        <f>IF(H167,An,'2024'!An_max)</f>
        <v>2019</v>
      </c>
      <c r="K167" s="196">
        <f t="shared" si="52"/>
        <v>45810</v>
      </c>
      <c r="L167" s="147">
        <f>IF(t&lt;Tvie,1-EXP((T0-t)*PertePVj)+'2024'!Pspv,1-EXP((T0-t)*PertePVj)+Pspv)</f>
        <v>5.33281690858066E-2</v>
      </c>
      <c r="M167" s="847"/>
      <c r="N167" s="847"/>
      <c r="O167" s="48">
        <f>IF(t&lt;Tnet,'2024'!Resal+('2024'!Salim-'2024'!Resal)*(1-EXP(('2024'!Tnet-t)/('2024'!Tau_j))),Resal+(Salim-Resal)*(1-EXP((Tnet-t)/(Tau_j))))*Salcycl</f>
        <v>3.9115398609163909E-2</v>
      </c>
      <c r="P167" s="168">
        <f>(INDEX(Models!$BJ167:$BT167,,T167)*(1-R167)+INDEX(Models!$BJ167:$BT167,,T167+1)*R167-ERP_i)*Q167*Ramure*Pc/MaxiM</f>
        <v>3.585126938610343E-5</v>
      </c>
      <c r="Q167" s="304">
        <f t="shared" si="53"/>
        <v>0.5</v>
      </c>
      <c r="R167" s="176">
        <f t="shared" si="54"/>
        <v>0.64514376995867573</v>
      </c>
      <c r="S167" s="814">
        <f t="shared" si="55"/>
        <v>-1</v>
      </c>
      <c r="T167" s="175">
        <f t="shared" si="56"/>
        <v>5</v>
      </c>
      <c r="U167" s="250">
        <f t="shared" si="57"/>
        <v>-0.35485623004132427</v>
      </c>
      <c r="V167" s="382">
        <f t="shared" si="58"/>
        <v>54.840963271105622</v>
      </c>
      <c r="W167" s="401">
        <f t="shared" si="59"/>
        <v>41.134238093335398</v>
      </c>
      <c r="X167" s="157">
        <f t="shared" si="60"/>
        <v>45810</v>
      </c>
      <c r="Y167" s="384">
        <f t="shared" si="61"/>
        <v>39.168400234127972</v>
      </c>
      <c r="Z167" s="384">
        <f t="shared" si="62"/>
        <v>41.37484496216959</v>
      </c>
      <c r="AA167" s="385">
        <f t="shared" si="63"/>
        <v>45.197078605039664</v>
      </c>
      <c r="AB167" s="196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8.4568157076503503E-2</v>
      </c>
      <c r="AD167" s="230">
        <f>(INDEX(Models!$BJ167:$BT167,,AH167)*(1-AF167)+INDEX(Models!$BJ167:$BT167,,AH167+1)*AF167-ERP_i)*AE167*Ramure*Pc/MaxiM</f>
        <v>8.3212575667646006E-4</v>
      </c>
      <c r="AE167" s="304">
        <f t="shared" si="65"/>
        <v>0.5</v>
      </c>
      <c r="AF167" s="176">
        <f t="shared" si="66"/>
        <v>0.76013630978306312</v>
      </c>
      <c r="AG167" s="814">
        <f t="shared" si="74"/>
        <v>1</v>
      </c>
      <c r="AH167" s="175">
        <f t="shared" si="67"/>
        <v>7</v>
      </c>
      <c r="AI167" s="224">
        <f t="shared" si="68"/>
        <v>1.7601363097830631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10">
        <f>'2024'!Wh/'2024'!Env_an*'2025'!Env_an</f>
        <v>51.088260783775489</v>
      </c>
      <c r="C168" s="843"/>
      <c r="D168" s="392">
        <f t="shared" si="50"/>
        <v>53.967358788434503</v>
      </c>
      <c r="E168" s="384">
        <f t="shared" si="72"/>
        <v>56.16971475607486</v>
      </c>
      <c r="F168" s="384">
        <f t="shared" si="51"/>
        <v>56.171628136449932</v>
      </c>
      <c r="G168" s="110">
        <f t="shared" si="73"/>
        <v>0.93233738663732524</v>
      </c>
      <c r="H168" s="413" t="b">
        <f>Wh_hp&gt;='2024'!Maxi_hp</f>
        <v>0</v>
      </c>
      <c r="I168" s="389">
        <f>IF(H168,Wh_hp,'2024'!Maxi_hp)</f>
        <v>57.408695514870161</v>
      </c>
      <c r="J168" s="85">
        <f>IF(H168,An,'2024'!An_max)</f>
        <v>2020</v>
      </c>
      <c r="K168" s="196">
        <f t="shared" si="52"/>
        <v>45811</v>
      </c>
      <c r="L168" s="147">
        <f>IF(t&lt;Tvie,1-EXP((T0-t)*PertePVj)+'2024'!Pspv,1-EXP((T0-t)*PertePVj)+Pspv)</f>
        <v>5.3348877345393043E-2</v>
      </c>
      <c r="M168" s="847"/>
      <c r="N168" s="847"/>
      <c r="O168" s="48">
        <f>IF(t&lt;Tnet,'2024'!Resal+('2024'!Salim-'2024'!Resal)*(1-EXP(('2024'!Tnet-t)/('2024'!Tau_j))),Resal+(Salim-Resal)*(1-EXP((Tnet-t)/(Tau_j))))*Salcycl</f>
        <v>3.9208957659913453E-2</v>
      </c>
      <c r="P168" s="168">
        <f>(INDEX(Models!$BJ168:$BT168,,T168)*(1-R168)+INDEX(Models!$BJ168:$BT168,,T168+1)*R168-ERP_i)*Q168*Ramure*Pc/MaxiM</f>
        <v>3.7707796030014966E-5</v>
      </c>
      <c r="Q168" s="304">
        <f t="shared" si="53"/>
        <v>0.5</v>
      </c>
      <c r="R168" s="176">
        <f t="shared" si="54"/>
        <v>0.64815899362803886</v>
      </c>
      <c r="S168" s="814">
        <f t="shared" si="55"/>
        <v>-1</v>
      </c>
      <c r="T168" s="175">
        <f t="shared" si="56"/>
        <v>5</v>
      </c>
      <c r="U168" s="250">
        <f t="shared" si="57"/>
        <v>-0.35184100637196114</v>
      </c>
      <c r="V168" s="382">
        <f t="shared" si="58"/>
        <v>54.795694465334023</v>
      </c>
      <c r="W168" s="401">
        <f t="shared" si="59"/>
        <v>51.088260783775489</v>
      </c>
      <c r="X168" s="157">
        <f t="shared" si="60"/>
        <v>45811</v>
      </c>
      <c r="Y168" s="384">
        <f t="shared" si="61"/>
        <v>48.636544090589702</v>
      </c>
      <c r="Z168" s="384">
        <f t="shared" si="62"/>
        <v>51.377474685925158</v>
      </c>
      <c r="AA168" s="385">
        <f t="shared" si="63"/>
        <v>56.128404346751971</v>
      </c>
      <c r="AB168" s="196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8.4643946609926066E-2</v>
      </c>
      <c r="AD168" s="230">
        <f>(INDEX(Models!$BJ168:$BT168,,AH168)*(1-AF168)+INDEX(Models!$BJ168:$BT168,,AH168+1)*AF168-ERP_i)*AE168*Ramure*Pc/MaxiM</f>
        <v>8.518294986223755E-4</v>
      </c>
      <c r="AE168" s="304">
        <f t="shared" si="65"/>
        <v>0.5</v>
      </c>
      <c r="AF168" s="176">
        <f t="shared" si="66"/>
        <v>0.76315153345242637</v>
      </c>
      <c r="AG168" s="814">
        <f t="shared" si="74"/>
        <v>1</v>
      </c>
      <c r="AH168" s="175">
        <f t="shared" si="67"/>
        <v>7</v>
      </c>
      <c r="AI168" s="224">
        <f t="shared" si="68"/>
        <v>1.7631515334524264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10">
        <f>'2024'!Wh/'2024'!Env_an*'2025'!Env_an</f>
        <v>28.176736754931333</v>
      </c>
      <c r="C169" s="843"/>
      <c r="D169" s="392">
        <f t="shared" si="50"/>
        <v>29.765298381457839</v>
      </c>
      <c r="E169" s="384">
        <f t="shared" si="72"/>
        <v>30.982999272329597</v>
      </c>
      <c r="F169" s="384">
        <f t="shared" si="51"/>
        <v>30.983375540650854</v>
      </c>
      <c r="G169" s="110">
        <f t="shared" si="73"/>
        <v>0.51464622824303596</v>
      </c>
      <c r="H169" s="413" t="b">
        <f>Wh_hp&gt;='2024'!Maxi_hp</f>
        <v>0</v>
      </c>
      <c r="I169" s="389">
        <f>IF(H169,Wh_hp,'2024'!Maxi_hp)</f>
        <v>56.649023658356676</v>
      </c>
      <c r="J169" s="85">
        <f>IF(H169,An,'2024'!An_max)</f>
        <v>2019</v>
      </c>
      <c r="K169" s="196">
        <f t="shared" si="52"/>
        <v>45812</v>
      </c>
      <c r="L169" s="147">
        <f>IF(t&lt;Tvie,1-EXP((T0-t)*PertePVj)+'2024'!Pspv,1-EXP((T0-t)*PertePVj)+Pspv)</f>
        <v>5.3369585151415523E-2</v>
      </c>
      <c r="M169" s="847"/>
      <c r="N169" s="847"/>
      <c r="O169" s="48">
        <f>IF(t&lt;Tnet,'2024'!Resal+('2024'!Salim-'2024'!Resal)*(1-EXP(('2024'!Tnet-t)/('2024'!Tau_j))),Resal+(Salim-Resal)*(1-EXP((Tnet-t)/(Tau_j))))*Salcycl</f>
        <v>3.9302227656160628E-2</v>
      </c>
      <c r="P169" s="168">
        <f>(INDEX(Models!$BJ169:$BT169,,T169)*(1-R169)+INDEX(Models!$BJ169:$BT169,,T169+1)*R169-ERP_i)*Q169*Ramure*Pc/MaxiM</f>
        <v>3.9601816939905842E-5</v>
      </c>
      <c r="Q169" s="304">
        <f t="shared" si="53"/>
        <v>0.5</v>
      </c>
      <c r="R169" s="176">
        <f t="shared" si="54"/>
        <v>0.65119196814583469</v>
      </c>
      <c r="S169" s="814">
        <f t="shared" si="55"/>
        <v>-1</v>
      </c>
      <c r="T169" s="175">
        <f t="shared" si="56"/>
        <v>5</v>
      </c>
      <c r="U169" s="250">
        <f t="shared" si="57"/>
        <v>-0.34880803185416526</v>
      </c>
      <c r="V169" s="382">
        <f t="shared" si="58"/>
        <v>54.748216412063883</v>
      </c>
      <c r="W169" s="401">
        <f t="shared" si="59"/>
        <v>28.176736754931333</v>
      </c>
      <c r="X169" s="157">
        <f t="shared" si="60"/>
        <v>45812</v>
      </c>
      <c r="Y169" s="384">
        <f t="shared" si="61"/>
        <v>26.837839265138502</v>
      </c>
      <c r="Z169" s="384">
        <f t="shared" si="62"/>
        <v>28.350915884560155</v>
      </c>
      <c r="AA169" s="385">
        <f t="shared" si="63"/>
        <v>30.975097623731994</v>
      </c>
      <c r="AB169" s="196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8.4719078888754989E-2</v>
      </c>
      <c r="AD169" s="230">
        <f>(INDEX(Models!$BJ169:$BT169,,AH169)*(1-AF169)+INDEX(Models!$BJ169:$BT169,,AH169+1)*AF169-ERP_i)*AE169*Ramure*Pc/MaxiM</f>
        <v>8.7124143049703952E-4</v>
      </c>
      <c r="AE169" s="304">
        <f t="shared" si="65"/>
        <v>0.5</v>
      </c>
      <c r="AF169" s="176">
        <f t="shared" si="66"/>
        <v>0.76618450797022231</v>
      </c>
      <c r="AG169" s="814">
        <f t="shared" si="74"/>
        <v>1</v>
      </c>
      <c r="AH169" s="175">
        <f t="shared" si="67"/>
        <v>7</v>
      </c>
      <c r="AI169" s="224">
        <f t="shared" si="68"/>
        <v>1.7661845079702223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10">
        <f>'2024'!Wh/'2024'!Env_an*'2025'!Env_an</f>
        <v>29.058347914284941</v>
      </c>
      <c r="C170" s="843"/>
      <c r="D170" s="392">
        <f t="shared" si="50"/>
        <v>30.697284936098299</v>
      </c>
      <c r="E170" s="384">
        <f t="shared" ref="E170:E232" si="75">Wh_pvt/(1-Psa)</f>
        <v>31.956205258642267</v>
      </c>
      <c r="F170" s="384">
        <f t="shared" si="51"/>
        <v>31.956643504322763</v>
      </c>
      <c r="G170" s="110">
        <f t="shared" ref="G170:G232" si="76">+Wh_hp/MaxiM</f>
        <v>0.53122687647489919</v>
      </c>
      <c r="H170" s="413" t="b">
        <f>Wh_hp&gt;='2024'!Maxi_hp</f>
        <v>0</v>
      </c>
      <c r="I170" s="389">
        <f>IF(H170,Wh_hp,'2024'!Maxi_hp)</f>
        <v>43.624994616930465</v>
      </c>
      <c r="J170" s="85">
        <f>IF(H170,An,'2024'!An_max)</f>
        <v>2021</v>
      </c>
      <c r="K170" s="196">
        <f t="shared" si="52"/>
        <v>45813</v>
      </c>
      <c r="L170" s="147">
        <f>IF(t&lt;Tvie,1-EXP((T0-t)*PertePVj)+'2024'!Pspv,1-EXP((T0-t)*PertePVj)+Pspv)</f>
        <v>5.339029250388392E-2</v>
      </c>
      <c r="M170" s="847"/>
      <c r="N170" s="847"/>
      <c r="O170" s="48">
        <f>IF(t&lt;Tnet,'2024'!Resal+('2024'!Salim-'2024'!Resal)*(1-EXP(('2024'!Tnet-t)/('2024'!Tau_j))),Resal+(Salim-Resal)*(1-EXP((Tnet-t)/(Tau_j))))*Salcycl</f>
        <v>3.9395175752399647E-2</v>
      </c>
      <c r="P170" s="168">
        <f>(INDEX(Models!$BJ170:$BT170,,T170)*(1-R170)+INDEX(Models!$BJ170:$BT170,,T170+1)*R170-ERP_i)*Q170*Ramure*Pc/MaxiM</f>
        <v>4.1513416446226482E-5</v>
      </c>
      <c r="Q170" s="304">
        <f t="shared" si="53"/>
        <v>0.5</v>
      </c>
      <c r="R170" s="176">
        <f t="shared" si="54"/>
        <v>0.65424026866799789</v>
      </c>
      <c r="S170" s="814">
        <f t="shared" si="55"/>
        <v>-1</v>
      </c>
      <c r="T170" s="175">
        <f t="shared" si="56"/>
        <v>5</v>
      </c>
      <c r="U170" s="250">
        <f t="shared" si="57"/>
        <v>-0.34575973133200211</v>
      </c>
      <c r="V170" s="382">
        <f t="shared" si="58"/>
        <v>54.698926914020966</v>
      </c>
      <c r="W170" s="401">
        <f t="shared" si="59"/>
        <v>29.058347914284941</v>
      </c>
      <c r="X170" s="157">
        <f t="shared" si="60"/>
        <v>45813</v>
      </c>
      <c r="Y170" s="384">
        <f t="shared" si="61"/>
        <v>27.677286440549459</v>
      </c>
      <c r="Z170" s="384">
        <f t="shared" si="62"/>
        <v>29.238329399514445</v>
      </c>
      <c r="AA170" s="385">
        <f t="shared" si="63"/>
        <v>31.947247928723062</v>
      </c>
      <c r="AB170" s="196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8.4793486288785649E-2</v>
      </c>
      <c r="AD170" s="230">
        <f>(INDEX(Models!$BJ170:$BT170,,AH170)*(1-AF170)+INDEX(Models!$BJ170:$BT170,,AH170+1)*AF170-ERP_i)*AE170*Ramure*Pc/MaxiM</f>
        <v>8.9000864123220066E-4</v>
      </c>
      <c r="AE170" s="304">
        <f t="shared" si="65"/>
        <v>0.5</v>
      </c>
      <c r="AF170" s="176">
        <f t="shared" si="66"/>
        <v>0.7692328084923854</v>
      </c>
      <c r="AG170" s="814">
        <f t="shared" si="74"/>
        <v>1</v>
      </c>
      <c r="AH170" s="175">
        <f t="shared" si="67"/>
        <v>7</v>
      </c>
      <c r="AI170" s="224">
        <f t="shared" si="68"/>
        <v>1.7692328084923854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10">
        <f>'2024'!Wh/'2024'!Env_an*'2025'!Env_an</f>
        <v>41.215721954222047</v>
      </c>
      <c r="C171" s="843"/>
      <c r="D171" s="392">
        <f t="shared" si="50"/>
        <v>43.541306658137302</v>
      </c>
      <c r="E171" s="384">
        <f t="shared" si="75"/>
        <v>45.331340180536714</v>
      </c>
      <c r="F171" s="384">
        <f t="shared" si="51"/>
        <v>45.332618132184315</v>
      </c>
      <c r="G171" s="110">
        <f t="shared" si="76"/>
        <v>0.75418909286480529</v>
      </c>
      <c r="H171" s="413" t="b">
        <f>Wh_hp&gt;='2024'!Maxi_hp</f>
        <v>0</v>
      </c>
      <c r="I171" s="389">
        <f>IF(H171,Wh_hp,'2024'!Maxi_hp)</f>
        <v>58.308075737012821</v>
      </c>
      <c r="J171" s="85">
        <f>IF(H171,An,'2024'!An_max)</f>
        <v>2019</v>
      </c>
      <c r="K171" s="196">
        <f t="shared" si="52"/>
        <v>45814</v>
      </c>
      <c r="L171" s="147">
        <f>IF(t&lt;Tvie,1-EXP((T0-t)*PertePVj)+'2024'!Pspv,1-EXP((T0-t)*PertePVj)+Pspv)</f>
        <v>5.3410999402808114E-2</v>
      </c>
      <c r="M171" s="847"/>
      <c r="N171" s="847"/>
      <c r="O171" s="48">
        <f>IF(t&lt;Tnet,'2024'!Resal+('2024'!Salim-'2024'!Resal)*(1-EXP(('2024'!Tnet-t)/('2024'!Tau_j))),Resal+(Salim-Resal)*(1-EXP((Tnet-t)/(Tau_j))))*Salcycl</f>
        <v>3.9487769725545754E-2</v>
      </c>
      <c r="P171" s="168">
        <f>(INDEX(Models!$BJ171:$BT171,,T171)*(1-R171)+INDEX(Models!$BJ171:$BT171,,T171+1)*R171-ERP_i)*Q171*Ramure*Pc/MaxiM</f>
        <v>4.3446416123856032E-5</v>
      </c>
      <c r="Q171" s="304">
        <f t="shared" si="53"/>
        <v>0.5</v>
      </c>
      <c r="R171" s="176">
        <f t="shared" si="54"/>
        <v>0.65730141979628187</v>
      </c>
      <c r="S171" s="814">
        <f t="shared" si="55"/>
        <v>-1</v>
      </c>
      <c r="T171" s="175">
        <f t="shared" si="56"/>
        <v>5</v>
      </c>
      <c r="U171" s="250">
        <f t="shared" si="57"/>
        <v>-0.34269858020371813</v>
      </c>
      <c r="V171" s="382">
        <f t="shared" si="58"/>
        <v>54.648222236406902</v>
      </c>
      <c r="W171" s="401">
        <f t="shared" si="59"/>
        <v>41.215721954222047</v>
      </c>
      <c r="X171" s="157">
        <f t="shared" si="60"/>
        <v>45814</v>
      </c>
      <c r="Y171" s="384">
        <f t="shared" si="61"/>
        <v>39.246450865526569</v>
      </c>
      <c r="Z171" s="384">
        <f t="shared" si="62"/>
        <v>41.460920041080598</v>
      </c>
      <c r="AA171" s="385">
        <f t="shared" si="63"/>
        <v>45.305900567133925</v>
      </c>
      <c r="AB171" s="196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8.4867102914241044E-2</v>
      </c>
      <c r="AD171" s="230">
        <f>(INDEX(Models!$BJ171:$BT171,,AH171)*(1-AF171)+INDEX(Models!$BJ171:$BT171,,AH171+1)*AF171-ERP_i)*AE171*Ramure*Pc/MaxiM</f>
        <v>9.0831484209478411E-4</v>
      </c>
      <c r="AE171" s="304">
        <f t="shared" si="65"/>
        <v>0.5</v>
      </c>
      <c r="AF171" s="176">
        <f t="shared" si="66"/>
        <v>0.77229395962066927</v>
      </c>
      <c r="AG171" s="814">
        <f t="shared" si="74"/>
        <v>1</v>
      </c>
      <c r="AH171" s="175">
        <f t="shared" si="67"/>
        <v>7</v>
      </c>
      <c r="AI171" s="224">
        <f t="shared" si="68"/>
        <v>1.7722939596206693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10">
        <f>'2024'!Wh/'2024'!Env_an*'2025'!Env_an</f>
        <v>27.676563444794763</v>
      </c>
      <c r="C172" s="843"/>
      <c r="D172" s="392">
        <f t="shared" si="50"/>
        <v>29.238844799460662</v>
      </c>
      <c r="E172" s="384">
        <f t="shared" si="75"/>
        <v>30.443810138081886</v>
      </c>
      <c r="F172" s="384">
        <f t="shared" si="51"/>
        <v>30.444218696266294</v>
      </c>
      <c r="G172" s="110">
        <f t="shared" si="76"/>
        <v>0.50691306245469436</v>
      </c>
      <c r="H172" s="413" t="b">
        <f>Wh_hp&gt;='2024'!Maxi_hp</f>
        <v>0</v>
      </c>
      <c r="I172" s="389">
        <f>IF(H172,Wh_hp,'2024'!Maxi_hp)</f>
        <v>53.888415995131361</v>
      </c>
      <c r="J172" s="85">
        <f>IF(H172,An,'2024'!An_max)</f>
        <v>2021</v>
      </c>
      <c r="K172" s="196">
        <f t="shared" si="52"/>
        <v>45815</v>
      </c>
      <c r="L172" s="147">
        <f>IF(t&lt;Tvie,1-EXP((T0-t)*PertePVj)+'2024'!Pspv,1-EXP((T0-t)*PertePVj)+Pspv)</f>
        <v>5.3431705848198098E-2</v>
      </c>
      <c r="M172" s="847"/>
      <c r="N172" s="847"/>
      <c r="O172" s="48">
        <f>IF(t&lt;Tnet,'2024'!Resal+('2024'!Salim-'2024'!Resal)*(1-EXP(('2024'!Tnet-t)/('2024'!Tau_j))),Resal+(Salim-Resal)*(1-EXP((Tnet-t)/(Tau_j))))*Salcycl</f>
        <v>3.9579978102476307E-2</v>
      </c>
      <c r="P172" s="168">
        <f>(INDEX(Models!$BJ172:$BT172,,T172)*(1-R172)+INDEX(Models!$BJ172:$BT172,,T172+1)*R172-ERP_i)*Q172*Ramure*Pc/MaxiM</f>
        <v>4.5396794755572514E-5</v>
      </c>
      <c r="Q172" s="304">
        <f t="shared" si="53"/>
        <v>0.5</v>
      </c>
      <c r="R172" s="176">
        <f t="shared" si="54"/>
        <v>0.66037290344697741</v>
      </c>
      <c r="S172" s="814">
        <f t="shared" si="55"/>
        <v>-1</v>
      </c>
      <c r="T172" s="175">
        <f t="shared" si="56"/>
        <v>5</v>
      </c>
      <c r="U172" s="250">
        <f t="shared" si="57"/>
        <v>-0.33962709655302253</v>
      </c>
      <c r="V172" s="382">
        <f t="shared" si="58"/>
        <v>54.596498831919043</v>
      </c>
      <c r="W172" s="401">
        <f t="shared" si="59"/>
        <v>27.676563444794763</v>
      </c>
      <c r="X172" s="157">
        <f t="shared" si="60"/>
        <v>45815</v>
      </c>
      <c r="Y172" s="384">
        <f t="shared" si="61"/>
        <v>26.362555435159212</v>
      </c>
      <c r="Z172" s="384">
        <f t="shared" si="62"/>
        <v>27.850663917263457</v>
      </c>
      <c r="AA172" s="385">
        <f t="shared" si="63"/>
        <v>30.435883771637393</v>
      </c>
      <c r="AB172" s="196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8.4939864857252911E-2</v>
      </c>
      <c r="AD172" s="230">
        <f>(INDEX(Models!$BJ172:$BT172,,AH172)*(1-AF172)+INDEX(Models!$BJ172:$BT172,,AH172+1)*AF172-ERP_i)*AE172*Ramure*Pc/MaxiM</f>
        <v>9.2613213275493148E-4</v>
      </c>
      <c r="AE172" s="304">
        <f t="shared" si="65"/>
        <v>0.5</v>
      </c>
      <c r="AF172" s="176">
        <f t="shared" si="66"/>
        <v>0.77536544327136481</v>
      </c>
      <c r="AG172" s="814">
        <f t="shared" si="74"/>
        <v>1</v>
      </c>
      <c r="AH172" s="175">
        <f t="shared" si="67"/>
        <v>7</v>
      </c>
      <c r="AI172" s="224">
        <f t="shared" si="68"/>
        <v>1.7753654432713648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10">
        <f>'2024'!Wh/'2024'!Env_an*'2025'!Env_an</f>
        <v>20.797133358075651</v>
      </c>
      <c r="C173" s="843"/>
      <c r="D173" s="392">
        <f t="shared" si="50"/>
        <v>21.971566583889075</v>
      </c>
      <c r="E173" s="384">
        <f t="shared" si="75"/>
        <v>22.87922598132803</v>
      </c>
      <c r="F173" s="384">
        <f t="shared" si="51"/>
        <v>22.879351814904826</v>
      </c>
      <c r="G173" s="110">
        <f t="shared" si="76"/>
        <v>0.38127391596995019</v>
      </c>
      <c r="H173" s="413" t="b">
        <f>Wh_hp&gt;='2024'!Maxi_hp</f>
        <v>0</v>
      </c>
      <c r="I173" s="389">
        <f>IF(H173,Wh_hp,'2024'!Maxi_hp)</f>
        <v>61.825772248847073</v>
      </c>
      <c r="J173" s="85">
        <f>IF(H173,An,'2024'!An_max)</f>
        <v>2019</v>
      </c>
      <c r="K173" s="196">
        <f t="shared" si="52"/>
        <v>45816</v>
      </c>
      <c r="L173" s="147">
        <f>IF(t&lt;Tvie,1-EXP((T0-t)*PertePVj)+'2024'!Pspv,1-EXP((T0-t)*PertePVj)+Pspv)</f>
        <v>5.3452411840063864E-2</v>
      </c>
      <c r="M173" s="847"/>
      <c r="N173" s="847"/>
      <c r="O173" s="48">
        <f>IF(t&lt;Tnet,'2024'!Resal+('2024'!Salim-'2024'!Resal)*(1-EXP(('2024'!Tnet-t)/('2024'!Tau_j))),Resal+(Salim-Resal)*(1-EXP((Tnet-t)/(Tau_j))))*Salcycl</f>
        <v>3.9671770285398061E-2</v>
      </c>
      <c r="P173" s="168">
        <f>(INDEX(Models!$BJ173:$BT173,,T173)*(1-R173)+INDEX(Models!$BJ173:$BT173,,T173+1)*R173-ERP_i)*Q173*Ramure*Pc/MaxiM</f>
        <v>4.7360294966640672E-5</v>
      </c>
      <c r="Q173" s="304">
        <f t="shared" si="53"/>
        <v>0.5</v>
      </c>
      <c r="R173" s="176">
        <f t="shared" si="54"/>
        <v>0.66345216701893739</v>
      </c>
      <c r="S173" s="814">
        <f t="shared" si="55"/>
        <v>-1</v>
      </c>
      <c r="T173" s="175">
        <f t="shared" si="56"/>
        <v>5</v>
      </c>
      <c r="U173" s="250">
        <f t="shared" si="57"/>
        <v>-0.33654783298106261</v>
      </c>
      <c r="V173" s="382">
        <f t="shared" si="58"/>
        <v>54.54415291863738</v>
      </c>
      <c r="W173" s="401">
        <f t="shared" si="59"/>
        <v>20.797133358075651</v>
      </c>
      <c r="X173" s="157">
        <f t="shared" si="60"/>
        <v>45816</v>
      </c>
      <c r="Y173" s="384">
        <f t="shared" si="61"/>
        <v>19.813177119282859</v>
      </c>
      <c r="Z173" s="384">
        <f t="shared" si="62"/>
        <v>20.932045432389891</v>
      </c>
      <c r="AA173" s="385">
        <f t="shared" si="63"/>
        <v>22.876845170002106</v>
      </c>
      <c r="AB173" s="196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8.5011710450459646E-2</v>
      </c>
      <c r="AD173" s="230">
        <f>(INDEX(Models!$BJ173:$BT173,,AH173)*(1-AF173)+INDEX(Models!$BJ173:$BT173,,AH173+1)*AF173-ERP_i)*AE173*Ramure*Pc/MaxiM</f>
        <v>9.4343215054266342E-4</v>
      </c>
      <c r="AE173" s="304">
        <f t="shared" si="65"/>
        <v>0.5</v>
      </c>
      <c r="AF173" s="176">
        <f t="shared" si="66"/>
        <v>0.7784447068433249</v>
      </c>
      <c r="AG173" s="814">
        <f t="shared" si="74"/>
        <v>1</v>
      </c>
      <c r="AH173" s="175">
        <f t="shared" si="67"/>
        <v>7</v>
      </c>
      <c r="AI173" s="224">
        <f t="shared" si="68"/>
        <v>1.7784447068433249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10">
        <f>'2024'!Wh/'2024'!Env_an*'2025'!Env_an</f>
        <v>42.03694369782459</v>
      </c>
      <c r="C174" s="843"/>
      <c r="D174" s="392">
        <f t="shared" si="50"/>
        <v>44.411780024034123</v>
      </c>
      <c r="E174" s="384">
        <f t="shared" si="75"/>
        <v>46.250858298852179</v>
      </c>
      <c r="F174" s="384">
        <f t="shared" si="51"/>
        <v>46.25239501789089</v>
      </c>
      <c r="G174" s="110">
        <f t="shared" si="76"/>
        <v>0.77142681838307881</v>
      </c>
      <c r="H174" s="413" t="b">
        <f>Wh_hp&gt;='2024'!Maxi_hp</f>
        <v>0</v>
      </c>
      <c r="I174" s="389">
        <f>IF(H174,Wh_hp,'2024'!Maxi_hp)</f>
        <v>57.898701564439953</v>
      </c>
      <c r="J174" s="85">
        <f>IF(H174,An,'2024'!An_max)</f>
        <v>2021</v>
      </c>
      <c r="K174" s="196">
        <f t="shared" si="52"/>
        <v>45817</v>
      </c>
      <c r="L174" s="147">
        <f>IF(t&lt;Tvie,1-EXP((T0-t)*PertePVj)+'2024'!Pspv,1-EXP((T0-t)*PertePVj)+Pspv)</f>
        <v>5.3473117378415182E-2</v>
      </c>
      <c r="M174" s="847"/>
      <c r="N174" s="847"/>
      <c r="O174" s="48">
        <f>IF(t&lt;Tnet,'2024'!Resal+('2024'!Salim-'2024'!Resal)*(1-EXP(('2024'!Tnet-t)/('2024'!Tau_j))),Resal+(Salim-Resal)*(1-EXP((Tnet-t)/(Tau_j))))*Salcycl</f>
        <v>3.9763116674176265E-2</v>
      </c>
      <c r="P174" s="168">
        <f>(INDEX(Models!$BJ174:$BT174,,T174)*(1-R174)+INDEX(Models!$BJ174:$BT174,,T174+1)*R174-ERP_i)*Q174*Ramure*Pc/MaxiM</f>
        <v>4.9332435103712189E-5</v>
      </c>
      <c r="Q174" s="304">
        <f t="shared" si="53"/>
        <v>0.5</v>
      </c>
      <c r="R174" s="176">
        <f t="shared" si="54"/>
        <v>0.66653663180552092</v>
      </c>
      <c r="S174" s="814">
        <f t="shared" si="55"/>
        <v>-1</v>
      </c>
      <c r="T174" s="175">
        <f t="shared" si="56"/>
        <v>5</v>
      </c>
      <c r="U174" s="250">
        <f t="shared" si="57"/>
        <v>-0.33346336819447908</v>
      </c>
      <c r="V174" s="382">
        <f t="shared" si="58"/>
        <v>54.491580472710048</v>
      </c>
      <c r="W174" s="401">
        <f t="shared" si="59"/>
        <v>42.03694369782459</v>
      </c>
      <c r="X174" s="157">
        <f t="shared" si="60"/>
        <v>45817</v>
      </c>
      <c r="Y174" s="384">
        <f t="shared" si="61"/>
        <v>40.02839153305321</v>
      </c>
      <c r="Z174" s="384">
        <f t="shared" si="62"/>
        <v>42.28975665454638</v>
      </c>
      <c r="AA174" s="385">
        <f t="shared" si="63"/>
        <v>46.222484951881157</v>
      </c>
      <c r="AB174" s="196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8.508258051095377E-2</v>
      </c>
      <c r="AD174" s="230">
        <f>(INDEX(Models!$BJ174:$BT174,,AH174)*(1-AF174)+INDEX(Models!$BJ174:$BT174,,AH174+1)*AF174-ERP_i)*AE174*Ramure*Pc/MaxiM</f>
        <v>9.6018618446140679E-4</v>
      </c>
      <c r="AE174" s="304">
        <f t="shared" si="65"/>
        <v>0.5</v>
      </c>
      <c r="AF174" s="176">
        <f t="shared" si="66"/>
        <v>0.78152917162990843</v>
      </c>
      <c r="AG174" s="814">
        <f t="shared" si="74"/>
        <v>1</v>
      </c>
      <c r="AH174" s="175">
        <f t="shared" si="67"/>
        <v>7</v>
      </c>
      <c r="AI174" s="224">
        <f t="shared" si="68"/>
        <v>1.7815291716299084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10">
        <f>'2024'!Wh/'2024'!Env_an*'2025'!Env_an</f>
        <v>53.257743609355735</v>
      </c>
      <c r="C175" s="843"/>
      <c r="D175" s="392">
        <f t="shared" si="50"/>
        <v>56.267718978821534</v>
      </c>
      <c r="E175" s="384">
        <f t="shared" si="75"/>
        <v>58.60329400067495</v>
      </c>
      <c r="F175" s="384">
        <f t="shared" si="51"/>
        <v>58.606207773537029</v>
      </c>
      <c r="G175" s="110">
        <f t="shared" si="76"/>
        <v>0.97829654312267378</v>
      </c>
      <c r="H175" s="413" t="b">
        <f>Wh_hp&gt;='2024'!Maxi_hp</f>
        <v>1</v>
      </c>
      <c r="I175" s="389">
        <f>IF(H175,Wh_hp,'2024'!Maxi_hp)</f>
        <v>58.606207773537029</v>
      </c>
      <c r="J175" s="85">
        <f>IF(H175,An,'2024'!An_max)</f>
        <v>2025</v>
      </c>
      <c r="K175" s="196">
        <f t="shared" si="52"/>
        <v>45818</v>
      </c>
      <c r="L175" s="147">
        <f>IF(t&lt;Tvie,1-EXP((T0-t)*PertePVj)+'2024'!Pspv,1-EXP((T0-t)*PertePVj)+Pspv)</f>
        <v>5.3493822463262043E-2</v>
      </c>
      <c r="M175" s="847"/>
      <c r="N175" s="847"/>
      <c r="O175" s="48">
        <f>IF(t&lt;Tnet,'2024'!Resal+('2024'!Salim-'2024'!Resal)*(1-EXP(('2024'!Tnet-t)/('2024'!Tau_j))),Resal+(Salim-Resal)*(1-EXP((Tnet-t)/(Tau_j))))*Salcycl</f>
        <v>3.9853988784768854E-2</v>
      </c>
      <c r="P175" s="168">
        <f>(INDEX(Models!$BJ175:$BT175,,T175)*(1-R175)+INDEX(Models!$BJ175:$BT175,,T175+1)*R175-ERP_i)*Q175*Ramure*Pc/MaxiM</f>
        <v>5.1308523067531079E-5</v>
      </c>
      <c r="Q175" s="304">
        <f t="shared" si="53"/>
        <v>0.5</v>
      </c>
      <c r="R175" s="176">
        <f t="shared" si="54"/>
        <v>0.66962370159212781</v>
      </c>
      <c r="S175" s="814">
        <f t="shared" si="55"/>
        <v>-1</v>
      </c>
      <c r="T175" s="175">
        <f t="shared" si="56"/>
        <v>5</v>
      </c>
      <c r="U175" s="250">
        <f t="shared" si="57"/>
        <v>-0.33037629840787219</v>
      </c>
      <c r="V175" s="382">
        <f t="shared" si="58"/>
        <v>54.439177223163043</v>
      </c>
      <c r="W175" s="401">
        <f t="shared" si="59"/>
        <v>53.257743609355735</v>
      </c>
      <c r="X175" s="157">
        <f t="shared" si="60"/>
        <v>45818</v>
      </c>
      <c r="Y175" s="384">
        <f t="shared" si="61"/>
        <v>50.699624062535996</v>
      </c>
      <c r="Z175" s="384">
        <f t="shared" si="62"/>
        <v>53.565021830581898</v>
      </c>
      <c r="AA175" s="385">
        <f t="shared" si="63"/>
        <v>58.550760714784502</v>
      </c>
      <c r="AB175" s="196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8.5152418573848976E-2</v>
      </c>
      <c r="AD175" s="230">
        <f>(INDEX(Models!$BJ175:$BT175,,AH175)*(1-AF175)+INDEX(Models!$BJ175:$BT175,,AH175+1)*AF175-ERP_i)*AE175*Ramure*Pc/MaxiM</f>
        <v>9.7636529259282191E-4</v>
      </c>
      <c r="AE175" s="304">
        <f t="shared" si="65"/>
        <v>0.5</v>
      </c>
      <c r="AF175" s="176">
        <f t="shared" si="66"/>
        <v>0.7846162414165152</v>
      </c>
      <c r="AG175" s="814">
        <f t="shared" si="74"/>
        <v>1</v>
      </c>
      <c r="AH175" s="175">
        <f t="shared" si="67"/>
        <v>7</v>
      </c>
      <c r="AI175" s="224">
        <f t="shared" si="68"/>
        <v>1.7846162414165152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10">
        <f>'2024'!Wh/'2024'!Env_an*'2025'!Env_an</f>
        <v>50.852112483854242</v>
      </c>
      <c r="C176" s="843"/>
      <c r="D176" s="392">
        <f t="shared" si="50"/>
        <v>53.727303735318529</v>
      </c>
      <c r="E176" s="384">
        <f t="shared" si="75"/>
        <v>55.962697849122655</v>
      </c>
      <c r="F176" s="384">
        <f t="shared" si="51"/>
        <v>55.965402983534126</v>
      </c>
      <c r="G176" s="110">
        <f t="shared" si="76"/>
        <v>0.9349944698244167</v>
      </c>
      <c r="H176" s="413" t="b">
        <f>Wh_hp&gt;='2024'!Maxi_hp</f>
        <v>1</v>
      </c>
      <c r="I176" s="389">
        <f>IF(H176,Wh_hp,'2024'!Maxi_hp)</f>
        <v>55.965402983534126</v>
      </c>
      <c r="J176" s="85">
        <f>IF(H176,An,'2024'!An_max)</f>
        <v>2025</v>
      </c>
      <c r="K176" s="196">
        <f t="shared" si="52"/>
        <v>45819</v>
      </c>
      <c r="L176" s="147">
        <f>IF(t&lt;Tvie,1-EXP((T0-t)*PertePVj)+'2024'!Pspv,1-EXP((T0-t)*PertePVj)+Pspv)</f>
        <v>5.3514527094614441E-2</v>
      </c>
      <c r="M176" s="847"/>
      <c r="N176" s="847"/>
      <c r="O176" s="48">
        <f>IF(t&lt;Tnet,'2024'!Resal+('2024'!Salim-'2024'!Resal)*(1-EXP(('2024'!Tnet-t)/('2024'!Tau_j))),Resal+(Salim-Resal)*(1-EXP((Tnet-t)/(Tau_j))))*Salcycl</f>
        <v>3.9944359362924599E-2</v>
      </c>
      <c r="P176" s="168">
        <f>(INDEX(Models!$BJ176:$BT176,,T176)*(1-R176)+INDEX(Models!$BJ176:$BT176,,T176+1)*R176-ERP_i)*Q176*Ramure*Pc/MaxiM</f>
        <v>5.3283672035904998E-5</v>
      </c>
      <c r="Q176" s="304">
        <f t="shared" si="53"/>
        <v>0.5</v>
      </c>
      <c r="R176" s="176">
        <f t="shared" si="54"/>
        <v>0.6727107713787347</v>
      </c>
      <c r="S176" s="814">
        <f t="shared" si="55"/>
        <v>-1</v>
      </c>
      <c r="T176" s="175">
        <f t="shared" si="56"/>
        <v>5</v>
      </c>
      <c r="U176" s="250">
        <f t="shared" si="57"/>
        <v>-0.3272892286212653</v>
      </c>
      <c r="V176" s="382">
        <f t="shared" si="58"/>
        <v>54.387338647264706</v>
      </c>
      <c r="W176" s="401">
        <f t="shared" si="59"/>
        <v>50.852112483854242</v>
      </c>
      <c r="X176" s="157">
        <f t="shared" si="60"/>
        <v>45819</v>
      </c>
      <c r="Y176" s="384">
        <f t="shared" si="61"/>
        <v>48.412635505153489</v>
      </c>
      <c r="Z176" s="384">
        <f t="shared" si="62"/>
        <v>51.149898113642799</v>
      </c>
      <c r="AA176" s="385">
        <f t="shared" si="63"/>
        <v>55.915043613241806</v>
      </c>
      <c r="AB176" s="196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8.5221171113788158E-2</v>
      </c>
      <c r="AD176" s="230">
        <f>(INDEX(Models!$BJ176:$BT176,,AH176)*(1-AF176)+INDEX(Models!$BJ176:$BT176,,AH176+1)*AF176-ERP_i)*AE176*Ramure*Pc/MaxiM</f>
        <v>9.9194042233443323E-4</v>
      </c>
      <c r="AE176" s="304">
        <f t="shared" si="65"/>
        <v>0.5</v>
      </c>
      <c r="AF176" s="176">
        <f t="shared" si="66"/>
        <v>0.7877033112031222</v>
      </c>
      <c r="AG176" s="814">
        <f t="shared" si="74"/>
        <v>1</v>
      </c>
      <c r="AH176" s="175">
        <f t="shared" si="67"/>
        <v>7</v>
      </c>
      <c r="AI176" s="224">
        <f t="shared" si="68"/>
        <v>1.7877033112031222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10">
        <f>'2024'!Wh/'2024'!Env_an*'2025'!Env_an</f>
        <v>40.491891642597331</v>
      </c>
      <c r="C177" s="843"/>
      <c r="D177" s="392">
        <f t="shared" si="50"/>
        <v>42.782249250584343</v>
      </c>
      <c r="E177" s="384">
        <f t="shared" si="75"/>
        <v>44.566430764156848</v>
      </c>
      <c r="F177" s="384">
        <f t="shared" si="51"/>
        <v>44.56799701816491</v>
      </c>
      <c r="G177" s="110">
        <f t="shared" si="76"/>
        <v>0.74520516969110739</v>
      </c>
      <c r="H177" s="413" t="b">
        <f>Wh_hp&gt;='2024'!Maxi_hp</f>
        <v>0</v>
      </c>
      <c r="I177" s="389">
        <f>IF(H177,Wh_hp,'2024'!Maxi_hp)</f>
        <v>57.291729611874956</v>
      </c>
      <c r="J177" s="85">
        <f>IF(H177,An,'2024'!An_max)</f>
        <v>2019</v>
      </c>
      <c r="K177" s="196">
        <f t="shared" si="52"/>
        <v>45820</v>
      </c>
      <c r="L177" s="147">
        <f>IF(t&lt;Tvie,1-EXP((T0-t)*PertePVj)+'2024'!Pspv,1-EXP((T0-t)*PertePVj)+Pspv)</f>
        <v>5.3535231272482255E-2</v>
      </c>
      <c r="M177" s="847"/>
      <c r="N177" s="847"/>
      <c r="O177" s="48">
        <f>IF(t&lt;Tnet,'2024'!Resal+('2024'!Salim-'2024'!Resal)*(1-EXP(('2024'!Tnet-t)/('2024'!Tau_j))),Resal+(Salim-Resal)*(1-EXP((Tnet-t)/(Tau_j))))*Salcycl</f>
        <v>4.0034202492326462E-2</v>
      </c>
      <c r="P177" s="168">
        <f>(INDEX(Models!$BJ177:$BT177,,T177)*(1-R177)+INDEX(Models!$BJ177:$BT177,,T177+1)*R177-ERP_i)*Q177*Ramure*Pc/MaxiM</f>
        <v>5.5253818955277041E-5</v>
      </c>
      <c r="Q177" s="304">
        <f t="shared" si="53"/>
        <v>0.5</v>
      </c>
      <c r="R177" s="176">
        <f t="shared" si="54"/>
        <v>0.67579523616531834</v>
      </c>
      <c r="S177" s="814">
        <f t="shared" si="55"/>
        <v>-1</v>
      </c>
      <c r="T177" s="175">
        <f t="shared" si="56"/>
        <v>5</v>
      </c>
      <c r="U177" s="250">
        <f t="shared" si="57"/>
        <v>-0.32420476383468172</v>
      </c>
      <c r="V177" s="382">
        <f t="shared" si="58"/>
        <v>54.335475566370413</v>
      </c>
      <c r="W177" s="401">
        <f t="shared" si="59"/>
        <v>40.491891642597331</v>
      </c>
      <c r="X177" s="157">
        <f t="shared" si="60"/>
        <v>45820</v>
      </c>
      <c r="Y177" s="384">
        <f t="shared" si="61"/>
        <v>38.559673890335311</v>
      </c>
      <c r="Z177" s="384">
        <f t="shared" si="62"/>
        <v>40.74073876218042</v>
      </c>
      <c r="AA177" s="385">
        <f t="shared" si="63"/>
        <v>44.539454875698489</v>
      </c>
      <c r="AB177" s="196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8.5288787752782258E-2</v>
      </c>
      <c r="AD177" s="230">
        <f>(INDEX(Models!$BJ177:$BT177,,AH177)*(1-AF177)+INDEX(Models!$BJ177:$BT177,,AH177+1)*AF177-ERP_i)*AE177*Ramure*Pc/MaxiM</f>
        <v>1.0069007736392295E-3</v>
      </c>
      <c r="AE177" s="304">
        <f t="shared" si="65"/>
        <v>0.5</v>
      </c>
      <c r="AF177" s="176">
        <f t="shared" si="66"/>
        <v>0.79078777598970573</v>
      </c>
      <c r="AG177" s="814">
        <f t="shared" si="74"/>
        <v>1</v>
      </c>
      <c r="AH177" s="175">
        <f t="shared" si="67"/>
        <v>7</v>
      </c>
      <c r="AI177" s="224">
        <f t="shared" si="68"/>
        <v>1.7907877759897057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10">
        <f>'2024'!Wh/'2024'!Env_an*'2025'!Env_an</f>
        <v>48.655774567302068</v>
      </c>
      <c r="C178" s="843"/>
      <c r="D178" s="392">
        <f t="shared" si="50"/>
        <v>51.409033419361599</v>
      </c>
      <c r="E178" s="384">
        <f t="shared" si="75"/>
        <v>53.557966136011494</v>
      </c>
      <c r="F178" s="384">
        <f t="shared" si="51"/>
        <v>53.560575805462413</v>
      </c>
      <c r="G178" s="110">
        <f t="shared" si="76"/>
        <v>0.89633214002999317</v>
      </c>
      <c r="H178" s="413" t="b">
        <f>Wh_hp&gt;='2024'!Maxi_hp</f>
        <v>0</v>
      </c>
      <c r="I178" s="389">
        <f>IF(H178,Wh_hp,'2024'!Maxi_hp)</f>
        <v>61.075275136442549</v>
      </c>
      <c r="J178" s="85">
        <f>IF(H178,An,'2024'!An_max)</f>
        <v>2019</v>
      </c>
      <c r="K178" s="196">
        <f t="shared" si="52"/>
        <v>45821</v>
      </c>
      <c r="L178" s="147">
        <f>IF(t&lt;Tvie,1-EXP((T0-t)*PertePVj)+'2024'!Pspv,1-EXP((T0-t)*PertePVj)+Pspv)</f>
        <v>5.3555934996875477E-2</v>
      </c>
      <c r="M178" s="847"/>
      <c r="N178" s="847"/>
      <c r="O178" s="48">
        <f>IF(t&lt;Tnet,'2024'!Resal+('2024'!Salim-'2024'!Resal)*(1-EXP(('2024'!Tnet-t)/('2024'!Tau_j))),Resal+(Salim-Resal)*(1-EXP((Tnet-t)/(Tau_j))))*Salcycl</f>
        <v>4.0123493696393099E-2</v>
      </c>
      <c r="P178" s="168">
        <f>(INDEX(Models!$BJ178:$BT178,,T178)*(1-R178)+INDEX(Models!$BJ178:$BT178,,T178+1)*R178-ERP_i)*Q178*Ramure*Pc/MaxiM</f>
        <v>5.7193221379370232E-5</v>
      </c>
      <c r="Q178" s="304">
        <f t="shared" si="53"/>
        <v>0.5</v>
      </c>
      <c r="R178" s="176">
        <f t="shared" si="54"/>
        <v>0.6788744997372782</v>
      </c>
      <c r="S178" s="814">
        <f t="shared" si="55"/>
        <v>-1</v>
      </c>
      <c r="T178" s="175">
        <f t="shared" si="56"/>
        <v>5</v>
      </c>
      <c r="U178" s="250">
        <f t="shared" si="57"/>
        <v>-0.3211255002627218</v>
      </c>
      <c r="V178" s="382">
        <f t="shared" si="58"/>
        <v>54.282737707578846</v>
      </c>
      <c r="W178" s="401">
        <f t="shared" si="59"/>
        <v>48.655774567302068</v>
      </c>
      <c r="X178" s="157">
        <f t="shared" si="60"/>
        <v>45821</v>
      </c>
      <c r="Y178" s="384">
        <f t="shared" si="61"/>
        <v>46.324930821216448</v>
      </c>
      <c r="Z178" s="384">
        <f t="shared" si="62"/>
        <v>48.946295438033644</v>
      </c>
      <c r="AA178" s="385">
        <f t="shared" si="63"/>
        <v>53.513994269755294</v>
      </c>
      <c r="AB178" s="196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8.5355221452852723E-2</v>
      </c>
      <c r="AD178" s="230">
        <f>(INDEX(Models!$BJ178:$BT178,,AH178)*(1-AF178)+INDEX(Models!$BJ178:$BT178,,AH178+1)*AF178-ERP_i)*AE178*Ramure*Pc/MaxiM</f>
        <v>1.0208756832971193E-3</v>
      </c>
      <c r="AE178" s="304">
        <f t="shared" si="65"/>
        <v>0.5</v>
      </c>
      <c r="AF178" s="176">
        <f t="shared" si="66"/>
        <v>0.7938670395616656</v>
      </c>
      <c r="AG178" s="814">
        <f t="shared" si="74"/>
        <v>1</v>
      </c>
      <c r="AH178" s="175">
        <f t="shared" si="67"/>
        <v>7</v>
      </c>
      <c r="AI178" s="224">
        <f t="shared" si="68"/>
        <v>1.7938670395616656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10">
        <f>'2024'!Wh/'2024'!Env_an*'2025'!Env_an</f>
        <v>44.49174113783527</v>
      </c>
      <c r="C179" s="843"/>
      <c r="D179" s="392">
        <f t="shared" si="50"/>
        <v>47.010400352337079</v>
      </c>
      <c r="E179" s="384">
        <f t="shared" si="75"/>
        <v>48.979994165119408</v>
      </c>
      <c r="F179" s="384">
        <f t="shared" si="51"/>
        <v>48.98214696818588</v>
      </c>
      <c r="G179" s="110">
        <f t="shared" si="76"/>
        <v>0.8204275045004481</v>
      </c>
      <c r="H179" s="413" t="b">
        <f>Wh_hp&gt;='2024'!Maxi_hp</f>
        <v>0</v>
      </c>
      <c r="I179" s="389">
        <f>IF(H179,Wh_hp,'2024'!Maxi_hp)</f>
        <v>52.838885669161783</v>
      </c>
      <c r="J179" s="85">
        <f>IF(H179,An,'2024'!An_max)</f>
        <v>2021</v>
      </c>
      <c r="K179" s="196">
        <f t="shared" si="52"/>
        <v>45822</v>
      </c>
      <c r="L179" s="147">
        <f>IF(t&lt;Tvie,1-EXP((T0-t)*PertePVj)+'2024'!Pspv,1-EXP((T0-t)*PertePVj)+Pspv)</f>
        <v>5.357663826780399E-2</v>
      </c>
      <c r="M179" s="847"/>
      <c r="N179" s="847"/>
      <c r="O179" s="48">
        <f>IF(t&lt;Tnet,'2024'!Resal+('2024'!Salim-'2024'!Resal)*(1-EXP(('2024'!Tnet-t)/('2024'!Tau_j))),Resal+(Salim-Resal)*(1-EXP((Tnet-t)/(Tau_j))))*Salcycl</f>
        <v>4.0212210032988437E-2</v>
      </c>
      <c r="P179" s="168">
        <f>(INDEX(Models!$BJ179:$BT179,,T179)*(1-R179)+INDEX(Models!$BJ179:$BT179,,T179+1)*R179-ERP_i)*Q179*Ramure*Pc/MaxiM</f>
        <v>5.9114484023548804E-5</v>
      </c>
      <c r="Q179" s="304">
        <f t="shared" si="53"/>
        <v>0.5</v>
      </c>
      <c r="R179" s="176">
        <f t="shared" si="54"/>
        <v>0.68194598338797374</v>
      </c>
      <c r="S179" s="814">
        <f t="shared" si="55"/>
        <v>-1</v>
      </c>
      <c r="T179" s="175">
        <f t="shared" si="56"/>
        <v>5</v>
      </c>
      <c r="U179" s="250">
        <f t="shared" si="57"/>
        <v>-0.31805401661202626</v>
      </c>
      <c r="V179" s="382">
        <f t="shared" si="58"/>
        <v>54.229125917987318</v>
      </c>
      <c r="W179" s="401">
        <f t="shared" si="59"/>
        <v>44.49174113783527</v>
      </c>
      <c r="X179" s="157">
        <f t="shared" si="60"/>
        <v>45822</v>
      </c>
      <c r="Y179" s="384">
        <f t="shared" si="61"/>
        <v>42.365342743457802</v>
      </c>
      <c r="Z179" s="384">
        <f t="shared" si="62"/>
        <v>44.763627417140704</v>
      </c>
      <c r="AA179" s="385">
        <f t="shared" si="63"/>
        <v>48.944486430113095</v>
      </c>
      <c r="AB179" s="196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8.5420428692048161E-2</v>
      </c>
      <c r="AD179" s="230">
        <f>(INDEX(Models!$BJ179:$BT179,,AH179)*(1-AF179)+INDEX(Models!$BJ179:$BT179,,AH179+1)*AF179-ERP_i)*AE179*Ramure*Pc/MaxiM</f>
        <v>1.0341323416405096E-3</v>
      </c>
      <c r="AE179" s="304">
        <f t="shared" si="65"/>
        <v>0.5</v>
      </c>
      <c r="AF179" s="176">
        <f t="shared" si="66"/>
        <v>0.79693852321236114</v>
      </c>
      <c r="AG179" s="814">
        <f t="shared" si="74"/>
        <v>1</v>
      </c>
      <c r="AH179" s="175">
        <f t="shared" si="67"/>
        <v>7</v>
      </c>
      <c r="AI179" s="224">
        <f t="shared" si="68"/>
        <v>1.7969385232123611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10">
        <f>'2024'!Wh/'2024'!Env_an*'2025'!Env_an</f>
        <v>50.001543641075855</v>
      </c>
      <c r="C180" s="843"/>
      <c r="D180" s="392">
        <f t="shared" si="50"/>
        <v>52.833266231959477</v>
      </c>
      <c r="E180" s="384">
        <f t="shared" si="75"/>
        <v>55.051874970366846</v>
      </c>
      <c r="F180" s="384">
        <f t="shared" si="51"/>
        <v>55.054864369458969</v>
      </c>
      <c r="G180" s="110">
        <f t="shared" si="76"/>
        <v>0.92296333034779399</v>
      </c>
      <c r="H180" s="413" t="b">
        <f>Wh_hp&gt;='2024'!Maxi_hp</f>
        <v>1</v>
      </c>
      <c r="I180" s="389">
        <f>IF(H180,Wh_hp,'2024'!Maxi_hp)</f>
        <v>55.054864369458969</v>
      </c>
      <c r="J180" s="85">
        <f>IF(H180,An,'2024'!An_max)</f>
        <v>2025</v>
      </c>
      <c r="K180" s="196">
        <f t="shared" si="52"/>
        <v>45823</v>
      </c>
      <c r="L180" s="147">
        <f>IF(t&lt;Tvie,1-EXP((T0-t)*PertePVj)+'2024'!Pspv,1-EXP((T0-t)*PertePVj)+Pspv)</f>
        <v>5.3597341085277785E-2</v>
      </c>
      <c r="M180" s="847"/>
      <c r="N180" s="847"/>
      <c r="O180" s="48">
        <f>IF(t&lt;Tnet,'2024'!Resal+('2024'!Salim-'2024'!Resal)*(1-EXP(('2024'!Tnet-t)/('2024'!Tau_j))),Resal+(Salim-Resal)*(1-EXP((Tnet-t)/(Tau_j))))*Salcycl</f>
        <v>4.0300330181335282E-2</v>
      </c>
      <c r="P180" s="168">
        <f>(INDEX(Models!$BJ180:$BT180,,T180)*(1-R180)+INDEX(Models!$BJ180:$BT180,,T180+1)*R180-ERP_i)*Q180*Ramure*Pc/MaxiM</f>
        <v>6.1012586658142094E-5</v>
      </c>
      <c r="Q180" s="304">
        <f t="shared" si="53"/>
        <v>0.5</v>
      </c>
      <c r="R180" s="176">
        <f t="shared" si="54"/>
        <v>0.68500713451625772</v>
      </c>
      <c r="S180" s="814">
        <f t="shared" si="55"/>
        <v>-1</v>
      </c>
      <c r="T180" s="175">
        <f t="shared" si="56"/>
        <v>5</v>
      </c>
      <c r="U180" s="250">
        <f t="shared" si="57"/>
        <v>-0.31499286548374228</v>
      </c>
      <c r="V180" s="382">
        <f t="shared" si="58"/>
        <v>54.174641902201685</v>
      </c>
      <c r="W180" s="401">
        <f t="shared" si="59"/>
        <v>50.001543641075855</v>
      </c>
      <c r="X180" s="157">
        <f t="shared" si="60"/>
        <v>45823</v>
      </c>
      <c r="Y180" s="384">
        <f t="shared" si="61"/>
        <v>47.605601745466849</v>
      </c>
      <c r="Z180" s="384">
        <f t="shared" si="62"/>
        <v>50.301635669597651</v>
      </c>
      <c r="AA180" s="385">
        <f t="shared" si="63"/>
        <v>55.00358222290275</v>
      </c>
      <c r="AB180" s="196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8.548436962251664E-2</v>
      </c>
      <c r="AD180" s="230">
        <f>(INDEX(Models!$BJ180:$BT180,,AH180)*(1-AF180)+INDEX(Models!$BJ180:$BT180,,AH180+1)*AF180-ERP_i)*AE180*Ramure*Pc/MaxiM</f>
        <v>1.0466506191897673E-3</v>
      </c>
      <c r="AE180" s="304">
        <f t="shared" si="65"/>
        <v>0.5</v>
      </c>
      <c r="AF180" s="176">
        <f t="shared" si="66"/>
        <v>0.79999967434064523</v>
      </c>
      <c r="AG180" s="814">
        <f t="shared" si="74"/>
        <v>1</v>
      </c>
      <c r="AH180" s="175">
        <f t="shared" si="67"/>
        <v>7</v>
      </c>
      <c r="AI180" s="224">
        <f t="shared" si="68"/>
        <v>1.7999996743406452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10">
        <f>'2024'!Wh/'2024'!Env_an*'2025'!Env_an</f>
        <v>47.46252672327536</v>
      </c>
      <c r="C181" s="843"/>
      <c r="D181" s="392">
        <f t="shared" si="50"/>
        <v>50.151554977087109</v>
      </c>
      <c r="E181" s="384">
        <f t="shared" si="75"/>
        <v>52.262316778806479</v>
      </c>
      <c r="F181" s="384">
        <f t="shared" si="51"/>
        <v>52.265025830531108</v>
      </c>
      <c r="G181" s="110">
        <f t="shared" si="76"/>
        <v>0.87698867925919988</v>
      </c>
      <c r="H181" s="413" t="b">
        <f>Wh_hp&gt;='2024'!Maxi_hp</f>
        <v>0</v>
      </c>
      <c r="I181" s="389">
        <f>IF(H181,Wh_hp,'2024'!Maxi_hp)</f>
        <v>60.496565061953568</v>
      </c>
      <c r="J181" s="85">
        <f>IF(H181,An,'2024'!An_max)</f>
        <v>2019</v>
      </c>
      <c r="K181" s="196">
        <f t="shared" si="52"/>
        <v>45824</v>
      </c>
      <c r="L181" s="147">
        <f>IF(t&lt;Tvie,1-EXP((T0-t)*PertePVj)+'2024'!Pspv,1-EXP((T0-t)*PertePVj)+Pspv)</f>
        <v>5.3618043449306631E-2</v>
      </c>
      <c r="M181" s="847"/>
      <c r="N181" s="847"/>
      <c r="O181" s="48">
        <f>IF(t&lt;Tnet,'2024'!Resal+('2024'!Salim-'2024'!Resal)*(1-EXP(('2024'!Tnet-t)/('2024'!Tau_j))),Resal+(Salim-Resal)*(1-EXP((Tnet-t)/(Tau_j))))*Salcycl</f>
        <v>4.038783452048058E-2</v>
      </c>
      <c r="P181" s="168">
        <f>(INDEX(Models!$BJ181:$BT181,,T181)*(1-R181)+INDEX(Models!$BJ181:$BT181,,T181+1)*R181-ERP_i)*Q181*Ramure*Pc/MaxiM</f>
        <v>6.2882468430198492E-5</v>
      </c>
      <c r="Q181" s="304">
        <f t="shared" si="53"/>
        <v>0.5</v>
      </c>
      <c r="R181" s="176">
        <f t="shared" si="54"/>
        <v>0.68805543503842093</v>
      </c>
      <c r="S181" s="814">
        <f t="shared" si="55"/>
        <v>-1</v>
      </c>
      <c r="T181" s="175">
        <f t="shared" si="56"/>
        <v>5</v>
      </c>
      <c r="U181" s="250">
        <f t="shared" si="57"/>
        <v>-0.31194456496157907</v>
      </c>
      <c r="V181" s="382">
        <f t="shared" si="58"/>
        <v>54.119287262929554</v>
      </c>
      <c r="W181" s="401">
        <f t="shared" si="59"/>
        <v>47.46252672327536</v>
      </c>
      <c r="X181" s="157">
        <f t="shared" si="60"/>
        <v>45824</v>
      </c>
      <c r="Y181" s="384">
        <f t="shared" si="61"/>
        <v>45.191832165861626</v>
      </c>
      <c r="Z181" s="384">
        <f t="shared" si="62"/>
        <v>47.752212363149496</v>
      </c>
      <c r="AA181" s="385">
        <f t="shared" si="63"/>
        <v>52.219428217570268</v>
      </c>
      <c r="AB181" s="196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8.55470082094405E-2</v>
      </c>
      <c r="AD181" s="230">
        <f>(INDEX(Models!$BJ181:$BT181,,AH181)*(1-AF181)+INDEX(Models!$BJ181:$BT181,,AH181+1)*AF181-ERP_i)*AE181*Ramure*Pc/MaxiM</f>
        <v>1.058411115386299E-3</v>
      </c>
      <c r="AE181" s="304">
        <f t="shared" si="65"/>
        <v>0.5</v>
      </c>
      <c r="AF181" s="176">
        <f t="shared" si="66"/>
        <v>0.80304797486280832</v>
      </c>
      <c r="AG181" s="814">
        <f t="shared" si="74"/>
        <v>1</v>
      </c>
      <c r="AH181" s="175">
        <f t="shared" si="67"/>
        <v>7</v>
      </c>
      <c r="AI181" s="224">
        <f t="shared" si="68"/>
        <v>1.8030479748628083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10">
        <f>'2024'!Wh/'2024'!Env_an*'2025'!Env_an</f>
        <v>47.990320615968869</v>
      </c>
      <c r="C182" s="843"/>
      <c r="D182" s="392">
        <f t="shared" si="50"/>
        <v>50.710360742969733</v>
      </c>
      <c r="E182" s="384">
        <f t="shared" si="75"/>
        <v>52.849425666753149</v>
      </c>
      <c r="F182" s="384">
        <f t="shared" si="51"/>
        <v>52.85229733109248</v>
      </c>
      <c r="G182" s="110">
        <f t="shared" si="76"/>
        <v>0.88766375957638677</v>
      </c>
      <c r="H182" s="413" t="b">
        <f>Wh_hp&gt;='2024'!Maxi_hp</f>
        <v>0</v>
      </c>
      <c r="I182" s="389">
        <f>IF(H182,Wh_hp,'2024'!Maxi_hp)</f>
        <v>59.643028752560177</v>
      </c>
      <c r="J182" s="85">
        <f>IF(H182,An,'2024'!An_max)</f>
        <v>2019</v>
      </c>
      <c r="K182" s="196">
        <f t="shared" si="52"/>
        <v>45825</v>
      </c>
      <c r="L182" s="147">
        <f>IF(t&lt;Tvie,1-EXP((T0-t)*PertePVj)+'2024'!Pspv,1-EXP((T0-t)*PertePVj)+Pspv)</f>
        <v>5.3638745359900743E-2</v>
      </c>
      <c r="M182" s="847"/>
      <c r="N182" s="847"/>
      <c r="O182" s="48">
        <f>IF(t&lt;Tnet,'2024'!Resal+('2024'!Salim-'2024'!Resal)*(1-EXP(('2024'!Tnet-t)/('2024'!Tau_j))),Resal+(Salim-Resal)*(1-EXP((Tnet-t)/(Tau_j))))*Salcycl</f>
        <v>4.0474705198718479E-2</v>
      </c>
      <c r="P182" s="168">
        <f>(INDEX(Models!$BJ182:$BT182,,T182)*(1-R182)+INDEX(Models!$BJ182:$BT182,,T182+1)*R182-ERP_i)*Q182*Ramure*Pc/MaxiM</f>
        <v>6.4719048439774939E-5</v>
      </c>
      <c r="Q182" s="304">
        <f t="shared" si="53"/>
        <v>0.5</v>
      </c>
      <c r="R182" s="176">
        <f t="shared" si="54"/>
        <v>0.69108840955621675</v>
      </c>
      <c r="S182" s="814">
        <f t="shared" si="55"/>
        <v>-1</v>
      </c>
      <c r="T182" s="175">
        <f t="shared" si="56"/>
        <v>5</v>
      </c>
      <c r="U182" s="250">
        <f t="shared" si="57"/>
        <v>-0.30891159044378325</v>
      </c>
      <c r="V182" s="382">
        <f t="shared" si="58"/>
        <v>54.063063494606084</v>
      </c>
      <c r="W182" s="401">
        <f t="shared" si="59"/>
        <v>47.990320615968869</v>
      </c>
      <c r="X182" s="157">
        <f t="shared" si="60"/>
        <v>45825</v>
      </c>
      <c r="Y182" s="384">
        <f t="shared" si="61"/>
        <v>45.69440313449261</v>
      </c>
      <c r="Z182" s="384">
        <f t="shared" si="62"/>
        <v>48.284313110293354</v>
      </c>
      <c r="AA182" s="385">
        <f t="shared" si="63"/>
        <v>52.804846940781886</v>
      </c>
      <c r="AB182" s="196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8.5608312349775298E-2</v>
      </c>
      <c r="AD182" s="230">
        <f>(INDEX(Models!$BJ182:$BT182,,AH182)*(1-AF182)+INDEX(Models!$BJ182:$BT182,,AH182+1)*AF182-ERP_i)*AE182*Ramure*Pc/MaxiM</f>
        <v>1.0693952168925069E-3</v>
      </c>
      <c r="AE182" s="304">
        <f t="shared" si="65"/>
        <v>0.5</v>
      </c>
      <c r="AF182" s="176">
        <f t="shared" si="66"/>
        <v>0.80608094938060426</v>
      </c>
      <c r="AG182" s="814">
        <f t="shared" si="74"/>
        <v>1</v>
      </c>
      <c r="AH182" s="175">
        <f t="shared" si="67"/>
        <v>7</v>
      </c>
      <c r="AI182" s="224">
        <f t="shared" si="68"/>
        <v>1.8060809493806043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10">
        <f>'2024'!Wh/'2024'!Env_an*'2025'!Env_an</f>
        <v>50.479478211405628</v>
      </c>
      <c r="C183" s="843"/>
      <c r="D183" s="392">
        <f t="shared" si="50"/>
        <v>53.341767973085908</v>
      </c>
      <c r="E183" s="384">
        <f t="shared" si="75"/>
        <v>55.596826759883101</v>
      </c>
      <c r="F183" s="384">
        <f t="shared" si="51"/>
        <v>55.600180135000528</v>
      </c>
      <c r="G183" s="110">
        <f t="shared" si="76"/>
        <v>0.93469598119899244</v>
      </c>
      <c r="H183" s="413" t="b">
        <f>Wh_hp&gt;='2024'!Maxi_hp</f>
        <v>0</v>
      </c>
      <c r="I183" s="389">
        <f>IF(H183,Wh_hp,'2024'!Maxi_hp)</f>
        <v>57.817123290426146</v>
      </c>
      <c r="J183" s="85">
        <f>IF(H183,An,'2024'!An_max)</f>
        <v>2019</v>
      </c>
      <c r="K183" s="196">
        <f t="shared" si="52"/>
        <v>45826</v>
      </c>
      <c r="L183" s="147">
        <f>IF(t&lt;Tvie,1-EXP((T0-t)*PertePVj)+'2024'!Pspv,1-EXP((T0-t)*PertePVj)+Pspv)</f>
        <v>5.3659446817069779E-2</v>
      </c>
      <c r="M183" s="847"/>
      <c r="N183" s="847"/>
      <c r="O183" s="48">
        <f>IF(t&lt;Tnet,'2024'!Resal+('2024'!Salim-'2024'!Resal)*(1-EXP(('2024'!Tnet-t)/('2024'!Tau_j))),Resal+(Salim-Resal)*(1-EXP((Tnet-t)/(Tau_j))))*Salcycl</f>
        <v>4.0560926193441815E-2</v>
      </c>
      <c r="P183" s="168">
        <f>(INDEX(Models!$BJ183:$BT183,,T183)*(1-R183)+INDEX(Models!$BJ183:$BT183,,T183+1)*R183-ERP_i)*Q183*Ramure*Pc/MaxiM</f>
        <v>6.6517246271661931E-5</v>
      </c>
      <c r="Q183" s="304">
        <f t="shared" si="53"/>
        <v>0.5</v>
      </c>
      <c r="R183" s="176">
        <f t="shared" si="54"/>
        <v>0.69410363322557989</v>
      </c>
      <c r="S183" s="814">
        <f t="shared" si="55"/>
        <v>-1</v>
      </c>
      <c r="T183" s="175">
        <f t="shared" si="56"/>
        <v>5</v>
      </c>
      <c r="U183" s="250">
        <f t="shared" si="57"/>
        <v>-0.30589636677442006</v>
      </c>
      <c r="V183" s="382">
        <f t="shared" si="58"/>
        <v>54.005971979947077</v>
      </c>
      <c r="W183" s="401">
        <f t="shared" si="59"/>
        <v>50.479478211405628</v>
      </c>
      <c r="X183" s="157">
        <f t="shared" si="60"/>
        <v>45826</v>
      </c>
      <c r="Y183" s="384">
        <f t="shared" si="61"/>
        <v>48.062030995411092</v>
      </c>
      <c r="Z183" s="384">
        <f t="shared" si="62"/>
        <v>50.787246550682873</v>
      </c>
      <c r="AA183" s="385">
        <f t="shared" si="63"/>
        <v>55.545754340471063</v>
      </c>
      <c r="AB183" s="196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8.5668253969882702E-2</v>
      </c>
      <c r="AD183" s="230">
        <f>(INDEX(Models!$BJ183:$BT183,,AH183)*(1-AF183)+INDEX(Models!$BJ183:$BT183,,AH183+1)*AF183-ERP_i)*AE183*Ramure*Pc/MaxiM</f>
        <v>1.0795851497297107E-3</v>
      </c>
      <c r="AE183" s="304">
        <f t="shared" si="65"/>
        <v>0.5</v>
      </c>
      <c r="AF183" s="176">
        <f t="shared" si="66"/>
        <v>0.8090961730499675</v>
      </c>
      <c r="AG183" s="814">
        <f t="shared" si="74"/>
        <v>1</v>
      </c>
      <c r="AH183" s="175">
        <f t="shared" si="67"/>
        <v>7</v>
      </c>
      <c r="AI183" s="224">
        <f t="shared" si="68"/>
        <v>1.8090961730499675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10">
        <f>'2024'!Wh/'2024'!Env_an*'2025'!Env_an</f>
        <v>51.73602294831641</v>
      </c>
      <c r="C184" s="843"/>
      <c r="D184" s="392">
        <f t="shared" si="50"/>
        <v>54.670757280616272</v>
      </c>
      <c r="E184" s="384">
        <f t="shared" si="75"/>
        <v>56.987081750789528</v>
      </c>
      <c r="F184" s="384">
        <f t="shared" si="51"/>
        <v>56.990743351659056</v>
      </c>
      <c r="G184" s="110">
        <f t="shared" si="76"/>
        <v>0.95899387168756445</v>
      </c>
      <c r="H184" s="413" t="b">
        <f>Wh_hp&gt;='2024'!Maxi_hp</f>
        <v>1</v>
      </c>
      <c r="I184" s="389">
        <f>IF(H184,Wh_hp,'2024'!Maxi_hp)</f>
        <v>56.990743351659056</v>
      </c>
      <c r="J184" s="85">
        <f>IF(H184,An,'2024'!An_max)</f>
        <v>2025</v>
      </c>
      <c r="K184" s="196">
        <f t="shared" si="52"/>
        <v>45827</v>
      </c>
      <c r="L184" s="147">
        <f>IF(t&lt;Tvie,1-EXP((T0-t)*PertePVj)+'2024'!Pspv,1-EXP((T0-t)*PertePVj)+Pspv)</f>
        <v>5.3680147820823733E-2</v>
      </c>
      <c r="M184" s="847"/>
      <c r="N184" s="847"/>
      <c r="O184" s="48">
        <f>IF(t&lt;Tnet,'2024'!Resal+('2024'!Salim-'2024'!Resal)*(1-EXP(('2024'!Tnet-t)/('2024'!Tau_j))),Resal+(Salim-Resal)*(1-EXP((Tnet-t)/(Tau_j))))*Salcycl</f>
        <v>4.0646483360962105E-2</v>
      </c>
      <c r="P184" s="168">
        <f>(INDEX(Models!$BJ184:$BT184,,T184)*(1-R184)+INDEX(Models!$BJ184:$BT184,,T184+1)*R184-ERP_i)*Q184*Ramure*Pc/MaxiM</f>
        <v>6.8246568319512419E-5</v>
      </c>
      <c r="Q184" s="304">
        <f t="shared" si="53"/>
        <v>0.5</v>
      </c>
      <c r="R184" s="176">
        <f t="shared" si="54"/>
        <v>0.69709873927422739</v>
      </c>
      <c r="S184" s="814">
        <f t="shared" si="55"/>
        <v>-1</v>
      </c>
      <c r="T184" s="175">
        <f t="shared" si="56"/>
        <v>5</v>
      </c>
      <c r="U184" s="250">
        <f t="shared" si="57"/>
        <v>-0.30290126072577256</v>
      </c>
      <c r="V184" s="382">
        <f t="shared" si="58"/>
        <v>53.948015359119005</v>
      </c>
      <c r="W184" s="401">
        <f t="shared" si="59"/>
        <v>51.73602294831641</v>
      </c>
      <c r="X184" s="157">
        <f t="shared" si="60"/>
        <v>45827</v>
      </c>
      <c r="Y184" s="384">
        <f t="shared" si="61"/>
        <v>49.25756686954567</v>
      </c>
      <c r="Z184" s="384">
        <f t="shared" si="62"/>
        <v>52.051710376904616</v>
      </c>
      <c r="AA184" s="385">
        <f t="shared" si="63"/>
        <v>56.932338052852309</v>
      </c>
      <c r="AB184" s="196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8.5726809101302592E-2</v>
      </c>
      <c r="AD184" s="230">
        <f>(INDEX(Models!$BJ184:$BT184,,AH184)*(1-AF184)+INDEX(Models!$BJ184:$BT184,,AH184+1)*AF184-ERP_i)*AE184*Ramure*Pc/MaxiM</f>
        <v>1.0885842988525799E-3</v>
      </c>
      <c r="AE184" s="304">
        <f t="shared" si="65"/>
        <v>0.5</v>
      </c>
      <c r="AF184" s="176">
        <f t="shared" si="66"/>
        <v>0.812091279098615</v>
      </c>
      <c r="AG184" s="814">
        <f t="shared" si="74"/>
        <v>1</v>
      </c>
      <c r="AH184" s="175">
        <f t="shared" si="67"/>
        <v>7</v>
      </c>
      <c r="AI184" s="224">
        <f t="shared" si="68"/>
        <v>1.812091279098615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10">
        <f>'2024'!Wh/'2024'!Env_an*'2025'!Env_an</f>
        <v>29.720796297150716</v>
      </c>
      <c r="C185" s="843"/>
      <c r="D185" s="392">
        <f t="shared" si="50"/>
        <v>31.407400340572515</v>
      </c>
      <c r="E185" s="384">
        <f t="shared" si="75"/>
        <v>32.740985348085928</v>
      </c>
      <c r="F185" s="384">
        <f t="shared" si="51"/>
        <v>32.74180799013412</v>
      </c>
      <c r="G185" s="110">
        <f t="shared" si="76"/>
        <v>0.55149210491174583</v>
      </c>
      <c r="H185" s="413" t="b">
        <f>Wh_hp&gt;='2024'!Maxi_hp</f>
        <v>0</v>
      </c>
      <c r="I185" s="389">
        <f>IF(H185,Wh_hp,'2024'!Maxi_hp)</f>
        <v>58.21085404536079</v>
      </c>
      <c r="J185" s="85">
        <f>IF(H185,An,'2024'!An_max)</f>
        <v>2020</v>
      </c>
      <c r="K185" s="196">
        <f t="shared" si="52"/>
        <v>45828</v>
      </c>
      <c r="L185" s="147">
        <f>IF(t&lt;Tvie,1-EXP((T0-t)*PertePVj)+'2024'!Pspv,1-EXP((T0-t)*PertePVj)+Pspv)</f>
        <v>5.3700848371172595E-2</v>
      </c>
      <c r="M185" s="847"/>
      <c r="N185" s="847"/>
      <c r="O185" s="48">
        <f>IF(t&lt;Tnet,'2024'!Resal+('2024'!Salim-'2024'!Resal)*(1-EXP(('2024'!Tnet-t)/('2024'!Tau_j))),Resal+(Salim-Resal)*(1-EXP((Tnet-t)/(Tau_j))))*Salcycl</f>
        <v>4.0731364475912961E-2</v>
      </c>
      <c r="P185" s="168">
        <f>(INDEX(Models!$BJ185:$BT185,,T185)*(1-R185)+INDEX(Models!$BJ185:$BT185,,T185+1)*R185-ERP_i)*Q185*Ramure*Pc/MaxiM</f>
        <v>6.9926093028025802E-5</v>
      </c>
      <c r="Q185" s="304">
        <f t="shared" si="53"/>
        <v>0.5</v>
      </c>
      <c r="R185" s="176">
        <f t="shared" si="54"/>
        <v>0.70007142612047679</v>
      </c>
      <c r="S185" s="814">
        <f t="shared" si="55"/>
        <v>-1</v>
      </c>
      <c r="T185" s="175">
        <f t="shared" si="56"/>
        <v>5</v>
      </c>
      <c r="U185" s="250">
        <f t="shared" si="57"/>
        <v>-0.29992857387952321</v>
      </c>
      <c r="V185" s="382">
        <f t="shared" si="58"/>
        <v>53.889193478179521</v>
      </c>
      <c r="W185" s="401">
        <f t="shared" si="59"/>
        <v>29.720796297150716</v>
      </c>
      <c r="X185" s="157">
        <f t="shared" si="60"/>
        <v>45828</v>
      </c>
      <c r="Y185" s="384">
        <f t="shared" si="61"/>
        <v>28.314491782927089</v>
      </c>
      <c r="Z185" s="384">
        <f t="shared" si="62"/>
        <v>29.921290465272499</v>
      </c>
      <c r="AA185" s="385">
        <f t="shared" si="63"/>
        <v>32.728905519593575</v>
      </c>
      <c r="AB185" s="196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8.5783957934073285E-2</v>
      </c>
      <c r="AD185" s="230">
        <f>(INDEX(Models!$BJ185:$BT185,,AH185)*(1-AF185)+INDEX(Models!$BJ185:$BT185,,AH185+1)*AF185-ERP_i)*AE185*Ramure*Pc/MaxiM</f>
        <v>1.0967338191557707E-3</v>
      </c>
      <c r="AE185" s="304">
        <f t="shared" si="65"/>
        <v>0.5</v>
      </c>
      <c r="AF185" s="176">
        <f t="shared" si="66"/>
        <v>0.81506396594486419</v>
      </c>
      <c r="AG185" s="814">
        <f t="shared" si="74"/>
        <v>1</v>
      </c>
      <c r="AH185" s="175">
        <f t="shared" si="67"/>
        <v>7</v>
      </c>
      <c r="AI185" s="224">
        <f t="shared" si="68"/>
        <v>1.8150639659448642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10">
        <f>'2024'!Wh/'2024'!Env_an*'2025'!Env_an</f>
        <v>18.189882674897589</v>
      </c>
      <c r="C186" s="843"/>
      <c r="D186" s="392">
        <f t="shared" si="50"/>
        <v>19.222547703005468</v>
      </c>
      <c r="E186" s="384">
        <f t="shared" si="75"/>
        <v>20.040512425508162</v>
      </c>
      <c r="F186" s="384">
        <f t="shared" si="51"/>
        <v>20.040590096059667</v>
      </c>
      <c r="G186" s="110">
        <f t="shared" si="76"/>
        <v>0.3378937047028473</v>
      </c>
      <c r="H186" s="413" t="b">
        <f>Wh_hp&gt;='2024'!Maxi_hp</f>
        <v>0</v>
      </c>
      <c r="I186" s="389">
        <f>IF(H186,Wh_hp,'2024'!Maxi_hp)</f>
        <v>52.532940622341521</v>
      </c>
      <c r="J186" s="85">
        <f>IF(H186,An,'2024'!An_max)</f>
        <v>2020</v>
      </c>
      <c r="K186" s="196">
        <f t="shared" si="52"/>
        <v>45829</v>
      </c>
      <c r="L186" s="147">
        <f>IF(t&lt;Tvie,1-EXP((T0-t)*PertePVj)+'2024'!Pspv,1-EXP((T0-t)*PertePVj)+Pspv)</f>
        <v>5.3721548468126358E-2</v>
      </c>
      <c r="M186" s="847"/>
      <c r="N186" s="847"/>
      <c r="O186" s="48">
        <f>IF(t&lt;Tnet,'2024'!Resal+('2024'!Salim-'2024'!Resal)*(1-EXP(('2024'!Tnet-t)/('2024'!Tau_j))),Resal+(Salim-Resal)*(1-EXP((Tnet-t)/(Tau_j))))*Salcycl</f>
        <v>4.081555925993012E-2</v>
      </c>
      <c r="P186" s="168">
        <f>(INDEX(Models!$BJ186:$BT186,,T186)*(1-R186)+INDEX(Models!$BJ186:$BT186,,T186+1)*R186-ERP_i)*Q186*Ramure*Pc/MaxiM</f>
        <v>7.1550857316863284E-5</v>
      </c>
      <c r="Q186" s="304">
        <f t="shared" si="53"/>
        <v>0.5</v>
      </c>
      <c r="R186" s="176">
        <f t="shared" si="54"/>
        <v>0.70301946405025284</v>
      </c>
      <c r="S186" s="814">
        <f t="shared" si="55"/>
        <v>-1</v>
      </c>
      <c r="T186" s="175">
        <f t="shared" si="56"/>
        <v>5</v>
      </c>
      <c r="U186" s="250">
        <f t="shared" si="57"/>
        <v>-0.29698053594974716</v>
      </c>
      <c r="V186" s="382">
        <f t="shared" si="58"/>
        <v>53.829507366103726</v>
      </c>
      <c r="W186" s="401">
        <f t="shared" si="59"/>
        <v>18.189882674897589</v>
      </c>
      <c r="X186" s="157">
        <f t="shared" si="60"/>
        <v>45829</v>
      </c>
      <c r="Y186" s="384">
        <f t="shared" si="61"/>
        <v>17.335079905812592</v>
      </c>
      <c r="Z186" s="384">
        <f t="shared" si="62"/>
        <v>18.319216587622666</v>
      </c>
      <c r="AA186" s="385">
        <f t="shared" si="63"/>
        <v>20.039391651518219</v>
      </c>
      <c r="AB186" s="196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8.5839684847180964E-2</v>
      </c>
      <c r="AD186" s="230">
        <f>(INDEX(Models!$BJ186:$BT186,,AH186)*(1-AF186)+INDEX(Models!$BJ186:$BT186,,AH186+1)*AF186-ERP_i)*AE186*Ramure*Pc/MaxiM</f>
        <v>1.1040186109978708E-3</v>
      </c>
      <c r="AE186" s="304">
        <f t="shared" si="65"/>
        <v>0.5</v>
      </c>
      <c r="AF186" s="176">
        <f t="shared" si="66"/>
        <v>0.81801200387464035</v>
      </c>
      <c r="AG186" s="814">
        <f t="shared" si="74"/>
        <v>1</v>
      </c>
      <c r="AH186" s="175">
        <f t="shared" si="67"/>
        <v>7</v>
      </c>
      <c r="AI186" s="224">
        <f t="shared" si="68"/>
        <v>1.8180120038746403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10">
        <f>'2024'!Wh/'2024'!Env_an*'2025'!Env_an</f>
        <v>43.434694960509361</v>
      </c>
      <c r="C187" s="843"/>
      <c r="D187" s="392">
        <f t="shared" si="50"/>
        <v>45.901547304456138</v>
      </c>
      <c r="E187" s="384">
        <f t="shared" si="75"/>
        <v>47.858932633004464</v>
      </c>
      <c r="F187" s="384">
        <f t="shared" si="51"/>
        <v>47.861471237688875</v>
      </c>
      <c r="G187" s="110">
        <f t="shared" si="76"/>
        <v>0.80778621387458982</v>
      </c>
      <c r="H187" s="413" t="b">
        <f>Wh_hp&gt;='2024'!Maxi_hp</f>
        <v>0</v>
      </c>
      <c r="I187" s="389">
        <f>IF(H187,Wh_hp,'2024'!Maxi_hp)</f>
        <v>59.462179190219061</v>
      </c>
      <c r="J187" s="85">
        <f>IF(H187,An,'2024'!An_max)</f>
        <v>2020</v>
      </c>
      <c r="K187" s="196">
        <f t="shared" si="52"/>
        <v>45830</v>
      </c>
      <c r="L187" s="147">
        <f>IF(t&lt;Tvie,1-EXP((T0-t)*PertePVj)+'2024'!Pspv,1-EXP((T0-t)*PertePVj)+Pspv)</f>
        <v>5.3742248111694792E-2</v>
      </c>
      <c r="M187" s="847"/>
      <c r="N187" s="847"/>
      <c r="O187" s="48">
        <f>IF(t&lt;Tnet,'2024'!Resal+('2024'!Salim-'2024'!Resal)*(1-EXP(('2024'!Tnet-t)/('2024'!Tau_j))),Resal+(Salim-Resal)*(1-EXP((Tnet-t)/(Tau_j))))*Salcycl</f>
        <v>4.0899059399383222E-2</v>
      </c>
      <c r="P187" s="168">
        <f>(INDEX(Models!$BJ187:$BT187,,T187)*(1-R187)+INDEX(Models!$BJ187:$BT187,,T187+1)*R187-ERP_i)*Q187*Ramure*Pc/MaxiM</f>
        <v>7.3115978502103149E-5</v>
      </c>
      <c r="Q187" s="304">
        <f t="shared" si="53"/>
        <v>0.5</v>
      </c>
      <c r="R187" s="176">
        <f t="shared" si="54"/>
        <v>0.70594070141430543</v>
      </c>
      <c r="S187" s="814">
        <f t="shared" si="55"/>
        <v>-1</v>
      </c>
      <c r="T187" s="175">
        <f t="shared" si="56"/>
        <v>5</v>
      </c>
      <c r="U187" s="250">
        <f t="shared" si="57"/>
        <v>-0.29405929858569457</v>
      </c>
      <c r="V187" s="382">
        <f t="shared" si="58"/>
        <v>53.76895792909054</v>
      </c>
      <c r="W187" s="401">
        <f t="shared" si="59"/>
        <v>43.434694960509361</v>
      </c>
      <c r="X187" s="157">
        <f t="shared" si="60"/>
        <v>45830</v>
      </c>
      <c r="Y187" s="384">
        <f t="shared" si="61"/>
        <v>41.365862414831746</v>
      </c>
      <c r="Z187" s="384">
        <f t="shared" si="62"/>
        <v>43.715216422041536</v>
      </c>
      <c r="AA187" s="385">
        <f t="shared" si="63"/>
        <v>47.822917024750488</v>
      </c>
      <c r="AB187" s="196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8.589397841589283E-2</v>
      </c>
      <c r="AD187" s="230">
        <f>(INDEX(Models!$BJ187:$BT187,,AH187)*(1-AF187)+INDEX(Models!$BJ187:$BT187,,AH187+1)*AF187-ERP_i)*AE187*Ramure*Pc/MaxiM</f>
        <v>1.1104245657769913E-3</v>
      </c>
      <c r="AE187" s="304">
        <f t="shared" si="65"/>
        <v>0.5</v>
      </c>
      <c r="AF187" s="176">
        <f t="shared" si="66"/>
        <v>0.82093324123869293</v>
      </c>
      <c r="AG187" s="814">
        <f t="shared" si="74"/>
        <v>1</v>
      </c>
      <c r="AH187" s="175">
        <f t="shared" si="67"/>
        <v>7</v>
      </c>
      <c r="AI187" s="224">
        <f t="shared" si="68"/>
        <v>1.8209332412386929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10">
        <f>'2024'!Wh/'2024'!Env_an*'2025'!Env_an</f>
        <v>38.994810780512665</v>
      </c>
      <c r="C188" s="843"/>
      <c r="D188" s="392">
        <f t="shared" si="50"/>
        <v>41.210403534000676</v>
      </c>
      <c r="E188" s="384">
        <f t="shared" si="75"/>
        <v>42.971453565809348</v>
      </c>
      <c r="F188" s="384">
        <f t="shared" si="51"/>
        <v>42.973405217057952</v>
      </c>
      <c r="G188" s="110">
        <f t="shared" si="76"/>
        <v>0.7260371208153138</v>
      </c>
      <c r="H188" s="413" t="b">
        <f>Wh_hp&gt;='2024'!Maxi_hp</f>
        <v>0</v>
      </c>
      <c r="I188" s="389">
        <f>IF(H188,Wh_hp,'2024'!Maxi_hp)</f>
        <v>53.377678678761548</v>
      </c>
      <c r="J188" s="85">
        <f>IF(H188,An,'2024'!An_max)</f>
        <v>2019</v>
      </c>
      <c r="K188" s="196">
        <f t="shared" si="52"/>
        <v>45831</v>
      </c>
      <c r="L188" s="147">
        <f>IF(t&lt;Tvie,1-EXP((T0-t)*PertePVj)+'2024'!Pspv,1-EXP((T0-t)*PertePVj)+Pspv)</f>
        <v>5.3762947301887888E-2</v>
      </c>
      <c r="M188" s="847"/>
      <c r="N188" s="847"/>
      <c r="O188" s="48">
        <f>IF(t&lt;Tnet,'2024'!Resal+('2024'!Salim-'2024'!Resal)*(1-EXP(('2024'!Tnet-t)/('2024'!Tau_j))),Resal+(Salim-Resal)*(1-EXP((Tnet-t)/(Tau_j))))*Salcycl</f>
        <v>4.0981858552019398E-2</v>
      </c>
      <c r="P188" s="168">
        <f>(INDEX(Models!$BJ188:$BT188,,T188)*(1-R188)+INDEX(Models!$BJ188:$BT188,,T188+1)*R188-ERP_i)*Q188*Ramure*Pc/MaxiM</f>
        <v>7.4615908549356886E-5</v>
      </c>
      <c r="Q188" s="304">
        <f t="shared" si="53"/>
        <v>0.5</v>
      </c>
      <c r="R188" s="176">
        <f t="shared" si="54"/>
        <v>0.70883307031303855</v>
      </c>
      <c r="S188" s="814">
        <f t="shared" si="55"/>
        <v>-1</v>
      </c>
      <c r="T188" s="175">
        <f t="shared" si="56"/>
        <v>5</v>
      </c>
      <c r="U188" s="250">
        <f t="shared" si="57"/>
        <v>-0.29116692968696145</v>
      </c>
      <c r="V188" s="382">
        <f t="shared" si="58"/>
        <v>53.707545991388166</v>
      </c>
      <c r="W188" s="401">
        <f t="shared" si="59"/>
        <v>38.994810780512665</v>
      </c>
      <c r="X188" s="157">
        <f t="shared" si="60"/>
        <v>45831</v>
      </c>
      <c r="Y188" s="384">
        <f t="shared" si="61"/>
        <v>37.142924704868236</v>
      </c>
      <c r="Z188" s="384">
        <f t="shared" si="62"/>
        <v>39.253297679432904</v>
      </c>
      <c r="AA188" s="385">
        <f t="shared" si="63"/>
        <v>42.944217062754824</v>
      </c>
      <c r="AB188" s="196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8.5946831395909237E-2</v>
      </c>
      <c r="AD188" s="230">
        <f>(INDEX(Models!$BJ188:$BT188,,AH188)*(1-AF188)+INDEX(Models!$BJ188:$BT188,,AH188+1)*AF188-ERP_i)*AE188*Ramure*Pc/MaxiM</f>
        <v>1.1159271687329192E-3</v>
      </c>
      <c r="AE188" s="304">
        <f t="shared" si="65"/>
        <v>0.5</v>
      </c>
      <c r="AF188" s="176">
        <f t="shared" si="66"/>
        <v>0.82382561013742595</v>
      </c>
      <c r="AG188" s="814">
        <f t="shared" si="74"/>
        <v>1</v>
      </c>
      <c r="AH188" s="175">
        <f t="shared" si="67"/>
        <v>7</v>
      </c>
      <c r="AI188" s="224">
        <f t="shared" si="68"/>
        <v>1.8238256101374259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10">
        <f>'2024'!Wh/'2024'!Env_an*'2025'!Env_an</f>
        <v>42.300696405269328</v>
      </c>
      <c r="C189" s="843"/>
      <c r="D189" s="392">
        <f t="shared" si="50"/>
        <v>44.705099661594005</v>
      </c>
      <c r="E189" s="384">
        <f t="shared" si="75"/>
        <v>46.619479756547364</v>
      </c>
      <c r="F189" s="384">
        <f t="shared" si="51"/>
        <v>46.621954051678934</v>
      </c>
      <c r="G189" s="110">
        <f t="shared" si="76"/>
        <v>0.78850796669006429</v>
      </c>
      <c r="H189" s="413" t="b">
        <f>Wh_hp&gt;='2024'!Maxi_hp</f>
        <v>0</v>
      </c>
      <c r="I189" s="389">
        <f>IF(H189,Wh_hp,'2024'!Maxi_hp)</f>
        <v>58.686977834802818</v>
      </c>
      <c r="J189" s="85">
        <f>IF(H189,An,'2024'!An_max)</f>
        <v>2020</v>
      </c>
      <c r="K189" s="196">
        <f t="shared" si="52"/>
        <v>45832</v>
      </c>
      <c r="L189" s="147">
        <f>IF(t&lt;Tvie,1-EXP((T0-t)*PertePVj)+'2024'!Pspv,1-EXP((T0-t)*PertePVj)+Pspv)</f>
        <v>5.3783646038715639E-2</v>
      </c>
      <c r="M189" s="847"/>
      <c r="N189" s="847"/>
      <c r="O189" s="48">
        <f>IF(t&lt;Tnet,'2024'!Resal+('2024'!Salim-'2024'!Resal)*(1-EXP(('2024'!Tnet-t)/('2024'!Tau_j))),Resal+(Salim-Resal)*(1-EXP((Tnet-t)/(Tau_j))))*Salcycl</f>
        <v>4.1063952342464689E-2</v>
      </c>
      <c r="P189" s="168">
        <f>(INDEX(Models!$BJ189:$BT189,,T189)*(1-R189)+INDEX(Models!$BJ189:$BT189,,T189+1)*R189-ERP_i)*Q189*Ramure*Pc/MaxiM</f>
        <v>7.6045113503480142E-5</v>
      </c>
      <c r="Q189" s="304">
        <f t="shared" si="53"/>
        <v>0.5</v>
      </c>
      <c r="R189" s="176">
        <f t="shared" si="54"/>
        <v>0.71169459174196403</v>
      </c>
      <c r="S189" s="814">
        <f t="shared" si="55"/>
        <v>-1</v>
      </c>
      <c r="T189" s="175">
        <f t="shared" si="56"/>
        <v>5</v>
      </c>
      <c r="U189" s="250">
        <f t="shared" si="57"/>
        <v>-0.28830540825803597</v>
      </c>
      <c r="V189" s="382">
        <f t="shared" si="58"/>
        <v>53.645272259806589</v>
      </c>
      <c r="W189" s="401">
        <f t="shared" si="59"/>
        <v>42.300696405269328</v>
      </c>
      <c r="X189" s="157">
        <f t="shared" si="60"/>
        <v>45832</v>
      </c>
      <c r="Y189" s="384">
        <f t="shared" si="61"/>
        <v>40.289159362763982</v>
      </c>
      <c r="Z189" s="384">
        <f t="shared" si="62"/>
        <v>42.57922534745417</v>
      </c>
      <c r="AA189" s="385">
        <f t="shared" si="63"/>
        <v>46.585496049088079</v>
      </c>
      <c r="AB189" s="196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8.599824068444864E-2</v>
      </c>
      <c r="AD189" s="230">
        <f>(INDEX(Models!$BJ189:$BT189,,AH189)*(1-AF189)+INDEX(Models!$BJ189:$BT189,,AH189+1)*AF189-ERP_i)*AE189*Ramure*Pc/MaxiM</f>
        <v>1.1205021218991299E-3</v>
      </c>
      <c r="AE189" s="304">
        <f t="shared" si="65"/>
        <v>0.5</v>
      </c>
      <c r="AF189" s="176">
        <f t="shared" si="66"/>
        <v>0.82668713156635154</v>
      </c>
      <c r="AG189" s="814">
        <f t="shared" si="74"/>
        <v>1</v>
      </c>
      <c r="AH189" s="175">
        <f t="shared" si="67"/>
        <v>7</v>
      </c>
      <c r="AI189" s="224">
        <f t="shared" si="68"/>
        <v>1.8266871315663515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10">
        <f>'2024'!Wh/'2024'!Env_an*'2025'!Env_an</f>
        <v>29.737228168465794</v>
      </c>
      <c r="C190" s="843"/>
      <c r="D190" s="392">
        <f t="shared" si="50"/>
        <v>31.428201968612274</v>
      </c>
      <c r="E190" s="384">
        <f t="shared" si="75"/>
        <v>32.776815116505396</v>
      </c>
      <c r="F190" s="384">
        <f t="shared" si="51"/>
        <v>32.777739237162109</v>
      </c>
      <c r="G190" s="110">
        <f t="shared" si="76"/>
        <v>0.55495667783821878</v>
      </c>
      <c r="H190" s="413" t="b">
        <f>Wh_hp&gt;='2024'!Maxi_hp</f>
        <v>0</v>
      </c>
      <c r="I190" s="389">
        <f>IF(H190,Wh_hp,'2024'!Maxi_hp)</f>
        <v>55.730397600386027</v>
      </c>
      <c r="J190" s="85">
        <f>IF(H190,An,'2024'!An_max)</f>
        <v>2020</v>
      </c>
      <c r="K190" s="196">
        <f t="shared" si="52"/>
        <v>45833</v>
      </c>
      <c r="L190" s="147">
        <f>IF(t&lt;Tvie,1-EXP((T0-t)*PertePVj)+'2024'!Pspv,1-EXP((T0-t)*PertePVj)+Pspv)</f>
        <v>5.3804344322187926E-2</v>
      </c>
      <c r="M190" s="847"/>
      <c r="N190" s="847"/>
      <c r="O190" s="48">
        <f>IF(t&lt;Tnet,'2024'!Resal+('2024'!Salim-'2024'!Resal)*(1-EXP(('2024'!Tnet-t)/('2024'!Tau_j))),Resal+(Salim-Resal)*(1-EXP((Tnet-t)/(Tau_j))))*Salcycl</f>
        <v>4.1145338346616898E-2</v>
      </c>
      <c r="P190" s="168">
        <f>(INDEX(Models!$BJ190:$BT190,,T190)*(1-R190)+INDEX(Models!$BJ190:$BT190,,T190+1)*R190-ERP_i)*Q190*Ramure*Pc/MaxiM</f>
        <v>7.7398904714804449E-5</v>
      </c>
      <c r="Q190" s="304">
        <f t="shared" si="53"/>
        <v>0.5</v>
      </c>
      <c r="R190" s="176">
        <f t="shared" si="54"/>
        <v>0.71452338017654948</v>
      </c>
      <c r="S190" s="814">
        <f t="shared" si="55"/>
        <v>-1</v>
      </c>
      <c r="T190" s="175">
        <f t="shared" si="56"/>
        <v>5</v>
      </c>
      <c r="U190" s="250">
        <f t="shared" si="57"/>
        <v>-0.28547661982345052</v>
      </c>
      <c r="V190" s="382">
        <f t="shared" si="58"/>
        <v>53.582137279663485</v>
      </c>
      <c r="W190" s="401">
        <f t="shared" si="59"/>
        <v>29.737228168465794</v>
      </c>
      <c r="X190" s="157">
        <f t="shared" si="60"/>
        <v>45833</v>
      </c>
      <c r="Y190" s="384">
        <f t="shared" si="61"/>
        <v>28.333835145641455</v>
      </c>
      <c r="Z190" s="384">
        <f t="shared" si="62"/>
        <v>29.945006590993454</v>
      </c>
      <c r="AA190" s="385">
        <f t="shared" si="63"/>
        <v>32.764317362048239</v>
      </c>
      <c r="AB190" s="196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8.6048207258560647E-2</v>
      </c>
      <c r="AD190" s="230">
        <f>(INDEX(Models!$BJ190:$BT190,,AH190)*(1-AF190)+INDEX(Models!$BJ190:$BT190,,AH190+1)*AF190-ERP_i)*AE190*Ramure*Pc/MaxiM</f>
        <v>1.1241372276323258E-3</v>
      </c>
      <c r="AE190" s="304">
        <f t="shared" si="65"/>
        <v>0.5</v>
      </c>
      <c r="AF190" s="176">
        <f t="shared" si="66"/>
        <v>0.82951592000093699</v>
      </c>
      <c r="AG190" s="814">
        <f t="shared" si="74"/>
        <v>1</v>
      </c>
      <c r="AH190" s="175">
        <f t="shared" si="67"/>
        <v>7</v>
      </c>
      <c r="AI190" s="224">
        <f t="shared" si="68"/>
        <v>1.829515920000937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10">
        <f>'2024'!Wh/'2024'!Env_an*'2025'!Env_an</f>
        <v>10.783773622718579</v>
      </c>
      <c r="C191" s="843"/>
      <c r="D191" s="392">
        <f t="shared" si="50"/>
        <v>11.397230008336942</v>
      </c>
      <c r="E191" s="384">
        <f t="shared" si="75"/>
        <v>11.887295858363871</v>
      </c>
      <c r="F191" s="384">
        <f t="shared" si="51"/>
        <v>11.887295858363871</v>
      </c>
      <c r="G191" s="110">
        <f t="shared" si="76"/>
        <v>0.20148248500801735</v>
      </c>
      <c r="H191" s="413" t="b">
        <f>Wh_hp&gt;='2024'!Maxi_hp</f>
        <v>0</v>
      </c>
      <c r="I191" s="389">
        <f>IF(H191,Wh_hp,'2024'!Maxi_hp)</f>
        <v>57.645147266339038</v>
      </c>
      <c r="J191" s="85">
        <f>IF(H191,An,'2024'!An_max)</f>
        <v>2019</v>
      </c>
      <c r="K191" s="196">
        <f t="shared" si="52"/>
        <v>45834</v>
      </c>
      <c r="L191" s="147">
        <f>IF(t&lt;Tvie,1-EXP((T0-t)*PertePVj)+'2024'!Pspv,1-EXP((T0-t)*PertePVj)+Pspv)</f>
        <v>5.3825042152314741E-2</v>
      </c>
      <c r="M191" s="847"/>
      <c r="N191" s="847"/>
      <c r="O191" s="48">
        <f>IF(t&lt;Tnet,'2024'!Resal+('2024'!Salim-'2024'!Resal)*(1-EXP(('2024'!Tnet-t)/('2024'!Tau_j))),Resal+(Salim-Resal)*(1-EXP((Tnet-t)/(Tau_j))))*Salcycl</f>
        <v>4.1226016065051385E-2</v>
      </c>
      <c r="P191" s="168">
        <f>(INDEX(Models!$BJ191:$BT191,,T191)*(1-R191)+INDEX(Models!$BJ191:$BT191,,T191+1)*R191-ERP_i)*Q191*Ramure*Pc/MaxiM</f>
        <v>7.8673054493496369E-5</v>
      </c>
      <c r="Q191" s="304">
        <f t="shared" si="53"/>
        <v>0.5</v>
      </c>
      <c r="R191" s="176">
        <f t="shared" si="54"/>
        <v>0.71731764758104888</v>
      </c>
      <c r="S191" s="814">
        <f t="shared" si="55"/>
        <v>-1</v>
      </c>
      <c r="T191" s="175">
        <f t="shared" si="56"/>
        <v>5</v>
      </c>
      <c r="U191" s="250">
        <f t="shared" si="57"/>
        <v>-0.28268235241895112</v>
      </c>
      <c r="V191" s="382">
        <f t="shared" si="58"/>
        <v>53.517928518102416</v>
      </c>
      <c r="W191" s="401">
        <f t="shared" si="59"/>
        <v>10.783773622718579</v>
      </c>
      <c r="X191" s="157">
        <f t="shared" si="60"/>
        <v>45834</v>
      </c>
      <c r="Y191" s="384">
        <f t="shared" si="61"/>
        <v>10.279091919671288</v>
      </c>
      <c r="Z191" s="384">
        <f t="shared" si="62"/>
        <v>10.863838484009012</v>
      </c>
      <c r="AA191" s="385">
        <f t="shared" si="63"/>
        <v>11.887295858363871</v>
      </c>
      <c r="AB191" s="196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8.6096736091140269E-2</v>
      </c>
      <c r="AD191" s="230">
        <f>(INDEX(Models!$BJ191:$BT191,,AH191)*(1-AF191)+INDEX(Models!$BJ191:$BT191,,AH191+1)*AF191-ERP_i)*AE191*Ramure*Pc/MaxiM</f>
        <v>1.1268258815335446E-3</v>
      </c>
      <c r="AE191" s="304">
        <f t="shared" si="65"/>
        <v>0.5</v>
      </c>
      <c r="AF191" s="176">
        <f t="shared" si="66"/>
        <v>0.83231018740543639</v>
      </c>
      <c r="AG191" s="814">
        <f t="shared" si="74"/>
        <v>1</v>
      </c>
      <c r="AH191" s="175">
        <f t="shared" si="67"/>
        <v>7</v>
      </c>
      <c r="AI191" s="224">
        <f t="shared" si="68"/>
        <v>1.8323101874054364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10">
        <f>'2024'!Wh/'2024'!Env_an*'2025'!Env_an</f>
        <v>16.085171643299706</v>
      </c>
      <c r="C192" s="843"/>
      <c r="D192" s="392">
        <f t="shared" si="50"/>
        <v>17.000580471195292</v>
      </c>
      <c r="E192" s="384">
        <f t="shared" si="75"/>
        <v>17.733062101815253</v>
      </c>
      <c r="F192" s="384">
        <f t="shared" si="51"/>
        <v>17.73306397172097</v>
      </c>
      <c r="G192" s="110">
        <f t="shared" si="76"/>
        <v>0.30090059481632148</v>
      </c>
      <c r="H192" s="413" t="b">
        <f>Wh_hp&gt;='2024'!Maxi_hp</f>
        <v>0</v>
      </c>
      <c r="I192" s="389">
        <f>IF(H192,Wh_hp,'2024'!Maxi_hp)</f>
        <v>57.559954834573851</v>
      </c>
      <c r="J192" s="85">
        <f>IF(H192,An,'2024'!An_max)</f>
        <v>2019</v>
      </c>
      <c r="K192" s="196">
        <f t="shared" si="52"/>
        <v>45835</v>
      </c>
      <c r="L192" s="147">
        <f>IF(t&lt;Tvie,1-EXP((T0-t)*PertePVj)+'2024'!Pspv,1-EXP((T0-t)*PertePVj)+Pspv)</f>
        <v>5.3845739529105853E-2</v>
      </c>
      <c r="M192" s="847"/>
      <c r="N192" s="847"/>
      <c r="O192" s="48">
        <f>IF(t&lt;Tnet,'2024'!Resal+('2024'!Salim-'2024'!Resal)*(1-EXP(('2024'!Tnet-t)/('2024'!Tau_j))),Resal+(Salim-Resal)*(1-EXP((Tnet-t)/(Tau_j))))*Salcycl</f>
        <v>4.1305986885647877E-2</v>
      </c>
      <c r="P192" s="168">
        <f>(INDEX(Models!$BJ192:$BT192,,T192)*(1-R192)+INDEX(Models!$BJ192:$BT192,,T192+1)*R192-ERP_i)*Q192*Ramure*Pc/MaxiM</f>
        <v>7.983368613496443E-5</v>
      </c>
      <c r="Q192" s="304">
        <f t="shared" si="53"/>
        <v>0.5</v>
      </c>
      <c r="R192" s="176">
        <f t="shared" si="54"/>
        <v>0.72007570683167921</v>
      </c>
      <c r="S192" s="814">
        <f t="shared" si="55"/>
        <v>-1</v>
      </c>
      <c r="T192" s="175">
        <f t="shared" si="56"/>
        <v>5</v>
      </c>
      <c r="U192" s="250">
        <f t="shared" si="57"/>
        <v>-0.27992429316832079</v>
      </c>
      <c r="V192" s="382">
        <f t="shared" si="58"/>
        <v>53.452500519574869</v>
      </c>
      <c r="W192" s="401">
        <f t="shared" si="59"/>
        <v>16.085171643299706</v>
      </c>
      <c r="X192" s="157">
        <f t="shared" si="60"/>
        <v>45835</v>
      </c>
      <c r="Y192" s="384">
        <f t="shared" si="61"/>
        <v>15.332851461407495</v>
      </c>
      <c r="Z192" s="384">
        <f t="shared" si="62"/>
        <v>16.2054456677883</v>
      </c>
      <c r="AA192" s="385">
        <f t="shared" si="63"/>
        <v>17.733037546805292</v>
      </c>
      <c r="AB192" s="196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8.6143836045291453E-2</v>
      </c>
      <c r="AD192" s="230">
        <f>(INDEX(Models!$BJ192:$BT192,,AH192)*(1-AF192)+INDEX(Models!$BJ192:$BT192,,AH192+1)*AF192-ERP_i)*AE192*Ramure*Pc/MaxiM</f>
        <v>1.1281843829394503E-3</v>
      </c>
      <c r="AE192" s="304">
        <f t="shared" si="65"/>
        <v>0.5</v>
      </c>
      <c r="AF192" s="176">
        <f t="shared" si="66"/>
        <v>0.8350682466560666</v>
      </c>
      <c r="AG192" s="814">
        <f t="shared" si="74"/>
        <v>1</v>
      </c>
      <c r="AH192" s="175">
        <f t="shared" si="67"/>
        <v>7</v>
      </c>
      <c r="AI192" s="224">
        <f t="shared" si="68"/>
        <v>1.8350682466560666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10">
        <f>'2024'!Wh/'2024'!Env_an*'2025'!Env_an</f>
        <v>53.212983424219203</v>
      </c>
      <c r="C193" s="843"/>
      <c r="D193" s="392">
        <f t="shared" si="50"/>
        <v>56.242570261119056</v>
      </c>
      <c r="E193" s="384">
        <f t="shared" si="75"/>
        <v>58.670670879931876</v>
      </c>
      <c r="F193" s="384">
        <f t="shared" si="51"/>
        <v>58.675396060881987</v>
      </c>
      <c r="G193" s="110">
        <f t="shared" si="76"/>
        <v>0.99675969413666277</v>
      </c>
      <c r="H193" s="413" t="b">
        <f>Wh_hp&gt;='2024'!Maxi_hp</f>
        <v>1</v>
      </c>
      <c r="I193" s="389">
        <f>IF(H193,Wh_hp,'2024'!Maxi_hp)</f>
        <v>58.675396060881987</v>
      </c>
      <c r="J193" s="85">
        <f>IF(H193,An,'2024'!An_max)</f>
        <v>2025</v>
      </c>
      <c r="K193" s="196">
        <f t="shared" si="52"/>
        <v>45836</v>
      </c>
      <c r="L193" s="147">
        <f>IF(t&lt;Tvie,1-EXP((T0-t)*PertePVj)+'2024'!Pspv,1-EXP((T0-t)*PertePVj)+Pspv)</f>
        <v>5.3866436452571366E-2</v>
      </c>
      <c r="M193" s="847"/>
      <c r="N193" s="847"/>
      <c r="O193" s="48">
        <f>IF(t&lt;Tnet,'2024'!Resal+('2024'!Salim-'2024'!Resal)*(1-EXP(('2024'!Tnet-t)/('2024'!Tau_j))),Resal+(Salim-Resal)*(1-EXP((Tnet-t)/(Tau_j))))*Salcycl</f>
        <v>4.1385254035732226E-2</v>
      </c>
      <c r="P193" s="168">
        <f>(INDEX(Models!$BJ193:$BT193,,T193)*(1-R193)+INDEX(Models!$BJ193:$BT193,,T193+1)*R193-ERP_i)*Q193*Ramure*Pc/MaxiM</f>
        <v>8.090534275788517E-5</v>
      </c>
      <c r="Q193" s="304">
        <f t="shared" si="53"/>
        <v>0.5</v>
      </c>
      <c r="R193" s="176">
        <f t="shared" si="54"/>
        <v>0.72279597455017686</v>
      </c>
      <c r="S193" s="814">
        <f t="shared" si="55"/>
        <v>-1</v>
      </c>
      <c r="T193" s="175">
        <f t="shared" si="56"/>
        <v>5</v>
      </c>
      <c r="U193" s="250">
        <f t="shared" si="57"/>
        <v>-0.27720402544982314</v>
      </c>
      <c r="V193" s="382">
        <f t="shared" si="58"/>
        <v>53.385950303824764</v>
      </c>
      <c r="W193" s="401">
        <f t="shared" si="59"/>
        <v>53.212983424219203</v>
      </c>
      <c r="X193" s="157">
        <f t="shared" si="60"/>
        <v>45836</v>
      </c>
      <c r="Y193" s="384">
        <f t="shared" si="61"/>
        <v>50.672982383422813</v>
      </c>
      <c r="Z193" s="384">
        <f t="shared" si="62"/>
        <v>53.557958765810795</v>
      </c>
      <c r="AA193" s="385">
        <f t="shared" si="63"/>
        <v>58.609481859994496</v>
      </c>
      <c r="AB193" s="196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8.6189519747857615E-2</v>
      </c>
      <c r="AD193" s="230">
        <f>(INDEX(Models!$BJ193:$BT193,,AH193)*(1-AF193)+INDEX(Models!$BJ193:$BT193,,AH193+1)*AF193-ERP_i)*AE193*Ramure*Pc/MaxiM</f>
        <v>1.1285940309417313E-3</v>
      </c>
      <c r="AE193" s="304">
        <f t="shared" si="65"/>
        <v>0.5</v>
      </c>
      <c r="AF193" s="176">
        <f t="shared" si="66"/>
        <v>0.83778851437456425</v>
      </c>
      <c r="AG193" s="814">
        <f t="shared" si="74"/>
        <v>1</v>
      </c>
      <c r="AH193" s="175">
        <f t="shared" si="67"/>
        <v>7</v>
      </c>
      <c r="AI193" s="224">
        <f t="shared" si="68"/>
        <v>1.8377885143745643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10">
        <f>'2024'!Wh/'2024'!Env_an*'2025'!Env_an</f>
        <v>51.067609508136414</v>
      </c>
      <c r="C194" s="843"/>
      <c r="D194" s="392">
        <f t="shared" si="50"/>
        <v>53.976234004610781</v>
      </c>
      <c r="E194" s="384">
        <f t="shared" si="75"/>
        <v>56.311107783898379</v>
      </c>
      <c r="F194" s="384">
        <f t="shared" si="51"/>
        <v>56.315441024057172</v>
      </c>
      <c r="G194" s="110">
        <f t="shared" si="76"/>
        <v>0.95778155448446733</v>
      </c>
      <c r="H194" s="413" t="b">
        <f>Wh_hp&gt;='2024'!Maxi_hp</f>
        <v>1</v>
      </c>
      <c r="I194" s="389">
        <f>IF(H194,Wh_hp,'2024'!Maxi_hp)</f>
        <v>56.315441024057172</v>
      </c>
      <c r="J194" s="85">
        <f>IF(H194,An,'2024'!An_max)</f>
        <v>2025</v>
      </c>
      <c r="K194" s="196">
        <f t="shared" si="52"/>
        <v>45837</v>
      </c>
      <c r="L194" s="147">
        <f>IF(t&lt;Tvie,1-EXP((T0-t)*PertePVj)+'2024'!Pspv,1-EXP((T0-t)*PertePVj)+Pspv)</f>
        <v>5.3887132922721161E-2</v>
      </c>
      <c r="M194" s="847"/>
      <c r="N194" s="847"/>
      <c r="O194" s="48">
        <f>IF(t&lt;Tnet,'2024'!Resal+('2024'!Salim-'2024'!Resal)*(1-EXP(('2024'!Tnet-t)/('2024'!Tau_j))),Resal+(Salim-Resal)*(1-EXP((Tnet-t)/(Tau_j))))*Salcycl</f>
        <v>4.1463822524110044E-2</v>
      </c>
      <c r="P194" s="168">
        <f>(INDEX(Models!$BJ194:$BT194,,T194)*(1-R194)+INDEX(Models!$BJ194:$BT194,,T194+1)*R194-ERP_i)*Q194*Ramure*Pc/MaxiM</f>
        <v>8.1883895637050922E-5</v>
      </c>
      <c r="Q194" s="304">
        <f t="shared" si="53"/>
        <v>0.5</v>
      </c>
      <c r="R194" s="176">
        <f t="shared" si="54"/>
        <v>0.72547697334924033</v>
      </c>
      <c r="S194" s="814">
        <f t="shared" si="55"/>
        <v>-1</v>
      </c>
      <c r="T194" s="175">
        <f t="shared" si="56"/>
        <v>5</v>
      </c>
      <c r="U194" s="250">
        <f t="shared" si="57"/>
        <v>-0.27452302665075973</v>
      </c>
      <c r="V194" s="382">
        <f t="shared" si="58"/>
        <v>53.318376279077391</v>
      </c>
      <c r="W194" s="401">
        <f t="shared" si="59"/>
        <v>51.067609508136414</v>
      </c>
      <c r="X194" s="157">
        <f t="shared" si="60"/>
        <v>45837</v>
      </c>
      <c r="Y194" s="384">
        <f t="shared" si="61"/>
        <v>48.634552282109894</v>
      </c>
      <c r="Z194" s="384">
        <f t="shared" si="62"/>
        <v>51.404598726525307</v>
      </c>
      <c r="AA194" s="385">
        <f t="shared" si="63"/>
        <v>56.255745638457014</v>
      </c>
      <c r="AB194" s="196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8.6233803443099513E-2</v>
      </c>
      <c r="AD194" s="230">
        <f>(INDEX(Models!$BJ194:$BT194,,AH194)*(1-AF194)+INDEX(Models!$BJ194:$BT194,,AH194+1)*AF194-ERP_i)*AE194*Ramure*Pc/MaxiM</f>
        <v>1.1280451914441885E-3</v>
      </c>
      <c r="AE194" s="304">
        <f t="shared" si="65"/>
        <v>0.5</v>
      </c>
      <c r="AF194" s="176">
        <f t="shared" si="66"/>
        <v>0.84046951317362772</v>
      </c>
      <c r="AG194" s="814">
        <f t="shared" si="74"/>
        <v>1</v>
      </c>
      <c r="AH194" s="175">
        <f t="shared" si="67"/>
        <v>7</v>
      </c>
      <c r="AI194" s="224">
        <f t="shared" si="68"/>
        <v>1.8404695131736277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10">
        <f>'2024'!Wh/'2024'!Env_an*'2025'!Env_an</f>
        <v>12.332387253792296</v>
      </c>
      <c r="C195" s="843"/>
      <c r="D195" s="392">
        <f t="shared" si="50"/>
        <v>13.035080123292259</v>
      </c>
      <c r="E195" s="384">
        <f t="shared" si="75"/>
        <v>13.600049277773614</v>
      </c>
      <c r="F195" s="384">
        <f t="shared" si="51"/>
        <v>13.600049277773614</v>
      </c>
      <c r="G195" s="110">
        <f t="shared" si="76"/>
        <v>0.23157549505268066</v>
      </c>
      <c r="H195" s="413" t="b">
        <f>Wh_hp&gt;='2024'!Maxi_hp</f>
        <v>0</v>
      </c>
      <c r="I195" s="389">
        <f>IF(H195,Wh_hp,'2024'!Maxi_hp)</f>
        <v>52.079984666293029</v>
      </c>
      <c r="J195" s="85">
        <f>IF(H195,An,'2024'!An_max)</f>
        <v>2019</v>
      </c>
      <c r="K195" s="196">
        <f t="shared" si="52"/>
        <v>45838</v>
      </c>
      <c r="L195" s="147">
        <f>IF(t&lt;Tvie,1-EXP((T0-t)*PertePVj)+'2024'!Pspv,1-EXP((T0-t)*PertePVj)+Pspv)</f>
        <v>5.3907828939565007E-2</v>
      </c>
      <c r="M195" s="847"/>
      <c r="N195" s="847"/>
      <c r="O195" s="48">
        <f>IF(t&lt;Tnet,'2024'!Resal+('2024'!Salim-'2024'!Resal)*(1-EXP(('2024'!Tnet-t)/('2024'!Tau_j))),Resal+(Salim-Resal)*(1-EXP((Tnet-t)/(Tau_j))))*Salcycl</f>
        <v>4.1541699073449546E-2</v>
      </c>
      <c r="P195" s="168">
        <f>(INDEX(Models!$BJ195:$BT195,,T195)*(1-R195)+INDEX(Models!$BJ195:$BT195,,T195+1)*R195-ERP_i)*Q195*Ramure*Pc/MaxiM</f>
        <v>8.2765398681721112E-5</v>
      </c>
      <c r="Q195" s="304">
        <f t="shared" si="53"/>
        <v>0.5</v>
      </c>
      <c r="R195" s="176">
        <f t="shared" si="54"/>
        <v>0.72811733349657359</v>
      </c>
      <c r="S195" s="814">
        <f t="shared" si="55"/>
        <v>-1</v>
      </c>
      <c r="T195" s="175">
        <f t="shared" si="56"/>
        <v>5</v>
      </c>
      <c r="U195" s="250">
        <f t="shared" si="57"/>
        <v>-0.27188266650342641</v>
      </c>
      <c r="V195" s="382">
        <f t="shared" si="58"/>
        <v>53.249876702365682</v>
      </c>
      <c r="W195" s="401">
        <f t="shared" si="59"/>
        <v>12.332387253792296</v>
      </c>
      <c r="X195" s="157">
        <f t="shared" si="60"/>
        <v>45838</v>
      </c>
      <c r="Y195" s="384">
        <f t="shared" si="61"/>
        <v>11.756786375910652</v>
      </c>
      <c r="Z195" s="384">
        <f t="shared" si="62"/>
        <v>12.42668181339347</v>
      </c>
      <c r="AA195" s="385">
        <f t="shared" si="63"/>
        <v>13.600049277773614</v>
      </c>
      <c r="AB195" s="196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8.6276706827655689E-2</v>
      </c>
      <c r="AD195" s="230">
        <f>(INDEX(Models!$BJ195:$BT195,,AH195)*(1-AF195)+INDEX(Models!$BJ195:$BT195,,AH195+1)*AF195-ERP_i)*AE195*Ramure*Pc/MaxiM</f>
        <v>1.126529220281712E-3</v>
      </c>
      <c r="AE195" s="304">
        <f t="shared" si="65"/>
        <v>0.5</v>
      </c>
      <c r="AF195" s="176">
        <f t="shared" si="66"/>
        <v>0.84310987332096099</v>
      </c>
      <c r="AG195" s="814">
        <f t="shared" si="74"/>
        <v>1</v>
      </c>
      <c r="AH195" s="175">
        <f t="shared" si="67"/>
        <v>7</v>
      </c>
      <c r="AI195" s="224">
        <f t="shared" si="68"/>
        <v>1.843109873320961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10">
        <f>'2024'!Wh/'2024'!Env_an*'2025'!Env_an</f>
        <v>48.385752498093964</v>
      </c>
      <c r="C196" s="843"/>
      <c r="D196" s="392">
        <f t="shared" si="50"/>
        <v>51.143865713403152</v>
      </c>
      <c r="E196" s="384">
        <f t="shared" si="75"/>
        <v>53.364851715886509</v>
      </c>
      <c r="F196" s="384">
        <f t="shared" si="51"/>
        <v>53.368736173872279</v>
      </c>
      <c r="G196" s="110">
        <f t="shared" si="76"/>
        <v>0.90982947856749896</v>
      </c>
      <c r="H196" s="413" t="b">
        <f>Wh_hp&gt;='2024'!Maxi_hp</f>
        <v>0</v>
      </c>
      <c r="I196" s="389">
        <f>IF(H196,Wh_hp,'2024'!Maxi_hp)</f>
        <v>57.002748716265671</v>
      </c>
      <c r="J196" s="85">
        <f>IF(H196,An,'2024'!An_max)</f>
        <v>2020</v>
      </c>
      <c r="K196" s="196">
        <f t="shared" si="52"/>
        <v>45839</v>
      </c>
      <c r="L196" s="147">
        <f>IF(t&lt;Tvie,1-EXP((T0-t)*PertePVj)+'2024'!Pspv,1-EXP((T0-t)*PertePVj)+Pspv)</f>
        <v>5.3928524503113119E-2</v>
      </c>
      <c r="M196" s="847"/>
      <c r="N196" s="847"/>
      <c r="O196" s="48">
        <f>IF(t&lt;Tnet,'2024'!Resal+('2024'!Salim-'2024'!Resal)*(1-EXP(('2024'!Tnet-t)/('2024'!Tau_j))),Resal+(Salim-Resal)*(1-EXP((Tnet-t)/(Tau_j))))*Salcycl</f>
        <v>4.1618892043546678E-2</v>
      </c>
      <c r="P196" s="168">
        <f>(INDEX(Models!$BJ196:$BT196,,T196)*(1-R196)+INDEX(Models!$BJ196:$BT196,,T196+1)*R196-ERP_i)*Q196*Ramure*Pc/MaxiM</f>
        <v>8.3546096499966617E-5</v>
      </c>
      <c r="Q196" s="304">
        <f t="shared" si="53"/>
        <v>0.5</v>
      </c>
      <c r="R196" s="176">
        <f t="shared" si="54"/>
        <v>0.73071579400913933</v>
      </c>
      <c r="S196" s="814">
        <f t="shared" si="55"/>
        <v>-1</v>
      </c>
      <c r="T196" s="175">
        <f t="shared" si="56"/>
        <v>5</v>
      </c>
      <c r="U196" s="250">
        <f t="shared" si="57"/>
        <v>-0.26928420599086067</v>
      </c>
      <c r="V196" s="382">
        <f t="shared" si="58"/>
        <v>53.180549684750503</v>
      </c>
      <c r="W196" s="401">
        <f t="shared" si="59"/>
        <v>48.385752498093964</v>
      </c>
      <c r="X196" s="157">
        <f t="shared" si="60"/>
        <v>45839</v>
      </c>
      <c r="Y196" s="384">
        <f t="shared" si="61"/>
        <v>46.087199593325742</v>
      </c>
      <c r="Z196" s="384">
        <f t="shared" si="62"/>
        <v>48.714289339629708</v>
      </c>
      <c r="AA196" s="385">
        <f t="shared" si="63"/>
        <v>53.316474245594591</v>
      </c>
      <c r="AB196" s="196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8.6318252868064521E-2</v>
      </c>
      <c r="AD196" s="230">
        <f>(INDEX(Models!$BJ196:$BT196,,AH196)*(1-AF196)+INDEX(Models!$BJ196:$BT196,,AH196+1)*AF196-ERP_i)*AE196*Ramure*Pc/MaxiM</f>
        <v>1.1240384422114477E-3</v>
      </c>
      <c r="AE196" s="304">
        <f t="shared" si="65"/>
        <v>0.5</v>
      </c>
      <c r="AF196" s="176">
        <f t="shared" si="66"/>
        <v>0.84570833383352673</v>
      </c>
      <c r="AG196" s="814">
        <f t="shared" si="74"/>
        <v>1</v>
      </c>
      <c r="AH196" s="175">
        <f t="shared" si="67"/>
        <v>7</v>
      </c>
      <c r="AI196" s="224">
        <f t="shared" si="68"/>
        <v>1.8457083338335267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10">
        <f>'2024'!Wh/'2024'!Env_an*'2025'!Env_an</f>
        <v>46.377835698331083</v>
      </c>
      <c r="C197" s="843"/>
      <c r="D197" s="392">
        <f t="shared" si="50"/>
        <v>49.022564813463546</v>
      </c>
      <c r="E197" s="384">
        <f t="shared" si="75"/>
        <v>51.155515056358908</v>
      </c>
      <c r="F197" s="384">
        <f t="shared" si="51"/>
        <v>51.159043501241172</v>
      </c>
      <c r="G197" s="110">
        <f t="shared" si="76"/>
        <v>0.8732196876461269</v>
      </c>
      <c r="H197" s="413" t="b">
        <f>Wh_hp&gt;='2024'!Maxi_hp</f>
        <v>0</v>
      </c>
      <c r="I197" s="389">
        <f>IF(H197,Wh_hp,'2024'!Maxi_hp)</f>
        <v>53.87379302070552</v>
      </c>
      <c r="J197" s="85">
        <f>IF(H197,An,'2024'!An_max)</f>
        <v>2021</v>
      </c>
      <c r="K197" s="196">
        <f t="shared" si="52"/>
        <v>45840</v>
      </c>
      <c r="L197" s="147">
        <f>IF(t&lt;Tvie,1-EXP((T0-t)*PertePVj)+'2024'!Pspv,1-EXP((T0-t)*PertePVj)+Pspv)</f>
        <v>5.3949219613375156E-2</v>
      </c>
      <c r="M197" s="847"/>
      <c r="N197" s="847"/>
      <c r="O197" s="48">
        <f>IF(t&lt;Tnet,'2024'!Resal+('2024'!Salim-'2024'!Resal)*(1-EXP(('2024'!Tnet-t)/('2024'!Tau_j))),Resal+(Salim-Resal)*(1-EXP((Tnet-t)/(Tau_j))))*Salcycl</f>
        <v>4.1695411346077807E-2</v>
      </c>
      <c r="P197" s="168">
        <f>(INDEX(Models!$BJ197:$BT197,,T197)*(1-R197)+INDEX(Models!$BJ197:$BT197,,T197+1)*R197-ERP_i)*Q197*Ramure*Pc/MaxiM</f>
        <v>8.4222430865425974E-5</v>
      </c>
      <c r="Q197" s="304">
        <f t="shared" si="53"/>
        <v>0.5</v>
      </c>
      <c r="R197" s="176">
        <f t="shared" si="54"/>
        <v>0.73327120319373573</v>
      </c>
      <c r="S197" s="814">
        <f t="shared" si="55"/>
        <v>-1</v>
      </c>
      <c r="T197" s="175">
        <f t="shared" si="56"/>
        <v>5</v>
      </c>
      <c r="U197" s="250">
        <f t="shared" si="57"/>
        <v>-0.26672879680626427</v>
      </c>
      <c r="V197" s="382">
        <f t="shared" si="58"/>
        <v>53.110493196674028</v>
      </c>
      <c r="W197" s="401">
        <f t="shared" si="59"/>
        <v>46.377835698331083</v>
      </c>
      <c r="X197" s="157">
        <f t="shared" si="60"/>
        <v>45840</v>
      </c>
      <c r="Y197" s="384">
        <f t="shared" si="61"/>
        <v>44.178807657447635</v>
      </c>
      <c r="Z197" s="384">
        <f t="shared" si="62"/>
        <v>46.698135632204625</v>
      </c>
      <c r="AA197" s="385">
        <f t="shared" si="63"/>
        <v>51.112098100062433</v>
      </c>
      <c r="AB197" s="196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8.6358467602260652E-2</v>
      </c>
      <c r="AD197" s="230">
        <f>(INDEX(Models!$BJ197:$BT197,,AH197)*(1-AF197)+INDEX(Models!$BJ197:$BT197,,AH197+1)*AF197-ERP_i)*AE197*Ramure*Pc/MaxiM</f>
        <v>1.1205661239323769E-3</v>
      </c>
      <c r="AE197" s="304">
        <f t="shared" si="65"/>
        <v>0.5</v>
      </c>
      <c r="AF197" s="176">
        <f t="shared" si="66"/>
        <v>0.84826374301812324</v>
      </c>
      <c r="AG197" s="814">
        <f t="shared" si="74"/>
        <v>1</v>
      </c>
      <c r="AH197" s="175">
        <f t="shared" si="67"/>
        <v>7</v>
      </c>
      <c r="AI197" s="224">
        <f t="shared" si="68"/>
        <v>1.8482637430181232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10">
        <f>'2024'!Wh/'2024'!Env_an*'2025'!Env_an</f>
        <v>42.113648591379949</v>
      </c>
      <c r="C198" s="843"/>
      <c r="D198" s="392">
        <f t="shared" si="50"/>
        <v>44.516183181319462</v>
      </c>
      <c r="E198" s="384">
        <f t="shared" si="75"/>
        <v>46.456740140463147</v>
      </c>
      <c r="F198" s="384">
        <f t="shared" si="51"/>
        <v>46.459519285279882</v>
      </c>
      <c r="G198" s="110">
        <f t="shared" si="76"/>
        <v>0.79398098822460106</v>
      </c>
      <c r="H198" s="413" t="b">
        <f>Wh_hp&gt;='2024'!Maxi_hp</f>
        <v>0</v>
      </c>
      <c r="I198" s="389">
        <f>IF(H198,Wh_hp,'2024'!Maxi_hp)</f>
        <v>50.483737643611768</v>
      </c>
      <c r="J198" s="85">
        <f>IF(H198,An,'2024'!An_max)</f>
        <v>2019</v>
      </c>
      <c r="K198" s="196">
        <f t="shared" si="52"/>
        <v>45841</v>
      </c>
      <c r="L198" s="147">
        <f>IF(t&lt;Tvie,1-EXP((T0-t)*PertePVj)+'2024'!Pspv,1-EXP((T0-t)*PertePVj)+Pspv)</f>
        <v>5.3969914270361331E-2</v>
      </c>
      <c r="M198" s="847"/>
      <c r="N198" s="847"/>
      <c r="O198" s="48">
        <f>IF(t&lt;Tnet,'2024'!Resal+('2024'!Salim-'2024'!Resal)*(1-EXP(('2024'!Tnet-t)/('2024'!Tau_j))),Resal+(Salim-Resal)*(1-EXP((Tnet-t)/(Tau_j))))*Salcycl</f>
        <v>4.1771268351510682E-2</v>
      </c>
      <c r="P198" s="168">
        <f>(INDEX(Models!$BJ198:$BT198,,T198)*(1-R198)+INDEX(Models!$BJ198:$BT198,,T198+1)*R198-ERP_i)*Q198*Ramure*Pc/MaxiM</f>
        <v>8.4763105111912516E-5</v>
      </c>
      <c r="Q198" s="304">
        <f t="shared" si="53"/>
        <v>0.5</v>
      </c>
      <c r="R198" s="176">
        <f t="shared" si="54"/>
        <v>0.73578251865411359</v>
      </c>
      <c r="S198" s="814">
        <f t="shared" si="55"/>
        <v>-1</v>
      </c>
      <c r="T198" s="175">
        <f t="shared" si="56"/>
        <v>5</v>
      </c>
      <c r="U198" s="250">
        <f t="shared" si="57"/>
        <v>-0.26421748134588641</v>
      </c>
      <c r="V198" s="382">
        <f t="shared" si="58"/>
        <v>53.039806557414828</v>
      </c>
      <c r="W198" s="401">
        <f t="shared" si="59"/>
        <v>42.113648591379949</v>
      </c>
      <c r="X198" s="157">
        <f t="shared" si="60"/>
        <v>45841</v>
      </c>
      <c r="Y198" s="384">
        <f t="shared" si="61"/>
        <v>40.123137587088685</v>
      </c>
      <c r="Z198" s="384">
        <f t="shared" si="62"/>
        <v>42.412115843169161</v>
      </c>
      <c r="AA198" s="385">
        <f t="shared" si="63"/>
        <v>46.422935870915879</v>
      </c>
      <c r="AB198" s="196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8.6397379926578755E-2</v>
      </c>
      <c r="AD198" s="230">
        <f>(INDEX(Models!$BJ198:$BT198,,AH198)*(1-AF198)+INDEX(Models!$BJ198:$BT198,,AH198+1)*AF198-ERP_i)*AE198*Ramure*Pc/MaxiM</f>
        <v>1.1157834519518847E-3</v>
      </c>
      <c r="AE198" s="304">
        <f t="shared" si="65"/>
        <v>0.5</v>
      </c>
      <c r="AF198" s="176">
        <f t="shared" si="66"/>
        <v>0.85077505847850099</v>
      </c>
      <c r="AG198" s="814">
        <f t="shared" si="74"/>
        <v>1</v>
      </c>
      <c r="AH198" s="175">
        <f t="shared" si="67"/>
        <v>7</v>
      </c>
      <c r="AI198" s="224">
        <f t="shared" si="68"/>
        <v>1.850775058478501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10">
        <f>'2024'!Wh/'2024'!Env_an*'2025'!Env_an</f>
        <v>43.14729395224748</v>
      </c>
      <c r="C199" s="843"/>
      <c r="D199" s="392">
        <f t="shared" si="50"/>
        <v>45.609794510232753</v>
      </c>
      <c r="E199" s="384">
        <f t="shared" si="75"/>
        <v>47.601760425382814</v>
      </c>
      <c r="F199" s="384">
        <f t="shared" si="51"/>
        <v>47.604741913457786</v>
      </c>
      <c r="G199" s="110">
        <f t="shared" si="76"/>
        <v>0.81456432258450318</v>
      </c>
      <c r="H199" s="413" t="b">
        <f>Wh_hp&gt;='2024'!Maxi_hp</f>
        <v>0</v>
      </c>
      <c r="I199" s="389">
        <f>IF(H199,Wh_hp,'2024'!Maxi_hp)</f>
        <v>48.796596745729502</v>
      </c>
      <c r="J199" s="85">
        <f>IF(H199,An,'2024'!An_max)</f>
        <v>2020</v>
      </c>
      <c r="K199" s="196">
        <f t="shared" si="52"/>
        <v>45842</v>
      </c>
      <c r="L199" s="147">
        <f>IF(t&lt;Tvie,1-EXP((T0-t)*PertePVj)+'2024'!Pspv,1-EXP((T0-t)*PertePVj)+Pspv)</f>
        <v>5.3990608474081193E-2</v>
      </c>
      <c r="M199" s="847"/>
      <c r="N199" s="847"/>
      <c r="O199" s="48">
        <f>IF(t&lt;Tnet,'2024'!Resal+('2024'!Salim-'2024'!Resal)*(1-EXP(('2024'!Tnet-t)/('2024'!Tau_j))),Resal+(Salim-Resal)*(1-EXP((Tnet-t)/(Tau_j))))*Salcycl</f>
        <v>4.1846475788905484E-2</v>
      </c>
      <c r="P199" s="168">
        <f>(INDEX(Models!$BJ199:$BT199,,T199)*(1-R199)+INDEX(Models!$BJ199:$BT199,,T199+1)*R199-ERP_i)*Q199*Ramure*Pc/MaxiM</f>
        <v>8.5197277053639217E-5</v>
      </c>
      <c r="Q199" s="304">
        <f t="shared" si="53"/>
        <v>0.5</v>
      </c>
      <c r="R199" s="176">
        <f t="shared" si="54"/>
        <v>0.73824880678848792</v>
      </c>
      <c r="S199" s="814">
        <f t="shared" si="55"/>
        <v>-1</v>
      </c>
      <c r="T199" s="175">
        <f t="shared" si="56"/>
        <v>5</v>
      </c>
      <c r="U199" s="250">
        <f t="shared" si="57"/>
        <v>-0.26175119321151208</v>
      </c>
      <c r="V199" s="382">
        <f t="shared" si="58"/>
        <v>52.968585759102936</v>
      </c>
      <c r="W199" s="401">
        <f t="shared" si="59"/>
        <v>43.14729395224748</v>
      </c>
      <c r="X199" s="157">
        <f t="shared" si="60"/>
        <v>45842</v>
      </c>
      <c r="Y199" s="384">
        <f t="shared" si="61"/>
        <v>41.108398349742629</v>
      </c>
      <c r="Z199" s="384">
        <f t="shared" si="62"/>
        <v>43.454535143075631</v>
      </c>
      <c r="AA199" s="385">
        <f t="shared" si="63"/>
        <v>47.565894227071134</v>
      </c>
      <c r="AB199" s="196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8.6435021369904372E-2</v>
      </c>
      <c r="AD199" s="230">
        <f>(INDEX(Models!$BJ199:$BT199,,AH199)*(1-AF199)+INDEX(Models!$BJ199:$BT199,,AH199+1)*AF199-ERP_i)*AE199*Ramure*Pc/MaxiM</f>
        <v>1.1100889947410167E-3</v>
      </c>
      <c r="AE199" s="304">
        <f t="shared" si="65"/>
        <v>0.5</v>
      </c>
      <c r="AF199" s="176">
        <f t="shared" si="66"/>
        <v>0.85324134661287543</v>
      </c>
      <c r="AG199" s="814">
        <f t="shared" si="74"/>
        <v>1</v>
      </c>
      <c r="AH199" s="175">
        <f t="shared" si="67"/>
        <v>7</v>
      </c>
      <c r="AI199" s="224">
        <f t="shared" si="68"/>
        <v>1.8532413466128754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10">
        <f>'2024'!Wh/'2024'!Env_an*'2025'!Env_an</f>
        <v>50.731786973266985</v>
      </c>
      <c r="C200" s="843"/>
      <c r="D200" s="392">
        <f t="shared" si="50"/>
        <v>53.628322508044342</v>
      </c>
      <c r="E200" s="384">
        <f t="shared" si="75"/>
        <v>55.974846724176103</v>
      </c>
      <c r="F200" s="384">
        <f t="shared" si="51"/>
        <v>55.97935426462854</v>
      </c>
      <c r="G200" s="110">
        <f t="shared" si="76"/>
        <v>0.95906387779597324</v>
      </c>
      <c r="H200" s="413" t="b">
        <f>Wh_hp&gt;='2024'!Maxi_hp</f>
        <v>0</v>
      </c>
      <c r="I200" s="389">
        <f>IF(H200,Wh_hp,'2024'!Maxi_hp)</f>
        <v>57.87508432107736</v>
      </c>
      <c r="J200" s="85">
        <f>IF(H200,An,'2024'!An_max)</f>
        <v>2021</v>
      </c>
      <c r="K200" s="196">
        <f t="shared" si="52"/>
        <v>45843</v>
      </c>
      <c r="L200" s="147">
        <f>IF(t&lt;Tvie,1-EXP((T0-t)*PertePVj)+'2024'!Pspv,1-EXP((T0-t)*PertePVj)+Pspv)</f>
        <v>5.4011302224545067E-2</v>
      </c>
      <c r="M200" s="847"/>
      <c r="N200" s="847"/>
      <c r="O200" s="48">
        <f>IF(t&lt;Tnet,'2024'!Resal+('2024'!Salim-'2024'!Resal)*(1-EXP(('2024'!Tnet-t)/('2024'!Tau_j))),Resal+(Salim-Resal)*(1-EXP((Tnet-t)/(Tau_j))))*Salcycl</f>
        <v>4.1921047639390425E-2</v>
      </c>
      <c r="P200" s="168">
        <f>(INDEX(Models!$BJ200:$BT200,,T200)*(1-R200)+INDEX(Models!$BJ200:$BT200,,T200+1)*R200-ERP_i)*Q200*Ramure*Pc/MaxiM</f>
        <v>8.5522250064425911E-5</v>
      </c>
      <c r="Q200" s="304">
        <f t="shared" si="53"/>
        <v>0.5</v>
      </c>
      <c r="R200" s="176">
        <f t="shared" si="54"/>
        <v>0.74066924180447224</v>
      </c>
      <c r="S200" s="814">
        <f t="shared" si="55"/>
        <v>-1</v>
      </c>
      <c r="T200" s="175">
        <f t="shared" si="56"/>
        <v>5</v>
      </c>
      <c r="U200" s="250">
        <f t="shared" si="57"/>
        <v>-0.25933075819552781</v>
      </c>
      <c r="V200" s="382">
        <f t="shared" si="58"/>
        <v>52.896928379181233</v>
      </c>
      <c r="W200" s="401">
        <f t="shared" si="59"/>
        <v>50.731786973266985</v>
      </c>
      <c r="X200" s="157">
        <f t="shared" si="60"/>
        <v>45843</v>
      </c>
      <c r="Y200" s="384">
        <f t="shared" si="61"/>
        <v>48.326408549441702</v>
      </c>
      <c r="Z200" s="384">
        <f t="shared" si="62"/>
        <v>51.08560880598673</v>
      </c>
      <c r="AA200" s="385">
        <f t="shared" si="63"/>
        <v>55.921194204455645</v>
      </c>
      <c r="AB200" s="196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8.6471425856703768E-2</v>
      </c>
      <c r="AD200" s="230">
        <f>(INDEX(Models!$BJ200:$BT200,,AH200)*(1-AF200)+INDEX(Models!$BJ200:$BT200,,AH200+1)*AF200-ERP_i)*AE200*Ramure*Pc/MaxiM</f>
        <v>1.1034796608823056E-3</v>
      </c>
      <c r="AE200" s="304">
        <f t="shared" si="65"/>
        <v>0.5</v>
      </c>
      <c r="AF200" s="176">
        <f t="shared" si="66"/>
        <v>0.85566178162885964</v>
      </c>
      <c r="AG200" s="814">
        <f t="shared" si="74"/>
        <v>1</v>
      </c>
      <c r="AH200" s="175">
        <f t="shared" si="67"/>
        <v>7</v>
      </c>
      <c r="AI200" s="224">
        <f t="shared" si="68"/>
        <v>1.8556617816288596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10">
        <f>'2024'!Wh/'2024'!Env_an*'2025'!Env_an</f>
        <v>39.103419180398632</v>
      </c>
      <c r="C201" s="843"/>
      <c r="D201" s="392">
        <f t="shared" si="50"/>
        <v>41.33693633958233</v>
      </c>
      <c r="E201" s="384">
        <f t="shared" si="75"/>
        <v>43.148977612303824</v>
      </c>
      <c r="F201" s="384">
        <f t="shared" si="51"/>
        <v>43.151304372664868</v>
      </c>
      <c r="G201" s="110">
        <f t="shared" si="76"/>
        <v>0.74022196832853993</v>
      </c>
      <c r="H201" s="413" t="b">
        <f>Wh_hp&gt;='2024'!Maxi_hp</f>
        <v>0</v>
      </c>
      <c r="I201" s="389">
        <f>IF(H201,Wh_hp,'2024'!Maxi_hp)</f>
        <v>56.501784231476087</v>
      </c>
      <c r="J201" s="85">
        <f>IF(H201,An,'2024'!An_max)</f>
        <v>2020</v>
      </c>
      <c r="K201" s="196">
        <f t="shared" si="52"/>
        <v>45844</v>
      </c>
      <c r="L201" s="147">
        <f>IF(t&lt;Tvie,1-EXP((T0-t)*PertePVj)+'2024'!Pspv,1-EXP((T0-t)*PertePVj)+Pspv)</f>
        <v>5.4031995521762612E-2</v>
      </c>
      <c r="M201" s="847"/>
      <c r="N201" s="847"/>
      <c r="O201" s="48">
        <f>IF(t&lt;Tnet,'2024'!Resal+('2024'!Salim-'2024'!Resal)*(1-EXP(('2024'!Tnet-t)/('2024'!Tau_j))),Resal+(Salim-Resal)*(1-EXP((Tnet-t)/(Tau_j))))*Salcycl</f>
        <v>4.1994999024143588E-2</v>
      </c>
      <c r="P201" s="168">
        <f>(INDEX(Models!$BJ201:$BT201,,T201)*(1-R201)+INDEX(Models!$BJ201:$BT201,,T201+1)*R201-ERP_i)*Q201*Ramure*Pc/MaxiM</f>
        <v>8.5735527264435134E-5</v>
      </c>
      <c r="Q201" s="304">
        <f t="shared" si="53"/>
        <v>0.5</v>
      </c>
      <c r="R201" s="176">
        <f t="shared" si="54"/>
        <v>0.74304310428114784</v>
      </c>
      <c r="S201" s="814">
        <f t="shared" si="55"/>
        <v>-1</v>
      </c>
      <c r="T201" s="175">
        <f t="shared" si="56"/>
        <v>5</v>
      </c>
      <c r="U201" s="250">
        <f t="shared" si="57"/>
        <v>-0.25695689571885216</v>
      </c>
      <c r="V201" s="382">
        <f t="shared" si="58"/>
        <v>52.824931883332972</v>
      </c>
      <c r="W201" s="401">
        <f t="shared" si="59"/>
        <v>39.103419180398632</v>
      </c>
      <c r="X201" s="157">
        <f t="shared" si="60"/>
        <v>45844</v>
      </c>
      <c r="Y201" s="384">
        <f t="shared" si="61"/>
        <v>37.262872150346482</v>
      </c>
      <c r="Z201" s="384">
        <f t="shared" si="62"/>
        <v>39.391260564779216</v>
      </c>
      <c r="AA201" s="385">
        <f t="shared" si="63"/>
        <v>43.121561507912766</v>
      </c>
      <c r="AB201" s="196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8.6506629460740711E-2</v>
      </c>
      <c r="AD201" s="230">
        <f>(INDEX(Models!$BJ201:$BT201,,AH201)*(1-AF201)+INDEX(Models!$BJ201:$BT201,,AH201+1)*AF201-ERP_i)*AE201*Ramure*Pc/MaxiM</f>
        <v>1.0959530833390082E-3</v>
      </c>
      <c r="AE201" s="304">
        <f t="shared" si="65"/>
        <v>0.5</v>
      </c>
      <c r="AF201" s="176">
        <f t="shared" si="66"/>
        <v>0.85803564410553523</v>
      </c>
      <c r="AG201" s="814">
        <f t="shared" si="74"/>
        <v>1</v>
      </c>
      <c r="AH201" s="175">
        <f t="shared" si="67"/>
        <v>7</v>
      </c>
      <c r="AI201" s="224">
        <f t="shared" si="68"/>
        <v>1.8580356441055352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10">
        <f>'2024'!Wh/'2024'!Env_an*'2025'!Env_an</f>
        <v>48.120632433214169</v>
      </c>
      <c r="C202" s="843"/>
      <c r="D202" s="392">
        <f t="shared" si="50"/>
        <v>50.870309415097395</v>
      </c>
      <c r="E202" s="384">
        <f t="shared" si="75"/>
        <v>53.104320341999426</v>
      </c>
      <c r="F202" s="384">
        <f t="shared" si="51"/>
        <v>53.10830706585228</v>
      </c>
      <c r="G202" s="110">
        <f t="shared" si="76"/>
        <v>0.91218307474442784</v>
      </c>
      <c r="H202" s="413" t="b">
        <f>Wh_hp&gt;='2024'!Maxi_hp</f>
        <v>1</v>
      </c>
      <c r="I202" s="389">
        <f>IF(H202,Wh_hp,'2024'!Maxi_hp)</f>
        <v>53.10830706585228</v>
      </c>
      <c r="J202" s="85">
        <f>IF(H202,An,'2024'!An_max)</f>
        <v>2025</v>
      </c>
      <c r="K202" s="196">
        <f t="shared" si="52"/>
        <v>45845</v>
      </c>
      <c r="L202" s="147">
        <f>IF(t&lt;Tvie,1-EXP((T0-t)*PertePVj)+'2024'!Pspv,1-EXP((T0-t)*PertePVj)+Pspv)</f>
        <v>5.4052688365743819E-2</v>
      </c>
      <c r="M202" s="847"/>
      <c r="N202" s="847"/>
      <c r="O202" s="48">
        <f>IF(t&lt;Tnet,'2024'!Resal+('2024'!Salim-'2024'!Resal)*(1-EXP(('2024'!Tnet-t)/('2024'!Tau_j))),Resal+(Salim-Resal)*(1-EXP((Tnet-t)/(Tau_j))))*Salcycl</f>
        <v>4.2068346087750987E-2</v>
      </c>
      <c r="P202" s="168">
        <f>(INDEX(Models!$BJ202:$BT202,,T202)*(1-R202)+INDEX(Models!$BJ202:$BT202,,T202+1)*R202-ERP_i)*Q202*Ramure*Pc/MaxiM</f>
        <v>8.583481007682717E-5</v>
      </c>
      <c r="Q202" s="304">
        <f t="shared" si="53"/>
        <v>0.5</v>
      </c>
      <c r="R202" s="176">
        <f t="shared" si="54"/>
        <v>0.74536977931017168</v>
      </c>
      <c r="S202" s="814">
        <f t="shared" si="55"/>
        <v>-1</v>
      </c>
      <c r="T202" s="175">
        <f t="shared" si="56"/>
        <v>5</v>
      </c>
      <c r="U202" s="250">
        <f t="shared" si="57"/>
        <v>-0.25463022068982838</v>
      </c>
      <c r="V202" s="382">
        <f t="shared" si="58"/>
        <v>52.752693632840646</v>
      </c>
      <c r="W202" s="401">
        <f t="shared" si="59"/>
        <v>48.120632433214169</v>
      </c>
      <c r="X202" s="157">
        <f t="shared" si="60"/>
        <v>45845</v>
      </c>
      <c r="Y202" s="384">
        <f t="shared" si="61"/>
        <v>45.846413836496048</v>
      </c>
      <c r="Z202" s="384">
        <f t="shared" si="62"/>
        <v>48.46613894096275</v>
      </c>
      <c r="AA202" s="385">
        <f t="shared" si="63"/>
        <v>53.057796179051472</v>
      </c>
      <c r="AB202" s="196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8.6540670151347601E-2</v>
      </c>
      <c r="AD202" s="230">
        <f>(INDEX(Models!$BJ202:$BT202,,AH202)*(1-AF202)+INDEX(Models!$BJ202:$BT202,,AH202+1)*AF202-ERP_i)*AE202*Ramure*Pc/MaxiM</f>
        <v>1.0875075714754381E-3</v>
      </c>
      <c r="AE202" s="304">
        <f t="shared" si="65"/>
        <v>0.5</v>
      </c>
      <c r="AF202" s="176">
        <f t="shared" si="66"/>
        <v>0.86036231913455907</v>
      </c>
      <c r="AG202" s="814">
        <f t="shared" si="74"/>
        <v>1</v>
      </c>
      <c r="AH202" s="175">
        <f t="shared" si="67"/>
        <v>7</v>
      </c>
      <c r="AI202" s="224">
        <f t="shared" si="68"/>
        <v>1.8603623191345591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10">
        <f>'2024'!Wh/'2024'!Env_an*'2025'!Env_an</f>
        <v>52.43778765116555</v>
      </c>
      <c r="C203" s="843"/>
      <c r="D203" s="392">
        <f t="shared" si="50"/>
        <v>55.435365264487778</v>
      </c>
      <c r="E203" s="384">
        <f t="shared" si="75"/>
        <v>57.874250168436568</v>
      </c>
      <c r="F203" s="384">
        <f t="shared" si="51"/>
        <v>57.879184577154362</v>
      </c>
      <c r="G203" s="110">
        <f t="shared" si="76"/>
        <v>0.99539575913219558</v>
      </c>
      <c r="H203" s="413" t="b">
        <f>Wh_hp&gt;='2024'!Maxi_hp</f>
        <v>0</v>
      </c>
      <c r="I203" s="389">
        <f>IF(H203,Wh_hp,'2024'!Maxi_hp)</f>
        <v>58.837681305863043</v>
      </c>
      <c r="J203" s="85">
        <f>IF(H203,An,'2024'!An_max)</f>
        <v>2020</v>
      </c>
      <c r="K203" s="196">
        <f t="shared" si="52"/>
        <v>45846</v>
      </c>
      <c r="L203" s="147">
        <f>IF(t&lt;Tvie,1-EXP((T0-t)*PertePVj)+'2024'!Pspv,1-EXP((T0-t)*PertePVj)+Pspv)</f>
        <v>5.407338075649868E-2</v>
      </c>
      <c r="M203" s="847"/>
      <c r="N203" s="847"/>
      <c r="O203" s="48">
        <f>IF(t&lt;Tnet,'2024'!Resal+('2024'!Salim-'2024'!Resal)*(1-EXP(('2024'!Tnet-t)/('2024'!Tau_j))),Resal+(Salim-Resal)*(1-EXP((Tnet-t)/(Tau_j))))*Salcycl</f>
        <v>4.2141105877841846E-2</v>
      </c>
      <c r="P203" s="168">
        <f>(INDEX(Models!$BJ203:$BT203,,T203)*(1-R203)+INDEX(Models!$BJ203:$BT203,,T203+1)*R203-ERP_i)*Q203*Ramure*Pc/MaxiM</f>
        <v>8.581799557659055E-5</v>
      </c>
      <c r="Q203" s="304">
        <f t="shared" si="53"/>
        <v>0.5</v>
      </c>
      <c r="R203" s="176">
        <f t="shared" si="54"/>
        <v>0.74764875424953303</v>
      </c>
      <c r="S203" s="814">
        <f t="shared" si="55"/>
        <v>-1</v>
      </c>
      <c r="T203" s="175">
        <f t="shared" si="56"/>
        <v>5</v>
      </c>
      <c r="U203" s="250">
        <f t="shared" si="57"/>
        <v>-0.25235124575046697</v>
      </c>
      <c r="V203" s="382">
        <f t="shared" si="58"/>
        <v>52.680310893209935</v>
      </c>
      <c r="W203" s="401">
        <f t="shared" si="59"/>
        <v>52.43778765116555</v>
      </c>
      <c r="X203" s="157">
        <f t="shared" si="60"/>
        <v>45846</v>
      </c>
      <c r="Y203" s="384">
        <f t="shared" si="61"/>
        <v>49.956041243867304</v>
      </c>
      <c r="Z203" s="384">
        <f t="shared" si="62"/>
        <v>52.81175117348883</v>
      </c>
      <c r="AA203" s="385">
        <f t="shared" si="63"/>
        <v>57.81719299195759</v>
      </c>
      <c r="AB203" s="196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8.6573587534161708E-2</v>
      </c>
      <c r="AD203" s="230">
        <f>(INDEX(Models!$BJ203:$BT203,,AH203)*(1-AF203)+INDEX(Models!$BJ203:$BT203,,AH203+1)*AF203-ERP_i)*AE203*Ramure*Pc/MaxiM</f>
        <v>1.0781420608758933E-3</v>
      </c>
      <c r="AE203" s="304">
        <f t="shared" si="65"/>
        <v>0.5</v>
      </c>
      <c r="AF203" s="176">
        <f t="shared" si="66"/>
        <v>0.86264129407392054</v>
      </c>
      <c r="AG203" s="814">
        <f t="shared" si="74"/>
        <v>1</v>
      </c>
      <c r="AH203" s="175">
        <f t="shared" si="67"/>
        <v>7</v>
      </c>
      <c r="AI203" s="224">
        <f t="shared" si="68"/>
        <v>1.8626412940739205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10">
        <f>'2024'!Wh/'2024'!Env_an*'2025'!Env_an</f>
        <v>51.645176416427397</v>
      </c>
      <c r="C204" s="843"/>
      <c r="D204" s="392">
        <f t="shared" si="50"/>
        <v>54.598639172838418</v>
      </c>
      <c r="E204" s="384">
        <f t="shared" si="75"/>
        <v>57.005008482023399</v>
      </c>
      <c r="F204" s="384">
        <f t="shared" si="51"/>
        <v>57.009765560196492</v>
      </c>
      <c r="G204" s="110">
        <f t="shared" si="76"/>
        <v>0.98169817711465301</v>
      </c>
      <c r="H204" s="413" t="b">
        <f>Wh_hp&gt;='2024'!Maxi_hp</f>
        <v>0</v>
      </c>
      <c r="I204" s="389">
        <f>IF(H204,Wh_hp,'2024'!Maxi_hp)</f>
        <v>58.42671028153908</v>
      </c>
      <c r="J204" s="85">
        <f>IF(H204,An,'2024'!An_max)</f>
        <v>2021</v>
      </c>
      <c r="K204" s="196">
        <f t="shared" si="52"/>
        <v>45847</v>
      </c>
      <c r="L204" s="147">
        <f>IF(t&lt;Tvie,1-EXP((T0-t)*PertePVj)+'2024'!Pspv,1-EXP((T0-t)*PertePVj)+Pspv)</f>
        <v>5.4094072694037078E-2</v>
      </c>
      <c r="M204" s="847"/>
      <c r="N204" s="847"/>
      <c r="O204" s="48">
        <f>IF(t&lt;Tnet,'2024'!Resal+('2024'!Salim-'2024'!Resal)*(1-EXP(('2024'!Tnet-t)/('2024'!Tau_j))),Resal+(Salim-Resal)*(1-EXP((Tnet-t)/(Tau_j))))*Salcycl</f>
        <v>4.2213296221924698E-2</v>
      </c>
      <c r="P204" s="168">
        <f>(INDEX(Models!$BJ204:$BT204,,T204)*(1-R204)+INDEX(Models!$BJ204:$BT204,,T204+1)*R204-ERP_i)*Q204*Ramure*Pc/MaxiM</f>
        <v>8.5683172736085512E-5</v>
      </c>
      <c r="Q204" s="304">
        <f t="shared" si="53"/>
        <v>0.5</v>
      </c>
      <c r="R204" s="176">
        <f t="shared" si="54"/>
        <v>0.74987961612480425</v>
      </c>
      <c r="S204" s="814">
        <f t="shared" si="55"/>
        <v>-1</v>
      </c>
      <c r="T204" s="175">
        <f t="shared" si="56"/>
        <v>5</v>
      </c>
      <c r="U204" s="250">
        <f t="shared" si="57"/>
        <v>-0.2501203838751957</v>
      </c>
      <c r="V204" s="382">
        <f t="shared" si="58"/>
        <v>52.607880841336573</v>
      </c>
      <c r="W204" s="401">
        <f t="shared" si="59"/>
        <v>51.645176416427397</v>
      </c>
      <c r="X204" s="157">
        <f t="shared" si="60"/>
        <v>45847</v>
      </c>
      <c r="Y204" s="384">
        <f t="shared" si="61"/>
        <v>49.204379089058101</v>
      </c>
      <c r="Z204" s="384">
        <f t="shared" si="62"/>
        <v>52.018258548392033</v>
      </c>
      <c r="AA204" s="385">
        <f t="shared" si="63"/>
        <v>56.950478834453762</v>
      </c>
      <c r="AB204" s="196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8.6605422588261857E-2</v>
      </c>
      <c r="AD204" s="230">
        <f>(INDEX(Models!$BJ204:$BT204,,AH204)*(1-AF204)+INDEX(Models!$BJ204:$BT204,,AH204+1)*AF204-ERP_i)*AE204*Ramure*Pc/MaxiM</f>
        <v>1.0678560616266574E-3</v>
      </c>
      <c r="AE204" s="304">
        <f t="shared" si="65"/>
        <v>0.5</v>
      </c>
      <c r="AF204" s="176">
        <f t="shared" si="66"/>
        <v>0.86487215594919187</v>
      </c>
      <c r="AG204" s="814">
        <f t="shared" si="74"/>
        <v>1</v>
      </c>
      <c r="AH204" s="175">
        <f t="shared" si="67"/>
        <v>7</v>
      </c>
      <c r="AI204" s="224">
        <f t="shared" si="68"/>
        <v>1.8648721559491919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10">
        <f>'2024'!Wh/'2024'!Env_an*'2025'!Env_an</f>
        <v>51.445697849133502</v>
      </c>
      <c r="C205" s="843"/>
      <c r="D205" s="392">
        <f t="shared" si="50"/>
        <v>54.388942654809341</v>
      </c>
      <c r="E205" s="384">
        <f t="shared" si="75"/>
        <v>56.79031757636352</v>
      </c>
      <c r="F205" s="384">
        <f t="shared" si="51"/>
        <v>56.795025766564976</v>
      </c>
      <c r="G205" s="110">
        <f t="shared" si="76"/>
        <v>0.97925797498320366</v>
      </c>
      <c r="H205" s="413" t="b">
        <f>Wh_hp&gt;='2024'!Maxi_hp</f>
        <v>0</v>
      </c>
      <c r="I205" s="389">
        <f>IF(H205,Wh_hp,'2024'!Maxi_hp)</f>
        <v>57.577022545392943</v>
      </c>
      <c r="J205" s="85">
        <f>IF(H205,An,'2024'!An_max)</f>
        <v>2019</v>
      </c>
      <c r="K205" s="196">
        <f t="shared" si="52"/>
        <v>45848</v>
      </c>
      <c r="L205" s="147">
        <f>IF(t&lt;Tvie,1-EXP((T0-t)*PertePVj)+'2024'!Pspv,1-EXP((T0-t)*PertePVj)+Pspv)</f>
        <v>5.4114764178368892E-2</v>
      </c>
      <c r="M205" s="847"/>
      <c r="N205" s="847"/>
      <c r="O205" s="48">
        <f>IF(t&lt;Tnet,'2024'!Resal+('2024'!Salim-'2024'!Resal)*(1-EXP(('2024'!Tnet-t)/('2024'!Tau_j))),Resal+(Salim-Resal)*(1-EXP((Tnet-t)/(Tau_j))))*Salcycl</f>
        <v>4.2284935602361393E-2</v>
      </c>
      <c r="P205" s="168">
        <f>(INDEX(Models!$BJ205:$BT205,,T205)*(1-R205)+INDEX(Models!$BJ205:$BT205,,T205+1)*R205-ERP_i)*Q205*Ramure*Pc/MaxiM</f>
        <v>8.5429016650532012E-5</v>
      </c>
      <c r="Q205" s="304">
        <f t="shared" si="53"/>
        <v>0.5</v>
      </c>
      <c r="R205" s="176">
        <f t="shared" si="54"/>
        <v>0.75206204871350157</v>
      </c>
      <c r="S205" s="814">
        <f t="shared" si="55"/>
        <v>-1</v>
      </c>
      <c r="T205" s="175">
        <f t="shared" si="56"/>
        <v>5</v>
      </c>
      <c r="U205" s="250">
        <f t="shared" si="57"/>
        <v>-0.24793795128649845</v>
      </c>
      <c r="V205" s="382">
        <f t="shared" si="58"/>
        <v>52.535255202614294</v>
      </c>
      <c r="W205" s="401">
        <f t="shared" si="59"/>
        <v>51.445697849133502</v>
      </c>
      <c r="X205" s="157">
        <f t="shared" si="60"/>
        <v>45848</v>
      </c>
      <c r="Y205" s="384">
        <f t="shared" si="61"/>
        <v>49.017031069536202</v>
      </c>
      <c r="Z205" s="384">
        <f t="shared" si="62"/>
        <v>51.82133012886937</v>
      </c>
      <c r="AA205" s="385">
        <f t="shared" si="63"/>
        <v>56.736791097022987</v>
      </c>
      <c r="AB205" s="196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8.6636217401648827E-2</v>
      </c>
      <c r="AD205" s="230">
        <f>(INDEX(Models!$BJ205:$BT205,,AH205)*(1-AF205)+INDEX(Models!$BJ205:$BT205,,AH205+1)*AF205-ERP_i)*AE205*Ramure*Pc/MaxiM</f>
        <v>1.0566545405068868E-3</v>
      </c>
      <c r="AE205" s="304">
        <f t="shared" si="65"/>
        <v>0.5</v>
      </c>
      <c r="AF205" s="176">
        <f t="shared" si="66"/>
        <v>0.86705458853788908</v>
      </c>
      <c r="AG205" s="814">
        <f t="shared" si="74"/>
        <v>1</v>
      </c>
      <c r="AH205" s="175">
        <f t="shared" si="67"/>
        <v>7</v>
      </c>
      <c r="AI205" s="224">
        <f t="shared" si="68"/>
        <v>1.8670545885378891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10">
        <f>'2024'!Wh/'2024'!Env_an*'2025'!Env_an</f>
        <v>50.240589024606365</v>
      </c>
      <c r="C206" s="843"/>
      <c r="D206" s="392">
        <f t="shared" si="50"/>
        <v>53.116050602926876</v>
      </c>
      <c r="E206" s="384">
        <f t="shared" si="75"/>
        <v>55.465343060285448</v>
      </c>
      <c r="F206" s="384">
        <f t="shared" si="51"/>
        <v>55.469774702787802</v>
      </c>
      <c r="G206" s="110">
        <f t="shared" si="76"/>
        <v>0.95764779680500145</v>
      </c>
      <c r="H206" s="413" t="b">
        <f>Wh_hp&gt;='2024'!Maxi_hp</f>
        <v>0</v>
      </c>
      <c r="I206" s="389">
        <f>IF(H206,Wh_hp,'2024'!Maxi_hp)</f>
        <v>58.243264696264866</v>
      </c>
      <c r="J206" s="85">
        <f>IF(H206,An,'2024'!An_max)</f>
        <v>2019</v>
      </c>
      <c r="K206" s="196">
        <f t="shared" si="52"/>
        <v>45849</v>
      </c>
      <c r="L206" s="147">
        <f>IF(t&lt;Tvie,1-EXP((T0-t)*PertePVj)+'2024'!Pspv,1-EXP((T0-t)*PertePVj)+Pspv)</f>
        <v>5.4135455209504225E-2</v>
      </c>
      <c r="M206" s="847"/>
      <c r="N206" s="847"/>
      <c r="O206" s="48">
        <f>IF(t&lt;Tnet,'2024'!Resal+('2024'!Salim-'2024'!Resal)*(1-EXP(('2024'!Tnet-t)/('2024'!Tau_j))),Resal+(Salim-Resal)*(1-EXP((Tnet-t)/(Tau_j))))*Salcycl</f>
        <v>4.2356043030422112E-2</v>
      </c>
      <c r="P206" s="168">
        <f>(INDEX(Models!$BJ206:$BT206,,T206)*(1-R206)+INDEX(Models!$BJ206:$BT206,,T206+1)*R206-ERP_i)*Q206*Ramure*Pc/MaxiM</f>
        <v>8.5037353113140567E-5</v>
      </c>
      <c r="Q206" s="304">
        <f t="shared" si="53"/>
        <v>0.5</v>
      </c>
      <c r="R206" s="176">
        <f t="shared" si="54"/>
        <v>0.75419582934852014</v>
      </c>
      <c r="S206" s="814">
        <f t="shared" si="55"/>
        <v>-1</v>
      </c>
      <c r="T206" s="175">
        <f t="shared" si="56"/>
        <v>5</v>
      </c>
      <c r="U206" s="250">
        <f t="shared" si="57"/>
        <v>-0.24580417065147989</v>
      </c>
      <c r="V206" s="382">
        <f t="shared" si="58"/>
        <v>52.462221197010578</v>
      </c>
      <c r="W206" s="401">
        <f t="shared" si="59"/>
        <v>50.240589024606365</v>
      </c>
      <c r="X206" s="157">
        <f t="shared" si="60"/>
        <v>45849</v>
      </c>
      <c r="Y206" s="384">
        <f t="shared" si="61"/>
        <v>47.872782097294852</v>
      </c>
      <c r="Z206" s="384">
        <f t="shared" si="62"/>
        <v>50.612725004824483</v>
      </c>
      <c r="AA206" s="385">
        <f t="shared" si="63"/>
        <v>55.41535279634973</v>
      </c>
      <c r="AB206" s="196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8.6666014907002487E-2</v>
      </c>
      <c r="AD206" s="230">
        <f>(INDEX(Models!$BJ206:$BT206,,AH206)*(1-AF206)+INDEX(Models!$BJ206:$BT206,,AH206+1)*AF206-ERP_i)*AE206*Ramure*Pc/MaxiM</f>
        <v>1.0442843420716331E-3</v>
      </c>
      <c r="AE206" s="304">
        <f t="shared" si="65"/>
        <v>0.5</v>
      </c>
      <c r="AF206" s="176">
        <f t="shared" si="66"/>
        <v>0.86918836917290765</v>
      </c>
      <c r="AG206" s="814">
        <f t="shared" si="74"/>
        <v>1</v>
      </c>
      <c r="AH206" s="175">
        <f t="shared" si="67"/>
        <v>7</v>
      </c>
      <c r="AI206" s="224">
        <f t="shared" si="68"/>
        <v>1.8691883691729076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10">
        <f>'2024'!Wh/'2024'!Env_an*'2025'!Env_an</f>
        <v>49.851441745182747</v>
      </c>
      <c r="C207" s="843"/>
      <c r="D207" s="392">
        <f t="shared" ref="D207:D270" si="77">Wh/(1-Ppv)</f>
        <v>52.705783859732392</v>
      </c>
      <c r="E207" s="384">
        <f t="shared" si="75"/>
        <v>55.040987925214374</v>
      </c>
      <c r="F207" s="384">
        <f t="shared" ref="F207:F270" si="78">Wh_sa/(1-Pvg*MEDIAN((-Sdif+Wh/Env_an)/Csdif,0,1))</f>
        <v>55.045319647831505</v>
      </c>
      <c r="G207" s="110">
        <f t="shared" si="76"/>
        <v>0.95156165132182968</v>
      </c>
      <c r="H207" s="413" t="b">
        <f>Wh_hp&gt;='2024'!Maxi_hp</f>
        <v>0</v>
      </c>
      <c r="I207" s="389">
        <f>IF(H207,Wh_hp,'2024'!Maxi_hp)</f>
        <v>59.300969895752004</v>
      </c>
      <c r="J207" s="85">
        <f>IF(H207,An,'2024'!An_max)</f>
        <v>2019</v>
      </c>
      <c r="K207" s="196">
        <f t="shared" ref="K207:K270" si="79">t</f>
        <v>45850</v>
      </c>
      <c r="L207" s="147">
        <f>IF(t&lt;Tvie,1-EXP((T0-t)*PertePVj)+'2024'!Pspv,1-EXP((T0-t)*PertePVj)+Pspv)</f>
        <v>5.4156145787452738E-2</v>
      </c>
      <c r="M207" s="847"/>
      <c r="N207" s="847"/>
      <c r="O207" s="48">
        <f>IF(t&lt;Tnet,'2024'!Resal+('2024'!Salim-'2024'!Resal)*(1-EXP(('2024'!Tnet-t)/('2024'!Tau_j))),Resal+(Salim-Resal)*(1-EXP((Tnet-t)/(Tau_j))))*Salcycl</f>
        <v>4.2426637920360076E-2</v>
      </c>
      <c r="P207" s="168">
        <f>(INDEX(Models!$BJ207:$BT207,,T207)*(1-R207)+INDEX(Models!$BJ207:$BT207,,T207+1)*R207-ERP_i)*Q207*Ramure*Pc/MaxiM</f>
        <v>8.4543272597829855E-5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0.75628082547655107</v>
      </c>
      <c r="S207" s="814">
        <f t="shared" ref="S207:S270" si="82">INDEX(Echel_vg,T207)</f>
        <v>-1</v>
      </c>
      <c r="T207" s="175">
        <f t="shared" ref="T207:T270" si="83">MIN(MATCH(Hp_vg,Echel_vg),10)</f>
        <v>5</v>
      </c>
      <c r="U207" s="250">
        <f t="shared" ref="U207:U270" si="84">IF(OR(t&lt;Ttai,Notai),Hdd+PousH*Croivg,Hdtf+PousH*(Croivg-Croi_tai))</f>
        <v>-0.24371917452344896</v>
      </c>
      <c r="V207" s="382">
        <f t="shared" ref="V207:V270" si="85">MaxiM*(1-Ppv)*(1-Pvg)*(1-Psa)</f>
        <v>52.388775909415727</v>
      </c>
      <c r="W207" s="401">
        <f t="shared" ref="W207:W270" si="86">Wh*(A207&gt;Tmaj)</f>
        <v>49.851441745182747</v>
      </c>
      <c r="X207" s="157">
        <f t="shared" ref="X207:X270" si="87">t</f>
        <v>45850</v>
      </c>
      <c r="Y207" s="384">
        <f t="shared" ref="Y207:Y270" si="88">Wh_pvt_s*(1-Ppv)</f>
        <v>47.504933137571115</v>
      </c>
      <c r="Z207" s="384">
        <f t="shared" ref="Z207:Z270" si="89">Wh_sa_s*(1-Psa_s)</f>
        <v>50.224921297523117</v>
      </c>
      <c r="AA207" s="385">
        <f t="shared" ref="AA207:AA270" si="90">Wh_hp*(1-Pvg_s*MEDIAN((-Sdif+Wh/Env_an)/Csdif,0,1))</f>
        <v>54.992487200512898</v>
      </c>
      <c r="AB207" s="196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8.6694858619620882E-2</v>
      </c>
      <c r="AD207" s="230">
        <f>(INDEX(Models!$BJ207:$BT207,,AH207)*(1-AF207)+INDEX(Models!$BJ207:$BT207,,AH207+1)*AF207-ERP_i)*AE207*Ramure*Pc/MaxiM</f>
        <v>1.0311435866176618E-3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0.87127336530093857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1.8712733653009386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10">
        <f>'2024'!Wh/'2024'!Env_an*'2025'!Env_an</f>
        <v>49.856108306258093</v>
      </c>
      <c r="C208" s="843"/>
      <c r="D208" s="392">
        <f t="shared" si="77"/>
        <v>52.711870674412118</v>
      </c>
      <c r="E208" s="384">
        <f t="shared" si="75"/>
        <v>55.051374626603483</v>
      </c>
      <c r="F208" s="384">
        <f t="shared" si="78"/>
        <v>55.055686034454325</v>
      </c>
      <c r="G208" s="110">
        <f t="shared" si="76"/>
        <v>0.95299445956758388</v>
      </c>
      <c r="H208" s="413" t="b">
        <f>Wh_hp&gt;='2024'!Maxi_hp</f>
        <v>1</v>
      </c>
      <c r="I208" s="389">
        <f>IF(H208,Wh_hp,'2024'!Maxi_hp)</f>
        <v>55.055686034454325</v>
      </c>
      <c r="J208" s="85">
        <f>IF(H208,An,'2024'!An_max)</f>
        <v>2025</v>
      </c>
      <c r="K208" s="196">
        <f t="shared" si="79"/>
        <v>45851</v>
      </c>
      <c r="L208" s="147">
        <f>IF(t&lt;Tvie,1-EXP((T0-t)*PertePVj)+'2024'!Pspv,1-EXP((T0-t)*PertePVj)+Pspv)</f>
        <v>5.4176835912224532E-2</v>
      </c>
      <c r="M208" s="847"/>
      <c r="N208" s="847"/>
      <c r="O208" s="48">
        <f>IF(t&lt;Tnet,'2024'!Resal+('2024'!Salim-'2024'!Resal)*(1-EXP(('2024'!Tnet-t)/('2024'!Tau_j))),Resal+(Salim-Resal)*(1-EXP((Tnet-t)/(Tau_j))))*Salcycl</f>
        <v>4.249673996443324E-2</v>
      </c>
      <c r="P208" s="168">
        <f>(INDEX(Models!$BJ208:$BT208,,T208)*(1-R208)+INDEX(Models!$BJ208:$BT208,,T208+1)*R208-ERP_i)*Q208*Ramure*Pc/MaxiM</f>
        <v>8.3946365983624075E-5</v>
      </c>
      <c r="Q208" s="304">
        <f t="shared" si="80"/>
        <v>0.5</v>
      </c>
      <c r="R208" s="176">
        <f t="shared" si="81"/>
        <v>0.75831699100695826</v>
      </c>
      <c r="S208" s="814">
        <f t="shared" si="82"/>
        <v>-1</v>
      </c>
      <c r="T208" s="175">
        <f t="shared" si="83"/>
        <v>5</v>
      </c>
      <c r="U208" s="250">
        <f t="shared" si="84"/>
        <v>-0.24168300899304168</v>
      </c>
      <c r="V208" s="382">
        <f t="shared" si="85"/>
        <v>52.314918280797627</v>
      </c>
      <c r="W208" s="401">
        <f t="shared" si="86"/>
        <v>49.856108306258093</v>
      </c>
      <c r="X208" s="157">
        <f t="shared" si="87"/>
        <v>45851</v>
      </c>
      <c r="Y208" s="384">
        <f t="shared" si="88"/>
        <v>47.5119035620692</v>
      </c>
      <c r="Z208" s="384">
        <f t="shared" si="89"/>
        <v>50.233389671623584</v>
      </c>
      <c r="AA208" s="385">
        <f t="shared" si="90"/>
        <v>55.003441728824974</v>
      </c>
      <c r="AB208" s="196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8.6722792379401392E-2</v>
      </c>
      <c r="AD208" s="230">
        <f>(INDEX(Models!$BJ208:$BT208,,AH208)*(1-AF208)+INDEX(Models!$BJ208:$BT208,,AH208+1)*AF208-ERP_i)*AE208*Ramure*Pc/MaxiM</f>
        <v>1.0172360752348452E-3</v>
      </c>
      <c r="AE208" s="304">
        <f t="shared" si="92"/>
        <v>0.5</v>
      </c>
      <c r="AF208" s="176">
        <f t="shared" si="93"/>
        <v>0.87330953083134588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1.8733095308313459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10">
        <f>'2024'!Wh/'2024'!Env_an*'2025'!Env_an</f>
        <v>49.274377064212544</v>
      </c>
      <c r="C209" s="843"/>
      <c r="D209" s="392">
        <f t="shared" si="77"/>
        <v>52.097957445743489</v>
      </c>
      <c r="E209" s="384">
        <f t="shared" si="75"/>
        <v>54.414171133576573</v>
      </c>
      <c r="F209" s="384">
        <f t="shared" si="78"/>
        <v>54.418333797005666</v>
      </c>
      <c r="G209" s="110">
        <f t="shared" si="76"/>
        <v>0.94321274546905409</v>
      </c>
      <c r="H209" s="413" t="b">
        <f>Wh_hp&gt;='2024'!Maxi_hp</f>
        <v>0</v>
      </c>
      <c r="I209" s="389">
        <f>IF(H209,Wh_hp,'2024'!Maxi_hp)</f>
        <v>58.425013192463943</v>
      </c>
      <c r="J209" s="85">
        <f>IF(H209,An,'2024'!An_max)</f>
        <v>2019</v>
      </c>
      <c r="K209" s="196">
        <f t="shared" si="79"/>
        <v>45852</v>
      </c>
      <c r="L209" s="147">
        <f>IF(t&lt;Tvie,1-EXP((T0-t)*PertePVj)+'2024'!Pspv,1-EXP((T0-t)*PertePVj)+Pspv)</f>
        <v>5.4197525583829488E-2</v>
      </c>
      <c r="M209" s="847"/>
      <c r="N209" s="847"/>
      <c r="O209" s="48">
        <f>IF(t&lt;Tnet,'2024'!Resal+('2024'!Salim-'2024'!Resal)*(1-EXP(('2024'!Tnet-t)/('2024'!Tau_j))),Resal+(Salim-Resal)*(1-EXP((Tnet-t)/(Tau_j))))*Salcycl</f>
        <v>4.2566369009778955E-2</v>
      </c>
      <c r="P209" s="168">
        <f>(INDEX(Models!$BJ209:$BT209,,T209)*(1-R209)+INDEX(Models!$BJ209:$BT209,,T209+1)*R209-ERP_i)*Q209*Ramure*Pc/MaxiM</f>
        <v>8.3246341271306091E-5</v>
      </c>
      <c r="Q209" s="304">
        <f t="shared" si="80"/>
        <v>0.5</v>
      </c>
      <c r="R209" s="176">
        <f t="shared" si="81"/>
        <v>0.7603043624858381</v>
      </c>
      <c r="S209" s="814">
        <f t="shared" si="82"/>
        <v>-1</v>
      </c>
      <c r="T209" s="175">
        <f t="shared" si="83"/>
        <v>5</v>
      </c>
      <c r="U209" s="250">
        <f t="shared" si="84"/>
        <v>-0.23969563751416195</v>
      </c>
      <c r="V209" s="382">
        <f t="shared" si="85"/>
        <v>52.240647241720289</v>
      </c>
      <c r="W209" s="401">
        <f t="shared" si="86"/>
        <v>49.274377064212544</v>
      </c>
      <c r="X209" s="157">
        <f t="shared" si="87"/>
        <v>45852</v>
      </c>
      <c r="Y209" s="384">
        <f t="shared" si="88"/>
        <v>46.960764542811262</v>
      </c>
      <c r="Z209" s="384">
        <f t="shared" si="89"/>
        <v>49.651767481153428</v>
      </c>
      <c r="AA209" s="385">
        <f t="shared" si="90"/>
        <v>54.368201341329694</v>
      </c>
      <c r="AB209" s="196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8.6749860098662465E-2</v>
      </c>
      <c r="AD209" s="230">
        <f>(INDEX(Models!$BJ209:$BT209,,AH209)*(1-AF209)+INDEX(Models!$BJ209:$BT209,,AH209+1)*AF209-ERP_i)*AE209*Ramure*Pc/MaxiM</f>
        <v>1.0025656854233053E-3</v>
      </c>
      <c r="AE209" s="304">
        <f t="shared" si="92"/>
        <v>0.5</v>
      </c>
      <c r="AF209" s="176">
        <f t="shared" si="93"/>
        <v>0.8752969023102255</v>
      </c>
      <c r="AG209" s="814">
        <f t="shared" si="99"/>
        <v>1</v>
      </c>
      <c r="AH209" s="175">
        <f t="shared" si="94"/>
        <v>7</v>
      </c>
      <c r="AI209" s="224">
        <f t="shared" si="95"/>
        <v>1.8752969023102255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10">
        <f>'2024'!Wh/'2024'!Env_an*'2025'!Env_an</f>
        <v>47.749503893929344</v>
      </c>
      <c r="C210" s="843"/>
      <c r="D210" s="392">
        <f t="shared" si="77"/>
        <v>50.486808523117169</v>
      </c>
      <c r="E210" s="384">
        <f t="shared" si="75"/>
        <v>52.735202624426414</v>
      </c>
      <c r="F210" s="384">
        <f t="shared" si="78"/>
        <v>52.739024722939099</v>
      </c>
      <c r="G210" s="110">
        <f t="shared" si="76"/>
        <v>0.91532919496024567</v>
      </c>
      <c r="H210" s="413" t="b">
        <f>Wh_hp&gt;='2024'!Maxi_hp</f>
        <v>0</v>
      </c>
      <c r="I210" s="389">
        <f>IF(H210,Wh_hp,'2024'!Maxi_hp)</f>
        <v>59.682824722317406</v>
      </c>
      <c r="J210" s="85">
        <f>IF(H210,An,'2024'!An_max)</f>
        <v>2019</v>
      </c>
      <c r="K210" s="196">
        <f t="shared" si="79"/>
        <v>45853</v>
      </c>
      <c r="L210" s="147">
        <f>IF(t&lt;Tvie,1-EXP((T0-t)*PertePVj)+'2024'!Pspv,1-EXP((T0-t)*PertePVj)+Pspv)</f>
        <v>5.4218214802277599E-2</v>
      </c>
      <c r="M210" s="847"/>
      <c r="N210" s="847"/>
      <c r="O210" s="48">
        <f>IF(t&lt;Tnet,'2024'!Resal+('2024'!Salim-'2024'!Resal)*(1-EXP(('2024'!Tnet-t)/('2024'!Tau_j))),Resal+(Salim-Resal)*(1-EXP((Tnet-t)/(Tau_j))))*Salcycl</f>
        <v>4.2635544938018591E-2</v>
      </c>
      <c r="P210" s="168">
        <f>(INDEX(Models!$BJ210:$BT210,,T210)*(1-R210)+INDEX(Models!$BJ210:$BT210,,T210+1)*R210-ERP_i)*Q210*Ramure*Pc/MaxiM</f>
        <v>8.244301369603573E-5</v>
      </c>
      <c r="Q210" s="304">
        <f t="shared" si="80"/>
        <v>0.5</v>
      </c>
      <c r="R210" s="176">
        <f t="shared" si="81"/>
        <v>0.76224305512892943</v>
      </c>
      <c r="S210" s="814">
        <f t="shared" si="82"/>
        <v>-1</v>
      </c>
      <c r="T210" s="175">
        <f t="shared" si="83"/>
        <v>5</v>
      </c>
      <c r="U210" s="250">
        <f t="shared" si="84"/>
        <v>-0.23775694487107052</v>
      </c>
      <c r="V210" s="382">
        <f t="shared" si="85"/>
        <v>52.165961719202059</v>
      </c>
      <c r="W210" s="401">
        <f t="shared" si="86"/>
        <v>47.749503893929344</v>
      </c>
      <c r="X210" s="157">
        <f t="shared" si="87"/>
        <v>45853</v>
      </c>
      <c r="Y210" s="384">
        <f t="shared" si="88"/>
        <v>45.511723787629904</v>
      </c>
      <c r="Z210" s="384">
        <f t="shared" si="89"/>
        <v>48.120744657939632</v>
      </c>
      <c r="AA210" s="385">
        <f t="shared" si="90"/>
        <v>52.693260599811332</v>
      </c>
      <c r="AB210" s="196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8.677610551752557E-2</v>
      </c>
      <c r="AD210" s="230">
        <f>(INDEX(Models!$BJ210:$BT210,,AH210)*(1-AF210)+INDEX(Models!$BJ210:$BT210,,AH210+1)*AF210-ERP_i)*AE210*Ramure*Pc/MaxiM</f>
        <v>9.8713631197315153E-4</v>
      </c>
      <c r="AE210" s="304">
        <f t="shared" si="92"/>
        <v>0.5</v>
      </c>
      <c r="AF210" s="176">
        <f t="shared" si="93"/>
        <v>0.87723559495331704</v>
      </c>
      <c r="AG210" s="814">
        <f t="shared" si="99"/>
        <v>1</v>
      </c>
      <c r="AH210" s="175">
        <f t="shared" si="94"/>
        <v>7</v>
      </c>
      <c r="AI210" s="224">
        <f t="shared" si="95"/>
        <v>1.877235594953317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10">
        <f>'2024'!Wh/'2024'!Env_an*'2025'!Env_an</f>
        <v>49.22495863369376</v>
      </c>
      <c r="C211" s="843"/>
      <c r="D211" s="392">
        <f t="shared" si="77"/>
        <v>52.047984231302216</v>
      </c>
      <c r="E211" s="384">
        <f t="shared" si="75"/>
        <v>54.369808152604108</v>
      </c>
      <c r="F211" s="384">
        <f t="shared" si="78"/>
        <v>54.373893146268301</v>
      </c>
      <c r="G211" s="110">
        <f t="shared" si="76"/>
        <v>0.94497657642316324</v>
      </c>
      <c r="H211" s="413" t="b">
        <f>Wh_hp&gt;='2024'!Maxi_hp</f>
        <v>0</v>
      </c>
      <c r="I211" s="389">
        <f>IF(H211,Wh_hp,'2024'!Maxi_hp)</f>
        <v>58.694583788185525</v>
      </c>
      <c r="J211" s="85">
        <f>IF(H211,An,'2024'!An_max)</f>
        <v>2019</v>
      </c>
      <c r="K211" s="196">
        <f t="shared" si="79"/>
        <v>45854</v>
      </c>
      <c r="L211" s="147">
        <f>IF(t&lt;Tvie,1-EXP((T0-t)*PertePVj)+'2024'!Pspv,1-EXP((T0-t)*PertePVj)+Pspv)</f>
        <v>5.4238903567578635E-2</v>
      </c>
      <c r="M211" s="847"/>
      <c r="N211" s="847"/>
      <c r="O211" s="48">
        <f>IF(t&lt;Tnet,'2024'!Resal+('2024'!Salim-'2024'!Resal)*(1-EXP(('2024'!Tnet-t)/('2024'!Tau_j))),Resal+(Salim-Resal)*(1-EXP((Tnet-t)/(Tau_j))))*Salcycl</f>
        <v>4.2704287548432016E-2</v>
      </c>
      <c r="P211" s="168">
        <f>(INDEX(Models!$BJ211:$BT211,,T211)*(1-R211)+INDEX(Models!$BJ211:$BT211,,T211+1)*R211-ERP_i)*Q211*Ramure*Pc/MaxiM</f>
        <v>8.1536295739789157E-5</v>
      </c>
      <c r="Q211" s="304">
        <f t="shared" si="80"/>
        <v>0.5</v>
      </c>
      <c r="R211" s="176">
        <f t="shared" si="81"/>
        <v>0.76413325874573435</v>
      </c>
      <c r="S211" s="814">
        <f t="shared" si="82"/>
        <v>-1</v>
      </c>
      <c r="T211" s="175">
        <f t="shared" si="83"/>
        <v>5</v>
      </c>
      <c r="U211" s="250">
        <f t="shared" si="84"/>
        <v>-0.23586674125426568</v>
      </c>
      <c r="V211" s="382">
        <f t="shared" si="85"/>
        <v>52.090860644202209</v>
      </c>
      <c r="W211" s="401">
        <f t="shared" si="86"/>
        <v>49.22495863369376</v>
      </c>
      <c r="X211" s="157">
        <f t="shared" si="87"/>
        <v>45854</v>
      </c>
      <c r="Y211" s="384">
        <f t="shared" si="88"/>
        <v>46.918953794281578</v>
      </c>
      <c r="Z211" s="384">
        <f t="shared" si="89"/>
        <v>49.609731222047721</v>
      </c>
      <c r="AA211" s="385">
        <f t="shared" si="90"/>
        <v>54.325248159905563</v>
      </c>
      <c r="AB211" s="196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8.6801571968484856E-2</v>
      </c>
      <c r="AD211" s="230">
        <f>(INDEX(Models!$BJ211:$BT211,,AH211)*(1-AF211)+INDEX(Models!$BJ211:$BT211,,AH211+1)*AF211-ERP_i)*AE211*Ramure*Pc/MaxiM</f>
        <v>9.7095181054947634E-4</v>
      </c>
      <c r="AE211" s="304">
        <f t="shared" si="92"/>
        <v>0.5</v>
      </c>
      <c r="AF211" s="176">
        <f t="shared" si="93"/>
        <v>0.87912579857012174</v>
      </c>
      <c r="AG211" s="814">
        <f t="shared" si="99"/>
        <v>1</v>
      </c>
      <c r="AH211" s="175">
        <f t="shared" si="94"/>
        <v>7</v>
      </c>
      <c r="AI211" s="224">
        <f t="shared" si="95"/>
        <v>1.8791257985701217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10">
        <f>'2024'!Wh/'2024'!Env_an*'2025'!Env_an</f>
        <v>48.898221201893257</v>
      </c>
      <c r="C212" s="843"/>
      <c r="D212" s="392">
        <f t="shared" si="77"/>
        <v>51.703639584442413</v>
      </c>
      <c r="E212" s="384">
        <f t="shared" si="75"/>
        <v>54.013957887884082</v>
      </c>
      <c r="F212" s="384">
        <f t="shared" si="78"/>
        <v>54.01793514929664</v>
      </c>
      <c r="G212" s="110">
        <f t="shared" si="76"/>
        <v>0.94006654793852673</v>
      </c>
      <c r="H212" s="413" t="b">
        <f>Wh_hp&gt;='2024'!Maxi_hp</f>
        <v>0</v>
      </c>
      <c r="I212" s="389">
        <f>IF(H212,Wh_hp,'2024'!Maxi_hp)</f>
        <v>57.888056189789317</v>
      </c>
      <c r="J212" s="85">
        <f>IF(H212,An,'2024'!An_max)</f>
        <v>2021</v>
      </c>
      <c r="K212" s="196">
        <f t="shared" si="79"/>
        <v>45855</v>
      </c>
      <c r="L212" s="147">
        <f>IF(t&lt;Tvie,1-EXP((T0-t)*PertePVj)+'2024'!Pspv,1-EXP((T0-t)*PertePVj)+Pspv)</f>
        <v>5.4259591879742698E-2</v>
      </c>
      <c r="M212" s="847"/>
      <c r="N212" s="847"/>
      <c r="O212" s="48">
        <f>IF(t&lt;Tnet,'2024'!Resal+('2024'!Salim-'2024'!Resal)*(1-EXP(('2024'!Tnet-t)/('2024'!Tau_j))),Resal+(Salim-Resal)*(1-EXP((Tnet-t)/(Tau_j))))*Salcycl</f>
        <v>4.2772616445496583E-2</v>
      </c>
      <c r="P212" s="168">
        <f>(INDEX(Models!$BJ212:$BT212,,T212)*(1-R212)+INDEX(Models!$BJ212:$BT212,,T212+1)*R212-ERP_i)*Q212*Ramure*Pc/MaxiM</f>
        <v>8.052202166184529E-5</v>
      </c>
      <c r="Q212" s="304">
        <f t="shared" si="80"/>
        <v>0.5</v>
      </c>
      <c r="R212" s="176">
        <f t="shared" si="81"/>
        <v>0.76597523358568009</v>
      </c>
      <c r="S212" s="814">
        <f t="shared" si="82"/>
        <v>-1</v>
      </c>
      <c r="T212" s="175">
        <f t="shared" si="83"/>
        <v>5</v>
      </c>
      <c r="U212" s="250">
        <f t="shared" si="84"/>
        <v>-0.23402476641431988</v>
      </c>
      <c r="V212" s="382">
        <f t="shared" si="85"/>
        <v>52.015343174428139</v>
      </c>
      <c r="W212" s="401">
        <f t="shared" si="86"/>
        <v>48.898221201893257</v>
      </c>
      <c r="X212" s="157">
        <f t="shared" si="87"/>
        <v>45855</v>
      </c>
      <c r="Y212" s="384">
        <f t="shared" si="88"/>
        <v>46.610560659519074</v>
      </c>
      <c r="Z212" s="384">
        <f t="shared" si="89"/>
        <v>49.284729994948279</v>
      </c>
      <c r="AA212" s="385">
        <f t="shared" si="90"/>
        <v>53.970816407739683</v>
      </c>
      <c r="AB212" s="196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8.6826302151682772E-2</v>
      </c>
      <c r="AD212" s="230">
        <f>(INDEX(Models!$BJ212:$BT212,,AH212)*(1-AF212)+INDEX(Models!$BJ212:$BT212,,AH212+1)*AF212-ERP_i)*AE212*Ramure*Pc/MaxiM</f>
        <v>9.5394693352281786E-4</v>
      </c>
      <c r="AE212" s="304">
        <f t="shared" si="92"/>
        <v>0.5</v>
      </c>
      <c r="AF212" s="176">
        <f t="shared" si="93"/>
        <v>0.8809677734100676</v>
      </c>
      <c r="AG212" s="814">
        <f t="shared" si="99"/>
        <v>1</v>
      </c>
      <c r="AH212" s="175">
        <f t="shared" si="94"/>
        <v>7</v>
      </c>
      <c r="AI212" s="224">
        <f t="shared" si="95"/>
        <v>1.8809677734100676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10">
        <f>'2024'!Wh/'2024'!Env_an*'2025'!Env_an</f>
        <v>49.633845438626665</v>
      </c>
      <c r="C213" s="843"/>
      <c r="D213" s="392">
        <f t="shared" si="77"/>
        <v>52.48261654617621</v>
      </c>
      <c r="E213" s="384">
        <f t="shared" si="75"/>
        <v>54.831633953207813</v>
      </c>
      <c r="F213" s="384">
        <f t="shared" si="78"/>
        <v>54.835713530083801</v>
      </c>
      <c r="G213" s="110">
        <f t="shared" si="76"/>
        <v>0.95560574739830051</v>
      </c>
      <c r="H213" s="413" t="b">
        <f>Wh_hp&gt;='2024'!Maxi_hp</f>
        <v>1</v>
      </c>
      <c r="I213" s="389">
        <f>IF(H213,Wh_hp,'2024'!Maxi_hp)</f>
        <v>54.835713530083801</v>
      </c>
      <c r="J213" s="85">
        <f>IF(H213,An,'2024'!An_max)</f>
        <v>2025</v>
      </c>
      <c r="K213" s="196">
        <f t="shared" si="79"/>
        <v>45856</v>
      </c>
      <c r="L213" s="147">
        <f>IF(t&lt;Tvie,1-EXP((T0-t)*PertePVj)+'2024'!Pspv,1-EXP((T0-t)*PertePVj)+Pspv)</f>
        <v>5.4280279738779559E-2</v>
      </c>
      <c r="M213" s="847"/>
      <c r="N213" s="847"/>
      <c r="O213" s="48">
        <f>IF(t&lt;Tnet,'2024'!Resal+('2024'!Salim-'2024'!Resal)*(1-EXP(('2024'!Tnet-t)/('2024'!Tau_j))),Resal+(Salim-Resal)*(1-EXP((Tnet-t)/(Tau_j))))*Salcycl</f>
        <v>4.2840550931533501E-2</v>
      </c>
      <c r="P213" s="168">
        <f>(INDEX(Models!$BJ213:$BT213,,T213)*(1-R213)+INDEX(Models!$BJ213:$BT213,,T213+1)*R213-ERP_i)*Q213*Ramure*Pc/MaxiM</f>
        <v>7.9433504130596531E-5</v>
      </c>
      <c r="Q213" s="304">
        <f t="shared" si="80"/>
        <v>0.5</v>
      </c>
      <c r="R213" s="176">
        <f t="shared" si="81"/>
        <v>0.76776930613545435</v>
      </c>
      <c r="S213" s="814">
        <f t="shared" si="82"/>
        <v>-1</v>
      </c>
      <c r="T213" s="175">
        <f t="shared" si="83"/>
        <v>5</v>
      </c>
      <c r="U213" s="250">
        <f t="shared" si="84"/>
        <v>-0.23223069386454562</v>
      </c>
      <c r="V213" s="382">
        <f t="shared" si="85"/>
        <v>51.939406540586191</v>
      </c>
      <c r="W213" s="401">
        <f t="shared" si="86"/>
        <v>49.633845438626665</v>
      </c>
      <c r="X213" s="157">
        <f t="shared" si="87"/>
        <v>45856</v>
      </c>
      <c r="Y213" s="384">
        <f t="shared" si="88"/>
        <v>47.313691050464726</v>
      </c>
      <c r="Z213" s="384">
        <f t="shared" si="89"/>
        <v>50.029295188426495</v>
      </c>
      <c r="AA213" s="385">
        <f t="shared" si="90"/>
        <v>54.78761835665987</v>
      </c>
      <c r="AB213" s="196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8.6850337922290174E-2</v>
      </c>
      <c r="AD213" s="230">
        <f>(INDEX(Models!$BJ213:$BT213,,AH213)*(1-AF213)+INDEX(Models!$BJ213:$BT213,,AH213+1)*AF213-ERP_i)*AE213*Ramure*Pc/MaxiM</f>
        <v>9.3646186184613578E-4</v>
      </c>
      <c r="AE213" s="304">
        <f t="shared" si="92"/>
        <v>0.5</v>
      </c>
      <c r="AF213" s="176">
        <f t="shared" si="93"/>
        <v>0.88276184595984186</v>
      </c>
      <c r="AG213" s="814">
        <f t="shared" si="99"/>
        <v>1</v>
      </c>
      <c r="AH213" s="175">
        <f t="shared" si="94"/>
        <v>7</v>
      </c>
      <c r="AI213" s="224">
        <f t="shared" si="95"/>
        <v>1.8827618459598419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10">
        <f>'2024'!Wh/'2024'!Env_an*'2025'!Env_an</f>
        <v>39.231427502419997</v>
      </c>
      <c r="C214" s="843"/>
      <c r="D214" s="392">
        <f t="shared" si="77"/>
        <v>41.484051626837932</v>
      </c>
      <c r="E214" s="384">
        <f t="shared" si="75"/>
        <v>43.3438544994113</v>
      </c>
      <c r="F214" s="384">
        <f t="shared" si="78"/>
        <v>43.346066792151319</v>
      </c>
      <c r="G214" s="110">
        <f t="shared" si="76"/>
        <v>0.75642213991551432</v>
      </c>
      <c r="H214" s="413" t="b">
        <f>Wh_hp&gt;='2024'!Maxi_hp</f>
        <v>0</v>
      </c>
      <c r="I214" s="389">
        <f>IF(H214,Wh_hp,'2024'!Maxi_hp)</f>
        <v>57.925852793246442</v>
      </c>
      <c r="J214" s="85">
        <f>IF(H214,An,'2024'!An_max)</f>
        <v>2020</v>
      </c>
      <c r="K214" s="196">
        <f t="shared" si="79"/>
        <v>45857</v>
      </c>
      <c r="L214" s="147">
        <f>IF(t&lt;Tvie,1-EXP((T0-t)*PertePVj)+'2024'!Pspv,1-EXP((T0-t)*PertePVj)+Pspv)</f>
        <v>5.430096714469921E-2</v>
      </c>
      <c r="M214" s="847"/>
      <c r="N214" s="847"/>
      <c r="O214" s="48">
        <f>IF(t&lt;Tnet,'2024'!Resal+('2024'!Salim-'2024'!Resal)*(1-EXP(('2024'!Tnet-t)/('2024'!Tau_j))),Resal+(Salim-Resal)*(1-EXP((Tnet-t)/(Tau_j))))*Salcycl</f>
        <v>4.2908109905145306E-2</v>
      </c>
      <c r="P214" s="168">
        <f>(INDEX(Models!$BJ214:$BT214,,T214)*(1-R214)+INDEX(Models!$BJ214:$BT214,,T214+1)*R214-ERP_i)*Q214*Ramure*Pc/MaxiM</f>
        <v>7.827167592423421E-5</v>
      </c>
      <c r="Q214" s="304">
        <f t="shared" si="80"/>
        <v>0.5</v>
      </c>
      <c r="R214" s="176">
        <f t="shared" si="81"/>
        <v>0.76951586489479262</v>
      </c>
      <c r="S214" s="814">
        <f t="shared" si="82"/>
        <v>-1</v>
      </c>
      <c r="T214" s="175">
        <f t="shared" si="83"/>
        <v>5</v>
      </c>
      <c r="U214" s="250">
        <f t="shared" si="84"/>
        <v>-0.23048413510520738</v>
      </c>
      <c r="V214" s="382">
        <f t="shared" si="85"/>
        <v>51.863049689201013</v>
      </c>
      <c r="W214" s="401">
        <f t="shared" si="86"/>
        <v>39.231427502419997</v>
      </c>
      <c r="X214" s="157">
        <f t="shared" si="87"/>
        <v>45857</v>
      </c>
      <c r="Y214" s="384">
        <f t="shared" si="88"/>
        <v>37.408758690986133</v>
      </c>
      <c r="Z214" s="384">
        <f t="shared" si="89"/>
        <v>39.55672723703627</v>
      </c>
      <c r="AA214" s="385">
        <f t="shared" si="90"/>
        <v>43.320106000004138</v>
      </c>
      <c r="AB214" s="196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8.6873720091255227E-2</v>
      </c>
      <c r="AD214" s="230">
        <f>(INDEX(Models!$BJ214:$BT214,,AH214)*(1-AF214)+INDEX(Models!$BJ214:$BT214,,AH214+1)*AF214-ERP_i)*AE214*Ramure*Pc/MaxiM</f>
        <v>9.1850173031832627E-4</v>
      </c>
      <c r="AE214" s="304">
        <f t="shared" si="92"/>
        <v>0.5</v>
      </c>
      <c r="AF214" s="176">
        <f t="shared" si="93"/>
        <v>0.88450840471918002</v>
      </c>
      <c r="AG214" s="814">
        <f t="shared" si="99"/>
        <v>1</v>
      </c>
      <c r="AH214" s="175">
        <f t="shared" si="94"/>
        <v>7</v>
      </c>
      <c r="AI214" s="224">
        <f t="shared" si="95"/>
        <v>1.88450840471918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10">
        <f>'2024'!Wh/'2024'!Env_an*'2025'!Env_an</f>
        <v>38.242829689960288</v>
      </c>
      <c r="C215" s="843"/>
      <c r="D215" s="392">
        <f t="shared" si="77"/>
        <v>40.439574254461803</v>
      </c>
      <c r="E215" s="384">
        <f t="shared" si="75"/>
        <v>42.255518328464163</v>
      </c>
      <c r="F215" s="384">
        <f t="shared" si="78"/>
        <v>42.257557494584198</v>
      </c>
      <c r="G215" s="110">
        <f t="shared" si="76"/>
        <v>0.7384530254537448</v>
      </c>
      <c r="H215" s="413" t="b">
        <f>Wh_hp&gt;='2024'!Maxi_hp</f>
        <v>0</v>
      </c>
      <c r="I215" s="389">
        <f>IF(H215,Wh_hp,'2024'!Maxi_hp)</f>
        <v>57.010821173837634</v>
      </c>
      <c r="J215" s="85">
        <f>IF(H215,An,'2024'!An_max)</f>
        <v>2020</v>
      </c>
      <c r="K215" s="196">
        <f t="shared" si="79"/>
        <v>45858</v>
      </c>
      <c r="L215" s="147">
        <f>IF(t&lt;Tvie,1-EXP((T0-t)*PertePVj)+'2024'!Pspv,1-EXP((T0-t)*PertePVj)+Pspv)</f>
        <v>5.4321654097511642E-2</v>
      </c>
      <c r="M215" s="847"/>
      <c r="N215" s="847"/>
      <c r="O215" s="48">
        <f>IF(t&lt;Tnet,'2024'!Resal+('2024'!Salim-'2024'!Resal)*(1-EXP(('2024'!Tnet-t)/('2024'!Tau_j))),Resal+(Salim-Resal)*(1-EXP((Tnet-t)/(Tau_j))))*Salcycl</f>
        <v>4.2975311766063562E-2</v>
      </c>
      <c r="P215" s="168">
        <f>(INDEX(Models!$BJ215:$BT215,,T215)*(1-R215)+INDEX(Models!$BJ215:$BT215,,T215+1)*R215-ERP_i)*Q215*Ramure*Pc/MaxiM</f>
        <v>7.7037491199648069E-5</v>
      </c>
      <c r="Q215" s="304">
        <f t="shared" si="80"/>
        <v>0.5</v>
      </c>
      <c r="R215" s="176">
        <f t="shared" si="81"/>
        <v>0.77121535615605374</v>
      </c>
      <c r="S215" s="814">
        <f t="shared" si="82"/>
        <v>-1</v>
      </c>
      <c r="T215" s="175">
        <f t="shared" si="83"/>
        <v>5</v>
      </c>
      <c r="U215" s="250">
        <f t="shared" si="84"/>
        <v>-0.22878464384394631</v>
      </c>
      <c r="V215" s="382">
        <f t="shared" si="85"/>
        <v>51.786271597288248</v>
      </c>
      <c r="W215" s="401">
        <f t="shared" si="86"/>
        <v>38.242829689960288</v>
      </c>
      <c r="X215" s="157">
        <f t="shared" si="87"/>
        <v>45858</v>
      </c>
      <c r="Y215" s="384">
        <f t="shared" si="88"/>
        <v>36.468921970320807</v>
      </c>
      <c r="Z215" s="384">
        <f t="shared" si="89"/>
        <v>38.56376973030661</v>
      </c>
      <c r="AA215" s="385">
        <f t="shared" si="90"/>
        <v>42.233732795527374</v>
      </c>
      <c r="AB215" s="196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8.6896488240542524E-2</v>
      </c>
      <c r="AD215" s="230">
        <f>(INDEX(Models!$BJ215:$BT215,,AH215)*(1-AF215)+INDEX(Models!$BJ215:$BT215,,AH215+1)*AF215-ERP_i)*AE215*Ramure*Pc/MaxiM</f>
        <v>9.0007137029726974E-4</v>
      </c>
      <c r="AE215" s="304">
        <f t="shared" si="92"/>
        <v>0.5</v>
      </c>
      <c r="AF215" s="176">
        <f t="shared" si="93"/>
        <v>0.88620789598044114</v>
      </c>
      <c r="AG215" s="814">
        <f t="shared" si="99"/>
        <v>1</v>
      </c>
      <c r="AH215" s="175">
        <f t="shared" si="94"/>
        <v>7</v>
      </c>
      <c r="AI215" s="224">
        <f t="shared" si="95"/>
        <v>1.8862078959804411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10">
        <f>'2024'!Wh/'2024'!Env_an*'2025'!Env_an</f>
        <v>48.484409317138876</v>
      </c>
      <c r="C216" s="843"/>
      <c r="D216" s="392">
        <f t="shared" si="77"/>
        <v>51.270572215064625</v>
      </c>
      <c r="E216" s="384">
        <f t="shared" si="75"/>
        <v>53.576626722295899</v>
      </c>
      <c r="F216" s="384">
        <f t="shared" si="78"/>
        <v>53.580322966747843</v>
      </c>
      <c r="G216" s="110">
        <f t="shared" si="76"/>
        <v>0.93763204368528763</v>
      </c>
      <c r="H216" s="413" t="b">
        <f>Wh_hp&gt;='2024'!Maxi_hp</f>
        <v>1</v>
      </c>
      <c r="I216" s="389">
        <f>IF(H216,Wh_hp,'2024'!Maxi_hp)</f>
        <v>53.580322966747843</v>
      </c>
      <c r="J216" s="85">
        <f>IF(H216,An,'2024'!An_max)</f>
        <v>2025</v>
      </c>
      <c r="K216" s="196">
        <f t="shared" si="79"/>
        <v>45859</v>
      </c>
      <c r="L216" s="147">
        <f>IF(t&lt;Tvie,1-EXP((T0-t)*PertePVj)+'2024'!Pspv,1-EXP((T0-t)*PertePVj)+Pspv)</f>
        <v>5.4342340597226625E-2</v>
      </c>
      <c r="M216" s="847"/>
      <c r="N216" s="847"/>
      <c r="O216" s="48">
        <f>IF(t&lt;Tnet,'2024'!Resal+('2024'!Salim-'2024'!Resal)*(1-EXP(('2024'!Tnet-t)/('2024'!Tau_j))),Resal+(Salim-Resal)*(1-EXP((Tnet-t)/(Tau_j))))*Salcycl</f>
        <v>4.3042174326955333E-2</v>
      </c>
      <c r="P216" s="168">
        <f>(INDEX(Models!$BJ216:$BT216,,T216)*(1-R216)+INDEX(Models!$BJ216:$BT216,,T216+1)*R216-ERP_i)*Q216*Ramure*Pc/MaxiM</f>
        <v>7.5731917923237688E-5</v>
      </c>
      <c r="Q216" s="304">
        <f t="shared" si="80"/>
        <v>0.5</v>
      </c>
      <c r="R216" s="176">
        <f t="shared" si="81"/>
        <v>0.77286827981088968</v>
      </c>
      <c r="S216" s="814">
        <f t="shared" si="82"/>
        <v>-1</v>
      </c>
      <c r="T216" s="175">
        <f t="shared" si="83"/>
        <v>5</v>
      </c>
      <c r="U216" s="250">
        <f t="shared" si="84"/>
        <v>-0.22713172018911032</v>
      </c>
      <c r="V216" s="382">
        <f t="shared" si="85"/>
        <v>51.709071278101625</v>
      </c>
      <c r="W216" s="401">
        <f t="shared" si="86"/>
        <v>48.484409317138876</v>
      </c>
      <c r="X216" s="157">
        <f t="shared" si="87"/>
        <v>45859</v>
      </c>
      <c r="Y216" s="384">
        <f t="shared" si="88"/>
        <v>46.227455885572212</v>
      </c>
      <c r="Z216" s="384">
        <f t="shared" si="89"/>
        <v>48.8839226605186</v>
      </c>
      <c r="AA216" s="385">
        <f t="shared" si="90"/>
        <v>53.537315482666109</v>
      </c>
      <c r="AB216" s="196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8.6918680553830688E-2</v>
      </c>
      <c r="AD216" s="230">
        <f>(INDEX(Models!$BJ216:$BT216,,AH216)*(1-AF216)+INDEX(Models!$BJ216:$BT216,,AH216+1)*AF216-ERP_i)*AE216*Ramure*Pc/MaxiM</f>
        <v>8.8117528396993827E-4</v>
      </c>
      <c r="AE216" s="304">
        <f t="shared" si="92"/>
        <v>0.5</v>
      </c>
      <c r="AF216" s="176">
        <f t="shared" si="93"/>
        <v>0.88786081963527708</v>
      </c>
      <c r="AG216" s="814">
        <f t="shared" si="99"/>
        <v>1</v>
      </c>
      <c r="AH216" s="175">
        <f t="shared" si="94"/>
        <v>7</v>
      </c>
      <c r="AI216" s="224">
        <f t="shared" si="95"/>
        <v>1.8878608196352771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10">
        <f>'2024'!Wh/'2024'!Env_an*'2025'!Env_an</f>
        <v>37.862608402104058</v>
      </c>
      <c r="C217" s="843"/>
      <c r="D217" s="392">
        <f t="shared" si="77"/>
        <v>40.039263976456475</v>
      </c>
      <c r="E217" s="384">
        <f t="shared" si="75"/>
        <v>41.843064716876633</v>
      </c>
      <c r="F217" s="384">
        <f t="shared" si="78"/>
        <v>41.844990797001287</v>
      </c>
      <c r="G217" s="110">
        <f t="shared" si="76"/>
        <v>0.73330377982987993</v>
      </c>
      <c r="H217" s="413" t="b">
        <f>Wh_hp&gt;='2024'!Maxi_hp</f>
        <v>0</v>
      </c>
      <c r="I217" s="389">
        <f>IF(H217,Wh_hp,'2024'!Maxi_hp)</f>
        <v>54.375496718092663</v>
      </c>
      <c r="J217" s="85">
        <f>IF(H217,An,'2024'!An_max)</f>
        <v>2021</v>
      </c>
      <c r="K217" s="196">
        <f t="shared" si="79"/>
        <v>45860</v>
      </c>
      <c r="L217" s="147">
        <f>IF(t&lt;Tvie,1-EXP((T0-t)*PertePVj)+'2024'!Pspv,1-EXP((T0-t)*PertePVj)+Pspv)</f>
        <v>5.4363026643854263E-2</v>
      </c>
      <c r="M217" s="847"/>
      <c r="N217" s="847"/>
      <c r="O217" s="48">
        <f>IF(t&lt;Tnet,'2024'!Resal+('2024'!Salim-'2024'!Resal)*(1-EXP(('2024'!Tnet-t)/('2024'!Tau_j))),Resal+(Salim-Resal)*(1-EXP((Tnet-t)/(Tau_j))))*Salcycl</f>
        <v>4.3108714732662208E-2</v>
      </c>
      <c r="P217" s="168">
        <f>(INDEX(Models!$BJ217:$BT217,,T217)*(1-R217)+INDEX(Models!$BJ217:$BT217,,T217+1)*R217-ERP_i)*Q217*Ramure*Pc/MaxiM</f>
        <v>7.4355930826881071E-5</v>
      </c>
      <c r="Q217" s="304">
        <f t="shared" si="80"/>
        <v>0.5</v>
      </c>
      <c r="R217" s="176">
        <f t="shared" si="81"/>
        <v>0.77447518520525716</v>
      </c>
      <c r="S217" s="814">
        <f t="shared" si="82"/>
        <v>-1</v>
      </c>
      <c r="T217" s="175">
        <f t="shared" si="83"/>
        <v>5</v>
      </c>
      <c r="U217" s="250">
        <f t="shared" si="84"/>
        <v>-0.22552481479474284</v>
      </c>
      <c r="V217" s="382">
        <f t="shared" si="85"/>
        <v>51.631447784645609</v>
      </c>
      <c r="W217" s="401">
        <f t="shared" si="86"/>
        <v>37.862608402104058</v>
      </c>
      <c r="X217" s="157">
        <f t="shared" si="87"/>
        <v>45860</v>
      </c>
      <c r="Y217" s="384">
        <f t="shared" si="88"/>
        <v>36.110651478153876</v>
      </c>
      <c r="Z217" s="384">
        <f t="shared" si="89"/>
        <v>38.186590092807087</v>
      </c>
      <c r="AA217" s="385">
        <f t="shared" si="90"/>
        <v>41.822666689487477</v>
      </c>
      <c r="AB217" s="196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8.6940333663476241E-2</v>
      </c>
      <c r="AD217" s="230">
        <f>(INDEX(Models!$BJ217:$BT217,,AH217)*(1-AF217)+INDEX(Models!$BJ217:$BT217,,AH217+1)*AF217-ERP_i)*AE217*Ramure*Pc/MaxiM</f>
        <v>8.6181762265373583E-4</v>
      </c>
      <c r="AE217" s="304">
        <f t="shared" si="92"/>
        <v>0.5</v>
      </c>
      <c r="AF217" s="176">
        <f t="shared" si="93"/>
        <v>0.88946772502964455</v>
      </c>
      <c r="AG217" s="814">
        <f t="shared" si="99"/>
        <v>1</v>
      </c>
      <c r="AH217" s="175">
        <f t="shared" si="94"/>
        <v>7</v>
      </c>
      <c r="AI217" s="224">
        <f t="shared" si="95"/>
        <v>1.8894677250296446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10">
        <f>'2024'!Wh/'2024'!Env_an*'2025'!Env_an</f>
        <v>44.505581322322506</v>
      </c>
      <c r="C218" s="843"/>
      <c r="D218" s="392">
        <f t="shared" si="77"/>
        <v>47.06515940797329</v>
      </c>
      <c r="E218" s="384">
        <f t="shared" si="75"/>
        <v>49.188887119786031</v>
      </c>
      <c r="F218" s="384">
        <f t="shared" si="78"/>
        <v>49.191773259029311</v>
      </c>
      <c r="G218" s="110">
        <f t="shared" si="76"/>
        <v>0.86327860762679121</v>
      </c>
      <c r="H218" s="413" t="b">
        <f>Wh_hp&gt;='2024'!Maxi_hp</f>
        <v>0</v>
      </c>
      <c r="I218" s="389">
        <f>IF(H218,Wh_hp,'2024'!Maxi_hp)</f>
        <v>55.212338097424414</v>
      </c>
      <c r="J218" s="85">
        <f>IF(H218,An,'2024'!An_max)</f>
        <v>2019</v>
      </c>
      <c r="K218" s="196">
        <f t="shared" si="79"/>
        <v>45861</v>
      </c>
      <c r="L218" s="147">
        <f>IF(t&lt;Tvie,1-EXP((T0-t)*PertePVj)+'2024'!Pspv,1-EXP((T0-t)*PertePVj)+Pspv)</f>
        <v>5.4383712237404326E-2</v>
      </c>
      <c r="M218" s="847"/>
      <c r="N218" s="847"/>
      <c r="O218" s="48">
        <f>IF(t&lt;Tnet,'2024'!Resal+('2024'!Salim-'2024'!Resal)*(1-EXP(('2024'!Tnet-t)/('2024'!Tau_j))),Resal+(Salim-Resal)*(1-EXP((Tnet-t)/(Tau_j))))*Salcycl</f>
        <v>4.3174949387266806E-2</v>
      </c>
      <c r="P218" s="168">
        <f>(INDEX(Models!$BJ218:$BT218,,T218)*(1-R218)+INDEX(Models!$BJ218:$BT218,,T218+1)*R218-ERP_i)*Q218*Ramure*Pc/MaxiM</f>
        <v>7.2910504911379218E-5</v>
      </c>
      <c r="Q218" s="304">
        <f t="shared" si="80"/>
        <v>0.5</v>
      </c>
      <c r="R218" s="176">
        <f t="shared" si="81"/>
        <v>0.77603666706193641</v>
      </c>
      <c r="S218" s="814">
        <f t="shared" si="82"/>
        <v>-1</v>
      </c>
      <c r="T218" s="175">
        <f t="shared" si="83"/>
        <v>5</v>
      </c>
      <c r="U218" s="250">
        <f t="shared" si="84"/>
        <v>-0.22396333293806359</v>
      </c>
      <c r="V218" s="382">
        <f t="shared" si="85"/>
        <v>51.553400214475438</v>
      </c>
      <c r="W218" s="401">
        <f t="shared" si="86"/>
        <v>44.505581322322506</v>
      </c>
      <c r="X218" s="157">
        <f t="shared" si="87"/>
        <v>45861</v>
      </c>
      <c r="Y218" s="384">
        <f t="shared" si="88"/>
        <v>42.442617634527032</v>
      </c>
      <c r="Z218" s="384">
        <f t="shared" si="89"/>
        <v>44.883551799799989</v>
      </c>
      <c r="AA218" s="385">
        <f t="shared" si="90"/>
        <v>49.158442869861908</v>
      </c>
      <c r="AB218" s="196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8.696148251438561E-2</v>
      </c>
      <c r="AD218" s="230">
        <f>(INDEX(Models!$BJ218:$BT218,,AH218)*(1-AF218)+INDEX(Models!$BJ218:$BT218,,AH218+1)*AF218-ERP_i)*AE218*Ramure*Pc/MaxiM</f>
        <v>8.4200216907285631E-4</v>
      </c>
      <c r="AE218" s="304">
        <f t="shared" si="92"/>
        <v>0.5</v>
      </c>
      <c r="AF218" s="176">
        <f t="shared" si="93"/>
        <v>0.89102920688632392</v>
      </c>
      <c r="AG218" s="814">
        <f t="shared" si="99"/>
        <v>1</v>
      </c>
      <c r="AH218" s="175">
        <f t="shared" si="94"/>
        <v>7</v>
      </c>
      <c r="AI218" s="224">
        <f t="shared" si="95"/>
        <v>1.8910292068863239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10">
        <f>'2024'!Wh/'2024'!Env_an*'2025'!Env_an</f>
        <v>48.803861054119295</v>
      </c>
      <c r="C219" s="843"/>
      <c r="D219" s="392">
        <f t="shared" si="77"/>
        <v>51.611768200684736</v>
      </c>
      <c r="E219" s="384">
        <f t="shared" si="75"/>
        <v>53.944371024061176</v>
      </c>
      <c r="F219" s="384">
        <f t="shared" si="78"/>
        <v>53.947937084897227</v>
      </c>
      <c r="G219" s="110">
        <f t="shared" si="76"/>
        <v>0.94809261094340258</v>
      </c>
      <c r="H219" s="413" t="b">
        <f>Wh_hp&gt;='2024'!Maxi_hp</f>
        <v>0</v>
      </c>
      <c r="I219" s="389">
        <f>IF(H219,Wh_hp,'2024'!Maxi_hp)</f>
        <v>55.317819769739138</v>
      </c>
      <c r="J219" s="85">
        <f>IF(H219,An,'2024'!An_max)</f>
        <v>2019</v>
      </c>
      <c r="K219" s="196">
        <f t="shared" si="79"/>
        <v>45862</v>
      </c>
      <c r="L219" s="147">
        <f>IF(t&lt;Tvie,1-EXP((T0-t)*PertePVj)+'2024'!Pspv,1-EXP((T0-t)*PertePVj)+Pspv)</f>
        <v>5.4404397377886916E-2</v>
      </c>
      <c r="M219" s="847"/>
      <c r="N219" s="847"/>
      <c r="O219" s="48">
        <f>IF(t&lt;Tnet,'2024'!Resal+('2024'!Salim-'2024'!Resal)*(1-EXP(('2024'!Tnet-t)/('2024'!Tau_j))),Resal+(Salim-Resal)*(1-EXP((Tnet-t)/(Tau_j))))*Salcycl</f>
        <v>4.3240893889299657E-2</v>
      </c>
      <c r="P219" s="168">
        <f>(INDEX(Models!$BJ219:$BT219,,T219)*(1-R219)+INDEX(Models!$BJ219:$BT219,,T219+1)*R219-ERP_i)*Q219*Ramure*Pc/MaxiM</f>
        <v>7.1395610578451775E-5</v>
      </c>
      <c r="Q219" s="304">
        <f t="shared" si="80"/>
        <v>0.5</v>
      </c>
      <c r="R219" s="176">
        <f t="shared" si="81"/>
        <v>0.77755336148766274</v>
      </c>
      <c r="S219" s="814">
        <f t="shared" si="82"/>
        <v>-1</v>
      </c>
      <c r="T219" s="175">
        <f t="shared" si="83"/>
        <v>5</v>
      </c>
      <c r="U219" s="250">
        <f t="shared" si="84"/>
        <v>-0.22244663851233723</v>
      </c>
      <c r="V219" s="382">
        <f t="shared" si="85"/>
        <v>51.475564855089054</v>
      </c>
      <c r="W219" s="401">
        <f t="shared" si="86"/>
        <v>48.803861054119295</v>
      </c>
      <c r="X219" s="157">
        <f t="shared" si="87"/>
        <v>45862</v>
      </c>
      <c r="Y219" s="384">
        <f t="shared" si="88"/>
        <v>46.540282551266472</v>
      </c>
      <c r="Z219" s="384">
        <f t="shared" si="89"/>
        <v>49.217955775398515</v>
      </c>
      <c r="AA219" s="385">
        <f t="shared" si="90"/>
        <v>53.906893855020463</v>
      </c>
      <c r="AB219" s="196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8.6982160245266241E-2</v>
      </c>
      <c r="AD219" s="230">
        <f>(INDEX(Models!$BJ219:$BT219,,AH219)*(1-AF219)+INDEX(Models!$BJ219:$BT219,,AH219+1)*AF219-ERP_i)*AE219*Ramure*Pc/MaxiM</f>
        <v>8.217208263917755E-4</v>
      </c>
      <c r="AE219" s="304">
        <f t="shared" si="92"/>
        <v>0.5</v>
      </c>
      <c r="AF219" s="176">
        <f t="shared" si="93"/>
        <v>0.89254590131205025</v>
      </c>
      <c r="AG219" s="814">
        <f t="shared" si="99"/>
        <v>1</v>
      </c>
      <c r="AH219" s="175">
        <f t="shared" si="94"/>
        <v>7</v>
      </c>
      <c r="AI219" s="224">
        <f t="shared" si="95"/>
        <v>1.8925459013120502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10">
        <f>'2024'!Wh/'2024'!Env_an*'2025'!Env_an</f>
        <v>28.265540903548558</v>
      </c>
      <c r="C220" s="843"/>
      <c r="D220" s="392">
        <f t="shared" si="77"/>
        <v>29.892439369358236</v>
      </c>
      <c r="E220" s="384">
        <f t="shared" si="75"/>
        <v>31.245577958937069</v>
      </c>
      <c r="F220" s="384">
        <f t="shared" si="78"/>
        <v>31.246356762929775</v>
      </c>
      <c r="G220" s="110">
        <f t="shared" si="76"/>
        <v>0.54990587513688616</v>
      </c>
      <c r="H220" s="413" t="b">
        <f>Wh_hp&gt;='2024'!Maxi_hp</f>
        <v>0</v>
      </c>
      <c r="I220" s="389">
        <f>IF(H220,Wh_hp,'2024'!Maxi_hp)</f>
        <v>56.522396659484173</v>
      </c>
      <c r="J220" s="85">
        <f>IF(H220,An,'2024'!An_max)</f>
        <v>2020</v>
      </c>
      <c r="K220" s="196">
        <f t="shared" si="79"/>
        <v>45863</v>
      </c>
      <c r="L220" s="147">
        <f>IF(t&lt;Tvie,1-EXP((T0-t)*PertePVj)+'2024'!Pspv,1-EXP((T0-t)*PertePVj)+Pspv)</f>
        <v>5.4425082065311693E-2</v>
      </c>
      <c r="M220" s="847"/>
      <c r="N220" s="847"/>
      <c r="O220" s="48">
        <f>IF(t&lt;Tnet,'2024'!Resal+('2024'!Salim-'2024'!Resal)*(1-EXP(('2024'!Tnet-t)/('2024'!Tau_j))),Resal+(Salim-Resal)*(1-EXP((Tnet-t)/(Tau_j))))*Salcycl</f>
        <v>4.3306562975315294E-2</v>
      </c>
      <c r="P220" s="168">
        <f>(INDEX(Models!$BJ220:$BT220,,T220)*(1-R220)+INDEX(Models!$BJ220:$BT220,,T220+1)*R220-ERP_i)*Q220*Ramure*Pc/MaxiM</f>
        <v>6.9808364333172253E-5</v>
      </c>
      <c r="Q220" s="304">
        <f t="shared" si="80"/>
        <v>0.5</v>
      </c>
      <c r="R220" s="176">
        <f t="shared" si="81"/>
        <v>0.7790259420799438</v>
      </c>
      <c r="S220" s="814">
        <f t="shared" si="82"/>
        <v>-1</v>
      </c>
      <c r="T220" s="175">
        <f t="shared" si="83"/>
        <v>5</v>
      </c>
      <c r="U220" s="250">
        <f t="shared" si="84"/>
        <v>-0.22097405792005623</v>
      </c>
      <c r="V220" s="382">
        <f t="shared" si="85"/>
        <v>51.398381953935825</v>
      </c>
      <c r="W220" s="401">
        <f t="shared" si="86"/>
        <v>28.265540903548558</v>
      </c>
      <c r="X220" s="157">
        <f t="shared" si="87"/>
        <v>45863</v>
      </c>
      <c r="Y220" s="384">
        <f t="shared" si="88"/>
        <v>26.967504493945377</v>
      </c>
      <c r="Z220" s="384">
        <f t="shared" si="89"/>
        <v>28.519691018081812</v>
      </c>
      <c r="AA220" s="385">
        <f t="shared" si="90"/>
        <v>31.237421608054571</v>
      </c>
      <c r="AB220" s="196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8.7002398087555194E-2</v>
      </c>
      <c r="AD220" s="230">
        <f>(INDEX(Models!$BJ220:$BT220,,AH220)*(1-AF220)+INDEX(Models!$BJ220:$BT220,,AH220+1)*AF220-ERP_i)*AE220*Ramure*Pc/MaxiM</f>
        <v>8.0090568710921336E-4</v>
      </c>
      <c r="AE220" s="304">
        <f t="shared" si="92"/>
        <v>0.5</v>
      </c>
      <c r="AF220" s="176">
        <f t="shared" si="93"/>
        <v>0.89401848190433131</v>
      </c>
      <c r="AG220" s="814">
        <f t="shared" si="99"/>
        <v>1</v>
      </c>
      <c r="AH220" s="175">
        <f t="shared" si="94"/>
        <v>7</v>
      </c>
      <c r="AI220" s="224">
        <f t="shared" si="95"/>
        <v>1.8940184819043313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10">
        <f>'2024'!Wh/'2024'!Env_an*'2025'!Env_an</f>
        <v>49.038617955580627</v>
      </c>
      <c r="C221" s="843"/>
      <c r="D221" s="392">
        <f t="shared" si="77"/>
        <v>51.862300656911003</v>
      </c>
      <c r="E221" s="384">
        <f t="shared" si="75"/>
        <v>54.213653641843244</v>
      </c>
      <c r="F221" s="384">
        <f t="shared" si="78"/>
        <v>54.217114738744492</v>
      </c>
      <c r="G221" s="110">
        <f t="shared" si="76"/>
        <v>0.95551284581420337</v>
      </c>
      <c r="H221" s="413" t="b">
        <f>Wh_hp&gt;='2024'!Maxi_hp</f>
        <v>0</v>
      </c>
      <c r="I221" s="389">
        <f>IF(H221,Wh_hp,'2024'!Maxi_hp)</f>
        <v>56.237487014663813</v>
      </c>
      <c r="J221" s="85">
        <f>IF(H221,An,'2024'!An_max)</f>
        <v>2020</v>
      </c>
      <c r="K221" s="196">
        <f t="shared" si="79"/>
        <v>45864</v>
      </c>
      <c r="L221" s="147">
        <f>IF(t&lt;Tvie,1-EXP((T0-t)*PertePVj)+'2024'!Pspv,1-EXP((T0-t)*PertePVj)+Pspv)</f>
        <v>5.4445766299688871E-2</v>
      </c>
      <c r="M221" s="847"/>
      <c r="N221" s="847"/>
      <c r="O221" s="48">
        <f>IF(t&lt;Tnet,'2024'!Resal+('2024'!Salim-'2024'!Resal)*(1-EXP(('2024'!Tnet-t)/('2024'!Tau_j))),Resal+(Salim-Resal)*(1-EXP((Tnet-t)/(Tau_j))))*Salcycl</f>
        <v>4.3371970471981207E-2</v>
      </c>
      <c r="P221" s="168">
        <f>(INDEX(Models!$BJ221:$BT221,,T221)*(1-R221)+INDEX(Models!$BJ221:$BT221,,T221+1)*R221-ERP_i)*Q221*Ramure*Pc/MaxiM</f>
        <v>6.8169710095479451E-5</v>
      </c>
      <c r="Q221" s="304">
        <f t="shared" si="80"/>
        <v>0.5</v>
      </c>
      <c r="R221" s="176">
        <f t="shared" si="81"/>
        <v>0.78045511614665908</v>
      </c>
      <c r="S221" s="814">
        <f t="shared" si="82"/>
        <v>-1</v>
      </c>
      <c r="T221" s="175">
        <f t="shared" si="83"/>
        <v>5</v>
      </c>
      <c r="U221" s="250">
        <f t="shared" si="84"/>
        <v>-0.21954488385334087</v>
      </c>
      <c r="V221" s="382">
        <f t="shared" si="85"/>
        <v>51.32155545783872</v>
      </c>
      <c r="W221" s="401">
        <f t="shared" si="86"/>
        <v>49.038617955580627</v>
      </c>
      <c r="X221" s="157">
        <f t="shared" si="87"/>
        <v>45864</v>
      </c>
      <c r="Y221" s="384">
        <f t="shared" si="88"/>
        <v>46.769828748503294</v>
      </c>
      <c r="Z221" s="384">
        <f t="shared" si="89"/>
        <v>49.462872759265508</v>
      </c>
      <c r="AA221" s="385">
        <f t="shared" si="90"/>
        <v>54.177521215729165</v>
      </c>
      <c r="AB221" s="196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8.7022225282150187E-2</v>
      </c>
      <c r="AD221" s="230">
        <f>(INDEX(Models!$BJ221:$BT221,,AH221)*(1-AF221)+INDEX(Models!$BJ221:$BT221,,AH221+1)*AF221-ERP_i)*AE221*Ramure*Pc/MaxiM</f>
        <v>7.7983340617949982E-4</v>
      </c>
      <c r="AE221" s="304">
        <f t="shared" si="92"/>
        <v>0.5</v>
      </c>
      <c r="AF221" s="176">
        <f t="shared" si="93"/>
        <v>0.8954476559710467</v>
      </c>
      <c r="AG221" s="814">
        <f t="shared" si="99"/>
        <v>1</v>
      </c>
      <c r="AH221" s="175">
        <f t="shared" si="94"/>
        <v>7</v>
      </c>
      <c r="AI221" s="224">
        <f t="shared" si="95"/>
        <v>1.8954476559710467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10">
        <f>'2024'!Wh/'2024'!Env_an*'2025'!Env_an</f>
        <v>51.811262234237205</v>
      </c>
      <c r="C222" s="843"/>
      <c r="D222" s="392">
        <f t="shared" si="77"/>
        <v>54.795794648087529</v>
      </c>
      <c r="E222" s="384">
        <f t="shared" si="75"/>
        <v>57.284049301966341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Wh_hp&gt;='2024'!Maxi_hp</f>
        <v>1</v>
      </c>
      <c r="I222" s="389">
        <f>IF(H222,Wh_hp,'2024'!Maxi_hp)</f>
        <v>57.287857875556981</v>
      </c>
      <c r="J222" s="85">
        <f>IF(H222,An,'2024'!An_max)</f>
        <v>2025</v>
      </c>
      <c r="K222" s="196">
        <f t="shared" si="79"/>
        <v>45865</v>
      </c>
      <c r="L222" s="147">
        <f>IF(t&lt;Tvie,1-EXP((T0-t)*PertePVj)+'2024'!Pspv,1-EXP((T0-t)*PertePVj)+Pspv)</f>
        <v>5.4466450081028107E-2</v>
      </c>
      <c r="M222" s="847"/>
      <c r="N222" s="847"/>
      <c r="O222" s="48">
        <f>IF(t&lt;Tnet,'2024'!Resal+('2024'!Salim-'2024'!Resal)*(1-EXP(('2024'!Tnet-t)/('2024'!Tau_j))),Resal+(Salim-Resal)*(1-EXP((Tnet-t)/(Tau_j))))*Salcycl</f>
        <v>4.3437129256737095E-2</v>
      </c>
      <c r="P222" s="168">
        <f>(INDEX(Models!$BJ222:$BT222,,T222)*(1-R222)+INDEX(Models!$BJ222:$BT222,,T222+1)*R222-ERP_i)*Q222*Ramure*Pc/MaxiM</f>
        <v>6.6481340582100204E-5</v>
      </c>
      <c r="Q222" s="304">
        <f t="shared" si="80"/>
        <v>0.5</v>
      </c>
      <c r="R222" s="176">
        <f t="shared" si="81"/>
        <v>0.78184162104963861</v>
      </c>
      <c r="S222" s="814">
        <f t="shared" si="82"/>
        <v>-1</v>
      </c>
      <c r="T222" s="175">
        <f t="shared" si="83"/>
        <v>5</v>
      </c>
      <c r="U222" s="250">
        <f t="shared" si="84"/>
        <v>-0.21815837895036136</v>
      </c>
      <c r="V222" s="382">
        <f t="shared" si="85"/>
        <v>51.24479046709407</v>
      </c>
      <c r="W222" s="401">
        <f t="shared" si="86"/>
        <v>51.811262234237205</v>
      </c>
      <c r="X222" s="157">
        <f t="shared" si="87"/>
        <v>45865</v>
      </c>
      <c r="Y222" s="384">
        <f t="shared" si="88"/>
        <v>49.415243516401262</v>
      </c>
      <c r="Z222" s="384">
        <f t="shared" si="89"/>
        <v>52.261755831547106</v>
      </c>
      <c r="AA222" s="385">
        <f t="shared" si="90"/>
        <v>57.244404325768237</v>
      </c>
      <c r="AB222" s="196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8.704166901389554E-2</v>
      </c>
      <c r="AD222" s="230">
        <f>(INDEX(Models!$BJ222:$BT222,,AH222)*(1-AF222)+INDEX(Models!$BJ222:$BT222,,AH222+1)*AF222-ERP_i)*AE222*Ramure*Pc/MaxiM</f>
        <v>7.585123863966879E-4</v>
      </c>
      <c r="AE222" s="304">
        <f t="shared" si="92"/>
        <v>0.5</v>
      </c>
      <c r="AF222" s="176">
        <f t="shared" si="93"/>
        <v>0.89683416087402601</v>
      </c>
      <c r="AG222" s="814">
        <f t="shared" si="99"/>
        <v>1</v>
      </c>
      <c r="AH222" s="175">
        <f t="shared" si="94"/>
        <v>7</v>
      </c>
      <c r="AI222" s="224">
        <f t="shared" si="95"/>
        <v>1.896834160874026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10">
        <f>'2024'!Wh/'2024'!Env_an*'2025'!Env_an</f>
        <v>43.614778700904729</v>
      </c>
      <c r="C223" s="843"/>
      <c r="D223" s="392">
        <f t="shared" si="77"/>
        <v>46.128170479764407</v>
      </c>
      <c r="E223" s="384">
        <f t="shared" si="75"/>
        <v>48.22610496858637</v>
      </c>
      <c r="F223" s="384">
        <f t="shared" si="78"/>
        <v>48.228569052626682</v>
      </c>
      <c r="G223" s="110">
        <f t="shared" si="76"/>
        <v>0.85237570900095827</v>
      </c>
      <c r="H223" s="413" t="b">
        <f>Wh_hp&gt;='2024'!Maxi_hp</f>
        <v>0</v>
      </c>
      <c r="I223" s="389">
        <f>IF(H223,Wh_hp,'2024'!Maxi_hp)</f>
        <v>58.386184765777948</v>
      </c>
      <c r="J223" s="85">
        <f>IF(H223,An,'2024'!An_max)</f>
        <v>2019</v>
      </c>
      <c r="K223" s="196">
        <f t="shared" si="79"/>
        <v>45866</v>
      </c>
      <c r="L223" s="147">
        <f>IF(t&lt;Tvie,1-EXP((T0-t)*PertePVj)+'2024'!Pspv,1-EXP((T0-t)*PertePVj)+Pspv)</f>
        <v>5.4487133409339507E-2</v>
      </c>
      <c r="M223" s="847"/>
      <c r="N223" s="847"/>
      <c r="O223" s="48">
        <f>IF(t&lt;Tnet,'2024'!Resal+('2024'!Salim-'2024'!Resal)*(1-EXP(('2024'!Tnet-t)/('2024'!Tau_j))),Resal+(Salim-Resal)*(1-EXP((Tnet-t)/(Tau_j))))*Salcycl</f>
        <v>4.3502051226996678E-2</v>
      </c>
      <c r="P223" s="168">
        <f>(INDEX(Models!$BJ223:$BT223,,T223)*(1-R223)+INDEX(Models!$BJ223:$BT223,,T223+1)*R223-ERP_i)*Q223*Ramure*Pc/MaxiM</f>
        <v>6.4744883984707105E-5</v>
      </c>
      <c r="Q223" s="304">
        <f t="shared" si="80"/>
        <v>0.5</v>
      </c>
      <c r="R223" s="176">
        <f t="shared" si="81"/>
        <v>0.78318622068158761</v>
      </c>
      <c r="S223" s="814">
        <f t="shared" si="82"/>
        <v>-1</v>
      </c>
      <c r="T223" s="175">
        <f t="shared" si="83"/>
        <v>5</v>
      </c>
      <c r="U223" s="250">
        <f t="shared" si="84"/>
        <v>-0.21681377931841245</v>
      </c>
      <c r="V223" s="382">
        <f t="shared" si="85"/>
        <v>51.167792246252773</v>
      </c>
      <c r="W223" s="401">
        <f t="shared" si="86"/>
        <v>43.614778700904729</v>
      </c>
      <c r="X223" s="157">
        <f t="shared" si="87"/>
        <v>45866</v>
      </c>
      <c r="Y223" s="384">
        <f t="shared" si="88"/>
        <v>41.606488245147027</v>
      </c>
      <c r="Z223" s="384">
        <f t="shared" si="89"/>
        <v>44.004148135151361</v>
      </c>
      <c r="AA223" s="385">
        <f t="shared" si="90"/>
        <v>48.200521935582728</v>
      </c>
      <c r="AB223" s="196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8.7060754363605955E-2</v>
      </c>
      <c r="AD223" s="230">
        <f>(INDEX(Models!$BJ223:$BT223,,AH223)*(1-AF223)+INDEX(Models!$BJ223:$BT223,,AH223+1)*AF223-ERP_i)*AE223*Ramure*Pc/MaxiM</f>
        <v>7.36950245772903E-4</v>
      </c>
      <c r="AE223" s="304">
        <f t="shared" si="92"/>
        <v>0.5</v>
      </c>
      <c r="AF223" s="176">
        <f t="shared" si="93"/>
        <v>0.898178760505975</v>
      </c>
      <c r="AG223" s="814">
        <f t="shared" si="99"/>
        <v>1</v>
      </c>
      <c r="AH223" s="175">
        <f t="shared" si="94"/>
        <v>7</v>
      </c>
      <c r="AI223" s="224">
        <f t="shared" si="95"/>
        <v>1.898178760505975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10">
        <f>'2024'!Wh/'2024'!Env_an*'2025'!Env_an</f>
        <v>25.53086727481881</v>
      </c>
      <c r="C224" s="843"/>
      <c r="D224" s="392">
        <f t="shared" si="77"/>
        <v>27.002726954858336</v>
      </c>
      <c r="E224" s="384">
        <f t="shared" si="75"/>
        <v>28.232735403126807</v>
      </c>
      <c r="F224" s="384">
        <f t="shared" si="78"/>
        <v>28.23324258505945</v>
      </c>
      <c r="G224" s="110">
        <f t="shared" si="76"/>
        <v>0.49969828512675069</v>
      </c>
      <c r="H224" s="413" t="b">
        <f>Wh_hp&gt;='2024'!Maxi_hp</f>
        <v>0</v>
      </c>
      <c r="I224" s="389">
        <f>IF(H224,Wh_hp,'2024'!Maxi_hp)</f>
        <v>57.892402465153239</v>
      </c>
      <c r="J224" s="85">
        <f>IF(H224,An,'2024'!An_max)</f>
        <v>2019</v>
      </c>
      <c r="K224" s="196">
        <f t="shared" si="79"/>
        <v>45867</v>
      </c>
      <c r="L224" s="147">
        <f>IF(t&lt;Tvie,1-EXP((T0-t)*PertePVj)+'2024'!Pspv,1-EXP((T0-t)*PertePVj)+Pspv)</f>
        <v>5.450781628463295E-2</v>
      </c>
      <c r="M224" s="847"/>
      <c r="N224" s="847"/>
      <c r="O224" s="48">
        <f>IF(t&lt;Tnet,'2024'!Resal+('2024'!Salim-'2024'!Resal)*(1-EXP(('2024'!Tnet-t)/('2024'!Tau_j))),Resal+(Salim-Resal)*(1-EXP((Tnet-t)/(Tau_j))))*Salcycl</f>
        <v>4.3566747277780385E-2</v>
      </c>
      <c r="P224" s="168">
        <f>(INDEX(Models!$BJ224:$BT224,,T224)*(1-R224)+INDEX(Models!$BJ224:$BT224,,T224+1)*R224-ERP_i)*Q224*Ramure*Pc/MaxiM</f>
        <v>6.2961899046286646E-5</v>
      </c>
      <c r="Q224" s="304">
        <f t="shared" si="80"/>
        <v>0.5</v>
      </c>
      <c r="R224" s="176">
        <f t="shared" si="81"/>
        <v>0.78448970208400759</v>
      </c>
      <c r="S224" s="814">
        <f t="shared" si="82"/>
        <v>-1</v>
      </c>
      <c r="T224" s="175">
        <f t="shared" si="83"/>
        <v>5</v>
      </c>
      <c r="U224" s="250">
        <f t="shared" si="84"/>
        <v>-0.21551029791599241</v>
      </c>
      <c r="V224" s="382">
        <f t="shared" si="85"/>
        <v>51.090266223913986</v>
      </c>
      <c r="W224" s="401">
        <f t="shared" si="86"/>
        <v>25.53086727481881</v>
      </c>
      <c r="X224" s="157">
        <f t="shared" si="87"/>
        <v>45867</v>
      </c>
      <c r="Y224" s="384">
        <f t="shared" si="88"/>
        <v>24.364810369737341</v>
      </c>
      <c r="Z224" s="384">
        <f t="shared" si="89"/>
        <v>25.769446632540514</v>
      </c>
      <c r="AA224" s="385">
        <f t="shared" si="90"/>
        <v>28.227481750356603</v>
      </c>
      <c r="AB224" s="196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8.707950427724695E-2</v>
      </c>
      <c r="AD224" s="230">
        <f>(INDEX(Models!$BJ224:$BT224,,AH224)*(1-AF224)+INDEX(Models!$BJ224:$BT224,,AH224+1)*AF224-ERP_i)*AE224*Ramure*Pc/MaxiM</f>
        <v>7.1515381293630112E-4</v>
      </c>
      <c r="AE224" s="304">
        <f t="shared" si="92"/>
        <v>0.5</v>
      </c>
      <c r="AF224" s="176">
        <f t="shared" si="93"/>
        <v>0.89948224190839499</v>
      </c>
      <c r="AG224" s="814">
        <f t="shared" si="99"/>
        <v>1</v>
      </c>
      <c r="AH224" s="175">
        <f t="shared" si="94"/>
        <v>7</v>
      </c>
      <c r="AI224" s="224">
        <f t="shared" si="95"/>
        <v>1.899482241908395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10">
        <f>'2024'!Wh/'2024'!Env_an*'2025'!Env_an</f>
        <v>44.057589106134067</v>
      </c>
      <c r="C225" s="843"/>
      <c r="D225" s="392">
        <f t="shared" si="77"/>
        <v>46.598537392061374</v>
      </c>
      <c r="E225" s="384">
        <f t="shared" si="75"/>
        <v>48.724444713831979</v>
      </c>
      <c r="F225" s="384">
        <f t="shared" si="78"/>
        <v>48.726843430514613</v>
      </c>
      <c r="G225" s="110">
        <f t="shared" si="76"/>
        <v>0.86366218447915333</v>
      </c>
      <c r="H225" s="413" t="b">
        <f>Wh_hp&gt;='2024'!Maxi_hp</f>
        <v>0</v>
      </c>
      <c r="I225" s="389">
        <f>IF(H225,Wh_hp,'2024'!Maxi_hp)</f>
        <v>50.981621896708326</v>
      </c>
      <c r="J225" s="85">
        <f>IF(H225,An,'2024'!An_max)</f>
        <v>2020</v>
      </c>
      <c r="K225" s="196">
        <f t="shared" si="79"/>
        <v>45868</v>
      </c>
      <c r="L225" s="147">
        <f>IF(t&lt;Tvie,1-EXP((T0-t)*PertePVj)+'2024'!Pspv,1-EXP((T0-t)*PertePVj)+Pspv)</f>
        <v>5.4528498706918317E-2</v>
      </c>
      <c r="M225" s="847"/>
      <c r="N225" s="847"/>
      <c r="O225" s="48">
        <f>IF(t&lt;Tnet,'2024'!Resal+('2024'!Salim-'2024'!Resal)*(1-EXP(('2024'!Tnet-t)/('2024'!Tau_j))),Resal+(Salim-Resal)*(1-EXP((Tnet-t)/(Tau_j))))*Salcycl</f>
        <v>4.3631227287585651E-2</v>
      </c>
      <c r="P225" s="168">
        <f>(INDEX(Models!$BJ225:$BT225,,T225)*(1-R225)+INDEX(Models!$BJ225:$BT225,,T225+1)*R225-ERP_i)*Q225*Ramure*Pc/MaxiM</f>
        <v>6.1133870786910243E-5</v>
      </c>
      <c r="Q225" s="304">
        <f t="shared" si="80"/>
        <v>0.5</v>
      </c>
      <c r="R225" s="176">
        <f t="shared" si="81"/>
        <v>0.78575287221213697</v>
      </c>
      <c r="S225" s="814">
        <f t="shared" si="82"/>
        <v>-1</v>
      </c>
      <c r="T225" s="175">
        <f t="shared" si="83"/>
        <v>5</v>
      </c>
      <c r="U225" s="250">
        <f t="shared" si="84"/>
        <v>-0.21424712778786298</v>
      </c>
      <c r="V225" s="382">
        <f t="shared" si="85"/>
        <v>51.011917993552608</v>
      </c>
      <c r="W225" s="401">
        <f t="shared" si="86"/>
        <v>44.057589106134067</v>
      </c>
      <c r="X225" s="157">
        <f t="shared" si="87"/>
        <v>45868</v>
      </c>
      <c r="Y225" s="384">
        <f t="shared" si="88"/>
        <v>42.033779690519012</v>
      </c>
      <c r="Z225" s="384">
        <f t="shared" si="89"/>
        <v>44.458008129310272</v>
      </c>
      <c r="AA225" s="385">
        <f t="shared" si="90"/>
        <v>48.699647043714371</v>
      </c>
      <c r="AB225" s="196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8.7097939551731646E-2</v>
      </c>
      <c r="AD225" s="230">
        <f>(INDEX(Models!$BJ225:$BT225,,AH225)*(1-AF225)+INDEX(Models!$BJ225:$BT225,,AH225+1)*AF225-ERP_i)*AE225*Ramure*Pc/MaxiM</f>
        <v>6.9312912548349513E-4</v>
      </c>
      <c r="AE225" s="304">
        <f t="shared" si="92"/>
        <v>0.5</v>
      </c>
      <c r="AF225" s="176">
        <f t="shared" si="93"/>
        <v>0.90074541203652458</v>
      </c>
      <c r="AG225" s="814">
        <f t="shared" si="99"/>
        <v>1</v>
      </c>
      <c r="AH225" s="175">
        <f t="shared" si="94"/>
        <v>7</v>
      </c>
      <c r="AI225" s="224">
        <f t="shared" si="95"/>
        <v>1.9007454120365246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10">
        <f>'2024'!Wh/'2024'!Env_an*'2025'!Env_an</f>
        <v>50.390359335377759</v>
      </c>
      <c r="C226" s="843"/>
      <c r="D226" s="392">
        <f t="shared" si="77"/>
        <v>53.29770550245857</v>
      </c>
      <c r="E226" s="384">
        <f t="shared" si="75"/>
        <v>55.732986207544826</v>
      </c>
      <c r="F226" s="384">
        <f t="shared" si="78"/>
        <v>55.736240369027314</v>
      </c>
      <c r="G226" s="110">
        <f t="shared" si="76"/>
        <v>0.98935574185459296</v>
      </c>
      <c r="H226" s="413" t="b">
        <f>Wh_hp&gt;='2024'!Maxi_hp</f>
        <v>1</v>
      </c>
      <c r="I226" s="389">
        <f>IF(H226,Wh_hp,'2024'!Maxi_hp)</f>
        <v>55.736240369027314</v>
      </c>
      <c r="J226" s="85">
        <f>IF(H226,An,'2024'!An_max)</f>
        <v>2025</v>
      </c>
      <c r="K226" s="196">
        <f t="shared" si="79"/>
        <v>45869</v>
      </c>
      <c r="L226" s="147">
        <f>IF(t&lt;Tvie,1-EXP((T0-t)*PertePVj)+'2024'!Pspv,1-EXP((T0-t)*PertePVj)+Pspv)</f>
        <v>5.4549180676205601E-2</v>
      </c>
      <c r="M226" s="847"/>
      <c r="N226" s="847"/>
      <c r="O226" s="48">
        <f>IF(t&lt;Tnet,'2024'!Resal+('2024'!Salim-'2024'!Resal)*(1-EXP(('2024'!Tnet-t)/('2024'!Tau_j))),Resal+(Salim-Resal)*(1-EXP((Tnet-t)/(Tau_j))))*Salcycl</f>
        <v>4.3695500112222271E-2</v>
      </c>
      <c r="P226" s="168">
        <f>(INDEX(Models!$BJ226:$BT226,,T226)*(1-R226)+INDEX(Models!$BJ226:$BT226,,T226+1)*R226-ERP_i)*Q226*Ramure*Pc/MaxiM</f>
        <v>5.9286458808386365E-5</v>
      </c>
      <c r="Q226" s="304">
        <f t="shared" si="80"/>
        <v>0.5</v>
      </c>
      <c r="R226" s="176">
        <f t="shared" si="81"/>
        <v>0.78697655485142093</v>
      </c>
      <c r="S226" s="814">
        <f t="shared" si="82"/>
        <v>-1</v>
      </c>
      <c r="T226" s="175">
        <f t="shared" si="83"/>
        <v>5</v>
      </c>
      <c r="U226" s="250">
        <f t="shared" si="84"/>
        <v>-0.21302344514857913</v>
      </c>
      <c r="V226" s="382">
        <f t="shared" si="85"/>
        <v>50.932452076759994</v>
      </c>
      <c r="W226" s="401">
        <f t="shared" si="86"/>
        <v>50.390359335377759</v>
      </c>
      <c r="X226" s="157">
        <f t="shared" si="87"/>
        <v>45869</v>
      </c>
      <c r="Y226" s="384">
        <f t="shared" si="88"/>
        <v>48.073418616912306</v>
      </c>
      <c r="Z226" s="384">
        <f t="shared" si="89"/>
        <v>50.847085469020371</v>
      </c>
      <c r="AA226" s="385">
        <f t="shared" si="90"/>
        <v>55.699398675159209</v>
      </c>
      <c r="AB226" s="196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8.7116078836644045E-2</v>
      </c>
      <c r="AD226" s="230">
        <f>(INDEX(Models!$BJ226:$BT226,,AH226)*(1-AF226)+INDEX(Models!$BJ226:$BT226,,AH226+1)*AF226-ERP_i)*AE226*Ramure*Pc/MaxiM</f>
        <v>6.7120626241047642E-4</v>
      </c>
      <c r="AE226" s="304">
        <f t="shared" si="92"/>
        <v>0.5</v>
      </c>
      <c r="AF226" s="176">
        <f t="shared" si="93"/>
        <v>0.90196909467580832</v>
      </c>
      <c r="AG226" s="814">
        <f t="shared" si="99"/>
        <v>1</v>
      </c>
      <c r="AH226" s="175">
        <f t="shared" si="94"/>
        <v>7</v>
      </c>
      <c r="AI226" s="224">
        <f t="shared" si="95"/>
        <v>1.9019690946758083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10">
        <f>'2024'!Wh/'2024'!Env_an*'2025'!Env_an</f>
        <v>50.184672374524084</v>
      </c>
      <c r="C227" s="843"/>
      <c r="D227" s="392">
        <f t="shared" si="77"/>
        <v>53.081312270100788</v>
      </c>
      <c r="E227" s="384">
        <f t="shared" si="75"/>
        <v>55.510424788435259</v>
      </c>
      <c r="F227" s="384">
        <f t="shared" si="78"/>
        <v>55.51355298771945</v>
      </c>
      <c r="G227" s="110">
        <f t="shared" si="76"/>
        <v>0.98688426519863637</v>
      </c>
      <c r="H227" s="413" t="b">
        <f>Wh_hp&gt;='2024'!Maxi_hp</f>
        <v>1</v>
      </c>
      <c r="I227" s="389">
        <f>IF(H227,Wh_hp,'2024'!Maxi_hp)</f>
        <v>55.51355298771945</v>
      </c>
      <c r="J227" s="85">
        <f>IF(H227,An,'2024'!An_max)</f>
        <v>2025</v>
      </c>
      <c r="K227" s="196">
        <f t="shared" si="79"/>
        <v>45870</v>
      </c>
      <c r="L227" s="147">
        <f>IF(t&lt;Tvie,1-EXP((T0-t)*PertePVj)+'2024'!Pspv,1-EXP((T0-t)*PertePVj)+Pspv)</f>
        <v>5.4569862192504572E-2</v>
      </c>
      <c r="M227" s="847"/>
      <c r="N227" s="847"/>
      <c r="O227" s="48">
        <f>IF(t&lt;Tnet,'2024'!Resal+('2024'!Salim-'2024'!Resal)*(1-EXP(('2024'!Tnet-t)/('2024'!Tau_j))),Resal+(Salim-Resal)*(1-EXP((Tnet-t)/(Tau_j))))*Salcycl</f>
        <v>4.3759573586266892E-2</v>
      </c>
      <c r="P227" s="168">
        <f>(INDEX(Models!$BJ227:$BT227,,T227)*(1-R227)+INDEX(Models!$BJ227:$BT227,,T227+1)*R227-ERP_i)*Q227*Ramure*Pc/MaxiM</f>
        <v>5.7426082305109257E-5</v>
      </c>
      <c r="Q227" s="304">
        <f t="shared" si="80"/>
        <v>0.5</v>
      </c>
      <c r="R227" s="176">
        <f t="shared" si="81"/>
        <v>0.78816158768862243</v>
      </c>
      <c r="S227" s="814">
        <f t="shared" si="82"/>
        <v>-1</v>
      </c>
      <c r="T227" s="175">
        <f t="shared" si="83"/>
        <v>5</v>
      </c>
      <c r="U227" s="250">
        <f t="shared" si="84"/>
        <v>-0.21183841231137757</v>
      </c>
      <c r="V227" s="382">
        <f t="shared" si="85"/>
        <v>50.851574138838721</v>
      </c>
      <c r="W227" s="401">
        <f t="shared" si="86"/>
        <v>50.184672374524084</v>
      </c>
      <c r="X227" s="157">
        <f t="shared" si="87"/>
        <v>45870</v>
      </c>
      <c r="Y227" s="384">
        <f t="shared" si="88"/>
        <v>47.880498734165045</v>
      </c>
      <c r="Z227" s="384">
        <f t="shared" si="89"/>
        <v>50.644142617668777</v>
      </c>
      <c r="AA227" s="385">
        <f t="shared" si="90"/>
        <v>55.478174468258707</v>
      </c>
      <c r="AB227" s="196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8.7133938651057646E-2</v>
      </c>
      <c r="AD227" s="230">
        <f>(INDEX(Models!$BJ227:$BT227,,AH227)*(1-AF227)+INDEX(Models!$BJ227:$BT227,,AH227+1)*AF227-ERP_i)*AE227*Ramure*Pc/MaxiM</f>
        <v>6.4946302515102013E-4</v>
      </c>
      <c r="AE227" s="304">
        <f t="shared" si="92"/>
        <v>0.5</v>
      </c>
      <c r="AF227" s="176">
        <f t="shared" si="93"/>
        <v>0.90315412751300994</v>
      </c>
      <c r="AG227" s="814">
        <f t="shared" si="99"/>
        <v>1</v>
      </c>
      <c r="AH227" s="175">
        <f t="shared" si="94"/>
        <v>7</v>
      </c>
      <c r="AI227" s="224">
        <f t="shared" si="95"/>
        <v>1.9031541275130099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10">
        <f>'2024'!Wh/'2024'!Env_an*'2025'!Env_an</f>
        <v>50.384656209378818</v>
      </c>
      <c r="C228" s="843"/>
      <c r="D228" s="392">
        <f t="shared" si="77"/>
        <v>53.29400488852184</v>
      </c>
      <c r="E228" s="384">
        <f t="shared" si="75"/>
        <v>55.73657410977539</v>
      </c>
      <c r="F228" s="384">
        <f t="shared" si="78"/>
        <v>55.739637208128379</v>
      </c>
      <c r="G228" s="110">
        <f t="shared" si="76"/>
        <v>0.99242915202587023</v>
      </c>
      <c r="H228" s="413" t="b">
        <f>Wh_hp&gt;='2024'!Maxi_hp</f>
        <v>1</v>
      </c>
      <c r="I228" s="389">
        <f>IF(H228,Wh_hp,'2024'!Maxi_hp)</f>
        <v>55.739637208128379</v>
      </c>
      <c r="J228" s="85">
        <f>IF(H228,An,'2024'!An_max)</f>
        <v>2025</v>
      </c>
      <c r="K228" s="196">
        <f t="shared" si="79"/>
        <v>45871</v>
      </c>
      <c r="L228" s="147">
        <f>IF(t&lt;Tvie,1-EXP((T0-t)*PertePVj)+'2024'!Pspv,1-EXP((T0-t)*PertePVj)+Pspv)</f>
        <v>5.4590543255825331E-2</v>
      </c>
      <c r="M228" s="847"/>
      <c r="N228" s="847"/>
      <c r="O228" s="48">
        <f>IF(t&lt;Tnet,'2024'!Resal+('2024'!Salim-'2024'!Resal)*(1-EXP(('2024'!Tnet-t)/('2024'!Tau_j))),Resal+(Salim-Resal)*(1-EXP((Tnet-t)/(Tau_j))))*Salcycl</f>
        <v>4.3823454531719451E-2</v>
      </c>
      <c r="P228" s="168">
        <f>(INDEX(Models!$BJ228:$BT228,,T228)*(1-R228)+INDEX(Models!$BJ228:$BT228,,T228+1)*R228-ERP_i)*Q228*Ramure*Pc/MaxiM</f>
        <v>5.5554485036523997E-5</v>
      </c>
      <c r="Q228" s="304">
        <f t="shared" si="80"/>
        <v>0.5</v>
      </c>
      <c r="R228" s="176">
        <f t="shared" si="81"/>
        <v>0.78930881953940446</v>
      </c>
      <c r="S228" s="814">
        <f t="shared" si="82"/>
        <v>-1</v>
      </c>
      <c r="T228" s="175">
        <f t="shared" si="83"/>
        <v>5</v>
      </c>
      <c r="U228" s="250">
        <f t="shared" si="84"/>
        <v>-0.21069118046059548</v>
      </c>
      <c r="V228" s="382">
        <f t="shared" si="85"/>
        <v>50.768990243443731</v>
      </c>
      <c r="W228" s="401">
        <f t="shared" si="86"/>
        <v>50.384656209378818</v>
      </c>
      <c r="X228" s="157">
        <f t="shared" si="87"/>
        <v>45871</v>
      </c>
      <c r="Y228" s="384">
        <f t="shared" si="88"/>
        <v>48.074296718045332</v>
      </c>
      <c r="Z228" s="384">
        <f t="shared" si="89"/>
        <v>50.850238883377401</v>
      </c>
      <c r="AA228" s="385">
        <f t="shared" si="90"/>
        <v>55.705016489299204</v>
      </c>
      <c r="AB228" s="196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8.7151533414488627E-2</v>
      </c>
      <c r="AD228" s="230">
        <f>(INDEX(Models!$BJ228:$BT228,,AH228)*(1-AF228)+INDEX(Models!$BJ228:$BT228,,AH228+1)*AF228-ERP_i)*AE228*Ramure*Pc/MaxiM</f>
        <v>6.2790546841922593E-4</v>
      </c>
      <c r="AE228" s="304">
        <f t="shared" si="92"/>
        <v>0.5</v>
      </c>
      <c r="AF228" s="176">
        <f t="shared" si="93"/>
        <v>0.90430135936379186</v>
      </c>
      <c r="AG228" s="814">
        <f t="shared" si="99"/>
        <v>1</v>
      </c>
      <c r="AH228" s="175">
        <f t="shared" si="94"/>
        <v>7</v>
      </c>
      <c r="AI228" s="224">
        <f t="shared" si="95"/>
        <v>1.9043013593637919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10">
        <f>'2024'!Wh/'2024'!Env_an*'2025'!Env_an</f>
        <v>48.27667992015656</v>
      </c>
      <c r="C229" s="843"/>
      <c r="D229" s="392">
        <f t="shared" si="77"/>
        <v>51.065425292634181</v>
      </c>
      <c r="E229" s="384">
        <f t="shared" si="75"/>
        <v>53.409412107703794</v>
      </c>
      <c r="F229" s="384">
        <f t="shared" si="78"/>
        <v>53.412084360356793</v>
      </c>
      <c r="G229" s="110">
        <f t="shared" si="76"/>
        <v>0.95249224154598766</v>
      </c>
      <c r="H229" s="413" t="b">
        <f>Wh_hp&gt;='2024'!Maxi_hp</f>
        <v>0</v>
      </c>
      <c r="I229" s="389">
        <f>IF(H229,Wh_hp,'2024'!Maxi_hp)</f>
        <v>56.092480847378184</v>
      </c>
      <c r="J229" s="85">
        <f>IF(H229,An,'2024'!An_max)</f>
        <v>2019</v>
      </c>
      <c r="K229" s="196">
        <f t="shared" si="79"/>
        <v>45872</v>
      </c>
      <c r="L229" s="147">
        <f>IF(t&lt;Tvie,1-EXP((T0-t)*PertePVj)+'2024'!Pspv,1-EXP((T0-t)*PertePVj)+Pspv)</f>
        <v>5.4611223866177762E-2</v>
      </c>
      <c r="M229" s="847"/>
      <c r="N229" s="847"/>
      <c r="O229" s="48">
        <f>IF(t&lt;Tnet,'2024'!Resal+('2024'!Salim-'2024'!Resal)*(1-EXP(('2024'!Tnet-t)/('2024'!Tau_j))),Resal+(Salim-Resal)*(1-EXP((Tnet-t)/(Tau_j))))*Salcycl</f>
        <v>4.3887148773381006E-2</v>
      </c>
      <c r="P229" s="168">
        <f>(INDEX(Models!$BJ229:$BT229,,T229)*(1-R229)+INDEX(Models!$BJ229:$BT229,,T229+1)*R229-ERP_i)*Q229*Ramure*Pc/MaxiM</f>
        <v>5.3673308823039867E-5</v>
      </c>
      <c r="Q229" s="304">
        <f t="shared" si="80"/>
        <v>0.5</v>
      </c>
      <c r="R229" s="176">
        <f t="shared" si="81"/>
        <v>0.79041910773303825</v>
      </c>
      <c r="S229" s="814">
        <f t="shared" si="82"/>
        <v>-1</v>
      </c>
      <c r="T229" s="175">
        <f t="shared" si="83"/>
        <v>5</v>
      </c>
      <c r="U229" s="250">
        <f t="shared" si="84"/>
        <v>-0.20958089226696169</v>
      </c>
      <c r="V229" s="382">
        <f t="shared" si="85"/>
        <v>50.68440661289776</v>
      </c>
      <c r="W229" s="401">
        <f t="shared" si="86"/>
        <v>48.27667992015656</v>
      </c>
      <c r="X229" s="157">
        <f t="shared" si="87"/>
        <v>45872</v>
      </c>
      <c r="Y229" s="384">
        <f t="shared" si="88"/>
        <v>46.067516307379762</v>
      </c>
      <c r="Z229" s="384">
        <f t="shared" si="89"/>
        <v>48.72864737803782</v>
      </c>
      <c r="AA229" s="385">
        <f t="shared" si="90"/>
        <v>53.38188638587809</v>
      </c>
      <c r="AB229" s="196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8.716887549090549E-2</v>
      </c>
      <c r="AD229" s="230">
        <f>(INDEX(Models!$BJ229:$BT229,,AH229)*(1-AF229)+INDEX(Models!$BJ229:$BT229,,AH229+1)*AF229-ERP_i)*AE229*Ramure*Pc/MaxiM</f>
        <v>6.0653890948662989E-4</v>
      </c>
      <c r="AE229" s="304">
        <f t="shared" si="92"/>
        <v>0.5</v>
      </c>
      <c r="AF229" s="176">
        <f t="shared" si="93"/>
        <v>0.90541164755742587</v>
      </c>
      <c r="AG229" s="814">
        <f t="shared" si="99"/>
        <v>1</v>
      </c>
      <c r="AH229" s="175">
        <f t="shared" si="94"/>
        <v>7</v>
      </c>
      <c r="AI229" s="224">
        <f t="shared" si="95"/>
        <v>1.9054116475574259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10">
        <f>'2024'!Wh/'2024'!Env_an*'2025'!Env_an</f>
        <v>45.302549277855562</v>
      </c>
      <c r="C230" s="843"/>
      <c r="D230" s="392">
        <f t="shared" si="77"/>
        <v>47.920539597927288</v>
      </c>
      <c r="E230" s="384">
        <f t="shared" si="75"/>
        <v>50.123500588464687</v>
      </c>
      <c r="F230" s="384">
        <f t="shared" si="78"/>
        <v>50.125708247328596</v>
      </c>
      <c r="G230" s="110">
        <f t="shared" si="76"/>
        <v>0.89534407861621901</v>
      </c>
      <c r="H230" s="413" t="b">
        <f>Wh_hp&gt;='2024'!Maxi_hp</f>
        <v>0</v>
      </c>
      <c r="I230" s="389">
        <f>IF(H230,Wh_hp,'2024'!Maxi_hp)</f>
        <v>52.936123470546605</v>
      </c>
      <c r="J230" s="85">
        <f>IF(H230,An,'2024'!An_max)</f>
        <v>2018</v>
      </c>
      <c r="K230" s="196">
        <f t="shared" si="79"/>
        <v>45873</v>
      </c>
      <c r="L230" s="147">
        <f>IF(t&lt;Tvie,1-EXP((T0-t)*PertePVj)+'2024'!Pspv,1-EXP((T0-t)*PertePVj)+Pspv)</f>
        <v>5.4631904023571633E-2</v>
      </c>
      <c r="M230" s="847"/>
      <c r="N230" s="847"/>
      <c r="O230" s="48">
        <f>IF(t&lt;Tnet,'2024'!Resal+('2024'!Salim-'2024'!Resal)*(1-EXP(('2024'!Tnet-t)/('2024'!Tau_j))),Resal+(Salim-Resal)*(1-EXP((Tnet-t)/(Tau_j))))*Salcycl</f>
        <v>4.3950661160413601E-2</v>
      </c>
      <c r="P230" s="168">
        <f>(INDEX(Models!$BJ230:$BT230,,T230)*(1-R230)+INDEX(Models!$BJ230:$BT230,,T230+1)*R230-ERP_i)*Q230*Ramure*Pc/MaxiM</f>
        <v>5.178409471298888E-5</v>
      </c>
      <c r="Q230" s="304">
        <f t="shared" si="80"/>
        <v>0.5</v>
      </c>
      <c r="R230" s="176">
        <f t="shared" si="81"/>
        <v>0.7914933156538444</v>
      </c>
      <c r="S230" s="814">
        <f t="shared" si="82"/>
        <v>-1</v>
      </c>
      <c r="T230" s="175">
        <f t="shared" si="83"/>
        <v>5</v>
      </c>
      <c r="U230" s="250">
        <f t="shared" si="84"/>
        <v>-0.20850668434615566</v>
      </c>
      <c r="V230" s="382">
        <f t="shared" si="85"/>
        <v>50.59752962912426</v>
      </c>
      <c r="W230" s="401">
        <f t="shared" si="86"/>
        <v>45.302549277855562</v>
      </c>
      <c r="X230" s="157">
        <f t="shared" si="87"/>
        <v>45873</v>
      </c>
      <c r="Y230" s="384">
        <f t="shared" si="88"/>
        <v>43.234207020256562</v>
      </c>
      <c r="Z230" s="384">
        <f t="shared" si="89"/>
        <v>45.732669850257523</v>
      </c>
      <c r="AA230" s="385">
        <f t="shared" si="90"/>
        <v>50.100752847780583</v>
      </c>
      <c r="AB230" s="196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8.7185975244612787E-2</v>
      </c>
      <c r="AD230" s="230">
        <f>(INDEX(Models!$BJ230:$BT230,,AH230)*(1-AF230)+INDEX(Models!$BJ230:$BT230,,AH230+1)*AF230-ERP_i)*AE230*Ramure*Pc/MaxiM</f>
        <v>5.8536796373801099E-4</v>
      </c>
      <c r="AE230" s="304">
        <f t="shared" si="92"/>
        <v>0.5</v>
      </c>
      <c r="AF230" s="176">
        <f t="shared" si="93"/>
        <v>0.90648585547823179</v>
      </c>
      <c r="AG230" s="814">
        <f t="shared" si="99"/>
        <v>1</v>
      </c>
      <c r="AH230" s="175">
        <f t="shared" si="94"/>
        <v>7</v>
      </c>
      <c r="AI230" s="224">
        <f t="shared" si="95"/>
        <v>1.9064858554782318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10">
        <f>'2024'!Wh/'2024'!Env_an*'2025'!Env_an</f>
        <v>42.149459080581728</v>
      </c>
      <c r="C231" s="843"/>
      <c r="D231" s="392">
        <f t="shared" si="77"/>
        <v>44.58621069363037</v>
      </c>
      <c r="E231" s="384">
        <f t="shared" si="75"/>
        <v>46.63897848725329</v>
      </c>
      <c r="F231" s="384">
        <f t="shared" si="78"/>
        <v>46.640755217539692</v>
      </c>
      <c r="G231" s="110">
        <f t="shared" si="76"/>
        <v>0.83449962385770804</v>
      </c>
      <c r="H231" s="413" t="b">
        <f>Wh_hp&gt;='2024'!Maxi_hp</f>
        <v>0</v>
      </c>
      <c r="I231" s="389">
        <f>IF(H231,Wh_hp,'2024'!Maxi_hp)</f>
        <v>56.311096677498618</v>
      </c>
      <c r="J231" s="85">
        <f>IF(H231,An,'2024'!An_max)</f>
        <v>2020</v>
      </c>
      <c r="K231" s="196">
        <f t="shared" si="79"/>
        <v>45874</v>
      </c>
      <c r="L231" s="147">
        <f>IF(t&lt;Tvie,1-EXP((T0-t)*PertePVj)+'2024'!Pspv,1-EXP((T0-t)*PertePVj)+Pspv)</f>
        <v>5.4652583728017047E-2</v>
      </c>
      <c r="M231" s="847"/>
      <c r="N231" s="847"/>
      <c r="O231" s="48">
        <f>IF(t&lt;Tnet,'2024'!Resal+('2024'!Salim-'2024'!Resal)*(1-EXP(('2024'!Tnet-t)/('2024'!Tau_j))),Resal+(Salim-Resal)*(1-EXP((Tnet-t)/(Tau_j))))*Salcycl</f>
        <v>4.4013995593491652E-2</v>
      </c>
      <c r="P231" s="168">
        <f>(INDEX(Models!$BJ231:$BT231,,T231)*(1-R231)+INDEX(Models!$BJ231:$BT231,,T231+1)*R231-ERP_i)*Q231*Ramure*Pc/MaxiM</f>
        <v>4.988828448397401E-5</v>
      </c>
      <c r="Q231" s="304">
        <f t="shared" si="80"/>
        <v>0.5</v>
      </c>
      <c r="R231" s="176">
        <f t="shared" si="81"/>
        <v>0.79253231043802974</v>
      </c>
      <c r="S231" s="814">
        <f t="shared" si="82"/>
        <v>-1</v>
      </c>
      <c r="T231" s="175">
        <f t="shared" si="83"/>
        <v>5</v>
      </c>
      <c r="U231" s="250">
        <f t="shared" si="84"/>
        <v>-0.20746768956197026</v>
      </c>
      <c r="V231" s="382">
        <f t="shared" si="85"/>
        <v>50.508065829554944</v>
      </c>
      <c r="W231" s="401">
        <f t="shared" si="86"/>
        <v>42.149459080581728</v>
      </c>
      <c r="X231" s="157">
        <f t="shared" si="87"/>
        <v>45874</v>
      </c>
      <c r="Y231" s="384">
        <f t="shared" si="88"/>
        <v>40.229449458898763</v>
      </c>
      <c r="Z231" s="384">
        <f t="shared" si="89"/>
        <v>42.555201152974298</v>
      </c>
      <c r="AA231" s="385">
        <f t="shared" si="90"/>
        <v>46.620654696790581</v>
      </c>
      <c r="AB231" s="196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8.7202841106737067E-2</v>
      </c>
      <c r="AD231" s="230">
        <f>(INDEX(Models!$BJ231:$BT231,,AH231)*(1-AF231)+INDEX(Models!$BJ231:$BT231,,AH231+1)*AF231-ERP_i)*AE231*Ramure*Pc/MaxiM</f>
        <v>5.6439658010009393E-4</v>
      </c>
      <c r="AE231" s="304">
        <f t="shared" si="92"/>
        <v>0.5</v>
      </c>
      <c r="AF231" s="176">
        <f t="shared" si="93"/>
        <v>0.90752485026241714</v>
      </c>
      <c r="AG231" s="814">
        <f t="shared" si="99"/>
        <v>1</v>
      </c>
      <c r="AH231" s="175">
        <f t="shared" si="94"/>
        <v>7</v>
      </c>
      <c r="AI231" s="224">
        <f t="shared" si="95"/>
        <v>1.9075248502624171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10">
        <f>'2024'!Wh/'2024'!Env_an*'2025'!Env_an</f>
        <v>46.187313157005292</v>
      </c>
      <c r="C232" s="843"/>
      <c r="D232" s="392">
        <f t="shared" si="77"/>
        <v>48.85857063831768</v>
      </c>
      <c r="E232" s="384">
        <f t="shared" si="75"/>
        <v>51.11141646711711</v>
      </c>
      <c r="F232" s="384">
        <f t="shared" si="78"/>
        <v>51.113575382395872</v>
      </c>
      <c r="G232" s="110">
        <f t="shared" si="76"/>
        <v>0.91612389627188573</v>
      </c>
      <c r="H232" s="413" t="b">
        <f>Wh_hp&gt;='2024'!Maxi_hp</f>
        <v>0</v>
      </c>
      <c r="I232" s="389">
        <f>IF(H232,Wh_hp,'2024'!Maxi_hp)</f>
        <v>56.389246381378285</v>
      </c>
      <c r="J232" s="85">
        <f>IF(H232,An,'2024'!An_max)</f>
        <v>2020</v>
      </c>
      <c r="K232" s="196">
        <f t="shared" si="79"/>
        <v>45875</v>
      </c>
      <c r="L232" s="147">
        <f>IF(t&lt;Tvie,1-EXP((T0-t)*PertePVj)+'2024'!Pspv,1-EXP((T0-t)*PertePVj)+Pspv)</f>
        <v>5.4673262979523886E-2</v>
      </c>
      <c r="M232" s="847"/>
      <c r="N232" s="847"/>
      <c r="O232" s="48">
        <f>IF(t&lt;Tnet,'2024'!Resal+('2024'!Salim-'2024'!Resal)*(1-EXP(('2024'!Tnet-t)/('2024'!Tau_j))),Resal+(Salim-Resal)*(1-EXP((Tnet-t)/(Tau_j))))*Salcycl</f>
        <v>4.4077155056910122E-2</v>
      </c>
      <c r="P232" s="168">
        <f>(INDEX(Models!$BJ232:$BT232,,T232)*(1-R232)+INDEX(Models!$BJ232:$BT232,,T232+1)*R232-ERP_i)*Q232*Ramure*Pc/MaxiM</f>
        <v>4.7987222409009151E-5</v>
      </c>
      <c r="Q232" s="304">
        <f t="shared" si="80"/>
        <v>0.5</v>
      </c>
      <c r="R232" s="176">
        <f t="shared" si="81"/>
        <v>0.79353696082374869</v>
      </c>
      <c r="S232" s="814">
        <f t="shared" si="82"/>
        <v>-1</v>
      </c>
      <c r="T232" s="175">
        <f t="shared" si="83"/>
        <v>5</v>
      </c>
      <c r="U232" s="250">
        <f t="shared" si="84"/>
        <v>-0.20646303917625131</v>
      </c>
      <c r="V232" s="382">
        <f t="shared" si="85"/>
        <v>50.415721906839728</v>
      </c>
      <c r="W232" s="401">
        <f t="shared" si="86"/>
        <v>46.187313157005292</v>
      </c>
      <c r="X232" s="157">
        <f t="shared" si="87"/>
        <v>45875</v>
      </c>
      <c r="Y232" s="384">
        <f t="shared" si="88"/>
        <v>44.083565053193958</v>
      </c>
      <c r="Z232" s="384">
        <f t="shared" si="89"/>
        <v>46.633151615005147</v>
      </c>
      <c r="AA232" s="385">
        <f t="shared" si="90"/>
        <v>51.08911789350357</v>
      </c>
      <c r="AB232" s="196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8.7219479650969683E-2</v>
      </c>
      <c r="AD232" s="230">
        <f>(INDEX(Models!$BJ232:$BT232,,AH232)*(1-AF232)+INDEX(Models!$BJ232:$BT232,,AH232+1)*AF232-ERP_i)*AE232*Ramure*Pc/MaxiM</f>
        <v>5.436280759076236E-4</v>
      </c>
      <c r="AE232" s="304">
        <f t="shared" si="92"/>
        <v>0.5</v>
      </c>
      <c r="AF232" s="176">
        <f t="shared" si="93"/>
        <v>0.9085295006481362</v>
      </c>
      <c r="AG232" s="814">
        <f t="shared" si="99"/>
        <v>1</v>
      </c>
      <c r="AH232" s="175">
        <f t="shared" si="94"/>
        <v>7</v>
      </c>
      <c r="AI232" s="224">
        <f t="shared" si="95"/>
        <v>1.9085295006481362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10">
        <f>'2024'!Wh/'2024'!Env_an*'2025'!Env_an</f>
        <v>49.09224382421759</v>
      </c>
      <c r="C233" s="843"/>
      <c r="D233" s="392">
        <f t="shared" si="77"/>
        <v>51.932644879647903</v>
      </c>
      <c r="E233" s="384">
        <f t="shared" ref="E233:E296" si="100">Wh_pvt/(1-Psa)</f>
        <v>54.3308147384327</v>
      </c>
      <c r="F233" s="384">
        <f t="shared" si="78"/>
        <v>54.33323115919557</v>
      </c>
      <c r="G233" s="110">
        <f t="shared" ref="G233:G296" si="101">+Wh_hp/MaxiM</f>
        <v>0.97558125783373972</v>
      </c>
      <c r="H233" s="413" t="b">
        <f>Wh_hp&gt;='2024'!Maxi_hp</f>
        <v>0</v>
      </c>
      <c r="I233" s="389">
        <f>IF(H233,Wh_hp,'2024'!Maxi_hp)</f>
        <v>54.87487901548878</v>
      </c>
      <c r="J233" s="85">
        <f>IF(H233,An,'2024'!An_max)</f>
        <v>2020</v>
      </c>
      <c r="K233" s="196">
        <f t="shared" si="79"/>
        <v>45876</v>
      </c>
      <c r="L233" s="147">
        <f>IF(t&lt;Tvie,1-EXP((T0-t)*PertePVj)+'2024'!Pspv,1-EXP((T0-t)*PertePVj)+Pspv)</f>
        <v>5.469394177810203E-2</v>
      </c>
      <c r="M233" s="847"/>
      <c r="N233" s="847"/>
      <c r="O233" s="48">
        <f>IF(t&lt;Tnet,'2024'!Resal+('2024'!Salim-'2024'!Resal)*(1-EXP(('2024'!Tnet-t)/('2024'!Tau_j))),Resal+(Salim-Resal)*(1-EXP((Tnet-t)/(Tau_j))))*Salcycl</f>
        <v>4.4140141654978232E-2</v>
      </c>
      <c r="P233" s="168">
        <f>(INDEX(Models!$BJ233:$BT233,,T233)*(1-R233)+INDEX(Models!$BJ233:$BT233,,T233+1)*R233-ERP_i)*Q233*Ramure*Pc/MaxiM</f>
        <v>4.6081484878648932E-5</v>
      </c>
      <c r="Q233" s="304">
        <f t="shared" si="80"/>
        <v>0.5</v>
      </c>
      <c r="R233" s="176">
        <f t="shared" si="81"/>
        <v>0.79450813515148688</v>
      </c>
      <c r="S233" s="814">
        <f t="shared" si="82"/>
        <v>-1</v>
      </c>
      <c r="T233" s="175">
        <f t="shared" si="83"/>
        <v>5</v>
      </c>
      <c r="U233" s="250">
        <f t="shared" si="84"/>
        <v>-0.20549186484851317</v>
      </c>
      <c r="V233" s="382">
        <f t="shared" si="85"/>
        <v>50.320938943486148</v>
      </c>
      <c r="W233" s="401">
        <f t="shared" si="86"/>
        <v>49.09224382421759</v>
      </c>
      <c r="X233" s="157">
        <f t="shared" si="87"/>
        <v>45876</v>
      </c>
      <c r="Y233" s="384">
        <f t="shared" si="88"/>
        <v>46.857297187509211</v>
      </c>
      <c r="Z233" s="384">
        <f t="shared" si="89"/>
        <v>49.568387698315256</v>
      </c>
      <c r="AA233" s="385">
        <f t="shared" si="90"/>
        <v>54.305803069555502</v>
      </c>
      <c r="AB233" s="196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8.7235895677161959E-2</v>
      </c>
      <c r="AD233" s="230">
        <f>(INDEX(Models!$BJ233:$BT233,,AH233)*(1-AF233)+INDEX(Models!$BJ233:$BT233,,AH233+1)*AF233-ERP_i)*AE233*Ramure*Pc/MaxiM</f>
        <v>5.2305753924067398E-4</v>
      </c>
      <c r="AE233" s="304">
        <f t="shared" si="92"/>
        <v>0.5</v>
      </c>
      <c r="AF233" s="176">
        <f t="shared" si="93"/>
        <v>0.90950067497587428</v>
      </c>
      <c r="AG233" s="814">
        <f t="shared" si="99"/>
        <v>1</v>
      </c>
      <c r="AH233" s="175">
        <f t="shared" si="94"/>
        <v>7</v>
      </c>
      <c r="AI233" s="224">
        <f t="shared" si="95"/>
        <v>1.9095006749758743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10">
        <f>'2024'!Wh/'2024'!Env_an*'2025'!Env_an</f>
        <v>49.880795222389693</v>
      </c>
      <c r="C234" s="843"/>
      <c r="D234" s="392">
        <f t="shared" si="77"/>
        <v>52.767974925117677</v>
      </c>
      <c r="E234" s="384">
        <f t="shared" si="100"/>
        <v>55.208347098752384</v>
      </c>
      <c r="F234" s="384">
        <f t="shared" si="78"/>
        <v>55.210766457934838</v>
      </c>
      <c r="G234" s="110">
        <f t="shared" si="101"/>
        <v>0.99315917563475564</v>
      </c>
      <c r="H234" s="413" t="b">
        <f>Wh_hp&gt;='2024'!Maxi_hp</f>
        <v>1</v>
      </c>
      <c r="I234" s="389">
        <f>IF(H234,Wh_hp,'2024'!Maxi_hp)</f>
        <v>55.210766457934838</v>
      </c>
      <c r="J234" s="85">
        <f>IF(H234,An,'2024'!An_max)</f>
        <v>2025</v>
      </c>
      <c r="K234" s="196">
        <f t="shared" si="79"/>
        <v>45877</v>
      </c>
      <c r="L234" s="147">
        <f>IF(t&lt;Tvie,1-EXP((T0-t)*PertePVj)+'2024'!Pspv,1-EXP((T0-t)*PertePVj)+Pspv)</f>
        <v>5.4714620123761472E-2</v>
      </c>
      <c r="M234" s="847"/>
      <c r="N234" s="847"/>
      <c r="O234" s="48">
        <f>IF(t&lt;Tnet,'2024'!Resal+('2024'!Salim-'2024'!Resal)*(1-EXP(('2024'!Tnet-t)/('2024'!Tau_j))),Resal+(Salim-Resal)*(1-EXP((Tnet-t)/(Tau_j))))*Salcycl</f>
        <v>4.4202956651999713E-2</v>
      </c>
      <c r="P234" s="168">
        <f>(INDEX(Models!$BJ234:$BT234,,T234)*(1-R234)+INDEX(Models!$BJ234:$BT234,,T234+1)*R234-ERP_i)*Q234*Ramure*Pc/MaxiM</f>
        <v>4.4252862409607814E-5</v>
      </c>
      <c r="Q234" s="304">
        <f t="shared" si="80"/>
        <v>0.5</v>
      </c>
      <c r="R234" s="176">
        <f t="shared" si="81"/>
        <v>0.7954466995112397</v>
      </c>
      <c r="S234" s="814">
        <f t="shared" si="82"/>
        <v>-1</v>
      </c>
      <c r="T234" s="175">
        <f t="shared" si="83"/>
        <v>5</v>
      </c>
      <c r="U234" s="250">
        <f t="shared" si="84"/>
        <v>-0.20455330048876025</v>
      </c>
      <c r="V234" s="382">
        <f t="shared" si="85"/>
        <v>50.224349605571184</v>
      </c>
      <c r="W234" s="401">
        <f t="shared" si="86"/>
        <v>49.880795222389693</v>
      </c>
      <c r="X234" s="157">
        <f t="shared" si="87"/>
        <v>45877</v>
      </c>
      <c r="Y234" s="384">
        <f t="shared" si="88"/>
        <v>47.612457683130977</v>
      </c>
      <c r="Z234" s="384">
        <f t="shared" si="89"/>
        <v>50.368342404031083</v>
      </c>
      <c r="AA234" s="385">
        <f t="shared" si="90"/>
        <v>55.183191305281362</v>
      </c>
      <c r="AB234" s="196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8.7252092301328424E-2</v>
      </c>
      <c r="AD234" s="230">
        <f>(INDEX(Models!$BJ234:$BT234,,AH234)*(1-AF234)+INDEX(Models!$BJ234:$BT234,,AH234+1)*AF234-ERP_i)*AE234*Ramure*Pc/MaxiM</f>
        <v>5.0438126143053914E-4</v>
      </c>
      <c r="AE234" s="304">
        <f t="shared" si="92"/>
        <v>0.5</v>
      </c>
      <c r="AF234" s="176">
        <f t="shared" si="93"/>
        <v>0.91043923933562709</v>
      </c>
      <c r="AG234" s="814">
        <f t="shared" si="99"/>
        <v>1</v>
      </c>
      <c r="AH234" s="175">
        <f t="shared" si="94"/>
        <v>7</v>
      </c>
      <c r="AI234" s="224">
        <f t="shared" si="95"/>
        <v>1.9104392393356271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10">
        <f>'2024'!Wh/'2024'!Env_an*'2025'!Env_an</f>
        <v>48.212685095071507</v>
      </c>
      <c r="C235" s="843"/>
      <c r="D235" s="392">
        <f t="shared" si="77"/>
        <v>51.004427642230624</v>
      </c>
      <c r="E235" s="384">
        <f t="shared" si="100"/>
        <v>53.366738363420744</v>
      </c>
      <c r="F235" s="384">
        <f t="shared" si="78"/>
        <v>53.368883217656574</v>
      </c>
      <c r="G235" s="110">
        <f t="shared" si="101"/>
        <v>0.96182854329499268</v>
      </c>
      <c r="H235" s="413" t="b">
        <f>Wh_hp&gt;='2024'!Maxi_hp</f>
        <v>0</v>
      </c>
      <c r="I235" s="389">
        <f>IF(H235,Wh_hp,'2024'!Maxi_hp)</f>
        <v>55.479223820400136</v>
      </c>
      <c r="J235" s="85">
        <f>IF(H235,An,'2024'!An_max)</f>
        <v>2021</v>
      </c>
      <c r="K235" s="196">
        <f t="shared" si="79"/>
        <v>45878</v>
      </c>
      <c r="L235" s="147">
        <f>IF(t&lt;Tvie,1-EXP((T0-t)*PertePVj)+'2024'!Pspv,1-EXP((T0-t)*PertePVj)+Pspv)</f>
        <v>5.4735298016511981E-2</v>
      </c>
      <c r="M235" s="847"/>
      <c r="N235" s="847"/>
      <c r="O235" s="48">
        <f>IF(t&lt;Tnet,'2024'!Resal+('2024'!Salim-'2024'!Resal)*(1-EXP(('2024'!Tnet-t)/('2024'!Tau_j))),Resal+(Salim-Resal)*(1-EXP((Tnet-t)/(Tau_j))))*Salcycl</f>
        <v>4.4265600515120199E-2</v>
      </c>
      <c r="P235" s="168">
        <f>(INDEX(Models!$BJ235:$BT235,,T235)*(1-R235)+INDEX(Models!$BJ235:$BT235,,T235+1)*R235-ERP_i)*Q235*Ramure*Pc/MaxiM</f>
        <v>4.2507029021976437E-5</v>
      </c>
      <c r="Q235" s="304">
        <f t="shared" si="80"/>
        <v>0.5</v>
      </c>
      <c r="R235" s="176">
        <f t="shared" si="81"/>
        <v>0.79635351603241666</v>
      </c>
      <c r="S235" s="814">
        <f t="shared" si="82"/>
        <v>-1</v>
      </c>
      <c r="T235" s="175">
        <f t="shared" si="83"/>
        <v>5</v>
      </c>
      <c r="U235" s="250">
        <f t="shared" si="84"/>
        <v>-0.20364648396758328</v>
      </c>
      <c r="V235" s="382">
        <f t="shared" si="85"/>
        <v>50.125954027131485</v>
      </c>
      <c r="W235" s="401">
        <f t="shared" si="86"/>
        <v>48.212685095071507</v>
      </c>
      <c r="X235" s="157">
        <f t="shared" si="87"/>
        <v>45878</v>
      </c>
      <c r="Y235" s="384">
        <f t="shared" si="88"/>
        <v>46.024015447666116</v>
      </c>
      <c r="Z235" s="384">
        <f t="shared" si="89"/>
        <v>48.689023668282566</v>
      </c>
      <c r="AA235" s="385">
        <f t="shared" si="90"/>
        <v>53.34427571118875</v>
      </c>
      <c r="AB235" s="196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8.7268071050588161E-2</v>
      </c>
      <c r="AD235" s="230">
        <f>(INDEX(Models!$BJ235:$BT235,,AH235)*(1-AF235)+INDEX(Models!$BJ235:$BT235,,AH235+1)*AF235-ERP_i)*AE235*Ramure*Pc/MaxiM</f>
        <v>4.8767509423864659E-4</v>
      </c>
      <c r="AE235" s="304">
        <f t="shared" si="92"/>
        <v>0.5</v>
      </c>
      <c r="AF235" s="176">
        <f t="shared" si="93"/>
        <v>0.91134605585680406</v>
      </c>
      <c r="AG235" s="814">
        <f t="shared" si="99"/>
        <v>1</v>
      </c>
      <c r="AH235" s="175">
        <f t="shared" si="94"/>
        <v>7</v>
      </c>
      <c r="AI235" s="224">
        <f t="shared" si="95"/>
        <v>1.9113460558568041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10">
        <f>'2024'!Wh/'2024'!Env_an*'2025'!Env_an</f>
        <v>46.227824662952003</v>
      </c>
      <c r="C236" s="843"/>
      <c r="D236" s="392">
        <f t="shared" si="77"/>
        <v>48.905704201907852</v>
      </c>
      <c r="E236" s="384">
        <f t="shared" si="100"/>
        <v>51.174155919121908</v>
      </c>
      <c r="F236" s="384">
        <f t="shared" si="78"/>
        <v>51.176019553073594</v>
      </c>
      <c r="G236" s="110">
        <f t="shared" si="101"/>
        <v>0.92407645071359656</v>
      </c>
      <c r="H236" s="413" t="b">
        <f>Wh_hp&gt;='2024'!Maxi_hp</f>
        <v>0</v>
      </c>
      <c r="I236" s="389">
        <f>IF(H236,Wh_hp,'2024'!Maxi_hp)</f>
        <v>51.455396116933656</v>
      </c>
      <c r="J236" s="85">
        <f>IF(H236,An,'2024'!An_max)</f>
        <v>2021</v>
      </c>
      <c r="K236" s="196">
        <f t="shared" si="79"/>
        <v>45879</v>
      </c>
      <c r="L236" s="147">
        <f>IF(t&lt;Tvie,1-EXP((T0-t)*PertePVj)+'2024'!Pspv,1-EXP((T0-t)*PertePVj)+Pspv)</f>
        <v>5.4755975456363661E-2</v>
      </c>
      <c r="M236" s="847"/>
      <c r="N236" s="847"/>
      <c r="O236" s="48">
        <f>IF(t&lt;Tnet,'2024'!Resal+('2024'!Salim-'2024'!Resal)*(1-EXP(('2024'!Tnet-t)/('2024'!Tau_j))),Resal+(Salim-Resal)*(1-EXP((Tnet-t)/(Tau_j))))*Salcycl</f>
        <v>4.4328072959312327E-2</v>
      </c>
      <c r="P236" s="168">
        <f>(INDEX(Models!$BJ236:$BT236,,T236)*(1-R236)+INDEX(Models!$BJ236:$BT236,,T236+1)*R236-ERP_i)*Q236*Ramure*Pc/MaxiM</f>
        <v>4.0846185595137527E-5</v>
      </c>
      <c r="Q236" s="304">
        <f t="shared" si="80"/>
        <v>0.5</v>
      </c>
      <c r="R236" s="176">
        <f t="shared" si="81"/>
        <v>0.79722944131195494</v>
      </c>
      <c r="S236" s="814">
        <f t="shared" si="82"/>
        <v>-1</v>
      </c>
      <c r="T236" s="175">
        <f t="shared" si="83"/>
        <v>5</v>
      </c>
      <c r="U236" s="250">
        <f t="shared" si="84"/>
        <v>-0.202770558688045</v>
      </c>
      <c r="V236" s="382">
        <f t="shared" si="85"/>
        <v>50.025752554564896</v>
      </c>
      <c r="W236" s="401">
        <f t="shared" si="86"/>
        <v>46.227824662952003</v>
      </c>
      <c r="X236" s="157">
        <f t="shared" si="87"/>
        <v>45879</v>
      </c>
      <c r="Y236" s="384">
        <f t="shared" si="88"/>
        <v>44.13295694556264</v>
      </c>
      <c r="Z236" s="384">
        <f t="shared" si="89"/>
        <v>46.689485254212556</v>
      </c>
      <c r="AA236" s="385">
        <f t="shared" si="90"/>
        <v>51.154440875694682</v>
      </c>
      <c r="AB236" s="196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8.7283831961568567E-2</v>
      </c>
      <c r="AD236" s="230">
        <f>(INDEX(Models!$BJ236:$BT236,,AH236)*(1-AF236)+INDEX(Models!$BJ236:$BT236,,AH236+1)*AF236-ERP_i)*AE236*Ramure*Pc/MaxiM</f>
        <v>4.7295052782115308E-4</v>
      </c>
      <c r="AE236" s="304">
        <f t="shared" si="92"/>
        <v>0.5</v>
      </c>
      <c r="AF236" s="176">
        <f t="shared" si="93"/>
        <v>0.91222198113634256</v>
      </c>
      <c r="AG236" s="814">
        <f t="shared" si="99"/>
        <v>1</v>
      </c>
      <c r="AH236" s="175">
        <f t="shared" si="94"/>
        <v>7</v>
      </c>
      <c r="AI236" s="224">
        <f t="shared" si="95"/>
        <v>1.9122219811363426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10">
        <f>'2024'!Wh/'2024'!Env_an*'2025'!Env_an</f>
        <v>42.540883759224478</v>
      </c>
      <c r="C237" s="843"/>
      <c r="D237" s="392">
        <f t="shared" si="77"/>
        <v>45.006171154351236</v>
      </c>
      <c r="E237" s="384">
        <f t="shared" si="100"/>
        <v>47.096816401220302</v>
      </c>
      <c r="F237" s="384">
        <f t="shared" si="78"/>
        <v>47.098275303880143</v>
      </c>
      <c r="G237" s="110">
        <f t="shared" si="101"/>
        <v>0.85211015936804169</v>
      </c>
      <c r="H237" s="413" t="b">
        <f>Wh_hp&gt;='2024'!Maxi_hp</f>
        <v>0</v>
      </c>
      <c r="I237" s="389">
        <f>IF(H237,Wh_hp,'2024'!Maxi_hp)</f>
        <v>54.32605328693775</v>
      </c>
      <c r="J237" s="85">
        <f>IF(H237,An,'2024'!An_max)</f>
        <v>2018</v>
      </c>
      <c r="K237" s="196">
        <f t="shared" si="79"/>
        <v>45880</v>
      </c>
      <c r="L237" s="147">
        <f>IF(t&lt;Tvie,1-EXP((T0-t)*PertePVj)+'2024'!Pspv,1-EXP((T0-t)*PertePVj)+Pspv)</f>
        <v>5.4776652443326281E-2</v>
      </c>
      <c r="M237" s="847"/>
      <c r="N237" s="847"/>
      <c r="O237" s="48">
        <f>IF(t&lt;Tnet,'2024'!Resal+('2024'!Salim-'2024'!Resal)*(1-EXP(('2024'!Tnet-t)/('2024'!Tau_j))),Resal+(Salim-Resal)*(1-EXP((Tnet-t)/(Tau_j))))*Salcycl</f>
        <v>4.4390372993765616E-2</v>
      </c>
      <c r="P237" s="168">
        <f>(INDEX(Models!$BJ237:$BT237,,T237)*(1-R237)+INDEX(Models!$BJ237:$BT237,,T237+1)*R237-ERP_i)*Q237*Ramure*Pc/MaxiM</f>
        <v>3.9272455131583354E-5</v>
      </c>
      <c r="Q237" s="304">
        <f t="shared" si="80"/>
        <v>0.5</v>
      </c>
      <c r="R237" s="176">
        <f t="shared" si="81"/>
        <v>0.79807532497576061</v>
      </c>
      <c r="S237" s="814">
        <f t="shared" si="82"/>
        <v>-1</v>
      </c>
      <c r="T237" s="175">
        <f t="shared" si="83"/>
        <v>5</v>
      </c>
      <c r="U237" s="250">
        <f t="shared" si="84"/>
        <v>-0.20192467502423944</v>
      </c>
      <c r="V237" s="382">
        <f t="shared" si="85"/>
        <v>49.923745574280538</v>
      </c>
      <c r="W237" s="401">
        <f t="shared" si="86"/>
        <v>42.540883759224478</v>
      </c>
      <c r="X237" s="157">
        <f t="shared" si="87"/>
        <v>45880</v>
      </c>
      <c r="Y237" s="384">
        <f t="shared" si="88"/>
        <v>40.617212822154379</v>
      </c>
      <c r="Z237" s="384">
        <f t="shared" si="89"/>
        <v>42.971021533848699</v>
      </c>
      <c r="AA237" s="385">
        <f t="shared" si="90"/>
        <v>47.081178970091578</v>
      </c>
      <c r="AB237" s="196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8.7299373680804843E-2</v>
      </c>
      <c r="AD237" s="230">
        <f>(INDEX(Models!$BJ237:$BT237,,AH237)*(1-AF237)+INDEX(Models!$BJ237:$BT237,,AH237+1)*AF237-ERP_i)*AE237*Ramure*Pc/MaxiM</f>
        <v>4.6021919083907804E-4</v>
      </c>
      <c r="AE237" s="304">
        <f t="shared" si="92"/>
        <v>0.5</v>
      </c>
      <c r="AF237" s="176">
        <f t="shared" si="93"/>
        <v>0.91306786480014801</v>
      </c>
      <c r="AG237" s="814">
        <f t="shared" si="99"/>
        <v>1</v>
      </c>
      <c r="AH237" s="175">
        <f t="shared" si="94"/>
        <v>7</v>
      </c>
      <c r="AI237" s="224">
        <f t="shared" si="95"/>
        <v>1.913067864800148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10">
        <f>'2024'!Wh/'2024'!Env_an*'2025'!Env_an</f>
        <v>44.646458677444613</v>
      </c>
      <c r="C238" s="843"/>
      <c r="D238" s="392">
        <f t="shared" si="77"/>
        <v>47.234799526267494</v>
      </c>
      <c r="E238" s="384">
        <f t="shared" si="100"/>
        <v>49.432183617560312</v>
      </c>
      <c r="F238" s="384">
        <f t="shared" si="78"/>
        <v>49.43377450205854</v>
      </c>
      <c r="G238" s="110">
        <f t="shared" si="101"/>
        <v>0.89615150491841689</v>
      </c>
      <c r="H238" s="413" t="b">
        <f>Wh_hp&gt;='2024'!Maxi_hp</f>
        <v>0</v>
      </c>
      <c r="I238" s="389">
        <f>IF(H238,Wh_hp,'2024'!Maxi_hp)</f>
        <v>51.451294762618211</v>
      </c>
      <c r="J238" s="85">
        <f>IF(H238,An,'2024'!An_max)</f>
        <v>2018</v>
      </c>
      <c r="K238" s="196">
        <f t="shared" si="79"/>
        <v>45881</v>
      </c>
      <c r="L238" s="147">
        <f>IF(t&lt;Tvie,1-EXP((T0-t)*PertePVj)+'2024'!Pspv,1-EXP((T0-t)*PertePVj)+Pspv)</f>
        <v>5.4797328977409833E-2</v>
      </c>
      <c r="M238" s="847"/>
      <c r="N238" s="847"/>
      <c r="O238" s="48">
        <f>IF(t&lt;Tnet,'2024'!Resal+('2024'!Salim-'2024'!Resal)*(1-EXP(('2024'!Tnet-t)/('2024'!Tau_j))),Resal+(Salim-Resal)*(1-EXP((Tnet-t)/(Tau_j))))*Salcycl</f>
        <v>4.4452498968955555E-2</v>
      </c>
      <c r="P238" s="168">
        <f>(INDEX(Models!$BJ238:$BT238,,T238)*(1-R238)+INDEX(Models!$BJ238:$BT238,,T238+1)*R238-ERP_i)*Q238*Ramure*Pc/MaxiM</f>
        <v>3.7787887477634665E-5</v>
      </c>
      <c r="Q238" s="304">
        <f t="shared" si="80"/>
        <v>0.5</v>
      </c>
      <c r="R238" s="176">
        <f t="shared" si="81"/>
        <v>0.79889200836830021</v>
      </c>
      <c r="S238" s="814">
        <f t="shared" si="82"/>
        <v>-1</v>
      </c>
      <c r="T238" s="175">
        <f t="shared" si="83"/>
        <v>5</v>
      </c>
      <c r="U238" s="250">
        <f t="shared" si="84"/>
        <v>-0.20110799163169985</v>
      </c>
      <c r="V238" s="382">
        <f t="shared" si="85"/>
        <v>49.819933512852373</v>
      </c>
      <c r="W238" s="401">
        <f t="shared" si="86"/>
        <v>44.646458677444613</v>
      </c>
      <c r="X238" s="157">
        <f t="shared" si="87"/>
        <v>45881</v>
      </c>
      <c r="Y238" s="384">
        <f t="shared" si="88"/>
        <v>42.628837193553082</v>
      </c>
      <c r="Z238" s="384">
        <f t="shared" si="89"/>
        <v>45.10020813571554</v>
      </c>
      <c r="AA238" s="385">
        <f t="shared" si="90"/>
        <v>49.414850680475958</v>
      </c>
      <c r="AB238" s="196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8.7314693565696752E-2</v>
      </c>
      <c r="AD238" s="230">
        <f>(INDEX(Models!$BJ238:$BT238,,AH238)*(1-AF238)+INDEX(Models!$BJ238:$BT238,,AH238+1)*AF238-ERP_i)*AE238*Ramure*Pc/MaxiM</f>
        <v>4.494928710463903E-4</v>
      </c>
      <c r="AE238" s="304">
        <f t="shared" si="92"/>
        <v>0.5</v>
      </c>
      <c r="AF238" s="176">
        <f t="shared" si="93"/>
        <v>0.91388454819268761</v>
      </c>
      <c r="AG238" s="814">
        <f t="shared" si="99"/>
        <v>1</v>
      </c>
      <c r="AH238" s="175">
        <f t="shared" si="94"/>
        <v>7</v>
      </c>
      <c r="AI238" s="224">
        <f t="shared" si="95"/>
        <v>1.9138845481926876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10">
        <f>'2024'!Wh/'2024'!Env_an*'2025'!Env_an</f>
        <v>31.100638475232152</v>
      </c>
      <c r="C239" s="843"/>
      <c r="D239" s="392">
        <f t="shared" si="77"/>
        <v>32.904391579275845</v>
      </c>
      <c r="E239" s="384">
        <f t="shared" si="100"/>
        <v>34.437351283731154</v>
      </c>
      <c r="F239" s="384">
        <f t="shared" si="78"/>
        <v>34.437934247618678</v>
      </c>
      <c r="G239" s="110">
        <f t="shared" si="101"/>
        <v>0.62557498580937332</v>
      </c>
      <c r="H239" s="413" t="b">
        <f>Wh_hp&gt;='2024'!Maxi_hp</f>
        <v>0</v>
      </c>
      <c r="I239" s="389">
        <f>IF(H239,Wh_hp,'2024'!Maxi_hp)</f>
        <v>51.299776685989691</v>
      </c>
      <c r="J239" s="85">
        <f>IF(H239,An,'2024'!An_max)</f>
        <v>2019</v>
      </c>
      <c r="K239" s="196">
        <f t="shared" si="79"/>
        <v>45882</v>
      </c>
      <c r="L239" s="147">
        <f>IF(t&lt;Tvie,1-EXP((T0-t)*PertePVj)+'2024'!Pspv,1-EXP((T0-t)*PertePVj)+Pspv)</f>
        <v>5.4818005058624199E-2</v>
      </c>
      <c r="M239" s="847"/>
      <c r="N239" s="847"/>
      <c r="O239" s="48">
        <f>IF(t&lt;Tnet,'2024'!Resal+('2024'!Salim-'2024'!Resal)*(1-EXP(('2024'!Tnet-t)/('2024'!Tau_j))),Resal+(Salim-Resal)*(1-EXP((Tnet-t)/(Tau_j))))*Salcycl</f>
        <v>4.4514448623681181E-2</v>
      </c>
      <c r="P239" s="168">
        <f>(INDEX(Models!$BJ239:$BT239,,T239)*(1-R239)+INDEX(Models!$BJ239:$BT239,,T239+1)*R239-ERP_i)*Q239*Ramure*Pc/MaxiM</f>
        <v>3.6394463798618269E-5</v>
      </c>
      <c r="Q239" s="304">
        <f t="shared" si="80"/>
        <v>0.5</v>
      </c>
      <c r="R239" s="176">
        <f t="shared" si="81"/>
        <v>0.79968032336494632</v>
      </c>
      <c r="S239" s="814">
        <f t="shared" si="82"/>
        <v>-1</v>
      </c>
      <c r="T239" s="175">
        <f t="shared" si="83"/>
        <v>5</v>
      </c>
      <c r="U239" s="250">
        <f t="shared" si="84"/>
        <v>-0.20031967663505368</v>
      </c>
      <c r="V239" s="382">
        <f t="shared" si="85"/>
        <v>49.714316828016074</v>
      </c>
      <c r="W239" s="401">
        <f t="shared" si="86"/>
        <v>31.100638475232152</v>
      </c>
      <c r="X239" s="157">
        <f t="shared" si="87"/>
        <v>45882</v>
      </c>
      <c r="Y239" s="384">
        <f t="shared" si="88"/>
        <v>29.701430111136691</v>
      </c>
      <c r="Z239" s="384">
        <f t="shared" si="89"/>
        <v>31.424032905936702</v>
      </c>
      <c r="AA239" s="385">
        <f t="shared" si="90"/>
        <v>34.430873808907911</v>
      </c>
      <c r="AB239" s="196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8.7329787784627244E-2</v>
      </c>
      <c r="AD239" s="230">
        <f>(INDEX(Models!$BJ239:$BT239,,AH239)*(1-AF239)+INDEX(Models!$BJ239:$BT239,,AH239+1)*AF239-ERP_i)*AE239*Ramure*Pc/MaxiM</f>
        <v>4.4078353146776269E-4</v>
      </c>
      <c r="AE239" s="304">
        <f t="shared" si="92"/>
        <v>0.5</v>
      </c>
      <c r="AF239" s="176">
        <f t="shared" si="93"/>
        <v>0.91467286318933372</v>
      </c>
      <c r="AG239" s="814">
        <f t="shared" si="99"/>
        <v>1</v>
      </c>
      <c r="AH239" s="175">
        <f t="shared" si="94"/>
        <v>7</v>
      </c>
      <c r="AI239" s="224">
        <f t="shared" si="95"/>
        <v>1.9146728631893337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10">
        <f>'2024'!Wh/'2024'!Env_an*'2025'!Env_an</f>
        <v>32.335065060924848</v>
      </c>
      <c r="C240" s="843"/>
      <c r="D240" s="392">
        <f t="shared" si="77"/>
        <v>34.211159936620355</v>
      </c>
      <c r="E240" s="384">
        <f t="shared" si="100"/>
        <v>35.807314640543645</v>
      </c>
      <c r="F240" s="384">
        <f t="shared" si="78"/>
        <v>35.80794901711495</v>
      </c>
      <c r="G240" s="110">
        <f t="shared" si="101"/>
        <v>0.65181468166655798</v>
      </c>
      <c r="H240" s="413" t="b">
        <f>Wh_hp&gt;='2024'!Maxi_hp</f>
        <v>0</v>
      </c>
      <c r="I240" s="389">
        <f>IF(H240,Wh_hp,'2024'!Maxi_hp)</f>
        <v>56.168421438709679</v>
      </c>
      <c r="J240" s="85">
        <f>IF(H240,An,'2024'!An_max)</f>
        <v>2019</v>
      </c>
      <c r="K240" s="196">
        <f t="shared" si="79"/>
        <v>45883</v>
      </c>
      <c r="L240" s="147">
        <f>IF(t&lt;Tvie,1-EXP((T0-t)*PertePVj)+'2024'!Pspv,1-EXP((T0-t)*PertePVj)+Pspv)</f>
        <v>5.483868068697937E-2</v>
      </c>
      <c r="M240" s="847"/>
      <c r="N240" s="847"/>
      <c r="O240" s="48">
        <f>IF(t&lt;Tnet,'2024'!Resal+('2024'!Salim-'2024'!Resal)*(1-EXP(('2024'!Tnet-t)/('2024'!Tau_j))),Resal+(Salim-Resal)*(1-EXP((Tnet-t)/(Tau_j))))*Salcycl</f>
        <v>4.4576219131384119E-2</v>
      </c>
      <c r="P240" s="168">
        <f>(INDEX(Models!$BJ240:$BT240,,T240)*(1-R240)+INDEX(Models!$BJ240:$BT240,,T240+1)*R240-ERP_i)*Q240*Ramure*Pc/MaxiM</f>
        <v>3.5248258316350358E-5</v>
      </c>
      <c r="Q240" s="304">
        <f t="shared" si="80"/>
        <v>0.5</v>
      </c>
      <c r="R240" s="176">
        <f t="shared" si="81"/>
        <v>0.80044109130151564</v>
      </c>
      <c r="S240" s="814">
        <f t="shared" si="82"/>
        <v>-1</v>
      </c>
      <c r="T240" s="175">
        <f t="shared" si="83"/>
        <v>5</v>
      </c>
      <c r="U240" s="250">
        <f t="shared" si="84"/>
        <v>-0.19955890869848431</v>
      </c>
      <c r="V240" s="382">
        <f t="shared" si="85"/>
        <v>49.606888363048242</v>
      </c>
      <c r="W240" s="401">
        <f t="shared" si="86"/>
        <v>32.335065060924848</v>
      </c>
      <c r="X240" s="157">
        <f t="shared" si="87"/>
        <v>45883</v>
      </c>
      <c r="Y240" s="384">
        <f t="shared" si="88"/>
        <v>30.881409789805513</v>
      </c>
      <c r="Z240" s="384">
        <f t="shared" si="89"/>
        <v>32.673162939265545</v>
      </c>
      <c r="AA240" s="385">
        <f t="shared" si="90"/>
        <v>35.800111170026469</v>
      </c>
      <c r="AB240" s="196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8.7344651414908228E-2</v>
      </c>
      <c r="AD240" s="230">
        <f>(INDEX(Models!$BJ240:$BT240,,AH240)*(1-AF240)+INDEX(Models!$BJ240:$BT240,,AH240+1)*AF240-ERP_i)*AE240*Ramure*Pc/MaxiM</f>
        <v>4.3549915194936547E-4</v>
      </c>
      <c r="AE240" s="304">
        <f t="shared" si="92"/>
        <v>0.5</v>
      </c>
      <c r="AF240" s="176">
        <f t="shared" si="93"/>
        <v>0.91543363112590326</v>
      </c>
      <c r="AG240" s="814">
        <f t="shared" si="99"/>
        <v>1</v>
      </c>
      <c r="AH240" s="175">
        <f t="shared" si="94"/>
        <v>7</v>
      </c>
      <c r="AI240" s="224">
        <f t="shared" si="95"/>
        <v>1.9154336311259033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10">
        <f>'2024'!Wh/'2024'!Env_an*'2025'!Env_an</f>
        <v>37.076626441006212</v>
      </c>
      <c r="C241" s="843"/>
      <c r="D241" s="392">
        <f t="shared" si="77"/>
        <v>39.228686937741813</v>
      </c>
      <c r="E241" s="384">
        <f t="shared" si="100"/>
        <v>41.061586099105334</v>
      </c>
      <c r="F241" s="384">
        <f t="shared" si="78"/>
        <v>41.062490343697164</v>
      </c>
      <c r="G241" s="110">
        <f t="shared" si="101"/>
        <v>0.74904910156366944</v>
      </c>
      <c r="H241" s="413" t="b">
        <f>Wh_hp&gt;='2024'!Maxi_hp</f>
        <v>0</v>
      </c>
      <c r="I241" s="389">
        <f>IF(H241,Wh_hp,'2024'!Maxi_hp)</f>
        <v>54.459997130630313</v>
      </c>
      <c r="J241" s="85">
        <f>IF(H241,An,'2024'!An_max)</f>
        <v>2018</v>
      </c>
      <c r="K241" s="196">
        <f t="shared" si="79"/>
        <v>45884</v>
      </c>
      <c r="L241" s="147">
        <f>IF(t&lt;Tvie,1-EXP((T0-t)*PertePVj)+'2024'!Pspv,1-EXP((T0-t)*PertePVj)+Pspv)</f>
        <v>5.4859355862485117E-2</v>
      </c>
      <c r="M241" s="847"/>
      <c r="N241" s="847"/>
      <c r="O241" s="48">
        <f>IF(t&lt;Tnet,'2024'!Resal+('2024'!Salim-'2024'!Resal)*(1-EXP(('2024'!Tnet-t)/('2024'!Tau_j))),Resal+(Salim-Resal)*(1-EXP((Tnet-t)/(Tau_j))))*Salcycl</f>
        <v>4.4637807145093689E-2</v>
      </c>
      <c r="P241" s="168">
        <f>(INDEX(Models!$BJ241:$BT241,,T241)*(1-R241)+INDEX(Models!$BJ241:$BT241,,T241+1)*R241-ERP_i)*Q241*Ramure*Pc/MaxiM</f>
        <v>3.4327006195214025E-5</v>
      </c>
      <c r="Q241" s="304">
        <f t="shared" si="80"/>
        <v>0.5</v>
      </c>
      <c r="R241" s="176">
        <f t="shared" si="81"/>
        <v>0.8011751220153398</v>
      </c>
      <c r="S241" s="814">
        <f t="shared" si="82"/>
        <v>-1</v>
      </c>
      <c r="T241" s="175">
        <f t="shared" si="83"/>
        <v>5</v>
      </c>
      <c r="U241" s="250">
        <f t="shared" si="84"/>
        <v>-0.1988248779846602</v>
      </c>
      <c r="V241" s="382">
        <f t="shared" si="85"/>
        <v>49.49764988053618</v>
      </c>
      <c r="W241" s="401">
        <f t="shared" si="86"/>
        <v>37.076626441006212</v>
      </c>
      <c r="X241" s="157">
        <f t="shared" si="87"/>
        <v>45884</v>
      </c>
      <c r="Y241" s="384">
        <f t="shared" si="88"/>
        <v>35.409583931400668</v>
      </c>
      <c r="Z241" s="384">
        <f t="shared" si="89"/>
        <v>37.464883296510408</v>
      </c>
      <c r="AA241" s="385">
        <f t="shared" si="90"/>
        <v>41.051075648328201</v>
      </c>
      <c r="AB241" s="196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8.7359278537293056E-2</v>
      </c>
      <c r="AD241" s="230">
        <f>(INDEX(Models!$BJ241:$BT241,,AH241)*(1-AF241)+INDEX(Models!$BJ241:$BT241,,AH241+1)*AF241-ERP_i)*AE241*Ramure*Pc/MaxiM</f>
        <v>4.3332558711043799E-4</v>
      </c>
      <c r="AE241" s="304">
        <f t="shared" si="92"/>
        <v>0.5</v>
      </c>
      <c r="AF241" s="176">
        <f t="shared" si="93"/>
        <v>0.9161676618397272</v>
      </c>
      <c r="AG241" s="814">
        <f t="shared" si="99"/>
        <v>1</v>
      </c>
      <c r="AH241" s="175">
        <f t="shared" si="94"/>
        <v>7</v>
      </c>
      <c r="AI241" s="224">
        <f t="shared" si="95"/>
        <v>1.9161676618397272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10">
        <f>'2024'!Wh/'2024'!Env_an*'2025'!Env_an</f>
        <v>31.145555696840059</v>
      </c>
      <c r="C242" s="843"/>
      <c r="D242" s="392">
        <f t="shared" si="77"/>
        <v>32.954076418598149</v>
      </c>
      <c r="E242" s="384">
        <f t="shared" si="100"/>
        <v>34.496021277859484</v>
      </c>
      <c r="F242" s="384">
        <f t="shared" si="78"/>
        <v>34.49656933340588</v>
      </c>
      <c r="G242" s="110">
        <f t="shared" si="101"/>
        <v>0.6306366860451974</v>
      </c>
      <c r="H242" s="413" t="b">
        <f>Wh_hp&gt;='2024'!Maxi_hp</f>
        <v>0</v>
      </c>
      <c r="I242" s="389">
        <f>IF(H242,Wh_hp,'2024'!Maxi_hp)</f>
        <v>55.604090749056766</v>
      </c>
      <c r="J242" s="85">
        <f>IF(H242,An,'2024'!An_max)</f>
        <v>2019</v>
      </c>
      <c r="K242" s="196">
        <f t="shared" si="79"/>
        <v>45885</v>
      </c>
      <c r="L242" s="147">
        <f>IF(t&lt;Tvie,1-EXP((T0-t)*PertePVj)+'2024'!Pspv,1-EXP((T0-t)*PertePVj)+Pspv)</f>
        <v>5.4880030585151542E-2</v>
      </c>
      <c r="M242" s="847"/>
      <c r="N242" s="847"/>
      <c r="O242" s="48">
        <f>IF(t&lt;Tnet,'2024'!Resal+('2024'!Salim-'2024'!Resal)*(1-EXP(('2024'!Tnet-t)/('2024'!Tau_j))),Resal+(Salim-Resal)*(1-EXP((Tnet-t)/(Tau_j))))*Salcycl</f>
        <v>4.4699208840382983E-2</v>
      </c>
      <c r="P242" s="168">
        <f>(INDEX(Models!$BJ242:$BT242,,T242)*(1-R242)+INDEX(Models!$BJ242:$BT242,,T242+1)*R242-ERP_i)*Q242*Ramure*Pc/MaxiM</f>
        <v>3.3634189763051793E-5</v>
      </c>
      <c r="Q242" s="304">
        <f t="shared" si="80"/>
        <v>0.5</v>
      </c>
      <c r="R242" s="176">
        <f t="shared" si="81"/>
        <v>0.80188321299215115</v>
      </c>
      <c r="S242" s="814">
        <f t="shared" si="82"/>
        <v>-1</v>
      </c>
      <c r="T242" s="175">
        <f t="shared" si="83"/>
        <v>5</v>
      </c>
      <c r="U242" s="250">
        <f t="shared" si="84"/>
        <v>-0.1981167870078489</v>
      </c>
      <c r="V242" s="382">
        <f t="shared" si="85"/>
        <v>49.386601888013146</v>
      </c>
      <c r="W242" s="401">
        <f t="shared" si="86"/>
        <v>31.145555696840059</v>
      </c>
      <c r="X242" s="157">
        <f t="shared" si="87"/>
        <v>45885</v>
      </c>
      <c r="Y242" s="384">
        <f t="shared" si="88"/>
        <v>29.748614661445561</v>
      </c>
      <c r="Z242" s="384">
        <f t="shared" si="89"/>
        <v>31.476019578619002</v>
      </c>
      <c r="AA242" s="385">
        <f t="shared" si="90"/>
        <v>34.489492883623804</v>
      </c>
      <c r="AB242" s="196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8.7373662325886184E-2</v>
      </c>
      <c r="AD242" s="230">
        <f>(INDEX(Models!$BJ242:$BT242,,AH242)*(1-AF242)+INDEX(Models!$BJ242:$BT242,,AH242+1)*AF242-ERP_i)*AE242*Ramure*Pc/MaxiM</f>
        <v>4.3428199273485213E-4</v>
      </c>
      <c r="AE242" s="304">
        <f t="shared" si="92"/>
        <v>0.5</v>
      </c>
      <c r="AF242" s="176">
        <f t="shared" si="93"/>
        <v>0.91687575281653855</v>
      </c>
      <c r="AG242" s="814">
        <f t="shared" si="99"/>
        <v>1</v>
      </c>
      <c r="AH242" s="175">
        <f t="shared" si="94"/>
        <v>7</v>
      </c>
      <c r="AI242" s="224">
        <f t="shared" si="95"/>
        <v>1.9168757528165385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10">
        <f>'2024'!Wh/'2024'!Env_an*'2025'!Env_an</f>
        <v>21.409832109180762</v>
      </c>
      <c r="C243" s="843"/>
      <c r="D243" s="392">
        <f t="shared" si="77"/>
        <v>22.653526692024187</v>
      </c>
      <c r="E243" s="384">
        <f t="shared" si="100"/>
        <v>23.715020990833739</v>
      </c>
      <c r="F243" s="384">
        <f t="shared" si="78"/>
        <v>23.715172160063023</v>
      </c>
      <c r="G243" s="110">
        <f t="shared" si="101"/>
        <v>0.43449626942493025</v>
      </c>
      <c r="H243" s="413" t="b">
        <f>Wh_hp&gt;='2024'!Maxi_hp</f>
        <v>0</v>
      </c>
      <c r="I243" s="389">
        <f>IF(H243,Wh_hp,'2024'!Maxi_hp)</f>
        <v>54.149035020517147</v>
      </c>
      <c r="J243" s="85">
        <f>IF(H243,An,'2024'!An_max)</f>
        <v>2019</v>
      </c>
      <c r="K243" s="196">
        <f t="shared" si="79"/>
        <v>45886</v>
      </c>
      <c r="L243" s="147">
        <f>IF(t&lt;Tvie,1-EXP((T0-t)*PertePVj)+'2024'!Pspv,1-EXP((T0-t)*PertePVj)+Pspv)</f>
        <v>5.4900704854988526E-2</v>
      </c>
      <c r="M243" s="847"/>
      <c r="N243" s="847"/>
      <c r="O243" s="48">
        <f>IF(t&lt;Tnet,'2024'!Resal+('2024'!Salim-'2024'!Resal)*(1-EXP(('2024'!Tnet-t)/('2024'!Tau_j))),Resal+(Salim-Resal)*(1-EXP((Tnet-t)/(Tau_j))))*Salcycl</f>
        <v>4.4760419955767239E-2</v>
      </c>
      <c r="P243" s="168">
        <f>(INDEX(Models!$BJ243:$BT243,,T243)*(1-R243)+INDEX(Models!$BJ243:$BT243,,T243+1)*R243-ERP_i)*Q243*Ramure*Pc/MaxiM</f>
        <v>3.317319642376239E-5</v>
      </c>
      <c r="Q243" s="304">
        <f t="shared" si="80"/>
        <v>0.5</v>
      </c>
      <c r="R243" s="176">
        <f t="shared" si="81"/>
        <v>0.80256614861306264</v>
      </c>
      <c r="S243" s="814">
        <f t="shared" si="82"/>
        <v>-1</v>
      </c>
      <c r="T243" s="175">
        <f t="shared" si="83"/>
        <v>5</v>
      </c>
      <c r="U243" s="250">
        <f t="shared" si="84"/>
        <v>-0.19743385138693731</v>
      </c>
      <c r="V243" s="382">
        <f t="shared" si="85"/>
        <v>49.273744917159405</v>
      </c>
      <c r="W243" s="401">
        <f t="shared" si="86"/>
        <v>21.409832109180762</v>
      </c>
      <c r="X243" s="157">
        <f t="shared" si="87"/>
        <v>45886</v>
      </c>
      <c r="Y243" s="384">
        <f t="shared" si="88"/>
        <v>20.452829967211333</v>
      </c>
      <c r="Z243" s="384">
        <f t="shared" si="89"/>
        <v>21.640932410253413</v>
      </c>
      <c r="AA243" s="385">
        <f t="shared" si="90"/>
        <v>23.713174440169386</v>
      </c>
      <c r="AB243" s="196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8.7387795132382595E-2</v>
      </c>
      <c r="AD243" s="230">
        <f>(INDEX(Models!$BJ243:$BT243,,AH243)*(1-AF243)+INDEX(Models!$BJ243:$BT243,,AH243+1)*AF243-ERP_i)*AE243*Ramure*Pc/MaxiM</f>
        <v>4.383878567426338E-4</v>
      </c>
      <c r="AE243" s="304">
        <f t="shared" si="92"/>
        <v>0.5</v>
      </c>
      <c r="AF243" s="176">
        <f t="shared" si="93"/>
        <v>0.91755868843745025</v>
      </c>
      <c r="AG243" s="814">
        <f t="shared" si="99"/>
        <v>1</v>
      </c>
      <c r="AH243" s="175">
        <f t="shared" si="94"/>
        <v>7</v>
      </c>
      <c r="AI243" s="224">
        <f t="shared" si="95"/>
        <v>1.9175586884374503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10">
        <f>'2024'!Wh/'2024'!Env_an*'2025'!Env_an</f>
        <v>37.25523098389008</v>
      </c>
      <c r="C244" s="843"/>
      <c r="D244" s="392">
        <f t="shared" si="77"/>
        <v>39.420245197738389</v>
      </c>
      <c r="E244" s="384">
        <f t="shared" si="100"/>
        <v>41.270027067654908</v>
      </c>
      <c r="F244" s="384">
        <f t="shared" si="78"/>
        <v>41.270916452808834</v>
      </c>
      <c r="G244" s="110">
        <f t="shared" si="101"/>
        <v>0.75784182131081779</v>
      </c>
      <c r="H244" s="413" t="b">
        <f>Wh_hp&gt;='2024'!Maxi_hp</f>
        <v>0</v>
      </c>
      <c r="I244" s="389">
        <f>IF(H244,Wh_hp,'2024'!Maxi_hp)</f>
        <v>52.532669315171944</v>
      </c>
      <c r="J244" s="85">
        <f>IF(H244,An,'2024'!An_max)</f>
        <v>2021</v>
      </c>
      <c r="K244" s="196">
        <f t="shared" si="79"/>
        <v>45887</v>
      </c>
      <c r="L244" s="147">
        <f>IF(t&lt;Tvie,1-EXP((T0-t)*PertePVj)+'2024'!Pspv,1-EXP((T0-t)*PertePVj)+Pspv)</f>
        <v>5.492137867200584E-2</v>
      </c>
      <c r="M244" s="847"/>
      <c r="N244" s="847"/>
      <c r="O244" s="48">
        <f>IF(t&lt;Tnet,'2024'!Resal+('2024'!Salim-'2024'!Resal)*(1-EXP(('2024'!Tnet-t)/('2024'!Tau_j))),Resal+(Salim-Resal)*(1-EXP((Tnet-t)/(Tau_j))))*Salcycl</f>
        <v>4.4821435830030537E-2</v>
      </c>
      <c r="P244" s="168">
        <f>(INDEX(Models!$BJ244:$BT244,,T244)*(1-R244)+INDEX(Models!$BJ244:$BT244,,T244+1)*R244-ERP_i)*Q244*Ramure*Pc/MaxiM</f>
        <v>3.2947324169951389E-5</v>
      </c>
      <c r="Q244" s="304">
        <f t="shared" si="80"/>
        <v>0.5</v>
      </c>
      <c r="R244" s="176">
        <f t="shared" si="81"/>
        <v>0.80322469949595088</v>
      </c>
      <c r="S244" s="814">
        <f t="shared" si="82"/>
        <v>-1</v>
      </c>
      <c r="T244" s="175">
        <f t="shared" si="83"/>
        <v>5</v>
      </c>
      <c r="U244" s="250">
        <f t="shared" si="84"/>
        <v>-0.19677530050404918</v>
      </c>
      <c r="V244" s="382">
        <f t="shared" si="85"/>
        <v>49.159079526070414</v>
      </c>
      <c r="W244" s="401">
        <f t="shared" si="86"/>
        <v>37.25523098389008</v>
      </c>
      <c r="X244" s="157">
        <f t="shared" si="87"/>
        <v>45887</v>
      </c>
      <c r="Y244" s="384">
        <f t="shared" si="88"/>
        <v>35.584847489885888</v>
      </c>
      <c r="Z244" s="384">
        <f t="shared" si="89"/>
        <v>37.652790664001266</v>
      </c>
      <c r="AA244" s="385">
        <f t="shared" si="90"/>
        <v>41.258886157221575</v>
      </c>
      <c r="AB244" s="196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8.740166856368542E-2</v>
      </c>
      <c r="AD244" s="230">
        <f>(INDEX(Models!$BJ244:$BT244,,AH244)*(1-AF244)+INDEX(Models!$BJ244:$BT244,,AH244+1)*AF244-ERP_i)*AE244*Ramure*Pc/MaxiM</f>
        <v>4.4566299181288929E-4</v>
      </c>
      <c r="AE244" s="304">
        <f t="shared" si="92"/>
        <v>0.5</v>
      </c>
      <c r="AF244" s="176">
        <f t="shared" si="93"/>
        <v>0.91821723932033827</v>
      </c>
      <c r="AG244" s="814">
        <f t="shared" si="99"/>
        <v>1</v>
      </c>
      <c r="AH244" s="175">
        <f t="shared" si="94"/>
        <v>7</v>
      </c>
      <c r="AI244" s="224">
        <f t="shared" si="95"/>
        <v>1.9182172393203383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10">
        <f>'2024'!Wh/'2024'!Env_an*'2025'!Env_an</f>
        <v>38.575274734127376</v>
      </c>
      <c r="C245" s="843"/>
      <c r="D245" s="392">
        <f t="shared" si="77"/>
        <v>40.817893566464711</v>
      </c>
      <c r="E245" s="384">
        <f t="shared" si="100"/>
        <v>42.735980592795713</v>
      </c>
      <c r="F245" s="384">
        <f t="shared" si="78"/>
        <v>42.736959704504009</v>
      </c>
      <c r="G245" s="110">
        <f t="shared" si="101"/>
        <v>0.78655866752495418</v>
      </c>
      <c r="H245" s="413" t="b">
        <f>Wh_hp&gt;='2024'!Maxi_hp</f>
        <v>0</v>
      </c>
      <c r="I245" s="389">
        <f>IF(H245,Wh_hp,'2024'!Maxi_hp)</f>
        <v>51.308352268844715</v>
      </c>
      <c r="J245" s="85">
        <f>IF(H245,An,'2024'!An_max)</f>
        <v>2018</v>
      </c>
      <c r="K245" s="196">
        <f t="shared" si="79"/>
        <v>45888</v>
      </c>
      <c r="L245" s="147">
        <f>IF(t&lt;Tvie,1-EXP((T0-t)*PertePVj)+'2024'!Pspv,1-EXP((T0-t)*PertePVj)+Pspv)</f>
        <v>5.4942052036213586E-2</v>
      </c>
      <c r="M245" s="847"/>
      <c r="N245" s="847"/>
      <c r="O245" s="48">
        <f>IF(t&lt;Tnet,'2024'!Resal+('2024'!Salim-'2024'!Resal)*(1-EXP(('2024'!Tnet-t)/('2024'!Tau_j))),Resal+(Salim-Resal)*(1-EXP((Tnet-t)/(Tau_j))))*Salcycl</f>
        <v>4.4882251436026262E-2</v>
      </c>
      <c r="P245" s="168">
        <f>(INDEX(Models!$BJ245:$BT245,,T245)*(1-R245)+INDEX(Models!$BJ245:$BT245,,T245+1)*R245-ERP_i)*Q245*Ramure*Pc/MaxiM</f>
        <v>3.2959786621443229E-5</v>
      </c>
      <c r="Q245" s="304">
        <f t="shared" si="80"/>
        <v>0.5</v>
      </c>
      <c r="R245" s="176">
        <f t="shared" si="81"/>
        <v>0.80385962192561444</v>
      </c>
      <c r="S245" s="814">
        <f t="shared" si="82"/>
        <v>-1</v>
      </c>
      <c r="T245" s="175">
        <f t="shared" si="83"/>
        <v>5</v>
      </c>
      <c r="U245" s="250">
        <f t="shared" si="84"/>
        <v>-0.19614037807438556</v>
      </c>
      <c r="V245" s="382">
        <f t="shared" si="85"/>
        <v>49.042606294753085</v>
      </c>
      <c r="W245" s="401">
        <f t="shared" si="86"/>
        <v>38.575274734127376</v>
      </c>
      <c r="X245" s="157">
        <f t="shared" si="87"/>
        <v>45888</v>
      </c>
      <c r="Y245" s="384">
        <f t="shared" si="88"/>
        <v>36.846610400919666</v>
      </c>
      <c r="Z245" s="384">
        <f t="shared" si="89"/>
        <v>38.988731305111024</v>
      </c>
      <c r="AA245" s="385">
        <f t="shared" si="90"/>
        <v>42.723409865588927</v>
      </c>
      <c r="AB245" s="196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8.7415273552075706E-2</v>
      </c>
      <c r="AD245" s="230">
        <f>(INDEX(Models!$BJ245:$BT245,,AH245)*(1-AF245)+INDEX(Models!$BJ245:$BT245,,AH245+1)*AF245-ERP_i)*AE245*Ramure*Pc/MaxiM</f>
        <v>4.5612752417516152E-4</v>
      </c>
      <c r="AE245" s="304">
        <f t="shared" si="92"/>
        <v>0.5</v>
      </c>
      <c r="AF245" s="176">
        <f t="shared" si="93"/>
        <v>0.91885216175000184</v>
      </c>
      <c r="AG245" s="814">
        <f t="shared" si="99"/>
        <v>1</v>
      </c>
      <c r="AH245" s="175">
        <f t="shared" si="94"/>
        <v>7</v>
      </c>
      <c r="AI245" s="224">
        <f t="shared" si="95"/>
        <v>1.9188521617500018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10">
        <f>'2024'!Wh/'2024'!Env_an*'2025'!Env_an</f>
        <v>45.941372280072493</v>
      </c>
      <c r="C246" s="843"/>
      <c r="D246" s="392">
        <f t="shared" si="77"/>
        <v>48.613291235021606</v>
      </c>
      <c r="E246" s="384">
        <f t="shared" si="100"/>
        <v>50.900924427223877</v>
      </c>
      <c r="F246" s="384">
        <f t="shared" si="78"/>
        <v>50.90246782906646</v>
      </c>
      <c r="G246" s="110">
        <f t="shared" si="101"/>
        <v>0.93902651892268563</v>
      </c>
      <c r="H246" s="413" t="b">
        <f>Wh_hp&gt;='2024'!Maxi_hp</f>
        <v>0</v>
      </c>
      <c r="I246" s="389">
        <f>IF(H246,Wh_hp,'2024'!Maxi_hp)</f>
        <v>52.975167716922265</v>
      </c>
      <c r="J246" s="85">
        <f>IF(H246,An,'2024'!An_max)</f>
        <v>2021</v>
      </c>
      <c r="K246" s="196">
        <f t="shared" si="79"/>
        <v>45889</v>
      </c>
      <c r="L246" s="147">
        <f>IF(t&lt;Tvie,1-EXP((T0-t)*PertePVj)+'2024'!Pspv,1-EXP((T0-t)*PertePVj)+Pspv)</f>
        <v>5.4962724947621534E-2</v>
      </c>
      <c r="M246" s="847"/>
      <c r="N246" s="847"/>
      <c r="O246" s="48">
        <f>IF(t&lt;Tnet,'2024'!Resal+('2024'!Salim-'2024'!Resal)*(1-EXP(('2024'!Tnet-t)/('2024'!Tau_j))),Resal+(Salim-Resal)*(1-EXP((Tnet-t)/(Tau_j))))*Salcycl</f>
        <v>4.4942861410563167E-2</v>
      </c>
      <c r="P246" s="168">
        <f>(INDEX(Models!$BJ246:$BT246,,T246)*(1-R246)+INDEX(Models!$BJ246:$BT246,,T246+1)*R246-ERP_i)*Q246*Ramure*Pc/MaxiM</f>
        <v>3.321371759839887E-5</v>
      </c>
      <c r="Q246" s="304">
        <f t="shared" si="80"/>
        <v>0.5</v>
      </c>
      <c r="R246" s="176">
        <f t="shared" si="81"/>
        <v>0.80447165736718551</v>
      </c>
      <c r="S246" s="814">
        <f t="shared" si="82"/>
        <v>-1</v>
      </c>
      <c r="T246" s="175">
        <f t="shared" si="83"/>
        <v>5</v>
      </c>
      <c r="U246" s="250">
        <f t="shared" si="84"/>
        <v>-0.19552834263281443</v>
      </c>
      <c r="V246" s="382">
        <f t="shared" si="85"/>
        <v>48.924325824799041</v>
      </c>
      <c r="W246" s="401">
        <f t="shared" si="86"/>
        <v>45.941372280072493</v>
      </c>
      <c r="X246" s="157">
        <f t="shared" si="87"/>
        <v>45889</v>
      </c>
      <c r="Y246" s="384">
        <f t="shared" si="88"/>
        <v>43.880172843342152</v>
      </c>
      <c r="Z246" s="384">
        <f t="shared" si="89"/>
        <v>46.432213841417109</v>
      </c>
      <c r="AA246" s="385">
        <f t="shared" si="90"/>
        <v>50.880636696094996</v>
      </c>
      <c r="AB246" s="196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8.7428600417244623E-2</v>
      </c>
      <c r="AD246" s="230">
        <f>(INDEX(Models!$BJ246:$BT246,,AH246)*(1-AF246)+INDEX(Models!$BJ246:$BT246,,AH246+1)*AF246-ERP_i)*AE246*Ramure*Pc/MaxiM</f>
        <v>4.6980187878643213E-4</v>
      </c>
      <c r="AE246" s="304">
        <f t="shared" si="92"/>
        <v>0.5</v>
      </c>
      <c r="AF246" s="176">
        <f t="shared" si="93"/>
        <v>0.91946419719157291</v>
      </c>
      <c r="AG246" s="814">
        <f t="shared" si="99"/>
        <v>1</v>
      </c>
      <c r="AH246" s="175">
        <f t="shared" si="94"/>
        <v>7</v>
      </c>
      <c r="AI246" s="224">
        <f t="shared" si="95"/>
        <v>1.9194641971915729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10">
        <f>'2024'!Wh/'2024'!Env_an*'2025'!Env_an</f>
        <v>30.971719172328182</v>
      </c>
      <c r="C247" s="843"/>
      <c r="D247" s="392">
        <f t="shared" si="77"/>
        <v>32.773730204655642</v>
      </c>
      <c r="E247" s="384">
        <f t="shared" si="100"/>
        <v>34.318159250892442</v>
      </c>
      <c r="F247" s="384">
        <f t="shared" si="78"/>
        <v>34.31871225390789</v>
      </c>
      <c r="G247" s="110">
        <f t="shared" si="101"/>
        <v>0.63458355853684389</v>
      </c>
      <c r="H247" s="413" t="b">
        <f>Wh_hp&gt;='2024'!Maxi_hp</f>
        <v>0</v>
      </c>
      <c r="I247" s="389">
        <f>IF(H247,Wh_hp,'2024'!Maxi_hp)</f>
        <v>53.054891406226311</v>
      </c>
      <c r="J247" s="85">
        <f>IF(H247,An,'2024'!An_max)</f>
        <v>2020</v>
      </c>
      <c r="K247" s="196">
        <f t="shared" si="79"/>
        <v>45890</v>
      </c>
      <c r="L247" s="147">
        <f>IF(t&lt;Tvie,1-EXP((T0-t)*PertePVj)+'2024'!Pspv,1-EXP((T0-t)*PertePVj)+Pspv)</f>
        <v>5.4983397406239677E-2</v>
      </c>
      <c r="M247" s="847"/>
      <c r="N247" s="847"/>
      <c r="O247" s="48">
        <f>IF(t&lt;Tnet,'2024'!Resal+('2024'!Salim-'2024'!Resal)*(1-EXP(('2024'!Tnet-t)/('2024'!Tau_j))),Resal+(Salim-Resal)*(1-EXP((Tnet-t)/(Tau_j))))*Salcycl</f>
        <v>4.5003260080059095E-2</v>
      </c>
      <c r="P247" s="168">
        <f>(INDEX(Models!$BJ247:$BT247,,T247)*(1-R247)+INDEX(Models!$BJ247:$BT247,,T247+1)*R247-ERP_i)*Q247*Ramure*Pc/MaxiM</f>
        <v>3.3711297239874454E-5</v>
      </c>
      <c r="Q247" s="304">
        <f t="shared" si="80"/>
        <v>0.5</v>
      </c>
      <c r="R247" s="176">
        <f t="shared" si="81"/>
        <v>0.80506153205738418</v>
      </c>
      <c r="S247" s="814">
        <f t="shared" si="82"/>
        <v>-1</v>
      </c>
      <c r="T247" s="175">
        <f t="shared" si="83"/>
        <v>5</v>
      </c>
      <c r="U247" s="250">
        <f t="shared" si="84"/>
        <v>-0.19493846794261588</v>
      </c>
      <c r="V247" s="382">
        <f t="shared" si="85"/>
        <v>48.805509882013681</v>
      </c>
      <c r="W247" s="401">
        <f t="shared" si="86"/>
        <v>30.971719172328182</v>
      </c>
      <c r="X247" s="157">
        <f t="shared" si="87"/>
        <v>45890</v>
      </c>
      <c r="Y247" s="384">
        <f t="shared" si="88"/>
        <v>29.588982169197816</v>
      </c>
      <c r="Z247" s="384">
        <f t="shared" si="89"/>
        <v>31.310542151308002</v>
      </c>
      <c r="AA247" s="385">
        <f t="shared" si="90"/>
        <v>34.310728482329701</v>
      </c>
      <c r="AB247" s="196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8.7441638919640505E-2</v>
      </c>
      <c r="AD247" s="230">
        <f>(INDEX(Models!$BJ247:$BT247,,AH247)*(1-AF247)+INDEX(Models!$BJ247:$BT247,,AH247+1)*AF247-ERP_i)*AE247*Ramure*Pc/MaxiM</f>
        <v>4.8669408529205768E-4</v>
      </c>
      <c r="AE247" s="304">
        <f t="shared" si="92"/>
        <v>0.5</v>
      </c>
      <c r="AF247" s="176">
        <f t="shared" si="93"/>
        <v>0.92005407188177157</v>
      </c>
      <c r="AG247" s="814">
        <f t="shared" si="99"/>
        <v>1</v>
      </c>
      <c r="AH247" s="175">
        <f t="shared" si="94"/>
        <v>7</v>
      </c>
      <c r="AI247" s="224">
        <f t="shared" si="95"/>
        <v>1.9200540718817716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10">
        <f>'2024'!Wh/'2024'!Env_an*'2025'!Env_an</f>
        <v>24.131359493900636</v>
      </c>
      <c r="C248" s="843"/>
      <c r="D248" s="392">
        <f t="shared" si="77"/>
        <v>25.535940116575414</v>
      </c>
      <c r="E248" s="384">
        <f t="shared" si="100"/>
        <v>26.740980737189524</v>
      </c>
      <c r="F248" s="384">
        <f t="shared" si="78"/>
        <v>26.741238518871683</v>
      </c>
      <c r="G248" s="110">
        <f t="shared" si="101"/>
        <v>0.49563007526022373</v>
      </c>
      <c r="H248" s="413" t="b">
        <f>Wh_hp&gt;='2024'!Maxi_hp</f>
        <v>0</v>
      </c>
      <c r="I248" s="389">
        <f>IF(H248,Wh_hp,'2024'!Maxi_hp)</f>
        <v>55.9528605164124</v>
      </c>
      <c r="J248" s="85">
        <f>IF(H248,An,'2024'!An_max)</f>
        <v>2019</v>
      </c>
      <c r="K248" s="196">
        <f t="shared" si="79"/>
        <v>45891</v>
      </c>
      <c r="L248" s="147">
        <f>IF(t&lt;Tvie,1-EXP((T0-t)*PertePVj)+'2024'!Pspv,1-EXP((T0-t)*PertePVj)+Pspv)</f>
        <v>5.5004069412077895E-2</v>
      </c>
      <c r="M248" s="847"/>
      <c r="N248" s="847"/>
      <c r="O248" s="48">
        <f>IF(t&lt;Tnet,'2024'!Resal+('2024'!Salim-'2024'!Resal)*(1-EXP(('2024'!Tnet-t)/('2024'!Tau_j))),Resal+(Salim-Resal)*(1-EXP((Tnet-t)/(Tau_j))))*Salcycl</f>
        <v>4.5063441481718834E-2</v>
      </c>
      <c r="P248" s="168">
        <f>(INDEX(Models!$BJ248:$BT248,,T248)*(1-R248)+INDEX(Models!$BJ248:$BT248,,T248+1)*R248-ERP_i)*Q248*Ramure*Pc/MaxiM</f>
        <v>3.4490986029966258E-5</v>
      </c>
      <c r="Q248" s="304">
        <f t="shared" si="80"/>
        <v>0.5</v>
      </c>
      <c r="R248" s="176">
        <f t="shared" si="81"/>
        <v>0.80562995666835513</v>
      </c>
      <c r="S248" s="814">
        <f t="shared" si="82"/>
        <v>-1</v>
      </c>
      <c r="T248" s="175">
        <f t="shared" si="83"/>
        <v>5</v>
      </c>
      <c r="U248" s="250">
        <f t="shared" si="84"/>
        <v>-0.19437004333164482</v>
      </c>
      <c r="V248" s="382">
        <f t="shared" si="85"/>
        <v>48.687036967826735</v>
      </c>
      <c r="W248" s="401">
        <f t="shared" si="86"/>
        <v>24.131359493900636</v>
      </c>
      <c r="X248" s="157">
        <f t="shared" si="87"/>
        <v>45891</v>
      </c>
      <c r="Y248" s="384">
        <f t="shared" si="88"/>
        <v>23.057097984089587</v>
      </c>
      <c r="Z248" s="384">
        <f t="shared" si="89"/>
        <v>24.399150554801636</v>
      </c>
      <c r="AA248" s="385">
        <f t="shared" si="90"/>
        <v>26.737458352465179</v>
      </c>
      <c r="AB248" s="196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8.7454378304733335E-2</v>
      </c>
      <c r="AD248" s="230">
        <f>(INDEX(Models!$BJ248:$BT248,,AH248)*(1-AF248)+INDEX(Models!$BJ248:$BT248,,AH248+1)*AF248-ERP_i)*AE248*Ramure*Pc/MaxiM</f>
        <v>5.0578328772297131E-4</v>
      </c>
      <c r="AE248" s="304">
        <f t="shared" si="92"/>
        <v>0.5</v>
      </c>
      <c r="AF248" s="176">
        <f t="shared" si="93"/>
        <v>0.92062249649274275</v>
      </c>
      <c r="AG248" s="814">
        <f t="shared" si="99"/>
        <v>1</v>
      </c>
      <c r="AH248" s="175">
        <f t="shared" si="94"/>
        <v>7</v>
      </c>
      <c r="AI248" s="224">
        <f t="shared" si="95"/>
        <v>1.9206224964927427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10">
        <f>'2024'!Wh/'2024'!Env_an*'2025'!Env_an</f>
        <v>43.166312987187972</v>
      </c>
      <c r="C249" s="843"/>
      <c r="D249" s="392">
        <f t="shared" si="77"/>
        <v>45.679834021554903</v>
      </c>
      <c r="E249" s="384">
        <f t="shared" si="100"/>
        <v>47.838468333917092</v>
      </c>
      <c r="F249" s="384">
        <f t="shared" si="78"/>
        <v>47.839895569189451</v>
      </c>
      <c r="G249" s="110">
        <f t="shared" si="101"/>
        <v>0.88876999278148106</v>
      </c>
      <c r="H249" s="413" t="b">
        <f>Wh_hp&gt;='2024'!Maxi_hp</f>
        <v>0</v>
      </c>
      <c r="I249" s="389">
        <f>IF(H249,Wh_hp,'2024'!Maxi_hp)</f>
        <v>53.332836013800012</v>
      </c>
      <c r="J249" s="85">
        <f>IF(H249,An,'2024'!An_max)</f>
        <v>2019</v>
      </c>
      <c r="K249" s="196">
        <f t="shared" si="79"/>
        <v>45892</v>
      </c>
      <c r="L249" s="147">
        <f>IF(t&lt;Tvie,1-EXP((T0-t)*PertePVj)+'2024'!Pspv,1-EXP((T0-t)*PertePVj)+Pspv)</f>
        <v>5.5024740965146181E-2</v>
      </c>
      <c r="M249" s="847"/>
      <c r="N249" s="847"/>
      <c r="O249" s="48">
        <f>IF(t&lt;Tnet,'2024'!Resal+('2024'!Salim-'2024'!Resal)*(1-EXP(('2024'!Tnet-t)/('2024'!Tau_j))),Resal+(Salim-Resal)*(1-EXP((Tnet-t)/(Tau_j))))*Salcycl</f>
        <v>4.5123399380070289E-2</v>
      </c>
      <c r="P249" s="168">
        <f>(INDEX(Models!$BJ249:$BT249,,T249)*(1-R249)+INDEX(Models!$BJ249:$BT249,,T249+1)*R249-ERP_i)*Q249*Ramure*Pc/MaxiM</f>
        <v>3.5469414923570717E-5</v>
      </c>
      <c r="Q249" s="304">
        <f t="shared" si="80"/>
        <v>0.5</v>
      </c>
      <c r="R249" s="176">
        <f t="shared" si="81"/>
        <v>0.80617762603898702</v>
      </c>
      <c r="S249" s="814">
        <f t="shared" si="82"/>
        <v>-1</v>
      </c>
      <c r="T249" s="175">
        <f t="shared" si="83"/>
        <v>5</v>
      </c>
      <c r="U249" s="250">
        <f t="shared" si="84"/>
        <v>-0.19382237396101304</v>
      </c>
      <c r="V249" s="382">
        <f t="shared" si="85"/>
        <v>48.568324822209867</v>
      </c>
      <c r="W249" s="401">
        <f t="shared" si="86"/>
        <v>43.166312987187972</v>
      </c>
      <c r="X249" s="157">
        <f t="shared" si="87"/>
        <v>45892</v>
      </c>
      <c r="Y249" s="384">
        <f t="shared" si="88"/>
        <v>41.235132307595059</v>
      </c>
      <c r="Z249" s="384">
        <f t="shared" si="89"/>
        <v>43.636203078703218</v>
      </c>
      <c r="AA249" s="385">
        <f t="shared" si="90"/>
        <v>47.818757092448791</v>
      </c>
      <c r="AB249" s="196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8.7466807337952521E-2</v>
      </c>
      <c r="AD249" s="230">
        <f>(INDEX(Models!$BJ249:$BT249,,AH249)*(1-AF249)+INDEX(Models!$BJ249:$BT249,,AH249+1)*AF249-ERP_i)*AE249*Ramure*Pc/MaxiM</f>
        <v>5.253299276478388E-4</v>
      </c>
      <c r="AE249" s="304">
        <f t="shared" si="92"/>
        <v>0.5</v>
      </c>
      <c r="AF249" s="176">
        <f t="shared" si="93"/>
        <v>0.92117016586337441</v>
      </c>
      <c r="AG249" s="814">
        <f t="shared" si="99"/>
        <v>1</v>
      </c>
      <c r="AH249" s="175">
        <f t="shared" si="94"/>
        <v>7</v>
      </c>
      <c r="AI249" s="224">
        <f t="shared" si="95"/>
        <v>1.9211701658633744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10">
        <f>'2024'!Wh/'2024'!Env_an*'2025'!Env_an</f>
        <v>44.600340367557095</v>
      </c>
      <c r="C250" s="843"/>
      <c r="D250" s="392">
        <f t="shared" si="77"/>
        <v>47.19839549648966</v>
      </c>
      <c r="E250" s="384">
        <f t="shared" si="100"/>
        <v>49.431882536778261</v>
      </c>
      <c r="F250" s="384">
        <f t="shared" si="78"/>
        <v>49.433488647674707</v>
      </c>
      <c r="G250" s="110">
        <f t="shared" si="101"/>
        <v>0.92056287598598208</v>
      </c>
      <c r="H250" s="413" t="b">
        <f>Wh_hp&gt;='2024'!Maxi_hp</f>
        <v>0</v>
      </c>
      <c r="I250" s="389">
        <f>IF(H250,Wh_hp,'2024'!Maxi_hp)</f>
        <v>53.598539486969429</v>
      </c>
      <c r="J250" s="85">
        <f>IF(H250,An,'2024'!An_max)</f>
        <v>2019</v>
      </c>
      <c r="K250" s="196">
        <f t="shared" si="79"/>
        <v>45893</v>
      </c>
      <c r="L250" s="147">
        <f>IF(t&lt;Tvie,1-EXP((T0-t)*PertePVj)+'2024'!Pspv,1-EXP((T0-t)*PertePVj)+Pspv)</f>
        <v>5.5045412065454415E-2</v>
      </c>
      <c r="M250" s="847"/>
      <c r="N250" s="847"/>
      <c r="O250" s="48">
        <f>IF(t&lt;Tnet,'2024'!Resal+('2024'!Salim-'2024'!Resal)*(1-EXP(('2024'!Tnet-t)/('2024'!Tau_j))),Resal+(Salim-Resal)*(1-EXP((Tnet-t)/(Tau_j))))*Salcycl</f>
        <v>4.5183127278772807E-2</v>
      </c>
      <c r="P250" s="168">
        <f>(INDEX(Models!$BJ250:$BT250,,T250)*(1-R250)+INDEX(Models!$BJ250:$BT250,,T250+1)*R250-ERP_i)*Q250*Ramure*Pc/MaxiM</f>
        <v>3.6649144145457243E-5</v>
      </c>
      <c r="Q250" s="304">
        <f t="shared" si="80"/>
        <v>0.5</v>
      </c>
      <c r="R250" s="176">
        <f t="shared" si="81"/>
        <v>0.80670521896878555</v>
      </c>
      <c r="S250" s="814">
        <f t="shared" si="82"/>
        <v>-1</v>
      </c>
      <c r="T250" s="175">
        <f t="shared" si="83"/>
        <v>5</v>
      </c>
      <c r="U250" s="250">
        <f t="shared" si="84"/>
        <v>-0.1932947810312145</v>
      </c>
      <c r="V250" s="382">
        <f t="shared" si="85"/>
        <v>48.448787194160005</v>
      </c>
      <c r="W250" s="401">
        <f t="shared" si="86"/>
        <v>44.600340367557095</v>
      </c>
      <c r="X250" s="157">
        <f t="shared" si="87"/>
        <v>45893</v>
      </c>
      <c r="Y250" s="384">
        <f t="shared" si="88"/>
        <v>42.605443768608929</v>
      </c>
      <c r="Z250" s="384">
        <f t="shared" si="89"/>
        <v>45.087292355217492</v>
      </c>
      <c r="AA250" s="385">
        <f t="shared" si="90"/>
        <v>49.409589611974219</v>
      </c>
      <c r="AB250" s="196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8.747891433020992E-2</v>
      </c>
      <c r="AD250" s="230">
        <f>(INDEX(Models!$BJ250:$BT250,,AH250)*(1-AF250)+INDEX(Models!$BJ250:$BT250,,AH250+1)*AF250-ERP_i)*AE250*Ramure*Pc/MaxiM</f>
        <v>5.4534167364131479E-4</v>
      </c>
      <c r="AE250" s="304">
        <f t="shared" si="92"/>
        <v>0.5</v>
      </c>
      <c r="AF250" s="176">
        <f t="shared" si="93"/>
        <v>0.92169775879317295</v>
      </c>
      <c r="AG250" s="814">
        <f t="shared" si="99"/>
        <v>1</v>
      </c>
      <c r="AH250" s="175">
        <f t="shared" si="94"/>
        <v>7</v>
      </c>
      <c r="AI250" s="224">
        <f t="shared" si="95"/>
        <v>1.9216977587931729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10">
        <f>'2024'!Wh/'2024'!Env_an*'2025'!Env_an</f>
        <v>31.825400498740976</v>
      </c>
      <c r="C251" s="843"/>
      <c r="D251" s="392">
        <f t="shared" si="77"/>
        <v>33.68002768925399</v>
      </c>
      <c r="E251" s="384">
        <f t="shared" si="100"/>
        <v>35.276006595297822</v>
      </c>
      <c r="F251" s="384">
        <f t="shared" si="78"/>
        <v>35.276693781720368</v>
      </c>
      <c r="G251" s="110">
        <f t="shared" si="101"/>
        <v>0.65851921633668098</v>
      </c>
      <c r="H251" s="413" t="b">
        <f>Wh_hp&gt;='2024'!Maxi_hp</f>
        <v>0</v>
      </c>
      <c r="I251" s="389">
        <f>IF(H251,Wh_hp,'2024'!Maxi_hp)</f>
        <v>49.950195766823477</v>
      </c>
      <c r="J251" s="85">
        <f>IF(H251,An,'2024'!An_max)</f>
        <v>2020</v>
      </c>
      <c r="K251" s="196">
        <f t="shared" si="79"/>
        <v>45894</v>
      </c>
      <c r="L251" s="147">
        <f>IF(t&lt;Tvie,1-EXP((T0-t)*PertePVj)+'2024'!Pspv,1-EXP((T0-t)*PertePVj)+Pspv)</f>
        <v>5.5066082713012478E-2</v>
      </c>
      <c r="M251" s="847"/>
      <c r="N251" s="847"/>
      <c r="O251" s="48">
        <f>IF(t&lt;Tnet,'2024'!Resal+('2024'!Salim-'2024'!Resal)*(1-EXP(('2024'!Tnet-t)/('2024'!Tau_j))),Resal+(Salim-Resal)*(1-EXP((Tnet-t)/(Tau_j))))*Salcycl</f>
        <v>4.5242618427692692E-2</v>
      </c>
      <c r="P251" s="168">
        <f>(INDEX(Models!$BJ251:$BT251,,T251)*(1-R251)+INDEX(Models!$BJ251:$BT251,,T251+1)*R251-ERP_i)*Q251*Ramure*Pc/MaxiM</f>
        <v>3.8032729667020589E-5</v>
      </c>
      <c r="Q251" s="304">
        <f t="shared" si="80"/>
        <v>0.5</v>
      </c>
      <c r="R251" s="176">
        <f t="shared" si="81"/>
        <v>0.80721339806956427</v>
      </c>
      <c r="S251" s="814">
        <f t="shared" si="82"/>
        <v>-1</v>
      </c>
      <c r="T251" s="175">
        <f t="shared" si="83"/>
        <v>5</v>
      </c>
      <c r="U251" s="250">
        <f t="shared" si="84"/>
        <v>-0.19278660193043573</v>
      </c>
      <c r="V251" s="382">
        <f t="shared" si="85"/>
        <v>48.327838043974303</v>
      </c>
      <c r="W251" s="401">
        <f t="shared" si="86"/>
        <v>31.825400498740976</v>
      </c>
      <c r="X251" s="157">
        <f t="shared" si="87"/>
        <v>45894</v>
      </c>
      <c r="Y251" s="384">
        <f t="shared" si="88"/>
        <v>30.408901887202006</v>
      </c>
      <c r="Z251" s="384">
        <f t="shared" si="89"/>
        <v>32.180982533158947</v>
      </c>
      <c r="AA251" s="385">
        <f t="shared" si="90"/>
        <v>35.26647024871815</v>
      </c>
      <c r="AB251" s="196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8.7490687154078095E-2</v>
      </c>
      <c r="AD251" s="230">
        <f>(INDEX(Models!$BJ251:$BT251,,AH251)*(1-AF251)+INDEX(Models!$BJ251:$BT251,,AH251+1)*AF251-ERP_i)*AE251*Ramure*Pc/MaxiM</f>
        <v>5.6582734198220045E-4</v>
      </c>
      <c r="AE251" s="304">
        <f t="shared" si="92"/>
        <v>0.5</v>
      </c>
      <c r="AF251" s="176">
        <f t="shared" si="93"/>
        <v>0.92220593789395178</v>
      </c>
      <c r="AG251" s="814">
        <f t="shared" si="99"/>
        <v>1</v>
      </c>
      <c r="AH251" s="175">
        <f t="shared" si="94"/>
        <v>7</v>
      </c>
      <c r="AI251" s="224">
        <f t="shared" si="95"/>
        <v>1.9222059378939518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10">
        <f>'2024'!Wh/'2024'!Env_an*'2025'!Env_an</f>
        <v>39.982989496660139</v>
      </c>
      <c r="C252" s="843"/>
      <c r="D252" s="392">
        <f t="shared" si="77"/>
        <v>42.313926299268061</v>
      </c>
      <c r="E252" s="384">
        <f t="shared" si="100"/>
        <v>44.321785897117941</v>
      </c>
      <c r="F252" s="384">
        <f t="shared" si="78"/>
        <v>44.323114184116704</v>
      </c>
      <c r="G252" s="110">
        <f t="shared" si="101"/>
        <v>0.829430420655761</v>
      </c>
      <c r="H252" s="413" t="b">
        <f>Wh_hp&gt;='2024'!Maxi_hp</f>
        <v>0</v>
      </c>
      <c r="I252" s="389">
        <f>IF(H252,Wh_hp,'2024'!Maxi_hp)</f>
        <v>53.423762617483668</v>
      </c>
      <c r="J252" s="85">
        <f>IF(H252,An,'2024'!An_max)</f>
        <v>2018</v>
      </c>
      <c r="K252" s="196">
        <f t="shared" si="79"/>
        <v>45895</v>
      </c>
      <c r="L252" s="147">
        <f>IF(t&lt;Tvie,1-EXP((T0-t)*PertePVj)+'2024'!Pspv,1-EXP((T0-t)*PertePVj)+Pspv)</f>
        <v>5.5086752907830362E-2</v>
      </c>
      <c r="M252" s="847"/>
      <c r="N252" s="847"/>
      <c r="O252" s="48">
        <f>IF(t&lt;Tnet,'2024'!Resal+('2024'!Salim-'2024'!Resal)*(1-EXP(('2024'!Tnet-t)/('2024'!Tau_j))),Resal+(Salim-Resal)*(1-EXP((Tnet-t)/(Tau_j))))*Salcycl</f>
        <v>4.5301865825321912E-2</v>
      </c>
      <c r="P252" s="168">
        <f>(INDEX(Models!$BJ252:$BT252,,T252)*(1-R252)+INDEX(Models!$BJ252:$BT252,,T252+1)*R252-ERP_i)*Q252*Ramure*Pc/MaxiM</f>
        <v>3.9622715326001037E-5</v>
      </c>
      <c r="Q252" s="304">
        <f t="shared" si="80"/>
        <v>0.5</v>
      </c>
      <c r="R252" s="176">
        <f t="shared" si="81"/>
        <v>0.80770280967040642</v>
      </c>
      <c r="S252" s="814">
        <f t="shared" si="82"/>
        <v>-1</v>
      </c>
      <c r="T252" s="175">
        <f t="shared" si="83"/>
        <v>5</v>
      </c>
      <c r="U252" s="250">
        <f t="shared" si="84"/>
        <v>-0.19229719032959358</v>
      </c>
      <c r="V252" s="382">
        <f t="shared" si="85"/>
        <v>48.204891544544083</v>
      </c>
      <c r="W252" s="401">
        <f t="shared" si="86"/>
        <v>39.982989496660139</v>
      </c>
      <c r="X252" s="157">
        <f t="shared" si="87"/>
        <v>45895</v>
      </c>
      <c r="Y252" s="384">
        <f t="shared" si="88"/>
        <v>38.199816893313709</v>
      </c>
      <c r="Z252" s="384">
        <f t="shared" si="89"/>
        <v>40.426797921256771</v>
      </c>
      <c r="AA252" s="385">
        <f t="shared" si="90"/>
        <v>44.303442789638162</v>
      </c>
      <c r="AB252" s="196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8.7502113250848237E-2</v>
      </c>
      <c r="AD252" s="230">
        <f>(INDEX(Models!$BJ252:$BT252,,AH252)*(1-AF252)+INDEX(Models!$BJ252:$BT252,,AH252+1)*AF252-ERP_i)*AE252*Ramure*Pc/MaxiM</f>
        <v>5.8679642593571617E-4</v>
      </c>
      <c r="AE252" s="304">
        <f t="shared" si="92"/>
        <v>0.5</v>
      </c>
      <c r="AF252" s="176">
        <f t="shared" si="93"/>
        <v>0.92269534949479382</v>
      </c>
      <c r="AG252" s="814">
        <f t="shared" si="99"/>
        <v>1</v>
      </c>
      <c r="AH252" s="175">
        <f t="shared" si="94"/>
        <v>7</v>
      </c>
      <c r="AI252" s="224">
        <f t="shared" si="95"/>
        <v>1.9226953494947938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10">
        <f>'2024'!Wh/'2024'!Env_an*'2025'!Env_an</f>
        <v>47.109258174996953</v>
      </c>
      <c r="C253" s="843"/>
      <c r="D253" s="392">
        <f t="shared" si="77"/>
        <v>49.856734304245677</v>
      </c>
      <c r="E253" s="384">
        <f t="shared" si="100"/>
        <v>52.225738848309035</v>
      </c>
      <c r="F253" s="384">
        <f t="shared" si="78"/>
        <v>52.227839855461603</v>
      </c>
      <c r="G253" s="110">
        <f t="shared" si="101"/>
        <v>0.97982169257555984</v>
      </c>
      <c r="H253" s="413" t="b">
        <f>Wh_hp&gt;='2024'!Maxi_hp</f>
        <v>0</v>
      </c>
      <c r="I253" s="389">
        <f>IF(H253,Wh_hp,'2024'!Maxi_hp)</f>
        <v>52.471560857407106</v>
      </c>
      <c r="J253" s="85">
        <f>IF(H253,An,'2024'!An_max)</f>
        <v>2018</v>
      </c>
      <c r="K253" s="196">
        <f t="shared" si="79"/>
        <v>45896</v>
      </c>
      <c r="L253" s="147">
        <f>IF(t&lt;Tvie,1-EXP((T0-t)*PertePVj)+'2024'!Pspv,1-EXP((T0-t)*PertePVj)+Pspv)</f>
        <v>5.5107422649917838E-2</v>
      </c>
      <c r="M253" s="847"/>
      <c r="N253" s="847"/>
      <c r="O253" s="48">
        <f>IF(t&lt;Tnet,'2024'!Resal+('2024'!Salim-'2024'!Resal)*(1-EXP(('2024'!Tnet-t)/('2024'!Tau_j))),Resal+(Salim-Resal)*(1-EXP((Tnet-t)/(Tau_j))))*Salcycl</f>
        <v>4.5360862216697211E-2</v>
      </c>
      <c r="P253" s="168">
        <f>(INDEX(Models!$BJ253:$BT253,,T253)*(1-R253)+INDEX(Models!$BJ253:$BT253,,T253+1)*R253-ERP_i)*Q253*Ramure*Pc/MaxiM</f>
        <v>4.1421683057153911E-5</v>
      </c>
      <c r="Q253" s="304">
        <f t="shared" si="80"/>
        <v>0.5</v>
      </c>
      <c r="R253" s="176">
        <f t="shared" si="81"/>
        <v>0.80817408377155475</v>
      </c>
      <c r="S253" s="814">
        <f t="shared" si="82"/>
        <v>-1</v>
      </c>
      <c r="T253" s="175">
        <f t="shared" si="83"/>
        <v>5</v>
      </c>
      <c r="U253" s="250">
        <f t="shared" si="84"/>
        <v>-0.19182591622844525</v>
      </c>
      <c r="V253" s="382">
        <f t="shared" si="85"/>
        <v>48.079362074951277</v>
      </c>
      <c r="W253" s="401">
        <f t="shared" si="86"/>
        <v>47.109258174996953</v>
      </c>
      <c r="X253" s="157">
        <f t="shared" si="87"/>
        <v>45896</v>
      </c>
      <c r="Y253" s="384">
        <f t="shared" si="88"/>
        <v>45.004348221295984</v>
      </c>
      <c r="Z253" s="384">
        <f t="shared" si="89"/>
        <v>47.629063133831664</v>
      </c>
      <c r="AA253" s="385">
        <f t="shared" si="90"/>
        <v>52.196987474798362</v>
      </c>
      <c r="AB253" s="196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8.7513179628846818E-2</v>
      </c>
      <c r="AD253" s="230">
        <f>(INDEX(Models!$BJ253:$BT253,,AH253)*(1-AF253)+INDEX(Models!$BJ253:$BT253,,AH253+1)*AF253-ERP_i)*AE253*Ramure*Pc/MaxiM</f>
        <v>6.0825948727912275E-4</v>
      </c>
      <c r="AE253" s="304">
        <f t="shared" si="92"/>
        <v>0.5</v>
      </c>
      <c r="AF253" s="176">
        <f t="shared" si="93"/>
        <v>0.92316662359594215</v>
      </c>
      <c r="AG253" s="814">
        <f t="shared" si="99"/>
        <v>1</v>
      </c>
      <c r="AH253" s="175">
        <f t="shared" si="94"/>
        <v>7</v>
      </c>
      <c r="AI253" s="224">
        <f t="shared" si="95"/>
        <v>1.9231666235959421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10">
        <f>'2024'!Wh/'2024'!Env_an*'2025'!Env_an</f>
        <v>46.234374061894613</v>
      </c>
      <c r="C254" s="843"/>
      <c r="D254" s="392">
        <f t="shared" si="77"/>
        <v>48.931896130542718</v>
      </c>
      <c r="E254" s="384">
        <f t="shared" si="100"/>
        <v>51.260109818937401</v>
      </c>
      <c r="F254" s="384">
        <f t="shared" si="78"/>
        <v>51.262219213072768</v>
      </c>
      <c r="G254" s="110">
        <f t="shared" si="101"/>
        <v>0.96420496453522986</v>
      </c>
      <c r="H254" s="413" t="b">
        <f>Wh_hp&gt;='2024'!Maxi_hp</f>
        <v>0</v>
      </c>
      <c r="I254" s="389">
        <f>IF(H254,Wh_hp,'2024'!Maxi_hp)</f>
        <v>53.825007614477727</v>
      </c>
      <c r="J254" s="85">
        <f>IF(H254,An,'2024'!An_max)</f>
        <v>2021</v>
      </c>
      <c r="K254" s="196">
        <f t="shared" si="79"/>
        <v>45897</v>
      </c>
      <c r="L254" s="147">
        <f>IF(t&lt;Tvie,1-EXP((T0-t)*PertePVj)+'2024'!Pspv,1-EXP((T0-t)*PertePVj)+Pspv)</f>
        <v>5.5128091939285008E-2</v>
      </c>
      <c r="M254" s="847"/>
      <c r="N254" s="847"/>
      <c r="O254" s="48">
        <f>IF(t&lt;Tnet,'2024'!Resal+('2024'!Salim-'2024'!Resal)*(1-EXP(('2024'!Tnet-t)/('2024'!Tau_j))),Resal+(Salim-Resal)*(1-EXP((Tnet-t)/(Tau_j))))*Salcycl</f>
        <v>4.5419600087055444E-2</v>
      </c>
      <c r="P254" s="168">
        <f>(INDEX(Models!$BJ254:$BT254,,T254)*(1-R254)+INDEX(Models!$BJ254:$BT254,,T254+1)*R254-ERP_i)*Q254*Ramure*Pc/MaxiM</f>
        <v>4.3366548189841487E-5</v>
      </c>
      <c r="Q254" s="304">
        <f t="shared" si="80"/>
        <v>0.5</v>
      </c>
      <c r="R254" s="176">
        <f t="shared" si="81"/>
        <v>0.80862783404309069</v>
      </c>
      <c r="S254" s="814">
        <f t="shared" si="82"/>
        <v>-1</v>
      </c>
      <c r="T254" s="175">
        <f t="shared" si="83"/>
        <v>5</v>
      </c>
      <c r="U254" s="250">
        <f t="shared" si="84"/>
        <v>-0.19137216595690931</v>
      </c>
      <c r="V254" s="382">
        <f t="shared" si="85"/>
        <v>47.950667374533047</v>
      </c>
      <c r="W254" s="401">
        <f t="shared" si="86"/>
        <v>46.234374061894613</v>
      </c>
      <c r="X254" s="157">
        <f t="shared" si="87"/>
        <v>45897</v>
      </c>
      <c r="Y254" s="384">
        <f t="shared" si="88"/>
        <v>44.170500316847694</v>
      </c>
      <c r="Z254" s="384">
        <f t="shared" si="89"/>
        <v>46.747606675601801</v>
      </c>
      <c r="AA254" s="385">
        <f t="shared" si="90"/>
        <v>51.231594213640477</v>
      </c>
      <c r="AB254" s="196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8.7523872853537132E-2</v>
      </c>
      <c r="AD254" s="230">
        <f>(INDEX(Models!$BJ254:$BT254,,AH254)*(1-AF254)+INDEX(Models!$BJ254:$BT254,,AH254+1)*AF254-ERP_i)*AE254*Ramure*Pc/MaxiM</f>
        <v>6.2961230972776415E-4</v>
      </c>
      <c r="AE254" s="304">
        <f t="shared" si="92"/>
        <v>0.5</v>
      </c>
      <c r="AF254" s="176">
        <f t="shared" si="93"/>
        <v>0.92362037386747819</v>
      </c>
      <c r="AG254" s="814">
        <f t="shared" si="99"/>
        <v>1</v>
      </c>
      <c r="AH254" s="175">
        <f t="shared" si="94"/>
        <v>7</v>
      </c>
      <c r="AI254" s="224">
        <f t="shared" si="95"/>
        <v>1.9236203738674782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10">
        <f>'2024'!Wh/'2024'!Env_an*'2025'!Env_an</f>
        <v>31.173035102034</v>
      </c>
      <c r="C255" s="843"/>
      <c r="D255" s="392">
        <f t="shared" si="77"/>
        <v>32.992532377514031</v>
      </c>
      <c r="E255" s="384">
        <f t="shared" si="100"/>
        <v>34.564457240493716</v>
      </c>
      <c r="F255" s="384">
        <f t="shared" si="78"/>
        <v>34.565244334262957</v>
      </c>
      <c r="G255" s="110">
        <f t="shared" si="101"/>
        <v>0.65189223614398184</v>
      </c>
      <c r="H255" s="413" t="b">
        <f>Wh_hp&gt;='2024'!Maxi_hp</f>
        <v>0</v>
      </c>
      <c r="I255" s="389">
        <f>IF(H255,Wh_hp,'2024'!Maxi_hp)</f>
        <v>53.392910497519651</v>
      </c>
      <c r="J255" s="85">
        <f>IF(H255,An,'2024'!An_max)</f>
        <v>2021</v>
      </c>
      <c r="K255" s="196">
        <f t="shared" si="79"/>
        <v>45898</v>
      </c>
      <c r="L255" s="147">
        <f>IF(t&lt;Tvie,1-EXP((T0-t)*PertePVj)+'2024'!Pspv,1-EXP((T0-t)*PertePVj)+Pspv)</f>
        <v>5.5148760775941642E-2</v>
      </c>
      <c r="M255" s="847"/>
      <c r="N255" s="847"/>
      <c r="O255" s="48">
        <f>IF(t&lt;Tnet,'2024'!Resal+('2024'!Salim-'2024'!Resal)*(1-EXP(('2024'!Tnet-t)/('2024'!Tau_j))),Resal+(Salim-Resal)*(1-EXP((Tnet-t)/(Tau_j))))*Salcycl</f>
        <v>4.5478071651537694E-2</v>
      </c>
      <c r="P255" s="168">
        <f>(INDEX(Models!$BJ255:$BT255,,T255)*(1-R255)+INDEX(Models!$BJ255:$BT255,,T255+1)*R255-ERP_i)*Q255*Ramure*Pc/MaxiM</f>
        <v>4.5295710456906507E-5</v>
      </c>
      <c r="Q255" s="304">
        <f t="shared" si="80"/>
        <v>0.5</v>
      </c>
      <c r="R255" s="176">
        <f t="shared" si="81"/>
        <v>0.80906465786446746</v>
      </c>
      <c r="S255" s="814">
        <f t="shared" si="82"/>
        <v>-1</v>
      </c>
      <c r="T255" s="175">
        <f t="shared" si="83"/>
        <v>5</v>
      </c>
      <c r="U255" s="250">
        <f t="shared" si="84"/>
        <v>-0.19093534213553254</v>
      </c>
      <c r="V255" s="382">
        <f t="shared" si="85"/>
        <v>47.818230072182388</v>
      </c>
      <c r="W255" s="401">
        <f t="shared" si="86"/>
        <v>31.173035102034</v>
      </c>
      <c r="X255" s="157">
        <f t="shared" si="87"/>
        <v>45898</v>
      </c>
      <c r="Y255" s="384">
        <f t="shared" si="88"/>
        <v>29.790504770727178</v>
      </c>
      <c r="Z255" s="384">
        <f t="shared" si="89"/>
        <v>31.529306978728293</v>
      </c>
      <c r="AA255" s="385">
        <f t="shared" si="90"/>
        <v>34.55395945155901</v>
      </c>
      <c r="AB255" s="196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8.7534179030075043E-2</v>
      </c>
      <c r="AD255" s="230">
        <f>(INDEX(Models!$BJ255:$BT255,,AH255)*(1-AF255)+INDEX(Models!$BJ255:$BT255,,AH255+1)*AF255-ERP_i)*AE255*Ramure*Pc/MaxiM</f>
        <v>6.4942297788940441E-4</v>
      </c>
      <c r="AE255" s="304">
        <f t="shared" si="92"/>
        <v>0.5</v>
      </c>
      <c r="AF255" s="176">
        <f t="shared" si="93"/>
        <v>0.92405719768885497</v>
      </c>
      <c r="AG255" s="814">
        <f t="shared" si="99"/>
        <v>1</v>
      </c>
      <c r="AH255" s="175">
        <f t="shared" si="94"/>
        <v>7</v>
      </c>
      <c r="AI255" s="224">
        <f t="shared" si="95"/>
        <v>1.924057197688855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10">
        <f>'2024'!Wh/'2024'!Env_an*'2025'!Env_an</f>
        <v>45.264891242595859</v>
      </c>
      <c r="C256" s="843"/>
      <c r="D256" s="392">
        <f t="shared" si="77"/>
        <v>47.907945233343035</v>
      </c>
      <c r="E256" s="384">
        <f t="shared" si="100"/>
        <v>50.193573280343635</v>
      </c>
      <c r="F256" s="384">
        <f t="shared" si="78"/>
        <v>50.195771427094087</v>
      </c>
      <c r="G256" s="110">
        <f t="shared" si="101"/>
        <v>0.94931513409252377</v>
      </c>
      <c r="H256" s="413" t="b">
        <f>Wh_hp&gt;='2024'!Maxi_hp</f>
        <v>0</v>
      </c>
      <c r="I256" s="389">
        <f>IF(H256,Wh_hp,'2024'!Maxi_hp)</f>
        <v>51.895427977541566</v>
      </c>
      <c r="J256" s="85">
        <f>IF(H256,An,'2024'!An_max)</f>
        <v>2021</v>
      </c>
      <c r="K256" s="196">
        <f t="shared" si="79"/>
        <v>45899</v>
      </c>
      <c r="L256" s="147">
        <f>IF(t&lt;Tvie,1-EXP((T0-t)*PertePVj)+'2024'!Pspv,1-EXP((T0-t)*PertePVj)+Pspv)</f>
        <v>5.5169429159897733E-2</v>
      </c>
      <c r="M256" s="847"/>
      <c r="N256" s="847"/>
      <c r="O256" s="48">
        <f>IF(t&lt;Tnet,'2024'!Resal+('2024'!Salim-'2024'!Resal)*(1-EXP(('2024'!Tnet-t)/('2024'!Tau_j))),Resal+(Salim-Resal)*(1-EXP((Tnet-t)/(Tau_j))))*Salcycl</f>
        <v>4.5536268841327575E-2</v>
      </c>
      <c r="P256" s="168">
        <f>(INDEX(Models!$BJ256:$BT256,,T256)*(1-R256)+INDEX(Models!$BJ256:$BT256,,T256+1)*R256-ERP_i)*Q256*Ramure*Pc/MaxiM</f>
        <v>4.7209553628191795E-5</v>
      </c>
      <c r="Q256" s="304">
        <f t="shared" si="80"/>
        <v>0.5</v>
      </c>
      <c r="R256" s="176">
        <f t="shared" si="81"/>
        <v>0.80948513640117226</v>
      </c>
      <c r="S256" s="814">
        <f t="shared" si="82"/>
        <v>-1</v>
      </c>
      <c r="T256" s="175">
        <f t="shared" si="83"/>
        <v>5</v>
      </c>
      <c r="U256" s="250">
        <f t="shared" si="84"/>
        <v>-0.19051486359882774</v>
      </c>
      <c r="V256" s="382">
        <f t="shared" si="85"/>
        <v>47.68146518597873</v>
      </c>
      <c r="W256" s="401">
        <f t="shared" si="86"/>
        <v>45.264891242595859</v>
      </c>
      <c r="X256" s="157">
        <f t="shared" si="87"/>
        <v>45899</v>
      </c>
      <c r="Y256" s="384">
        <f t="shared" si="88"/>
        <v>43.247787862368988</v>
      </c>
      <c r="Z256" s="384">
        <f t="shared" si="89"/>
        <v>45.77306153834008</v>
      </c>
      <c r="AA256" s="385">
        <f t="shared" si="90"/>
        <v>50.164682725625212</v>
      </c>
      <c r="AB256" s="196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8.7544083779120443E-2</v>
      </c>
      <c r="AD256" s="230">
        <f>(INDEX(Models!$BJ256:$BT256,,AH256)*(1-AF256)+INDEX(Models!$BJ256:$BT256,,AH256+1)*AF256-ERP_i)*AE256*Ramure*Pc/MaxiM</f>
        <v>6.6769141729289673E-4</v>
      </c>
      <c r="AE256" s="304">
        <f t="shared" si="92"/>
        <v>0.5</v>
      </c>
      <c r="AF256" s="176">
        <f t="shared" si="93"/>
        <v>0.92447767622555976</v>
      </c>
      <c r="AG256" s="814">
        <f t="shared" si="99"/>
        <v>1</v>
      </c>
      <c r="AH256" s="175">
        <f t="shared" si="94"/>
        <v>7</v>
      </c>
      <c r="AI256" s="224">
        <f t="shared" si="95"/>
        <v>1.9244776762255598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10">
        <f>'2024'!Wh/'2024'!Env_an*'2025'!Env_an</f>
        <v>21.304273316020716</v>
      </c>
      <c r="C257" s="843"/>
      <c r="D257" s="392">
        <f t="shared" si="77"/>
        <v>22.548740493119418</v>
      </c>
      <c r="E257" s="384">
        <f t="shared" si="100"/>
        <v>23.625946215175322</v>
      </c>
      <c r="F257" s="384">
        <f t="shared" si="78"/>
        <v>23.626191749673129</v>
      </c>
      <c r="G257" s="110">
        <f t="shared" si="101"/>
        <v>0.44811829026833955</v>
      </c>
      <c r="H257" s="413" t="b">
        <f>Wh_hp&gt;='2024'!Maxi_hp</f>
        <v>0</v>
      </c>
      <c r="I257" s="389">
        <f>IF(H257,Wh_hp,'2024'!Maxi_hp)</f>
        <v>51.83189151482037</v>
      </c>
      <c r="J257" s="85">
        <f>IF(H257,An,'2024'!An_max)</f>
        <v>2021</v>
      </c>
      <c r="K257" s="196">
        <f t="shared" si="79"/>
        <v>45900</v>
      </c>
      <c r="L257" s="147">
        <f>IF(t&lt;Tvie,1-EXP((T0-t)*PertePVj)+'2024'!Pspv,1-EXP((T0-t)*PertePVj)+Pspv)</f>
        <v>5.5190097091163161E-2</v>
      </c>
      <c r="M257" s="847"/>
      <c r="N257" s="847"/>
      <c r="O257" s="48">
        <f>IF(t&lt;Tnet,'2024'!Resal+('2024'!Salim-'2024'!Resal)*(1-EXP(('2024'!Tnet-t)/('2024'!Tau_j))),Resal+(Salim-Resal)*(1-EXP((Tnet-t)/(Tau_j))))*Salcycl</f>
        <v>4.5594183286678205E-2</v>
      </c>
      <c r="P257" s="168">
        <f>(INDEX(Models!$BJ257:$BT257,,T257)*(1-R257)+INDEX(Models!$BJ257:$BT257,,T257+1)*R257-ERP_i)*Q257*Ramure*Pc/MaxiM</f>
        <v>4.9108568583392491E-5</v>
      </c>
      <c r="Q257" s="304">
        <f t="shared" si="80"/>
        <v>0.5</v>
      </c>
      <c r="R257" s="176">
        <f t="shared" si="81"/>
        <v>0.80988983471499232</v>
      </c>
      <c r="S257" s="814">
        <f t="shared" si="82"/>
        <v>-1</v>
      </c>
      <c r="T257" s="175">
        <f t="shared" si="83"/>
        <v>5</v>
      </c>
      <c r="U257" s="250">
        <f t="shared" si="84"/>
        <v>-0.19011016528500763</v>
      </c>
      <c r="V257" s="382">
        <f t="shared" si="85"/>
        <v>47.539787934908738</v>
      </c>
      <c r="W257" s="401">
        <f t="shared" si="86"/>
        <v>21.304273316020716</v>
      </c>
      <c r="X257" s="157">
        <f t="shared" si="87"/>
        <v>45900</v>
      </c>
      <c r="Y257" s="384">
        <f t="shared" si="88"/>
        <v>20.364916292645479</v>
      </c>
      <c r="Z257" s="384">
        <f t="shared" si="89"/>
        <v>21.554511896993162</v>
      </c>
      <c r="AA257" s="385">
        <f t="shared" si="90"/>
        <v>23.622769776330472</v>
      </c>
      <c r="AB257" s="196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8.7553572206831673E-2</v>
      </c>
      <c r="AD257" s="230">
        <f>(INDEX(Models!$BJ257:$BT257,,AH257)*(1-AF257)+INDEX(Models!$BJ257:$BT257,,AH257+1)*AF257-ERP_i)*AE257*Ramure*Pc/MaxiM</f>
        <v>6.8441792941369638E-4</v>
      </c>
      <c r="AE257" s="304">
        <f t="shared" si="92"/>
        <v>0.5</v>
      </c>
      <c r="AF257" s="176">
        <f t="shared" si="93"/>
        <v>0.92488237453937971</v>
      </c>
      <c r="AG257" s="814">
        <f t="shared" si="99"/>
        <v>1</v>
      </c>
      <c r="AH257" s="175">
        <f t="shared" si="94"/>
        <v>7</v>
      </c>
      <c r="AI257" s="224">
        <f t="shared" si="95"/>
        <v>1.9248823745393797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10">
        <f>'2024'!Wh/'2024'!Env_an*'2025'!Env_an</f>
        <v>41.069106299135349</v>
      </c>
      <c r="C258" s="843"/>
      <c r="D258" s="392">
        <f t="shared" si="77"/>
        <v>43.46906670717167</v>
      </c>
      <c r="E258" s="384">
        <f t="shared" si="100"/>
        <v>45.548435040801536</v>
      </c>
      <c r="F258" s="384">
        <f t="shared" si="78"/>
        <v>45.550315058428595</v>
      </c>
      <c r="G258" s="110">
        <f t="shared" si="101"/>
        <v>0.86656345498657494</v>
      </c>
      <c r="H258" s="413" t="b">
        <f>Wh_hp&gt;='2024'!Maxi_hp</f>
        <v>0</v>
      </c>
      <c r="I258" s="389">
        <f>IF(H258,Wh_hp,'2024'!Maxi_hp)</f>
        <v>53.126958868503813</v>
      </c>
      <c r="J258" s="85">
        <f>IF(H258,An,'2024'!An_max)</f>
        <v>2018</v>
      </c>
      <c r="K258" s="196">
        <f t="shared" si="79"/>
        <v>45901</v>
      </c>
      <c r="L258" s="147">
        <f>IF(t&lt;Tvie,1-EXP((T0-t)*PertePVj)+'2024'!Pspv,1-EXP((T0-t)*PertePVj)+Pspv)</f>
        <v>5.5210764569747807E-2</v>
      </c>
      <c r="M258" s="847"/>
      <c r="N258" s="847"/>
      <c r="O258" s="48">
        <f>IF(t&lt;Tnet,'2024'!Resal+('2024'!Salim-'2024'!Resal)*(1-EXP(('2024'!Tnet-t)/('2024'!Tau_j))),Resal+(Salim-Resal)*(1-EXP((Tnet-t)/(Tau_j))))*Salcycl</f>
        <v>4.5651806297344846E-2</v>
      </c>
      <c r="P258" s="168">
        <f>(INDEX(Models!$BJ258:$BT258,,T258)*(1-R258)+INDEX(Models!$BJ258:$BT258,,T258+1)*R258-ERP_i)*Q258*Ramure*Pc/MaxiM</f>
        <v>5.0993352066776358E-5</v>
      </c>
      <c r="Q258" s="304">
        <f t="shared" si="80"/>
        <v>0.5</v>
      </c>
      <c r="R258" s="176">
        <f t="shared" si="81"/>
        <v>0.81027930190456532</v>
      </c>
      <c r="S258" s="814">
        <f t="shared" si="82"/>
        <v>-1</v>
      </c>
      <c r="T258" s="175">
        <f t="shared" si="83"/>
        <v>5</v>
      </c>
      <c r="U258" s="250">
        <f t="shared" si="84"/>
        <v>-0.18972069809543474</v>
      </c>
      <c r="V258" s="382">
        <f t="shared" si="85"/>
        <v>47.392613729228387</v>
      </c>
      <c r="W258" s="401">
        <f t="shared" si="86"/>
        <v>41.069106299135349</v>
      </c>
      <c r="X258" s="157">
        <f t="shared" si="87"/>
        <v>45901</v>
      </c>
      <c r="Y258" s="384">
        <f t="shared" si="88"/>
        <v>39.244915388119416</v>
      </c>
      <c r="Z258" s="384">
        <f t="shared" si="89"/>
        <v>41.538275327880385</v>
      </c>
      <c r="AA258" s="385">
        <f t="shared" si="90"/>
        <v>45.524522166865417</v>
      </c>
      <c r="AB258" s="196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8.7562628870081385E-2</v>
      </c>
      <c r="AD258" s="230">
        <f>(INDEX(Models!$BJ258:$BT258,,AH258)*(1-AF258)+INDEX(Models!$BJ258:$BT258,,AH258+1)*AF258-ERP_i)*AE258*Ramure*Pc/MaxiM</f>
        <v>6.9960301508415206E-4</v>
      </c>
      <c r="AE258" s="304">
        <f t="shared" si="92"/>
        <v>0.5</v>
      </c>
      <c r="AF258" s="176">
        <f t="shared" si="93"/>
        <v>0.92527184172895272</v>
      </c>
      <c r="AG258" s="814">
        <f t="shared" si="99"/>
        <v>1</v>
      </c>
      <c r="AH258" s="175">
        <f t="shared" si="94"/>
        <v>7</v>
      </c>
      <c r="AI258" s="224">
        <f t="shared" si="95"/>
        <v>1.9252718417289527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10">
        <f>'2024'!Wh/'2024'!Env_an*'2025'!Env_an</f>
        <v>37.67192518921722</v>
      </c>
      <c r="C259" s="843"/>
      <c r="D259" s="392">
        <f t="shared" si="77"/>
        <v>39.874236346413397</v>
      </c>
      <c r="E259" s="384">
        <f t="shared" si="100"/>
        <v>41.784153607154927</v>
      </c>
      <c r="F259" s="384">
        <f t="shared" si="78"/>
        <v>41.785723467187708</v>
      </c>
      <c r="G259" s="110">
        <f t="shared" si="101"/>
        <v>0.79745683294589098</v>
      </c>
      <c r="H259" s="413" t="b">
        <f>Wh_hp&gt;='2024'!Maxi_hp</f>
        <v>0</v>
      </c>
      <c r="I259" s="389">
        <f>IF(H259,Wh_hp,'2024'!Maxi_hp)</f>
        <v>50.943890407811566</v>
      </c>
      <c r="J259" s="85">
        <f>IF(H259,An,'2024'!An_max)</f>
        <v>2018</v>
      </c>
      <c r="K259" s="196">
        <f t="shared" si="79"/>
        <v>45902</v>
      </c>
      <c r="L259" s="147">
        <f>IF(t&lt;Tvie,1-EXP((T0-t)*PertePVj)+'2024'!Pspv,1-EXP((T0-t)*PertePVj)+Pspv)</f>
        <v>5.5231431595661663E-2</v>
      </c>
      <c r="M259" s="847"/>
      <c r="N259" s="847"/>
      <c r="O259" s="48">
        <f>IF(t&lt;Tnet,'2024'!Resal+('2024'!Salim-'2024'!Resal)*(1-EXP(('2024'!Tnet-t)/('2024'!Tau_j))),Resal+(Salim-Resal)*(1-EXP((Tnet-t)/(Tau_j))))*Salcycl</f>
        <v>4.5709128840998717E-2</v>
      </c>
      <c r="P259" s="168">
        <f>(INDEX(Models!$BJ259:$BT259,,T259)*(1-R259)+INDEX(Models!$BJ259:$BT259,,T259+1)*R259-ERP_i)*Q259*Ramure*Pc/MaxiM</f>
        <v>5.2864605707316254E-5</v>
      </c>
      <c r="Q259" s="304">
        <f t="shared" si="80"/>
        <v>0.5</v>
      </c>
      <c r="R259" s="176">
        <f t="shared" si="81"/>
        <v>0.81065407127308919</v>
      </c>
      <c r="S259" s="814">
        <f t="shared" si="82"/>
        <v>-1</v>
      </c>
      <c r="T259" s="175">
        <f t="shared" si="83"/>
        <v>5</v>
      </c>
      <c r="U259" s="250">
        <f t="shared" si="84"/>
        <v>-0.18934592872691075</v>
      </c>
      <c r="V259" s="382">
        <f t="shared" si="85"/>
        <v>47.239358178775468</v>
      </c>
      <c r="W259" s="401">
        <f t="shared" si="86"/>
        <v>37.67192518921722</v>
      </c>
      <c r="X259" s="157">
        <f t="shared" si="87"/>
        <v>45902</v>
      </c>
      <c r="Y259" s="384">
        <f t="shared" si="88"/>
        <v>36.002456687633426</v>
      </c>
      <c r="Z259" s="384">
        <f t="shared" si="89"/>
        <v>38.10717025486948</v>
      </c>
      <c r="AA259" s="385">
        <f t="shared" si="90"/>
        <v>41.764542976921796</v>
      </c>
      <c r="AB259" s="196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8.7571237738033034E-2</v>
      </c>
      <c r="AD259" s="230">
        <f>(INDEX(Models!$BJ259:$BT259,,AH259)*(1-AF259)+INDEX(Models!$BJ259:$BT259,,AH259+1)*AF259-ERP_i)*AE259*Ramure*Pc/MaxiM</f>
        <v>7.1324719606281981E-4</v>
      </c>
      <c r="AE259" s="304">
        <f t="shared" si="92"/>
        <v>0.5</v>
      </c>
      <c r="AF259" s="176">
        <f t="shared" si="93"/>
        <v>0.92564661109747659</v>
      </c>
      <c r="AG259" s="814">
        <f t="shared" si="99"/>
        <v>1</v>
      </c>
      <c r="AH259" s="175">
        <f t="shared" si="94"/>
        <v>7</v>
      </c>
      <c r="AI259" s="224">
        <f t="shared" si="95"/>
        <v>1.9256466110974766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10">
        <f>'2024'!Wh/'2024'!Env_an*'2025'!Env_an</f>
        <v>31.455249626466188</v>
      </c>
      <c r="C260" s="843"/>
      <c r="D260" s="392">
        <f t="shared" si="77"/>
        <v>33.294860528931004</v>
      </c>
      <c r="E260" s="384">
        <f t="shared" si="100"/>
        <v>34.89171992070689</v>
      </c>
      <c r="F260" s="384">
        <f t="shared" si="78"/>
        <v>34.89272409860147</v>
      </c>
      <c r="G260" s="110">
        <f t="shared" si="101"/>
        <v>0.66811405301698701</v>
      </c>
      <c r="H260" s="413" t="b">
        <f>Wh_hp&gt;='2024'!Maxi_hp</f>
        <v>0</v>
      </c>
      <c r="I260" s="389">
        <f>IF(H260,Wh_hp,'2024'!Maxi_hp)</f>
        <v>53.385719153898613</v>
      </c>
      <c r="J260" s="85">
        <f>IF(H260,An,'2024'!An_max)</f>
        <v>2019</v>
      </c>
      <c r="K260" s="196">
        <f t="shared" si="79"/>
        <v>45903</v>
      </c>
      <c r="L260" s="147">
        <f>IF(t&lt;Tvie,1-EXP((T0-t)*PertePVj)+'2024'!Pspv,1-EXP((T0-t)*PertePVj)+Pspv)</f>
        <v>5.5252098168914611E-2</v>
      </c>
      <c r="M260" s="847"/>
      <c r="N260" s="847"/>
      <c r="O260" s="48">
        <f>IF(t&lt;Tnet,'2024'!Resal+('2024'!Salim-'2024'!Resal)*(1-EXP(('2024'!Tnet-t)/('2024'!Tau_j))),Resal+(Salim-Resal)*(1-EXP((Tnet-t)/(Tau_j))))*Salcycl</f>
        <v>4.5766141520246856E-2</v>
      </c>
      <c r="P260" s="168">
        <f>(INDEX(Models!$BJ260:$BT260,,T260)*(1-R260)+INDEX(Models!$BJ260:$BT260,,T260+1)*R260-ERP_i)*Q260*Ramure*Pc/MaxiM</f>
        <v>5.4723135393478382E-5</v>
      </c>
      <c r="Q260" s="304">
        <f t="shared" si="80"/>
        <v>0.5</v>
      </c>
      <c r="R260" s="176">
        <f t="shared" si="81"/>
        <v>0.8110146605202645</v>
      </c>
      <c r="S260" s="814">
        <f t="shared" si="82"/>
        <v>-1</v>
      </c>
      <c r="T260" s="175">
        <f t="shared" si="83"/>
        <v>5</v>
      </c>
      <c r="U260" s="250">
        <f t="shared" si="84"/>
        <v>-0.1889853394797355</v>
      </c>
      <c r="V260" s="382">
        <f t="shared" si="85"/>
        <v>47.079437083916474</v>
      </c>
      <c r="W260" s="401">
        <f t="shared" si="86"/>
        <v>31.455249626466188</v>
      </c>
      <c r="X260" s="157">
        <f t="shared" si="87"/>
        <v>45903</v>
      </c>
      <c r="Y260" s="384">
        <f t="shared" si="88"/>
        <v>30.066315045978349</v>
      </c>
      <c r="Z260" s="384">
        <f t="shared" si="89"/>
        <v>31.824696289565306</v>
      </c>
      <c r="AA260" s="385">
        <f t="shared" si="90"/>
        <v>34.87941379996596</v>
      </c>
      <c r="AB260" s="196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8.7579382151303162E-2</v>
      </c>
      <c r="AD260" s="230">
        <f>(INDEX(Models!$BJ260:$BT260,,AH260)*(1-AF260)+INDEX(Models!$BJ260:$BT260,,AH260+1)*AF260-ERP_i)*AE260*Ramure*Pc/MaxiM</f>
        <v>7.2535083503859723E-4</v>
      </c>
      <c r="AE260" s="304">
        <f t="shared" si="92"/>
        <v>0.5</v>
      </c>
      <c r="AF260" s="176">
        <f t="shared" si="93"/>
        <v>0.926007200344652</v>
      </c>
      <c r="AG260" s="814">
        <f t="shared" si="99"/>
        <v>1</v>
      </c>
      <c r="AH260" s="175">
        <f t="shared" si="94"/>
        <v>7</v>
      </c>
      <c r="AI260" s="224">
        <f t="shared" si="95"/>
        <v>1.926007200344652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10">
        <f>'2024'!Wh/'2024'!Env_an*'2025'!Env_an</f>
        <v>45.623280076279556</v>
      </c>
      <c r="C261" s="843"/>
      <c r="D261" s="392">
        <f t="shared" si="77"/>
        <v>48.29254238867</v>
      </c>
      <c r="E261" s="384">
        <f t="shared" si="100"/>
        <v>50.611714613648736</v>
      </c>
      <c r="F261" s="384">
        <f t="shared" si="78"/>
        <v>50.614465297709394</v>
      </c>
      <c r="G261" s="110">
        <f t="shared" si="101"/>
        <v>0.97249532430295416</v>
      </c>
      <c r="H261" s="413" t="b">
        <f>Wh_hp&gt;='2024'!Maxi_hp</f>
        <v>0</v>
      </c>
      <c r="I261" s="389">
        <f>IF(H261,Wh_hp,'2024'!Maxi_hp)</f>
        <v>53.038083158550982</v>
      </c>
      <c r="J261" s="85">
        <f>IF(H261,An,'2024'!An_max)</f>
        <v>2019</v>
      </c>
      <c r="K261" s="196">
        <f t="shared" si="79"/>
        <v>45904</v>
      </c>
      <c r="L261" s="147">
        <f>IF(t&lt;Tvie,1-EXP((T0-t)*PertePVj)+'2024'!Pspv,1-EXP((T0-t)*PertePVj)+Pspv)</f>
        <v>5.5272764289516531E-2</v>
      </c>
      <c r="M261" s="847"/>
      <c r="N261" s="847"/>
      <c r="O261" s="48">
        <f>IF(t&lt;Tnet,'2024'!Resal+('2024'!Salim-'2024'!Resal)*(1-EXP(('2024'!Tnet-t)/('2024'!Tau_j))),Resal+(Salim-Resal)*(1-EXP((Tnet-t)/(Tau_j))))*Salcycl</f>
        <v>4.5822834548927036E-2</v>
      </c>
      <c r="P261" s="168">
        <f>(INDEX(Models!$BJ261:$BT261,,T261)*(1-R261)+INDEX(Models!$BJ261:$BT261,,T261+1)*R261-ERP_i)*Q261*Ramure*Pc/MaxiM</f>
        <v>5.6568339747914031E-5</v>
      </c>
      <c r="Q261" s="304">
        <f t="shared" si="80"/>
        <v>0.5</v>
      </c>
      <c r="R261" s="176">
        <f t="shared" si="81"/>
        <v>0.811361571955723</v>
      </c>
      <c r="S261" s="814">
        <f t="shared" si="82"/>
        <v>-1</v>
      </c>
      <c r="T261" s="175">
        <f t="shared" si="83"/>
        <v>5</v>
      </c>
      <c r="U261" s="250">
        <f t="shared" si="84"/>
        <v>-0.18863842804427694</v>
      </c>
      <c r="V261" s="382">
        <f t="shared" si="85"/>
        <v>46.913519820081376</v>
      </c>
      <c r="W261" s="401">
        <f t="shared" si="86"/>
        <v>45.623280076279556</v>
      </c>
      <c r="X261" s="157">
        <f t="shared" si="87"/>
        <v>45904</v>
      </c>
      <c r="Y261" s="384">
        <f t="shared" si="88"/>
        <v>43.597881386141061</v>
      </c>
      <c r="Z261" s="384">
        <f t="shared" si="89"/>
        <v>46.148644537968899</v>
      </c>
      <c r="AA261" s="385">
        <f t="shared" si="90"/>
        <v>50.57868180624623</v>
      </c>
      <c r="AB261" s="196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8.7587044780005341E-2</v>
      </c>
      <c r="AD261" s="230">
        <f>(INDEX(Models!$BJ261:$BT261,,AH261)*(1-AF261)+INDEX(Models!$BJ261:$BT261,,AH261+1)*AF261-ERP_i)*AE261*Ramure*Pc/MaxiM</f>
        <v>7.3589429313493143E-4</v>
      </c>
      <c r="AE261" s="304">
        <f t="shared" si="92"/>
        <v>0.5</v>
      </c>
      <c r="AF261" s="176">
        <f t="shared" si="93"/>
        <v>0.9263541117801104</v>
      </c>
      <c r="AG261" s="814">
        <f t="shared" si="99"/>
        <v>1</v>
      </c>
      <c r="AH261" s="175">
        <f t="shared" si="94"/>
        <v>7</v>
      </c>
      <c r="AI261" s="224">
        <f t="shared" si="95"/>
        <v>1.9263541117801104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10">
        <f>'2024'!Wh/'2024'!Env_an*'2025'!Env_an</f>
        <v>38.569999685934185</v>
      </c>
      <c r="C262" s="843"/>
      <c r="D262" s="392">
        <f t="shared" si="77"/>
        <v>40.827491740846149</v>
      </c>
      <c r="E262" s="384">
        <f t="shared" si="100"/>
        <v>42.790694473532071</v>
      </c>
      <c r="F262" s="384">
        <f t="shared" si="78"/>
        <v>42.792568812757459</v>
      </c>
      <c r="G262" s="110">
        <f t="shared" si="101"/>
        <v>0.82514298020337762</v>
      </c>
      <c r="H262" s="413" t="b">
        <f>Wh_hp&gt;='2024'!Maxi_hp</f>
        <v>0</v>
      </c>
      <c r="I262" s="389">
        <f>IF(H262,Wh_hp,'2024'!Maxi_hp)</f>
        <v>52.253818490500642</v>
      </c>
      <c r="J262" s="85">
        <f>IF(H262,An,'2024'!An_max)</f>
        <v>2020</v>
      </c>
      <c r="K262" s="196">
        <f t="shared" si="79"/>
        <v>45905</v>
      </c>
      <c r="L262" s="147">
        <f>IF(t&lt;Tvie,1-EXP((T0-t)*PertePVj)+'2024'!Pspv,1-EXP((T0-t)*PertePVj)+Pspv)</f>
        <v>5.5293429957477415E-2</v>
      </c>
      <c r="M262" s="847"/>
      <c r="N262" s="847"/>
      <c r="O262" s="48">
        <f>IF(t&lt;Tnet,'2024'!Resal+('2024'!Salim-'2024'!Resal)*(1-EXP(('2024'!Tnet-t)/('2024'!Tau_j))),Resal+(Salim-Resal)*(1-EXP((Tnet-t)/(Tau_j))))*Salcycl</f>
        <v>4.5879197728381116E-2</v>
      </c>
      <c r="P262" s="168">
        <f>(INDEX(Models!$BJ262:$BT262,,T262)*(1-R262)+INDEX(Models!$BJ262:$BT262,,T262+1)*R262-ERP_i)*Q262*Ramure*Pc/MaxiM</f>
        <v>5.8383531367304473E-5</v>
      </c>
      <c r="Q262" s="304">
        <f t="shared" si="80"/>
        <v>0.5</v>
      </c>
      <c r="R262" s="176">
        <f t="shared" si="81"/>
        <v>0.81169529273138619</v>
      </c>
      <c r="S262" s="814">
        <f t="shared" si="82"/>
        <v>-1</v>
      </c>
      <c r="T262" s="175">
        <f t="shared" si="83"/>
        <v>5</v>
      </c>
      <c r="U262" s="250">
        <f t="shared" si="84"/>
        <v>-0.18830470726861381</v>
      </c>
      <c r="V262" s="382">
        <f t="shared" si="85"/>
        <v>46.742732013866416</v>
      </c>
      <c r="W262" s="401">
        <f t="shared" si="86"/>
        <v>38.569999685934185</v>
      </c>
      <c r="X262" s="157">
        <f t="shared" si="87"/>
        <v>45905</v>
      </c>
      <c r="Y262" s="384">
        <f t="shared" si="88"/>
        <v>36.864688567937932</v>
      </c>
      <c r="Z262" s="384">
        <f t="shared" si="89"/>
        <v>39.022369206428408</v>
      </c>
      <c r="AA262" s="385">
        <f t="shared" si="90"/>
        <v>42.768655712953056</v>
      </c>
      <c r="AB262" s="196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8.7594207582026837E-2</v>
      </c>
      <c r="AD262" s="230">
        <f>(INDEX(Models!$BJ262:$BT262,,AH262)*(1-AF262)+INDEX(Models!$BJ262:$BT262,,AH262+1)*AF262-ERP_i)*AE262*Ramure*Pc/MaxiM</f>
        <v>7.4486581383562405E-4</v>
      </c>
      <c r="AE262" s="304">
        <f t="shared" si="92"/>
        <v>0.5</v>
      </c>
      <c r="AF262" s="176">
        <f t="shared" si="93"/>
        <v>0.92668783255577369</v>
      </c>
      <c r="AG262" s="814">
        <f t="shared" si="99"/>
        <v>1</v>
      </c>
      <c r="AH262" s="175">
        <f t="shared" si="94"/>
        <v>7</v>
      </c>
      <c r="AI262" s="224">
        <f t="shared" si="95"/>
        <v>1.9266878325557737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10">
        <f>'2024'!Wh/'2024'!Env_an*'2025'!Env_an</f>
        <v>43.743321578054783</v>
      </c>
      <c r="C263" s="843"/>
      <c r="D263" s="392">
        <f t="shared" si="77"/>
        <v>46.304619720198488</v>
      </c>
      <c r="E263" s="384">
        <f t="shared" si="100"/>
        <v>48.534041620106905</v>
      </c>
      <c r="F263" s="384">
        <f t="shared" si="78"/>
        <v>48.536707310346905</v>
      </c>
      <c r="G263" s="110">
        <f t="shared" si="101"/>
        <v>0.93935468560346425</v>
      </c>
      <c r="H263" s="413" t="b">
        <f>Wh_hp&gt;='2024'!Maxi_hp</f>
        <v>0</v>
      </c>
      <c r="I263" s="389">
        <f>IF(H263,Wh_hp,'2024'!Maxi_hp)</f>
        <v>54.048993300295933</v>
      </c>
      <c r="J263" s="85">
        <f>IF(H263,An,'2024'!An_max)</f>
        <v>2019</v>
      </c>
      <c r="K263" s="196">
        <f t="shared" si="79"/>
        <v>45906</v>
      </c>
      <c r="L263" s="147">
        <f>IF(t&lt;Tvie,1-EXP((T0-t)*PertePVj)+'2024'!Pspv,1-EXP((T0-t)*PertePVj)+Pspv)</f>
        <v>5.5314095172807144E-2</v>
      </c>
      <c r="M263" s="847"/>
      <c r="N263" s="847"/>
      <c r="O263" s="48">
        <f>IF(t&lt;Tnet,'2024'!Resal+('2024'!Salim-'2024'!Resal)*(1-EXP(('2024'!Tnet-t)/('2024'!Tau_j))),Resal+(Salim-Resal)*(1-EXP((Tnet-t)/(Tau_j))))*Salcycl</f>
        <v>4.5935220424437088E-2</v>
      </c>
      <c r="P263" s="168">
        <f>(INDEX(Models!$BJ263:$BT263,,T263)*(1-R263)+INDEX(Models!$BJ263:$BT263,,T263+1)*R263-ERP_i)*Q263*Ramure*Pc/MaxiM</f>
        <v>6.0130142743975692E-5</v>
      </c>
      <c r="Q263" s="304">
        <f t="shared" si="80"/>
        <v>0.5</v>
      </c>
      <c r="R263" s="176">
        <f t="shared" si="81"/>
        <v>0.8120162950903651</v>
      </c>
      <c r="S263" s="814">
        <f t="shared" si="82"/>
        <v>-1</v>
      </c>
      <c r="T263" s="175">
        <f t="shared" si="83"/>
        <v>5</v>
      </c>
      <c r="U263" s="250">
        <f t="shared" si="84"/>
        <v>-0.18798370490963484</v>
      </c>
      <c r="V263" s="382">
        <f t="shared" si="85"/>
        <v>46.567174652887488</v>
      </c>
      <c r="W263" s="401">
        <f t="shared" si="86"/>
        <v>43.743321578054783</v>
      </c>
      <c r="X263" s="157">
        <f t="shared" si="87"/>
        <v>45906</v>
      </c>
      <c r="Y263" s="384">
        <f t="shared" si="88"/>
        <v>41.806488793306436</v>
      </c>
      <c r="Z263" s="384">
        <f t="shared" si="89"/>
        <v>44.254379767584133</v>
      </c>
      <c r="AA263" s="385">
        <f t="shared" si="90"/>
        <v>48.503311136460333</v>
      </c>
      <c r="AB263" s="196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8.760085176292734E-2</v>
      </c>
      <c r="AD263" s="230">
        <f>(INDEX(Models!$BJ263:$BT263,,AH263)*(1-AF263)+INDEX(Models!$BJ263:$BT263,,AH263+1)*AF263-ERP_i)*AE263*Ramure*Pc/MaxiM</f>
        <v>7.5331959909153399E-4</v>
      </c>
      <c r="AE263" s="304">
        <f t="shared" si="92"/>
        <v>0.5</v>
      </c>
      <c r="AF263" s="176">
        <f t="shared" si="93"/>
        <v>0.92700883491475272</v>
      </c>
      <c r="AG263" s="814">
        <f t="shared" si="99"/>
        <v>1</v>
      </c>
      <c r="AH263" s="175">
        <f t="shared" si="94"/>
        <v>7</v>
      </c>
      <c r="AI263" s="224">
        <f t="shared" si="95"/>
        <v>1.9270088349147527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10">
        <f>'2024'!Wh/'2024'!Env_an*'2025'!Env_an</f>
        <v>34.035405920931964</v>
      </c>
      <c r="C264" s="843"/>
      <c r="D264" s="392">
        <f t="shared" si="77"/>
        <v>36.029065617581793</v>
      </c>
      <c r="E264" s="384">
        <f t="shared" si="100"/>
        <v>37.765955585017629</v>
      </c>
      <c r="F264" s="384">
        <f t="shared" si="78"/>
        <v>37.767401946550493</v>
      </c>
      <c r="G264" s="110">
        <f t="shared" si="101"/>
        <v>0.73371083787819225</v>
      </c>
      <c r="H264" s="413" t="b">
        <f>Wh_hp&gt;='2024'!Maxi_hp</f>
        <v>0</v>
      </c>
      <c r="I264" s="389">
        <f>IF(H264,Wh_hp,'2024'!Maxi_hp)</f>
        <v>52.847504684614634</v>
      </c>
      <c r="J264" s="85">
        <f>IF(H264,An,'2024'!An_max)</f>
        <v>2019</v>
      </c>
      <c r="K264" s="196">
        <f t="shared" si="79"/>
        <v>45907</v>
      </c>
      <c r="L264" s="147">
        <f>IF(t&lt;Tvie,1-EXP((T0-t)*PertePVj)+'2024'!Pspv,1-EXP((T0-t)*PertePVj)+Pspv)</f>
        <v>5.53347599355156E-2</v>
      </c>
      <c r="M264" s="847"/>
      <c r="N264" s="847"/>
      <c r="O264" s="48">
        <f>IF(t&lt;Tnet,'2024'!Resal+('2024'!Salim-'2024'!Resal)*(1-EXP(('2024'!Tnet-t)/('2024'!Tau_j))),Resal+(Salim-Resal)*(1-EXP((Tnet-t)/(Tau_j))))*Salcycl</f>
        <v>4.5990891545847352E-2</v>
      </c>
      <c r="P264" s="168">
        <f>(INDEX(Models!$BJ264:$BT264,,T264)*(1-R264)+INDEX(Models!$BJ264:$BT264,,T264+1)*R264-ERP_i)*Q264*Ramure*Pc/MaxiM</f>
        <v>6.1807367103375177E-5</v>
      </c>
      <c r="Q264" s="304">
        <f t="shared" si="80"/>
        <v>0.5</v>
      </c>
      <c r="R264" s="176">
        <f t="shared" si="81"/>
        <v>0.81232503663018774</v>
      </c>
      <c r="S264" s="814">
        <f t="shared" si="82"/>
        <v>-1</v>
      </c>
      <c r="T264" s="175">
        <f t="shared" si="83"/>
        <v>5</v>
      </c>
      <c r="U264" s="250">
        <f t="shared" si="84"/>
        <v>-0.18767496336981226</v>
      </c>
      <c r="V264" s="382">
        <f t="shared" si="85"/>
        <v>46.386946918774008</v>
      </c>
      <c r="W264" s="401">
        <f t="shared" si="86"/>
        <v>34.035405920931964</v>
      </c>
      <c r="X264" s="157">
        <f t="shared" si="87"/>
        <v>45907</v>
      </c>
      <c r="Y264" s="384">
        <f t="shared" si="88"/>
        <v>32.536595968020492</v>
      </c>
      <c r="Z264" s="384">
        <f t="shared" si="89"/>
        <v>34.442461295389137</v>
      </c>
      <c r="AA264" s="385">
        <f t="shared" si="90"/>
        <v>37.749587842134765</v>
      </c>
      <c r="AB264" s="196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8.7606957738869104E-2</v>
      </c>
      <c r="AD264" s="230">
        <f>(INDEX(Models!$BJ264:$BT264,,AH264)*(1-AF264)+INDEX(Models!$BJ264:$BT264,,AH264+1)*AF264-ERP_i)*AE264*Ramure*Pc/MaxiM</f>
        <v>7.6125012054275231E-4</v>
      </c>
      <c r="AE264" s="304">
        <f t="shared" si="92"/>
        <v>0.5</v>
      </c>
      <c r="AF264" s="176">
        <f t="shared" si="93"/>
        <v>0.92731757645457513</v>
      </c>
      <c r="AG264" s="814">
        <f t="shared" si="99"/>
        <v>1</v>
      </c>
      <c r="AH264" s="175">
        <f t="shared" si="94"/>
        <v>7</v>
      </c>
      <c r="AI264" s="224">
        <f t="shared" si="95"/>
        <v>1.9273175764545751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10">
        <f>'2024'!Wh/'2024'!Env_an*'2025'!Env_an</f>
        <v>37.271718737563575</v>
      </c>
      <c r="C265" s="843"/>
      <c r="D265" s="392">
        <f t="shared" si="77"/>
        <v>39.455811946835787</v>
      </c>
      <c r="E265" s="384">
        <f t="shared" si="100"/>
        <v>41.360296407632248</v>
      </c>
      <c r="F265" s="384">
        <f t="shared" si="78"/>
        <v>41.36219509015929</v>
      </c>
      <c r="G265" s="110">
        <f t="shared" si="101"/>
        <v>0.80669552611688022</v>
      </c>
      <c r="H265" s="413" t="b">
        <f>Wh_hp&gt;='2024'!Maxi_hp</f>
        <v>0</v>
      </c>
      <c r="I265" s="389">
        <f>IF(H265,Wh_hp,'2024'!Maxi_hp)</f>
        <v>46.460443083143332</v>
      </c>
      <c r="J265" s="85">
        <f>IF(H265,An,'2024'!An_max)</f>
        <v>2018</v>
      </c>
      <c r="K265" s="196">
        <f t="shared" si="79"/>
        <v>45908</v>
      </c>
      <c r="L265" s="147">
        <f>IF(t&lt;Tvie,1-EXP((T0-t)*PertePVj)+'2024'!Pspv,1-EXP((T0-t)*PertePVj)+Pspv)</f>
        <v>5.5355424245612773E-2</v>
      </c>
      <c r="M265" s="847"/>
      <c r="N265" s="847"/>
      <c r="O265" s="48">
        <f>IF(t&lt;Tnet,'2024'!Resal+('2024'!Salim-'2024'!Resal)*(1-EXP(('2024'!Tnet-t)/('2024'!Tau_j))),Resal+(Salim-Resal)*(1-EXP((Tnet-t)/(Tau_j))))*Salcycl</f>
        <v>4.6046199524939324E-2</v>
      </c>
      <c r="P265" s="168">
        <f>(INDEX(Models!$BJ265:$BT265,,T265)*(1-R265)+INDEX(Models!$BJ265:$BT265,,T265+1)*R265-ERP_i)*Q265*Ramure*Pc/MaxiM</f>
        <v>6.3414363465707699E-5</v>
      </c>
      <c r="Q265" s="304">
        <f t="shared" si="80"/>
        <v>0.5</v>
      </c>
      <c r="R265" s="176">
        <f t="shared" si="81"/>
        <v>0.81262196057829517</v>
      </c>
      <c r="S265" s="814">
        <f t="shared" si="82"/>
        <v>-1</v>
      </c>
      <c r="T265" s="175">
        <f t="shared" si="83"/>
        <v>5</v>
      </c>
      <c r="U265" s="250">
        <f t="shared" si="84"/>
        <v>-0.18737803942170478</v>
      </c>
      <c r="V265" s="382">
        <f t="shared" si="85"/>
        <v>46.202147963745766</v>
      </c>
      <c r="W265" s="401">
        <f t="shared" si="86"/>
        <v>37.271718737563575</v>
      </c>
      <c r="X265" s="157">
        <f t="shared" si="87"/>
        <v>45908</v>
      </c>
      <c r="Y265" s="384">
        <f t="shared" si="88"/>
        <v>35.629491766893054</v>
      </c>
      <c r="Z265" s="384">
        <f t="shared" si="89"/>
        <v>37.717351775867201</v>
      </c>
      <c r="AA265" s="385">
        <f t="shared" si="90"/>
        <v>41.339180980517646</v>
      </c>
      <c r="AB265" s="196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8.7612505103991892E-2</v>
      </c>
      <c r="AD265" s="230">
        <f>(INDEX(Models!$BJ265:$BT265,,AH265)*(1-AF265)+INDEX(Models!$BJ265:$BT265,,AH265+1)*AF265-ERP_i)*AE265*Ramure*Pc/MaxiM</f>
        <v>7.6865146904241501E-4</v>
      </c>
      <c r="AE265" s="304">
        <f t="shared" si="92"/>
        <v>0.5</v>
      </c>
      <c r="AF265" s="176">
        <f t="shared" si="93"/>
        <v>0.92761450040268256</v>
      </c>
      <c r="AG265" s="814">
        <f t="shared" si="99"/>
        <v>1</v>
      </c>
      <c r="AH265" s="175">
        <f t="shared" si="94"/>
        <v>7</v>
      </c>
      <c r="AI265" s="224">
        <f t="shared" si="95"/>
        <v>1.9276145004026826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10">
        <f>'2024'!Wh/'2024'!Env_an*'2025'!Env_an</f>
        <v>20.749652147131844</v>
      </c>
      <c r="C266" s="843"/>
      <c r="D266" s="392">
        <f t="shared" si="77"/>
        <v>21.966045836659625</v>
      </c>
      <c r="E266" s="384">
        <f t="shared" si="100"/>
        <v>23.027646410412039</v>
      </c>
      <c r="F266" s="384">
        <f t="shared" si="78"/>
        <v>23.027968948244553</v>
      </c>
      <c r="G266" s="110">
        <f t="shared" si="101"/>
        <v>0.45093018426451387</v>
      </c>
      <c r="H266" s="413" t="b">
        <f>Wh_hp&gt;='2024'!Maxi_hp</f>
        <v>0</v>
      </c>
      <c r="I266" s="389">
        <f>IF(H266,Wh_hp,'2024'!Maxi_hp)</f>
        <v>49.540166553764124</v>
      </c>
      <c r="J266" s="85">
        <f>IF(H266,An,'2024'!An_max)</f>
        <v>2020</v>
      </c>
      <c r="K266" s="196">
        <f t="shared" si="79"/>
        <v>45909</v>
      </c>
      <c r="L266" s="147">
        <f>IF(t&lt;Tvie,1-EXP((T0-t)*PertePVj)+'2024'!Pspv,1-EXP((T0-t)*PertePVj)+Pspv)</f>
        <v>5.5376088103108435E-2</v>
      </c>
      <c r="M266" s="847"/>
      <c r="N266" s="847"/>
      <c r="O266" s="48">
        <f>IF(t&lt;Tnet,'2024'!Resal+('2024'!Salim-'2024'!Resal)*(1-EXP(('2024'!Tnet-t)/('2024'!Tau_j))),Resal+(Salim-Resal)*(1-EXP((Tnet-t)/(Tau_j))))*Salcycl</f>
        <v>4.6101132301232819E-2</v>
      </c>
      <c r="P266" s="168">
        <f>(INDEX(Models!$BJ266:$BT266,,T266)*(1-R266)+INDEX(Models!$BJ266:$BT266,,T266+1)*R266-ERP_i)*Q266*Ramure*Pc/MaxiM</f>
        <v>6.4950255702682261E-5</v>
      </c>
      <c r="Q266" s="304">
        <f t="shared" si="80"/>
        <v>0.5</v>
      </c>
      <c r="R266" s="176">
        <f t="shared" si="81"/>
        <v>0.81290749607790835</v>
      </c>
      <c r="S266" s="814">
        <f t="shared" si="82"/>
        <v>-1</v>
      </c>
      <c r="T266" s="175">
        <f t="shared" si="83"/>
        <v>5</v>
      </c>
      <c r="U266" s="250">
        <f t="shared" si="84"/>
        <v>-0.18709250392209165</v>
      </c>
      <c r="V266" s="382">
        <f t="shared" si="85"/>
        <v>46.012876911048139</v>
      </c>
      <c r="W266" s="401">
        <f t="shared" si="86"/>
        <v>20.749652147131844</v>
      </c>
      <c r="X266" s="157">
        <f t="shared" si="87"/>
        <v>45909</v>
      </c>
      <c r="Y266" s="384">
        <f t="shared" si="88"/>
        <v>19.843528219122469</v>
      </c>
      <c r="Z266" s="384">
        <f t="shared" si="89"/>
        <v>21.006802780669442</v>
      </c>
      <c r="AA266" s="385">
        <f t="shared" si="90"/>
        <v>23.024117790391848</v>
      </c>
      <c r="AB266" s="196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8.7617472603629912E-2</v>
      </c>
      <c r="AD266" s="230">
        <f>(INDEX(Models!$BJ266:$BT266,,AH266)*(1-AF266)+INDEX(Models!$BJ266:$BT266,,AH266+1)*AF266-ERP_i)*AE266*Ramure*Pc/MaxiM</f>
        <v>7.7551735663531414E-4</v>
      </c>
      <c r="AE266" s="304">
        <f t="shared" si="92"/>
        <v>0.5</v>
      </c>
      <c r="AF266" s="176">
        <f t="shared" si="93"/>
        <v>0.92790003590229575</v>
      </c>
      <c r="AG266" s="814">
        <f t="shared" si="99"/>
        <v>1</v>
      </c>
      <c r="AH266" s="175">
        <f t="shared" si="94"/>
        <v>7</v>
      </c>
      <c r="AI266" s="224">
        <f t="shared" si="95"/>
        <v>1.9279000359022958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10">
        <f>'2024'!Wh/'2024'!Env_an*'2025'!Env_an</f>
        <v>43.835834149858698</v>
      </c>
      <c r="C267" s="843"/>
      <c r="D267" s="392">
        <f t="shared" si="77"/>
        <v>46.406609568451572</v>
      </c>
      <c r="E267" s="384">
        <f t="shared" si="100"/>
        <v>48.652184077080051</v>
      </c>
      <c r="F267" s="384">
        <f t="shared" si="78"/>
        <v>48.655215644026455</v>
      </c>
      <c r="G267" s="110">
        <f t="shared" si="101"/>
        <v>0.95670859968492628</v>
      </c>
      <c r="H267" s="413" t="b">
        <f>Wh_hp&gt;='2024'!Maxi_hp</f>
        <v>1</v>
      </c>
      <c r="I267" s="389">
        <f>IF(H267,Wh_hp,'2024'!Maxi_hp)</f>
        <v>48.655215644026455</v>
      </c>
      <c r="J267" s="85">
        <f>IF(H267,An,'2024'!An_max)</f>
        <v>2025</v>
      </c>
      <c r="K267" s="196">
        <f t="shared" si="79"/>
        <v>45910</v>
      </c>
      <c r="L267" s="147">
        <f>IF(t&lt;Tvie,1-EXP((T0-t)*PertePVj)+'2024'!Pspv,1-EXP((T0-t)*PertePVj)+Pspv)</f>
        <v>5.5396751508012577E-2</v>
      </c>
      <c r="M267" s="847"/>
      <c r="N267" s="847"/>
      <c r="O267" s="48">
        <f>IF(t&lt;Tnet,'2024'!Resal+('2024'!Salim-'2024'!Resal)*(1-EXP(('2024'!Tnet-t)/('2024'!Tau_j))),Resal+(Salim-Resal)*(1-EXP((Tnet-t)/(Tau_j))))*Salcycl</f>
        <v>4.6155677308767788E-2</v>
      </c>
      <c r="P267" s="168">
        <f>(INDEX(Models!$BJ267:$BT267,,T267)*(1-R267)+INDEX(Models!$BJ267:$BT267,,T267+1)*R267-ERP_i)*Q267*Ramure*Pc/MaxiM</f>
        <v>6.6414131761269286E-5</v>
      </c>
      <c r="Q267" s="304">
        <f t="shared" si="80"/>
        <v>0.5</v>
      </c>
      <c r="R267" s="176">
        <f t="shared" si="81"/>
        <v>0.81318205848250735</v>
      </c>
      <c r="S267" s="814">
        <f t="shared" si="82"/>
        <v>-1</v>
      </c>
      <c r="T267" s="175">
        <f t="shared" si="83"/>
        <v>5</v>
      </c>
      <c r="U267" s="250">
        <f t="shared" si="84"/>
        <v>-0.1868179415174927</v>
      </c>
      <c r="V267" s="382">
        <f t="shared" si="85"/>
        <v>45.819232856607719</v>
      </c>
      <c r="W267" s="401">
        <f t="shared" si="86"/>
        <v>43.835834149858698</v>
      </c>
      <c r="X267" s="157">
        <f t="shared" si="87"/>
        <v>45910</v>
      </c>
      <c r="Y267" s="384">
        <f t="shared" si="88"/>
        <v>41.902028657404543</v>
      </c>
      <c r="Z267" s="384">
        <f t="shared" si="89"/>
        <v>44.359395041568057</v>
      </c>
      <c r="AA267" s="385">
        <f t="shared" si="90"/>
        <v>48.61952740068589</v>
      </c>
      <c r="AB267" s="196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8.762183811473527E-2</v>
      </c>
      <c r="AD267" s="230">
        <f>(INDEX(Models!$BJ267:$BT267,,AH267)*(1-AF267)+INDEX(Models!$BJ267:$BT267,,AH267+1)*AF267-ERP_i)*AE267*Ramure*Pc/MaxiM</f>
        <v>7.8184111960864712E-4</v>
      </c>
      <c r="AE267" s="304">
        <f t="shared" si="92"/>
        <v>0.5</v>
      </c>
      <c r="AF267" s="176">
        <f t="shared" si="93"/>
        <v>0.92817459830689475</v>
      </c>
      <c r="AG267" s="814">
        <f t="shared" si="99"/>
        <v>1</v>
      </c>
      <c r="AH267" s="175">
        <f t="shared" si="94"/>
        <v>7</v>
      </c>
      <c r="AI267" s="224">
        <f t="shared" si="95"/>
        <v>1.9281745983068947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10">
        <f>'2024'!Wh/'2024'!Env_an*'2025'!Env_an</f>
        <v>44.352565616509935</v>
      </c>
      <c r="C268" s="843"/>
      <c r="D268" s="392">
        <f t="shared" si="77"/>
        <v>46.954672143537508</v>
      </c>
      <c r="E268" s="384">
        <f t="shared" si="100"/>
        <v>49.229561386132012</v>
      </c>
      <c r="F268" s="384">
        <f t="shared" si="78"/>
        <v>49.232763508160232</v>
      </c>
      <c r="G268" s="110">
        <f t="shared" si="101"/>
        <v>0.97218686309507429</v>
      </c>
      <c r="H268" s="413" t="b">
        <f>Wh_hp&gt;='2024'!Maxi_hp</f>
        <v>1</v>
      </c>
      <c r="I268" s="389">
        <f>IF(H268,Wh_hp,'2024'!Maxi_hp)</f>
        <v>49.232763508160232</v>
      </c>
      <c r="J268" s="85">
        <f>IF(H268,An,'2024'!An_max)</f>
        <v>2025</v>
      </c>
      <c r="K268" s="196">
        <f t="shared" si="79"/>
        <v>45911</v>
      </c>
      <c r="L268" s="147">
        <f>IF(t&lt;Tvie,1-EXP((T0-t)*PertePVj)+'2024'!Pspv,1-EXP((T0-t)*PertePVj)+Pspv)</f>
        <v>5.5417414460335192E-2</v>
      </c>
      <c r="M268" s="847"/>
      <c r="N268" s="847"/>
      <c r="O268" s="48">
        <f>IF(t&lt;Tnet,'2024'!Resal+('2024'!Salim-'2024'!Resal)*(1-EXP(('2024'!Tnet-t)/('2024'!Tau_j))),Resal+(Salim-Resal)*(1-EXP((Tnet-t)/(Tau_j))))*Salcycl</f>
        <v>4.6209821467865848E-2</v>
      </c>
      <c r="P268" s="168">
        <f>(INDEX(Models!$BJ268:$BT268,,T268)*(1-R268)+INDEX(Models!$BJ268:$BT268,,T268+1)*R268-ERP_i)*Q268*Ramure*Pc/MaxiM</f>
        <v>6.773139076289877E-5</v>
      </c>
      <c r="Q268" s="304">
        <f t="shared" si="80"/>
        <v>0.5</v>
      </c>
      <c r="R268" s="176">
        <f t="shared" si="81"/>
        <v>0.81344604965730927</v>
      </c>
      <c r="S268" s="814">
        <f t="shared" si="82"/>
        <v>-1</v>
      </c>
      <c r="T268" s="175">
        <f t="shared" si="83"/>
        <v>5</v>
      </c>
      <c r="U268" s="250">
        <f t="shared" si="84"/>
        <v>-0.18655395034269068</v>
      </c>
      <c r="V268" s="382">
        <f t="shared" si="85"/>
        <v>45.621318229152983</v>
      </c>
      <c r="W268" s="401">
        <f t="shared" si="86"/>
        <v>44.352565616509935</v>
      </c>
      <c r="X268" s="157">
        <f t="shared" si="87"/>
        <v>45911</v>
      </c>
      <c r="Y268" s="384">
        <f t="shared" si="88"/>
        <v>42.397376500231893</v>
      </c>
      <c r="Z268" s="384">
        <f t="shared" si="89"/>
        <v>44.884774660554598</v>
      </c>
      <c r="AA268" s="385">
        <f t="shared" si="90"/>
        <v>49.195564462881222</v>
      </c>
      <c r="AB268" s="196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8.7625578634821358E-2</v>
      </c>
      <c r="AD268" s="230">
        <f>(INDEX(Models!$BJ268:$BT268,,AH268)*(1-AF268)+INDEX(Models!$BJ268:$BT268,,AH268+1)*AF268-ERP_i)*AE268*Ramure*Pc/MaxiM</f>
        <v>7.8683543275229174E-4</v>
      </c>
      <c r="AE268" s="304">
        <f t="shared" si="92"/>
        <v>0.5</v>
      </c>
      <c r="AF268" s="176">
        <f t="shared" si="93"/>
        <v>0.92843858948169666</v>
      </c>
      <c r="AG268" s="814">
        <f t="shared" si="99"/>
        <v>1</v>
      </c>
      <c r="AH268" s="175">
        <f t="shared" si="94"/>
        <v>7</v>
      </c>
      <c r="AI268" s="224">
        <f t="shared" si="95"/>
        <v>1.9284385894816967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10">
        <f>'2024'!Wh/'2024'!Env_an*'2025'!Env_an</f>
        <v>31.063215114208678</v>
      </c>
      <c r="C269" s="843"/>
      <c r="D269" s="392">
        <f t="shared" si="77"/>
        <v>32.886372355808007</v>
      </c>
      <c r="E269" s="384">
        <f t="shared" si="100"/>
        <v>34.481614283029543</v>
      </c>
      <c r="F269" s="384">
        <f t="shared" si="78"/>
        <v>34.482918674222056</v>
      </c>
      <c r="G269" s="110">
        <f t="shared" si="101"/>
        <v>0.68390081565243299</v>
      </c>
      <c r="H269" s="413" t="b">
        <f>Wh_hp&gt;='2024'!Maxi_hp</f>
        <v>0</v>
      </c>
      <c r="I269" s="389">
        <f>IF(H269,Wh_hp,'2024'!Maxi_hp)</f>
        <v>50.900576803696573</v>
      </c>
      <c r="J269" s="85">
        <f>IF(H269,An,'2024'!An_max)</f>
        <v>2019</v>
      </c>
      <c r="K269" s="196">
        <f t="shared" si="79"/>
        <v>45912</v>
      </c>
      <c r="L269" s="147">
        <f>IF(t&lt;Tvie,1-EXP((T0-t)*PertePVj)+'2024'!Pspv,1-EXP((T0-t)*PertePVj)+Pspv)</f>
        <v>5.5438076960086048E-2</v>
      </c>
      <c r="M269" s="847"/>
      <c r="N269" s="847"/>
      <c r="O269" s="48">
        <f>IF(t&lt;Tnet,'2024'!Resal+('2024'!Salim-'2024'!Resal)*(1-EXP(('2024'!Tnet-t)/('2024'!Tau_j))),Resal+(Salim-Resal)*(1-EXP((Tnet-t)/(Tau_j))))*Salcycl</f>
        <v>4.6263551182017963E-2</v>
      </c>
      <c r="P269" s="168">
        <f>(INDEX(Models!$BJ269:$BT269,,T269)*(1-R269)+INDEX(Models!$BJ269:$BT269,,T269+1)*R269-ERP_i)*Q269*Ramure*Pc/MaxiM</f>
        <v>6.8969765560466959E-5</v>
      </c>
      <c r="Q269" s="304">
        <f t="shared" si="80"/>
        <v>0.5</v>
      </c>
      <c r="R269" s="176">
        <f t="shared" si="81"/>
        <v>0.81369985828626157</v>
      </c>
      <c r="S269" s="814">
        <f t="shared" si="82"/>
        <v>-1</v>
      </c>
      <c r="T269" s="175">
        <f t="shared" si="83"/>
        <v>5</v>
      </c>
      <c r="U269" s="250">
        <f t="shared" si="84"/>
        <v>-0.18630014171373849</v>
      </c>
      <c r="V269" s="382">
        <f t="shared" si="85"/>
        <v>45.419228896232134</v>
      </c>
      <c r="W269" s="401">
        <f t="shared" si="86"/>
        <v>31.063215114208678</v>
      </c>
      <c r="X269" s="157">
        <f t="shared" si="87"/>
        <v>45912</v>
      </c>
      <c r="Y269" s="384">
        <f t="shared" si="88"/>
        <v>29.704182166777858</v>
      </c>
      <c r="Z269" s="384">
        <f t="shared" si="89"/>
        <v>31.447575264499267</v>
      </c>
      <c r="AA269" s="385">
        <f t="shared" si="90"/>
        <v>34.467956456033541</v>
      </c>
      <c r="AB269" s="196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8.7628670280670548E-2</v>
      </c>
      <c r="AD269" s="230">
        <f>(INDEX(Models!$BJ269:$BT269,,AH269)*(1-AF269)+INDEX(Models!$BJ269:$BT269,,AH269+1)*AF269-ERP_i)*AE269*Ramure*Pc/MaxiM</f>
        <v>7.9112821878132443E-4</v>
      </c>
      <c r="AE269" s="304">
        <f t="shared" si="92"/>
        <v>0.5</v>
      </c>
      <c r="AF269" s="176">
        <f t="shared" si="93"/>
        <v>0.92869239811064896</v>
      </c>
      <c r="AG269" s="814">
        <f t="shared" si="99"/>
        <v>1</v>
      </c>
      <c r="AH269" s="175">
        <f t="shared" si="94"/>
        <v>7</v>
      </c>
      <c r="AI269" s="224">
        <f t="shared" si="95"/>
        <v>1.928692398110649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10">
        <f>'2024'!Wh/'2024'!Env_an*'2025'!Env_an</f>
        <v>11.014807115001471</v>
      </c>
      <c r="C270" s="843"/>
      <c r="D270" s="392">
        <f t="shared" si="77"/>
        <v>11.661541501558936</v>
      </c>
      <c r="E270" s="384">
        <f t="shared" si="100"/>
        <v>12.227899308254496</v>
      </c>
      <c r="F270" s="384">
        <f t="shared" si="78"/>
        <v>12.227899308254496</v>
      </c>
      <c r="G270" s="110">
        <f t="shared" si="101"/>
        <v>0.24360292633218592</v>
      </c>
      <c r="H270" s="413" t="b">
        <f>Wh_hp&gt;='2024'!Maxi_hp</f>
        <v>0</v>
      </c>
      <c r="I270" s="389">
        <f>IF(H270,Wh_hp,'2024'!Maxi_hp)</f>
        <v>48.380443853441712</v>
      </c>
      <c r="J270" s="85">
        <f>IF(H270,An,'2024'!An_max)</f>
        <v>2020</v>
      </c>
      <c r="K270" s="196">
        <f t="shared" si="79"/>
        <v>45913</v>
      </c>
      <c r="L270" s="147">
        <f>IF(t&lt;Tvie,1-EXP((T0-t)*PertePVj)+'2024'!Pspv,1-EXP((T0-t)*PertePVj)+Pspv)</f>
        <v>5.545873900727525E-2</v>
      </c>
      <c r="M270" s="847"/>
      <c r="N270" s="847"/>
      <c r="O270" s="48">
        <f>IF(t&lt;Tnet,'2024'!Resal+('2024'!Salim-'2024'!Resal)*(1-EXP(('2024'!Tnet-t)/('2024'!Tau_j))),Resal+(Salim-Resal)*(1-EXP((Tnet-t)/(Tau_j))))*Salcycl</f>
        <v>4.6316852340551933E-2</v>
      </c>
      <c r="P270" s="168">
        <f>(INDEX(Models!$BJ270:$BT270,,T270)*(1-R270)+INDEX(Models!$BJ270:$BT270,,T270+1)*R270-ERP_i)*Q270*Ramure*Pc/MaxiM</f>
        <v>7.0128173338031825E-5</v>
      </c>
      <c r="Q270" s="304">
        <f t="shared" si="80"/>
        <v>0.5</v>
      </c>
      <c r="R270" s="176">
        <f t="shared" si="81"/>
        <v>0.81394386018318754</v>
      </c>
      <c r="S270" s="814">
        <f t="shared" si="82"/>
        <v>-1</v>
      </c>
      <c r="T270" s="175">
        <f t="shared" si="83"/>
        <v>5</v>
      </c>
      <c r="U270" s="250">
        <f t="shared" si="84"/>
        <v>-0.18605613981681246</v>
      </c>
      <c r="V270" s="382">
        <f t="shared" si="85"/>
        <v>45.213063868041061</v>
      </c>
      <c r="W270" s="401">
        <f t="shared" si="86"/>
        <v>11.014807115001471</v>
      </c>
      <c r="X270" s="157">
        <f t="shared" si="87"/>
        <v>45913</v>
      </c>
      <c r="Y270" s="384">
        <f t="shared" si="88"/>
        <v>10.537637793837089</v>
      </c>
      <c r="Z270" s="384">
        <f t="shared" si="89"/>
        <v>11.156355184274215</v>
      </c>
      <c r="AA270" s="385">
        <f t="shared" si="90"/>
        <v>12.227899308254496</v>
      </c>
      <c r="AB270" s="196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8.7631088297965523E-2</v>
      </c>
      <c r="AD270" s="230">
        <f>(INDEX(Models!$BJ270:$BT270,,AH270)*(1-AF270)+INDEX(Models!$BJ270:$BT270,,AH270+1)*AF270-ERP_i)*AE270*Ramure*Pc/MaxiM</f>
        <v>7.947104538731073E-4</v>
      </c>
      <c r="AE270" s="304">
        <f t="shared" si="92"/>
        <v>0.5</v>
      </c>
      <c r="AF270" s="176">
        <f t="shared" si="93"/>
        <v>0.92893640000757505</v>
      </c>
      <c r="AG270" s="814">
        <f t="shared" si="99"/>
        <v>1</v>
      </c>
      <c r="AH270" s="175">
        <f t="shared" si="94"/>
        <v>7</v>
      </c>
      <c r="AI270" s="224">
        <f t="shared" si="95"/>
        <v>1.928936400007575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10">
        <f>'2024'!Wh/'2024'!Env_an*'2025'!Env_an</f>
        <v>36.553161641533386</v>
      </c>
      <c r="C271" s="843"/>
      <c r="D271" s="392">
        <f t="shared" ref="D271:D334" si="102">Wh/(1-Ppv)</f>
        <v>38.700227040921646</v>
      </c>
      <c r="E271" s="384">
        <f t="shared" si="100"/>
        <v>40.582002753100198</v>
      </c>
      <c r="F271" s="384">
        <f t="shared" ref="F271:F334" si="103">Wh_sa/(1-Pvg*MEDIAN((-Sdif+Wh/Env_an)/Csdif,0,1))</f>
        <v>40.584117433970313</v>
      </c>
      <c r="G271" s="110">
        <f t="shared" si="101"/>
        <v>0.8122242233034721</v>
      </c>
      <c r="H271" s="413" t="b">
        <f>Wh_hp&gt;='2024'!Maxi_hp</f>
        <v>0</v>
      </c>
      <c r="I271" s="389">
        <f>IF(H271,Wh_hp,'2024'!Maxi_hp)</f>
        <v>48.09542285224876</v>
      </c>
      <c r="J271" s="85">
        <f>IF(H271,An,'2024'!An_max)</f>
        <v>2020</v>
      </c>
      <c r="K271" s="196">
        <f t="shared" ref="K271:K334" si="104">t</f>
        <v>45914</v>
      </c>
      <c r="L271" s="147">
        <f>IF(t&lt;Tvie,1-EXP((T0-t)*PertePVj)+'2024'!Pspv,1-EXP((T0-t)*PertePVj)+Pspv)</f>
        <v>5.5479400601912456E-2</v>
      </c>
      <c r="M271" s="847"/>
      <c r="N271" s="847"/>
      <c r="O271" s="48">
        <f>IF(t&lt;Tnet,'2024'!Resal+('2024'!Salim-'2024'!Resal)*(1-EXP(('2024'!Tnet-t)/('2024'!Tau_j))),Resal+(Salim-Resal)*(1-EXP((Tnet-t)/(Tau_j))))*Salcycl</f>
        <v>4.6369710327684499E-2</v>
      </c>
      <c r="P271" s="168">
        <f>(INDEX(Models!$BJ271:$BT271,,T271)*(1-R271)+INDEX(Models!$BJ271:$BT271,,T271+1)*R271-ERP_i)*Q271*Ramure*Pc/MaxiM</f>
        <v>7.1205494110561311E-5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0.81417841860584894</v>
      </c>
      <c r="S271" s="814">
        <f t="shared" ref="S271:S334" si="107">INDEX(Echel_vg,T271)</f>
        <v>-1</v>
      </c>
      <c r="T271" s="175">
        <f t="shared" ref="T271:T334" si="108">MIN(MATCH(Hp_vg,Echel_vg),10)</f>
        <v>5</v>
      </c>
      <c r="U271" s="250">
        <f t="shared" ref="U271:U334" si="109">IF(OR(t&lt;Ttai,Notai),Hdd+PousH*Croivg,Hdtf+PousH*(Croivg-Croi_tai))</f>
        <v>-0.18582158139415111</v>
      </c>
      <c r="V271" s="382">
        <f t="shared" ref="V271:V334" si="110">MaxiM*(1-Ppv)*(1-Pvg)*(1-Psa)</f>
        <v>45.002922116701065</v>
      </c>
      <c r="W271" s="401">
        <f t="shared" ref="W271:W334" si="111">Wh*(A271&gt;Tmaj)</f>
        <v>36.553161641533386</v>
      </c>
      <c r="X271" s="157">
        <f t="shared" ref="X271:X334" si="112">t</f>
        <v>45914</v>
      </c>
      <c r="Y271" s="384">
        <f t="shared" ref="Y271:Y334" si="113">Wh_pvt_s*(1-Ppv)</f>
        <v>34.952935420550098</v>
      </c>
      <c r="Z271" s="384">
        <f t="shared" ref="Z271:Z334" si="114">Wh_sa_s*(1-Psa_s)</f>
        <v>37.006006478656445</v>
      </c>
      <c r="AA271" s="385">
        <f t="shared" ref="AA271:AA334" si="115">Wh_hp*(1-Pvg_s*MEDIAN((-Sdif+Wh/Env_an)/Csdif,0,1))</f>
        <v>40.560430894427128</v>
      </c>
      <c r="AB271" s="196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8.763280708290129E-2</v>
      </c>
      <c r="AD271" s="230">
        <f>(INDEX(Models!$BJ271:$BT271,,AH271)*(1-AF271)+INDEX(Models!$BJ271:$BT271,,AH271+1)*AF271-ERP_i)*AE271*Ramure*Pc/MaxiM</f>
        <v>7.9757270980070636E-4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0.92917095843023634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1.9291709584302363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10">
        <f>'2024'!Wh/'2024'!Env_an*'2025'!Env_an</f>
        <v>40.152078304632745</v>
      </c>
      <c r="C272" s="843"/>
      <c r="D272" s="392">
        <f t="shared" si="102"/>
        <v>42.51146736840775</v>
      </c>
      <c r="E272" s="384">
        <f t="shared" si="100"/>
        <v>44.581012013737386</v>
      </c>
      <c r="F272" s="384">
        <f t="shared" si="103"/>
        <v>44.583754917805543</v>
      </c>
      <c r="G272" s="110">
        <f t="shared" si="101"/>
        <v>0.89646424031986627</v>
      </c>
      <c r="H272" s="413" t="b">
        <f>Wh_hp&gt;='2024'!Maxi_hp</f>
        <v>0</v>
      </c>
      <c r="I272" s="389">
        <f>IF(H272,Wh_hp,'2024'!Maxi_hp)</f>
        <v>48.958278323972046</v>
      </c>
      <c r="J272" s="85">
        <f>IF(H272,An,'2024'!An_max)</f>
        <v>2020</v>
      </c>
      <c r="K272" s="196">
        <f t="shared" si="104"/>
        <v>45915</v>
      </c>
      <c r="L272" s="147">
        <f>IF(t&lt;Tvie,1-EXP((T0-t)*PertePVj)+'2024'!Pspv,1-EXP((T0-t)*PertePVj)+Pspv)</f>
        <v>5.5500061744007768E-2</v>
      </c>
      <c r="M272" s="847"/>
      <c r="N272" s="847"/>
      <c r="O272" s="48">
        <f>IF(t&lt;Tnet,'2024'!Resal+('2024'!Salim-'2024'!Resal)*(1-EXP(('2024'!Tnet-t)/('2024'!Tau_j))),Resal+(Salim-Resal)*(1-EXP((Tnet-t)/(Tau_j))))*Salcycl</f>
        <v>4.6422110038505104E-2</v>
      </c>
      <c r="P272" s="168">
        <f>(INDEX(Models!$BJ272:$BT272,,T272)*(1-R272)+INDEX(Models!$BJ272:$BT272,,T272+1)*R272-ERP_i)*Q272*Ramure*Pc/MaxiM</f>
        <v>7.2200571293503694E-5</v>
      </c>
      <c r="Q272" s="304">
        <f t="shared" si="105"/>
        <v>0.5</v>
      </c>
      <c r="R272" s="176">
        <f t="shared" si="106"/>
        <v>0.81440388457178781</v>
      </c>
      <c r="S272" s="814">
        <f t="shared" si="107"/>
        <v>-1</v>
      </c>
      <c r="T272" s="175">
        <f t="shared" si="108"/>
        <v>5</v>
      </c>
      <c r="U272" s="250">
        <f t="shared" si="109"/>
        <v>-0.18559611542821225</v>
      </c>
      <c r="V272" s="382">
        <f t="shared" si="110"/>
        <v>44.788902585983777</v>
      </c>
      <c r="W272" s="401">
        <f t="shared" si="111"/>
        <v>40.152078304632745</v>
      </c>
      <c r="X272" s="157">
        <f t="shared" si="112"/>
        <v>45915</v>
      </c>
      <c r="Y272" s="384">
        <f t="shared" si="113"/>
        <v>38.39297098932348</v>
      </c>
      <c r="Z272" s="384">
        <f t="shared" si="114"/>
        <v>40.64899258777681</v>
      </c>
      <c r="AA272" s="385">
        <f t="shared" si="115"/>
        <v>44.553374070008658</v>
      </c>
      <c r="AB272" s="196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8.7633800216718044E-2</v>
      </c>
      <c r="AD272" s="230">
        <f>(INDEX(Models!$BJ272:$BT272,,AH272)*(1-AF272)+INDEX(Models!$BJ272:$BT272,,AH272+1)*AF272-ERP_i)*AE272*Ramure*Pc/MaxiM</f>
        <v>7.9970517116545133E-4</v>
      </c>
      <c r="AE272" s="304">
        <f t="shared" si="117"/>
        <v>0.5</v>
      </c>
      <c r="AF272" s="176">
        <f t="shared" si="118"/>
        <v>0.9293964243961752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1.9293964243961752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10">
        <f>'2024'!Wh/'2024'!Env_an*'2025'!Env_an</f>
        <v>26.734093372617746</v>
      </c>
      <c r="C273" s="843"/>
      <c r="D273" s="392">
        <f t="shared" si="102"/>
        <v>28.305643128032983</v>
      </c>
      <c r="E273" s="384">
        <f t="shared" si="100"/>
        <v>29.685235844437823</v>
      </c>
      <c r="F273" s="384">
        <f t="shared" si="103"/>
        <v>29.68616542885427</v>
      </c>
      <c r="G273" s="110">
        <f t="shared" si="101"/>
        <v>0.59978267049478462</v>
      </c>
      <c r="H273" s="413" t="b">
        <f>Wh_hp&gt;='2024'!Maxi_hp</f>
        <v>0</v>
      </c>
      <c r="I273" s="389">
        <f>IF(H273,Wh_hp,'2024'!Maxi_hp)</f>
        <v>47.140487034967791</v>
      </c>
      <c r="J273" s="85">
        <f>IF(H273,An,'2024'!An_max)</f>
        <v>2018</v>
      </c>
      <c r="K273" s="196">
        <f t="shared" si="104"/>
        <v>45916</v>
      </c>
      <c r="L273" s="147">
        <f>IF(t&lt;Tvie,1-EXP((T0-t)*PertePVj)+'2024'!Pspv,1-EXP((T0-t)*PertePVj)+Pspv)</f>
        <v>5.5520722433571069E-2</v>
      </c>
      <c r="M273" s="847"/>
      <c r="N273" s="847"/>
      <c r="O273" s="48">
        <f>IF(t&lt;Tnet,'2024'!Resal+('2024'!Salim-'2024'!Resal)*(1-EXP(('2024'!Tnet-t)/('2024'!Tau_j))),Resal+(Salim-Resal)*(1-EXP((Tnet-t)/(Tau_j))))*Salcycl</f>
        <v>4.6474035902373811E-2</v>
      </c>
      <c r="P273" s="168">
        <f>(INDEX(Models!$BJ273:$BT273,,T273)*(1-R273)+INDEX(Models!$BJ273:$BT273,,T273+1)*R273-ERP_i)*Q273*Ramure*Pc/MaxiM</f>
        <v>7.311221262181817E-5</v>
      </c>
      <c r="Q273" s="304">
        <f t="shared" si="105"/>
        <v>0.5</v>
      </c>
      <c r="R273" s="176">
        <f t="shared" si="106"/>
        <v>0.81462059717492519</v>
      </c>
      <c r="S273" s="814">
        <f t="shared" si="107"/>
        <v>-1</v>
      </c>
      <c r="T273" s="175">
        <f t="shared" si="108"/>
        <v>5</v>
      </c>
      <c r="U273" s="250">
        <f t="shared" si="109"/>
        <v>-0.18537940282507487</v>
      </c>
      <c r="V273" s="382">
        <f t="shared" si="110"/>
        <v>44.571104181615645</v>
      </c>
      <c r="W273" s="401">
        <f t="shared" si="111"/>
        <v>26.734093372617746</v>
      </c>
      <c r="X273" s="157">
        <f t="shared" si="112"/>
        <v>45916</v>
      </c>
      <c r="Y273" s="384">
        <f t="shared" si="113"/>
        <v>25.572110652002458</v>
      </c>
      <c r="Z273" s="384">
        <f t="shared" si="114"/>
        <v>27.075353858363368</v>
      </c>
      <c r="AA273" s="385">
        <f t="shared" si="115"/>
        <v>29.675979881598991</v>
      </c>
      <c r="AB273" s="196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8.7634040513963812E-2</v>
      </c>
      <c r="AD273" s="230">
        <f>(INDEX(Models!$BJ273:$BT273,,AH273)*(1-AF273)+INDEX(Models!$BJ273:$BT273,,AH273+1)*AF273-ERP_i)*AE273*Ramure*Pc/MaxiM</f>
        <v>8.0109765549323637E-4</v>
      </c>
      <c r="AE273" s="304">
        <f t="shared" si="117"/>
        <v>0.5</v>
      </c>
      <c r="AF273" s="176">
        <f t="shared" si="118"/>
        <v>0.92961313699931258</v>
      </c>
      <c r="AG273" s="814">
        <f t="shared" si="124"/>
        <v>1</v>
      </c>
      <c r="AH273" s="175">
        <f t="shared" si="119"/>
        <v>7</v>
      </c>
      <c r="AI273" s="224">
        <f t="shared" si="120"/>
        <v>1.9296131369993126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10">
        <f>'2024'!Wh/'2024'!Env_an*'2025'!Env_an</f>
        <v>46.233805498398333</v>
      </c>
      <c r="C274" s="843"/>
      <c r="D274" s="392">
        <f t="shared" si="102"/>
        <v>48.952706503046187</v>
      </c>
      <c r="E274" s="384">
        <f t="shared" si="100"/>
        <v>51.341388847923284</v>
      </c>
      <c r="F274" s="384">
        <f t="shared" si="103"/>
        <v>51.345185269403608</v>
      </c>
      <c r="G274" s="110">
        <f t="shared" si="101"/>
        <v>1.042484681447172</v>
      </c>
      <c r="H274" s="413" t="b">
        <f>Wh_hp&gt;='2024'!Maxi_hp</f>
        <v>1</v>
      </c>
      <c r="I274" s="389">
        <f>IF(H274,Wh_hp,'2024'!Maxi_hp)</f>
        <v>51.345185269403608</v>
      </c>
      <c r="J274" s="85">
        <f>IF(H274,An,'2024'!An_max)</f>
        <v>2025</v>
      </c>
      <c r="K274" s="196">
        <f t="shared" si="104"/>
        <v>45917</v>
      </c>
      <c r="L274" s="147">
        <f>IF(t&lt;Tvie,1-EXP((T0-t)*PertePVj)+'2024'!Pspv,1-EXP((T0-t)*PertePVj)+Pspv)</f>
        <v>5.554138267061224E-2</v>
      </c>
      <c r="M274" s="847"/>
      <c r="N274" s="847"/>
      <c r="O274" s="48">
        <f>IF(t&lt;Tnet,'2024'!Resal+('2024'!Salim-'2024'!Resal)*(1-EXP(('2024'!Tnet-t)/('2024'!Tau_j))),Resal+(Salim-Resal)*(1-EXP((Tnet-t)/(Tau_j))))*Salcycl</f>
        <v>4.6525471914141983E-2</v>
      </c>
      <c r="P274" s="168">
        <f>(INDEX(Models!$BJ274:$BT274,,T274)*(1-R274)+INDEX(Models!$BJ274:$BT274,,T274+1)*R274-ERP_i)*Q274*Ramure*Pc/MaxiM</f>
        <v>7.3939191384779997E-5</v>
      </c>
      <c r="Q274" s="304">
        <f t="shared" si="105"/>
        <v>0.5</v>
      </c>
      <c r="R274" s="176">
        <f t="shared" si="106"/>
        <v>0.81482888390198416</v>
      </c>
      <c r="S274" s="814">
        <f t="shared" si="107"/>
        <v>-1</v>
      </c>
      <c r="T274" s="175">
        <f t="shared" si="108"/>
        <v>5</v>
      </c>
      <c r="U274" s="250">
        <f t="shared" si="109"/>
        <v>-0.1851711160980159</v>
      </c>
      <c r="V274" s="382">
        <f t="shared" si="110"/>
        <v>44.349625775044281</v>
      </c>
      <c r="W274" s="401">
        <f t="shared" si="111"/>
        <v>46.233805498398333</v>
      </c>
      <c r="X274" s="157">
        <f t="shared" si="112"/>
        <v>45917</v>
      </c>
      <c r="Y274" s="384">
        <f t="shared" si="113"/>
        <v>44.208284104761901</v>
      </c>
      <c r="Z274" s="384">
        <f t="shared" si="114"/>
        <v>46.808068975820355</v>
      </c>
      <c r="AA274" s="385">
        <f t="shared" si="115"/>
        <v>51.304019799268147</v>
      </c>
      <c r="AB274" s="196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8.7633500085151791E-2</v>
      </c>
      <c r="AD274" s="230">
        <f>(INDEX(Models!$BJ274:$BT274,,AH274)*(1-AF274)+INDEX(Models!$BJ274:$BT274,,AH274+1)*AF274-ERP_i)*AE274*Ramure*Pc/MaxiM</f>
        <v>8.0173963575098754E-4</v>
      </c>
      <c r="AE274" s="304">
        <f t="shared" si="117"/>
        <v>0.5</v>
      </c>
      <c r="AF274" s="176">
        <f t="shared" si="118"/>
        <v>0.92982142372637155</v>
      </c>
      <c r="AG274" s="814">
        <f t="shared" si="124"/>
        <v>1</v>
      </c>
      <c r="AH274" s="175">
        <f t="shared" si="119"/>
        <v>7</v>
      </c>
      <c r="AI274" s="224">
        <f t="shared" si="120"/>
        <v>1.9298214237263716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10">
        <f>'2024'!Wh/'2024'!Env_an*'2025'!Env_an</f>
        <v>44.702349446266098</v>
      </c>
      <c r="C275" s="843"/>
      <c r="D275" s="392">
        <f t="shared" si="102"/>
        <v>47.332224514221551</v>
      </c>
      <c r="E275" s="384">
        <f t="shared" si="100"/>
        <v>49.644486036744688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Wh_hp&gt;='2024'!Maxi_hp</f>
        <v>1</v>
      </c>
      <c r="I275" s="389">
        <f>IF(H275,Wh_hp,'2024'!Maxi_hp)</f>
        <v>49.64819390324049</v>
      </c>
      <c r="J275" s="85">
        <f>IF(H275,An,'2024'!An_max)</f>
        <v>2025</v>
      </c>
      <c r="K275" s="196">
        <f t="shared" si="104"/>
        <v>45918</v>
      </c>
      <c r="L275" s="147">
        <f>IF(t&lt;Tvie,1-EXP((T0-t)*PertePVj)+'2024'!Pspv,1-EXP((T0-t)*PertePVj)+Pspv)</f>
        <v>5.556204245514116E-2</v>
      </c>
      <c r="M275" s="847"/>
      <c r="N275" s="847"/>
      <c r="O275" s="48">
        <f>IF(t&lt;Tnet,'2024'!Resal+('2024'!Salim-'2024'!Resal)*(1-EXP(('2024'!Tnet-t)/('2024'!Tau_j))),Resal+(Salim-Resal)*(1-EXP((Tnet-t)/(Tau_j))))*Salcycl</f>
        <v>4.6576401673525246E-2</v>
      </c>
      <c r="P275" s="168">
        <f>(INDEX(Models!$BJ275:$BT275,,T275)*(1-R275)+INDEX(Models!$BJ275:$BT275,,T275+1)*R275-ERP_i)*Q275*Ramure*Pc/MaxiM</f>
        <v>7.4682807254310097E-5</v>
      </c>
      <c r="Q275" s="304">
        <f t="shared" si="105"/>
        <v>0.5</v>
      </c>
      <c r="R275" s="176">
        <f t="shared" si="106"/>
        <v>0.81502906094789884</v>
      </c>
      <c r="S275" s="814">
        <f t="shared" si="107"/>
        <v>-1</v>
      </c>
      <c r="T275" s="175">
        <f t="shared" si="108"/>
        <v>5</v>
      </c>
      <c r="U275" s="250">
        <f t="shared" si="109"/>
        <v>-0.18497093905210116</v>
      </c>
      <c r="V275" s="382">
        <f t="shared" si="110"/>
        <v>44.123054023792363</v>
      </c>
      <c r="W275" s="401">
        <f t="shared" si="111"/>
        <v>44.702349446266098</v>
      </c>
      <c r="X275" s="157">
        <f t="shared" si="112"/>
        <v>45918</v>
      </c>
      <c r="Y275" s="384">
        <f t="shared" si="113"/>
        <v>42.746303991233205</v>
      </c>
      <c r="Z275" s="384">
        <f t="shared" si="114"/>
        <v>45.261103336375427</v>
      </c>
      <c r="AA275" s="385">
        <f t="shared" si="115"/>
        <v>49.608393540970631</v>
      </c>
      <c r="AB275" s="196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8.7632150414321666E-2</v>
      </c>
      <c r="AD275" s="230">
        <f>(INDEX(Models!$BJ275:$BT275,,AH275)*(1-AF275)+INDEX(Models!$BJ275:$BT275,,AH275+1)*AF275-ERP_i)*AE275*Ramure*Pc/MaxiM</f>
        <v>8.0164773662107648E-4</v>
      </c>
      <c r="AE275" s="304">
        <f t="shared" si="117"/>
        <v>0.5</v>
      </c>
      <c r="AF275" s="176">
        <f t="shared" si="118"/>
        <v>0.93002160077228635</v>
      </c>
      <c r="AG275" s="814">
        <f t="shared" si="124"/>
        <v>1</v>
      </c>
      <c r="AH275" s="175">
        <f t="shared" si="119"/>
        <v>7</v>
      </c>
      <c r="AI275" s="224">
        <f t="shared" si="120"/>
        <v>1.9300216007722863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10">
        <f>'2024'!Wh/'2024'!Env_an*'2025'!Env_an</f>
        <v>43.551489071119029</v>
      </c>
      <c r="C276" s="843"/>
      <c r="D276" s="392">
        <f t="shared" si="102"/>
        <v>46.114666846460437</v>
      </c>
      <c r="E276" s="384">
        <f t="shared" si="100"/>
        <v>48.370005842789048</v>
      </c>
      <c r="F276" s="384">
        <f t="shared" si="103"/>
        <v>48.37360794157091</v>
      </c>
      <c r="G276" s="110">
        <f t="shared" si="101"/>
        <v>0.99227960607285337</v>
      </c>
      <c r="H276" s="413" t="b">
        <f>Wh_hp&gt;='2024'!Maxi_hp</f>
        <v>1</v>
      </c>
      <c r="I276" s="389">
        <f>IF(H276,Wh_hp,'2024'!Maxi_hp)</f>
        <v>48.37360794157091</v>
      </c>
      <c r="J276" s="85">
        <f>IF(H276,An,'2024'!An_max)</f>
        <v>2025</v>
      </c>
      <c r="K276" s="196">
        <f t="shared" si="104"/>
        <v>45919</v>
      </c>
      <c r="L276" s="147">
        <f>IF(t&lt;Tvie,1-EXP((T0-t)*PertePVj)+'2024'!Pspv,1-EXP((T0-t)*PertePVj)+Pspv)</f>
        <v>5.5582701787167822E-2</v>
      </c>
      <c r="M276" s="847"/>
      <c r="N276" s="847"/>
      <c r="O276" s="48">
        <f>IF(t&lt;Tnet,'2024'!Resal+('2024'!Salim-'2024'!Resal)*(1-EXP(('2024'!Tnet-t)/('2024'!Tau_j))),Resal+(Salim-Resal)*(1-EXP((Tnet-t)/(Tau_j))))*Salcycl</f>
        <v>4.662680843287173E-2</v>
      </c>
      <c r="P276" s="168">
        <f>(INDEX(Models!$BJ276:$BT276,,T276)*(1-R276)+INDEX(Models!$BJ276:$BT276,,T276+1)*R276-ERP_i)*Q276*Ramure*Pc/MaxiM</f>
        <v>7.5294477394882118E-5</v>
      </c>
      <c r="Q276" s="304">
        <f t="shared" si="105"/>
        <v>0.5</v>
      </c>
      <c r="R276" s="176">
        <f t="shared" si="106"/>
        <v>0.81522143352945586</v>
      </c>
      <c r="S276" s="814">
        <f t="shared" si="107"/>
        <v>-1</v>
      </c>
      <c r="T276" s="175">
        <f t="shared" si="108"/>
        <v>5</v>
      </c>
      <c r="U276" s="250">
        <f t="shared" si="109"/>
        <v>-0.18477856647054419</v>
      </c>
      <c r="V276" s="382">
        <f t="shared" si="110"/>
        <v>43.890303337040855</v>
      </c>
      <c r="W276" s="401">
        <f t="shared" si="111"/>
        <v>43.551489071119029</v>
      </c>
      <c r="X276" s="157">
        <f t="shared" si="112"/>
        <v>45919</v>
      </c>
      <c r="Y276" s="384">
        <f t="shared" si="113"/>
        <v>41.648492460912735</v>
      </c>
      <c r="Z276" s="384">
        <f t="shared" si="114"/>
        <v>44.099671342028834</v>
      </c>
      <c r="AA276" s="385">
        <f t="shared" si="115"/>
        <v>48.335291084897591</v>
      </c>
      <c r="AB276" s="196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8.76299624518488E-2</v>
      </c>
      <c r="AD276" s="230">
        <f>(INDEX(Models!$BJ276:$BT276,,AH276)*(1-AF276)+INDEX(Models!$BJ276:$BT276,,AH276+1)*AF276-ERP_i)*AE276*Ramure*Pc/MaxiM</f>
        <v>8.009351973250734E-4</v>
      </c>
      <c r="AE276" s="304">
        <f t="shared" si="117"/>
        <v>0.5</v>
      </c>
      <c r="AF276" s="176">
        <f t="shared" si="118"/>
        <v>0.93021397335384326</v>
      </c>
      <c r="AG276" s="814">
        <f t="shared" si="124"/>
        <v>1</v>
      </c>
      <c r="AH276" s="175">
        <f t="shared" si="119"/>
        <v>7</v>
      </c>
      <c r="AI276" s="224">
        <f t="shared" si="120"/>
        <v>1.9302139733538433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10">
        <f>'2024'!Wh/'2024'!Env_an*'2025'!Env_an</f>
        <v>44.865745826986227</v>
      </c>
      <c r="C277" s="843"/>
      <c r="D277" s="392">
        <f t="shared" si="102"/>
        <v>47.507312032219275</v>
      </c>
      <c r="E277" s="384">
        <f t="shared" si="100"/>
        <v>49.833367960306212</v>
      </c>
      <c r="F277" s="384">
        <f t="shared" si="103"/>
        <v>49.8371450148558</v>
      </c>
      <c r="G277" s="110">
        <f t="shared" si="101"/>
        <v>1.0278059854196935</v>
      </c>
      <c r="H277" s="413" t="b">
        <f>Wh_hp&gt;='2024'!Maxi_hp</f>
        <v>1</v>
      </c>
      <c r="I277" s="389">
        <f>IF(H277,Wh_hp,'2024'!Maxi_hp)</f>
        <v>49.8371450148558</v>
      </c>
      <c r="J277" s="85">
        <f>IF(H277,An,'2024'!An_max)</f>
        <v>2025</v>
      </c>
      <c r="K277" s="196">
        <f t="shared" si="104"/>
        <v>45920</v>
      </c>
      <c r="L277" s="147">
        <f>IF(t&lt;Tvie,1-EXP((T0-t)*PertePVj)+'2024'!Pspv,1-EXP((T0-t)*PertePVj)+Pspv)</f>
        <v>5.5603360666702108E-2</v>
      </c>
      <c r="M277" s="847"/>
      <c r="N277" s="847"/>
      <c r="O277" s="48">
        <f>IF(t&lt;Tnet,'2024'!Resal+('2024'!Salim-'2024'!Resal)*(1-EXP(('2024'!Tnet-t)/('2024'!Tau_j))),Resal+(Salim-Resal)*(1-EXP((Tnet-t)/(Tau_j))))*Salcycl</f>
        <v>4.6676675153477752E-2</v>
      </c>
      <c r="P277" s="168">
        <f>(INDEX(Models!$BJ277:$BT277,,T277)*(1-R277)+INDEX(Models!$BJ277:$BT277,,T277+1)*R277-ERP_i)*Q277*Ramure*Pc/MaxiM</f>
        <v>7.5787939868217756E-5</v>
      </c>
      <c r="Q277" s="304">
        <f t="shared" si="105"/>
        <v>0.5</v>
      </c>
      <c r="R277" s="176">
        <f t="shared" si="106"/>
        <v>0.81540629619649097</v>
      </c>
      <c r="S277" s="814">
        <f t="shared" si="107"/>
        <v>-1</v>
      </c>
      <c r="T277" s="175">
        <f t="shared" si="108"/>
        <v>5</v>
      </c>
      <c r="U277" s="250">
        <f t="shared" si="109"/>
        <v>-0.18459370380350898</v>
      </c>
      <c r="V277" s="382">
        <f t="shared" si="110"/>
        <v>43.651960061962257</v>
      </c>
      <c r="W277" s="401">
        <f t="shared" si="111"/>
        <v>44.865745826986227</v>
      </c>
      <c r="X277" s="157">
        <f t="shared" si="112"/>
        <v>45920</v>
      </c>
      <c r="Y277" s="384">
        <f t="shared" si="113"/>
        <v>42.907446650517542</v>
      </c>
      <c r="Z277" s="384">
        <f t="shared" si="114"/>
        <v>45.433713826860178</v>
      </c>
      <c r="AA277" s="385">
        <f t="shared" si="115"/>
        <v>49.797296919024753</v>
      </c>
      <c r="AB277" s="196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8.7626906722671802E-2</v>
      </c>
      <c r="AD277" s="230">
        <f>(INDEX(Models!$BJ277:$BT277,,AH277)*(1-AF277)+INDEX(Models!$BJ277:$BT277,,AH277+1)*AF277-ERP_i)*AE277*Ramure*Pc/MaxiM</f>
        <v>7.9956618339943359E-4</v>
      </c>
      <c r="AE277" s="304">
        <f t="shared" si="117"/>
        <v>0.5</v>
      </c>
      <c r="AF277" s="176">
        <f t="shared" si="118"/>
        <v>0.93039883602087858</v>
      </c>
      <c r="AG277" s="814">
        <f t="shared" si="124"/>
        <v>1</v>
      </c>
      <c r="AH277" s="175">
        <f t="shared" si="119"/>
        <v>7</v>
      </c>
      <c r="AI277" s="224">
        <f t="shared" si="120"/>
        <v>1.9303988360208786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10">
        <f>'2024'!Wh/'2024'!Env_an*'2025'!Env_an</f>
        <v>43.773503777821496</v>
      </c>
      <c r="C278" s="843"/>
      <c r="D278" s="392">
        <f t="shared" si="102"/>
        <v>46.351775842303162</v>
      </c>
      <c r="E278" s="384">
        <f t="shared" si="100"/>
        <v>48.623769338157842</v>
      </c>
      <c r="F278" s="384">
        <f t="shared" si="103"/>
        <v>48.627472839036514</v>
      </c>
      <c r="G278" s="110">
        <f t="shared" si="101"/>
        <v>1.0084059985964879</v>
      </c>
      <c r="H278" s="413" t="b">
        <f>Wh_hp&gt;='2024'!Maxi_hp</f>
        <v>1</v>
      </c>
      <c r="I278" s="389">
        <f>IF(H278,Wh_hp,'2024'!Maxi_hp)</f>
        <v>48.627472839036514</v>
      </c>
      <c r="J278" s="85">
        <f>IF(H278,An,'2024'!An_max)</f>
        <v>2025</v>
      </c>
      <c r="K278" s="196">
        <f t="shared" si="104"/>
        <v>45921</v>
      </c>
      <c r="L278" s="147">
        <f>IF(t&lt;Tvie,1-EXP((T0-t)*PertePVj)+'2024'!Pspv,1-EXP((T0-t)*PertePVj)+Pspv)</f>
        <v>5.5624019093753786E-2</v>
      </c>
      <c r="M278" s="847"/>
      <c r="N278" s="847"/>
      <c r="O278" s="48">
        <f>IF(t&lt;Tnet,'2024'!Resal+('2024'!Salim-'2024'!Resal)*(1-EXP(('2024'!Tnet-t)/('2024'!Tau_j))),Resal+(Salim-Resal)*(1-EXP((Tnet-t)/(Tau_j))))*Salcycl</f>
        <v>4.6725984570507452E-2</v>
      </c>
      <c r="P278" s="168">
        <f>(INDEX(Models!$BJ278:$BT278,,T278)*(1-R278)+INDEX(Models!$BJ278:$BT278,,T278+1)*R278-ERP_i)*Q278*Ramure*Pc/MaxiM</f>
        <v>7.616066931811458E-5</v>
      </c>
      <c r="Q278" s="304">
        <f t="shared" si="105"/>
        <v>0.5</v>
      </c>
      <c r="R278" s="176">
        <f t="shared" si="106"/>
        <v>0.81558393314004363</v>
      </c>
      <c r="S278" s="814">
        <f t="shared" si="107"/>
        <v>-1</v>
      </c>
      <c r="T278" s="175">
        <f t="shared" si="108"/>
        <v>5</v>
      </c>
      <c r="U278" s="250">
        <f t="shared" si="109"/>
        <v>-0.18441606685995637</v>
      </c>
      <c r="V278" s="382">
        <f t="shared" si="110"/>
        <v>43.408611054224203</v>
      </c>
      <c r="W278" s="401">
        <f t="shared" si="111"/>
        <v>43.773503777821496</v>
      </c>
      <c r="X278" s="157">
        <f t="shared" si="112"/>
        <v>45921</v>
      </c>
      <c r="Y278" s="384">
        <f t="shared" si="113"/>
        <v>41.865326855244284</v>
      </c>
      <c r="Z278" s="384">
        <f t="shared" si="114"/>
        <v>44.331206745717203</v>
      </c>
      <c r="AA278" s="385">
        <f t="shared" si="115"/>
        <v>48.58869138953542</v>
      </c>
      <c r="AB278" s="196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8.7622953449928737E-2</v>
      </c>
      <c r="AD278" s="230">
        <f>(INDEX(Models!$BJ278:$BT278,,AH278)*(1-AF278)+INDEX(Models!$BJ278:$BT278,,AH278+1)*AF278-ERP_i)*AE278*Ramure*Pc/MaxiM</f>
        <v>7.97521385276799E-4</v>
      </c>
      <c r="AE278" s="304">
        <f t="shared" si="117"/>
        <v>0.5</v>
      </c>
      <c r="AF278" s="176">
        <f t="shared" si="118"/>
        <v>0.93057647296443102</v>
      </c>
      <c r="AG278" s="814">
        <f t="shared" si="124"/>
        <v>1</v>
      </c>
      <c r="AH278" s="175">
        <f t="shared" si="119"/>
        <v>7</v>
      </c>
      <c r="AI278" s="224">
        <f t="shared" si="120"/>
        <v>1.930576472964431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10">
        <f>'2024'!Wh/'2024'!Env_an*'2025'!Env_an</f>
        <v>42.634212377758061</v>
      </c>
      <c r="C279" s="843"/>
      <c r="D279" s="392">
        <f t="shared" si="102"/>
        <v>45.146367413278249</v>
      </c>
      <c r="E279" s="384">
        <f t="shared" si="100"/>
        <v>47.36169751869906</v>
      </c>
      <c r="F279" s="384">
        <f t="shared" si="103"/>
        <v>47.365253614947505</v>
      </c>
      <c r="G279" s="110">
        <f t="shared" si="101"/>
        <v>0.98779710164481493</v>
      </c>
      <c r="H279" s="413" t="b">
        <f>Wh_hp&gt;='2024'!Maxi_hp</f>
        <v>1</v>
      </c>
      <c r="I279" s="389">
        <f>IF(H279,Wh_hp,'2024'!Maxi_hp)</f>
        <v>47.365253614947505</v>
      </c>
      <c r="J279" s="85">
        <f>IF(H279,An,'2024'!An_max)</f>
        <v>2025</v>
      </c>
      <c r="K279" s="196">
        <f t="shared" si="104"/>
        <v>45922</v>
      </c>
      <c r="L279" s="147">
        <f>IF(t&lt;Tvie,1-EXP((T0-t)*PertePVj)+'2024'!Pspv,1-EXP((T0-t)*PertePVj)+Pspv)</f>
        <v>5.5644677068333072E-2</v>
      </c>
      <c r="M279" s="847"/>
      <c r="N279" s="847"/>
      <c r="O279" s="48">
        <f>IF(t&lt;Tnet,'2024'!Resal+('2024'!Salim-'2024'!Resal)*(1-EXP(('2024'!Tnet-t)/('2024'!Tau_j))),Resal+(Salim-Resal)*(1-EXP((Tnet-t)/(Tau_j))))*Salcycl</f>
        <v>4.677471926647405E-2</v>
      </c>
      <c r="P279" s="168">
        <f>(INDEX(Models!$BJ279:$BT279,,T279)*(1-R279)+INDEX(Models!$BJ279:$BT279,,T279+1)*R279-ERP_i)*Q279*Ramure*Pc/MaxiM</f>
        <v>7.6410054200568169E-5</v>
      </c>
      <c r="Q279" s="304">
        <f t="shared" si="105"/>
        <v>0.5</v>
      </c>
      <c r="R279" s="176">
        <f t="shared" si="106"/>
        <v>0.81575461849692976</v>
      </c>
      <c r="S279" s="814">
        <f t="shared" si="107"/>
        <v>-1</v>
      </c>
      <c r="T279" s="175">
        <f t="shared" si="108"/>
        <v>5</v>
      </c>
      <c r="U279" s="250">
        <f t="shared" si="109"/>
        <v>-0.18424538150307029</v>
      </c>
      <c r="V279" s="382">
        <f t="shared" si="110"/>
        <v>43.160842969052958</v>
      </c>
      <c r="W279" s="401">
        <f t="shared" si="111"/>
        <v>42.634212377758061</v>
      </c>
      <c r="X279" s="157">
        <f t="shared" si="112"/>
        <v>45922</v>
      </c>
      <c r="Y279" s="384">
        <f t="shared" si="113"/>
        <v>40.778635414294214</v>
      </c>
      <c r="Z279" s="384">
        <f t="shared" si="114"/>
        <v>43.181453446675746</v>
      </c>
      <c r="AA279" s="385">
        <f t="shared" si="115"/>
        <v>47.328264791663536</v>
      </c>
      <c r="AB279" s="196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8.7618072693808349E-2</v>
      </c>
      <c r="AD279" s="230">
        <f>(INDEX(Models!$BJ279:$BT279,,AH279)*(1-AF279)+INDEX(Models!$BJ279:$BT279,,AH279+1)*AF279-ERP_i)*AE279*Ramure*Pc/MaxiM</f>
        <v>7.9478107297559621E-4</v>
      </c>
      <c r="AE279" s="304">
        <f t="shared" si="117"/>
        <v>0.5</v>
      </c>
      <c r="AF279" s="176">
        <f t="shared" si="118"/>
        <v>0.93074715832131716</v>
      </c>
      <c r="AG279" s="814">
        <f t="shared" si="124"/>
        <v>1</v>
      </c>
      <c r="AH279" s="175">
        <f t="shared" si="119"/>
        <v>7</v>
      </c>
      <c r="AI279" s="224">
        <f t="shared" si="120"/>
        <v>1.9307471583213172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10">
        <f>'2024'!Wh/'2024'!Env_an*'2025'!Env_an</f>
        <v>26.937690426051947</v>
      </c>
      <c r="C280" s="843"/>
      <c r="D280" s="392">
        <f t="shared" si="102"/>
        <v>28.525576167818944</v>
      </c>
      <c r="E280" s="384">
        <f t="shared" si="100"/>
        <v>29.926836285944557</v>
      </c>
      <c r="F280" s="384">
        <f t="shared" si="103"/>
        <v>29.92790883722186</v>
      </c>
      <c r="G280" s="110">
        <f t="shared" si="101"/>
        <v>0.62775739503912642</v>
      </c>
      <c r="H280" s="413" t="b">
        <f>Wh_hp&gt;='2024'!Maxi_hp</f>
        <v>0</v>
      </c>
      <c r="I280" s="389">
        <f>IF(H280,Wh_hp,'2024'!Maxi_hp)</f>
        <v>44.179127561148483</v>
      </c>
      <c r="J280" s="85">
        <f>IF(H280,An,'2024'!An_max)</f>
        <v>2018</v>
      </c>
      <c r="K280" s="196">
        <f t="shared" si="104"/>
        <v>45923</v>
      </c>
      <c r="L280" s="147">
        <f>IF(t&lt;Tvie,1-EXP((T0-t)*PertePVj)+'2024'!Pspv,1-EXP((T0-t)*PertePVj)+Pspv)</f>
        <v>5.5665334590449513E-2</v>
      </c>
      <c r="M280" s="847"/>
      <c r="N280" s="847"/>
      <c r="O280" s="48">
        <f>IF(t&lt;Tnet,'2024'!Resal+('2024'!Salim-'2024'!Resal)*(1-EXP(('2024'!Tnet-t)/('2024'!Tau_j))),Resal+(Salim-Resal)*(1-EXP((Tnet-t)/(Tau_j))))*Salcycl</f>
        <v>4.6822861753139225E-2</v>
      </c>
      <c r="P280" s="168">
        <f>(INDEX(Models!$BJ280:$BT280,,T280)*(1-R280)+INDEX(Models!$BJ280:$BT280,,T280+1)*R280-ERP_i)*Q280*Ramure*Pc/MaxiM</f>
        <v>7.6533818182063015E-5</v>
      </c>
      <c r="Q280" s="304">
        <f t="shared" si="105"/>
        <v>0.5</v>
      </c>
      <c r="R280" s="176">
        <f t="shared" si="106"/>
        <v>0.81591861665026888</v>
      </c>
      <c r="S280" s="814">
        <f t="shared" si="107"/>
        <v>-1</v>
      </c>
      <c r="T280" s="175">
        <f t="shared" si="108"/>
        <v>5</v>
      </c>
      <c r="U280" s="250">
        <f t="shared" si="109"/>
        <v>-0.18408138334973112</v>
      </c>
      <c r="V280" s="382">
        <f t="shared" si="110"/>
        <v>42.909242238594921</v>
      </c>
      <c r="W280" s="401">
        <f t="shared" si="111"/>
        <v>26.937690426051947</v>
      </c>
      <c r="X280" s="157">
        <f t="shared" si="112"/>
        <v>45923</v>
      </c>
      <c r="Y280" s="384">
        <f t="shared" si="113"/>
        <v>25.776313228493294</v>
      </c>
      <c r="Z280" s="384">
        <f t="shared" si="114"/>
        <v>27.295739712482451</v>
      </c>
      <c r="AA280" s="385">
        <f t="shared" si="115"/>
        <v>29.916819081501657</v>
      </c>
      <c r="AB280" s="196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8.7612234505234823E-2</v>
      </c>
      <c r="AD280" s="230">
        <f>(INDEX(Models!$BJ280:$BT280,,AH280)*(1-AF280)+INDEX(Models!$BJ280:$BT280,,AH280+1)*AF280-ERP_i)*AE280*Ramure*Pc/MaxiM</f>
        <v>7.9132938996414085E-4</v>
      </c>
      <c r="AE280" s="304">
        <f t="shared" si="117"/>
        <v>0.5</v>
      </c>
      <c r="AF280" s="176">
        <f t="shared" si="118"/>
        <v>0.93091115647465639</v>
      </c>
      <c r="AG280" s="814">
        <f t="shared" si="124"/>
        <v>1</v>
      </c>
      <c r="AH280" s="175">
        <f t="shared" si="119"/>
        <v>7</v>
      </c>
      <c r="AI280" s="224">
        <f t="shared" si="120"/>
        <v>1.9309111564746564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10">
        <f>'2024'!Wh/'2024'!Env_an*'2025'!Env_an</f>
        <v>16.886772481232672</v>
      </c>
      <c r="C281" s="843"/>
      <c r="D281" s="392">
        <f t="shared" si="102"/>
        <v>17.882581781159622</v>
      </c>
      <c r="E281" s="384">
        <f t="shared" si="100"/>
        <v>18.761962359708772</v>
      </c>
      <c r="F281" s="384">
        <f t="shared" si="103"/>
        <v>18.762159067219994</v>
      </c>
      <c r="G281" s="110">
        <f t="shared" si="101"/>
        <v>0.39587144873139241</v>
      </c>
      <c r="H281" s="413" t="b">
        <f>Wh_hp&gt;='2024'!Maxi_hp</f>
        <v>0</v>
      </c>
      <c r="I281" s="389">
        <f>IF(H281,Wh_hp,'2024'!Maxi_hp)</f>
        <v>40.512868531707113</v>
      </c>
      <c r="J281" s="85">
        <f>IF(H281,An,'2024'!An_max)</f>
        <v>2021</v>
      </c>
      <c r="K281" s="196">
        <f t="shared" si="104"/>
        <v>45924</v>
      </c>
      <c r="L281" s="147">
        <f>IF(t&lt;Tvie,1-EXP((T0-t)*PertePVj)+'2024'!Pspv,1-EXP((T0-t)*PertePVj)+Pspv)</f>
        <v>5.5685991660113322E-2</v>
      </c>
      <c r="M281" s="847"/>
      <c r="N281" s="847"/>
      <c r="O281" s="48">
        <f>IF(t&lt;Tnet,'2024'!Resal+('2024'!Salim-'2024'!Resal)*(1-EXP(('2024'!Tnet-t)/('2024'!Tau_j))),Resal+(Salim-Resal)*(1-EXP((Tnet-t)/(Tau_j))))*Salcycl</f>
        <v>4.687039456158467E-2</v>
      </c>
      <c r="P281" s="168">
        <f>(INDEX(Models!$BJ281:$BT281,,T281)*(1-R281)+INDEX(Models!$BJ281:$BT281,,T281+1)*R281-ERP_i)*Q281*Ramure*Pc/MaxiM</f>
        <v>7.6529424814347923E-5</v>
      </c>
      <c r="Q281" s="304">
        <f t="shared" si="105"/>
        <v>0.5</v>
      </c>
      <c r="R281" s="176">
        <f t="shared" si="106"/>
        <v>0.81607618252555048</v>
      </c>
      <c r="S281" s="814">
        <f t="shared" si="107"/>
        <v>-1</v>
      </c>
      <c r="T281" s="175">
        <f t="shared" si="108"/>
        <v>5</v>
      </c>
      <c r="U281" s="250">
        <f t="shared" si="109"/>
        <v>-0.18392381747444952</v>
      </c>
      <c r="V281" s="382">
        <f t="shared" si="110"/>
        <v>42.654395092450351</v>
      </c>
      <c r="W281" s="401">
        <f t="shared" si="111"/>
        <v>16.886772481232672</v>
      </c>
      <c r="X281" s="157">
        <f t="shared" si="112"/>
        <v>45924</v>
      </c>
      <c r="Y281" s="384">
        <f t="shared" si="113"/>
        <v>16.16348901567504</v>
      </c>
      <c r="Z281" s="384">
        <f t="shared" si="114"/>
        <v>17.116646446970126</v>
      </c>
      <c r="AA281" s="385">
        <f t="shared" si="115"/>
        <v>18.760135820149959</v>
      </c>
      <c r="AB281" s="196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8.7605409093818268E-2</v>
      </c>
      <c r="AD281" s="230">
        <f>(INDEX(Models!$BJ281:$BT281,,AH281)*(1-AF281)+INDEX(Models!$BJ281:$BT281,,AH281+1)*AF281-ERP_i)*AE281*Ramure*Pc/MaxiM</f>
        <v>7.871480532954684E-4</v>
      </c>
      <c r="AE281" s="304">
        <f t="shared" si="117"/>
        <v>0.5</v>
      </c>
      <c r="AF281" s="176">
        <f t="shared" si="118"/>
        <v>0.93106872234993787</v>
      </c>
      <c r="AG281" s="814">
        <f t="shared" si="124"/>
        <v>1</v>
      </c>
      <c r="AH281" s="175">
        <f t="shared" si="119"/>
        <v>7</v>
      </c>
      <c r="AI281" s="224">
        <f t="shared" si="120"/>
        <v>1.9310687223499379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10">
        <f>'2024'!Wh/'2024'!Env_an*'2025'!Env_an</f>
        <v>29.893477695962392</v>
      </c>
      <c r="C282" s="843"/>
      <c r="D282" s="392">
        <f t="shared" si="102"/>
        <v>31.656982061165628</v>
      </c>
      <c r="E282" s="384">
        <f t="shared" si="100"/>
        <v>33.215356938555708</v>
      </c>
      <c r="F282" s="384">
        <f t="shared" si="103"/>
        <v>33.216826513077621</v>
      </c>
      <c r="G282" s="110">
        <f t="shared" si="101"/>
        <v>0.70506393813331569</v>
      </c>
      <c r="H282" s="413" t="b">
        <f>Wh_hp&gt;='2024'!Maxi_hp</f>
        <v>0</v>
      </c>
      <c r="I282" s="389">
        <f>IF(H282,Wh_hp,'2024'!Maxi_hp)</f>
        <v>46.527927467994083</v>
      </c>
      <c r="J282" s="85">
        <f>IF(H282,An,'2024'!An_max)</f>
        <v>2018</v>
      </c>
      <c r="K282" s="196">
        <f t="shared" si="104"/>
        <v>45925</v>
      </c>
      <c r="L282" s="147">
        <f>IF(t&lt;Tvie,1-EXP((T0-t)*PertePVj)+'2024'!Pspv,1-EXP((T0-t)*PertePVj)+Pspv)</f>
        <v>5.5706648277334271E-2</v>
      </c>
      <c r="M282" s="847"/>
      <c r="N282" s="847"/>
      <c r="O282" s="48">
        <f>IF(t&lt;Tnet,'2024'!Resal+('2024'!Salim-'2024'!Resal)*(1-EXP(('2024'!Tnet-t)/('2024'!Tau_j))),Resal+(Salim-Resal)*(1-EXP((Tnet-t)/(Tau_j))))*Salcycl</f>
        <v>4.6917300340107118E-2</v>
      </c>
      <c r="P282" s="168">
        <f>(INDEX(Models!$BJ282:$BT282,,T282)*(1-R282)+INDEX(Models!$BJ282:$BT282,,T282+1)*R282-ERP_i)*Q282*Ramure*Pc/MaxiM</f>
        <v>7.6451073063921413E-5</v>
      </c>
      <c r="Q282" s="304">
        <f t="shared" si="105"/>
        <v>0.5</v>
      </c>
      <c r="R282" s="176">
        <f t="shared" si="106"/>
        <v>0.8162275618818815</v>
      </c>
      <c r="S282" s="814">
        <f t="shared" si="107"/>
        <v>-1</v>
      </c>
      <c r="T282" s="175">
        <f t="shared" si="108"/>
        <v>5</v>
      </c>
      <c r="U282" s="250">
        <f t="shared" si="109"/>
        <v>-0.18377243811811855</v>
      </c>
      <c r="V282" s="382">
        <f t="shared" si="110"/>
        <v>42.396885149752521</v>
      </c>
      <c r="W282" s="401">
        <f t="shared" si="111"/>
        <v>29.893477695962392</v>
      </c>
      <c r="X282" s="157">
        <f t="shared" si="112"/>
        <v>45925</v>
      </c>
      <c r="Y282" s="384">
        <f t="shared" si="113"/>
        <v>28.605840681311214</v>
      </c>
      <c r="Z282" s="384">
        <f t="shared" si="114"/>
        <v>30.293383543499317</v>
      </c>
      <c r="AA282" s="385">
        <f t="shared" si="115"/>
        <v>33.201778566288212</v>
      </c>
      <c r="AB282" s="196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8.7597567009315744E-2</v>
      </c>
      <c r="AD282" s="230">
        <f>(INDEX(Models!$BJ282:$BT282,,AH282)*(1-AF282)+INDEX(Models!$BJ282:$BT282,,AH282+1)*AF282-ERP_i)*AE282*Ramure*Pc/MaxiM</f>
        <v>7.8283316858333526E-4</v>
      </c>
      <c r="AE282" s="304">
        <f t="shared" si="117"/>
        <v>0.5</v>
      </c>
      <c r="AF282" s="176">
        <f t="shared" si="118"/>
        <v>0.9312201017062689</v>
      </c>
      <c r="AG282" s="814">
        <f t="shared" si="124"/>
        <v>1</v>
      </c>
      <c r="AH282" s="175">
        <f t="shared" si="119"/>
        <v>7</v>
      </c>
      <c r="AI282" s="224">
        <f t="shared" si="120"/>
        <v>1.9312201017062689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10">
        <f>'2024'!Wh/'2024'!Env_an*'2025'!Env_an</f>
        <v>32.239116924075255</v>
      </c>
      <c r="C283" s="843"/>
      <c r="D283" s="392">
        <f t="shared" si="102"/>
        <v>34.141744303035615</v>
      </c>
      <c r="E283" s="384">
        <f t="shared" si="100"/>
        <v>35.824175173441006</v>
      </c>
      <c r="F283" s="384">
        <f t="shared" si="103"/>
        <v>35.825993178216351</v>
      </c>
      <c r="G283" s="110">
        <f t="shared" si="101"/>
        <v>0.76507736553083217</v>
      </c>
      <c r="H283" s="413" t="b">
        <f>Wh_hp&gt;='2024'!Maxi_hp</f>
        <v>0</v>
      </c>
      <c r="I283" s="389">
        <f>IF(H283,Wh_hp,'2024'!Maxi_hp)</f>
        <v>45.350079953012298</v>
      </c>
      <c r="J283" s="85">
        <f>IF(H283,An,'2024'!An_max)</f>
        <v>2018</v>
      </c>
      <c r="K283" s="196">
        <f t="shared" si="104"/>
        <v>45926</v>
      </c>
      <c r="L283" s="147">
        <f>IF(t&lt;Tvie,1-EXP((T0-t)*PertePVj)+'2024'!Pspv,1-EXP((T0-t)*PertePVj)+Pspv)</f>
        <v>5.572730444212224E-2</v>
      </c>
      <c r="M283" s="847"/>
      <c r="N283" s="847"/>
      <c r="O283" s="48">
        <f>IF(t&lt;Tnet,'2024'!Resal+('2024'!Salim-'2024'!Resal)*(1-EXP(('2024'!Tnet-t)/('2024'!Tau_j))),Resal+(Salim-Resal)*(1-EXP((Tnet-t)/(Tau_j))))*Salcycl</f>
        <v>4.6963561959486463E-2</v>
      </c>
      <c r="P283" s="168">
        <f>(INDEX(Models!$BJ283:$BT283,,T283)*(1-R283)+INDEX(Models!$BJ283:$BT283,,T283+1)*R283-ERP_i)*Q283*Ramure*Pc/MaxiM</f>
        <v>7.6375014432080422E-5</v>
      </c>
      <c r="Q283" s="304">
        <f t="shared" si="105"/>
        <v>0.5</v>
      </c>
      <c r="R283" s="176">
        <f t="shared" si="106"/>
        <v>0.81637299159810817</v>
      </c>
      <c r="S283" s="814">
        <f t="shared" si="107"/>
        <v>-1</v>
      </c>
      <c r="T283" s="175">
        <f t="shared" si="108"/>
        <v>5</v>
      </c>
      <c r="U283" s="250">
        <f t="shared" si="109"/>
        <v>-0.18362700840189178</v>
      </c>
      <c r="V283" s="382">
        <f t="shared" si="110"/>
        <v>42.1372949440455</v>
      </c>
      <c r="W283" s="401">
        <f t="shared" si="111"/>
        <v>32.239116924075255</v>
      </c>
      <c r="X283" s="157">
        <f t="shared" si="112"/>
        <v>45926</v>
      </c>
      <c r="Y283" s="384">
        <f t="shared" si="113"/>
        <v>30.85044529253792</v>
      </c>
      <c r="Z283" s="384">
        <f t="shared" si="114"/>
        <v>32.671118669074119</v>
      </c>
      <c r="AA283" s="385">
        <f t="shared" si="115"/>
        <v>35.807445533759953</v>
      </c>
      <c r="AB283" s="196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8.7588679335666192E-2</v>
      </c>
      <c r="AD283" s="230">
        <f>(INDEX(Models!$BJ283:$BT283,,AH283)*(1-AF283)+INDEX(Models!$BJ283:$BT283,,AH283+1)*AF283-ERP_i)*AE283*Ramure*Pc/MaxiM</f>
        <v>7.7919300996968899E-4</v>
      </c>
      <c r="AE283" s="304">
        <f t="shared" si="117"/>
        <v>0.5</v>
      </c>
      <c r="AF283" s="176">
        <f t="shared" si="118"/>
        <v>0.93136553142249578</v>
      </c>
      <c r="AG283" s="814">
        <f t="shared" si="124"/>
        <v>1</v>
      </c>
      <c r="AH283" s="175">
        <f t="shared" si="119"/>
        <v>7</v>
      </c>
      <c r="AI283" s="224">
        <f t="shared" si="120"/>
        <v>1.9313655314224958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10">
        <f>'2024'!Wh/'2024'!Env_an*'2025'!Env_an</f>
        <v>14.571932396703076</v>
      </c>
      <c r="C284" s="843"/>
      <c r="D284" s="392">
        <f t="shared" si="102"/>
        <v>15.432248787185213</v>
      </c>
      <c r="E284" s="384">
        <f t="shared" si="100"/>
        <v>16.193491250864884</v>
      </c>
      <c r="F284" s="384">
        <f t="shared" si="103"/>
        <v>16.193575934045672</v>
      </c>
      <c r="G284" s="110">
        <f t="shared" si="101"/>
        <v>0.34795165825570257</v>
      </c>
      <c r="H284" s="413" t="b">
        <f>Wh_hp&gt;='2024'!Maxi_hp</f>
        <v>0</v>
      </c>
      <c r="I284" s="389">
        <f>IF(H284,Wh_hp,'2024'!Maxi_hp)</f>
        <v>44.445052403607114</v>
      </c>
      <c r="J284" s="85">
        <f>IF(H284,An,'2024'!An_max)</f>
        <v>2018</v>
      </c>
      <c r="K284" s="196">
        <f t="shared" si="104"/>
        <v>45927</v>
      </c>
      <c r="L284" s="147">
        <f>IF(t&lt;Tvie,1-EXP((T0-t)*PertePVj)+'2024'!Pspv,1-EXP((T0-t)*PertePVj)+Pspv)</f>
        <v>5.5747960154487332E-2</v>
      </c>
      <c r="M284" s="847"/>
      <c r="N284" s="847"/>
      <c r="O284" s="48">
        <f>IF(t&lt;Tnet,'2024'!Resal+('2024'!Salim-'2024'!Resal)*(1-EXP(('2024'!Tnet-t)/('2024'!Tau_j))),Resal+(Salim-Resal)*(1-EXP((Tnet-t)/(Tau_j))))*Salcycl</f>
        <v>4.7009162625077261E-2</v>
      </c>
      <c r="P284" s="168">
        <f>(INDEX(Models!$BJ284:$BT284,,T284)*(1-R284)+INDEX(Models!$BJ284:$BT284,,T284+1)*R284-ERP_i)*Q284*Ramure*Pc/MaxiM</f>
        <v>7.6300060156145837E-5</v>
      </c>
      <c r="Q284" s="304">
        <f t="shared" si="105"/>
        <v>0.5</v>
      </c>
      <c r="R284" s="176">
        <f t="shared" si="106"/>
        <v>0.81651269995354969</v>
      </c>
      <c r="S284" s="814">
        <f t="shared" si="107"/>
        <v>-1</v>
      </c>
      <c r="T284" s="175">
        <f t="shared" si="108"/>
        <v>5</v>
      </c>
      <c r="U284" s="250">
        <f t="shared" si="109"/>
        <v>-0.18348730004645025</v>
      </c>
      <c r="V284" s="382">
        <f t="shared" si="110"/>
        <v>41.876210126205137</v>
      </c>
      <c r="W284" s="401">
        <f t="shared" si="111"/>
        <v>14.571932396703076</v>
      </c>
      <c r="X284" s="157">
        <f t="shared" si="112"/>
        <v>45927</v>
      </c>
      <c r="Y284" s="384">
        <f t="shared" si="113"/>
        <v>13.950924714525618</v>
      </c>
      <c r="Z284" s="384">
        <f t="shared" si="114"/>
        <v>14.774577258851464</v>
      </c>
      <c r="AA284" s="385">
        <f t="shared" si="115"/>
        <v>16.192714427692707</v>
      </c>
      <c r="AB284" s="196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8.7578717896485109E-2</v>
      </c>
      <c r="AD284" s="230">
        <f>(INDEX(Models!$BJ284:$BT284,,AH284)*(1-AF284)+INDEX(Models!$BJ284:$BT284,,AH284+1)*AF284-ERP_i)*AE284*Ramure*Pc/MaxiM</f>
        <v>7.7622245581067471E-4</v>
      </c>
      <c r="AE284" s="304">
        <f t="shared" si="117"/>
        <v>0.5</v>
      </c>
      <c r="AF284" s="176">
        <f t="shared" si="118"/>
        <v>0.93150523977793709</v>
      </c>
      <c r="AG284" s="814">
        <f t="shared" si="124"/>
        <v>1</v>
      </c>
      <c r="AH284" s="175">
        <f t="shared" si="119"/>
        <v>7</v>
      </c>
      <c r="AI284" s="224">
        <f t="shared" si="120"/>
        <v>1.9315052397779371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10">
        <f>'2024'!Wh/'2024'!Env_an*'2025'!Env_an</f>
        <v>16.744137623110539</v>
      </c>
      <c r="C285" s="843"/>
      <c r="D285" s="392">
        <f t="shared" si="102"/>
        <v>17.733087351740405</v>
      </c>
      <c r="E285" s="384">
        <f t="shared" si="100"/>
        <v>18.608702856192515</v>
      </c>
      <c r="F285" s="384">
        <f t="shared" si="103"/>
        <v>18.608910287955855</v>
      </c>
      <c r="G285" s="110">
        <f t="shared" si="101"/>
        <v>0.40233962063826534</v>
      </c>
      <c r="H285" s="413" t="b">
        <f>Wh_hp&gt;='2024'!Maxi_hp</f>
        <v>0</v>
      </c>
      <c r="I285" s="389">
        <f>IF(H285,Wh_hp,'2024'!Maxi_hp)</f>
        <v>42.089507508036213</v>
      </c>
      <c r="J285" s="85">
        <f>IF(H285,An,'2024'!An_max)</f>
        <v>2018</v>
      </c>
      <c r="K285" s="196">
        <f t="shared" si="104"/>
        <v>45928</v>
      </c>
      <c r="L285" s="147">
        <f>IF(t&lt;Tvie,1-EXP((T0-t)*PertePVj)+'2024'!Pspv,1-EXP((T0-t)*PertePVj)+Pspv)</f>
        <v>5.5768615414439095E-2</v>
      </c>
      <c r="M285" s="847"/>
      <c r="N285" s="847"/>
      <c r="O285" s="48">
        <f>IF(t&lt;Tnet,'2024'!Resal+('2024'!Salim-'2024'!Resal)*(1-EXP(('2024'!Tnet-t)/('2024'!Tau_j))),Resal+(Salim-Resal)*(1-EXP((Tnet-t)/(Tau_j))))*Salcycl</f>
        <v>4.7054085995076524E-2</v>
      </c>
      <c r="P285" s="168">
        <f>(INDEX(Models!$BJ285:$BT285,,T285)*(1-R285)+INDEX(Models!$BJ285:$BT285,,T285+1)*R285-ERP_i)*Q285*Ramure*Pc/MaxiM</f>
        <v>7.6225002309099007E-5</v>
      </c>
      <c r="Q285" s="304">
        <f t="shared" si="105"/>
        <v>0.5</v>
      </c>
      <c r="R285" s="176">
        <f t="shared" si="106"/>
        <v>0.81664690690312169</v>
      </c>
      <c r="S285" s="814">
        <f t="shared" si="107"/>
        <v>-1</v>
      </c>
      <c r="T285" s="175">
        <f t="shared" si="108"/>
        <v>5</v>
      </c>
      <c r="U285" s="250">
        <f t="shared" si="109"/>
        <v>-0.18335309309687825</v>
      </c>
      <c r="V285" s="382">
        <f t="shared" si="110"/>
        <v>41.614216138576566</v>
      </c>
      <c r="W285" s="401">
        <f t="shared" si="111"/>
        <v>16.744137623110539</v>
      </c>
      <c r="X285" s="157">
        <f t="shared" si="112"/>
        <v>45928</v>
      </c>
      <c r="Y285" s="384">
        <f t="shared" si="113"/>
        <v>16.03064112123857</v>
      </c>
      <c r="Z285" s="384">
        <f t="shared" si="114"/>
        <v>16.977450001065883</v>
      </c>
      <c r="AA285" s="385">
        <f t="shared" si="115"/>
        <v>18.606804222645962</v>
      </c>
      <c r="AB285" s="196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8.7567655470735042E-2</v>
      </c>
      <c r="AD285" s="230">
        <f>(INDEX(Models!$BJ285:$BT285,,AH285)*(1-AF285)+INDEX(Models!$BJ285:$BT285,,AH285+1)*AF285-ERP_i)*AE285*Ramure*Pc/MaxiM</f>
        <v>7.7391634976497147E-4</v>
      </c>
      <c r="AE285" s="304">
        <f t="shared" si="117"/>
        <v>0.5</v>
      </c>
      <c r="AF285" s="176">
        <f t="shared" si="118"/>
        <v>0.93163944672750931</v>
      </c>
      <c r="AG285" s="814">
        <f t="shared" si="124"/>
        <v>1</v>
      </c>
      <c r="AH285" s="175">
        <f t="shared" si="119"/>
        <v>7</v>
      </c>
      <c r="AI285" s="224">
        <f t="shared" si="120"/>
        <v>1.9316394467275093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10">
        <f>'2024'!Wh/'2024'!Env_an*'2025'!Env_an</f>
        <v>22.964774280443699</v>
      </c>
      <c r="C286" s="843"/>
      <c r="D286" s="392">
        <f t="shared" si="102"/>
        <v>24.32166205720074</v>
      </c>
      <c r="E286" s="384">
        <f t="shared" si="100"/>
        <v>25.523789571732802</v>
      </c>
      <c r="F286" s="384">
        <f t="shared" si="103"/>
        <v>25.524498589222514</v>
      </c>
      <c r="G286" s="110">
        <f t="shared" si="101"/>
        <v>0.55532307875544307</v>
      </c>
      <c r="H286" s="413" t="b">
        <f>Wh_hp&gt;='2024'!Maxi_hp</f>
        <v>0</v>
      </c>
      <c r="I286" s="389">
        <f>IF(H286,Wh_hp,'2024'!Maxi_hp)</f>
        <v>45.134596389109774</v>
      </c>
      <c r="J286" s="85">
        <f>IF(H286,An,'2024'!An_max)</f>
        <v>2019</v>
      </c>
      <c r="K286" s="196">
        <f t="shared" si="104"/>
        <v>45929</v>
      </c>
      <c r="L286" s="147">
        <f>IF(t&lt;Tvie,1-EXP((T0-t)*PertePVj)+'2024'!Pspv,1-EXP((T0-t)*PertePVj)+Pspv)</f>
        <v>5.5789270221987854E-2</v>
      </c>
      <c r="M286" s="847"/>
      <c r="N286" s="847"/>
      <c r="O286" s="48">
        <f>IF(t&lt;Tnet,'2024'!Resal+('2024'!Salim-'2024'!Resal)*(1-EXP(('2024'!Tnet-t)/('2024'!Tau_j))),Resal+(Salim-Resal)*(1-EXP((Tnet-t)/(Tau_j))))*Salcycl</f>
        <v>4.7098316304229282E-2</v>
      </c>
      <c r="P286" s="168">
        <f>(INDEX(Models!$BJ286:$BT286,,T286)*(1-R286)+INDEX(Models!$BJ286:$BT286,,T286+1)*R286-ERP_i)*Q286*Ramure*Pc/MaxiM</f>
        <v>7.6148614351064151E-5</v>
      </c>
      <c r="Q286" s="304">
        <f t="shared" si="105"/>
        <v>0.5</v>
      </c>
      <c r="R286" s="176">
        <f t="shared" si="106"/>
        <v>0.81677582434666784</v>
      </c>
      <c r="S286" s="814">
        <f t="shared" si="107"/>
        <v>-1</v>
      </c>
      <c r="T286" s="175">
        <f t="shared" si="108"/>
        <v>5</v>
      </c>
      <c r="U286" s="250">
        <f t="shared" si="109"/>
        <v>-0.1832241756533321</v>
      </c>
      <c r="V286" s="382">
        <f t="shared" si="110"/>
        <v>41.351898212086944</v>
      </c>
      <c r="W286" s="401">
        <f t="shared" si="111"/>
        <v>22.964774280443699</v>
      </c>
      <c r="X286" s="157">
        <f t="shared" si="112"/>
        <v>45929</v>
      </c>
      <c r="Y286" s="384">
        <f t="shared" si="113"/>
        <v>21.984179485621574</v>
      </c>
      <c r="Z286" s="384">
        <f t="shared" si="114"/>
        <v>23.283128217352651</v>
      </c>
      <c r="AA286" s="385">
        <f t="shared" si="115"/>
        <v>25.517308011831137</v>
      </c>
      <c r="AB286" s="196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8.7555466017128603E-2</v>
      </c>
      <c r="AD286" s="230">
        <f>(INDEX(Models!$BJ286:$BT286,,AH286)*(1-AF286)+INDEX(Models!$BJ286:$BT286,,AH286+1)*AF286-ERP_i)*AE286*Ramure*Pc/MaxiM</f>
        <v>7.7226939064741504E-4</v>
      </c>
      <c r="AE286" s="304">
        <f t="shared" si="117"/>
        <v>0.5</v>
      </c>
      <c r="AF286" s="176">
        <f t="shared" si="118"/>
        <v>0.93176836417105546</v>
      </c>
      <c r="AG286" s="814">
        <f t="shared" si="124"/>
        <v>1</v>
      </c>
      <c r="AH286" s="175">
        <f t="shared" si="119"/>
        <v>7</v>
      </c>
      <c r="AI286" s="224">
        <f t="shared" si="120"/>
        <v>1.9317683641710555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10">
        <f>'2024'!Wh/'2024'!Env_an*'2025'!Env_an</f>
        <v>28.062938334203256</v>
      </c>
      <c r="C287" s="843"/>
      <c r="D287" s="392">
        <f t="shared" si="102"/>
        <v>29.721704415962254</v>
      </c>
      <c r="E287" s="384">
        <f t="shared" si="100"/>
        <v>31.192160194051358</v>
      </c>
      <c r="F287" s="384">
        <f t="shared" si="103"/>
        <v>31.193458378524785</v>
      </c>
      <c r="G287" s="110">
        <f t="shared" si="101"/>
        <v>0.68294182994478481</v>
      </c>
      <c r="H287" s="413" t="b">
        <f>Wh_hp&gt;='2024'!Maxi_hp</f>
        <v>0</v>
      </c>
      <c r="I287" s="389">
        <f>IF(H287,Wh_hp,'2024'!Maxi_hp)</f>
        <v>39.258046137495292</v>
      </c>
      <c r="J287" s="85">
        <f>IF(H287,An,'2024'!An_max)</f>
        <v>2018</v>
      </c>
      <c r="K287" s="196">
        <f t="shared" si="104"/>
        <v>45930</v>
      </c>
      <c r="L287" s="147">
        <f>IF(t&lt;Tvie,1-EXP((T0-t)*PertePVj)+'2024'!Pspv,1-EXP((T0-t)*PertePVj)+Pspv)</f>
        <v>5.5809924577143157E-2</v>
      </c>
      <c r="M287" s="847"/>
      <c r="N287" s="847"/>
      <c r="O287" s="48">
        <f>IF(t&lt;Tnet,'2024'!Resal+('2024'!Salim-'2024'!Resal)*(1-EXP(('2024'!Tnet-t)/('2024'!Tau_j))),Resal+(Salim-Resal)*(1-EXP((Tnet-t)/(Tau_j))))*Salcycl</f>
        <v>4.7141838492145663E-2</v>
      </c>
      <c r="P287" s="168">
        <f>(INDEX(Models!$BJ287:$BT287,,T287)*(1-R287)+INDEX(Models!$BJ287:$BT287,,T287+1)*R287-ERP_i)*Q287*Ramure*Pc/MaxiM</f>
        <v>7.6069652042403353E-5</v>
      </c>
      <c r="Q287" s="304">
        <f t="shared" si="105"/>
        <v>0.5</v>
      </c>
      <c r="R287" s="176">
        <f t="shared" si="106"/>
        <v>0.81689965639235329</v>
      </c>
      <c r="S287" s="814">
        <f t="shared" si="107"/>
        <v>-1</v>
      </c>
      <c r="T287" s="175">
        <f t="shared" si="108"/>
        <v>5</v>
      </c>
      <c r="U287" s="250">
        <f t="shared" si="109"/>
        <v>-0.18310034360764671</v>
      </c>
      <c r="V287" s="382">
        <f t="shared" si="110"/>
        <v>41.089841369455748</v>
      </c>
      <c r="W287" s="401">
        <f t="shared" si="111"/>
        <v>28.062938334203256</v>
      </c>
      <c r="X287" s="157">
        <f t="shared" si="112"/>
        <v>45930</v>
      </c>
      <c r="Y287" s="384">
        <f t="shared" si="113"/>
        <v>26.862874830291616</v>
      </c>
      <c r="Z287" s="384">
        <f t="shared" si="114"/>
        <v>28.450706620974639</v>
      </c>
      <c r="AA287" s="385">
        <f t="shared" si="115"/>
        <v>31.180295986851373</v>
      </c>
      <c r="AB287" s="196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8.7542124905670926E-2</v>
      </c>
      <c r="AD287" s="230">
        <f>(INDEX(Models!$BJ287:$BT287,,AH287)*(1-AF287)+INDEX(Models!$BJ287:$BT287,,AH287+1)*AF287-ERP_i)*AE287*Ramure*Pc/MaxiM</f>
        <v>7.7127602057878585E-4</v>
      </c>
      <c r="AE287" s="304">
        <f t="shared" si="117"/>
        <v>0.5</v>
      </c>
      <c r="AF287" s="176">
        <f t="shared" si="118"/>
        <v>0.9318921962167408</v>
      </c>
      <c r="AG287" s="814">
        <f t="shared" si="124"/>
        <v>1</v>
      </c>
      <c r="AH287" s="175">
        <f t="shared" si="119"/>
        <v>7</v>
      </c>
      <c r="AI287" s="224">
        <f t="shared" si="120"/>
        <v>1.9318921962167408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10">
        <f>'2024'!Wh/'2024'!Env_an*'2025'!Env_an</f>
        <v>36.278923513803591</v>
      </c>
      <c r="C288" s="843"/>
      <c r="D288" s="392">
        <f t="shared" si="102"/>
        <v>38.424166984136811</v>
      </c>
      <c r="E288" s="384">
        <f t="shared" si="100"/>
        <v>40.326980997667171</v>
      </c>
      <c r="F288" s="384">
        <f t="shared" si="103"/>
        <v>40.329557668192024</v>
      </c>
      <c r="G288" s="110">
        <f t="shared" si="101"/>
        <v>0.88855502289488209</v>
      </c>
      <c r="H288" s="413" t="b">
        <f>Wh_hp&gt;='2024'!Maxi_hp</f>
        <v>0</v>
      </c>
      <c r="I288" s="389">
        <f>IF(H288,Wh_hp,'2024'!Maxi_hp)</f>
        <v>44.088165069651787</v>
      </c>
      <c r="J288" s="85">
        <f>IF(H288,An,'2024'!An_max)</f>
        <v>2020</v>
      </c>
      <c r="K288" s="196">
        <f t="shared" si="104"/>
        <v>45931</v>
      </c>
      <c r="L288" s="147">
        <f>IF(t&lt;Tvie,1-EXP((T0-t)*PertePVj)+'2024'!Pspv,1-EXP((T0-t)*PertePVj)+Pspv)</f>
        <v>5.5830578479915217E-2</v>
      </c>
      <c r="M288" s="847"/>
      <c r="N288" s="847"/>
      <c r="O288" s="48">
        <f>IF(t&lt;Tnet,'2024'!Resal+('2024'!Salim-'2024'!Resal)*(1-EXP(('2024'!Tnet-t)/('2024'!Tau_j))),Resal+(Salim-Resal)*(1-EXP((Tnet-t)/(Tau_j))))*Salcycl</f>
        <v>4.7184638335322715E-2</v>
      </c>
      <c r="P288" s="168">
        <f>(INDEX(Models!$BJ288:$BT288,,T288)*(1-R288)+INDEX(Models!$BJ288:$BT288,,T288+1)*R288-ERP_i)*Q288*Ramure*Pc/MaxiM</f>
        <v>7.5986854753996126E-5</v>
      </c>
      <c r="Q288" s="304">
        <f t="shared" si="105"/>
        <v>0.5</v>
      </c>
      <c r="R288" s="176">
        <f t="shared" si="106"/>
        <v>0.81701859961400225</v>
      </c>
      <c r="S288" s="814">
        <f t="shared" si="107"/>
        <v>-1</v>
      </c>
      <c r="T288" s="175">
        <f t="shared" si="108"/>
        <v>5</v>
      </c>
      <c r="U288" s="250">
        <f t="shared" si="109"/>
        <v>-0.18298140038599775</v>
      </c>
      <c r="V288" s="382">
        <f t="shared" si="110"/>
        <v>40.828630420963144</v>
      </c>
      <c r="W288" s="401">
        <f t="shared" si="111"/>
        <v>36.278923513803591</v>
      </c>
      <c r="X288" s="157">
        <f t="shared" si="112"/>
        <v>45931</v>
      </c>
      <c r="Y288" s="384">
        <f t="shared" si="113"/>
        <v>34.722542600573327</v>
      </c>
      <c r="Z288" s="384">
        <f t="shared" si="114"/>
        <v>36.775754233462742</v>
      </c>
      <c r="AA288" s="385">
        <f t="shared" si="115"/>
        <v>40.303415864879774</v>
      </c>
      <c r="AB288" s="196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8.752760915461319E-2</v>
      </c>
      <c r="AD288" s="230">
        <f>(INDEX(Models!$BJ288:$BT288,,AH288)*(1-AF288)+INDEX(Models!$BJ288:$BT288,,AH288+1)*AF288-ERP_i)*AE288*Ramure*Pc/MaxiM</f>
        <v>7.7093031186449296E-4</v>
      </c>
      <c r="AE288" s="304">
        <f t="shared" si="117"/>
        <v>0.5</v>
      </c>
      <c r="AF288" s="176">
        <f t="shared" si="118"/>
        <v>0.93201113943838965</v>
      </c>
      <c r="AG288" s="814">
        <f t="shared" si="124"/>
        <v>1</v>
      </c>
      <c r="AH288" s="175">
        <f t="shared" si="119"/>
        <v>7</v>
      </c>
      <c r="AI288" s="224">
        <f t="shared" si="120"/>
        <v>1.9320111394383896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10">
        <f>'2024'!Wh/'2024'!Env_an*'2025'!Env_an</f>
        <v>38.995976424367669</v>
      </c>
      <c r="C289" s="843"/>
      <c r="D289" s="392">
        <f t="shared" si="102"/>
        <v>41.302788017289913</v>
      </c>
      <c r="E289" s="384">
        <f t="shared" si="100"/>
        <v>43.350068824572489</v>
      </c>
      <c r="F289" s="384">
        <f t="shared" si="103"/>
        <v>43.353177194084154</v>
      </c>
      <c r="G289" s="110">
        <f t="shared" si="101"/>
        <v>0.96124511602127416</v>
      </c>
      <c r="H289" s="413" t="b">
        <f>Wh_hp&gt;='2024'!Maxi_hp</f>
        <v>1</v>
      </c>
      <c r="I289" s="389">
        <f>IF(H289,Wh_hp,'2024'!Maxi_hp)</f>
        <v>43.353177194084154</v>
      </c>
      <c r="J289" s="85">
        <f>IF(H289,An,'2024'!An_max)</f>
        <v>2025</v>
      </c>
      <c r="K289" s="196">
        <f t="shared" si="104"/>
        <v>45932</v>
      </c>
      <c r="L289" s="147">
        <f>IF(t&lt;Tvie,1-EXP((T0-t)*PertePVj)+'2024'!Pspv,1-EXP((T0-t)*PertePVj)+Pspv)</f>
        <v>5.5851231930313695E-2</v>
      </c>
      <c r="M289" s="847"/>
      <c r="N289" s="847"/>
      <c r="O289" s="48">
        <f>IF(t&lt;Tnet,'2024'!Resal+('2024'!Salim-'2024'!Resal)*(1-EXP(('2024'!Tnet-t)/('2024'!Tau_j))),Resal+(Salim-Resal)*(1-EXP((Tnet-t)/(Tau_j))))*Salcycl</f>
        <v>4.7226702581890712E-2</v>
      </c>
      <c r="P289" s="168">
        <f>(INDEX(Models!$BJ289:$BT289,,T289)*(1-R289)+INDEX(Models!$BJ289:$BT289,,T289+1)*R289-ERP_i)*Q289*Ramure*Pc/MaxiM</f>
        <v>7.5900496974186713E-5</v>
      </c>
      <c r="Q289" s="304">
        <f t="shared" si="105"/>
        <v>0.5</v>
      </c>
      <c r="R289" s="176">
        <f t="shared" si="106"/>
        <v>0.81713284330229607</v>
      </c>
      <c r="S289" s="814">
        <f t="shared" si="107"/>
        <v>-1</v>
      </c>
      <c r="T289" s="175">
        <f t="shared" si="108"/>
        <v>5</v>
      </c>
      <c r="U289" s="250">
        <f t="shared" si="109"/>
        <v>-0.18286715669770393</v>
      </c>
      <c r="V289" s="382">
        <f t="shared" si="110"/>
        <v>40.568021529836301</v>
      </c>
      <c r="W289" s="401">
        <f t="shared" si="111"/>
        <v>38.995976424367669</v>
      </c>
      <c r="X289" s="157">
        <f t="shared" si="112"/>
        <v>45932</v>
      </c>
      <c r="Y289" s="384">
        <f t="shared" si="113"/>
        <v>37.322613971850828</v>
      </c>
      <c r="Z289" s="384">
        <f t="shared" si="114"/>
        <v>39.530437611179615</v>
      </c>
      <c r="AA289" s="385">
        <f t="shared" si="115"/>
        <v>43.321592369568684</v>
      </c>
      <c r="AB289" s="196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8.751189767096762E-2</v>
      </c>
      <c r="AD289" s="230">
        <f>(INDEX(Models!$BJ289:$BT289,,AH289)*(1-AF289)+INDEX(Models!$BJ289:$BT289,,AH289+1)*AF289-ERP_i)*AE289*Ramure*Pc/MaxiM</f>
        <v>7.712416006428178E-4</v>
      </c>
      <c r="AE289" s="304">
        <f t="shared" si="117"/>
        <v>0.5</v>
      </c>
      <c r="AF289" s="176">
        <f t="shared" si="118"/>
        <v>0.93212538312668358</v>
      </c>
      <c r="AG289" s="814">
        <f t="shared" si="124"/>
        <v>1</v>
      </c>
      <c r="AH289" s="175">
        <f t="shared" si="119"/>
        <v>7</v>
      </c>
      <c r="AI289" s="224">
        <f t="shared" si="120"/>
        <v>1.9321253831266836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10">
        <f>'2024'!Wh/'2024'!Env_an*'2025'!Env_an</f>
        <v>36.10903824404992</v>
      </c>
      <c r="C290" s="843"/>
      <c r="D290" s="392">
        <f t="shared" si="102"/>
        <v>38.245909286696275</v>
      </c>
      <c r="E290" s="384">
        <f t="shared" si="100"/>
        <v>40.143408695157902</v>
      </c>
      <c r="F290" s="384">
        <f t="shared" si="103"/>
        <v>40.1460007982745</v>
      </c>
      <c r="G290" s="110">
        <f t="shared" si="101"/>
        <v>0.89583609383032548</v>
      </c>
      <c r="H290" s="413" t="b">
        <f>Wh_hp&gt;='2024'!Maxi_hp</f>
        <v>0</v>
      </c>
      <c r="I290" s="389">
        <f>IF(H290,Wh_hp,'2024'!Maxi_hp)</f>
        <v>41.859424132175342</v>
      </c>
      <c r="J290" s="85">
        <f>IF(H290,An,'2024'!An_max)</f>
        <v>2018</v>
      </c>
      <c r="K290" s="196">
        <f t="shared" si="104"/>
        <v>45933</v>
      </c>
      <c r="L290" s="147">
        <f>IF(t&lt;Tvie,1-EXP((T0-t)*PertePVj)+'2024'!Pspv,1-EXP((T0-t)*PertePVj)+Pspv)</f>
        <v>5.5871884928348693E-2</v>
      </c>
      <c r="M290" s="847"/>
      <c r="N290" s="847"/>
      <c r="O290" s="48">
        <f>IF(t&lt;Tnet,'2024'!Resal+('2024'!Salim-'2024'!Resal)*(1-EXP(('2024'!Tnet-t)/('2024'!Tau_j))),Resal+(Salim-Resal)*(1-EXP((Tnet-t)/(Tau_j))))*Salcycl</f>
        <v>4.7268019088037815E-2</v>
      </c>
      <c r="P290" s="168">
        <f>(INDEX(Models!$BJ290:$BT290,,T290)*(1-R290)+INDEX(Models!$BJ290:$BT290,,T290+1)*R290-ERP_i)*Q290*Ramure*Pc/MaxiM</f>
        <v>7.5853189617213824E-5</v>
      </c>
      <c r="Q290" s="304">
        <f t="shared" si="105"/>
        <v>0.5</v>
      </c>
      <c r="R290" s="176">
        <f t="shared" si="106"/>
        <v>0.81724256970976894</v>
      </c>
      <c r="S290" s="814">
        <f t="shared" si="107"/>
        <v>-1</v>
      </c>
      <c r="T290" s="175">
        <f t="shared" si="108"/>
        <v>5</v>
      </c>
      <c r="U290" s="250">
        <f t="shared" si="109"/>
        <v>-0.18275743029023106</v>
      </c>
      <c r="V290" s="382">
        <f t="shared" si="110"/>
        <v>40.307184461109955</v>
      </c>
      <c r="W290" s="401">
        <f t="shared" si="111"/>
        <v>36.10903824404992</v>
      </c>
      <c r="X290" s="157">
        <f t="shared" si="112"/>
        <v>45933</v>
      </c>
      <c r="Y290" s="384">
        <f t="shared" si="113"/>
        <v>34.563916178029075</v>
      </c>
      <c r="Z290" s="384">
        <f t="shared" si="114"/>
        <v>36.609349542997101</v>
      </c>
      <c r="AA290" s="385">
        <f t="shared" si="115"/>
        <v>40.119614028736684</v>
      </c>
      <c r="AB290" s="196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8.7494971492628804E-2</v>
      </c>
      <c r="AD290" s="230">
        <f>(INDEX(Models!$BJ290:$BT290,,AH290)*(1-AF290)+INDEX(Models!$BJ290:$BT290,,AH290+1)*AF290-ERP_i)*AE290*Ramure*Pc/MaxiM</f>
        <v>7.7216088369428911E-4</v>
      </c>
      <c r="AE290" s="304">
        <f t="shared" si="117"/>
        <v>0.5</v>
      </c>
      <c r="AF290" s="176">
        <f t="shared" si="118"/>
        <v>0.93223510953415634</v>
      </c>
      <c r="AG290" s="814">
        <f t="shared" si="124"/>
        <v>1</v>
      </c>
      <c r="AH290" s="175">
        <f t="shared" si="119"/>
        <v>7</v>
      </c>
      <c r="AI290" s="224">
        <f t="shared" si="120"/>
        <v>1.9322351095341563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10">
        <f>'2024'!Wh/'2024'!Env_an*'2025'!Env_an</f>
        <v>40.36504722916856</v>
      </c>
      <c r="C291" s="843"/>
      <c r="D291" s="392">
        <f t="shared" si="102"/>
        <v>42.754716842478324</v>
      </c>
      <c r="E291" s="384">
        <f t="shared" si="100"/>
        <v>44.877822774792961</v>
      </c>
      <c r="F291" s="384">
        <f t="shared" si="103"/>
        <v>44.881229188425145</v>
      </c>
      <c r="G291" s="110">
        <f t="shared" si="101"/>
        <v>1.0079714315717954</v>
      </c>
      <c r="H291" s="413" t="b">
        <f>Wh_hp&gt;='2024'!Maxi_hp</f>
        <v>0</v>
      </c>
      <c r="I291" s="389">
        <f>IF(H291,Wh_hp,'2024'!Maxi_hp)</f>
        <v>44.881229188425152</v>
      </c>
      <c r="J291" s="85">
        <f>IF(H291,An,'2024'!An_max)</f>
        <v>2022</v>
      </c>
      <c r="K291" s="196">
        <f t="shared" si="104"/>
        <v>45934</v>
      </c>
      <c r="L291" s="147">
        <f>IF(t&lt;Tvie,1-EXP((T0-t)*PertePVj)+'2024'!Pspv,1-EXP((T0-t)*PertePVj)+Pspv)</f>
        <v>5.5892537474029981E-2</v>
      </c>
      <c r="M291" s="847"/>
      <c r="N291" s="847"/>
      <c r="O291" s="48">
        <f>IF(t&lt;Tnet,'2024'!Resal+('2024'!Salim-'2024'!Resal)*(1-EXP(('2024'!Tnet-t)/('2024'!Tau_j))),Resal+(Salim-Resal)*(1-EXP((Tnet-t)/(Tau_j))))*Salcycl</f>
        <v>4.7308576955010971E-2</v>
      </c>
      <c r="P291" s="168">
        <f>(INDEX(Models!$BJ291:$BT291,,T291)*(1-R291)+INDEX(Models!$BJ291:$BT291,,T291+1)*R291-ERP_i)*Q291*Ramure*Pc/MaxiM</f>
        <v>7.5898403269760952E-5</v>
      </c>
      <c r="Q291" s="304">
        <f t="shared" si="105"/>
        <v>0.5</v>
      </c>
      <c r="R291" s="176">
        <f t="shared" si="106"/>
        <v>0.81734795428956719</v>
      </c>
      <c r="S291" s="814">
        <f t="shared" si="107"/>
        <v>-1</v>
      </c>
      <c r="T291" s="175">
        <f t="shared" si="108"/>
        <v>5</v>
      </c>
      <c r="U291" s="250">
        <f t="shared" si="109"/>
        <v>-0.18265204571043281</v>
      </c>
      <c r="V291" s="382">
        <f t="shared" si="110"/>
        <v>40.045824678011677</v>
      </c>
      <c r="W291" s="401">
        <f t="shared" si="111"/>
        <v>40.36504722916856</v>
      </c>
      <c r="X291" s="157">
        <f t="shared" si="112"/>
        <v>45934</v>
      </c>
      <c r="Y291" s="384">
        <f t="shared" si="113"/>
        <v>38.636162651695109</v>
      </c>
      <c r="Z291" s="384">
        <f t="shared" si="114"/>
        <v>40.923479778799361</v>
      </c>
      <c r="AA291" s="385">
        <f t="shared" si="115"/>
        <v>44.84650955504312</v>
      </c>
      <c r="AB291" s="196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8.747681403005865E-2</v>
      </c>
      <c r="AD291" s="230">
        <f>(INDEX(Models!$BJ291:$BT291,,AH291)*(1-AF291)+INDEX(Models!$BJ291:$BT291,,AH291+1)*AF291-ERP_i)*AE291*Ramure*Pc/MaxiM</f>
        <v>7.7358918215590764E-4</v>
      </c>
      <c r="AE291" s="304">
        <f t="shared" si="117"/>
        <v>0.5</v>
      </c>
      <c r="AF291" s="176">
        <f t="shared" si="118"/>
        <v>0.93234049411395459</v>
      </c>
      <c r="AG291" s="814">
        <f t="shared" si="124"/>
        <v>1</v>
      </c>
      <c r="AH291" s="175">
        <f t="shared" si="119"/>
        <v>7</v>
      </c>
      <c r="AI291" s="224">
        <f t="shared" si="120"/>
        <v>1.9323404941139546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10">
        <f>'2024'!Wh/'2024'!Env_an*'2025'!Env_an</f>
        <v>40.944405412666434</v>
      </c>
      <c r="C292" s="843"/>
      <c r="D292" s="392">
        <f t="shared" si="102"/>
        <v>43.369322566749403</v>
      </c>
      <c r="E292" s="384">
        <f t="shared" si="100"/>
        <v>45.524849849833139</v>
      </c>
      <c r="F292" s="384">
        <f t="shared" si="103"/>
        <v>45.528311712611476</v>
      </c>
      <c r="G292" s="110">
        <f t="shared" si="101"/>
        <v>1.02917670063397</v>
      </c>
      <c r="H292" s="413" t="b">
        <f>Wh_hp&gt;='2024'!Maxi_hp</f>
        <v>1</v>
      </c>
      <c r="I292" s="389">
        <f>IF(H292,Wh_hp,'2024'!Maxi_hp)</f>
        <v>45.528311712611476</v>
      </c>
      <c r="J292" s="85">
        <f>IF(H292,An,'2024'!An_max)</f>
        <v>2025</v>
      </c>
      <c r="K292" s="196">
        <f t="shared" si="104"/>
        <v>45935</v>
      </c>
      <c r="L292" s="147">
        <f>IF(t&lt;Tvie,1-EXP((T0-t)*PertePVj)+'2024'!Pspv,1-EXP((T0-t)*PertePVj)+Pspv)</f>
        <v>5.591318956736744E-2</v>
      </c>
      <c r="M292" s="847"/>
      <c r="N292" s="847"/>
      <c r="O292" s="48">
        <f>IF(t&lt;Tnet,'2024'!Resal+('2024'!Salim-'2024'!Resal)*(1-EXP(('2024'!Tnet-t)/('2024'!Tau_j))),Resal+(Salim-Resal)*(1-EXP((Tnet-t)/(Tau_j))))*Salcycl</f>
        <v>4.7348366665543935E-2</v>
      </c>
      <c r="P292" s="168">
        <f>(INDEX(Models!$BJ292:$BT292,,T292)*(1-R292)+INDEX(Models!$BJ292:$BT292,,T292+1)*R292-ERP_i)*Q292*Ramure*Pc/MaxiM</f>
        <v>7.6037582948196866E-5</v>
      </c>
      <c r="Q292" s="304">
        <f t="shared" si="105"/>
        <v>0.5</v>
      </c>
      <c r="R292" s="176">
        <f t="shared" si="106"/>
        <v>0.81744916592795613</v>
      </c>
      <c r="S292" s="814">
        <f t="shared" si="107"/>
        <v>-1</v>
      </c>
      <c r="T292" s="175">
        <f t="shared" si="108"/>
        <v>5</v>
      </c>
      <c r="U292" s="250">
        <f t="shared" si="109"/>
        <v>-0.18255083407204381</v>
      </c>
      <c r="V292" s="382">
        <f t="shared" si="110"/>
        <v>39.783649773109701</v>
      </c>
      <c r="W292" s="401">
        <f t="shared" si="111"/>
        <v>40.944405412666434</v>
      </c>
      <c r="X292" s="157">
        <f t="shared" si="112"/>
        <v>45935</v>
      </c>
      <c r="Y292" s="384">
        <f t="shared" si="113"/>
        <v>39.193105569078583</v>
      </c>
      <c r="Z292" s="384">
        <f t="shared" si="114"/>
        <v>41.514302642484907</v>
      </c>
      <c r="AA292" s="385">
        <f t="shared" si="115"/>
        <v>45.493002909456045</v>
      </c>
      <c r="AB292" s="196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8.7457411305423685E-2</v>
      </c>
      <c r="AD292" s="230">
        <f>(INDEX(Models!$BJ292:$BT292,,AH292)*(1-AF292)+INDEX(Models!$BJ292:$BT292,,AH292+1)*AF292-ERP_i)*AE292*Ramure*Pc/MaxiM</f>
        <v>7.7553508635038414E-4</v>
      </c>
      <c r="AE292" s="304">
        <f t="shared" si="117"/>
        <v>0.5</v>
      </c>
      <c r="AF292" s="176">
        <f t="shared" si="118"/>
        <v>0.93244170575234353</v>
      </c>
      <c r="AG292" s="814">
        <f t="shared" si="124"/>
        <v>1</v>
      </c>
      <c r="AH292" s="175">
        <f t="shared" si="119"/>
        <v>7</v>
      </c>
      <c r="AI292" s="224">
        <f t="shared" si="120"/>
        <v>1.9324417057523435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10">
        <f>'2024'!Wh/'2024'!Env_an*'2025'!Env_an</f>
        <v>14.65770399219482</v>
      </c>
      <c r="C293" s="843"/>
      <c r="D293" s="392">
        <f t="shared" si="102"/>
        <v>15.526140679543223</v>
      </c>
      <c r="E293" s="384">
        <f t="shared" si="100"/>
        <v>16.298483094948789</v>
      </c>
      <c r="F293" s="384">
        <f t="shared" si="103"/>
        <v>16.298608988293243</v>
      </c>
      <c r="G293" s="110">
        <f t="shared" si="101"/>
        <v>0.37086444826669884</v>
      </c>
      <c r="H293" s="413" t="b">
        <f>Wh_hp&gt;='2024'!Maxi_hp</f>
        <v>0</v>
      </c>
      <c r="I293" s="389">
        <f>IF(H293,Wh_hp,'2024'!Maxi_hp)</f>
        <v>40.753647143943134</v>
      </c>
      <c r="J293" s="85">
        <f>IF(H293,An,'2024'!An_max)</f>
        <v>2018</v>
      </c>
      <c r="K293" s="196">
        <f t="shared" si="104"/>
        <v>45936</v>
      </c>
      <c r="L293" s="147">
        <f>IF(t&lt;Tvie,1-EXP((T0-t)*PertePVj)+'2024'!Pspv,1-EXP((T0-t)*PertePVj)+Pspv)</f>
        <v>5.5933841208371173E-2</v>
      </c>
      <c r="M293" s="847"/>
      <c r="N293" s="847"/>
      <c r="O293" s="48">
        <f>IF(t&lt;Tnet,'2024'!Resal+('2024'!Salim-'2024'!Resal)*(1-EXP(('2024'!Tnet-t)/('2024'!Tau_j))),Resal+(Salim-Resal)*(1-EXP((Tnet-t)/(Tau_j))))*Salcycl</f>
        <v>4.7387380218526585E-2</v>
      </c>
      <c r="P293" s="168">
        <f>(INDEX(Models!$BJ293:$BT293,,T293)*(1-R293)+INDEX(Models!$BJ293:$BT293,,T293+1)*R293-ERP_i)*Q293*Ramure*Pc/MaxiM</f>
        <v>7.6272165443024343E-5</v>
      </c>
      <c r="Q293" s="304">
        <f t="shared" si="105"/>
        <v>0.5</v>
      </c>
      <c r="R293" s="176">
        <f t="shared" si="106"/>
        <v>0.81754636717057971</v>
      </c>
      <c r="S293" s="814">
        <f t="shared" si="107"/>
        <v>-1</v>
      </c>
      <c r="T293" s="175">
        <f t="shared" si="108"/>
        <v>5</v>
      </c>
      <c r="U293" s="250">
        <f t="shared" si="109"/>
        <v>-0.18245363282942029</v>
      </c>
      <c r="V293" s="382">
        <f t="shared" si="110"/>
        <v>39.520367338562856</v>
      </c>
      <c r="W293" s="401">
        <f t="shared" si="111"/>
        <v>14.65770399219482</v>
      </c>
      <c r="X293" s="157">
        <f t="shared" si="112"/>
        <v>45936</v>
      </c>
      <c r="Y293" s="384">
        <f t="shared" si="113"/>
        <v>14.040472586931987</v>
      </c>
      <c r="Z293" s="384">
        <f t="shared" si="114"/>
        <v>14.872339672574741</v>
      </c>
      <c r="AA293" s="385">
        <f t="shared" si="115"/>
        <v>16.297324824572286</v>
      </c>
      <c r="AB293" s="196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8.7436752187022973E-2</v>
      </c>
      <c r="AD293" s="230">
        <f>(INDEX(Models!$BJ293:$BT293,,AH293)*(1-AF293)+INDEX(Models!$BJ293:$BT293,,AH293+1)*AF293-ERP_i)*AE293*Ramure*Pc/MaxiM</f>
        <v>7.7800735382188015E-4</v>
      </c>
      <c r="AE293" s="304">
        <f t="shared" si="117"/>
        <v>0.5</v>
      </c>
      <c r="AF293" s="176">
        <f t="shared" si="118"/>
        <v>0.93253890699496722</v>
      </c>
      <c r="AG293" s="814">
        <f t="shared" si="124"/>
        <v>1</v>
      </c>
      <c r="AH293" s="175">
        <f t="shared" si="119"/>
        <v>7</v>
      </c>
      <c r="AI293" s="224">
        <f t="shared" si="120"/>
        <v>1.9325389069949672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10">
        <f>'2024'!Wh/'2024'!Env_an*'2025'!Env_an</f>
        <v>28.210767045919155</v>
      </c>
      <c r="C294" s="843"/>
      <c r="D294" s="392">
        <f t="shared" si="102"/>
        <v>29.882846556359198</v>
      </c>
      <c r="E294" s="384">
        <f t="shared" si="100"/>
        <v>31.370617255318272</v>
      </c>
      <c r="F294" s="384">
        <f t="shared" si="103"/>
        <v>31.372054518742598</v>
      </c>
      <c r="G294" s="110">
        <f t="shared" si="101"/>
        <v>0.71861944128314492</v>
      </c>
      <c r="H294" s="413" t="b">
        <f>Wh_hp&gt;='2024'!Maxi_hp</f>
        <v>0</v>
      </c>
      <c r="I294" s="389">
        <f>IF(H294,Wh_hp,'2024'!Maxi_hp)</f>
        <v>44.062156348589909</v>
      </c>
      <c r="J294" s="85">
        <f>IF(H294,An,'2024'!An_max)</f>
        <v>2021</v>
      </c>
      <c r="K294" s="196">
        <f t="shared" si="104"/>
        <v>45937</v>
      </c>
      <c r="L294" s="147">
        <f>IF(t&lt;Tvie,1-EXP((T0-t)*PertePVj)+'2024'!Pspv,1-EXP((T0-t)*PertePVj)+Pspv)</f>
        <v>5.5954492397050949E-2</v>
      </c>
      <c r="M294" s="847"/>
      <c r="N294" s="847"/>
      <c r="O294" s="48">
        <f>IF(t&lt;Tnet,'2024'!Resal+('2024'!Salim-'2024'!Resal)*(1-EXP(('2024'!Tnet-t)/('2024'!Tau_j))),Resal+(Salim-Resal)*(1-EXP((Tnet-t)/(Tau_j))))*Salcycl</f>
        <v>4.7425611260704569E-2</v>
      </c>
      <c r="P294" s="168">
        <f>(INDEX(Models!$BJ294:$BT294,,T294)*(1-R294)+INDEX(Models!$BJ294:$BT294,,T294+1)*R294-ERP_i)*Q294*Ramure*Pc/MaxiM</f>
        <v>7.6603586432055068E-5</v>
      </c>
      <c r="Q294" s="304">
        <f t="shared" si="105"/>
        <v>0.5</v>
      </c>
      <c r="R294" s="176">
        <f t="shared" si="106"/>
        <v>0.81763971444249339</v>
      </c>
      <c r="S294" s="814">
        <f t="shared" si="107"/>
        <v>-1</v>
      </c>
      <c r="T294" s="175">
        <f t="shared" si="108"/>
        <v>5</v>
      </c>
      <c r="U294" s="250">
        <f t="shared" si="109"/>
        <v>-0.18236028555750661</v>
      </c>
      <c r="V294" s="382">
        <f t="shared" si="110"/>
        <v>39.255684961182098</v>
      </c>
      <c r="W294" s="401">
        <f t="shared" si="111"/>
        <v>28.210767045919155</v>
      </c>
      <c r="X294" s="157">
        <f t="shared" si="112"/>
        <v>45937</v>
      </c>
      <c r="Y294" s="384">
        <f t="shared" si="113"/>
        <v>27.01508853499362</v>
      </c>
      <c r="Z294" s="384">
        <f t="shared" si="114"/>
        <v>28.616299020995658</v>
      </c>
      <c r="AA294" s="385">
        <f t="shared" si="115"/>
        <v>31.357400841416968</v>
      </c>
      <c r="AB294" s="196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8.7414828616817361E-2</v>
      </c>
      <c r="AD294" s="230">
        <f>(INDEX(Models!$BJ294:$BT294,,AH294)*(1-AF294)+INDEX(Models!$BJ294:$BT294,,AH294+1)*AF294-ERP_i)*AE294*Ramure*Pc/MaxiM</f>
        <v>7.8101496118366002E-4</v>
      </c>
      <c r="AE294" s="304">
        <f t="shared" si="117"/>
        <v>0.5</v>
      </c>
      <c r="AF294" s="176">
        <f t="shared" si="118"/>
        <v>0.93263225426688079</v>
      </c>
      <c r="AG294" s="814">
        <f t="shared" si="124"/>
        <v>1</v>
      </c>
      <c r="AH294" s="175">
        <f t="shared" si="119"/>
        <v>7</v>
      </c>
      <c r="AI294" s="224">
        <f t="shared" si="120"/>
        <v>1.9326322542668808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10">
        <f>'2024'!Wh/'2024'!Env_an*'2025'!Env_an</f>
        <v>15.785125688704614</v>
      </c>
      <c r="C295" s="843"/>
      <c r="D295" s="392">
        <f t="shared" si="102"/>
        <v>16.721091159716661</v>
      </c>
      <c r="E295" s="384">
        <f t="shared" si="100"/>
        <v>17.554270468193234</v>
      </c>
      <c r="F295" s="384">
        <f t="shared" si="103"/>
        <v>17.554473035272167</v>
      </c>
      <c r="G295" s="110">
        <f t="shared" si="101"/>
        <v>0.4048312668080476</v>
      </c>
      <c r="H295" s="413" t="b">
        <f>Wh_hp&gt;='2024'!Maxi_hp</f>
        <v>0</v>
      </c>
      <c r="I295" s="389">
        <f>IF(H295,Wh_hp,'2024'!Maxi_hp)</f>
        <v>43.274258019273653</v>
      </c>
      <c r="J295" s="85">
        <f>IF(H295,An,'2024'!An_max)</f>
        <v>2021</v>
      </c>
      <c r="K295" s="196">
        <f t="shared" si="104"/>
        <v>45938</v>
      </c>
      <c r="L295" s="147">
        <f>IF(t&lt;Tvie,1-EXP((T0-t)*PertePVj)+'2024'!Pspv,1-EXP((T0-t)*PertePVj)+Pspv)</f>
        <v>5.5975143133416651E-2</v>
      </c>
      <c r="M295" s="847"/>
      <c r="N295" s="847"/>
      <c r="O295" s="48">
        <f>IF(t&lt;Tnet,'2024'!Resal+('2024'!Salim-'2024'!Resal)*(1-EXP(('2024'!Tnet-t)/('2024'!Tau_j))),Resal+(Salim-Resal)*(1-EXP((Tnet-t)/(Tau_j))))*Salcycl</f>
        <v>4.7463055214183918E-2</v>
      </c>
      <c r="P295" s="168">
        <f>(INDEX(Models!$BJ295:$BT295,,T295)*(1-R295)+INDEX(Models!$BJ295:$BT295,,T295+1)*R295-ERP_i)*Q295*Ramure*Pc/MaxiM</f>
        <v>7.7033288490407364E-5</v>
      </c>
      <c r="Q295" s="304">
        <f t="shared" si="105"/>
        <v>0.5</v>
      </c>
      <c r="R295" s="176">
        <f t="shared" si="106"/>
        <v>0.8177293582620101</v>
      </c>
      <c r="S295" s="814">
        <f t="shared" si="107"/>
        <v>-1</v>
      </c>
      <c r="T295" s="175">
        <f t="shared" si="108"/>
        <v>5</v>
      </c>
      <c r="U295" s="250">
        <f t="shared" si="109"/>
        <v>-0.1822706417379899</v>
      </c>
      <c r="V295" s="382">
        <f t="shared" si="110"/>
        <v>38.989310215733639</v>
      </c>
      <c r="W295" s="401">
        <f t="shared" si="111"/>
        <v>15.785125688704614</v>
      </c>
      <c r="X295" s="157">
        <f t="shared" si="112"/>
        <v>45938</v>
      </c>
      <c r="Y295" s="384">
        <f t="shared" si="113"/>
        <v>15.121839623663499</v>
      </c>
      <c r="Z295" s="384">
        <f t="shared" si="114"/>
        <v>16.018476117097233</v>
      </c>
      <c r="AA295" s="385">
        <f t="shared" si="115"/>
        <v>17.552409933965201</v>
      </c>
      <c r="AB295" s="196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8.7391635828861017E-2</v>
      </c>
      <c r="AD295" s="230">
        <f>(INDEX(Models!$BJ295:$BT295,,AH295)*(1-AF295)+INDEX(Models!$BJ295:$BT295,,AH295+1)*AF295-ERP_i)*AE295*Ramure*Pc/MaxiM</f>
        <v>7.8456716166420233E-4</v>
      </c>
      <c r="AE295" s="304">
        <f t="shared" si="117"/>
        <v>0.5</v>
      </c>
      <c r="AF295" s="176">
        <f t="shared" si="118"/>
        <v>0.9327218980863976</v>
      </c>
      <c r="AG295" s="814">
        <f t="shared" si="124"/>
        <v>1</v>
      </c>
      <c r="AH295" s="175">
        <f t="shared" si="119"/>
        <v>7</v>
      </c>
      <c r="AI295" s="224">
        <f t="shared" si="120"/>
        <v>1.9327218980863976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10">
        <f>'2024'!Wh/'2024'!Env_an*'2025'!Env_an</f>
        <v>37.814021505098083</v>
      </c>
      <c r="C296" s="843"/>
      <c r="D296" s="392">
        <f t="shared" si="102"/>
        <v>40.057047671421053</v>
      </c>
      <c r="E296" s="384">
        <f t="shared" si="100"/>
        <v>42.054630393997797</v>
      </c>
      <c r="F296" s="384">
        <f t="shared" si="103"/>
        <v>42.057780556139107</v>
      </c>
      <c r="G296" s="110">
        <f t="shared" si="101"/>
        <v>0.97657521821013871</v>
      </c>
      <c r="H296" s="413" t="b">
        <f>Wh_hp&gt;='2024'!Maxi_hp</f>
        <v>1</v>
      </c>
      <c r="I296" s="389">
        <f>IF(H296,Wh_hp,'2024'!Maxi_hp)</f>
        <v>42.057780556139107</v>
      </c>
      <c r="J296" s="85">
        <f>IF(H296,An,'2024'!An_max)</f>
        <v>2025</v>
      </c>
      <c r="K296" s="196">
        <f t="shared" si="104"/>
        <v>45939</v>
      </c>
      <c r="L296" s="147">
        <f>IF(t&lt;Tvie,1-EXP((T0-t)*PertePVj)+'2024'!Pspv,1-EXP((T0-t)*PertePVj)+Pspv)</f>
        <v>5.5995793417478158E-2</v>
      </c>
      <c r="M296" s="847"/>
      <c r="N296" s="847"/>
      <c r="O296" s="48">
        <f>IF(t&lt;Tnet,'2024'!Resal+('2024'!Salim-'2024'!Resal)*(1-EXP(('2024'!Tnet-t)/('2024'!Tau_j))),Resal+(Salim-Resal)*(1-EXP((Tnet-t)/(Tau_j))))*Salcycl</f>
        <v>4.7499709398512446E-2</v>
      </c>
      <c r="P296" s="168">
        <f>(INDEX(Models!$BJ296:$BT296,,T296)*(1-R296)+INDEX(Models!$BJ296:$BT296,,T296+1)*R296-ERP_i)*Q296*Ramure*Pc/MaxiM</f>
        <v>7.7493787113905275E-5</v>
      </c>
      <c r="Q296" s="304">
        <f t="shared" si="105"/>
        <v>0.5</v>
      </c>
      <c r="R296" s="176">
        <f t="shared" si="106"/>
        <v>0.81781544344840773</v>
      </c>
      <c r="S296" s="814">
        <f t="shared" si="107"/>
        <v>-1</v>
      </c>
      <c r="T296" s="175">
        <f t="shared" si="108"/>
        <v>5</v>
      </c>
      <c r="U296" s="250">
        <f t="shared" si="109"/>
        <v>-0.18218455655159232</v>
      </c>
      <c r="V296" s="382">
        <f t="shared" si="110"/>
        <v>38.720953329581455</v>
      </c>
      <c r="W296" s="401">
        <f t="shared" si="111"/>
        <v>37.814021505098083</v>
      </c>
      <c r="X296" s="157">
        <f t="shared" si="112"/>
        <v>45939</v>
      </c>
      <c r="Y296" s="384">
        <f t="shared" si="113"/>
        <v>36.206411086232713</v>
      </c>
      <c r="Z296" s="384">
        <f t="shared" si="114"/>
        <v>38.354078121438612</v>
      </c>
      <c r="AA296" s="385">
        <f t="shared" si="115"/>
        <v>42.025748984808494</v>
      </c>
      <c r="AB296" s="196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8.7367172556451586E-2</v>
      </c>
      <c r="AD296" s="230">
        <f>(INDEX(Models!$BJ296:$BT296,,AH296)*(1-AF296)+INDEX(Models!$BJ296:$BT296,,AH296+1)*AF296-ERP_i)*AE296*Ramure*Pc/MaxiM</f>
        <v>7.8797460520034707E-4</v>
      </c>
      <c r="AE296" s="304">
        <f t="shared" si="117"/>
        <v>0.5</v>
      </c>
      <c r="AF296" s="176">
        <f t="shared" si="118"/>
        <v>0.93280798327279513</v>
      </c>
      <c r="AG296" s="814">
        <f t="shared" si="124"/>
        <v>1</v>
      </c>
      <c r="AH296" s="175">
        <f t="shared" si="119"/>
        <v>7</v>
      </c>
      <c r="AI296" s="224">
        <f t="shared" si="120"/>
        <v>1.9328079832727951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10">
        <f>'2024'!Wh/'2024'!Env_an*'2025'!Env_an</f>
        <v>30.520094154736896</v>
      </c>
      <c r="C297" s="843"/>
      <c r="D297" s="392">
        <f t="shared" si="102"/>
        <v>32.331171381616869</v>
      </c>
      <c r="E297" s="384">
        <f t="shared" ref="E297:E360" si="125">Wh_pvt/(1-Psa)</f>
        <v>33.94475475416035</v>
      </c>
      <c r="F297" s="384">
        <f t="shared" si="103"/>
        <v>33.946620655214758</v>
      </c>
      <c r="G297" s="110">
        <f t="shared" ref="G297:G360" si="126">+Wh_hp/MaxiM</f>
        <v>0.79373565945674329</v>
      </c>
      <c r="H297" s="413" t="b">
        <f>Wh_hp&gt;='2024'!Maxi_hp</f>
        <v>1</v>
      </c>
      <c r="I297" s="389">
        <f>IF(H297,Wh_hp,'2024'!Maxi_hp)</f>
        <v>33.946620655214758</v>
      </c>
      <c r="J297" s="85">
        <f>IF(H297,An,'2024'!An_max)</f>
        <v>2025</v>
      </c>
      <c r="K297" s="196">
        <f t="shared" si="104"/>
        <v>45940</v>
      </c>
      <c r="L297" s="147">
        <f>IF(t&lt;Tvie,1-EXP((T0-t)*PertePVj)+'2024'!Pspv,1-EXP((T0-t)*PertePVj)+Pspv)</f>
        <v>5.6016443249245575E-2</v>
      </c>
      <c r="M297" s="847"/>
      <c r="N297" s="847"/>
      <c r="O297" s="48">
        <f>IF(t&lt;Tnet,'2024'!Resal+('2024'!Salim-'2024'!Resal)*(1-EXP(('2024'!Tnet-t)/('2024'!Tau_j))),Resal+(Salim-Resal)*(1-EXP((Tnet-t)/(Tau_j))))*Salcycl</f>
        <v>4.7535573146119656E-2</v>
      </c>
      <c r="P297" s="168">
        <f>(INDEX(Models!$BJ297:$BT297,,T297)*(1-R297)+INDEX(Models!$BJ297:$BT297,,T297+1)*R297-ERP_i)*Q297*Ramure*Pc/MaxiM</f>
        <v>7.7925496341935919E-5</v>
      </c>
      <c r="Q297" s="304">
        <f t="shared" si="105"/>
        <v>0.5</v>
      </c>
      <c r="R297" s="176">
        <f t="shared" si="106"/>
        <v>0.81789810932356233</v>
      </c>
      <c r="S297" s="814">
        <f t="shared" si="107"/>
        <v>-1</v>
      </c>
      <c r="T297" s="175">
        <f t="shared" si="108"/>
        <v>5</v>
      </c>
      <c r="U297" s="250">
        <f t="shared" si="109"/>
        <v>-0.18210189067643767</v>
      </c>
      <c r="V297" s="382">
        <f t="shared" si="110"/>
        <v>38.450324133248834</v>
      </c>
      <c r="W297" s="401">
        <f t="shared" si="111"/>
        <v>30.520094154736896</v>
      </c>
      <c r="X297" s="157">
        <f t="shared" si="112"/>
        <v>45940</v>
      </c>
      <c r="Y297" s="384">
        <f t="shared" si="113"/>
        <v>29.229881471491613</v>
      </c>
      <c r="Z297" s="384">
        <f t="shared" si="114"/>
        <v>30.964396850409706</v>
      </c>
      <c r="AA297" s="385">
        <f t="shared" si="115"/>
        <v>33.927690210893239</v>
      </c>
      <c r="AB297" s="196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8.7341441225848679E-2</v>
      </c>
      <c r="AD297" s="230">
        <f>(INDEX(Models!$BJ297:$BT297,,AH297)*(1-AF297)+INDEX(Models!$BJ297:$BT297,,AH297+1)*AF297-ERP_i)*AE297*Ramure*Pc/MaxiM</f>
        <v>7.9059083344447075E-4</v>
      </c>
      <c r="AE297" s="304">
        <f t="shared" si="117"/>
        <v>0.5</v>
      </c>
      <c r="AF297" s="176">
        <f t="shared" si="118"/>
        <v>0.93289064914794984</v>
      </c>
      <c r="AG297" s="814">
        <f t="shared" si="124"/>
        <v>1</v>
      </c>
      <c r="AH297" s="175">
        <f t="shared" si="119"/>
        <v>7</v>
      </c>
      <c r="AI297" s="224">
        <f t="shared" si="120"/>
        <v>1.9328906491479498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10">
        <f>'2024'!Wh/'2024'!Env_an*'2025'!Env_an</f>
        <v>24.085457848401468</v>
      </c>
      <c r="C298" s="843"/>
      <c r="D298" s="392">
        <f t="shared" si="102"/>
        <v>25.51525876739602</v>
      </c>
      <c r="E298" s="384">
        <f t="shared" si="125"/>
        <v>26.789660263413161</v>
      </c>
      <c r="F298" s="384">
        <f t="shared" si="103"/>
        <v>26.790652204756189</v>
      </c>
      <c r="G298" s="110">
        <f t="shared" si="126"/>
        <v>0.63086101440402553</v>
      </c>
      <c r="H298" s="413" t="b">
        <f>Wh_hp&gt;='2024'!Maxi_hp</f>
        <v>0</v>
      </c>
      <c r="I298" s="389">
        <f>IF(H298,Wh_hp,'2024'!Maxi_hp)</f>
        <v>43.136286710165194</v>
      </c>
      <c r="J298" s="85">
        <f>IF(H298,An,'2024'!An_max)</f>
        <v>2019</v>
      </c>
      <c r="K298" s="196">
        <f t="shared" si="104"/>
        <v>45941</v>
      </c>
      <c r="L298" s="147">
        <f>IF(t&lt;Tvie,1-EXP((T0-t)*PertePVj)+'2024'!Pspv,1-EXP((T0-t)*PertePVj)+Pspv)</f>
        <v>5.603709262872867E-2</v>
      </c>
      <c r="M298" s="847"/>
      <c r="N298" s="847"/>
      <c r="O298" s="48">
        <f>IF(t&lt;Tnet,'2024'!Resal+('2024'!Salim-'2024'!Resal)*(1-EXP(('2024'!Tnet-t)/('2024'!Tau_j))),Resal+(Salim-Resal)*(1-EXP((Tnet-t)/(Tau_j))))*Salcycl</f>
        <v>4.7570647909917753E-2</v>
      </c>
      <c r="P298" s="168">
        <f>(INDEX(Models!$BJ298:$BT298,,T298)*(1-R298)+INDEX(Models!$BJ298:$BT298,,T298+1)*R298-ERP_i)*Q298*Ramure*Pc/MaxiM</f>
        <v>7.832870467294532E-5</v>
      </c>
      <c r="Q298" s="304">
        <f t="shared" si="105"/>
        <v>0.5</v>
      </c>
      <c r="R298" s="176">
        <f t="shared" si="106"/>
        <v>0.81797748990758201</v>
      </c>
      <c r="S298" s="814">
        <f t="shared" si="107"/>
        <v>-1</v>
      </c>
      <c r="T298" s="175">
        <f t="shared" si="108"/>
        <v>5</v>
      </c>
      <c r="U298" s="250">
        <f t="shared" si="109"/>
        <v>-0.18202251009241793</v>
      </c>
      <c r="V298" s="382">
        <f t="shared" si="110"/>
        <v>38.177130078905265</v>
      </c>
      <c r="W298" s="401">
        <f t="shared" si="111"/>
        <v>24.085457848401468</v>
      </c>
      <c r="X298" s="157">
        <f t="shared" si="112"/>
        <v>45941</v>
      </c>
      <c r="Y298" s="384">
        <f t="shared" si="113"/>
        <v>23.0726079492343</v>
      </c>
      <c r="Z298" s="384">
        <f t="shared" si="114"/>
        <v>24.442282391674084</v>
      </c>
      <c r="AA298" s="385">
        <f t="shared" si="115"/>
        <v>26.780617203497961</v>
      </c>
      <c r="AB298" s="196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8.7314448134468578E-2</v>
      </c>
      <c r="AD298" s="230">
        <f>(INDEX(Models!$BJ298:$BT298,,AH298)*(1-AF298)+INDEX(Models!$BJ298:$BT298,,AH298+1)*AF298-ERP_i)*AE298*Ramure*Pc/MaxiM</f>
        <v>7.9241444615152216E-4</v>
      </c>
      <c r="AE298" s="304">
        <f t="shared" si="117"/>
        <v>0.5</v>
      </c>
      <c r="AF298" s="176">
        <f t="shared" si="118"/>
        <v>0.93297002973196941</v>
      </c>
      <c r="AG298" s="814">
        <f t="shared" si="124"/>
        <v>1</v>
      </c>
      <c r="AH298" s="175">
        <f t="shared" si="119"/>
        <v>7</v>
      </c>
      <c r="AI298" s="224">
        <f t="shared" si="120"/>
        <v>1.9329700297319694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10">
        <f>'2024'!Wh/'2024'!Env_an*'2025'!Env_an</f>
        <v>27.066206490094821</v>
      </c>
      <c r="C299" s="843"/>
      <c r="D299" s="392">
        <f t="shared" si="102"/>
        <v>28.673582783240491</v>
      </c>
      <c r="E299" s="384">
        <f t="shared" si="125"/>
        <v>30.106815866743048</v>
      </c>
      <c r="F299" s="384">
        <f t="shared" si="103"/>
        <v>30.108217765706126</v>
      </c>
      <c r="G299" s="110">
        <f t="shared" si="126"/>
        <v>0.7141046509443193</v>
      </c>
      <c r="H299" s="413" t="b">
        <f>Wh_hp&gt;='2024'!Maxi_hp</f>
        <v>0</v>
      </c>
      <c r="I299" s="389">
        <f>IF(H299,Wh_hp,'2024'!Maxi_hp)</f>
        <v>41.118712487030926</v>
      </c>
      <c r="J299" s="85">
        <f>IF(H299,An,'2024'!An_max)</f>
        <v>2021</v>
      </c>
      <c r="K299" s="196">
        <f t="shared" si="104"/>
        <v>45942</v>
      </c>
      <c r="L299" s="147">
        <f>IF(t&lt;Tvie,1-EXP((T0-t)*PertePVj)+'2024'!Pspv,1-EXP((T0-t)*PertePVj)+Pspv)</f>
        <v>5.6057741555937325E-2</v>
      </c>
      <c r="M299" s="847"/>
      <c r="N299" s="847"/>
      <c r="O299" s="48">
        <f>IF(t&lt;Tnet,'2024'!Resal+('2024'!Salim-'2024'!Resal)*(1-EXP(('2024'!Tnet-t)/('2024'!Tau_j))),Resal+(Salim-Resal)*(1-EXP((Tnet-t)/(Tau_j))))*Salcycl</f>
        <v>4.7604937361899927E-2</v>
      </c>
      <c r="P299" s="168">
        <f>(INDEX(Models!$BJ299:$BT299,,T299)*(1-R299)+INDEX(Models!$BJ299:$BT299,,T299+1)*R299-ERP_i)*Q299*Ramure*Pc/MaxiM</f>
        <v>7.8703767978418294E-5</v>
      </c>
      <c r="Q299" s="304">
        <f t="shared" si="105"/>
        <v>0.5</v>
      </c>
      <c r="R299" s="176">
        <f t="shared" si="106"/>
        <v>0.8180537141085229</v>
      </c>
      <c r="S299" s="814">
        <f t="shared" si="107"/>
        <v>-1</v>
      </c>
      <c r="T299" s="175">
        <f t="shared" si="108"/>
        <v>5</v>
      </c>
      <c r="U299" s="250">
        <f t="shared" si="109"/>
        <v>-0.18194628589147704</v>
      </c>
      <c r="V299" s="382">
        <f t="shared" si="110"/>
        <v>37.901078585863942</v>
      </c>
      <c r="W299" s="401">
        <f t="shared" si="111"/>
        <v>27.066206490094821</v>
      </c>
      <c r="X299" s="157">
        <f t="shared" si="112"/>
        <v>45942</v>
      </c>
      <c r="Y299" s="384">
        <f t="shared" si="113"/>
        <v>25.927532217082696</v>
      </c>
      <c r="Z299" s="384">
        <f t="shared" si="114"/>
        <v>27.467286250983268</v>
      </c>
      <c r="AA299" s="385">
        <f t="shared" si="115"/>
        <v>30.09408465136525</v>
      </c>
      <c r="AB299" s="196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8.728620361153977E-2</v>
      </c>
      <c r="AD299" s="230">
        <f>(INDEX(Models!$BJ299:$BT299,,AH299)*(1-AF299)+INDEX(Models!$BJ299:$BT299,,AH299+1)*AF299-ERP_i)*AE299*Ramure*Pc/MaxiM</f>
        <v>7.9344473545636077E-4</v>
      </c>
      <c r="AE299" s="304">
        <f t="shared" si="117"/>
        <v>0.5</v>
      </c>
      <c r="AF299" s="176">
        <f t="shared" si="118"/>
        <v>0.9330462539329103</v>
      </c>
      <c r="AG299" s="814">
        <f t="shared" si="124"/>
        <v>1</v>
      </c>
      <c r="AH299" s="175">
        <f t="shared" si="119"/>
        <v>7</v>
      </c>
      <c r="AI299" s="224">
        <f t="shared" si="120"/>
        <v>1.9330462539329103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10">
        <f>'2024'!Wh/'2024'!Env_an*'2025'!Env_an</f>
        <v>21.911866519982542</v>
      </c>
      <c r="C300" s="843"/>
      <c r="D300" s="392">
        <f t="shared" si="102"/>
        <v>23.213650676669445</v>
      </c>
      <c r="E300" s="384">
        <f t="shared" si="125"/>
        <v>24.37482972226703</v>
      </c>
      <c r="F300" s="384">
        <f t="shared" si="103"/>
        <v>24.375607161162169</v>
      </c>
      <c r="G300" s="110">
        <f t="shared" si="126"/>
        <v>0.58239606618560547</v>
      </c>
      <c r="H300" s="413" t="b">
        <f>Wh_hp&gt;='2024'!Maxi_hp</f>
        <v>0</v>
      </c>
      <c r="I300" s="389">
        <f>IF(H300,Wh_hp,'2024'!Maxi_hp)</f>
        <v>39.212191078905711</v>
      </c>
      <c r="J300" s="85">
        <f>IF(H300,An,'2024'!An_max)</f>
        <v>2021</v>
      </c>
      <c r="K300" s="196">
        <f t="shared" si="104"/>
        <v>45943</v>
      </c>
      <c r="L300" s="147">
        <f>IF(t&lt;Tvie,1-EXP((T0-t)*PertePVj)+'2024'!Pspv,1-EXP((T0-t)*PertePVj)+Pspv)</f>
        <v>5.6078390030881421E-2</v>
      </c>
      <c r="M300" s="847"/>
      <c r="N300" s="847"/>
      <c r="O300" s="48">
        <f>IF(t&lt;Tnet,'2024'!Resal+('2024'!Salim-'2024'!Resal)*(1-EXP(('2024'!Tnet-t)/('2024'!Tau_j))),Resal+(Salim-Resal)*(1-EXP((Tnet-t)/(Tau_j))))*Salcycl</f>
        <v>4.7638447481617364E-2</v>
      </c>
      <c r="P300" s="168">
        <f>(INDEX(Models!$BJ300:$BT300,,T300)*(1-R300)+INDEX(Models!$BJ300:$BT300,,T300+1)*R300-ERP_i)*Q300*Ramure*Pc/MaxiM</f>
        <v>7.9051111686823688E-5</v>
      </c>
      <c r="Q300" s="304">
        <f t="shared" si="105"/>
        <v>0.5</v>
      </c>
      <c r="R300" s="176">
        <f t="shared" si="106"/>
        <v>0.81812690590627946</v>
      </c>
      <c r="S300" s="814">
        <f t="shared" si="107"/>
        <v>-1</v>
      </c>
      <c r="T300" s="175">
        <f t="shared" si="108"/>
        <v>5</v>
      </c>
      <c r="U300" s="250">
        <f t="shared" si="109"/>
        <v>-0.18187309409372054</v>
      </c>
      <c r="V300" s="382">
        <f t="shared" si="110"/>
        <v>37.621877038322182</v>
      </c>
      <c r="W300" s="401">
        <f t="shared" si="111"/>
        <v>21.911866519982542</v>
      </c>
      <c r="X300" s="157">
        <f t="shared" si="112"/>
        <v>45943</v>
      </c>
      <c r="Y300" s="384">
        <f t="shared" si="113"/>
        <v>20.994276944940932</v>
      </c>
      <c r="Z300" s="384">
        <f t="shared" si="114"/>
        <v>22.241547097992367</v>
      </c>
      <c r="AA300" s="385">
        <f t="shared" si="115"/>
        <v>24.367801591056203</v>
      </c>
      <c r="AB300" s="196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8.7256722159303968E-2</v>
      </c>
      <c r="AD300" s="230">
        <f>(INDEX(Models!$BJ300:$BT300,,AH300)*(1-AF300)+INDEX(Models!$BJ300:$BT300,,AH300+1)*AF300-ERP_i)*AE300*Ramure*Pc/MaxiM</f>
        <v>7.9368166177886963E-4</v>
      </c>
      <c r="AE300" s="304">
        <f t="shared" si="117"/>
        <v>0.5</v>
      </c>
      <c r="AF300" s="176">
        <f t="shared" si="118"/>
        <v>0.93311944573066685</v>
      </c>
      <c r="AG300" s="814">
        <f t="shared" si="124"/>
        <v>1</v>
      </c>
      <c r="AH300" s="175">
        <f t="shared" si="119"/>
        <v>7</v>
      </c>
      <c r="AI300" s="224">
        <f t="shared" si="120"/>
        <v>1.9331194457306669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10">
        <f>'2024'!Wh/'2024'!Env_an*'2025'!Env_an</f>
        <v>17.223371108341194</v>
      </c>
      <c r="C301" s="843"/>
      <c r="D301" s="392">
        <f t="shared" si="102"/>
        <v>18.247010865233872</v>
      </c>
      <c r="E301" s="384">
        <f t="shared" si="125"/>
        <v>19.160410363653529</v>
      </c>
      <c r="F301" s="384">
        <f t="shared" si="103"/>
        <v>19.160760731657128</v>
      </c>
      <c r="G301" s="110">
        <f t="shared" si="126"/>
        <v>0.46123923034796283</v>
      </c>
      <c r="H301" s="413" t="b">
        <f>Wh_hp&gt;='2024'!Maxi_hp</f>
        <v>0</v>
      </c>
      <c r="I301" s="389">
        <f>IF(H301,Wh_hp,'2024'!Maxi_hp)</f>
        <v>43.45780557148769</v>
      </c>
      <c r="J301" s="85">
        <f>IF(H301,An,'2024'!An_max)</f>
        <v>2021</v>
      </c>
      <c r="K301" s="196">
        <f t="shared" si="104"/>
        <v>45944</v>
      </c>
      <c r="L301" s="147">
        <f>IF(t&lt;Tvie,1-EXP((T0-t)*PertePVj)+'2024'!Pspv,1-EXP((T0-t)*PertePVj)+Pspv)</f>
        <v>5.609903805357095E-2</v>
      </c>
      <c r="M301" s="847"/>
      <c r="N301" s="847"/>
      <c r="O301" s="48">
        <f>IF(t&lt;Tnet,'2024'!Resal+('2024'!Salim-'2024'!Resal)*(1-EXP(('2024'!Tnet-t)/('2024'!Tau_j))),Resal+(Salim-Resal)*(1-EXP((Tnet-t)/(Tau_j))))*Salcycl</f>
        <v>4.7671186633473021E-2</v>
      </c>
      <c r="P301" s="168">
        <f>(INDEX(Models!$BJ301:$BT301,,T301)*(1-R301)+INDEX(Models!$BJ301:$BT301,,T301+1)*R301-ERP_i)*Q301*Ramure*Pc/MaxiM</f>
        <v>7.9371232853333115E-5</v>
      </c>
      <c r="Q301" s="304">
        <f t="shared" si="105"/>
        <v>0.5</v>
      </c>
      <c r="R301" s="176">
        <f t="shared" si="106"/>
        <v>0.81819718453074797</v>
      </c>
      <c r="S301" s="814">
        <f t="shared" si="107"/>
        <v>-1</v>
      </c>
      <c r="T301" s="175">
        <f t="shared" si="108"/>
        <v>5</v>
      </c>
      <c r="U301" s="250">
        <f t="shared" si="109"/>
        <v>-0.18180281546925203</v>
      </c>
      <c r="V301" s="382">
        <f t="shared" si="110"/>
        <v>37.339232782478234</v>
      </c>
      <c r="W301" s="401">
        <f t="shared" si="111"/>
        <v>17.223371108341194</v>
      </c>
      <c r="X301" s="157">
        <f t="shared" si="112"/>
        <v>45944</v>
      </c>
      <c r="Y301" s="384">
        <f t="shared" si="113"/>
        <v>16.505286382397696</v>
      </c>
      <c r="Z301" s="384">
        <f t="shared" si="114"/>
        <v>17.486248078783557</v>
      </c>
      <c r="AA301" s="385">
        <f t="shared" si="115"/>
        <v>19.157259640633626</v>
      </c>
      <c r="AB301" s="196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8.7226022572965481E-2</v>
      </c>
      <c r="AD301" s="230">
        <f>(INDEX(Models!$BJ301:$BT301,,AH301)*(1-AF301)+INDEX(Models!$BJ301:$BT301,,AH301+1)*AF301-ERP_i)*AE301*Ramure*Pc/MaxiM</f>
        <v>7.9312582202904498E-4</v>
      </c>
      <c r="AE301" s="304">
        <f t="shared" si="117"/>
        <v>0.5</v>
      </c>
      <c r="AF301" s="176">
        <f t="shared" si="118"/>
        <v>0.93318972435513547</v>
      </c>
      <c r="AG301" s="814">
        <f t="shared" si="124"/>
        <v>1</v>
      </c>
      <c r="AH301" s="175">
        <f t="shared" si="119"/>
        <v>7</v>
      </c>
      <c r="AI301" s="224">
        <f t="shared" si="120"/>
        <v>1.9331897243551355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10">
        <f>'2024'!Wh/'2024'!Env_an*'2025'!Env_an</f>
        <v>36.761051345119462</v>
      </c>
      <c r="C302" s="843"/>
      <c r="D302" s="392">
        <f t="shared" si="102"/>
        <v>38.946729564354612</v>
      </c>
      <c r="E302" s="384">
        <f t="shared" si="125"/>
        <v>40.897678285568745</v>
      </c>
      <c r="F302" s="384">
        <f t="shared" si="103"/>
        <v>40.900899985726952</v>
      </c>
      <c r="G302" s="110">
        <f t="shared" si="126"/>
        <v>0.99212382565052204</v>
      </c>
      <c r="H302" s="413" t="b">
        <f>Wh_hp&gt;='2024'!Maxi_hp</f>
        <v>1</v>
      </c>
      <c r="I302" s="389">
        <f>IF(H302,Wh_hp,'2024'!Maxi_hp)</f>
        <v>40.900899985726952</v>
      </c>
      <c r="J302" s="85">
        <f>IF(H302,An,'2024'!An_max)</f>
        <v>2025</v>
      </c>
      <c r="K302" s="196">
        <f t="shared" si="104"/>
        <v>45945</v>
      </c>
      <c r="L302" s="147">
        <f>IF(t&lt;Tvie,1-EXP((T0-t)*PertePVj)+'2024'!Pspv,1-EXP((T0-t)*PertePVj)+Pspv)</f>
        <v>5.6119685624015904E-2</v>
      </c>
      <c r="M302" s="847"/>
      <c r="N302" s="847"/>
      <c r="O302" s="48">
        <f>IF(t&lt;Tnet,'2024'!Resal+('2024'!Salim-'2024'!Resal)*(1-EXP(('2024'!Tnet-t)/('2024'!Tau_j))),Resal+(Salim-Resal)*(1-EXP((Tnet-t)/(Tau_j))))*Salcycl</f>
        <v>4.7703165631838518E-2</v>
      </c>
      <c r="P302" s="168">
        <f>(INDEX(Models!$BJ302:$BT302,,T302)*(1-R302)+INDEX(Models!$BJ302:$BT302,,T302+1)*R302-ERP_i)*Q302*Ramure*Pc/MaxiM</f>
        <v>7.9664702096145018E-5</v>
      </c>
      <c r="Q302" s="304">
        <f t="shared" si="105"/>
        <v>0.5</v>
      </c>
      <c r="R302" s="176">
        <f t="shared" si="106"/>
        <v>0.81826466463436753</v>
      </c>
      <c r="S302" s="814">
        <f t="shared" si="107"/>
        <v>-1</v>
      </c>
      <c r="T302" s="175">
        <f t="shared" si="108"/>
        <v>5</v>
      </c>
      <c r="U302" s="250">
        <f t="shared" si="109"/>
        <v>-0.18173533536563247</v>
      </c>
      <c r="V302" s="382">
        <f t="shared" si="110"/>
        <v>37.052853126420871</v>
      </c>
      <c r="W302" s="401">
        <f t="shared" si="111"/>
        <v>36.761051345119462</v>
      </c>
      <c r="X302" s="157">
        <f t="shared" si="112"/>
        <v>45945</v>
      </c>
      <c r="Y302" s="384">
        <f t="shared" si="113"/>
        <v>35.211788817718869</v>
      </c>
      <c r="Z302" s="384">
        <f t="shared" si="114"/>
        <v>37.305353529910199</v>
      </c>
      <c r="AA302" s="385">
        <f t="shared" si="115"/>
        <v>40.868879874440836</v>
      </c>
      <c r="AB302" s="196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8.7194128037730884E-2</v>
      </c>
      <c r="AD302" s="230">
        <f>(INDEX(Models!$BJ302:$BT302,,AH302)*(1-AF302)+INDEX(Models!$BJ302:$BT302,,AH302+1)*AF302-ERP_i)*AE302*Ramure*Pc/MaxiM</f>
        <v>7.9177840935845082E-4</v>
      </c>
      <c r="AE302" s="304">
        <f t="shared" si="117"/>
        <v>0.5</v>
      </c>
      <c r="AF302" s="176">
        <f t="shared" si="118"/>
        <v>0.93325720445875504</v>
      </c>
      <c r="AG302" s="814">
        <f t="shared" si="124"/>
        <v>1</v>
      </c>
      <c r="AH302" s="175">
        <f t="shared" si="119"/>
        <v>7</v>
      </c>
      <c r="AI302" s="224">
        <f t="shared" si="120"/>
        <v>1.933257204458755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10">
        <f>'2024'!Wh/'2024'!Env_an*'2025'!Env_an</f>
        <v>33.075277522166864</v>
      </c>
      <c r="C303" s="843"/>
      <c r="D303" s="392">
        <f t="shared" si="102"/>
        <v>35.042579601119662</v>
      </c>
      <c r="E303" s="384">
        <f t="shared" si="125"/>
        <v>36.799165610840937</v>
      </c>
      <c r="F303" s="384">
        <f t="shared" si="103"/>
        <v>36.801686039212939</v>
      </c>
      <c r="G303" s="110">
        <f t="shared" si="126"/>
        <v>0.89973149491092819</v>
      </c>
      <c r="H303" s="413" t="b">
        <f>Wh_hp&gt;='2024'!Maxi_hp</f>
        <v>0</v>
      </c>
      <c r="I303" s="389">
        <f>IF(H303,Wh_hp,'2024'!Maxi_hp)</f>
        <v>39.25450354106809</v>
      </c>
      <c r="J303" s="85">
        <f>IF(H303,An,'2024'!An_max)</f>
        <v>2021</v>
      </c>
      <c r="K303" s="196">
        <f t="shared" si="104"/>
        <v>45946</v>
      </c>
      <c r="L303" s="147">
        <f>IF(t&lt;Tvie,1-EXP((T0-t)*PertePVj)+'2024'!Pspv,1-EXP((T0-t)*PertePVj)+Pspv)</f>
        <v>5.6140332742225942E-2</v>
      </c>
      <c r="M303" s="847"/>
      <c r="N303" s="847"/>
      <c r="O303" s="48">
        <f>IF(t&lt;Tnet,'2024'!Resal+('2024'!Salim-'2024'!Resal)*(1-EXP(('2024'!Tnet-t)/('2024'!Tau_j))),Resal+(Salim-Resal)*(1-EXP((Tnet-t)/(Tau_j))))*Salcycl</f>
        <v>4.773439779307901E-2</v>
      </c>
      <c r="P303" s="168">
        <f>(INDEX(Models!$BJ303:$BT303,,T303)*(1-R303)+INDEX(Models!$BJ303:$BT303,,T303+1)*R303-ERP_i)*Q303*Ramure*Pc/MaxiM</f>
        <v>7.9935623616495452E-5</v>
      </c>
      <c r="Q303" s="304">
        <f t="shared" si="105"/>
        <v>0.5</v>
      </c>
      <c r="R303" s="176">
        <f t="shared" si="106"/>
        <v>0.81832945645914734</v>
      </c>
      <c r="S303" s="814">
        <f t="shared" si="107"/>
        <v>-1</v>
      </c>
      <c r="T303" s="175">
        <f t="shared" si="108"/>
        <v>5</v>
      </c>
      <c r="U303" s="250">
        <f t="shared" si="109"/>
        <v>-0.18167054354085266</v>
      </c>
      <c r="V303" s="382">
        <f t="shared" si="110"/>
        <v>36.760854776216377</v>
      </c>
      <c r="W303" s="401">
        <f t="shared" si="111"/>
        <v>33.075277522166864</v>
      </c>
      <c r="X303" s="157">
        <f t="shared" si="112"/>
        <v>45946</v>
      </c>
      <c r="Y303" s="384">
        <f t="shared" si="113"/>
        <v>31.686580034901127</v>
      </c>
      <c r="Z303" s="384">
        <f t="shared" si="114"/>
        <v>33.571283035073606</v>
      </c>
      <c r="AA303" s="385">
        <f t="shared" si="115"/>
        <v>36.776787001595849</v>
      </c>
      <c r="AB303" s="196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8.7161066201437029E-2</v>
      </c>
      <c r="AD303" s="230">
        <f>(INDEX(Models!$BJ303:$BT303,,AH303)*(1-AF303)+INDEX(Models!$BJ303:$BT303,,AH303+1)*AF303-ERP_i)*AE303*Ramure*Pc/MaxiM</f>
        <v>7.896753272120412E-4</v>
      </c>
      <c r="AE303" s="304">
        <f t="shared" si="117"/>
        <v>0.5</v>
      </c>
      <c r="AF303" s="176">
        <f t="shared" si="118"/>
        <v>0.93332199628353485</v>
      </c>
      <c r="AG303" s="814">
        <f t="shared" si="124"/>
        <v>1</v>
      </c>
      <c r="AH303" s="175">
        <f t="shared" si="119"/>
        <v>7</v>
      </c>
      <c r="AI303" s="224">
        <f t="shared" si="120"/>
        <v>1.9333219962835348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10">
        <f>'2024'!Wh/'2024'!Env_an*'2025'!Env_an</f>
        <v>19.815172168548003</v>
      </c>
      <c r="C304" s="843"/>
      <c r="D304" s="392">
        <f t="shared" si="102"/>
        <v>20.994228609158217</v>
      </c>
      <c r="E304" s="384">
        <f t="shared" si="125"/>
        <v>22.047316452134744</v>
      </c>
      <c r="F304" s="384">
        <f t="shared" si="103"/>
        <v>22.047930674395595</v>
      </c>
      <c r="G304" s="110">
        <f t="shared" si="126"/>
        <v>0.54341484338110779</v>
      </c>
      <c r="H304" s="413" t="b">
        <f>Wh_hp&gt;='2024'!Maxi_hp</f>
        <v>0</v>
      </c>
      <c r="I304" s="389">
        <f>IF(H304,Wh_hp,'2024'!Maxi_hp)</f>
        <v>36.49082251593331</v>
      </c>
      <c r="J304" s="85">
        <f>IF(H304,An,'2024'!An_max)</f>
        <v>2021</v>
      </c>
      <c r="K304" s="196">
        <f t="shared" si="104"/>
        <v>45947</v>
      </c>
      <c r="L304" s="147">
        <f>IF(t&lt;Tvie,1-EXP((T0-t)*PertePVj)+'2024'!Pspv,1-EXP((T0-t)*PertePVj)+Pspv)</f>
        <v>5.6160979408211166E-2</v>
      </c>
      <c r="M304" s="847"/>
      <c r="N304" s="847"/>
      <c r="O304" s="48">
        <f>IF(t&lt;Tnet,'2024'!Resal+('2024'!Salim-'2024'!Resal)*(1-EXP(('2024'!Tnet-t)/('2024'!Tau_j))),Resal+(Salim-Resal)*(1-EXP((Tnet-t)/(Tau_j))))*Salcycl</f>
        <v>4.7764898973659958E-2</v>
      </c>
      <c r="P304" s="168">
        <f>(INDEX(Models!$BJ304:$BT304,,T304)*(1-R304)+INDEX(Models!$BJ304:$BT304,,T304+1)*R304-ERP_i)*Q304*Ramure*Pc/MaxiM</f>
        <v>8.0104708332155752E-5</v>
      </c>
      <c r="Q304" s="304">
        <f t="shared" si="105"/>
        <v>0.5</v>
      </c>
      <c r="R304" s="176">
        <f t="shared" si="106"/>
        <v>0.81839166599829427</v>
      </c>
      <c r="S304" s="814">
        <f t="shared" si="107"/>
        <v>-1</v>
      </c>
      <c r="T304" s="175">
        <f t="shared" si="108"/>
        <v>5</v>
      </c>
      <c r="U304" s="250">
        <f t="shared" si="109"/>
        <v>-0.18160833400170573</v>
      </c>
      <c r="V304" s="382">
        <f t="shared" si="110"/>
        <v>36.462266560103231</v>
      </c>
      <c r="W304" s="401">
        <f t="shared" si="111"/>
        <v>19.815172168548003</v>
      </c>
      <c r="X304" s="157">
        <f t="shared" si="112"/>
        <v>45947</v>
      </c>
      <c r="Y304" s="384">
        <f t="shared" si="113"/>
        <v>18.991411644470098</v>
      </c>
      <c r="Z304" s="384">
        <f t="shared" si="114"/>
        <v>20.121452101612039</v>
      </c>
      <c r="AA304" s="385">
        <f t="shared" si="115"/>
        <v>22.041893252407476</v>
      </c>
      <c r="AB304" s="196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8.7126869221439543E-2</v>
      </c>
      <c r="AD304" s="230">
        <f>(INDEX(Models!$BJ304:$BT304,,AH304)*(1-AF304)+INDEX(Models!$BJ304:$BT304,,AH304+1)*AF304-ERP_i)*AE304*Ramure*Pc/MaxiM</f>
        <v>7.8737935477477211E-4</v>
      </c>
      <c r="AE304" s="304">
        <f t="shared" si="117"/>
        <v>0.5</v>
      </c>
      <c r="AF304" s="176">
        <f t="shared" si="118"/>
        <v>0.93338420582268178</v>
      </c>
      <c r="AG304" s="814">
        <f t="shared" si="124"/>
        <v>1</v>
      </c>
      <c r="AH304" s="175">
        <f t="shared" si="119"/>
        <v>7</v>
      </c>
      <c r="AI304" s="224">
        <f t="shared" si="120"/>
        <v>1.9333842058226818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10">
        <f>'2024'!Wh/'2024'!Env_an*'2025'!Env_an</f>
        <v>33.562131371688693</v>
      </c>
      <c r="C305" s="843"/>
      <c r="D305" s="392">
        <f t="shared" si="102"/>
        <v>35.559947001250443</v>
      </c>
      <c r="E305" s="384">
        <f t="shared" si="125"/>
        <v>37.344831558841179</v>
      </c>
      <c r="F305" s="384">
        <f t="shared" si="103"/>
        <v>37.347517128184229</v>
      </c>
      <c r="G305" s="110">
        <f t="shared" si="126"/>
        <v>0.92819587163627759</v>
      </c>
      <c r="H305" s="413" t="b">
        <f>Wh_hp&gt;='2024'!Maxi_hp</f>
        <v>0</v>
      </c>
      <c r="I305" s="389">
        <f>IF(H305,Wh_hp,'2024'!Maxi_hp)</f>
        <v>40.595682285029085</v>
      </c>
      <c r="J305" s="85">
        <f>IF(H305,An,'2024'!An_max)</f>
        <v>2020</v>
      </c>
      <c r="K305" s="196">
        <f t="shared" si="104"/>
        <v>45948</v>
      </c>
      <c r="L305" s="147">
        <f>IF(t&lt;Tvie,1-EXP((T0-t)*PertePVj)+'2024'!Pspv,1-EXP((T0-t)*PertePVj)+Pspv)</f>
        <v>5.6181625621981347E-2</v>
      </c>
      <c r="M305" s="847"/>
      <c r="N305" s="847"/>
      <c r="O305" s="48">
        <f>IF(t&lt;Tnet,'2024'!Resal+('2024'!Salim-'2024'!Resal)*(1-EXP(('2024'!Tnet-t)/('2024'!Tau_j))),Resal+(Salim-Resal)*(1-EXP((Tnet-t)/(Tau_j))))*Salcycl</f>
        <v>4.7794687593608137E-2</v>
      </c>
      <c r="P305" s="168">
        <f>(INDEX(Models!$BJ305:$BT305,,T305)*(1-R305)+INDEX(Models!$BJ305:$BT305,,T305+1)*R305-ERP_i)*Q305*Ramure*Pc/MaxiM</f>
        <v>8.0125789828475893E-5</v>
      </c>
      <c r="Q305" s="304">
        <f t="shared" si="105"/>
        <v>0.5</v>
      </c>
      <c r="R305" s="176">
        <f t="shared" si="106"/>
        <v>0.81845139515255849</v>
      </c>
      <c r="S305" s="814">
        <f t="shared" si="107"/>
        <v>-1</v>
      </c>
      <c r="T305" s="175">
        <f t="shared" si="108"/>
        <v>5</v>
      </c>
      <c r="U305" s="250">
        <f t="shared" si="109"/>
        <v>-0.18154860484744145</v>
      </c>
      <c r="V305" s="382">
        <f t="shared" si="110"/>
        <v>36.158160746655653</v>
      </c>
      <c r="W305" s="401">
        <f t="shared" si="111"/>
        <v>33.562131371688693</v>
      </c>
      <c r="X305" s="157">
        <f t="shared" si="112"/>
        <v>45948</v>
      </c>
      <c r="Y305" s="384">
        <f t="shared" si="113"/>
        <v>32.156690037975245</v>
      </c>
      <c r="Z305" s="384">
        <f t="shared" si="114"/>
        <v>34.070845525937841</v>
      </c>
      <c r="AA305" s="385">
        <f t="shared" si="115"/>
        <v>37.321208291596697</v>
      </c>
      <c r="AB305" s="196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8.7091573784622428E-2</v>
      </c>
      <c r="AD305" s="230">
        <f>(INDEX(Models!$BJ305:$BT305,,AH305)*(1-AF305)+INDEX(Models!$BJ305:$BT305,,AH305+1)*AF305-ERP_i)*AE305*Ramure*Pc/MaxiM</f>
        <v>7.8494205204619543E-4</v>
      </c>
      <c r="AE305" s="304">
        <f t="shared" si="117"/>
        <v>0.5</v>
      </c>
      <c r="AF305" s="176">
        <f t="shared" si="118"/>
        <v>0.93344393497694611</v>
      </c>
      <c r="AG305" s="814">
        <f t="shared" si="124"/>
        <v>1</v>
      </c>
      <c r="AH305" s="175">
        <f t="shared" si="119"/>
        <v>7</v>
      </c>
      <c r="AI305" s="224">
        <f t="shared" si="120"/>
        <v>1.9334439349769461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10">
        <f>'2024'!Wh/'2024'!Env_an*'2025'!Env_an</f>
        <v>15.096169381097946</v>
      </c>
      <c r="C306" s="843"/>
      <c r="D306" s="392">
        <f t="shared" si="102"/>
        <v>15.99513213835337</v>
      </c>
      <c r="E306" s="384">
        <f t="shared" si="125"/>
        <v>16.798499983939379</v>
      </c>
      <c r="F306" s="384">
        <f t="shared" si="103"/>
        <v>16.798732459921858</v>
      </c>
      <c r="G306" s="110">
        <f t="shared" si="126"/>
        <v>0.42106934030633819</v>
      </c>
      <c r="H306" s="413" t="b">
        <f>Wh_hp&gt;='2024'!Maxi_hp</f>
        <v>0</v>
      </c>
      <c r="I306" s="389">
        <f>IF(H306,Wh_hp,'2024'!Maxi_hp)</f>
        <v>39.260964769799557</v>
      </c>
      <c r="J306" s="85">
        <f>IF(H306,An,'2024'!An_max)</f>
        <v>2020</v>
      </c>
      <c r="K306" s="196">
        <f t="shared" si="104"/>
        <v>45949</v>
      </c>
      <c r="L306" s="147">
        <f>IF(t&lt;Tvie,1-EXP((T0-t)*PertePVj)+'2024'!Pspv,1-EXP((T0-t)*PertePVj)+Pspv)</f>
        <v>5.6202271383546588E-2</v>
      </c>
      <c r="M306" s="847"/>
      <c r="N306" s="847"/>
      <c r="O306" s="48">
        <f>IF(t&lt;Tnet,'2024'!Resal+('2024'!Salim-'2024'!Resal)*(1-EXP(('2024'!Tnet-t)/('2024'!Tau_j))),Resal+(Salim-Resal)*(1-EXP((Tnet-t)/(Tau_j))))*Salcycl</f>
        <v>4.7823784644705866E-2</v>
      </c>
      <c r="P306" s="168">
        <f>(INDEX(Models!$BJ306:$BT306,,T306)*(1-R306)+INDEX(Models!$BJ306:$BT306,,T306+1)*R306-ERP_i)*Q306*Ramure*Pc/MaxiM</f>
        <v>7.9995493175434649E-5</v>
      </c>
      <c r="Q306" s="304">
        <f t="shared" si="105"/>
        <v>0.5</v>
      </c>
      <c r="R306" s="176">
        <f t="shared" si="106"/>
        <v>0.81850874188141653</v>
      </c>
      <c r="S306" s="814">
        <f t="shared" si="107"/>
        <v>-1</v>
      </c>
      <c r="T306" s="175">
        <f t="shared" si="108"/>
        <v>5</v>
      </c>
      <c r="U306" s="250">
        <f t="shared" si="109"/>
        <v>-0.18149125811858341</v>
      </c>
      <c r="V306" s="382">
        <f t="shared" si="110"/>
        <v>35.849607680202467</v>
      </c>
      <c r="W306" s="401">
        <f t="shared" si="111"/>
        <v>15.096169381097946</v>
      </c>
      <c r="X306" s="157">
        <f t="shared" si="112"/>
        <v>45949</v>
      </c>
      <c r="Y306" s="384">
        <f t="shared" si="113"/>
        <v>14.472420354657794</v>
      </c>
      <c r="Z306" s="384">
        <f t="shared" si="114"/>
        <v>15.334239441191949</v>
      </c>
      <c r="AA306" s="385">
        <f t="shared" si="115"/>
        <v>16.796458882936182</v>
      </c>
      <c r="AB306" s="196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8.7055221099593072E-2</v>
      </c>
      <c r="AD306" s="230">
        <f>(INDEX(Models!$BJ306:$BT306,,AH306)*(1-AF306)+INDEX(Models!$BJ306:$BT306,,AH306+1)*AF306-ERP_i)*AE306*Ramure*Pc/MaxiM</f>
        <v>7.8234280505807435E-4</v>
      </c>
      <c r="AE306" s="304">
        <f t="shared" si="117"/>
        <v>0.5</v>
      </c>
      <c r="AF306" s="176">
        <f t="shared" si="118"/>
        <v>0.93350128170580415</v>
      </c>
      <c r="AG306" s="814">
        <f t="shared" si="124"/>
        <v>1</v>
      </c>
      <c r="AH306" s="175">
        <f t="shared" si="119"/>
        <v>7</v>
      </c>
      <c r="AI306" s="224">
        <f t="shared" si="120"/>
        <v>1.9335012817058042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10">
        <f>'2024'!Wh/'2024'!Env_an*'2025'!Env_an</f>
        <v>8.8373364637013943</v>
      </c>
      <c r="C307" s="843"/>
      <c r="D307" s="392">
        <f t="shared" si="102"/>
        <v>9.3637964091420169</v>
      </c>
      <c r="E307" s="384">
        <f t="shared" si="125"/>
        <v>9.834393928868149</v>
      </c>
      <c r="F307" s="384">
        <f t="shared" si="103"/>
        <v>9.834393928868149</v>
      </c>
      <c r="G307" s="110">
        <f t="shared" si="126"/>
        <v>0.24865530577405534</v>
      </c>
      <c r="H307" s="413" t="b">
        <f>Wh_hp&gt;='2024'!Maxi_hp</f>
        <v>0</v>
      </c>
      <c r="I307" s="389">
        <f>IF(H307,Wh_hp,'2024'!Maxi_hp)</f>
        <v>33.080208038674293</v>
      </c>
      <c r="J307" s="85">
        <f>IF(H307,An,'2024'!An_max)</f>
        <v>2020</v>
      </c>
      <c r="K307" s="196">
        <f t="shared" si="104"/>
        <v>45950</v>
      </c>
      <c r="L307" s="147">
        <f>IF(t&lt;Tvie,1-EXP((T0-t)*PertePVj)+'2024'!Pspv,1-EXP((T0-t)*PertePVj)+Pspv)</f>
        <v>5.6222916692916548E-2</v>
      </c>
      <c r="M307" s="847"/>
      <c r="N307" s="847"/>
      <c r="O307" s="48">
        <f>IF(t&lt;Tnet,'2024'!Resal+('2024'!Salim-'2024'!Resal)*(1-EXP(('2024'!Tnet-t)/('2024'!Tau_j))),Resal+(Salim-Resal)*(1-EXP((Tnet-t)/(Tau_j))))*Salcycl</f>
        <v>4.7852213682912197E-2</v>
      </c>
      <c r="P307" s="168">
        <f>(INDEX(Models!$BJ307:$BT307,,T307)*(1-R307)+INDEX(Models!$BJ307:$BT307,,T307+1)*R307-ERP_i)*Q307*Ramure*Pc/MaxiM</f>
        <v>7.9710382821171797E-5</v>
      </c>
      <c r="Q307" s="304">
        <f t="shared" si="105"/>
        <v>0.5</v>
      </c>
      <c r="R307" s="176">
        <f t="shared" si="106"/>
        <v>0.81856380034921261</v>
      </c>
      <c r="S307" s="814">
        <f t="shared" si="107"/>
        <v>-1</v>
      </c>
      <c r="T307" s="175">
        <f t="shared" si="108"/>
        <v>5</v>
      </c>
      <c r="U307" s="250">
        <f t="shared" si="109"/>
        <v>-0.18143619965078739</v>
      </c>
      <c r="V307" s="382">
        <f t="shared" si="110"/>
        <v>35.537677383237899</v>
      </c>
      <c r="W307" s="401">
        <f t="shared" si="111"/>
        <v>8.8373364637013943</v>
      </c>
      <c r="X307" s="157">
        <f t="shared" si="112"/>
        <v>45950</v>
      </c>
      <c r="Y307" s="384">
        <f t="shared" si="113"/>
        <v>8.4738215014758325</v>
      </c>
      <c r="Z307" s="384">
        <f t="shared" si="114"/>
        <v>8.9786260456576965</v>
      </c>
      <c r="AA307" s="385">
        <f t="shared" si="115"/>
        <v>9.834393928868149</v>
      </c>
      <c r="AB307" s="196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8.7017856860340859E-2</v>
      </c>
      <c r="AD307" s="230">
        <f>(INDEX(Models!$BJ307:$BT307,,AH307)*(1-AF307)+INDEX(Models!$BJ307:$BT307,,AH307+1)*AF307-ERP_i)*AE307*Ramure*Pc/MaxiM</f>
        <v>7.7956094379928969E-4</v>
      </c>
      <c r="AE307" s="304">
        <f t="shared" si="117"/>
        <v>0.5</v>
      </c>
      <c r="AF307" s="176">
        <f t="shared" si="118"/>
        <v>0.93355634017360001</v>
      </c>
      <c r="AG307" s="814">
        <f t="shared" si="124"/>
        <v>1</v>
      </c>
      <c r="AH307" s="175">
        <f t="shared" si="119"/>
        <v>7</v>
      </c>
      <c r="AI307" s="224">
        <f t="shared" si="120"/>
        <v>1.9335563401736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10">
        <f>'2024'!Wh/'2024'!Env_an*'2025'!Env_an</f>
        <v>14.996788645797945</v>
      </c>
      <c r="C308" s="843"/>
      <c r="D308" s="392">
        <f t="shared" si="102"/>
        <v>15.890528567338704</v>
      </c>
      <c r="E308" s="384">
        <f t="shared" si="125"/>
        <v>16.689627967869196</v>
      </c>
      <c r="F308" s="384">
        <f t="shared" si="103"/>
        <v>16.689865649330894</v>
      </c>
      <c r="G308" s="110">
        <f t="shared" si="126"/>
        <v>0.42573393266400344</v>
      </c>
      <c r="H308" s="413" t="b">
        <f>Wh_hp&gt;='2024'!Maxi_hp</f>
        <v>0</v>
      </c>
      <c r="I308" s="389">
        <f>IF(H308,Wh_hp,'2024'!Maxi_hp)</f>
        <v>24.658725492939233</v>
      </c>
      <c r="J308" s="85">
        <f>IF(H308,An,'2024'!An_max)</f>
        <v>2019</v>
      </c>
      <c r="K308" s="196">
        <f t="shared" si="104"/>
        <v>45951</v>
      </c>
      <c r="L308" s="147">
        <f>IF(t&lt;Tvie,1-EXP((T0-t)*PertePVj)+'2024'!Pspv,1-EXP((T0-t)*PertePVj)+Pspv)</f>
        <v>5.624356155010133E-2</v>
      </c>
      <c r="M308" s="847"/>
      <c r="N308" s="847"/>
      <c r="O308" s="48">
        <f>IF(t&lt;Tnet,'2024'!Resal+('2024'!Salim-'2024'!Resal)*(1-EXP(('2024'!Tnet-t)/('2024'!Tau_j))),Resal+(Salim-Resal)*(1-EXP((Tnet-t)/(Tau_j))))*Salcycl</f>
        <v>4.788000080462642E-2</v>
      </c>
      <c r="P308" s="168">
        <f>(INDEX(Models!$BJ308:$BT308,,T308)*(1-R308)+INDEX(Models!$BJ308:$BT308,,T308+1)*R308-ERP_i)*Q308*Ramure*Pc/MaxiM</f>
        <v>7.9266994308175572E-5</v>
      </c>
      <c r="Q308" s="304">
        <f t="shared" si="105"/>
        <v>0.5</v>
      </c>
      <c r="R308" s="176">
        <f t="shared" si="106"/>
        <v>0.81861666106638387</v>
      </c>
      <c r="S308" s="814">
        <f t="shared" si="107"/>
        <v>-1</v>
      </c>
      <c r="T308" s="175">
        <f t="shared" si="108"/>
        <v>5</v>
      </c>
      <c r="U308" s="250">
        <f t="shared" si="109"/>
        <v>-0.18138333893361619</v>
      </c>
      <c r="V308" s="382">
        <f t="shared" si="110"/>
        <v>35.223439574000082</v>
      </c>
      <c r="W308" s="401">
        <f t="shared" si="111"/>
        <v>14.996788645797945</v>
      </c>
      <c r="X308" s="157">
        <f t="shared" si="112"/>
        <v>45951</v>
      </c>
      <c r="Y308" s="384">
        <f t="shared" si="113"/>
        <v>14.379132496373048</v>
      </c>
      <c r="Z308" s="384">
        <f t="shared" si="114"/>
        <v>15.236062940127317</v>
      </c>
      <c r="AA308" s="385">
        <f t="shared" si="115"/>
        <v>16.68753709304352</v>
      </c>
      <c r="AB308" s="196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8.6979531180863989E-2</v>
      </c>
      <c r="AD308" s="230">
        <f>(INDEX(Models!$BJ308:$BT308,,AH308)*(1-AF308)+INDEX(Models!$BJ308:$BT308,,AH308+1)*AF308-ERP_i)*AE308*Ramure*Pc/MaxiM</f>
        <v>7.7657574410662554E-4</v>
      </c>
      <c r="AE308" s="304">
        <f t="shared" si="117"/>
        <v>0.5</v>
      </c>
      <c r="AF308" s="176">
        <f t="shared" si="118"/>
        <v>0.93360920089077126</v>
      </c>
      <c r="AG308" s="814">
        <f t="shared" si="124"/>
        <v>1</v>
      </c>
      <c r="AH308" s="175">
        <f t="shared" si="119"/>
        <v>7</v>
      </c>
      <c r="AI308" s="224">
        <f t="shared" si="120"/>
        <v>1.9336092008907713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10">
        <f>'2024'!Wh/'2024'!Env_an*'2025'!Env_an</f>
        <v>33.044378301891413</v>
      </c>
      <c r="C309" s="843"/>
      <c r="D309" s="392">
        <f t="shared" si="102"/>
        <v>35.014437844157513</v>
      </c>
      <c r="E309" s="384">
        <f t="shared" si="125"/>
        <v>36.776285788822491</v>
      </c>
      <c r="F309" s="384">
        <f t="shared" si="103"/>
        <v>36.778958247256632</v>
      </c>
      <c r="G309" s="110">
        <f t="shared" si="126"/>
        <v>0.9466086407976515</v>
      </c>
      <c r="H309" s="413" t="b">
        <f>Wh_hp&gt;='2024'!Maxi_hp</f>
        <v>1</v>
      </c>
      <c r="I309" s="389">
        <f>IF(H309,Wh_hp,'2024'!Maxi_hp)</f>
        <v>36.778958247256632</v>
      </c>
      <c r="J309" s="85">
        <f>IF(H309,An,'2024'!An_max)</f>
        <v>2025</v>
      </c>
      <c r="K309" s="196">
        <f t="shared" si="104"/>
        <v>45952</v>
      </c>
      <c r="L309" s="147">
        <f>IF(t&lt;Tvie,1-EXP((T0-t)*PertePVj)+'2024'!Pspv,1-EXP((T0-t)*PertePVj)+Pspv)</f>
        <v>5.6264205955110703E-2</v>
      </c>
      <c r="M309" s="847"/>
      <c r="N309" s="847"/>
      <c r="O309" s="48">
        <f>IF(t&lt;Tnet,'2024'!Resal+('2024'!Salim-'2024'!Resal)*(1-EXP(('2024'!Tnet-t)/('2024'!Tau_j))),Resal+(Salim-Resal)*(1-EXP((Tnet-t)/(Tau_j))))*Salcycl</f>
        <v>4.7907174606535784E-2</v>
      </c>
      <c r="P309" s="168">
        <f>(INDEX(Models!$BJ309:$BT309,,T309)*(1-R309)+INDEX(Models!$BJ309:$BT309,,T309+1)*R309-ERP_i)*Q309*Ramure*Pc/MaxiM</f>
        <v>7.8661868270719779E-5</v>
      </c>
      <c r="Q309" s="304">
        <f t="shared" si="105"/>
        <v>0.5</v>
      </c>
      <c r="R309" s="176">
        <f t="shared" si="106"/>
        <v>0.81866741102589136</v>
      </c>
      <c r="S309" s="814">
        <f t="shared" si="107"/>
        <v>-1</v>
      </c>
      <c r="T309" s="175">
        <f t="shared" si="108"/>
        <v>5</v>
      </c>
      <c r="U309" s="250">
        <f t="shared" si="109"/>
        <v>-0.18133258897410864</v>
      </c>
      <c r="V309" s="382">
        <f t="shared" si="110"/>
        <v>34.907963676390878</v>
      </c>
      <c r="W309" s="401">
        <f t="shared" si="111"/>
        <v>33.044378301891413</v>
      </c>
      <c r="X309" s="157">
        <f t="shared" si="112"/>
        <v>45952</v>
      </c>
      <c r="Y309" s="384">
        <f t="shared" si="113"/>
        <v>31.669314425868151</v>
      </c>
      <c r="Z309" s="384">
        <f t="shared" si="114"/>
        <v>33.557394586182014</v>
      </c>
      <c r="AA309" s="385">
        <f t="shared" si="115"/>
        <v>36.752683894680082</v>
      </c>
      <c r="AB309" s="196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8.6940298500501612E-2</v>
      </c>
      <c r="AD309" s="230">
        <f>(INDEX(Models!$BJ309:$BT309,,AH309)*(1-AF309)+INDEX(Models!$BJ309:$BT309,,AH309+1)*AF309-ERP_i)*AE309*Ramure*Pc/MaxiM</f>
        <v>7.7336643850823552E-4</v>
      </c>
      <c r="AE309" s="304">
        <f t="shared" si="117"/>
        <v>0.5</v>
      </c>
      <c r="AF309" s="176">
        <f t="shared" si="118"/>
        <v>0.93365995085027875</v>
      </c>
      <c r="AG309" s="814">
        <f t="shared" si="124"/>
        <v>1</v>
      </c>
      <c r="AH309" s="175">
        <f t="shared" si="119"/>
        <v>7</v>
      </c>
      <c r="AI309" s="224">
        <f t="shared" si="120"/>
        <v>1.9336599508502788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10">
        <f>'2024'!Wh/'2024'!Env_an*'2025'!Env_an</f>
        <v>18.489287185955504</v>
      </c>
      <c r="C310" s="843"/>
      <c r="D310" s="392">
        <f t="shared" si="102"/>
        <v>19.592021156121259</v>
      </c>
      <c r="E310" s="384">
        <f t="shared" si="125"/>
        <v>20.578422444897093</v>
      </c>
      <c r="F310" s="384">
        <f t="shared" si="103"/>
        <v>20.578960154907943</v>
      </c>
      <c r="G310" s="110">
        <f t="shared" si="126"/>
        <v>0.53446345115737648</v>
      </c>
      <c r="H310" s="413" t="b">
        <f>Wh_hp&gt;='2024'!Maxi_hp</f>
        <v>0</v>
      </c>
      <c r="I310" s="389">
        <f>IF(H310,Wh_hp,'2024'!Maxi_hp)</f>
        <v>38.121231488419959</v>
      </c>
      <c r="J310" s="85">
        <f>IF(H310,An,'2024'!An_max)</f>
        <v>2018</v>
      </c>
      <c r="K310" s="196">
        <f t="shared" si="104"/>
        <v>45953</v>
      </c>
      <c r="L310" s="147">
        <f>IF(t&lt;Tvie,1-EXP((T0-t)*PertePVj)+'2024'!Pspv,1-EXP((T0-t)*PertePVj)+Pspv)</f>
        <v>5.628484990795455E-2</v>
      </c>
      <c r="M310" s="847"/>
      <c r="N310" s="847"/>
      <c r="O310" s="48">
        <f>IF(t&lt;Tnet,'2024'!Resal+('2024'!Salim-'2024'!Resal)*(1-EXP(('2024'!Tnet-t)/('2024'!Tau_j))),Resal+(Salim-Resal)*(1-EXP((Tnet-t)/(Tau_j))))*Salcycl</f>
        <v>4.7933766128920877E-2</v>
      </c>
      <c r="P310" s="168">
        <f>(INDEX(Models!$BJ310:$BT310,,T310)*(1-R310)+INDEX(Models!$BJ310:$BT310,,T310+1)*R310-ERP_i)*Q310*Ramure*Pc/MaxiM</f>
        <v>7.8000292277686712E-5</v>
      </c>
      <c r="Q310" s="304">
        <f t="shared" si="105"/>
        <v>0.5</v>
      </c>
      <c r="R310" s="176">
        <f t="shared" si="106"/>
        <v>0.81871613383498443</v>
      </c>
      <c r="S310" s="814">
        <f t="shared" si="107"/>
        <v>-1</v>
      </c>
      <c r="T310" s="175">
        <f t="shared" si="108"/>
        <v>5</v>
      </c>
      <c r="U310" s="250">
        <f t="shared" si="109"/>
        <v>-0.18128386616501557</v>
      </c>
      <c r="V310" s="382">
        <f t="shared" si="110"/>
        <v>34.592315077412103</v>
      </c>
      <c r="W310" s="401">
        <f t="shared" si="111"/>
        <v>18.489287185955504</v>
      </c>
      <c r="X310" s="157">
        <f t="shared" si="112"/>
        <v>45953</v>
      </c>
      <c r="Y310" s="384">
        <f t="shared" si="113"/>
        <v>17.728428320458871</v>
      </c>
      <c r="Z310" s="384">
        <f t="shared" si="114"/>
        <v>18.785783314731916</v>
      </c>
      <c r="AA310" s="385">
        <f t="shared" si="115"/>
        <v>20.573636829124855</v>
      </c>
      <c r="AB310" s="196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8.6900217459947707E-2</v>
      </c>
      <c r="AD310" s="230">
        <f>(INDEX(Models!$BJ310:$BT310,,AH310)*(1-AF310)+INDEX(Models!$BJ310:$BT310,,AH310+1)*AF310-ERP_i)*AE310*Ramure*Pc/MaxiM</f>
        <v>7.7220241132251006E-4</v>
      </c>
      <c r="AE310" s="304">
        <f t="shared" si="117"/>
        <v>0.5</v>
      </c>
      <c r="AF310" s="176">
        <f t="shared" si="118"/>
        <v>0.93370867365937182</v>
      </c>
      <c r="AG310" s="814">
        <f t="shared" si="124"/>
        <v>1</v>
      </c>
      <c r="AH310" s="175">
        <f t="shared" si="119"/>
        <v>7</v>
      </c>
      <c r="AI310" s="224">
        <f t="shared" si="120"/>
        <v>1.9337086736593718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10">
        <f>'2024'!Wh/'2024'!Env_an*'2025'!Env_an</f>
        <v>25.37582496485129</v>
      </c>
      <c r="C311" s="843"/>
      <c r="D311" s="392">
        <f t="shared" si="102"/>
        <v>26.889872503877623</v>
      </c>
      <c r="E311" s="384">
        <f t="shared" si="125"/>
        <v>28.244471979158707</v>
      </c>
      <c r="F311" s="384">
        <f t="shared" si="103"/>
        <v>28.245846299309289</v>
      </c>
      <c r="G311" s="110">
        <f t="shared" si="126"/>
        <v>0.74028304659140942</v>
      </c>
      <c r="H311" s="413" t="b">
        <f>Wh_hp&gt;='2024'!Maxi_hp</f>
        <v>0</v>
      </c>
      <c r="I311" s="389">
        <f>IF(H311,Wh_hp,'2024'!Maxi_hp)</f>
        <v>39.472897554741962</v>
      </c>
      <c r="J311" s="85">
        <f>IF(H311,An,'2024'!An_max)</f>
        <v>2021</v>
      </c>
      <c r="K311" s="196">
        <f t="shared" si="104"/>
        <v>45954</v>
      </c>
      <c r="L311" s="147">
        <f>IF(t&lt;Tvie,1-EXP((T0-t)*PertePVj)+'2024'!Pspv,1-EXP((T0-t)*PertePVj)+Pspv)</f>
        <v>5.6305493408642972E-2</v>
      </c>
      <c r="M311" s="847"/>
      <c r="N311" s="847"/>
      <c r="O311" s="48">
        <f>IF(t&lt;Tnet,'2024'!Resal+('2024'!Salim-'2024'!Resal)*(1-EXP(('2024'!Tnet-t)/('2024'!Tau_j))),Resal+(Salim-Resal)*(1-EXP((Tnet-t)/(Tau_j))))*Salcycl</f>
        <v>4.7959808782427588E-2</v>
      </c>
      <c r="P311" s="168">
        <f>(INDEX(Models!$BJ311:$BT311,,T311)*(1-R311)+INDEX(Models!$BJ311:$BT311,,T311+1)*R311-ERP_i)*Q311*Ramure*Pc/MaxiM</f>
        <v>7.7353228261206109E-5</v>
      </c>
      <c r="Q311" s="304">
        <f t="shared" si="105"/>
        <v>0.5</v>
      </c>
      <c r="R311" s="176">
        <f t="shared" si="106"/>
        <v>0.81876290984242006</v>
      </c>
      <c r="S311" s="814">
        <f t="shared" si="107"/>
        <v>-1</v>
      </c>
      <c r="T311" s="175">
        <f t="shared" si="108"/>
        <v>5</v>
      </c>
      <c r="U311" s="250">
        <f t="shared" si="109"/>
        <v>-0.18123709015757994</v>
      </c>
      <c r="V311" s="382">
        <f t="shared" si="110"/>
        <v>34.277560213836551</v>
      </c>
      <c r="W311" s="401">
        <f t="shared" si="111"/>
        <v>25.37582496485129</v>
      </c>
      <c r="X311" s="157">
        <f t="shared" si="112"/>
        <v>45954</v>
      </c>
      <c r="Y311" s="384">
        <f t="shared" si="113"/>
        <v>24.328327566966536</v>
      </c>
      <c r="Z311" s="384">
        <f t="shared" si="114"/>
        <v>25.779876217401043</v>
      </c>
      <c r="AA311" s="385">
        <f t="shared" si="115"/>
        <v>28.232097912324203</v>
      </c>
      <c r="AB311" s="196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8.6859350748166933E-2</v>
      </c>
      <c r="AD311" s="230">
        <f>(INDEX(Models!$BJ311:$BT311,,AH311)*(1-AF311)+INDEX(Models!$BJ311:$BT311,,AH311+1)*AF311-ERP_i)*AE311*Ramure*Pc/MaxiM</f>
        <v>7.7382414587408852E-4</v>
      </c>
      <c r="AE311" s="304">
        <f t="shared" si="117"/>
        <v>0.5</v>
      </c>
      <c r="AF311" s="176">
        <f t="shared" si="118"/>
        <v>0.93375544966680746</v>
      </c>
      <c r="AG311" s="814">
        <f t="shared" si="124"/>
        <v>1</v>
      </c>
      <c r="AH311" s="175">
        <f t="shared" si="119"/>
        <v>7</v>
      </c>
      <c r="AI311" s="224">
        <f t="shared" si="120"/>
        <v>1.9337554496668075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10">
        <f>'2024'!Wh/'2024'!Env_an*'2025'!Env_an</f>
        <v>21.601115713345603</v>
      </c>
      <c r="C312" s="843"/>
      <c r="D312" s="392">
        <f t="shared" si="102"/>
        <v>22.890446104175233</v>
      </c>
      <c r="E312" s="384">
        <f t="shared" si="125"/>
        <v>24.04421593917581</v>
      </c>
      <c r="F312" s="384">
        <f t="shared" si="103"/>
        <v>24.045101373893882</v>
      </c>
      <c r="G312" s="110">
        <f t="shared" si="126"/>
        <v>0.63596059323821563</v>
      </c>
      <c r="H312" s="413" t="b">
        <f>Wh_hp&gt;='2024'!Maxi_hp</f>
        <v>0</v>
      </c>
      <c r="I312" s="389">
        <f>IF(H312,Wh_hp,'2024'!Maxi_hp)</f>
        <v>37.235103928768822</v>
      </c>
      <c r="J312" s="85">
        <f>IF(H312,An,'2024'!An_max)</f>
        <v>2018</v>
      </c>
      <c r="K312" s="196">
        <f t="shared" si="104"/>
        <v>45955</v>
      </c>
      <c r="L312" s="147">
        <f>IF(t&lt;Tvie,1-EXP((T0-t)*PertePVj)+'2024'!Pspv,1-EXP((T0-t)*PertePVj)+Pspv)</f>
        <v>5.632613645718574E-2</v>
      </c>
      <c r="M312" s="847"/>
      <c r="N312" s="847"/>
      <c r="O312" s="48">
        <f>IF(t&lt;Tnet,'2024'!Resal+('2024'!Salim-'2024'!Resal)*(1-EXP(('2024'!Tnet-t)/('2024'!Tau_j))),Resal+(Salim-Resal)*(1-EXP((Tnet-t)/(Tau_j))))*Salcycl</f>
        <v>4.7985338258450375E-2</v>
      </c>
      <c r="P312" s="168">
        <f>(INDEX(Models!$BJ312:$BT312,,T312)*(1-R312)+INDEX(Models!$BJ312:$BT312,,T312+1)*R312-ERP_i)*Q312*Ramure*Pc/MaxiM</f>
        <v>7.6719689270901133E-5</v>
      </c>
      <c r="Q312" s="304">
        <f t="shared" si="105"/>
        <v>0.5</v>
      </c>
      <c r="R312" s="176">
        <f t="shared" si="106"/>
        <v>0.81880781626126498</v>
      </c>
      <c r="S312" s="814">
        <f t="shared" si="107"/>
        <v>-1</v>
      </c>
      <c r="T312" s="175">
        <f t="shared" si="108"/>
        <v>5</v>
      </c>
      <c r="U312" s="250">
        <f t="shared" si="109"/>
        <v>-0.18119218373873502</v>
      </c>
      <c r="V312" s="382">
        <f t="shared" si="110"/>
        <v>33.964767814216593</v>
      </c>
      <c r="W312" s="401">
        <f t="shared" si="111"/>
        <v>21.601115713345603</v>
      </c>
      <c r="X312" s="157">
        <f t="shared" si="112"/>
        <v>45955</v>
      </c>
      <c r="Y312" s="384">
        <f t="shared" si="113"/>
        <v>20.713034866539335</v>
      </c>
      <c r="Z312" s="384">
        <f t="shared" si="114"/>
        <v>21.94935736460565</v>
      </c>
      <c r="AA312" s="385">
        <f t="shared" si="115"/>
        <v>24.036119540475976</v>
      </c>
      <c r="AB312" s="196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8.6817764920676777E-2</v>
      </c>
      <c r="AD312" s="230">
        <f>(INDEX(Models!$BJ312:$BT312,,AH312)*(1-AF312)+INDEX(Models!$BJ312:$BT312,,AH312+1)*AF312-ERP_i)*AE312*Ramure*Pc/MaxiM</f>
        <v>7.7824311024041984E-4</v>
      </c>
      <c r="AE312" s="304">
        <f t="shared" si="117"/>
        <v>0.5</v>
      </c>
      <c r="AF312" s="176">
        <f t="shared" si="118"/>
        <v>0.93380035608565248</v>
      </c>
      <c r="AG312" s="814">
        <f t="shared" si="124"/>
        <v>1</v>
      </c>
      <c r="AH312" s="175">
        <f t="shared" si="119"/>
        <v>7</v>
      </c>
      <c r="AI312" s="224">
        <f t="shared" si="120"/>
        <v>1.9338003560856525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10">
        <f>'2024'!Wh/'2024'!Env_an*'2025'!Env_an</f>
        <v>17.282771919516055</v>
      </c>
      <c r="C313" s="843"/>
      <c r="D313" s="392">
        <f t="shared" si="102"/>
        <v>18.314749036921469</v>
      </c>
      <c r="E313" s="384">
        <f t="shared" si="125"/>
        <v>19.238391775666528</v>
      </c>
      <c r="F313" s="384">
        <f t="shared" si="103"/>
        <v>19.238838364834052</v>
      </c>
      <c r="G313" s="110">
        <f t="shared" si="126"/>
        <v>0.51350035990121479</v>
      </c>
      <c r="H313" s="413" t="b">
        <f>Wh_hp&gt;='2024'!Maxi_hp</f>
        <v>0</v>
      </c>
      <c r="I313" s="389">
        <f>IF(H313,Wh_hp,'2024'!Maxi_hp)</f>
        <v>37.759644135743372</v>
      </c>
      <c r="J313" s="85">
        <f>IF(H313,An,'2024'!An_max)</f>
        <v>2019</v>
      </c>
      <c r="K313" s="196">
        <f t="shared" si="104"/>
        <v>45956</v>
      </c>
      <c r="L313" s="147">
        <f>IF(t&lt;Tvie,1-EXP((T0-t)*PertePVj)+'2024'!Pspv,1-EXP((T0-t)*PertePVj)+Pspv)</f>
        <v>5.6346779053592734E-2</v>
      </c>
      <c r="M313" s="847"/>
      <c r="N313" s="847"/>
      <c r="O313" s="48">
        <f>IF(t&lt;Tnet,'2024'!Resal+('2024'!Salim-'2024'!Resal)*(1-EXP(('2024'!Tnet-t)/('2024'!Tau_j))),Resal+(Salim-Resal)*(1-EXP((Tnet-t)/(Tau_j))))*Salcycl</f>
        <v>4.8010392423410229E-2</v>
      </c>
      <c r="P313" s="168">
        <f>(INDEX(Models!$BJ313:$BT313,,T313)*(1-R313)+INDEX(Models!$BJ313:$BT313,,T313+1)*R313-ERP_i)*Q313*Ramure*Pc/MaxiM</f>
        <v>7.6098049566643869E-5</v>
      </c>
      <c r="Q313" s="304">
        <f t="shared" si="105"/>
        <v>0.5</v>
      </c>
      <c r="R313" s="176">
        <f t="shared" si="106"/>
        <v>0.81885092728740272</v>
      </c>
      <c r="S313" s="814">
        <f t="shared" si="107"/>
        <v>-1</v>
      </c>
      <c r="T313" s="175">
        <f t="shared" si="108"/>
        <v>5</v>
      </c>
      <c r="U313" s="250">
        <f t="shared" si="109"/>
        <v>-0.18114907271259734</v>
      </c>
      <c r="V313" s="382">
        <f t="shared" si="110"/>
        <v>33.655006394909954</v>
      </c>
      <c r="W313" s="401">
        <f t="shared" si="111"/>
        <v>17.282771919516055</v>
      </c>
      <c r="X313" s="157">
        <f t="shared" si="112"/>
        <v>45956</v>
      </c>
      <c r="Y313" s="384">
        <f t="shared" si="113"/>
        <v>16.575427735005952</v>
      </c>
      <c r="Z313" s="384">
        <f t="shared" si="114"/>
        <v>17.565168397753308</v>
      </c>
      <c r="AA313" s="385">
        <f t="shared" si="115"/>
        <v>19.234228799635616</v>
      </c>
      <c r="AB313" s="196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8.6775530189904526E-2</v>
      </c>
      <c r="AD313" s="230">
        <f>(INDEX(Models!$BJ313:$BT313,,AH313)*(1-AF313)+INDEX(Models!$BJ313:$BT313,,AH313+1)*AF313-ERP_i)*AE313*Ramure*Pc/MaxiM</f>
        <v>7.8546222447486438E-4</v>
      </c>
      <c r="AE313" s="304">
        <f t="shared" si="117"/>
        <v>0.5</v>
      </c>
      <c r="AF313" s="176">
        <f t="shared" si="118"/>
        <v>0.93384346711179012</v>
      </c>
      <c r="AG313" s="814">
        <f t="shared" si="124"/>
        <v>1</v>
      </c>
      <c r="AH313" s="175">
        <f t="shared" si="119"/>
        <v>7</v>
      </c>
      <c r="AI313" s="224">
        <f t="shared" si="120"/>
        <v>1.9338434671117901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10">
        <f>'2024'!Wh/'2024'!Env_an*'2025'!Env_an</f>
        <v>13.539142894891592</v>
      </c>
      <c r="C314" s="843"/>
      <c r="D314" s="392">
        <f t="shared" si="102"/>
        <v>14.347896839338212</v>
      </c>
      <c r="E314" s="384">
        <f t="shared" si="125"/>
        <v>15.071874499696134</v>
      </c>
      <c r="F314" s="384">
        <f t="shared" si="103"/>
        <v>15.072046752207619</v>
      </c>
      <c r="G314" s="110">
        <f t="shared" si="126"/>
        <v>0.40595327724837921</v>
      </c>
      <c r="H314" s="413" t="b">
        <f>Wh_hp&gt;='2024'!Maxi_hp</f>
        <v>0</v>
      </c>
      <c r="I314" s="389">
        <f>IF(H314,Wh_hp,'2024'!Maxi_hp)</f>
        <v>36.161643424321802</v>
      </c>
      <c r="J314" s="85">
        <f>IF(H314,An,'2024'!An_max)</f>
        <v>2021</v>
      </c>
      <c r="K314" s="196">
        <f t="shared" si="104"/>
        <v>45957</v>
      </c>
      <c r="L314" s="147">
        <f>IF(t&lt;Tvie,1-EXP((T0-t)*PertePVj)+'2024'!Pspv,1-EXP((T0-t)*PertePVj)+Pspv)</f>
        <v>5.6367421197873836E-2</v>
      </c>
      <c r="M314" s="847"/>
      <c r="N314" s="847"/>
      <c r="O314" s="48">
        <f>IF(t&lt;Tnet,'2024'!Resal+('2024'!Salim-'2024'!Resal)*(1-EXP(('2024'!Tnet-t)/('2024'!Tau_j))),Resal+(Salim-Resal)*(1-EXP((Tnet-t)/(Tau_j))))*Salcycl</f>
        <v>4.8035011197347662E-2</v>
      </c>
      <c r="P314" s="168">
        <f>(INDEX(Models!$BJ314:$BT314,,T314)*(1-R314)+INDEX(Models!$BJ314:$BT314,,T314+1)*R314-ERP_i)*Q314*Ramure*Pc/MaxiM</f>
        <v>7.5486691287242918E-5</v>
      </c>
      <c r="Q314" s="304">
        <f t="shared" si="105"/>
        <v>0.5</v>
      </c>
      <c r="R314" s="176">
        <f t="shared" si="106"/>
        <v>0.8188923142138691</v>
      </c>
      <c r="S314" s="814">
        <f t="shared" si="107"/>
        <v>-1</v>
      </c>
      <c r="T314" s="175">
        <f t="shared" si="108"/>
        <v>5</v>
      </c>
      <c r="U314" s="250">
        <f t="shared" si="109"/>
        <v>-0.18110768578613096</v>
      </c>
      <c r="V314" s="382">
        <f t="shared" si="110"/>
        <v>33.349344252616348</v>
      </c>
      <c r="W314" s="401">
        <f t="shared" si="111"/>
        <v>13.539142894891592</v>
      </c>
      <c r="X314" s="157">
        <f t="shared" si="112"/>
        <v>45957</v>
      </c>
      <c r="Y314" s="384">
        <f t="shared" si="113"/>
        <v>12.987356135249277</v>
      </c>
      <c r="Z314" s="384">
        <f t="shared" si="114"/>
        <v>13.763149372964415</v>
      </c>
      <c r="AA314" s="385">
        <f t="shared" si="115"/>
        <v>15.070231549088449</v>
      </c>
      <c r="AB314" s="196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8.6732720188569062E-2</v>
      </c>
      <c r="AD314" s="230">
        <f>(INDEX(Models!$BJ314:$BT314,,AH314)*(1-AF314)+INDEX(Models!$BJ314:$BT314,,AH314+1)*AF314-ERP_i)*AE314*Ramure*Pc/MaxiM</f>
        <v>7.9548144929199207E-4</v>
      </c>
      <c r="AE314" s="304">
        <f t="shared" si="117"/>
        <v>0.5</v>
      </c>
      <c r="AF314" s="176">
        <f t="shared" si="118"/>
        <v>0.9338848540382565</v>
      </c>
      <c r="AG314" s="814">
        <f t="shared" si="124"/>
        <v>1</v>
      </c>
      <c r="AH314" s="175">
        <f t="shared" si="119"/>
        <v>7</v>
      </c>
      <c r="AI314" s="224">
        <f t="shared" si="120"/>
        <v>1.9338848540382565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10">
        <f>'2024'!Wh/'2024'!Env_an*'2025'!Env_an</f>
        <v>17.838716797381196</v>
      </c>
      <c r="C315" s="843"/>
      <c r="D315" s="392">
        <f t="shared" si="102"/>
        <v>18.904717178564493</v>
      </c>
      <c r="E315" s="384">
        <f t="shared" si="125"/>
        <v>19.859131893267076</v>
      </c>
      <c r="F315" s="384">
        <f t="shared" si="103"/>
        <v>19.859641287375705</v>
      </c>
      <c r="G315" s="110">
        <f t="shared" si="126"/>
        <v>0.53974158805514783</v>
      </c>
      <c r="H315" s="413" t="b">
        <f>Wh_hp&gt;='2024'!Maxi_hp</f>
        <v>0</v>
      </c>
      <c r="I315" s="389">
        <f>IF(H315,Wh_hp,'2024'!Maxi_hp)</f>
        <v>36.883267903412836</v>
      </c>
      <c r="J315" s="85">
        <f>IF(H315,An,'2024'!An_max)</f>
        <v>2021</v>
      </c>
      <c r="K315" s="196">
        <f t="shared" si="104"/>
        <v>45958</v>
      </c>
      <c r="L315" s="147">
        <f>IF(t&lt;Tvie,1-EXP((T0-t)*PertePVj)+'2024'!Pspv,1-EXP((T0-t)*PertePVj)+Pspv)</f>
        <v>5.6388062890039149E-2</v>
      </c>
      <c r="M315" s="847"/>
      <c r="N315" s="847"/>
      <c r="O315" s="48">
        <f>IF(t&lt;Tnet,'2024'!Resal+('2024'!Salim-'2024'!Resal)*(1-EXP(('2024'!Tnet-t)/('2024'!Tau_j))),Resal+(Salim-Resal)*(1-EXP((Tnet-t)/(Tau_j))))*Salcycl</f>
        <v>4.8059236417386561E-2</v>
      </c>
      <c r="P315" s="168">
        <f>(INDEX(Models!$BJ315:$BT315,,T315)*(1-R315)+INDEX(Models!$BJ315:$BT315,,T315+1)*R315-ERP_i)*Q315*Ramure*Pc/MaxiM</f>
        <v>7.4884001033701184E-5</v>
      </c>
      <c r="Q315" s="304">
        <f t="shared" si="105"/>
        <v>0.5</v>
      </c>
      <c r="R315" s="176">
        <f t="shared" si="106"/>
        <v>0.8189320455411383</v>
      </c>
      <c r="S315" s="814">
        <f t="shared" si="107"/>
        <v>-1</v>
      </c>
      <c r="T315" s="175">
        <f t="shared" si="108"/>
        <v>5</v>
      </c>
      <c r="U315" s="250">
        <f t="shared" si="109"/>
        <v>-0.1810679544588617</v>
      </c>
      <c r="V315" s="382">
        <f t="shared" si="110"/>
        <v>33.048849473718747</v>
      </c>
      <c r="W315" s="401">
        <f t="shared" si="111"/>
        <v>17.838716797381196</v>
      </c>
      <c r="X315" s="157">
        <f t="shared" si="112"/>
        <v>45958</v>
      </c>
      <c r="Y315" s="384">
        <f t="shared" si="113"/>
        <v>17.110514242616329</v>
      </c>
      <c r="Z315" s="384">
        <f t="shared" si="114"/>
        <v>18.132998926466961</v>
      </c>
      <c r="AA315" s="385">
        <f t="shared" si="115"/>
        <v>19.854142893890451</v>
      </c>
      <c r="AB315" s="196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8.6689411707272637E-2</v>
      </c>
      <c r="AD315" s="230">
        <f>(INDEX(Models!$BJ315:$BT315,,AH315)*(1-AF315)+INDEX(Models!$BJ315:$BT315,,AH315+1)*AF315-ERP_i)*AE315*Ramure*Pc/MaxiM</f>
        <v>8.0829694819537575E-4</v>
      </c>
      <c r="AE315" s="304">
        <f t="shared" si="117"/>
        <v>0.5</v>
      </c>
      <c r="AF315" s="176">
        <f t="shared" si="118"/>
        <v>0.93392458536552581</v>
      </c>
      <c r="AG315" s="814">
        <f t="shared" si="124"/>
        <v>1</v>
      </c>
      <c r="AH315" s="175">
        <f t="shared" si="119"/>
        <v>7</v>
      </c>
      <c r="AI315" s="224">
        <f t="shared" si="120"/>
        <v>1.9339245853655258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10">
        <f>'2024'!Wh/'2024'!Env_an*'2025'!Env_an</f>
        <v>26.338953321345926</v>
      </c>
      <c r="C316" s="843"/>
      <c r="D316" s="392">
        <f t="shared" si="102"/>
        <v>27.913518741251117</v>
      </c>
      <c r="E316" s="384">
        <f t="shared" si="125"/>
        <v>29.323483051879364</v>
      </c>
      <c r="F316" s="384">
        <f t="shared" si="103"/>
        <v>29.325051984295168</v>
      </c>
      <c r="G316" s="110">
        <f t="shared" si="126"/>
        <v>0.80411343351614784</v>
      </c>
      <c r="H316" s="413" t="b">
        <f>Wh_hp&gt;='2024'!Maxi_hp</f>
        <v>0</v>
      </c>
      <c r="I316" s="389">
        <f>IF(H316,Wh_hp,'2024'!Maxi_hp)</f>
        <v>30.389582180422003</v>
      </c>
      <c r="J316" s="85">
        <f>IF(H316,An,'2024'!An_max)</f>
        <v>2019</v>
      </c>
      <c r="K316" s="196">
        <f t="shared" si="104"/>
        <v>45959</v>
      </c>
      <c r="L316" s="147">
        <f>IF(t&lt;Tvie,1-EXP((T0-t)*PertePVj)+'2024'!Pspv,1-EXP((T0-t)*PertePVj)+Pspv)</f>
        <v>5.6408704130098332E-2</v>
      </c>
      <c r="M316" s="847"/>
      <c r="N316" s="847"/>
      <c r="O316" s="48">
        <f>IF(t&lt;Tnet,'2024'!Resal+('2024'!Salim-'2024'!Resal)*(1-EXP(('2024'!Tnet-t)/('2024'!Tau_j))),Resal+(Salim-Resal)*(1-EXP((Tnet-t)/(Tau_j))))*Salcycl</f>
        <v>4.8083111686757177E-2</v>
      </c>
      <c r="P316" s="168">
        <f>(INDEX(Models!$BJ316:$BT316,,T316)*(1-R316)+INDEX(Models!$BJ316:$BT316,,T316+1)*R316-ERP_i)*Q316*Ramure*Pc/MaxiM</f>
        <v>7.4288367367004565E-5</v>
      </c>
      <c r="Q316" s="304">
        <f t="shared" si="105"/>
        <v>0.5</v>
      </c>
      <c r="R316" s="176">
        <f t="shared" si="106"/>
        <v>0.81897018708348002</v>
      </c>
      <c r="S316" s="814">
        <f t="shared" si="107"/>
        <v>-1</v>
      </c>
      <c r="T316" s="175">
        <f t="shared" si="108"/>
        <v>5</v>
      </c>
      <c r="U316" s="250">
        <f t="shared" si="109"/>
        <v>-0.18102981291651998</v>
      </c>
      <c r="V316" s="382">
        <f t="shared" si="110"/>
        <v>32.75458994745118</v>
      </c>
      <c r="W316" s="401">
        <f t="shared" si="111"/>
        <v>26.338953321345926</v>
      </c>
      <c r="X316" s="157">
        <f t="shared" si="112"/>
        <v>45959</v>
      </c>
      <c r="Y316" s="384">
        <f t="shared" si="113"/>
        <v>25.258306669855298</v>
      </c>
      <c r="Z316" s="384">
        <f t="shared" si="114"/>
        <v>26.768270097881238</v>
      </c>
      <c r="AA316" s="385">
        <f t="shared" si="115"/>
        <v>29.307651631911099</v>
      </c>
      <c r="AB316" s="196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8.6645684407716278E-2</v>
      </c>
      <c r="AD316" s="230">
        <f>(INDEX(Models!$BJ316:$BT316,,AH316)*(1-AF316)+INDEX(Models!$BJ316:$BT316,,AH316+1)*AF316-ERP_i)*AE316*Ramure*Pc/MaxiM</f>
        <v>8.2390022489424236E-4</v>
      </c>
      <c r="AE316" s="304">
        <f t="shared" si="117"/>
        <v>0.5</v>
      </c>
      <c r="AF316" s="176">
        <f t="shared" si="118"/>
        <v>0.93396272690786741</v>
      </c>
      <c r="AG316" s="814">
        <f t="shared" si="124"/>
        <v>1</v>
      </c>
      <c r="AH316" s="175">
        <f t="shared" si="119"/>
        <v>7</v>
      </c>
      <c r="AI316" s="224">
        <f t="shared" si="120"/>
        <v>1.9339627269078674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10">
        <f>'2024'!Wh/'2024'!Env_an*'2025'!Env_an</f>
        <v>22.117381472290255</v>
      </c>
      <c r="C317" s="843"/>
      <c r="D317" s="392">
        <f t="shared" si="102"/>
        <v>23.440090419481738</v>
      </c>
      <c r="E317" s="384">
        <f t="shared" si="125"/>
        <v>24.624703190381815</v>
      </c>
      <c r="F317" s="384">
        <f t="shared" si="103"/>
        <v>24.625691777365358</v>
      </c>
      <c r="G317" s="110">
        <f t="shared" si="126"/>
        <v>0.68124652125272633</v>
      </c>
      <c r="H317" s="413" t="b">
        <f>Wh_hp&gt;='2024'!Maxi_hp</f>
        <v>0</v>
      </c>
      <c r="I317" s="389">
        <f>IF(H317,Wh_hp,'2024'!Maxi_hp)</f>
        <v>32.225870251285528</v>
      </c>
      <c r="J317" s="85">
        <f>IF(H317,An,'2024'!An_max)</f>
        <v>2018</v>
      </c>
      <c r="K317" s="196">
        <f t="shared" si="104"/>
        <v>45960</v>
      </c>
      <c r="L317" s="147">
        <f>IF(t&lt;Tvie,1-EXP((T0-t)*PertePVj)+'2024'!Pspv,1-EXP((T0-t)*PertePVj)+Pspv)</f>
        <v>5.6429344918061376E-2</v>
      </c>
      <c r="M317" s="847"/>
      <c r="N317" s="847"/>
      <c r="O317" s="48">
        <f>IF(t&lt;Tnet,'2024'!Resal+('2024'!Salim-'2024'!Resal)*(1-EXP(('2024'!Tnet-t)/('2024'!Tau_j))),Resal+(Salim-Resal)*(1-EXP((Tnet-t)/(Tau_j))))*Salcycl</f>
        <v>4.8106682210195192E-2</v>
      </c>
      <c r="P317" s="168">
        <f>(INDEX(Models!$BJ317:$BT317,,T317)*(1-R317)+INDEX(Models!$BJ317:$BT317,,T317+1)*R317-ERP_i)*Q317*Ramure*Pc/MaxiM</f>
        <v>7.3704253895843583E-5</v>
      </c>
      <c r="Q317" s="304">
        <f t="shared" si="105"/>
        <v>0.5</v>
      </c>
      <c r="R317" s="176">
        <f t="shared" si="106"/>
        <v>0.81900680207150556</v>
      </c>
      <c r="S317" s="814">
        <f t="shared" si="107"/>
        <v>-1</v>
      </c>
      <c r="T317" s="175">
        <f t="shared" si="108"/>
        <v>5</v>
      </c>
      <c r="U317" s="250">
        <f t="shared" si="109"/>
        <v>-0.18099319792849439</v>
      </c>
      <c r="V317" s="382">
        <f t="shared" si="110"/>
        <v>32.464957250352242</v>
      </c>
      <c r="W317" s="401">
        <f t="shared" si="111"/>
        <v>22.117381472290255</v>
      </c>
      <c r="X317" s="157">
        <f t="shared" si="112"/>
        <v>45960</v>
      </c>
      <c r="Y317" s="384">
        <f t="shared" si="113"/>
        <v>21.214060420593686</v>
      </c>
      <c r="Z317" s="384">
        <f t="shared" si="114"/>
        <v>22.482747112087203</v>
      </c>
      <c r="AA317" s="385">
        <f t="shared" si="115"/>
        <v>24.614393474968288</v>
      </c>
      <c r="AB317" s="196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8.6601620513171301E-2</v>
      </c>
      <c r="AD317" s="230">
        <f>(INDEX(Models!$BJ317:$BT317,,AH317)*(1-AF317)+INDEX(Models!$BJ317:$BT317,,AH317+1)*AF317-ERP_i)*AE317*Ramure*Pc/MaxiM</f>
        <v>8.4234666481355631E-4</v>
      </c>
      <c r="AE317" s="304">
        <f t="shared" si="117"/>
        <v>0.5</v>
      </c>
      <c r="AF317" s="176">
        <f t="shared" si="118"/>
        <v>0.93399934189589295</v>
      </c>
      <c r="AG317" s="814">
        <f t="shared" si="124"/>
        <v>1</v>
      </c>
      <c r="AH317" s="175">
        <f t="shared" si="119"/>
        <v>7</v>
      </c>
      <c r="AI317" s="224">
        <f t="shared" si="120"/>
        <v>1.933999341895893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10">
        <f>'2024'!Wh/'2024'!Env_an*'2025'!Env_an</f>
        <v>21.257961271342424</v>
      </c>
      <c r="C318" s="843"/>
      <c r="D318" s="392">
        <f t="shared" si="102"/>
        <v>22.529766243566424</v>
      </c>
      <c r="E318" s="384">
        <f t="shared" si="125"/>
        <v>23.668952815141044</v>
      </c>
      <c r="F318" s="384">
        <f t="shared" si="103"/>
        <v>23.669846979041981</v>
      </c>
      <c r="G318" s="110">
        <f t="shared" si="126"/>
        <v>0.66062074018071626</v>
      </c>
      <c r="H318" s="413" t="b">
        <f>Wh_hp&gt;='2024'!Maxi_hp</f>
        <v>0</v>
      </c>
      <c r="I318" s="389">
        <f>IF(H318,Wh_hp,'2024'!Maxi_hp)</f>
        <v>35.005693815920047</v>
      </c>
      <c r="J318" s="85">
        <f>IF(H318,An,'2024'!An_max)</f>
        <v>2020</v>
      </c>
      <c r="K318" s="196">
        <f t="shared" si="104"/>
        <v>45961</v>
      </c>
      <c r="L318" s="147">
        <f>IF(t&lt;Tvie,1-EXP((T0-t)*PertePVj)+'2024'!Pspv,1-EXP((T0-t)*PertePVj)+Pspv)</f>
        <v>5.6449985253938163E-2</v>
      </c>
      <c r="M318" s="847"/>
      <c r="N318" s="847"/>
      <c r="O318" s="48">
        <f>IF(t&lt;Tnet,'2024'!Resal+('2024'!Salim-'2024'!Resal)*(1-EXP(('2024'!Tnet-t)/('2024'!Tau_j))),Resal+(Salim-Resal)*(1-EXP((Tnet-t)/(Tau_j))))*Salcycl</f>
        <v>4.8129994616655819E-2</v>
      </c>
      <c r="P318" s="168">
        <f>(INDEX(Models!$BJ318:$BT318,,T318)*(1-R318)+INDEX(Models!$BJ318:$BT318,,T318+1)*R318-ERP_i)*Q318*Ramure*Pc/MaxiM</f>
        <v>7.3323086895730766E-5</v>
      </c>
      <c r="Q318" s="304">
        <f t="shared" si="105"/>
        <v>0.5</v>
      </c>
      <c r="R318" s="176">
        <f t="shared" si="106"/>
        <v>0.81904195125102208</v>
      </c>
      <c r="S318" s="814">
        <f t="shared" si="107"/>
        <v>-1</v>
      </c>
      <c r="T318" s="175">
        <f t="shared" si="108"/>
        <v>5</v>
      </c>
      <c r="U318" s="250">
        <f t="shared" si="109"/>
        <v>-0.18095804874897786</v>
      </c>
      <c r="V318" s="382">
        <f t="shared" si="110"/>
        <v>32.177623713338235</v>
      </c>
      <c r="W318" s="401">
        <f t="shared" si="111"/>
        <v>21.257961271342424</v>
      </c>
      <c r="X318" s="157">
        <f t="shared" si="112"/>
        <v>45961</v>
      </c>
      <c r="Y318" s="384">
        <f t="shared" si="113"/>
        <v>20.391451903700151</v>
      </c>
      <c r="Z318" s="384">
        <f t="shared" si="114"/>
        <v>21.611416019306741</v>
      </c>
      <c r="AA318" s="385">
        <f t="shared" si="115"/>
        <v>23.659301371891388</v>
      </c>
      <c r="AB318" s="196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8.6557304478045632E-2</v>
      </c>
      <c r="AD318" s="230">
        <f>(INDEX(Models!$BJ318:$BT318,,AH318)*(1-AF318)+INDEX(Models!$BJ318:$BT318,,AH318+1)*AF318-ERP_i)*AE318*Ramure*Pc/MaxiM</f>
        <v>8.6475921098942905E-4</v>
      </c>
      <c r="AE318" s="304">
        <f t="shared" si="117"/>
        <v>0.5</v>
      </c>
      <c r="AF318" s="176">
        <f t="shared" si="118"/>
        <v>0.9340344910754097</v>
      </c>
      <c r="AG318" s="814">
        <f t="shared" si="124"/>
        <v>1</v>
      </c>
      <c r="AH318" s="175">
        <f t="shared" si="119"/>
        <v>7</v>
      </c>
      <c r="AI318" s="224">
        <f t="shared" si="120"/>
        <v>1.9340344910754097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10">
        <f>'2024'!Wh/'2024'!Env_an*'2025'!Env_an</f>
        <v>20.198737756486469</v>
      </c>
      <c r="C319" s="843"/>
      <c r="D319" s="392">
        <f t="shared" si="102"/>
        <v>21.407640604125472</v>
      </c>
      <c r="E319" s="384">
        <f t="shared" si="125"/>
        <v>22.490634293697536</v>
      </c>
      <c r="F319" s="384">
        <f t="shared" si="103"/>
        <v>22.491418631703745</v>
      </c>
      <c r="G319" s="110">
        <f t="shared" si="126"/>
        <v>0.63331220052964443</v>
      </c>
      <c r="H319" s="413" t="b">
        <f>Wh_hp&gt;='2024'!Maxi_hp</f>
        <v>0</v>
      </c>
      <c r="I319" s="389">
        <f>IF(H319,Wh_hp,'2024'!Maxi_hp)</f>
        <v>32.902406059457448</v>
      </c>
      <c r="J319" s="85">
        <f>IF(H319,An,'2024'!An_max)</f>
        <v>2020</v>
      </c>
      <c r="K319" s="196">
        <f t="shared" si="104"/>
        <v>45962</v>
      </c>
      <c r="L319" s="147">
        <f>IF(t&lt;Tvie,1-EXP((T0-t)*PertePVj)+'2024'!Pspv,1-EXP((T0-t)*PertePVj)+Pspv)</f>
        <v>5.6470625137738685E-2</v>
      </c>
      <c r="M319" s="847"/>
      <c r="N319" s="847"/>
      <c r="O319" s="48">
        <f>IF(t&lt;Tnet,'2024'!Resal+('2024'!Salim-'2024'!Resal)*(1-EXP(('2024'!Tnet-t)/('2024'!Tau_j))),Resal+(Salim-Resal)*(1-EXP((Tnet-t)/(Tau_j))))*Salcycl</f>
        <v>4.8153096770398647E-2</v>
      </c>
      <c r="P319" s="168">
        <f>(INDEX(Models!$BJ319:$BT319,,T319)*(1-R319)+INDEX(Models!$BJ319:$BT319,,T319+1)*R319-ERP_i)*Q319*Ramure*Pc/MaxiM</f>
        <v>7.3232116373162401E-5</v>
      </c>
      <c r="Q319" s="304">
        <f t="shared" si="105"/>
        <v>0.5</v>
      </c>
      <c r="R319" s="176">
        <f t="shared" si="106"/>
        <v>0.81907569297830718</v>
      </c>
      <c r="S319" s="814">
        <f t="shared" si="107"/>
        <v>-1</v>
      </c>
      <c r="T319" s="175">
        <f t="shared" si="108"/>
        <v>5</v>
      </c>
      <c r="U319" s="250">
        <f t="shared" si="109"/>
        <v>-0.18092430702169282</v>
      </c>
      <c r="V319" s="382">
        <f t="shared" si="110"/>
        <v>31.892584576990295</v>
      </c>
      <c r="W319" s="401">
        <f t="shared" si="111"/>
        <v>20.198737756486469</v>
      </c>
      <c r="X319" s="157">
        <f t="shared" si="112"/>
        <v>45962</v>
      </c>
      <c r="Y319" s="384">
        <f t="shared" si="113"/>
        <v>19.377177075423585</v>
      </c>
      <c r="Z319" s="384">
        <f t="shared" si="114"/>
        <v>20.536909174928773</v>
      </c>
      <c r="AA319" s="385">
        <f t="shared" si="115"/>
        <v>22.481880078764696</v>
      </c>
      <c r="AB319" s="196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8.6512822638576764E-2</v>
      </c>
      <c r="AD319" s="230">
        <f>(INDEX(Models!$BJ319:$BT319,,AH319)*(1-AF319)+INDEX(Models!$BJ319:$BT319,,AH319+1)*AF319-ERP_i)*AE319*Ramure*Pc/MaxiM</f>
        <v>8.9059616304815485E-4</v>
      </c>
      <c r="AE319" s="304">
        <f t="shared" si="117"/>
        <v>0.5</v>
      </c>
      <c r="AF319" s="176">
        <f t="shared" si="118"/>
        <v>0.93406823280269458</v>
      </c>
      <c r="AG319" s="814">
        <f t="shared" si="124"/>
        <v>1</v>
      </c>
      <c r="AH319" s="175">
        <f t="shared" si="119"/>
        <v>7</v>
      </c>
      <c r="AI319" s="224">
        <f t="shared" si="120"/>
        <v>1.9340682328026946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10">
        <f>'2024'!Wh/'2024'!Env_an*'2025'!Env_an</f>
        <v>29.14559522081441</v>
      </c>
      <c r="C320" s="843"/>
      <c r="D320" s="392">
        <f t="shared" si="102"/>
        <v>30.890646929214856</v>
      </c>
      <c r="E320" s="384">
        <f t="shared" si="125"/>
        <v>32.454159748619247</v>
      </c>
      <c r="F320" s="384">
        <f t="shared" si="103"/>
        <v>32.456277702775147</v>
      </c>
      <c r="G320" s="110">
        <f t="shared" si="126"/>
        <v>0.92203436643052405</v>
      </c>
      <c r="H320" s="413" t="b">
        <f>Wh_hp&gt;='2024'!Maxi_hp</f>
        <v>1</v>
      </c>
      <c r="I320" s="389">
        <f>IF(H320,Wh_hp,'2024'!Maxi_hp)</f>
        <v>32.456277702775147</v>
      </c>
      <c r="J320" s="85">
        <f>IF(H320,An,'2024'!An_max)</f>
        <v>2025</v>
      </c>
      <c r="K320" s="196">
        <f t="shared" si="104"/>
        <v>45963</v>
      </c>
      <c r="L320" s="147">
        <f>IF(t&lt;Tvie,1-EXP((T0-t)*PertePVj)+'2024'!Pspv,1-EXP((T0-t)*PertePVj)+Pspv)</f>
        <v>5.6491264569472711E-2</v>
      </c>
      <c r="M320" s="847"/>
      <c r="N320" s="847"/>
      <c r="O320" s="48">
        <f>IF(t&lt;Tnet,'2024'!Resal+('2024'!Salim-'2024'!Resal)*(1-EXP(('2024'!Tnet-t)/('2024'!Tau_j))),Resal+(Salim-Resal)*(1-EXP((Tnet-t)/(Tau_j))))*Salcycl</f>
        <v>4.8176037571606226E-2</v>
      </c>
      <c r="P320" s="168">
        <f>(INDEX(Models!$BJ320:$BT320,,T320)*(1-R320)+INDEX(Models!$BJ320:$BT320,,T320+1)*R320-ERP_i)*Q320*Ramure*Pc/MaxiM</f>
        <v>7.3433840220156214E-5</v>
      </c>
      <c r="Q320" s="304">
        <f t="shared" si="105"/>
        <v>0.5</v>
      </c>
      <c r="R320" s="176">
        <f t="shared" si="106"/>
        <v>0.81910808331191964</v>
      </c>
      <c r="S320" s="814">
        <f t="shared" si="107"/>
        <v>-1</v>
      </c>
      <c r="T320" s="175">
        <f t="shared" si="108"/>
        <v>5</v>
      </c>
      <c r="U320" s="250">
        <f t="shared" si="109"/>
        <v>-0.18089191668808036</v>
      </c>
      <c r="V320" s="382">
        <f t="shared" si="110"/>
        <v>31.609837883443106</v>
      </c>
      <c r="W320" s="401">
        <f t="shared" si="111"/>
        <v>29.14559522081441</v>
      </c>
      <c r="X320" s="157">
        <f t="shared" si="112"/>
        <v>45963</v>
      </c>
      <c r="Y320" s="384">
        <f t="shared" si="113"/>
        <v>27.95201516441719</v>
      </c>
      <c r="Z320" s="384">
        <f t="shared" si="114"/>
        <v>29.625602938018968</v>
      </c>
      <c r="AA320" s="385">
        <f t="shared" si="115"/>
        <v>32.429746809171554</v>
      </c>
      <c r="AB320" s="196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8.6468262846860558E-2</v>
      </c>
      <c r="AD320" s="230">
        <f>(INDEX(Models!$BJ320:$BT320,,AH320)*(1-AF320)+INDEX(Models!$BJ320:$BT320,,AH320+1)*AF320-ERP_i)*AE320*Ramure*Pc/MaxiM</f>
        <v>9.1988081817599406E-4</v>
      </c>
      <c r="AE320" s="304">
        <f t="shared" si="117"/>
        <v>0.5</v>
      </c>
      <c r="AF320" s="176">
        <f t="shared" si="118"/>
        <v>0.93410062313630715</v>
      </c>
      <c r="AG320" s="814">
        <f t="shared" si="124"/>
        <v>1</v>
      </c>
      <c r="AH320" s="175">
        <f t="shared" si="119"/>
        <v>7</v>
      </c>
      <c r="AI320" s="224">
        <f t="shared" si="120"/>
        <v>1.9341006231363072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10">
        <f>'2024'!Wh/'2024'!Env_an*'2025'!Env_an</f>
        <v>9.4049765185259577</v>
      </c>
      <c r="C321" s="843"/>
      <c r="D321" s="392">
        <f t="shared" si="102"/>
        <v>9.9683043738495147</v>
      </c>
      <c r="E321" s="384">
        <f t="shared" si="125"/>
        <v>10.473095718838772</v>
      </c>
      <c r="F321" s="384">
        <f t="shared" si="103"/>
        <v>10.4730959363953</v>
      </c>
      <c r="G321" s="110">
        <f t="shared" si="126"/>
        <v>0.30017449705636606</v>
      </c>
      <c r="H321" s="413" t="b">
        <f>Wh_hp&gt;='2024'!Maxi_hp</f>
        <v>0</v>
      </c>
      <c r="I321" s="389">
        <f>IF(H321,Wh_hp,'2024'!Maxi_hp)</f>
        <v>31.704368019491852</v>
      </c>
      <c r="J321" s="85">
        <f>IF(H321,An,'2024'!An_max)</f>
        <v>2020</v>
      </c>
      <c r="K321" s="196">
        <f t="shared" si="104"/>
        <v>45964</v>
      </c>
      <c r="L321" s="147">
        <f>IF(t&lt;Tvie,1-EXP((T0-t)*PertePVj)+'2024'!Pspv,1-EXP((T0-t)*PertePVj)+Pspv)</f>
        <v>5.6511903549150234E-2</v>
      </c>
      <c r="M321" s="847"/>
      <c r="N321" s="847"/>
      <c r="O321" s="48">
        <f>IF(t&lt;Tnet,'2024'!Resal+('2024'!Salim-'2024'!Resal)*(1-EXP(('2024'!Tnet-t)/('2024'!Tau_j))),Resal+(Salim-Resal)*(1-EXP((Tnet-t)/(Tau_j))))*Salcycl</f>
        <v>4.8198866747799426E-2</v>
      </c>
      <c r="P321" s="168">
        <f>(INDEX(Models!$BJ321:$BT321,,T321)*(1-R321)+INDEX(Models!$BJ321:$BT321,,T321+1)*R321-ERP_i)*Q321*Ramure*Pc/MaxiM</f>
        <v>7.3930694352890172E-5</v>
      </c>
      <c r="Q321" s="304">
        <f t="shared" si="105"/>
        <v>0.5</v>
      </c>
      <c r="R321" s="176">
        <f t="shared" si="106"/>
        <v>0.8191391761011555</v>
      </c>
      <c r="S321" s="814">
        <f t="shared" si="107"/>
        <v>-1</v>
      </c>
      <c r="T321" s="175">
        <f t="shared" si="108"/>
        <v>5</v>
      </c>
      <c r="U321" s="250">
        <f t="shared" si="109"/>
        <v>-0.18086082389884445</v>
      </c>
      <c r="V321" s="382">
        <f t="shared" si="110"/>
        <v>31.329381708499412</v>
      </c>
      <c r="W321" s="401">
        <f t="shared" si="111"/>
        <v>9.4049765185259577</v>
      </c>
      <c r="X321" s="157">
        <f t="shared" si="112"/>
        <v>45964</v>
      </c>
      <c r="Y321" s="384">
        <f t="shared" si="113"/>
        <v>9.0272653554446141</v>
      </c>
      <c r="Z321" s="384">
        <f t="shared" si="114"/>
        <v>9.5679695264866353</v>
      </c>
      <c r="AA321" s="385">
        <f t="shared" si="115"/>
        <v>10.473093133062489</v>
      </c>
      <c r="AB321" s="196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8.642371409058433E-2</v>
      </c>
      <c r="AD321" s="230">
        <f>(INDEX(Models!$BJ321:$BT321,,AH321)*(1-AF321)+INDEX(Models!$BJ321:$BT321,,AH321+1)*AF321-ERP_i)*AE321*Ramure*Pc/MaxiM</f>
        <v>9.5263674062817888E-4</v>
      </c>
      <c r="AE321" s="304">
        <f t="shared" si="117"/>
        <v>0.5</v>
      </c>
      <c r="AF321" s="176">
        <f t="shared" si="118"/>
        <v>0.93413171592554312</v>
      </c>
      <c r="AG321" s="814">
        <f t="shared" si="124"/>
        <v>1</v>
      </c>
      <c r="AH321" s="175">
        <f t="shared" si="119"/>
        <v>7</v>
      </c>
      <c r="AI321" s="224">
        <f t="shared" si="120"/>
        <v>1.9341317159255431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10">
        <f>'2024'!Wh/'2024'!Env_an*'2025'!Env_an</f>
        <v>13.882601997141659</v>
      </c>
      <c r="C322" s="843"/>
      <c r="D322" s="392">
        <f t="shared" si="102"/>
        <v>14.714447096776764</v>
      </c>
      <c r="E322" s="384">
        <f t="shared" si="125"/>
        <v>15.459951215817989</v>
      </c>
      <c r="F322" s="384">
        <f t="shared" si="103"/>
        <v>15.460193965289466</v>
      </c>
      <c r="G322" s="110">
        <f t="shared" si="126"/>
        <v>0.44706086240005916</v>
      </c>
      <c r="H322" s="413" t="b">
        <f>Wh_hp&gt;='2024'!Maxi_hp</f>
        <v>0</v>
      </c>
      <c r="I322" s="389">
        <f>IF(H322,Wh_hp,'2024'!Maxi_hp)</f>
        <v>22.319752291324583</v>
      </c>
      <c r="J322" s="85">
        <f>IF(H322,An,'2024'!An_max)</f>
        <v>2018</v>
      </c>
      <c r="K322" s="196">
        <f t="shared" si="104"/>
        <v>45965</v>
      </c>
      <c r="L322" s="147">
        <f>IF(t&lt;Tvie,1-EXP((T0-t)*PertePVj)+'2024'!Pspv,1-EXP((T0-t)*PertePVj)+Pspv)</f>
        <v>5.6532542076781246E-2</v>
      </c>
      <c r="M322" s="847"/>
      <c r="N322" s="847"/>
      <c r="O322" s="48">
        <f>IF(t&lt;Tnet,'2024'!Resal+('2024'!Salim-'2024'!Resal)*(1-EXP(('2024'!Tnet-t)/('2024'!Tau_j))),Resal+(Salim-Resal)*(1-EXP((Tnet-t)/(Tau_j))))*Salcycl</f>
        <v>4.822163463740145E-2</v>
      </c>
      <c r="P322" s="168">
        <f>(INDEX(Models!$BJ322:$BT322,,T322)*(1-R322)+INDEX(Models!$BJ322:$BT322,,T322+1)*R322-ERP_i)*Q322*Ramure*Pc/MaxiM</f>
        <v>7.4725075425520241E-5</v>
      </c>
      <c r="Q322" s="304">
        <f t="shared" si="105"/>
        <v>0.5</v>
      </c>
      <c r="R322" s="176">
        <f t="shared" si="106"/>
        <v>0.81916902307125894</v>
      </c>
      <c r="S322" s="814">
        <f t="shared" si="107"/>
        <v>-1</v>
      </c>
      <c r="T322" s="175">
        <f t="shared" si="108"/>
        <v>5</v>
      </c>
      <c r="U322" s="250">
        <f t="shared" si="109"/>
        <v>-0.18083097692874101</v>
      </c>
      <c r="V322" s="382">
        <f t="shared" si="110"/>
        <v>31.051214168143837</v>
      </c>
      <c r="W322" s="401">
        <f t="shared" si="111"/>
        <v>13.882601997141659</v>
      </c>
      <c r="X322" s="157">
        <f t="shared" si="112"/>
        <v>45965</v>
      </c>
      <c r="Y322" s="384">
        <f t="shared" si="113"/>
        <v>13.323476463403688</v>
      </c>
      <c r="Z322" s="384">
        <f t="shared" si="114"/>
        <v>14.121818777651978</v>
      </c>
      <c r="AA322" s="385">
        <f t="shared" si="115"/>
        <v>15.456981495357276</v>
      </c>
      <c r="AB322" s="196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8.63792661009741E-2</v>
      </c>
      <c r="AD322" s="230">
        <f>(INDEX(Models!$BJ322:$BT322,,AH322)*(1-AF322)+INDEX(Models!$BJ322:$BT322,,AH322+1)*AF322-ERP_i)*AE322*Ramure*Pc/MaxiM</f>
        <v>9.8888807676390453E-4</v>
      </c>
      <c r="AE322" s="304">
        <f t="shared" si="117"/>
        <v>0.5</v>
      </c>
      <c r="AF322" s="176">
        <f t="shared" si="118"/>
        <v>0.93416156289564656</v>
      </c>
      <c r="AG322" s="814">
        <f t="shared" si="124"/>
        <v>1</v>
      </c>
      <c r="AH322" s="175">
        <f t="shared" si="119"/>
        <v>7</v>
      </c>
      <c r="AI322" s="224">
        <f t="shared" si="120"/>
        <v>1.9341615628956466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10">
        <f>'2024'!Wh/'2024'!Env_an*'2025'!Env_an</f>
        <v>29.567471532555398</v>
      </c>
      <c r="C323" s="843"/>
      <c r="D323" s="392">
        <f t="shared" si="102"/>
        <v>31.339839099071657</v>
      </c>
      <c r="E323" s="384">
        <f t="shared" si="125"/>
        <v>32.928452256601872</v>
      </c>
      <c r="F323" s="384">
        <f t="shared" si="103"/>
        <v>32.930809058994697</v>
      </c>
      <c r="G323" s="110">
        <f t="shared" si="126"/>
        <v>0.96074818823058072</v>
      </c>
      <c r="H323" s="413" t="b">
        <f>Wh_hp&gt;='2024'!Maxi_hp</f>
        <v>1</v>
      </c>
      <c r="I323" s="389">
        <f>IF(H323,Wh_hp,'2024'!Maxi_hp)</f>
        <v>32.930809058994697</v>
      </c>
      <c r="J323" s="85">
        <f>IF(H323,An,'2024'!An_max)</f>
        <v>2025</v>
      </c>
      <c r="K323" s="196">
        <f t="shared" si="104"/>
        <v>45966</v>
      </c>
      <c r="L323" s="147">
        <f>IF(t&lt;Tvie,1-EXP((T0-t)*PertePVj)+'2024'!Pspv,1-EXP((T0-t)*PertePVj)+Pspv)</f>
        <v>5.6553180152375405E-2</v>
      </c>
      <c r="M323" s="847"/>
      <c r="N323" s="847"/>
      <c r="O323" s="48">
        <f>IF(t&lt;Tnet,'2024'!Resal+('2024'!Salim-'2024'!Resal)*(1-EXP(('2024'!Tnet-t)/('2024'!Tau_j))),Resal+(Salim-Resal)*(1-EXP((Tnet-t)/(Tau_j))))*Salcycl</f>
        <v>4.8244391966880712E-2</v>
      </c>
      <c r="P323" s="168">
        <f>(INDEX(Models!$BJ323:$BT323,,T323)*(1-R323)+INDEX(Models!$BJ323:$BT323,,T323+1)*R323-ERP_i)*Q323*Ramure*Pc/MaxiM</f>
        <v>7.5819365215062308E-5</v>
      </c>
      <c r="Q323" s="304">
        <f t="shared" si="105"/>
        <v>0.5</v>
      </c>
      <c r="R323" s="176">
        <f t="shared" si="106"/>
        <v>0.8191976739054927</v>
      </c>
      <c r="S323" s="814">
        <f t="shared" si="107"/>
        <v>-1</v>
      </c>
      <c r="T323" s="175">
        <f t="shared" si="108"/>
        <v>5</v>
      </c>
      <c r="U323" s="250">
        <f t="shared" si="109"/>
        <v>-0.18080232609450736</v>
      </c>
      <c r="V323" s="382">
        <f t="shared" si="110"/>
        <v>30.775333425397179</v>
      </c>
      <c r="W323" s="401">
        <f t="shared" si="111"/>
        <v>29.567471532555398</v>
      </c>
      <c r="X323" s="157">
        <f t="shared" si="112"/>
        <v>45966</v>
      </c>
      <c r="Y323" s="384">
        <f t="shared" si="113"/>
        <v>28.358608157998951</v>
      </c>
      <c r="Z323" s="384">
        <f t="shared" si="114"/>
        <v>30.058512638347892</v>
      </c>
      <c r="AA323" s="385">
        <f t="shared" si="115"/>
        <v>32.898833744145385</v>
      </c>
      <c r="AB323" s="196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8.6335008951584843E-2</v>
      </c>
      <c r="AD323" s="230">
        <f>(INDEX(Models!$BJ323:$BT323,,AH323)*(1-AF323)+INDEX(Models!$BJ323:$BT323,,AH323+1)*AF323-ERP_i)*AE323*Ramure*Pc/MaxiM</f>
        <v>1.0286598833263484E-3</v>
      </c>
      <c r="AE323" s="304">
        <f t="shared" si="117"/>
        <v>0.5</v>
      </c>
      <c r="AF323" s="176">
        <f t="shared" si="118"/>
        <v>0.93419021372988009</v>
      </c>
      <c r="AG323" s="814">
        <f t="shared" si="124"/>
        <v>1</v>
      </c>
      <c r="AH323" s="175">
        <f t="shared" si="119"/>
        <v>7</v>
      </c>
      <c r="AI323" s="224">
        <f t="shared" si="120"/>
        <v>1.9341902137298801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10">
        <f>'2024'!Wh/'2024'!Env_an*'2025'!Env_an</f>
        <v>30.440277321319808</v>
      </c>
      <c r="C324" s="843"/>
      <c r="D324" s="392">
        <f t="shared" si="102"/>
        <v>32.26566942371592</v>
      </c>
      <c r="E324" s="384">
        <f t="shared" si="125"/>
        <v>33.90202488756676</v>
      </c>
      <c r="F324" s="384">
        <f t="shared" si="103"/>
        <v>33.904634030741668</v>
      </c>
      <c r="G324" s="110">
        <f t="shared" si="126"/>
        <v>0.9979847605092157</v>
      </c>
      <c r="H324" s="413" t="b">
        <f>Wh_hp&gt;='2024'!Maxi_hp</f>
        <v>1</v>
      </c>
      <c r="I324" s="389">
        <f>IF(H324,Wh_hp,'2024'!Maxi_hp)</f>
        <v>33.904634030741668</v>
      </c>
      <c r="J324" s="85">
        <f>IF(H324,An,'2024'!An_max)</f>
        <v>2025</v>
      </c>
      <c r="K324" s="196">
        <f t="shared" si="104"/>
        <v>45967</v>
      </c>
      <c r="L324" s="147">
        <f>IF(t&lt;Tvie,1-EXP((T0-t)*PertePVj)+'2024'!Pspv,1-EXP((T0-t)*PertePVj)+Pspv)</f>
        <v>5.6573817775942815E-2</v>
      </c>
      <c r="M324" s="847"/>
      <c r="N324" s="847"/>
      <c r="O324" s="48">
        <f>IF(t&lt;Tnet,'2024'!Resal+('2024'!Salim-'2024'!Resal)*(1-EXP(('2024'!Tnet-t)/('2024'!Tau_j))),Resal+(Salim-Resal)*(1-EXP((Tnet-t)/(Tau_j))))*Salcycl</f>
        <v>4.8267189622970316E-2</v>
      </c>
      <c r="P324" s="168">
        <f>(INDEX(Models!$BJ324:$BT324,,T324)*(1-R324)+INDEX(Models!$BJ324:$BT324,,T324+1)*R324-ERP_i)*Q324*Ramure*Pc/MaxiM</f>
        <v>7.717751875257575E-5</v>
      </c>
      <c r="Q324" s="304">
        <f t="shared" si="105"/>
        <v>0.5</v>
      </c>
      <c r="R324" s="176">
        <f t="shared" si="106"/>
        <v>0.81922517632417413</v>
      </c>
      <c r="S324" s="814">
        <f t="shared" si="107"/>
        <v>-1</v>
      </c>
      <c r="T324" s="175">
        <f t="shared" si="108"/>
        <v>5</v>
      </c>
      <c r="U324" s="250">
        <f t="shared" si="109"/>
        <v>-0.18077482367582587</v>
      </c>
      <c r="V324" s="382">
        <f t="shared" si="110"/>
        <v>30.501738866799236</v>
      </c>
      <c r="W324" s="401">
        <f t="shared" si="111"/>
        <v>30.440277321319808</v>
      </c>
      <c r="X324" s="157">
        <f t="shared" si="112"/>
        <v>45967</v>
      </c>
      <c r="Y324" s="384">
        <f t="shared" si="113"/>
        <v>29.195204971545085</v>
      </c>
      <c r="Z324" s="384">
        <f t="shared" si="114"/>
        <v>30.945934638701203</v>
      </c>
      <c r="AA324" s="385">
        <f t="shared" si="115"/>
        <v>33.868480823248483</v>
      </c>
      <c r="AB324" s="196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8.6291032650662763E-2</v>
      </c>
      <c r="AD324" s="230">
        <f>(INDEX(Models!$BJ324:$BT324,,AH324)*(1-AF324)+INDEX(Models!$BJ324:$BT324,,AH324+1)*AF324-ERP_i)*AE324*Ramure*Pc/MaxiM</f>
        <v>1.0693989030972093E-3</v>
      </c>
      <c r="AE324" s="304">
        <f t="shared" si="117"/>
        <v>0.5</v>
      </c>
      <c r="AF324" s="176">
        <f t="shared" si="118"/>
        <v>0.93421771614856164</v>
      </c>
      <c r="AG324" s="814">
        <f t="shared" si="124"/>
        <v>1</v>
      </c>
      <c r="AH324" s="175">
        <f t="shared" si="119"/>
        <v>7</v>
      </c>
      <c r="AI324" s="224">
        <f t="shared" si="120"/>
        <v>1.9342177161485616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10">
        <f>'2024'!Wh/'2024'!Env_an*'2025'!Env_an</f>
        <v>29.393123539710189</v>
      </c>
      <c r="C325" s="843"/>
      <c r="D325" s="392">
        <f t="shared" si="102"/>
        <v>31.156403196754866</v>
      </c>
      <c r="E325" s="384">
        <f t="shared" si="125"/>
        <v>32.737289472699381</v>
      </c>
      <c r="F325" s="384">
        <f t="shared" si="103"/>
        <v>32.739763800036776</v>
      </c>
      <c r="G325" s="110">
        <f t="shared" si="126"/>
        <v>0.97229943242699546</v>
      </c>
      <c r="H325" s="413" t="b">
        <f>Wh_hp&gt;='2024'!Maxi_hp</f>
        <v>1</v>
      </c>
      <c r="I325" s="389">
        <f>IF(H325,Wh_hp,'2024'!Maxi_hp)</f>
        <v>32.739763800036776</v>
      </c>
      <c r="J325" s="85">
        <f>IF(H325,An,'2024'!An_max)</f>
        <v>2025</v>
      </c>
      <c r="K325" s="196">
        <f t="shared" si="104"/>
        <v>45968</v>
      </c>
      <c r="L325" s="147">
        <f>IF(t&lt;Tvie,1-EXP((T0-t)*PertePVj)+'2024'!Pspv,1-EXP((T0-t)*PertePVj)+Pspv)</f>
        <v>5.6594454947493246E-2</v>
      </c>
      <c r="M325" s="847"/>
      <c r="N325" s="847"/>
      <c r="O325" s="48">
        <f>IF(t&lt;Tnet,'2024'!Resal+('2024'!Salim-'2024'!Resal)*(1-EXP(('2024'!Tnet-t)/('2024'!Tau_j))),Resal+(Salim-Resal)*(1-EXP((Tnet-t)/(Tau_j))))*Salcycl</f>
        <v>4.8290078421515677E-2</v>
      </c>
      <c r="P325" s="168">
        <f>(INDEX(Models!$BJ325:$BT325,,T325)*(1-R325)+INDEX(Models!$BJ325:$BT325,,T325+1)*R325-ERP_i)*Q325*Ramure*Pc/MaxiM</f>
        <v>7.8689167594929178E-5</v>
      </c>
      <c r="Q325" s="304">
        <f t="shared" si="105"/>
        <v>0.5</v>
      </c>
      <c r="R325" s="176">
        <f t="shared" si="106"/>
        <v>0.81925157616077682</v>
      </c>
      <c r="S325" s="814">
        <f t="shared" si="107"/>
        <v>-1</v>
      </c>
      <c r="T325" s="175">
        <f t="shared" si="108"/>
        <v>5</v>
      </c>
      <c r="U325" s="250">
        <f t="shared" si="109"/>
        <v>-0.18074842383922318</v>
      </c>
      <c r="V325" s="382">
        <f t="shared" si="110"/>
        <v>30.230432143714115</v>
      </c>
      <c r="W325" s="401">
        <f t="shared" si="111"/>
        <v>29.393123539710189</v>
      </c>
      <c r="X325" s="157">
        <f t="shared" si="112"/>
        <v>45968</v>
      </c>
      <c r="Y325" s="384">
        <f t="shared" si="113"/>
        <v>28.192907191268826</v>
      </c>
      <c r="Z325" s="384">
        <f t="shared" si="114"/>
        <v>29.884186434053348</v>
      </c>
      <c r="AA325" s="385">
        <f t="shared" si="115"/>
        <v>32.704899891120952</v>
      </c>
      <c r="AB325" s="196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8.6247426729882781E-2</v>
      </c>
      <c r="AD325" s="230">
        <f>(INDEX(Models!$BJ325:$BT325,,AH325)*(1-AF325)+INDEX(Models!$BJ325:$BT325,,AH325+1)*AF325-ERP_i)*AE325*Ramure*Pc/MaxiM</f>
        <v>1.1087506209192242E-3</v>
      </c>
      <c r="AE325" s="304">
        <f t="shared" si="117"/>
        <v>0.5</v>
      </c>
      <c r="AF325" s="176">
        <f t="shared" si="118"/>
        <v>0.93424411598516421</v>
      </c>
      <c r="AG325" s="814">
        <f t="shared" si="124"/>
        <v>1</v>
      </c>
      <c r="AH325" s="175">
        <f t="shared" si="119"/>
        <v>7</v>
      </c>
      <c r="AI325" s="224">
        <f t="shared" si="120"/>
        <v>1.9342441159851642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10">
        <f>'2024'!Wh/'2024'!Env_an*'2025'!Env_an</f>
        <v>17.820648739654445</v>
      </c>
      <c r="C326" s="843"/>
      <c r="D326" s="392">
        <f t="shared" si="102"/>
        <v>18.890114291890633</v>
      </c>
      <c r="E326" s="384">
        <f t="shared" si="125"/>
        <v>19.84908531161059</v>
      </c>
      <c r="F326" s="384">
        <f t="shared" si="103"/>
        <v>19.84975702352336</v>
      </c>
      <c r="G326" s="110">
        <f t="shared" si="126"/>
        <v>0.59475902082787158</v>
      </c>
      <c r="H326" s="413" t="b">
        <f>Wh_hp&gt;='2024'!Maxi_hp</f>
        <v>0</v>
      </c>
      <c r="I326" s="389">
        <f>IF(H326,Wh_hp,'2024'!Maxi_hp)</f>
        <v>25.868696727513875</v>
      </c>
      <c r="J326" s="85">
        <f>IF(H326,An,'2024'!An_max)</f>
        <v>2021</v>
      </c>
      <c r="K326" s="196">
        <f t="shared" si="104"/>
        <v>45969</v>
      </c>
      <c r="L326" s="147">
        <f>IF(t&lt;Tvie,1-EXP((T0-t)*PertePVj)+'2024'!Pspv,1-EXP((T0-t)*PertePVj)+Pspv)</f>
        <v>5.6615091667036689E-2</v>
      </c>
      <c r="M326" s="847"/>
      <c r="N326" s="847"/>
      <c r="O326" s="48">
        <f>IF(t&lt;Tnet,'2024'!Resal+('2024'!Salim-'2024'!Resal)*(1-EXP(('2024'!Tnet-t)/('2024'!Tau_j))),Resal+(Salim-Resal)*(1-EXP((Tnet-t)/(Tau_j))))*Salcycl</f>
        <v>4.831310887454407E-2</v>
      </c>
      <c r="P326" s="168">
        <f>(INDEX(Models!$BJ326:$BT326,,T326)*(1-R326)+INDEX(Models!$BJ326:$BT326,,T326+1)*R326-ERP_i)*Q326*Ramure*Pc/MaxiM</f>
        <v>8.0355947512795653E-5</v>
      </c>
      <c r="Q326" s="304">
        <f t="shared" si="105"/>
        <v>0.5</v>
      </c>
      <c r="R326" s="176">
        <f t="shared" si="106"/>
        <v>0.81927691743519637</v>
      </c>
      <c r="S326" s="814">
        <f t="shared" si="107"/>
        <v>-1</v>
      </c>
      <c r="T326" s="175">
        <f t="shared" si="108"/>
        <v>5</v>
      </c>
      <c r="U326" s="250">
        <f t="shared" si="109"/>
        <v>-0.18072308256480357</v>
      </c>
      <c r="V326" s="382">
        <f t="shared" si="110"/>
        <v>29.961411495645113</v>
      </c>
      <c r="W326" s="401">
        <f t="shared" si="111"/>
        <v>17.820648739654445</v>
      </c>
      <c r="X326" s="157">
        <f t="shared" si="112"/>
        <v>45969</v>
      </c>
      <c r="Y326" s="384">
        <f t="shared" si="113"/>
        <v>17.103439794578748</v>
      </c>
      <c r="Z326" s="384">
        <f t="shared" si="114"/>
        <v>18.129863689256908</v>
      </c>
      <c r="AA326" s="385">
        <f t="shared" si="115"/>
        <v>19.840171374330865</v>
      </c>
      <c r="AB326" s="196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8.6204279832317654E-2</v>
      </c>
      <c r="AD326" s="230">
        <f>(INDEX(Models!$BJ326:$BT326,,AH326)*(1-AF326)+INDEX(Models!$BJ326:$BT326,,AH326+1)*AF326-ERP_i)*AE326*Ramure*Pc/MaxiM</f>
        <v>1.1467176757529657E-3</v>
      </c>
      <c r="AE326" s="304">
        <f t="shared" si="117"/>
        <v>0.5</v>
      </c>
      <c r="AF326" s="176">
        <f t="shared" si="118"/>
        <v>0.93426945725958399</v>
      </c>
      <c r="AG326" s="814">
        <f t="shared" si="124"/>
        <v>1</v>
      </c>
      <c r="AH326" s="175">
        <f t="shared" si="119"/>
        <v>7</v>
      </c>
      <c r="AI326" s="224">
        <f t="shared" si="120"/>
        <v>1.934269457259584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10">
        <f>'2024'!Wh/'2024'!Env_an*'2025'!Env_an</f>
        <v>8.8787930559039161</v>
      </c>
      <c r="C327" s="843"/>
      <c r="D327" s="392">
        <f t="shared" si="102"/>
        <v>9.411839433419015</v>
      </c>
      <c r="E327" s="384">
        <f t="shared" si="125"/>
        <v>9.8898799434945204</v>
      </c>
      <c r="F327" s="384">
        <f t="shared" si="103"/>
        <v>9.8898799434945204</v>
      </c>
      <c r="G327" s="110">
        <f t="shared" si="126"/>
        <v>0.29897829599669212</v>
      </c>
      <c r="H327" s="413" t="b">
        <f>Wh_hp&gt;='2024'!Maxi_hp</f>
        <v>0</v>
      </c>
      <c r="I327" s="389">
        <f>IF(H327,Wh_hp,'2024'!Maxi_hp)</f>
        <v>23.871171034928089</v>
      </c>
      <c r="J327" s="85">
        <f>IF(H327,An,'2024'!An_max)</f>
        <v>2020</v>
      </c>
      <c r="K327" s="196">
        <f t="shared" si="104"/>
        <v>45970</v>
      </c>
      <c r="L327" s="147">
        <f>IF(t&lt;Tvie,1-EXP((T0-t)*PertePVj)+'2024'!Pspv,1-EXP((T0-t)*PertePVj)+Pspv)</f>
        <v>5.6635727934583026E-2</v>
      </c>
      <c r="M327" s="847"/>
      <c r="N327" s="847"/>
      <c r="O327" s="48">
        <f>IF(t&lt;Tnet,'2024'!Resal+('2024'!Salim-'2024'!Resal)*(1-EXP(('2024'!Tnet-t)/('2024'!Tau_j))),Resal+(Salim-Resal)*(1-EXP((Tnet-t)/(Tau_j))))*Salcycl</f>
        <v>4.8336330957177785E-2</v>
      </c>
      <c r="P327" s="168">
        <f>(INDEX(Models!$BJ327:$BT327,,T327)*(1-R327)+INDEX(Models!$BJ327:$BT327,,T327+1)*R327-ERP_i)*Q327*Ramure*Pc/MaxiM</f>
        <v>8.2179574609198683E-5</v>
      </c>
      <c r="Q327" s="304">
        <f t="shared" si="105"/>
        <v>0.5</v>
      </c>
      <c r="R327" s="176">
        <f t="shared" si="106"/>
        <v>0.81930124242427804</v>
      </c>
      <c r="S327" s="814">
        <f t="shared" si="107"/>
        <v>-1</v>
      </c>
      <c r="T327" s="175">
        <f t="shared" si="108"/>
        <v>5</v>
      </c>
      <c r="U327" s="250">
        <f t="shared" si="109"/>
        <v>-0.1806987575757219</v>
      </c>
      <c r="V327" s="382">
        <f t="shared" si="110"/>
        <v>29.694675230090162</v>
      </c>
      <c r="W327" s="401">
        <f t="shared" si="111"/>
        <v>8.8787930559039161</v>
      </c>
      <c r="X327" s="157">
        <f t="shared" si="112"/>
        <v>45970</v>
      </c>
      <c r="Y327" s="384">
        <f t="shared" si="113"/>
        <v>8.5258916568586134</v>
      </c>
      <c r="Z327" s="384">
        <f t="shared" si="114"/>
        <v>9.0377512794626931</v>
      </c>
      <c r="AA327" s="385">
        <f t="shared" si="115"/>
        <v>9.8898799434945204</v>
      </c>
      <c r="AB327" s="196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8.6161679302522831E-2</v>
      </c>
      <c r="AD327" s="230">
        <f>(INDEX(Models!$BJ327:$BT327,,AH327)*(1-AF327)+INDEX(Models!$BJ327:$BT327,,AH327+1)*AF327-ERP_i)*AE327*Ramure*Pc/MaxiM</f>
        <v>1.1833043983579606E-3</v>
      </c>
      <c r="AE327" s="304">
        <f t="shared" si="117"/>
        <v>0.5</v>
      </c>
      <c r="AF327" s="176">
        <f t="shared" si="118"/>
        <v>0.93429378224866566</v>
      </c>
      <c r="AG327" s="814">
        <f t="shared" si="124"/>
        <v>1</v>
      </c>
      <c r="AH327" s="175">
        <f t="shared" si="119"/>
        <v>7</v>
      </c>
      <c r="AI327" s="224">
        <f t="shared" si="120"/>
        <v>1.9342937822486657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10">
        <f>'2024'!Wh/'2024'!Env_an*'2025'!Env_an</f>
        <v>23.874532421544103</v>
      </c>
      <c r="C328" s="843"/>
      <c r="D328" s="392">
        <f t="shared" si="102"/>
        <v>25.308415198998169</v>
      </c>
      <c r="E328" s="384">
        <f t="shared" si="125"/>
        <v>26.594520740227299</v>
      </c>
      <c r="F328" s="384">
        <f t="shared" si="103"/>
        <v>26.596155478556742</v>
      </c>
      <c r="G328" s="110">
        <f t="shared" si="126"/>
        <v>0.81120661390834758</v>
      </c>
      <c r="H328" s="413" t="b">
        <f>Wh_hp&gt;='2024'!Maxi_hp</f>
        <v>1</v>
      </c>
      <c r="I328" s="389">
        <f>IF(H328,Wh_hp,'2024'!Maxi_hp)</f>
        <v>26.596155478556742</v>
      </c>
      <c r="J328" s="85">
        <f>IF(H328,An,'2024'!An_max)</f>
        <v>2025</v>
      </c>
      <c r="K328" s="196">
        <f t="shared" si="104"/>
        <v>45971</v>
      </c>
      <c r="L328" s="147">
        <f>IF(t&lt;Tvie,1-EXP((T0-t)*PertePVj)+'2024'!Pspv,1-EXP((T0-t)*PertePVj)+Pspv)</f>
        <v>5.6656363750142137E-2</v>
      </c>
      <c r="M328" s="847"/>
      <c r="N328" s="847"/>
      <c r="O328" s="48">
        <f>IF(t&lt;Tnet,'2024'!Resal+('2024'!Salim-'2024'!Resal)*(1-EXP(('2024'!Tnet-t)/('2024'!Tau_j))),Resal+(Salim-Resal)*(1-EXP((Tnet-t)/(Tau_j))))*Salcycl</f>
        <v>4.8359793876027478E-2</v>
      </c>
      <c r="P328" s="168">
        <f>(INDEX(Models!$BJ328:$BT328,,T328)*(1-R328)+INDEX(Models!$BJ328:$BT328,,T328+1)*R328-ERP_i)*Q328*Ramure*Pc/MaxiM</f>
        <v>8.4161858230649873E-5</v>
      </c>
      <c r="Q328" s="304">
        <f t="shared" si="105"/>
        <v>0.5</v>
      </c>
      <c r="R328" s="176">
        <f t="shared" si="106"/>
        <v>0.81932459172969918</v>
      </c>
      <c r="S328" s="814">
        <f t="shared" si="107"/>
        <v>-1</v>
      </c>
      <c r="T328" s="175">
        <f t="shared" si="108"/>
        <v>5</v>
      </c>
      <c r="U328" s="250">
        <f t="shared" si="109"/>
        <v>-0.18067540827030076</v>
      </c>
      <c r="V328" s="382">
        <f t="shared" si="110"/>
        <v>29.430221730307501</v>
      </c>
      <c r="W328" s="401">
        <f t="shared" si="111"/>
        <v>23.874532421544103</v>
      </c>
      <c r="X328" s="157">
        <f t="shared" si="112"/>
        <v>45971</v>
      </c>
      <c r="Y328" s="384">
        <f t="shared" si="113"/>
        <v>22.908225161866078</v>
      </c>
      <c r="Z328" s="384">
        <f t="shared" si="114"/>
        <v>24.284072401161048</v>
      </c>
      <c r="AA328" s="385">
        <f t="shared" si="115"/>
        <v>26.572487324276096</v>
      </c>
      <c r="AB328" s="196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8.6119710781624823E-2</v>
      </c>
      <c r="AD328" s="230">
        <f>(INDEX(Models!$BJ328:$BT328,,AH328)*(1-AF328)+INDEX(Models!$BJ328:$BT328,,AH328+1)*AF328-ERP_i)*AE328*Ramure*Pc/MaxiM</f>
        <v>1.2185166330721897E-3</v>
      </c>
      <c r="AE328" s="304">
        <f t="shared" si="117"/>
        <v>0.5</v>
      </c>
      <c r="AF328" s="176">
        <f t="shared" si="118"/>
        <v>0.9343171315540868</v>
      </c>
      <c r="AG328" s="814">
        <f t="shared" si="124"/>
        <v>1</v>
      </c>
      <c r="AH328" s="175">
        <f t="shared" si="119"/>
        <v>7</v>
      </c>
      <c r="AI328" s="224">
        <f t="shared" si="120"/>
        <v>1.9343171315540868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10">
        <f>'2024'!Wh/'2024'!Env_an*'2025'!Env_an</f>
        <v>27.840403471716936</v>
      </c>
      <c r="C329" s="843"/>
      <c r="D329" s="392">
        <f t="shared" si="102"/>
        <v>29.513118460548682</v>
      </c>
      <c r="E329" s="384">
        <f t="shared" si="125"/>
        <v>31.013669773734581</v>
      </c>
      <c r="F329" s="384">
        <f t="shared" si="103"/>
        <v>31.016172555384017</v>
      </c>
      <c r="G329" s="110">
        <f t="shared" si="126"/>
        <v>0.95447751016500604</v>
      </c>
      <c r="H329" s="413" t="b">
        <f>Wh_hp&gt;='2024'!Maxi_hp</f>
        <v>1</v>
      </c>
      <c r="I329" s="389">
        <f>IF(H329,Wh_hp,'2024'!Maxi_hp)</f>
        <v>31.016172555384017</v>
      </c>
      <c r="J329" s="85">
        <f>IF(H329,An,'2024'!An_max)</f>
        <v>2025</v>
      </c>
      <c r="K329" s="196">
        <f t="shared" si="104"/>
        <v>45972</v>
      </c>
      <c r="L329" s="147">
        <f>IF(t&lt;Tvie,1-EXP((T0-t)*PertePVj)+'2024'!Pspv,1-EXP((T0-t)*PertePVj)+Pspv)</f>
        <v>5.6676999113723904E-2</v>
      </c>
      <c r="M329" s="847"/>
      <c r="N329" s="847"/>
      <c r="O329" s="48">
        <f>IF(t&lt;Tnet,'2024'!Resal+('2024'!Salim-'2024'!Resal)*(1-EXP(('2024'!Tnet-t)/('2024'!Tau_j))),Resal+(Salim-Resal)*(1-EXP((Tnet-t)/(Tau_j))))*Salcycl</f>
        <v>4.8383545840702605E-2</v>
      </c>
      <c r="P329" s="168">
        <f>(INDEX(Models!$BJ329:$BT329,,T329)*(1-R329)+INDEX(Models!$BJ329:$BT329,,T329+1)*R329-ERP_i)*Q329*Ramure*Pc/MaxiM</f>
        <v>8.6304713607091461E-5</v>
      </c>
      <c r="Q329" s="304">
        <f t="shared" si="105"/>
        <v>0.5</v>
      </c>
      <c r="R329" s="176">
        <f t="shared" si="106"/>
        <v>0.81934700434329755</v>
      </c>
      <c r="S329" s="814">
        <f t="shared" si="107"/>
        <v>-1</v>
      </c>
      <c r="T329" s="175">
        <f t="shared" si="108"/>
        <v>5</v>
      </c>
      <c r="U329" s="250">
        <f t="shared" si="109"/>
        <v>-0.18065299565670251</v>
      </c>
      <c r="V329" s="382">
        <f t="shared" si="110"/>
        <v>29.168049455888838</v>
      </c>
      <c r="W329" s="401">
        <f t="shared" si="111"/>
        <v>27.840403471716936</v>
      </c>
      <c r="X329" s="157">
        <f t="shared" si="112"/>
        <v>45972</v>
      </c>
      <c r="Y329" s="384">
        <f t="shared" si="113"/>
        <v>26.70845197966624</v>
      </c>
      <c r="Z329" s="384">
        <f t="shared" si="114"/>
        <v>28.313156739073431</v>
      </c>
      <c r="AA329" s="385">
        <f t="shared" si="115"/>
        <v>30.979854869419331</v>
      </c>
      <c r="AB329" s="196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8.6078457810279688E-2</v>
      </c>
      <c r="AD329" s="230">
        <f>(INDEX(Models!$BJ329:$BT329,,AH329)*(1-AF329)+INDEX(Models!$BJ329:$BT329,,AH329+1)*AF329-ERP_i)*AE329*Ramure*Pc/MaxiM</f>
        <v>1.2523615421102308E-3</v>
      </c>
      <c r="AE329" s="304">
        <f t="shared" si="117"/>
        <v>0.5</v>
      </c>
      <c r="AF329" s="176">
        <f t="shared" si="118"/>
        <v>0.93433954416768494</v>
      </c>
      <c r="AG329" s="814">
        <f t="shared" si="124"/>
        <v>1</v>
      </c>
      <c r="AH329" s="175">
        <f t="shared" si="119"/>
        <v>7</v>
      </c>
      <c r="AI329" s="224">
        <f t="shared" si="120"/>
        <v>1.9343395441676849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10">
        <f>'2024'!Wh/'2024'!Env_an*'2025'!Env_an</f>
        <v>27.708154888213997</v>
      </c>
      <c r="C330" s="843"/>
      <c r="D330" s="392">
        <f t="shared" si="102"/>
        <v>29.373566618360705</v>
      </c>
      <c r="E330" s="384">
        <f t="shared" si="125"/>
        <v>30.867803970407003</v>
      </c>
      <c r="F330" s="384">
        <f t="shared" si="103"/>
        <v>30.870377185624601</v>
      </c>
      <c r="G330" s="110">
        <f t="shared" si="126"/>
        <v>0.95848411658718902</v>
      </c>
      <c r="H330" s="413" t="b">
        <f>Wh_hp&gt;='2024'!Maxi_hp</f>
        <v>1</v>
      </c>
      <c r="I330" s="389">
        <f>IF(H330,Wh_hp,'2024'!Maxi_hp)</f>
        <v>30.870377185624601</v>
      </c>
      <c r="J330" s="85">
        <f>IF(H330,An,'2024'!An_max)</f>
        <v>2025</v>
      </c>
      <c r="K330" s="196">
        <f t="shared" si="104"/>
        <v>45973</v>
      </c>
      <c r="L330" s="147">
        <f>IF(t&lt;Tvie,1-EXP((T0-t)*PertePVj)+'2024'!Pspv,1-EXP((T0-t)*PertePVj)+Pspv)</f>
        <v>5.6697634025338207E-2</v>
      </c>
      <c r="M330" s="847"/>
      <c r="N330" s="847"/>
      <c r="O330" s="48">
        <f>IF(t&lt;Tnet,'2024'!Resal+('2024'!Salim-'2024'!Resal)*(1-EXP(('2024'!Tnet-t)/('2024'!Tau_j))),Resal+(Salim-Resal)*(1-EXP((Tnet-t)/(Tau_j))))*Salcycl</f>
        <v>4.8407633840062733E-2</v>
      </c>
      <c r="P330" s="168">
        <f>(INDEX(Models!$BJ330:$BT330,,T330)*(1-R330)+INDEX(Models!$BJ330:$BT330,,T330+1)*R330-ERP_i)*Q330*Ramure*Pc/MaxiM</f>
        <v>8.8610174012441169E-5</v>
      </c>
      <c r="Q330" s="304">
        <f t="shared" si="105"/>
        <v>0.5</v>
      </c>
      <c r="R330" s="176">
        <f t="shared" si="106"/>
        <v>0.81936851770993546</v>
      </c>
      <c r="S330" s="814">
        <f t="shared" si="107"/>
        <v>-1</v>
      </c>
      <c r="T330" s="175">
        <f t="shared" si="108"/>
        <v>5</v>
      </c>
      <c r="U330" s="250">
        <f t="shared" si="109"/>
        <v>-0.18063148229006459</v>
      </c>
      <c r="V330" s="382">
        <f t="shared" si="110"/>
        <v>28.908156951997697</v>
      </c>
      <c r="W330" s="401">
        <f t="shared" si="111"/>
        <v>27.708154888213997</v>
      </c>
      <c r="X330" s="157">
        <f t="shared" si="112"/>
        <v>45973</v>
      </c>
      <c r="Y330" s="384">
        <f t="shared" si="113"/>
        <v>26.582496714645952</v>
      </c>
      <c r="Z330" s="384">
        <f t="shared" si="114"/>
        <v>28.180250228864569</v>
      </c>
      <c r="AA330" s="385">
        <f t="shared" si="115"/>
        <v>30.833065568738952</v>
      </c>
      <c r="AB330" s="196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8.6038001442322445E-2</v>
      </c>
      <c r="AD330" s="230">
        <f>(INDEX(Models!$BJ330:$BT330,,AH330)*(1-AF330)+INDEX(Models!$BJ330:$BT330,,AH330+1)*AF330-ERP_i)*AE330*Ramure*Pc/MaxiM</f>
        <v>1.2848473933736739E-3</v>
      </c>
      <c r="AE330" s="304">
        <f t="shared" si="117"/>
        <v>0.5</v>
      </c>
      <c r="AF330" s="176">
        <f t="shared" si="118"/>
        <v>0.93436105753432286</v>
      </c>
      <c r="AG330" s="814">
        <f t="shared" si="124"/>
        <v>1</v>
      </c>
      <c r="AH330" s="175">
        <f t="shared" si="119"/>
        <v>7</v>
      </c>
      <c r="AI330" s="224">
        <f t="shared" si="120"/>
        <v>1.9343610575343229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10">
        <f>'2024'!Wh/'2024'!Env_an*'2025'!Env_an</f>
        <v>24.294510713426966</v>
      </c>
      <c r="C331" s="843"/>
      <c r="D331" s="392">
        <f t="shared" si="102"/>
        <v>25.755307138629249</v>
      </c>
      <c r="E331" s="384">
        <f t="shared" si="125"/>
        <v>27.066179125342146</v>
      </c>
      <c r="F331" s="384">
        <f t="shared" si="103"/>
        <v>27.068109200674343</v>
      </c>
      <c r="G331" s="110">
        <f t="shared" si="126"/>
        <v>0.84797428310503287</v>
      </c>
      <c r="H331" s="413" t="b">
        <f>Wh_hp&gt;='2024'!Maxi_hp</f>
        <v>0</v>
      </c>
      <c r="I331" s="389">
        <f>IF(H331,Wh_hp,'2024'!Maxi_hp)</f>
        <v>31.04926746236552</v>
      </c>
      <c r="J331" s="85">
        <f>IF(H331,An,'2024'!An_max)</f>
        <v>2020</v>
      </c>
      <c r="K331" s="196">
        <f t="shared" si="104"/>
        <v>45974</v>
      </c>
      <c r="L331" s="147">
        <f>IF(t&lt;Tvie,1-EXP((T0-t)*PertePVj)+'2024'!Pspv,1-EXP((T0-t)*PertePVj)+Pspv)</f>
        <v>5.6718268484995039E-2</v>
      </c>
      <c r="M331" s="847"/>
      <c r="N331" s="847"/>
      <c r="O331" s="48">
        <f>IF(t&lt;Tnet,'2024'!Resal+('2024'!Salim-'2024'!Resal)*(1-EXP(('2024'!Tnet-t)/('2024'!Tau_j))),Resal+(Salim-Resal)*(1-EXP((Tnet-t)/(Tau_j))))*Salcycl</f>
        <v>4.8432103424805979E-2</v>
      </c>
      <c r="P331" s="168">
        <f>(INDEX(Models!$BJ331:$BT331,,T331)*(1-R331)+INDEX(Models!$BJ331:$BT331,,T331+1)*R331-ERP_i)*Q331*Ramure*Pc/MaxiM</f>
        <v>9.1083751393362388E-5</v>
      </c>
      <c r="Q331" s="304">
        <f t="shared" si="105"/>
        <v>0.5</v>
      </c>
      <c r="R331" s="176">
        <f t="shared" si="106"/>
        <v>0.81938916778798587</v>
      </c>
      <c r="S331" s="814">
        <f t="shared" si="107"/>
        <v>-1</v>
      </c>
      <c r="T331" s="175">
        <f t="shared" si="108"/>
        <v>5</v>
      </c>
      <c r="U331" s="250">
        <f t="shared" si="109"/>
        <v>-0.18061083221201413</v>
      </c>
      <c r="V331" s="382">
        <f t="shared" si="110"/>
        <v>28.64948929887408</v>
      </c>
      <c r="W331" s="401">
        <f t="shared" si="111"/>
        <v>24.294510713426966</v>
      </c>
      <c r="X331" s="157">
        <f t="shared" si="112"/>
        <v>45974</v>
      </c>
      <c r="Y331" s="384">
        <f t="shared" si="113"/>
        <v>23.313024942034019</v>
      </c>
      <c r="Z331" s="384">
        <f t="shared" si="114"/>
        <v>24.714805940947215</v>
      </c>
      <c r="AA331" s="385">
        <f t="shared" si="115"/>
        <v>27.040222334716578</v>
      </c>
      <c r="AB331" s="196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8.5998419871858509E-2</v>
      </c>
      <c r="AD331" s="230">
        <f>(INDEX(Models!$BJ331:$BT331,,AH331)*(1-AF331)+INDEX(Models!$BJ331:$BT331,,AH331+1)*AF331-ERP_i)*AE331*Ramure*Pc/MaxiM</f>
        <v>1.316031723562803E-3</v>
      </c>
      <c r="AE331" s="304">
        <f t="shared" si="117"/>
        <v>0.5</v>
      </c>
      <c r="AF331" s="176">
        <f t="shared" si="118"/>
        <v>0.93438170761237327</v>
      </c>
      <c r="AG331" s="814">
        <f t="shared" si="124"/>
        <v>1</v>
      </c>
      <c r="AH331" s="175">
        <f t="shared" si="119"/>
        <v>7</v>
      </c>
      <c r="AI331" s="224">
        <f t="shared" si="120"/>
        <v>1.9343817076123733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10">
        <f>'2024'!Wh/'2024'!Env_an*'2025'!Env_an</f>
        <v>11.406426179795197</v>
      </c>
      <c r="C332" s="843"/>
      <c r="D332" s="392">
        <f t="shared" si="102"/>
        <v>12.092543845959865</v>
      </c>
      <c r="E332" s="384">
        <f t="shared" si="125"/>
        <v>12.708352462128651</v>
      </c>
      <c r="F332" s="384">
        <f t="shared" si="103"/>
        <v>12.708525323575357</v>
      </c>
      <c r="G332" s="110">
        <f t="shared" si="126"/>
        <v>0.40172537890123067</v>
      </c>
      <c r="H332" s="413" t="b">
        <f>Wh_hp&gt;='2024'!Maxi_hp</f>
        <v>0</v>
      </c>
      <c r="I332" s="389">
        <f>IF(H332,Wh_hp,'2024'!Maxi_hp)</f>
        <v>19.84263142805246</v>
      </c>
      <c r="J332" s="85">
        <f>IF(H332,An,'2024'!An_max)</f>
        <v>2020</v>
      </c>
      <c r="K332" s="196">
        <f t="shared" si="104"/>
        <v>45975</v>
      </c>
      <c r="L332" s="147">
        <f>IF(t&lt;Tvie,1-EXP((T0-t)*PertePVj)+'2024'!Pspv,1-EXP((T0-t)*PertePVj)+Pspv)</f>
        <v>5.6738902492704281E-2</v>
      </c>
      <c r="M332" s="847"/>
      <c r="N332" s="847"/>
      <c r="O332" s="48">
        <f>IF(t&lt;Tnet,'2024'!Resal+('2024'!Salim-'2024'!Resal)*(1-EXP(('2024'!Tnet-t)/('2024'!Tau_j))),Resal+(Salim-Resal)*(1-EXP((Tnet-t)/(Tau_j))))*Salcycl</f>
        <v>4.8456998497949905E-2</v>
      </c>
      <c r="P332" s="168">
        <f>(INDEX(Models!$BJ332:$BT332,,T332)*(1-R332)+INDEX(Models!$BJ332:$BT332,,T332+1)*R332-ERP_i)*Q332*Ramure*Pc/MaxiM</f>
        <v>9.3569555562363608E-5</v>
      </c>
      <c r="Q332" s="304">
        <f t="shared" si="105"/>
        <v>0.5</v>
      </c>
      <c r="R332" s="176">
        <f t="shared" si="106"/>
        <v>0.81940898910752291</v>
      </c>
      <c r="S332" s="814">
        <f t="shared" si="107"/>
        <v>-1</v>
      </c>
      <c r="T332" s="175">
        <f t="shared" si="108"/>
        <v>5</v>
      </c>
      <c r="U332" s="250">
        <f t="shared" si="109"/>
        <v>-0.18059101089247714</v>
      </c>
      <c r="V332" s="382">
        <f t="shared" si="110"/>
        <v>28.391320594782364</v>
      </c>
      <c r="W332" s="401">
        <f t="shared" si="111"/>
        <v>11.406426179795197</v>
      </c>
      <c r="X332" s="157">
        <f t="shared" si="112"/>
        <v>45975</v>
      </c>
      <c r="Y332" s="384">
        <f t="shared" si="113"/>
        <v>10.954879392614338</v>
      </c>
      <c r="Z332" s="384">
        <f t="shared" si="114"/>
        <v>11.613835682998266</v>
      </c>
      <c r="AA332" s="385">
        <f t="shared" si="115"/>
        <v>12.706044582609346</v>
      </c>
      <c r="AB332" s="196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8.5959788076454352E-2</v>
      </c>
      <c r="AD332" s="230">
        <f>(INDEX(Models!$BJ332:$BT332,,AH332)*(1-AF332)+INDEX(Models!$BJ332:$BT332,,AH332+1)*AF332-ERP_i)*AE332*Ramure*Pc/MaxiM</f>
        <v>1.3428201260552899E-3</v>
      </c>
      <c r="AE332" s="304">
        <f t="shared" si="117"/>
        <v>0.5</v>
      </c>
      <c r="AF332" s="176">
        <f t="shared" si="118"/>
        <v>0.93440152893191031</v>
      </c>
      <c r="AG332" s="814">
        <f t="shared" si="124"/>
        <v>1</v>
      </c>
      <c r="AH332" s="175">
        <f t="shared" si="119"/>
        <v>7</v>
      </c>
      <c r="AI332" s="224">
        <f t="shared" si="120"/>
        <v>1.9344015289319103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10">
        <f>'2024'!Wh/'2024'!Env_an*'2025'!Env_an</f>
        <v>12.354343822300896</v>
      </c>
      <c r="C333" s="843"/>
      <c r="D333" s="392">
        <f t="shared" si="102"/>
        <v>13.097767000521534</v>
      </c>
      <c r="E333" s="384">
        <f t="shared" si="125"/>
        <v>13.765133157032803</v>
      </c>
      <c r="F333" s="384">
        <f t="shared" si="103"/>
        <v>13.765395460088415</v>
      </c>
      <c r="G333" s="110">
        <f t="shared" si="126"/>
        <v>0.43908909630515641</v>
      </c>
      <c r="H333" s="413" t="b">
        <f>Wh_hp&gt;='2024'!Maxi_hp</f>
        <v>0</v>
      </c>
      <c r="I333" s="389">
        <f>IF(H333,Wh_hp,'2024'!Maxi_hp)</f>
        <v>29.001692225643055</v>
      </c>
      <c r="J333" s="85">
        <f>IF(H333,An,'2024'!An_max)</f>
        <v>2020</v>
      </c>
      <c r="K333" s="196">
        <f t="shared" si="104"/>
        <v>45976</v>
      </c>
      <c r="L333" s="147">
        <f>IF(t&lt;Tvie,1-EXP((T0-t)*PertePVj)+'2024'!Pspv,1-EXP((T0-t)*PertePVj)+Pspv)</f>
        <v>5.6759536048475702E-2</v>
      </c>
      <c r="M333" s="847"/>
      <c r="N333" s="847"/>
      <c r="O333" s="48">
        <f>IF(t&lt;Tnet,'2024'!Resal+('2024'!Salim-'2024'!Resal)*(1-EXP(('2024'!Tnet-t)/('2024'!Tau_j))),Resal+(Salim-Resal)*(1-EXP((Tnet-t)/(Tau_j))))*Salcycl</f>
        <v>4.8482361114705393E-2</v>
      </c>
      <c r="P333" s="168">
        <f>(INDEX(Models!$BJ333:$BT333,,T333)*(1-R333)+INDEX(Models!$BJ333:$BT333,,T333+1)*R333-ERP_i)*Q333*Ramure*Pc/MaxiM</f>
        <v>9.5876967745029174E-5</v>
      </c>
      <c r="Q333" s="304">
        <f t="shared" si="105"/>
        <v>0.5</v>
      </c>
      <c r="R333" s="176">
        <f t="shared" si="106"/>
        <v>0.8194280148262999</v>
      </c>
      <c r="S333" s="814">
        <f t="shared" si="107"/>
        <v>-1</v>
      </c>
      <c r="T333" s="175">
        <f t="shared" si="108"/>
        <v>5</v>
      </c>
      <c r="U333" s="250">
        <f t="shared" si="109"/>
        <v>-0.1805719851737001</v>
      </c>
      <c r="V333" s="382">
        <f t="shared" si="110"/>
        <v>28.134141399219779</v>
      </c>
      <c r="W333" s="401">
        <f t="shared" si="111"/>
        <v>12.354343822300896</v>
      </c>
      <c r="X333" s="157">
        <f t="shared" si="112"/>
        <v>45976</v>
      </c>
      <c r="Y333" s="384">
        <f t="shared" si="113"/>
        <v>11.865240058450913</v>
      </c>
      <c r="Z333" s="384">
        <f t="shared" si="114"/>
        <v>12.579231396354409</v>
      </c>
      <c r="AA333" s="385">
        <f t="shared" si="115"/>
        <v>13.761663489067937</v>
      </c>
      <c r="AB333" s="196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8.5922177478967909E-2</v>
      </c>
      <c r="AD333" s="230">
        <f>(INDEX(Models!$BJ333:$BT333,,AH333)*(1-AF333)+INDEX(Models!$BJ333:$BT333,,AH333+1)*AF333-ERP_i)*AE333*Ramure*Pc/MaxiM</f>
        <v>1.3641094051415948E-3</v>
      </c>
      <c r="AE333" s="304">
        <f t="shared" si="117"/>
        <v>0.5</v>
      </c>
      <c r="AF333" s="176">
        <f t="shared" si="118"/>
        <v>0.93442055465068741</v>
      </c>
      <c r="AG333" s="814">
        <f t="shared" si="124"/>
        <v>1</v>
      </c>
      <c r="AH333" s="175">
        <f t="shared" si="119"/>
        <v>7</v>
      </c>
      <c r="AI333" s="224">
        <f t="shared" si="120"/>
        <v>1.9344205546506874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10">
        <f>'2024'!Wh/'2024'!Env_an*'2025'!Env_an</f>
        <v>27.445343583191054</v>
      </c>
      <c r="C334" s="843"/>
      <c r="D334" s="392">
        <f t="shared" si="102"/>
        <v>29.097504829309688</v>
      </c>
      <c r="E334" s="384">
        <f t="shared" si="125"/>
        <v>30.580931739279499</v>
      </c>
      <c r="F334" s="384">
        <f t="shared" si="103"/>
        <v>30.583862584989568</v>
      </c>
      <c r="G334" s="110">
        <f t="shared" si="126"/>
        <v>0.98446279770048573</v>
      </c>
      <c r="H334" s="413" t="b">
        <f>Wh_hp&gt;='2024'!Maxi_hp</f>
        <v>1</v>
      </c>
      <c r="I334" s="389">
        <f>IF(H334,Wh_hp,'2024'!Maxi_hp)</f>
        <v>30.583862584989568</v>
      </c>
      <c r="J334" s="85">
        <f>IF(H334,An,'2024'!An_max)</f>
        <v>2025</v>
      </c>
      <c r="K334" s="196">
        <f t="shared" si="104"/>
        <v>45977</v>
      </c>
      <c r="L334" s="147">
        <f>IF(t&lt;Tvie,1-EXP((T0-t)*PertePVj)+'2024'!Pspv,1-EXP((T0-t)*PertePVj)+Pspv)</f>
        <v>5.6780169152319405E-2</v>
      </c>
      <c r="M334" s="847"/>
      <c r="N334" s="847"/>
      <c r="O334" s="48">
        <f>IF(t&lt;Tnet,'2024'!Resal+('2024'!Salim-'2024'!Resal)*(1-EXP(('2024'!Tnet-t)/('2024'!Tau_j))),Resal+(Salim-Resal)*(1-EXP((Tnet-t)/(Tau_j))))*Salcycl</f>
        <v>4.8508231293176503E-2</v>
      </c>
      <c r="P334" s="168">
        <f>(INDEX(Models!$BJ334:$BT334,,T334)*(1-R334)+INDEX(Models!$BJ334:$BT334,,T334+1)*R334-ERP_i)*Q334*Ramure*Pc/MaxiM</f>
        <v>9.8004824595631271E-5</v>
      </c>
      <c r="Q334" s="304">
        <f t="shared" si="105"/>
        <v>0.5</v>
      </c>
      <c r="R334" s="176">
        <f t="shared" si="106"/>
        <v>0.81944627678359372</v>
      </c>
      <c r="S334" s="814">
        <f t="shared" si="107"/>
        <v>-1</v>
      </c>
      <c r="T334" s="175">
        <f t="shared" si="108"/>
        <v>5</v>
      </c>
      <c r="U334" s="250">
        <f t="shared" si="109"/>
        <v>-0.18055372321640634</v>
      </c>
      <c r="V334" s="382">
        <f t="shared" si="110"/>
        <v>27.878436795708929</v>
      </c>
      <c r="W334" s="401">
        <f t="shared" si="111"/>
        <v>27.445343583191054</v>
      </c>
      <c r="X334" s="157">
        <f t="shared" si="112"/>
        <v>45977</v>
      </c>
      <c r="Y334" s="384">
        <f t="shared" si="113"/>
        <v>26.334156930396571</v>
      </c>
      <c r="Z334" s="384">
        <f t="shared" si="114"/>
        <v>27.919426701122067</v>
      </c>
      <c r="AA334" s="385">
        <f t="shared" si="115"/>
        <v>30.542597731990266</v>
      </c>
      <c r="AB334" s="196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8.5885655630421123E-2</v>
      </c>
      <c r="AD334" s="230">
        <f>(INDEX(Models!$BJ334:$BT334,,AH334)*(1-AF334)+INDEX(Models!$BJ334:$BT334,,AH334+1)*AF334-ERP_i)*AE334*Ramure*Pc/MaxiM</f>
        <v>1.3798592898521147E-3</v>
      </c>
      <c r="AE334" s="304">
        <f t="shared" si="117"/>
        <v>0.5</v>
      </c>
      <c r="AF334" s="176">
        <f t="shared" si="118"/>
        <v>0.93443881660798112</v>
      </c>
      <c r="AG334" s="814">
        <f t="shared" si="124"/>
        <v>1</v>
      </c>
      <c r="AH334" s="175">
        <f t="shared" si="119"/>
        <v>7</v>
      </c>
      <c r="AI334" s="224">
        <f t="shared" si="120"/>
        <v>1.9344388166079811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10">
        <f>'2024'!Wh/'2024'!Env_an*'2025'!Env_an</f>
        <v>14.140504405010232</v>
      </c>
      <c r="C335" s="843"/>
      <c r="D335" s="392">
        <f t="shared" ref="D335:D379" si="127">Wh/(1-Ppv)</f>
        <v>14.992065760933208</v>
      </c>
      <c r="E335" s="384">
        <f t="shared" si="125"/>
        <v>15.756817325085102</v>
      </c>
      <c r="F335" s="384">
        <f t="shared" ref="F335:F379" si="128">Wh_sa/(1-Pvg*MEDIAN((-Sdif+Wh/Env_an)/Csdif,0,1))</f>
        <v>15.757294043534792</v>
      </c>
      <c r="G335" s="110">
        <f t="shared" si="126"/>
        <v>0.51184349397677764</v>
      </c>
      <c r="H335" s="413" t="b">
        <f>Wh_hp&gt;='2024'!Maxi_hp</f>
        <v>0</v>
      </c>
      <c r="I335" s="389">
        <f>IF(H335,Wh_hp,'2024'!Maxi_hp)</f>
        <v>29.428386616561589</v>
      </c>
      <c r="J335" s="85">
        <f>IF(H335,An,'2024'!An_max)</f>
        <v>2018</v>
      </c>
      <c r="K335" s="196">
        <f t="shared" ref="K335:K379" si="129">t</f>
        <v>45978</v>
      </c>
      <c r="L335" s="147">
        <f>IF(t&lt;Tvie,1-EXP((T0-t)*PertePVj)+'2024'!Pspv,1-EXP((T0-t)*PertePVj)+Pspv)</f>
        <v>5.6800801804245162E-2</v>
      </c>
      <c r="M335" s="847"/>
      <c r="N335" s="847"/>
      <c r="O335" s="48">
        <f>IF(t&lt;Tnet,'2024'!Resal+('2024'!Salim-'2024'!Resal)*(1-EXP(('2024'!Tnet-t)/('2024'!Tau_j))),Resal+(Salim-Resal)*(1-EXP((Tnet-t)/(Tau_j))))*Salcycl</f>
        <v>4.8534646837238987E-2</v>
      </c>
      <c r="P335" s="168">
        <f>(INDEX(Models!$BJ335:$BT335,,T335)*(1-R335)+INDEX(Models!$BJ335:$BT335,,T335+1)*R335-ERP_i)*Q335*Ramure*Pc/MaxiM</f>
        <v>9.9951678980528952E-5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0.81946380555199028</v>
      </c>
      <c r="S335" s="814">
        <f t="shared" ref="S335:S379" si="132">INDEX(Echel_vg,T335)</f>
        <v>-1</v>
      </c>
      <c r="T335" s="175">
        <f t="shared" ref="T335:T379" si="133">MIN(MATCH(Hp_vg,Echel_vg),10)</f>
        <v>5</v>
      </c>
      <c r="U335" s="250">
        <f t="shared" ref="U335:U379" si="134">IF(OR(t&lt;Ttai,Notai),Hdd+PousH*Croivg,Hdtf+PousH*(Croivg-Croi_tai))</f>
        <v>-0.18053619444800978</v>
      </c>
      <c r="V335" s="382">
        <f t="shared" ref="V335:V379" si="135">MaxiM*(1-Ppv)*(1-Pvg)*(1-Psa)</f>
        <v>27.624691881015444</v>
      </c>
      <c r="W335" s="401">
        <f t="shared" ref="W335:W379" si="136">Wh*(A335&gt;Tmaj)</f>
        <v>14.140504405010232</v>
      </c>
      <c r="X335" s="157">
        <f t="shared" ref="X335:X379" si="137">t</f>
        <v>45978</v>
      </c>
      <c r="Y335" s="384">
        <f t="shared" ref="Y335:Y379" si="138">Wh_pvt_s*(1-Ppv)</f>
        <v>13.580620929861068</v>
      </c>
      <c r="Z335" s="384">
        <f t="shared" ref="Z335:Z379" si="139">Wh_sa_s*(1-Psa_s)</f>
        <v>14.398465303871578</v>
      </c>
      <c r="AA335" s="385">
        <f t="shared" ref="AA335:AA379" si="140">Wh_hp*(1-Pvg_s*MEDIAN((-Sdif+Wh/Env_an)/Csdif,0,1))</f>
        <v>15.750664340907939</v>
      </c>
      <c r="AB335" s="196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8.5850285916156691E-2</v>
      </c>
      <c r="AD335" s="230">
        <f>(INDEX(Models!$BJ335:$BT335,,AH335)*(1-AF335)+INDEX(Models!$BJ335:$BT335,,AH335+1)*AF335-ERP_i)*AE335*Ramure*Pc/MaxiM</f>
        <v>1.3900236274195772E-3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0.93445634537637767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1.9344563453763777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10">
        <f>'2024'!Wh/'2024'!Env_an*'2025'!Env_an</f>
        <v>12.617997342553309</v>
      </c>
      <c r="C336" s="843"/>
      <c r="D336" s="392">
        <f t="shared" si="127"/>
        <v>13.378163793652558</v>
      </c>
      <c r="E336" s="384">
        <f t="shared" si="125"/>
        <v>14.06098849983943</v>
      </c>
      <c r="F336" s="384">
        <f t="shared" si="128"/>
        <v>14.061317374379193</v>
      </c>
      <c r="G336" s="110">
        <f t="shared" si="126"/>
        <v>0.46092238392240342</v>
      </c>
      <c r="H336" s="413" t="b">
        <f>Wh_hp&gt;='2024'!Maxi_hp</f>
        <v>0</v>
      </c>
      <c r="I336" s="389">
        <f>IF(H336,Wh_hp,'2024'!Maxi_hp)</f>
        <v>28.461608184939823</v>
      </c>
      <c r="J336" s="85">
        <f>IF(H336,An,'2024'!An_max)</f>
        <v>2020</v>
      </c>
      <c r="K336" s="196">
        <f t="shared" si="129"/>
        <v>45979</v>
      </c>
      <c r="L336" s="147">
        <f>IF(t&lt;Tvie,1-EXP((T0-t)*PertePVj)+'2024'!Pspv,1-EXP((T0-t)*PertePVj)+Pspv)</f>
        <v>5.6821434004262851E-2</v>
      </c>
      <c r="M336" s="847"/>
      <c r="N336" s="847"/>
      <c r="O336" s="48">
        <f>IF(t&lt;Tnet,'2024'!Resal+('2024'!Salim-'2024'!Resal)*(1-EXP(('2024'!Tnet-t)/('2024'!Tau_j))),Resal+(Salim-Resal)*(1-EXP((Tnet-t)/(Tau_j))))*Salcycl</f>
        <v>4.8561643172858666E-2</v>
      </c>
      <c r="P336" s="168">
        <f>(INDEX(Models!$BJ336:$BT336,,T336)*(1-R336)+INDEX(Models!$BJ336:$BT336,,T336+1)*R336-ERP_i)*Q336*Ramure*Pc/MaxiM</f>
        <v>1.0171579375951756E-4</v>
      </c>
      <c r="Q336" s="304">
        <f t="shared" si="130"/>
        <v>0.5</v>
      </c>
      <c r="R336" s="176">
        <f t="shared" si="131"/>
        <v>0.81948063048718822</v>
      </c>
      <c r="S336" s="814">
        <f t="shared" si="132"/>
        <v>-1</v>
      </c>
      <c r="T336" s="175">
        <f t="shared" si="133"/>
        <v>5</v>
      </c>
      <c r="U336" s="250">
        <f t="shared" si="134"/>
        <v>-0.18051936951281178</v>
      </c>
      <c r="V336" s="382">
        <f t="shared" si="135"/>
        <v>27.373391762308948</v>
      </c>
      <c r="W336" s="401">
        <f t="shared" si="136"/>
        <v>12.617997342553309</v>
      </c>
      <c r="X336" s="157">
        <f t="shared" si="137"/>
        <v>45979</v>
      </c>
      <c r="Y336" s="384">
        <f t="shared" si="138"/>
        <v>12.120323289610161</v>
      </c>
      <c r="Z336" s="384">
        <f t="shared" si="139"/>
        <v>12.850507556662331</v>
      </c>
      <c r="AA336" s="385">
        <f t="shared" si="140"/>
        <v>14.056808417032173</v>
      </c>
      <c r="AB336" s="196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8.581612728734396E-2</v>
      </c>
      <c r="AD336" s="230">
        <f>(INDEX(Models!$BJ336:$BT336,,AH336)*(1-AF336)+INDEX(Models!$BJ336:$BT336,,AH336+1)*AF336-ERP_i)*AE336*Ramure*Pc/MaxiM</f>
        <v>1.3945505660258209E-3</v>
      </c>
      <c r="AE336" s="304">
        <f t="shared" si="142"/>
        <v>0.5</v>
      </c>
      <c r="AF336" s="176">
        <f t="shared" si="143"/>
        <v>0.93447317031157562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1.9344731703115756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10">
        <f>'2024'!Wh/'2024'!Env_an*'2025'!Env_an</f>
        <v>8.3916080075016612</v>
      </c>
      <c r="C337" s="843"/>
      <c r="D337" s="392">
        <f t="shared" si="127"/>
        <v>8.897351867368716</v>
      </c>
      <c r="E337" s="384">
        <f t="shared" si="125"/>
        <v>9.3517462329335892</v>
      </c>
      <c r="F337" s="384">
        <f t="shared" si="128"/>
        <v>9.3517591603684895</v>
      </c>
      <c r="G337" s="110">
        <f t="shared" si="126"/>
        <v>0.30933626270952419</v>
      </c>
      <c r="H337" s="413" t="b">
        <f>Wh_hp&gt;='2024'!Maxi_hp</f>
        <v>0</v>
      </c>
      <c r="I337" s="389">
        <f>IF(H337,Wh_hp,'2024'!Maxi_hp)</f>
        <v>29.760900399703338</v>
      </c>
      <c r="J337" s="85">
        <f>IF(H337,An,'2024'!An_max)</f>
        <v>2021</v>
      </c>
      <c r="K337" s="196">
        <f t="shared" si="129"/>
        <v>45980</v>
      </c>
      <c r="L337" s="147">
        <f>IF(t&lt;Tvie,1-EXP((T0-t)*PertePVj)+'2024'!Pspv,1-EXP((T0-t)*PertePVj)+Pspv)</f>
        <v>5.6842065752382355E-2</v>
      </c>
      <c r="M337" s="847"/>
      <c r="N337" s="847"/>
      <c r="O337" s="48">
        <f>IF(t&lt;Tnet,'2024'!Resal+('2024'!Salim-'2024'!Resal)*(1-EXP(('2024'!Tnet-t)/('2024'!Tau_j))),Resal+(Salim-Resal)*(1-EXP((Tnet-t)/(Tau_j))))*Salcycl</f>
        <v>4.8589253199007303E-2</v>
      </c>
      <c r="P337" s="168">
        <f>(INDEX(Models!$BJ337:$BT337,,T337)*(1-R337)+INDEX(Models!$BJ337:$BT337,,T337+1)*R337-ERP_i)*Q337*Ramure*Pc/MaxiM</f>
        <v>1.0329513785245084E-4</v>
      </c>
      <c r="Q337" s="304">
        <f t="shared" si="130"/>
        <v>0.5</v>
      </c>
      <c r="R337" s="176">
        <f t="shared" si="131"/>
        <v>0.81949677977589053</v>
      </c>
      <c r="S337" s="814">
        <f t="shared" si="132"/>
        <v>-1</v>
      </c>
      <c r="T337" s="175">
        <f t="shared" si="133"/>
        <v>5</v>
      </c>
      <c r="U337" s="250">
        <f t="shared" si="134"/>
        <v>-0.18050322022410947</v>
      </c>
      <c r="V337" s="382">
        <f t="shared" si="135"/>
        <v>27.125021556426731</v>
      </c>
      <c r="W337" s="401">
        <f t="shared" si="136"/>
        <v>8.3916080075016612</v>
      </c>
      <c r="X337" s="157">
        <f t="shared" si="137"/>
        <v>45980</v>
      </c>
      <c r="Y337" s="384">
        <f t="shared" si="138"/>
        <v>8.0634114228361113</v>
      </c>
      <c r="Z337" s="384">
        <f t="shared" si="139"/>
        <v>8.5493755924011925</v>
      </c>
      <c r="AA337" s="385">
        <f t="shared" si="140"/>
        <v>9.3515847778549954</v>
      </c>
      <c r="AB337" s="196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8.5783234019700449E-2</v>
      </c>
      <c r="AD337" s="230">
        <f>(INDEX(Models!$BJ337:$BT337,,AH337)*(1-AF337)+INDEX(Models!$BJ337:$BT337,,AH337+1)*AF337-ERP_i)*AE337*Ramure*Pc/MaxiM</f>
        <v>1.3933828257913544E-3</v>
      </c>
      <c r="AE337" s="304">
        <f t="shared" si="142"/>
        <v>0.5</v>
      </c>
      <c r="AF337" s="176">
        <f t="shared" si="143"/>
        <v>0.93448931960027792</v>
      </c>
      <c r="AG337" s="814">
        <f t="shared" si="149"/>
        <v>1</v>
      </c>
      <c r="AH337" s="175">
        <f t="shared" si="144"/>
        <v>7</v>
      </c>
      <c r="AI337" s="224">
        <f t="shared" si="145"/>
        <v>1.9344893196002779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10">
        <f>'2024'!Wh/'2024'!Env_an*'2025'!Env_an</f>
        <v>17.256890684882968</v>
      </c>
      <c r="C338" s="843"/>
      <c r="D338" s="392">
        <f t="shared" si="127"/>
        <v>18.297325989419029</v>
      </c>
      <c r="E338" s="384">
        <f t="shared" si="125"/>
        <v>19.232355153696385</v>
      </c>
      <c r="F338" s="384">
        <f t="shared" si="128"/>
        <v>19.233338040681925</v>
      </c>
      <c r="G338" s="110">
        <f t="shared" si="126"/>
        <v>0.64196143332225475</v>
      </c>
      <c r="H338" s="413" t="b">
        <f>Wh_hp&gt;='2024'!Maxi_hp</f>
        <v>0</v>
      </c>
      <c r="I338" s="389">
        <f>IF(H338,Wh_hp,'2024'!Maxi_hp)</f>
        <v>30.755738511673645</v>
      </c>
      <c r="J338" s="85">
        <f>IF(H338,An,'2024'!An_max)</f>
        <v>2019</v>
      </c>
      <c r="K338" s="196">
        <f t="shared" si="129"/>
        <v>45981</v>
      </c>
      <c r="L338" s="147">
        <f>IF(t&lt;Tvie,1-EXP((T0-t)*PertePVj)+'2024'!Pspv,1-EXP((T0-t)*PertePVj)+Pspv)</f>
        <v>5.6862697048613776E-2</v>
      </c>
      <c r="M338" s="847"/>
      <c r="N338" s="847"/>
      <c r="O338" s="48">
        <f>IF(t&lt;Tnet,'2024'!Resal+('2024'!Salim-'2024'!Resal)*(1-EXP(('2024'!Tnet-t)/('2024'!Tau_j))),Resal+(Salim-Resal)*(1-EXP((Tnet-t)/(Tau_j))))*Salcycl</f>
        <v>4.8617507154221147E-2</v>
      </c>
      <c r="P338" s="168">
        <f>(INDEX(Models!$BJ338:$BT338,,T338)*(1-R338)+INDEX(Models!$BJ338:$BT338,,T338+1)*R338-ERP_i)*Q338*Ramure*Pc/MaxiM</f>
        <v>1.0459868245259811E-4</v>
      </c>
      <c r="Q338" s="304">
        <f t="shared" si="130"/>
        <v>0.5</v>
      </c>
      <c r="R338" s="176">
        <f t="shared" si="131"/>
        <v>0.81951228048185398</v>
      </c>
      <c r="S338" s="814">
        <f t="shared" si="132"/>
        <v>-1</v>
      </c>
      <c r="T338" s="175">
        <f t="shared" si="133"/>
        <v>5</v>
      </c>
      <c r="U338" s="250">
        <f t="shared" si="134"/>
        <v>-0.18048771951814602</v>
      </c>
      <c r="V338" s="382">
        <f t="shared" si="135"/>
        <v>26.88006876734309</v>
      </c>
      <c r="W338" s="401">
        <f t="shared" si="136"/>
        <v>17.256890684882968</v>
      </c>
      <c r="X338" s="157">
        <f t="shared" si="137"/>
        <v>45981</v>
      </c>
      <c r="Y338" s="384">
        <f t="shared" si="138"/>
        <v>16.572934923221876</v>
      </c>
      <c r="Z338" s="384">
        <f t="shared" si="139"/>
        <v>17.572133846641123</v>
      </c>
      <c r="AA338" s="385">
        <f t="shared" si="140"/>
        <v>19.220306990298269</v>
      </c>
      <c r="AB338" s="196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8.5751655501084642E-2</v>
      </c>
      <c r="AD338" s="230">
        <f>(INDEX(Models!$BJ338:$BT338,,AH338)*(1-AF338)+INDEX(Models!$BJ338:$BT338,,AH338+1)*AF338-ERP_i)*AE338*Ramure*Pc/MaxiM</f>
        <v>1.386762385867158E-3</v>
      </c>
      <c r="AE338" s="304">
        <f t="shared" si="142"/>
        <v>0.5</v>
      </c>
      <c r="AF338" s="176">
        <f t="shared" si="143"/>
        <v>0.93450482030624138</v>
      </c>
      <c r="AG338" s="814">
        <f t="shared" si="149"/>
        <v>1</v>
      </c>
      <c r="AH338" s="175">
        <f t="shared" si="144"/>
        <v>7</v>
      </c>
      <c r="AI338" s="224">
        <f t="shared" si="145"/>
        <v>1.9345048203062414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10">
        <f>'2024'!Wh/'2024'!Env_an*'2025'!Env_an</f>
        <v>2.9537848491231635</v>
      </c>
      <c r="C339" s="843"/>
      <c r="D339" s="392">
        <f t="shared" si="127"/>
        <v>3.131940020235314</v>
      </c>
      <c r="E339" s="384">
        <f t="shared" si="125"/>
        <v>3.2920883751606969</v>
      </c>
      <c r="F339" s="384">
        <f t="shared" si="128"/>
        <v>3.2920883751606969</v>
      </c>
      <c r="G339" s="110">
        <f t="shared" si="126"/>
        <v>0.11087018329629333</v>
      </c>
      <c r="H339" s="413" t="b">
        <f>Wh_hp&gt;='2024'!Maxi_hp</f>
        <v>0</v>
      </c>
      <c r="I339" s="389">
        <f>IF(H339,Wh_hp,'2024'!Maxi_hp)</f>
        <v>29.244111126722764</v>
      </c>
      <c r="J339" s="85">
        <f>IF(H339,An,'2024'!An_max)</f>
        <v>2019</v>
      </c>
      <c r="K339" s="196">
        <f t="shared" si="129"/>
        <v>45982</v>
      </c>
      <c r="L339" s="147">
        <f>IF(t&lt;Tvie,1-EXP((T0-t)*PertePVj)+'2024'!Pspv,1-EXP((T0-t)*PertePVj)+Pspv)</f>
        <v>5.6883327892966774E-2</v>
      </c>
      <c r="M339" s="847"/>
      <c r="N339" s="847"/>
      <c r="O339" s="48">
        <f>IF(t&lt;Tnet,'2024'!Resal+('2024'!Salim-'2024'!Resal)*(1-EXP(('2024'!Tnet-t)/('2024'!Tau_j))),Resal+(Salim-Resal)*(1-EXP((Tnet-t)/(Tau_j))))*Salcycl</f>
        <v>4.8646432499724598E-2</v>
      </c>
      <c r="P339" s="168">
        <f>(INDEX(Models!$BJ339:$BT339,,T339)*(1-R339)+INDEX(Models!$BJ339:$BT339,,T339+1)*R339-ERP_i)*Q339*Ramure*Pc/MaxiM</f>
        <v>1.056628200263284E-4</v>
      </c>
      <c r="Q339" s="304">
        <f t="shared" si="130"/>
        <v>0.5</v>
      </c>
      <c r="R339" s="176">
        <f t="shared" si="131"/>
        <v>0.81952715859016501</v>
      </c>
      <c r="S339" s="814">
        <f t="shared" si="132"/>
        <v>-1</v>
      </c>
      <c r="T339" s="175">
        <f t="shared" si="133"/>
        <v>5</v>
      </c>
      <c r="U339" s="250">
        <f t="shared" si="134"/>
        <v>-0.18047284140983499</v>
      </c>
      <c r="V339" s="382">
        <f t="shared" si="135"/>
        <v>26.639017417273418</v>
      </c>
      <c r="W339" s="401">
        <f t="shared" si="136"/>
        <v>2.9537848491231635</v>
      </c>
      <c r="X339" s="157">
        <f t="shared" si="137"/>
        <v>45982</v>
      </c>
      <c r="Y339" s="384">
        <f t="shared" si="138"/>
        <v>2.8386735093360751</v>
      </c>
      <c r="Z339" s="384">
        <f t="shared" si="139"/>
        <v>3.009885832040426</v>
      </c>
      <c r="AA339" s="385">
        <f t="shared" si="140"/>
        <v>3.2920883751606969</v>
      </c>
      <c r="AB339" s="196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8.5721436049387867E-2</v>
      </c>
      <c r="AD339" s="230">
        <f>(INDEX(Models!$BJ339:$BT339,,AH339)*(1-AF339)+INDEX(Models!$BJ339:$BT339,,AH339+1)*AF339-ERP_i)*AE339*Ramure*Pc/MaxiM</f>
        <v>1.3772924098660443E-3</v>
      </c>
      <c r="AE339" s="304">
        <f t="shared" si="142"/>
        <v>0.5</v>
      </c>
      <c r="AF339" s="176">
        <f t="shared" si="143"/>
        <v>0.93451969841455251</v>
      </c>
      <c r="AG339" s="814">
        <f t="shared" si="149"/>
        <v>1</v>
      </c>
      <c r="AH339" s="175">
        <f t="shared" si="144"/>
        <v>7</v>
      </c>
      <c r="AI339" s="224">
        <f t="shared" si="145"/>
        <v>1.9345196984145525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10">
        <f>'2024'!Wh/'2024'!Env_an*'2025'!Env_an</f>
        <v>9.2270489994309699</v>
      </c>
      <c r="C340" s="843"/>
      <c r="D340" s="392">
        <f t="shared" si="127"/>
        <v>9.7837850985528405</v>
      </c>
      <c r="E340" s="384">
        <f t="shared" si="125"/>
        <v>10.284388549072375</v>
      </c>
      <c r="F340" s="384">
        <f t="shared" si="128"/>
        <v>10.284465956654175</v>
      </c>
      <c r="G340" s="110">
        <f t="shared" si="126"/>
        <v>0.34944370467867486</v>
      </c>
      <c r="H340" s="413" t="b">
        <f>Wh_hp&gt;='2024'!Maxi_hp</f>
        <v>0</v>
      </c>
      <c r="I340" s="389">
        <f>IF(H340,Wh_hp,'2024'!Maxi_hp)</f>
        <v>30.738398160711071</v>
      </c>
      <c r="J340" s="85">
        <f>IF(H340,An,'2024'!An_max)</f>
        <v>2020</v>
      </c>
      <c r="K340" s="196">
        <f t="shared" si="129"/>
        <v>45983</v>
      </c>
      <c r="L340" s="147">
        <f>IF(t&lt;Tvie,1-EXP((T0-t)*PertePVj)+'2024'!Pspv,1-EXP((T0-t)*PertePVj)+Pspv)</f>
        <v>5.690395828545123E-2</v>
      </c>
      <c r="M340" s="847"/>
      <c r="N340" s="847"/>
      <c r="O340" s="48">
        <f>IF(t&lt;Tnet,'2024'!Resal+('2024'!Salim-'2024'!Resal)*(1-EXP(('2024'!Tnet-t)/('2024'!Tau_j))),Resal+(Salim-Resal)*(1-EXP((Tnet-t)/(Tau_j))))*Salcycl</f>
        <v>4.8676053819912107E-2</v>
      </c>
      <c r="P340" s="168">
        <f>(INDEX(Models!$BJ340:$BT340,,T340)*(1-R340)+INDEX(Models!$BJ340:$BT340,,T340+1)*R340-ERP_i)*Q340*Ramure*Pc/MaxiM</f>
        <v>1.0648418893998514E-4</v>
      </c>
      <c r="Q340" s="304">
        <f t="shared" si="130"/>
        <v>0.5</v>
      </c>
      <c r="R340" s="176">
        <f t="shared" si="131"/>
        <v>0.81954143904980614</v>
      </c>
      <c r="S340" s="814">
        <f t="shared" si="132"/>
        <v>-1</v>
      </c>
      <c r="T340" s="175">
        <f t="shared" si="133"/>
        <v>5</v>
      </c>
      <c r="U340" s="250">
        <f t="shared" si="134"/>
        <v>-0.1804585609501938</v>
      </c>
      <c r="V340" s="382">
        <f t="shared" si="135"/>
        <v>26.402352604941029</v>
      </c>
      <c r="W340" s="401">
        <f t="shared" si="136"/>
        <v>9.2270489994309699</v>
      </c>
      <c r="X340" s="157">
        <f t="shared" si="137"/>
        <v>45983</v>
      </c>
      <c r="Y340" s="384">
        <f t="shared" si="138"/>
        <v>8.867230400827232</v>
      </c>
      <c r="Z340" s="384">
        <f t="shared" si="139"/>
        <v>9.4022559830774028</v>
      </c>
      <c r="AA340" s="385">
        <f t="shared" si="140"/>
        <v>10.283473736383593</v>
      </c>
      <c r="AB340" s="196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8.5692614761915017E-2</v>
      </c>
      <c r="AD340" s="230">
        <f>(INDEX(Models!$BJ340:$BT340,,AH340)*(1-AF340)+INDEX(Models!$BJ340:$BT340,,AH340+1)*AF340-ERP_i)*AE340*Ramure*Pc/MaxiM</f>
        <v>1.3649279347672958E-3</v>
      </c>
      <c r="AE340" s="304">
        <f t="shared" si="142"/>
        <v>0.5</v>
      </c>
      <c r="AF340" s="176">
        <f t="shared" si="143"/>
        <v>0.93453397887419376</v>
      </c>
      <c r="AG340" s="814">
        <f t="shared" si="149"/>
        <v>1</v>
      </c>
      <c r="AH340" s="175">
        <f t="shared" si="144"/>
        <v>7</v>
      </c>
      <c r="AI340" s="224">
        <f t="shared" si="145"/>
        <v>1.9345339788741938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10">
        <f>'2024'!Wh/'2024'!Env_an*'2025'!Env_an</f>
        <v>15.105520564223276</v>
      </c>
      <c r="C341" s="843"/>
      <c r="D341" s="392">
        <f t="shared" si="127"/>
        <v>16.017298697046748</v>
      </c>
      <c r="E341" s="384">
        <f t="shared" si="125"/>
        <v>16.837387085145444</v>
      </c>
      <c r="F341" s="384">
        <f t="shared" si="128"/>
        <v>16.838100926646771</v>
      </c>
      <c r="G341" s="110">
        <f t="shared" si="126"/>
        <v>0.57715784691703276</v>
      </c>
      <c r="H341" s="413" t="b">
        <f>Wh_hp&gt;='2024'!Maxi_hp</f>
        <v>0</v>
      </c>
      <c r="I341" s="389">
        <f>IF(H341,Wh_hp,'2024'!Maxi_hp)</f>
        <v>30.216505837462773</v>
      </c>
      <c r="J341" s="85">
        <f>IF(H341,An,'2024'!An_max)</f>
        <v>2020</v>
      </c>
      <c r="K341" s="196">
        <f t="shared" si="129"/>
        <v>45984</v>
      </c>
      <c r="L341" s="147">
        <f>IF(t&lt;Tvie,1-EXP((T0-t)*PertePVj)+'2024'!Pspv,1-EXP((T0-t)*PertePVj)+Pspv)</f>
        <v>5.6924588226077356E-2</v>
      </c>
      <c r="M341" s="847"/>
      <c r="N341" s="847"/>
      <c r="O341" s="48">
        <f>IF(t&lt;Tnet,'2024'!Resal+('2024'!Salim-'2024'!Resal)*(1-EXP(('2024'!Tnet-t)/('2024'!Tau_j))),Resal+(Salim-Resal)*(1-EXP((Tnet-t)/(Tau_j))))*Salcycl</f>
        <v>4.8706392740843166E-2</v>
      </c>
      <c r="P341" s="168">
        <f>(INDEX(Models!$BJ341:$BT341,,T341)*(1-R341)+INDEX(Models!$BJ341:$BT341,,T341+1)*R341-ERP_i)*Q341*Ramure*Pc/MaxiM</f>
        <v>1.0705847748961103E-4</v>
      </c>
      <c r="Q341" s="304">
        <f t="shared" si="130"/>
        <v>0.5</v>
      </c>
      <c r="R341" s="176">
        <f t="shared" si="131"/>
        <v>0.819555145814576</v>
      </c>
      <c r="S341" s="814">
        <f t="shared" si="132"/>
        <v>-1</v>
      </c>
      <c r="T341" s="175">
        <f t="shared" si="133"/>
        <v>5</v>
      </c>
      <c r="U341" s="250">
        <f t="shared" si="134"/>
        <v>-0.180444854185424</v>
      </c>
      <c r="V341" s="382">
        <f t="shared" si="135"/>
        <v>26.17055943919841</v>
      </c>
      <c r="W341" s="401">
        <f t="shared" si="136"/>
        <v>15.105520564223276</v>
      </c>
      <c r="X341" s="157">
        <f t="shared" si="137"/>
        <v>45984</v>
      </c>
      <c r="Y341" s="384">
        <f t="shared" si="138"/>
        <v>14.511509897558538</v>
      </c>
      <c r="Z341" s="384">
        <f t="shared" si="139"/>
        <v>15.387433196102974</v>
      </c>
      <c r="AA341" s="385">
        <f t="shared" si="140"/>
        <v>16.829102013305132</v>
      </c>
      <c r="AB341" s="196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8.5665225397194067E-2</v>
      </c>
      <c r="AD341" s="230">
        <f>(INDEX(Models!$BJ341:$BT341,,AH341)*(1-AF341)+INDEX(Models!$BJ341:$BT341,,AH341+1)*AF341-ERP_i)*AE341*Ramure*Pc/MaxiM</f>
        <v>1.3496132679699691E-3</v>
      </c>
      <c r="AE341" s="304">
        <f t="shared" si="142"/>
        <v>0.5</v>
      </c>
      <c r="AF341" s="176">
        <f t="shared" si="143"/>
        <v>0.9345476856389634</v>
      </c>
      <c r="AG341" s="814">
        <f t="shared" si="149"/>
        <v>1</v>
      </c>
      <c r="AH341" s="175">
        <f t="shared" si="144"/>
        <v>7</v>
      </c>
      <c r="AI341" s="224">
        <f t="shared" si="145"/>
        <v>1.9345476856389634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10">
        <f>'2024'!Wh/'2024'!Env_an*'2025'!Env_an</f>
        <v>13.515057920832914</v>
      </c>
      <c r="C342" s="843"/>
      <c r="D342" s="392">
        <f t="shared" si="127"/>
        <v>14.331148279725763</v>
      </c>
      <c r="E342" s="384">
        <f t="shared" si="125"/>
        <v>15.065397611735268</v>
      </c>
      <c r="F342" s="384">
        <f t="shared" si="128"/>
        <v>15.06590821146389</v>
      </c>
      <c r="G342" s="110">
        <f t="shared" si="126"/>
        <v>0.52089117278165742</v>
      </c>
      <c r="H342" s="413" t="b">
        <f>Wh_hp&gt;='2024'!Maxi_hp</f>
        <v>0</v>
      </c>
      <c r="I342" s="389">
        <f>IF(H342,Wh_hp,'2024'!Maxi_hp)</f>
        <v>28.331820487180057</v>
      </c>
      <c r="J342" s="85">
        <f>IF(H342,An,'2024'!An_max)</f>
        <v>2020</v>
      </c>
      <c r="K342" s="196">
        <f t="shared" si="129"/>
        <v>45985</v>
      </c>
      <c r="L342" s="147">
        <f>IF(t&lt;Tvie,1-EXP((T0-t)*PertePVj)+'2024'!Pspv,1-EXP((T0-t)*PertePVj)+Pspv)</f>
        <v>5.6945217714854703E-2</v>
      </c>
      <c r="M342" s="847"/>
      <c r="N342" s="847"/>
      <c r="O342" s="48">
        <f>IF(t&lt;Tnet,'2024'!Resal+('2024'!Salim-'2024'!Resal)*(1-EXP(('2024'!Tnet-t)/('2024'!Tau_j))),Resal+(Salim-Resal)*(1-EXP((Tnet-t)/(Tau_j))))*Salcycl</f>
        <v>4.8737467867264024E-2</v>
      </c>
      <c r="P342" s="168">
        <f>(INDEX(Models!$BJ342:$BT342,,T342)*(1-R342)+INDEX(Models!$BJ342:$BT342,,T342+1)*R342-ERP_i)*Q342*Ramure*Pc/MaxiM</f>
        <v>1.0738155197092423E-4</v>
      </c>
      <c r="Q342" s="304">
        <f t="shared" si="130"/>
        <v>0.5</v>
      </c>
      <c r="R342" s="176">
        <f t="shared" si="131"/>
        <v>0.8195683018824248</v>
      </c>
      <c r="S342" s="814">
        <f t="shared" si="132"/>
        <v>-1</v>
      </c>
      <c r="T342" s="175">
        <f t="shared" si="133"/>
        <v>5</v>
      </c>
      <c r="U342" s="250">
        <f t="shared" si="134"/>
        <v>-0.1804316981175752</v>
      </c>
      <c r="V342" s="382">
        <f t="shared" si="135"/>
        <v>25.944123005316207</v>
      </c>
      <c r="W342" s="401">
        <f t="shared" si="136"/>
        <v>13.515057920832914</v>
      </c>
      <c r="X342" s="157">
        <f t="shared" si="137"/>
        <v>45985</v>
      </c>
      <c r="Y342" s="384">
        <f t="shared" si="138"/>
        <v>12.985757067050212</v>
      </c>
      <c r="Z342" s="384">
        <f t="shared" si="139"/>
        <v>13.76988623670835</v>
      </c>
      <c r="AA342" s="385">
        <f t="shared" si="140"/>
        <v>15.0595778895963</v>
      </c>
      <c r="AB342" s="196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8.5639296289899011E-2</v>
      </c>
      <c r="AD342" s="230">
        <f>(INDEX(Models!$BJ342:$BT342,,AH342)*(1-AF342)+INDEX(Models!$BJ342:$BT342,,AH342+1)*AF342-ERP_i)*AE342*Ramure*Pc/MaxiM</f>
        <v>1.3312968035671935E-3</v>
      </c>
      <c r="AE342" s="304">
        <f t="shared" si="142"/>
        <v>0.5</v>
      </c>
      <c r="AF342" s="176">
        <f t="shared" si="143"/>
        <v>0.93456084170681231</v>
      </c>
      <c r="AG342" s="814">
        <f t="shared" si="149"/>
        <v>1</v>
      </c>
      <c r="AH342" s="175">
        <f t="shared" si="144"/>
        <v>7</v>
      </c>
      <c r="AI342" s="224">
        <f t="shared" si="145"/>
        <v>1.9345608417068123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10">
        <f>'2024'!Wh/'2024'!Env_an*'2025'!Env_an</f>
        <v>4.4416851871684102</v>
      </c>
      <c r="C343" s="843"/>
      <c r="D343" s="392">
        <f t="shared" si="127"/>
        <v>4.7099939825820476</v>
      </c>
      <c r="E343" s="384">
        <f t="shared" si="125"/>
        <v>4.9514738711965158</v>
      </c>
      <c r="F343" s="384">
        <f t="shared" si="128"/>
        <v>4.9514738711965158</v>
      </c>
      <c r="G343" s="110">
        <f t="shared" si="126"/>
        <v>0.17265158453616058</v>
      </c>
      <c r="H343" s="413" t="b">
        <f>Wh_hp&gt;='2024'!Maxi_hp</f>
        <v>0</v>
      </c>
      <c r="I343" s="389">
        <f>IF(H343,Wh_hp,'2024'!Maxi_hp)</f>
        <v>25.716385889252038</v>
      </c>
      <c r="J343" s="85">
        <f>IF(H343,An,'2024'!An_max)</f>
        <v>2020</v>
      </c>
      <c r="K343" s="196">
        <f t="shared" si="129"/>
        <v>45986</v>
      </c>
      <c r="L343" s="147">
        <f>IF(t&lt;Tvie,1-EXP((T0-t)*PertePVj)+'2024'!Pspv,1-EXP((T0-t)*PertePVj)+Pspv)</f>
        <v>5.696584675179326E-2</v>
      </c>
      <c r="M343" s="847"/>
      <c r="N343" s="847"/>
      <c r="O343" s="48">
        <f>IF(t&lt;Tnet,'2024'!Resal+('2024'!Salim-'2024'!Resal)*(1-EXP(('2024'!Tnet-t)/('2024'!Tau_j))),Resal+(Salim-Resal)*(1-EXP((Tnet-t)/(Tau_j))))*Salcycl</f>
        <v>4.8769294738521041E-2</v>
      </c>
      <c r="P343" s="168">
        <f>(INDEX(Models!$BJ343:$BT343,,T343)*(1-R343)+INDEX(Models!$BJ343:$BT343,,T343+1)*R343-ERP_i)*Q343*Ramure*Pc/MaxiM</f>
        <v>1.0744961085336509E-4</v>
      </c>
      <c r="Q343" s="304">
        <f t="shared" si="130"/>
        <v>0.5</v>
      </c>
      <c r="R343" s="176">
        <f t="shared" si="131"/>
        <v>0.81958092933326321</v>
      </c>
      <c r="S343" s="814">
        <f t="shared" si="132"/>
        <v>-1</v>
      </c>
      <c r="T343" s="175">
        <f t="shared" si="133"/>
        <v>5</v>
      </c>
      <c r="U343" s="250">
        <f t="shared" si="134"/>
        <v>-0.18041907066673679</v>
      </c>
      <c r="V343" s="382">
        <f t="shared" si="135"/>
        <v>25.72352835194129</v>
      </c>
      <c r="W343" s="401">
        <f t="shared" si="136"/>
        <v>4.4416851871684102</v>
      </c>
      <c r="X343" s="157">
        <f t="shared" si="137"/>
        <v>45986</v>
      </c>
      <c r="Y343" s="384">
        <f t="shared" si="138"/>
        <v>4.2696382195483418</v>
      </c>
      <c r="Z343" s="384">
        <f t="shared" si="139"/>
        <v>4.5275541769530934</v>
      </c>
      <c r="AA343" s="385">
        <f t="shared" si="140"/>
        <v>4.9514738711965158</v>
      </c>
      <c r="AB343" s="196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8.561485029930746E-2</v>
      </c>
      <c r="AD343" s="230">
        <f>(INDEX(Models!$BJ343:$BT343,,AH343)*(1-AF343)+INDEX(Models!$BJ343:$BT343,,AH343+1)*AF343-ERP_i)*AE343*Ramure*Pc/MaxiM</f>
        <v>1.3099325838594653E-3</v>
      </c>
      <c r="AE343" s="304">
        <f t="shared" si="142"/>
        <v>0.5</v>
      </c>
      <c r="AF343" s="176">
        <f t="shared" si="143"/>
        <v>0.9345734691576506</v>
      </c>
      <c r="AG343" s="814">
        <f t="shared" si="149"/>
        <v>1</v>
      </c>
      <c r="AH343" s="175">
        <f t="shared" si="144"/>
        <v>7</v>
      </c>
      <c r="AI343" s="224">
        <f t="shared" si="145"/>
        <v>1.9345734691576506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10">
        <f>'2024'!Wh/'2024'!Env_an*'2025'!Env_an</f>
        <v>10.368258263642517</v>
      </c>
      <c r="C344" s="843"/>
      <c r="D344" s="392">
        <f t="shared" si="127"/>
        <v>10.994813958099597</v>
      </c>
      <c r="E344" s="384">
        <f t="shared" si="125"/>
        <v>11.558910592866487</v>
      </c>
      <c r="F344" s="384">
        <f t="shared" si="128"/>
        <v>11.559099134441974</v>
      </c>
      <c r="G344" s="110">
        <f t="shared" si="126"/>
        <v>0.4064137915213783</v>
      </c>
      <c r="H344" s="413" t="b">
        <f>Wh_hp&gt;='2024'!Maxi_hp</f>
        <v>0</v>
      </c>
      <c r="I344" s="389">
        <f>IF(H344,Wh_hp,'2024'!Maxi_hp)</f>
        <v>27.213789763808492</v>
      </c>
      <c r="J344" s="85">
        <f>IF(H344,An,'2024'!An_max)</f>
        <v>2020</v>
      </c>
      <c r="K344" s="196">
        <f t="shared" si="129"/>
        <v>45987</v>
      </c>
      <c r="L344" s="147">
        <f>IF(t&lt;Tvie,1-EXP((T0-t)*PertePVj)+'2024'!Pspv,1-EXP((T0-t)*PertePVj)+Pspv)</f>
        <v>5.6986475336903021E-2</v>
      </c>
      <c r="M344" s="847"/>
      <c r="N344" s="847"/>
      <c r="O344" s="48">
        <f>IF(t&lt;Tnet,'2024'!Resal+('2024'!Salim-'2024'!Resal)*(1-EXP(('2024'!Tnet-t)/('2024'!Tau_j))),Resal+(Salim-Resal)*(1-EXP((Tnet-t)/(Tau_j))))*Salcycl</f>
        <v>4.8801885803582426E-2</v>
      </c>
      <c r="P344" s="168">
        <f>(INDEX(Models!$BJ344:$BT344,,T344)*(1-R344)+INDEX(Models!$BJ344:$BT344,,T344+1)*R344-ERP_i)*Q344*Ramure*Pc/MaxiM</f>
        <v>1.0725867454450993E-4</v>
      </c>
      <c r="Q344" s="304">
        <f t="shared" si="130"/>
        <v>0.5</v>
      </c>
      <c r="R344" s="176">
        <f t="shared" si="131"/>
        <v>0.81959304936530231</v>
      </c>
      <c r="S344" s="814">
        <f t="shared" si="132"/>
        <v>-1</v>
      </c>
      <c r="T344" s="175">
        <f t="shared" si="133"/>
        <v>5</v>
      </c>
      <c r="U344" s="250">
        <f t="shared" si="134"/>
        <v>-0.18040695063469775</v>
      </c>
      <c r="V344" s="382">
        <f t="shared" si="135"/>
        <v>25.509260503855529</v>
      </c>
      <c r="W344" s="401">
        <f t="shared" si="136"/>
        <v>10.368258263642517</v>
      </c>
      <c r="X344" s="157">
        <f t="shared" si="137"/>
        <v>45987</v>
      </c>
      <c r="Y344" s="384">
        <f t="shared" si="138"/>
        <v>9.9654534662868084</v>
      </c>
      <c r="Z344" s="384">
        <f t="shared" si="139"/>
        <v>10.567667595061362</v>
      </c>
      <c r="AA344" s="385">
        <f t="shared" si="140"/>
        <v>11.556839501351075</v>
      </c>
      <c r="AB344" s="196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8.5591904791450332E-2</v>
      </c>
      <c r="AD344" s="230">
        <f>(INDEX(Models!$BJ344:$BT344,,AH344)*(1-AF344)+INDEX(Models!$BJ344:$BT344,,AH344+1)*AF344-ERP_i)*AE344*Ramure*Pc/MaxiM</f>
        <v>1.2854737723528254E-3</v>
      </c>
      <c r="AE344" s="304">
        <f t="shared" si="142"/>
        <v>0.5</v>
      </c>
      <c r="AF344" s="176">
        <f t="shared" si="143"/>
        <v>0.9345855891896897</v>
      </c>
      <c r="AG344" s="814">
        <f t="shared" si="149"/>
        <v>1</v>
      </c>
      <c r="AH344" s="175">
        <f t="shared" si="144"/>
        <v>7</v>
      </c>
      <c r="AI344" s="224">
        <f t="shared" si="145"/>
        <v>1.9345855891896897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10">
        <f>'2024'!Wh/'2024'!Env_an*'2025'!Env_an</f>
        <v>14.263173127453246</v>
      </c>
      <c r="C345" s="843"/>
      <c r="D345" s="392">
        <f t="shared" si="127"/>
        <v>15.125430085360581</v>
      </c>
      <c r="E345" s="384">
        <f t="shared" si="125"/>
        <v>15.902008660396207</v>
      </c>
      <c r="F345" s="384">
        <f t="shared" si="128"/>
        <v>15.902648866756682</v>
      </c>
      <c r="G345" s="110">
        <f t="shared" si="126"/>
        <v>0.56377211049246445</v>
      </c>
      <c r="H345" s="413" t="b">
        <f>Wh_hp&gt;='2024'!Maxi_hp</f>
        <v>0</v>
      </c>
      <c r="I345" s="389">
        <f>IF(H345,Wh_hp,'2024'!Maxi_hp)</f>
        <v>25.74929122512259</v>
      </c>
      <c r="J345" s="85">
        <f>IF(H345,An,'2024'!An_max)</f>
        <v>2018</v>
      </c>
      <c r="K345" s="196">
        <f t="shared" si="129"/>
        <v>45988</v>
      </c>
      <c r="L345" s="147">
        <f>IF(t&lt;Tvie,1-EXP((T0-t)*PertePVj)+'2024'!Pspv,1-EXP((T0-t)*PertePVj)+Pspv)</f>
        <v>5.7007103470193866E-2</v>
      </c>
      <c r="M345" s="847"/>
      <c r="N345" s="847"/>
      <c r="O345" s="48">
        <f>IF(t&lt;Tnet,'2024'!Resal+('2024'!Salim-'2024'!Resal)*(1-EXP(('2024'!Tnet-t)/('2024'!Tau_j))),Resal+(Salim-Resal)*(1-EXP((Tnet-t)/(Tau_j))))*Salcycl</f>
        <v>4.8835250415231353E-2</v>
      </c>
      <c r="P345" s="168">
        <f>(INDEX(Models!$BJ345:$BT345,,T345)*(1-R345)+INDEX(Models!$BJ345:$BT345,,T345+1)*R345-ERP_i)*Q345*Ramure*Pc/MaxiM</f>
        <v>1.0682130805006224E-4</v>
      </c>
      <c r="Q345" s="304">
        <f t="shared" si="130"/>
        <v>0.5</v>
      </c>
      <c r="R345" s="176">
        <f t="shared" si="131"/>
        <v>0.81960468232997852</v>
      </c>
      <c r="S345" s="814">
        <f t="shared" si="132"/>
        <v>-1</v>
      </c>
      <c r="T345" s="175">
        <f t="shared" si="133"/>
        <v>5</v>
      </c>
      <c r="U345" s="250">
        <f t="shared" si="134"/>
        <v>-0.18039531767002143</v>
      </c>
      <c r="V345" s="382">
        <f t="shared" si="135"/>
        <v>25.297852479015926</v>
      </c>
      <c r="W345" s="401">
        <f t="shared" si="136"/>
        <v>14.263173127453246</v>
      </c>
      <c r="X345" s="157">
        <f t="shared" si="137"/>
        <v>45988</v>
      </c>
      <c r="Y345" s="384">
        <f t="shared" si="138"/>
        <v>13.706361179625086</v>
      </c>
      <c r="Z345" s="384">
        <f t="shared" si="139"/>
        <v>14.534956975884128</v>
      </c>
      <c r="AA345" s="385">
        <f t="shared" si="140"/>
        <v>15.895108945342187</v>
      </c>
      <c r="AB345" s="196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8.5570471654843883E-2</v>
      </c>
      <c r="AD345" s="230">
        <f>(INDEX(Models!$BJ345:$BT345,,AH345)*(1-AF345)+INDEX(Models!$BJ345:$BT345,,AH345+1)*AF345-ERP_i)*AE345*Ramure*Pc/MaxiM</f>
        <v>1.2580697690877194E-3</v>
      </c>
      <c r="AE345" s="304">
        <f t="shared" si="142"/>
        <v>0.5</v>
      </c>
      <c r="AF345" s="176">
        <f t="shared" si="143"/>
        <v>0.93459722215436614</v>
      </c>
      <c r="AG345" s="814">
        <f t="shared" si="149"/>
        <v>1</v>
      </c>
      <c r="AH345" s="175">
        <f t="shared" si="144"/>
        <v>7</v>
      </c>
      <c r="AI345" s="224">
        <f t="shared" si="145"/>
        <v>1.9345972221543661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10">
        <f>'2024'!Wh/'2024'!Env_an*'2025'!Env_an</f>
        <v>10.078255146226015</v>
      </c>
      <c r="C346" s="843"/>
      <c r="D346" s="392">
        <f t="shared" si="127"/>
        <v>10.687753478195962</v>
      </c>
      <c r="E346" s="384">
        <f t="shared" si="125"/>
        <v>11.236893671858686</v>
      </c>
      <c r="F346" s="384">
        <f t="shared" si="128"/>
        <v>11.23706703274582</v>
      </c>
      <c r="G346" s="110">
        <f t="shared" si="126"/>
        <v>0.40170603727460169</v>
      </c>
      <c r="H346" s="413" t="b">
        <f>Wh_hp&gt;='2024'!Maxi_hp</f>
        <v>0</v>
      </c>
      <c r="I346" s="389">
        <f>IF(H346,Wh_hp,'2024'!Maxi_hp)</f>
        <v>19.489438693359329</v>
      </c>
      <c r="J346" s="85">
        <f>IF(H346,An,'2024'!An_max)</f>
        <v>2018</v>
      </c>
      <c r="K346" s="196">
        <f t="shared" si="129"/>
        <v>45989</v>
      </c>
      <c r="L346" s="147">
        <f>IF(t&lt;Tvie,1-EXP((T0-t)*PertePVj)+'2024'!Pspv,1-EXP((T0-t)*PertePVj)+Pspv)</f>
        <v>5.7027731151675677E-2</v>
      </c>
      <c r="M346" s="847"/>
      <c r="N346" s="847"/>
      <c r="O346" s="48">
        <f>IF(t&lt;Tnet,'2024'!Resal+('2024'!Salim-'2024'!Resal)*(1-EXP(('2024'!Tnet-t)/('2024'!Tau_j))),Resal+(Salim-Resal)*(1-EXP((Tnet-t)/(Tau_j))))*Salcycl</f>
        <v>4.8869394843342996E-2</v>
      </c>
      <c r="P346" s="168">
        <f>(INDEX(Models!$BJ346:$BT346,,T346)*(1-R346)+INDEX(Models!$BJ346:$BT346,,T346+1)*R346-ERP_i)*Q346*Ramure*Pc/MaxiM</f>
        <v>1.0614361138639114E-4</v>
      </c>
      <c r="Q346" s="304">
        <f t="shared" si="130"/>
        <v>0.5</v>
      </c>
      <c r="R346" s="176">
        <f t="shared" si="131"/>
        <v>0.81961584776551943</v>
      </c>
      <c r="S346" s="814">
        <f t="shared" si="132"/>
        <v>-1</v>
      </c>
      <c r="T346" s="175">
        <f t="shared" si="133"/>
        <v>5</v>
      </c>
      <c r="U346" s="250">
        <f t="shared" si="134"/>
        <v>-0.18038415223448057</v>
      </c>
      <c r="V346" s="382">
        <f t="shared" si="135"/>
        <v>25.086356534005738</v>
      </c>
      <c r="W346" s="401">
        <f t="shared" si="136"/>
        <v>10.078255146226015</v>
      </c>
      <c r="X346" s="157">
        <f t="shared" si="137"/>
        <v>45989</v>
      </c>
      <c r="Y346" s="384">
        <f t="shared" si="138"/>
        <v>9.6879968997782626</v>
      </c>
      <c r="Z346" s="384">
        <f t="shared" si="139"/>
        <v>10.273893750460399</v>
      </c>
      <c r="AA346" s="385">
        <f t="shared" si="140"/>
        <v>11.235059338743872</v>
      </c>
      <c r="AB346" s="196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8.5550557349431455E-2</v>
      </c>
      <c r="AD346" s="230">
        <f>(INDEX(Models!$BJ346:$BT346,,AH346)*(1-AF346)+INDEX(Models!$BJ346:$BT346,,AH346+1)*AF346-ERP_i)*AE346*Ramure*Pc/MaxiM</f>
        <v>1.2292501235374735E-3</v>
      </c>
      <c r="AE346" s="304">
        <f t="shared" si="142"/>
        <v>0.5</v>
      </c>
      <c r="AF346" s="176">
        <f t="shared" si="143"/>
        <v>0.93460838758990694</v>
      </c>
      <c r="AG346" s="814">
        <f t="shared" si="149"/>
        <v>1</v>
      </c>
      <c r="AH346" s="175">
        <f t="shared" si="144"/>
        <v>7</v>
      </c>
      <c r="AI346" s="224">
        <f t="shared" si="145"/>
        <v>1.9346083875899069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10">
        <f>'2024'!Wh/'2024'!Env_an*'2025'!Env_an</f>
        <v>12.299198427916831</v>
      </c>
      <c r="C347" s="843"/>
      <c r="D347" s="392">
        <f t="shared" si="127"/>
        <v>13.043297116280964</v>
      </c>
      <c r="E347" s="384">
        <f t="shared" si="125"/>
        <v>13.713969500859443</v>
      </c>
      <c r="F347" s="384">
        <f t="shared" si="128"/>
        <v>13.714370922142844</v>
      </c>
      <c r="G347" s="110">
        <f t="shared" si="126"/>
        <v>0.49438199071366906</v>
      </c>
      <c r="H347" s="413" t="b">
        <f>Wh_hp&gt;='2024'!Maxi_hp</f>
        <v>0</v>
      </c>
      <c r="I347" s="389">
        <f>IF(H347,Wh_hp,'2024'!Maxi_hp)</f>
        <v>27.334557288633277</v>
      </c>
      <c r="J347" s="85">
        <f>IF(H347,An,'2024'!An_max)</f>
        <v>2018</v>
      </c>
      <c r="K347" s="196">
        <f t="shared" si="129"/>
        <v>45990</v>
      </c>
      <c r="L347" s="147">
        <f>IF(t&lt;Tvie,1-EXP((T0-t)*PertePVj)+'2024'!Pspv,1-EXP((T0-t)*PertePVj)+Pspv)</f>
        <v>5.7048358381358223E-2</v>
      </c>
      <c r="M347" s="847"/>
      <c r="N347" s="847"/>
      <c r="O347" s="48">
        <f>IF(t&lt;Tnet,'2024'!Resal+('2024'!Salim-'2024'!Resal)*(1-EXP(('2024'!Tnet-t)/('2024'!Tau_j))),Resal+(Salim-Resal)*(1-EXP((Tnet-t)/(Tau_j))))*Salcycl</f>
        <v>4.8904322307005921E-2</v>
      </c>
      <c r="P347" s="168">
        <f>(INDEX(Models!$BJ347:$BT347,,T347)*(1-R347)+INDEX(Models!$BJ347:$BT347,,T347+1)*R347-ERP_i)*Q347*Ramure*Pc/MaxiM</f>
        <v>1.053858839925809E-4</v>
      </c>
      <c r="Q347" s="304">
        <f t="shared" si="130"/>
        <v>0.5</v>
      </c>
      <c r="R347" s="176">
        <f t="shared" si="131"/>
        <v>0.8196265644291969</v>
      </c>
      <c r="S347" s="814">
        <f t="shared" si="132"/>
        <v>-1</v>
      </c>
      <c r="T347" s="175">
        <f t="shared" si="133"/>
        <v>5</v>
      </c>
      <c r="U347" s="250">
        <f t="shared" si="134"/>
        <v>-0.1803734355708031</v>
      </c>
      <c r="V347" s="382">
        <f t="shared" si="135"/>
        <v>24.87603203319976</v>
      </c>
      <c r="W347" s="401">
        <f t="shared" si="136"/>
        <v>12.299198427916831</v>
      </c>
      <c r="X347" s="157">
        <f t="shared" si="137"/>
        <v>45990</v>
      </c>
      <c r="Y347" s="384">
        <f t="shared" si="138"/>
        <v>11.821938920529558</v>
      </c>
      <c r="Z347" s="384">
        <f t="shared" si="139"/>
        <v>12.537163517989514</v>
      </c>
      <c r="AA347" s="385">
        <f t="shared" si="140"/>
        <v>13.709791652110759</v>
      </c>
      <c r="AB347" s="196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8.5532162988101026E-2</v>
      </c>
      <c r="AD347" s="230">
        <f>(INDEX(Models!$BJ347:$BT347,,AH347)*(1-AF347)+INDEX(Models!$BJ347:$BT347,,AH347+1)*AF347-ERP_i)*AE347*Ramure*Pc/MaxiM</f>
        <v>1.2022043681471715E-3</v>
      </c>
      <c r="AE347" s="304">
        <f t="shared" si="142"/>
        <v>0.5</v>
      </c>
      <c r="AF347" s="176">
        <f t="shared" si="143"/>
        <v>0.9346191042535843</v>
      </c>
      <c r="AG347" s="814">
        <f t="shared" si="149"/>
        <v>1</v>
      </c>
      <c r="AH347" s="175">
        <f t="shared" si="144"/>
        <v>7</v>
      </c>
      <c r="AI347" s="224">
        <f t="shared" si="145"/>
        <v>1.9346191042535843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10">
        <f>'2024'!Wh/'2024'!Env_an*'2025'!Env_an</f>
        <v>3.8351290980898964</v>
      </c>
      <c r="C348" s="843"/>
      <c r="D348" s="392">
        <f t="shared" si="127"/>
        <v>4.0672424999591419</v>
      </c>
      <c r="E348" s="384">
        <f t="shared" si="125"/>
        <v>4.2765363291403107</v>
      </c>
      <c r="F348" s="384">
        <f t="shared" si="128"/>
        <v>4.2765363291403107</v>
      </c>
      <c r="G348" s="110">
        <f t="shared" si="126"/>
        <v>0.15545265263309768</v>
      </c>
      <c r="H348" s="413" t="b">
        <f>Wh_hp&gt;='2024'!Maxi_hp</f>
        <v>0</v>
      </c>
      <c r="I348" s="389">
        <f>IF(H348,Wh_hp,'2024'!Maxi_hp)</f>
        <v>26.225428056883853</v>
      </c>
      <c r="J348" s="85">
        <f>IF(H348,An,'2024'!An_max)</f>
        <v>2020</v>
      </c>
      <c r="K348" s="196">
        <f t="shared" si="129"/>
        <v>45991</v>
      </c>
      <c r="L348" s="147">
        <f>IF(t&lt;Tvie,1-EXP((T0-t)*PertePVj)+'2024'!Pspv,1-EXP((T0-t)*PertePVj)+Pspv)</f>
        <v>5.7068985159251608E-2</v>
      </c>
      <c r="M348" s="847"/>
      <c r="N348" s="847"/>
      <c r="O348" s="48">
        <f>IF(t&lt;Tnet,'2024'!Resal+('2024'!Salim-'2024'!Resal)*(1-EXP(('2024'!Tnet-t)/('2024'!Tau_j))),Resal+(Salim-Resal)*(1-EXP((Tnet-t)/(Tau_j))))*Salcycl</f>
        <v>4.8940033025100367E-2</v>
      </c>
      <c r="P348" s="168">
        <f>(INDEX(Models!$BJ348:$BT348,,T348)*(1-R348)+INDEX(Models!$BJ348:$BT348,,T348+1)*R348-ERP_i)*Q348*Ramure*Pc/MaxiM</f>
        <v>1.0454173801359341E-4</v>
      </c>
      <c r="Q348" s="304">
        <f t="shared" si="130"/>
        <v>0.5</v>
      </c>
      <c r="R348" s="176">
        <f t="shared" si="131"/>
        <v>0.81963685032832234</v>
      </c>
      <c r="S348" s="814">
        <f t="shared" si="132"/>
        <v>-1</v>
      </c>
      <c r="T348" s="175">
        <f t="shared" si="133"/>
        <v>5</v>
      </c>
      <c r="U348" s="250">
        <f t="shared" si="134"/>
        <v>-0.18036314967167766</v>
      </c>
      <c r="V348" s="382">
        <f t="shared" si="135"/>
        <v>24.668142370521487</v>
      </c>
      <c r="W348" s="401">
        <f t="shared" si="136"/>
        <v>3.8351290980898964</v>
      </c>
      <c r="X348" s="157">
        <f t="shared" si="137"/>
        <v>45991</v>
      </c>
      <c r="Y348" s="384">
        <f t="shared" si="138"/>
        <v>3.6876401742785618</v>
      </c>
      <c r="Z348" s="384">
        <f t="shared" si="139"/>
        <v>3.9108271084935811</v>
      </c>
      <c r="AA348" s="385">
        <f t="shared" si="140"/>
        <v>4.2765363291403107</v>
      </c>
      <c r="AB348" s="196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8.5515284449891801E-2</v>
      </c>
      <c r="AD348" s="230">
        <f>(INDEX(Models!$BJ348:$BT348,,AH348)*(1-AF348)+INDEX(Models!$BJ348:$BT348,,AH348+1)*AF348-ERP_i)*AE348*Ramure*Pc/MaxiM</f>
        <v>1.1768782095632935E-3</v>
      </c>
      <c r="AE348" s="304">
        <f t="shared" si="142"/>
        <v>0.5</v>
      </c>
      <c r="AF348" s="176">
        <f t="shared" si="143"/>
        <v>0.93462939015270985</v>
      </c>
      <c r="AG348" s="814">
        <f t="shared" si="149"/>
        <v>1</v>
      </c>
      <c r="AH348" s="175">
        <f t="shared" si="144"/>
        <v>7</v>
      </c>
      <c r="AI348" s="224">
        <f t="shared" si="145"/>
        <v>1.9346293901527098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10">
        <f>'2024'!Wh/'2024'!Env_an*'2025'!Env_an</f>
        <v>3.3931254633381549</v>
      </c>
      <c r="C349" s="843"/>
      <c r="D349" s="392">
        <f t="shared" si="127"/>
        <v>3.5985662101817981</v>
      </c>
      <c r="E349" s="384">
        <f t="shared" si="125"/>
        <v>3.7838878871791914</v>
      </c>
      <c r="F349" s="384">
        <f t="shared" si="128"/>
        <v>3.7838878871791914</v>
      </c>
      <c r="G349" s="110">
        <f t="shared" si="126"/>
        <v>0.13868462865936121</v>
      </c>
      <c r="H349" s="413" t="b">
        <f>Wh_hp&gt;='2024'!Maxi_hp</f>
        <v>0</v>
      </c>
      <c r="I349" s="389">
        <f>IF(H349,Wh_hp,'2024'!Maxi_hp)</f>
        <v>26.861538170544915</v>
      </c>
      <c r="J349" s="85">
        <f>IF(H349,An,'2024'!An_max)</f>
        <v>2020</v>
      </c>
      <c r="K349" s="196">
        <f t="shared" si="129"/>
        <v>45992</v>
      </c>
      <c r="L349" s="147">
        <f>IF(t&lt;Tvie,1-EXP((T0-t)*PertePVj)+'2024'!Pspv,1-EXP((T0-t)*PertePVj)+Pspv)</f>
        <v>5.7089611485365489E-2</v>
      </c>
      <c r="M349" s="847"/>
      <c r="N349" s="847"/>
      <c r="O349" s="48">
        <f>IF(t&lt;Tnet,'2024'!Resal+('2024'!Salim-'2024'!Resal)*(1-EXP(('2024'!Tnet-t)/('2024'!Tau_j))),Resal+(Salim-Resal)*(1-EXP((Tnet-t)/(Tau_j))))*Salcycl</f>
        <v>4.8976524284800246E-2</v>
      </c>
      <c r="P349" s="168">
        <f>(INDEX(Models!$BJ349:$BT349,,T349)*(1-R349)+INDEX(Models!$BJ349:$BT349,,T349+1)*R349-ERP_i)*Q349*Ramure*Pc/MaxiM</f>
        <v>1.0360457424529473E-4</v>
      </c>
      <c r="Q349" s="304">
        <f t="shared" si="130"/>
        <v>0.5</v>
      </c>
      <c r="R349" s="176">
        <f t="shared" si="131"/>
        <v>0.8196467227500277</v>
      </c>
      <c r="S349" s="814">
        <f t="shared" si="132"/>
        <v>-1</v>
      </c>
      <c r="T349" s="175">
        <f t="shared" si="133"/>
        <v>5</v>
      </c>
      <c r="U349" s="250">
        <f t="shared" si="134"/>
        <v>-0.18035327724997235</v>
      </c>
      <c r="V349" s="382">
        <f t="shared" si="135"/>
        <v>24.463950711888451</v>
      </c>
      <c r="W349" s="401">
        <f t="shared" si="136"/>
        <v>3.3931254633381549</v>
      </c>
      <c r="X349" s="157">
        <f t="shared" si="137"/>
        <v>45992</v>
      </c>
      <c r="Y349" s="384">
        <f t="shared" si="138"/>
        <v>3.2628148644880146</v>
      </c>
      <c r="Z349" s="384">
        <f t="shared" si="139"/>
        <v>3.4603658038256664</v>
      </c>
      <c r="AA349" s="385">
        <f t="shared" si="140"/>
        <v>3.7838878871791914</v>
      </c>
      <c r="AB349" s="196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8.5499912523757118E-2</v>
      </c>
      <c r="AD349" s="230">
        <f>(INDEX(Models!$BJ349:$BT349,,AH349)*(1-AF349)+INDEX(Models!$BJ349:$BT349,,AH349+1)*AF349-ERP_i)*AE349*Ramure*Pc/MaxiM</f>
        <v>1.1532209377477123E-3</v>
      </c>
      <c r="AE349" s="304">
        <f t="shared" si="142"/>
        <v>0.5</v>
      </c>
      <c r="AF349" s="176">
        <f t="shared" si="143"/>
        <v>0.9346392625744151</v>
      </c>
      <c r="AG349" s="814">
        <f t="shared" si="149"/>
        <v>1</v>
      </c>
      <c r="AH349" s="175">
        <f t="shared" si="144"/>
        <v>7</v>
      </c>
      <c r="AI349" s="224">
        <f t="shared" si="145"/>
        <v>1.9346392625744151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10">
        <f>'2024'!Wh/'2024'!Env_an*'2025'!Env_an</f>
        <v>4.9113425486254547</v>
      </c>
      <c r="C350" s="843"/>
      <c r="D350" s="392">
        <f t="shared" si="127"/>
        <v>5.2088194646134038</v>
      </c>
      <c r="E350" s="384">
        <f t="shared" si="125"/>
        <v>5.477281807800054</v>
      </c>
      <c r="F350" s="384">
        <f t="shared" si="128"/>
        <v>5.477281807800054</v>
      </c>
      <c r="G350" s="110">
        <f t="shared" si="126"/>
        <v>0.20238596644912513</v>
      </c>
      <c r="H350" s="413" t="b">
        <f>Wh_hp&gt;='2024'!Maxi_hp</f>
        <v>0</v>
      </c>
      <c r="I350" s="389">
        <f>IF(H350,Wh_hp,'2024'!Maxi_hp)</f>
        <v>9.5659847348518507</v>
      </c>
      <c r="J350" s="85">
        <f>IF(H350,An,'2024'!An_max)</f>
        <v>2021</v>
      </c>
      <c r="K350" s="196">
        <f t="shared" si="129"/>
        <v>45993</v>
      </c>
      <c r="L350" s="147">
        <f>IF(t&lt;Tvie,1-EXP((T0-t)*PertePVj)+'2024'!Pspv,1-EXP((T0-t)*PertePVj)+Pspv)</f>
        <v>5.7110237359709971E-2</v>
      </c>
      <c r="M350" s="847"/>
      <c r="N350" s="847"/>
      <c r="O350" s="48">
        <f>IF(t&lt;Tnet,'2024'!Resal+('2024'!Salim-'2024'!Resal)*(1-EXP(('2024'!Tnet-t)/('2024'!Tau_j))),Resal+(Salim-Resal)*(1-EXP((Tnet-t)/(Tau_j))))*Salcycl</f>
        <v>4.9013790527326878E-2</v>
      </c>
      <c r="P350" s="168">
        <f>(INDEX(Models!$BJ350:$BT350,,T350)*(1-R350)+INDEX(Models!$BJ350:$BT350,,T350+1)*R350-ERP_i)*Q350*Ramure*Pc/MaxiM</f>
        <v>1.0256763547956125E-4</v>
      </c>
      <c r="Q350" s="304">
        <f t="shared" si="130"/>
        <v>0.5</v>
      </c>
      <c r="R350" s="176">
        <f t="shared" si="131"/>
        <v>0.81965619828988079</v>
      </c>
      <c r="S350" s="814">
        <f t="shared" si="132"/>
        <v>-1</v>
      </c>
      <c r="T350" s="175">
        <f t="shared" si="133"/>
        <v>5</v>
      </c>
      <c r="U350" s="250">
        <f t="shared" si="134"/>
        <v>-0.18034380171011921</v>
      </c>
      <c r="V350" s="382">
        <f t="shared" si="135"/>
        <v>24.264719980313835</v>
      </c>
      <c r="W350" s="401">
        <f t="shared" si="136"/>
        <v>4.9113425486254547</v>
      </c>
      <c r="X350" s="157">
        <f t="shared" si="137"/>
        <v>45993</v>
      </c>
      <c r="Y350" s="384">
        <f t="shared" si="138"/>
        <v>4.7229826387593485</v>
      </c>
      <c r="Z350" s="384">
        <f t="shared" si="139"/>
        <v>5.009050713981666</v>
      </c>
      <c r="AA350" s="385">
        <f t="shared" si="140"/>
        <v>5.477281807800054</v>
      </c>
      <c r="AB350" s="196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8.5486033081517268E-2</v>
      </c>
      <c r="AD350" s="230">
        <f>(INDEX(Models!$BJ350:$BT350,,AH350)*(1-AF350)+INDEX(Models!$BJ350:$BT350,,AH350+1)*AF350-ERP_i)*AE350*Ramure*Pc/MaxiM</f>
        <v>1.1311849321697823E-3</v>
      </c>
      <c r="AE350" s="304">
        <f t="shared" si="142"/>
        <v>0.5</v>
      </c>
      <c r="AF350" s="176">
        <f t="shared" si="143"/>
        <v>0.9346487381142683</v>
      </c>
      <c r="AG350" s="814">
        <f t="shared" si="149"/>
        <v>1</v>
      </c>
      <c r="AH350" s="175">
        <f t="shared" si="144"/>
        <v>7</v>
      </c>
      <c r="AI350" s="224">
        <f t="shared" si="145"/>
        <v>1.9346487381142683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10">
        <f>'2024'!Wh/'2024'!Env_an*'2025'!Env_an</f>
        <v>9.6796602773619167</v>
      </c>
      <c r="C351" s="843"/>
      <c r="D351" s="392">
        <f t="shared" si="127"/>
        <v>10.266175755763355</v>
      </c>
      <c r="E351" s="384">
        <f t="shared" si="125"/>
        <v>10.795725791294124</v>
      </c>
      <c r="F351" s="384">
        <f t="shared" si="128"/>
        <v>10.795885527007698</v>
      </c>
      <c r="G351" s="110">
        <f t="shared" si="126"/>
        <v>0.40208280156181825</v>
      </c>
      <c r="H351" s="413" t="b">
        <f>Wh_hp&gt;='2024'!Maxi_hp</f>
        <v>0</v>
      </c>
      <c r="I351" s="389">
        <f>IF(H351,Wh_hp,'2024'!Maxi_hp)</f>
        <v>16.831353899278419</v>
      </c>
      <c r="J351" s="85">
        <f>IF(H351,An,'2024'!An_max)</f>
        <v>2021</v>
      </c>
      <c r="K351" s="196">
        <f t="shared" si="129"/>
        <v>45994</v>
      </c>
      <c r="L351" s="147">
        <f>IF(t&lt;Tvie,1-EXP((T0-t)*PertePVj)+'2024'!Pspv,1-EXP((T0-t)*PertePVj)+Pspv)</f>
        <v>5.7130862782294824E-2</v>
      </c>
      <c r="M351" s="847"/>
      <c r="N351" s="847"/>
      <c r="O351" s="48">
        <f>IF(t&lt;Tnet,'2024'!Resal+('2024'!Salim-'2024'!Resal)*(1-EXP(('2024'!Tnet-t)/('2024'!Tau_j))),Resal+(Salim-Resal)*(1-EXP((Tnet-t)/(Tau_j))))*Salcycl</f>
        <v>4.9051823450148149E-2</v>
      </c>
      <c r="P351" s="168">
        <f>(INDEX(Models!$BJ351:$BT351,,T351)*(1-R351)+INDEX(Models!$BJ351:$BT351,,T351+1)*R351-ERP_i)*Q351*Ramure*Pc/MaxiM</f>
        <v>1.0142407127308284E-4</v>
      </c>
      <c r="Q351" s="304">
        <f t="shared" si="130"/>
        <v>0.5</v>
      </c>
      <c r="R351" s="176">
        <f t="shared" si="131"/>
        <v>0.81966529287937839</v>
      </c>
      <c r="S351" s="814">
        <f t="shared" si="132"/>
        <v>-1</v>
      </c>
      <c r="T351" s="175">
        <f t="shared" si="133"/>
        <v>5</v>
      </c>
      <c r="U351" s="250">
        <f t="shared" si="134"/>
        <v>-0.18033470712062161</v>
      </c>
      <c r="V351" s="382">
        <f t="shared" si="135"/>
        <v>24.07171283345544</v>
      </c>
      <c r="W351" s="401">
        <f t="shared" si="136"/>
        <v>9.6796602773619167</v>
      </c>
      <c r="X351" s="157">
        <f t="shared" si="137"/>
        <v>45994</v>
      </c>
      <c r="Y351" s="384">
        <f t="shared" si="138"/>
        <v>9.3075536557409819</v>
      </c>
      <c r="Z351" s="384">
        <f t="shared" si="139"/>
        <v>9.8715222381829868</v>
      </c>
      <c r="AA351" s="385">
        <f t="shared" si="140"/>
        <v>10.794136213705697</v>
      </c>
      <c r="AB351" s="196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8.5473627278413913E-2</v>
      </c>
      <c r="AD351" s="230">
        <f>(INDEX(Models!$BJ351:$BT351,,AH351)*(1-AF351)+INDEX(Models!$BJ351:$BT351,,AH351+1)*AF351-ERP_i)*AE351*Ramure*Pc/MaxiM</f>
        <v>1.1107251662900242E-3</v>
      </c>
      <c r="AE351" s="304">
        <f t="shared" si="142"/>
        <v>0.5</v>
      </c>
      <c r="AF351" s="176">
        <f t="shared" si="143"/>
        <v>0.93465783270376579</v>
      </c>
      <c r="AG351" s="814">
        <f t="shared" si="149"/>
        <v>1</v>
      </c>
      <c r="AH351" s="175">
        <f t="shared" si="144"/>
        <v>7</v>
      </c>
      <c r="AI351" s="224">
        <f t="shared" si="145"/>
        <v>1.9346578327037658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10">
        <f>'2024'!Wh/'2024'!Env_an*'2025'!Env_an</f>
        <v>17.56780530877791</v>
      </c>
      <c r="C352" s="843"/>
      <c r="D352" s="392">
        <f t="shared" si="127"/>
        <v>18.632691339685817</v>
      </c>
      <c r="E352" s="384">
        <f t="shared" si="125"/>
        <v>19.594602364078334</v>
      </c>
      <c r="F352" s="384">
        <f t="shared" si="128"/>
        <v>19.595824242477793</v>
      </c>
      <c r="G352" s="110">
        <f t="shared" si="126"/>
        <v>0.7354517300707617</v>
      </c>
      <c r="H352" s="413" t="b">
        <f>Wh_hp&gt;='2024'!Maxi_hp</f>
        <v>1</v>
      </c>
      <c r="I352" s="389">
        <f>IF(H352,Wh_hp,'2024'!Maxi_hp)</f>
        <v>19.595824242477793</v>
      </c>
      <c r="J352" s="85">
        <f>IF(H352,An,'2024'!An_max)</f>
        <v>2025</v>
      </c>
      <c r="K352" s="196">
        <f t="shared" si="129"/>
        <v>45995</v>
      </c>
      <c r="L352" s="147">
        <f>IF(t&lt;Tvie,1-EXP((T0-t)*PertePVj)+'2024'!Pspv,1-EXP((T0-t)*PertePVj)+Pspv)</f>
        <v>5.7151487753130038E-2</v>
      </c>
      <c r="M352" s="847"/>
      <c r="N352" s="847"/>
      <c r="O352" s="48">
        <f>IF(t&lt;Tnet,'2024'!Resal+('2024'!Salim-'2024'!Resal)*(1-EXP(('2024'!Tnet-t)/('2024'!Tau_j))),Resal+(Salim-Resal)*(1-EXP((Tnet-t)/(Tau_j))))*Salcycl</f>
        <v>4.909061212469084E-2</v>
      </c>
      <c r="P352" s="168">
        <f>(INDEX(Models!$BJ352:$BT352,,T352)*(1-R352)+INDEX(Models!$BJ352:$BT352,,T352+1)*R352-ERP_i)*Q352*Ramure*Pc/MaxiM</f>
        <v>1.0022929789470681E-4</v>
      </c>
      <c r="Q352" s="304">
        <f t="shared" si="130"/>
        <v>0.5</v>
      </c>
      <c r="R352" s="176">
        <f t="shared" si="131"/>
        <v>0.81967402181235938</v>
      </c>
      <c r="S352" s="814">
        <f t="shared" si="132"/>
        <v>-1</v>
      </c>
      <c r="T352" s="175">
        <f t="shared" si="133"/>
        <v>5</v>
      </c>
      <c r="U352" s="250">
        <f t="shared" si="134"/>
        <v>-0.18032597818764062</v>
      </c>
      <c r="V352" s="382">
        <f t="shared" si="135"/>
        <v>23.886190165154794</v>
      </c>
      <c r="W352" s="401">
        <f t="shared" si="136"/>
        <v>17.56780530877791</v>
      </c>
      <c r="X352" s="157">
        <f t="shared" si="137"/>
        <v>45995</v>
      </c>
      <c r="Y352" s="384">
        <f t="shared" si="138"/>
        <v>16.885413465327645</v>
      </c>
      <c r="Z352" s="384">
        <f t="shared" si="139"/>
        <v>17.908935789789385</v>
      </c>
      <c r="AA352" s="385">
        <f t="shared" si="140"/>
        <v>19.58250935982667</v>
      </c>
      <c r="AB352" s="196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8.5462671779470908E-2</v>
      </c>
      <c r="AD352" s="230">
        <f>(INDEX(Models!$BJ352:$BT352,,AH352)*(1-AF352)+INDEX(Models!$BJ352:$BT352,,AH352+1)*AF352-ERP_i)*AE352*Ramure*Pc/MaxiM</f>
        <v>1.0922047073280215E-3</v>
      </c>
      <c r="AE352" s="304">
        <f t="shared" si="142"/>
        <v>0.5</v>
      </c>
      <c r="AF352" s="176">
        <f t="shared" si="143"/>
        <v>0.93466656163674688</v>
      </c>
      <c r="AG352" s="814">
        <f t="shared" si="149"/>
        <v>1</v>
      </c>
      <c r="AH352" s="175">
        <f t="shared" si="144"/>
        <v>7</v>
      </c>
      <c r="AI352" s="224">
        <f t="shared" si="145"/>
        <v>1.9346665616367469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10">
        <f>'2024'!Wh/'2024'!Env_an*'2025'!Env_an</f>
        <v>24.768045043653455</v>
      </c>
      <c r="C353" s="843"/>
      <c r="D353" s="392">
        <f t="shared" si="127"/>
        <v>26.269953791189518</v>
      </c>
      <c r="E353" s="384">
        <f t="shared" si="125"/>
        <v>27.627286322464734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Wh_hp&gt;='2024'!Maxi_hp</f>
        <v>1</v>
      </c>
      <c r="I353" s="389">
        <f>IF(H353,Wh_hp,'2024'!Maxi_hp)</f>
        <v>27.630023642459491</v>
      </c>
      <c r="J353" s="85">
        <f>IF(H353,An,'2024'!An_max)</f>
        <v>2025</v>
      </c>
      <c r="K353" s="196">
        <f t="shared" si="129"/>
        <v>45996</v>
      </c>
      <c r="L353" s="147">
        <f>IF(t&lt;Tvie,1-EXP((T0-t)*PertePVj)+'2024'!Pspv,1-EXP((T0-t)*PertePVj)+Pspv)</f>
        <v>5.7172112272225496E-2</v>
      </c>
      <c r="M353" s="847"/>
      <c r="N353" s="847"/>
      <c r="O353" s="48">
        <f>IF(t&lt;Tnet,'2024'!Resal+('2024'!Salim-'2024'!Resal)*(1-EXP(('2024'!Tnet-t)/('2024'!Tau_j))),Resal+(Salim-Resal)*(1-EXP((Tnet-t)/(Tau_j))))*Salcycl</f>
        <v>4.9130143128517031E-2</v>
      </c>
      <c r="P353" s="168">
        <f>(INDEX(Models!$BJ353:$BT353,,T353)*(1-R353)+INDEX(Models!$BJ353:$BT353,,T353+1)*R353-ERP_i)*Q353*Ramure*Pc/MaxiM</f>
        <v>9.9070490499066167E-5</v>
      </c>
      <c r="Q353" s="304">
        <f t="shared" si="130"/>
        <v>0.5</v>
      </c>
      <c r="R353" s="176">
        <f t="shared" si="131"/>
        <v>0.81968239977038071</v>
      </c>
      <c r="S353" s="814">
        <f t="shared" si="132"/>
        <v>-1</v>
      </c>
      <c r="T353" s="175">
        <f t="shared" si="133"/>
        <v>5</v>
      </c>
      <c r="U353" s="250">
        <f t="shared" si="134"/>
        <v>-0.18031760022961929</v>
      </c>
      <c r="V353" s="382">
        <f t="shared" si="135"/>
        <v>23.70941187390769</v>
      </c>
      <c r="W353" s="401">
        <f t="shared" si="136"/>
        <v>24.768045043653455</v>
      </c>
      <c r="X353" s="157">
        <f t="shared" si="137"/>
        <v>45996</v>
      </c>
      <c r="Y353" s="384">
        <f t="shared" si="138"/>
        <v>23.798654618489209</v>
      </c>
      <c r="Z353" s="384">
        <f t="shared" si="139"/>
        <v>25.241780528834617</v>
      </c>
      <c r="AA353" s="385">
        <f t="shared" si="140"/>
        <v>27.600313997580603</v>
      </c>
      <c r="AB353" s="196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8.5453139009676909E-2</v>
      </c>
      <c r="AD353" s="230">
        <f>(INDEX(Models!$BJ353:$BT353,,AH353)*(1-AF353)+INDEX(Models!$BJ353:$BT353,,AH353+1)*AF353-ERP_i)*AE353*Ramure*Pc/MaxiM</f>
        <v>1.0752667193969542E-3</v>
      </c>
      <c r="AE353" s="304">
        <f t="shared" si="142"/>
        <v>0.5</v>
      </c>
      <c r="AF353" s="176">
        <f t="shared" si="143"/>
        <v>0.93467493959476822</v>
      </c>
      <c r="AG353" s="814">
        <f t="shared" si="149"/>
        <v>1</v>
      </c>
      <c r="AH353" s="175">
        <f t="shared" si="144"/>
        <v>7</v>
      </c>
      <c r="AI353" s="224">
        <f t="shared" si="145"/>
        <v>1.9346749395947682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10">
        <f>'2024'!Wh/'2024'!Env_an*'2025'!Env_an</f>
        <v>13.845542120795374</v>
      </c>
      <c r="C354" s="843"/>
      <c r="D354" s="392">
        <f t="shared" si="127"/>
        <v>14.685442777605093</v>
      </c>
      <c r="E354" s="384">
        <f t="shared" si="125"/>
        <v>15.444873390852072</v>
      </c>
      <c r="F354" s="384">
        <f t="shared" si="128"/>
        <v>15.445496015423069</v>
      </c>
      <c r="G354" s="110">
        <f t="shared" si="126"/>
        <v>0.58807101831719699</v>
      </c>
      <c r="H354" s="413" t="b">
        <f>Wh_hp&gt;='2024'!Maxi_hp</f>
        <v>0</v>
      </c>
      <c r="I354" s="389">
        <f>IF(H354,Wh_hp,'2024'!Maxi_hp)</f>
        <v>23.185833675036029</v>
      </c>
      <c r="J354" s="85">
        <f>IF(H354,An,'2024'!An_max)</f>
        <v>2020</v>
      </c>
      <c r="K354" s="196">
        <f t="shared" si="129"/>
        <v>45997</v>
      </c>
      <c r="L354" s="147">
        <f>IF(t&lt;Tvie,1-EXP((T0-t)*PertePVj)+'2024'!Pspv,1-EXP((T0-t)*PertePVj)+Pspv)</f>
        <v>5.7192736339590967E-2</v>
      </c>
      <c r="M354" s="847"/>
      <c r="N354" s="847"/>
      <c r="O354" s="48">
        <f>IF(t&lt;Tnet,'2024'!Resal+('2024'!Salim-'2024'!Resal)*(1-EXP(('2024'!Tnet-t)/('2024'!Tau_j))),Resal+(Salim-Resal)*(1-EXP((Tnet-t)/(Tau_j))))*Salcycl</f>
        <v>4.9170400690806929E-2</v>
      </c>
      <c r="P354" s="168">
        <f>(INDEX(Models!$BJ354:$BT354,,T354)*(1-R354)+INDEX(Models!$BJ354:$BT354,,T354+1)*R354-ERP_i)*Q354*Ramure*Pc/MaxiM</f>
        <v>9.7942632171836138E-5</v>
      </c>
      <c r="Q354" s="304">
        <f t="shared" si="130"/>
        <v>0.5</v>
      </c>
      <c r="R354" s="176">
        <f t="shared" si="131"/>
        <v>0.81969044084709453</v>
      </c>
      <c r="S354" s="814">
        <f t="shared" si="132"/>
        <v>-1</v>
      </c>
      <c r="T354" s="175">
        <f t="shared" si="133"/>
        <v>5</v>
      </c>
      <c r="U354" s="250">
        <f t="shared" si="134"/>
        <v>-0.18030955915290547</v>
      </c>
      <c r="V354" s="382">
        <f t="shared" si="135"/>
        <v>23.542639778634086</v>
      </c>
      <c r="W354" s="401">
        <f t="shared" si="136"/>
        <v>13.845542120795374</v>
      </c>
      <c r="X354" s="157">
        <f t="shared" si="137"/>
        <v>45997</v>
      </c>
      <c r="Y354" s="384">
        <f t="shared" si="138"/>
        <v>13.312055506474573</v>
      </c>
      <c r="Z354" s="384">
        <f t="shared" si="139"/>
        <v>14.119593706555765</v>
      </c>
      <c r="AA354" s="385">
        <f t="shared" si="140"/>
        <v>15.438758376274599</v>
      </c>
      <c r="AB354" s="196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8.5444997425832558E-2</v>
      </c>
      <c r="AD354" s="230">
        <f>(INDEX(Models!$BJ354:$BT354,,AH354)*(1-AF354)+INDEX(Models!$BJ354:$BT354,,AH354+1)*AF354-ERP_i)*AE354*Ramure*Pc/MaxiM</f>
        <v>1.0598716201765807E-3</v>
      </c>
      <c r="AE354" s="304">
        <f t="shared" si="142"/>
        <v>0.5</v>
      </c>
      <c r="AF354" s="176">
        <f t="shared" si="143"/>
        <v>0.93468298067148203</v>
      </c>
      <c r="AG354" s="814">
        <f t="shared" si="149"/>
        <v>1</v>
      </c>
      <c r="AH354" s="175">
        <f t="shared" si="144"/>
        <v>7</v>
      </c>
      <c r="AI354" s="224">
        <f t="shared" si="145"/>
        <v>1.934682980671482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10">
        <f>'2024'!Wh/'2024'!Env_an*'2025'!Env_an</f>
        <v>19.565882773514428</v>
      </c>
      <c r="C355" s="843"/>
      <c r="D355" s="392">
        <f t="shared" si="127"/>
        <v>20.75324568938041</v>
      </c>
      <c r="E355" s="384">
        <f t="shared" si="125"/>
        <v>21.827401975370456</v>
      </c>
      <c r="F355" s="384">
        <f t="shared" si="128"/>
        <v>21.829022487202241</v>
      </c>
      <c r="G355" s="110">
        <f t="shared" si="126"/>
        <v>0.83658986678720559</v>
      </c>
      <c r="H355" s="413" t="b">
        <f>Wh_hp&gt;='2024'!Maxi_hp</f>
        <v>0</v>
      </c>
      <c r="I355" s="389">
        <f>IF(H355,Wh_hp,'2024'!Maxi_hp)</f>
        <v>22.326722541325999</v>
      </c>
      <c r="J355" s="85">
        <f>IF(H355,An,'2024'!An_max)</f>
        <v>2018</v>
      </c>
      <c r="K355" s="196">
        <f t="shared" si="129"/>
        <v>45998</v>
      </c>
      <c r="L355" s="147">
        <f>IF(t&lt;Tvie,1-EXP((T0-t)*PertePVj)+'2024'!Pspv,1-EXP((T0-t)*PertePVj)+Pspv)</f>
        <v>5.7213359955236444E-2</v>
      </c>
      <c r="M355" s="847"/>
      <c r="N355" s="847"/>
      <c r="O355" s="48">
        <f>IF(t&lt;Tnet,'2024'!Resal+('2024'!Salim-'2024'!Resal)*(1-EXP(('2024'!Tnet-t)/('2024'!Tau_j))),Resal+(Salim-Resal)*(1-EXP((Tnet-t)/(Tau_j))))*Salcycl</f>
        <v>4.9211366849893579E-2</v>
      </c>
      <c r="P355" s="168">
        <f>(INDEX(Models!$BJ355:$BT355,,T355)*(1-R355)+INDEX(Models!$BJ355:$BT355,,T355+1)*R355-ERP_i)*Q355*Ramure*Pc/MaxiM</f>
        <v>9.6840758970158478E-5</v>
      </c>
      <c r="Q355" s="304">
        <f t="shared" si="130"/>
        <v>0.5</v>
      </c>
      <c r="R355" s="176">
        <f t="shared" si="131"/>
        <v>0.81969815857166561</v>
      </c>
      <c r="S355" s="814">
        <f t="shared" si="132"/>
        <v>-1</v>
      </c>
      <c r="T355" s="175">
        <f t="shared" si="133"/>
        <v>5</v>
      </c>
      <c r="U355" s="250">
        <f t="shared" si="134"/>
        <v>-0.18030184142833444</v>
      </c>
      <c r="V355" s="382">
        <f t="shared" si="135"/>
        <v>23.387135377307175</v>
      </c>
      <c r="W355" s="401">
        <f t="shared" si="136"/>
        <v>19.565882773514428</v>
      </c>
      <c r="X355" s="157">
        <f t="shared" si="137"/>
        <v>45998</v>
      </c>
      <c r="Y355" s="384">
        <f t="shared" si="138"/>
        <v>18.80669100295318</v>
      </c>
      <c r="Z355" s="384">
        <f t="shared" si="139"/>
        <v>19.947982082202859</v>
      </c>
      <c r="AA355" s="385">
        <f t="shared" si="140"/>
        <v>21.811519286884593</v>
      </c>
      <c r="AB355" s="196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8.5438211807752878E-2</v>
      </c>
      <c r="AD355" s="230">
        <f>(INDEX(Models!$BJ355:$BT355,,AH355)*(1-AF355)+INDEX(Models!$BJ355:$BT355,,AH355+1)*AF355-ERP_i)*AE355*Ramure*Pc/MaxiM</f>
        <v>1.0459801464700257E-3</v>
      </c>
      <c r="AE355" s="304">
        <f t="shared" si="142"/>
        <v>0.5</v>
      </c>
      <c r="AF355" s="176">
        <f t="shared" si="143"/>
        <v>0.93469069839605301</v>
      </c>
      <c r="AG355" s="814">
        <f t="shared" si="149"/>
        <v>1</v>
      </c>
      <c r="AH355" s="175">
        <f t="shared" si="144"/>
        <v>7</v>
      </c>
      <c r="AI355" s="224">
        <f t="shared" si="145"/>
        <v>1.934690698396053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10">
        <f>'2024'!Wh/'2024'!Env_an*'2025'!Env_an</f>
        <v>3.606036887058544</v>
      </c>
      <c r="C356" s="843"/>
      <c r="D356" s="392">
        <f t="shared" si="127"/>
        <v>3.8249542542795867</v>
      </c>
      <c r="E356" s="384">
        <f t="shared" si="125"/>
        <v>4.0231042972159523</v>
      </c>
      <c r="F356" s="384">
        <f t="shared" si="128"/>
        <v>4.0231042972159523</v>
      </c>
      <c r="G356" s="110">
        <f t="shared" si="126"/>
        <v>0.15512247378264438</v>
      </c>
      <c r="H356" s="413" t="b">
        <f>Wh_hp&gt;='2024'!Maxi_hp</f>
        <v>0</v>
      </c>
      <c r="I356" s="389">
        <f>IF(H356,Wh_hp,'2024'!Maxi_hp)</f>
        <v>18.567301939285336</v>
      </c>
      <c r="J356" s="85">
        <f>IF(H356,An,'2024'!An_max)</f>
        <v>2019</v>
      </c>
      <c r="K356" s="196">
        <f t="shared" si="129"/>
        <v>45999</v>
      </c>
      <c r="L356" s="147">
        <f>IF(t&lt;Tvie,1-EXP((T0-t)*PertePVj)+'2024'!Pspv,1-EXP((T0-t)*PertePVj)+Pspv)</f>
        <v>5.7233983119171918E-2</v>
      </c>
      <c r="M356" s="847"/>
      <c r="N356" s="847"/>
      <c r="O356" s="48">
        <f>IF(t&lt;Tnet,'2024'!Resal+('2024'!Salim-'2024'!Resal)*(1-EXP(('2024'!Tnet-t)/('2024'!Tau_j))),Resal+(Salim-Resal)*(1-EXP((Tnet-t)/(Tau_j))))*Salcycl</f>
        <v>4.9253021621509532E-2</v>
      </c>
      <c r="P356" s="168">
        <f>(INDEX(Models!$BJ356:$BT356,,T356)*(1-R356)+INDEX(Models!$BJ356:$BT356,,T356+1)*R356-ERP_i)*Q356*Ramure*Pc/MaxiM</f>
        <v>9.5759976490566184E-5</v>
      </c>
      <c r="Q356" s="304">
        <f t="shared" si="130"/>
        <v>0.5</v>
      </c>
      <c r="R356" s="176">
        <f t="shared" si="131"/>
        <v>0.81970556593126598</v>
      </c>
      <c r="S356" s="814">
        <f t="shared" si="132"/>
        <v>-1</v>
      </c>
      <c r="T356" s="175">
        <f t="shared" si="133"/>
        <v>5</v>
      </c>
      <c r="U356" s="250">
        <f t="shared" si="134"/>
        <v>-0.18029443406873402</v>
      </c>
      <c r="V356" s="382">
        <f t="shared" si="135"/>
        <v>23.244159824986188</v>
      </c>
      <c r="W356" s="401">
        <f t="shared" si="136"/>
        <v>3.606036887058544</v>
      </c>
      <c r="X356" s="157">
        <f t="shared" si="137"/>
        <v>45999</v>
      </c>
      <c r="Y356" s="384">
        <f t="shared" si="138"/>
        <v>3.4688127729001654</v>
      </c>
      <c r="Z356" s="384">
        <f t="shared" si="139"/>
        <v>3.679399459451079</v>
      </c>
      <c r="AA356" s="385">
        <f t="shared" si="140"/>
        <v>4.0231042972159523</v>
      </c>
      <c r="AB356" s="196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8.543274356638525E-2</v>
      </c>
      <c r="AD356" s="230">
        <f>(INDEX(Models!$BJ356:$BT356,,AH356)*(1-AF356)+INDEX(Models!$BJ356:$BT356,,AH356+1)*AF356-ERP_i)*AE356*Ramure*Pc/MaxiM</f>
        <v>1.0335527663194941E-3</v>
      </c>
      <c r="AE356" s="304">
        <f t="shared" si="142"/>
        <v>0.5</v>
      </c>
      <c r="AF356" s="176">
        <f t="shared" si="143"/>
        <v>0.93469810575565337</v>
      </c>
      <c r="AG356" s="814">
        <f t="shared" si="149"/>
        <v>1</v>
      </c>
      <c r="AH356" s="175">
        <f t="shared" si="144"/>
        <v>7</v>
      </c>
      <c r="AI356" s="224">
        <f t="shared" si="145"/>
        <v>1.9346981057556534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10">
        <f>'2024'!Wh/'2024'!Env_an*'2025'!Env_an</f>
        <v>8.1423526715744732</v>
      </c>
      <c r="C357" s="843"/>
      <c r="D357" s="392">
        <f t="shared" si="127"/>
        <v>8.636852242333374</v>
      </c>
      <c r="E357" s="384">
        <f t="shared" si="125"/>
        <v>9.0846849022380312</v>
      </c>
      <c r="F357" s="384">
        <f t="shared" si="128"/>
        <v>9.0847491218272864</v>
      </c>
      <c r="G357" s="110">
        <f t="shared" si="126"/>
        <v>0.35222359360514072</v>
      </c>
      <c r="H357" s="413" t="b">
        <f>Wh_hp&gt;='2024'!Maxi_hp</f>
        <v>0</v>
      </c>
      <c r="I357" s="389">
        <f>IF(H357,Wh_hp,'2024'!Maxi_hp)</f>
        <v>10.545859216009614</v>
      </c>
      <c r="J357" s="85">
        <f>IF(H357,An,'2024'!An_max)</f>
        <v>2020</v>
      </c>
      <c r="K357" s="196">
        <f t="shared" si="129"/>
        <v>46000</v>
      </c>
      <c r="L357" s="147">
        <f>IF(t&lt;Tvie,1-EXP((T0-t)*PertePVj)+'2024'!Pspv,1-EXP((T0-t)*PertePVj)+Pspv)</f>
        <v>5.7254605831407047E-2</v>
      </c>
      <c r="M357" s="847"/>
      <c r="N357" s="847"/>
      <c r="O357" s="48">
        <f>IF(t&lt;Tnet,'2024'!Resal+('2024'!Salim-'2024'!Resal)*(1-EXP(('2024'!Tnet-t)/('2024'!Tau_j))),Resal+(Salim-Resal)*(1-EXP((Tnet-t)/(Tau_j))))*Salcycl</f>
        <v>4.929534317633108E-2</v>
      </c>
      <c r="P357" s="168">
        <f>(INDEX(Models!$BJ357:$BT357,,T357)*(1-R357)+INDEX(Models!$BJ357:$BT357,,T357+1)*R357-ERP_i)*Q357*Ramure*Pc/MaxiM</f>
        <v>9.4695481210589497E-5</v>
      </c>
      <c r="Q357" s="304">
        <f t="shared" si="130"/>
        <v>0.5</v>
      </c>
      <c r="R357" s="176">
        <f t="shared" si="131"/>
        <v>0.819712675392682</v>
      </c>
      <c r="S357" s="814">
        <f t="shared" si="132"/>
        <v>-1</v>
      </c>
      <c r="T357" s="175">
        <f t="shared" si="133"/>
        <v>5</v>
      </c>
      <c r="U357" s="250">
        <f t="shared" si="134"/>
        <v>-0.180287324607318</v>
      </c>
      <c r="V357" s="382">
        <f t="shared" si="135"/>
        <v>23.114973920499022</v>
      </c>
      <c r="W357" s="401">
        <f t="shared" si="136"/>
        <v>8.1423526715744732</v>
      </c>
      <c r="X357" s="157">
        <f t="shared" si="137"/>
        <v>46000</v>
      </c>
      <c r="Y357" s="384">
        <f t="shared" si="138"/>
        <v>7.8323456545259997</v>
      </c>
      <c r="Z357" s="384">
        <f t="shared" si="139"/>
        <v>8.3080179473412805</v>
      </c>
      <c r="AA357" s="385">
        <f t="shared" si="140"/>
        <v>9.0840556601975067</v>
      </c>
      <c r="AB357" s="196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8.5428551066292449E-2</v>
      </c>
      <c r="AD357" s="230">
        <f>(INDEX(Models!$BJ357:$BT357,,AH357)*(1-AF357)+INDEX(Models!$BJ357:$BT357,,AH357+1)*AF357-ERP_i)*AE357*Ramure*Pc/MaxiM</f>
        <v>1.022549092785869E-3</v>
      </c>
      <c r="AE357" s="304">
        <f t="shared" si="142"/>
        <v>0.5</v>
      </c>
      <c r="AF357" s="176">
        <f t="shared" si="143"/>
        <v>0.9347052152170694</v>
      </c>
      <c r="AG357" s="814">
        <f t="shared" si="149"/>
        <v>1</v>
      </c>
      <c r="AH357" s="175">
        <f t="shared" si="144"/>
        <v>7</v>
      </c>
      <c r="AI357" s="224">
        <f t="shared" si="145"/>
        <v>1.9347052152170694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10">
        <f>'2024'!Wh/'2024'!Env_an*'2025'!Env_an</f>
        <v>15.057716391947599</v>
      </c>
      <c r="C358" s="843"/>
      <c r="D358" s="392">
        <f t="shared" si="127"/>
        <v>15.972547704958691</v>
      </c>
      <c r="E358" s="384">
        <f t="shared" si="125"/>
        <v>16.801505561648881</v>
      </c>
      <c r="F358" s="384">
        <f t="shared" si="128"/>
        <v>16.802302740413936</v>
      </c>
      <c r="G358" s="110">
        <f t="shared" si="126"/>
        <v>0.65462922053031503</v>
      </c>
      <c r="H358" s="413" t="b">
        <f>Wh_hp&gt;='2024'!Maxi_hp</f>
        <v>0</v>
      </c>
      <c r="I358" s="389">
        <f>IF(H358,Wh_hp,'2024'!Maxi_hp)</f>
        <v>22.599335595679641</v>
      </c>
      <c r="J358" s="85">
        <f>IF(H358,An,'2024'!An_max)</f>
        <v>2019</v>
      </c>
      <c r="K358" s="196">
        <f t="shared" si="129"/>
        <v>46001</v>
      </c>
      <c r="L358" s="147">
        <f>IF(t&lt;Tvie,1-EXP((T0-t)*PertePVj)+'2024'!Pspv,1-EXP((T0-t)*PertePVj)+Pspv)</f>
        <v>5.7275228091951937E-2</v>
      </c>
      <c r="M358" s="847"/>
      <c r="N358" s="847"/>
      <c r="O358" s="48">
        <f>IF(t&lt;Tnet,'2024'!Resal+('2024'!Salim-'2024'!Resal)*(1-EXP(('2024'!Tnet-t)/('2024'!Tau_j))),Resal+(Salim-Resal)*(1-EXP((Tnet-t)/(Tau_j))))*Salcycl</f>
        <v>4.9338308025345542E-2</v>
      </c>
      <c r="P358" s="168">
        <f>(INDEX(Models!$BJ358:$BT358,,T358)*(1-R358)+INDEX(Models!$BJ358:$BT358,,T358+1)*R358-ERP_i)*Q358*Ramure*Pc/MaxiM</f>
        <v>9.3642586416288205E-5</v>
      </c>
      <c r="Q358" s="304">
        <f t="shared" si="130"/>
        <v>0.5</v>
      </c>
      <c r="R358" s="176">
        <f t="shared" si="131"/>
        <v>0.81971949892306872</v>
      </c>
      <c r="S358" s="814">
        <f t="shared" si="132"/>
        <v>-1</v>
      </c>
      <c r="T358" s="175">
        <f t="shared" si="133"/>
        <v>5</v>
      </c>
      <c r="U358" s="250">
        <f t="shared" si="134"/>
        <v>-0.18028050107693128</v>
      </c>
      <c r="V358" s="382">
        <f t="shared" si="135"/>
        <v>23.000838109205006</v>
      </c>
      <c r="W358" s="401">
        <f t="shared" si="136"/>
        <v>15.057716391947599</v>
      </c>
      <c r="X358" s="157">
        <f t="shared" si="137"/>
        <v>46001</v>
      </c>
      <c r="Y358" s="384">
        <f t="shared" si="138"/>
        <v>14.479375480382295</v>
      </c>
      <c r="Z358" s="384">
        <f t="shared" si="139"/>
        <v>15.359069700774333</v>
      </c>
      <c r="AA358" s="385">
        <f t="shared" si="140"/>
        <v>16.79367969643971</v>
      </c>
      <c r="AB358" s="196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8.5425589959865544E-2</v>
      </c>
      <c r="AD358" s="230">
        <f>(INDEX(Models!$BJ358:$BT358,,AH358)*(1-AF358)+INDEX(Models!$BJ358:$BT358,,AH358+1)*AF358-ERP_i)*AE358*Ramure*Pc/MaxiM</f>
        <v>1.0129273080574412E-3</v>
      </c>
      <c r="AE358" s="304">
        <f t="shared" si="142"/>
        <v>0.5</v>
      </c>
      <c r="AF358" s="176">
        <f t="shared" si="143"/>
        <v>0.93471203874745612</v>
      </c>
      <c r="AG358" s="814">
        <f t="shared" si="149"/>
        <v>1</v>
      </c>
      <c r="AH358" s="175">
        <f t="shared" si="144"/>
        <v>7</v>
      </c>
      <c r="AI358" s="224">
        <f t="shared" si="145"/>
        <v>1.9347120387474561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10">
        <f>'2024'!Wh/'2024'!Env_an*'2025'!Env_an</f>
        <v>16.155755433392727</v>
      </c>
      <c r="C359" s="843"/>
      <c r="D359" s="392">
        <f t="shared" si="127"/>
        <v>17.137672971624184</v>
      </c>
      <c r="E359" s="384">
        <f t="shared" si="125"/>
        <v>18.027926054833273</v>
      </c>
      <c r="F359" s="384">
        <f t="shared" si="128"/>
        <v>18.028893287971826</v>
      </c>
      <c r="G359" s="110">
        <f t="shared" si="126"/>
        <v>0.70547913572625509</v>
      </c>
      <c r="H359" s="413" t="b">
        <f>Wh_hp&gt;='2024'!Maxi_hp</f>
        <v>0</v>
      </c>
      <c r="I359" s="389">
        <f>IF(H359,Wh_hp,'2024'!Maxi_hp)</f>
        <v>18.967198725102847</v>
      </c>
      <c r="J359" s="85">
        <f>IF(H359,An,'2024'!An_max)</f>
        <v>2018</v>
      </c>
      <c r="K359" s="196">
        <f t="shared" si="129"/>
        <v>46002</v>
      </c>
      <c r="L359" s="147">
        <f>IF(t&lt;Tvie,1-EXP((T0-t)*PertePVj)+'2024'!Pspv,1-EXP((T0-t)*PertePVj)+Pspv)</f>
        <v>5.7295849900816355E-2</v>
      </c>
      <c r="M359" s="847"/>
      <c r="N359" s="847"/>
      <c r="O359" s="48">
        <f>IF(t&lt;Tnet,'2024'!Resal+('2024'!Salim-'2024'!Resal)*(1-EXP(('2024'!Tnet-t)/('2024'!Tau_j))),Resal+(Salim-Resal)*(1-EXP((Tnet-t)/(Tau_j))))*Salcycl</f>
        <v>4.9381891211519272E-2</v>
      </c>
      <c r="P359" s="168">
        <f>(INDEX(Models!$BJ359:$BT359,,T359)*(1-R359)+INDEX(Models!$BJ359:$BT359,,T359+1)*R359-ERP_i)*Q359*Ramure*Pc/MaxiM</f>
        <v>9.2610917204383498E-5</v>
      </c>
      <c r="Q359" s="304">
        <f t="shared" si="130"/>
        <v>0.5</v>
      </c>
      <c r="R359" s="176">
        <f t="shared" si="131"/>
        <v>0.81972604800988358</v>
      </c>
      <c r="S359" s="814">
        <f t="shared" si="132"/>
        <v>-1</v>
      </c>
      <c r="T359" s="175">
        <f t="shared" si="133"/>
        <v>5</v>
      </c>
      <c r="U359" s="250">
        <f t="shared" si="134"/>
        <v>-0.18027395199011648</v>
      </c>
      <c r="V359" s="382">
        <f t="shared" si="135"/>
        <v>22.89950917502166</v>
      </c>
      <c r="W359" s="401">
        <f t="shared" si="136"/>
        <v>16.155755433392727</v>
      </c>
      <c r="X359" s="157">
        <f t="shared" si="137"/>
        <v>46002</v>
      </c>
      <c r="Y359" s="384">
        <f t="shared" si="138"/>
        <v>15.535009067130137</v>
      </c>
      <c r="Z359" s="384">
        <f t="shared" si="139"/>
        <v>16.479198766119435</v>
      </c>
      <c r="AA359" s="385">
        <f t="shared" si="140"/>
        <v>18.018399133848664</v>
      </c>
      <c r="AB359" s="196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8.5423813530567688E-2</v>
      </c>
      <c r="AD359" s="230">
        <f>(INDEX(Models!$BJ359:$BT359,,AH359)*(1-AF359)+INDEX(Models!$BJ359:$BT359,,AH359+1)*AF359-ERP_i)*AE359*Ramure*Pc/MaxiM</f>
        <v>1.0047972922912097E-3</v>
      </c>
      <c r="AE359" s="304">
        <f t="shared" si="142"/>
        <v>0.5</v>
      </c>
      <c r="AF359" s="176">
        <f t="shared" si="143"/>
        <v>0.93471858783427098</v>
      </c>
      <c r="AG359" s="814">
        <f t="shared" si="149"/>
        <v>1</v>
      </c>
      <c r="AH359" s="175">
        <f t="shared" si="144"/>
        <v>7</v>
      </c>
      <c r="AI359" s="224">
        <f t="shared" si="145"/>
        <v>1.934718587834271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10">
        <f>'2024'!Wh/'2024'!Env_an*'2025'!Env_an</f>
        <v>5.1932078492279068</v>
      </c>
      <c r="C360" s="843"/>
      <c r="D360" s="392">
        <f t="shared" si="127"/>
        <v>5.5089621181333648</v>
      </c>
      <c r="E360" s="384">
        <f t="shared" si="125"/>
        <v>5.7954062530259289</v>
      </c>
      <c r="F360" s="384">
        <f t="shared" si="128"/>
        <v>5.7954062530259289</v>
      </c>
      <c r="G360" s="110">
        <f t="shared" si="126"/>
        <v>0.22767142217176248</v>
      </c>
      <c r="H360" s="413" t="b">
        <f>Wh_hp&gt;='2024'!Maxi_hp</f>
        <v>0</v>
      </c>
      <c r="I360" s="389">
        <f>IF(H360,Wh_hp,'2024'!Maxi_hp)</f>
        <v>25.182974084445021</v>
      </c>
      <c r="J360" s="85">
        <f>IF(H360,An,'2024'!An_max)</f>
        <v>2021</v>
      </c>
      <c r="K360" s="196">
        <f t="shared" si="129"/>
        <v>46003</v>
      </c>
      <c r="L360" s="147">
        <f>IF(t&lt;Tvie,1-EXP((T0-t)*PertePVj)+'2024'!Pspv,1-EXP((T0-t)*PertePVj)+Pspv)</f>
        <v>5.7316471258010183E-2</v>
      </c>
      <c r="M360" s="847"/>
      <c r="N360" s="847"/>
      <c r="O360" s="48">
        <f>IF(t&lt;Tnet,'2024'!Resal+('2024'!Salim-'2024'!Resal)*(1-EXP(('2024'!Tnet-t)/('2024'!Tau_j))),Resal+(Salim-Resal)*(1-EXP((Tnet-t)/(Tau_j))))*Salcycl</f>
        <v>4.9426066506209836E-2</v>
      </c>
      <c r="P360" s="168">
        <f>(INDEX(Models!$BJ360:$BT360,,T360)*(1-R360)+INDEX(Models!$BJ360:$BT360,,T360+1)*R360-ERP_i)*Q360*Ramure*Pc/MaxiM</f>
        <v>9.1612810528571848E-5</v>
      </c>
      <c r="Q360" s="304">
        <f t="shared" si="130"/>
        <v>0.5</v>
      </c>
      <c r="R360" s="176">
        <f t="shared" si="131"/>
        <v>0.8197323336800324</v>
      </c>
      <c r="S360" s="814">
        <f t="shared" si="132"/>
        <v>-1</v>
      </c>
      <c r="T360" s="175">
        <f t="shared" si="133"/>
        <v>5</v>
      </c>
      <c r="U360" s="250">
        <f t="shared" si="134"/>
        <v>-0.18026766631996766</v>
      </c>
      <c r="V360" s="382">
        <f t="shared" si="135"/>
        <v>22.808010049428248</v>
      </c>
      <c r="W360" s="401">
        <f t="shared" si="136"/>
        <v>5.1932078492279068</v>
      </c>
      <c r="X360" s="157">
        <f t="shared" si="137"/>
        <v>46003</v>
      </c>
      <c r="Y360" s="384">
        <f t="shared" si="138"/>
        <v>4.9965472322819799</v>
      </c>
      <c r="Z360" s="384">
        <f t="shared" si="139"/>
        <v>5.3003442618222758</v>
      </c>
      <c r="AA360" s="385">
        <f t="shared" si="140"/>
        <v>5.7954062530259289</v>
      </c>
      <c r="AB360" s="196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8.5423173042471115E-2</v>
      </c>
      <c r="AD360" s="230">
        <f>(INDEX(Models!$BJ360:$BT360,,AH360)*(1-AF360)+INDEX(Models!$BJ360:$BT360,,AH360+1)*AF360-ERP_i)*AE360*Ramure*Pc/MaxiM</f>
        <v>9.9829667575903865E-4</v>
      </c>
      <c r="AE360" s="304">
        <f t="shared" si="142"/>
        <v>0.5</v>
      </c>
      <c r="AF360" s="176">
        <f t="shared" si="143"/>
        <v>0.9347248735044198</v>
      </c>
      <c r="AG360" s="814">
        <f t="shared" si="149"/>
        <v>1</v>
      </c>
      <c r="AH360" s="175">
        <f t="shared" si="144"/>
        <v>7</v>
      </c>
      <c r="AI360" s="224">
        <f t="shared" si="145"/>
        <v>1.9347248735044198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10">
        <f>'2024'!Wh/'2024'!Env_an*'2025'!Env_an</f>
        <v>4.8609861270195083</v>
      </c>
      <c r="C361" s="843"/>
      <c r="D361" s="392">
        <f t="shared" si="127"/>
        <v>5.156653652763481</v>
      </c>
      <c r="E361" s="384">
        <f t="shared" ref="E361:E379" si="150">Wh_pvt/(1-Psa)</f>
        <v>5.4250344845967451</v>
      </c>
      <c r="F361" s="384">
        <f t="shared" si="128"/>
        <v>5.4250344845967451</v>
      </c>
      <c r="G361" s="110">
        <f t="shared" ref="G361:G379" si="151">+Wh_hp/MaxiM</f>
        <v>0.21387127288613614</v>
      </c>
      <c r="H361" s="413" t="b">
        <f>Wh_hp&gt;='2024'!Maxi_hp</f>
        <v>0</v>
      </c>
      <c r="I361" s="389">
        <f>IF(H361,Wh_hp,'2024'!Maxi_hp)</f>
        <v>25.628630345535896</v>
      </c>
      <c r="J361" s="85">
        <f>IF(H361,An,'2024'!An_max)</f>
        <v>2021</v>
      </c>
      <c r="K361" s="196">
        <f t="shared" si="129"/>
        <v>46004</v>
      </c>
      <c r="L361" s="147">
        <f>IF(t&lt;Tvie,1-EXP((T0-t)*PertePVj)+'2024'!Pspv,1-EXP((T0-t)*PertePVj)+Pspv)</f>
        <v>5.7337092163543414E-2</v>
      </c>
      <c r="M361" s="847"/>
      <c r="N361" s="847"/>
      <c r="O361" s="48">
        <f>IF(t&lt;Tnet,'2024'!Resal+('2024'!Salim-'2024'!Resal)*(1-EXP(('2024'!Tnet-t)/('2024'!Tau_j))),Resal+(Salim-Resal)*(1-EXP((Tnet-t)/(Tau_j))))*Salcycl</f>
        <v>4.9470806608746067E-2</v>
      </c>
      <c r="P361" s="168">
        <f>(INDEX(Models!$BJ361:$BT361,,T361)*(1-R361)+INDEX(Models!$BJ361:$BT361,,T361+1)*R361-ERP_i)*Q361*Ramure*Pc/MaxiM</f>
        <v>9.0702907837240875E-5</v>
      </c>
      <c r="Q361" s="304">
        <f t="shared" si="130"/>
        <v>0.5</v>
      </c>
      <c r="R361" s="176">
        <f t="shared" si="131"/>
        <v>0.81973836651825793</v>
      </c>
      <c r="S361" s="814">
        <f t="shared" si="132"/>
        <v>-1</v>
      </c>
      <c r="T361" s="175">
        <f t="shared" si="133"/>
        <v>5</v>
      </c>
      <c r="U361" s="250">
        <f t="shared" si="134"/>
        <v>-0.18026163348174207</v>
      </c>
      <c r="V361" s="382">
        <f t="shared" si="135"/>
        <v>22.726498775880753</v>
      </c>
      <c r="W361" s="401">
        <f t="shared" si="136"/>
        <v>4.8609861270195083</v>
      </c>
      <c r="X361" s="157">
        <f t="shared" si="137"/>
        <v>46004</v>
      </c>
      <c r="Y361" s="384">
        <f t="shared" si="138"/>
        <v>4.6771242119210221</v>
      </c>
      <c r="Z361" s="384">
        <f t="shared" si="139"/>
        <v>4.9616084106413787</v>
      </c>
      <c r="AA361" s="385">
        <f t="shared" si="140"/>
        <v>5.4250344845967451</v>
      </c>
      <c r="AB361" s="196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8.5423618093335207E-2</v>
      </c>
      <c r="AD361" s="230">
        <f>(INDEX(Models!$BJ361:$BT361,,AH361)*(1-AF361)+INDEX(Models!$BJ361:$BT361,,AH361+1)*AF361-ERP_i)*AE361*Ramure*Pc/MaxiM</f>
        <v>9.9230943073674903E-4</v>
      </c>
      <c r="AE361" s="304">
        <f t="shared" si="142"/>
        <v>0.5</v>
      </c>
      <c r="AF361" s="176">
        <f t="shared" si="143"/>
        <v>0.93473090634264544</v>
      </c>
      <c r="AG361" s="814">
        <f t="shared" si="149"/>
        <v>1</v>
      </c>
      <c r="AH361" s="175">
        <f t="shared" si="144"/>
        <v>7</v>
      </c>
      <c r="AI361" s="224">
        <f t="shared" si="145"/>
        <v>1.9347309063426454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10">
        <f>'2024'!Wh/'2024'!Env_an*'2025'!Env_an</f>
        <v>15.783007957872789</v>
      </c>
      <c r="C362" s="843"/>
      <c r="D362" s="392">
        <f t="shared" si="127"/>
        <v>16.743369323794415</v>
      </c>
      <c r="E362" s="384">
        <f t="shared" si="150"/>
        <v>17.615626135752375</v>
      </c>
      <c r="F362" s="384">
        <f t="shared" si="128"/>
        <v>17.616523382271655</v>
      </c>
      <c r="G362" s="110">
        <f t="shared" si="151"/>
        <v>0.69663647904518766</v>
      </c>
      <c r="H362" s="413" t="b">
        <f>Wh_hp&gt;='2024'!Maxi_hp</f>
        <v>0</v>
      </c>
      <c r="I362" s="389">
        <f>IF(H362,Wh_hp,'2024'!Maxi_hp)</f>
        <v>25.793549080224839</v>
      </c>
      <c r="J362" s="85">
        <f>IF(H362,An,'2024'!An_max)</f>
        <v>2021</v>
      </c>
      <c r="K362" s="196">
        <f t="shared" si="129"/>
        <v>46005</v>
      </c>
      <c r="L362" s="147">
        <f>IF(t&lt;Tvie,1-EXP((T0-t)*PertePVj)+'2024'!Pspv,1-EXP((T0-t)*PertePVj)+Pspv)</f>
        <v>5.7357712617425928E-2</v>
      </c>
      <c r="M362" s="847"/>
      <c r="N362" s="847"/>
      <c r="O362" s="48">
        <f>IF(t&lt;Tnet,'2024'!Resal+('2024'!Salim-'2024'!Resal)*(1-EXP(('2024'!Tnet-t)/('2024'!Tau_j))),Resal+(Salim-Resal)*(1-EXP((Tnet-t)/(Tau_j))))*Salcycl</f>
        <v>4.9516083347593345E-2</v>
      </c>
      <c r="P362" s="168">
        <f>(INDEX(Models!$BJ362:$BT362,,T362)*(1-R362)+INDEX(Models!$BJ362:$BT362,,T362+1)*R362-ERP_i)*Q362*Ramure*Pc/MaxiM</f>
        <v>8.9880866906158282E-5</v>
      </c>
      <c r="Q362" s="304">
        <f t="shared" si="130"/>
        <v>0.5</v>
      </c>
      <c r="R362" s="176">
        <f t="shared" si="131"/>
        <v>0.8197441566847995</v>
      </c>
      <c r="S362" s="814">
        <f t="shared" si="132"/>
        <v>-1</v>
      </c>
      <c r="T362" s="175">
        <f t="shared" si="133"/>
        <v>5</v>
      </c>
      <c r="U362" s="250">
        <f t="shared" si="134"/>
        <v>-0.1802558433152005</v>
      </c>
      <c r="V362" s="382">
        <f t="shared" si="135"/>
        <v>22.655134596863256</v>
      </c>
      <c r="W362" s="401">
        <f t="shared" si="136"/>
        <v>15.783007957872789</v>
      </c>
      <c r="X362" s="157">
        <f t="shared" si="137"/>
        <v>46005</v>
      </c>
      <c r="Y362" s="384">
        <f t="shared" si="138"/>
        <v>15.179011095639364</v>
      </c>
      <c r="Z362" s="384">
        <f t="shared" si="139"/>
        <v>16.102620579209088</v>
      </c>
      <c r="AA362" s="385">
        <f t="shared" si="140"/>
        <v>17.606672264714625</v>
      </c>
      <c r="AB362" s="196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8.5425096968482384E-2</v>
      </c>
      <c r="AD362" s="230">
        <f>(INDEX(Models!$BJ362:$BT362,,AH362)*(1-AF362)+INDEX(Models!$BJ362:$BT362,,AH362+1)*AF362-ERP_i)*AE362*Ramure*Pc/MaxiM</f>
        <v>9.8682688313019755E-4</v>
      </c>
      <c r="AE362" s="304">
        <f t="shared" si="142"/>
        <v>0.5</v>
      </c>
      <c r="AF362" s="176">
        <f t="shared" si="143"/>
        <v>0.934736696509187</v>
      </c>
      <c r="AG362" s="814">
        <f t="shared" si="149"/>
        <v>1</v>
      </c>
      <c r="AH362" s="175">
        <f t="shared" si="144"/>
        <v>7</v>
      </c>
      <c r="AI362" s="224">
        <f t="shared" si="145"/>
        <v>1.934736696509187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10">
        <f>'2024'!Wh/'2024'!Env_an*'2025'!Env_an</f>
        <v>5.7600399027567706</v>
      </c>
      <c r="C363" s="843"/>
      <c r="D363" s="392">
        <f t="shared" si="127"/>
        <v>6.1106593473123381</v>
      </c>
      <c r="E363" s="384">
        <f t="shared" si="150"/>
        <v>6.4293078537285089</v>
      </c>
      <c r="F363" s="384">
        <f t="shared" si="128"/>
        <v>6.4293078537285089</v>
      </c>
      <c r="G363" s="110">
        <f t="shared" si="151"/>
        <v>0.25491311277652567</v>
      </c>
      <c r="H363" s="413" t="b">
        <f>Wh_hp&gt;='2024'!Maxi_hp</f>
        <v>0</v>
      </c>
      <c r="I363" s="389">
        <f>IF(H363,Wh_hp,'2024'!Maxi_hp)</f>
        <v>25.480565606345994</v>
      </c>
      <c r="J363" s="85">
        <f>IF(H363,An,'2024'!An_max)</f>
        <v>2019</v>
      </c>
      <c r="K363" s="196">
        <f t="shared" si="129"/>
        <v>46006</v>
      </c>
      <c r="L363" s="147">
        <f>IF(t&lt;Tvie,1-EXP((T0-t)*PertePVj)+'2024'!Pspv,1-EXP((T0-t)*PertePVj)+Pspv)</f>
        <v>5.7378332619667495E-2</v>
      </c>
      <c r="M363" s="847"/>
      <c r="N363" s="847"/>
      <c r="O363" s="48">
        <f>IF(t&lt;Tnet,'2024'!Resal+('2024'!Salim-'2024'!Resal)*(1-EXP(('2024'!Tnet-t)/('2024'!Tau_j))),Resal+(Salim-Resal)*(1-EXP((Tnet-t)/(Tau_j))))*Salcycl</f>
        <v>4.9561867881529317E-2</v>
      </c>
      <c r="P363" s="168">
        <f>(INDEX(Models!$BJ363:$BT363,,T363)*(1-R363)+INDEX(Models!$BJ363:$BT363,,T363+1)*R363-ERP_i)*Q363*Ramure*Pc/MaxiM</f>
        <v>8.9146256474964913E-5</v>
      </c>
      <c r="Q363" s="304">
        <f t="shared" si="130"/>
        <v>0.5</v>
      </c>
      <c r="R363" s="176">
        <f t="shared" si="131"/>
        <v>0.81974971393235341</v>
      </c>
      <c r="S363" s="814">
        <f t="shared" si="132"/>
        <v>-1</v>
      </c>
      <c r="T363" s="175">
        <f t="shared" si="133"/>
        <v>5</v>
      </c>
      <c r="U363" s="250">
        <f t="shared" si="134"/>
        <v>-0.18025028606764659</v>
      </c>
      <c r="V363" s="382">
        <f t="shared" si="135"/>
        <v>22.594076679811639</v>
      </c>
      <c r="W363" s="401">
        <f t="shared" si="136"/>
        <v>5.7600399027567706</v>
      </c>
      <c r="X363" s="157">
        <f t="shared" si="137"/>
        <v>46006</v>
      </c>
      <c r="Y363" s="384">
        <f t="shared" si="138"/>
        <v>5.5426793051131344</v>
      </c>
      <c r="Z363" s="384">
        <f t="shared" si="139"/>
        <v>5.8800677906301022</v>
      </c>
      <c r="AA363" s="385">
        <f t="shared" si="140"/>
        <v>6.4293078537285089</v>
      </c>
      <c r="AB363" s="196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8.5427556992762374E-2</v>
      </c>
      <c r="AD363" s="230">
        <f>(INDEX(Models!$BJ363:$BT363,,AH363)*(1-AF363)+INDEX(Models!$BJ363:$BT363,,AH363+1)*AF363-ERP_i)*AE363*Ramure*Pc/MaxiM</f>
        <v>9.8183987967405406E-4</v>
      </c>
      <c r="AE363" s="304">
        <f t="shared" si="142"/>
        <v>0.5</v>
      </c>
      <c r="AF363" s="176">
        <f t="shared" si="143"/>
        <v>0.93474225375674092</v>
      </c>
      <c r="AG363" s="814">
        <f t="shared" si="149"/>
        <v>1</v>
      </c>
      <c r="AH363" s="175">
        <f t="shared" si="144"/>
        <v>7</v>
      </c>
      <c r="AI363" s="224">
        <f t="shared" si="145"/>
        <v>1.9347422537567409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10">
        <f>'2024'!Wh/'2024'!Env_an*'2025'!Env_an</f>
        <v>4.7671067648401717</v>
      </c>
      <c r="C364" s="843"/>
      <c r="D364" s="392">
        <f t="shared" si="127"/>
        <v>5.0573959957037262</v>
      </c>
      <c r="E364" s="384">
        <f t="shared" si="150"/>
        <v>5.3213796962395303</v>
      </c>
      <c r="F364" s="384">
        <f t="shared" si="128"/>
        <v>5.3213796962395303</v>
      </c>
      <c r="G364" s="110">
        <f t="shared" si="151"/>
        <v>0.21144401899562387</v>
      </c>
      <c r="H364" s="413" t="b">
        <f>Wh_hp&gt;='2024'!Maxi_hp</f>
        <v>0</v>
      </c>
      <c r="I364" s="389">
        <f>IF(H364,Wh_hp,'2024'!Maxi_hp)</f>
        <v>25.377084616872267</v>
      </c>
      <c r="J364" s="85">
        <f>IF(H364,An,'2024'!An_max)</f>
        <v>2021</v>
      </c>
      <c r="K364" s="196">
        <f t="shared" si="129"/>
        <v>46007</v>
      </c>
      <c r="L364" s="147">
        <f>IF(t&lt;Tvie,1-EXP((T0-t)*PertePVj)+'2024'!Pspv,1-EXP((T0-t)*PertePVj)+Pspv)</f>
        <v>5.7398952170278107E-2</v>
      </c>
      <c r="M364" s="847"/>
      <c r="N364" s="847"/>
      <c r="O364" s="48">
        <f>IF(t&lt;Tnet,'2024'!Resal+('2024'!Salim-'2024'!Resal)*(1-EXP(('2024'!Tnet-t)/('2024'!Tau_j))),Resal+(Salim-Resal)*(1-EXP((Tnet-t)/(Tau_j))))*Salcycl</f>
        <v>4.960813089927673E-2</v>
      </c>
      <c r="P364" s="168">
        <f>(INDEX(Models!$BJ364:$BT364,,T364)*(1-R364)+INDEX(Models!$BJ364:$BT364,,T364+1)*R364-ERP_i)*Q364*Ramure*Pc/MaxiM</f>
        <v>8.8498549268434845E-5</v>
      </c>
      <c r="Q364" s="304">
        <f t="shared" si="130"/>
        <v>0.5</v>
      </c>
      <c r="R364" s="176">
        <f t="shared" si="131"/>
        <v>0.81975504762236051</v>
      </c>
      <c r="S364" s="814">
        <f t="shared" si="132"/>
        <v>-1</v>
      </c>
      <c r="T364" s="175">
        <f t="shared" si="133"/>
        <v>5</v>
      </c>
      <c r="U364" s="250">
        <f t="shared" si="134"/>
        <v>-0.18024495237763949</v>
      </c>
      <c r="V364" s="382">
        <f t="shared" si="135"/>
        <v>22.543484112009473</v>
      </c>
      <c r="W364" s="401">
        <f t="shared" si="136"/>
        <v>4.7671067648401717</v>
      </c>
      <c r="X364" s="157">
        <f t="shared" si="137"/>
        <v>46007</v>
      </c>
      <c r="Y364" s="384">
        <f t="shared" si="138"/>
        <v>4.5874217481586479</v>
      </c>
      <c r="Z364" s="384">
        <f t="shared" si="139"/>
        <v>4.8667692007354448</v>
      </c>
      <c r="AA364" s="385">
        <f t="shared" si="140"/>
        <v>5.3213796962395303</v>
      </c>
      <c r="AB364" s="196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8.5430944877950762E-2</v>
      </c>
      <c r="AD364" s="230">
        <f>(INDEX(Models!$BJ364:$BT364,,AH364)*(1-AF364)+INDEX(Models!$BJ364:$BT364,,AH364+1)*AF364-ERP_i)*AE364*Ramure*Pc/MaxiM</f>
        <v>9.7733879749679182E-4</v>
      </c>
      <c r="AE364" s="304">
        <f t="shared" si="142"/>
        <v>0.5</v>
      </c>
      <c r="AF364" s="176">
        <f t="shared" si="143"/>
        <v>0.93474758744674791</v>
      </c>
      <c r="AG364" s="814">
        <f t="shared" si="149"/>
        <v>1</v>
      </c>
      <c r="AH364" s="175">
        <f t="shared" si="144"/>
        <v>7</v>
      </c>
      <c r="AI364" s="224">
        <f t="shared" si="145"/>
        <v>1.9347475874467479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10">
        <f>'2024'!Wh/'2024'!Env_an*'2025'!Env_an</f>
        <v>2.8173733280800883</v>
      </c>
      <c r="C365" s="843"/>
      <c r="D365" s="392">
        <f t="shared" si="127"/>
        <v>2.9890004525915419</v>
      </c>
      <c r="E365" s="384">
        <f t="shared" si="150"/>
        <v>3.1451735508902758</v>
      </c>
      <c r="F365" s="384">
        <f t="shared" si="128"/>
        <v>3.1451735508902758</v>
      </c>
      <c r="G365" s="110">
        <f t="shared" si="151"/>
        <v>0.12518601931162573</v>
      </c>
      <c r="H365" s="413" t="b">
        <f>Wh_hp&gt;='2024'!Maxi_hp</f>
        <v>0</v>
      </c>
      <c r="I365" s="389">
        <f>IF(H365,Wh_hp,'2024'!Maxi_hp)</f>
        <v>25.511567876955379</v>
      </c>
      <c r="J365" s="85">
        <f>IF(H365,An,'2024'!An_max)</f>
        <v>2021</v>
      </c>
      <c r="K365" s="196">
        <f t="shared" si="129"/>
        <v>46008</v>
      </c>
      <c r="L365" s="147">
        <f>IF(t&lt;Tvie,1-EXP((T0-t)*PertePVj)+'2024'!Pspv,1-EXP((T0-t)*PertePVj)+Pspv)</f>
        <v>5.7419571269267757E-2</v>
      </c>
      <c r="M365" s="847"/>
      <c r="N365" s="847"/>
      <c r="O365" s="48">
        <f>IF(t&lt;Tnet,'2024'!Resal+('2024'!Salim-'2024'!Resal)*(1-EXP(('2024'!Tnet-t)/('2024'!Tau_j))),Resal+(Salim-Resal)*(1-EXP((Tnet-t)/(Tau_j))))*Salcycl</f>
        <v>4.9654842816075205E-2</v>
      </c>
      <c r="P365" s="168">
        <f>(INDEX(Models!$BJ365:$BT365,,T365)*(1-R365)+INDEX(Models!$BJ365:$BT365,,T365+1)*R365-ERP_i)*Q365*Ramure*Pc/MaxiM</f>
        <v>8.7937115016789423E-5</v>
      </c>
      <c r="Q365" s="304">
        <f t="shared" si="130"/>
        <v>0.5</v>
      </c>
      <c r="R365" s="176">
        <f t="shared" si="131"/>
        <v>0.819760166740648</v>
      </c>
      <c r="S365" s="814">
        <f t="shared" si="132"/>
        <v>-1</v>
      </c>
      <c r="T365" s="175">
        <f t="shared" si="133"/>
        <v>5</v>
      </c>
      <c r="U365" s="250">
        <f t="shared" si="134"/>
        <v>-0.180239833259352</v>
      </c>
      <c r="V365" s="382">
        <f t="shared" si="135"/>
        <v>22.503515902882231</v>
      </c>
      <c r="W365" s="401">
        <f t="shared" si="136"/>
        <v>2.8173733280800883</v>
      </c>
      <c r="X365" s="157">
        <f t="shared" si="137"/>
        <v>46008</v>
      </c>
      <c r="Y365" s="384">
        <f t="shared" si="138"/>
        <v>2.7112996104036484</v>
      </c>
      <c r="Z365" s="384">
        <f t="shared" si="139"/>
        <v>2.876464997320868</v>
      </c>
      <c r="AA365" s="385">
        <f t="shared" si="140"/>
        <v>3.1451735508902758</v>
      </c>
      <c r="AB365" s="196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8.5435207063008334E-2</v>
      </c>
      <c r="AD365" s="230">
        <f>(INDEX(Models!$BJ365:$BT365,,AH365)*(1-AF365)+INDEX(Models!$BJ365:$BT365,,AH365+1)*AF365-ERP_i)*AE365*Ramure*Pc/MaxiM</f>
        <v>9.7331355354888843E-4</v>
      </c>
      <c r="AE365" s="304">
        <f t="shared" si="142"/>
        <v>0.5</v>
      </c>
      <c r="AF365" s="176">
        <f t="shared" si="143"/>
        <v>0.9347527065650354</v>
      </c>
      <c r="AG365" s="814">
        <f t="shared" si="149"/>
        <v>1</v>
      </c>
      <c r="AH365" s="175">
        <f t="shared" si="144"/>
        <v>7</v>
      </c>
      <c r="AI365" s="224">
        <f t="shared" si="145"/>
        <v>1.9347527065650354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10">
        <f>'2024'!Wh/'2024'!Env_an*'2025'!Env_an</f>
        <v>18.668104653383171</v>
      </c>
      <c r="C366" s="843"/>
      <c r="D366" s="392">
        <f t="shared" si="127"/>
        <v>19.805750737167845</v>
      </c>
      <c r="E366" s="384">
        <f t="shared" si="150"/>
        <v>20.841620412303616</v>
      </c>
      <c r="F366" s="384">
        <f t="shared" si="128"/>
        <v>20.843003121294064</v>
      </c>
      <c r="G366" s="110">
        <f t="shared" si="151"/>
        <v>0.83062362725731953</v>
      </c>
      <c r="H366" s="413" t="b">
        <f>Wh_hp&gt;='2024'!Maxi_hp</f>
        <v>0</v>
      </c>
      <c r="I366" s="389">
        <f>IF(H366,Wh_hp,'2024'!Maxi_hp)</f>
        <v>25.730204802155043</v>
      </c>
      <c r="J366" s="85">
        <f>IF(H366,An,'2024'!An_max)</f>
        <v>2021</v>
      </c>
      <c r="K366" s="196">
        <f t="shared" si="129"/>
        <v>46009</v>
      </c>
      <c r="L366" s="147">
        <f>IF(t&lt;Tvie,1-EXP((T0-t)*PertePVj)+'2024'!Pspv,1-EXP((T0-t)*PertePVj)+Pspv)</f>
        <v>5.7440189916646102E-2</v>
      </c>
      <c r="M366" s="847"/>
      <c r="N366" s="847"/>
      <c r="O366" s="48">
        <f>IF(t&lt;Tnet,'2024'!Resal+('2024'!Salim-'2024'!Resal)*(1-EXP(('2024'!Tnet-t)/('2024'!Tau_j))),Resal+(Salim-Resal)*(1-EXP((Tnet-t)/(Tau_j))))*Salcycl</f>
        <v>4.9701973965721839E-2</v>
      </c>
      <c r="P366" s="168">
        <f>(INDEX(Models!$BJ366:$BT366,,T366)*(1-R366)+INDEX(Models!$BJ366:$BT366,,T366+1)*R366-ERP_i)*Q366*Ramure*Pc/MaxiM</f>
        <v>8.751198887384984E-5</v>
      </c>
      <c r="Q366" s="304">
        <f t="shared" si="130"/>
        <v>0.5</v>
      </c>
      <c r="R366" s="176">
        <f t="shared" si="131"/>
        <v>0.81976507991244962</v>
      </c>
      <c r="S366" s="814">
        <f t="shared" si="132"/>
        <v>-1</v>
      </c>
      <c r="T366" s="175">
        <f t="shared" si="133"/>
        <v>5</v>
      </c>
      <c r="U366" s="250">
        <f t="shared" si="134"/>
        <v>-0.18023492008755043</v>
      </c>
      <c r="V366" s="382">
        <f t="shared" si="135"/>
        <v>22.474329840233754</v>
      </c>
      <c r="W366" s="401">
        <f t="shared" si="136"/>
        <v>18.668104653383171</v>
      </c>
      <c r="X366" s="157">
        <f t="shared" si="137"/>
        <v>46009</v>
      </c>
      <c r="Y366" s="384">
        <f t="shared" si="138"/>
        <v>17.954022864080098</v>
      </c>
      <c r="Z366" s="384">
        <f t="shared" si="139"/>
        <v>19.048152352785294</v>
      </c>
      <c r="AA366" s="385">
        <f t="shared" si="140"/>
        <v>20.827674940673749</v>
      </c>
      <c r="AB366" s="196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8.5440290044726863E-2</v>
      </c>
      <c r="AD366" s="230">
        <f>(INDEX(Models!$BJ366:$BT366,,AH366)*(1-AF366)+INDEX(Models!$BJ366:$BT366,,AH366+1)*AF366-ERP_i)*AE366*Ramure*Pc/MaxiM</f>
        <v>9.7012428585299833E-4</v>
      </c>
      <c r="AE366" s="304">
        <f t="shared" si="142"/>
        <v>0.5</v>
      </c>
      <c r="AF366" s="176">
        <f t="shared" si="143"/>
        <v>0.93475761973683702</v>
      </c>
      <c r="AG366" s="814">
        <f t="shared" si="149"/>
        <v>1</v>
      </c>
      <c r="AH366" s="175">
        <f t="shared" si="144"/>
        <v>7</v>
      </c>
      <c r="AI366" s="224">
        <f t="shared" si="145"/>
        <v>1.934757619736837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10">
        <f>'2024'!Wh/'2024'!Env_an*'2025'!Env_an</f>
        <v>17.549863110441333</v>
      </c>
      <c r="C367" s="843"/>
      <c r="D367" s="392">
        <f t="shared" si="127"/>
        <v>18.619770150135707</v>
      </c>
      <c r="E367" s="384">
        <f t="shared" si="150"/>
        <v>19.594591160944045</v>
      </c>
      <c r="F367" s="384">
        <f t="shared" si="128"/>
        <v>19.595766023842643</v>
      </c>
      <c r="G367" s="110">
        <f t="shared" si="151"/>
        <v>0.78149796465288879</v>
      </c>
      <c r="H367" s="413" t="b">
        <f>Wh_hp&gt;='2024'!Maxi_hp</f>
        <v>0</v>
      </c>
      <c r="I367" s="389">
        <f>IF(H367,Wh_hp,'2024'!Maxi_hp)</f>
        <v>25.266435662050515</v>
      </c>
      <c r="J367" s="85">
        <f>IF(H367,An,'2024'!An_max)</f>
        <v>2021</v>
      </c>
      <c r="K367" s="196">
        <f t="shared" si="129"/>
        <v>46010</v>
      </c>
      <c r="L367" s="147">
        <f>IF(t&lt;Tvie,1-EXP((T0-t)*PertePVj)+'2024'!Pspv,1-EXP((T0-t)*PertePVj)+Pspv)</f>
        <v>5.7460808112423246E-2</v>
      </c>
      <c r="M367" s="847"/>
      <c r="N367" s="847"/>
      <c r="O367" s="48">
        <f>IF(t&lt;Tnet,'2024'!Resal+('2024'!Salim-'2024'!Resal)*(1-EXP(('2024'!Tnet-t)/('2024'!Tau_j))),Resal+(Salim-Resal)*(1-EXP((Tnet-t)/(Tau_j))))*Salcycl</f>
        <v>4.974949478667115E-2</v>
      </c>
      <c r="P367" s="168">
        <f>(INDEX(Models!$BJ367:$BT367,,T367)*(1-R367)+INDEX(Models!$BJ367:$BT367,,T367+1)*R367-ERP_i)*Q367*Ramure*Pc/MaxiM</f>
        <v>8.7158420606256253E-5</v>
      </c>
      <c r="Q367" s="304">
        <f t="shared" si="130"/>
        <v>0.5</v>
      </c>
      <c r="R367" s="176">
        <f t="shared" si="131"/>
        <v>0.81976979541682926</v>
      </c>
      <c r="S367" s="814">
        <f t="shared" si="132"/>
        <v>-1</v>
      </c>
      <c r="T367" s="175">
        <f t="shared" si="133"/>
        <v>5</v>
      </c>
      <c r="U367" s="250">
        <f t="shared" si="134"/>
        <v>-0.18023020458317068</v>
      </c>
      <c r="V367" s="382">
        <f t="shared" si="135"/>
        <v>22.456086206418416</v>
      </c>
      <c r="W367" s="401">
        <f t="shared" si="136"/>
        <v>17.549863110441333</v>
      </c>
      <c r="X367" s="157">
        <f t="shared" si="137"/>
        <v>46010</v>
      </c>
      <c r="Y367" s="384">
        <f t="shared" si="138"/>
        <v>16.880366242675457</v>
      </c>
      <c r="Z367" s="384">
        <f t="shared" si="139"/>
        <v>17.909458182709603</v>
      </c>
      <c r="AA367" s="385">
        <f t="shared" si="140"/>
        <v>19.582726594524686</v>
      </c>
      <c r="AB367" s="196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8.544614069640985E-2</v>
      </c>
      <c r="AD367" s="230">
        <f>(INDEX(Models!$BJ367:$BT367,,AH367)*(1-AF367)+INDEX(Models!$BJ367:$BT367,,AH367+1)*AF367-ERP_i)*AE367*Ramure*Pc/MaxiM</f>
        <v>9.6734356520761407E-4</v>
      </c>
      <c r="AE367" s="304">
        <f t="shared" si="142"/>
        <v>0.5</v>
      </c>
      <c r="AF367" s="176">
        <f t="shared" si="143"/>
        <v>0.93476233524121666</v>
      </c>
      <c r="AG367" s="814">
        <f t="shared" si="149"/>
        <v>1</v>
      </c>
      <c r="AH367" s="175">
        <f t="shared" si="144"/>
        <v>7</v>
      </c>
      <c r="AI367" s="224">
        <f t="shared" si="145"/>
        <v>1.9347623352412167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10">
        <f>'2024'!Wh/'2024'!Env_an*'2025'!Env_an</f>
        <v>3.4831710531322249</v>
      </c>
      <c r="C368" s="843"/>
      <c r="D368" s="392">
        <f t="shared" si="127"/>
        <v>3.6955993745777458</v>
      </c>
      <c r="E368" s="384">
        <f t="shared" si="150"/>
        <v>3.889275067484006</v>
      </c>
      <c r="F368" s="384">
        <f t="shared" si="128"/>
        <v>3.889275067484006</v>
      </c>
      <c r="G368" s="110">
        <f t="shared" si="151"/>
        <v>0.15514620594183939</v>
      </c>
      <c r="H368" s="413" t="b">
        <f>Wh_hp&gt;='2024'!Maxi_hp</f>
        <v>0</v>
      </c>
      <c r="I368" s="389">
        <f>IF(H368,Wh_hp,'2024'!Maxi_hp)</f>
        <v>25.824781167990668</v>
      </c>
      <c r="J368" s="85">
        <f>IF(H368,An,'2024'!An_max)</f>
        <v>2021</v>
      </c>
      <c r="K368" s="196">
        <f t="shared" si="129"/>
        <v>46011</v>
      </c>
      <c r="L368" s="147">
        <f>IF(t&lt;Tvie,1-EXP((T0-t)*PertePVj)+'2024'!Pspv,1-EXP((T0-t)*PertePVj)+Pspv)</f>
        <v>5.7481425856608849E-2</v>
      </c>
      <c r="M368" s="847"/>
      <c r="N368" s="847"/>
      <c r="O368" s="48">
        <f>IF(t&lt;Tnet,'2024'!Resal+('2024'!Salim-'2024'!Resal)*(1-EXP(('2024'!Tnet-t)/('2024'!Tau_j))),Resal+(Salim-Resal)*(1-EXP((Tnet-t)/(Tau_j))))*Salcycl</f>
        <v>4.9797376000857152E-2</v>
      </c>
      <c r="P368" s="168">
        <f>(INDEX(Models!$BJ368:$BT368,,T368)*(1-R368)+INDEX(Models!$BJ368:$BT368,,T368+1)*R368-ERP_i)*Q368*Ramure*Pc/MaxiM</f>
        <v>8.6875413868353187E-5</v>
      </c>
      <c r="Q368" s="304">
        <f t="shared" si="130"/>
        <v>0.5</v>
      </c>
      <c r="R368" s="176">
        <f t="shared" si="131"/>
        <v>0.81977432120053229</v>
      </c>
      <c r="S368" s="814">
        <f t="shared" si="132"/>
        <v>-1</v>
      </c>
      <c r="T368" s="175">
        <f t="shared" si="133"/>
        <v>5</v>
      </c>
      <c r="U368" s="250">
        <f t="shared" si="134"/>
        <v>-0.18022567879946771</v>
      </c>
      <c r="V368" s="382">
        <f t="shared" si="135"/>
        <v>22.448943756388434</v>
      </c>
      <c r="W368" s="401">
        <f t="shared" si="136"/>
        <v>3.4831710531322249</v>
      </c>
      <c r="X368" s="157">
        <f t="shared" si="137"/>
        <v>46011</v>
      </c>
      <c r="Y368" s="384">
        <f t="shared" si="138"/>
        <v>3.352468809000464</v>
      </c>
      <c r="Z368" s="384">
        <f t="shared" si="139"/>
        <v>3.5569259863630363</v>
      </c>
      <c r="AA368" s="385">
        <f t="shared" si="140"/>
        <v>3.889275067484006</v>
      </c>
      <c r="AB368" s="196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8.5452706572376233E-2</v>
      </c>
      <c r="AD368" s="230">
        <f>(INDEX(Models!$BJ368:$BT368,,AH368)*(1-AF368)+INDEX(Models!$BJ368:$BT368,,AH368+1)*AF368-ERP_i)*AE368*Ramure*Pc/MaxiM</f>
        <v>9.6495972607183735E-4</v>
      </c>
      <c r="AE368" s="304">
        <f t="shared" si="142"/>
        <v>0.5</v>
      </c>
      <c r="AF368" s="176">
        <f t="shared" si="143"/>
        <v>0.93476686102491979</v>
      </c>
      <c r="AG368" s="814">
        <f t="shared" si="149"/>
        <v>1</v>
      </c>
      <c r="AH368" s="175">
        <f t="shared" si="144"/>
        <v>7</v>
      </c>
      <c r="AI368" s="224">
        <f t="shared" si="145"/>
        <v>1.9347668610249198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10">
        <f>'2024'!Wh/'2024'!Env_an*'2025'!Env_an</f>
        <v>20.746450768918614</v>
      </c>
      <c r="C369" s="843"/>
      <c r="D369" s="392">
        <f t="shared" si="127"/>
        <v>22.012197074930235</v>
      </c>
      <c r="E369" s="384">
        <f t="shared" si="150"/>
        <v>23.166968247570249</v>
      </c>
      <c r="F369" s="384">
        <f t="shared" si="128"/>
        <v>23.168758077897557</v>
      </c>
      <c r="G369" s="110">
        <f t="shared" si="151"/>
        <v>0.92398338822606185</v>
      </c>
      <c r="H369" s="413" t="b">
        <f>Wh_hp&gt;='2024'!Maxi_hp</f>
        <v>1</v>
      </c>
      <c r="I369" s="389">
        <f>IF(H369,Wh_hp,'2024'!Maxi_hp)</f>
        <v>23.168758077897557</v>
      </c>
      <c r="J369" s="85">
        <f>IF(H369,An,'2024'!An_max)</f>
        <v>2025</v>
      </c>
      <c r="K369" s="196">
        <f t="shared" si="129"/>
        <v>46012</v>
      </c>
      <c r="L369" s="147">
        <f>IF(t&lt;Tvie,1-EXP((T0-t)*PertePVj)+'2024'!Pspv,1-EXP((T0-t)*PertePVj)+Pspv)</f>
        <v>5.7502043149213124E-2</v>
      </c>
      <c r="M369" s="847"/>
      <c r="N369" s="847"/>
      <c r="O369" s="48">
        <f>IF(t&lt;Tnet,'2024'!Resal+('2024'!Salim-'2024'!Resal)*(1-EXP(('2024'!Tnet-t)/('2024'!Tau_j))),Resal+(Salim-Resal)*(1-EXP((Tnet-t)/(Tau_j))))*Salcycl</f>
        <v>4.9845588783984561E-2</v>
      </c>
      <c r="P369" s="168">
        <f>(INDEX(Models!$BJ369:$BT369,,T369)*(1-R369)+INDEX(Models!$BJ369:$BT369,,T369+1)*R369-ERP_i)*Q369*Ramure*Pc/MaxiM</f>
        <v>8.6661872349363863E-5</v>
      </c>
      <c r="Q369" s="304">
        <f t="shared" si="130"/>
        <v>0.5</v>
      </c>
      <c r="R369" s="176">
        <f t="shared" si="131"/>
        <v>0.81977866489128448</v>
      </c>
      <c r="S369" s="814">
        <f t="shared" si="132"/>
        <v>-1</v>
      </c>
      <c r="T369" s="175">
        <f t="shared" si="133"/>
        <v>5</v>
      </c>
      <c r="U369" s="250">
        <f t="shared" si="134"/>
        <v>-0.18022133510871552</v>
      </c>
      <c r="V369" s="382">
        <f t="shared" si="135"/>
        <v>22.453061163696997</v>
      </c>
      <c r="W369" s="401">
        <f t="shared" si="136"/>
        <v>20.746450768918614</v>
      </c>
      <c r="X369" s="157">
        <f t="shared" si="137"/>
        <v>46012</v>
      </c>
      <c r="Y369" s="384">
        <f t="shared" si="138"/>
        <v>19.953218088511132</v>
      </c>
      <c r="Z369" s="384">
        <f t="shared" si="139"/>
        <v>21.170569064342342</v>
      </c>
      <c r="AA369" s="385">
        <f t="shared" si="140"/>
        <v>23.148870019197922</v>
      </c>
      <c r="AB369" s="196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8.5459936196234432E-2</v>
      </c>
      <c r="AD369" s="230">
        <f>(INDEX(Models!$BJ369:$BT369,,AH369)*(1-AF369)+INDEX(Models!$BJ369:$BT369,,AH369+1)*AF369-ERP_i)*AE369*Ramure*Pc/MaxiM</f>
        <v>9.629607779076064E-4</v>
      </c>
      <c r="AE369" s="304">
        <f t="shared" si="142"/>
        <v>0.5</v>
      </c>
      <c r="AF369" s="176">
        <f t="shared" si="143"/>
        <v>0.93477120471567199</v>
      </c>
      <c r="AG369" s="814">
        <f t="shared" si="149"/>
        <v>1</v>
      </c>
      <c r="AH369" s="175">
        <f t="shared" si="144"/>
        <v>7</v>
      </c>
      <c r="AI369" s="224">
        <f t="shared" si="145"/>
        <v>1.934771204715672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10">
        <f>'2024'!Wh/'2024'!Env_an*'2025'!Env_an</f>
        <v>18.116452383312339</v>
      </c>
      <c r="C370" s="843"/>
      <c r="D370" s="392">
        <f t="shared" si="127"/>
        <v>19.222162288936133</v>
      </c>
      <c r="E370" s="384">
        <f t="shared" si="150"/>
        <v>20.231599854921022</v>
      </c>
      <c r="F370" s="384">
        <f t="shared" si="128"/>
        <v>20.232865953691057</v>
      </c>
      <c r="G370" s="110">
        <f t="shared" si="151"/>
        <v>0.80628170214179817</v>
      </c>
      <c r="H370" s="413" t="b">
        <f>Wh_hp&gt;='2024'!Maxi_hp</f>
        <v>0</v>
      </c>
      <c r="I370" s="389">
        <f>IF(H370,Wh_hp,'2024'!Maxi_hp)</f>
        <v>25.028510849440355</v>
      </c>
      <c r="J370" s="85">
        <f>IF(H370,An,'2024'!An_max)</f>
        <v>2021</v>
      </c>
      <c r="K370" s="196">
        <f t="shared" si="129"/>
        <v>46013</v>
      </c>
      <c r="L370" s="147">
        <f>IF(t&lt;Tvie,1-EXP((T0-t)*PertePVj)+'2024'!Pspv,1-EXP((T0-t)*PertePVj)+Pspv)</f>
        <v>5.7522659990245618E-2</v>
      </c>
      <c r="M370" s="847"/>
      <c r="N370" s="847"/>
      <c r="O370" s="48">
        <f>IF(t&lt;Tnet,'2024'!Resal+('2024'!Salim-'2024'!Resal)*(1-EXP(('2024'!Tnet-t)/('2024'!Tau_j))),Resal+(Salim-Resal)*(1-EXP((Tnet-t)/(Tau_j))))*Salcycl</f>
        <v>4.989410492612914E-2</v>
      </c>
      <c r="P370" s="168">
        <f>(INDEX(Models!$BJ370:$BT370,,T370)*(1-R370)+INDEX(Models!$BJ370:$BT370,,T370+1)*R370-ERP_i)*Q370*Ramure*Pc/MaxiM</f>
        <v>8.6516597637917029E-5</v>
      </c>
      <c r="Q370" s="304">
        <f t="shared" si="130"/>
        <v>0.5</v>
      </c>
      <c r="R370" s="176">
        <f t="shared" si="131"/>
        <v>0.81978283381056283</v>
      </c>
      <c r="S370" s="814">
        <f t="shared" si="132"/>
        <v>-1</v>
      </c>
      <c r="T370" s="175">
        <f t="shared" si="133"/>
        <v>5</v>
      </c>
      <c r="U370" s="250">
        <f t="shared" si="134"/>
        <v>-0.18021716618943717</v>
      </c>
      <c r="V370" s="382">
        <f t="shared" si="135"/>
        <v>22.468597012152554</v>
      </c>
      <c r="W370" s="401">
        <f t="shared" si="136"/>
        <v>18.116452383312339</v>
      </c>
      <c r="X370" s="157">
        <f t="shared" si="137"/>
        <v>46013</v>
      </c>
      <c r="Y370" s="384">
        <f t="shared" si="138"/>
        <v>17.427105228393046</v>
      </c>
      <c r="Z370" s="384">
        <f t="shared" si="139"/>
        <v>18.490741886921843</v>
      </c>
      <c r="AA370" s="385">
        <f t="shared" si="140"/>
        <v>20.21879762027022</v>
      </c>
      <c r="AB370" s="196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8.5467779331048099E-2</v>
      </c>
      <c r="AD370" s="230">
        <f>(INDEX(Models!$BJ370:$BT370,,AH370)*(1-AF370)+INDEX(Models!$BJ370:$BT370,,AH370+1)*AF370-ERP_i)*AE370*Ramure*Pc/MaxiM</f>
        <v>9.6133443204581687E-4</v>
      </c>
      <c r="AE370" s="304">
        <f t="shared" si="142"/>
        <v>0.5</v>
      </c>
      <c r="AF370" s="176">
        <f t="shared" si="143"/>
        <v>0.93477537363495022</v>
      </c>
      <c r="AG370" s="814">
        <f t="shared" si="149"/>
        <v>1</v>
      </c>
      <c r="AH370" s="175">
        <f t="shared" si="144"/>
        <v>7</v>
      </c>
      <c r="AI370" s="224">
        <f t="shared" si="145"/>
        <v>1.9347753736349502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10">
        <f>'2024'!Wh/'2024'!Env_an*'2025'!Env_an</f>
        <v>18.921679211151218</v>
      </c>
      <c r="C371" s="843"/>
      <c r="D371" s="392">
        <f t="shared" si="127"/>
        <v>20.076974079474844</v>
      </c>
      <c r="E371" s="384">
        <f t="shared" si="150"/>
        <v>21.132386690956423</v>
      </c>
      <c r="F371" s="384">
        <f t="shared" si="128"/>
        <v>21.133798827219039</v>
      </c>
      <c r="G371" s="110">
        <f t="shared" si="151"/>
        <v>0.84110739873681573</v>
      </c>
      <c r="H371" s="413" t="b">
        <f>Wh_hp&gt;='2024'!Maxi_hp</f>
        <v>0</v>
      </c>
      <c r="I371" s="389">
        <f>IF(H371,Wh_hp,'2024'!Maxi_hp)</f>
        <v>21.278593952413768</v>
      </c>
      <c r="J371" s="85">
        <f>IF(H371,An,'2024'!An_max)</f>
        <v>2020</v>
      </c>
      <c r="K371" s="196">
        <f t="shared" si="129"/>
        <v>46014</v>
      </c>
      <c r="L371" s="147">
        <f>IF(t&lt;Tvie,1-EXP((T0-t)*PertePVj)+'2024'!Pspv,1-EXP((T0-t)*PertePVj)+Pspv)</f>
        <v>5.7543276379716436E-2</v>
      </c>
      <c r="M371" s="847"/>
      <c r="N371" s="847"/>
      <c r="O371" s="48">
        <f>IF(t&lt;Tnet,'2024'!Resal+('2024'!Salim-'2024'!Resal)*(1-EXP(('2024'!Tnet-t)/('2024'!Tau_j))),Resal+(Salim-Resal)*(1-EXP((Tnet-t)/(Tau_j))))*Salcycl</f>
        <v>4.9942896981590962E-2</v>
      </c>
      <c r="P371" s="168">
        <f>(INDEX(Models!$BJ371:$BT371,,T371)*(1-R371)+INDEX(Models!$BJ371:$BT371,,T371+1)*R371-ERP_i)*Q371*Ramure*Pc/MaxiM</f>
        <v>8.6437134195034695E-5</v>
      </c>
      <c r="Q371" s="304">
        <f t="shared" si="130"/>
        <v>0.5</v>
      </c>
      <c r="R371" s="176">
        <f t="shared" si="131"/>
        <v>0.81978283381056283</v>
      </c>
      <c r="S371" s="814">
        <f t="shared" si="132"/>
        <v>-1</v>
      </c>
      <c r="T371" s="175">
        <f t="shared" si="133"/>
        <v>5</v>
      </c>
      <c r="U371" s="250">
        <f t="shared" si="134"/>
        <v>-0.18021716618943717</v>
      </c>
      <c r="V371" s="382">
        <f t="shared" si="135"/>
        <v>22.495709827302743</v>
      </c>
      <c r="W371" s="401">
        <f t="shared" si="136"/>
        <v>18.921679211151218</v>
      </c>
      <c r="X371" s="157">
        <f t="shared" si="137"/>
        <v>46014</v>
      </c>
      <c r="Y371" s="384">
        <f t="shared" si="138"/>
        <v>18.201683855580391</v>
      </c>
      <c r="Z371" s="384">
        <f t="shared" si="139"/>
        <v>19.313018199564421</v>
      </c>
      <c r="AA371" s="385">
        <f t="shared" si="140"/>
        <v>21.11811407191356</v>
      </c>
      <c r="AB371" s="196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8.5476187229704431E-2</v>
      </c>
      <c r="AD371" s="230">
        <f>(INDEX(Models!$BJ371:$BT371,,AH371)*(1-AF371)+INDEX(Models!$BJ371:$BT371,,AH371+1)*AF371-ERP_i)*AE371*Ramure*Pc/MaxiM</f>
        <v>9.6006691071327571E-4</v>
      </c>
      <c r="AE371" s="304">
        <f t="shared" si="142"/>
        <v>0.5</v>
      </c>
      <c r="AF371" s="176">
        <f t="shared" si="143"/>
        <v>0.93477537363495022</v>
      </c>
      <c r="AG371" s="814">
        <f t="shared" si="149"/>
        <v>1</v>
      </c>
      <c r="AH371" s="175">
        <f t="shared" si="144"/>
        <v>7</v>
      </c>
      <c r="AI371" s="224">
        <f t="shared" si="145"/>
        <v>1.9347753736349502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10">
        <f>'2024'!Wh/'2024'!Env_an*'2025'!Env_an</f>
        <v>21.607374842508172</v>
      </c>
      <c r="C372" s="843"/>
      <c r="D372" s="392">
        <f t="shared" si="127"/>
        <v>22.927150887337021</v>
      </c>
      <c r="E372" s="384">
        <f t="shared" si="150"/>
        <v>24.133638243967606</v>
      </c>
      <c r="F372" s="384">
        <f t="shared" si="128"/>
        <v>24.135601514029915</v>
      </c>
      <c r="G372" s="110">
        <f t="shared" si="151"/>
        <v>0.95885018358230867</v>
      </c>
      <c r="H372" s="413" t="b">
        <f>Wh_hp&gt;='2024'!Maxi_hp</f>
        <v>1</v>
      </c>
      <c r="I372" s="389">
        <f>IF(H372,Wh_hp,'2024'!Maxi_hp)</f>
        <v>24.135601514029915</v>
      </c>
      <c r="J372" s="85">
        <f>IF(H372,An,'2024'!An_max)</f>
        <v>2025</v>
      </c>
      <c r="K372" s="196">
        <f t="shared" si="129"/>
        <v>46015</v>
      </c>
      <c r="L372" s="147">
        <f>IF(t&lt;Tvie,1-EXP((T0-t)*PertePVj)+'2024'!Pspv,1-EXP((T0-t)*PertePVj)+Pspv)</f>
        <v>5.7563892317635458E-2</v>
      </c>
      <c r="M372" s="847"/>
      <c r="N372" s="847"/>
      <c r="O372" s="48">
        <f>IF(t&lt;Tnet,'2024'!Resal+('2024'!Salim-'2024'!Resal)*(1-EXP(('2024'!Tnet-t)/('2024'!Tau_j))),Resal+(Salim-Resal)*(1-EXP((Tnet-t)/(Tau_j))))*Salcycl</f>
        <v>4.9991938407055424E-2</v>
      </c>
      <c r="P372" s="168">
        <f>(INDEX(Models!$BJ372:$BT372,,T372)*(1-R372)+INDEX(Models!$BJ372:$BT372,,T372+1)*R372-ERP_i)*Q372*Ramure*Pc/MaxiM</f>
        <v>8.6423146684685471E-5</v>
      </c>
      <c r="Q372" s="304">
        <f t="shared" si="130"/>
        <v>0.5</v>
      </c>
      <c r="R372" s="176">
        <f t="shared" si="131"/>
        <v>0.81978283381056283</v>
      </c>
      <c r="S372" s="814">
        <f t="shared" si="132"/>
        <v>-1</v>
      </c>
      <c r="T372" s="175">
        <f t="shared" si="133"/>
        <v>5</v>
      </c>
      <c r="U372" s="250">
        <f t="shared" si="134"/>
        <v>-0.18021716618943717</v>
      </c>
      <c r="V372" s="382">
        <f t="shared" si="135"/>
        <v>22.534557996566242</v>
      </c>
      <c r="W372" s="401">
        <f t="shared" si="136"/>
        <v>21.607374842508172</v>
      </c>
      <c r="X372" s="157">
        <f t="shared" si="137"/>
        <v>46015</v>
      </c>
      <c r="Y372" s="384">
        <f t="shared" si="138"/>
        <v>20.783016345350426</v>
      </c>
      <c r="Z372" s="384">
        <f t="shared" si="139"/>
        <v>22.052440665139564</v>
      </c>
      <c r="AA372" s="385">
        <f t="shared" si="140"/>
        <v>24.113812662144259</v>
      </c>
      <c r="AB372" s="196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8.548511286399757E-2</v>
      </c>
      <c r="AD372" s="230">
        <f>(INDEX(Models!$BJ372:$BT372,,AH372)*(1-AF372)+INDEX(Models!$BJ372:$BT372,,AH372+1)*AF372-ERP_i)*AE372*Ramure*Pc/MaxiM</f>
        <v>9.5914524382234914E-4</v>
      </c>
      <c r="AE372" s="304">
        <f t="shared" si="142"/>
        <v>0.5</v>
      </c>
      <c r="AF372" s="176">
        <f t="shared" si="143"/>
        <v>0.93477537363495022</v>
      </c>
      <c r="AG372" s="814">
        <f t="shared" si="149"/>
        <v>1</v>
      </c>
      <c r="AH372" s="175">
        <f t="shared" si="144"/>
        <v>7</v>
      </c>
      <c r="AI372" s="224">
        <f t="shared" si="145"/>
        <v>1.9347753736349502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10">
        <f>'2024'!Wh/'2024'!Env_an*'2025'!Env_an</f>
        <v>10.553381386180883</v>
      </c>
      <c r="C373" s="843"/>
      <c r="D373" s="392">
        <f t="shared" si="127"/>
        <v>11.19822570147878</v>
      </c>
      <c r="E373" s="384">
        <f t="shared" si="150"/>
        <v>11.788117279343425</v>
      </c>
      <c r="F373" s="384">
        <f t="shared" si="128"/>
        <v>11.788360827925782</v>
      </c>
      <c r="G373" s="110">
        <f t="shared" si="151"/>
        <v>0.46721965605181109</v>
      </c>
      <c r="H373" s="413" t="b">
        <f>Wh_hp&gt;='2024'!Maxi_hp</f>
        <v>0</v>
      </c>
      <c r="I373" s="389">
        <f>IF(H373,Wh_hp,'2024'!Maxi_hp)</f>
        <v>16.698245889929026</v>
      </c>
      <c r="J373" s="85">
        <f>IF(H373,An,'2024'!An_max)</f>
        <v>2018</v>
      </c>
      <c r="K373" s="196">
        <f t="shared" si="129"/>
        <v>46016</v>
      </c>
      <c r="L373" s="147">
        <f>IF(t&lt;Tvie,1-EXP((T0-t)*PertePVj)+'2024'!Pspv,1-EXP((T0-t)*PertePVj)+Pspv)</f>
        <v>5.7584507804012454E-2</v>
      </c>
      <c r="M373" s="847"/>
      <c r="N373" s="847"/>
      <c r="O373" s="48">
        <f>IF(t&lt;Tnet,'2024'!Resal+('2024'!Salim-'2024'!Resal)*(1-EXP(('2024'!Tnet-t)/('2024'!Tau_j))),Resal+(Salim-Resal)*(1-EXP((Tnet-t)/(Tau_j))))*Salcycl</f>
        <v>5.0041203687235483E-2</v>
      </c>
      <c r="P373" s="168">
        <f>(INDEX(Models!$BJ373:$BT373,,T373)*(1-R373)+INDEX(Models!$BJ373:$BT373,,T373+1)*R373-ERP_i)*Q373*Ramure*Pc/MaxiM</f>
        <v>8.6469519216477499E-5</v>
      </c>
      <c r="Q373" s="304">
        <f t="shared" si="130"/>
        <v>0.5</v>
      </c>
      <c r="R373" s="176">
        <f t="shared" si="131"/>
        <v>0.81978283381056283</v>
      </c>
      <c r="S373" s="814">
        <f t="shared" si="132"/>
        <v>-1</v>
      </c>
      <c r="T373" s="175">
        <f t="shared" si="133"/>
        <v>5</v>
      </c>
      <c r="U373" s="250">
        <f t="shared" si="134"/>
        <v>-0.18021716618943717</v>
      </c>
      <c r="V373" s="382">
        <f t="shared" si="135"/>
        <v>22.586136356053604</v>
      </c>
      <c r="W373" s="401">
        <f t="shared" si="136"/>
        <v>10.553381386180883</v>
      </c>
      <c r="X373" s="157">
        <f t="shared" si="137"/>
        <v>46016</v>
      </c>
      <c r="Y373" s="384">
        <f t="shared" si="138"/>
        <v>10.157402948334335</v>
      </c>
      <c r="Z373" s="384">
        <f t="shared" si="139"/>
        <v>10.778051753654715</v>
      </c>
      <c r="AA373" s="385">
        <f t="shared" si="140"/>
        <v>11.785661086612045</v>
      </c>
      <c r="AB373" s="196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8.5494511131151252E-2</v>
      </c>
      <c r="AD373" s="230">
        <f>(INDEX(Models!$BJ373:$BT373,,AH373)*(1-AF373)+INDEX(Models!$BJ373:$BT373,,AH373+1)*AF373-ERP_i)*AE373*Ramure*Pc/MaxiM</f>
        <v>9.5851649452065541E-4</v>
      </c>
      <c r="AE373" s="304">
        <f t="shared" si="142"/>
        <v>0.5</v>
      </c>
      <c r="AF373" s="176">
        <f t="shared" si="143"/>
        <v>0.93477537363495022</v>
      </c>
      <c r="AG373" s="814">
        <f t="shared" si="149"/>
        <v>1</v>
      </c>
      <c r="AH373" s="175">
        <f t="shared" si="144"/>
        <v>7</v>
      </c>
      <c r="AI373" s="224">
        <f t="shared" si="145"/>
        <v>1.9347753736349502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10">
        <f>'2024'!Wh/'2024'!Env_an*'2025'!Env_an</f>
        <v>19.413907301569253</v>
      </c>
      <c r="C374" s="843"/>
      <c r="D374" s="392">
        <f t="shared" si="127"/>
        <v>20.600607847160038</v>
      </c>
      <c r="E374" s="384">
        <f t="shared" si="150"/>
        <v>21.686920175304099</v>
      </c>
      <c r="F374" s="384">
        <f t="shared" si="128"/>
        <v>21.688414468993972</v>
      </c>
      <c r="G374" s="110">
        <f t="shared" si="151"/>
        <v>0.8570739527398803</v>
      </c>
      <c r="H374" s="413" t="b">
        <f>Wh_hp&gt;='2024'!Maxi_hp</f>
        <v>0</v>
      </c>
      <c r="I374" s="389">
        <f>IF(H374,Wh_hp,'2024'!Maxi_hp)</f>
        <v>24.848198087219174</v>
      </c>
      <c r="J374" s="85">
        <f>IF(H374,An,'2024'!An_max)</f>
        <v>2018</v>
      </c>
      <c r="K374" s="196">
        <f t="shared" si="129"/>
        <v>46017</v>
      </c>
      <c r="L374" s="147">
        <f>IF(t&lt;Tvie,1-EXP((T0-t)*PertePVj)+'2024'!Pspv,1-EXP((T0-t)*PertePVj)+Pspv)</f>
        <v>5.7605122838857416E-2</v>
      </c>
      <c r="M374" s="847"/>
      <c r="N374" s="847"/>
      <c r="O374" s="48">
        <f>IF(t&lt;Tnet,'2024'!Resal+('2024'!Salim-'2024'!Resal)*(1-EXP(('2024'!Tnet-t)/('2024'!Tau_j))),Resal+(Salim-Resal)*(1-EXP((Tnet-t)/(Tau_j))))*Salcycl</f>
        <v>5.0090668447292715E-2</v>
      </c>
      <c r="P374" s="168">
        <f>(INDEX(Models!$BJ374:$BT374,,T374)*(1-R374)+INDEX(Models!$BJ374:$BT374,,T374+1)*R374-ERP_i)*Q374*Ramure*Pc/MaxiM</f>
        <v>8.6572814226087321E-5</v>
      </c>
      <c r="Q374" s="304">
        <f t="shared" si="130"/>
        <v>0.5</v>
      </c>
      <c r="R374" s="176">
        <f t="shared" si="131"/>
        <v>0.81978283381056283</v>
      </c>
      <c r="S374" s="814">
        <f t="shared" si="132"/>
        <v>-1</v>
      </c>
      <c r="T374" s="175">
        <f t="shared" si="133"/>
        <v>5</v>
      </c>
      <c r="U374" s="250">
        <f t="shared" si="134"/>
        <v>-0.18021716618943717</v>
      </c>
      <c r="V374" s="382">
        <f t="shared" si="135"/>
        <v>22.650979047272891</v>
      </c>
      <c r="W374" s="401">
        <f t="shared" si="136"/>
        <v>19.413907301569253</v>
      </c>
      <c r="X374" s="157">
        <f t="shared" si="137"/>
        <v>46017</v>
      </c>
      <c r="Y374" s="384">
        <f t="shared" si="138"/>
        <v>18.677170331042976</v>
      </c>
      <c r="Z374" s="384">
        <f t="shared" si="139"/>
        <v>19.818836863062995</v>
      </c>
      <c r="AA374" s="385">
        <f t="shared" si="140"/>
        <v>21.671876323816605</v>
      </c>
      <c r="AB374" s="196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8.550433903672594E-2</v>
      </c>
      <c r="AD374" s="230">
        <f>(INDEX(Models!$BJ374:$BT374,,AH374)*(1-AF374)+INDEX(Models!$BJ374:$BT374,,AH374+1)*AF374-ERP_i)*AE374*Ramure*Pc/MaxiM</f>
        <v>9.5814750459436739E-4</v>
      </c>
      <c r="AE374" s="304">
        <f t="shared" si="142"/>
        <v>0.5</v>
      </c>
      <c r="AF374" s="176">
        <f t="shared" si="143"/>
        <v>0.93477537363495022</v>
      </c>
      <c r="AG374" s="814">
        <f t="shared" si="149"/>
        <v>1</v>
      </c>
      <c r="AH374" s="175">
        <f t="shared" si="144"/>
        <v>7</v>
      </c>
      <c r="AI374" s="224">
        <f t="shared" si="145"/>
        <v>1.9347753736349502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10">
        <f>'2024'!Wh/'2024'!Env_an*'2025'!Env_an</f>
        <v>6.2093102280429715</v>
      </c>
      <c r="C375" s="843"/>
      <c r="D375" s="392">
        <f t="shared" si="127"/>
        <v>6.5890065917735274</v>
      </c>
      <c r="E375" s="384">
        <f t="shared" si="150"/>
        <v>6.9368209410614297</v>
      </c>
      <c r="F375" s="384">
        <f t="shared" si="128"/>
        <v>6.9368209410614297</v>
      </c>
      <c r="G375" s="110">
        <f t="shared" si="151"/>
        <v>0.27317055989355593</v>
      </c>
      <c r="H375" s="413" t="b">
        <f>Wh_hp&gt;='2024'!Maxi_hp</f>
        <v>0</v>
      </c>
      <c r="I375" s="389">
        <f>IF(H375,Wh_hp,'2024'!Maxi_hp)</f>
        <v>25.062175747198527</v>
      </c>
      <c r="J375" s="85">
        <f>IF(H375,An,'2024'!An_max)</f>
        <v>2018</v>
      </c>
      <c r="K375" s="196">
        <f t="shared" si="129"/>
        <v>46018</v>
      </c>
      <c r="L375" s="147">
        <f>IF(t&lt;Tvie,1-EXP((T0-t)*PertePVj)+'2024'!Pspv,1-EXP((T0-t)*PertePVj)+Pspv)</f>
        <v>5.7625737422180225E-2</v>
      </c>
      <c r="M375" s="847"/>
      <c r="N375" s="847"/>
      <c r="O375" s="48">
        <f>IF(t&lt;Tnet,'2024'!Resal+('2024'!Salim-'2024'!Resal)*(1-EXP(('2024'!Tnet-t)/('2024'!Tau_j))),Resal+(Salim-Resal)*(1-EXP((Tnet-t)/(Tau_j))))*Salcycl</f>
        <v>5.0140309551464653E-2</v>
      </c>
      <c r="P375" s="168">
        <f>(INDEX(Models!$BJ375:$BT375,,T375)*(1-R375)+INDEX(Models!$BJ375:$BT375,,T375+1)*R375-ERP_i)*Q375*Ramure*Pc/MaxiM</f>
        <v>8.6796191750090023E-5</v>
      </c>
      <c r="Q375" s="304">
        <f t="shared" si="130"/>
        <v>0.5</v>
      </c>
      <c r="R375" s="176">
        <f t="shared" si="131"/>
        <v>0.81978283381056283</v>
      </c>
      <c r="S375" s="814">
        <f t="shared" si="132"/>
        <v>-1</v>
      </c>
      <c r="T375" s="175">
        <f t="shared" si="133"/>
        <v>5</v>
      </c>
      <c r="U375" s="250">
        <f t="shared" si="134"/>
        <v>-0.18021716618943717</v>
      </c>
      <c r="V375" s="382">
        <f t="shared" si="135"/>
        <v>22.728552029842092</v>
      </c>
      <c r="W375" s="401">
        <f t="shared" si="136"/>
        <v>6.2093102280429715</v>
      </c>
      <c r="X375" s="157">
        <f t="shared" si="137"/>
        <v>46018</v>
      </c>
      <c r="Y375" s="384">
        <f t="shared" si="138"/>
        <v>5.9780658962972728</v>
      </c>
      <c r="Z375" s="384">
        <f t="shared" si="139"/>
        <v>6.3436217792541996</v>
      </c>
      <c r="AA375" s="385">
        <f t="shared" si="140"/>
        <v>6.9368209410614297</v>
      </c>
      <c r="AB375" s="196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8.55145558530825E-2</v>
      </c>
      <c r="AD375" s="230">
        <f>(INDEX(Models!$BJ375:$BT375,,AH375)*(1-AF375)+INDEX(Models!$BJ375:$BT375,,AH375+1)*AF375-ERP_i)*AE375*Ramure*Pc/MaxiM</f>
        <v>9.5845829787466529E-4</v>
      </c>
      <c r="AE375" s="304">
        <f t="shared" si="142"/>
        <v>0.5</v>
      </c>
      <c r="AF375" s="176">
        <f t="shared" si="143"/>
        <v>0.93477537363495022</v>
      </c>
      <c r="AG375" s="814">
        <f t="shared" si="149"/>
        <v>1</v>
      </c>
      <c r="AH375" s="175">
        <f t="shared" si="144"/>
        <v>7</v>
      </c>
      <c r="AI375" s="224">
        <f t="shared" si="145"/>
        <v>1.9347753736349502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10">
        <f>'2024'!Wh/'2024'!Env_an*'2025'!Env_an</f>
        <v>18.962625354292509</v>
      </c>
      <c r="C376" s="843"/>
      <c r="D376" s="392">
        <f t="shared" si="127"/>
        <v>20.122621041010323</v>
      </c>
      <c r="E376" s="384">
        <f t="shared" si="150"/>
        <v>21.18594589392206</v>
      </c>
      <c r="F376" s="384">
        <f t="shared" si="128"/>
        <v>21.187345678192241</v>
      </c>
      <c r="G376" s="110">
        <f t="shared" si="151"/>
        <v>0.83100874252940549</v>
      </c>
      <c r="H376" s="413" t="b">
        <f>Wh_hp&gt;='2024'!Maxi_hp</f>
        <v>1</v>
      </c>
      <c r="I376" s="389">
        <f>IF(H376,Wh_hp,'2024'!Maxi_hp)</f>
        <v>21.187345678192241</v>
      </c>
      <c r="J376" s="85">
        <f>IF(H376,An,'2024'!An_max)</f>
        <v>2025</v>
      </c>
      <c r="K376" s="196">
        <f t="shared" si="129"/>
        <v>46019</v>
      </c>
      <c r="L376" s="147">
        <f>IF(t&lt;Tvie,1-EXP((T0-t)*PertePVj)+'2024'!Pspv,1-EXP((T0-t)*PertePVj)+Pspv)</f>
        <v>5.7646351553990761E-2</v>
      </c>
      <c r="M376" s="847"/>
      <c r="N376" s="847"/>
      <c r="O376" s="48">
        <f>IF(t&lt;Tnet,'2024'!Resal+('2024'!Salim-'2024'!Resal)*(1-EXP(('2024'!Tnet-t)/('2024'!Tau_j))),Resal+(Salim-Resal)*(1-EXP((Tnet-t)/(Tau_j))))*Salcycl</f>
        <v>5.0190105187457763E-2</v>
      </c>
      <c r="P376" s="168">
        <f>(INDEX(Models!$BJ376:$BT376,,T376)*(1-R376)+INDEX(Models!$BJ376:$BT376,,T376+1)*R376-ERP_i)*Q376*Ramure*Pc/MaxiM</f>
        <v>8.7089668227281023E-5</v>
      </c>
      <c r="Q376" s="304">
        <f t="shared" si="130"/>
        <v>0.5</v>
      </c>
      <c r="R376" s="176">
        <f t="shared" si="131"/>
        <v>0.81978283381056283</v>
      </c>
      <c r="S376" s="814">
        <f t="shared" si="132"/>
        <v>-1</v>
      </c>
      <c r="T376" s="175">
        <f t="shared" si="133"/>
        <v>5</v>
      </c>
      <c r="U376" s="250">
        <f t="shared" si="134"/>
        <v>-0.18021716618943717</v>
      </c>
      <c r="V376" s="382">
        <f t="shared" si="135"/>
        <v>22.81832393864903</v>
      </c>
      <c r="W376" s="401">
        <f t="shared" si="136"/>
        <v>18.962625354292509</v>
      </c>
      <c r="X376" s="157">
        <f t="shared" si="137"/>
        <v>46019</v>
      </c>
      <c r="Y376" s="384">
        <f t="shared" si="138"/>
        <v>18.245095872962054</v>
      </c>
      <c r="Z376" s="384">
        <f t="shared" si="139"/>
        <v>19.361198317690157</v>
      </c>
      <c r="AA376" s="385">
        <f t="shared" si="140"/>
        <v>21.171930262926768</v>
      </c>
      <c r="AB376" s="196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8.5525123252805327E-2</v>
      </c>
      <c r="AD376" s="230">
        <f>(INDEX(Models!$BJ376:$BT376,,AH376)*(1-AF376)+INDEX(Models!$BJ376:$BT376,,AH376+1)*AF376-ERP_i)*AE376*Ramure*Pc/MaxiM</f>
        <v>9.5909307573638293E-4</v>
      </c>
      <c r="AE376" s="304">
        <f t="shared" si="142"/>
        <v>0.5</v>
      </c>
      <c r="AF376" s="176">
        <f t="shared" si="143"/>
        <v>0.93477537363495022</v>
      </c>
      <c r="AG376" s="814">
        <f t="shared" si="149"/>
        <v>1</v>
      </c>
      <c r="AH376" s="175">
        <f t="shared" si="144"/>
        <v>7</v>
      </c>
      <c r="AI376" s="224">
        <f t="shared" si="145"/>
        <v>1.9347753736349502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10">
        <f>'2024'!Wh/'2024'!Env_an*'2025'!Env_an</f>
        <v>10.389440305999436</v>
      </c>
      <c r="C377" s="843"/>
      <c r="D377" s="392">
        <f t="shared" si="127"/>
        <v>11.025231975001955</v>
      </c>
      <c r="E377" s="384">
        <f t="shared" si="150"/>
        <v>11.608440427642689</v>
      </c>
      <c r="F377" s="384">
        <f t="shared" si="128"/>
        <v>11.608662754332808</v>
      </c>
      <c r="G377" s="110">
        <f t="shared" si="151"/>
        <v>0.45326519965627426</v>
      </c>
      <c r="H377" s="413" t="b">
        <f>Wh_hp&gt;='2024'!Maxi_hp</f>
        <v>0</v>
      </c>
      <c r="I377" s="389">
        <f>IF(H377,Wh_hp,'2024'!Maxi_hp)</f>
        <v>24.833306177671162</v>
      </c>
      <c r="J377" s="85">
        <f>IF(H377,An,'2024'!An_max)</f>
        <v>2019</v>
      </c>
      <c r="K377" s="196">
        <f t="shared" si="129"/>
        <v>46020</v>
      </c>
      <c r="L377" s="147">
        <f>IF(t&lt;Tvie,1-EXP((T0-t)*PertePVj)+'2024'!Pspv,1-EXP((T0-t)*PertePVj)+Pspv)</f>
        <v>5.7666965234298907E-2</v>
      </c>
      <c r="M377" s="847"/>
      <c r="N377" s="847"/>
      <c r="O377" s="48">
        <f>IF(t&lt;Tnet,'2024'!Resal+('2024'!Salim-'2024'!Resal)*(1-EXP(('2024'!Tnet-t)/('2024'!Tau_j))),Resal+(Salim-Resal)*(1-EXP((Tnet-t)/(Tau_j))))*Salcycl</f>
        <v>5.0240034936300679E-2</v>
      </c>
      <c r="P377" s="168">
        <f>(INDEX(Models!$BJ377:$BT377,,T377)*(1-R377)+INDEX(Models!$BJ377:$BT377,,T377+1)*R377-ERP_i)*Q377*Ramure*Pc/MaxiM</f>
        <v>8.745329331927202E-5</v>
      </c>
      <c r="Q377" s="304">
        <f t="shared" si="130"/>
        <v>0.5</v>
      </c>
      <c r="R377" s="176">
        <f t="shared" si="131"/>
        <v>0.81978283381056283</v>
      </c>
      <c r="S377" s="814">
        <f t="shared" si="132"/>
        <v>-1</v>
      </c>
      <c r="T377" s="175">
        <f t="shared" si="133"/>
        <v>5</v>
      </c>
      <c r="U377" s="250">
        <f t="shared" si="134"/>
        <v>-0.18021716618943717</v>
      </c>
      <c r="V377" s="382">
        <f t="shared" si="135"/>
        <v>22.919762394978132</v>
      </c>
      <c r="W377" s="401">
        <f t="shared" si="136"/>
        <v>10.389440305999436</v>
      </c>
      <c r="X377" s="157">
        <f t="shared" si="137"/>
        <v>46020</v>
      </c>
      <c r="Y377" s="384">
        <f t="shared" si="138"/>
        <v>10.001425449607005</v>
      </c>
      <c r="Z377" s="384">
        <f t="shared" si="139"/>
        <v>10.613472180876828</v>
      </c>
      <c r="AA377" s="385">
        <f t="shared" si="140"/>
        <v>11.60622205329514</v>
      </c>
      <c r="AB377" s="196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8.5536005416720295E-2</v>
      </c>
      <c r="AD377" s="230">
        <f>(INDEX(Models!$BJ377:$BT377,,AH377)*(1-AF377)+INDEX(Models!$BJ377:$BT377,,AH377+1)*AF377-ERP_i)*AE377*Ramure*Pc/MaxiM</f>
        <v>9.6006171655506779E-4</v>
      </c>
      <c r="AE377" s="304">
        <f t="shared" si="142"/>
        <v>0.5</v>
      </c>
      <c r="AF377" s="176">
        <f t="shared" si="143"/>
        <v>0.93477537363495022</v>
      </c>
      <c r="AG377" s="814">
        <f t="shared" si="149"/>
        <v>1</v>
      </c>
      <c r="AH377" s="175">
        <f t="shared" si="144"/>
        <v>7</v>
      </c>
      <c r="AI377" s="224">
        <f t="shared" si="145"/>
        <v>1.9347753736349502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10">
        <f>'2024'!Wh/'2024'!Env_an*'2025'!Env_an</f>
        <v>14.67649221099693</v>
      </c>
      <c r="C378" s="843"/>
      <c r="D378" s="392">
        <f t="shared" si="127"/>
        <v>15.574974791332982</v>
      </c>
      <c r="E378" s="384">
        <f t="shared" si="150"/>
        <v>16.399717914396263</v>
      </c>
      <c r="F378" s="384">
        <f t="shared" si="128"/>
        <v>16.400412274898496</v>
      </c>
      <c r="G378" s="110">
        <f t="shared" si="151"/>
        <v>0.63718348994883034</v>
      </c>
      <c r="H378" s="413" t="b">
        <f>Wh_hp&gt;='2024'!Maxi_hp</f>
        <v>0</v>
      </c>
      <c r="I378" s="389">
        <f>IF(H378,Wh_hp,'2024'!Maxi_hp)</f>
        <v>25.966265464195352</v>
      </c>
      <c r="J378" s="85">
        <f>IF(H378,An,'2024'!An_max)</f>
        <v>2019</v>
      </c>
      <c r="K378" s="196">
        <f t="shared" si="129"/>
        <v>46021</v>
      </c>
      <c r="L378" s="147">
        <f>IF(t&lt;Tvie,1-EXP((T0-t)*PertePVj)+'2024'!Pspv,1-EXP((T0-t)*PertePVj)+Pspv)</f>
        <v>5.7687578463114543E-2</v>
      </c>
      <c r="M378" s="847"/>
      <c r="N378" s="847"/>
      <c r="O378" s="48">
        <f>IF(t&lt;Tnet,'2024'!Resal+('2024'!Salim-'2024'!Resal)*(1-EXP(('2024'!Tnet-t)/('2024'!Tau_j))),Resal+(Salim-Resal)*(1-EXP((Tnet-t)/(Tau_j))))*Salcycl</f>
        <v>5.0290079827488378E-2</v>
      </c>
      <c r="P378" s="168">
        <f>(INDEX(Models!$BJ378:$BT378,,T378)*(1-R378)+INDEX(Models!$BJ378:$BT378,,T378+1)*R378-ERP_i)*Q378*Ramure*Pc/MaxiM</f>
        <v>8.7886991483490854E-5</v>
      </c>
      <c r="Q378" s="304">
        <f t="shared" si="130"/>
        <v>0.5</v>
      </c>
      <c r="R378" s="176">
        <f t="shared" si="131"/>
        <v>0.81978283381056283</v>
      </c>
      <c r="S378" s="814">
        <f t="shared" si="132"/>
        <v>-1</v>
      </c>
      <c r="T378" s="175">
        <f t="shared" si="133"/>
        <v>5</v>
      </c>
      <c r="U378" s="250">
        <f t="shared" si="134"/>
        <v>-0.18021716618943717</v>
      </c>
      <c r="V378" s="382">
        <f t="shared" si="135"/>
        <v>23.032335135230859</v>
      </c>
      <c r="W378" s="401">
        <f t="shared" si="136"/>
        <v>14.67649221099693</v>
      </c>
      <c r="X378" s="157">
        <f t="shared" si="137"/>
        <v>46021</v>
      </c>
      <c r="Y378" s="384">
        <f t="shared" si="138"/>
        <v>14.12569455804943</v>
      </c>
      <c r="Z378" s="384">
        <f t="shared" si="139"/>
        <v>14.990457766661734</v>
      </c>
      <c r="AA378" s="385">
        <f t="shared" si="140"/>
        <v>16.392816841276179</v>
      </c>
      <c r="AB378" s="196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8.5547169116376887E-2</v>
      </c>
      <c r="AD378" s="230">
        <f>(INDEX(Models!$BJ378:$BT378,,AH378)*(1-AF378)+INDEX(Models!$BJ378:$BT378,,AH378+1)*AF378-ERP_i)*AE378*Ramure*Pc/MaxiM</f>
        <v>9.6137353425358447E-4</v>
      </c>
      <c r="AE378" s="304">
        <f t="shared" si="142"/>
        <v>0.5</v>
      </c>
      <c r="AF378" s="176">
        <f t="shared" si="143"/>
        <v>0.93477537363495022</v>
      </c>
      <c r="AG378" s="814">
        <f t="shared" si="149"/>
        <v>1</v>
      </c>
      <c r="AH378" s="175">
        <f t="shared" si="144"/>
        <v>7</v>
      </c>
      <c r="AI378" s="224">
        <f t="shared" si="145"/>
        <v>1.9347753736349502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10">
        <f>'2024'!Wh/'2024'!Env_an*'2025'!Env_an</f>
        <v>11.823393661256862</v>
      </c>
      <c r="C379" s="843"/>
      <c r="D379" s="392">
        <f t="shared" si="127"/>
        <v>12.547486406383349</v>
      </c>
      <c r="E379" s="384">
        <f t="shared" si="150"/>
        <v>13.212612245009689</v>
      </c>
      <c r="F379" s="384">
        <f t="shared" si="128"/>
        <v>13.212963630211117</v>
      </c>
      <c r="G379" s="110">
        <f t="shared" si="151"/>
        <v>0.51057666128120893</v>
      </c>
      <c r="H379" s="413" t="b">
        <f>Wh_hp&gt;='2024'!Maxi_hp</f>
        <v>0</v>
      </c>
      <c r="I379" s="389">
        <f>IF(H379,Wh_hp,'2024'!Maxi_hp)</f>
        <v>25.625929752628863</v>
      </c>
      <c r="J379" s="85">
        <f>IF(H379,An,'2024'!An_max)</f>
        <v>2021</v>
      </c>
      <c r="K379" s="196">
        <f t="shared" si="129"/>
        <v>46022</v>
      </c>
      <c r="L379" s="147">
        <f>IF(t&lt;Tvie,1-EXP((T0-t)*PertePVj)+'2024'!Pspv,1-EXP((T0-t)*PertePVj)+Pspv)</f>
        <v>5.770819124044755E-2</v>
      </c>
      <c r="M379" s="847"/>
      <c r="N379" s="847"/>
      <c r="O379" s="48">
        <f>IF(t&lt;Tnet,'2024'!Resal+('2024'!Salim-'2024'!Resal)*(1-EXP(('2024'!Tnet-t)/('2024'!Tau_j))),Resal+(Salim-Resal)*(1-EXP((Tnet-t)/(Tau_j))))*Salcycl</f>
        <v>5.0340222379382481E-2</v>
      </c>
      <c r="P379" s="168">
        <f>(INDEX(Models!$BJ379:$BT379,,T379)*(1-R379)+INDEX(Models!$BJ379:$BT379,,T379+1)*R379-ERP_i)*Q379*Ramure*Pc/MaxiM</f>
        <v>8.8390574859171874E-5</v>
      </c>
      <c r="Q379" s="305">
        <f t="shared" si="130"/>
        <v>0.5</v>
      </c>
      <c r="R379" s="176">
        <f t="shared" si="131"/>
        <v>0.81978283381056283</v>
      </c>
      <c r="S379" s="814">
        <f t="shared" si="132"/>
        <v>-1</v>
      </c>
      <c r="T379" s="175">
        <f t="shared" si="133"/>
        <v>5</v>
      </c>
      <c r="U379" s="306">
        <f t="shared" si="134"/>
        <v>-0.18021716618943717</v>
      </c>
      <c r="V379" s="382">
        <f t="shared" si="135"/>
        <v>23.155510020005345</v>
      </c>
      <c r="W379" s="401">
        <f t="shared" si="136"/>
        <v>11.823393661256862</v>
      </c>
      <c r="X379" s="157">
        <f t="shared" si="137"/>
        <v>46022</v>
      </c>
      <c r="Y379" s="384">
        <f t="shared" si="138"/>
        <v>11.381924195291287</v>
      </c>
      <c r="Z379" s="384">
        <f t="shared" si="139"/>
        <v>12.078980300459822</v>
      </c>
      <c r="AA379" s="385">
        <f t="shared" si="140"/>
        <v>13.209135201107456</v>
      </c>
      <c r="AB379" s="196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8.5558583771092211E-2</v>
      </c>
      <c r="AD379" s="230">
        <f>(INDEX(Models!$BJ379:$BT379,,AH379)*(1-AF379)+INDEX(Models!$BJ379:$BT379,,AH379+1)*AF379-ERP_i)*AE379*Ramure*Pc/MaxiM</f>
        <v>9.6303728189290781E-4</v>
      </c>
      <c r="AE379" s="305">
        <f t="shared" si="142"/>
        <v>0.5</v>
      </c>
      <c r="AF379" s="176">
        <f t="shared" si="143"/>
        <v>0.93477537363495022</v>
      </c>
      <c r="AG379" s="814">
        <f t="shared" si="149"/>
        <v>1</v>
      </c>
      <c r="AH379" s="175">
        <f t="shared" si="144"/>
        <v>7</v>
      </c>
      <c r="AI379" s="221">
        <f t="shared" si="145"/>
        <v>1.9347753736349502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Wh_hp&gt;='2024'!Maxi_hp</f>
        <v>0</v>
      </c>
      <c r="I380" s="389">
        <f>IF(H380,Wh_hp,'2024'!Maxi_hp)</f>
        <v>16.851168488797253</v>
      </c>
      <c r="J380" s="85">
        <f>IF(H380,An,'2024'!An_max)</f>
        <v>2024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1.4854448824266173</v>
      </c>
      <c r="C381" s="374"/>
      <c r="D381" s="372">
        <f>MIN(D15:D380)</f>
        <v>1.5642225940800025</v>
      </c>
      <c r="E381" s="372">
        <f>MIN(E15:E380)</f>
        <v>1.6089097010729143</v>
      </c>
      <c r="F381" s="373">
        <f>MIN(F15:F380)</f>
        <v>1.6089097010729143</v>
      </c>
      <c r="G381" s="125">
        <f>+MIN(G15:G380)</f>
        <v>5.7848776081465554E-2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5.0175233651291486E-2</v>
      </c>
      <c r="M381" s="849"/>
      <c r="N381" s="849"/>
      <c r="O381" s="47">
        <f t="shared" si="152"/>
        <v>2.7094282511497012E-2</v>
      </c>
      <c r="P381" s="167">
        <f t="shared" si="152"/>
        <v>0</v>
      </c>
      <c r="Q381" s="309">
        <f t="shared" si="152"/>
        <v>0.5</v>
      </c>
      <c r="R381" s="310">
        <f t="shared" si="152"/>
        <v>0.5347757458170701</v>
      </c>
      <c r="S381" s="814">
        <f t="shared" si="152"/>
        <v>-1</v>
      </c>
      <c r="T381" s="175">
        <f t="shared" si="152"/>
        <v>5</v>
      </c>
      <c r="U381" s="251">
        <f>MIN(U15:U380)</f>
        <v>-0.46522425418292995</v>
      </c>
      <c r="V381" s="57">
        <f>MIN(V15:V380)</f>
        <v>22.448943756388434</v>
      </c>
      <c r="W381" s="58"/>
      <c r="X381" s="112" t="s">
        <v>7</v>
      </c>
      <c r="Y381" s="372">
        <f>MIN(Y15:Y380)</f>
        <v>1.4072510896896904</v>
      </c>
      <c r="Z381" s="372">
        <f>MIN(Z15:Z380)</f>
        <v>1.4818819439738196</v>
      </c>
      <c r="AA381" s="372">
        <f>MIN(AA15:AA380)</f>
        <v>1.6089097010729143</v>
      </c>
      <c r="AB381" s="199" t="s">
        <v>7</v>
      </c>
      <c r="AC381" s="47">
        <f t="shared" ref="AC381:AH381" si="153">MIN(AC15:AC380)</f>
        <v>7.8775102401898292E-2</v>
      </c>
      <c r="AD381" s="167">
        <f t="shared" si="153"/>
        <v>2.4983420967692615E-4</v>
      </c>
      <c r="AE381" s="309">
        <f t="shared" si="153"/>
        <v>0.5</v>
      </c>
      <c r="AF381" s="310">
        <f t="shared" si="153"/>
        <v>0.63477613745665273</v>
      </c>
      <c r="AG381" s="814">
        <f t="shared" si="153"/>
        <v>1</v>
      </c>
      <c r="AH381" s="175">
        <f t="shared" si="153"/>
        <v>7</v>
      </c>
      <c r="AI381" s="225">
        <f>MIN(AI15:AI380)</f>
        <v>1.6347761374566527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29.467420168753915</v>
      </c>
      <c r="C382" s="374"/>
      <c r="D382" s="374">
        <f>AVERAGE(D15:D380)</f>
        <v>31.144366097399516</v>
      </c>
      <c r="E382" s="374">
        <f>AVERAGE(E15:E380)</f>
        <v>32.455751144365152</v>
      </c>
      <c r="F382" s="375">
        <f>AVERAGE(F15:F380)</f>
        <v>32.45912825958289</v>
      </c>
      <c r="G382" s="126">
        <f>AVERAGE(G15:G380)</f>
        <v>0.68042388788208974</v>
      </c>
      <c r="H382" s="94"/>
      <c r="I382" s="375">
        <f>AVERAGE(I15:I380)</f>
        <v>43.58215295413676</v>
      </c>
      <c r="J382" s="59">
        <f>AVERAGE(J15:J380)</f>
        <v>2020.7131147540983</v>
      </c>
      <c r="K382" s="199" t="s">
        <v>8</v>
      </c>
      <c r="L382" s="147">
        <f t="shared" ref="L382:V382" si="154">AVERAGE(L15:L380)</f>
        <v>5.3946703476137385E-2</v>
      </c>
      <c r="M382" s="847"/>
      <c r="N382" s="847"/>
      <c r="O382" s="48">
        <f t="shared" si="154"/>
        <v>4.0356178653372571E-2</v>
      </c>
      <c r="P382" s="168">
        <f t="shared" si="154"/>
        <v>1.9840624062709861E-4</v>
      </c>
      <c r="Q382" s="311">
        <f t="shared" si="154"/>
        <v>0.5</v>
      </c>
      <c r="R382" s="176">
        <f t="shared" si="154"/>
        <v>0.71575303266564372</v>
      </c>
      <c r="S382" s="814">
        <f t="shared" si="154"/>
        <v>-0.51232876712328768</v>
      </c>
      <c r="T382" s="175">
        <f t="shared" si="154"/>
        <v>5.4876712328767123</v>
      </c>
      <c r="U382" s="250">
        <f>AVERAGE(U15:U380)</f>
        <v>0.20342426554235582</v>
      </c>
      <c r="V382" s="59">
        <f t="shared" si="154"/>
        <v>42.145558493609997</v>
      </c>
      <c r="X382" s="112" t="s">
        <v>8</v>
      </c>
      <c r="Y382" s="374">
        <f>AVERAGE(Y15:Y380)</f>
        <v>28.099747396747642</v>
      </c>
      <c r="Z382" s="374">
        <f>AVERAGE(Z15:Z380)</f>
        <v>29.699054068995761</v>
      </c>
      <c r="AA382" s="374">
        <f>AVERAGE(AA15:AA380)</f>
        <v>32.44232188153277</v>
      </c>
      <c r="AB382" s="199" t="s">
        <v>8</v>
      </c>
      <c r="AC382" s="48">
        <f t="shared" ref="AC382:AH382" si="155">AVERAGE(AC15:AC380)</f>
        <v>8.4158110817443052E-2</v>
      </c>
      <c r="AD382" s="168">
        <f t="shared" si="155"/>
        <v>7.5165555773524389E-4</v>
      </c>
      <c r="AE382" s="311">
        <f t="shared" si="155"/>
        <v>0.5</v>
      </c>
      <c r="AF382" s="176">
        <f t="shared" si="155"/>
        <v>0.80270629565613971</v>
      </c>
      <c r="AG382" s="814">
        <f t="shared" si="155"/>
        <v>1</v>
      </c>
      <c r="AH382" s="175">
        <f t="shared" si="155"/>
        <v>7</v>
      </c>
      <c r="AI382" s="224">
        <f>AVERAGE(AI15:AI380)</f>
        <v>1.8027062956561379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54.6086710849575</v>
      </c>
      <c r="C383" s="376"/>
      <c r="D383" s="376">
        <f>MAX(D15:D380)</f>
        <v>57.679854034570127</v>
      </c>
      <c r="E383" s="376">
        <f>MAX(E15:E380)</f>
        <v>60.004359517742316</v>
      </c>
      <c r="F383" s="377">
        <f>MAX(F15:F380)</f>
        <v>60.006073151050671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2025</v>
      </c>
      <c r="K383" s="199" t="s">
        <v>9</v>
      </c>
      <c r="L383" s="148">
        <f t="shared" ref="L383:T383" si="156">MAX(L15:L380)</f>
        <v>5.770819124044755E-2</v>
      </c>
      <c r="M383" s="850"/>
      <c r="N383" s="850"/>
      <c r="O383" s="49">
        <f t="shared" si="156"/>
        <v>5.0340222379382481E-2</v>
      </c>
      <c r="P383" s="169">
        <f t="shared" si="156"/>
        <v>1.0032394852424252E-3</v>
      </c>
      <c r="Q383" s="312">
        <f t="shared" si="156"/>
        <v>0.5</v>
      </c>
      <c r="R383" s="313">
        <f t="shared" si="156"/>
        <v>0.81978283381056283</v>
      </c>
      <c r="S383" s="815">
        <f t="shared" si="156"/>
        <v>1</v>
      </c>
      <c r="T383" s="232">
        <f t="shared" si="156"/>
        <v>7</v>
      </c>
      <c r="U383" s="252">
        <f>MAX(U15:U380)</f>
        <v>1.6491784109512588</v>
      </c>
      <c r="V383" s="60">
        <f>MAX(V15:V380)</f>
        <v>55.142644748898419</v>
      </c>
      <c r="X383" s="112" t="s">
        <v>9</v>
      </c>
      <c r="Y383" s="376">
        <f>MAX(Y15:Y380)</f>
        <v>51.985469413625985</v>
      </c>
      <c r="Z383" s="376">
        <f>MAX(Z15:Z380)</f>
        <v>54.909123919745539</v>
      </c>
      <c r="AA383" s="376">
        <f>MAX(AA15:AA380)</f>
        <v>59.961466568442816</v>
      </c>
      <c r="AB383" s="199" t="s">
        <v>9</v>
      </c>
      <c r="AC383" s="49">
        <f t="shared" ref="AC383:AH383" si="157">MAX(AC15:AC380)</f>
        <v>8.7634040513963812E-2</v>
      </c>
      <c r="AD383" s="169">
        <f t="shared" si="157"/>
        <v>1.3945505660258209E-3</v>
      </c>
      <c r="AE383" s="312">
        <f t="shared" si="157"/>
        <v>0.5</v>
      </c>
      <c r="AF383" s="313">
        <f t="shared" si="157"/>
        <v>0.93477537363495022</v>
      </c>
      <c r="AG383" s="815">
        <f t="shared" si="157"/>
        <v>1</v>
      </c>
      <c r="AH383" s="232">
        <f t="shared" si="157"/>
        <v>7</v>
      </c>
      <c r="AI383" s="226">
        <f>MAX(AI15:AI380)</f>
        <v>1.9347753736349502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'2025'!An+1</f>
        <v>2026</v>
      </c>
      <c r="K1" s="1295"/>
      <c r="L1" s="113" t="str">
        <f>"Calcul pertes et enveloppes en "&amp;TEXT(An,0)</f>
        <v>Calcul pertes et enveloppes en 2026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98.888576100584544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384.35954614731736</v>
      </c>
      <c r="AK4" s="836">
        <f>AM12-AK12</f>
        <v>5.2691481988944435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483.34828437630705</v>
      </c>
      <c r="AA5" s="236">
        <f>Wh_Pvg_s-Wh_Pvg</f>
        <v>5.2691481988944435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2852.3612427704561</v>
      </c>
      <c r="AK5" s="515">
        <f>SUMIF(AK15:AK380,"VRAI",Wh)</f>
        <v>0</v>
      </c>
      <c r="AL5" s="515">
        <f>SUMIF(AJ15:AJ380,"VRAI",Wh_s)</f>
        <v>2752.3793118923954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7981.3732192392063</v>
      </c>
      <c r="AK6" s="515">
        <f>SUMIF(AK15:AK380,"FAUX",Wh)</f>
        <v>10833.734462009643</v>
      </c>
      <c r="AL6" s="515">
        <f>SUMIF(AJ15:AJ380,"FAUX",Wh_s)</f>
        <v>7592.3654062755604</v>
      </c>
      <c r="AM6" s="515">
        <f>SUMIF(AK15:AK380,"FAUX",Wh_s)</f>
        <v>10344.744718167964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3031.5768677100978</v>
      </c>
      <c r="AK7" s="515">
        <f>SUMIF(AK15:AK380,"VRAI",Wh_sa)</f>
        <v>0</v>
      </c>
      <c r="AL7" s="515">
        <f>SUMIF(AJ15:AJ380,"VRAI",Wh_pvt_s)</f>
        <v>2925.3157676063429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AND(YEAR(Tnet)=An,Resal_2026&lt;&gt;"I")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8510.8413768864375</v>
      </c>
      <c r="AK8" s="515">
        <f>SUMIF(AK15:AK380,"FAUX",Wh_sa)</f>
        <v>11846.694599324843</v>
      </c>
      <c r="AL8" s="515">
        <f>SUMIF(AJ15:AJ380,"FAUX",Wh_pvt_s)</f>
        <v>8096.0614160416753</v>
      </c>
      <c r="AM8" s="515">
        <f>SUMIF(AK15:AK380,"FAUX",Wh_sa_s)</f>
        <v>11840.615051805042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11542.418244596525</v>
      </c>
      <c r="E9" s="183">
        <f>SUM(E$15:E$380)</f>
        <v>11846.694599324843</v>
      </c>
      <c r="F9" s="183">
        <f>SUM(F$15:F$380)</f>
        <v>11847.731795168469</v>
      </c>
      <c r="H9" s="1296">
        <f>+SUM(Wh)</f>
        <v>10833.734462009643</v>
      </c>
      <c r="I9" s="1297"/>
      <c r="J9" s="1298"/>
      <c r="K9" s="190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10344.744718167964</v>
      </c>
      <c r="Y9" s="1291"/>
      <c r="Z9" s="515">
        <f>SUM(Z$15:Z$380)</f>
        <v>11021.377183648028</v>
      </c>
      <c r="AA9" s="515">
        <f>SUM(AA$15:AA$380)</f>
        <v>11840.615051805042</v>
      </c>
      <c r="AB9" s="515">
        <f>F9</f>
        <v>11847.731795168469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3204.1267663683689</v>
      </c>
      <c r="AK9" s="515">
        <f>SUMIF(AK15:AK380,"VRAI",Wh_hp)</f>
        <v>0</v>
      </c>
      <c r="AL9" s="515">
        <f>SUMIF(AJ15:AJ380,"VRAI",Wh_sa_s)</f>
        <v>3202.9677346191311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IF(Inflex,'2025'!Resal+('2025'!Salim-'2025'!Resal)*(1-EXP(-(Tnet-'2025'!Tnet)/('2025'!Tau_j))),IF(An_Tnet,Resal_2026,'2025'!Resal))</f>
        <v>5.4999999999999997E-3</v>
      </c>
      <c r="P10" s="420" t="b">
        <f>NOT(Acti_tai)</f>
        <v>1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IF(OR(Inflex,GainD),'2025'!Resal_s+('2025'!Salim-'2025'!Resal_s)*(1-EXP(('2025'!Tnet_s-Tnet)/('2025'!Tau_j))),IF(Acti_net,'2025'!Resal+('2025'!Salim-'2025'!Resal)*(1-EXP(('2025'!Tnet-Tnet)/'2025'!Tau_j)),'2025'!Resal_s))</f>
        <v>5.6211594607653931E-2</v>
      </c>
      <c r="AD10" s="427"/>
      <c r="AE10" s="427"/>
      <c r="AF10" s="259"/>
      <c r="AG10" s="260"/>
      <c r="AH10" s="261"/>
      <c r="AI10" s="472"/>
      <c r="AJ10" s="515">
        <f>SUMIF(AJ15:AJ380,"FAUX",Wh_sa)</f>
        <v>8642.5678329564726</v>
      </c>
      <c r="AK10" s="515">
        <f>SUMIF(AK15:AK380,"FAUX",Wh_hp)</f>
        <v>11847.731795168469</v>
      </c>
      <c r="AL10" s="515">
        <f>SUMIF(AJ15:AJ380,"FAUX",Wh_sa_s)</f>
        <v>8637.6473171859125</v>
      </c>
      <c r="AM10" s="515">
        <f>SUMIF(AK15:AK380,"FAUX",Wh_hp)</f>
        <v>11847.731795168469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708.68378258688244</v>
      </c>
      <c r="E11" s="51">
        <f>(E$9-D$9)*Prod_an/D$9</f>
        <v>285.5943321702145</v>
      </c>
      <c r="F11" s="185">
        <f>(F$9-E$9)*Prod_an/E$9</f>
        <v>0.94850966746346832</v>
      </c>
      <c r="G11" s="184" t="s">
        <v>6</v>
      </c>
      <c r="K11" s="193"/>
      <c r="L11" s="210">
        <f>Tvie_2026</f>
        <v>44375</v>
      </c>
      <c r="M11" s="846"/>
      <c r="N11" s="846"/>
      <c r="O11" s="201">
        <f>IF(An_Tnet,Salim_2026,'2025'!Salim)</f>
        <v>0.1</v>
      </c>
      <c r="P11" s="255">
        <f>Ttai_2026</f>
        <v>45747</v>
      </c>
      <c r="Q11" s="271">
        <f>Dens_2026</f>
        <v>0.5</v>
      </c>
      <c r="R11" s="276"/>
      <c r="S11" s="229"/>
      <c r="T11" s="229"/>
      <c r="U11" s="265">
        <f>Htf_2026</f>
        <v>0.11978283381056282</v>
      </c>
      <c r="V11" s="427"/>
      <c r="W11" s="518"/>
      <c r="X11" s="525" t="s">
        <v>43</v>
      </c>
      <c r="Y11" s="50">
        <f>Z$9-Prod_an_s</f>
        <v>676.63246548006464</v>
      </c>
      <c r="Z11" s="51">
        <f>(AA$9-Z$9)*Prod_an_s/Z$9</f>
        <v>768.94261654652155</v>
      </c>
      <c r="AA11" s="185">
        <f>(AB$9-AA$9)*Prod_an_s/AA$9</f>
        <v>6.2176578663579116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162.34938609641347</v>
      </c>
      <c r="AK11" s="836">
        <f>IF($AK7=0,0,($AK9-$AK7)*$AK5/$AK7)</f>
        <v>0</v>
      </c>
      <c r="AL11" s="835">
        <f>IF($AL7=0,0,($AL9-$AL7)*$AL5/$AL7)</f>
        <v>261.23796219699801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Pspv_2026</f>
        <v>-1.1999999999999999E-3</v>
      </c>
      <c r="M12" s="211"/>
      <c r="N12" s="211"/>
      <c r="O12" s="204">
        <f>IF(An_Tnet,Tau_2026*365,'2025'!Tau_j)</f>
        <v>949</v>
      </c>
      <c r="P12" s="280">
        <f>INDEX(Croivg,MIN(MAX(Ttai-$A$15,0)+1,366))</f>
        <v>2.3909964587625958E-6</v>
      </c>
      <c r="Q12" s="279">
        <f>'2025'!Df</f>
        <v>0.5</v>
      </c>
      <c r="R12" s="277"/>
      <c r="S12" s="278"/>
      <c r="T12" s="278"/>
      <c r="U12" s="266">
        <f>'2025'!Hdf</f>
        <v>-0.18021716618943717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0.5</v>
      </c>
      <c r="AF12" s="202"/>
      <c r="AG12" s="202"/>
      <c r="AH12" s="202"/>
      <c r="AI12" s="296">
        <f>'2025'!Hdf_s</f>
        <v>1.9347753736349502</v>
      </c>
      <c r="AJ12" s="835">
        <f>IF($AJ8=0,0,($AJ10-$AJ8)*$AJ6/$AJ8)</f>
        <v>123.53161834245006</v>
      </c>
      <c r="AK12" s="836">
        <f>IF($AK8=0,0,($AK10-$AK8)*$AK6/$AK8)</f>
        <v>0.94850966746346832</v>
      </c>
      <c r="AL12" s="835">
        <f>IF($AL8=0,0,($AL10-$AL8)*$AL6/$AL8)</f>
        <v>507.89116448976739</v>
      </c>
      <c r="AM12" s="836">
        <f>IF($AM8=0,0,($AM10-$AM8)*$AM6/$AM8)</f>
        <v>6.2176578663579116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285.88100443886356</v>
      </c>
      <c r="AK13" s="73">
        <f>+AK11+AK12</f>
        <v>0.94850966746346832</v>
      </c>
      <c r="AL13" s="73">
        <f>+AL11+AL12</f>
        <v>769.1291266867654</v>
      </c>
      <c r="AM13" s="73">
        <f>+AM11+AM12</f>
        <v>6.2176578663579116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2026</v>
      </c>
      <c r="W14" s="371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9">
        <f>'2025'!Wh/'2025'!Env_an*'2026'!Env_an</f>
        <v>23.101250995081831</v>
      </c>
      <c r="C15" s="843"/>
      <c r="D15" s="392">
        <f t="shared" ref="D15:D78" si="0">Wh/(1-Ppv)</f>
        <v>24.516562835110996</v>
      </c>
      <c r="E15" s="399">
        <f t="shared" ref="E15:E79" si="1">Wh_pvt/(1-Psa)</f>
        <v>25.817519156137426</v>
      </c>
      <c r="F15" s="399">
        <f t="shared" ref="F15:F78" si="2">Wh_sa/(1-Pvg*MEDIAN((-Sdif+Wh/Env_an)/Csdif,0,1))</f>
        <v>25.819789767396504</v>
      </c>
      <c r="G15" s="123">
        <f>+Wh_hp/MaxiM</f>
        <v>0.99194771582425489</v>
      </c>
      <c r="H15" s="413" t="b">
        <f>Wh_hp&gt;='2025'!Maxi_hp</f>
        <v>1</v>
      </c>
      <c r="I15" s="395">
        <f>IF(H15,Wh_hp,'2025'!Maxi_hp)</f>
        <v>25.819789767396504</v>
      </c>
      <c r="J15" s="84">
        <f>IF(H15,An,'2025'!An_max)</f>
        <v>2026</v>
      </c>
      <c r="K15" s="196">
        <f t="shared" ref="K15:K78" si="3">t</f>
        <v>46023</v>
      </c>
      <c r="L15" s="146">
        <f>IF(t&lt;Tvie,1-EXP((T0-t)*PertePVj)+'2025'!Pspv,1-EXP((T0-t)*PertePVj)+Pspv)</f>
        <v>5.7728803566307808E-2</v>
      </c>
      <c r="M15" s="847"/>
      <c r="N15" s="847"/>
      <c r="O15" s="48">
        <f>IF(t&lt;Tnet,'2025'!Resal+('2025'!Salim-'2025'!Resal)*(1-EXP(('2025'!Tnet-t)/('2025'!Tau_j))),Resal+(Salim-Resal)*(1-EXP((Tnet-t)/(Tau_j))))*Salcycl</f>
        <v>5.0390446624967944E-2</v>
      </c>
      <c r="P15" s="301">
        <f>(INDEX(Models!$BJ15:$BT15,,T15)*(1-R15)+INDEX(Models!$BJ15:$BT15,,T15+1)*R15-ERP_i)*Q15*Ramure*Pc/MaxiM</f>
        <v>8.8963980883391609E-5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0.81978355110950041</v>
      </c>
      <c r="S15" s="813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-0.18021644889049954</v>
      </c>
      <c r="V15" s="381">
        <f t="shared" ref="V15:V78" si="9">MaxiM*(1-Ppv)*(1-Pvg)*(1-Psa)</f>
        <v>23.28875502830271</v>
      </c>
      <c r="W15" s="401">
        <f t="shared" ref="W15:W78" si="10">Wh*(A15&gt;Tmaj)</f>
        <v>23.101250995081831</v>
      </c>
      <c r="X15" s="156">
        <f t="shared" ref="X15:X78" si="11">t</f>
        <v>46023</v>
      </c>
      <c r="Y15" s="384">
        <f t="shared" ref="Y15:Y78" si="12">Wh_pvt_s*(1-Ppv)</f>
        <v>22.226162231389342</v>
      </c>
      <c r="Z15" s="384">
        <f>Wh_sa_s*(1-Psa_s)</f>
        <v>23.587861239429706</v>
      </c>
      <c r="AA15" s="385">
        <f t="shared" ref="AA15:AA78" si="13">Wh_hp*(1-Pvg_s*MEDIAN((-Sdif+Wh/Env_an)/Csdif,0,1))</f>
        <v>25.795158680859558</v>
      </c>
      <c r="AB15" s="196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8.5570221479881914E-2</v>
      </c>
      <c r="AD15" s="230">
        <f>(INDEX(Models!$BJ15:$BT15,,AH15)*(1-AF15)+INDEX(Models!$BJ15:$BT15,,AH15+1)*AF15-ERP_i)*AE15*Ramure*Pc/MaxiM</f>
        <v>9.6506150185332454E-4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0.9347760909338878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1.9347760909338878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10">
        <f>'2025'!Wh/'2025'!Env_an*'2026'!Env_an</f>
        <v>16.355762675586458</v>
      </c>
      <c r="C16" s="843"/>
      <c r="D16" s="392">
        <f t="shared" si="0"/>
        <v>17.358187878690789</v>
      </c>
      <c r="E16" s="384">
        <f t="shared" si="1"/>
        <v>18.280257563263955</v>
      </c>
      <c r="F16" s="384">
        <f t="shared" si="2"/>
        <v>18.281188512808352</v>
      </c>
      <c r="G16" s="110">
        <f t="shared" ref="G16:G79" si="21">+Wh_hp/MaxiM</f>
        <v>0.69799642556630781</v>
      </c>
      <c r="H16" s="413" t="b">
        <f>Wh_hp&gt;='2025'!Maxi_hp</f>
        <v>0</v>
      </c>
      <c r="I16" s="389">
        <f>IF(H16,Wh_hp,'2025'!Maxi_hp)</f>
        <v>25.015272489823854</v>
      </c>
      <c r="J16" s="85">
        <f>IF(H16,An,'2025'!An_max)</f>
        <v>2020</v>
      </c>
      <c r="K16" s="196">
        <f t="shared" si="3"/>
        <v>46024</v>
      </c>
      <c r="L16" s="147">
        <f>IF(t&lt;Tvie,1-EXP((T0-t)*PertePVj)+'2025'!Pspv,1-EXP((T0-t)*PertePVj)+Pspv)</f>
        <v>5.7749415440705311E-2</v>
      </c>
      <c r="M16" s="847"/>
      <c r="N16" s="847"/>
      <c r="O16" s="48">
        <f>IF(t&lt;Tnet,'2025'!Resal+('2025'!Salim-'2025'!Resal)*(1-EXP(('2025'!Tnet-t)/('2025'!Tau_j))),Resal+(Salim-Resal)*(1-EXP((Tnet-t)/(Tau_j))))*Salcycl</f>
        <v>5.0440738123195723E-2</v>
      </c>
      <c r="P16" s="168">
        <f>(INDEX(Models!$BJ16:$BT16,,T16)*(1-R16)+INDEX(Models!$BJ16:$BT16,,T16+1)*R16-ERP_i)*Q16*Ramure*Pc/MaxiM</f>
        <v>8.9559396101499854E-5</v>
      </c>
      <c r="Q16" s="304">
        <f t="shared" si="4"/>
        <v>0.5</v>
      </c>
      <c r="R16" s="176">
        <f t="shared" si="5"/>
        <v>0.81980107987789697</v>
      </c>
      <c r="S16" s="814">
        <f t="shared" si="6"/>
        <v>-1</v>
      </c>
      <c r="T16" s="175">
        <f t="shared" si="7"/>
        <v>5</v>
      </c>
      <c r="U16" s="250">
        <f t="shared" si="8"/>
        <v>-0.18019892012210301</v>
      </c>
      <c r="V16" s="382">
        <f t="shared" si="9"/>
        <v>23.431539376789686</v>
      </c>
      <c r="W16" s="401">
        <f t="shared" si="10"/>
        <v>16.355762675586458</v>
      </c>
      <c r="X16" s="157">
        <f t="shared" si="11"/>
        <v>46024</v>
      </c>
      <c r="Y16" s="384">
        <f t="shared" si="12"/>
        <v>15.742595902039762</v>
      </c>
      <c r="Z16" s="384">
        <f t="shared" ref="Z16:Z78" si="22">Wh_sa_s*(1-Psa_s)</f>
        <v>16.707440844308756</v>
      </c>
      <c r="AA16" s="385">
        <f t="shared" si="13"/>
        <v>18.271120960314899</v>
      </c>
      <c r="AB16" s="196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8.5582057028820241E-2</v>
      </c>
      <c r="AD16" s="230">
        <f>(INDEX(Models!$BJ16:$BT16,,AH16)*(1-AF16)+INDEX(Models!$BJ16:$BT16,,AH16+1)*AF16-ERP_i)*AE16*Ramure*Pc/MaxiM</f>
        <v>9.6852071839985735E-4</v>
      </c>
      <c r="AE16" s="304">
        <f t="shared" si="15"/>
        <v>0.5</v>
      </c>
      <c r="AF16" s="176">
        <f t="shared" ref="AF16:AF78" si="23">(Hp_vg_s-AG16)/(INDEX(Echel_vg,AH16+1)-AG16)</f>
        <v>0.93479361970228436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1.9347936197022844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10">
        <f>'2025'!Wh/'2025'!Env_an*'2026'!Env_an</f>
        <v>17.54533885282115</v>
      </c>
      <c r="C17" s="843"/>
      <c r="D17" s="392">
        <f t="shared" si="0"/>
        <v>18.621079092208163</v>
      </c>
      <c r="E17" s="384">
        <f t="shared" si="1"/>
        <v>19.611273551590898</v>
      </c>
      <c r="F17" s="384">
        <f t="shared" si="2"/>
        <v>19.612395213515665</v>
      </c>
      <c r="G17" s="110">
        <f t="shared" si="21"/>
        <v>0.74394748777265762</v>
      </c>
      <c r="H17" s="413" t="b">
        <f>Wh_hp&gt;='2025'!Maxi_hp</f>
        <v>0</v>
      </c>
      <c r="I17" s="389">
        <f>IF(H17,Wh_hp,'2025'!Maxi_hp)</f>
        <v>27.472426453662738</v>
      </c>
      <c r="J17" s="85">
        <f>IF(H17,An,'2025'!An_max)</f>
        <v>2019</v>
      </c>
      <c r="K17" s="196">
        <f t="shared" si="3"/>
        <v>46025</v>
      </c>
      <c r="L17" s="147">
        <f>IF(t&lt;Tvie,1-EXP((T0-t)*PertePVj)+'2025'!Pspv,1-EXP((T0-t)*PertePVj)+Pspv)</f>
        <v>5.7770026863649827E-2</v>
      </c>
      <c r="M17" s="847"/>
      <c r="N17" s="847"/>
      <c r="O17" s="48">
        <f>IF(t&lt;Tnet,'2025'!Resal+('2025'!Salim-'2025'!Resal)*(1-EXP(('2025'!Tnet-t)/('2025'!Tau_j))),Resal+(Salim-Resal)*(1-EXP((Tnet-t)/(Tau_j))))*Salcycl</f>
        <v>5.049108395626916E-2</v>
      </c>
      <c r="P17" s="168">
        <f>(INDEX(Models!$BJ17:$BT17,,T17)*(1-R17)+INDEX(Models!$BJ17:$BT17,,T17+1)*R17-ERP_i)*Q17*Ramure*Pc/MaxiM</f>
        <v>9.0172430299967875E-5</v>
      </c>
      <c r="Q17" s="304">
        <f t="shared" si="4"/>
        <v>0.5</v>
      </c>
      <c r="R17" s="176">
        <f t="shared" si="5"/>
        <v>0.81981934183519078</v>
      </c>
      <c r="S17" s="814">
        <f t="shared" si="6"/>
        <v>-1</v>
      </c>
      <c r="T17" s="175">
        <f t="shared" si="7"/>
        <v>5</v>
      </c>
      <c r="U17" s="250">
        <f t="shared" si="8"/>
        <v>-0.18018065816480924</v>
      </c>
      <c r="V17" s="382">
        <f t="shared" si="9"/>
        <v>23.58333141270311</v>
      </c>
      <c r="W17" s="401">
        <f t="shared" si="10"/>
        <v>17.54533885282115</v>
      </c>
      <c r="X17" s="157">
        <f t="shared" si="11"/>
        <v>46025</v>
      </c>
      <c r="Y17" s="384">
        <f t="shared" si="12"/>
        <v>16.887228618670861</v>
      </c>
      <c r="Z17" s="384">
        <f t="shared" si="22"/>
        <v>17.922618787491182</v>
      </c>
      <c r="AA17" s="385">
        <f t="shared" si="13"/>
        <v>19.600287091130749</v>
      </c>
      <c r="AB17" s="196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8.5594067874583402E-2</v>
      </c>
      <c r="AD17" s="230">
        <f>(INDEX(Models!$BJ17:$BT17,,AH17)*(1-AF17)+INDEX(Models!$BJ17:$BT17,,AH17+1)*AF17-ERP_i)*AE17*Ramure*Pc/MaxiM</f>
        <v>9.7339385220193784E-4</v>
      </c>
      <c r="AE17" s="304">
        <f t="shared" si="15"/>
        <v>0.5</v>
      </c>
      <c r="AF17" s="176">
        <f>(Hp_vg_s-AG17)/(INDEX(Echel_vg,AH17+1)-AG17)</f>
        <v>0.93481188165957807</v>
      </c>
      <c r="AG17" s="814">
        <f>INDEX(Echel_vg,AH17)</f>
        <v>1</v>
      </c>
      <c r="AH17" s="175">
        <f t="shared" si="16"/>
        <v>7</v>
      </c>
      <c r="AI17" s="224">
        <f t="shared" si="17"/>
        <v>1.9348118816595781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10">
        <f>'2025'!Wh/'2025'!Env_an*'2026'!Env_an</f>
        <v>18.906488349558199</v>
      </c>
      <c r="C18" s="843"/>
      <c r="D18" s="392">
        <f t="shared" si="0"/>
        <v>20.066122359597532</v>
      </c>
      <c r="E18" s="384">
        <f t="shared" si="1"/>
        <v>21.134279995296136</v>
      </c>
      <c r="F18" s="384">
        <f t="shared" si="2"/>
        <v>21.135640641912289</v>
      </c>
      <c r="G18" s="110">
        <f t="shared" si="21"/>
        <v>0.7962562158106532</v>
      </c>
      <c r="H18" s="413" t="b">
        <f>Wh_hp&gt;='2025'!Maxi_hp</f>
        <v>0</v>
      </c>
      <c r="I18" s="389">
        <f>IF(H18,Wh_hp,'2025'!Maxi_hp)</f>
        <v>24.427777295299801</v>
      </c>
      <c r="J18" s="85">
        <f>IF(H18,An,'2025'!An_max)</f>
        <v>2019</v>
      </c>
      <c r="K18" s="196">
        <f t="shared" si="3"/>
        <v>46026</v>
      </c>
      <c r="L18" s="147">
        <f>IF(t&lt;Tvie,1-EXP((T0-t)*PertePVj)+'2025'!Pspv,1-EXP((T0-t)*PertePVj)+Pspv)</f>
        <v>5.7790637835151239E-2</v>
      </c>
      <c r="M18" s="847"/>
      <c r="N18" s="847"/>
      <c r="O18" s="48">
        <f>IF(t&lt;Tnet,'2025'!Resal+('2025'!Salim-'2025'!Resal)*(1-EXP(('2025'!Tnet-t)/('2025'!Tau_j))),Resal+(Salim-Resal)*(1-EXP((Tnet-t)/(Tau_j))))*Salcycl</f>
        <v>5.0541472713352208E-2</v>
      </c>
      <c r="P18" s="168">
        <f>(INDEX(Models!$BJ18:$BT18,,T18)*(1-R18)+INDEX(Models!$BJ18:$BT18,,T18+1)*R18-ERP_i)*Q18*Ramure*Pc/MaxiM</f>
        <v>9.0803710144546945E-5</v>
      </c>
      <c r="Q18" s="304">
        <f t="shared" si="4"/>
        <v>0.5</v>
      </c>
      <c r="R18" s="176">
        <f t="shared" si="5"/>
        <v>0.81983836755396777</v>
      </c>
      <c r="S18" s="814">
        <f t="shared" si="6"/>
        <v>-1</v>
      </c>
      <c r="T18" s="175">
        <f t="shared" si="7"/>
        <v>5</v>
      </c>
      <c r="U18" s="250">
        <f t="shared" si="8"/>
        <v>-0.18016163244603217</v>
      </c>
      <c r="V18" s="382">
        <f t="shared" si="9"/>
        <v>23.743599489016425</v>
      </c>
      <c r="W18" s="401">
        <f t="shared" si="10"/>
        <v>18.906488349558199</v>
      </c>
      <c r="X18" s="157">
        <f t="shared" si="11"/>
        <v>46026</v>
      </c>
      <c r="Y18" s="384">
        <f t="shared" si="12"/>
        <v>18.196771581229886</v>
      </c>
      <c r="Z18" s="384">
        <f>Wh_sa_s*(1-Psa_s)</f>
        <v>19.312874942592835</v>
      </c>
      <c r="AA18" s="385">
        <f t="shared" si="13"/>
        <v>21.120960862733238</v>
      </c>
      <c r="AB18" s="196">
        <f>t</f>
        <v>46026</v>
      </c>
      <c r="AC18" s="119">
        <f>IF(OR(t&lt;Tnet,NoTnet),'2025'!Resal_s+('2025'!Salim-'2025'!Resal_s)*(1-EXP(('2025'!Tnet_s-t)/'2025'!Tau_j)),Resal_s+(Salim-Resal_s)*(1-EXP((Tnet_s-t)/Tau_j)))*Salcycl</f>
        <v>8.5606234105128839E-2</v>
      </c>
      <c r="AD18" s="230">
        <f>(INDEX(Models!$BJ18:$BT18,,AH18)*(1-AF18)+INDEX(Models!$BJ18:$BT18,,AH18+1)*AF18-ERP_i)*AE18*Ramure*Pc/MaxiM</f>
        <v>9.7966540153607219E-4</v>
      </c>
      <c r="AE18" s="304">
        <f t="shared" si="15"/>
        <v>0.5</v>
      </c>
      <c r="AF18" s="176">
        <f t="shared" si="23"/>
        <v>0.93483090737835517</v>
      </c>
      <c r="AG18" s="814">
        <f t="shared" si="24"/>
        <v>1</v>
      </c>
      <c r="AH18" s="175">
        <f t="shared" si="16"/>
        <v>7</v>
      </c>
      <c r="AI18" s="224">
        <f t="shared" si="17"/>
        <v>1.9348309073783552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10">
        <f>'2025'!Wh/'2025'!Env_an*'2026'!Env_an</f>
        <v>13.82241647998549</v>
      </c>
      <c r="C19" s="843"/>
      <c r="D19" s="392">
        <f t="shared" si="0"/>
        <v>14.670538632366046</v>
      </c>
      <c r="E19" s="384">
        <f t="shared" si="1"/>
        <v>15.452299750529082</v>
      </c>
      <c r="F19" s="384">
        <f t="shared" si="2"/>
        <v>15.452861119689764</v>
      </c>
      <c r="G19" s="110">
        <f t="shared" si="21"/>
        <v>0.57802622510232582</v>
      </c>
      <c r="H19" s="413" t="b">
        <f>Wh_hp&gt;='2025'!Maxi_hp</f>
        <v>0</v>
      </c>
      <c r="I19" s="389">
        <f>IF(H19,Wh_hp,'2025'!Maxi_hp)</f>
        <v>27.076162439381022</v>
      </c>
      <c r="J19" s="85">
        <f>IF(H19,An,'2025'!An_max)</f>
        <v>2019</v>
      </c>
      <c r="K19" s="196">
        <f t="shared" si="3"/>
        <v>46027</v>
      </c>
      <c r="L19" s="147">
        <f>IF(t&lt;Tvie,1-EXP((T0-t)*PertePVj)+'2025'!Pspv,1-EXP((T0-t)*PertePVj)+Pspv)</f>
        <v>5.7811248355219537E-2</v>
      </c>
      <c r="M19" s="847"/>
      <c r="N19" s="847"/>
      <c r="O19" s="48">
        <f>IF(t&lt;Tnet,'2025'!Resal+('2025'!Salim-'2025'!Resal)*(1-EXP(('2025'!Tnet-t)/('2025'!Tau_j))),Resal+(Salim-Resal)*(1-EXP((Tnet-t)/(Tau_j))))*Salcycl</f>
        <v>5.0591894461293356E-2</v>
      </c>
      <c r="P19" s="168">
        <f>(INDEX(Models!$BJ19:$BT19,,T19)*(1-R19)+INDEX(Models!$BJ19:$BT19,,T19+1)*R19-ERP_i)*Q19*Ramure*Pc/MaxiM</f>
        <v>9.1453883122335344E-5</v>
      </c>
      <c r="Q19" s="304">
        <f t="shared" si="4"/>
        <v>0.5</v>
      </c>
      <c r="R19" s="176">
        <f t="shared" si="5"/>
        <v>0.81985818887350481</v>
      </c>
      <c r="S19" s="814">
        <f t="shared" si="6"/>
        <v>-1</v>
      </c>
      <c r="T19" s="175">
        <f t="shared" si="7"/>
        <v>5</v>
      </c>
      <c r="U19" s="250">
        <f t="shared" si="8"/>
        <v>-0.18014181112649519</v>
      </c>
      <c r="V19" s="382">
        <f t="shared" si="9"/>
        <v>23.911812089173409</v>
      </c>
      <c r="W19" s="401">
        <f t="shared" si="10"/>
        <v>13.82241647998549</v>
      </c>
      <c r="X19" s="157">
        <f t="shared" si="11"/>
        <v>46027</v>
      </c>
      <c r="Y19" s="384">
        <f t="shared" si="12"/>
        <v>13.307726614312701</v>
      </c>
      <c r="Z19" s="384">
        <f t="shared" si="22"/>
        <v>14.124268190510001</v>
      </c>
      <c r="AA19" s="385">
        <f t="shared" si="13"/>
        <v>15.446800688046919</v>
      </c>
      <c r="AB19" s="196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8.561853837865098E-2</v>
      </c>
      <c r="AD19" s="230">
        <f>(INDEX(Models!$BJ19:$BT19,,AH19)*(1-AF19)+INDEX(Models!$BJ19:$BT19,,AH19+1)*AF19-ERP_i)*AE19*Ramure*Pc/MaxiM</f>
        <v>9.8731823184263412E-4</v>
      </c>
      <c r="AE19" s="304">
        <f t="shared" si="15"/>
        <v>0.5</v>
      </c>
      <c r="AF19" s="176">
        <f t="shared" si="23"/>
        <v>0.93485072869789221</v>
      </c>
      <c r="AG19" s="814">
        <f t="shared" si="24"/>
        <v>1</v>
      </c>
      <c r="AH19" s="175">
        <f t="shared" si="16"/>
        <v>7</v>
      </c>
      <c r="AI19" s="224">
        <f t="shared" si="17"/>
        <v>1.9348507286978922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10">
        <f>'2025'!Wh/'2025'!Env_an*'2026'!Env_an</f>
        <v>25.009435189390544</v>
      </c>
      <c r="C20" s="843"/>
      <c r="D20" s="392">
        <f t="shared" si="0"/>
        <v>26.544556205809215</v>
      </c>
      <c r="E20" s="384">
        <f t="shared" si="1"/>
        <v>27.960543580032141</v>
      </c>
      <c r="F20" s="384">
        <f t="shared" si="2"/>
        <v>27.96311964376342</v>
      </c>
      <c r="G20" s="110">
        <f t="shared" si="21"/>
        <v>1.0382771042356747</v>
      </c>
      <c r="H20" s="413" t="b">
        <f>Wh_hp&gt;='2025'!Maxi_hp</f>
        <v>1</v>
      </c>
      <c r="I20" s="389">
        <f>IF(H20,Wh_hp,'2025'!Maxi_hp)</f>
        <v>27.96311964376342</v>
      </c>
      <c r="J20" s="85">
        <f>IF(H20,An,'2025'!An_max)</f>
        <v>2026</v>
      </c>
      <c r="K20" s="196">
        <f t="shared" si="3"/>
        <v>46028</v>
      </c>
      <c r="L20" s="147">
        <f>IF(t&lt;Tvie,1-EXP((T0-t)*PertePVj)+'2025'!Pspv,1-EXP((T0-t)*PertePVj)+Pspv)</f>
        <v>5.7831858423864492E-2</v>
      </c>
      <c r="M20" s="847"/>
      <c r="N20" s="847"/>
      <c r="O20" s="48">
        <f>IF(t&lt;Tnet,'2025'!Resal+('2025'!Salim-'2025'!Resal)*(1-EXP(('2025'!Tnet-t)/('2025'!Tau_j))),Resal+(Salim-Resal)*(1-EXP((Tnet-t)/(Tau_j))))*Salcycl</f>
        <v>5.0642340703066543E-2</v>
      </c>
      <c r="P20" s="168">
        <f>(INDEX(Models!$BJ20:$BT20,,T20)*(1-R20)+INDEX(Models!$BJ20:$BT20,,T20+1)*R20-ERP_i)*Q20*Ramure*Pc/MaxiM</f>
        <v>9.2123617253612371E-5</v>
      </c>
      <c r="Q20" s="304">
        <f t="shared" si="4"/>
        <v>0.5</v>
      </c>
      <c r="R20" s="176">
        <f t="shared" si="5"/>
        <v>0.81987883895155522</v>
      </c>
      <c r="S20" s="814">
        <f t="shared" si="6"/>
        <v>-1</v>
      </c>
      <c r="T20" s="175">
        <f t="shared" si="7"/>
        <v>5</v>
      </c>
      <c r="U20" s="250">
        <f t="shared" si="8"/>
        <v>-0.18012116104844475</v>
      </c>
      <c r="V20" s="382">
        <f t="shared" si="9"/>
        <v>24.087437821140416</v>
      </c>
      <c r="W20" s="401">
        <f t="shared" si="10"/>
        <v>25.009435189390544</v>
      </c>
      <c r="X20" s="157">
        <f t="shared" si="11"/>
        <v>46028</v>
      </c>
      <c r="Y20" s="384">
        <f t="shared" si="12"/>
        <v>24.065928811843325</v>
      </c>
      <c r="Z20" s="384">
        <f t="shared" si="22"/>
        <v>25.543135826673019</v>
      </c>
      <c r="AA20" s="385">
        <f t="shared" si="13"/>
        <v>27.935259039254408</v>
      </c>
      <c r="AB20" s="196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8.5630965842127982E-2</v>
      </c>
      <c r="AD20" s="230">
        <f>(INDEX(Models!$BJ20:$BT20,,AH20)*(1-AF20)+INDEX(Models!$BJ20:$BT20,,AH20+1)*AF20-ERP_i)*AE20*Ramure*Pc/MaxiM</f>
        <v>9.9633391638499985E-4</v>
      </c>
      <c r="AE20" s="304">
        <f t="shared" si="15"/>
        <v>0.5</v>
      </c>
      <c r="AF20" s="176">
        <f t="shared" si="23"/>
        <v>0.93487137877594262</v>
      </c>
      <c r="AG20" s="814">
        <f t="shared" si="24"/>
        <v>1</v>
      </c>
      <c r="AH20" s="175">
        <f t="shared" si="16"/>
        <v>7</v>
      </c>
      <c r="AI20" s="224">
        <f t="shared" si="17"/>
        <v>1.9348713787759426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10">
        <f>'2025'!Wh/'2025'!Env_an*'2026'!Env_an</f>
        <v>9.4844479775379558</v>
      </c>
      <c r="C21" s="843"/>
      <c r="D21" s="392">
        <f t="shared" si="0"/>
        <v>10.066839487248865</v>
      </c>
      <c r="E21" s="384">
        <f t="shared" si="1"/>
        <v>10.604406595789074</v>
      </c>
      <c r="F21" s="384">
        <f t="shared" si="2"/>
        <v>10.604534252135434</v>
      </c>
      <c r="G21" s="110">
        <f t="shared" si="21"/>
        <v>0.39075826869677094</v>
      </c>
      <c r="H21" s="413" t="b">
        <f>Wh_hp&gt;='2025'!Maxi_hp</f>
        <v>0</v>
      </c>
      <c r="I21" s="389">
        <f>IF(H21,Wh_hp,'2025'!Maxi_hp)</f>
        <v>14.031962129731935</v>
      </c>
      <c r="J21" s="85">
        <f>IF(H21,An,'2025'!An_max)</f>
        <v>2021</v>
      </c>
      <c r="K21" s="196">
        <f t="shared" si="3"/>
        <v>46029</v>
      </c>
      <c r="L21" s="147">
        <f>IF(t&lt;Tvie,1-EXP((T0-t)*PertePVj)+'2025'!Pspv,1-EXP((T0-t)*PertePVj)+Pspv)</f>
        <v>5.7852468041096096E-2</v>
      </c>
      <c r="M21" s="847"/>
      <c r="N21" s="847"/>
      <c r="O21" s="48">
        <f>IF(t&lt;Tnet,'2025'!Resal+('2025'!Salim-'2025'!Resal)*(1-EXP(('2025'!Tnet-t)/('2025'!Tau_j))),Resal+(Salim-Resal)*(1-EXP((Tnet-t)/(Tau_j))))*Salcycl</f>
        <v>5.0692804324729814E-2</v>
      </c>
      <c r="P21" s="168">
        <f>(INDEX(Models!$BJ21:$BT21,,T21)*(1-R21)+INDEX(Models!$BJ21:$BT21,,T21+1)*R21-ERP_i)*Q21*Ramure*Pc/MaxiM</f>
        <v>9.2813600919036001E-5</v>
      </c>
      <c r="Q21" s="304">
        <f t="shared" si="4"/>
        <v>0.5</v>
      </c>
      <c r="R21" s="176">
        <f t="shared" si="5"/>
        <v>0.81990035231819314</v>
      </c>
      <c r="S21" s="814">
        <f t="shared" si="6"/>
        <v>-1</v>
      </c>
      <c r="T21" s="175">
        <f t="shared" si="7"/>
        <v>5</v>
      </c>
      <c r="U21" s="250">
        <f t="shared" si="8"/>
        <v>-0.18009964768180683</v>
      </c>
      <c r="V21" s="382">
        <f t="shared" si="9"/>
        <v>24.269945424398927</v>
      </c>
      <c r="W21" s="401">
        <f t="shared" si="10"/>
        <v>9.4844479775379558</v>
      </c>
      <c r="X21" s="157">
        <f t="shared" si="11"/>
        <v>46029</v>
      </c>
      <c r="Y21" s="384">
        <f t="shared" si="12"/>
        <v>9.134175675249363</v>
      </c>
      <c r="Z21" s="384">
        <f t="shared" si="22"/>
        <v>9.6950587518471494</v>
      </c>
      <c r="AA21" s="385">
        <f t="shared" si="13"/>
        <v>10.603149640854216</v>
      </c>
      <c r="AB21" s="196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8.5643504030931489E-2</v>
      </c>
      <c r="AD21" s="230">
        <f>(INDEX(Models!$BJ21:$BT21,,AH21)*(1-AF21)+INDEX(Models!$BJ21:$BT21,,AH21+1)*AF21-ERP_i)*AE21*Ramure*Pc/MaxiM</f>
        <v>1.0066930673555891E-3</v>
      </c>
      <c r="AE21" s="304">
        <f t="shared" si="15"/>
        <v>0.5</v>
      </c>
      <c r="AF21" s="176">
        <f t="shared" si="23"/>
        <v>0.93489289214258053</v>
      </c>
      <c r="AG21" s="814">
        <f t="shared" si="24"/>
        <v>1</v>
      </c>
      <c r="AH21" s="175">
        <f t="shared" si="16"/>
        <v>7</v>
      </c>
      <c r="AI21" s="224">
        <f t="shared" si="17"/>
        <v>1.9348928921425805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10">
        <f>'2025'!Wh/'2025'!Env_an*'2026'!Env_an</f>
        <v>6.4652665892527112</v>
      </c>
      <c r="C22" s="843"/>
      <c r="D22" s="392">
        <f t="shared" si="0"/>
        <v>6.8624157030620294</v>
      </c>
      <c r="E22" s="384">
        <f t="shared" si="1"/>
        <v>7.2292516398274644</v>
      </c>
      <c r="F22" s="384">
        <f t="shared" si="2"/>
        <v>7.2292516398274644</v>
      </c>
      <c r="G22" s="110">
        <f t="shared" si="21"/>
        <v>0.2643081808510031</v>
      </c>
      <c r="H22" s="413" t="b">
        <f>Wh_hp&gt;='2025'!Maxi_hp</f>
        <v>0</v>
      </c>
      <c r="I22" s="389">
        <f>IF(H22,Wh_hp,'2025'!Maxi_hp)</f>
        <v>20.064125599545072</v>
      </c>
      <c r="J22" s="85">
        <f>IF(H22,An,'2025'!An_max)</f>
        <v>2021</v>
      </c>
      <c r="K22" s="196">
        <f t="shared" si="3"/>
        <v>46030</v>
      </c>
      <c r="L22" s="147">
        <f>IF(t&lt;Tvie,1-EXP((T0-t)*PertePVj)+'2025'!Pspv,1-EXP((T0-t)*PertePVj)+Pspv)</f>
        <v>5.787307720692423E-2</v>
      </c>
      <c r="M22" s="847"/>
      <c r="N22" s="847"/>
      <c r="O22" s="48">
        <f>IF(t&lt;Tnet,'2025'!Resal+('2025'!Salim-'2025'!Resal)*(1-EXP(('2025'!Tnet-t)/('2025'!Tau_j))),Resal+(Salim-Resal)*(1-EXP((Tnet-t)/(Tau_j))))*Salcycl</f>
        <v>5.0743279531792633E-2</v>
      </c>
      <c r="P22" s="168">
        <f>(INDEX(Models!$BJ22:$BT22,,T22)*(1-R22)+INDEX(Models!$BJ22:$BT22,,T22+1)*R22-ERP_i)*Q22*Ramure*Pc/MaxiM</f>
        <v>9.3524542891267498E-5</v>
      </c>
      <c r="Q22" s="304">
        <f t="shared" si="4"/>
        <v>0.5</v>
      </c>
      <c r="R22" s="176">
        <f t="shared" si="5"/>
        <v>0.8199227649317915</v>
      </c>
      <c r="S22" s="814">
        <f t="shared" si="6"/>
        <v>-1</v>
      </c>
      <c r="T22" s="175">
        <f t="shared" si="7"/>
        <v>5</v>
      </c>
      <c r="U22" s="250">
        <f t="shared" si="8"/>
        <v>-0.18007723506820855</v>
      </c>
      <c r="V22" s="382">
        <f t="shared" si="9"/>
        <v>24.458803762092277</v>
      </c>
      <c r="W22" s="401">
        <f t="shared" si="10"/>
        <v>6.4652665892527112</v>
      </c>
      <c r="X22" s="157">
        <f t="shared" si="11"/>
        <v>46030</v>
      </c>
      <c r="Y22" s="384">
        <f t="shared" si="12"/>
        <v>6.2274795257113631</v>
      </c>
      <c r="Z22" s="384">
        <f t="shared" si="22"/>
        <v>6.6100218293826813</v>
      </c>
      <c r="AA22" s="385">
        <f t="shared" si="13"/>
        <v>7.2292516398274644</v>
      </c>
      <c r="AB22" s="196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8.5656142751113537E-2</v>
      </c>
      <c r="AD22" s="230">
        <f>(INDEX(Models!$BJ22:$BT22,,AH22)*(1-AF22)+INDEX(Models!$BJ22:$BT22,,AH22+1)*AF22-ERP_i)*AE22*Ramure*Pc/MaxiM</f>
        <v>1.0183756553032801E-3</v>
      </c>
      <c r="AE22" s="304">
        <f t="shared" si="15"/>
        <v>0.5</v>
      </c>
      <c r="AF22" s="176">
        <f t="shared" si="23"/>
        <v>0.9349153047561789</v>
      </c>
      <c r="AG22" s="814">
        <f t="shared" si="24"/>
        <v>1</v>
      </c>
      <c r="AH22" s="175">
        <f t="shared" si="16"/>
        <v>7</v>
      </c>
      <c r="AI22" s="224">
        <f t="shared" si="17"/>
        <v>1.9349153047561789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10">
        <f>'2025'!Wh/'2025'!Env_an*'2026'!Env_an</f>
        <v>1.7940169992223165</v>
      </c>
      <c r="C23" s="843"/>
      <c r="D23" s="392">
        <f t="shared" si="0"/>
        <v>1.9042617297144693</v>
      </c>
      <c r="E23" s="384">
        <f t="shared" si="1"/>
        <v>2.0061622575061659</v>
      </c>
      <c r="F23" s="384">
        <f t="shared" si="2"/>
        <v>2.0061622575061659</v>
      </c>
      <c r="G23" s="110">
        <f t="shared" si="21"/>
        <v>7.2752221117717231E-2</v>
      </c>
      <c r="H23" s="413" t="b">
        <f>Wh_hp&gt;='2025'!Maxi_hp</f>
        <v>0</v>
      </c>
      <c r="I23" s="389">
        <f>IF(H23,Wh_hp,'2025'!Maxi_hp)</f>
        <v>26.291265960705861</v>
      </c>
      <c r="J23" s="85">
        <f>IF(H23,An,'2025'!An_max)</f>
        <v>2020</v>
      </c>
      <c r="K23" s="196">
        <f t="shared" si="3"/>
        <v>46031</v>
      </c>
      <c r="L23" s="147">
        <f>IF(t&lt;Tvie,1-EXP((T0-t)*PertePVj)+'2025'!Pspv,1-EXP((T0-t)*PertePVj)+Pspv)</f>
        <v>5.7893685921358663E-2</v>
      </c>
      <c r="M23" s="847"/>
      <c r="N23" s="847"/>
      <c r="O23" s="48">
        <f>IF(t&lt;Tnet,'2025'!Resal+('2025'!Salim-'2025'!Resal)*(1-EXP(('2025'!Tnet-t)/('2025'!Tau_j))),Resal+(Salim-Resal)*(1-EXP((Tnet-t)/(Tau_j))))*Salcycl</f>
        <v>5.0793761775963071E-2</v>
      </c>
      <c r="P23" s="168">
        <f>(INDEX(Models!$BJ23:$BT23,,T23)*(1-R23)+INDEX(Models!$BJ23:$BT23,,T23+1)*R23-ERP_i)*Q23*Ramure*Pc/MaxiM</f>
        <v>9.42439133745193E-5</v>
      </c>
      <c r="Q23" s="304">
        <f t="shared" si="4"/>
        <v>0.5</v>
      </c>
      <c r="R23" s="176">
        <f t="shared" si="5"/>
        <v>0.81994611423721253</v>
      </c>
      <c r="S23" s="814">
        <f t="shared" si="6"/>
        <v>-1</v>
      </c>
      <c r="T23" s="175">
        <f t="shared" si="7"/>
        <v>5</v>
      </c>
      <c r="U23" s="250">
        <f t="shared" si="8"/>
        <v>-0.18005388576278747</v>
      </c>
      <c r="V23" s="382">
        <f t="shared" si="9"/>
        <v>24.656950626113552</v>
      </c>
      <c r="W23" s="401">
        <f t="shared" si="10"/>
        <v>1.7940169992223165</v>
      </c>
      <c r="X23" s="157">
        <f t="shared" si="11"/>
        <v>46031</v>
      </c>
      <c r="Y23" s="384">
        <f t="shared" si="12"/>
        <v>1.7281024049397422</v>
      </c>
      <c r="Z23" s="384">
        <f t="shared" si="22"/>
        <v>1.8342965959524296</v>
      </c>
      <c r="AA23" s="385">
        <f t="shared" si="13"/>
        <v>2.0061622575061659</v>
      </c>
      <c r="AB23" s="196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8.5668873946108517E-2</v>
      </c>
      <c r="AD23" s="230">
        <f>(INDEX(Models!$BJ23:$BT23,,AH23)*(1-AF23)+INDEX(Models!$BJ23:$BT23,,AH23+1)*AF23-ERP_i)*AE23*Ramure*Pc/MaxiM</f>
        <v>1.0312162323778376E-3</v>
      </c>
      <c r="AE23" s="304">
        <f t="shared" si="15"/>
        <v>0.5</v>
      </c>
      <c r="AF23" s="176">
        <f t="shared" si="23"/>
        <v>0.93493865406159982</v>
      </c>
      <c r="AG23" s="814">
        <f t="shared" si="24"/>
        <v>1</v>
      </c>
      <c r="AH23" s="175">
        <f t="shared" si="16"/>
        <v>7</v>
      </c>
      <c r="AI23" s="224">
        <f t="shared" si="17"/>
        <v>1.9349386540615998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10">
        <f>'2025'!Wh/'2025'!Env_an*'2026'!Env_an</f>
        <v>1.4398157940000385</v>
      </c>
      <c r="C24" s="843"/>
      <c r="D24" s="392">
        <f t="shared" si="0"/>
        <v>1.5283278210378415</v>
      </c>
      <c r="E24" s="384">
        <f t="shared" si="1"/>
        <v>1.6101970801856504</v>
      </c>
      <c r="F24" s="384">
        <f t="shared" si="2"/>
        <v>1.6101970801856504</v>
      </c>
      <c r="G24" s="110">
        <f t="shared" si="21"/>
        <v>5.7895064139754322E-2</v>
      </c>
      <c r="H24" s="413" t="b">
        <f>Wh_hp&gt;='2025'!Maxi_hp</f>
        <v>0</v>
      </c>
      <c r="I24" s="389">
        <f>IF(H24,Wh_hp,'2025'!Maxi_hp)</f>
        <v>14.840705904124258</v>
      </c>
      <c r="J24" s="85">
        <f>IF(H24,An,'2025'!An_max)</f>
        <v>2019</v>
      </c>
      <c r="K24" s="196">
        <f t="shared" si="3"/>
        <v>46032</v>
      </c>
      <c r="L24" s="147">
        <f>IF(t&lt;Tvie,1-EXP((T0-t)*PertePVj)+'2025'!Pspv,1-EXP((T0-t)*PertePVj)+Pspv)</f>
        <v>5.7914294184409389E-2</v>
      </c>
      <c r="M24" s="847"/>
      <c r="N24" s="847"/>
      <c r="O24" s="48">
        <f>IF(t&lt;Tnet,'2025'!Resal+('2025'!Salim-'2025'!Resal)*(1-EXP(('2025'!Tnet-t)/('2025'!Tau_j))),Resal+(Salim-Resal)*(1-EXP((Tnet-t)/(Tau_j))))*Salcycl</f>
        <v>5.0844247673315586E-2</v>
      </c>
      <c r="P24" s="168">
        <f>(INDEX(Models!$BJ24:$BT24,,T24)*(1-R24)+INDEX(Models!$BJ24:$BT24,,T24+1)*R24-ERP_i)*Q24*Ramure*Pc/MaxiM</f>
        <v>9.4874986409016371E-5</v>
      </c>
      <c r="Q24" s="304">
        <f t="shared" si="4"/>
        <v>0.5</v>
      </c>
      <c r="R24" s="176">
        <f t="shared" si="5"/>
        <v>0.81997043922629431</v>
      </c>
      <c r="S24" s="814">
        <f t="shared" si="6"/>
        <v>-1</v>
      </c>
      <c r="T24" s="175">
        <f t="shared" si="7"/>
        <v>5</v>
      </c>
      <c r="U24" s="250">
        <f t="shared" si="8"/>
        <v>-0.18002956077370574</v>
      </c>
      <c r="V24" s="382">
        <f t="shared" si="9"/>
        <v>24.867045453492796</v>
      </c>
      <c r="W24" s="401">
        <f t="shared" si="10"/>
        <v>1.4398157940000385</v>
      </c>
      <c r="X24" s="157">
        <f t="shared" si="11"/>
        <v>46032</v>
      </c>
      <c r="Y24" s="384">
        <f t="shared" si="12"/>
        <v>1.3869693546323785</v>
      </c>
      <c r="Z24" s="384">
        <f t="shared" si="22"/>
        <v>1.4722326706269673</v>
      </c>
      <c r="AA24" s="385">
        <f t="shared" si="13"/>
        <v>1.6101970801856504</v>
      </c>
      <c r="AB24" s="196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8.5681691549692907E-2</v>
      </c>
      <c r="AD24" s="230">
        <f>(INDEX(Models!$BJ24:$BT24,,AH24)*(1-AF24)+INDEX(Models!$BJ24:$BT24,,AH24+1)*AF24-ERP_i)*AE24*Ramure*Pc/MaxiM</f>
        <v>1.0453505116610586E-3</v>
      </c>
      <c r="AE24" s="304">
        <f t="shared" si="15"/>
        <v>0.5</v>
      </c>
      <c r="AF24" s="176">
        <f t="shared" si="23"/>
        <v>0.93496297905068171</v>
      </c>
      <c r="AG24" s="814">
        <f t="shared" si="24"/>
        <v>1</v>
      </c>
      <c r="AH24" s="175">
        <f t="shared" si="16"/>
        <v>7</v>
      </c>
      <c r="AI24" s="224">
        <f t="shared" si="17"/>
        <v>1.9349629790506817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10">
        <f>'2025'!Wh/'2025'!Env_an*'2026'!Env_an</f>
        <v>25.724935983615307</v>
      </c>
      <c r="C25" s="843"/>
      <c r="D25" s="392">
        <f t="shared" si="0"/>
        <v>27.306962160175939</v>
      </c>
      <c r="E25" s="384">
        <f t="shared" si="1"/>
        <v>28.771268229904699</v>
      </c>
      <c r="F25" s="384">
        <f t="shared" si="2"/>
        <v>28.774012285280161</v>
      </c>
      <c r="G25" s="110">
        <f t="shared" si="21"/>
        <v>1.0253824281395252</v>
      </c>
      <c r="H25" s="413" t="b">
        <f>Wh_hp&gt;='2025'!Maxi_hp</f>
        <v>1</v>
      </c>
      <c r="I25" s="389">
        <f>IF(H25,Wh_hp,'2025'!Maxi_hp)</f>
        <v>28.774012285280161</v>
      </c>
      <c r="J25" s="85">
        <f>IF(H25,An,'2025'!An_max)</f>
        <v>2026</v>
      </c>
      <c r="K25" s="196">
        <f t="shared" si="3"/>
        <v>46033</v>
      </c>
      <c r="L25" s="147">
        <f>IF(t&lt;Tvie,1-EXP((T0-t)*PertePVj)+'2025'!Pspv,1-EXP((T0-t)*PertePVj)+Pspv)</f>
        <v>5.7934901996086287E-2</v>
      </c>
      <c r="M25" s="847"/>
      <c r="N25" s="847"/>
      <c r="O25" s="48">
        <f>IF(t&lt;Tnet,'2025'!Resal+('2025'!Salim-'2025'!Resal)*(1-EXP(('2025'!Tnet-t)/('2025'!Tau_j))),Resal+(Salim-Resal)*(1-EXP((Tnet-t)/(Tau_j))))*Salcycl</f>
        <v>5.0894734914979124E-2</v>
      </c>
      <c r="P25" s="168">
        <f>(INDEX(Models!$BJ25:$BT25,,T25)*(1-R25)+INDEX(Models!$BJ25:$BT25,,T25+1)*R25-ERP_i)*Q25*Ramure*Pc/MaxiM</f>
        <v>9.5365753939923289E-5</v>
      </c>
      <c r="Q25" s="304">
        <f t="shared" si="4"/>
        <v>0.5</v>
      </c>
      <c r="R25" s="176">
        <f t="shared" si="5"/>
        <v>0.81999578050071387</v>
      </c>
      <c r="S25" s="814">
        <f t="shared" si="6"/>
        <v>-1</v>
      </c>
      <c r="T25" s="175">
        <f t="shared" si="7"/>
        <v>5</v>
      </c>
      <c r="U25" s="250">
        <f t="shared" si="8"/>
        <v>-0.18000421949928613</v>
      </c>
      <c r="V25" s="382">
        <f t="shared" si="9"/>
        <v>25.088138120614335</v>
      </c>
      <c r="W25" s="401">
        <f t="shared" si="10"/>
        <v>25.724935983615307</v>
      </c>
      <c r="X25" s="157">
        <f t="shared" si="11"/>
        <v>46033</v>
      </c>
      <c r="Y25" s="384">
        <f t="shared" si="12"/>
        <v>24.75778916033364</v>
      </c>
      <c r="Z25" s="384">
        <f t="shared" si="22"/>
        <v>26.280337964745179</v>
      </c>
      <c r="AA25" s="385">
        <f t="shared" si="13"/>
        <v>28.74350049278566</v>
      </c>
      <c r="AB25" s="196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8.5694591327131905E-2</v>
      </c>
      <c r="AD25" s="230">
        <f>(INDEX(Models!$BJ25:$BT25,,AH25)*(1-AF25)+INDEX(Models!$BJ25:$BT25,,AH25+1)*AF25-ERP_i)*AE25*Ramure*Pc/MaxiM</f>
        <v>1.0603940872754027E-3</v>
      </c>
      <c r="AE25" s="304">
        <f t="shared" si="15"/>
        <v>0.5</v>
      </c>
      <c r="AF25" s="176">
        <f t="shared" si="23"/>
        <v>0.93498832032510126</v>
      </c>
      <c r="AG25" s="814">
        <f t="shared" si="24"/>
        <v>1</v>
      </c>
      <c r="AH25" s="175">
        <f t="shared" si="16"/>
        <v>7</v>
      </c>
      <c r="AI25" s="224">
        <f t="shared" si="17"/>
        <v>1.9349883203251013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10">
        <f>'2025'!Wh/'2025'!Env_an*'2026'!Env_an</f>
        <v>23.556971548594426</v>
      </c>
      <c r="C26" s="843"/>
      <c r="D26" s="392">
        <f t="shared" si="0"/>
        <v>25.0062197513627</v>
      </c>
      <c r="E26" s="384">
        <f t="shared" si="1"/>
        <v>26.348552618404558</v>
      </c>
      <c r="F26" s="384">
        <f t="shared" si="2"/>
        <v>26.350824179608917</v>
      </c>
      <c r="G26" s="110">
        <f t="shared" si="21"/>
        <v>0.93038782259369313</v>
      </c>
      <c r="H26" s="413" t="b">
        <f>Wh_hp&gt;='2025'!Maxi_hp</f>
        <v>0</v>
      </c>
      <c r="I26" s="389">
        <f>IF(H26,Wh_hp,'2025'!Maxi_hp)</f>
        <v>28.636326712021056</v>
      </c>
      <c r="J26" s="85">
        <f>IF(H26,An,'2025'!An_max)</f>
        <v>2020</v>
      </c>
      <c r="K26" s="196">
        <f t="shared" si="3"/>
        <v>46034</v>
      </c>
      <c r="L26" s="147">
        <f>IF(t&lt;Tvie,1-EXP((T0-t)*PertePVj)+'2025'!Pspv,1-EXP((T0-t)*PertePVj)+Pspv)</f>
        <v>5.7955509356399128E-2</v>
      </c>
      <c r="M26" s="847"/>
      <c r="N26" s="847"/>
      <c r="O26" s="48">
        <f>IF(t&lt;Tnet,'2025'!Resal+('2025'!Salim-'2025'!Resal)*(1-EXP(('2025'!Tnet-t)/('2025'!Tau_j))),Resal+(Salim-Resal)*(1-EXP((Tnet-t)/(Tau_j))))*Salcycl</f>
        <v>5.0945222171491653E-2</v>
      </c>
      <c r="P26" s="168">
        <f>(INDEX(Models!$BJ26:$BT26,,T26)*(1-R26)+INDEX(Models!$BJ26:$BT26,,T26+1)*R26-ERP_i)*Q26*Ramure*Pc/MaxiM</f>
        <v>9.5722572833437602E-5</v>
      </c>
      <c r="Q26" s="304">
        <f t="shared" si="4"/>
        <v>0.5</v>
      </c>
      <c r="R26" s="176">
        <f t="shared" si="5"/>
        <v>0.82002218033731655</v>
      </c>
      <c r="S26" s="814">
        <f t="shared" si="6"/>
        <v>-1</v>
      </c>
      <c r="T26" s="175">
        <f t="shared" si="7"/>
        <v>5</v>
      </c>
      <c r="U26" s="250">
        <f t="shared" si="8"/>
        <v>-0.17997781966268347</v>
      </c>
      <c r="V26" s="382">
        <f t="shared" si="9"/>
        <v>25.319277339676145</v>
      </c>
      <c r="W26" s="401">
        <f t="shared" si="10"/>
        <v>23.556971548594426</v>
      </c>
      <c r="X26" s="157">
        <f t="shared" si="11"/>
        <v>46034</v>
      </c>
      <c r="Y26" s="384">
        <f t="shared" si="12"/>
        <v>22.674074423341153</v>
      </c>
      <c r="Z26" s="384">
        <f t="shared" si="22"/>
        <v>24.069005921206884</v>
      </c>
      <c r="AA26" s="385">
        <f t="shared" si="13"/>
        <v>26.325281879240617</v>
      </c>
      <c r="AB26" s="196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8.5707570706506628E-2</v>
      </c>
      <c r="AD26" s="230">
        <f>(INDEX(Models!$BJ26:$BT26,,AH26)*(1-AF26)+INDEX(Models!$BJ26:$BT26,,AH26+1)*AF26-ERP_i)*AE26*Ramure*Pc/MaxiM</f>
        <v>1.07634110964955E-3</v>
      </c>
      <c r="AE26" s="304">
        <f t="shared" si="15"/>
        <v>0.5</v>
      </c>
      <c r="AF26" s="176">
        <f t="shared" si="23"/>
        <v>0.93501472016170384</v>
      </c>
      <c r="AG26" s="814">
        <f t="shared" si="24"/>
        <v>1</v>
      </c>
      <c r="AH26" s="175">
        <f t="shared" si="16"/>
        <v>7</v>
      </c>
      <c r="AI26" s="224">
        <f t="shared" si="17"/>
        <v>1.9350147201617038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10">
        <f>'2025'!Wh/'2025'!Env_an*'2026'!Env_an</f>
        <v>5.0986224626630134</v>
      </c>
      <c r="C27" s="843"/>
      <c r="D27" s="392">
        <f t="shared" si="0"/>
        <v>5.4124131571373626</v>
      </c>
      <c r="E27" s="384">
        <f t="shared" si="1"/>
        <v>5.7032546727354614</v>
      </c>
      <c r="F27" s="384">
        <f t="shared" si="2"/>
        <v>5.7032546727354614</v>
      </c>
      <c r="G27" s="110">
        <f t="shared" si="21"/>
        <v>0.19946128948965908</v>
      </c>
      <c r="H27" s="413" t="b">
        <f>Wh_hp&gt;='2025'!Maxi_hp</f>
        <v>0</v>
      </c>
      <c r="I27" s="389">
        <f>IF(H27,Wh_hp,'2025'!Maxi_hp)</f>
        <v>16.901313212419812</v>
      </c>
      <c r="J27" s="85">
        <f>IF(H27,An,'2025'!An_max)</f>
        <v>2020</v>
      </c>
      <c r="K27" s="196">
        <f t="shared" si="3"/>
        <v>46035</v>
      </c>
      <c r="L27" s="147">
        <f>IF(t&lt;Tvie,1-EXP((T0-t)*PertePVj)+'2025'!Pspv,1-EXP((T0-t)*PertePVj)+Pspv)</f>
        <v>5.7976116265358014E-2</v>
      </c>
      <c r="M27" s="847"/>
      <c r="N27" s="847"/>
      <c r="O27" s="48">
        <f>IF(t&lt;Tnet,'2025'!Resal+('2025'!Salim-'2025'!Resal)*(1-EXP(('2025'!Tnet-t)/('2025'!Tau_j))),Resal+(Salim-Resal)*(1-EXP((Tnet-t)/(Tau_j))))*Salcycl</f>
        <v>5.0995708992003064E-2</v>
      </c>
      <c r="P27" s="168">
        <f>(INDEX(Models!$BJ27:$BT27,,T27)*(1-R27)+INDEX(Models!$BJ27:$BT27,,T27+1)*R27-ERP_i)*Q27*Ramure*Pc/MaxiM</f>
        <v>9.5951961526029184E-5</v>
      </c>
      <c r="Q27" s="304">
        <f t="shared" si="4"/>
        <v>0.5</v>
      </c>
      <c r="R27" s="176">
        <f t="shared" si="5"/>
        <v>0.82004968275599799</v>
      </c>
      <c r="S27" s="814">
        <f t="shared" si="6"/>
        <v>-1</v>
      </c>
      <c r="T27" s="175">
        <f t="shared" si="7"/>
        <v>5</v>
      </c>
      <c r="U27" s="250">
        <f t="shared" si="8"/>
        <v>-0.17995031724400198</v>
      </c>
      <c r="V27" s="382">
        <f t="shared" si="9"/>
        <v>25.559512088188669</v>
      </c>
      <c r="W27" s="401">
        <f t="shared" si="10"/>
        <v>5.0986224626630134</v>
      </c>
      <c r="X27" s="157">
        <f t="shared" si="11"/>
        <v>46035</v>
      </c>
      <c r="Y27" s="384">
        <f t="shared" si="12"/>
        <v>4.9120592860613765</v>
      </c>
      <c r="Z27" s="384">
        <f t="shared" si="22"/>
        <v>5.2143680971097872</v>
      </c>
      <c r="AA27" s="385">
        <f t="shared" si="13"/>
        <v>5.7032546727354614</v>
      </c>
      <c r="AB27" s="196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8.5720628602262441E-2</v>
      </c>
      <c r="AD27" s="230">
        <f>(INDEX(Models!$BJ27:$BT27,,AH27)*(1-AF27)+INDEX(Models!$BJ27:$BT27,,AH27+1)*AF27-ERP_i)*AE27*Ramure*Pc/MaxiM</f>
        <v>1.0931860576741269E-3</v>
      </c>
      <c r="AE27" s="304">
        <f t="shared" si="15"/>
        <v>0.5</v>
      </c>
      <c r="AF27" s="176">
        <f t="shared" si="23"/>
        <v>0.93504222258038538</v>
      </c>
      <c r="AG27" s="814">
        <f t="shared" si="24"/>
        <v>1</v>
      </c>
      <c r="AH27" s="175">
        <f t="shared" si="16"/>
        <v>7</v>
      </c>
      <c r="AI27" s="224">
        <f t="shared" si="17"/>
        <v>1.9350422225803854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10">
        <f>'2025'!Wh/'2025'!Env_an*'2026'!Env_an</f>
        <v>26.678299040341216</v>
      </c>
      <c r="C28" s="843"/>
      <c r="D28" s="392">
        <f t="shared" si="0"/>
        <v>28.320813402537212</v>
      </c>
      <c r="E28" s="384">
        <f t="shared" si="1"/>
        <v>29.844248765527837</v>
      </c>
      <c r="F28" s="384">
        <f t="shared" si="2"/>
        <v>29.847115895042652</v>
      </c>
      <c r="G28" s="110">
        <f t="shared" si="21"/>
        <v>1.0337264061663216</v>
      </c>
      <c r="H28" s="413" t="b">
        <f>Wh_hp&gt;='2025'!Maxi_hp</f>
        <v>1</v>
      </c>
      <c r="I28" s="389">
        <f>IF(H28,Wh_hp,'2025'!Maxi_hp)</f>
        <v>29.847115895042652</v>
      </c>
      <c r="J28" s="85">
        <f>IF(H28,An,'2025'!An_max)</f>
        <v>2026</v>
      </c>
      <c r="K28" s="196">
        <f t="shared" si="3"/>
        <v>46036</v>
      </c>
      <c r="L28" s="147">
        <f>IF(t&lt;Tvie,1-EXP((T0-t)*PertePVj)+'2025'!Pspv,1-EXP((T0-t)*PertePVj)+Pspv)</f>
        <v>5.7996722722972606E-2</v>
      </c>
      <c r="M28" s="847"/>
      <c r="N28" s="847"/>
      <c r="O28" s="48">
        <f>IF(t&lt;Tnet,'2025'!Resal+('2025'!Salim-'2025'!Resal)*(1-EXP(('2025'!Tnet-t)/('2025'!Tau_j))),Resal+(Salim-Resal)*(1-EXP((Tnet-t)/(Tau_j))))*Salcycl</f>
        <v>5.1046195699531137E-2</v>
      </c>
      <c r="P28" s="168">
        <f>(INDEX(Models!$BJ28:$BT28,,T28)*(1-R28)+INDEX(Models!$BJ28:$BT28,,T28+1)*R28-ERP_i)*Q28*Ramure*Pc/MaxiM</f>
        <v>9.6060521388349255E-5</v>
      </c>
      <c r="Q28" s="304">
        <f t="shared" si="4"/>
        <v>0.5</v>
      </c>
      <c r="R28" s="176">
        <f t="shared" si="5"/>
        <v>0.82007833359023175</v>
      </c>
      <c r="S28" s="814">
        <f t="shared" si="6"/>
        <v>-1</v>
      </c>
      <c r="T28" s="175">
        <f t="shared" si="7"/>
        <v>5</v>
      </c>
      <c r="U28" s="250">
        <f t="shared" si="8"/>
        <v>-0.17992166640976831</v>
      </c>
      <c r="V28" s="382">
        <f t="shared" si="9"/>
        <v>25.807891605749308</v>
      </c>
      <c r="W28" s="401">
        <f t="shared" si="10"/>
        <v>26.678299040341216</v>
      </c>
      <c r="X28" s="157">
        <f t="shared" si="11"/>
        <v>46036</v>
      </c>
      <c r="Y28" s="384">
        <f t="shared" si="12"/>
        <v>25.677026553019356</v>
      </c>
      <c r="Z28" s="384">
        <f t="shared" si="22"/>
        <v>27.257895139432911</v>
      </c>
      <c r="AA28" s="385">
        <f t="shared" si="13"/>
        <v>29.813958016704877</v>
      </c>
      <c r="AB28" s="196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8.5733765233042672E-2</v>
      </c>
      <c r="AD28" s="230">
        <f>(INDEX(Models!$BJ28:$BT28,,AH28)*(1-AF28)+INDEX(Models!$BJ28:$BT28,,AH28+1)*AF28-ERP_i)*AE28*Ramure*Pc/MaxiM</f>
        <v>1.1109240321367975E-3</v>
      </c>
      <c r="AE28" s="304">
        <f t="shared" si="15"/>
        <v>0.5</v>
      </c>
      <c r="AF28" s="176">
        <f t="shared" si="23"/>
        <v>0.93507087341461914</v>
      </c>
      <c r="AG28" s="814">
        <f t="shared" si="24"/>
        <v>1</v>
      </c>
      <c r="AH28" s="175">
        <f t="shared" si="16"/>
        <v>7</v>
      </c>
      <c r="AI28" s="224">
        <f t="shared" si="17"/>
        <v>1.9350708734146191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10">
        <f>'2025'!Wh/'2025'!Env_an*'2026'!Env_an</f>
        <v>27.017209871870158</v>
      </c>
      <c r="C29" s="843"/>
      <c r="D29" s="392">
        <f t="shared" si="0"/>
        <v>28.681217495671749</v>
      </c>
      <c r="E29" s="384">
        <f t="shared" si="1"/>
        <v>30.225647850949933</v>
      </c>
      <c r="F29" s="384">
        <f t="shared" si="2"/>
        <v>30.22855145041326</v>
      </c>
      <c r="G29" s="110">
        <f t="shared" si="21"/>
        <v>1.0365931566084636</v>
      </c>
      <c r="H29" s="413" t="b">
        <f>Wh_hp&gt;='2025'!Maxi_hp</f>
        <v>1</v>
      </c>
      <c r="I29" s="389">
        <f>IF(H29,Wh_hp,'2025'!Maxi_hp)</f>
        <v>30.22855145041326</v>
      </c>
      <c r="J29" s="85">
        <f>IF(H29,An,'2025'!An_max)</f>
        <v>2026</v>
      </c>
      <c r="K29" s="196">
        <f t="shared" si="3"/>
        <v>46037</v>
      </c>
      <c r="L29" s="147">
        <f>IF(t&lt;Tvie,1-EXP((T0-t)*PertePVj)+'2025'!Pspv,1-EXP((T0-t)*PertePVj)+Pspv)</f>
        <v>5.8017328729253005E-2</v>
      </c>
      <c r="M29" s="847"/>
      <c r="N29" s="847"/>
      <c r="O29" s="48">
        <f>IF(t&lt;Tnet,'2025'!Resal+('2025'!Salim-'2025'!Resal)*(1-EXP(('2025'!Tnet-t)/('2025'!Tau_j))),Resal+(Salim-Resal)*(1-EXP((Tnet-t)/(Tau_j))))*Salcycl</f>
        <v>5.1096683283486502E-2</v>
      </c>
      <c r="P29" s="168">
        <f>(INDEX(Models!$BJ29:$BT29,,T29)*(1-R29)+INDEX(Models!$BJ29:$BT29,,T29+1)*R29-ERP_i)*Q29*Ramure*Pc/MaxiM</f>
        <v>9.6054866145026929E-5</v>
      </c>
      <c r="Q29" s="304">
        <f t="shared" si="4"/>
        <v>0.5</v>
      </c>
      <c r="R29" s="176">
        <f t="shared" si="5"/>
        <v>0.82010818056033508</v>
      </c>
      <c r="S29" s="814">
        <f t="shared" si="6"/>
        <v>-1</v>
      </c>
      <c r="T29" s="175">
        <f t="shared" si="7"/>
        <v>5</v>
      </c>
      <c r="U29" s="250">
        <f t="shared" si="8"/>
        <v>-0.17989181943966492</v>
      </c>
      <c r="V29" s="382">
        <f t="shared" si="9"/>
        <v>26.06346540070296</v>
      </c>
      <c r="W29" s="401">
        <f t="shared" si="10"/>
        <v>27.017209871870158</v>
      </c>
      <c r="X29" s="157">
        <f t="shared" si="11"/>
        <v>46037</v>
      </c>
      <c r="Y29" s="384">
        <f t="shared" si="12"/>
        <v>26.003740147466246</v>
      </c>
      <c r="Z29" s="384">
        <f t="shared" si="22"/>
        <v>27.60532750818745</v>
      </c>
      <c r="AA29" s="385">
        <f t="shared" si="13"/>
        <v>30.194406759126828</v>
      </c>
      <c r="AB29" s="196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8.5746981935877264E-2</v>
      </c>
      <c r="AD29" s="230">
        <f>(INDEX(Models!$BJ29:$BT29,,AH29)*(1-AF29)+INDEX(Models!$BJ29:$BT29,,AH29+1)*AF29-ERP_i)*AE29*Ramure*Pc/MaxiM</f>
        <v>1.1295510253755724E-3</v>
      </c>
      <c r="AE29" s="304">
        <f t="shared" si="15"/>
        <v>0.5</v>
      </c>
      <c r="AF29" s="176">
        <f t="shared" si="23"/>
        <v>0.93510072038472236</v>
      </c>
      <c r="AG29" s="814">
        <f t="shared" si="24"/>
        <v>1</v>
      </c>
      <c r="AH29" s="175">
        <f t="shared" si="16"/>
        <v>7</v>
      </c>
      <c r="AI29" s="224">
        <f t="shared" si="17"/>
        <v>1.9351007203847224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10">
        <f>'2025'!Wh/'2025'!Env_an*'2026'!Env_an</f>
        <v>26.59450452050374</v>
      </c>
      <c r="C30" s="843"/>
      <c r="D30" s="392">
        <f t="shared" si="0"/>
        <v>28.23309503477164</v>
      </c>
      <c r="E30" s="384">
        <f t="shared" si="1"/>
        <v>29.754978053536298</v>
      </c>
      <c r="F30" s="384">
        <f t="shared" si="2"/>
        <v>29.757828642764927</v>
      </c>
      <c r="G30" s="110">
        <f t="shared" si="21"/>
        <v>1.0102265688655994</v>
      </c>
      <c r="H30" s="413" t="b">
        <f>Wh_hp&gt;='2025'!Maxi_hp</f>
        <v>1</v>
      </c>
      <c r="I30" s="389">
        <f>IF(H30,Wh_hp,'2025'!Maxi_hp)</f>
        <v>29.757828642764927</v>
      </c>
      <c r="J30" s="85">
        <f>IF(H30,An,'2025'!An_max)</f>
        <v>2026</v>
      </c>
      <c r="K30" s="196">
        <f t="shared" si="3"/>
        <v>46038</v>
      </c>
      <c r="L30" s="147">
        <f>IF(t&lt;Tvie,1-EXP((T0-t)*PertePVj)+'2025'!Pspv,1-EXP((T0-t)*PertePVj)+Pspv)</f>
        <v>5.8037934284208871E-2</v>
      </c>
      <c r="M30" s="847"/>
      <c r="N30" s="847"/>
      <c r="O30" s="48">
        <f>IF(t&lt;Tnet,'2025'!Resal+('2025'!Salim-'2025'!Resal)*(1-EXP(('2025'!Tnet-t)/('2025'!Tau_j))),Resal+(Salim-Resal)*(1-EXP((Tnet-t)/(Tau_j))))*Salcycl</f>
        <v>5.1147173290681809E-2</v>
      </c>
      <c r="P30" s="168">
        <f>(INDEX(Models!$BJ30:$BT30,,T30)*(1-R30)+INDEX(Models!$BJ30:$BT30,,T30+1)*R30-ERP_i)*Q30*Ramure*Pc/MaxiM</f>
        <v>9.5792917650366102E-5</v>
      </c>
      <c r="Q30" s="304">
        <f t="shared" si="4"/>
        <v>0.5</v>
      </c>
      <c r="R30" s="176">
        <f t="shared" si="5"/>
        <v>0.82013927334957104</v>
      </c>
      <c r="S30" s="814">
        <f t="shared" si="6"/>
        <v>-1</v>
      </c>
      <c r="T30" s="175">
        <f t="shared" si="7"/>
        <v>5</v>
      </c>
      <c r="U30" s="250">
        <f t="shared" si="8"/>
        <v>-0.17986072665042896</v>
      </c>
      <c r="V30" s="382">
        <f t="shared" si="9"/>
        <v>26.325287158470953</v>
      </c>
      <c r="W30" s="401">
        <f t="shared" si="10"/>
        <v>26.59450452050374</v>
      </c>
      <c r="X30" s="157">
        <f t="shared" si="11"/>
        <v>46038</v>
      </c>
      <c r="Y30" s="384">
        <f t="shared" si="12"/>
        <v>25.597448456463091</v>
      </c>
      <c r="Z30" s="384">
        <f t="shared" si="22"/>
        <v>27.174606481643981</v>
      </c>
      <c r="AA30" s="385">
        <f t="shared" si="13"/>
        <v>29.723721160066184</v>
      </c>
      <c r="AB30" s="196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8.5760280978780593E-2</v>
      </c>
      <c r="AD30" s="230">
        <f>(INDEX(Models!$BJ30:$BT30,,AH30)*(1-AF30)+INDEX(Models!$BJ30:$BT30,,AH30+1)*AF30-ERP_i)*AE30*Ramure*Pc/MaxiM</f>
        <v>1.1461683951538913E-3</v>
      </c>
      <c r="AE30" s="304">
        <f t="shared" si="15"/>
        <v>0.5</v>
      </c>
      <c r="AF30" s="176">
        <f t="shared" si="23"/>
        <v>0.93513181317395855</v>
      </c>
      <c r="AG30" s="814">
        <f t="shared" si="24"/>
        <v>1</v>
      </c>
      <c r="AH30" s="175">
        <f t="shared" si="16"/>
        <v>7</v>
      </c>
      <c r="AI30" s="224">
        <f t="shared" si="17"/>
        <v>1.9351318131739585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10">
        <f>'2025'!Wh/'2025'!Env_an*'2026'!Env_an</f>
        <v>17.21088810308575</v>
      </c>
      <c r="C31" s="843"/>
      <c r="D31" s="392">
        <f t="shared" si="0"/>
        <v>18.271717322964765</v>
      </c>
      <c r="E31" s="384">
        <f t="shared" si="1"/>
        <v>19.257664848884573</v>
      </c>
      <c r="F31" s="384">
        <f t="shared" si="2"/>
        <v>19.258575104696234</v>
      </c>
      <c r="G31" s="110">
        <f t="shared" si="21"/>
        <v>0.64717953636706327</v>
      </c>
      <c r="H31" s="413" t="b">
        <f>Wh_hp&gt;='2025'!Maxi_hp</f>
        <v>1</v>
      </c>
      <c r="I31" s="389">
        <f>IF(H31,Wh_hp,'2025'!Maxi_hp)</f>
        <v>19.258575104696234</v>
      </c>
      <c r="J31" s="85">
        <f>IF(H31,An,'2025'!An_max)</f>
        <v>2026</v>
      </c>
      <c r="K31" s="196">
        <f t="shared" si="3"/>
        <v>46039</v>
      </c>
      <c r="L31" s="147">
        <f>IF(t&lt;Tvie,1-EXP((T0-t)*PertePVj)+'2025'!Pspv,1-EXP((T0-t)*PertePVj)+Pspv)</f>
        <v>5.8058539387850196E-2</v>
      </c>
      <c r="M31" s="847"/>
      <c r="N31" s="847"/>
      <c r="O31" s="48">
        <f>IF(t&lt;Tnet,'2025'!Resal+('2025'!Salim-'2025'!Resal)*(1-EXP(('2025'!Tnet-t)/('2025'!Tau_j))),Resal+(Salim-Resal)*(1-EXP((Tnet-t)/(Tau_j))))*Salcycl</f>
        <v>5.1197667716027059E-2</v>
      </c>
      <c r="P31" s="168">
        <f>(INDEX(Models!$BJ31:$BT31,,T31)*(1-R31)+INDEX(Models!$BJ31:$BT31,,T31+1)*R31-ERP_i)*Q31*Ramure*Pc/MaxiM</f>
        <v>9.5289346577852397E-5</v>
      </c>
      <c r="Q31" s="304">
        <f t="shared" si="4"/>
        <v>0.5</v>
      </c>
      <c r="R31" s="176">
        <f t="shared" si="5"/>
        <v>0.82017166368318351</v>
      </c>
      <c r="S31" s="814">
        <f t="shared" si="6"/>
        <v>-1</v>
      </c>
      <c r="T31" s="175">
        <f t="shared" si="7"/>
        <v>5</v>
      </c>
      <c r="U31" s="250">
        <f t="shared" si="8"/>
        <v>-0.17982833631681647</v>
      </c>
      <c r="V31" s="382">
        <f t="shared" si="9"/>
        <v>26.592406827800612</v>
      </c>
      <c r="W31" s="401">
        <f t="shared" si="10"/>
        <v>17.21088810308575</v>
      </c>
      <c r="X31" s="157">
        <f t="shared" si="11"/>
        <v>46039</v>
      </c>
      <c r="Y31" s="384">
        <f t="shared" si="12"/>
        <v>16.574938245485864</v>
      </c>
      <c r="Z31" s="384">
        <f t="shared" si="22"/>
        <v>17.596569360811582</v>
      </c>
      <c r="AA31" s="385">
        <f t="shared" si="13"/>
        <v>19.247497796052716</v>
      </c>
      <c r="AB31" s="196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8.57736653737768E-2</v>
      </c>
      <c r="AD31" s="230">
        <f>(INDEX(Models!$BJ31:$BT31,,AH31)*(1-AF31)+INDEX(Models!$BJ31:$BT31,,AH31+1)*AF31-ERP_i)*AE31*Ramure*Pc/MaxiM</f>
        <v>1.1596185258695936E-3</v>
      </c>
      <c r="AE31" s="304">
        <f t="shared" si="15"/>
        <v>0.5</v>
      </c>
      <c r="AF31" s="176">
        <f t="shared" si="23"/>
        <v>0.9351642035075709</v>
      </c>
      <c r="AG31" s="814">
        <f t="shared" si="24"/>
        <v>1</v>
      </c>
      <c r="AH31" s="175">
        <f t="shared" si="16"/>
        <v>7</v>
      </c>
      <c r="AI31" s="224">
        <f t="shared" si="17"/>
        <v>1.9351642035075709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10">
        <f>'2025'!Wh/'2025'!Env_an*'2026'!Env_an</f>
        <v>3.6416394448467111</v>
      </c>
      <c r="C32" s="843"/>
      <c r="D32" s="392">
        <f t="shared" si="0"/>
        <v>3.8661841085744908</v>
      </c>
      <c r="E32" s="384">
        <f t="shared" si="1"/>
        <v>4.0750214985808055</v>
      </c>
      <c r="F32" s="384">
        <f t="shared" si="2"/>
        <v>4.0750214985808055</v>
      </c>
      <c r="G32" s="110">
        <f t="shared" si="21"/>
        <v>0.13554616180832521</v>
      </c>
      <c r="H32" s="413" t="b">
        <f>Wh_hp&gt;='2025'!Maxi_hp</f>
        <v>0</v>
      </c>
      <c r="I32" s="389">
        <f>IF(H32,Wh_hp,'2025'!Maxi_hp)</f>
        <v>29.889326692258766</v>
      </c>
      <c r="J32" s="85">
        <f>IF(H32,An,'2025'!An_max)</f>
        <v>2021</v>
      </c>
      <c r="K32" s="196">
        <f t="shared" si="3"/>
        <v>46040</v>
      </c>
      <c r="L32" s="147">
        <f>IF(t&lt;Tvie,1-EXP((T0-t)*PertePVj)+'2025'!Pspv,1-EXP((T0-t)*PertePVj)+Pspv)</f>
        <v>5.8079144040186971E-2</v>
      </c>
      <c r="M32" s="847"/>
      <c r="N32" s="847"/>
      <c r="O32" s="48">
        <f>IF(t&lt;Tnet,'2025'!Resal+('2025'!Salim-'2025'!Resal)*(1-EXP(('2025'!Tnet-t)/('2025'!Tau_j))),Resal+(Salim-Resal)*(1-EXP((Tnet-t)/(Tau_j))))*Salcycl</f>
        <v>5.1248168894089438E-2</v>
      </c>
      <c r="P32" s="168">
        <f>(INDEX(Models!$BJ32:$BT32,,T32)*(1-R32)+INDEX(Models!$BJ32:$BT32,,T32+1)*R32-ERP_i)*Q32*Ramure*Pc/MaxiM</f>
        <v>9.4554767245511932E-5</v>
      </c>
      <c r="Q32" s="304">
        <f t="shared" si="4"/>
        <v>0.5</v>
      </c>
      <c r="R32" s="176">
        <f t="shared" si="5"/>
        <v>0.82020540541046849</v>
      </c>
      <c r="S32" s="814">
        <f t="shared" si="6"/>
        <v>-1</v>
      </c>
      <c r="T32" s="175">
        <f t="shared" si="7"/>
        <v>5</v>
      </c>
      <c r="U32" s="250">
        <f t="shared" si="8"/>
        <v>-0.17979459458953148</v>
      </c>
      <c r="V32" s="382">
        <f t="shared" si="9"/>
        <v>26.863874726498999</v>
      </c>
      <c r="W32" s="401">
        <f t="shared" si="10"/>
        <v>3.6416394448467111</v>
      </c>
      <c r="X32" s="157">
        <f t="shared" si="11"/>
        <v>46040</v>
      </c>
      <c r="Y32" s="384">
        <f t="shared" si="12"/>
        <v>3.509066868248905</v>
      </c>
      <c r="Z32" s="384">
        <f t="shared" si="22"/>
        <v>3.7254370641078776</v>
      </c>
      <c r="AA32" s="385">
        <f t="shared" si="13"/>
        <v>4.0750214985808055</v>
      </c>
      <c r="AB32" s="196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8.5787138692317702E-2</v>
      </c>
      <c r="AD32" s="230">
        <f>(INDEX(Models!$BJ32:$BT32,,AH32)*(1-AF32)+INDEX(Models!$BJ32:$BT32,,AH32+1)*AF32-ERP_i)*AE32*Ramure*Pc/MaxiM</f>
        <v>1.1700262852731009E-3</v>
      </c>
      <c r="AE32" s="304">
        <f t="shared" si="15"/>
        <v>0.5</v>
      </c>
      <c r="AF32" s="176">
        <f t="shared" si="23"/>
        <v>0.935197945234856</v>
      </c>
      <c r="AG32" s="814">
        <f t="shared" si="24"/>
        <v>1</v>
      </c>
      <c r="AH32" s="175">
        <f t="shared" si="16"/>
        <v>7</v>
      </c>
      <c r="AI32" s="224">
        <f t="shared" si="17"/>
        <v>1.935197945234856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10">
        <f>'2025'!Wh/'2025'!Env_an*'2026'!Env_an</f>
        <v>11.384575570611137</v>
      </c>
      <c r="C33" s="843"/>
      <c r="D33" s="392">
        <f t="shared" si="0"/>
        <v>12.086816570388631</v>
      </c>
      <c r="E33" s="384">
        <f t="shared" si="1"/>
        <v>12.740381306364039</v>
      </c>
      <c r="F33" s="384">
        <f t="shared" si="2"/>
        <v>12.740584877380465</v>
      </c>
      <c r="G33" s="110">
        <f t="shared" si="21"/>
        <v>0.41946277765363993</v>
      </c>
      <c r="H33" s="413" t="b">
        <f>Wh_hp&gt;='2025'!Maxi_hp</f>
        <v>0</v>
      </c>
      <c r="I33" s="389">
        <f>IF(H33,Wh_hp,'2025'!Maxi_hp)</f>
        <v>31.224540909778487</v>
      </c>
      <c r="J33" s="85">
        <f>IF(H33,An,'2025'!An_max)</f>
        <v>2021</v>
      </c>
      <c r="K33" s="196">
        <f t="shared" si="3"/>
        <v>46041</v>
      </c>
      <c r="L33" s="147">
        <f>IF(t&lt;Tvie,1-EXP((T0-t)*PertePVj)+'2025'!Pspv,1-EXP((T0-t)*PertePVj)+Pspv)</f>
        <v>5.8099748241228967E-2</v>
      </c>
      <c r="M33" s="847"/>
      <c r="N33" s="847"/>
      <c r="O33" s="48">
        <f>IF(t&lt;Tnet,'2025'!Resal+('2025'!Salim-'2025'!Resal)*(1-EXP(('2025'!Tnet-t)/('2025'!Tau_j))),Resal+(Salim-Resal)*(1-EXP((Tnet-t)/(Tau_j))))*Salcycl</f>
        <v>5.1298679392660043E-2</v>
      </c>
      <c r="P33" s="168">
        <f>(INDEX(Models!$BJ33:$BT33,,T33)*(1-R33)+INDEX(Models!$BJ33:$BT33,,T33+1)*R33-ERP_i)*Q33*Ramure*Pc/MaxiM</f>
        <v>9.3599526215388845E-5</v>
      </c>
      <c r="Q33" s="304">
        <f t="shared" si="4"/>
        <v>0.5</v>
      </c>
      <c r="R33" s="176">
        <f t="shared" si="5"/>
        <v>0.82024055458998513</v>
      </c>
      <c r="S33" s="814">
        <f t="shared" si="6"/>
        <v>-1</v>
      </c>
      <c r="T33" s="175">
        <f t="shared" si="7"/>
        <v>5</v>
      </c>
      <c r="U33" s="250">
        <f t="shared" si="8"/>
        <v>-0.17975944541001493</v>
      </c>
      <c r="V33" s="382">
        <f t="shared" si="9"/>
        <v>27.138741448719163</v>
      </c>
      <c r="W33" s="401">
        <f t="shared" si="10"/>
        <v>11.384575570611137</v>
      </c>
      <c r="X33" s="157">
        <f t="shared" si="11"/>
        <v>46041</v>
      </c>
      <c r="Y33" s="384">
        <f t="shared" si="12"/>
        <v>10.96851551208343</v>
      </c>
      <c r="Z33" s="384">
        <f t="shared" si="22"/>
        <v>11.645092451777542</v>
      </c>
      <c r="AA33" s="385">
        <f t="shared" si="13"/>
        <v>12.738023879478588</v>
      </c>
      <c r="AB33" s="196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8.5800704884985965E-2</v>
      </c>
      <c r="AD33" s="230">
        <f>(INDEX(Models!$BJ33:$BT33,,AH33)*(1-AF33)+INDEX(Models!$BJ33:$BT33,,AH33+1)*AF33-ERP_i)*AE33*Ramure*Pc/MaxiM</f>
        <v>1.1775163010076697E-3</v>
      </c>
      <c r="AE33" s="304">
        <f t="shared" si="15"/>
        <v>0.5</v>
      </c>
      <c r="AF33" s="176">
        <f t="shared" si="23"/>
        <v>0.93523309441437252</v>
      </c>
      <c r="AG33" s="814">
        <f t="shared" si="24"/>
        <v>1</v>
      </c>
      <c r="AH33" s="175">
        <f t="shared" si="16"/>
        <v>7</v>
      </c>
      <c r="AI33" s="224">
        <f t="shared" si="17"/>
        <v>1.9352330944143725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10">
        <f>'2025'!Wh/'2025'!Env_an*'2026'!Env_an</f>
        <v>5.302246642941272</v>
      </c>
      <c r="C34" s="843"/>
      <c r="D34" s="392">
        <f t="shared" si="0"/>
        <v>5.6294311636835879</v>
      </c>
      <c r="E34" s="384">
        <f t="shared" si="1"/>
        <v>5.9341447611854514</v>
      </c>
      <c r="F34" s="384">
        <f t="shared" si="2"/>
        <v>5.9341447611854514</v>
      </c>
      <c r="G34" s="110">
        <f t="shared" si="21"/>
        <v>0.19338143226769308</v>
      </c>
      <c r="H34" s="413" t="b">
        <f>Wh_hp&gt;='2025'!Maxi_hp</f>
        <v>0</v>
      </c>
      <c r="I34" s="389">
        <f>IF(H34,Wh_hp,'2025'!Maxi_hp)</f>
        <v>10.158617938876899</v>
      </c>
      <c r="J34" s="85">
        <f>IF(H34,An,'2025'!An_max)</f>
        <v>2020</v>
      </c>
      <c r="K34" s="196">
        <f t="shared" si="3"/>
        <v>46042</v>
      </c>
      <c r="L34" s="147">
        <f>IF(t&lt;Tvie,1-EXP((T0-t)*PertePVj)+'2025'!Pspv,1-EXP((T0-t)*PertePVj)+Pspv)</f>
        <v>5.8120351990985954E-2</v>
      </c>
      <c r="M34" s="847"/>
      <c r="N34" s="847"/>
      <c r="O34" s="48">
        <f>IF(t&lt;Tnet,'2025'!Resal+('2025'!Salim-'2025'!Resal)*(1-EXP(('2025'!Tnet-t)/('2025'!Tau_j))),Resal+(Salim-Resal)*(1-EXP((Tnet-t)/(Tau_j))))*Salcycl</f>
        <v>5.134920190942413E-2</v>
      </c>
      <c r="P34" s="168">
        <f>(INDEX(Models!$BJ34:$BT34,,T34)*(1-R34)+INDEX(Models!$BJ34:$BT34,,T34+1)*R34-ERP_i)*Q34*Ramure*Pc/MaxiM</f>
        <v>9.2434139634534204E-5</v>
      </c>
      <c r="Q34" s="304">
        <f t="shared" si="4"/>
        <v>0.5</v>
      </c>
      <c r="R34" s="176">
        <f t="shared" si="5"/>
        <v>0.82027716957801067</v>
      </c>
      <c r="S34" s="814">
        <f t="shared" si="6"/>
        <v>-1</v>
      </c>
      <c r="T34" s="175">
        <f t="shared" si="7"/>
        <v>5</v>
      </c>
      <c r="U34" s="250">
        <f t="shared" si="8"/>
        <v>-0.17972283042198936</v>
      </c>
      <c r="V34" s="382">
        <f t="shared" si="9"/>
        <v>27.416057850867567</v>
      </c>
      <c r="W34" s="401">
        <f t="shared" si="10"/>
        <v>5.302246642941272</v>
      </c>
      <c r="X34" s="157">
        <f t="shared" si="11"/>
        <v>46042</v>
      </c>
      <c r="Y34" s="384">
        <f t="shared" si="12"/>
        <v>5.109612206604055</v>
      </c>
      <c r="Z34" s="384">
        <f t="shared" si="22"/>
        <v>5.4249098782471563</v>
      </c>
      <c r="AA34" s="385">
        <f t="shared" si="13"/>
        <v>5.9341447611854514</v>
      </c>
      <c r="AB34" s="196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8.5814368107286765E-2</v>
      </c>
      <c r="AD34" s="230">
        <f>(INDEX(Models!$BJ34:$BT34,,AH34)*(1-AF34)+INDEX(Models!$BJ34:$BT34,,AH34+1)*AF34-ERP_i)*AE34*Ramure*Pc/MaxiM</f>
        <v>1.1822183798621873E-3</v>
      </c>
      <c r="AE34" s="304">
        <f t="shared" si="15"/>
        <v>0.5</v>
      </c>
      <c r="AF34" s="176">
        <f t="shared" si="23"/>
        <v>0.93526970940239806</v>
      </c>
      <c r="AG34" s="814">
        <f t="shared" si="24"/>
        <v>1</v>
      </c>
      <c r="AH34" s="175">
        <f t="shared" si="16"/>
        <v>7</v>
      </c>
      <c r="AI34" s="224">
        <f t="shared" si="17"/>
        <v>1.9352697094023981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10">
        <f>'2025'!Wh/'2025'!Env_an*'2026'!Env_an</f>
        <v>18.179710417565271</v>
      </c>
      <c r="C35" s="843"/>
      <c r="D35" s="392">
        <f t="shared" si="0"/>
        <v>19.30194387330279</v>
      </c>
      <c r="E35" s="384">
        <f t="shared" si="1"/>
        <v>20.347816325151101</v>
      </c>
      <c r="F35" s="384">
        <f t="shared" si="2"/>
        <v>20.348759913777219</v>
      </c>
      <c r="G35" s="110">
        <f t="shared" si="21"/>
        <v>0.65639934243205211</v>
      </c>
      <c r="H35" s="413" t="b">
        <f>Wh_hp&gt;='2025'!Maxi_hp</f>
        <v>1</v>
      </c>
      <c r="I35" s="389">
        <f>IF(H35,Wh_hp,'2025'!Maxi_hp)</f>
        <v>20.348759913777219</v>
      </c>
      <c r="J35" s="85">
        <f>IF(H35,An,'2025'!An_max)</f>
        <v>2026</v>
      </c>
      <c r="K35" s="196">
        <f t="shared" si="3"/>
        <v>46043</v>
      </c>
      <c r="L35" s="147">
        <f>IF(t&lt;Tvie,1-EXP((T0-t)*PertePVj)+'2025'!Pspv,1-EXP((T0-t)*PertePVj)+Pspv)</f>
        <v>5.8140955289468034E-2</v>
      </c>
      <c r="M35" s="847"/>
      <c r="N35" s="847"/>
      <c r="O35" s="48">
        <f>IF(t&lt;Tnet,'2025'!Resal+('2025'!Salim-'2025'!Resal)*(1-EXP(('2025'!Tnet-t)/('2025'!Tau_j))),Resal+(Salim-Resal)*(1-EXP((Tnet-t)/(Tau_j))))*Salcycl</f>
        <v>5.1399739172775565E-2</v>
      </c>
      <c r="P35" s="168">
        <f>(INDEX(Models!$BJ35:$BT35,,T35)*(1-R35)+INDEX(Models!$BJ35:$BT35,,T35+1)*R35-ERP_i)*Q35*Ramure*Pc/MaxiM</f>
        <v>9.1068910589054398E-5</v>
      </c>
      <c r="Q35" s="304">
        <f t="shared" si="4"/>
        <v>0.5</v>
      </c>
      <c r="R35" s="176">
        <f t="shared" si="5"/>
        <v>0.82031531112035239</v>
      </c>
      <c r="S35" s="814">
        <f t="shared" si="6"/>
        <v>-1</v>
      </c>
      <c r="T35" s="175">
        <f t="shared" si="7"/>
        <v>5</v>
      </c>
      <c r="U35" s="250">
        <f t="shared" si="8"/>
        <v>-0.17968468887964764</v>
      </c>
      <c r="V35" s="382">
        <f t="shared" si="9"/>
        <v>27.694875065129072</v>
      </c>
      <c r="W35" s="401">
        <f t="shared" si="10"/>
        <v>18.179710417565271</v>
      </c>
      <c r="X35" s="157">
        <f t="shared" si="11"/>
        <v>46043</v>
      </c>
      <c r="Y35" s="384">
        <f t="shared" si="12"/>
        <v>17.510145339325806</v>
      </c>
      <c r="Z35" s="384">
        <f t="shared" si="22"/>
        <v>18.591046545300546</v>
      </c>
      <c r="AA35" s="385">
        <f t="shared" si="13"/>
        <v>20.336489458184918</v>
      </c>
      <c r="AB35" s="196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8.58281325532258E-2</v>
      </c>
      <c r="AD35" s="230">
        <f>(INDEX(Models!$BJ35:$BT35,,AH35)*(1-AF35)+INDEX(Models!$BJ35:$BT35,,AH35+1)*AF35-ERP_i)*AE35*Ramure*Pc/MaxiM</f>
        <v>1.1842629216731089E-3</v>
      </c>
      <c r="AE35" s="304">
        <f t="shared" si="15"/>
        <v>0.5</v>
      </c>
      <c r="AF35" s="176">
        <f t="shared" si="23"/>
        <v>0.93530785094473967</v>
      </c>
      <c r="AG35" s="814">
        <f t="shared" si="24"/>
        <v>1</v>
      </c>
      <c r="AH35" s="175">
        <f t="shared" si="16"/>
        <v>7</v>
      </c>
      <c r="AI35" s="224">
        <f t="shared" si="17"/>
        <v>1.9353078509447397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10">
        <f>'2025'!Wh/'2025'!Env_an*'2026'!Env_an</f>
        <v>28.088275265035769</v>
      </c>
      <c r="C36" s="843"/>
      <c r="D36" s="392">
        <f t="shared" si="0"/>
        <v>29.822816755564222</v>
      </c>
      <c r="E36" s="384">
        <f t="shared" si="1"/>
        <v>31.440436449597545</v>
      </c>
      <c r="F36" s="384">
        <f t="shared" si="2"/>
        <v>31.443251036621696</v>
      </c>
      <c r="G36" s="110">
        <f t="shared" si="21"/>
        <v>1.0040762762424644</v>
      </c>
      <c r="H36" s="413" t="b">
        <f>Wh_hp&gt;='2025'!Maxi_hp</f>
        <v>1</v>
      </c>
      <c r="I36" s="389">
        <f>IF(H36,Wh_hp,'2025'!Maxi_hp)</f>
        <v>31.443251036621696</v>
      </c>
      <c r="J36" s="85">
        <f>IF(H36,An,'2025'!An_max)</f>
        <v>2026</v>
      </c>
      <c r="K36" s="196">
        <f t="shared" si="3"/>
        <v>46044</v>
      </c>
      <c r="L36" s="147">
        <f>IF(t&lt;Tvie,1-EXP((T0-t)*PertePVj)+'2025'!Pspv,1-EXP((T0-t)*PertePVj)+Pspv)</f>
        <v>5.8161558136684978E-2</v>
      </c>
      <c r="M36" s="847"/>
      <c r="N36" s="847"/>
      <c r="O36" s="48">
        <f>IF(t&lt;Tnet,'2025'!Resal+('2025'!Salim-'2025'!Resal)*(1-EXP(('2025'!Tnet-t)/('2025'!Tau_j))),Resal+(Salim-Resal)*(1-EXP((Tnet-t)/(Tau_j))))*Salcycl</f>
        <v>5.1450293847750524E-2</v>
      </c>
      <c r="P36" s="168">
        <f>(INDEX(Models!$BJ36:$BT36,,T36)*(1-R36)+INDEX(Models!$BJ36:$BT36,,T36+1)*R36-ERP_i)*Q36*Ramure*Pc/MaxiM</f>
        <v>8.9513231976951572E-5</v>
      </c>
      <c r="Q36" s="304">
        <f t="shared" si="4"/>
        <v>0.5</v>
      </c>
      <c r="R36" s="176">
        <f t="shared" si="5"/>
        <v>0.82035504244762159</v>
      </c>
      <c r="S36" s="814">
        <f t="shared" si="6"/>
        <v>-1</v>
      </c>
      <c r="T36" s="175">
        <f t="shared" si="7"/>
        <v>5</v>
      </c>
      <c r="U36" s="250">
        <f t="shared" si="8"/>
        <v>-0.17964495755237839</v>
      </c>
      <c r="V36" s="382">
        <f t="shared" si="9"/>
        <v>27.974244516711408</v>
      </c>
      <c r="W36" s="401">
        <f t="shared" si="10"/>
        <v>28.088275265035769</v>
      </c>
      <c r="X36" s="157">
        <f t="shared" si="11"/>
        <v>46044</v>
      </c>
      <c r="Y36" s="384">
        <f t="shared" si="12"/>
        <v>27.040250377282192</v>
      </c>
      <c r="Z36" s="384">
        <f t="shared" si="22"/>
        <v>28.710072954535899</v>
      </c>
      <c r="AA36" s="385">
        <f t="shared" si="13"/>
        <v>31.406029402701595</v>
      </c>
      <c r="AB36" s="196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8.5842002298252396E-2</v>
      </c>
      <c r="AD36" s="230">
        <f>(INDEX(Models!$BJ36:$BT36,,AH36)*(1-AF36)+INDEX(Models!$BJ36:$BT36,,AH36+1)*AF36-ERP_i)*AE36*Ramure*Pc/MaxiM</f>
        <v>1.1837718013556794E-3</v>
      </c>
      <c r="AE36" s="304">
        <f t="shared" si="15"/>
        <v>0.5</v>
      </c>
      <c r="AF36" s="176">
        <f t="shared" si="23"/>
        <v>0.93534758227200898</v>
      </c>
      <c r="AG36" s="814">
        <f t="shared" si="24"/>
        <v>1</v>
      </c>
      <c r="AH36" s="175">
        <f t="shared" si="16"/>
        <v>7</v>
      </c>
      <c r="AI36" s="224">
        <f t="shared" si="17"/>
        <v>1.935347582272009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10">
        <f>'2025'!Wh/'2025'!Env_an*'2026'!Env_an</f>
        <v>27.895270069216462</v>
      </c>
      <c r="C37" s="843"/>
      <c r="D37" s="392">
        <f t="shared" si="0"/>
        <v>29.618540762609342</v>
      </c>
      <c r="E37" s="384">
        <f t="shared" si="1"/>
        <v>31.22674526242831</v>
      </c>
      <c r="F37" s="384">
        <f t="shared" si="2"/>
        <v>31.229436098216372</v>
      </c>
      <c r="G37" s="110">
        <f t="shared" si="21"/>
        <v>0.98721701336891821</v>
      </c>
      <c r="H37" s="413" t="b">
        <f>Wh_hp&gt;='2025'!Maxi_hp</f>
        <v>1</v>
      </c>
      <c r="I37" s="389">
        <f>IF(H37,Wh_hp,'2025'!Maxi_hp)</f>
        <v>31.229436098216372</v>
      </c>
      <c r="J37" s="85">
        <f>IF(H37,An,'2025'!An_max)</f>
        <v>2026</v>
      </c>
      <c r="K37" s="196">
        <f t="shared" si="3"/>
        <v>46045</v>
      </c>
      <c r="L37" s="147">
        <f>IF(t&lt;Tvie,1-EXP((T0-t)*PertePVj)+'2025'!Pspv,1-EXP((T0-t)*PertePVj)+Pspv)</f>
        <v>5.8182160532646778E-2</v>
      </c>
      <c r="M37" s="847"/>
      <c r="N37" s="847"/>
      <c r="O37" s="48">
        <f>IF(t&lt;Tnet,'2025'!Resal+('2025'!Salim-'2025'!Resal)*(1-EXP(('2025'!Tnet-t)/('2025'!Tau_j))),Resal+(Salim-Resal)*(1-EXP((Tnet-t)/(Tau_j))))*Salcycl</f>
        <v>5.1500868447982122E-2</v>
      </c>
      <c r="P37" s="168">
        <f>(INDEX(Models!$BJ37:$BT37,,T37)*(1-R37)+INDEX(Models!$BJ37:$BT37,,T37+1)*R37-ERP_i)*Q37*Ramure*Pc/MaxiM</f>
        <v>8.7765976693390129E-5</v>
      </c>
      <c r="Q37" s="304">
        <f t="shared" si="4"/>
        <v>0.5</v>
      </c>
      <c r="R37" s="176">
        <f t="shared" si="5"/>
        <v>0.82039642937408797</v>
      </c>
      <c r="S37" s="814">
        <f t="shared" si="6"/>
        <v>-1</v>
      </c>
      <c r="T37" s="175">
        <f t="shared" si="7"/>
        <v>5</v>
      </c>
      <c r="U37" s="250">
        <f t="shared" si="8"/>
        <v>-0.17960357062591201</v>
      </c>
      <c r="V37" s="382">
        <f t="shared" si="9"/>
        <v>28.256426889469882</v>
      </c>
      <c r="W37" s="401">
        <f t="shared" si="10"/>
        <v>27.895270069216462</v>
      </c>
      <c r="X37" s="157">
        <f t="shared" si="11"/>
        <v>46045</v>
      </c>
      <c r="Y37" s="384">
        <f t="shared" si="12"/>
        <v>26.856039309751147</v>
      </c>
      <c r="Z37" s="384">
        <f t="shared" si="22"/>
        <v>28.515110018450731</v>
      </c>
      <c r="AA37" s="385">
        <f t="shared" si="13"/>
        <v>31.193235891229595</v>
      </c>
      <c r="AB37" s="196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8.5855981153011976E-2</v>
      </c>
      <c r="AD37" s="230">
        <f>(INDEX(Models!$BJ37:$BT37,,AH37)*(1-AF37)+INDEX(Models!$BJ37:$BT37,,AH37+1)*AF37-ERP_i)*AE37*Ramure*Pc/MaxiM</f>
        <v>1.1807285070284399E-3</v>
      </c>
      <c r="AE37" s="304">
        <f t="shared" si="15"/>
        <v>0.5</v>
      </c>
      <c r="AF37" s="176">
        <f t="shared" si="23"/>
        <v>0.93538896919847536</v>
      </c>
      <c r="AG37" s="814">
        <f t="shared" si="24"/>
        <v>1</v>
      </c>
      <c r="AH37" s="175">
        <f t="shared" si="16"/>
        <v>7</v>
      </c>
      <c r="AI37" s="224">
        <f t="shared" si="17"/>
        <v>1.9353889691984754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10">
        <f>'2025'!Wh/'2025'!Env_an*'2026'!Env_an</f>
        <v>28.53860225327627</v>
      </c>
      <c r="C38" s="843"/>
      <c r="D38" s="392">
        <f t="shared" si="0"/>
        <v>30.302278575743138</v>
      </c>
      <c r="E38" s="384">
        <f t="shared" si="1"/>
        <v>31.949312446219459</v>
      </c>
      <c r="F38" s="384">
        <f t="shared" si="2"/>
        <v>31.952052937733722</v>
      </c>
      <c r="G38" s="110">
        <f t="shared" si="21"/>
        <v>0.99980887527452833</v>
      </c>
      <c r="H38" s="413" t="b">
        <f>Wh_hp&gt;='2025'!Maxi_hp</f>
        <v>1</v>
      </c>
      <c r="I38" s="389">
        <f>IF(H38,Wh_hp,'2025'!Maxi_hp)</f>
        <v>31.952052937733722</v>
      </c>
      <c r="J38" s="85">
        <f>IF(H38,An,'2025'!An_max)</f>
        <v>2026</v>
      </c>
      <c r="K38" s="196">
        <f t="shared" si="3"/>
        <v>46046</v>
      </c>
      <c r="L38" s="147">
        <f>IF(t&lt;Tvie,1-EXP((T0-t)*PertePVj)+'2025'!Pspv,1-EXP((T0-t)*PertePVj)+Pspv)</f>
        <v>5.8202762477363092E-2</v>
      </c>
      <c r="M38" s="847"/>
      <c r="N38" s="847"/>
      <c r="O38" s="48">
        <f>IF(t&lt;Tnet,'2025'!Resal+('2025'!Salim-'2025'!Resal)*(1-EXP(('2025'!Tnet-t)/('2025'!Tau_j))),Resal+(Salim-Resal)*(1-EXP((Tnet-t)/(Tau_j))))*Salcycl</f>
        <v>5.1551465254496047E-2</v>
      </c>
      <c r="P38" s="168">
        <f>(INDEX(Models!$BJ38:$BT38,,T38)*(1-R38)+INDEX(Models!$BJ38:$BT38,,T38+1)*R38-ERP_i)*Q38*Ramure*Pc/MaxiM</f>
        <v>8.5792292695811335E-5</v>
      </c>
      <c r="Q38" s="304">
        <f t="shared" si="4"/>
        <v>0.5</v>
      </c>
      <c r="R38" s="176">
        <f t="shared" si="5"/>
        <v>0.82043954040022571</v>
      </c>
      <c r="S38" s="814">
        <f t="shared" si="6"/>
        <v>-1</v>
      </c>
      <c r="T38" s="175">
        <f t="shared" si="7"/>
        <v>5</v>
      </c>
      <c r="U38" s="250">
        <f t="shared" si="8"/>
        <v>-0.17956045959977432</v>
      </c>
      <c r="V38" s="382">
        <f t="shared" si="9"/>
        <v>28.544057059872735</v>
      </c>
      <c r="W38" s="401">
        <f t="shared" si="10"/>
        <v>28.53860225327627</v>
      </c>
      <c r="X38" s="157">
        <f t="shared" si="11"/>
        <v>46046</v>
      </c>
      <c r="Y38" s="384">
        <f t="shared" si="12"/>
        <v>27.476067354208389</v>
      </c>
      <c r="Z38" s="384">
        <f t="shared" si="22"/>
        <v>29.174079366046112</v>
      </c>
      <c r="AA38" s="385">
        <f t="shared" si="13"/>
        <v>31.914587291507654</v>
      </c>
      <c r="AB38" s="196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8.5870072529209335E-2</v>
      </c>
      <c r="AD38" s="230">
        <f>(INDEX(Models!$BJ38:$BT38,,AH38)*(1-AF38)+INDEX(Models!$BJ38:$BT38,,AH38+1)*AF38-ERP_i)*AE38*Ramure*Pc/MaxiM</f>
        <v>1.1728785403404944E-3</v>
      </c>
      <c r="AE38" s="304">
        <f t="shared" si="15"/>
        <v>0.5</v>
      </c>
      <c r="AF38" s="176">
        <f t="shared" si="23"/>
        <v>0.93543208022461299</v>
      </c>
      <c r="AG38" s="814">
        <f t="shared" si="24"/>
        <v>1</v>
      </c>
      <c r="AH38" s="175">
        <f t="shared" si="16"/>
        <v>7</v>
      </c>
      <c r="AI38" s="224">
        <f t="shared" si="17"/>
        <v>1.935432080224613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10">
        <f>'2025'!Wh/'2025'!Env_an*'2026'!Env_an</f>
        <v>27.700495759268602</v>
      </c>
      <c r="C39" s="843"/>
      <c r="D39" s="392">
        <f t="shared" si="0"/>
        <v>29.413020773230393</v>
      </c>
      <c r="E39" s="384">
        <f t="shared" si="1"/>
        <v>31.013375658624742</v>
      </c>
      <c r="F39" s="384">
        <f t="shared" si="2"/>
        <v>31.015824820837448</v>
      </c>
      <c r="G39" s="110">
        <f t="shared" si="21"/>
        <v>0.96059266614263727</v>
      </c>
      <c r="H39" s="413" t="b">
        <f>Wh_hp&gt;='2025'!Maxi_hp</f>
        <v>1</v>
      </c>
      <c r="I39" s="389">
        <f>IF(H39,Wh_hp,'2025'!Maxi_hp)</f>
        <v>31.015824820837448</v>
      </c>
      <c r="J39" s="85">
        <f>IF(H39,An,'2025'!An_max)</f>
        <v>2026</v>
      </c>
      <c r="K39" s="196">
        <f t="shared" si="3"/>
        <v>46047</v>
      </c>
      <c r="L39" s="147">
        <f>IF(t&lt;Tvie,1-EXP((T0-t)*PertePVj)+'2025'!Pspv,1-EXP((T0-t)*PertePVj)+Pspv)</f>
        <v>5.8223363970844023E-2</v>
      </c>
      <c r="M39" s="847"/>
      <c r="N39" s="847"/>
      <c r="O39" s="48">
        <f>IF(t&lt;Tnet,'2025'!Resal+('2025'!Salim-'2025'!Resal)*(1-EXP(('2025'!Tnet-t)/('2025'!Tau_j))),Resal+(Salim-Resal)*(1-EXP((Tnet-t)/(Tau_j))))*Salcycl</f>
        <v>5.160208624207905E-2</v>
      </c>
      <c r="P39" s="168">
        <f>(INDEX(Models!$BJ39:$BT39,,T39)*(1-R39)+INDEX(Models!$BJ39:$BT39,,T39+1)*R39-ERP_i)*Q39*Ramure*Pc/MaxiM</f>
        <v>8.3674963685022229E-5</v>
      </c>
      <c r="Q39" s="304">
        <f t="shared" si="4"/>
        <v>0.5</v>
      </c>
      <c r="R39" s="176">
        <f t="shared" si="5"/>
        <v>0.82048444681907062</v>
      </c>
      <c r="S39" s="814">
        <f t="shared" si="6"/>
        <v>-1</v>
      </c>
      <c r="T39" s="175">
        <f t="shared" si="7"/>
        <v>5</v>
      </c>
      <c r="U39" s="250">
        <f t="shared" si="8"/>
        <v>-0.17951555318092938</v>
      </c>
      <c r="V39" s="382">
        <f t="shared" si="9"/>
        <v>28.836744496219772</v>
      </c>
      <c r="W39" s="401">
        <f t="shared" si="10"/>
        <v>27.700495759268602</v>
      </c>
      <c r="X39" s="157">
        <f t="shared" si="11"/>
        <v>46047</v>
      </c>
      <c r="Y39" s="384">
        <f t="shared" si="12"/>
        <v>26.67206769118792</v>
      </c>
      <c r="Z39" s="384">
        <f t="shared" si="22"/>
        <v>28.321012298251784</v>
      </c>
      <c r="AA39" s="385">
        <f t="shared" si="13"/>
        <v>30.981867675511243</v>
      </c>
      <c r="AB39" s="196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8.58842793187274E-2</v>
      </c>
      <c r="AD39" s="230">
        <f>(INDEX(Models!$BJ39:$BT39,,AH39)*(1-AF39)+INDEX(Models!$BJ39:$BT39,,AH39+1)*AF39-ERP_i)*AE39*Ramure*Pc/MaxiM</f>
        <v>1.1601366733813678E-3</v>
      </c>
      <c r="AE39" s="304">
        <f t="shared" si="15"/>
        <v>0.5</v>
      </c>
      <c r="AF39" s="176">
        <f t="shared" si="23"/>
        <v>0.93547698664345802</v>
      </c>
      <c r="AG39" s="814">
        <f t="shared" si="24"/>
        <v>1</v>
      </c>
      <c r="AH39" s="175">
        <f t="shared" si="16"/>
        <v>7</v>
      </c>
      <c r="AI39" s="224">
        <f t="shared" si="17"/>
        <v>1.935476986643458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10">
        <f>'2025'!Wh/'2025'!Env_an*'2026'!Env_an</f>
        <v>28.544649333968628</v>
      </c>
      <c r="C40" s="843"/>
      <c r="D40" s="392">
        <f t="shared" si="0"/>
        <v>30.310025392474039</v>
      </c>
      <c r="E40" s="384">
        <f t="shared" si="1"/>
        <v>31.960892858161184</v>
      </c>
      <c r="F40" s="384">
        <f t="shared" si="2"/>
        <v>31.963420118788285</v>
      </c>
      <c r="G40" s="110">
        <f t="shared" si="21"/>
        <v>0.97976533528310794</v>
      </c>
      <c r="H40" s="413" t="b">
        <f>Wh_hp&gt;='2025'!Maxi_hp</f>
        <v>1</v>
      </c>
      <c r="I40" s="389">
        <f>IF(H40,Wh_hp,'2025'!Maxi_hp)</f>
        <v>31.963420118788285</v>
      </c>
      <c r="J40" s="85">
        <f>IF(H40,An,'2025'!An_max)</f>
        <v>2026</v>
      </c>
      <c r="K40" s="196">
        <f t="shared" si="3"/>
        <v>46048</v>
      </c>
      <c r="L40" s="147">
        <f>IF(t&lt;Tvie,1-EXP((T0-t)*PertePVj)+'2025'!Pspv,1-EXP((T0-t)*PertePVj)+Pspv)</f>
        <v>5.8243965013099343E-2</v>
      </c>
      <c r="M40" s="847"/>
      <c r="N40" s="847"/>
      <c r="O40" s="48">
        <f>IF(t&lt;Tnet,'2025'!Resal+('2025'!Salim-'2025'!Resal)*(1-EXP(('2025'!Tnet-t)/('2025'!Tau_j))),Resal+(Salim-Resal)*(1-EXP((Tnet-t)/(Tau_j))))*Salcycl</f>
        <v>5.1652733013858719E-2</v>
      </c>
      <c r="P40" s="168">
        <f>(INDEX(Models!$BJ40:$BT40,,T40)*(1-R40)+INDEX(Models!$BJ40:$BT40,,T40+1)*R40-ERP_i)*Q40*Ramure*Pc/MaxiM</f>
        <v>8.142060802390514E-5</v>
      </c>
      <c r="Q40" s="304">
        <f t="shared" si="4"/>
        <v>0.5</v>
      </c>
      <c r="R40" s="176">
        <f t="shared" si="5"/>
        <v>0.82053122282650626</v>
      </c>
      <c r="S40" s="814">
        <f t="shared" si="6"/>
        <v>-1</v>
      </c>
      <c r="T40" s="175">
        <f t="shared" si="7"/>
        <v>5</v>
      </c>
      <c r="U40" s="250">
        <f t="shared" si="8"/>
        <v>-0.17946877717349377</v>
      </c>
      <c r="V40" s="382">
        <f t="shared" si="9"/>
        <v>29.134100917574223</v>
      </c>
      <c r="W40" s="401">
        <f t="shared" si="10"/>
        <v>28.544649333968628</v>
      </c>
      <c r="X40" s="157">
        <f t="shared" si="11"/>
        <v>46048</v>
      </c>
      <c r="Y40" s="384">
        <f t="shared" si="12"/>
        <v>27.485512905553083</v>
      </c>
      <c r="Z40" s="384">
        <f t="shared" si="22"/>
        <v>29.185385476117915</v>
      </c>
      <c r="AA40" s="385">
        <f t="shared" si="13"/>
        <v>31.927951972317931</v>
      </c>
      <c r="AB40" s="196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8.5898603786984759E-2</v>
      </c>
      <c r="AD40" s="230">
        <f>(INDEX(Models!$BJ40:$BT40,,AH40)*(1-AF40)+INDEX(Models!$BJ40:$BT40,,AH40+1)*AF40-ERP_i)*AE40*Ramure*Pc/MaxiM</f>
        <v>1.1426752033909084E-3</v>
      </c>
      <c r="AE40" s="304">
        <f t="shared" si="15"/>
        <v>0.5</v>
      </c>
      <c r="AF40" s="176">
        <f t="shared" si="23"/>
        <v>0.93552376265089365</v>
      </c>
      <c r="AG40" s="814">
        <f t="shared" si="24"/>
        <v>1</v>
      </c>
      <c r="AH40" s="175">
        <f t="shared" si="16"/>
        <v>7</v>
      </c>
      <c r="AI40" s="224">
        <f t="shared" si="17"/>
        <v>1.9355237626508937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10">
        <f>'2025'!Wh/'2025'!Env_an*'2026'!Env_an</f>
        <v>25.025249693082639</v>
      </c>
      <c r="C41" s="843"/>
      <c r="D41" s="392">
        <f t="shared" si="0"/>
        <v>26.573545795414141</v>
      </c>
      <c r="E41" s="384">
        <f t="shared" si="1"/>
        <v>28.022399304621544</v>
      </c>
      <c r="F41" s="384">
        <f t="shared" si="2"/>
        <v>28.024140109944298</v>
      </c>
      <c r="G41" s="110">
        <f t="shared" si="21"/>
        <v>0.85015113796976016</v>
      </c>
      <c r="H41" s="413" t="b">
        <f>Wh_hp&gt;='2025'!Maxi_hp</f>
        <v>1</v>
      </c>
      <c r="I41" s="389">
        <f>IF(H41,Wh_hp,'2025'!Maxi_hp)</f>
        <v>28.024140109944298</v>
      </c>
      <c r="J41" s="85">
        <f>IF(H41,An,'2025'!An_max)</f>
        <v>2026</v>
      </c>
      <c r="K41" s="196">
        <f t="shared" si="3"/>
        <v>46049</v>
      </c>
      <c r="L41" s="147">
        <f>IF(t&lt;Tvie,1-EXP((T0-t)*PertePVj)+'2025'!Pspv,1-EXP((T0-t)*PertePVj)+Pspv)</f>
        <v>5.8264565604139042E-2</v>
      </c>
      <c r="M41" s="847"/>
      <c r="N41" s="847"/>
      <c r="O41" s="48">
        <f>IF(t&lt;Tnet,'2025'!Resal+('2025'!Salim-'2025'!Resal)*(1-EXP(('2025'!Tnet-t)/('2025'!Tau_j))),Resal+(Salim-Resal)*(1-EXP((Tnet-t)/(Tau_j))))*Salcycl</f>
        <v>5.1703406744634223E-2</v>
      </c>
      <c r="P41" s="168">
        <f>(INDEX(Models!$BJ41:$BT41,,T41)*(1-R41)+INDEX(Models!$BJ41:$BT41,,T41+1)*R41-ERP_i)*Q41*Ramure*Pc/MaxiM</f>
        <v>7.9035568286283894E-5</v>
      </c>
      <c r="Q41" s="304">
        <f t="shared" si="4"/>
        <v>0.5</v>
      </c>
      <c r="R41" s="176">
        <f t="shared" si="5"/>
        <v>0.82057994563559933</v>
      </c>
      <c r="S41" s="814">
        <f t="shared" si="6"/>
        <v>-1</v>
      </c>
      <c r="T41" s="175">
        <f t="shared" si="7"/>
        <v>5</v>
      </c>
      <c r="U41" s="250">
        <f t="shared" si="8"/>
        <v>-0.17942005436440073</v>
      </c>
      <c r="V41" s="382">
        <f t="shared" si="9"/>
        <v>29.43573816976777</v>
      </c>
      <c r="W41" s="401">
        <f t="shared" si="10"/>
        <v>25.025249693082639</v>
      </c>
      <c r="X41" s="157">
        <f t="shared" si="11"/>
        <v>46049</v>
      </c>
      <c r="Y41" s="384">
        <f t="shared" si="12"/>
        <v>24.102718486681017</v>
      </c>
      <c r="Z41" s="384">
        <f t="shared" si="22"/>
        <v>25.593938176642268</v>
      </c>
      <c r="AA41" s="385">
        <f t="shared" si="13"/>
        <v>27.999456841738407</v>
      </c>
      <c r="AB41" s="196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8.5913047481344915E-2</v>
      </c>
      <c r="AD41" s="230">
        <f>(INDEX(Models!$BJ41:$BT41,,AH41)*(1-AF41)+INDEX(Models!$BJ41:$BT41,,AH41+1)*AF41-ERP_i)*AE41*Ramure*Pc/MaxiM</f>
        <v>1.1206630082733413E-3</v>
      </c>
      <c r="AE41" s="304">
        <f t="shared" si="15"/>
        <v>0.5</v>
      </c>
      <c r="AF41" s="176">
        <f t="shared" si="23"/>
        <v>0.93557248545998672</v>
      </c>
      <c r="AG41" s="814">
        <f t="shared" si="24"/>
        <v>1</v>
      </c>
      <c r="AH41" s="175">
        <f t="shared" si="16"/>
        <v>7</v>
      </c>
      <c r="AI41" s="224">
        <f t="shared" si="17"/>
        <v>1.9355724854599867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10">
        <f>'2025'!Wh/'2025'!Env_an*'2026'!Env_an</f>
        <v>3.7007321623522555</v>
      </c>
      <c r="C42" s="843"/>
      <c r="D42" s="392">
        <f t="shared" si="0"/>
        <v>3.929780043526558</v>
      </c>
      <c r="E42" s="384">
        <f t="shared" si="1"/>
        <v>4.1442626614399138</v>
      </c>
      <c r="F42" s="384">
        <f t="shared" si="2"/>
        <v>4.1442626614399138</v>
      </c>
      <c r="G42" s="110">
        <f t="shared" si="21"/>
        <v>0.12442135728356679</v>
      </c>
      <c r="H42" s="413" t="b">
        <f>Wh_hp&gt;='2025'!Maxi_hp</f>
        <v>0</v>
      </c>
      <c r="I42" s="389">
        <f>IF(H42,Wh_hp,'2025'!Maxi_hp)</f>
        <v>19.765771987607742</v>
      </c>
      <c r="J42" s="85">
        <f>IF(H42,An,'2025'!An_max)</f>
        <v>2020</v>
      </c>
      <c r="K42" s="196">
        <f t="shared" si="3"/>
        <v>46050</v>
      </c>
      <c r="L42" s="147">
        <f>IF(t&lt;Tvie,1-EXP((T0-t)*PertePVj)+'2025'!Pspv,1-EXP((T0-t)*PertePVj)+Pspv)</f>
        <v>5.828516574397289E-2</v>
      </c>
      <c r="M42" s="847"/>
      <c r="N42" s="847"/>
      <c r="O42" s="48">
        <f>IF(t&lt;Tnet,'2025'!Resal+('2025'!Salim-'2025'!Resal)*(1-EXP(('2025'!Tnet-t)/('2025'!Tau_j))),Resal+(Salim-Resal)*(1-EXP((Tnet-t)/(Tau_j))))*Salcycl</f>
        <v>5.1754108133395781E-2</v>
      </c>
      <c r="P42" s="168">
        <f>(INDEX(Models!$BJ42:$BT42,,T42)*(1-R42)+INDEX(Models!$BJ42:$BT42,,T42+1)*R42-ERP_i)*Q42*Ramure*Pc/MaxiM</f>
        <v>7.6525895059513434E-5</v>
      </c>
      <c r="Q42" s="304">
        <f t="shared" si="4"/>
        <v>0.5</v>
      </c>
      <c r="R42" s="176">
        <f t="shared" si="5"/>
        <v>0.82063069559510682</v>
      </c>
      <c r="S42" s="814">
        <f t="shared" si="6"/>
        <v>-1</v>
      </c>
      <c r="T42" s="175">
        <f t="shared" si="7"/>
        <v>5</v>
      </c>
      <c r="U42" s="250">
        <f t="shared" si="8"/>
        <v>-0.17936930440489315</v>
      </c>
      <c r="V42" s="382">
        <f t="shared" si="9"/>
        <v>29.741268229999452</v>
      </c>
      <c r="W42" s="401">
        <f t="shared" si="10"/>
        <v>3.7007321623522555</v>
      </c>
      <c r="X42" s="157">
        <f t="shared" si="11"/>
        <v>46050</v>
      </c>
      <c r="Y42" s="384">
        <f t="shared" si="12"/>
        <v>3.5673627664836958</v>
      </c>
      <c r="Z42" s="384">
        <f t="shared" si="22"/>
        <v>3.7881560709426236</v>
      </c>
      <c r="AA42" s="385">
        <f t="shared" si="13"/>
        <v>4.1442626614399138</v>
      </c>
      <c r="AB42" s="196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8.592761115521623E-2</v>
      </c>
      <c r="AD42" s="230">
        <f>(INDEX(Models!$BJ42:$BT42,,AH42)*(1-AF42)+INDEX(Models!$BJ42:$BT42,,AH42+1)*AF42-ERP_i)*AE42*Ramure*Pc/MaxiM</f>
        <v>1.094264777788363E-3</v>
      </c>
      <c r="AE42" s="304">
        <f t="shared" si="15"/>
        <v>0.5</v>
      </c>
      <c r="AF42" s="176">
        <f t="shared" si="23"/>
        <v>0.93562323541949421</v>
      </c>
      <c r="AG42" s="814">
        <f t="shared" si="24"/>
        <v>1</v>
      </c>
      <c r="AH42" s="175">
        <f t="shared" si="16"/>
        <v>7</v>
      </c>
      <c r="AI42" s="224">
        <f t="shared" si="17"/>
        <v>1.9356232354194942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10">
        <f>'2025'!Wh/'2025'!Env_an*'2026'!Env_an</f>
        <v>5.9492939886195595</v>
      </c>
      <c r="C43" s="843"/>
      <c r="D43" s="392">
        <f t="shared" si="0"/>
        <v>6.3176493709262678</v>
      </c>
      <c r="E43" s="384">
        <f t="shared" si="1"/>
        <v>6.6628154412559857</v>
      </c>
      <c r="F43" s="384">
        <f t="shared" si="2"/>
        <v>6.6628154412559857</v>
      </c>
      <c r="G43" s="110">
        <f t="shared" si="21"/>
        <v>0.19796320558277067</v>
      </c>
      <c r="H43" s="413" t="b">
        <f>Wh_hp&gt;='2025'!Maxi_hp</f>
        <v>0</v>
      </c>
      <c r="I43" s="389">
        <f>IF(H43,Wh_hp,'2025'!Maxi_hp)</f>
        <v>24.438772504901799</v>
      </c>
      <c r="J43" s="85">
        <f>IF(H43,An,'2025'!An_max)</f>
        <v>2020</v>
      </c>
      <c r="K43" s="196">
        <f t="shared" si="3"/>
        <v>46051</v>
      </c>
      <c r="L43" s="147">
        <f>IF(t&lt;Tvie,1-EXP((T0-t)*PertePVj)+'2025'!Pspv,1-EXP((T0-t)*PertePVj)+Pspv)</f>
        <v>5.8305765432610769E-2</v>
      </c>
      <c r="M43" s="847"/>
      <c r="N43" s="847"/>
      <c r="O43" s="48">
        <f>IF(t&lt;Tnet,'2025'!Resal+('2025'!Salim-'2025'!Resal)*(1-EXP(('2025'!Tnet-t)/('2025'!Tau_j))),Resal+(Salim-Resal)*(1-EXP((Tnet-t)/(Tau_j))))*Salcycl</f>
        <v>5.1804837365366369E-2</v>
      </c>
      <c r="P43" s="168">
        <f>(INDEX(Models!$BJ43:$BT43,,T43)*(1-R43)+INDEX(Models!$BJ43:$BT43,,T43+1)*R43-ERP_i)*Q43*Ramure*Pc/MaxiM</f>
        <v>7.3897334519908817E-5</v>
      </c>
      <c r="Q43" s="304">
        <f t="shared" si="4"/>
        <v>0.5</v>
      </c>
      <c r="R43" s="176">
        <f t="shared" si="5"/>
        <v>0.82068355631227807</v>
      </c>
      <c r="S43" s="814">
        <f t="shared" si="6"/>
        <v>-1</v>
      </c>
      <c r="T43" s="175">
        <f t="shared" si="7"/>
        <v>5</v>
      </c>
      <c r="U43" s="250">
        <f t="shared" si="8"/>
        <v>-0.17931644368772198</v>
      </c>
      <c r="V43" s="382">
        <f t="shared" si="9"/>
        <v>30.050303207301024</v>
      </c>
      <c r="W43" s="401">
        <f t="shared" si="10"/>
        <v>5.9492939886195595</v>
      </c>
      <c r="X43" s="157">
        <f t="shared" si="11"/>
        <v>46051</v>
      </c>
      <c r="Y43" s="384">
        <f t="shared" si="12"/>
        <v>5.7351041490586958</v>
      </c>
      <c r="Z43" s="384">
        <f t="shared" si="22"/>
        <v>6.0901977930165208</v>
      </c>
      <c r="AA43" s="385">
        <f t="shared" si="13"/>
        <v>6.6628154412559857</v>
      </c>
      <c r="AB43" s="196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8.5942294708304653E-2</v>
      </c>
      <c r="AD43" s="230">
        <f>(INDEX(Models!$BJ43:$BT43,,AH43)*(1-AF43)+INDEX(Models!$BJ43:$BT43,,AH43+1)*AF43-ERP_i)*AE43*Ramure*Pc/MaxiM</f>
        <v>1.063640355006225E-3</v>
      </c>
      <c r="AE43" s="304">
        <f t="shared" si="15"/>
        <v>0.5</v>
      </c>
      <c r="AF43" s="176">
        <f t="shared" si="23"/>
        <v>0.93567609613666547</v>
      </c>
      <c r="AG43" s="814">
        <f t="shared" si="24"/>
        <v>1</v>
      </c>
      <c r="AH43" s="175">
        <f t="shared" si="16"/>
        <v>7</v>
      </c>
      <c r="AI43" s="224">
        <f t="shared" si="17"/>
        <v>1.9356760961366655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10">
        <f>'2025'!Wh/'2025'!Env_an*'2026'!Env_an</f>
        <v>4.2338762793447042</v>
      </c>
      <c r="C44" s="843"/>
      <c r="D44" s="392">
        <f t="shared" si="0"/>
        <v>4.4961185282215821</v>
      </c>
      <c r="E44" s="384">
        <f t="shared" si="1"/>
        <v>4.7420187264374682</v>
      </c>
      <c r="F44" s="384">
        <f t="shared" si="2"/>
        <v>4.7420187264374682</v>
      </c>
      <c r="G44" s="110">
        <f t="shared" si="21"/>
        <v>0.13943454073432093</v>
      </c>
      <c r="H44" s="413" t="b">
        <f>Wh_hp&gt;='2025'!Maxi_hp</f>
        <v>0</v>
      </c>
      <c r="I44" s="389">
        <f>IF(H44,Wh_hp,'2025'!Maxi_hp)</f>
        <v>10.973075209769302</v>
      </c>
      <c r="J44" s="85">
        <f>IF(H44,An,'2025'!An_max)</f>
        <v>2020</v>
      </c>
      <c r="K44" s="196">
        <f t="shared" si="3"/>
        <v>46052</v>
      </c>
      <c r="L44" s="147">
        <f>IF(t&lt;Tvie,1-EXP((T0-t)*PertePVj)+'2025'!Pspv,1-EXP((T0-t)*PertePVj)+Pspv)</f>
        <v>5.8326364670062671E-2</v>
      </c>
      <c r="M44" s="847"/>
      <c r="N44" s="847"/>
      <c r="O44" s="48">
        <f>IF(t&lt;Tnet,'2025'!Resal+('2025'!Salim-'2025'!Resal)*(1-EXP(('2025'!Tnet-t)/('2025'!Tau_j))),Resal+(Salim-Resal)*(1-EXP((Tnet-t)/(Tau_j))))*Salcycl</f>
        <v>5.1855594083792894E-2</v>
      </c>
      <c r="P44" s="168">
        <f>(INDEX(Models!$BJ44:$BT44,,T44)*(1-R44)+INDEX(Models!$BJ44:$BT44,,T44+1)*R44-ERP_i)*Q44*Ramure*Pc/MaxiM</f>
        <v>7.1308003398785501E-5</v>
      </c>
      <c r="Q44" s="304">
        <f t="shared" si="4"/>
        <v>0.5</v>
      </c>
      <c r="R44" s="176">
        <f t="shared" si="5"/>
        <v>0.82073861478007415</v>
      </c>
      <c r="S44" s="814">
        <f t="shared" si="6"/>
        <v>-1</v>
      </c>
      <c r="T44" s="175">
        <f t="shared" si="7"/>
        <v>5</v>
      </c>
      <c r="U44" s="250">
        <f t="shared" si="8"/>
        <v>-0.17926138521992591</v>
      </c>
      <c r="V44" s="382">
        <f t="shared" si="9"/>
        <v>30.362450708302291</v>
      </c>
      <c r="W44" s="401">
        <f t="shared" si="10"/>
        <v>4.2338762793447042</v>
      </c>
      <c r="X44" s="157">
        <f t="shared" si="11"/>
        <v>46052</v>
      </c>
      <c r="Y44" s="384">
        <f t="shared" si="12"/>
        <v>4.0815982676908318</v>
      </c>
      <c r="Z44" s="384">
        <f t="shared" si="22"/>
        <v>4.3344085621137189</v>
      </c>
      <c r="AA44" s="385">
        <f t="shared" si="13"/>
        <v>4.7420187264374682</v>
      </c>
      <c r="AB44" s="196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8.595709714330331E-2</v>
      </c>
      <c r="AD44" s="230">
        <f>(INDEX(Models!$BJ44:$BT44,,AH44)*(1-AF44)+INDEX(Models!$BJ44:$BT44,,AH44+1)*AF44-ERP_i)*AE44*Ramure*Pc/MaxiM</f>
        <v>1.0297999372024696E-3</v>
      </c>
      <c r="AE44" s="304">
        <f t="shared" si="15"/>
        <v>0.5</v>
      </c>
      <c r="AF44" s="176">
        <f t="shared" si="23"/>
        <v>0.93573115460446155</v>
      </c>
      <c r="AG44" s="814">
        <f t="shared" si="24"/>
        <v>1</v>
      </c>
      <c r="AH44" s="175">
        <f t="shared" si="16"/>
        <v>7</v>
      </c>
      <c r="AI44" s="224">
        <f t="shared" si="17"/>
        <v>1.9357311546044615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10">
        <f>'2025'!Wh/'2025'!Env_an*'2026'!Env_an</f>
        <v>10.533652366953207</v>
      </c>
      <c r="C45" s="843"/>
      <c r="D45" s="392">
        <f t="shared" si="0"/>
        <v>11.18634142105779</v>
      </c>
      <c r="E45" s="384">
        <f t="shared" si="1"/>
        <v>11.798772984092007</v>
      </c>
      <c r="F45" s="384">
        <f t="shared" si="2"/>
        <v>11.798823340563521</v>
      </c>
      <c r="G45" s="110">
        <f t="shared" si="21"/>
        <v>0.3433472016506251</v>
      </c>
      <c r="H45" s="413" t="b">
        <f>Wh_hp&gt;='2025'!Maxi_hp</f>
        <v>0</v>
      </c>
      <c r="I45" s="389">
        <f>IF(H45,Wh_hp,'2025'!Maxi_hp)</f>
        <v>22.393686095850722</v>
      </c>
      <c r="J45" s="85">
        <f>IF(H45,An,'2025'!An_max)</f>
        <v>2020</v>
      </c>
      <c r="K45" s="196">
        <f t="shared" si="3"/>
        <v>46053</v>
      </c>
      <c r="L45" s="147">
        <f>IF(t&lt;Tvie,1-EXP((T0-t)*PertePVj)+'2025'!Pspv,1-EXP((T0-t)*PertePVj)+Pspv)</f>
        <v>5.8346963456338254E-2</v>
      </c>
      <c r="M45" s="847"/>
      <c r="N45" s="847"/>
      <c r="O45" s="48">
        <f>IF(t&lt;Tnet,'2025'!Resal+('2025'!Salim-'2025'!Resal)*(1-EXP(('2025'!Tnet-t)/('2025'!Tau_j))),Resal+(Salim-Resal)*(1-EXP((Tnet-t)/(Tau_j))))*Salcycl</f>
        <v>5.1906377371608269E-2</v>
      </c>
      <c r="P45" s="168">
        <f>(INDEX(Models!$BJ45:$BT45,,T45)*(1-R45)+INDEX(Models!$BJ45:$BT45,,T45+1)*R45-ERP_i)*Q45*Ramure*Pc/MaxiM</f>
        <v>6.8886056367961979E-5</v>
      </c>
      <c r="Q45" s="304">
        <f t="shared" si="4"/>
        <v>0.5</v>
      </c>
      <c r="R45" s="176">
        <f t="shared" si="5"/>
        <v>0.82079596150893219</v>
      </c>
      <c r="S45" s="814">
        <f t="shared" si="6"/>
        <v>-1</v>
      </c>
      <c r="T45" s="175">
        <f t="shared" si="7"/>
        <v>5</v>
      </c>
      <c r="U45" s="250">
        <f t="shared" si="8"/>
        <v>-0.17920403849106786</v>
      </c>
      <c r="V45" s="382">
        <f t="shared" si="9"/>
        <v>30.677319193107465</v>
      </c>
      <c r="W45" s="401">
        <f t="shared" si="10"/>
        <v>10.533652366953207</v>
      </c>
      <c r="X45" s="157">
        <f t="shared" si="11"/>
        <v>46053</v>
      </c>
      <c r="Y45" s="384">
        <f t="shared" si="12"/>
        <v>10.15458826834576</v>
      </c>
      <c r="Z45" s="384">
        <f t="shared" si="22"/>
        <v>10.783789648911647</v>
      </c>
      <c r="AA45" s="385">
        <f t="shared" si="13"/>
        <v>11.798095730154696</v>
      </c>
      <c r="AB45" s="196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8.5972016539125784E-2</v>
      </c>
      <c r="AD45" s="230">
        <f>(INDEX(Models!$BJ45:$BT45,,AH45)*(1-AF45)+INDEX(Models!$BJ45:$BT45,,AH45+1)*AF45-ERP_i)*AE45*Ramure*Pc/MaxiM</f>
        <v>9.9534796878211415E-4</v>
      </c>
      <c r="AE45" s="304">
        <f t="shared" si="15"/>
        <v>0.5</v>
      </c>
      <c r="AF45" s="176">
        <f t="shared" si="23"/>
        <v>0.93578850133331959</v>
      </c>
      <c r="AG45" s="814">
        <f t="shared" si="24"/>
        <v>1</v>
      </c>
      <c r="AH45" s="175">
        <f t="shared" si="16"/>
        <v>7</v>
      </c>
      <c r="AI45" s="224">
        <f t="shared" si="17"/>
        <v>1.9357885013333196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10">
        <f>'2025'!Wh/'2025'!Env_an*'2026'!Env_an</f>
        <v>13.361832871786694</v>
      </c>
      <c r="C46" s="843"/>
      <c r="D46" s="392">
        <f t="shared" si="0"/>
        <v>14.190072824176989</v>
      </c>
      <c r="E46" s="384">
        <f t="shared" si="1"/>
        <v>14.96775526461612</v>
      </c>
      <c r="F46" s="384">
        <f t="shared" si="2"/>
        <v>14.967942045768085</v>
      </c>
      <c r="G46" s="110">
        <f t="shared" si="21"/>
        <v>0.43107971423463609</v>
      </c>
      <c r="H46" s="413" t="b">
        <f>Wh_hp&gt;='2025'!Maxi_hp</f>
        <v>0</v>
      </c>
      <c r="I46" s="389">
        <f>IF(H46,Wh_hp,'2025'!Maxi_hp)</f>
        <v>27.773324166847818</v>
      </c>
      <c r="J46" s="85">
        <f>IF(H46,An,'2025'!An_max)</f>
        <v>2019</v>
      </c>
      <c r="K46" s="196">
        <f t="shared" si="3"/>
        <v>46054</v>
      </c>
      <c r="L46" s="147">
        <f>IF(t&lt;Tvie,1-EXP((T0-t)*PertePVj)+'2025'!Pspv,1-EXP((T0-t)*PertePVj)+Pspv)</f>
        <v>5.8367561791447732E-2</v>
      </c>
      <c r="M46" s="847"/>
      <c r="N46" s="847"/>
      <c r="O46" s="48">
        <f>IF(t&lt;Tnet,'2025'!Resal+('2025'!Salim-'2025'!Resal)*(1-EXP(('2025'!Tnet-t)/('2025'!Tau_j))),Resal+(Salim-Resal)*(1-EXP((Tnet-t)/(Tau_j))))*Salcycl</f>
        <v>5.1957185742980298E-2</v>
      </c>
      <c r="P46" s="168">
        <f>(INDEX(Models!$BJ46:$BT46,,T46)*(1-R46)+INDEX(Models!$BJ46:$BT46,,T46+1)*R46-ERP_i)*Q46*Ramure*Pc/MaxiM</f>
        <v>6.6627907405758359E-5</v>
      </c>
      <c r="Q46" s="304">
        <f t="shared" si="4"/>
        <v>0.5</v>
      </c>
      <c r="R46" s="176">
        <f t="shared" si="5"/>
        <v>0.82085569066319641</v>
      </c>
      <c r="S46" s="814">
        <f t="shared" si="6"/>
        <v>-1</v>
      </c>
      <c r="T46" s="175">
        <f t="shared" si="7"/>
        <v>5</v>
      </c>
      <c r="U46" s="250">
        <f t="shared" si="8"/>
        <v>-0.17914430933680359</v>
      </c>
      <c r="V46" s="382">
        <f t="shared" si="9"/>
        <v>30.994521174441122</v>
      </c>
      <c r="W46" s="401">
        <f t="shared" si="10"/>
        <v>13.361832871786694</v>
      </c>
      <c r="X46" s="157">
        <f t="shared" si="11"/>
        <v>46054</v>
      </c>
      <c r="Y46" s="384">
        <f t="shared" si="12"/>
        <v>12.88005549079293</v>
      </c>
      <c r="Z46" s="384">
        <f t="shared" si="22"/>
        <v>13.678432229137227</v>
      </c>
      <c r="AA46" s="385">
        <f t="shared" si="13"/>
        <v>14.965249923149393</v>
      </c>
      <c r="AB46" s="196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8.5987050040615617E-2</v>
      </c>
      <c r="AD46" s="230">
        <f>(INDEX(Models!$BJ46:$BT46,,AH46)*(1-AF46)+INDEX(Models!$BJ46:$BT46,,AH46+1)*AF46-ERP_i)*AE46*Ramure*Pc/MaxiM</f>
        <v>9.6032439395979114E-4</v>
      </c>
      <c r="AE46" s="304">
        <f t="shared" si="15"/>
        <v>0.5</v>
      </c>
      <c r="AF46" s="176">
        <f t="shared" si="23"/>
        <v>0.9358482304875837</v>
      </c>
      <c r="AG46" s="814">
        <f t="shared" si="24"/>
        <v>1</v>
      </c>
      <c r="AH46" s="175">
        <f t="shared" si="16"/>
        <v>7</v>
      </c>
      <c r="AI46" s="224">
        <f t="shared" si="17"/>
        <v>1.9358482304875837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10">
        <f>'2025'!Wh/'2025'!Env_an*'2026'!Env_an</f>
        <v>4.9379979399816571</v>
      </c>
      <c r="C47" s="843"/>
      <c r="D47" s="392">
        <f t="shared" si="0"/>
        <v>5.2441969487972822</v>
      </c>
      <c r="E47" s="384">
        <f t="shared" si="1"/>
        <v>5.5319001042623013</v>
      </c>
      <c r="F47" s="384">
        <f t="shared" si="2"/>
        <v>5.5319001042623013</v>
      </c>
      <c r="G47" s="110">
        <f t="shared" si="21"/>
        <v>0.15768446820909188</v>
      </c>
      <c r="H47" s="413" t="b">
        <f>Wh_hp&gt;='2025'!Maxi_hp</f>
        <v>0</v>
      </c>
      <c r="I47" s="389">
        <f>IF(H47,Wh_hp,'2025'!Maxi_hp)</f>
        <v>31.04236433925411</v>
      </c>
      <c r="J47" s="85">
        <f>IF(H47,An,'2025'!An_max)</f>
        <v>2021</v>
      </c>
      <c r="K47" s="196">
        <f t="shared" si="3"/>
        <v>46055</v>
      </c>
      <c r="L47" s="147">
        <f>IF(t&lt;Tvie,1-EXP((T0-t)*PertePVj)+'2025'!Pspv,1-EXP((T0-t)*PertePVj)+Pspv)</f>
        <v>5.8388159675400654E-2</v>
      </c>
      <c r="M47" s="847"/>
      <c r="N47" s="847"/>
      <c r="O47" s="48">
        <f>IF(t&lt;Tnet,'2025'!Resal+('2025'!Salim-'2025'!Resal)*(1-EXP(('2025'!Tnet-t)/('2025'!Tau_j))),Resal+(Salim-Resal)*(1-EXP((Tnet-t)/(Tau_j))))*Salcycl</f>
        <v>5.2008017144659899E-2</v>
      </c>
      <c r="P47" s="168">
        <f>(INDEX(Models!$BJ47:$BT47,,T47)*(1-R47)+INDEX(Models!$BJ47:$BT47,,T47+1)*R47-ERP_i)*Q47*Ramure*Pc/MaxiM</f>
        <v>6.4529921489720228E-5</v>
      </c>
      <c r="Q47" s="304">
        <f t="shared" si="4"/>
        <v>0.5</v>
      </c>
      <c r="R47" s="176">
        <f t="shared" si="5"/>
        <v>0.82091790020234334</v>
      </c>
      <c r="S47" s="814">
        <f t="shared" si="6"/>
        <v>-1</v>
      </c>
      <c r="T47" s="175">
        <f t="shared" si="7"/>
        <v>5</v>
      </c>
      <c r="U47" s="250">
        <f t="shared" si="8"/>
        <v>-0.17908209979765666</v>
      </c>
      <c r="V47" s="382">
        <f t="shared" si="9"/>
        <v>31.31366930073823</v>
      </c>
      <c r="W47" s="401">
        <f t="shared" si="10"/>
        <v>4.9379979399816571</v>
      </c>
      <c r="X47" s="157">
        <f t="shared" si="11"/>
        <v>46055</v>
      </c>
      <c r="Y47" s="384">
        <f t="shared" si="12"/>
        <v>4.7609255832004189</v>
      </c>
      <c r="Z47" s="384">
        <f t="shared" si="22"/>
        <v>5.056144559056519</v>
      </c>
      <c r="AA47" s="385">
        <f t="shared" si="13"/>
        <v>5.5319001042623013</v>
      </c>
      <c r="AB47" s="196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8.6002193864494286E-2</v>
      </c>
      <c r="AD47" s="230">
        <f>(INDEX(Models!$BJ47:$BT47,,AH47)*(1-AF47)+INDEX(Models!$BJ47:$BT47,,AH47+1)*AF47-ERP_i)*AE47*Ramure*Pc/MaxiM</f>
        <v>9.2476578501803422E-4</v>
      </c>
      <c r="AE47" s="304">
        <f t="shared" si="15"/>
        <v>0.5</v>
      </c>
      <c r="AF47" s="176">
        <f t="shared" si="23"/>
        <v>0.93591044002673063</v>
      </c>
      <c r="AG47" s="814">
        <f t="shared" si="24"/>
        <v>1</v>
      </c>
      <c r="AH47" s="175">
        <f t="shared" si="16"/>
        <v>7</v>
      </c>
      <c r="AI47" s="224">
        <f t="shared" si="17"/>
        <v>1.9359104400267306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10">
        <f>'2025'!Wh/'2025'!Env_an*'2026'!Env_an</f>
        <v>13.798592382006463</v>
      </c>
      <c r="C48" s="843"/>
      <c r="D48" s="392">
        <f t="shared" si="0"/>
        <v>14.654546212248695</v>
      </c>
      <c r="E48" s="384">
        <f t="shared" si="1"/>
        <v>15.459342075681722</v>
      </c>
      <c r="F48" s="384">
        <f t="shared" si="2"/>
        <v>15.459530326549006</v>
      </c>
      <c r="G48" s="110">
        <f t="shared" si="21"/>
        <v>0.43616781344067951</v>
      </c>
      <c r="H48" s="413" t="b">
        <f>Wh_hp&gt;='2025'!Maxi_hp</f>
        <v>0</v>
      </c>
      <c r="I48" s="389">
        <f>IF(H48,Wh_hp,'2025'!Maxi_hp)</f>
        <v>27.850010824525498</v>
      </c>
      <c r="J48" s="85">
        <f>IF(H48,An,'2025'!An_max)</f>
        <v>2020</v>
      </c>
      <c r="K48" s="196">
        <f t="shared" si="3"/>
        <v>46056</v>
      </c>
      <c r="L48" s="147">
        <f>IF(t&lt;Tvie,1-EXP((T0-t)*PertePVj)+'2025'!Pspv,1-EXP((T0-t)*PertePVj)+Pspv)</f>
        <v>5.8408757108207122E-2</v>
      </c>
      <c r="M48" s="847"/>
      <c r="N48" s="847"/>
      <c r="O48" s="48">
        <f>IF(t&lt;Tnet,'2025'!Resal+('2025'!Salim-'2025'!Resal)*(1-EXP(('2025'!Tnet-t)/('2025'!Tau_j))),Resal+(Salim-Resal)*(1-EXP((Tnet-t)/(Tau_j))))*Salcycl</f>
        <v>5.2058868966940661E-2</v>
      </c>
      <c r="P48" s="168">
        <f>(INDEX(Models!$BJ48:$BT48,,T48)*(1-R48)+INDEX(Models!$BJ48:$BT48,,T48+1)*R48-ERP_i)*Q48*Ramure*Pc/MaxiM</f>
        <v>6.2588441810081078E-5</v>
      </c>
      <c r="Q48" s="304">
        <f t="shared" si="4"/>
        <v>0.5</v>
      </c>
      <c r="R48" s="176">
        <f t="shared" si="5"/>
        <v>0.82098269202712315</v>
      </c>
      <c r="S48" s="814">
        <f t="shared" si="6"/>
        <v>-1</v>
      </c>
      <c r="T48" s="175">
        <f t="shared" si="7"/>
        <v>5</v>
      </c>
      <c r="U48" s="250">
        <f t="shared" si="8"/>
        <v>-0.17901730797287688</v>
      </c>
      <c r="V48" s="382">
        <f t="shared" si="9"/>
        <v>31.63437636056609</v>
      </c>
      <c r="W48" s="401">
        <f t="shared" si="10"/>
        <v>13.798592382006463</v>
      </c>
      <c r="X48" s="157">
        <f t="shared" si="11"/>
        <v>46056</v>
      </c>
      <c r="Y48" s="384">
        <f t="shared" si="12"/>
        <v>13.302140052256263</v>
      </c>
      <c r="Z48" s="384">
        <f t="shared" si="22"/>
        <v>14.127297967856034</v>
      </c>
      <c r="AA48" s="385">
        <f t="shared" si="13"/>
        <v>15.456857315954162</v>
      </c>
      <c r="AB48" s="196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8.6017443321146081E-2</v>
      </c>
      <c r="AD48" s="230">
        <f>(INDEX(Models!$BJ48:$BT48,,AH48)*(1-AF48)+INDEX(Models!$BJ48:$BT48,,AH48+1)*AF48-ERP_i)*AE48*Ramure*Pc/MaxiM</f>
        <v>8.8870543061209659E-4</v>
      </c>
      <c r="AE48" s="304">
        <f t="shared" si="15"/>
        <v>0.5</v>
      </c>
      <c r="AF48" s="176">
        <f t="shared" si="23"/>
        <v>0.93597523185151044</v>
      </c>
      <c r="AG48" s="814">
        <f t="shared" si="24"/>
        <v>1</v>
      </c>
      <c r="AH48" s="175">
        <f t="shared" si="16"/>
        <v>7</v>
      </c>
      <c r="AI48" s="224">
        <f t="shared" si="17"/>
        <v>1.9359752318515104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10">
        <f>'2025'!Wh/'2025'!Env_an*'2026'!Env_an</f>
        <v>11.481322146093454</v>
      </c>
      <c r="C49" s="843"/>
      <c r="D49" s="392">
        <f t="shared" si="0"/>
        <v>12.193797880132085</v>
      </c>
      <c r="E49" s="384">
        <f t="shared" si="1"/>
        <v>12.864145112353398</v>
      </c>
      <c r="F49" s="384">
        <f t="shared" si="2"/>
        <v>12.864211351332205</v>
      </c>
      <c r="G49" s="110">
        <f t="shared" si="21"/>
        <v>0.35926246984696403</v>
      </c>
      <c r="H49" s="413" t="b">
        <f>Wh_hp&gt;='2025'!Maxi_hp</f>
        <v>0</v>
      </c>
      <c r="I49" s="389">
        <f>IF(H49,Wh_hp,'2025'!Maxi_hp)</f>
        <v>29.1914143774355</v>
      </c>
      <c r="J49" s="85">
        <f>IF(H49,An,'2025'!An_max)</f>
        <v>2019</v>
      </c>
      <c r="K49" s="196">
        <f t="shared" si="3"/>
        <v>46057</v>
      </c>
      <c r="L49" s="147">
        <f>IF(t&lt;Tvie,1-EXP((T0-t)*PertePVj)+'2025'!Pspv,1-EXP((T0-t)*PertePVj)+Pspv)</f>
        <v>5.8429354089877018E-2</v>
      </c>
      <c r="M49" s="847"/>
      <c r="N49" s="847"/>
      <c r="O49" s="48">
        <f>IF(t&lt;Tnet,'2025'!Resal+('2025'!Salim-'2025'!Resal)*(1-EXP(('2025'!Tnet-t)/('2025'!Tau_j))),Resal+(Salim-Resal)*(1-EXP((Tnet-t)/(Tau_j))))*Salcycl</f>
        <v>5.210973806394506E-2</v>
      </c>
      <c r="P49" s="168">
        <f>(INDEX(Models!$BJ49:$BT49,,T49)*(1-R49)+INDEX(Models!$BJ49:$BT49,,T49+1)*R49-ERP_i)*Q49*Ramure*Pc/MaxiM</f>
        <v>6.079981439020333E-5</v>
      </c>
      <c r="Q49" s="304">
        <f t="shared" si="4"/>
        <v>0.5</v>
      </c>
      <c r="R49" s="176">
        <f t="shared" si="5"/>
        <v>0.82105017213074272</v>
      </c>
      <c r="S49" s="814">
        <f t="shared" si="6"/>
        <v>-1</v>
      </c>
      <c r="T49" s="175">
        <f t="shared" si="7"/>
        <v>5</v>
      </c>
      <c r="U49" s="250">
        <f t="shared" si="8"/>
        <v>-0.17894982786925728</v>
      </c>
      <c r="V49" s="382">
        <f t="shared" si="9"/>
        <v>31.956255279870042</v>
      </c>
      <c r="W49" s="401">
        <f t="shared" si="10"/>
        <v>11.481322146093454</v>
      </c>
      <c r="X49" s="157">
        <f t="shared" si="11"/>
        <v>46057</v>
      </c>
      <c r="Y49" s="384">
        <f t="shared" si="12"/>
        <v>11.069687143595683</v>
      </c>
      <c r="Z49" s="384">
        <f t="shared" si="22"/>
        <v>11.756618785514192</v>
      </c>
      <c r="AA49" s="385">
        <f t="shared" si="13"/>
        <v>12.863282942279927</v>
      </c>
      <c r="AB49" s="196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8.6032792851681278E-2</v>
      </c>
      <c r="AD49" s="230">
        <f>(INDEX(Models!$BJ49:$BT49,,AH49)*(1-AF49)+INDEX(Models!$BJ49:$BT49,,AH49+1)*AF49-ERP_i)*AE49*Ramure*Pc/MaxiM</f>
        <v>8.5217343433294864E-4</v>
      </c>
      <c r="AE49" s="304">
        <f t="shared" si="15"/>
        <v>0.5</v>
      </c>
      <c r="AF49" s="176">
        <f t="shared" si="23"/>
        <v>0.93604271195513</v>
      </c>
      <c r="AG49" s="814">
        <f t="shared" si="24"/>
        <v>1</v>
      </c>
      <c r="AH49" s="175">
        <f t="shared" si="16"/>
        <v>7</v>
      </c>
      <c r="AI49" s="224">
        <f t="shared" si="17"/>
        <v>1.93604271195513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10">
        <f>'2025'!Wh/'2025'!Env_an*'2026'!Env_an</f>
        <v>9.5138770804148418</v>
      </c>
      <c r="C50" s="843"/>
      <c r="D50" s="392">
        <f t="shared" si="0"/>
        <v>10.104483650851982</v>
      </c>
      <c r="E50" s="384">
        <f t="shared" si="1"/>
        <v>10.660544257190184</v>
      </c>
      <c r="F50" s="384">
        <f t="shared" si="2"/>
        <v>10.660544257190184</v>
      </c>
      <c r="G50" s="110">
        <f t="shared" si="21"/>
        <v>0.29472220552022976</v>
      </c>
      <c r="H50" s="413" t="b">
        <f>Wh_hp&gt;='2025'!Maxi_hp</f>
        <v>0</v>
      </c>
      <c r="I50" s="389">
        <f>IF(H50,Wh_hp,'2025'!Maxi_hp)</f>
        <v>36.34952786245141</v>
      </c>
      <c r="J50" s="85">
        <f>IF(H50,An,'2025'!An_max)</f>
        <v>2020</v>
      </c>
      <c r="K50" s="196">
        <f t="shared" si="3"/>
        <v>46058</v>
      </c>
      <c r="L50" s="147">
        <f>IF(t&lt;Tvie,1-EXP((T0-t)*PertePVj)+'2025'!Pspv,1-EXP((T0-t)*PertePVj)+Pspv)</f>
        <v>5.8449950620420112E-2</v>
      </c>
      <c r="M50" s="847"/>
      <c r="N50" s="847"/>
      <c r="O50" s="48">
        <f>IF(t&lt;Tnet,'2025'!Resal+('2025'!Salim-'2025'!Resal)*(1-EXP(('2025'!Tnet-t)/('2025'!Tau_j))),Resal+(Salim-Resal)*(1-EXP((Tnet-t)/(Tau_j))))*Salcycl</f>
        <v>5.2160620782860767E-2</v>
      </c>
      <c r="P50" s="168">
        <f>(INDEX(Models!$BJ50:$BT50,,T50)*(1-R50)+INDEX(Models!$BJ50:$BT50,,T50+1)*R50-ERP_i)*Q50*Ramure*Pc/MaxiM</f>
        <v>5.916041022534263E-5</v>
      </c>
      <c r="Q50" s="304">
        <f t="shared" si="4"/>
        <v>0.5</v>
      </c>
      <c r="R50" s="176">
        <f t="shared" si="5"/>
        <v>0.82112045075521123</v>
      </c>
      <c r="S50" s="814">
        <f t="shared" si="6"/>
        <v>-1</v>
      </c>
      <c r="T50" s="175">
        <f t="shared" si="7"/>
        <v>5</v>
      </c>
      <c r="U50" s="250">
        <f t="shared" si="8"/>
        <v>-0.17887954924478877</v>
      </c>
      <c r="V50" s="382">
        <f t="shared" si="9"/>
        <v>32.278919122335815</v>
      </c>
      <c r="W50" s="401">
        <f t="shared" si="10"/>
        <v>9.5138770804148418</v>
      </c>
      <c r="X50" s="157">
        <f t="shared" si="11"/>
        <v>46058</v>
      </c>
      <c r="Y50" s="384">
        <f t="shared" si="12"/>
        <v>9.1737323116381049</v>
      </c>
      <c r="Z50" s="384">
        <f t="shared" si="22"/>
        <v>9.7432232282107538</v>
      </c>
      <c r="AA50" s="385">
        <f t="shared" si="13"/>
        <v>10.660544257190184</v>
      </c>
      <c r="AB50" s="196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8.6048236079572377E-2</v>
      </c>
      <c r="AD50" s="230">
        <f>(INDEX(Models!$BJ50:$BT50,,AH50)*(1-AF50)+INDEX(Models!$BJ50:$BT50,,AH50+1)*AF50-ERP_i)*AE50*Ramure*Pc/MaxiM</f>
        <v>8.1519682035598715E-4</v>
      </c>
      <c r="AE50" s="304">
        <f t="shared" si="15"/>
        <v>0.5</v>
      </c>
      <c r="AF50" s="176">
        <f t="shared" si="23"/>
        <v>0.93611299057959863</v>
      </c>
      <c r="AG50" s="814">
        <f t="shared" si="24"/>
        <v>1</v>
      </c>
      <c r="AH50" s="175">
        <f t="shared" si="16"/>
        <v>7</v>
      </c>
      <c r="AI50" s="224">
        <f t="shared" si="17"/>
        <v>1.9361129905795986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10">
        <f>'2025'!Wh/'2025'!Env_an*'2026'!Env_an</f>
        <v>21.542634632161153</v>
      </c>
      <c r="C51" s="843"/>
      <c r="D51" s="392">
        <f t="shared" si="0"/>
        <v>22.880468111382061</v>
      </c>
      <c r="E51" s="384">
        <f t="shared" si="1"/>
        <v>24.140901082102136</v>
      </c>
      <c r="F51" s="384">
        <f t="shared" si="2"/>
        <v>24.141618407520099</v>
      </c>
      <c r="G51" s="110">
        <f t="shared" si="21"/>
        <v>0.6606963437907416</v>
      </c>
      <c r="H51" s="413" t="b">
        <f>Wh_hp&gt;='2025'!Maxi_hp</f>
        <v>0</v>
      </c>
      <c r="I51" s="389">
        <f>IF(H51,Wh_hp,'2025'!Maxi_hp)</f>
        <v>37.913350711029565</v>
      </c>
      <c r="J51" s="85">
        <f>IF(H51,An,'2025'!An_max)</f>
        <v>2020</v>
      </c>
      <c r="K51" s="196">
        <f t="shared" si="3"/>
        <v>46059</v>
      </c>
      <c r="L51" s="147">
        <f>IF(t&lt;Tvie,1-EXP((T0-t)*PertePVj)+'2025'!Pspv,1-EXP((T0-t)*PertePVj)+Pspv)</f>
        <v>5.8470546699846283E-2</v>
      </c>
      <c r="M51" s="847"/>
      <c r="N51" s="847"/>
      <c r="O51" s="48">
        <f>IF(t&lt;Tnet,'2025'!Resal+('2025'!Salim-'2025'!Resal)*(1-EXP(('2025'!Tnet-t)/('2025'!Tau_j))),Resal+(Salim-Resal)*(1-EXP((Tnet-t)/(Tau_j))))*Salcycl</f>
        <v>5.2211513001664614E-2</v>
      </c>
      <c r="P51" s="168">
        <f>(INDEX(Models!$BJ51:$BT51,,T51)*(1-R51)+INDEX(Models!$BJ51:$BT51,,T51+1)*R51-ERP_i)*Q51*Ramure*Pc/MaxiM</f>
        <v>5.7661230411056475E-5</v>
      </c>
      <c r="Q51" s="304">
        <f t="shared" si="4"/>
        <v>0.5</v>
      </c>
      <c r="R51" s="176">
        <f t="shared" si="5"/>
        <v>0.82119364255296767</v>
      </c>
      <c r="S51" s="814">
        <f t="shared" si="6"/>
        <v>-1</v>
      </c>
      <c r="T51" s="175">
        <f t="shared" si="7"/>
        <v>5</v>
      </c>
      <c r="U51" s="250">
        <f t="shared" si="8"/>
        <v>-0.1788063574470323</v>
      </c>
      <c r="V51" s="382">
        <f t="shared" si="9"/>
        <v>32.605042759998383</v>
      </c>
      <c r="W51" s="401">
        <f t="shared" si="10"/>
        <v>21.542634632161153</v>
      </c>
      <c r="X51" s="157">
        <f t="shared" si="11"/>
        <v>46059</v>
      </c>
      <c r="Y51" s="384">
        <f t="shared" si="12"/>
        <v>20.765486052496929</v>
      </c>
      <c r="Z51" s="384">
        <f t="shared" si="22"/>
        <v>22.055057310965523</v>
      </c>
      <c r="AA51" s="385">
        <f t="shared" si="13"/>
        <v>24.131943222609618</v>
      </c>
      <c r="AB51" s="196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8.606376587602052E-2</v>
      </c>
      <c r="AD51" s="230">
        <f>(INDEX(Models!$BJ51:$BT51,,AH51)*(1-AF51)+INDEX(Models!$BJ51:$BT51,,AH51+1)*AF51-ERP_i)*AE51*Ramure*Pc/MaxiM</f>
        <v>7.7772661113384553E-4</v>
      </c>
      <c r="AE51" s="304">
        <f t="shared" si="15"/>
        <v>0.5</v>
      </c>
      <c r="AF51" s="176">
        <f t="shared" si="23"/>
        <v>0.93618618237735518</v>
      </c>
      <c r="AG51" s="814">
        <f t="shared" si="24"/>
        <v>1</v>
      </c>
      <c r="AH51" s="175">
        <f t="shared" si="16"/>
        <v>7</v>
      </c>
      <c r="AI51" s="224">
        <f t="shared" si="17"/>
        <v>1.9361861823773552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10">
        <f>'2025'!Wh/'2025'!Env_an*'2026'!Env_an</f>
        <v>13.332695174612279</v>
      </c>
      <c r="C52" s="843"/>
      <c r="D52" s="392">
        <f t="shared" si="0"/>
        <v>14.160987510602293</v>
      </c>
      <c r="E52" s="384">
        <f t="shared" si="1"/>
        <v>14.941886512292937</v>
      </c>
      <c r="F52" s="384">
        <f t="shared" si="2"/>
        <v>14.942012628281507</v>
      </c>
      <c r="G52" s="110">
        <f t="shared" si="21"/>
        <v>0.40477554502145385</v>
      </c>
      <c r="H52" s="413" t="b">
        <f>Wh_hp&gt;='2025'!Maxi_hp</f>
        <v>0</v>
      </c>
      <c r="I52" s="389">
        <f>IF(H52,Wh_hp,'2025'!Maxi_hp)</f>
        <v>24.755005366085477</v>
      </c>
      <c r="J52" s="85">
        <f>IF(H52,An,'2025'!An_max)</f>
        <v>2021</v>
      </c>
      <c r="K52" s="196">
        <f t="shared" si="3"/>
        <v>46060</v>
      </c>
      <c r="L52" s="147">
        <f>IF(t&lt;Tvie,1-EXP((T0-t)*PertePVj)+'2025'!Pspv,1-EXP((T0-t)*PertePVj)+Pspv)</f>
        <v>5.8491142328165525E-2</v>
      </c>
      <c r="M52" s="847"/>
      <c r="N52" s="847"/>
      <c r="O52" s="48">
        <f>IF(t&lt;Tnet,'2025'!Resal+('2025'!Salim-'2025'!Resal)*(1-EXP(('2025'!Tnet-t)/('2025'!Tau_j))),Resal+(Salim-Resal)*(1-EXP((Tnet-t)/(Tau_j))))*Salcycl</f>
        <v>5.2262410174791871E-2</v>
      </c>
      <c r="P52" s="168">
        <f>(INDEX(Models!$BJ52:$BT52,,T52)*(1-R52)+INDEX(Models!$BJ52:$BT52,,T52+1)*R52-ERP_i)*Q52*Ramure*Pc/MaxiM</f>
        <v>5.6379177037056364E-5</v>
      </c>
      <c r="Q52" s="304">
        <f t="shared" si="4"/>
        <v>0.5</v>
      </c>
      <c r="R52" s="176">
        <f t="shared" si="5"/>
        <v>0.82126986675390856</v>
      </c>
      <c r="S52" s="814">
        <f t="shared" si="6"/>
        <v>-1</v>
      </c>
      <c r="T52" s="175">
        <f t="shared" si="7"/>
        <v>5</v>
      </c>
      <c r="U52" s="250">
        <f t="shared" si="8"/>
        <v>-0.17873013324609141</v>
      </c>
      <c r="V52" s="382">
        <f t="shared" si="9"/>
        <v>32.936910788167154</v>
      </c>
      <c r="W52" s="401">
        <f t="shared" si="10"/>
        <v>13.332695174612279</v>
      </c>
      <c r="X52" s="157">
        <f t="shared" si="11"/>
        <v>46060</v>
      </c>
      <c r="Y52" s="384">
        <f t="shared" si="12"/>
        <v>12.855642154700551</v>
      </c>
      <c r="Z52" s="384">
        <f t="shared" si="22"/>
        <v>13.654297620194479</v>
      </c>
      <c r="AA52" s="385">
        <f t="shared" si="13"/>
        <v>14.940353941349398</v>
      </c>
      <c r="AB52" s="196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8.6079374438084152E-2</v>
      </c>
      <c r="AD52" s="230">
        <f>(INDEX(Models!$BJ52:$BT52,,AH52)*(1-AF52)+INDEX(Models!$BJ52:$BT52,,AH52+1)*AF52-ERP_i)*AE52*Ramure*Pc/MaxiM</f>
        <v>7.4150316113181277E-4</v>
      </c>
      <c r="AE52" s="304">
        <f t="shared" si="15"/>
        <v>0.5</v>
      </c>
      <c r="AF52" s="176">
        <f t="shared" si="23"/>
        <v>0.93626240657829607</v>
      </c>
      <c r="AG52" s="814">
        <f t="shared" si="24"/>
        <v>1</v>
      </c>
      <c r="AH52" s="175">
        <f t="shared" si="16"/>
        <v>7</v>
      </c>
      <c r="AI52" s="224">
        <f t="shared" si="17"/>
        <v>1.9362624065782961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10">
        <f>'2025'!Wh/'2025'!Env_an*'2026'!Env_an</f>
        <v>33.643448920383086</v>
      </c>
      <c r="C53" s="843"/>
      <c r="D53" s="392">
        <f t="shared" si="0"/>
        <v>35.734326449529803</v>
      </c>
      <c r="E53" s="384">
        <f t="shared" si="1"/>
        <v>37.706899050116562</v>
      </c>
      <c r="F53" s="384">
        <f t="shared" si="2"/>
        <v>37.708985818537421</v>
      </c>
      <c r="G53" s="110">
        <f t="shared" si="21"/>
        <v>1.0111167718204528</v>
      </c>
      <c r="H53" s="413" t="b">
        <f>Wh_hp&gt;='2025'!Maxi_hp</f>
        <v>1</v>
      </c>
      <c r="I53" s="389">
        <f>IF(H53,Wh_hp,'2025'!Maxi_hp)</f>
        <v>37.708985818537421</v>
      </c>
      <c r="J53" s="85">
        <f>IF(H53,An,'2025'!An_max)</f>
        <v>2026</v>
      </c>
      <c r="K53" s="196">
        <f t="shared" si="3"/>
        <v>46061</v>
      </c>
      <c r="L53" s="147">
        <f>IF(t&lt;Tvie,1-EXP((T0-t)*PertePVj)+'2025'!Pspv,1-EXP((T0-t)*PertePVj)+Pspv)</f>
        <v>5.8511737505387608E-2</v>
      </c>
      <c r="M53" s="847"/>
      <c r="N53" s="847"/>
      <c r="O53" s="48">
        <f>IF(t&lt;Tnet,'2025'!Resal+('2025'!Salim-'2025'!Resal)*(1-EXP(('2025'!Tnet-t)/('2025'!Tau_j))),Resal+(Salim-Resal)*(1-EXP((Tnet-t)/(Tau_j))))*Salcycl</f>
        <v>5.2313307386136355E-2</v>
      </c>
      <c r="P53" s="168">
        <f>(INDEX(Models!$BJ53:$BT53,,T53)*(1-R53)+INDEX(Models!$BJ53:$BT53,,T53+1)*R53-ERP_i)*Q53*Ramure*Pc/MaxiM</f>
        <v>5.5338757475503895E-5</v>
      </c>
      <c r="Q53" s="304">
        <f t="shared" si="4"/>
        <v>0.5</v>
      </c>
      <c r="R53" s="176">
        <f t="shared" si="5"/>
        <v>0.82134924733792836</v>
      </c>
      <c r="S53" s="814">
        <f t="shared" si="6"/>
        <v>-1</v>
      </c>
      <c r="T53" s="175">
        <f t="shared" si="7"/>
        <v>5</v>
      </c>
      <c r="U53" s="250">
        <f t="shared" si="8"/>
        <v>-0.17865075266207164</v>
      </c>
      <c r="V53" s="382">
        <f t="shared" si="9"/>
        <v>33.273554408369804</v>
      </c>
      <c r="W53" s="401">
        <f t="shared" si="10"/>
        <v>33.643448920383086</v>
      </c>
      <c r="X53" s="157">
        <f t="shared" si="11"/>
        <v>46061</v>
      </c>
      <c r="Y53" s="384">
        <f t="shared" si="12"/>
        <v>32.422986197008839</v>
      </c>
      <c r="Z53" s="384">
        <f t="shared" si="22"/>
        <v>34.438014246825915</v>
      </c>
      <c r="AA53" s="385">
        <f t="shared" si="13"/>
        <v>37.682271415791178</v>
      </c>
      <c r="AB53" s="196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8.6095053378489272E-2</v>
      </c>
      <c r="AD53" s="230">
        <f>(INDEX(Models!$BJ53:$BT53,,AH53)*(1-AF53)+INDEX(Models!$BJ53:$BT53,,AH53+1)*AF53-ERP_i)*AE53*Ramure*Pc/MaxiM</f>
        <v>7.0843599121971231E-4</v>
      </c>
      <c r="AE53" s="304">
        <f t="shared" si="15"/>
        <v>0.5</v>
      </c>
      <c r="AF53" s="176">
        <f t="shared" si="23"/>
        <v>0.93634178716231564</v>
      </c>
      <c r="AG53" s="814">
        <f t="shared" si="24"/>
        <v>1</v>
      </c>
      <c r="AH53" s="175">
        <f t="shared" si="16"/>
        <v>7</v>
      </c>
      <c r="AI53" s="224">
        <f t="shared" si="17"/>
        <v>1.9363417871623156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10">
        <f>'2025'!Wh/'2025'!Env_an*'2026'!Env_an</f>
        <v>33.732553614857984</v>
      </c>
      <c r="C54" s="843"/>
      <c r="D54" s="392">
        <f t="shared" si="0"/>
        <v>35.829752597678556</v>
      </c>
      <c r="E54" s="384">
        <f t="shared" si="1"/>
        <v>37.809623249060238</v>
      </c>
      <c r="F54" s="384">
        <f t="shared" si="2"/>
        <v>37.8116853053344</v>
      </c>
      <c r="G54" s="110">
        <f t="shared" si="21"/>
        <v>1.0035267302787509</v>
      </c>
      <c r="H54" s="413" t="b">
        <f>Wh_hp&gt;='2025'!Maxi_hp</f>
        <v>1</v>
      </c>
      <c r="I54" s="389">
        <f>IF(H54,Wh_hp,'2025'!Maxi_hp)</f>
        <v>37.8116853053344</v>
      </c>
      <c r="J54" s="85">
        <f>IF(H54,An,'2025'!An_max)</f>
        <v>2026</v>
      </c>
      <c r="K54" s="196">
        <f t="shared" si="3"/>
        <v>46062</v>
      </c>
      <c r="L54" s="147">
        <f>IF(t&lt;Tvie,1-EXP((T0-t)*PertePVj)+'2025'!Pspv,1-EXP((T0-t)*PertePVj)+Pspv)</f>
        <v>5.8532332231522412E-2</v>
      </c>
      <c r="M54" s="847"/>
      <c r="N54" s="847"/>
      <c r="O54" s="48">
        <f>IF(t&lt;Tnet,'2025'!Resal+('2025'!Salim-'2025'!Resal)*(1-EXP(('2025'!Tnet-t)/('2025'!Tau_j))),Resal+(Salim-Resal)*(1-EXP((Tnet-t)/(Tau_j))))*Salcycl</f>
        <v>5.2364199408701795E-2</v>
      </c>
      <c r="P54" s="168">
        <f>(INDEX(Models!$BJ54:$BT54,,T54)*(1-R54)+INDEX(Models!$BJ54:$BT54,,T54+1)*R54-ERP_i)*Q54*Ramure*Pc/MaxiM</f>
        <v>5.4534894636688736E-5</v>
      </c>
      <c r="Q54" s="304">
        <f t="shared" si="4"/>
        <v>0.5</v>
      </c>
      <c r="R54" s="176">
        <f t="shared" si="5"/>
        <v>0.82143191321308306</v>
      </c>
      <c r="S54" s="814">
        <f t="shared" si="6"/>
        <v>-1</v>
      </c>
      <c r="T54" s="175">
        <f t="shared" si="7"/>
        <v>5</v>
      </c>
      <c r="U54" s="250">
        <f t="shared" si="8"/>
        <v>-0.17856808678691696</v>
      </c>
      <c r="V54" s="382">
        <f t="shared" si="9"/>
        <v>33.614006081819106</v>
      </c>
      <c r="W54" s="401">
        <f t="shared" si="10"/>
        <v>33.732553614857984</v>
      </c>
      <c r="X54" s="157">
        <f t="shared" si="11"/>
        <v>46062</v>
      </c>
      <c r="Y54" s="384">
        <f t="shared" si="12"/>
        <v>32.510993391089116</v>
      </c>
      <c r="Z54" s="384">
        <f t="shared" si="22"/>
        <v>34.532246304483934</v>
      </c>
      <c r="AA54" s="385">
        <f t="shared" si="13"/>
        <v>37.786031469888002</v>
      </c>
      <c r="AB54" s="196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8.6110793825941653E-2</v>
      </c>
      <c r="AD54" s="230">
        <f>(INDEX(Models!$BJ54:$BT54,,AH54)*(1-AF54)+INDEX(Models!$BJ54:$BT54,,AH54+1)*AF54-ERP_i)*AE54*Ramure*Pc/MaxiM</f>
        <v>6.7846315865684702E-4</v>
      </c>
      <c r="AE54" s="304">
        <f t="shared" si="15"/>
        <v>0.5</v>
      </c>
      <c r="AF54" s="176">
        <f t="shared" si="23"/>
        <v>0.93642445303747035</v>
      </c>
      <c r="AG54" s="814">
        <f t="shared" si="24"/>
        <v>1</v>
      </c>
      <c r="AH54" s="175">
        <f t="shared" si="16"/>
        <v>7</v>
      </c>
      <c r="AI54" s="224">
        <f t="shared" si="17"/>
        <v>1.9364244530374704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10">
        <f>'2025'!Wh/'2025'!Env_an*'2026'!Env_an</f>
        <v>31.571326364849753</v>
      </c>
      <c r="C55" s="843"/>
      <c r="D55" s="392">
        <f t="shared" si="0"/>
        <v>33.534892458370798</v>
      </c>
      <c r="E55" s="384">
        <f t="shared" si="1"/>
        <v>35.389854542669369</v>
      </c>
      <c r="F55" s="384">
        <f t="shared" si="2"/>
        <v>35.391572657797994</v>
      </c>
      <c r="G55" s="110">
        <f t="shared" si="21"/>
        <v>0.92973106422612672</v>
      </c>
      <c r="H55" s="413" t="b">
        <f>Wh_hp&gt;='2025'!Maxi_hp</f>
        <v>1</v>
      </c>
      <c r="I55" s="389">
        <f>IF(H55,Wh_hp,'2025'!Maxi_hp)</f>
        <v>35.391572657797994</v>
      </c>
      <c r="J55" s="85">
        <f>IF(H55,An,'2025'!An_max)</f>
        <v>2026</v>
      </c>
      <c r="K55" s="196">
        <f t="shared" si="3"/>
        <v>46063</v>
      </c>
      <c r="L55" s="147">
        <f>IF(t&lt;Tvie,1-EXP((T0-t)*PertePVj)+'2025'!Pspv,1-EXP((T0-t)*PertePVj)+Pspv)</f>
        <v>5.8552926506579929E-2</v>
      </c>
      <c r="M55" s="847"/>
      <c r="N55" s="847"/>
      <c r="O55" s="48">
        <f>IF(t&lt;Tnet,'2025'!Resal+('2025'!Salim-'2025'!Resal)*(1-EXP(('2025'!Tnet-t)/('2025'!Tau_j))),Resal+(Salim-Resal)*(1-EXP((Tnet-t)/(Tau_j))))*Salcycl</f>
        <v>5.2415080770169688E-2</v>
      </c>
      <c r="P55" s="168">
        <f>(INDEX(Models!$BJ55:$BT55,,T55)*(1-R55)+INDEX(Models!$BJ55:$BT55,,T55+1)*R55-ERP_i)*Q55*Ramure*Pc/MaxiM</f>
        <v>5.3962473712729853E-5</v>
      </c>
      <c r="Q55" s="304">
        <f t="shared" si="4"/>
        <v>0.5</v>
      </c>
      <c r="R55" s="176">
        <f t="shared" si="5"/>
        <v>0.82151799839948048</v>
      </c>
      <c r="S55" s="814">
        <f t="shared" si="6"/>
        <v>-1</v>
      </c>
      <c r="T55" s="175">
        <f t="shared" si="7"/>
        <v>5</v>
      </c>
      <c r="U55" s="250">
        <f t="shared" si="8"/>
        <v>-0.17848200160051947</v>
      </c>
      <c r="V55" s="382">
        <f t="shared" si="9"/>
        <v>33.957298580593353</v>
      </c>
      <c r="W55" s="401">
        <f t="shared" si="10"/>
        <v>31.571326364849753</v>
      </c>
      <c r="X55" s="157">
        <f t="shared" si="11"/>
        <v>46063</v>
      </c>
      <c r="Y55" s="384">
        <f t="shared" si="12"/>
        <v>30.431768384774106</v>
      </c>
      <c r="Z55" s="384">
        <f t="shared" si="22"/>
        <v>32.324460122703648</v>
      </c>
      <c r="AA55" s="385">
        <f t="shared" si="13"/>
        <v>35.370828876761287</v>
      </c>
      <c r="AB55" s="196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8.6126586534677085E-2</v>
      </c>
      <c r="AD55" s="230">
        <f>(INDEX(Models!$BJ55:$BT55,,AH55)*(1-AF55)+INDEX(Models!$BJ55:$BT55,,AH55+1)*AF55-ERP_i)*AE55*Ramure*Pc/MaxiM</f>
        <v>6.5151963348975049E-4</v>
      </c>
      <c r="AE55" s="304">
        <f t="shared" si="15"/>
        <v>0.5</v>
      </c>
      <c r="AF55" s="176">
        <f t="shared" si="23"/>
        <v>0.93651053822386787</v>
      </c>
      <c r="AG55" s="814">
        <f t="shared" si="24"/>
        <v>1</v>
      </c>
      <c r="AH55" s="175">
        <f t="shared" si="16"/>
        <v>7</v>
      </c>
      <c r="AI55" s="224">
        <f t="shared" si="17"/>
        <v>1.9365105382238679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10">
        <f>'2025'!Wh/'2025'!Env_an*'2026'!Env_an</f>
        <v>14.691765663400586</v>
      </c>
      <c r="C56" s="843"/>
      <c r="D56" s="392">
        <f t="shared" si="0"/>
        <v>15.605855561402324</v>
      </c>
      <c r="E56" s="384">
        <f t="shared" si="1"/>
        <v>16.469968010771911</v>
      </c>
      <c r="F56" s="384">
        <f t="shared" si="2"/>
        <v>16.470129865500144</v>
      </c>
      <c r="G56" s="110">
        <f t="shared" si="21"/>
        <v>0.42828182535583492</v>
      </c>
      <c r="H56" s="413" t="b">
        <f>Wh_hp&gt;='2025'!Maxi_hp</f>
        <v>0</v>
      </c>
      <c r="I56" s="389">
        <f>IF(H56,Wh_hp,'2025'!Maxi_hp)</f>
        <v>33.522126825040729</v>
      </c>
      <c r="J56" s="85">
        <f>IF(H56,An,'2025'!An_max)</f>
        <v>2021</v>
      </c>
      <c r="K56" s="196">
        <f t="shared" si="3"/>
        <v>46064</v>
      </c>
      <c r="L56" s="147">
        <f>IF(t&lt;Tvie,1-EXP((T0-t)*PertePVj)+'2025'!Pspv,1-EXP((T0-t)*PertePVj)+Pspv)</f>
        <v>5.857352033056993E-2</v>
      </c>
      <c r="M56" s="847"/>
      <c r="N56" s="847"/>
      <c r="O56" s="48">
        <f>IF(t&lt;Tnet,'2025'!Resal+('2025'!Salim-'2025'!Resal)*(1-EXP(('2025'!Tnet-t)/('2025'!Tau_j))),Resal+(Salim-Resal)*(1-EXP((Tnet-t)/(Tau_j))))*Salcycl</f>
        <v>5.2465945823600063E-2</v>
      </c>
      <c r="P56" s="168">
        <f>(INDEX(Models!$BJ56:$BT56,,T56)*(1-R56)+INDEX(Models!$BJ56:$BT56,,T56+1)*R56-ERP_i)*Q56*Ramure*Pc/MaxiM</f>
        <v>5.3616416724830475E-5</v>
      </c>
      <c r="Q56" s="304">
        <f t="shared" si="4"/>
        <v>0.5</v>
      </c>
      <c r="R56" s="176">
        <f t="shared" si="5"/>
        <v>0.82160764221899729</v>
      </c>
      <c r="S56" s="814">
        <f t="shared" si="6"/>
        <v>-1</v>
      </c>
      <c r="T56" s="175">
        <f t="shared" si="7"/>
        <v>5</v>
      </c>
      <c r="U56" s="250">
        <f t="shared" si="8"/>
        <v>-0.17839235778100274</v>
      </c>
      <c r="V56" s="382">
        <f t="shared" si="9"/>
        <v>34.302464979659234</v>
      </c>
      <c r="W56" s="401">
        <f t="shared" si="10"/>
        <v>14.691765663400586</v>
      </c>
      <c r="X56" s="157">
        <f t="shared" si="11"/>
        <v>46064</v>
      </c>
      <c r="Y56" s="384">
        <f t="shared" si="12"/>
        <v>14.168112463497145</v>
      </c>
      <c r="Z56" s="384">
        <f t="shared" si="22"/>
        <v>15.049621791467027</v>
      </c>
      <c r="AA56" s="385">
        <f t="shared" si="13"/>
        <v>16.468235481982916</v>
      </c>
      <c r="AB56" s="196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8.6142422001915367E-2</v>
      </c>
      <c r="AD56" s="230">
        <f>(INDEX(Models!$BJ56:$BT56,,AH56)*(1-AF56)+INDEX(Models!$BJ56:$BT56,,AH56+1)*AF56-ERP_i)*AE56*Ramure*Pc/MaxiM</f>
        <v>6.2753839325679526E-4</v>
      </c>
      <c r="AE56" s="304">
        <f t="shared" si="15"/>
        <v>0.5</v>
      </c>
      <c r="AF56" s="176">
        <f t="shared" si="23"/>
        <v>0.93660018204338469</v>
      </c>
      <c r="AG56" s="814">
        <f t="shared" si="24"/>
        <v>1</v>
      </c>
      <c r="AH56" s="175">
        <f t="shared" si="16"/>
        <v>7</v>
      </c>
      <c r="AI56" s="224">
        <f t="shared" si="17"/>
        <v>1.9366001820433847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10">
        <f>'2025'!Wh/'2025'!Env_an*'2026'!Env_an</f>
        <v>25.926389115633157</v>
      </c>
      <c r="C57" s="843"/>
      <c r="D57" s="392">
        <f t="shared" si="0"/>
        <v>27.540075426581289</v>
      </c>
      <c r="E57" s="384">
        <f t="shared" si="1"/>
        <v>29.066557699058123</v>
      </c>
      <c r="F57" s="384">
        <f t="shared" si="2"/>
        <v>29.067553413668382</v>
      </c>
      <c r="G57" s="110">
        <f t="shared" si="21"/>
        <v>0.7482535012457443</v>
      </c>
      <c r="H57" s="413" t="b">
        <f>Wh_hp&gt;='2025'!Maxi_hp</f>
        <v>0</v>
      </c>
      <c r="I57" s="389">
        <f>IF(H57,Wh_hp,'2025'!Maxi_hp)</f>
        <v>38.964390120778035</v>
      </c>
      <c r="J57" s="85">
        <f>IF(H57,An,'2025'!An_max)</f>
        <v>2019</v>
      </c>
      <c r="K57" s="196">
        <f t="shared" si="3"/>
        <v>46065</v>
      </c>
      <c r="L57" s="147">
        <f>IF(t&lt;Tvie,1-EXP((T0-t)*PertePVj)+'2025'!Pspv,1-EXP((T0-t)*PertePVj)+Pspv)</f>
        <v>5.8594113703502294E-2</v>
      </c>
      <c r="M57" s="847"/>
      <c r="N57" s="847"/>
      <c r="O57" s="48">
        <f>IF(t&lt;Tnet,'2025'!Resal+('2025'!Salim-'2025'!Resal)*(1-EXP(('2025'!Tnet-t)/('2025'!Tau_j))),Resal+(Salim-Resal)*(1-EXP((Tnet-t)/(Tau_j))))*Salcycl</f>
        <v>5.2516788822444496E-2</v>
      </c>
      <c r="P57" s="168">
        <f>(INDEX(Models!$BJ57:$BT57,,T57)*(1-R57)+INDEX(Models!$BJ57:$BT57,,T57+1)*R57-ERP_i)*Q57*Ramure*Pc/MaxiM</f>
        <v>5.3491749715068089E-5</v>
      </c>
      <c r="Q57" s="304">
        <f t="shared" si="4"/>
        <v>0.5</v>
      </c>
      <c r="R57" s="176">
        <f t="shared" si="5"/>
        <v>0.82170098949091097</v>
      </c>
      <c r="S57" s="814">
        <f t="shared" si="6"/>
        <v>-1</v>
      </c>
      <c r="T57" s="175">
        <f t="shared" si="7"/>
        <v>5</v>
      </c>
      <c r="U57" s="250">
        <f t="shared" si="8"/>
        <v>-0.17829901050908906</v>
      </c>
      <c r="V57" s="382">
        <f t="shared" si="9"/>
        <v>34.648538658212807</v>
      </c>
      <c r="W57" s="401">
        <f t="shared" si="10"/>
        <v>25.926389115633157</v>
      </c>
      <c r="X57" s="157">
        <f t="shared" si="11"/>
        <v>46065</v>
      </c>
      <c r="Y57" s="384">
        <f t="shared" si="12"/>
        <v>24.996987269600101</v>
      </c>
      <c r="Z57" s="384">
        <f t="shared" si="22"/>
        <v>26.55282661120652</v>
      </c>
      <c r="AA57" s="385">
        <f t="shared" si="13"/>
        <v>29.056264709566495</v>
      </c>
      <c r="AB57" s="196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8.6158290591830278E-2</v>
      </c>
      <c r="AD57" s="230">
        <f>(INDEX(Models!$BJ57:$BT57,,AH57)*(1-AF57)+INDEX(Models!$BJ57:$BT57,,AH57+1)*AF57-ERP_i)*AE57*Ramure*Pc/MaxiM</f>
        <v>6.0645141509763469E-4</v>
      </c>
      <c r="AE57" s="304">
        <f t="shared" si="15"/>
        <v>0.5</v>
      </c>
      <c r="AF57" s="176">
        <f t="shared" si="23"/>
        <v>0.93669352931529826</v>
      </c>
      <c r="AG57" s="814">
        <f t="shared" si="24"/>
        <v>1</v>
      </c>
      <c r="AH57" s="175">
        <f t="shared" si="16"/>
        <v>7</v>
      </c>
      <c r="AI57" s="224">
        <f t="shared" si="17"/>
        <v>1.9366935293152983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10">
        <f>'2025'!Wh/'2025'!Env_an*'2026'!Env_an</f>
        <v>31.210254318363997</v>
      </c>
      <c r="C58" s="843"/>
      <c r="D58" s="392">
        <f t="shared" si="0"/>
        <v>33.153539297903876</v>
      </c>
      <c r="E58" s="384">
        <f t="shared" si="1"/>
        <v>34.993039543340281</v>
      </c>
      <c r="F58" s="384">
        <f t="shared" si="2"/>
        <v>34.994623196907519</v>
      </c>
      <c r="G58" s="110">
        <f t="shared" si="21"/>
        <v>0.8918529142890228</v>
      </c>
      <c r="H58" s="413" t="b">
        <f>Wh_hp&gt;='2025'!Maxi_hp</f>
        <v>0</v>
      </c>
      <c r="I58" s="389">
        <f>IF(H58,Wh_hp,'2025'!Maxi_hp)</f>
        <v>40.487434831791077</v>
      </c>
      <c r="J58" s="85">
        <f>IF(H58,An,'2025'!An_max)</f>
        <v>2019</v>
      </c>
      <c r="K58" s="196">
        <f t="shared" si="3"/>
        <v>46066</v>
      </c>
      <c r="L58" s="147">
        <f>IF(t&lt;Tvie,1-EXP((T0-t)*PertePVj)+'2025'!Pspv,1-EXP((T0-t)*PertePVj)+Pspv)</f>
        <v>5.8614706625387016E-2</v>
      </c>
      <c r="M58" s="847"/>
      <c r="N58" s="847"/>
      <c r="O58" s="48">
        <f>IF(t&lt;Tnet,'2025'!Resal+('2025'!Salim-'2025'!Resal)*(1-EXP(('2025'!Tnet-t)/('2025'!Tau_j))),Resal+(Salim-Resal)*(1-EXP((Tnet-t)/(Tau_j))))*Salcycl</f>
        <v>5.2567603999021266E-2</v>
      </c>
      <c r="P58" s="168">
        <f>(INDEX(Models!$BJ58:$BT58,,T58)*(1-R58)+INDEX(Models!$BJ58:$BT58,,T58+1)*R58-ERP_i)*Q58*Ramure*Pc/MaxiM</f>
        <v>5.3522661335750838E-5</v>
      </c>
      <c r="Q58" s="304">
        <f t="shared" si="4"/>
        <v>0.5</v>
      </c>
      <c r="R58" s="176">
        <f t="shared" si="5"/>
        <v>0.82179819073353444</v>
      </c>
      <c r="S58" s="814">
        <f t="shared" si="6"/>
        <v>-1</v>
      </c>
      <c r="T58" s="175">
        <f t="shared" si="7"/>
        <v>5</v>
      </c>
      <c r="U58" s="250">
        <f t="shared" si="8"/>
        <v>-0.17820180926646553</v>
      </c>
      <c r="V58" s="382">
        <f t="shared" si="9"/>
        <v>34.994555431470893</v>
      </c>
      <c r="W58" s="401">
        <f t="shared" si="10"/>
        <v>31.210254318363997</v>
      </c>
      <c r="X58" s="157">
        <f t="shared" si="11"/>
        <v>46066</v>
      </c>
      <c r="Y58" s="384">
        <f t="shared" si="12"/>
        <v>30.089569010280144</v>
      </c>
      <c r="Z58" s="384">
        <f t="shared" si="22"/>
        <v>31.963075291326398</v>
      </c>
      <c r="AA58" s="385">
        <f t="shared" si="13"/>
        <v>34.97720756514299</v>
      </c>
      <c r="AB58" s="196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8.6174182664609522E-2</v>
      </c>
      <c r="AD58" s="230">
        <f>(INDEX(Models!$BJ58:$BT58,,AH58)*(1-AF58)+INDEX(Models!$BJ58:$BT58,,AH58+1)*AF58-ERP_i)*AE58*Ramure*Pc/MaxiM</f>
        <v>5.8859524593232228E-4</v>
      </c>
      <c r="AE58" s="304">
        <f t="shared" si="15"/>
        <v>0.5</v>
      </c>
      <c r="AF58" s="176">
        <f t="shared" si="23"/>
        <v>0.93679073055792195</v>
      </c>
      <c r="AG58" s="814">
        <f t="shared" si="24"/>
        <v>1</v>
      </c>
      <c r="AH58" s="175">
        <f t="shared" si="16"/>
        <v>7</v>
      </c>
      <c r="AI58" s="224">
        <f t="shared" si="17"/>
        <v>1.9367907305579219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10">
        <f>'2025'!Wh/'2025'!Env_an*'2026'!Env_an</f>
        <v>17.168158113127983</v>
      </c>
      <c r="C59" s="843"/>
      <c r="D59" s="392">
        <f t="shared" si="0"/>
        <v>18.237520587552869</v>
      </c>
      <c r="E59" s="384">
        <f t="shared" si="1"/>
        <v>19.25044808894738</v>
      </c>
      <c r="F59" s="384">
        <f t="shared" si="2"/>
        <v>19.25072184702729</v>
      </c>
      <c r="G59" s="110">
        <f t="shared" si="21"/>
        <v>0.48578662033861636</v>
      </c>
      <c r="H59" s="413" t="b">
        <f>Wh_hp&gt;='2025'!Maxi_hp</f>
        <v>0</v>
      </c>
      <c r="I59" s="389">
        <f>IF(H59,Wh_hp,'2025'!Maxi_hp)</f>
        <v>40.730011197654498</v>
      </c>
      <c r="J59" s="85">
        <f>IF(H59,An,'2025'!An_max)</f>
        <v>2019</v>
      </c>
      <c r="K59" s="196">
        <f t="shared" si="3"/>
        <v>46067</v>
      </c>
      <c r="L59" s="147">
        <f>IF(t&lt;Tvie,1-EXP((T0-t)*PertePVj)+'2025'!Pspv,1-EXP((T0-t)*PertePVj)+Pspv)</f>
        <v>5.8635299096233863E-2</v>
      </c>
      <c r="M59" s="847"/>
      <c r="N59" s="847"/>
      <c r="O59" s="48">
        <f>IF(t&lt;Tnet,'2025'!Resal+('2025'!Salim-'2025'!Resal)*(1-EXP(('2025'!Tnet-t)/('2025'!Tau_j))),Resal+(Salim-Resal)*(1-EXP((Tnet-t)/(Tau_j))))*Salcycl</f>
        <v>5.2618385645583035E-2</v>
      </c>
      <c r="P59" s="168">
        <f>(INDEX(Models!$BJ59:$BT59,,T59)*(1-R59)+INDEX(Models!$BJ59:$BT59,,T59+1)*R59-ERP_i)*Q59*Ramure*Pc/MaxiM</f>
        <v>5.3574588419552862E-5</v>
      </c>
      <c r="Q59" s="304">
        <f t="shared" si="4"/>
        <v>0.5</v>
      </c>
      <c r="R59" s="176">
        <f t="shared" si="5"/>
        <v>0.82189940237192349</v>
      </c>
      <c r="S59" s="814">
        <f t="shared" si="6"/>
        <v>-1</v>
      </c>
      <c r="T59" s="175">
        <f t="shared" si="7"/>
        <v>5</v>
      </c>
      <c r="U59" s="250">
        <f t="shared" si="8"/>
        <v>-0.17810059762807651</v>
      </c>
      <c r="V59" s="382">
        <f t="shared" si="9"/>
        <v>35.339553932518228</v>
      </c>
      <c r="W59" s="401">
        <f t="shared" si="10"/>
        <v>17.168158113127983</v>
      </c>
      <c r="X59" s="157">
        <f t="shared" si="11"/>
        <v>46067</v>
      </c>
      <c r="Y59" s="384">
        <f t="shared" si="12"/>
        <v>16.557498148487507</v>
      </c>
      <c r="Z59" s="384">
        <f t="shared" si="22"/>
        <v>17.588824110986234</v>
      </c>
      <c r="AA59" s="385">
        <f t="shared" si="13"/>
        <v>19.247793106271207</v>
      </c>
      <c r="AB59" s="196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8.6190088709154636E-2</v>
      </c>
      <c r="AD59" s="230">
        <f>(INDEX(Models!$BJ59:$BT59,,AH59)*(1-AF59)+INDEX(Models!$BJ59:$BT59,,AH59+1)*AF59-ERP_i)*AE59*Ramure*Pc/MaxiM</f>
        <v>5.7315598007797125E-4</v>
      </c>
      <c r="AE59" s="304">
        <f t="shared" si="15"/>
        <v>0.5</v>
      </c>
      <c r="AF59" s="176">
        <f t="shared" si="23"/>
        <v>0.93689194219631089</v>
      </c>
      <c r="AG59" s="814">
        <f t="shared" si="24"/>
        <v>1</v>
      </c>
      <c r="AH59" s="175">
        <f t="shared" si="16"/>
        <v>7</v>
      </c>
      <c r="AI59" s="224">
        <f t="shared" si="17"/>
        <v>1.9368919421963109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10">
        <f>'2025'!Wh/'2025'!Env_an*'2026'!Env_an</f>
        <v>20.394718718047702</v>
      </c>
      <c r="C60" s="843"/>
      <c r="D60" s="392">
        <f t="shared" si="0"/>
        <v>21.66552966717726</v>
      </c>
      <c r="E60" s="384">
        <f t="shared" si="1"/>
        <v>22.870076667030553</v>
      </c>
      <c r="F60" s="384">
        <f t="shared" si="2"/>
        <v>22.870552660739207</v>
      </c>
      <c r="G60" s="110">
        <f t="shared" si="21"/>
        <v>0.57154094887575613</v>
      </c>
      <c r="H60" s="413" t="b">
        <f>Wh_hp&gt;='2025'!Maxi_hp</f>
        <v>0</v>
      </c>
      <c r="I60" s="389">
        <f>IF(H60,Wh_hp,'2025'!Maxi_hp)</f>
        <v>40.824287994702445</v>
      </c>
      <c r="J60" s="85">
        <f>IF(H60,An,'2025'!An_max)</f>
        <v>2019</v>
      </c>
      <c r="K60" s="196">
        <f t="shared" si="3"/>
        <v>46068</v>
      </c>
      <c r="L60" s="147">
        <f>IF(t&lt;Tvie,1-EXP((T0-t)*PertePVj)+'2025'!Pspv,1-EXP((T0-t)*PertePVj)+Pspv)</f>
        <v>5.8655891116052718E-2</v>
      </c>
      <c r="M60" s="847"/>
      <c r="N60" s="847"/>
      <c r="O60" s="48">
        <f>IF(t&lt;Tnet,'2025'!Resal+('2025'!Salim-'2025'!Resal)*(1-EXP(('2025'!Tnet-t)/('2025'!Tau_j))),Resal+(Salim-Resal)*(1-EXP((Tnet-t)/(Tau_j))))*Salcycl</f>
        <v>5.2669128197097972E-2</v>
      </c>
      <c r="P60" s="168">
        <f>(INDEX(Models!$BJ60:$BT60,,T60)*(1-R60)+INDEX(Models!$BJ60:$BT60,,T60+1)*R60-ERP_i)*Q60*Ramure*Pc/MaxiM</f>
        <v>5.3648458268766581E-5</v>
      </c>
      <c r="Q60" s="304">
        <f t="shared" si="4"/>
        <v>0.5</v>
      </c>
      <c r="R60" s="176">
        <f t="shared" si="5"/>
        <v>0.82200478695172174</v>
      </c>
      <c r="S60" s="814">
        <f t="shared" si="6"/>
        <v>-1</v>
      </c>
      <c r="T60" s="175">
        <f t="shared" si="7"/>
        <v>5</v>
      </c>
      <c r="U60" s="250">
        <f t="shared" si="8"/>
        <v>-0.17799521304827826</v>
      </c>
      <c r="V60" s="382">
        <f t="shared" si="9"/>
        <v>35.682568439563958</v>
      </c>
      <c r="W60" s="401">
        <f t="shared" si="10"/>
        <v>20.394718718047702</v>
      </c>
      <c r="X60" s="157">
        <f t="shared" si="11"/>
        <v>46068</v>
      </c>
      <c r="Y60" s="384">
        <f t="shared" si="12"/>
        <v>19.668851341770555</v>
      </c>
      <c r="Z60" s="384">
        <f t="shared" si="22"/>
        <v>20.894432924310586</v>
      </c>
      <c r="AA60" s="385">
        <f t="shared" si="13"/>
        <v>22.865583394478371</v>
      </c>
      <c r="AB60" s="196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8.6205999477965686E-2</v>
      </c>
      <c r="AD60" s="230">
        <f>(INDEX(Models!$BJ60:$BT60,,AH60)*(1-AF60)+INDEX(Models!$BJ60:$BT60,,AH60+1)*AF60-ERP_i)*AE60*Ramure*Pc/MaxiM</f>
        <v>5.6007772534216033E-4</v>
      </c>
      <c r="AE60" s="304">
        <f t="shared" si="15"/>
        <v>0.5</v>
      </c>
      <c r="AF60" s="176">
        <f t="shared" si="23"/>
        <v>0.93699732677610914</v>
      </c>
      <c r="AG60" s="814">
        <f t="shared" si="24"/>
        <v>1</v>
      </c>
      <c r="AH60" s="175">
        <f t="shared" si="16"/>
        <v>7</v>
      </c>
      <c r="AI60" s="224">
        <f t="shared" si="17"/>
        <v>1.9369973267761091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10">
        <f>'2025'!Wh/'2025'!Env_an*'2026'!Env_an</f>
        <v>8.9142490921637609</v>
      </c>
      <c r="C61" s="843"/>
      <c r="D61" s="392">
        <f t="shared" si="0"/>
        <v>9.4699101086830204</v>
      </c>
      <c r="E61" s="384">
        <f t="shared" si="1"/>
        <v>9.9969474414764878</v>
      </c>
      <c r="F61" s="384">
        <f t="shared" si="2"/>
        <v>9.9969474414764878</v>
      </c>
      <c r="G61" s="110">
        <f t="shared" si="21"/>
        <v>0.24744914856104788</v>
      </c>
      <c r="H61" s="413" t="b">
        <f>Wh_hp&gt;='2025'!Maxi_hp</f>
        <v>0</v>
      </c>
      <c r="I61" s="389">
        <f>IF(H61,Wh_hp,'2025'!Maxi_hp)</f>
        <v>41.302237931814616</v>
      </c>
      <c r="J61" s="85">
        <f>IF(H61,An,'2025'!An_max)</f>
        <v>2019</v>
      </c>
      <c r="K61" s="196">
        <f t="shared" si="3"/>
        <v>46069</v>
      </c>
      <c r="L61" s="147">
        <f>IF(t&lt;Tvie,1-EXP((T0-t)*PertePVj)+'2025'!Pspv,1-EXP((T0-t)*PertePVj)+Pspv)</f>
        <v>5.8676482684853572E-2</v>
      </c>
      <c r="M61" s="847"/>
      <c r="N61" s="847"/>
      <c r="O61" s="48">
        <f>IF(t&lt;Tnet,'2025'!Resal+('2025'!Salim-'2025'!Resal)*(1-EXP(('2025'!Tnet-t)/('2025'!Tau_j))),Resal+(Salim-Resal)*(1-EXP((Tnet-t)/(Tau_j))))*Salcycl</f>
        <v>5.2719826314864257E-2</v>
      </c>
      <c r="P61" s="168">
        <f>(INDEX(Models!$BJ61:$BT61,,T61)*(1-R61)+INDEX(Models!$BJ61:$BT61,,T61+1)*R61-ERP_i)*Q61*Ramure*Pc/MaxiM</f>
        <v>5.3745184401259204E-5</v>
      </c>
      <c r="Q61" s="304">
        <f t="shared" si="4"/>
        <v>0.5</v>
      </c>
      <c r="R61" s="176">
        <f t="shared" si="5"/>
        <v>0.82211451335919461</v>
      </c>
      <c r="S61" s="814">
        <f t="shared" si="6"/>
        <v>-1</v>
      </c>
      <c r="T61" s="175">
        <f t="shared" si="7"/>
        <v>5</v>
      </c>
      <c r="U61" s="250">
        <f t="shared" si="8"/>
        <v>-0.17788548664080539</v>
      </c>
      <c r="V61" s="382">
        <f t="shared" si="9"/>
        <v>36.022633523038365</v>
      </c>
      <c r="W61" s="401">
        <f t="shared" si="10"/>
        <v>8.9142490921637609</v>
      </c>
      <c r="X61" s="157">
        <f t="shared" si="11"/>
        <v>46069</v>
      </c>
      <c r="Y61" s="384">
        <f t="shared" si="12"/>
        <v>8.5989824025302699</v>
      </c>
      <c r="Z61" s="384">
        <f t="shared" si="22"/>
        <v>9.1349915776633157</v>
      </c>
      <c r="AA61" s="385">
        <f t="shared" si="13"/>
        <v>9.9969474414764878</v>
      </c>
      <c r="AB61" s="196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8.6221906122762107E-2</v>
      </c>
      <c r="AD61" s="230">
        <f>(INDEX(Models!$BJ61:$BT61,,AH61)*(1-AF61)+INDEX(Models!$BJ61:$BT61,,AH61+1)*AF61-ERP_i)*AE61*Ramure*Pc/MaxiM</f>
        <v>5.4930614568273178E-4</v>
      </c>
      <c r="AE61" s="304">
        <f t="shared" si="15"/>
        <v>0.5</v>
      </c>
      <c r="AF61" s="176">
        <f t="shared" si="23"/>
        <v>0.9371070531835819</v>
      </c>
      <c r="AG61" s="814">
        <f t="shared" si="24"/>
        <v>1</v>
      </c>
      <c r="AH61" s="175">
        <f t="shared" si="16"/>
        <v>7</v>
      </c>
      <c r="AI61" s="224">
        <f t="shared" si="17"/>
        <v>1.9371070531835819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10">
        <f>'2025'!Wh/'2025'!Env_an*'2026'!Env_an</f>
        <v>10.815572809932936</v>
      </c>
      <c r="C62" s="843"/>
      <c r="D62" s="392">
        <f t="shared" si="0"/>
        <v>11.490002324358377</v>
      </c>
      <c r="E62" s="384">
        <f t="shared" si="1"/>
        <v>12.130114212809753</v>
      </c>
      <c r="F62" s="384">
        <f t="shared" si="2"/>
        <v>12.130114212809753</v>
      </c>
      <c r="G62" s="110">
        <f t="shared" si="21"/>
        <v>0.29745192277376431</v>
      </c>
      <c r="H62" s="413" t="b">
        <f>Wh_hp&gt;='2025'!Maxi_hp</f>
        <v>0</v>
      </c>
      <c r="I62" s="389">
        <f>IF(H62,Wh_hp,'2025'!Maxi_hp)</f>
        <v>41.977734594143215</v>
      </c>
      <c r="J62" s="85">
        <f>IF(H62,An,'2025'!An_max)</f>
        <v>2019</v>
      </c>
      <c r="K62" s="196">
        <f t="shared" si="3"/>
        <v>46070</v>
      </c>
      <c r="L62" s="147">
        <f>IF(t&lt;Tvie,1-EXP((T0-t)*PertePVj)+'2025'!Pspv,1-EXP((T0-t)*PertePVj)+Pspv)</f>
        <v>5.8697073802646195E-2</v>
      </c>
      <c r="M62" s="847"/>
      <c r="N62" s="847"/>
      <c r="O62" s="48">
        <f>IF(t&lt;Tnet,'2025'!Resal+('2025'!Salim-'2025'!Resal)*(1-EXP(('2025'!Tnet-t)/('2025'!Tau_j))),Resal+(Salim-Resal)*(1-EXP((Tnet-t)/(Tau_j))))*Salcycl</f>
        <v>5.2770474970087133E-2</v>
      </c>
      <c r="P62" s="168">
        <f>(INDEX(Models!$BJ62:$BT62,,T62)*(1-R62)+INDEX(Models!$BJ62:$BT62,,T62+1)*R62-ERP_i)*Q62*Ramure*Pc/MaxiM</f>
        <v>5.3865675261795685E-5</v>
      </c>
      <c r="Q62" s="304">
        <f t="shared" si="4"/>
        <v>0.5</v>
      </c>
      <c r="R62" s="176">
        <f t="shared" si="5"/>
        <v>0.82222875704748843</v>
      </c>
      <c r="S62" s="814">
        <f t="shared" si="6"/>
        <v>-1</v>
      </c>
      <c r="T62" s="175">
        <f t="shared" si="7"/>
        <v>5</v>
      </c>
      <c r="U62" s="250">
        <f t="shared" si="8"/>
        <v>-0.17777124295251159</v>
      </c>
      <c r="V62" s="382">
        <f t="shared" si="9"/>
        <v>36.358784037936253</v>
      </c>
      <c r="W62" s="401">
        <f t="shared" si="10"/>
        <v>10.815572809932936</v>
      </c>
      <c r="X62" s="157">
        <f t="shared" si="11"/>
        <v>46070</v>
      </c>
      <c r="Y62" s="384">
        <f t="shared" si="12"/>
        <v>10.433439140518331</v>
      </c>
      <c r="Z62" s="384">
        <f t="shared" si="22"/>
        <v>11.084039845352455</v>
      </c>
      <c r="AA62" s="385">
        <f t="shared" si="13"/>
        <v>12.130114212809753</v>
      </c>
      <c r="AB62" s="196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8.6237800329415887E-2</v>
      </c>
      <c r="AD62" s="230">
        <f>(INDEX(Models!$BJ62:$BT62,,AH62)*(1-AF62)+INDEX(Models!$BJ62:$BT62,,AH62+1)*AF62-ERP_i)*AE62*Ramure*Pc/MaxiM</f>
        <v>5.4078898054371128E-4</v>
      </c>
      <c r="AE62" s="304">
        <f t="shared" si="15"/>
        <v>0.5</v>
      </c>
      <c r="AF62" s="176">
        <f t="shared" si="23"/>
        <v>0.93722129687187583</v>
      </c>
      <c r="AG62" s="814">
        <f t="shared" si="24"/>
        <v>1</v>
      </c>
      <c r="AH62" s="175">
        <f t="shared" si="16"/>
        <v>7</v>
      </c>
      <c r="AI62" s="224">
        <f t="shared" si="17"/>
        <v>1.9372212968718758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10">
        <f>'2025'!Wh/'2025'!Env_an*'2026'!Env_an</f>
        <v>30.285764343303505</v>
      </c>
      <c r="C63" s="843"/>
      <c r="D63" s="392">
        <f t="shared" si="0"/>
        <v>32.175005521837136</v>
      </c>
      <c r="E63" s="384">
        <f t="shared" si="1"/>
        <v>33.969300294459558</v>
      </c>
      <c r="F63" s="384">
        <f t="shared" si="2"/>
        <v>33.970677559687367</v>
      </c>
      <c r="G63" s="110">
        <f t="shared" si="21"/>
        <v>0.82543774698029482</v>
      </c>
      <c r="H63" s="413" t="b">
        <f>Wh_hp&gt;='2025'!Maxi_hp</f>
        <v>0</v>
      </c>
      <c r="I63" s="389">
        <f>IF(H63,Wh_hp,'2025'!Maxi_hp)</f>
        <v>41.235106126634335</v>
      </c>
      <c r="J63" s="85">
        <f>IF(H63,An,'2025'!An_max)</f>
        <v>2019</v>
      </c>
      <c r="K63" s="196">
        <f t="shared" si="3"/>
        <v>46071</v>
      </c>
      <c r="L63" s="147">
        <f>IF(t&lt;Tvie,1-EXP((T0-t)*PertePVj)+'2025'!Pspv,1-EXP((T0-t)*PertePVj)+Pspv)</f>
        <v>5.8717664469440468E-2</v>
      </c>
      <c r="M63" s="847"/>
      <c r="N63" s="847"/>
      <c r="O63" s="48">
        <f>IF(t&lt;Tnet,'2025'!Resal+('2025'!Salim-'2025'!Resal)*(1-EXP(('2025'!Tnet-t)/('2025'!Tau_j))),Resal+(Salim-Resal)*(1-EXP((Tnet-t)/(Tau_j))))*Salcycl</f>
        <v>5.2821069526565338E-2</v>
      </c>
      <c r="P63" s="168">
        <f>(INDEX(Models!$BJ63:$BT63,,T63)*(1-R63)+INDEX(Models!$BJ63:$BT63,,T63+1)*R63-ERP_i)*Q63*Ramure*Pc/MaxiM</f>
        <v>5.4010842996653006E-5</v>
      </c>
      <c r="Q63" s="304">
        <f t="shared" si="4"/>
        <v>0.5</v>
      </c>
      <c r="R63" s="176">
        <f t="shared" si="5"/>
        <v>0.82234770026913739</v>
      </c>
      <c r="S63" s="814">
        <f t="shared" si="6"/>
        <v>-1</v>
      </c>
      <c r="T63" s="175">
        <f t="shared" si="7"/>
        <v>5</v>
      </c>
      <c r="U63" s="250">
        <f t="shared" si="8"/>
        <v>-0.17765229973086263</v>
      </c>
      <c r="V63" s="382">
        <f t="shared" si="9"/>
        <v>36.690055121115897</v>
      </c>
      <c r="W63" s="401">
        <f t="shared" si="10"/>
        <v>30.285764343303505</v>
      </c>
      <c r="X63" s="157">
        <f t="shared" si="11"/>
        <v>46071</v>
      </c>
      <c r="Y63" s="384">
        <f t="shared" si="12"/>
        <v>29.206229084470941</v>
      </c>
      <c r="Z63" s="384">
        <f t="shared" si="22"/>
        <v>31.028128311797833</v>
      </c>
      <c r="AA63" s="385">
        <f t="shared" si="13"/>
        <v>33.957048520166673</v>
      </c>
      <c r="AB63" s="196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8.6253674450810655E-2</v>
      </c>
      <c r="AD63" s="230">
        <f>(INDEX(Models!$BJ63:$BT63,,AH63)*(1-AF63)+INDEX(Models!$BJ63:$BT63,,AH63+1)*AF63-ERP_i)*AE63*Ramure*Pc/MaxiM</f>
        <v>5.3447651104872611E-4</v>
      </c>
      <c r="AE63" s="304">
        <f t="shared" si="15"/>
        <v>0.5</v>
      </c>
      <c r="AF63" s="176">
        <f t="shared" si="23"/>
        <v>0.93734024009352468</v>
      </c>
      <c r="AG63" s="814">
        <f t="shared" si="24"/>
        <v>1</v>
      </c>
      <c r="AH63" s="175">
        <f t="shared" si="16"/>
        <v>7</v>
      </c>
      <c r="AI63" s="224">
        <f t="shared" si="17"/>
        <v>1.9373402400935247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10">
        <f>'2025'!Wh/'2025'!Env_an*'2026'!Env_an</f>
        <v>16.467934502250269</v>
      </c>
      <c r="C64" s="843"/>
      <c r="D64" s="392">
        <f t="shared" si="0"/>
        <v>17.495595230786169</v>
      </c>
      <c r="E64" s="384">
        <f t="shared" si="1"/>
        <v>18.472252905018308</v>
      </c>
      <c r="F64" s="384">
        <f t="shared" si="2"/>
        <v>18.472460074833126</v>
      </c>
      <c r="G64" s="110">
        <f t="shared" si="21"/>
        <v>0.44487403516463608</v>
      </c>
      <c r="H64" s="413" t="b">
        <f>Wh_hp&gt;='2025'!Maxi_hp</f>
        <v>0</v>
      </c>
      <c r="I64" s="389">
        <f>IF(H64,Wh_hp,'2025'!Maxi_hp)</f>
        <v>39.639407492619156</v>
      </c>
      <c r="J64" s="85">
        <f>IF(H64,An,'2025'!An_max)</f>
        <v>2021</v>
      </c>
      <c r="K64" s="196">
        <f t="shared" si="3"/>
        <v>46072</v>
      </c>
      <c r="L64" s="147">
        <f>IF(t&lt;Tvie,1-EXP((T0-t)*PertePVj)+'2025'!Pspv,1-EXP((T0-t)*PertePVj)+Pspv)</f>
        <v>5.8738254685246273E-2</v>
      </c>
      <c r="M64" s="847"/>
      <c r="N64" s="847"/>
      <c r="O64" s="48">
        <f>IF(t&lt;Tnet,'2025'!Resal+('2025'!Salim-'2025'!Resal)*(1-EXP(('2025'!Tnet-t)/('2025'!Tau_j))),Resal+(Salim-Resal)*(1-EXP((Tnet-t)/(Tau_j))))*Salcycl</f>
        <v>5.2871605821659846E-2</v>
      </c>
      <c r="P64" s="168">
        <f>(INDEX(Models!$BJ64:$BT64,,T64)*(1-R64)+INDEX(Models!$BJ64:$BT64,,T64+1)*R64-ERP_i)*Q64*Ramure*Pc/MaxiM</f>
        <v>5.4181612311121845E-5</v>
      </c>
      <c r="Q64" s="304">
        <f t="shared" si="4"/>
        <v>0.5</v>
      </c>
      <c r="R64" s="176">
        <f t="shared" si="5"/>
        <v>0.82247153231482273</v>
      </c>
      <c r="S64" s="814">
        <f t="shared" si="6"/>
        <v>-1</v>
      </c>
      <c r="T64" s="175">
        <f t="shared" si="7"/>
        <v>5</v>
      </c>
      <c r="U64" s="250">
        <f t="shared" si="8"/>
        <v>-0.17752846768517727</v>
      </c>
      <c r="V64" s="382">
        <f t="shared" si="9"/>
        <v>37.015482186796753</v>
      </c>
      <c r="W64" s="401">
        <f t="shared" si="10"/>
        <v>16.467934502250269</v>
      </c>
      <c r="X64" s="157">
        <f t="shared" si="11"/>
        <v>46072</v>
      </c>
      <c r="Y64" s="384">
        <f t="shared" si="12"/>
        <v>15.885671618694253</v>
      </c>
      <c r="Z64" s="384">
        <f t="shared" si="22"/>
        <v>16.876996964730736</v>
      </c>
      <c r="AA64" s="385">
        <f t="shared" si="13"/>
        <v>18.470432325901776</v>
      </c>
      <c r="AB64" s="196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8.6269521636291341E-2</v>
      </c>
      <c r="AD64" s="230">
        <f>(INDEX(Models!$BJ64:$BT64,,AH64)*(1-AF64)+INDEX(Models!$BJ64:$BT64,,AH64+1)*AF64-ERP_i)*AE64*Ramure*Pc/MaxiM</f>
        <v>5.3032198034916951E-4</v>
      </c>
      <c r="AE64" s="304">
        <f t="shared" si="15"/>
        <v>0.5</v>
      </c>
      <c r="AF64" s="176">
        <f t="shared" si="23"/>
        <v>0.93746407213921024</v>
      </c>
      <c r="AG64" s="814">
        <f t="shared" si="24"/>
        <v>1</v>
      </c>
      <c r="AH64" s="175">
        <f t="shared" si="16"/>
        <v>7</v>
      </c>
      <c r="AI64" s="224">
        <f t="shared" si="17"/>
        <v>1.9374640721392102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10">
        <f>'2025'!Wh/'2025'!Env_an*'2026'!Env_an</f>
        <v>20.481577330625232</v>
      </c>
      <c r="C65" s="843"/>
      <c r="D65" s="392">
        <f t="shared" si="0"/>
        <v>21.760180385077543</v>
      </c>
      <c r="E65" s="384">
        <f t="shared" si="1"/>
        <v>22.976124700173578</v>
      </c>
      <c r="F65" s="384">
        <f t="shared" si="2"/>
        <v>22.976568366475629</v>
      </c>
      <c r="G65" s="110">
        <f t="shared" si="21"/>
        <v>0.54855690754912201</v>
      </c>
      <c r="H65" s="413" t="b">
        <f>Wh_hp&gt;='2025'!Maxi_hp</f>
        <v>0</v>
      </c>
      <c r="I65" s="389">
        <f>IF(H65,Wh_hp,'2025'!Maxi_hp)</f>
        <v>41.874871627810187</v>
      </c>
      <c r="J65" s="85">
        <f>IF(H65,An,'2025'!An_max)</f>
        <v>2020</v>
      </c>
      <c r="K65" s="196">
        <f t="shared" si="3"/>
        <v>46073</v>
      </c>
      <c r="L65" s="147">
        <f>IF(t&lt;Tvie,1-EXP((T0-t)*PertePVj)+'2025'!Pspv,1-EXP((T0-t)*PertePVj)+Pspv)</f>
        <v>5.875884445007349E-2</v>
      </c>
      <c r="M65" s="847"/>
      <c r="N65" s="847"/>
      <c r="O65" s="48">
        <f>IF(t&lt;Tnet,'2025'!Resal+('2025'!Salim-'2025'!Resal)*(1-EXP(('2025'!Tnet-t)/('2025'!Tau_j))),Resal+(Salim-Resal)*(1-EXP((Tnet-t)/(Tau_j))))*Salcycl</f>
        <v>5.2922080244752881E-2</v>
      </c>
      <c r="P65" s="168">
        <f>(INDEX(Models!$BJ65:$BT65,,T65)*(1-R65)+INDEX(Models!$BJ65:$BT65,,T65+1)*R65-ERP_i)*Q65*Ramure*Pc/MaxiM</f>
        <v>5.4376327175036421E-5</v>
      </c>
      <c r="Q65" s="304">
        <f t="shared" si="4"/>
        <v>0.5</v>
      </c>
      <c r="R65" s="176">
        <f t="shared" si="5"/>
        <v>0.82260044975836888</v>
      </c>
      <c r="S65" s="814">
        <f t="shared" si="6"/>
        <v>-1</v>
      </c>
      <c r="T65" s="175">
        <f t="shared" si="7"/>
        <v>5</v>
      </c>
      <c r="U65" s="250">
        <f t="shared" si="8"/>
        <v>-0.17739955024163109</v>
      </c>
      <c r="V65" s="382">
        <f t="shared" si="9"/>
        <v>37.335887692230621</v>
      </c>
      <c r="W65" s="401">
        <f t="shared" si="10"/>
        <v>20.481577330625232</v>
      </c>
      <c r="X65" s="157">
        <f t="shared" si="11"/>
        <v>46073</v>
      </c>
      <c r="Y65" s="384">
        <f t="shared" si="12"/>
        <v>19.756735819212604</v>
      </c>
      <c r="Z65" s="384">
        <f t="shared" si="22"/>
        <v>20.990089205852456</v>
      </c>
      <c r="AA65" s="385">
        <f t="shared" si="13"/>
        <v>22.97225822442492</v>
      </c>
      <c r="AB65" s="196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8.6285335956434187E-2</v>
      </c>
      <c r="AD65" s="230">
        <f>(INDEX(Models!$BJ65:$BT65,,AH65)*(1-AF65)+INDEX(Models!$BJ65:$BT65,,AH65+1)*AF65-ERP_i)*AE65*Ramure*Pc/MaxiM</f>
        <v>5.2825669480931117E-4</v>
      </c>
      <c r="AE65" s="304">
        <f t="shared" si="15"/>
        <v>0.5</v>
      </c>
      <c r="AF65" s="176">
        <f t="shared" si="23"/>
        <v>0.93759298958275639</v>
      </c>
      <c r="AG65" s="814">
        <f t="shared" si="24"/>
        <v>1</v>
      </c>
      <c r="AH65" s="175">
        <f t="shared" si="16"/>
        <v>7</v>
      </c>
      <c r="AI65" s="224">
        <f t="shared" si="17"/>
        <v>1.9375929895827564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10">
        <f>'2025'!Wh/'2025'!Env_an*'2026'!Env_an</f>
        <v>20.766696972753362</v>
      </c>
      <c r="C66" s="843"/>
      <c r="D66" s="392">
        <f t="shared" si="0"/>
        <v>22.063581818870773</v>
      </c>
      <c r="E66" s="384">
        <f t="shared" si="1"/>
        <v>23.297720057257056</v>
      </c>
      <c r="F66" s="384">
        <f t="shared" si="2"/>
        <v>23.298176672813945</v>
      </c>
      <c r="G66" s="110">
        <f t="shared" si="21"/>
        <v>0.55151006346425968</v>
      </c>
      <c r="H66" s="413" t="b">
        <f>Wh_hp&gt;='2025'!Maxi_hp</f>
        <v>0</v>
      </c>
      <c r="I66" s="389">
        <f>IF(H66,Wh_hp,'2025'!Maxi_hp)</f>
        <v>39.365531433595841</v>
      </c>
      <c r="J66" s="85">
        <f>IF(H66,An,'2025'!An_max)</f>
        <v>2019</v>
      </c>
      <c r="K66" s="196">
        <f t="shared" si="3"/>
        <v>46074</v>
      </c>
      <c r="L66" s="147">
        <f>IF(t&lt;Tvie,1-EXP((T0-t)*PertePVj)+'2025'!Pspv,1-EXP((T0-t)*PertePVj)+Pspv)</f>
        <v>5.8779433763932111E-2</v>
      </c>
      <c r="M66" s="847"/>
      <c r="N66" s="847"/>
      <c r="O66" s="48">
        <f>IF(t&lt;Tnet,'2025'!Resal+('2025'!Salim-'2025'!Resal)*(1-EXP(('2025'!Tnet-t)/('2025'!Tau_j))),Resal+(Salim-Resal)*(1-EXP((Tnet-t)/(Tau_j))))*Salcycl</f>
        <v>5.2972489812446573E-2</v>
      </c>
      <c r="P66" s="168">
        <f>(INDEX(Models!$BJ66:$BT66,,T66)*(1-R66)+INDEX(Models!$BJ66:$BT66,,T66+1)*R66-ERP_i)*Q66*Ramure*Pc/MaxiM</f>
        <v>5.4542892338754362E-5</v>
      </c>
      <c r="Q66" s="304">
        <f t="shared" si="4"/>
        <v>0.5</v>
      </c>
      <c r="R66" s="176">
        <f t="shared" si="5"/>
        <v>0.82273465670794088</v>
      </c>
      <c r="S66" s="814">
        <f t="shared" si="6"/>
        <v>-1</v>
      </c>
      <c r="T66" s="175">
        <f t="shared" si="7"/>
        <v>5</v>
      </c>
      <c r="U66" s="250">
        <f t="shared" si="8"/>
        <v>-0.17726534329205912</v>
      </c>
      <c r="V66" s="382">
        <f t="shared" si="9"/>
        <v>37.652932666446446</v>
      </c>
      <c r="W66" s="401">
        <f t="shared" si="10"/>
        <v>20.766696972753362</v>
      </c>
      <c r="X66" s="157">
        <f t="shared" si="11"/>
        <v>46074</v>
      </c>
      <c r="Y66" s="384">
        <f t="shared" si="12"/>
        <v>20.032450540473317</v>
      </c>
      <c r="Z66" s="384">
        <f t="shared" si="22"/>
        <v>21.283481533539899</v>
      </c>
      <c r="AA66" s="385">
        <f t="shared" si="13"/>
        <v>23.29375883589552</v>
      </c>
      <c r="AB66" s="196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8.6301112521942988E-2</v>
      </c>
      <c r="AD66" s="230">
        <f>(INDEX(Models!$BJ66:$BT66,,AH66)*(1-AF66)+INDEX(Models!$BJ66:$BT66,,AH66+1)*AF66-ERP_i)*AE66*Ramure*Pc/MaxiM</f>
        <v>5.2771220729517718E-4</v>
      </c>
      <c r="AE66" s="304">
        <f t="shared" si="15"/>
        <v>0.5</v>
      </c>
      <c r="AF66" s="176">
        <f t="shared" si="23"/>
        <v>0.93772719653232839</v>
      </c>
      <c r="AG66" s="814">
        <f t="shared" si="24"/>
        <v>1</v>
      </c>
      <c r="AH66" s="175">
        <f t="shared" si="16"/>
        <v>7</v>
      </c>
      <c r="AI66" s="224">
        <f t="shared" si="17"/>
        <v>1.9377271965323284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10">
        <f>'2025'!Wh/'2025'!Env_an*'2026'!Env_an</f>
        <v>34.37551233603596</v>
      </c>
      <c r="C67" s="843"/>
      <c r="D67" s="392">
        <f t="shared" si="0"/>
        <v>36.523069658348192</v>
      </c>
      <c r="E67" s="384">
        <f t="shared" si="1"/>
        <v>38.568057289842528</v>
      </c>
      <c r="F67" s="384">
        <f t="shared" si="2"/>
        <v>38.569878883236534</v>
      </c>
      <c r="G67" s="110">
        <f t="shared" si="21"/>
        <v>0.90540047055282091</v>
      </c>
      <c r="H67" s="413" t="b">
        <f>Wh_hp&gt;='2025'!Maxi_hp</f>
        <v>0</v>
      </c>
      <c r="I67" s="389">
        <f>IF(H67,Wh_hp,'2025'!Maxi_hp)</f>
        <v>40.864561185039193</v>
      </c>
      <c r="J67" s="85">
        <f>IF(H67,An,'2025'!An_max)</f>
        <v>2020</v>
      </c>
      <c r="K67" s="196">
        <f t="shared" si="3"/>
        <v>46075</v>
      </c>
      <c r="L67" s="147">
        <f>IF(t&lt;Tvie,1-EXP((T0-t)*PertePVj)+'2025'!Pspv,1-EXP((T0-t)*PertePVj)+Pspv)</f>
        <v>5.8800022626831906E-2</v>
      </c>
      <c r="M67" s="847"/>
      <c r="N67" s="847"/>
      <c r="O67" s="48">
        <f>IF(t&lt;Tnet,'2025'!Resal+('2025'!Salim-'2025'!Resal)*(1-EXP(('2025'!Tnet-t)/('2025'!Tau_j))),Resal+(Salim-Resal)*(1-EXP((Tnet-t)/(Tau_j))))*Salcycl</f>
        <v>5.3022832239800546E-2</v>
      </c>
      <c r="P67" s="168">
        <f>(INDEX(Models!$BJ67:$BT67,,T67)*(1-R67)+INDEX(Models!$BJ67:$BT67,,T67+1)*R67-ERP_i)*Q67*Ramure*Pc/MaxiM</f>
        <v>5.4607671736736379E-5</v>
      </c>
      <c r="Q67" s="304">
        <f t="shared" si="4"/>
        <v>0.5</v>
      </c>
      <c r="R67" s="176">
        <f t="shared" si="5"/>
        <v>0.82287436506338252</v>
      </c>
      <c r="S67" s="814">
        <f t="shared" si="6"/>
        <v>-1</v>
      </c>
      <c r="T67" s="175">
        <f t="shared" si="7"/>
        <v>5</v>
      </c>
      <c r="U67" s="250">
        <f t="shared" si="8"/>
        <v>-0.17712563493661754</v>
      </c>
      <c r="V67" s="382">
        <f t="shared" si="9"/>
        <v>37.966910528084384</v>
      </c>
      <c r="W67" s="401">
        <f t="shared" si="10"/>
        <v>34.37551233603596</v>
      </c>
      <c r="X67" s="157">
        <f t="shared" si="11"/>
        <v>46075</v>
      </c>
      <c r="Y67" s="384">
        <f t="shared" si="12"/>
        <v>33.153376748992137</v>
      </c>
      <c r="Z67" s="384">
        <f t="shared" si="22"/>
        <v>35.224583028062959</v>
      </c>
      <c r="AA67" s="385">
        <f t="shared" si="13"/>
        <v>38.552295656723487</v>
      </c>
      <c r="AB67" s="196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8.6316847595564142E-2</v>
      </c>
      <c r="AD67" s="230">
        <f>(INDEX(Models!$BJ67:$BT67,,AH67)*(1-AF67)+INDEX(Models!$BJ67:$BT67,,AH67+1)*AF67-ERP_i)*AE67*Ramure*Pc/MaxiM</f>
        <v>5.2710943323382696E-4</v>
      </c>
      <c r="AE67" s="304">
        <f t="shared" si="15"/>
        <v>0.5</v>
      </c>
      <c r="AF67" s="176">
        <f t="shared" si="23"/>
        <v>0.93786690488776991</v>
      </c>
      <c r="AG67" s="814">
        <f t="shared" si="24"/>
        <v>1</v>
      </c>
      <c r="AH67" s="175">
        <f t="shared" si="16"/>
        <v>7</v>
      </c>
      <c r="AI67" s="224">
        <f t="shared" si="17"/>
        <v>1.9378669048877699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10">
        <f>'2025'!Wh/'2025'!Env_an*'2026'!Env_an</f>
        <v>35.347671049007467</v>
      </c>
      <c r="C68" s="843"/>
      <c r="D68" s="392">
        <f t="shared" si="0"/>
        <v>37.556784034572622</v>
      </c>
      <c r="E68" s="384">
        <f t="shared" si="1"/>
        <v>39.661756649662507</v>
      </c>
      <c r="F68" s="384">
        <f t="shared" si="2"/>
        <v>39.663684461841832</v>
      </c>
      <c r="G68" s="110">
        <f t="shared" si="21"/>
        <v>0.92343792365312982</v>
      </c>
      <c r="H68" s="413" t="b">
        <f>Wh_hp&gt;='2025'!Maxi_hp</f>
        <v>0</v>
      </c>
      <c r="I68" s="389">
        <f>IF(H68,Wh_hp,'2025'!Maxi_hp)</f>
        <v>41.700793464247006</v>
      </c>
      <c r="J68" s="85">
        <f>IF(H68,An,'2025'!An_max)</f>
        <v>2020</v>
      </c>
      <c r="K68" s="196">
        <f t="shared" si="3"/>
        <v>46076</v>
      </c>
      <c r="L68" s="147">
        <f>IF(t&lt;Tvie,1-EXP((T0-t)*PertePVj)+'2025'!Pspv,1-EXP((T0-t)*PertePVj)+Pspv)</f>
        <v>5.8820611038782646E-2</v>
      </c>
      <c r="M68" s="847"/>
      <c r="N68" s="847"/>
      <c r="O68" s="48">
        <f>IF(t&lt;Tnet,'2025'!Resal+('2025'!Salim-'2025'!Resal)*(1-EXP(('2025'!Tnet-t)/('2025'!Tau_j))),Resal+(Salim-Resal)*(1-EXP((Tnet-t)/(Tau_j))))*Salcycl</f>
        <v>5.3073106006962412E-2</v>
      </c>
      <c r="P68" s="168">
        <f>(INDEX(Models!$BJ68:$BT68,,T68)*(1-R68)+INDEX(Models!$BJ68:$BT68,,T68+1)*R68-ERP_i)*Q68*Ramure*Pc/MaxiM</f>
        <v>5.4572349126785992E-5</v>
      </c>
      <c r="Q68" s="304">
        <f t="shared" si="4"/>
        <v>0.5</v>
      </c>
      <c r="R68" s="176">
        <f t="shared" si="5"/>
        <v>0.82301979477960918</v>
      </c>
      <c r="S68" s="814">
        <f t="shared" si="6"/>
        <v>-1</v>
      </c>
      <c r="T68" s="175">
        <f t="shared" si="7"/>
        <v>5</v>
      </c>
      <c r="U68" s="250">
        <f t="shared" si="8"/>
        <v>-0.17698020522039082</v>
      </c>
      <c r="V68" s="382">
        <f t="shared" si="9"/>
        <v>38.278111787204764</v>
      </c>
      <c r="W68" s="401">
        <f t="shared" si="10"/>
        <v>35.347671049007467</v>
      </c>
      <c r="X68" s="157">
        <f t="shared" si="11"/>
        <v>46076</v>
      </c>
      <c r="Y68" s="384">
        <f t="shared" si="12"/>
        <v>34.091801144129903</v>
      </c>
      <c r="Z68" s="384">
        <f t="shared" si="22"/>
        <v>36.222426398178065</v>
      </c>
      <c r="AA68" s="385">
        <f t="shared" si="13"/>
        <v>39.645087444048059</v>
      </c>
      <c r="AB68" s="196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8.6332538696010291E-2</v>
      </c>
      <c r="AD68" s="230">
        <f>(INDEX(Models!$BJ68:$BT68,,AH68)*(1-AF68)+INDEX(Models!$BJ68:$BT68,,AH68+1)*AF68-ERP_i)*AE68*Ramure*Pc/MaxiM</f>
        <v>5.2644285508941411E-4</v>
      </c>
      <c r="AE68" s="304">
        <f t="shared" si="15"/>
        <v>0.5</v>
      </c>
      <c r="AF68" s="176">
        <f t="shared" si="23"/>
        <v>0.93801233460399658</v>
      </c>
      <c r="AG68" s="814">
        <f t="shared" si="24"/>
        <v>1</v>
      </c>
      <c r="AH68" s="175">
        <f t="shared" si="16"/>
        <v>7</v>
      </c>
      <c r="AI68" s="224">
        <f t="shared" si="17"/>
        <v>1.9380123346039966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10">
        <f>'2025'!Wh/'2025'!Env_an*'2026'!Env_an</f>
        <v>21.094402779176907</v>
      </c>
      <c r="C69" s="843"/>
      <c r="D69" s="392">
        <f t="shared" si="0"/>
        <v>22.413223737332185</v>
      </c>
      <c r="E69" s="384">
        <f t="shared" si="1"/>
        <v>23.670689102387996</v>
      </c>
      <c r="F69" s="384">
        <f t="shared" si="2"/>
        <v>23.671143203257312</v>
      </c>
      <c r="G69" s="110">
        <f t="shared" si="21"/>
        <v>0.54665441077946131</v>
      </c>
      <c r="H69" s="413" t="b">
        <f>Wh_hp&gt;='2025'!Maxi_hp</f>
        <v>0</v>
      </c>
      <c r="I69" s="389">
        <f>IF(H69,Wh_hp,'2025'!Maxi_hp)</f>
        <v>41.717998173912889</v>
      </c>
      <c r="J69" s="85">
        <f>IF(H69,An,'2025'!An_max)</f>
        <v>2020</v>
      </c>
      <c r="K69" s="196">
        <f t="shared" si="3"/>
        <v>46077</v>
      </c>
      <c r="L69" s="147">
        <f>IF(t&lt;Tvie,1-EXP((T0-t)*PertePVj)+'2025'!Pspv,1-EXP((T0-t)*PertePVj)+Pspv)</f>
        <v>5.8841198999794432E-2</v>
      </c>
      <c r="M69" s="847"/>
      <c r="N69" s="847"/>
      <c r="O69" s="48">
        <f>IF(t&lt;Tnet,'2025'!Resal+('2025'!Salim-'2025'!Resal)*(1-EXP(('2025'!Tnet-t)/('2025'!Tau_j))),Resal+(Salim-Resal)*(1-EXP((Tnet-t)/(Tau_j))))*Salcycl</f>
        <v>5.3123310420605967E-2</v>
      </c>
      <c r="P69" s="168">
        <f>(INDEX(Models!$BJ69:$BT69,,T69)*(1-R69)+INDEX(Models!$BJ69:$BT69,,T69+1)*R69-ERP_i)*Q69*Ramure*Pc/MaxiM</f>
        <v>5.443877203356503E-5</v>
      </c>
      <c r="Q69" s="304">
        <f t="shared" si="4"/>
        <v>0.5</v>
      </c>
      <c r="R69" s="176">
        <f t="shared" si="5"/>
        <v>0.82317117413594021</v>
      </c>
      <c r="S69" s="814">
        <f t="shared" si="6"/>
        <v>-1</v>
      </c>
      <c r="T69" s="175">
        <f t="shared" si="7"/>
        <v>5</v>
      </c>
      <c r="U69" s="250">
        <f t="shared" si="8"/>
        <v>-0.17682882586405985</v>
      </c>
      <c r="V69" s="382">
        <f t="shared" si="9"/>
        <v>38.586826823221543</v>
      </c>
      <c r="W69" s="401">
        <f t="shared" si="10"/>
        <v>21.094402779176907</v>
      </c>
      <c r="X69" s="157">
        <f t="shared" si="11"/>
        <v>46077</v>
      </c>
      <c r="Y69" s="384">
        <f t="shared" si="12"/>
        <v>20.350842780130225</v>
      </c>
      <c r="Z69" s="384">
        <f t="shared" si="22"/>
        <v>21.623176406046042</v>
      </c>
      <c r="AA69" s="385">
        <f t="shared" si="13"/>
        <v>23.666757996622632</v>
      </c>
      <c r="AB69" s="196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8.6348184692986704E-2</v>
      </c>
      <c r="AD69" s="230">
        <f>(INDEX(Models!$BJ69:$BT69,,AH69)*(1-AF69)+INDEX(Models!$BJ69:$BT69,,AH69+1)*AF69-ERP_i)*AE69*Ramure*Pc/MaxiM</f>
        <v>5.2570977163373691E-4</v>
      </c>
      <c r="AE69" s="304">
        <f t="shared" si="15"/>
        <v>0.5</v>
      </c>
      <c r="AF69" s="176">
        <f t="shared" si="23"/>
        <v>0.93816371396032761</v>
      </c>
      <c r="AG69" s="814">
        <f t="shared" si="24"/>
        <v>1</v>
      </c>
      <c r="AH69" s="175">
        <f t="shared" si="16"/>
        <v>7</v>
      </c>
      <c r="AI69" s="224">
        <f t="shared" si="17"/>
        <v>1.9381637139603276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10">
        <f>'2025'!Wh/'2025'!Env_an*'2026'!Env_an</f>
        <v>29.993548158982044</v>
      </c>
      <c r="C70" s="843"/>
      <c r="D70" s="392">
        <f t="shared" si="0"/>
        <v>31.869440353243949</v>
      </c>
      <c r="E70" s="384">
        <f t="shared" si="1"/>
        <v>33.659216894042572</v>
      </c>
      <c r="F70" s="384">
        <f t="shared" si="2"/>
        <v>33.660445103265715</v>
      </c>
      <c r="G70" s="110">
        <f t="shared" si="21"/>
        <v>0.77116061755515453</v>
      </c>
      <c r="H70" s="413" t="b">
        <f>Wh_hp&gt;='2025'!Maxi_hp</f>
        <v>0</v>
      </c>
      <c r="I70" s="389">
        <f>IF(H70,Wh_hp,'2025'!Maxi_hp)</f>
        <v>42.62355723611401</v>
      </c>
      <c r="J70" s="85">
        <f>IF(H70,An,'2025'!An_max)</f>
        <v>2019</v>
      </c>
      <c r="K70" s="196">
        <f t="shared" si="3"/>
        <v>46078</v>
      </c>
      <c r="L70" s="147">
        <f>IF(t&lt;Tvie,1-EXP((T0-t)*PertePVj)+'2025'!Pspv,1-EXP((T0-t)*PertePVj)+Pspv)</f>
        <v>5.8861786509877036E-2</v>
      </c>
      <c r="M70" s="847"/>
      <c r="N70" s="847"/>
      <c r="O70" s="48">
        <f>IF(t&lt;Tnet,'2025'!Resal+('2025'!Salim-'2025'!Resal)*(1-EXP(('2025'!Tnet-t)/('2025'!Tau_j))),Resal+(Salim-Resal)*(1-EXP((Tnet-t)/(Tau_j))))*Salcycl</f>
        <v>5.3173445669658495E-2</v>
      </c>
      <c r="P70" s="168">
        <f>(INDEX(Models!$BJ70:$BT70,,T70)*(1-R70)+INDEX(Models!$BJ70:$BT70,,T70+1)*R70-ERP_i)*Q70*Ramure*Pc/MaxiM</f>
        <v>5.4208696070013003E-5</v>
      </c>
      <c r="Q70" s="304">
        <f t="shared" si="4"/>
        <v>0.5</v>
      </c>
      <c r="R70" s="176">
        <f t="shared" si="5"/>
        <v>0.8233287400112218</v>
      </c>
      <c r="S70" s="814">
        <f t="shared" si="6"/>
        <v>-1</v>
      </c>
      <c r="T70" s="175">
        <f t="shared" si="7"/>
        <v>5</v>
      </c>
      <c r="U70" s="250">
        <f t="shared" si="8"/>
        <v>-0.17667125998877822</v>
      </c>
      <c r="V70" s="382">
        <f t="shared" si="9"/>
        <v>38.893345895016495</v>
      </c>
      <c r="W70" s="401">
        <f t="shared" si="10"/>
        <v>29.993548158982044</v>
      </c>
      <c r="X70" s="157">
        <f t="shared" si="11"/>
        <v>46078</v>
      </c>
      <c r="Y70" s="384">
        <f t="shared" si="12"/>
        <v>28.932975297436847</v>
      </c>
      <c r="Z70" s="384">
        <f t="shared" si="22"/>
        <v>30.742535881251296</v>
      </c>
      <c r="AA70" s="385">
        <f t="shared" si="13"/>
        <v>33.6485522427365</v>
      </c>
      <c r="AB70" s="196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8.6363785892527065E-2</v>
      </c>
      <c r="AD70" s="230">
        <f>(INDEX(Models!$BJ70:$BT70,,AH70)*(1-AF70)+INDEX(Models!$BJ70:$BT70,,AH70+1)*AF70-ERP_i)*AE70*Ramure*Pc/MaxiM</f>
        <v>5.2490768647913831E-4</v>
      </c>
      <c r="AE70" s="304">
        <f t="shared" si="15"/>
        <v>0.5</v>
      </c>
      <c r="AF70" s="176">
        <f t="shared" si="23"/>
        <v>0.93832127983560909</v>
      </c>
      <c r="AG70" s="814">
        <f t="shared" si="24"/>
        <v>1</v>
      </c>
      <c r="AH70" s="175">
        <f t="shared" si="16"/>
        <v>7</v>
      </c>
      <c r="AI70" s="224">
        <f t="shared" si="17"/>
        <v>1.9383212798356091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10">
        <f>'2025'!Wh/'2025'!Env_an*'2026'!Env_an</f>
        <v>39.819343467656061</v>
      </c>
      <c r="C71" s="843"/>
      <c r="D71" s="392">
        <f t="shared" si="0"/>
        <v>42.310697780323856</v>
      </c>
      <c r="E71" s="384">
        <f t="shared" si="1"/>
        <v>44.689214778452509</v>
      </c>
      <c r="F71" s="384">
        <f t="shared" si="2"/>
        <v>44.691622932804925</v>
      </c>
      <c r="G71" s="110">
        <f t="shared" si="21"/>
        <v>1.0158524665485094</v>
      </c>
      <c r="H71" s="413" t="b">
        <f>Wh_hp&gt;='2025'!Maxi_hp</f>
        <v>1</v>
      </c>
      <c r="I71" s="389">
        <f>IF(H71,Wh_hp,'2025'!Maxi_hp)</f>
        <v>44.691622932804925</v>
      </c>
      <c r="J71" s="85">
        <f>IF(H71,An,'2025'!An_max)</f>
        <v>2026</v>
      </c>
      <c r="K71" s="196">
        <f t="shared" si="3"/>
        <v>46079</v>
      </c>
      <c r="L71" s="147">
        <f>IF(t&lt;Tvie,1-EXP((T0-t)*PertePVj)+'2025'!Pspv,1-EXP((T0-t)*PertePVj)+Pspv)</f>
        <v>5.8882373569040337E-2</v>
      </c>
      <c r="M71" s="847"/>
      <c r="N71" s="847"/>
      <c r="O71" s="48">
        <f>IF(t&lt;Tnet,'2025'!Resal+('2025'!Salim-'2025'!Resal)*(1-EXP(('2025'!Tnet-t)/('2025'!Tau_j))),Resal+(Salim-Resal)*(1-EXP((Tnet-t)/(Tau_j))))*Salcycl</f>
        <v>5.3223512874866742E-2</v>
      </c>
      <c r="P71" s="168">
        <f>(INDEX(Models!$BJ71:$BT71,,T71)*(1-R71)+INDEX(Models!$BJ71:$BT71,,T71+1)*R71-ERP_i)*Q71*Ramure*Pc/MaxiM</f>
        <v>5.3883797329052113E-5</v>
      </c>
      <c r="Q71" s="304">
        <f t="shared" si="4"/>
        <v>0.5</v>
      </c>
      <c r="R71" s="176">
        <f t="shared" si="5"/>
        <v>0.82349273816456092</v>
      </c>
      <c r="S71" s="814">
        <f t="shared" si="6"/>
        <v>-1</v>
      </c>
      <c r="T71" s="175">
        <f t="shared" si="7"/>
        <v>5</v>
      </c>
      <c r="U71" s="250">
        <f t="shared" si="8"/>
        <v>-0.17650726183543905</v>
      </c>
      <c r="V71" s="382">
        <f t="shared" si="9"/>
        <v>39.197959131750153</v>
      </c>
      <c r="W71" s="401">
        <f t="shared" si="10"/>
        <v>39.819343467656061</v>
      </c>
      <c r="X71" s="157">
        <f t="shared" si="11"/>
        <v>46079</v>
      </c>
      <c r="Y71" s="384">
        <f t="shared" si="12"/>
        <v>38.406815440471988</v>
      </c>
      <c r="Z71" s="384">
        <f t="shared" si="22"/>
        <v>40.809792911991018</v>
      </c>
      <c r="AA71" s="385">
        <f t="shared" si="13"/>
        <v>44.668202988825762</v>
      </c>
      <c r="AB71" s="196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8.6379344111961825E-2</v>
      </c>
      <c r="AD71" s="230">
        <f>(INDEX(Models!$BJ71:$BT71,,AH71)*(1-AF71)+INDEX(Models!$BJ71:$BT71,,AH71+1)*AF71-ERP_i)*AE71*Ramure*Pc/MaxiM</f>
        <v>5.2403431431380539E-4</v>
      </c>
      <c r="AE71" s="304">
        <f t="shared" si="15"/>
        <v>0.5</v>
      </c>
      <c r="AF71" s="176">
        <f t="shared" si="23"/>
        <v>0.93848527798894832</v>
      </c>
      <c r="AG71" s="814">
        <f t="shared" si="24"/>
        <v>1</v>
      </c>
      <c r="AH71" s="175">
        <f t="shared" si="16"/>
        <v>7</v>
      </c>
      <c r="AI71" s="224">
        <f t="shared" si="17"/>
        <v>1.9384852779889483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10">
        <f>'2025'!Wh/'2025'!Env_an*'2026'!Env_an</f>
        <v>26.215372980671468</v>
      </c>
      <c r="C72" s="843"/>
      <c r="D72" s="392">
        <f t="shared" si="0"/>
        <v>27.856184719920282</v>
      </c>
      <c r="E72" s="384">
        <f t="shared" si="1"/>
        <v>29.42368797718315</v>
      </c>
      <c r="F72" s="384">
        <f t="shared" si="2"/>
        <v>29.424505727525311</v>
      </c>
      <c r="G72" s="110">
        <f t="shared" si="21"/>
        <v>0.6636472177669448</v>
      </c>
      <c r="H72" s="413" t="b">
        <f>Wh_hp&gt;='2025'!Maxi_hp</f>
        <v>0</v>
      </c>
      <c r="I72" s="389">
        <f>IF(H72,Wh_hp,'2025'!Maxi_hp)</f>
        <v>43.393091127418728</v>
      </c>
      <c r="J72" s="85">
        <f>IF(H72,An,'2025'!An_max)</f>
        <v>2019</v>
      </c>
      <c r="K72" s="196">
        <f t="shared" si="3"/>
        <v>46080</v>
      </c>
      <c r="L72" s="147">
        <f>IF(t&lt;Tvie,1-EXP((T0-t)*PertePVj)+'2025'!Pspv,1-EXP((T0-t)*PertePVj)+Pspv)</f>
        <v>5.8902960177294107E-2</v>
      </c>
      <c r="M72" s="847"/>
      <c r="N72" s="847"/>
      <c r="O72" s="48">
        <f>IF(t&lt;Tnet,'2025'!Resal+('2025'!Salim-'2025'!Resal)*(1-EXP(('2025'!Tnet-t)/('2025'!Tau_j))),Resal+(Salim-Resal)*(1-EXP((Tnet-t)/(Tau_j))))*Salcycl</f>
        <v>5.3273514131824691E-2</v>
      </c>
      <c r="P72" s="168">
        <f>(INDEX(Models!$BJ72:$BT72,,T72)*(1-R72)+INDEX(Models!$BJ72:$BT72,,T72+1)*R72-ERP_i)*Q72*Ramure*Pc/MaxiM</f>
        <v>5.3494478346586408E-5</v>
      </c>
      <c r="Q72" s="304">
        <f t="shared" si="4"/>
        <v>0.5</v>
      </c>
      <c r="R72" s="176">
        <f t="shared" si="5"/>
        <v>0.82366342352144706</v>
      </c>
      <c r="S72" s="814">
        <f t="shared" si="6"/>
        <v>-1</v>
      </c>
      <c r="T72" s="175">
        <f t="shared" si="7"/>
        <v>5</v>
      </c>
      <c r="U72" s="250">
        <f t="shared" si="8"/>
        <v>-0.17633657647855297</v>
      </c>
      <c r="V72" s="382">
        <f t="shared" si="9"/>
        <v>39.500955396555206</v>
      </c>
      <c r="W72" s="401">
        <f t="shared" si="10"/>
        <v>26.215372980671468</v>
      </c>
      <c r="X72" s="157">
        <f t="shared" si="11"/>
        <v>46080</v>
      </c>
      <c r="Y72" s="384">
        <f t="shared" si="12"/>
        <v>25.292053389387366</v>
      </c>
      <c r="Z72" s="384">
        <f t="shared" si="22"/>
        <v>26.875074853228906</v>
      </c>
      <c r="AA72" s="385">
        <f t="shared" si="13"/>
        <v>29.41651021572271</v>
      </c>
      <c r="AB72" s="196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8.6394862743964906E-2</v>
      </c>
      <c r="AD72" s="230">
        <f>(INDEX(Models!$BJ72:$BT72,,AH72)*(1-AF72)+INDEX(Models!$BJ72:$BT72,,AH72+1)*AF72-ERP_i)*AE72*Ramure*Pc/MaxiM</f>
        <v>5.2303950355289349E-4</v>
      </c>
      <c r="AE72" s="304">
        <f t="shared" si="15"/>
        <v>0.5</v>
      </c>
      <c r="AF72" s="176">
        <f t="shared" si="23"/>
        <v>0.93865596334583445</v>
      </c>
      <c r="AG72" s="814">
        <f t="shared" si="24"/>
        <v>1</v>
      </c>
      <c r="AH72" s="175">
        <f t="shared" si="16"/>
        <v>7</v>
      </c>
      <c r="AI72" s="224">
        <f t="shared" si="17"/>
        <v>1.9386559633458345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10">
        <f>'2025'!Wh/'2025'!Env_an*'2026'!Env_an</f>
        <v>35.159406863309449</v>
      </c>
      <c r="C73" s="843"/>
      <c r="D73" s="392">
        <f t="shared" si="0"/>
        <v>37.360840053290929</v>
      </c>
      <c r="E73" s="384">
        <f t="shared" si="1"/>
        <v>39.465264195902286</v>
      </c>
      <c r="F73" s="384">
        <f t="shared" si="2"/>
        <v>39.467010504341474</v>
      </c>
      <c r="G73" s="110">
        <f t="shared" si="21"/>
        <v>0.88333616279741445</v>
      </c>
      <c r="H73" s="413" t="b">
        <f>Wh_hp&gt;='2025'!Maxi_hp</f>
        <v>1</v>
      </c>
      <c r="I73" s="389">
        <f>IF(H73,Wh_hp,'2025'!Maxi_hp)</f>
        <v>39.467010504341474</v>
      </c>
      <c r="J73" s="85">
        <f>IF(H73,An,'2025'!An_max)</f>
        <v>2026</v>
      </c>
      <c r="K73" s="196">
        <f t="shared" si="3"/>
        <v>46081</v>
      </c>
      <c r="L73" s="147">
        <f>IF(t&lt;Tvie,1-EXP((T0-t)*PertePVj)+'2025'!Pspv,1-EXP((T0-t)*PertePVj)+Pspv)</f>
        <v>5.8923546334648448E-2</v>
      </c>
      <c r="M73" s="847"/>
      <c r="N73" s="847"/>
      <c r="O73" s="48">
        <f>IF(t&lt;Tnet,'2025'!Resal+('2025'!Salim-'2025'!Resal)*(1-EXP(('2025'!Tnet-t)/('2025'!Tau_j))),Resal+(Salim-Resal)*(1-EXP((Tnet-t)/(Tau_j))))*Salcycl</f>
        <v>5.3323452547160713E-2</v>
      </c>
      <c r="P73" s="168">
        <f>(INDEX(Models!$BJ73:$BT73,,T73)*(1-R73)+INDEX(Models!$BJ73:$BT73,,T73+1)*R73-ERP_i)*Q73*Ramure*Pc/MaxiM</f>
        <v>5.3095784452307588E-5</v>
      </c>
      <c r="Q73" s="304">
        <f t="shared" si="4"/>
        <v>0.5</v>
      </c>
      <c r="R73" s="176">
        <f t="shared" si="5"/>
        <v>0.82384106046499961</v>
      </c>
      <c r="S73" s="814">
        <f t="shared" si="6"/>
        <v>-1</v>
      </c>
      <c r="T73" s="175">
        <f t="shared" si="7"/>
        <v>5</v>
      </c>
      <c r="U73" s="250">
        <f t="shared" si="8"/>
        <v>-0.17615893953500036</v>
      </c>
      <c r="V73" s="382">
        <f t="shared" si="9"/>
        <v>39.802622402033769</v>
      </c>
      <c r="W73" s="401">
        <f t="shared" si="10"/>
        <v>35.159406863309449</v>
      </c>
      <c r="X73" s="157">
        <f t="shared" si="11"/>
        <v>46081</v>
      </c>
      <c r="Y73" s="384">
        <f t="shared" si="12"/>
        <v>33.917318187100157</v>
      </c>
      <c r="Z73" s="384">
        <f t="shared" si="22"/>
        <v>36.040980576017276</v>
      </c>
      <c r="AA73" s="385">
        <f t="shared" si="13"/>
        <v>39.449856344303541</v>
      </c>
      <c r="AB73" s="196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8.6410346809247654E-2</v>
      </c>
      <c r="AD73" s="230">
        <f>(INDEX(Models!$BJ73:$BT73,,AH73)*(1-AF73)+INDEX(Models!$BJ73:$BT73,,AH73+1)*AF73-ERP_i)*AE73*Ramure*Pc/MaxiM</f>
        <v>5.2156512755495454E-4</v>
      </c>
      <c r="AE73" s="304">
        <f t="shared" si="15"/>
        <v>0.5</v>
      </c>
      <c r="AF73" s="176">
        <f t="shared" si="23"/>
        <v>0.93883360028938712</v>
      </c>
      <c r="AG73" s="814">
        <f t="shared" si="24"/>
        <v>1</v>
      </c>
      <c r="AH73" s="175">
        <f t="shared" si="16"/>
        <v>7</v>
      </c>
      <c r="AI73" s="224">
        <f t="shared" si="17"/>
        <v>1.9388336002893871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10">
        <f>'2025'!Wh/'2025'!Env_an*'2026'!Env_an</f>
        <v>38.568320410110076</v>
      </c>
      <c r="C74" s="843"/>
      <c r="D74" s="392">
        <f t="shared" si="0"/>
        <v>40.984092149346289</v>
      </c>
      <c r="E74" s="384">
        <f t="shared" si="1"/>
        <v>43.29488439991264</v>
      </c>
      <c r="F74" s="384">
        <f t="shared" si="2"/>
        <v>43.297040883180408</v>
      </c>
      <c r="G74" s="110">
        <f t="shared" si="21"/>
        <v>0.96172278847099868</v>
      </c>
      <c r="H74" s="413" t="b">
        <f>Wh_hp&gt;='2025'!Maxi_hp</f>
        <v>1</v>
      </c>
      <c r="I74" s="389">
        <f>IF(H74,Wh_hp,'2025'!Maxi_hp)</f>
        <v>43.297040883180408</v>
      </c>
      <c r="J74" s="85">
        <f>IF(H74,An,'2025'!An_max)</f>
        <v>2026</v>
      </c>
      <c r="K74" s="196">
        <f t="shared" si="3"/>
        <v>46082</v>
      </c>
      <c r="L74" s="147">
        <f>IF(t&lt;Tvie,1-EXP((T0-t)*PertePVj)+'2025'!Pspv,1-EXP((T0-t)*PertePVj)+Pspv)</f>
        <v>5.8944132041113019E-2</v>
      </c>
      <c r="M74" s="847"/>
      <c r="N74" s="847"/>
      <c r="O74" s="48">
        <f>IF(t&lt;Tnet,'2025'!Resal+('2025'!Salim-'2025'!Resal)*(1-EXP(('2025'!Tnet-t)/('2025'!Tau_j))),Resal+(Salim-Resal)*(1-EXP((Tnet-t)/(Tau_j))))*Salcycl</f>
        <v>5.3373332267657239E-2</v>
      </c>
      <c r="P74" s="168">
        <f>(INDEX(Models!$BJ74:$BT74,,T74)*(1-R74)+INDEX(Models!$BJ74:$BT74,,T74+1)*R74-ERP_i)*Q74*Ramure*Pc/MaxiM</f>
        <v>5.2687550408964939E-5</v>
      </c>
      <c r="Q74" s="304">
        <f t="shared" si="4"/>
        <v>0.5</v>
      </c>
      <c r="R74" s="176">
        <f t="shared" si="5"/>
        <v>0.82402592313203493</v>
      </c>
      <c r="S74" s="814">
        <f t="shared" si="6"/>
        <v>-1</v>
      </c>
      <c r="T74" s="175">
        <f t="shared" si="7"/>
        <v>5</v>
      </c>
      <c r="U74" s="250">
        <f t="shared" si="8"/>
        <v>-0.1759740768679651</v>
      </c>
      <c r="V74" s="382">
        <f t="shared" si="9"/>
        <v>40.103249873921129</v>
      </c>
      <c r="W74" s="401">
        <f t="shared" si="10"/>
        <v>38.568320410110076</v>
      </c>
      <c r="X74" s="157">
        <f t="shared" si="11"/>
        <v>46082</v>
      </c>
      <c r="Y74" s="384">
        <f t="shared" si="12"/>
        <v>37.20523627554374</v>
      </c>
      <c r="Z74" s="384">
        <f t="shared" si="22"/>
        <v>39.535629649959496</v>
      </c>
      <c r="AA74" s="385">
        <f t="shared" si="13"/>
        <v>43.275773089567025</v>
      </c>
      <c r="AB74" s="196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8.64258029975946E-2</v>
      </c>
      <c r="AD74" s="230">
        <f>(INDEX(Models!$BJ74:$BT74,,AH74)*(1-AF74)+INDEX(Models!$BJ74:$BT74,,AH74+1)*AF74-ERP_i)*AE74*Ramure*Pc/MaxiM</f>
        <v>5.1961819729439622E-4</v>
      </c>
      <c r="AE74" s="304">
        <f t="shared" si="15"/>
        <v>0.5</v>
      </c>
      <c r="AF74" s="176">
        <f t="shared" si="23"/>
        <v>0.93901846295642222</v>
      </c>
      <c r="AG74" s="814">
        <f t="shared" si="24"/>
        <v>1</v>
      </c>
      <c r="AH74" s="175">
        <f t="shared" si="16"/>
        <v>7</v>
      </c>
      <c r="AI74" s="224">
        <f t="shared" si="17"/>
        <v>1.9390184629564222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10">
        <f>'2025'!Wh/'2025'!Env_an*'2026'!Env_an</f>
        <v>15.263700998440594</v>
      </c>
      <c r="C75" s="843"/>
      <c r="D75" s="392">
        <f t="shared" si="0"/>
        <v>16.22011552488523</v>
      </c>
      <c r="E75" s="384">
        <f t="shared" si="1"/>
        <v>17.135550769675287</v>
      </c>
      <c r="F75" s="384">
        <f t="shared" si="2"/>
        <v>17.135650298452184</v>
      </c>
      <c r="G75" s="110">
        <f t="shared" si="21"/>
        <v>0.37776758395900906</v>
      </c>
      <c r="H75" s="413" t="b">
        <f>Wh_hp&gt;='2025'!Maxi_hp</f>
        <v>0</v>
      </c>
      <c r="I75" s="389">
        <f>IF(H75,Wh_hp,'2025'!Maxi_hp)</f>
        <v>29.944510502068969</v>
      </c>
      <c r="J75" s="85">
        <f>IF(H75,An,'2025'!An_max)</f>
        <v>2020</v>
      </c>
      <c r="K75" s="196">
        <f t="shared" si="3"/>
        <v>46083</v>
      </c>
      <c r="L75" s="147">
        <f>IF(t&lt;Tvie,1-EXP((T0-t)*PertePVj)+'2025'!Pspv,1-EXP((T0-t)*PertePVj)+Pspv)</f>
        <v>5.8964717296697812E-2</v>
      </c>
      <c r="M75" s="847"/>
      <c r="N75" s="847"/>
      <c r="O75" s="48">
        <f>IF(t&lt;Tnet,'2025'!Resal+('2025'!Salim-'2025'!Resal)*(1-EXP(('2025'!Tnet-t)/('2025'!Tau_j))),Resal+(Salim-Resal)*(1-EXP((Tnet-t)/(Tau_j))))*Salcycl</f>
        <v>5.342315850215331E-2</v>
      </c>
      <c r="P75" s="168">
        <f>(INDEX(Models!$BJ75:$BT75,,T75)*(1-R75)+INDEX(Models!$BJ75:$BT75,,T75+1)*R75-ERP_i)*Q75*Ramure*Pc/MaxiM</f>
        <v>5.2269638744720856E-5</v>
      </c>
      <c r="Q75" s="304">
        <f t="shared" si="4"/>
        <v>0.5</v>
      </c>
      <c r="R75" s="176">
        <f t="shared" si="5"/>
        <v>0.82421829571359184</v>
      </c>
      <c r="S75" s="814">
        <f t="shared" si="6"/>
        <v>-1</v>
      </c>
      <c r="T75" s="175">
        <f t="shared" si="7"/>
        <v>5</v>
      </c>
      <c r="U75" s="250">
        <f t="shared" si="8"/>
        <v>-0.17578170428640816</v>
      </c>
      <c r="V75" s="382">
        <f t="shared" si="9"/>
        <v>40.403127399619478</v>
      </c>
      <c r="W75" s="401">
        <f t="shared" si="10"/>
        <v>15.263700998440594</v>
      </c>
      <c r="X75" s="157">
        <f t="shared" si="11"/>
        <v>46083</v>
      </c>
      <c r="Y75" s="384">
        <f t="shared" si="12"/>
        <v>14.730518139110821</v>
      </c>
      <c r="Z75" s="384">
        <f t="shared" si="22"/>
        <v>15.653523741208318</v>
      </c>
      <c r="AA75" s="385">
        <f t="shared" si="13"/>
        <v>17.134665465872782</v>
      </c>
      <c r="AB75" s="196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8.6441239697061079E-2</v>
      </c>
      <c r="AD75" s="230">
        <f>(INDEX(Models!$BJ75:$BT75,,AH75)*(1-AF75)+INDEX(Models!$BJ75:$BT75,,AH75+1)*AF75-ERP_i)*AE75*Ramure*Pc/MaxiM</f>
        <v>5.1720562389090407E-4</v>
      </c>
      <c r="AE75" s="304">
        <f t="shared" si="15"/>
        <v>0.5</v>
      </c>
      <c r="AF75" s="176">
        <f t="shared" si="23"/>
        <v>0.93921083553797913</v>
      </c>
      <c r="AG75" s="814">
        <f t="shared" si="24"/>
        <v>1</v>
      </c>
      <c r="AH75" s="175">
        <f t="shared" si="16"/>
        <v>7</v>
      </c>
      <c r="AI75" s="224">
        <f t="shared" si="17"/>
        <v>1.9392108355379791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10">
        <f>'2025'!Wh/'2025'!Env_an*'2026'!Env_an</f>
        <v>35.559934499179583</v>
      </c>
      <c r="C76" s="843"/>
      <c r="D76" s="392">
        <f t="shared" si="0"/>
        <v>37.788925697536619</v>
      </c>
      <c r="E76" s="384">
        <f t="shared" si="1"/>
        <v>39.923766785041138</v>
      </c>
      <c r="F76" s="384">
        <f t="shared" si="2"/>
        <v>39.925463008517006</v>
      </c>
      <c r="G76" s="110">
        <f t="shared" si="21"/>
        <v>0.87364567117959691</v>
      </c>
      <c r="H76" s="413" t="b">
        <f>Wh_hp&gt;='2025'!Maxi_hp</f>
        <v>1</v>
      </c>
      <c r="I76" s="389">
        <f>IF(H76,Wh_hp,'2025'!Maxi_hp)</f>
        <v>39.925463008517006</v>
      </c>
      <c r="J76" s="85">
        <f>IF(H76,An,'2025'!An_max)</f>
        <v>2026</v>
      </c>
      <c r="K76" s="196">
        <f t="shared" si="3"/>
        <v>46084</v>
      </c>
      <c r="L76" s="147">
        <f>IF(t&lt;Tvie,1-EXP((T0-t)*PertePVj)+'2025'!Pspv,1-EXP((T0-t)*PertePVj)+Pspv)</f>
        <v>5.8985302101412708E-2</v>
      </c>
      <c r="M76" s="847"/>
      <c r="N76" s="847"/>
      <c r="O76" s="48">
        <f>IF(t&lt;Tnet,'2025'!Resal+('2025'!Salim-'2025'!Resal)*(1-EXP(('2025'!Tnet-t)/('2025'!Tau_j))),Resal+(Salim-Resal)*(1-EXP((Tnet-t)/(Tau_j))))*Salcycl</f>
        <v>5.3472937536154778E-2</v>
      </c>
      <c r="P76" s="168">
        <f>(INDEX(Models!$BJ76:$BT76,,T76)*(1-R76)+INDEX(Models!$BJ76:$BT76,,T76+1)*R76-ERP_i)*Q76*Ramure*Pc/MaxiM</f>
        <v>5.1841939196261887E-5</v>
      </c>
      <c r="Q76" s="304">
        <f t="shared" si="4"/>
        <v>0.5</v>
      </c>
      <c r="R76" s="176">
        <f t="shared" si="5"/>
        <v>0.82441847275950653</v>
      </c>
      <c r="S76" s="814">
        <f t="shared" si="6"/>
        <v>-1</v>
      </c>
      <c r="T76" s="175">
        <f t="shared" si="7"/>
        <v>5</v>
      </c>
      <c r="U76" s="250">
        <f t="shared" si="8"/>
        <v>-0.17558152724049345</v>
      </c>
      <c r="V76" s="382">
        <f t="shared" si="9"/>
        <v>40.702544426436333</v>
      </c>
      <c r="W76" s="401">
        <f t="shared" si="10"/>
        <v>35.559934499179583</v>
      </c>
      <c r="X76" s="157">
        <f t="shared" si="11"/>
        <v>46084</v>
      </c>
      <c r="Y76" s="384">
        <f t="shared" si="12"/>
        <v>34.307765029369861</v>
      </c>
      <c r="Z76" s="384">
        <f t="shared" si="22"/>
        <v>36.458266917598337</v>
      </c>
      <c r="AA76" s="385">
        <f t="shared" si="13"/>
        <v>39.908634435897412</v>
      </c>
      <c r="AB76" s="196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8.6456667011274774E-2</v>
      </c>
      <c r="AD76" s="230">
        <f>(INDEX(Models!$BJ76:$BT76,,AH76)*(1-AF76)+INDEX(Models!$BJ76:$BT76,,AH76+1)*AF76-ERP_i)*AE76*Ramure*Pc/MaxiM</f>
        <v>5.1433425543142989E-4</v>
      </c>
      <c r="AE76" s="304">
        <f t="shared" si="15"/>
        <v>0.5</v>
      </c>
      <c r="AF76" s="176">
        <f t="shared" si="23"/>
        <v>0.93941101258389392</v>
      </c>
      <c r="AG76" s="814">
        <f t="shared" si="24"/>
        <v>1</v>
      </c>
      <c r="AH76" s="175">
        <f t="shared" si="16"/>
        <v>7</v>
      </c>
      <c r="AI76" s="224">
        <f t="shared" si="17"/>
        <v>1.9394110125838939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10">
        <f>'2025'!Wh/'2025'!Env_an*'2026'!Env_an</f>
        <v>5.3024486112222284</v>
      </c>
      <c r="C77" s="843"/>
      <c r="D77" s="392">
        <f t="shared" si="0"/>
        <v>5.6349434442770967</v>
      </c>
      <c r="E77" s="384">
        <f t="shared" si="1"/>
        <v>5.9535958292834028</v>
      </c>
      <c r="F77" s="384">
        <f t="shared" si="2"/>
        <v>5.9535958292834028</v>
      </c>
      <c r="G77" s="110">
        <f t="shared" si="21"/>
        <v>0.12931572032700381</v>
      </c>
      <c r="H77" s="413" t="b">
        <f>Wh_hp&gt;='2025'!Maxi_hp</f>
        <v>0</v>
      </c>
      <c r="I77" s="389">
        <f>IF(H77,Wh_hp,'2025'!Maxi_hp)</f>
        <v>32.295079329869516</v>
      </c>
      <c r="J77" s="85">
        <f>IF(H77,An,'2025'!An_max)</f>
        <v>2021</v>
      </c>
      <c r="K77" s="196">
        <f t="shared" si="3"/>
        <v>46085</v>
      </c>
      <c r="L77" s="147">
        <f>IF(t&lt;Tvie,1-EXP((T0-t)*PertePVj)+'2025'!Pspv,1-EXP((T0-t)*PertePVj)+Pspv)</f>
        <v>5.9005886455267477E-2</v>
      </c>
      <c r="M77" s="847"/>
      <c r="N77" s="847"/>
      <c r="O77" s="48">
        <f>IF(t&lt;Tnet,'2025'!Resal+('2025'!Salim-'2025'!Resal)*(1-EXP(('2025'!Tnet-t)/('2025'!Tau_j))),Resal+(Salim-Resal)*(1-EXP((Tnet-t)/(Tau_j))))*Salcycl</f>
        <v>5.3522676739153167E-2</v>
      </c>
      <c r="P77" s="168">
        <f>(INDEX(Models!$BJ77:$BT77,,T77)*(1-R77)+INDEX(Models!$BJ77:$BT77,,T77+1)*R77-ERP_i)*Q77*Ramure*Pc/MaxiM</f>
        <v>5.1404368032817923E-5</v>
      </c>
      <c r="Q77" s="304">
        <f t="shared" si="4"/>
        <v>0.5</v>
      </c>
      <c r="R77" s="176">
        <f t="shared" si="5"/>
        <v>0.8246267594865655</v>
      </c>
      <c r="S77" s="814">
        <f t="shared" si="6"/>
        <v>-1</v>
      </c>
      <c r="T77" s="175">
        <f t="shared" si="7"/>
        <v>5</v>
      </c>
      <c r="U77" s="250">
        <f t="shared" si="8"/>
        <v>-0.17537324051343445</v>
      </c>
      <c r="V77" s="382">
        <f t="shared" si="9"/>
        <v>41.001790260260705</v>
      </c>
      <c r="W77" s="401">
        <f t="shared" si="10"/>
        <v>5.3024486112222284</v>
      </c>
      <c r="X77" s="157">
        <f t="shared" si="11"/>
        <v>46085</v>
      </c>
      <c r="Y77" s="384">
        <f t="shared" si="12"/>
        <v>5.1178561205599076</v>
      </c>
      <c r="Z77" s="384">
        <f t="shared" si="22"/>
        <v>5.4387759146344727</v>
      </c>
      <c r="AA77" s="385">
        <f t="shared" si="13"/>
        <v>5.9535958292834028</v>
      </c>
      <c r="AB77" s="196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8.6472096764905068E-2</v>
      </c>
      <c r="AD77" s="230">
        <f>(INDEX(Models!$BJ77:$BT77,,AH77)*(1-AF77)+INDEX(Models!$BJ77:$BT77,,AH77+1)*AF77-ERP_i)*AE77*Ramure*Pc/MaxiM</f>
        <v>5.1101090824935214E-4</v>
      </c>
      <c r="AE77" s="304">
        <f t="shared" si="15"/>
        <v>0.5</v>
      </c>
      <c r="AF77" s="176">
        <f t="shared" si="23"/>
        <v>0.93961929931095289</v>
      </c>
      <c r="AG77" s="814">
        <f t="shared" si="24"/>
        <v>1</v>
      </c>
      <c r="AH77" s="175">
        <f t="shared" si="16"/>
        <v>7</v>
      </c>
      <c r="AI77" s="224">
        <f t="shared" si="17"/>
        <v>1.9396192993109529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10">
        <f>'2025'!Wh/'2025'!Env_an*'2026'!Env_an</f>
        <v>12.388679663848652</v>
      </c>
      <c r="C78" s="843"/>
      <c r="D78" s="392">
        <f t="shared" si="0"/>
        <v>13.165811017622989</v>
      </c>
      <c r="E78" s="384">
        <f t="shared" si="1"/>
        <v>13.911059655172721</v>
      </c>
      <c r="F78" s="384">
        <f t="shared" si="2"/>
        <v>13.911059655172721</v>
      </c>
      <c r="G78" s="110">
        <f t="shared" si="21"/>
        <v>0.29994436370085836</v>
      </c>
      <c r="H78" s="413" t="b">
        <f>Wh_hp&gt;='2025'!Maxi_hp</f>
        <v>0</v>
      </c>
      <c r="I78" s="389">
        <f>IF(H78,Wh_hp,'2025'!Maxi_hp)</f>
        <v>45.312703719886137</v>
      </c>
      <c r="J78" s="85">
        <f>IF(H78,An,'2025'!An_max)</f>
        <v>2019</v>
      </c>
      <c r="K78" s="196">
        <f t="shared" si="3"/>
        <v>46086</v>
      </c>
      <c r="L78" s="147">
        <f>IF(t&lt;Tvie,1-EXP((T0-t)*PertePVj)+'2025'!Pspv,1-EXP((T0-t)*PertePVj)+Pspv)</f>
        <v>5.9026470358272111E-2</v>
      </c>
      <c r="M78" s="847"/>
      <c r="N78" s="847"/>
      <c r="O78" s="48">
        <f>IF(t&lt;Tnet,'2025'!Resal+('2025'!Salim-'2025'!Resal)*(1-EXP(('2025'!Tnet-t)/('2025'!Tau_j))),Resal+(Salim-Resal)*(1-EXP((Tnet-t)/(Tau_j))))*Salcycl</f>
        <v>5.3572384564724129E-2</v>
      </c>
      <c r="P78" s="168">
        <f>(INDEX(Models!$BJ78:$BT78,,T78)*(1-R78)+INDEX(Models!$BJ78:$BT78,,T78+1)*R78-ERP_i)*Q78*Ramure*Pc/MaxiM</f>
        <v>5.0956867263775746E-5</v>
      </c>
      <c r="Q78" s="304">
        <f t="shared" si="4"/>
        <v>0.5</v>
      </c>
      <c r="R78" s="176">
        <f t="shared" si="5"/>
        <v>0.82484347208970288</v>
      </c>
      <c r="S78" s="814">
        <f t="shared" si="6"/>
        <v>-1</v>
      </c>
      <c r="T78" s="175">
        <f t="shared" si="7"/>
        <v>5</v>
      </c>
      <c r="U78" s="250">
        <f t="shared" si="8"/>
        <v>-0.17515652791029707</v>
      </c>
      <c r="V78" s="382">
        <f t="shared" si="9"/>
        <v>41.301154063019311</v>
      </c>
      <c r="W78" s="401">
        <f t="shared" si="10"/>
        <v>12.388679663848652</v>
      </c>
      <c r="X78" s="157">
        <f t="shared" si="11"/>
        <v>46086</v>
      </c>
      <c r="Y78" s="384">
        <f t="shared" si="12"/>
        <v>11.957822257467569</v>
      </c>
      <c r="Z78" s="384">
        <f t="shared" si="22"/>
        <v>12.707926292061016</v>
      </c>
      <c r="AA78" s="385">
        <f t="shared" si="13"/>
        <v>13.911059655172721</v>
      </c>
      <c r="AB78" s="196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8.6487542497478212E-2</v>
      </c>
      <c r="AD78" s="230">
        <f>(INDEX(Models!$BJ78:$BT78,,AH78)*(1-AF78)+INDEX(Models!$BJ78:$BT78,,AH78+1)*AF78-ERP_i)*AE78*Ramure*Pc/MaxiM</f>
        <v>5.0724239297465507E-4</v>
      </c>
      <c r="AE78" s="304">
        <f t="shared" si="15"/>
        <v>0.5</v>
      </c>
      <c r="AF78" s="176">
        <f t="shared" si="23"/>
        <v>0.93983601191409027</v>
      </c>
      <c r="AG78" s="814">
        <f t="shared" si="24"/>
        <v>1</v>
      </c>
      <c r="AH78" s="175">
        <f t="shared" si="16"/>
        <v>7</v>
      </c>
      <c r="AI78" s="224">
        <f t="shared" si="17"/>
        <v>1.9398360119140903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10">
        <f>'2025'!Wh/'2025'!Env_an*'2026'!Env_an</f>
        <v>19.571893943637157</v>
      </c>
      <c r="C79" s="843"/>
      <c r="D79" s="392">
        <f t="shared" ref="D79:D142" si="25">Wh/(1-Ppv)</f>
        <v>20.800077222665099</v>
      </c>
      <c r="E79" s="384">
        <f t="shared" si="1"/>
        <v>21.978616127080997</v>
      </c>
      <c r="F79" s="384">
        <f t="shared" ref="F79:F142" si="26">Wh_sa/(1-Pvg*MEDIAN((-Sdif+Wh/Env_an)/Csdif,0,1))</f>
        <v>21.978886428385973</v>
      </c>
      <c r="G79" s="110">
        <f t="shared" si="21"/>
        <v>0.47045324261420579</v>
      </c>
      <c r="H79" s="413" t="b">
        <f>Wh_hp&gt;='2025'!Maxi_hp</f>
        <v>0</v>
      </c>
      <c r="I79" s="389">
        <f>IF(H79,Wh_hp,'2025'!Maxi_hp)</f>
        <v>24.720173237036324</v>
      </c>
      <c r="J79" s="85">
        <f>IF(H79,An,'2025'!An_max)</f>
        <v>2019</v>
      </c>
      <c r="K79" s="196">
        <f t="shared" ref="K79:K142" si="27">t</f>
        <v>46087</v>
      </c>
      <c r="L79" s="147">
        <f>IF(t&lt;Tvie,1-EXP((T0-t)*PertePVj)+'2025'!Pspv,1-EXP((T0-t)*PertePVj)+Pspv)</f>
        <v>5.9047053810436491E-2</v>
      </c>
      <c r="M79" s="847"/>
      <c r="N79" s="847"/>
      <c r="O79" s="48">
        <f>IF(t&lt;Tnet,'2025'!Resal+('2025'!Salim-'2025'!Resal)*(1-EXP(('2025'!Tnet-t)/('2025'!Tau_j))),Resal+(Salim-Resal)*(1-EXP((Tnet-t)/(Tau_j))))*Salcycl</f>
        <v>5.3622070543547944E-2</v>
      </c>
      <c r="P79" s="168">
        <f>(INDEX(Models!$BJ79:$BT79,,T79)*(1-R79)+INDEX(Models!$BJ79:$BT79,,T79+1)*R79-ERP_i)*Q79*Ramure*Pc/MaxiM</f>
        <v>5.0499774587260603E-5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0.82506893805564174</v>
      </c>
      <c r="S79" s="814">
        <f t="shared" ref="S79:S142" si="30">INDEX(Echel_vg,T79)</f>
        <v>-1</v>
      </c>
      <c r="T79" s="175">
        <f t="shared" ref="T79:T142" si="31">MIN(MATCH(Hp_vg,Echel_vg),10)</f>
        <v>5</v>
      </c>
      <c r="U79" s="250">
        <f t="shared" ref="U79:U142" si="32">IF(OR(t&lt;Ttai,Notai),Hdd+PousH*Croivg,Hdtf+PousH*(Croivg-Croi_tai))</f>
        <v>-0.1749310619443582</v>
      </c>
      <c r="V79" s="382">
        <f t="shared" ref="V79:V142" si="33">MaxiM*(1-Ppv)*(1-Pvg)*(1-Psa)</f>
        <v>41.600619328342205</v>
      </c>
      <c r="W79" s="401">
        <f t="shared" ref="W79:W142" si="34">Wh*(A79&gt;Tmaj)</f>
        <v>19.571893943637157</v>
      </c>
      <c r="X79" s="157">
        <f t="shared" ref="X79:X142" si="35">t</f>
        <v>46087</v>
      </c>
      <c r="Y79" s="384">
        <f t="shared" ref="Y79:Y142" si="36">Wh_pvt_s*(1-Ppv)</f>
        <v>18.88980613673364</v>
      </c>
      <c r="Z79" s="384">
        <f t="shared" ref="Z79:Z142" si="37">Wh_sa_s*(1-Psa_s)</f>
        <v>20.075186770208717</v>
      </c>
      <c r="AA79" s="385">
        <f t="shared" ref="AA79:AA142" si="38">Wh_hp*(1-Pvg_s*MEDIAN((-Sdif+Wh/Env_an)/Csdif,0,1))</f>
        <v>21.976193898342306</v>
      </c>
      <c r="AB79" s="196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8.6503019445827889E-2</v>
      </c>
      <c r="AD79" s="230">
        <f>(INDEX(Models!$BJ79:$BT79,,AH79)*(1-AF79)+INDEX(Models!$BJ79:$BT79,,AH79+1)*AF79-ERP_i)*AE79*Ramure*Pc/MaxiM</f>
        <v>5.0303922981832262E-4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0.94006147788002914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1.9400614778800291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10">
        <f>'2025'!Wh/'2025'!Env_an*'2026'!Env_an</f>
        <v>38.046937637743262</v>
      </c>
      <c r="C80" s="843"/>
      <c r="D80" s="392">
        <f t="shared" si="25"/>
        <v>40.435358721030759</v>
      </c>
      <c r="E80" s="384">
        <f t="shared" ref="E80:E143" si="47">Wh_pvt/(1-Psa)</f>
        <v>42.728681637587385</v>
      </c>
      <c r="F80" s="384">
        <f t="shared" si="26"/>
        <v>42.73054020673284</v>
      </c>
      <c r="G80" s="110">
        <f t="shared" ref="G80:G143" si="48">+Wh_hp/MaxiM</f>
        <v>0.908038829338911</v>
      </c>
      <c r="H80" s="413" t="b">
        <f>Wh_hp&gt;='2025'!Maxi_hp</f>
        <v>1</v>
      </c>
      <c r="I80" s="389">
        <f>IF(H80,Wh_hp,'2025'!Maxi_hp)</f>
        <v>42.73054020673284</v>
      </c>
      <c r="J80" s="85">
        <f>IF(H80,An,'2025'!An_max)</f>
        <v>2026</v>
      </c>
      <c r="K80" s="196">
        <f t="shared" si="27"/>
        <v>46088</v>
      </c>
      <c r="L80" s="147">
        <f>IF(t&lt;Tvie,1-EXP((T0-t)*PertePVj)+'2025'!Pspv,1-EXP((T0-t)*PertePVj)+Pspv)</f>
        <v>5.9067636811770387E-2</v>
      </c>
      <c r="M80" s="847"/>
      <c r="N80" s="847"/>
      <c r="O80" s="48">
        <f>IF(t&lt;Tnet,'2025'!Resal+('2025'!Salim-'2025'!Resal)*(1-EXP(('2025'!Tnet-t)/('2025'!Tau_j))),Resal+(Salim-Resal)*(1-EXP((Tnet-t)/(Tau_j))))*Salcycl</f>
        <v>5.3671745269557897E-2</v>
      </c>
      <c r="P80" s="168">
        <f>(INDEX(Models!$BJ80:$BT80,,T80)*(1-R80)+INDEX(Models!$BJ80:$BT80,,T80+1)*R80-ERP_i)*Q80*Ramure*Pc/MaxiM</f>
        <v>5.0072906306270616E-5</v>
      </c>
      <c r="Q80" s="304">
        <f t="shared" si="28"/>
        <v>0.5</v>
      </c>
      <c r="R80" s="176">
        <f t="shared" si="29"/>
        <v>0.82530349647830314</v>
      </c>
      <c r="S80" s="814">
        <f t="shared" si="30"/>
        <v>-1</v>
      </c>
      <c r="T80" s="175">
        <f t="shared" si="31"/>
        <v>5</v>
      </c>
      <c r="U80" s="250">
        <f t="shared" si="32"/>
        <v>-0.17469650352169686</v>
      </c>
      <c r="V80" s="382">
        <f t="shared" si="33"/>
        <v>41.899846275509951</v>
      </c>
      <c r="W80" s="401">
        <f t="shared" si="34"/>
        <v>38.046937637743262</v>
      </c>
      <c r="X80" s="157">
        <f t="shared" si="35"/>
        <v>46088</v>
      </c>
      <c r="Y80" s="384">
        <f t="shared" si="36"/>
        <v>36.712021979597544</v>
      </c>
      <c r="Z80" s="384">
        <f t="shared" si="37"/>
        <v>39.016642870273408</v>
      </c>
      <c r="AA80" s="385">
        <f t="shared" si="38"/>
        <v>42.712025116681275</v>
      </c>
      <c r="AB80" s="196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8.6518544515573059E-2</v>
      </c>
      <c r="AD80" s="230">
        <f>(INDEX(Models!$BJ80:$BT80,,AH80)*(1-AF80)+INDEX(Models!$BJ80:$BT80,,AH80+1)*AF80-ERP_i)*AE80*Ramure*Pc/MaxiM</f>
        <v>4.9882694527302203E-4</v>
      </c>
      <c r="AE80" s="304">
        <f t="shared" si="40"/>
        <v>0.5</v>
      </c>
      <c r="AF80" s="176">
        <f t="shared" si="41"/>
        <v>0.94029603630269043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1.9402960363026904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10">
        <f>'2025'!Wh/'2025'!Env_an*'2026'!Env_an</f>
        <v>29.949956750996847</v>
      </c>
      <c r="C81" s="843"/>
      <c r="D81" s="392">
        <f t="shared" si="25"/>
        <v>31.830780916248962</v>
      </c>
      <c r="E81" s="384">
        <f t="shared" si="47"/>
        <v>33.637854223662131</v>
      </c>
      <c r="F81" s="384">
        <f t="shared" si="26"/>
        <v>33.638833228051929</v>
      </c>
      <c r="G81" s="110">
        <f t="shared" si="48"/>
        <v>0.70972286118293204</v>
      </c>
      <c r="H81" s="413" t="b">
        <f>Wh_hp&gt;='2025'!Maxi_hp</f>
        <v>1</v>
      </c>
      <c r="I81" s="389">
        <f>IF(H81,Wh_hp,'2025'!Maxi_hp)</f>
        <v>33.638833228051929</v>
      </c>
      <c r="J81" s="85">
        <f>IF(H81,An,'2025'!An_max)</f>
        <v>2026</v>
      </c>
      <c r="K81" s="196">
        <f t="shared" si="27"/>
        <v>46089</v>
      </c>
      <c r="L81" s="147">
        <f>IF(t&lt;Tvie,1-EXP((T0-t)*PertePVj)+'2025'!Pspv,1-EXP((T0-t)*PertePVj)+Pspv)</f>
        <v>5.9088219362283791E-2</v>
      </c>
      <c r="M81" s="847"/>
      <c r="N81" s="847"/>
      <c r="O81" s="48">
        <f>IF(t&lt;Tnet,'2025'!Resal+('2025'!Salim-'2025'!Resal)*(1-EXP(('2025'!Tnet-t)/('2025'!Tau_j))),Resal+(Salim-Resal)*(1-EXP((Tnet-t)/(Tau_j))))*Salcycl</f>
        <v>5.3721420379484408E-2</v>
      </c>
      <c r="P81" s="168">
        <f>(INDEX(Models!$BJ81:$BT81,,T81)*(1-R81)+INDEX(Models!$BJ81:$BT81,,T81+1)*R81-ERP_i)*Q81*Ramure*Pc/MaxiM</f>
        <v>4.9720564195911736E-5</v>
      </c>
      <c r="Q81" s="304">
        <f t="shared" si="28"/>
        <v>0.5</v>
      </c>
      <c r="R81" s="176">
        <f t="shared" si="29"/>
        <v>0.82554749837522923</v>
      </c>
      <c r="S81" s="814">
        <f t="shared" si="30"/>
        <v>-1</v>
      </c>
      <c r="T81" s="175">
        <f t="shared" si="31"/>
        <v>5</v>
      </c>
      <c r="U81" s="250">
        <f t="shared" si="32"/>
        <v>-0.1744525016247708</v>
      </c>
      <c r="V81" s="382">
        <f t="shared" si="33"/>
        <v>42.198639620971726</v>
      </c>
      <c r="W81" s="401">
        <f t="shared" si="34"/>
        <v>29.949956750996847</v>
      </c>
      <c r="X81" s="157">
        <f t="shared" si="35"/>
        <v>46089</v>
      </c>
      <c r="Y81" s="384">
        <f t="shared" si="36"/>
        <v>28.903889456869472</v>
      </c>
      <c r="Z81" s="384">
        <f t="shared" si="37"/>
        <v>30.719021752793289</v>
      </c>
      <c r="AA81" s="385">
        <f t="shared" si="38"/>
        <v>33.629085630434957</v>
      </c>
      <c r="AB81" s="196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8.6534136242110829E-2</v>
      </c>
      <c r="AD81" s="230">
        <f>(INDEX(Models!$BJ81:$BT81,,AH81)*(1-AF81)+INDEX(Models!$BJ81:$BT81,,AH81+1)*AF81-ERP_i)*AE81*Ramure*Pc/MaxiM</f>
        <v>4.9504992839727129E-4</v>
      </c>
      <c r="AE81" s="304">
        <f t="shared" si="40"/>
        <v>0.5</v>
      </c>
      <c r="AF81" s="176">
        <f t="shared" si="41"/>
        <v>0.94054003819961651</v>
      </c>
      <c r="AG81" s="814">
        <f t="shared" si="49"/>
        <v>1</v>
      </c>
      <c r="AH81" s="175">
        <f t="shared" si="42"/>
        <v>7</v>
      </c>
      <c r="AI81" s="224">
        <f t="shared" si="43"/>
        <v>1.9405400381996165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10">
        <f>'2025'!Wh/'2025'!Env_an*'2026'!Env_an</f>
        <v>28.44542981748722</v>
      </c>
      <c r="C82" s="843"/>
      <c r="D82" s="392">
        <f t="shared" si="25"/>
        <v>30.232432678386861</v>
      </c>
      <c r="E82" s="384">
        <f t="shared" si="47"/>
        <v>31.950443440059935</v>
      </c>
      <c r="F82" s="384">
        <f t="shared" si="26"/>
        <v>31.951276982372004</v>
      </c>
      <c r="G82" s="110">
        <f t="shared" si="48"/>
        <v>0.66933890335425861</v>
      </c>
      <c r="H82" s="413" t="b">
        <f>Wh_hp&gt;='2025'!Maxi_hp</f>
        <v>0</v>
      </c>
      <c r="I82" s="389">
        <f>IF(H82,Wh_hp,'2025'!Maxi_hp)</f>
        <v>44.764426477667158</v>
      </c>
      <c r="J82" s="85">
        <f>IF(H82,An,'2025'!An_max)</f>
        <v>2021</v>
      </c>
      <c r="K82" s="196">
        <f t="shared" si="27"/>
        <v>46090</v>
      </c>
      <c r="L82" s="147">
        <f>IF(t&lt;Tvie,1-EXP((T0-t)*PertePVj)+'2025'!Pspv,1-EXP((T0-t)*PertePVj)+Pspv)</f>
        <v>5.9108801461986472E-2</v>
      </c>
      <c r="M82" s="847"/>
      <c r="N82" s="847"/>
      <c r="O82" s="48">
        <f>IF(t&lt;Tnet,'2025'!Resal+('2025'!Salim-'2025'!Resal)*(1-EXP(('2025'!Tnet-t)/('2025'!Tau_j))),Resal+(Salim-Resal)*(1-EXP((Tnet-t)/(Tau_j))))*Salcycl</f>
        <v>5.377110852611857E-2</v>
      </c>
      <c r="P82" s="168">
        <f>(INDEX(Models!$BJ82:$BT82,,T82)*(1-R82)+INDEX(Models!$BJ82:$BT82,,T82+1)*R82-ERP_i)*Q82*Ramure*Pc/MaxiM</f>
        <v>4.9441772685243415E-5</v>
      </c>
      <c r="Q82" s="304">
        <f t="shared" si="28"/>
        <v>0.5</v>
      </c>
      <c r="R82" s="176">
        <f t="shared" si="29"/>
        <v>0.82580130700418131</v>
      </c>
      <c r="S82" s="814">
        <f t="shared" si="30"/>
        <v>-1</v>
      </c>
      <c r="T82" s="175">
        <f t="shared" si="31"/>
        <v>5</v>
      </c>
      <c r="U82" s="250">
        <f t="shared" si="32"/>
        <v>-0.17419869299581867</v>
      </c>
      <c r="V82" s="382">
        <f t="shared" si="33"/>
        <v>42.4968059486648</v>
      </c>
      <c r="W82" s="401">
        <f t="shared" si="34"/>
        <v>28.44542981748722</v>
      </c>
      <c r="X82" s="157">
        <f t="shared" si="35"/>
        <v>46090</v>
      </c>
      <c r="Y82" s="384">
        <f t="shared" si="36"/>
        <v>27.453631717350877</v>
      </c>
      <c r="Z82" s="384">
        <f t="shared" si="37"/>
        <v>29.17832769613447</v>
      </c>
      <c r="AA82" s="385">
        <f t="shared" si="38"/>
        <v>31.942987332016983</v>
      </c>
      <c r="AB82" s="196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8.6549814741699177E-2</v>
      </c>
      <c r="AD82" s="230">
        <f>(INDEX(Models!$BJ82:$BT82,,AH82)*(1-AF82)+INDEX(Models!$BJ82:$BT82,,AH82+1)*AF82-ERP_i)*AE82*Ramure*Pc/MaxiM</f>
        <v>4.9170270370012194E-4</v>
      </c>
      <c r="AE82" s="304">
        <f t="shared" si="40"/>
        <v>0.5</v>
      </c>
      <c r="AF82" s="176">
        <f t="shared" si="41"/>
        <v>0.94079384682856881</v>
      </c>
      <c r="AG82" s="814">
        <f t="shared" si="49"/>
        <v>1</v>
      </c>
      <c r="AH82" s="175">
        <f t="shared" si="42"/>
        <v>7</v>
      </c>
      <c r="AI82" s="224">
        <f t="shared" si="43"/>
        <v>1.9407938468285688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10">
        <f>'2025'!Wh/'2025'!Env_an*'2026'!Env_an</f>
        <v>22.319005312112402</v>
      </c>
      <c r="C83" s="843"/>
      <c r="D83" s="392">
        <f t="shared" si="25"/>
        <v>23.721651958807911</v>
      </c>
      <c r="E83" s="384">
        <f t="shared" si="47"/>
        <v>25.070993469426309</v>
      </c>
      <c r="F83" s="384">
        <f t="shared" si="26"/>
        <v>25.071384146899462</v>
      </c>
      <c r="G83" s="110">
        <f t="shared" si="48"/>
        <v>0.52152579826931278</v>
      </c>
      <c r="H83" s="413" t="b">
        <f>Wh_hp&gt;='2025'!Maxi_hp</f>
        <v>0</v>
      </c>
      <c r="I83" s="389">
        <f>IF(H83,Wh_hp,'2025'!Maxi_hp)</f>
        <v>45.253306652586467</v>
      </c>
      <c r="J83" s="85">
        <f>IF(H83,An,'2025'!An_max)</f>
        <v>2021</v>
      </c>
      <c r="K83" s="196">
        <f t="shared" si="27"/>
        <v>46091</v>
      </c>
      <c r="L83" s="147">
        <f>IF(t&lt;Tvie,1-EXP((T0-t)*PertePVj)+'2025'!Pspv,1-EXP((T0-t)*PertePVj)+Pspv)</f>
        <v>5.9129383110888313E-2</v>
      </c>
      <c r="M83" s="847"/>
      <c r="N83" s="847"/>
      <c r="O83" s="48">
        <f>IF(t&lt;Tnet,'2025'!Resal+('2025'!Salim-'2025'!Resal)*(1-EXP(('2025'!Tnet-t)/('2025'!Tau_j))),Resal+(Salim-Resal)*(1-EXP((Tnet-t)/(Tau_j))))*Salcycl</f>
        <v>5.3820823345668366E-2</v>
      </c>
      <c r="P83" s="168">
        <f>(INDEX(Models!$BJ83:$BT83,,T83)*(1-R83)+INDEX(Models!$BJ83:$BT83,,T83+1)*R83-ERP_i)*Q83*Ramure*Pc/MaxiM</f>
        <v>4.9235616502210419E-5</v>
      </c>
      <c r="Q83" s="304">
        <f t="shared" si="28"/>
        <v>0.5</v>
      </c>
      <c r="R83" s="176">
        <f t="shared" si="29"/>
        <v>0.82606529817898333</v>
      </c>
      <c r="S83" s="814">
        <f t="shared" si="30"/>
        <v>-1</v>
      </c>
      <c r="T83" s="175">
        <f t="shared" si="31"/>
        <v>5</v>
      </c>
      <c r="U83" s="250">
        <f t="shared" si="32"/>
        <v>-0.17393470182101661</v>
      </c>
      <c r="V83" s="382">
        <f t="shared" si="33"/>
        <v>42.794151838176369</v>
      </c>
      <c r="W83" s="401">
        <f t="shared" si="34"/>
        <v>22.319005312112402</v>
      </c>
      <c r="X83" s="157">
        <f t="shared" si="35"/>
        <v>46091</v>
      </c>
      <c r="Y83" s="384">
        <f t="shared" si="36"/>
        <v>21.543605678499254</v>
      </c>
      <c r="Z83" s="384">
        <f t="shared" si="37"/>
        <v>22.897522030957763</v>
      </c>
      <c r="AA83" s="385">
        <f t="shared" si="38"/>
        <v>25.067505747978597</v>
      </c>
      <c r="AB83" s="196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8.6565601653280505E-2</v>
      </c>
      <c r="AD83" s="230">
        <f>(INDEX(Models!$BJ83:$BT83,,AH83)*(1-AF83)+INDEX(Models!$BJ83:$BT83,,AH83+1)*AF83-ERP_i)*AE83*Ramure*Pc/MaxiM</f>
        <v>4.8878006804059602E-4</v>
      </c>
      <c r="AE83" s="304">
        <f t="shared" si="40"/>
        <v>0.5</v>
      </c>
      <c r="AF83" s="176">
        <f t="shared" si="41"/>
        <v>0.94105783800337073</v>
      </c>
      <c r="AG83" s="814">
        <f t="shared" si="49"/>
        <v>1</v>
      </c>
      <c r="AH83" s="175">
        <f t="shared" si="42"/>
        <v>7</v>
      </c>
      <c r="AI83" s="224">
        <f t="shared" si="43"/>
        <v>1.9410578380033707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10">
        <f>'2025'!Wh/'2025'!Env_an*'2026'!Env_an</f>
        <v>14.166371046174206</v>
      </c>
      <c r="C84" s="843"/>
      <c r="D84" s="392">
        <f t="shared" si="25"/>
        <v>15.05699155952076</v>
      </c>
      <c r="E84" s="384">
        <f t="shared" si="47"/>
        <v>15.914304356252348</v>
      </c>
      <c r="F84" s="384">
        <f t="shared" si="26"/>
        <v>15.914336459731324</v>
      </c>
      <c r="G84" s="110">
        <f t="shared" si="48"/>
        <v>0.32874321115285493</v>
      </c>
      <c r="H84" s="413" t="b">
        <f>Wh_hp&gt;='2025'!Maxi_hp</f>
        <v>0</v>
      </c>
      <c r="I84" s="389">
        <f>IF(H84,Wh_hp,'2025'!Maxi_hp)</f>
        <v>35.768760137724279</v>
      </c>
      <c r="J84" s="85">
        <f>IF(H84,An,'2025'!An_max)</f>
        <v>2021</v>
      </c>
      <c r="K84" s="196">
        <f t="shared" si="27"/>
        <v>46092</v>
      </c>
      <c r="L84" s="147">
        <f>IF(t&lt;Tvie,1-EXP((T0-t)*PertePVj)+'2025'!Pspv,1-EXP((T0-t)*PertePVj)+Pspv)</f>
        <v>5.9149964308999194E-2</v>
      </c>
      <c r="M84" s="847"/>
      <c r="N84" s="847"/>
      <c r="O84" s="48">
        <f>IF(t&lt;Tnet,'2025'!Resal+('2025'!Salim-'2025'!Resal)*(1-EXP(('2025'!Tnet-t)/('2025'!Tau_j))),Resal+(Salim-Resal)*(1-EXP((Tnet-t)/(Tau_j))))*Salcycl</f>
        <v>5.3870579419625648E-2</v>
      </c>
      <c r="P84" s="168">
        <f>(INDEX(Models!$BJ84:$BT84,,T84)*(1-R84)+INDEX(Models!$BJ84:$BT84,,T84+1)*R84-ERP_i)*Q84*Ramure*Pc/MaxiM</f>
        <v>4.910124414261242E-5</v>
      </c>
      <c r="Q84" s="304">
        <f t="shared" si="28"/>
        <v>0.5</v>
      </c>
      <c r="R84" s="176">
        <f t="shared" si="29"/>
        <v>0.82633986058358233</v>
      </c>
      <c r="S84" s="814">
        <f t="shared" si="30"/>
        <v>-1</v>
      </c>
      <c r="T84" s="175">
        <f t="shared" si="31"/>
        <v>5</v>
      </c>
      <c r="U84" s="250">
        <f t="shared" si="32"/>
        <v>-0.1736601394164177</v>
      </c>
      <c r="V84" s="382">
        <f t="shared" si="33"/>
        <v>43.090483864511803</v>
      </c>
      <c r="W84" s="401">
        <f t="shared" si="34"/>
        <v>14.166371046174206</v>
      </c>
      <c r="X84" s="157">
        <f t="shared" si="35"/>
        <v>46092</v>
      </c>
      <c r="Y84" s="384">
        <f t="shared" si="36"/>
        <v>13.676345344215299</v>
      </c>
      <c r="Z84" s="384">
        <f t="shared" si="37"/>
        <v>14.536158607009886</v>
      </c>
      <c r="AA84" s="385">
        <f t="shared" si="38"/>
        <v>15.914018521009067</v>
      </c>
      <c r="AB84" s="196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8.6581520071764714E-2</v>
      </c>
      <c r="AD84" s="230">
        <f>(INDEX(Models!$BJ84:$BT84,,AH84)*(1-AF84)+INDEX(Models!$BJ84:$BT84,,AH84+1)*AF84-ERP_i)*AE84*Ramure*Pc/MaxiM</f>
        <v>4.862771052091178E-4</v>
      </c>
      <c r="AE84" s="304">
        <f t="shared" si="40"/>
        <v>0.5</v>
      </c>
      <c r="AF84" s="176">
        <f t="shared" si="41"/>
        <v>0.94133240040796973</v>
      </c>
      <c r="AG84" s="814">
        <f t="shared" si="49"/>
        <v>1</v>
      </c>
      <c r="AH84" s="175">
        <f t="shared" si="42"/>
        <v>7</v>
      </c>
      <c r="AI84" s="224">
        <f t="shared" si="43"/>
        <v>1.9413324004079697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10">
        <f>'2025'!Wh/'2025'!Env_an*'2026'!Env_an</f>
        <v>13.552865581916963</v>
      </c>
      <c r="C85" s="843"/>
      <c r="D85" s="392">
        <f t="shared" si="25"/>
        <v>14.405230948821004</v>
      </c>
      <c r="E85" s="384">
        <f t="shared" si="47"/>
        <v>15.226235541425378</v>
      </c>
      <c r="F85" s="384">
        <f t="shared" si="26"/>
        <v>15.226248748391336</v>
      </c>
      <c r="G85" s="110">
        <f t="shared" si="48"/>
        <v>0.31236654666475594</v>
      </c>
      <c r="H85" s="413" t="b">
        <f>Wh_hp&gt;='2025'!Maxi_hp</f>
        <v>0</v>
      </c>
      <c r="I85" s="389">
        <f>IF(H85,Wh_hp,'2025'!Maxi_hp)</f>
        <v>43.865300261572678</v>
      </c>
      <c r="J85" s="85">
        <f>IF(H85,An,'2025'!An_max)</f>
        <v>2020</v>
      </c>
      <c r="K85" s="196">
        <f t="shared" si="27"/>
        <v>46093</v>
      </c>
      <c r="L85" s="147">
        <f>IF(t&lt;Tvie,1-EXP((T0-t)*PertePVj)+'2025'!Pspv,1-EXP((T0-t)*PertePVj)+Pspv)</f>
        <v>5.9170545056329106E-2</v>
      </c>
      <c r="M85" s="847"/>
      <c r="N85" s="847"/>
      <c r="O85" s="48">
        <f>IF(t&lt;Tnet,'2025'!Resal+('2025'!Salim-'2025'!Resal)*(1-EXP(('2025'!Tnet-t)/('2025'!Tau_j))),Resal+(Salim-Resal)*(1-EXP((Tnet-t)/(Tau_j))))*Salcycl</f>
        <v>5.3920392231599348E-2</v>
      </c>
      <c r="P85" s="168">
        <f>(INDEX(Models!$BJ85:$BT85,,T85)*(1-R85)+INDEX(Models!$BJ85:$BT85,,T85+1)*R85-ERP_i)*Q85*Ramure*Pc/MaxiM</f>
        <v>4.9037871347278617E-5</v>
      </c>
      <c r="Q85" s="304">
        <f t="shared" si="28"/>
        <v>0.5</v>
      </c>
      <c r="R85" s="176">
        <f t="shared" si="29"/>
        <v>0.82662539608319552</v>
      </c>
      <c r="S85" s="814">
        <f t="shared" si="30"/>
        <v>-1</v>
      </c>
      <c r="T85" s="175">
        <f t="shared" si="31"/>
        <v>5</v>
      </c>
      <c r="U85" s="250">
        <f t="shared" si="32"/>
        <v>-0.17337460391680454</v>
      </c>
      <c r="V85" s="382">
        <f t="shared" si="33"/>
        <v>43.385608599505645</v>
      </c>
      <c r="W85" s="401">
        <f t="shared" si="34"/>
        <v>13.552865581916963</v>
      </c>
      <c r="X85" s="157">
        <f t="shared" si="35"/>
        <v>46093</v>
      </c>
      <c r="Y85" s="384">
        <f t="shared" si="36"/>
        <v>13.08465444164935</v>
      </c>
      <c r="Z85" s="384">
        <f t="shared" si="37"/>
        <v>13.907573123795057</v>
      </c>
      <c r="AA85" s="385">
        <f t="shared" si="38"/>
        <v>15.226118345702416</v>
      </c>
      <c r="AB85" s="196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8.6597594473546063E-2</v>
      </c>
      <c r="AD85" s="230">
        <f>(INDEX(Models!$BJ85:$BT85,,AH85)*(1-AF85)+INDEX(Models!$BJ85:$BT85,,AH85+1)*AF85-ERP_i)*AE85*Ramure*Pc/MaxiM</f>
        <v>4.8418920011385669E-4</v>
      </c>
      <c r="AE85" s="304">
        <f t="shared" si="40"/>
        <v>0.5</v>
      </c>
      <c r="AF85" s="176">
        <f t="shared" si="41"/>
        <v>0.94161793590758291</v>
      </c>
      <c r="AG85" s="814">
        <f t="shared" si="49"/>
        <v>1</v>
      </c>
      <c r="AH85" s="175">
        <f t="shared" si="42"/>
        <v>7</v>
      </c>
      <c r="AI85" s="224">
        <f t="shared" si="43"/>
        <v>1.9416179359075829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10">
        <f>'2025'!Wh/'2025'!Env_an*'2026'!Env_an</f>
        <v>8.2413187396273049</v>
      </c>
      <c r="C86" s="843"/>
      <c r="D86" s="392">
        <f t="shared" si="25"/>
        <v>8.7598224907461031</v>
      </c>
      <c r="E86" s="384">
        <f t="shared" si="47"/>
        <v>9.2595637199795675</v>
      </c>
      <c r="F86" s="384">
        <f t="shared" si="26"/>
        <v>9.2595637199795675</v>
      </c>
      <c r="G86" s="110">
        <f t="shared" si="48"/>
        <v>0.18866850872315641</v>
      </c>
      <c r="H86" s="413" t="b">
        <f>Wh_hp&gt;='2025'!Maxi_hp</f>
        <v>0</v>
      </c>
      <c r="I86" s="389">
        <f>IF(H86,Wh_hp,'2025'!Maxi_hp)</f>
        <v>45.683346556341533</v>
      </c>
      <c r="J86" s="85">
        <f>IF(H86,An,'2025'!An_max)</f>
        <v>2021</v>
      </c>
      <c r="K86" s="196">
        <f t="shared" si="27"/>
        <v>46094</v>
      </c>
      <c r="L86" s="147">
        <f>IF(t&lt;Tvie,1-EXP((T0-t)*PertePVj)+'2025'!Pspv,1-EXP((T0-t)*PertePVj)+Pspv)</f>
        <v>5.919112535288782E-2</v>
      </c>
      <c r="M86" s="847"/>
      <c r="N86" s="847"/>
      <c r="O86" s="48">
        <f>IF(t&lt;Tnet,'2025'!Resal+('2025'!Salim-'2025'!Resal)*(1-EXP(('2025'!Tnet-t)/('2025'!Tau_j))),Resal+(Salim-Resal)*(1-EXP((Tnet-t)/(Tau_j))))*Salcycl</f>
        <v>5.3970278119600999E-2</v>
      </c>
      <c r="P86" s="168">
        <f>(INDEX(Models!$BJ86:$BT86,,T86)*(1-R86)+INDEX(Models!$BJ86:$BT86,,T86+1)*R86-ERP_i)*Q86*Ramure*Pc/MaxiM</f>
        <v>4.901123766827896E-5</v>
      </c>
      <c r="Q86" s="304">
        <f t="shared" si="28"/>
        <v>0.5</v>
      </c>
      <c r="R86" s="176">
        <f t="shared" si="29"/>
        <v>0.82692232003130295</v>
      </c>
      <c r="S86" s="814">
        <f t="shared" si="30"/>
        <v>-1</v>
      </c>
      <c r="T86" s="175">
        <f t="shared" si="31"/>
        <v>5</v>
      </c>
      <c r="U86" s="250">
        <f t="shared" si="32"/>
        <v>-0.17307767996869708</v>
      </c>
      <c r="V86" s="382">
        <f t="shared" si="33"/>
        <v>43.679334077358931</v>
      </c>
      <c r="W86" s="401">
        <f t="shared" si="34"/>
        <v>8.2413187396273049</v>
      </c>
      <c r="X86" s="157">
        <f t="shared" si="35"/>
        <v>46094</v>
      </c>
      <c r="Y86" s="384">
        <f t="shared" si="36"/>
        <v>7.9569449195686675</v>
      </c>
      <c r="Z86" s="384">
        <f t="shared" si="37"/>
        <v>8.4575572509913197</v>
      </c>
      <c r="AA86" s="385">
        <f t="shared" si="38"/>
        <v>9.2595637199795675</v>
      </c>
      <c r="AB86" s="196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8.6613850635072556E-2</v>
      </c>
      <c r="AD86" s="230">
        <f>(INDEX(Models!$BJ86:$BT86,,AH86)*(1-AF86)+INDEX(Models!$BJ86:$BT86,,AH86+1)*AF86-ERP_i)*AE86*Ramure*Pc/MaxiM</f>
        <v>4.8258044211646912E-4</v>
      </c>
      <c r="AE86" s="304">
        <f t="shared" si="40"/>
        <v>0.5</v>
      </c>
      <c r="AF86" s="176">
        <f t="shared" si="41"/>
        <v>0.94191485985569035</v>
      </c>
      <c r="AG86" s="814">
        <f t="shared" si="49"/>
        <v>1</v>
      </c>
      <c r="AH86" s="175">
        <f t="shared" si="42"/>
        <v>7</v>
      </c>
      <c r="AI86" s="224">
        <f t="shared" si="43"/>
        <v>1.9419148598556903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10">
        <f>'2025'!Wh/'2025'!Env_an*'2026'!Env_an</f>
        <v>11.047196483579466</v>
      </c>
      <c r="C87" s="843"/>
      <c r="D87" s="392">
        <f t="shared" si="25"/>
        <v>11.742489298203402</v>
      </c>
      <c r="E87" s="384">
        <f t="shared" si="47"/>
        <v>12.413045153069863</v>
      </c>
      <c r="F87" s="384">
        <f t="shared" si="26"/>
        <v>12.413045153069863</v>
      </c>
      <c r="G87" s="110">
        <f t="shared" si="48"/>
        <v>0.25122325276801194</v>
      </c>
      <c r="H87" s="413" t="b">
        <f>Wh_hp&gt;='2025'!Maxi_hp</f>
        <v>0</v>
      </c>
      <c r="I87" s="389">
        <f>IF(H87,Wh_hp,'2025'!Maxi_hp)</f>
        <v>40.234319557946243</v>
      </c>
      <c r="J87" s="85">
        <f>IF(H87,An,'2025'!An_max)</f>
        <v>2020</v>
      </c>
      <c r="K87" s="196">
        <f t="shared" si="27"/>
        <v>46095</v>
      </c>
      <c r="L87" s="147">
        <f>IF(t&lt;Tvie,1-EXP((T0-t)*PertePVj)+'2025'!Pspv,1-EXP((T0-t)*PertePVj)+Pspv)</f>
        <v>5.9211705198685217E-2</v>
      </c>
      <c r="M87" s="847"/>
      <c r="N87" s="847"/>
      <c r="O87" s="48">
        <f>IF(t&lt;Tnet,'2025'!Resal+('2025'!Salim-'2025'!Resal)*(1-EXP(('2025'!Tnet-t)/('2025'!Tau_j))),Resal+(Salim-Resal)*(1-EXP((Tnet-t)/(Tau_j))))*Salcycl</f>
        <v>5.4020254224292928E-2</v>
      </c>
      <c r="P87" s="168">
        <f>(INDEX(Models!$BJ87:$BT87,,T87)*(1-R87)+INDEX(Models!$BJ87:$BT87,,T87+1)*R87-ERP_i)*Q87*Ramure*Pc/MaxiM</f>
        <v>4.8994995703287859E-5</v>
      </c>
      <c r="Q87" s="304">
        <f t="shared" si="28"/>
        <v>0.5</v>
      </c>
      <c r="R87" s="176">
        <f t="shared" si="29"/>
        <v>0.82723106157112547</v>
      </c>
      <c r="S87" s="814">
        <f t="shared" si="30"/>
        <v>-1</v>
      </c>
      <c r="T87" s="175">
        <f t="shared" si="31"/>
        <v>5</v>
      </c>
      <c r="U87" s="250">
        <f t="shared" si="32"/>
        <v>-0.1727689384288745</v>
      </c>
      <c r="V87" s="382">
        <f t="shared" si="33"/>
        <v>43.97146802504016</v>
      </c>
      <c r="W87" s="401">
        <f t="shared" si="34"/>
        <v>11.047196483579466</v>
      </c>
      <c r="X87" s="157">
        <f t="shared" si="35"/>
        <v>46095</v>
      </c>
      <c r="Y87" s="384">
        <f t="shared" si="36"/>
        <v>10.666374635792907</v>
      </c>
      <c r="Z87" s="384">
        <f t="shared" si="37"/>
        <v>11.337699134581113</v>
      </c>
      <c r="AA87" s="385">
        <f t="shared" si="38"/>
        <v>12.413045153069863</v>
      </c>
      <c r="AB87" s="196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8.663031554532015E-2</v>
      </c>
      <c r="AD87" s="230">
        <f>(INDEX(Models!$BJ87:$BT87,,AH87)*(1-AF87)+INDEX(Models!$BJ87:$BT87,,AH87+1)*AF87-ERP_i)*AE87*Ramure*Pc/MaxiM</f>
        <v>4.8148930452126404E-4</v>
      </c>
      <c r="AE87" s="304">
        <f t="shared" si="40"/>
        <v>0.5</v>
      </c>
      <c r="AF87" s="176">
        <f t="shared" si="41"/>
        <v>0.94222360139551298</v>
      </c>
      <c r="AG87" s="814">
        <f t="shared" si="49"/>
        <v>1</v>
      </c>
      <c r="AH87" s="175">
        <f t="shared" si="42"/>
        <v>7</v>
      </c>
      <c r="AI87" s="224">
        <f t="shared" si="43"/>
        <v>1.942223601395513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10">
        <f>'2025'!Wh/'2025'!Env_an*'2026'!Env_an</f>
        <v>13.135149432082745</v>
      </c>
      <c r="C88" s="843"/>
      <c r="D88" s="392">
        <f t="shared" si="25"/>
        <v>13.962160070948389</v>
      </c>
      <c r="E88" s="384">
        <f t="shared" si="47"/>
        <v>14.760251885779526</v>
      </c>
      <c r="F88" s="384">
        <f t="shared" si="26"/>
        <v>14.760251885779526</v>
      </c>
      <c r="G88" s="110">
        <f t="shared" si="48"/>
        <v>0.29674574682517713</v>
      </c>
      <c r="H88" s="413" t="b">
        <f>Wh_hp&gt;='2025'!Maxi_hp</f>
        <v>0</v>
      </c>
      <c r="I88" s="389">
        <f>IF(H88,Wh_hp,'2025'!Maxi_hp)</f>
        <v>34.275990691254492</v>
      </c>
      <c r="J88" s="85">
        <f>IF(H88,An,'2025'!An_max)</f>
        <v>2020</v>
      </c>
      <c r="K88" s="196">
        <f t="shared" si="27"/>
        <v>46096</v>
      </c>
      <c r="L88" s="147">
        <f>IF(t&lt;Tvie,1-EXP((T0-t)*PertePVj)+'2025'!Pspv,1-EXP((T0-t)*PertePVj)+Pspv)</f>
        <v>5.9232284593731178E-2</v>
      </c>
      <c r="M88" s="847"/>
      <c r="N88" s="847"/>
      <c r="O88" s="48">
        <f>IF(t&lt;Tnet,'2025'!Resal+('2025'!Salim-'2025'!Resal)*(1-EXP(('2025'!Tnet-t)/('2025'!Tau_j))),Resal+(Salim-Resal)*(1-EXP((Tnet-t)/(Tau_j))))*Salcycl</f>
        <v>5.4070338433725669E-2</v>
      </c>
      <c r="P88" s="168">
        <f>(INDEX(Models!$BJ88:$BT88,,T88)*(1-R88)+INDEX(Models!$BJ88:$BT88,,T88+1)*R88-ERP_i)*Q88*Ramure*Pc/MaxiM</f>
        <v>4.8989490419249218E-5</v>
      </c>
      <c r="Q88" s="304">
        <f t="shared" si="28"/>
        <v>0.5</v>
      </c>
      <c r="R88" s="176">
        <f t="shared" si="29"/>
        <v>0.8275520639301045</v>
      </c>
      <c r="S88" s="814">
        <f t="shared" si="30"/>
        <v>-1</v>
      </c>
      <c r="T88" s="175">
        <f t="shared" si="31"/>
        <v>5</v>
      </c>
      <c r="U88" s="250">
        <f t="shared" si="32"/>
        <v>-0.17244793606989553</v>
      </c>
      <c r="V88" s="382">
        <f t="shared" si="33"/>
        <v>44.261817021234229</v>
      </c>
      <c r="W88" s="401">
        <f t="shared" si="34"/>
        <v>13.135149432082745</v>
      </c>
      <c r="X88" s="157">
        <f t="shared" si="35"/>
        <v>46096</v>
      </c>
      <c r="Y88" s="384">
        <f t="shared" si="36"/>
        <v>12.682790697108391</v>
      </c>
      <c r="Z88" s="384">
        <f t="shared" si="37"/>
        <v>13.481320085087477</v>
      </c>
      <c r="AA88" s="385">
        <f t="shared" si="38"/>
        <v>14.760251885779526</v>
      </c>
      <c r="AB88" s="196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8.6647017313045374E-2</v>
      </c>
      <c r="AD88" s="230">
        <f>(INDEX(Models!$BJ88:$BT88,,AH88)*(1-AF88)+INDEX(Models!$BJ88:$BT88,,AH88+1)*AF88-ERP_i)*AE88*Ramure*Pc/MaxiM</f>
        <v>4.8091032258854277E-4</v>
      </c>
      <c r="AE88" s="304">
        <f t="shared" si="40"/>
        <v>0.5</v>
      </c>
      <c r="AF88" s="176">
        <f t="shared" si="41"/>
        <v>0.94254460375449178</v>
      </c>
      <c r="AG88" s="814">
        <f t="shared" si="49"/>
        <v>1</v>
      </c>
      <c r="AH88" s="175">
        <f t="shared" si="42"/>
        <v>7</v>
      </c>
      <c r="AI88" s="224">
        <f t="shared" si="43"/>
        <v>1.9425446037544918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10">
        <f>'2025'!Wh/'2025'!Env_an*'2026'!Env_an</f>
        <v>11.012293322630111</v>
      </c>
      <c r="C89" s="843"/>
      <c r="D89" s="392">
        <f t="shared" si="25"/>
        <v>11.705901507227548</v>
      </c>
      <c r="E89" s="384">
        <f t="shared" si="47"/>
        <v>12.375680113227128</v>
      </c>
      <c r="F89" s="384">
        <f t="shared" si="26"/>
        <v>12.375680113227128</v>
      </c>
      <c r="G89" s="110">
        <f t="shared" si="48"/>
        <v>0.24717637244171592</v>
      </c>
      <c r="H89" s="413" t="b">
        <f>Wh_hp&gt;='2025'!Maxi_hp</f>
        <v>0</v>
      </c>
      <c r="I89" s="389">
        <f>IF(H89,Wh_hp,'2025'!Maxi_hp)</f>
        <v>51.528895224299958</v>
      </c>
      <c r="J89" s="85">
        <f>IF(H89,An,'2025'!An_max)</f>
        <v>2020</v>
      </c>
      <c r="K89" s="196">
        <f t="shared" si="27"/>
        <v>46097</v>
      </c>
      <c r="L89" s="147">
        <f>IF(t&lt;Tvie,1-EXP((T0-t)*PertePVj)+'2025'!Pspv,1-EXP((T0-t)*PertePVj)+Pspv)</f>
        <v>5.9252863538035473E-2</v>
      </c>
      <c r="M89" s="847"/>
      <c r="N89" s="847"/>
      <c r="O89" s="48">
        <f>IF(t&lt;Tnet,'2025'!Resal+('2025'!Salim-'2025'!Resal)*(1-EXP(('2025'!Tnet-t)/('2025'!Tau_j))),Resal+(Salim-Resal)*(1-EXP((Tnet-t)/(Tau_j))))*Salcycl</f>
        <v>5.4120549325101006E-2</v>
      </c>
      <c r="P89" s="168">
        <f>(INDEX(Models!$BJ89:$BT89,,T89)*(1-R89)+INDEX(Models!$BJ89:$BT89,,T89+1)*R89-ERP_i)*Q89*Ramure*Pc/MaxiM</f>
        <v>4.8995078484679097E-5</v>
      </c>
      <c r="Q89" s="304">
        <f t="shared" si="28"/>
        <v>0.5</v>
      </c>
      <c r="R89" s="176">
        <f t="shared" si="29"/>
        <v>0.82788578470576768</v>
      </c>
      <c r="S89" s="814">
        <f t="shared" si="30"/>
        <v>-1</v>
      </c>
      <c r="T89" s="175">
        <f t="shared" si="31"/>
        <v>5</v>
      </c>
      <c r="U89" s="250">
        <f t="shared" si="32"/>
        <v>-0.17211421529423238</v>
      </c>
      <c r="V89" s="382">
        <f t="shared" si="33"/>
        <v>44.550187648097463</v>
      </c>
      <c r="W89" s="401">
        <f t="shared" si="34"/>
        <v>11.012293322630111</v>
      </c>
      <c r="X89" s="157">
        <f t="shared" si="35"/>
        <v>46097</v>
      </c>
      <c r="Y89" s="384">
        <f t="shared" si="36"/>
        <v>10.633410094022086</v>
      </c>
      <c r="Z89" s="384">
        <f t="shared" si="37"/>
        <v>11.303154356667029</v>
      </c>
      <c r="AA89" s="385">
        <f t="shared" si="38"/>
        <v>12.375680113227128</v>
      </c>
      <c r="AB89" s="196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8.6663985069699981E-2</v>
      </c>
      <c r="AD89" s="230">
        <f>(INDEX(Models!$BJ89:$BT89,,AH89)*(1-AF89)+INDEX(Models!$BJ89:$BT89,,AH89+1)*AF89-ERP_i)*AE89*Ramure*Pc/MaxiM</f>
        <v>4.8083850927175918E-4</v>
      </c>
      <c r="AE89" s="304">
        <f t="shared" si="40"/>
        <v>0.5</v>
      </c>
      <c r="AF89" s="176">
        <f t="shared" si="41"/>
        <v>0.94287832453015508</v>
      </c>
      <c r="AG89" s="814">
        <f t="shared" si="49"/>
        <v>1</v>
      </c>
      <c r="AH89" s="175">
        <f t="shared" si="42"/>
        <v>7</v>
      </c>
      <c r="AI89" s="224">
        <f t="shared" si="43"/>
        <v>1.9428783245301551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10">
        <f>'2025'!Wh/'2025'!Env_an*'2026'!Env_an</f>
        <v>9.7190071511342371</v>
      </c>
      <c r="C90" s="843"/>
      <c r="D90" s="392">
        <f t="shared" si="25"/>
        <v>10.331383831794398</v>
      </c>
      <c r="E90" s="384">
        <f t="shared" si="47"/>
        <v>10.923097944935369</v>
      </c>
      <c r="F90" s="384">
        <f t="shared" si="26"/>
        <v>10.923097944935369</v>
      </c>
      <c r="G90" s="110">
        <f t="shared" si="48"/>
        <v>0.21675544266641134</v>
      </c>
      <c r="H90" s="413" t="b">
        <f>Wh_hp&gt;='2025'!Maxi_hp</f>
        <v>0</v>
      </c>
      <c r="I90" s="389">
        <f>IF(H90,Wh_hp,'2025'!Maxi_hp)</f>
        <v>25.74376126702278</v>
      </c>
      <c r="J90" s="85">
        <f>IF(H90,An,'2025'!An_max)</f>
        <v>2021</v>
      </c>
      <c r="K90" s="196">
        <f t="shared" si="27"/>
        <v>46098</v>
      </c>
      <c r="L90" s="147">
        <f>IF(t&lt;Tvie,1-EXP((T0-t)*PertePVj)+'2025'!Pspv,1-EXP((T0-t)*PertePVj)+Pspv)</f>
        <v>5.9273442031608205E-2</v>
      </c>
      <c r="M90" s="847"/>
      <c r="N90" s="847"/>
      <c r="O90" s="48">
        <f>IF(t&lt;Tnet,'2025'!Resal+('2025'!Salim-'2025'!Resal)*(1-EXP(('2025'!Tnet-t)/('2025'!Tau_j))),Resal+(Salim-Resal)*(1-EXP((Tnet-t)/(Tau_j))))*Salcycl</f>
        <v>5.4170906104099137E-2</v>
      </c>
      <c r="P90" s="168">
        <f>(INDEX(Models!$BJ90:$BT90,,T90)*(1-R90)+INDEX(Models!$BJ90:$BT90,,T90+1)*R90-ERP_i)*Q90*Ramure*Pc/MaxiM</f>
        <v>4.9012128447567162E-5</v>
      </c>
      <c r="Q90" s="304">
        <f t="shared" si="28"/>
        <v>0.5</v>
      </c>
      <c r="R90" s="176">
        <f t="shared" si="29"/>
        <v>0.82823269614122619</v>
      </c>
      <c r="S90" s="814">
        <f t="shared" si="30"/>
        <v>-1</v>
      </c>
      <c r="T90" s="175">
        <f t="shared" si="31"/>
        <v>5</v>
      </c>
      <c r="U90" s="250">
        <f t="shared" si="32"/>
        <v>-0.17176730385877384</v>
      </c>
      <c r="V90" s="382">
        <f t="shared" si="33"/>
        <v>44.836386493253016</v>
      </c>
      <c r="W90" s="401">
        <f t="shared" si="34"/>
        <v>9.7190071511342371</v>
      </c>
      <c r="X90" s="157">
        <f t="shared" si="35"/>
        <v>46098</v>
      </c>
      <c r="Y90" s="384">
        <f t="shared" si="36"/>
        <v>9.3849423017275253</v>
      </c>
      <c r="Z90" s="384">
        <f t="shared" si="37"/>
        <v>9.976270173551173</v>
      </c>
      <c r="AA90" s="385">
        <f t="shared" si="38"/>
        <v>10.923097944935369</v>
      </c>
      <c r="AB90" s="196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8.6681248868889241E-2</v>
      </c>
      <c r="AD90" s="230">
        <f>(INDEX(Models!$BJ90:$BT90,,AH90)*(1-AF90)+INDEX(Models!$BJ90:$BT90,,AH90+1)*AF90-ERP_i)*AE90*Ramure*Pc/MaxiM</f>
        <v>4.8126937381742075E-4</v>
      </c>
      <c r="AE90" s="304">
        <f t="shared" si="40"/>
        <v>0.5</v>
      </c>
      <c r="AF90" s="176">
        <f t="shared" si="41"/>
        <v>0.94322523596561347</v>
      </c>
      <c r="AG90" s="814">
        <f t="shared" si="49"/>
        <v>1</v>
      </c>
      <c r="AH90" s="175">
        <f t="shared" si="42"/>
        <v>7</v>
      </c>
      <c r="AI90" s="224">
        <f t="shared" si="43"/>
        <v>1.9432252359656135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10">
        <f>'2025'!Wh/'2025'!Env_an*'2026'!Env_an</f>
        <v>12.44135022346056</v>
      </c>
      <c r="C91" s="843"/>
      <c r="D91" s="392">
        <f t="shared" si="25"/>
        <v>13.22554601432992</v>
      </c>
      <c r="E91" s="384">
        <f t="shared" si="47"/>
        <v>13.983765770825027</v>
      </c>
      <c r="F91" s="384">
        <f t="shared" si="26"/>
        <v>13.983765770825027</v>
      </c>
      <c r="G91" s="110">
        <f t="shared" si="48"/>
        <v>0.27572427715857506</v>
      </c>
      <c r="H91" s="413" t="b">
        <f>Wh_hp&gt;='2025'!Maxi_hp</f>
        <v>0</v>
      </c>
      <c r="I91" s="389">
        <f>IF(H91,Wh_hp,'2025'!Maxi_hp)</f>
        <v>31.959695723000372</v>
      </c>
      <c r="J91" s="85">
        <f>IF(H91,An,'2025'!An_max)</f>
        <v>2019</v>
      </c>
      <c r="K91" s="196">
        <f t="shared" si="27"/>
        <v>46099</v>
      </c>
      <c r="L91" s="147">
        <f>IF(t&lt;Tvie,1-EXP((T0-t)*PertePVj)+'2025'!Pspv,1-EXP((T0-t)*PertePVj)+Pspv)</f>
        <v>5.9294020074459032E-2</v>
      </c>
      <c r="M91" s="847"/>
      <c r="N91" s="847"/>
      <c r="O91" s="48">
        <f>IF(t&lt;Tnet,'2025'!Resal+('2025'!Salim-'2025'!Resal)*(1-EXP(('2025'!Tnet-t)/('2025'!Tau_j))),Resal+(Salim-Resal)*(1-EXP((Tnet-t)/(Tau_j))))*Salcycl</f>
        <v>5.4221428542304051E-2</v>
      </c>
      <c r="P91" s="168">
        <f>(INDEX(Models!$BJ91:$BT91,,T91)*(1-R91)+INDEX(Models!$BJ91:$BT91,,T91+1)*R91-ERP_i)*Q91*Ramure*Pc/MaxiM</f>
        <v>4.9041020924187059E-5</v>
      </c>
      <c r="Q91" s="304">
        <f t="shared" si="28"/>
        <v>0.5</v>
      </c>
      <c r="R91" s="176">
        <f t="shared" si="29"/>
        <v>0.82859328538840149</v>
      </c>
      <c r="S91" s="814">
        <f t="shared" si="30"/>
        <v>-1</v>
      </c>
      <c r="T91" s="175">
        <f t="shared" si="31"/>
        <v>5</v>
      </c>
      <c r="U91" s="250">
        <f t="shared" si="32"/>
        <v>-0.17140671461159857</v>
      </c>
      <c r="V91" s="382">
        <f t="shared" si="33"/>
        <v>45.120220153080631</v>
      </c>
      <c r="W91" s="401">
        <f t="shared" si="34"/>
        <v>12.44135022346056</v>
      </c>
      <c r="X91" s="157">
        <f t="shared" si="35"/>
        <v>46099</v>
      </c>
      <c r="Y91" s="384">
        <f t="shared" si="36"/>
        <v>12.014122479773317</v>
      </c>
      <c r="Z91" s="384">
        <f t="shared" si="37"/>
        <v>12.771389505490612</v>
      </c>
      <c r="AA91" s="385">
        <f t="shared" si="38"/>
        <v>13.983765770825027</v>
      </c>
      <c r="AB91" s="196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8.6698839583243884E-2</v>
      </c>
      <c r="AD91" s="230">
        <f>(INDEX(Models!$BJ91:$BT91,,AH91)*(1-AF91)+INDEX(Models!$BJ91:$BT91,,AH91+1)*AF91-ERP_i)*AE91*Ramure*Pc/MaxiM</f>
        <v>4.8219894013340654E-4</v>
      </c>
      <c r="AE91" s="304">
        <f t="shared" si="40"/>
        <v>0.5</v>
      </c>
      <c r="AF91" s="176">
        <f t="shared" si="41"/>
        <v>0.94358582521278889</v>
      </c>
      <c r="AG91" s="814">
        <f t="shared" si="49"/>
        <v>1</v>
      </c>
      <c r="AH91" s="175">
        <f t="shared" si="42"/>
        <v>7</v>
      </c>
      <c r="AI91" s="224">
        <f t="shared" si="43"/>
        <v>1.9435858252127889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10">
        <f>'2025'!Wh/'2025'!Env_an*'2026'!Env_an</f>
        <v>27.952727996098535</v>
      </c>
      <c r="C92" s="843"/>
      <c r="D92" s="392">
        <f t="shared" si="25"/>
        <v>29.715277739785101</v>
      </c>
      <c r="E92" s="384">
        <f t="shared" si="47"/>
        <v>31.420537450168528</v>
      </c>
      <c r="F92" s="384">
        <f t="shared" si="26"/>
        <v>31.421232944926352</v>
      </c>
      <c r="G92" s="110">
        <f t="shared" si="48"/>
        <v>0.61566198592767751</v>
      </c>
      <c r="H92" s="413" t="b">
        <f>Wh_hp&gt;='2025'!Maxi_hp</f>
        <v>0</v>
      </c>
      <c r="I92" s="389">
        <f>IF(H92,Wh_hp,'2025'!Maxi_hp)</f>
        <v>46.728461228850939</v>
      </c>
      <c r="J92" s="85">
        <f>IF(H92,An,'2025'!An_max)</f>
        <v>2020</v>
      </c>
      <c r="K92" s="196">
        <f t="shared" si="27"/>
        <v>46100</v>
      </c>
      <c r="L92" s="147">
        <f>IF(t&lt;Tvie,1-EXP((T0-t)*PertePVj)+'2025'!Pspv,1-EXP((T0-t)*PertePVj)+Pspv)</f>
        <v>5.9314597666597947E-2</v>
      </c>
      <c r="M92" s="847"/>
      <c r="N92" s="847"/>
      <c r="O92" s="48">
        <f>IF(t&lt;Tnet,'2025'!Resal+('2025'!Salim-'2025'!Resal)*(1-EXP(('2025'!Tnet-t)/('2025'!Tau_j))),Resal+(Salim-Resal)*(1-EXP((Tnet-t)/(Tau_j))))*Salcycl</f>
        <v>5.4272136913249364E-2</v>
      </c>
      <c r="P92" s="168">
        <f>(INDEX(Models!$BJ92:$BT92,,T92)*(1-R92)+INDEX(Models!$BJ92:$BT92,,T92+1)*R92-ERP_i)*Q92*Ramure*Pc/MaxiM</f>
        <v>4.9082148807360723E-5</v>
      </c>
      <c r="Q92" s="304">
        <f t="shared" si="28"/>
        <v>0.5</v>
      </c>
      <c r="R92" s="176">
        <f t="shared" si="29"/>
        <v>0.82896805475692537</v>
      </c>
      <c r="S92" s="814">
        <f t="shared" si="30"/>
        <v>-1</v>
      </c>
      <c r="T92" s="175">
        <f t="shared" si="31"/>
        <v>5</v>
      </c>
      <c r="U92" s="250">
        <f t="shared" si="32"/>
        <v>-0.17103194524307463</v>
      </c>
      <c r="V92" s="382">
        <f t="shared" si="33"/>
        <v>45.40149523496089</v>
      </c>
      <c r="W92" s="401">
        <f t="shared" si="34"/>
        <v>27.952727996098535</v>
      </c>
      <c r="X92" s="157">
        <f t="shared" si="35"/>
        <v>46100</v>
      </c>
      <c r="Y92" s="384">
        <f t="shared" si="36"/>
        <v>26.988476632066142</v>
      </c>
      <c r="Z92" s="384">
        <f t="shared" si="37"/>
        <v>28.69022583439725</v>
      </c>
      <c r="AA92" s="385">
        <f t="shared" si="38"/>
        <v>31.41437998918855</v>
      </c>
      <c r="AB92" s="196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8.6716788799550762E-2</v>
      </c>
      <c r="AD92" s="230">
        <f>(INDEX(Models!$BJ92:$BT92,,AH92)*(1-AF92)+INDEX(Models!$BJ92:$BT92,,AH92+1)*AF92-ERP_i)*AE92*Ramure*Pc/MaxiM</f>
        <v>4.8362376496536165E-4</v>
      </c>
      <c r="AE92" s="304">
        <f t="shared" si="40"/>
        <v>0.5</v>
      </c>
      <c r="AF92" s="176">
        <f t="shared" si="41"/>
        <v>0.94396059458131276</v>
      </c>
      <c r="AG92" s="814">
        <f t="shared" si="49"/>
        <v>1</v>
      </c>
      <c r="AH92" s="175">
        <f t="shared" si="42"/>
        <v>7</v>
      </c>
      <c r="AI92" s="224">
        <f t="shared" si="43"/>
        <v>1.9439605945813128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10">
        <f>'2025'!Wh/'2025'!Env_an*'2026'!Env_an</f>
        <v>31.051390252624422</v>
      </c>
      <c r="C93" s="843"/>
      <c r="D93" s="392">
        <f t="shared" si="25"/>
        <v>33.010047171996298</v>
      </c>
      <c r="E93" s="384">
        <f t="shared" si="47"/>
        <v>34.906261846903682</v>
      </c>
      <c r="F93" s="384">
        <f t="shared" si="26"/>
        <v>34.907192228412555</v>
      </c>
      <c r="G93" s="110">
        <f t="shared" si="48"/>
        <v>0.67970829025887014</v>
      </c>
      <c r="H93" s="413" t="b">
        <f>Wh_hp&gt;='2025'!Maxi_hp</f>
        <v>0</v>
      </c>
      <c r="I93" s="389">
        <f>IF(H93,Wh_hp,'2025'!Maxi_hp)</f>
        <v>52.177110378201441</v>
      </c>
      <c r="J93" s="85">
        <f>IF(H93,An,'2025'!An_max)</f>
        <v>2019</v>
      </c>
      <c r="K93" s="196">
        <f t="shared" si="27"/>
        <v>46101</v>
      </c>
      <c r="L93" s="147">
        <f>IF(t&lt;Tvie,1-EXP((T0-t)*PertePVj)+'2025'!Pspv,1-EXP((T0-t)*PertePVj)+Pspv)</f>
        <v>5.933517480803472E-2</v>
      </c>
      <c r="M93" s="847"/>
      <c r="N93" s="847"/>
      <c r="O93" s="48">
        <f>IF(t&lt;Tnet,'2025'!Resal+('2025'!Salim-'2025'!Resal)*(1-EXP(('2025'!Tnet-t)/('2025'!Tau_j))),Resal+(Salim-Resal)*(1-EXP((Tnet-t)/(Tau_j))))*Salcycl</f>
        <v>5.4323051927589516E-2</v>
      </c>
      <c r="P93" s="168">
        <f>(INDEX(Models!$BJ93:$BT93,,T93)*(1-R93)+INDEX(Models!$BJ93:$BT93,,T93+1)*R93-ERP_i)*Q93*Ramure*Pc/MaxiM</f>
        <v>4.9133379420570224E-5</v>
      </c>
      <c r="Q93" s="304">
        <f t="shared" si="28"/>
        <v>0.5</v>
      </c>
      <c r="R93" s="176">
        <f t="shared" si="29"/>
        <v>0.82935752194649826</v>
      </c>
      <c r="S93" s="814">
        <f t="shared" si="30"/>
        <v>-1</v>
      </c>
      <c r="T93" s="175">
        <f t="shared" si="31"/>
        <v>5</v>
      </c>
      <c r="U93" s="250">
        <f t="shared" si="32"/>
        <v>-0.17064247805350174</v>
      </c>
      <c r="V93" s="382">
        <f t="shared" si="33"/>
        <v>45.682379679760025</v>
      </c>
      <c r="W93" s="401">
        <f t="shared" si="34"/>
        <v>31.051390252624422</v>
      </c>
      <c r="X93" s="157">
        <f t="shared" si="35"/>
        <v>46101</v>
      </c>
      <c r="Y93" s="384">
        <f t="shared" si="36"/>
        <v>29.980037931790122</v>
      </c>
      <c r="Z93" s="384">
        <f t="shared" si="37"/>
        <v>31.871116181762165</v>
      </c>
      <c r="AA93" s="385">
        <f t="shared" si="38"/>
        <v>34.89799858046316</v>
      </c>
      <c r="AB93" s="196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8.6735128712955037E-2</v>
      </c>
      <c r="AD93" s="230">
        <f>(INDEX(Models!$BJ93:$BT93,,AH93)*(1-AF93)+INDEX(Models!$BJ93:$BT93,,AH93+1)*AF93-ERP_i)*AE93*Ramure*Pc/MaxiM</f>
        <v>4.8551587563936137E-4</v>
      </c>
      <c r="AE93" s="304">
        <f t="shared" si="40"/>
        <v>0.5</v>
      </c>
      <c r="AF93" s="176">
        <f t="shared" si="41"/>
        <v>0.94435006177088576</v>
      </c>
      <c r="AG93" s="814">
        <f t="shared" si="49"/>
        <v>1</v>
      </c>
      <c r="AH93" s="175">
        <f t="shared" si="42"/>
        <v>7</v>
      </c>
      <c r="AI93" s="224">
        <f t="shared" si="43"/>
        <v>1.9443500617708858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10">
        <f>'2025'!Wh/'2025'!Env_an*'2026'!Env_an</f>
        <v>44.68211088623756</v>
      </c>
      <c r="C94" s="843"/>
      <c r="D94" s="392">
        <f t="shared" si="25"/>
        <v>47.501604307294691</v>
      </c>
      <c r="E94" s="384">
        <f t="shared" si="47"/>
        <v>50.232982263646193</v>
      </c>
      <c r="F94" s="384">
        <f t="shared" si="26"/>
        <v>50.235352607266243</v>
      </c>
      <c r="G94" s="110">
        <f t="shared" si="48"/>
        <v>0.97209656787689458</v>
      </c>
      <c r="H94" s="413" t="b">
        <f>Wh_hp&gt;='2025'!Maxi_hp</f>
        <v>0</v>
      </c>
      <c r="I94" s="389">
        <f>IF(H94,Wh_hp,'2025'!Maxi_hp)</f>
        <v>51.739394586450686</v>
      </c>
      <c r="J94" s="85">
        <f>IF(H94,An,'2025'!An_max)</f>
        <v>2020</v>
      </c>
      <c r="K94" s="196">
        <f t="shared" si="27"/>
        <v>46102</v>
      </c>
      <c r="L94" s="147">
        <f>IF(t&lt;Tvie,1-EXP((T0-t)*PertePVj)+'2025'!Pspv,1-EXP((T0-t)*PertePVj)+Pspv)</f>
        <v>5.9355751498779342E-2</v>
      </c>
      <c r="M94" s="847"/>
      <c r="N94" s="847"/>
      <c r="O94" s="48">
        <f>IF(t&lt;Tnet,'2025'!Resal+('2025'!Salim-'2025'!Resal)*(1-EXP(('2025'!Tnet-t)/('2025'!Tau_j))),Resal+(Salim-Resal)*(1-EXP((Tnet-t)/(Tau_j))))*Salcycl</f>
        <v>5.4374194667876893E-2</v>
      </c>
      <c r="P94" s="168">
        <f>(INDEX(Models!$BJ94:$BT94,,T94)*(1-R94)+INDEX(Models!$BJ94:$BT94,,T94+1)*R94-ERP_i)*Q94*Ramure*Pc/MaxiM</f>
        <v>4.9143602053315656E-5</v>
      </c>
      <c r="Q94" s="304">
        <f t="shared" si="28"/>
        <v>0.5</v>
      </c>
      <c r="R94" s="176">
        <f t="shared" si="29"/>
        <v>0.82976222026031843</v>
      </c>
      <c r="S94" s="814">
        <f t="shared" si="30"/>
        <v>-1</v>
      </c>
      <c r="T94" s="175">
        <f t="shared" si="31"/>
        <v>5</v>
      </c>
      <c r="U94" s="250">
        <f t="shared" si="32"/>
        <v>-0.1702377797396816</v>
      </c>
      <c r="V94" s="382">
        <f t="shared" si="33"/>
        <v>45.964593265665783</v>
      </c>
      <c r="W94" s="401">
        <f t="shared" si="34"/>
        <v>44.68211088623756</v>
      </c>
      <c r="X94" s="157">
        <f t="shared" si="35"/>
        <v>46102</v>
      </c>
      <c r="Y94" s="384">
        <f t="shared" si="36"/>
        <v>43.133969070313064</v>
      </c>
      <c r="Z94" s="384">
        <f t="shared" si="37"/>
        <v>45.85577293332814</v>
      </c>
      <c r="AA94" s="385">
        <f t="shared" si="38"/>
        <v>50.211845999329192</v>
      </c>
      <c r="AB94" s="196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8.6753892021003295E-2</v>
      </c>
      <c r="AD94" s="230">
        <f>(INDEX(Models!$BJ94:$BT94,,AH94)*(1-AF94)+INDEX(Models!$BJ94:$BT94,,AH94+1)*AF94-ERP_i)*AE94*Ramure*Pc/MaxiM</f>
        <v>4.873552409494541E-4</v>
      </c>
      <c r="AE94" s="304">
        <f t="shared" si="40"/>
        <v>0.5</v>
      </c>
      <c r="AF94" s="176">
        <f t="shared" si="41"/>
        <v>0.94475476008470571</v>
      </c>
      <c r="AG94" s="814">
        <f t="shared" si="49"/>
        <v>1</v>
      </c>
      <c r="AH94" s="175">
        <f t="shared" si="42"/>
        <v>7</v>
      </c>
      <c r="AI94" s="224">
        <f t="shared" si="43"/>
        <v>1.9447547600847057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10">
        <f>'2025'!Wh/'2025'!Env_an*'2026'!Env_an</f>
        <v>41.926744624670114</v>
      </c>
      <c r="C95" s="843"/>
      <c r="D95" s="392">
        <f t="shared" si="25"/>
        <v>44.573346239397445</v>
      </c>
      <c r="E95" s="384">
        <f t="shared" si="47"/>
        <v>47.138909010359235</v>
      </c>
      <c r="F95" s="384">
        <f t="shared" si="26"/>
        <v>47.140913843841631</v>
      </c>
      <c r="G95" s="110">
        <f t="shared" si="48"/>
        <v>0.90657180587301744</v>
      </c>
      <c r="H95" s="413" t="b">
        <f>Wh_hp&gt;='2025'!Maxi_hp</f>
        <v>0</v>
      </c>
      <c r="I95" s="389">
        <f>IF(H95,Wh_hp,'2025'!Maxi_hp)</f>
        <v>50.590016829396532</v>
      </c>
      <c r="J95" s="85">
        <f>IF(H95,An,'2025'!An_max)</f>
        <v>2019</v>
      </c>
      <c r="K95" s="196">
        <f t="shared" si="27"/>
        <v>46103</v>
      </c>
      <c r="L95" s="147">
        <f>IF(t&lt;Tvie,1-EXP((T0-t)*PertePVj)+'2025'!Pspv,1-EXP((T0-t)*PertePVj)+Pspv)</f>
        <v>5.9376327738841696E-2</v>
      </c>
      <c r="M95" s="847"/>
      <c r="N95" s="847"/>
      <c r="O95" s="48">
        <f>IF(t&lt;Tnet,'2025'!Resal+('2025'!Salim-'2025'!Resal)*(1-EXP(('2025'!Tnet-t)/('2025'!Tau_j))),Resal+(Salim-Resal)*(1-EXP((Tnet-t)/(Tau_j))))*Salcycl</f>
        <v>5.442558652339579E-2</v>
      </c>
      <c r="P95" s="168">
        <f>(INDEX(Models!$BJ95:$BT95,,T95)*(1-R95)+INDEX(Models!$BJ95:$BT95,,T95+1)*R95-ERP_i)*Q95*Ramure*Pc/MaxiM</f>
        <v>4.9078567474399448E-5</v>
      </c>
      <c r="Q95" s="304">
        <f t="shared" si="28"/>
        <v>0.5</v>
      </c>
      <c r="R95" s="176">
        <f t="shared" si="29"/>
        <v>0.83018269879702322</v>
      </c>
      <c r="S95" s="814">
        <f t="shared" si="30"/>
        <v>-1</v>
      </c>
      <c r="T95" s="175">
        <f t="shared" si="31"/>
        <v>5</v>
      </c>
      <c r="U95" s="250">
        <f t="shared" si="32"/>
        <v>-0.16981730120297678</v>
      </c>
      <c r="V95" s="382">
        <f t="shared" si="33"/>
        <v>46.247268798098823</v>
      </c>
      <c r="W95" s="401">
        <f t="shared" si="34"/>
        <v>41.926744624670114</v>
      </c>
      <c r="X95" s="157">
        <f t="shared" si="35"/>
        <v>46103</v>
      </c>
      <c r="Y95" s="384">
        <f t="shared" si="36"/>
        <v>40.477027118885616</v>
      </c>
      <c r="Z95" s="384">
        <f t="shared" si="37"/>
        <v>43.032116150748351</v>
      </c>
      <c r="AA95" s="385">
        <f t="shared" si="38"/>
        <v>47.120947387374649</v>
      </c>
      <c r="AB95" s="196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8.6773111818244958E-2</v>
      </c>
      <c r="AD95" s="230">
        <f>(INDEX(Models!$BJ95:$BT95,,AH95)*(1-AF95)+INDEX(Models!$BJ95:$BT95,,AH95+1)*AF95-ERP_i)*AE95*Ramure*Pc/MaxiM</f>
        <v>4.8878128260729193E-4</v>
      </c>
      <c r="AE95" s="304">
        <f t="shared" si="40"/>
        <v>0.5</v>
      </c>
      <c r="AF95" s="176">
        <f t="shared" si="41"/>
        <v>0.94517523862141051</v>
      </c>
      <c r="AG95" s="814">
        <f t="shared" si="49"/>
        <v>1</v>
      </c>
      <c r="AH95" s="175">
        <f t="shared" si="42"/>
        <v>7</v>
      </c>
      <c r="AI95" s="224">
        <f t="shared" si="43"/>
        <v>1.9451752386214105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10">
        <f>'2025'!Wh/'2025'!Env_an*'2026'!Env_an</f>
        <v>46.626831125100523</v>
      </c>
      <c r="C96" s="843"/>
      <c r="D96" s="392">
        <f t="shared" si="25"/>
        <v>49.571207345584142</v>
      </c>
      <c r="E96" s="384">
        <f t="shared" si="47"/>
        <v>52.427302568589589</v>
      </c>
      <c r="F96" s="384">
        <f t="shared" si="26"/>
        <v>52.42986850975435</v>
      </c>
      <c r="G96" s="110">
        <f t="shared" si="48"/>
        <v>1.0020910044790494</v>
      </c>
      <c r="H96" s="413" t="b">
        <f>Wh_hp&gt;='2025'!Maxi_hp</f>
        <v>1</v>
      </c>
      <c r="I96" s="389">
        <f>IF(H96,Wh_hp,'2025'!Maxi_hp)</f>
        <v>52.42986850975435</v>
      </c>
      <c r="J96" s="85">
        <f>IF(H96,An,'2025'!An_max)</f>
        <v>2026</v>
      </c>
      <c r="K96" s="196">
        <f t="shared" si="27"/>
        <v>46104</v>
      </c>
      <c r="L96" s="147">
        <f>IF(t&lt;Tvie,1-EXP((T0-t)*PertePVj)+'2025'!Pspv,1-EXP((T0-t)*PertePVj)+Pspv)</f>
        <v>5.9396903528231439E-2</v>
      </c>
      <c r="M96" s="847"/>
      <c r="N96" s="847"/>
      <c r="O96" s="48">
        <f>IF(t&lt;Tnet,'2025'!Resal+('2025'!Salim-'2025'!Resal)*(1-EXP(('2025'!Tnet-t)/('2025'!Tau_j))),Resal+(Salim-Resal)*(1-EXP((Tnet-t)/(Tau_j))))*Salcycl</f>
        <v>5.4477249125469918E-2</v>
      </c>
      <c r="P96" s="168">
        <f>(INDEX(Models!$BJ96:$BT96,,T96)*(1-R96)+INDEX(Models!$BJ96:$BT96,,T96+1)*R96-ERP_i)*Q96*Ramure*Pc/MaxiM</f>
        <v>4.8940446308424472E-5</v>
      </c>
      <c r="Q96" s="304">
        <f t="shared" si="28"/>
        <v>0.5</v>
      </c>
      <c r="R96" s="176">
        <f t="shared" si="29"/>
        <v>0.8306195226184</v>
      </c>
      <c r="S96" s="814">
        <f t="shared" si="30"/>
        <v>-1</v>
      </c>
      <c r="T96" s="175">
        <f t="shared" si="31"/>
        <v>5</v>
      </c>
      <c r="U96" s="250">
        <f t="shared" si="32"/>
        <v>-0.1693804773816</v>
      </c>
      <c r="V96" s="382">
        <f t="shared" si="33"/>
        <v>46.529537653459045</v>
      </c>
      <c r="W96" s="401">
        <f t="shared" si="34"/>
        <v>46.626831125100523</v>
      </c>
      <c r="X96" s="157">
        <f t="shared" si="35"/>
        <v>46104</v>
      </c>
      <c r="Y96" s="384">
        <f t="shared" si="36"/>
        <v>45.013389253072276</v>
      </c>
      <c r="Z96" s="384">
        <f t="shared" si="37"/>
        <v>47.855880362204736</v>
      </c>
      <c r="AA96" s="385">
        <f t="shared" si="38"/>
        <v>52.404187667900771</v>
      </c>
      <c r="AB96" s="196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8.6792821492050684E-2</v>
      </c>
      <c r="AD96" s="230">
        <f>(INDEX(Models!$BJ96:$BT96,,AH96)*(1-AF96)+INDEX(Models!$BJ96:$BT96,,AH96+1)*AF96-ERP_i)*AE96*Ramure*Pc/MaxiM</f>
        <v>4.8981320349485906E-4</v>
      </c>
      <c r="AE96" s="304">
        <f t="shared" si="40"/>
        <v>0.5</v>
      </c>
      <c r="AF96" s="176">
        <f t="shared" si="41"/>
        <v>0.9456120624427875</v>
      </c>
      <c r="AG96" s="814">
        <f t="shared" si="49"/>
        <v>1</v>
      </c>
      <c r="AH96" s="175">
        <f t="shared" si="42"/>
        <v>7</v>
      </c>
      <c r="AI96" s="224">
        <f t="shared" si="43"/>
        <v>1.9456120624427875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10">
        <f>'2025'!Wh/'2025'!Env_an*'2026'!Env_an</f>
        <v>45.774273376695604</v>
      </c>
      <c r="C97" s="843"/>
      <c r="D97" s="392">
        <f t="shared" si="25"/>
        <v>48.665877100879094</v>
      </c>
      <c r="E97" s="384">
        <f t="shared" si="47"/>
        <v>51.472639156458719</v>
      </c>
      <c r="F97" s="384">
        <f t="shared" si="26"/>
        <v>51.475068274087633</v>
      </c>
      <c r="G97" s="110">
        <f t="shared" si="48"/>
        <v>0.97786120821523848</v>
      </c>
      <c r="H97" s="413" t="b">
        <f>Wh_hp&gt;='2025'!Maxi_hp</f>
        <v>0</v>
      </c>
      <c r="I97" s="389">
        <f>IF(H97,Wh_hp,'2025'!Maxi_hp)</f>
        <v>51.706853506641295</v>
      </c>
      <c r="J97" s="85">
        <f>IF(H97,An,'2025'!An_max)</f>
        <v>2021</v>
      </c>
      <c r="K97" s="196">
        <f t="shared" si="27"/>
        <v>46105</v>
      </c>
      <c r="L97" s="147">
        <f>IF(t&lt;Tvie,1-EXP((T0-t)*PertePVj)+'2025'!Pspv,1-EXP((T0-t)*PertePVj)+Pspv)</f>
        <v>5.9417478866958674E-2</v>
      </c>
      <c r="M97" s="847"/>
      <c r="N97" s="847"/>
      <c r="O97" s="48">
        <f>IF(t&lt;Tnet,'2025'!Resal+('2025'!Salim-'2025'!Resal)*(1-EXP(('2025'!Tnet-t)/('2025'!Tau_j))),Resal+(Salim-Resal)*(1-EXP((Tnet-t)/(Tau_j))))*Salcycl</f>
        <v>5.4529204283620576E-2</v>
      </c>
      <c r="P97" s="168">
        <f>(INDEX(Models!$BJ97:$BT97,,T97)*(1-R97)+INDEX(Models!$BJ97:$BT97,,T97+1)*R97-ERP_i)*Q97*Ramure*Pc/MaxiM</f>
        <v>4.8731289950659312E-5</v>
      </c>
      <c r="Q97" s="304">
        <f t="shared" si="28"/>
        <v>0.5</v>
      </c>
      <c r="R97" s="176">
        <f t="shared" si="29"/>
        <v>0.83107327288993593</v>
      </c>
      <c r="S97" s="814">
        <f t="shared" si="30"/>
        <v>-1</v>
      </c>
      <c r="T97" s="175">
        <f t="shared" si="31"/>
        <v>5</v>
      </c>
      <c r="U97" s="250">
        <f t="shared" si="32"/>
        <v>-0.16892672711006412</v>
      </c>
      <c r="V97" s="382">
        <f t="shared" si="33"/>
        <v>46.810531438942654</v>
      </c>
      <c r="W97" s="401">
        <f t="shared" si="34"/>
        <v>45.774273376695604</v>
      </c>
      <c r="X97" s="157">
        <f t="shared" si="35"/>
        <v>46105</v>
      </c>
      <c r="Y97" s="384">
        <f t="shared" si="36"/>
        <v>44.192361413966111</v>
      </c>
      <c r="Z97" s="384">
        <f t="shared" si="37"/>
        <v>46.984034277748705</v>
      </c>
      <c r="AA97" s="385">
        <f t="shared" si="38"/>
        <v>51.450619739433328</v>
      </c>
      <c r="AB97" s="196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8.6813054620240027E-2</v>
      </c>
      <c r="AD97" s="230">
        <f>(INDEX(Models!$BJ97:$BT97,,AH97)*(1-AF97)+INDEX(Models!$BJ97:$BT97,,AH97+1)*AF97-ERP_i)*AE97*Ramure*Pc/MaxiM</f>
        <v>4.9046971498060076E-4</v>
      </c>
      <c r="AE97" s="304">
        <f t="shared" si="40"/>
        <v>0.5</v>
      </c>
      <c r="AF97" s="176">
        <f t="shared" si="41"/>
        <v>0.94606581271432333</v>
      </c>
      <c r="AG97" s="814">
        <f t="shared" si="49"/>
        <v>1</v>
      </c>
      <c r="AH97" s="175">
        <f t="shared" si="42"/>
        <v>7</v>
      </c>
      <c r="AI97" s="224">
        <f t="shared" si="43"/>
        <v>1.9460658127143233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10">
        <f>'2025'!Wh/'2025'!Env_an*'2026'!Env_an</f>
        <v>39.288927734323721</v>
      </c>
      <c r="C98" s="843"/>
      <c r="D98" s="392">
        <f t="shared" si="25"/>
        <v>41.771759841207768</v>
      </c>
      <c r="E98" s="384">
        <f t="shared" si="47"/>
        <v>44.183352334478855</v>
      </c>
      <c r="F98" s="384">
        <f t="shared" si="26"/>
        <v>44.184986596219929</v>
      </c>
      <c r="G98" s="110">
        <f t="shared" si="48"/>
        <v>0.83433834870511003</v>
      </c>
      <c r="H98" s="413" t="b">
        <f>Wh_hp&gt;='2025'!Maxi_hp</f>
        <v>0</v>
      </c>
      <c r="I98" s="389">
        <f>IF(H98,Wh_hp,'2025'!Maxi_hp)</f>
        <v>50.650647588143606</v>
      </c>
      <c r="J98" s="85">
        <f>IF(H98,An,'2025'!An_max)</f>
        <v>2020</v>
      </c>
      <c r="K98" s="196">
        <f t="shared" si="27"/>
        <v>46106</v>
      </c>
      <c r="L98" s="147">
        <f>IF(t&lt;Tvie,1-EXP((T0-t)*PertePVj)+'2025'!Pspv,1-EXP((T0-t)*PertePVj)+Pspv)</f>
        <v>5.9438053755033173E-2</v>
      </c>
      <c r="M98" s="847"/>
      <c r="N98" s="847"/>
      <c r="O98" s="48">
        <f>IF(t&lt;Tnet,'2025'!Resal+('2025'!Salim-'2025'!Resal)*(1-EXP(('2025'!Tnet-t)/('2025'!Tau_j))),Resal+(Salim-Resal)*(1-EXP((Tnet-t)/(Tau_j))))*Salcycl</f>
        <v>5.4581473922909719E-2</v>
      </c>
      <c r="P98" s="168">
        <f>(INDEX(Models!$BJ98:$BT98,,T98)*(1-R98)+INDEX(Models!$BJ98:$BT98,,T98+1)*R98-ERP_i)*Q98*Ramure*Pc/MaxiM</f>
        <v>4.8453015006397179E-5</v>
      </c>
      <c r="Q98" s="304">
        <f t="shared" si="28"/>
        <v>0.5</v>
      </c>
      <c r="R98" s="176">
        <f t="shared" si="29"/>
        <v>0.83154454699108427</v>
      </c>
      <c r="S98" s="814">
        <f t="shared" si="30"/>
        <v>-1</v>
      </c>
      <c r="T98" s="175">
        <f t="shared" si="31"/>
        <v>5</v>
      </c>
      <c r="U98" s="250">
        <f t="shared" si="32"/>
        <v>-0.16845545300891576</v>
      </c>
      <c r="V98" s="382">
        <f t="shared" si="33"/>
        <v>47.089382004038661</v>
      </c>
      <c r="W98" s="401">
        <f t="shared" si="34"/>
        <v>39.288927734323721</v>
      </c>
      <c r="X98" s="157">
        <f t="shared" si="35"/>
        <v>46106</v>
      </c>
      <c r="Y98" s="384">
        <f t="shared" si="36"/>
        <v>37.935796570079589</v>
      </c>
      <c r="Z98" s="384">
        <f t="shared" si="37"/>
        <v>40.333118644159256</v>
      </c>
      <c r="AA98" s="385">
        <f t="shared" si="38"/>
        <v>44.168433551354333</v>
      </c>
      <c r="AB98" s="196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8.6833844871038582E-2</v>
      </c>
      <c r="AD98" s="230">
        <f>(INDEX(Models!$BJ98:$BT98,,AH98)*(1-AF98)+INDEX(Models!$BJ98:$BT98,,AH98+1)*AF98-ERP_i)*AE98*Ramure*Pc/MaxiM</f>
        <v>4.9076895769991117E-4</v>
      </c>
      <c r="AE98" s="304">
        <f t="shared" si="40"/>
        <v>0.5</v>
      </c>
      <c r="AF98" s="176">
        <f t="shared" si="41"/>
        <v>0.94653708681547166</v>
      </c>
      <c r="AG98" s="814">
        <f t="shared" si="49"/>
        <v>1</v>
      </c>
      <c r="AH98" s="175">
        <f t="shared" si="42"/>
        <v>7</v>
      </c>
      <c r="AI98" s="224">
        <f t="shared" si="43"/>
        <v>1.9465370868154717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10">
        <f>'2025'!Wh/'2025'!Env_an*'2026'!Env_an</f>
        <v>43.593315996362243</v>
      </c>
      <c r="C99" s="843"/>
      <c r="D99" s="392">
        <f t="shared" si="25"/>
        <v>46.349174319237527</v>
      </c>
      <c r="E99" s="384">
        <f t="shared" si="47"/>
        <v>49.027760933410001</v>
      </c>
      <c r="F99" s="384">
        <f t="shared" si="26"/>
        <v>49.029851297629165</v>
      </c>
      <c r="G99" s="110">
        <f t="shared" si="48"/>
        <v>0.92036046869026</v>
      </c>
      <c r="H99" s="413" t="b">
        <f>Wh_hp&gt;='2025'!Maxi_hp</f>
        <v>0</v>
      </c>
      <c r="I99" s="389">
        <f>IF(H99,Wh_hp,'2025'!Maxi_hp)</f>
        <v>54.179948097742042</v>
      </c>
      <c r="J99" s="85">
        <f>IF(H99,An,'2025'!An_max)</f>
        <v>2019</v>
      </c>
      <c r="K99" s="196">
        <f t="shared" si="27"/>
        <v>46107</v>
      </c>
      <c r="L99" s="147">
        <f>IF(t&lt;Tvie,1-EXP((T0-t)*PertePVj)+'2025'!Pspv,1-EXP((T0-t)*PertePVj)+Pspv)</f>
        <v>5.9458628192464814E-2</v>
      </c>
      <c r="M99" s="847"/>
      <c r="N99" s="847"/>
      <c r="O99" s="48">
        <f>IF(t&lt;Tnet,'2025'!Resal+('2025'!Salim-'2025'!Resal)*(1-EXP(('2025'!Tnet-t)/('2025'!Tau_j))),Resal+(Salim-Resal)*(1-EXP((Tnet-t)/(Tau_j))))*Salcycl</f>
        <v>5.4634080022756076E-2</v>
      </c>
      <c r="P99" s="168">
        <f>(INDEX(Models!$BJ99:$BT99,,T99)*(1-R99)+INDEX(Models!$BJ99:$BT99,,T99+1)*R99-ERP_i)*Q99*Ramure*Pc/MaxiM</f>
        <v>4.8107388844026766E-5</v>
      </c>
      <c r="Q99" s="304">
        <f t="shared" si="28"/>
        <v>0.5</v>
      </c>
      <c r="R99" s="176">
        <f t="shared" si="29"/>
        <v>0.83203395859192641</v>
      </c>
      <c r="S99" s="814">
        <f t="shared" si="30"/>
        <v>-1</v>
      </c>
      <c r="T99" s="175">
        <f t="shared" si="31"/>
        <v>5</v>
      </c>
      <c r="U99" s="250">
        <f t="shared" si="32"/>
        <v>-0.16796604140807359</v>
      </c>
      <c r="V99" s="382">
        <f t="shared" si="33"/>
        <v>47.365221441729076</v>
      </c>
      <c r="W99" s="401">
        <f t="shared" si="34"/>
        <v>43.593315996362243</v>
      </c>
      <c r="X99" s="157">
        <f t="shared" si="35"/>
        <v>46107</v>
      </c>
      <c r="Y99" s="384">
        <f t="shared" si="36"/>
        <v>42.090995887572277</v>
      </c>
      <c r="Z99" s="384">
        <f t="shared" si="37"/>
        <v>44.751881362413307</v>
      </c>
      <c r="AA99" s="385">
        <f t="shared" si="38"/>
        <v>49.008528145830638</v>
      </c>
      <c r="AB99" s="196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8.6855225905809158E-2</v>
      </c>
      <c r="AD99" s="230">
        <f>(INDEX(Models!$BJ99:$BT99,,AH99)*(1-AF99)+INDEX(Models!$BJ99:$BT99,,AH99+1)*AF99-ERP_i)*AE99*Ramure*Pc/MaxiM</f>
        <v>4.9072843170025286E-4</v>
      </c>
      <c r="AE99" s="304">
        <f t="shared" si="40"/>
        <v>0.5</v>
      </c>
      <c r="AF99" s="176">
        <f t="shared" si="41"/>
        <v>0.9470264984163137</v>
      </c>
      <c r="AG99" s="814">
        <f t="shared" si="49"/>
        <v>1</v>
      </c>
      <c r="AH99" s="175">
        <f t="shared" si="42"/>
        <v>7</v>
      </c>
      <c r="AI99" s="224">
        <f t="shared" si="43"/>
        <v>1.9470264984163137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10">
        <f>'2025'!Wh/'2025'!Env_an*'2026'!Env_an</f>
        <v>43.559244689517797</v>
      </c>
      <c r="C100" s="843"/>
      <c r="D100" s="392">
        <f t="shared" si="25"/>
        <v>46.313962211625864</v>
      </c>
      <c r="E100" s="384">
        <f t="shared" si="47"/>
        <v>48.993258735086904</v>
      </c>
      <c r="F100" s="384">
        <f t="shared" si="26"/>
        <v>48.995309387128493</v>
      </c>
      <c r="G100" s="110">
        <f t="shared" si="48"/>
        <v>0.91439057242507149</v>
      </c>
      <c r="H100" s="413" t="b">
        <f>Wh_hp&gt;='2025'!Maxi_hp</f>
        <v>0</v>
      </c>
      <c r="I100" s="389">
        <f>IF(H100,Wh_hp,'2025'!Maxi_hp)</f>
        <v>53.631049698889107</v>
      </c>
      <c r="J100" s="85">
        <f>IF(H100,An,'2025'!An_max)</f>
        <v>2019</v>
      </c>
      <c r="K100" s="196">
        <f t="shared" si="27"/>
        <v>46108</v>
      </c>
      <c r="L100" s="147">
        <f>IF(t&lt;Tvie,1-EXP((T0-t)*PertePVj)+'2025'!Pspv,1-EXP((T0-t)*PertePVj)+Pspv)</f>
        <v>5.9479202179263481E-2</v>
      </c>
      <c r="M100" s="847"/>
      <c r="N100" s="847"/>
      <c r="O100" s="48">
        <f>IF(t&lt;Tnet,'2025'!Resal+('2025'!Salim-'2025'!Resal)*(1-EXP(('2025'!Tnet-t)/('2025'!Tau_j))),Resal+(Salim-Resal)*(1-EXP((Tnet-t)/(Tau_j))))*Salcycl</f>
        <v>5.4687044557463628E-2</v>
      </c>
      <c r="P100" s="168">
        <f>(INDEX(Models!$BJ100:$BT100,,T100)*(1-R100)+INDEX(Models!$BJ100:$BT100,,T100+1)*R100-ERP_i)*Q100*Ramure*Pc/MaxiM</f>
        <v>4.7685594118232132E-5</v>
      </c>
      <c r="Q100" s="304">
        <f t="shared" si="28"/>
        <v>0.5</v>
      </c>
      <c r="R100" s="176">
        <f t="shared" si="29"/>
        <v>0.83254213769270513</v>
      </c>
      <c r="S100" s="814">
        <f t="shared" si="30"/>
        <v>-1</v>
      </c>
      <c r="T100" s="175">
        <f t="shared" si="31"/>
        <v>5</v>
      </c>
      <c r="U100" s="250">
        <f t="shared" si="32"/>
        <v>-0.16745786230729484</v>
      </c>
      <c r="V100" s="382">
        <f t="shared" si="33"/>
        <v>47.637182594334234</v>
      </c>
      <c r="W100" s="401">
        <f t="shared" si="34"/>
        <v>43.559244689517797</v>
      </c>
      <c r="X100" s="157">
        <f t="shared" si="35"/>
        <v>46108</v>
      </c>
      <c r="Y100" s="384">
        <f t="shared" si="36"/>
        <v>42.05959798355039</v>
      </c>
      <c r="Z100" s="384">
        <f t="shared" si="37"/>
        <v>44.719476784570752</v>
      </c>
      <c r="AA100" s="385">
        <f t="shared" si="38"/>
        <v>48.974221557851145</v>
      </c>
      <c r="AB100" s="196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8.687723128492085E-2</v>
      </c>
      <c r="AD100" s="230">
        <f>(INDEX(Models!$BJ100:$BT100,,AH100)*(1-AF100)+INDEX(Models!$BJ100:$BT100,,AH100+1)*AF100-ERP_i)*AE100*Ramure*Pc/MaxiM</f>
        <v>4.9037362134544916E-4</v>
      </c>
      <c r="AE100" s="304">
        <f t="shared" si="40"/>
        <v>0.5</v>
      </c>
      <c r="AF100" s="176">
        <f t="shared" si="41"/>
        <v>0.94753467751709253</v>
      </c>
      <c r="AG100" s="814">
        <f t="shared" si="49"/>
        <v>1</v>
      </c>
      <c r="AH100" s="175">
        <f t="shared" si="42"/>
        <v>7</v>
      </c>
      <c r="AI100" s="224">
        <f t="shared" si="43"/>
        <v>1.9475346775170925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10">
        <f>'2025'!Wh/'2025'!Env_an*'2026'!Env_an</f>
        <v>33.636899336447051</v>
      </c>
      <c r="C101" s="843"/>
      <c r="D101" s="392">
        <f t="shared" si="25"/>
        <v>35.764903046179136</v>
      </c>
      <c r="E101" s="384">
        <f t="shared" si="47"/>
        <v>37.836063919984824</v>
      </c>
      <c r="F101" s="384">
        <f t="shared" si="26"/>
        <v>37.837090419230265</v>
      </c>
      <c r="G101" s="110">
        <f t="shared" si="48"/>
        <v>0.70215316185510901</v>
      </c>
      <c r="H101" s="413" t="b">
        <f>Wh_hp&gt;='2025'!Maxi_hp</f>
        <v>0</v>
      </c>
      <c r="I101" s="389">
        <f>IF(H101,Wh_hp,'2025'!Maxi_hp)</f>
        <v>52.658123194281352</v>
      </c>
      <c r="J101" s="85">
        <f>IF(H101,An,'2025'!An_max)</f>
        <v>2019</v>
      </c>
      <c r="K101" s="196">
        <f t="shared" si="27"/>
        <v>46109</v>
      </c>
      <c r="L101" s="147">
        <f>IF(t&lt;Tvie,1-EXP((T0-t)*PertePVj)+'2025'!Pspv,1-EXP((T0-t)*PertePVj)+Pspv)</f>
        <v>5.9499775715439053E-2</v>
      </c>
      <c r="M101" s="847"/>
      <c r="N101" s="847"/>
      <c r="O101" s="48">
        <f>IF(t&lt;Tnet,'2025'!Resal+('2025'!Salim-'2025'!Resal)*(1-EXP(('2025'!Tnet-t)/('2025'!Tau_j))),Resal+(Salim-Resal)*(1-EXP((Tnet-t)/(Tau_j))))*Salcycl</f>
        <v>5.474038943865165E-2</v>
      </c>
      <c r="P101" s="168">
        <f>(INDEX(Models!$BJ101:$BT101,,T101)*(1-R101)+INDEX(Models!$BJ101:$BT101,,T101+1)*R101-ERP_i)*Q101*Ramure*Pc/MaxiM</f>
        <v>4.7220678059998081E-5</v>
      </c>
      <c r="Q101" s="304">
        <f t="shared" si="28"/>
        <v>0.5</v>
      </c>
      <c r="R101" s="176">
        <f t="shared" si="29"/>
        <v>0.83306973062250367</v>
      </c>
      <c r="S101" s="814">
        <f t="shared" si="30"/>
        <v>-1</v>
      </c>
      <c r="T101" s="175">
        <f t="shared" si="31"/>
        <v>5</v>
      </c>
      <c r="U101" s="250">
        <f t="shared" si="32"/>
        <v>-0.1669302693774963</v>
      </c>
      <c r="V101" s="382">
        <f t="shared" si="33"/>
        <v>47.904396559924898</v>
      </c>
      <c r="W101" s="401">
        <f t="shared" si="34"/>
        <v>33.636899336447051</v>
      </c>
      <c r="X101" s="157">
        <f t="shared" si="35"/>
        <v>46109</v>
      </c>
      <c r="Y101" s="384">
        <f t="shared" si="36"/>
        <v>32.48424942465563</v>
      </c>
      <c r="Z101" s="384">
        <f t="shared" si="37"/>
        <v>34.539331927715828</v>
      </c>
      <c r="AA101" s="385">
        <f t="shared" si="38"/>
        <v>37.826446098318463</v>
      </c>
      <c r="AB101" s="196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8.689989437703903E-2</v>
      </c>
      <c r="AD101" s="230">
        <f>(INDEX(Models!$BJ101:$BT101,,AH101)*(1-AF101)+INDEX(Models!$BJ101:$BT101,,AH101+1)*AF101-ERP_i)*AE101*Ramure*Pc/MaxiM</f>
        <v>4.8965652256899956E-4</v>
      </c>
      <c r="AE101" s="304">
        <f t="shared" si="40"/>
        <v>0.5</v>
      </c>
      <c r="AF101" s="176">
        <f t="shared" si="41"/>
        <v>0.94806227044689106</v>
      </c>
      <c r="AG101" s="814">
        <f t="shared" si="49"/>
        <v>1</v>
      </c>
      <c r="AH101" s="175">
        <f t="shared" si="42"/>
        <v>7</v>
      </c>
      <c r="AI101" s="224">
        <f t="shared" si="43"/>
        <v>1.9480622704468911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10">
        <f>'2025'!Wh/'2025'!Env_an*'2026'!Env_an</f>
        <v>25.964140668261336</v>
      </c>
      <c r="C102" s="843"/>
      <c r="D102" s="392">
        <f t="shared" si="25"/>
        <v>27.607339122287417</v>
      </c>
      <c r="E102" s="384">
        <f t="shared" si="47"/>
        <v>29.207752709958775</v>
      </c>
      <c r="F102" s="384">
        <f t="shared" si="26"/>
        <v>29.208218671531885</v>
      </c>
      <c r="G102" s="110">
        <f t="shared" si="48"/>
        <v>0.53903882467185094</v>
      </c>
      <c r="H102" s="413" t="b">
        <f>Wh_hp&gt;='2025'!Maxi_hp</f>
        <v>0</v>
      </c>
      <c r="I102" s="389">
        <f>IF(H102,Wh_hp,'2025'!Maxi_hp)</f>
        <v>54.496222253055954</v>
      </c>
      <c r="J102" s="85">
        <f>IF(H102,An,'2025'!An_max)</f>
        <v>2021</v>
      </c>
      <c r="K102" s="196">
        <f t="shared" si="27"/>
        <v>46110</v>
      </c>
      <c r="L102" s="147">
        <f>IF(t&lt;Tvie,1-EXP((T0-t)*PertePVj)+'2025'!Pspv,1-EXP((T0-t)*PertePVj)+Pspv)</f>
        <v>5.9520348801001412E-2</v>
      </c>
      <c r="M102" s="847"/>
      <c r="N102" s="847"/>
      <c r="O102" s="48">
        <f>IF(t&lt;Tnet,'2025'!Resal+('2025'!Salim-'2025'!Resal)*(1-EXP(('2025'!Tnet-t)/('2025'!Tau_j))),Resal+(Salim-Resal)*(1-EXP((Tnet-t)/(Tau_j))))*Salcycl</f>
        <v>5.4794136459724085E-2</v>
      </c>
      <c r="P102" s="168">
        <f>(INDEX(Models!$BJ102:$BT102,,T102)*(1-R102)+INDEX(Models!$BJ102:$BT102,,T102+1)*R102-ERP_i)*Q102*Ramure*Pc/MaxiM</f>
        <v>4.6713725139063736E-5</v>
      </c>
      <c r="Q102" s="304">
        <f t="shared" si="28"/>
        <v>0.5</v>
      </c>
      <c r="R102" s="176">
        <f t="shared" si="29"/>
        <v>0.83361739999313555</v>
      </c>
      <c r="S102" s="814">
        <f t="shared" si="30"/>
        <v>-1</v>
      </c>
      <c r="T102" s="175">
        <f t="shared" si="31"/>
        <v>5</v>
      </c>
      <c r="U102" s="250">
        <f t="shared" si="32"/>
        <v>-0.16638260000686447</v>
      </c>
      <c r="V102" s="382">
        <f t="shared" si="33"/>
        <v>48.165996202729552</v>
      </c>
      <c r="W102" s="401">
        <f t="shared" si="34"/>
        <v>25.964140668261336</v>
      </c>
      <c r="X102" s="157">
        <f t="shared" si="35"/>
        <v>46110</v>
      </c>
      <c r="Y102" s="384">
        <f t="shared" si="36"/>
        <v>25.077791553208897</v>
      </c>
      <c r="Z102" s="384">
        <f t="shared" si="37"/>
        <v>26.664895429941229</v>
      </c>
      <c r="AA102" s="385">
        <f t="shared" si="38"/>
        <v>29.203345041343876</v>
      </c>
      <c r="AB102" s="196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8.6923248272035389E-2</v>
      </c>
      <c r="AD102" s="230">
        <f>(INDEX(Models!$BJ102:$BT102,,AH102)*(1-AF102)+INDEX(Models!$BJ102:$BT102,,AH102+1)*AF102-ERP_i)*AE102*Ramure*Pc/MaxiM</f>
        <v>4.8859269555625771E-4</v>
      </c>
      <c r="AE102" s="304">
        <f t="shared" si="40"/>
        <v>0.5</v>
      </c>
      <c r="AF102" s="176">
        <f t="shared" si="41"/>
        <v>0.94860993981752295</v>
      </c>
      <c r="AG102" s="814">
        <f t="shared" si="49"/>
        <v>1</v>
      </c>
      <c r="AH102" s="175">
        <f t="shared" si="42"/>
        <v>7</v>
      </c>
      <c r="AI102" s="224">
        <f t="shared" si="43"/>
        <v>1.948609939817523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10">
        <f>'2025'!Wh/'2025'!Env_an*'2026'!Env_an</f>
        <v>6.5908290419476208</v>
      </c>
      <c r="C103" s="843"/>
      <c r="D103" s="392">
        <f t="shared" si="25"/>
        <v>7.0080976324998332</v>
      </c>
      <c r="E103" s="384">
        <f t="shared" si="47"/>
        <v>7.4147860985714331</v>
      </c>
      <c r="F103" s="384">
        <f t="shared" si="26"/>
        <v>7.4147860985714331</v>
      </c>
      <c r="G103" s="110">
        <f t="shared" si="48"/>
        <v>0.1361084894111744</v>
      </c>
      <c r="H103" s="413" t="b">
        <f>Wh_hp&gt;='2025'!Maxi_hp</f>
        <v>0</v>
      </c>
      <c r="I103" s="389">
        <f>IF(H103,Wh_hp,'2025'!Maxi_hp)</f>
        <v>54.590031723801168</v>
      </c>
      <c r="J103" s="85">
        <f>IF(H103,An,'2025'!An_max)</f>
        <v>2019</v>
      </c>
      <c r="K103" s="196">
        <f t="shared" si="27"/>
        <v>46111</v>
      </c>
      <c r="L103" s="147">
        <f>IF(t&lt;Tvie,1-EXP((T0-t)*PertePVj)+'2025'!Pspv,1-EXP((T0-t)*PertePVj)+Pspv)</f>
        <v>5.9540921435960327E-2</v>
      </c>
      <c r="M103" s="847"/>
      <c r="N103" s="847"/>
      <c r="O103" s="48">
        <f>IF(t&lt;Tnet,'2025'!Resal+('2025'!Salim-'2025'!Resal)*(1-EXP(('2025'!Tnet-t)/('2025'!Tau_j))),Resal+(Salim-Resal)*(1-EXP((Tnet-t)/(Tau_j))))*Salcycl</f>
        <v>5.4848307242464311E-2</v>
      </c>
      <c r="P103" s="168">
        <f>(INDEX(Models!$BJ103:$BT103,,T103)*(1-R103)+INDEX(Models!$BJ103:$BT103,,T103+1)*R103-ERP_i)*Q103*Ramure*Pc/MaxiM</f>
        <v>4.6165663270273383E-5</v>
      </c>
      <c r="Q103" s="304">
        <f t="shared" si="28"/>
        <v>0.5</v>
      </c>
      <c r="R103" s="176">
        <f t="shared" si="29"/>
        <v>0.83418582460410651</v>
      </c>
      <c r="S103" s="814">
        <f t="shared" si="30"/>
        <v>-1</v>
      </c>
      <c r="T103" s="175">
        <f t="shared" si="31"/>
        <v>5</v>
      </c>
      <c r="U103" s="250">
        <f t="shared" si="32"/>
        <v>-0.16581417539589346</v>
      </c>
      <c r="V103" s="382">
        <f t="shared" si="33"/>
        <v>48.421114659820191</v>
      </c>
      <c r="W103" s="401">
        <f t="shared" si="34"/>
        <v>6.5908290419476208</v>
      </c>
      <c r="X103" s="157">
        <f t="shared" si="35"/>
        <v>46111</v>
      </c>
      <c r="Y103" s="384">
        <f t="shared" si="36"/>
        <v>6.3669928634024444</v>
      </c>
      <c r="Z103" s="384">
        <f t="shared" si="37"/>
        <v>6.7700902766806461</v>
      </c>
      <c r="AA103" s="385">
        <f t="shared" si="38"/>
        <v>7.4147860985714331</v>
      </c>
      <c r="AB103" s="196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8.6947325697635108E-2</v>
      </c>
      <c r="AD103" s="230">
        <f>(INDEX(Models!$BJ103:$BT103,,AH103)*(1-AF103)+INDEX(Models!$BJ103:$BT103,,AH103+1)*AF103-ERP_i)*AE103*Ramure*Pc/MaxiM</f>
        <v>4.8719674318872466E-4</v>
      </c>
      <c r="AE103" s="304">
        <f t="shared" si="40"/>
        <v>0.5</v>
      </c>
      <c r="AF103" s="176">
        <f t="shared" si="41"/>
        <v>0.9491783644284939</v>
      </c>
      <c r="AG103" s="814">
        <f t="shared" si="49"/>
        <v>1</v>
      </c>
      <c r="AH103" s="175">
        <f t="shared" si="42"/>
        <v>7</v>
      </c>
      <c r="AI103" s="224">
        <f t="shared" si="43"/>
        <v>1.9491783644284939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10">
        <f>'2025'!Wh/'2025'!Env_an*'2026'!Env_an</f>
        <v>26.225392319070366</v>
      </c>
      <c r="C104" s="843"/>
      <c r="D104" s="392">
        <f t="shared" si="25"/>
        <v>27.88634465854447</v>
      </c>
      <c r="E104" s="384">
        <f t="shared" si="47"/>
        <v>29.506328336709565</v>
      </c>
      <c r="F104" s="384">
        <f t="shared" si="26"/>
        <v>29.506787221242579</v>
      </c>
      <c r="G104" s="110">
        <f t="shared" si="48"/>
        <v>0.53883717881714921</v>
      </c>
      <c r="H104" s="413" t="b">
        <f>Wh_hp&gt;='2025'!Maxi_hp</f>
        <v>0</v>
      </c>
      <c r="I104" s="389">
        <f>IF(H104,Wh_hp,'2025'!Maxi_hp)</f>
        <v>49.035449054954384</v>
      </c>
      <c r="J104" s="85">
        <f>IF(H104,An,'2025'!An_max)</f>
        <v>2021</v>
      </c>
      <c r="K104" s="196">
        <f t="shared" si="27"/>
        <v>46112</v>
      </c>
      <c r="L104" s="147">
        <f>IF(t&lt;Tvie,1-EXP((T0-t)*PertePVj)+'2025'!Pspv,1-EXP((T0-t)*PertePVj)+Pspv)</f>
        <v>5.9561493620325791E-2</v>
      </c>
      <c r="M104" s="847"/>
      <c r="N104" s="847"/>
      <c r="O104" s="48">
        <f>IF(t&lt;Tnet,'2025'!Resal+('2025'!Salim-'2025'!Resal)*(1-EXP(('2025'!Tnet-t)/('2025'!Tau_j))),Resal+(Salim-Resal)*(1-EXP((Tnet-t)/(Tau_j))))*Salcycl</f>
        <v>5.4902923185791083E-2</v>
      </c>
      <c r="P104" s="168">
        <f>(INDEX(Models!$BJ104:$BT104,,T104)*(1-R104)+INDEX(Models!$BJ104:$BT104,,T104+1)*R104-ERP_i)*Q104*Ramure*Pc/MaxiM</f>
        <v>4.5577256853871499E-5</v>
      </c>
      <c r="Q104" s="304">
        <f t="shared" si="28"/>
        <v>0.5</v>
      </c>
      <c r="R104" s="176">
        <f t="shared" si="29"/>
        <v>0.83477569929430506</v>
      </c>
      <c r="S104" s="814">
        <f t="shared" si="30"/>
        <v>-1</v>
      </c>
      <c r="T104" s="175">
        <f t="shared" si="31"/>
        <v>5</v>
      </c>
      <c r="U104" s="250">
        <f t="shared" si="32"/>
        <v>-0.16522430070569491</v>
      </c>
      <c r="V104" s="382">
        <f t="shared" si="33"/>
        <v>48.668885350094797</v>
      </c>
      <c r="W104" s="401">
        <f t="shared" si="34"/>
        <v>26.225392319070366</v>
      </c>
      <c r="X104" s="157">
        <f t="shared" si="35"/>
        <v>46112</v>
      </c>
      <c r="Y104" s="384">
        <f t="shared" si="36"/>
        <v>25.331703689102003</v>
      </c>
      <c r="Z104" s="384">
        <f t="shared" si="37"/>
        <v>26.93605537976034</v>
      </c>
      <c r="AA104" s="385">
        <f t="shared" si="38"/>
        <v>29.50189925039254</v>
      </c>
      <c r="AB104" s="196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8.6972158939837119E-2</v>
      </c>
      <c r="AD104" s="230">
        <f>(INDEX(Models!$BJ104:$BT104,,AH104)*(1-AF104)+INDEX(Models!$BJ104:$BT104,,AH104+1)*AF104-ERP_i)*AE104*Ramure*Pc/MaxiM</f>
        <v>4.8548226601257262E-4</v>
      </c>
      <c r="AE104" s="304">
        <f t="shared" si="40"/>
        <v>0.5</v>
      </c>
      <c r="AF104" s="176">
        <f t="shared" si="41"/>
        <v>0.94976823911869257</v>
      </c>
      <c r="AG104" s="814">
        <f t="shared" si="49"/>
        <v>1</v>
      </c>
      <c r="AH104" s="175">
        <f t="shared" si="42"/>
        <v>7</v>
      </c>
      <c r="AI104" s="224">
        <f t="shared" si="43"/>
        <v>1.9497682391186926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10">
        <f>'2025'!Wh/'2025'!Env_an*'2026'!Env_an</f>
        <v>28.602002735351999</v>
      </c>
      <c r="C105" s="843"/>
      <c r="D105" s="392">
        <f t="shared" si="25"/>
        <v>30.414140013314267</v>
      </c>
      <c r="E105" s="384">
        <f t="shared" si="47"/>
        <v>32.182844982167815</v>
      </c>
      <c r="F105" s="384">
        <f t="shared" si="26"/>
        <v>32.183433562986608</v>
      </c>
      <c r="G105" s="110">
        <f t="shared" si="48"/>
        <v>0.58479147997863279</v>
      </c>
      <c r="H105" s="413" t="b">
        <f>Wh_hp&gt;='2025'!Maxi_hp</f>
        <v>0</v>
      </c>
      <c r="I105" s="389">
        <f>IF(H105,Wh_hp,'2025'!Maxi_hp)</f>
        <v>50.125309607744178</v>
      </c>
      <c r="J105" s="85">
        <f>IF(H105,An,'2025'!An_max)</f>
        <v>2021</v>
      </c>
      <c r="K105" s="196">
        <f t="shared" si="27"/>
        <v>46113</v>
      </c>
      <c r="L105" s="147">
        <f>IF(t&lt;Tvie,1-EXP((T0-t)*PertePVj)+'2025'!Pspv,1-EXP((T0-t)*PertePVj)+Pspv)</f>
        <v>5.9582065354107573E-2</v>
      </c>
      <c r="M105" s="847"/>
      <c r="N105" s="847"/>
      <c r="O105" s="48">
        <f>IF(t&lt;Tnet,'2025'!Resal+('2025'!Salim-'2025'!Resal)*(1-EXP(('2025'!Tnet-t)/('2025'!Tau_j))),Resal+(Salim-Resal)*(1-EXP((Tnet-t)/(Tau_j))))*Salcycl</f>
        <v>5.4958005416661189E-2</v>
      </c>
      <c r="P105" s="168">
        <f>(INDEX(Models!$BJ105:$BT105,,T105)*(1-R105)+INDEX(Models!$BJ105:$BT105,,T105+1)*R105-ERP_i)*Q105*Ramure*Pc/MaxiM</f>
        <v>4.4949099995446567E-5</v>
      </c>
      <c r="Q105" s="304">
        <f t="shared" si="28"/>
        <v>0.5</v>
      </c>
      <c r="R105" s="176">
        <f t="shared" si="29"/>
        <v>0.83538773473587624</v>
      </c>
      <c r="S105" s="814">
        <f t="shared" si="30"/>
        <v>-1</v>
      </c>
      <c r="T105" s="175">
        <f t="shared" si="31"/>
        <v>5</v>
      </c>
      <c r="U105" s="250">
        <f t="shared" si="32"/>
        <v>-0.16461226526412379</v>
      </c>
      <c r="V105" s="382">
        <f t="shared" si="33"/>
        <v>48.908441981145657</v>
      </c>
      <c r="W105" s="401">
        <f t="shared" si="34"/>
        <v>28.602002735351999</v>
      </c>
      <c r="X105" s="157">
        <f t="shared" si="35"/>
        <v>46113</v>
      </c>
      <c r="Y105" s="384">
        <f t="shared" si="36"/>
        <v>27.627378415300857</v>
      </c>
      <c r="Z105" s="384">
        <f t="shared" si="37"/>
        <v>29.377766413720881</v>
      </c>
      <c r="AA105" s="385">
        <f t="shared" si="38"/>
        <v>32.177102927773475</v>
      </c>
      <c r="AB105" s="196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8.6997779767064298E-2</v>
      </c>
      <c r="AD105" s="230">
        <f>(INDEX(Models!$BJ105:$BT105,,AH105)*(1-AF105)+INDEX(Models!$BJ105:$BT105,,AH105+1)*AF105-ERP_i)*AE105*Ramure*Pc/MaxiM</f>
        <v>4.8346182230830649E-4</v>
      </c>
      <c r="AE105" s="304">
        <f t="shared" si="40"/>
        <v>0.5</v>
      </c>
      <c r="AF105" s="176">
        <f t="shared" si="41"/>
        <v>0.95038027456026364</v>
      </c>
      <c r="AG105" s="814">
        <f t="shared" si="49"/>
        <v>1</v>
      </c>
      <c r="AH105" s="175">
        <f t="shared" si="42"/>
        <v>7</v>
      </c>
      <c r="AI105" s="224">
        <f t="shared" si="43"/>
        <v>1.9503802745602636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10">
        <f>'2025'!Wh/'2025'!Env_an*'2026'!Env_an</f>
        <v>18.853779801001192</v>
      </c>
      <c r="C106" s="843"/>
      <c r="D106" s="392">
        <f t="shared" si="25"/>
        <v>20.048737412005938</v>
      </c>
      <c r="E106" s="384">
        <f t="shared" si="47"/>
        <v>21.21589990729726</v>
      </c>
      <c r="F106" s="384">
        <f t="shared" si="26"/>
        <v>21.216012219679001</v>
      </c>
      <c r="G106" s="110">
        <f t="shared" si="48"/>
        <v>0.38366828735042152</v>
      </c>
      <c r="H106" s="413" t="b">
        <f>Wh_hp&gt;='2025'!Maxi_hp</f>
        <v>0</v>
      </c>
      <c r="I106" s="389">
        <f>IF(H106,Wh_hp,'2025'!Maxi_hp)</f>
        <v>43.183256148076218</v>
      </c>
      <c r="J106" s="85">
        <f>IF(H106,An,'2025'!An_max)</f>
        <v>2020</v>
      </c>
      <c r="K106" s="196">
        <f t="shared" si="27"/>
        <v>46114</v>
      </c>
      <c r="L106" s="147">
        <f>IF(t&lt;Tvie,1-EXP((T0-t)*PertePVj)+'2025'!Pspv,1-EXP((T0-t)*PertePVj)+Pspv)</f>
        <v>5.9602636637315555E-2</v>
      </c>
      <c r="M106" s="847"/>
      <c r="N106" s="847"/>
      <c r="O106" s="48">
        <f>IF(t&lt;Tnet,'2025'!Resal+('2025'!Salim-'2025'!Resal)*(1-EXP(('2025'!Tnet-t)/('2025'!Tau_j))),Resal+(Salim-Resal)*(1-EXP((Tnet-t)/(Tau_j))))*Salcycl</f>
        <v>5.5013574743057493E-2</v>
      </c>
      <c r="P106" s="168">
        <f>(INDEX(Models!$BJ106:$BT106,,T106)*(1-R106)+INDEX(Models!$BJ106:$BT106,,T106+1)*R106-ERP_i)*Q106*Ramure*Pc/MaxiM</f>
        <v>4.4281609770179355E-5</v>
      </c>
      <c r="Q106" s="304">
        <f t="shared" si="28"/>
        <v>0.5</v>
      </c>
      <c r="R106" s="176">
        <f t="shared" si="29"/>
        <v>0.83602265716553981</v>
      </c>
      <c r="S106" s="814">
        <f t="shared" si="30"/>
        <v>-1</v>
      </c>
      <c r="T106" s="175">
        <f t="shared" si="31"/>
        <v>5</v>
      </c>
      <c r="U106" s="250">
        <f t="shared" si="32"/>
        <v>-0.16397734283446017</v>
      </c>
      <c r="V106" s="382">
        <f t="shared" si="33"/>
        <v>49.138918566578226</v>
      </c>
      <c r="W106" s="401">
        <f t="shared" si="34"/>
        <v>18.853779801001192</v>
      </c>
      <c r="X106" s="157">
        <f t="shared" si="35"/>
        <v>46114</v>
      </c>
      <c r="Y106" s="384">
        <f t="shared" si="36"/>
        <v>18.214172072785534</v>
      </c>
      <c r="Z106" s="384">
        <f t="shared" si="37"/>
        <v>19.368591174750932</v>
      </c>
      <c r="AA106" s="385">
        <f t="shared" si="38"/>
        <v>21.214791876657973</v>
      </c>
      <c r="AB106" s="196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8.7024219357926522E-2</v>
      </c>
      <c r="AD106" s="230">
        <f>(INDEX(Models!$BJ106:$BT106,,AH106)*(1-AF106)+INDEX(Models!$BJ106:$BT106,,AH106+1)*AF106-ERP_i)*AE106*Ramure*Pc/MaxiM</f>
        <v>4.811468923057388E-4</v>
      </c>
      <c r="AE106" s="304">
        <f t="shared" si="40"/>
        <v>0.5</v>
      </c>
      <c r="AF106" s="176">
        <f t="shared" si="41"/>
        <v>0.9510151969899272</v>
      </c>
      <c r="AG106" s="814">
        <f t="shared" si="49"/>
        <v>1</v>
      </c>
      <c r="AH106" s="175">
        <f t="shared" si="42"/>
        <v>7</v>
      </c>
      <c r="AI106" s="224">
        <f t="shared" si="43"/>
        <v>1.9510151969899272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10">
        <f>'2025'!Wh/'2025'!Env_an*'2026'!Env_an</f>
        <v>23.726108831923277</v>
      </c>
      <c r="C107" s="843"/>
      <c r="D107" s="392">
        <f t="shared" si="25"/>
        <v>25.230427867205528</v>
      </c>
      <c r="E107" s="384">
        <f t="shared" si="47"/>
        <v>26.700833463721416</v>
      </c>
      <c r="F107" s="384">
        <f t="shared" si="26"/>
        <v>26.701133727726837</v>
      </c>
      <c r="G107" s="110">
        <f t="shared" si="48"/>
        <v>0.48064151194746974</v>
      </c>
      <c r="H107" s="413" t="b">
        <f>Wh_hp&gt;='2025'!Maxi_hp</f>
        <v>0</v>
      </c>
      <c r="I107" s="389">
        <f>IF(H107,Wh_hp,'2025'!Maxi_hp)</f>
        <v>51.063430423468454</v>
      </c>
      <c r="J107" s="85">
        <f>IF(H107,An,'2025'!An_max)</f>
        <v>2021</v>
      </c>
      <c r="K107" s="196">
        <f t="shared" si="27"/>
        <v>46115</v>
      </c>
      <c r="L107" s="147">
        <f>IF(t&lt;Tvie,1-EXP((T0-t)*PertePVj)+'2025'!Pspv,1-EXP((T0-t)*PertePVj)+Pspv)</f>
        <v>5.9623207469959728E-2</v>
      </c>
      <c r="M107" s="847"/>
      <c r="N107" s="847"/>
      <c r="O107" s="48">
        <f>IF(t&lt;Tnet,'2025'!Resal+('2025'!Salim-'2025'!Resal)*(1-EXP(('2025'!Tnet-t)/('2025'!Tau_j))),Resal+(Salim-Resal)*(1-EXP((Tnet-t)/(Tau_j))))*Salcycl</f>
        <v>5.5069651608955841E-2</v>
      </c>
      <c r="P107" s="168">
        <f>(INDEX(Models!$BJ107:$BT107,,T107)*(1-R107)+INDEX(Models!$BJ107:$BT107,,T107+1)*R107-ERP_i)*Q107*Ramure*Pc/MaxiM</f>
        <v>4.3572923148035603E-5</v>
      </c>
      <c r="Q107" s="304">
        <f t="shared" si="28"/>
        <v>0.5</v>
      </c>
      <c r="R107" s="176">
        <f t="shared" si="29"/>
        <v>0.83668120804842805</v>
      </c>
      <c r="S107" s="814">
        <f t="shared" si="30"/>
        <v>-1</v>
      </c>
      <c r="T107" s="175">
        <f t="shared" si="31"/>
        <v>5</v>
      </c>
      <c r="U107" s="250">
        <f t="shared" si="32"/>
        <v>-0.16331879195157201</v>
      </c>
      <c r="V107" s="382">
        <f t="shared" si="33"/>
        <v>49.361824200356523</v>
      </c>
      <c r="W107" s="401">
        <f t="shared" si="34"/>
        <v>23.726108831923277</v>
      </c>
      <c r="X107" s="157">
        <f t="shared" si="35"/>
        <v>46115</v>
      </c>
      <c r="Y107" s="384">
        <f t="shared" si="36"/>
        <v>22.920508164466408</v>
      </c>
      <c r="Z107" s="384">
        <f t="shared" si="37"/>
        <v>24.3737492742668</v>
      </c>
      <c r="AA107" s="385">
        <f t="shared" si="38"/>
        <v>26.697836180304041</v>
      </c>
      <c r="AB107" s="196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8.7051508232408897E-2</v>
      </c>
      <c r="AD107" s="230">
        <f>(INDEX(Models!$BJ107:$BT107,,AH107)*(1-AF107)+INDEX(Models!$BJ107:$BT107,,AH107+1)*AF107-ERP_i)*AE107*Ramure*Pc/MaxiM</f>
        <v>4.7852482427512166E-4</v>
      </c>
      <c r="AE107" s="304">
        <f t="shared" si="40"/>
        <v>0.5</v>
      </c>
      <c r="AF107" s="176">
        <f t="shared" si="41"/>
        <v>0.95167374787281545</v>
      </c>
      <c r="AG107" s="814">
        <f t="shared" si="49"/>
        <v>1</v>
      </c>
      <c r="AH107" s="175">
        <f t="shared" si="42"/>
        <v>7</v>
      </c>
      <c r="AI107" s="224">
        <f t="shared" si="43"/>
        <v>1.9516737478728154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10">
        <f>'2025'!Wh/'2025'!Env_an*'2026'!Env_an</f>
        <v>42.065926209266003</v>
      </c>
      <c r="C108" s="843"/>
      <c r="D108" s="392">
        <f t="shared" si="25"/>
        <v>44.734032931881423</v>
      </c>
      <c r="E108" s="384">
        <f t="shared" si="47"/>
        <v>47.343926337635438</v>
      </c>
      <c r="F108" s="384">
        <f t="shared" si="26"/>
        <v>47.345513128371238</v>
      </c>
      <c r="G108" s="110">
        <f t="shared" si="48"/>
        <v>0.84845158687341726</v>
      </c>
      <c r="H108" s="413" t="b">
        <f>Wh_hp&gt;='2025'!Maxi_hp</f>
        <v>0</v>
      </c>
      <c r="I108" s="389">
        <f>IF(H108,Wh_hp,'2025'!Maxi_hp)</f>
        <v>56.358160230802568</v>
      </c>
      <c r="J108" s="85">
        <f>IF(H108,An,'2025'!An_max)</f>
        <v>2020</v>
      </c>
      <c r="K108" s="196">
        <f t="shared" si="27"/>
        <v>46116</v>
      </c>
      <c r="L108" s="147">
        <f>IF(t&lt;Tvie,1-EXP((T0-t)*PertePVj)+'2025'!Pspv,1-EXP((T0-t)*PertePVj)+Pspv)</f>
        <v>5.9643777852049863E-2</v>
      </c>
      <c r="M108" s="847"/>
      <c r="N108" s="847"/>
      <c r="O108" s="48">
        <f>IF(t&lt;Tnet,'2025'!Resal+('2025'!Salim-'2025'!Resal)*(1-EXP(('2025'!Tnet-t)/('2025'!Tau_j))),Resal+(Salim-Resal)*(1-EXP((Tnet-t)/(Tau_j))))*Salcycl</f>
        <v>5.5126256051123333E-2</v>
      </c>
      <c r="P108" s="168">
        <f>(INDEX(Models!$BJ108:$BT108,,T108)*(1-R108)+INDEX(Models!$BJ108:$BT108,,T108+1)*R108-ERP_i)*Q108*Ramure*Pc/MaxiM</f>
        <v>4.2775426587540272E-5</v>
      </c>
      <c r="Q108" s="304">
        <f t="shared" si="28"/>
        <v>0.5</v>
      </c>
      <c r="R108" s="176">
        <f t="shared" si="29"/>
        <v>0.83736414366933953</v>
      </c>
      <c r="S108" s="814">
        <f t="shared" si="30"/>
        <v>-1</v>
      </c>
      <c r="T108" s="175">
        <f t="shared" si="31"/>
        <v>5</v>
      </c>
      <c r="U108" s="250">
        <f t="shared" si="32"/>
        <v>-0.16263585633066041</v>
      </c>
      <c r="V108" s="382">
        <f t="shared" si="33"/>
        <v>49.579183189475046</v>
      </c>
      <c r="W108" s="401">
        <f t="shared" si="34"/>
        <v>42.065926209266003</v>
      </c>
      <c r="X108" s="157">
        <f t="shared" si="35"/>
        <v>46116</v>
      </c>
      <c r="Y108" s="384">
        <f t="shared" si="36"/>
        <v>40.629584570713618</v>
      </c>
      <c r="Z108" s="384">
        <f t="shared" si="37"/>
        <v>43.206588751981691</v>
      </c>
      <c r="AA108" s="385">
        <f t="shared" si="38"/>
        <v>47.327885714587012</v>
      </c>
      <c r="AB108" s="196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8.7079676186233926E-2</v>
      </c>
      <c r="AD108" s="230">
        <f>(INDEX(Models!$BJ108:$BT108,,AH108)*(1-AF108)+INDEX(Models!$BJ108:$BT108,,AH108+1)*AF108-ERP_i)*AE108*Ramure*Pc/MaxiM</f>
        <v>4.7518562293226982E-4</v>
      </c>
      <c r="AE108" s="304">
        <f t="shared" si="40"/>
        <v>0.5</v>
      </c>
      <c r="AF108" s="176">
        <f t="shared" si="41"/>
        <v>0.95235668349372693</v>
      </c>
      <c r="AG108" s="814">
        <f t="shared" si="49"/>
        <v>1</v>
      </c>
      <c r="AH108" s="175">
        <f t="shared" si="42"/>
        <v>7</v>
      </c>
      <c r="AI108" s="224">
        <f t="shared" si="43"/>
        <v>1.9523566834937269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10">
        <f>'2025'!Wh/'2025'!Env_an*'2026'!Env_an</f>
        <v>49.885793236729533</v>
      </c>
      <c r="C109" s="843"/>
      <c r="D109" s="392">
        <f t="shared" si="25"/>
        <v>53.051049504660341</v>
      </c>
      <c r="E109" s="384">
        <f t="shared" si="47"/>
        <v>56.149574356154687</v>
      </c>
      <c r="F109" s="384">
        <f t="shared" si="26"/>
        <v>56.151929184528953</v>
      </c>
      <c r="G109" s="110">
        <f t="shared" si="48"/>
        <v>1.0019058973129336</v>
      </c>
      <c r="H109" s="413" t="b">
        <f>Wh_hp&gt;='2025'!Maxi_hp</f>
        <v>0</v>
      </c>
      <c r="I109" s="389">
        <f>IF(H109,Wh_hp,'2025'!Maxi_hp)</f>
        <v>58.338550286510831</v>
      </c>
      <c r="J109" s="85">
        <f>IF(H109,An,'2025'!An_max)</f>
        <v>2020</v>
      </c>
      <c r="K109" s="196">
        <f t="shared" si="27"/>
        <v>46117</v>
      </c>
      <c r="L109" s="147">
        <f>IF(t&lt;Tvie,1-EXP((T0-t)*PertePVj)+'2025'!Pspv,1-EXP((T0-t)*PertePVj)+Pspv)</f>
        <v>5.9664347783595729E-2</v>
      </c>
      <c r="M109" s="847"/>
      <c r="N109" s="847"/>
      <c r="O109" s="48">
        <f>IF(t&lt;Tnet,'2025'!Resal+('2025'!Salim-'2025'!Resal)*(1-EXP(('2025'!Tnet-t)/('2025'!Tau_j))),Resal+(Salim-Resal)*(1-EXP((Tnet-t)/(Tau_j))))*Salcycl</f>
        <v>5.5183407657563396E-2</v>
      </c>
      <c r="P109" s="168">
        <f>(INDEX(Models!$BJ109:$BT109,,T109)*(1-R109)+INDEX(Models!$BJ109:$BT109,,T109+1)*R109-ERP_i)*Q109*Ramure*Pc/MaxiM</f>
        <v>4.1936731443771477E-5</v>
      </c>
      <c r="Q109" s="304">
        <f t="shared" si="28"/>
        <v>0.5</v>
      </c>
      <c r="R109" s="176">
        <f t="shared" si="29"/>
        <v>0.83807223464615088</v>
      </c>
      <c r="S109" s="814">
        <f t="shared" si="30"/>
        <v>-1</v>
      </c>
      <c r="T109" s="175">
        <f t="shared" si="31"/>
        <v>5</v>
      </c>
      <c r="U109" s="250">
        <f t="shared" si="32"/>
        <v>-0.16192776535384917</v>
      </c>
      <c r="V109" s="382">
        <f t="shared" si="33"/>
        <v>49.790896900119037</v>
      </c>
      <c r="W109" s="401">
        <f t="shared" si="34"/>
        <v>49.885793236729533</v>
      </c>
      <c r="X109" s="157">
        <f t="shared" si="35"/>
        <v>46117</v>
      </c>
      <c r="Y109" s="384">
        <f t="shared" si="36"/>
        <v>48.17944177318445</v>
      </c>
      <c r="Z109" s="384">
        <f t="shared" si="37"/>
        <v>51.236429948842002</v>
      </c>
      <c r="AA109" s="385">
        <f t="shared" si="38"/>
        <v>56.125447663009695</v>
      </c>
      <c r="AB109" s="196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8.7108752228089087E-2</v>
      </c>
      <c r="AD109" s="230">
        <f>(INDEX(Models!$BJ109:$BT109,,AH109)*(1-AF109)+INDEX(Models!$BJ109:$BT109,,AH109+1)*AF109-ERP_i)*AE109*Ramure*Pc/MaxiM</f>
        <v>4.7160483894039034E-4</v>
      </c>
      <c r="AE109" s="304">
        <f t="shared" si="40"/>
        <v>0.5</v>
      </c>
      <c r="AF109" s="176">
        <f t="shared" si="41"/>
        <v>0.95306477447053828</v>
      </c>
      <c r="AG109" s="814">
        <f t="shared" si="49"/>
        <v>1</v>
      </c>
      <c r="AH109" s="175">
        <f t="shared" si="42"/>
        <v>7</v>
      </c>
      <c r="AI109" s="224">
        <f t="shared" si="43"/>
        <v>1.9530647744705383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10">
        <f>'2025'!Wh/'2025'!Env_an*'2026'!Env_an</f>
        <v>11.147016006482009</v>
      </c>
      <c r="C110" s="843"/>
      <c r="D110" s="392">
        <f t="shared" si="25"/>
        <v>11.854554086333646</v>
      </c>
      <c r="E110" s="384">
        <f t="shared" si="47"/>
        <v>12.547703341713703</v>
      </c>
      <c r="F110" s="384">
        <f t="shared" si="26"/>
        <v>12.547703341713703</v>
      </c>
      <c r="G110" s="110">
        <f t="shared" si="48"/>
        <v>0.22294512730191485</v>
      </c>
      <c r="H110" s="413" t="b">
        <f>Wh_hp&gt;='2025'!Maxi_hp</f>
        <v>0</v>
      </c>
      <c r="I110" s="389">
        <f>IF(H110,Wh_hp,'2025'!Maxi_hp)</f>
        <v>58.925500878405153</v>
      </c>
      <c r="J110" s="85">
        <f>IF(H110,An,'2025'!An_max)</f>
        <v>2020</v>
      </c>
      <c r="K110" s="196">
        <f t="shared" si="27"/>
        <v>46118</v>
      </c>
      <c r="L110" s="147">
        <f>IF(t&lt;Tvie,1-EXP((T0-t)*PertePVj)+'2025'!Pspv,1-EXP((T0-t)*PertePVj)+Pspv)</f>
        <v>5.968491726460743E-2</v>
      </c>
      <c r="M110" s="847"/>
      <c r="N110" s="847"/>
      <c r="O110" s="48">
        <f>IF(t&lt;Tnet,'2025'!Resal+('2025'!Salim-'2025'!Resal)*(1-EXP(('2025'!Tnet-t)/('2025'!Tau_j))),Resal+(Salim-Resal)*(1-EXP((Tnet-t)/(Tau_j))))*Salcycl</f>
        <v>5.5241125527389967E-2</v>
      </c>
      <c r="P110" s="168">
        <f>(INDEX(Models!$BJ110:$BT110,,T110)*(1-R110)+INDEX(Models!$BJ110:$BT110,,T110+1)*R110-ERP_i)*Q110*Ramure*Pc/MaxiM</f>
        <v>4.1056173742930898E-5</v>
      </c>
      <c r="Q110" s="304">
        <f t="shared" si="28"/>
        <v>0.5</v>
      </c>
      <c r="R110" s="176">
        <f t="shared" si="29"/>
        <v>0.83880626535997493</v>
      </c>
      <c r="S110" s="814">
        <f t="shared" si="30"/>
        <v>-1</v>
      </c>
      <c r="T110" s="175">
        <f t="shared" si="31"/>
        <v>5</v>
      </c>
      <c r="U110" s="250">
        <f t="shared" si="32"/>
        <v>-0.16119373464002507</v>
      </c>
      <c r="V110" s="382">
        <f t="shared" si="33"/>
        <v>49.996869128973309</v>
      </c>
      <c r="W110" s="401">
        <f t="shared" si="34"/>
        <v>11.147016006482009</v>
      </c>
      <c r="X110" s="157">
        <f t="shared" si="35"/>
        <v>46118</v>
      </c>
      <c r="Y110" s="384">
        <f t="shared" si="36"/>
        <v>10.770662312412741</v>
      </c>
      <c r="Z110" s="384">
        <f t="shared" si="37"/>
        <v>11.454311974961309</v>
      </c>
      <c r="AA110" s="385">
        <f t="shared" si="38"/>
        <v>12.547703341713703</v>
      </c>
      <c r="AB110" s="196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8.7138764519361395E-2</v>
      </c>
      <c r="AD110" s="230">
        <f>(INDEX(Models!$BJ110:$BT110,,AH110)*(1-AF110)+INDEX(Models!$BJ110:$BT110,,AH110+1)*AF110-ERP_i)*AE110*Ramure*Pc/MaxiM</f>
        <v>4.677829740417396E-4</v>
      </c>
      <c r="AE110" s="304">
        <f t="shared" si="40"/>
        <v>0.5</v>
      </c>
      <c r="AF110" s="176">
        <f t="shared" si="41"/>
        <v>0.95379880518436244</v>
      </c>
      <c r="AG110" s="814">
        <f t="shared" si="49"/>
        <v>1</v>
      </c>
      <c r="AH110" s="175">
        <f t="shared" si="42"/>
        <v>7</v>
      </c>
      <c r="AI110" s="224">
        <f t="shared" si="43"/>
        <v>1.9537988051843624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10">
        <f>'2025'!Wh/'2025'!Env_an*'2026'!Env_an</f>
        <v>38.115101390626599</v>
      </c>
      <c r="C111" s="843"/>
      <c r="D111" s="392">
        <f t="shared" si="25"/>
        <v>40.535279994825473</v>
      </c>
      <c r="E111" s="384">
        <f t="shared" si="47"/>
        <v>42.908071833765412</v>
      </c>
      <c r="F111" s="384">
        <f t="shared" si="26"/>
        <v>42.909201785248541</v>
      </c>
      <c r="G111" s="110">
        <f t="shared" si="48"/>
        <v>0.75929981016639092</v>
      </c>
      <c r="H111" s="413" t="b">
        <f>Wh_hp&gt;='2025'!Maxi_hp</f>
        <v>0</v>
      </c>
      <c r="I111" s="389">
        <f>IF(H111,Wh_hp,'2025'!Maxi_hp)</f>
        <v>56.811227959193118</v>
      </c>
      <c r="J111" s="85">
        <f>IF(H111,An,'2025'!An_max)</f>
        <v>2021</v>
      </c>
      <c r="K111" s="196">
        <f t="shared" si="27"/>
        <v>46119</v>
      </c>
      <c r="L111" s="147">
        <f>IF(t&lt;Tvie,1-EXP((T0-t)*PertePVj)+'2025'!Pspv,1-EXP((T0-t)*PertePVj)+Pspv)</f>
        <v>5.9705486295094624E-2</v>
      </c>
      <c r="M111" s="847"/>
      <c r="N111" s="847"/>
      <c r="O111" s="48">
        <f>IF(t&lt;Tnet,'2025'!Resal+('2025'!Salim-'2025'!Resal)*(1-EXP(('2025'!Tnet-t)/('2025'!Tau_j))),Resal+(Salim-Resal)*(1-EXP((Tnet-t)/(Tau_j))))*Salcycl</f>
        <v>5.5299428231886417E-2</v>
      </c>
      <c r="P111" s="168">
        <f>(INDEX(Models!$BJ111:$BT111,,T111)*(1-R111)+INDEX(Models!$BJ111:$BT111,,T111+1)*R111-ERP_i)*Q111*Ramure*Pc/MaxiM</f>
        <v>4.0132963231173671E-5</v>
      </c>
      <c r="Q111" s="304">
        <f t="shared" si="28"/>
        <v>0.5</v>
      </c>
      <c r="R111" s="176">
        <f t="shared" si="29"/>
        <v>0.83956703329654436</v>
      </c>
      <c r="S111" s="814">
        <f t="shared" si="30"/>
        <v>-1</v>
      </c>
      <c r="T111" s="175">
        <f t="shared" si="31"/>
        <v>5</v>
      </c>
      <c r="U111" s="250">
        <f t="shared" si="32"/>
        <v>-0.16043296670345564</v>
      </c>
      <c r="V111" s="382">
        <f t="shared" si="33"/>
        <v>50.197003739900353</v>
      </c>
      <c r="W111" s="401">
        <f t="shared" si="34"/>
        <v>38.115101390626599</v>
      </c>
      <c r="X111" s="157">
        <f t="shared" si="35"/>
        <v>46119</v>
      </c>
      <c r="Y111" s="384">
        <f t="shared" si="36"/>
        <v>36.819018040112113</v>
      </c>
      <c r="Z111" s="384">
        <f t="shared" si="37"/>
        <v>39.156899783493905</v>
      </c>
      <c r="AA111" s="385">
        <f t="shared" si="38"/>
        <v>42.896145661350253</v>
      </c>
      <c r="AB111" s="196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8.7169740315979863E-2</v>
      </c>
      <c r="AD111" s="230">
        <f>(INDEX(Models!$BJ111:$BT111,,AH111)*(1-AF111)+INDEX(Models!$BJ111:$BT111,,AH111+1)*AF111-ERP_i)*AE111*Ramure*Pc/MaxiM</f>
        <v>4.6371985715809382E-4</v>
      </c>
      <c r="AE111" s="304">
        <f t="shared" si="40"/>
        <v>0.5</v>
      </c>
      <c r="AF111" s="176">
        <f t="shared" si="41"/>
        <v>0.95455957312093176</v>
      </c>
      <c r="AG111" s="814">
        <f t="shared" si="49"/>
        <v>1</v>
      </c>
      <c r="AH111" s="175">
        <f t="shared" si="42"/>
        <v>7</v>
      </c>
      <c r="AI111" s="224">
        <f t="shared" si="43"/>
        <v>1.9545595731209318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10">
        <f>'2025'!Wh/'2025'!Env_an*'2026'!Env_an</f>
        <v>30.24636915141782</v>
      </c>
      <c r="C112" s="843"/>
      <c r="D112" s="392">
        <f t="shared" si="25"/>
        <v>32.167613819607681</v>
      </c>
      <c r="E112" s="384">
        <f t="shared" si="47"/>
        <v>34.052715404992817</v>
      </c>
      <c r="F112" s="384">
        <f t="shared" si="26"/>
        <v>34.053287446998375</v>
      </c>
      <c r="G112" s="110">
        <f t="shared" si="48"/>
        <v>0.60021769266685843</v>
      </c>
      <c r="H112" s="413" t="b">
        <f>Wh_hp&gt;='2025'!Maxi_hp</f>
        <v>0</v>
      </c>
      <c r="I112" s="389">
        <f>IF(H112,Wh_hp,'2025'!Maxi_hp)</f>
        <v>54.816109955651925</v>
      </c>
      <c r="J112" s="85">
        <f>IF(H112,An,'2025'!An_max)</f>
        <v>2021</v>
      </c>
      <c r="K112" s="196">
        <f t="shared" si="27"/>
        <v>46120</v>
      </c>
      <c r="L112" s="147">
        <f>IF(t&lt;Tvie,1-EXP((T0-t)*PertePVj)+'2025'!Pspv,1-EXP((T0-t)*PertePVj)+Pspv)</f>
        <v>5.9726054875067304E-2</v>
      </c>
      <c r="M112" s="847"/>
      <c r="N112" s="847"/>
      <c r="O112" s="48">
        <f>IF(t&lt;Tnet,'2025'!Resal+('2025'!Salim-'2025'!Resal)*(1-EXP(('2025'!Tnet-t)/('2025'!Tau_j))),Resal+(Salim-Resal)*(1-EXP((Tnet-t)/(Tau_j))))*Salcycl</f>
        <v>5.5358333776481854E-2</v>
      </c>
      <c r="P112" s="168">
        <f>(INDEX(Models!$BJ112:$BT112,,T112)*(1-R112)+INDEX(Models!$BJ112:$BT112,,T112+1)*R112-ERP_i)*Q112*Ramure*Pc/MaxiM</f>
        <v>3.916617966284814E-5</v>
      </c>
      <c r="Q112" s="304">
        <f t="shared" si="28"/>
        <v>0.5</v>
      </c>
      <c r="R112" s="176">
        <f t="shared" si="29"/>
        <v>0.84035534829319047</v>
      </c>
      <c r="S112" s="814">
        <f t="shared" si="30"/>
        <v>-1</v>
      </c>
      <c r="T112" s="175">
        <f t="shared" si="31"/>
        <v>5</v>
      </c>
      <c r="U112" s="250">
        <f t="shared" si="32"/>
        <v>-0.1596446517068095</v>
      </c>
      <c r="V112" s="382">
        <f t="shared" si="33"/>
        <v>50.39120466887011</v>
      </c>
      <c r="W112" s="401">
        <f t="shared" si="34"/>
        <v>30.24636915141782</v>
      </c>
      <c r="X112" s="157">
        <f t="shared" si="35"/>
        <v>46120</v>
      </c>
      <c r="Y112" s="384">
        <f t="shared" si="36"/>
        <v>29.221511930306136</v>
      </c>
      <c r="Z112" s="384">
        <f t="shared" si="37"/>
        <v>31.077657827074557</v>
      </c>
      <c r="AA112" s="385">
        <f t="shared" si="38"/>
        <v>34.046577462245132</v>
      </c>
      <c r="AB112" s="196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8.7201705911933838E-2</v>
      </c>
      <c r="AD112" s="230">
        <f>(INDEX(Models!$BJ112:$BT112,,AH112)*(1-AF112)+INDEX(Models!$BJ112:$BT112,,AH112+1)*AF112-ERP_i)*AE112*Ramure*Pc/MaxiM</f>
        <v>4.5941463358896054E-4</v>
      </c>
      <c r="AE112" s="304">
        <f t="shared" si="40"/>
        <v>0.5</v>
      </c>
      <c r="AF112" s="176">
        <f t="shared" si="41"/>
        <v>0.95534788811757787</v>
      </c>
      <c r="AG112" s="814">
        <f t="shared" si="49"/>
        <v>1</v>
      </c>
      <c r="AH112" s="175">
        <f t="shared" si="42"/>
        <v>7</v>
      </c>
      <c r="AI112" s="224">
        <f t="shared" si="43"/>
        <v>1.9553478881175779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10">
        <f>'2025'!Wh/'2025'!Env_an*'2026'!Env_an</f>
        <v>34.266975047097858</v>
      </c>
      <c r="C113" s="843"/>
      <c r="D113" s="392">
        <f t="shared" si="25"/>
        <v>36.444405184266778</v>
      </c>
      <c r="E113" s="384">
        <f t="shared" si="47"/>
        <v>38.582568549750668</v>
      </c>
      <c r="F113" s="384">
        <f t="shared" si="26"/>
        <v>38.583362430474949</v>
      </c>
      <c r="G113" s="110">
        <f t="shared" si="48"/>
        <v>0.67747717372756577</v>
      </c>
      <c r="H113" s="413" t="b">
        <f>Wh_hp&gt;='2025'!Maxi_hp</f>
        <v>0</v>
      </c>
      <c r="I113" s="389">
        <f>IF(H113,Wh_hp,'2025'!Maxi_hp)</f>
        <v>51.284257833174017</v>
      </c>
      <c r="J113" s="85">
        <f>IF(H113,An,'2025'!An_max)</f>
        <v>2020</v>
      </c>
      <c r="K113" s="196">
        <f t="shared" si="27"/>
        <v>46121</v>
      </c>
      <c r="L113" s="147">
        <f>IF(t&lt;Tvie,1-EXP((T0-t)*PertePVj)+'2025'!Pspv,1-EXP((T0-t)*PertePVj)+Pspv)</f>
        <v>5.974662300453535E-2</v>
      </c>
      <c r="M113" s="847"/>
      <c r="N113" s="847"/>
      <c r="O113" s="48">
        <f>IF(t&lt;Tnet,'2025'!Resal+('2025'!Salim-'2025'!Resal)*(1-EXP(('2025'!Tnet-t)/('2025'!Tau_j))),Resal+(Salim-Resal)*(1-EXP((Tnet-t)/(Tau_j))))*Salcycl</f>
        <v>5.5417859563362593E-2</v>
      </c>
      <c r="P113" s="168">
        <f>(INDEX(Models!$BJ113:$BT113,,T113)*(1-R113)+INDEX(Models!$BJ113:$BT113,,T113+1)*R113-ERP_i)*Q113*Ramure*Pc/MaxiM</f>
        <v>3.8154768930792575E-5</v>
      </c>
      <c r="Q113" s="304">
        <f t="shared" si="28"/>
        <v>0.5</v>
      </c>
      <c r="R113" s="176">
        <f t="shared" si="29"/>
        <v>0.84117203168573007</v>
      </c>
      <c r="S113" s="814">
        <f t="shared" si="30"/>
        <v>-1</v>
      </c>
      <c r="T113" s="175">
        <f t="shared" si="31"/>
        <v>5</v>
      </c>
      <c r="U113" s="250">
        <f t="shared" si="32"/>
        <v>-0.15882796831426987</v>
      </c>
      <c r="V113" s="382">
        <f t="shared" si="33"/>
        <v>50.579375930213388</v>
      </c>
      <c r="W113" s="401">
        <f t="shared" si="34"/>
        <v>34.266975047097858</v>
      </c>
      <c r="X113" s="157">
        <f t="shared" si="35"/>
        <v>46121</v>
      </c>
      <c r="Y113" s="384">
        <f t="shared" si="36"/>
        <v>33.105302351215158</v>
      </c>
      <c r="Z113" s="384">
        <f t="shared" si="37"/>
        <v>35.208916193421814</v>
      </c>
      <c r="AA113" s="385">
        <f t="shared" si="38"/>
        <v>38.573898104928936</v>
      </c>
      <c r="AB113" s="196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8.7234686584012885E-2</v>
      </c>
      <c r="AD113" s="230">
        <f>(INDEX(Models!$BJ113:$BT113,,AH113)*(1-AF113)+INDEX(Models!$BJ113:$BT113,,AH113+1)*AF113-ERP_i)*AE113*Ramure*Pc/MaxiM</f>
        <v>4.5486575407205734E-4</v>
      </c>
      <c r="AE113" s="304">
        <f t="shared" si="40"/>
        <v>0.5</v>
      </c>
      <c r="AF113" s="176">
        <f t="shared" si="41"/>
        <v>0.95616457151011747</v>
      </c>
      <c r="AG113" s="814">
        <f t="shared" si="49"/>
        <v>1</v>
      </c>
      <c r="AH113" s="175">
        <f t="shared" si="42"/>
        <v>7</v>
      </c>
      <c r="AI113" s="224">
        <f t="shared" si="43"/>
        <v>1.9561645715101175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10">
        <f>'2025'!Wh/'2025'!Env_an*'2026'!Env_an</f>
        <v>51.001299529022837</v>
      </c>
      <c r="C114" s="843"/>
      <c r="D114" s="392">
        <f t="shared" si="25"/>
        <v>54.243267224527692</v>
      </c>
      <c r="E114" s="384">
        <f t="shared" si="47"/>
        <v>57.429333047115293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Wh_hp&gt;='2025'!Maxi_hp</f>
        <v>1</v>
      </c>
      <c r="I114" s="389">
        <f>IF(H114,Wh_hp,'2025'!Maxi_hp)</f>
        <v>57.431465085598632</v>
      </c>
      <c r="J114" s="85">
        <f>IF(H114,An,'2025'!An_max)</f>
        <v>2026</v>
      </c>
      <c r="K114" s="196">
        <f t="shared" si="27"/>
        <v>46122</v>
      </c>
      <c r="L114" s="147">
        <f>IF(t&lt;Tvie,1-EXP((T0-t)*PertePVj)+'2025'!Pspv,1-EXP((T0-t)*PertePVj)+Pspv)</f>
        <v>5.9767190683508532E-2</v>
      </c>
      <c r="M114" s="847"/>
      <c r="N114" s="847"/>
      <c r="O114" s="48">
        <f>IF(t&lt;Tnet,'2025'!Resal+('2025'!Salim-'2025'!Resal)*(1-EXP(('2025'!Tnet-t)/('2025'!Tau_j))),Resal+(Salim-Resal)*(1-EXP((Tnet-t)/(Tau_j))))*Salcycl</f>
        <v>5.547802235442538E-2</v>
      </c>
      <c r="P114" s="168">
        <f>(INDEX(Models!$BJ114:$BT114,,T114)*(1-R114)+INDEX(Models!$BJ114:$BT114,,T114+1)*R114-ERP_i)*Q114*Ramure*Pc/MaxiM</f>
        <v>3.7123177689480659E-5</v>
      </c>
      <c r="Q114" s="304">
        <f t="shared" si="28"/>
        <v>0.5</v>
      </c>
      <c r="R114" s="176">
        <f t="shared" si="29"/>
        <v>0.84201791534953563</v>
      </c>
      <c r="S114" s="814">
        <f t="shared" si="30"/>
        <v>-1</v>
      </c>
      <c r="T114" s="175">
        <f t="shared" si="31"/>
        <v>5</v>
      </c>
      <c r="U114" s="250">
        <f t="shared" si="32"/>
        <v>-0.15798208465046437</v>
      </c>
      <c r="V114" s="382">
        <f t="shared" si="33"/>
        <v>50.761420319488849</v>
      </c>
      <c r="W114" s="401">
        <f t="shared" si="34"/>
        <v>51.001299529022837</v>
      </c>
      <c r="X114" s="157">
        <f t="shared" si="35"/>
        <v>46122</v>
      </c>
      <c r="Y114" s="384">
        <f t="shared" si="36"/>
        <v>49.264379333777782</v>
      </c>
      <c r="Z114" s="384">
        <f t="shared" si="37"/>
        <v>52.39593731002735</v>
      </c>
      <c r="AA114" s="385">
        <f t="shared" si="38"/>
        <v>57.405654528671654</v>
      </c>
      <c r="AB114" s="196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8.7268706537300525E-2</v>
      </c>
      <c r="AD114" s="230">
        <f>(INDEX(Models!$BJ114:$BT114,,AH114)*(1-AF114)+INDEX(Models!$BJ114:$BT114,,AH114+1)*AF114-ERP_i)*AE114*Ramure*Pc/MaxiM</f>
        <v>4.494149137324696E-4</v>
      </c>
      <c r="AE114" s="304">
        <f t="shared" si="40"/>
        <v>0.5</v>
      </c>
      <c r="AF114" s="176">
        <f t="shared" si="41"/>
        <v>0.95701045517392314</v>
      </c>
      <c r="AG114" s="814">
        <f t="shared" si="49"/>
        <v>1</v>
      </c>
      <c r="AH114" s="175">
        <f t="shared" si="42"/>
        <v>7</v>
      </c>
      <c r="AI114" s="224">
        <f t="shared" si="43"/>
        <v>1.9570104551739231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10">
        <f>'2025'!Wh/'2025'!Env_an*'2026'!Env_an</f>
        <v>38.705554338831725</v>
      </c>
      <c r="C115" s="843"/>
      <c r="D115" s="392">
        <f t="shared" si="25"/>
        <v>41.16682660169927</v>
      </c>
      <c r="E115" s="384">
        <f t="shared" si="47"/>
        <v>43.587633105775957</v>
      </c>
      <c r="F115" s="384">
        <f t="shared" si="26"/>
        <v>43.588666301286466</v>
      </c>
      <c r="G115" s="110">
        <f t="shared" si="48"/>
        <v>0.75985809480160182</v>
      </c>
      <c r="H115" s="413" t="b">
        <f>Wh_hp&gt;='2025'!Maxi_hp</f>
        <v>0</v>
      </c>
      <c r="I115" s="389">
        <f>IF(H115,Wh_hp,'2025'!Maxi_hp)</f>
        <v>57.80661489847374</v>
      </c>
      <c r="J115" s="85">
        <f>IF(H115,An,'2025'!An_max)</f>
        <v>2020</v>
      </c>
      <c r="K115" s="196">
        <f t="shared" si="27"/>
        <v>46123</v>
      </c>
      <c r="L115" s="147">
        <f>IF(t&lt;Tvie,1-EXP((T0-t)*PertePVj)+'2025'!Pspv,1-EXP((T0-t)*PertePVj)+Pspv)</f>
        <v>5.9787757911996732E-2</v>
      </c>
      <c r="M115" s="847"/>
      <c r="N115" s="847"/>
      <c r="O115" s="48">
        <f>IF(t&lt;Tnet,'2025'!Resal+('2025'!Salim-'2025'!Resal)*(1-EXP(('2025'!Tnet-t)/('2025'!Tau_j))),Resal+(Salim-Resal)*(1-EXP((Tnet-t)/(Tau_j))))*Salcycl</f>
        <v>5.553883823427655E-2</v>
      </c>
      <c r="P115" s="168">
        <f>(INDEX(Models!$BJ115:$BT115,,T115)*(1-R115)+INDEX(Models!$BJ115:$BT115,,T115+1)*R115-ERP_i)*Q115*Ramure*Pc/MaxiM</f>
        <v>3.6080641566906446E-5</v>
      </c>
      <c r="Q115" s="304">
        <f t="shared" si="28"/>
        <v>0.5</v>
      </c>
      <c r="R115" s="176">
        <f t="shared" si="29"/>
        <v>0.84289384062907391</v>
      </c>
      <c r="S115" s="814">
        <f t="shared" si="30"/>
        <v>-1</v>
      </c>
      <c r="T115" s="175">
        <f t="shared" si="31"/>
        <v>5</v>
      </c>
      <c r="U115" s="250">
        <f t="shared" si="32"/>
        <v>-0.15710615937092609</v>
      </c>
      <c r="V115" s="382">
        <f t="shared" si="33"/>
        <v>50.937241467383103</v>
      </c>
      <c r="W115" s="401">
        <f t="shared" si="34"/>
        <v>38.705554338831725</v>
      </c>
      <c r="X115" s="157">
        <f t="shared" si="35"/>
        <v>46123</v>
      </c>
      <c r="Y115" s="384">
        <f t="shared" si="36"/>
        <v>37.393774447656668</v>
      </c>
      <c r="Z115" s="384">
        <f t="shared" si="37"/>
        <v>39.771631099605095</v>
      </c>
      <c r="AA115" s="385">
        <f t="shared" si="38"/>
        <v>43.57597918537887</v>
      </c>
      <c r="AB115" s="196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8.7303788850951441E-2</v>
      </c>
      <c r="AD115" s="230">
        <f>(INDEX(Models!$BJ115:$BT115,,AH115)*(1-AF115)+INDEX(Models!$BJ115:$BT115,,AH115+1)*AF115-ERP_i)*AE115*Ramure*Pc/MaxiM</f>
        <v>4.4305194604800211E-4</v>
      </c>
      <c r="AE115" s="304">
        <f t="shared" si="40"/>
        <v>0.5</v>
      </c>
      <c r="AF115" s="176">
        <f t="shared" si="41"/>
        <v>0.95788638045346119</v>
      </c>
      <c r="AG115" s="814">
        <f t="shared" si="49"/>
        <v>1</v>
      </c>
      <c r="AH115" s="175">
        <f t="shared" si="42"/>
        <v>7</v>
      </c>
      <c r="AI115" s="224">
        <f t="shared" si="43"/>
        <v>1.9578863804534612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10">
        <f>'2025'!Wh/'2025'!Env_an*'2026'!Env_an</f>
        <v>34.507321923753864</v>
      </c>
      <c r="C116" s="843"/>
      <c r="D116" s="392">
        <f t="shared" si="25"/>
        <v>36.702432950575179</v>
      </c>
      <c r="E116" s="384">
        <f t="shared" si="47"/>
        <v>38.863241726818096</v>
      </c>
      <c r="F116" s="384">
        <f t="shared" si="26"/>
        <v>38.863971358340486</v>
      </c>
      <c r="G116" s="110">
        <f t="shared" si="48"/>
        <v>0.67518997807899506</v>
      </c>
      <c r="H116" s="413" t="b">
        <f>Wh_hp&gt;='2025'!Maxi_hp</f>
        <v>0</v>
      </c>
      <c r="I116" s="389">
        <f>IF(H116,Wh_hp,'2025'!Maxi_hp)</f>
        <v>57.16977965777064</v>
      </c>
      <c r="J116" s="85">
        <f>IF(H116,An,'2025'!An_max)</f>
        <v>2019</v>
      </c>
      <c r="K116" s="196">
        <f t="shared" si="27"/>
        <v>46124</v>
      </c>
      <c r="L116" s="147">
        <f>IF(t&lt;Tvie,1-EXP((T0-t)*PertePVj)+'2025'!Pspv,1-EXP((T0-t)*PertePVj)+Pspv)</f>
        <v>5.980832469000983E-2</v>
      </c>
      <c r="M116" s="847"/>
      <c r="N116" s="847"/>
      <c r="O116" s="48">
        <f>IF(t&lt;Tnet,'2025'!Resal+('2025'!Salim-'2025'!Resal)*(1-EXP(('2025'!Tnet-t)/('2025'!Tau_j))),Resal+(Salim-Resal)*(1-EXP((Tnet-t)/(Tau_j))))*Salcycl</f>
        <v>5.5600322572983391E-2</v>
      </c>
      <c r="P116" s="168">
        <f>(INDEX(Models!$BJ116:$BT116,,T116)*(1-R116)+INDEX(Models!$BJ116:$BT116,,T116+1)*R116-ERP_i)*Q116*Ramure*Pc/MaxiM</f>
        <v>3.5025998116358706E-5</v>
      </c>
      <c r="Q116" s="304">
        <f t="shared" si="28"/>
        <v>0.5</v>
      </c>
      <c r="R116" s="176">
        <f t="shared" si="29"/>
        <v>0.84380065715025088</v>
      </c>
      <c r="S116" s="814">
        <f t="shared" si="30"/>
        <v>-1</v>
      </c>
      <c r="T116" s="175">
        <f t="shared" si="31"/>
        <v>5</v>
      </c>
      <c r="U116" s="250">
        <f t="shared" si="32"/>
        <v>-0.15619934284974912</v>
      </c>
      <c r="V116" s="382">
        <f t="shared" si="33"/>
        <v>51.106743612916532</v>
      </c>
      <c r="W116" s="401">
        <f t="shared" si="34"/>
        <v>34.507321923753864</v>
      </c>
      <c r="X116" s="157">
        <f t="shared" si="35"/>
        <v>46124</v>
      </c>
      <c r="Y116" s="384">
        <f t="shared" si="36"/>
        <v>33.340427549754047</v>
      </c>
      <c r="Z116" s="384">
        <f t="shared" si="37"/>
        <v>35.461309034417255</v>
      </c>
      <c r="AA116" s="385">
        <f t="shared" si="38"/>
        <v>38.854893719910258</v>
      </c>
      <c r="AB116" s="196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8.7339955423788473E-2</v>
      </c>
      <c r="AD116" s="230">
        <f>(INDEX(Models!$BJ116:$BT116,,AH116)*(1-AF116)+INDEX(Models!$BJ116:$BT116,,AH116+1)*AF116-ERP_i)*AE116*Ramure*Pc/MaxiM</f>
        <v>4.3577249173237228E-4</v>
      </c>
      <c r="AE116" s="304">
        <f t="shared" si="40"/>
        <v>0.5</v>
      </c>
      <c r="AF116" s="176">
        <f t="shared" si="41"/>
        <v>0.95879319697463838</v>
      </c>
      <c r="AG116" s="814">
        <f t="shared" si="49"/>
        <v>1</v>
      </c>
      <c r="AH116" s="175">
        <f t="shared" si="42"/>
        <v>7</v>
      </c>
      <c r="AI116" s="224">
        <f t="shared" si="43"/>
        <v>1.9587931969746384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10">
        <f>'2025'!Wh/'2025'!Env_an*'2026'!Env_an</f>
        <v>6.7921526339205744</v>
      </c>
      <c r="C117" s="843"/>
      <c r="D117" s="392">
        <f t="shared" si="25"/>
        <v>7.2243792316398636</v>
      </c>
      <c r="E117" s="384">
        <f t="shared" si="47"/>
        <v>7.6502089084127407</v>
      </c>
      <c r="F117" s="384">
        <f t="shared" si="26"/>
        <v>7.6502089084127407</v>
      </c>
      <c r="G117" s="110">
        <f t="shared" si="48"/>
        <v>0.13247404646753849</v>
      </c>
      <c r="H117" s="413" t="b">
        <f>Wh_hp&gt;='2025'!Maxi_hp</f>
        <v>0</v>
      </c>
      <c r="I117" s="389">
        <f>IF(H117,Wh_hp,'2025'!Maxi_hp)</f>
        <v>58.311942637393507</v>
      </c>
      <c r="J117" s="85">
        <f>IF(H117,An,'2025'!An_max)</f>
        <v>2019</v>
      </c>
      <c r="K117" s="196">
        <f t="shared" si="27"/>
        <v>46125</v>
      </c>
      <c r="L117" s="147">
        <f>IF(t&lt;Tvie,1-EXP((T0-t)*PertePVj)+'2025'!Pspv,1-EXP((T0-t)*PertePVj)+Pspv)</f>
        <v>5.9828891017557707E-2</v>
      </c>
      <c r="M117" s="847"/>
      <c r="N117" s="847"/>
      <c r="O117" s="48">
        <f>IF(t&lt;Tnet,'2025'!Resal+('2025'!Salim-'2025'!Resal)*(1-EXP(('2025'!Tnet-t)/('2025'!Tau_j))),Resal+(Salim-Resal)*(1-EXP((Tnet-t)/(Tau_j))))*Salcycl</f>
        <v>5.5662489988293394E-2</v>
      </c>
      <c r="P117" s="168">
        <f>(INDEX(Models!$BJ117:$BT117,,T117)*(1-R117)+INDEX(Models!$BJ117:$BT117,,T117+1)*R117-ERP_i)*Q117*Ramure*Pc/MaxiM</f>
        <v>3.3958017168136103E-5</v>
      </c>
      <c r="Q117" s="304">
        <f t="shared" si="28"/>
        <v>0.5</v>
      </c>
      <c r="R117" s="176">
        <f t="shared" si="29"/>
        <v>0.8447392215100038</v>
      </c>
      <c r="S117" s="814">
        <f t="shared" si="30"/>
        <v>-1</v>
      </c>
      <c r="T117" s="175">
        <f t="shared" si="31"/>
        <v>5</v>
      </c>
      <c r="U117" s="250">
        <f t="shared" si="32"/>
        <v>-0.15526077848999617</v>
      </c>
      <c r="V117" s="382">
        <f t="shared" si="33"/>
        <v>51.269831087624553</v>
      </c>
      <c r="W117" s="401">
        <f t="shared" si="34"/>
        <v>6.7921526339205744</v>
      </c>
      <c r="X117" s="157">
        <f t="shared" si="35"/>
        <v>46125</v>
      </c>
      <c r="Y117" s="384">
        <f t="shared" si="36"/>
        <v>6.564044217495197</v>
      </c>
      <c r="Z117" s="384">
        <f t="shared" si="37"/>
        <v>6.981754868642513</v>
      </c>
      <c r="AA117" s="385">
        <f t="shared" si="38"/>
        <v>7.6502089084127407</v>
      </c>
      <c r="AB117" s="196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8.7377226919273535E-2</v>
      </c>
      <c r="AD117" s="230">
        <f>(INDEX(Models!$BJ117:$BT117,,AH117)*(1-AF117)+INDEX(Models!$BJ117:$BT117,,AH117+1)*AF117-ERP_i)*AE117*Ramure*Pc/MaxiM</f>
        <v>4.2757029224851196E-4</v>
      </c>
      <c r="AE117" s="304">
        <f t="shared" si="40"/>
        <v>0.5</v>
      </c>
      <c r="AF117" s="176">
        <f t="shared" si="41"/>
        <v>0.9597317613343912</v>
      </c>
      <c r="AG117" s="814">
        <f t="shared" si="49"/>
        <v>1</v>
      </c>
      <c r="AH117" s="175">
        <f t="shared" si="42"/>
        <v>7</v>
      </c>
      <c r="AI117" s="224">
        <f t="shared" si="43"/>
        <v>1.9597317613343912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10">
        <f>'2025'!Wh/'2025'!Env_an*'2026'!Env_an</f>
        <v>37.856306082366068</v>
      </c>
      <c r="C118" s="843"/>
      <c r="D118" s="392">
        <f t="shared" si="25"/>
        <v>40.26621732018085</v>
      </c>
      <c r="E118" s="384">
        <f t="shared" si="47"/>
        <v>42.642484899752745</v>
      </c>
      <c r="F118" s="384">
        <f t="shared" si="26"/>
        <v>42.643358345968089</v>
      </c>
      <c r="G118" s="110">
        <f t="shared" si="48"/>
        <v>0.73611667938390901</v>
      </c>
      <c r="H118" s="413" t="b">
        <f>Wh_hp&gt;='2025'!Maxi_hp</f>
        <v>0</v>
      </c>
      <c r="I118" s="389">
        <f>IF(H118,Wh_hp,'2025'!Maxi_hp)</f>
        <v>57.317133350603086</v>
      </c>
      <c r="J118" s="85">
        <f>IF(H118,An,'2025'!An_max)</f>
        <v>2021</v>
      </c>
      <c r="K118" s="196">
        <f t="shared" si="27"/>
        <v>46126</v>
      </c>
      <c r="L118" s="147">
        <f>IF(t&lt;Tvie,1-EXP((T0-t)*PertePVj)+'2025'!Pspv,1-EXP((T0-t)*PertePVj)+Pspv)</f>
        <v>5.9849456894650245E-2</v>
      </c>
      <c r="M118" s="847"/>
      <c r="N118" s="847"/>
      <c r="O118" s="48">
        <f>IF(t&lt;Tnet,'2025'!Resal+('2025'!Salim-'2025'!Resal)*(1-EXP(('2025'!Tnet-t)/('2025'!Tau_j))),Resal+(Salim-Resal)*(1-EXP((Tnet-t)/(Tau_j))))*Salcycl</f>
        <v>5.5725354307053436E-2</v>
      </c>
      <c r="P118" s="168">
        <f>(INDEX(Models!$BJ118:$BT118,,T118)*(1-R118)+INDEX(Models!$BJ118:$BT118,,T118+1)*R118-ERP_i)*Q118*Ramure*Pc/MaxiM</f>
        <v>3.2875398522855517E-5</v>
      </c>
      <c r="Q118" s="304">
        <f t="shared" si="28"/>
        <v>0.5</v>
      </c>
      <c r="R118" s="176">
        <f t="shared" si="29"/>
        <v>0.84571039583774199</v>
      </c>
      <c r="S118" s="814">
        <f t="shared" si="30"/>
        <v>-1</v>
      </c>
      <c r="T118" s="175">
        <f t="shared" si="31"/>
        <v>5</v>
      </c>
      <c r="U118" s="250">
        <f t="shared" si="32"/>
        <v>-0.15428960416225804</v>
      </c>
      <c r="V118" s="382">
        <f t="shared" si="33"/>
        <v>51.426408321980844</v>
      </c>
      <c r="W118" s="401">
        <f t="shared" si="34"/>
        <v>37.856306082366068</v>
      </c>
      <c r="X118" s="157">
        <f t="shared" si="35"/>
        <v>46126</v>
      </c>
      <c r="Y118" s="384">
        <f t="shared" si="36"/>
        <v>36.57704316234846</v>
      </c>
      <c r="Z118" s="384">
        <f t="shared" si="37"/>
        <v>38.905517239327672</v>
      </c>
      <c r="AA118" s="385">
        <f t="shared" si="38"/>
        <v>42.632241146661826</v>
      </c>
      <c r="AB118" s="196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8.7415622709433066E-2</v>
      </c>
      <c r="AD118" s="230">
        <f>(INDEX(Models!$BJ118:$BT118,,AH118)*(1-AF118)+INDEX(Models!$BJ118:$BT118,,AH118+1)*AF118-ERP_i)*AE118*Ramure*Pc/MaxiM</f>
        <v>4.1843716445448873E-4</v>
      </c>
      <c r="AE118" s="304">
        <f t="shared" si="40"/>
        <v>0.5</v>
      </c>
      <c r="AF118" s="176">
        <f t="shared" si="41"/>
        <v>0.96070293566212928</v>
      </c>
      <c r="AG118" s="814">
        <f t="shared" si="49"/>
        <v>1</v>
      </c>
      <c r="AH118" s="175">
        <f t="shared" si="42"/>
        <v>7</v>
      </c>
      <c r="AI118" s="224">
        <f t="shared" si="43"/>
        <v>1.9607029356621293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10">
        <f>'2025'!Wh/'2025'!Env_an*'2026'!Env_an</f>
        <v>41.696272706061251</v>
      </c>
      <c r="C119" s="843"/>
      <c r="D119" s="392">
        <f t="shared" si="25"/>
        <v>44.351604242016101</v>
      </c>
      <c r="E119" s="384">
        <f t="shared" si="47"/>
        <v>46.972128988870622</v>
      </c>
      <c r="F119" s="384">
        <f t="shared" si="26"/>
        <v>46.973213163983814</v>
      </c>
      <c r="G119" s="110">
        <f t="shared" si="48"/>
        <v>0.8084303363043911</v>
      </c>
      <c r="H119" s="413" t="b">
        <f>Wh_hp&gt;='2025'!Maxi_hp</f>
        <v>0</v>
      </c>
      <c r="I119" s="389">
        <f>IF(H119,Wh_hp,'2025'!Maxi_hp)</f>
        <v>57.589029120758397</v>
      </c>
      <c r="J119" s="85">
        <f>IF(H119,An,'2025'!An_max)</f>
        <v>2021</v>
      </c>
      <c r="K119" s="196">
        <f t="shared" si="27"/>
        <v>46127</v>
      </c>
      <c r="L119" s="147">
        <f>IF(t&lt;Tvie,1-EXP((T0-t)*PertePVj)+'2025'!Pspv,1-EXP((T0-t)*PertePVj)+Pspv)</f>
        <v>5.9870022321297324E-2</v>
      </c>
      <c r="M119" s="847"/>
      <c r="N119" s="847"/>
      <c r="O119" s="48">
        <f>IF(t&lt;Tnet,'2025'!Resal+('2025'!Salim-'2025'!Resal)*(1-EXP(('2025'!Tnet-t)/('2025'!Tau_j))),Resal+(Salim-Resal)*(1-EXP((Tnet-t)/(Tau_j))))*Salcycl</f>
        <v>5.5788928525582024E-2</v>
      </c>
      <c r="P119" s="168">
        <f>(INDEX(Models!$BJ119:$BT119,,T119)*(1-R119)+INDEX(Models!$BJ119:$BT119,,T119+1)*R119-ERP_i)*Q119*Ramure*Pc/MaxiM</f>
        <v>3.1776769557308945E-5</v>
      </c>
      <c r="Q119" s="304">
        <f t="shared" si="28"/>
        <v>0.5</v>
      </c>
      <c r="R119" s="176">
        <f t="shared" si="29"/>
        <v>0.84671504622346083</v>
      </c>
      <c r="S119" s="814">
        <f t="shared" si="30"/>
        <v>-1</v>
      </c>
      <c r="T119" s="175">
        <f t="shared" si="31"/>
        <v>5</v>
      </c>
      <c r="U119" s="250">
        <f t="shared" si="32"/>
        <v>-0.15328495377653914</v>
      </c>
      <c r="V119" s="382">
        <f t="shared" si="33"/>
        <v>51.576379846196296</v>
      </c>
      <c r="W119" s="401">
        <f t="shared" si="34"/>
        <v>41.696272706061251</v>
      </c>
      <c r="X119" s="157">
        <f t="shared" si="35"/>
        <v>46127</v>
      </c>
      <c r="Y119" s="384">
        <f t="shared" si="36"/>
        <v>40.286871937656578</v>
      </c>
      <c r="Z119" s="384">
        <f t="shared" si="37"/>
        <v>42.852449016815584</v>
      </c>
      <c r="AA119" s="385">
        <f t="shared" si="38"/>
        <v>46.95928043952123</v>
      </c>
      <c r="AB119" s="196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8.7455160817355951E-2</v>
      </c>
      <c r="AD119" s="230">
        <f>(INDEX(Models!$BJ119:$BT119,,AH119)*(1-AF119)+INDEX(Models!$BJ119:$BT119,,AH119+1)*AF119-ERP_i)*AE119*Ramure*Pc/MaxiM</f>
        <v>4.0836297491729252E-4</v>
      </c>
      <c r="AE119" s="304">
        <f t="shared" si="40"/>
        <v>0.5</v>
      </c>
      <c r="AF119" s="176">
        <f t="shared" si="41"/>
        <v>0.96170758604784834</v>
      </c>
      <c r="AG119" s="814">
        <f t="shared" si="49"/>
        <v>1</v>
      </c>
      <c r="AH119" s="175">
        <f t="shared" si="42"/>
        <v>7</v>
      </c>
      <c r="AI119" s="224">
        <f t="shared" si="43"/>
        <v>1.9617075860478483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10">
        <f>'2025'!Wh/'2025'!Env_an*'2026'!Env_an</f>
        <v>42.867210608215274</v>
      </c>
      <c r="C120" s="843"/>
      <c r="D120" s="392">
        <f t="shared" si="25"/>
        <v>45.598108080831551</v>
      </c>
      <c r="E120" s="384">
        <f t="shared" si="47"/>
        <v>48.295571490634451</v>
      </c>
      <c r="F120" s="384">
        <f t="shared" si="26"/>
        <v>48.296690216786203</v>
      </c>
      <c r="G120" s="110">
        <f t="shared" si="48"/>
        <v>0.82883176850893592</v>
      </c>
      <c r="H120" s="413" t="b">
        <f>Wh_hp&gt;='2025'!Maxi_hp</f>
        <v>0</v>
      </c>
      <c r="I120" s="389">
        <f>IF(H120,Wh_hp,'2025'!Maxi_hp)</f>
        <v>51.189407245873092</v>
      </c>
      <c r="J120" s="85">
        <f>IF(H120,An,'2025'!An_max)</f>
        <v>2020</v>
      </c>
      <c r="K120" s="196">
        <f t="shared" si="27"/>
        <v>46128</v>
      </c>
      <c r="L120" s="147">
        <f>IF(t&lt;Tvie,1-EXP((T0-t)*PertePVj)+'2025'!Pspv,1-EXP((T0-t)*PertePVj)+Pspv)</f>
        <v>5.9890587297508714E-2</v>
      </c>
      <c r="M120" s="847"/>
      <c r="N120" s="847"/>
      <c r="O120" s="48">
        <f>IF(t&lt;Tnet,'2025'!Resal+('2025'!Salim-'2025'!Resal)*(1-EXP(('2025'!Tnet-t)/('2025'!Tau_j))),Resal+(Salim-Resal)*(1-EXP((Tnet-t)/(Tau_j))))*Salcycl</f>
        <v>5.5853224768776091E-2</v>
      </c>
      <c r="P120" s="168">
        <f>(INDEX(Models!$BJ120:$BT120,,T120)*(1-R120)+INDEX(Models!$BJ120:$BT120,,T120+1)*R120-ERP_i)*Q120*Ramure*Pc/MaxiM</f>
        <v>3.0660682733055537E-5</v>
      </c>
      <c r="Q120" s="304">
        <f t="shared" si="28"/>
        <v>0.5</v>
      </c>
      <c r="R120" s="176">
        <f t="shared" si="29"/>
        <v>0.84775404100764629</v>
      </c>
      <c r="S120" s="814">
        <f t="shared" si="30"/>
        <v>-1</v>
      </c>
      <c r="T120" s="175">
        <f t="shared" si="31"/>
        <v>5</v>
      </c>
      <c r="U120" s="250">
        <f t="shared" si="32"/>
        <v>-0.15224595899235369</v>
      </c>
      <c r="V120" s="382">
        <f t="shared" si="33"/>
        <v>51.719650297305122</v>
      </c>
      <c r="W120" s="401">
        <f t="shared" si="34"/>
        <v>42.867210608215274</v>
      </c>
      <c r="X120" s="157">
        <f t="shared" si="35"/>
        <v>46128</v>
      </c>
      <c r="Y120" s="384">
        <f t="shared" si="36"/>
        <v>41.419059085436189</v>
      </c>
      <c r="Z120" s="384">
        <f t="shared" si="37"/>
        <v>44.057700652491754</v>
      </c>
      <c r="AA120" s="385">
        <f t="shared" si="38"/>
        <v>48.282192504976223</v>
      </c>
      <c r="AB120" s="196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8.7495857857927059E-2</v>
      </c>
      <c r="AD120" s="230">
        <f>(INDEX(Models!$BJ120:$BT120,,AH120)*(1-AF120)+INDEX(Models!$BJ120:$BT120,,AH120+1)*AF120-ERP_i)*AE120*Ramure*Pc/MaxiM</f>
        <v>3.9733561378202278E-4</v>
      </c>
      <c r="AE120" s="304">
        <f t="shared" si="40"/>
        <v>0.5</v>
      </c>
      <c r="AF120" s="176">
        <f t="shared" si="41"/>
        <v>0.96274658083203368</v>
      </c>
      <c r="AG120" s="814">
        <f t="shared" si="49"/>
        <v>1</v>
      </c>
      <c r="AH120" s="175">
        <f t="shared" si="42"/>
        <v>7</v>
      </c>
      <c r="AI120" s="224">
        <f t="shared" si="43"/>
        <v>1.9627465808320337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10">
        <f>'2025'!Wh/'2025'!Env_an*'2026'!Env_an</f>
        <v>50.751800950077076</v>
      </c>
      <c r="C121" s="843"/>
      <c r="D121" s="392">
        <f t="shared" si="25"/>
        <v>53.98617486901346</v>
      </c>
      <c r="E121" s="384">
        <f t="shared" si="47"/>
        <v>57.183792729725923</v>
      </c>
      <c r="F121" s="384">
        <f t="shared" si="26"/>
        <v>57.185429843511464</v>
      </c>
      <c r="G121" s="110">
        <f t="shared" si="48"/>
        <v>0.97871440079212446</v>
      </c>
      <c r="H121" s="413" t="b">
        <f>Wh_hp&gt;='2025'!Maxi_hp</f>
        <v>0</v>
      </c>
      <c r="I121" s="389">
        <f>IF(H121,Wh_hp,'2025'!Maxi_hp)</f>
        <v>57.185478888145539</v>
      </c>
      <c r="J121" s="85">
        <f>IF(H121,An,'2025'!An_max)</f>
        <v>2025</v>
      </c>
      <c r="K121" s="196">
        <f t="shared" si="27"/>
        <v>46129</v>
      </c>
      <c r="L121" s="147">
        <f>IF(t&lt;Tvie,1-EXP((T0-t)*PertePVj)+'2025'!Pspv,1-EXP((T0-t)*PertePVj)+Pspv)</f>
        <v>5.9911151823294408E-2</v>
      </c>
      <c r="M121" s="847"/>
      <c r="N121" s="847"/>
      <c r="O121" s="48">
        <f>IF(t&lt;Tnet,'2025'!Resal+('2025'!Salim-'2025'!Resal)*(1-EXP(('2025'!Tnet-t)/('2025'!Tau_j))),Resal+(Salim-Resal)*(1-EXP((Tnet-t)/(Tau_j))))*Salcycl</f>
        <v>5.5918254247767675E-2</v>
      </c>
      <c r="P121" s="168">
        <f>(INDEX(Models!$BJ121:$BT121,,T121)*(1-R121)+INDEX(Models!$BJ121:$BT121,,T121+1)*R121-ERP_i)*Q121*Ramure*Pc/MaxiM</f>
        <v>2.9525950638445465E-5</v>
      </c>
      <c r="Q121" s="304">
        <f t="shared" si="28"/>
        <v>0.5</v>
      </c>
      <c r="R121" s="176">
        <f t="shared" si="29"/>
        <v>0.84882824892845243</v>
      </c>
      <c r="S121" s="814">
        <f t="shared" si="30"/>
        <v>-1</v>
      </c>
      <c r="T121" s="175">
        <f t="shared" si="31"/>
        <v>5</v>
      </c>
      <c r="U121" s="250">
        <f t="shared" si="32"/>
        <v>-0.15117175107154762</v>
      </c>
      <c r="V121" s="382">
        <f t="shared" si="33"/>
        <v>51.855531443430486</v>
      </c>
      <c r="W121" s="401">
        <f t="shared" si="34"/>
        <v>50.751800950077076</v>
      </c>
      <c r="X121" s="157">
        <f t="shared" si="35"/>
        <v>46129</v>
      </c>
      <c r="Y121" s="384">
        <f t="shared" si="36"/>
        <v>49.035082669829897</v>
      </c>
      <c r="Z121" s="384">
        <f t="shared" si="37"/>
        <v>52.160051430173894</v>
      </c>
      <c r="AA121" s="385">
        <f t="shared" si="38"/>
        <v>57.164063749909694</v>
      </c>
      <c r="AB121" s="196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8.7537728976514628E-2</v>
      </c>
      <c r="AD121" s="230">
        <f>(INDEX(Models!$BJ121:$BT121,,AH121)*(1-AF121)+INDEX(Models!$BJ121:$BT121,,AH121+1)*AF121-ERP_i)*AE121*Ramure*Pc/MaxiM</f>
        <v>3.8534537464269392E-4</v>
      </c>
      <c r="AE121" s="304">
        <f t="shared" si="40"/>
        <v>0.5</v>
      </c>
      <c r="AF121" s="176">
        <f t="shared" si="41"/>
        <v>0.96382078875283983</v>
      </c>
      <c r="AG121" s="814">
        <f t="shared" si="49"/>
        <v>1</v>
      </c>
      <c r="AH121" s="175">
        <f t="shared" si="42"/>
        <v>7</v>
      </c>
      <c r="AI121" s="224">
        <f t="shared" si="43"/>
        <v>1.9638207887528398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10">
        <f>'2025'!Wh/'2025'!Env_an*'2026'!Env_an</f>
        <v>38.172747385873365</v>
      </c>
      <c r="C122" s="843"/>
      <c r="D122" s="392">
        <f t="shared" si="25"/>
        <v>40.606355975901096</v>
      </c>
      <c r="E122" s="384">
        <f t="shared" si="47"/>
        <v>43.014479782739372</v>
      </c>
      <c r="F122" s="384">
        <f t="shared" si="26"/>
        <v>43.015240091546616</v>
      </c>
      <c r="G122" s="110">
        <f t="shared" si="48"/>
        <v>0.73431424629611208</v>
      </c>
      <c r="H122" s="413" t="b">
        <f>Wh_hp&gt;='2025'!Maxi_hp</f>
        <v>0</v>
      </c>
      <c r="I122" s="389">
        <f>IF(H122,Wh_hp,'2025'!Maxi_hp)</f>
        <v>43.01568281475236</v>
      </c>
      <c r="J122" s="85">
        <f>IF(H122,An,'2025'!An_max)</f>
        <v>2025</v>
      </c>
      <c r="K122" s="196">
        <f t="shared" si="27"/>
        <v>46130</v>
      </c>
      <c r="L122" s="147">
        <f>IF(t&lt;Tvie,1-EXP((T0-t)*PertePVj)+'2025'!Pspv,1-EXP((T0-t)*PertePVj)+Pspv)</f>
        <v>5.9931715898664174E-2</v>
      </c>
      <c r="M122" s="847"/>
      <c r="N122" s="847"/>
      <c r="O122" s="48">
        <f>IF(t&lt;Tnet,'2025'!Resal+('2025'!Salim-'2025'!Resal)*(1-EXP(('2025'!Tnet-t)/('2025'!Tau_j))),Resal+(Salim-Resal)*(1-EXP((Tnet-t)/(Tau_j))))*Salcycl</f>
        <v>5.5984027215984083E-2</v>
      </c>
      <c r="P122" s="168">
        <f>(INDEX(Models!$BJ122:$BT122,,T122)*(1-R122)+INDEX(Models!$BJ122:$BT122,,T122+1)*R122-ERP_i)*Q122*Ramure*Pc/MaxiM</f>
        <v>2.8487457842192757E-5</v>
      </c>
      <c r="Q122" s="304">
        <f t="shared" si="28"/>
        <v>0.5</v>
      </c>
      <c r="R122" s="176">
        <f t="shared" si="29"/>
        <v>0.84993853712208611</v>
      </c>
      <c r="S122" s="814">
        <f t="shared" si="30"/>
        <v>-1</v>
      </c>
      <c r="T122" s="175">
        <f t="shared" si="31"/>
        <v>5</v>
      </c>
      <c r="U122" s="250">
        <f t="shared" si="32"/>
        <v>-0.15006146287791389</v>
      </c>
      <c r="V122" s="382">
        <f t="shared" si="33"/>
        <v>51.983649837533562</v>
      </c>
      <c r="W122" s="401">
        <f t="shared" si="34"/>
        <v>38.172747385873365</v>
      </c>
      <c r="X122" s="157">
        <f t="shared" si="35"/>
        <v>46130</v>
      </c>
      <c r="Y122" s="384">
        <f t="shared" si="36"/>
        <v>36.887190225320715</v>
      </c>
      <c r="Z122" s="384">
        <f t="shared" si="37"/>
        <v>39.238841315217073</v>
      </c>
      <c r="AA122" s="385">
        <f t="shared" si="38"/>
        <v>43.005277387766981</v>
      </c>
      <c r="AB122" s="196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8.758078778539137E-2</v>
      </c>
      <c r="AD122" s="230">
        <f>(INDEX(Models!$BJ122:$BT122,,AH122)*(1-AF122)+INDEX(Models!$BJ122:$BT122,,AH122+1)*AF122-ERP_i)*AE122*Ramure*Pc/MaxiM</f>
        <v>3.7328530356733842E-4</v>
      </c>
      <c r="AE122" s="304">
        <f t="shared" si="40"/>
        <v>0.5</v>
      </c>
      <c r="AF122" s="176">
        <f t="shared" si="41"/>
        <v>0.96493107694647362</v>
      </c>
      <c r="AG122" s="814">
        <f t="shared" si="49"/>
        <v>1</v>
      </c>
      <c r="AH122" s="175">
        <f t="shared" si="42"/>
        <v>7</v>
      </c>
      <c r="AI122" s="224">
        <f t="shared" si="43"/>
        <v>1.9649310769464736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10">
        <f>'2025'!Wh/'2025'!Env_an*'2026'!Env_an</f>
        <v>10.159544973333821</v>
      </c>
      <c r="C123" s="843"/>
      <c r="D123" s="392">
        <f t="shared" si="25"/>
        <v>10.807477909935722</v>
      </c>
      <c r="E123" s="384">
        <f t="shared" si="47"/>
        <v>11.449212607102636</v>
      </c>
      <c r="F123" s="384">
        <f t="shared" si="26"/>
        <v>11.449212607102636</v>
      </c>
      <c r="G123" s="110">
        <f t="shared" si="48"/>
        <v>0.19497905799879506</v>
      </c>
      <c r="H123" s="413" t="b">
        <f>Wh_hp&gt;='2025'!Maxi_hp</f>
        <v>0</v>
      </c>
      <c r="I123" s="389">
        <f>IF(H123,Wh_hp,'2025'!Maxi_hp)</f>
        <v>57.532999013855843</v>
      </c>
      <c r="J123" s="85">
        <f>IF(H123,An,'2025'!An_max)</f>
        <v>2021</v>
      </c>
      <c r="K123" s="196">
        <f t="shared" si="27"/>
        <v>46131</v>
      </c>
      <c r="L123" s="147">
        <f>IF(t&lt;Tvie,1-EXP((T0-t)*PertePVj)+'2025'!Pspv,1-EXP((T0-t)*PertePVj)+Pspv)</f>
        <v>5.9952279523627895E-2</v>
      </c>
      <c r="M123" s="847"/>
      <c r="N123" s="847"/>
      <c r="O123" s="48">
        <f>IF(t&lt;Tnet,'2025'!Resal+('2025'!Salim-'2025'!Resal)*(1-EXP(('2025'!Tnet-t)/('2025'!Tau_j))),Resal+(Salim-Resal)*(1-EXP((Tnet-t)/(Tau_j))))*Salcycl</f>
        <v>5.6050552923509127E-2</v>
      </c>
      <c r="P123" s="168">
        <f>(INDEX(Models!$BJ123:$BT123,,T123)*(1-R123)+INDEX(Models!$BJ123:$BT123,,T123+1)*R123-ERP_i)*Q123*Ramure*Pc/MaxiM</f>
        <v>2.7592255535703616E-5</v>
      </c>
      <c r="Q123" s="304">
        <f t="shared" si="28"/>
        <v>0.5</v>
      </c>
      <c r="R123" s="176">
        <f t="shared" si="29"/>
        <v>0.85108576897286825</v>
      </c>
      <c r="S123" s="814">
        <f t="shared" si="30"/>
        <v>-1</v>
      </c>
      <c r="T123" s="175">
        <f t="shared" si="31"/>
        <v>5</v>
      </c>
      <c r="U123" s="250">
        <f t="shared" si="32"/>
        <v>-0.14891423102713175</v>
      </c>
      <c r="V123" s="382">
        <f t="shared" si="33"/>
        <v>52.104388814082654</v>
      </c>
      <c r="W123" s="401">
        <f t="shared" si="34"/>
        <v>10.159544973333821</v>
      </c>
      <c r="X123" s="157">
        <f t="shared" si="35"/>
        <v>46131</v>
      </c>
      <c r="Y123" s="384">
        <f t="shared" si="36"/>
        <v>9.8197148198873503</v>
      </c>
      <c r="Z123" s="384">
        <f t="shared" si="37"/>
        <v>10.445974822332614</v>
      </c>
      <c r="AA123" s="385">
        <f t="shared" si="38"/>
        <v>11.449212607102636</v>
      </c>
      <c r="AB123" s="196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8.7625046297738748E-2</v>
      </c>
      <c r="AD123" s="230">
        <f>(INDEX(Models!$BJ123:$BT123,,AH123)*(1-AF123)+INDEX(Models!$BJ123:$BT123,,AH123+1)*AF123-ERP_i)*AE123*Ramure*Pc/MaxiM</f>
        <v>3.6153383995635413E-4</v>
      </c>
      <c r="AE123" s="304">
        <f t="shared" si="40"/>
        <v>0.5</v>
      </c>
      <c r="AF123" s="176">
        <f t="shared" si="41"/>
        <v>0.96607830879725554</v>
      </c>
      <c r="AG123" s="814">
        <f t="shared" si="49"/>
        <v>1</v>
      </c>
      <c r="AH123" s="175">
        <f t="shared" si="42"/>
        <v>7</v>
      </c>
      <c r="AI123" s="224">
        <f t="shared" si="43"/>
        <v>1.9660783087972555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10">
        <f>'2025'!Wh/'2025'!Env_an*'2026'!Env_an</f>
        <v>9.5551655513656346</v>
      </c>
      <c r="C124" s="843"/>
      <c r="D124" s="392">
        <f t="shared" si="25"/>
        <v>10.164776067525739</v>
      </c>
      <c r="E124" s="384">
        <f t="shared" si="47"/>
        <v>10.76911556723531</v>
      </c>
      <c r="F124" s="384">
        <f t="shared" si="26"/>
        <v>10.76911556723531</v>
      </c>
      <c r="G124" s="110">
        <f t="shared" si="48"/>
        <v>0.18298066856657758</v>
      </c>
      <c r="H124" s="413" t="b">
        <f>Wh_hp&gt;='2025'!Maxi_hp</f>
        <v>0</v>
      </c>
      <c r="I124" s="389">
        <f>IF(H124,Wh_hp,'2025'!Maxi_hp)</f>
        <v>50.447436278195291</v>
      </c>
      <c r="J124" s="85">
        <f>IF(H124,An,'2025'!An_max)</f>
        <v>2019</v>
      </c>
      <c r="K124" s="196">
        <f t="shared" si="27"/>
        <v>46132</v>
      </c>
      <c r="L124" s="147">
        <f>IF(t&lt;Tvie,1-EXP((T0-t)*PertePVj)+'2025'!Pspv,1-EXP((T0-t)*PertePVj)+Pspv)</f>
        <v>5.9972842698195562E-2</v>
      </c>
      <c r="M124" s="847"/>
      <c r="N124" s="847"/>
      <c r="O124" s="48">
        <f>IF(t&lt;Tnet,'2025'!Resal+('2025'!Salim-'2025'!Resal)*(1-EXP(('2025'!Tnet-t)/('2025'!Tau_j))),Resal+(Salim-Resal)*(1-EXP((Tnet-t)/(Tau_j))))*Salcycl</f>
        <v>5.611783956969086E-2</v>
      </c>
      <c r="P124" s="168">
        <f>(INDEX(Models!$BJ124:$BT124,,T124)*(1-R124)+INDEX(Models!$BJ124:$BT124,,T124+1)*R124-ERP_i)*Q124*Ramure*Pc/MaxiM</f>
        <v>2.6841291937567497E-5</v>
      </c>
      <c r="Q124" s="304">
        <f t="shared" si="28"/>
        <v>0.5</v>
      </c>
      <c r="R124" s="176">
        <f t="shared" si="29"/>
        <v>0.85227080181006976</v>
      </c>
      <c r="S124" s="814">
        <f t="shared" si="30"/>
        <v>-1</v>
      </c>
      <c r="T124" s="175">
        <f t="shared" si="31"/>
        <v>5</v>
      </c>
      <c r="U124" s="250">
        <f t="shared" si="32"/>
        <v>-0.14772919818993024</v>
      </c>
      <c r="V124" s="382">
        <f t="shared" si="33"/>
        <v>52.21813404240023</v>
      </c>
      <c r="W124" s="401">
        <f t="shared" si="34"/>
        <v>9.5551655513656346</v>
      </c>
      <c r="X124" s="157">
        <f t="shared" si="35"/>
        <v>46132</v>
      </c>
      <c r="Y124" s="384">
        <f t="shared" si="36"/>
        <v>9.2357495812175063</v>
      </c>
      <c r="Z124" s="384">
        <f t="shared" si="37"/>
        <v>9.8249816608779987</v>
      </c>
      <c r="AA124" s="385">
        <f t="shared" si="38"/>
        <v>10.76911556723531</v>
      </c>
      <c r="AB124" s="196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8.7670514859159721E-2</v>
      </c>
      <c r="AD124" s="230">
        <f>(INDEX(Models!$BJ124:$BT124,,AH124)*(1-AF124)+INDEX(Models!$BJ124:$BT124,,AH124+1)*AF124-ERP_i)*AE124*Ramure*Pc/MaxiM</f>
        <v>3.5007824705483561E-4</v>
      </c>
      <c r="AE124" s="304">
        <f t="shared" si="40"/>
        <v>0.5</v>
      </c>
      <c r="AF124" s="176">
        <f t="shared" si="41"/>
        <v>0.96726334163445715</v>
      </c>
      <c r="AG124" s="814">
        <f t="shared" si="49"/>
        <v>1</v>
      </c>
      <c r="AH124" s="175">
        <f t="shared" si="42"/>
        <v>7</v>
      </c>
      <c r="AI124" s="224">
        <f t="shared" si="43"/>
        <v>1.9672633416344572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10">
        <f>'2025'!Wh/'2025'!Env_an*'2026'!Env_an</f>
        <v>9.0217218040936338</v>
      </c>
      <c r="C125" s="843"/>
      <c r="D125" s="392">
        <f t="shared" si="25"/>
        <v>9.5975090559310381</v>
      </c>
      <c r="E125" s="384">
        <f t="shared" si="47"/>
        <v>10.168855283578321</v>
      </c>
      <c r="F125" s="384">
        <f t="shared" si="26"/>
        <v>10.168855283578321</v>
      </c>
      <c r="G125" s="110">
        <f t="shared" si="48"/>
        <v>0.17241162666429041</v>
      </c>
      <c r="H125" s="413" t="b">
        <f>Wh_hp&gt;='2025'!Maxi_hp</f>
        <v>0</v>
      </c>
      <c r="I125" s="389">
        <f>IF(H125,Wh_hp,'2025'!Maxi_hp)</f>
        <v>56.950308189704678</v>
      </c>
      <c r="J125" s="85">
        <f>IF(H125,An,'2025'!An_max)</f>
        <v>2021</v>
      </c>
      <c r="K125" s="196">
        <f t="shared" si="27"/>
        <v>46133</v>
      </c>
      <c r="L125" s="147">
        <f>IF(t&lt;Tvie,1-EXP((T0-t)*PertePVj)+'2025'!Pspv,1-EXP((T0-t)*PertePVj)+Pspv)</f>
        <v>5.9993405422376835E-2</v>
      </c>
      <c r="M125" s="847"/>
      <c r="N125" s="847"/>
      <c r="O125" s="48">
        <f>IF(t&lt;Tnet,'2025'!Resal+('2025'!Salim-'2025'!Resal)*(1-EXP(('2025'!Tnet-t)/('2025'!Tau_j))),Resal+(Salim-Resal)*(1-EXP((Tnet-t)/(Tau_j))))*Salcycl</f>
        <v>5.6185894253992327E-2</v>
      </c>
      <c r="P125" s="168">
        <f>(INDEX(Models!$BJ125:$BT125,,T125)*(1-R125)+INDEX(Models!$BJ125:$BT125,,T125+1)*R125-ERP_i)*Q125*Ramure*Pc/MaxiM</f>
        <v>2.6235957331352658E-5</v>
      </c>
      <c r="Q125" s="304">
        <f t="shared" si="28"/>
        <v>0.5</v>
      </c>
      <c r="R125" s="176">
        <f t="shared" si="29"/>
        <v>0.85349448444935361</v>
      </c>
      <c r="S125" s="814">
        <f t="shared" si="30"/>
        <v>-1</v>
      </c>
      <c r="T125" s="175">
        <f t="shared" si="31"/>
        <v>5</v>
      </c>
      <c r="U125" s="250">
        <f t="shared" si="32"/>
        <v>-0.14650551555064639</v>
      </c>
      <c r="V125" s="382">
        <f t="shared" si="33"/>
        <v>52.325271126589513</v>
      </c>
      <c r="W125" s="401">
        <f t="shared" si="34"/>
        <v>9.0217218040936338</v>
      </c>
      <c r="X125" s="157">
        <f t="shared" si="35"/>
        <v>46133</v>
      </c>
      <c r="Y125" s="384">
        <f t="shared" si="36"/>
        <v>8.7203206218439728</v>
      </c>
      <c r="Z125" s="384">
        <f t="shared" si="37"/>
        <v>9.2768717497799145</v>
      </c>
      <c r="AA125" s="385">
        <f t="shared" si="38"/>
        <v>10.168855283578321</v>
      </c>
      <c r="AB125" s="196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8.7717202076704734E-2</v>
      </c>
      <c r="AD125" s="230">
        <f>(INDEX(Models!$BJ125:$BT125,,AH125)*(1-AF125)+INDEX(Models!$BJ125:$BT125,,AH125+1)*AF125-ERP_i)*AE125*Ramure*Pc/MaxiM</f>
        <v>3.3890753448804372E-4</v>
      </c>
      <c r="AE125" s="304">
        <f t="shared" si="40"/>
        <v>0.5</v>
      </c>
      <c r="AF125" s="176">
        <f t="shared" si="41"/>
        <v>0.96848702427374089</v>
      </c>
      <c r="AG125" s="814">
        <f t="shared" si="49"/>
        <v>1</v>
      </c>
      <c r="AH125" s="175">
        <f t="shared" si="42"/>
        <v>7</v>
      </c>
      <c r="AI125" s="224">
        <f t="shared" si="43"/>
        <v>1.9684870242737409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10">
        <f>'2025'!Wh/'2025'!Env_an*'2026'!Env_an</f>
        <v>28.646512669267427</v>
      </c>
      <c r="C126" s="843"/>
      <c r="D126" s="392">
        <f t="shared" si="25"/>
        <v>30.475466320555306</v>
      </c>
      <c r="E126" s="384">
        <f t="shared" si="47"/>
        <v>32.29204644606429</v>
      </c>
      <c r="F126" s="384">
        <f t="shared" si="26"/>
        <v>32.292339481293503</v>
      </c>
      <c r="G126" s="110">
        <f t="shared" si="48"/>
        <v>0.54640698794528042</v>
      </c>
      <c r="H126" s="413" t="b">
        <f>Wh_hp&gt;='2025'!Maxi_hp</f>
        <v>0</v>
      </c>
      <c r="I126" s="389">
        <f>IF(H126,Wh_hp,'2025'!Maxi_hp)</f>
        <v>61.518685977469168</v>
      </c>
      <c r="J126" s="85">
        <f>IF(H126,An,'2025'!An_max)</f>
        <v>2021</v>
      </c>
      <c r="K126" s="196">
        <f t="shared" si="27"/>
        <v>46134</v>
      </c>
      <c r="L126" s="147">
        <f>IF(t&lt;Tvie,1-EXP((T0-t)*PertePVj)+'2025'!Pspv,1-EXP((T0-t)*PertePVj)+Pspv)</f>
        <v>6.0013967696181704E-2</v>
      </c>
      <c r="M126" s="847"/>
      <c r="N126" s="847"/>
      <c r="O126" s="48">
        <f>IF(t&lt;Tnet,'2025'!Resal+('2025'!Salim-'2025'!Resal)*(1-EXP(('2025'!Tnet-t)/('2025'!Tau_j))),Resal+(Salim-Resal)*(1-EXP((Tnet-t)/(Tau_j))))*Salcycl</f>
        <v>5.6254722925136544E-2</v>
      </c>
      <c r="P126" s="168">
        <f>(INDEX(Models!$BJ126:$BT126,,T126)*(1-R126)+INDEX(Models!$BJ126:$BT126,,T126+1)*R126-ERP_i)*Q126*Ramure*Pc/MaxiM</f>
        <v>2.5778002370609703E-5</v>
      </c>
      <c r="Q126" s="304">
        <f t="shared" si="28"/>
        <v>0.5</v>
      </c>
      <c r="R126" s="176">
        <f t="shared" si="29"/>
        <v>0.85475765457748309</v>
      </c>
      <c r="S126" s="814">
        <f t="shared" si="30"/>
        <v>-1</v>
      </c>
      <c r="T126" s="175">
        <f t="shared" si="31"/>
        <v>5</v>
      </c>
      <c r="U126" s="250">
        <f t="shared" si="32"/>
        <v>-0.14524234542251693</v>
      </c>
      <c r="V126" s="382">
        <f t="shared" si="33"/>
        <v>52.426185605952703</v>
      </c>
      <c r="W126" s="401">
        <f t="shared" si="34"/>
        <v>28.646512669267427</v>
      </c>
      <c r="X126" s="157">
        <f t="shared" si="35"/>
        <v>46134</v>
      </c>
      <c r="Y126" s="384">
        <f t="shared" si="36"/>
        <v>27.687097891517201</v>
      </c>
      <c r="Z126" s="384">
        <f t="shared" si="37"/>
        <v>29.454797135292214</v>
      </c>
      <c r="AA126" s="385">
        <f t="shared" si="38"/>
        <v>32.2886107639644</v>
      </c>
      <c r="AB126" s="196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8.7765114745501957E-2</v>
      </c>
      <c r="AD126" s="230">
        <f>(INDEX(Models!$BJ126:$BT126,,AH126)*(1-AF126)+INDEX(Models!$BJ126:$BT126,,AH126+1)*AF126-ERP_i)*AE126*Ramure*Pc/MaxiM</f>
        <v>3.2801136029158971E-4</v>
      </c>
      <c r="AE126" s="304">
        <f t="shared" si="40"/>
        <v>0.5</v>
      </c>
      <c r="AF126" s="176">
        <f t="shared" si="41"/>
        <v>0.96975019440187049</v>
      </c>
      <c r="AG126" s="814">
        <f t="shared" si="49"/>
        <v>1</v>
      </c>
      <c r="AH126" s="175">
        <f t="shared" si="42"/>
        <v>7</v>
      </c>
      <c r="AI126" s="224">
        <f t="shared" si="43"/>
        <v>1.9697501944018705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10">
        <f>'2025'!Wh/'2025'!Env_an*'2026'!Env_an</f>
        <v>7.9537776703780336</v>
      </c>
      <c r="C127" s="843"/>
      <c r="D127" s="392">
        <f t="shared" si="25"/>
        <v>8.4617764377165532</v>
      </c>
      <c r="E127" s="384">
        <f t="shared" si="47"/>
        <v>8.9668269614957108</v>
      </c>
      <c r="F127" s="384">
        <f t="shared" si="26"/>
        <v>8.9668269614957108</v>
      </c>
      <c r="G127" s="110">
        <f t="shared" si="48"/>
        <v>0.15143533578423998</v>
      </c>
      <c r="H127" s="413" t="b">
        <f>Wh_hp&gt;='2025'!Maxi_hp</f>
        <v>0</v>
      </c>
      <c r="I127" s="389">
        <f>IF(H127,Wh_hp,'2025'!Maxi_hp)</f>
        <v>60.576716442775776</v>
      </c>
      <c r="J127" s="85">
        <f>IF(H127,An,'2025'!An_max)</f>
        <v>2021</v>
      </c>
      <c r="K127" s="196">
        <f t="shared" si="27"/>
        <v>46135</v>
      </c>
      <c r="L127" s="147">
        <f>IF(t&lt;Tvie,1-EXP((T0-t)*PertePVj)+'2025'!Pspv,1-EXP((T0-t)*PertePVj)+Pspv)</f>
        <v>6.003452951961994E-2</v>
      </c>
      <c r="M127" s="847"/>
      <c r="N127" s="847"/>
      <c r="O127" s="48">
        <f>IF(t&lt;Tnet,'2025'!Resal+('2025'!Salim-'2025'!Resal)*(1-EXP(('2025'!Tnet-t)/('2025'!Tau_j))),Resal+(Salim-Resal)*(1-EXP((Tnet-t)/(Tau_j))))*Salcycl</f>
        <v>5.6324330328653131E-2</v>
      </c>
      <c r="P127" s="168">
        <f>(INDEX(Models!$BJ127:$BT127,,T127)*(1-R127)+INDEX(Models!$BJ127:$BT127,,T127+1)*R127-ERP_i)*Q127*Ramure*Pc/MaxiM</f>
        <v>2.5469465470587716E-5</v>
      </c>
      <c r="Q127" s="304">
        <f t="shared" si="28"/>
        <v>0.5</v>
      </c>
      <c r="R127" s="176">
        <f t="shared" si="29"/>
        <v>0.85606113597990308</v>
      </c>
      <c r="S127" s="814">
        <f t="shared" si="30"/>
        <v>-1</v>
      </c>
      <c r="T127" s="175">
        <f t="shared" si="31"/>
        <v>5</v>
      </c>
      <c r="U127" s="250">
        <f t="shared" si="32"/>
        <v>-0.1439388640200969</v>
      </c>
      <c r="V127" s="382">
        <f t="shared" si="33"/>
        <v>52.521262958364524</v>
      </c>
      <c r="W127" s="401">
        <f t="shared" si="34"/>
        <v>7.9537776703780336</v>
      </c>
      <c r="X127" s="157">
        <f t="shared" si="35"/>
        <v>46135</v>
      </c>
      <c r="Y127" s="384">
        <f t="shared" si="36"/>
        <v>7.6883645736970063</v>
      </c>
      <c r="Z127" s="384">
        <f t="shared" si="37"/>
        <v>8.1794117072915249</v>
      </c>
      <c r="AA127" s="385">
        <f t="shared" si="38"/>
        <v>8.9668269614957108</v>
      </c>
      <c r="AB127" s="196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8.7814257773168994E-2</v>
      </c>
      <c r="AD127" s="230">
        <f>(INDEX(Models!$BJ127:$BT127,,AH127)*(1-AF127)+INDEX(Models!$BJ127:$BT127,,AH127+1)*AF127-ERP_i)*AE127*Ramure*Pc/MaxiM</f>
        <v>3.1737909097209483E-4</v>
      </c>
      <c r="AE127" s="304">
        <f t="shared" si="40"/>
        <v>0.5</v>
      </c>
      <c r="AF127" s="176">
        <f t="shared" si="41"/>
        <v>0.97105367580429047</v>
      </c>
      <c r="AG127" s="814">
        <f t="shared" si="49"/>
        <v>1</v>
      </c>
      <c r="AH127" s="175">
        <f t="shared" si="42"/>
        <v>7</v>
      </c>
      <c r="AI127" s="224">
        <f t="shared" si="43"/>
        <v>1.9710536758042905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10">
        <f>'2025'!Wh/'2025'!Env_an*'2026'!Env_an</f>
        <v>35.845189267066495</v>
      </c>
      <c r="C128" s="843"/>
      <c r="D128" s="392">
        <f t="shared" si="25"/>
        <v>38.135415086305471</v>
      </c>
      <c r="E128" s="384">
        <f t="shared" si="47"/>
        <v>40.414584246927568</v>
      </c>
      <c r="F128" s="384">
        <f t="shared" si="26"/>
        <v>40.415142984148872</v>
      </c>
      <c r="G128" s="110">
        <f t="shared" si="48"/>
        <v>0.68131860978125147</v>
      </c>
      <c r="H128" s="413" t="b">
        <f>Wh_hp&gt;='2025'!Maxi_hp</f>
        <v>0</v>
      </c>
      <c r="I128" s="389">
        <f>IF(H128,Wh_hp,'2025'!Maxi_hp)</f>
        <v>57.276493751473431</v>
      </c>
      <c r="J128" s="85">
        <f>IF(H128,An,'2025'!An_max)</f>
        <v>2021</v>
      </c>
      <c r="K128" s="196">
        <f t="shared" si="27"/>
        <v>46136</v>
      </c>
      <c r="L128" s="147">
        <f>IF(t&lt;Tvie,1-EXP((T0-t)*PertePVj)+'2025'!Pspv,1-EXP((T0-t)*PertePVj)+Pspv)</f>
        <v>6.0055090892701536E-2</v>
      </c>
      <c r="M128" s="847"/>
      <c r="N128" s="847"/>
      <c r="O128" s="48">
        <f>IF(t&lt;Tnet,'2025'!Resal+('2025'!Salim-'2025'!Resal)*(1-EXP(('2025'!Tnet-t)/('2025'!Tau_j))),Resal+(Salim-Resal)*(1-EXP((Tnet-t)/(Tau_j))))*Salcycl</f>
        <v>5.6394719952992285E-2</v>
      </c>
      <c r="P128" s="168">
        <f>(INDEX(Models!$BJ128:$BT128,,T128)*(1-R128)+INDEX(Models!$BJ128:$BT128,,T128+1)*R128-ERP_i)*Q128*Ramure*Pc/MaxiM</f>
        <v>2.5378418671592553E-5</v>
      </c>
      <c r="Q128" s="304">
        <f t="shared" si="28"/>
        <v>0.5</v>
      </c>
      <c r="R128" s="176">
        <f t="shared" si="29"/>
        <v>0.85740573561185207</v>
      </c>
      <c r="S128" s="814">
        <f t="shared" si="30"/>
        <v>-1</v>
      </c>
      <c r="T128" s="175">
        <f t="shared" si="31"/>
        <v>5</v>
      </c>
      <c r="U128" s="250">
        <f t="shared" si="32"/>
        <v>-0.14259426438814798</v>
      </c>
      <c r="V128" s="382">
        <f t="shared" si="33"/>
        <v>52.61088514297451</v>
      </c>
      <c r="W128" s="401">
        <f t="shared" si="34"/>
        <v>35.845189267066495</v>
      </c>
      <c r="X128" s="157">
        <f t="shared" si="35"/>
        <v>46136</v>
      </c>
      <c r="Y128" s="384">
        <f t="shared" si="36"/>
        <v>34.644389002764761</v>
      </c>
      <c r="Z128" s="384">
        <f t="shared" si="37"/>
        <v>36.857893124468177</v>
      </c>
      <c r="AA128" s="385">
        <f t="shared" si="38"/>
        <v>40.408358783668604</v>
      </c>
      <c r="AB128" s="196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8.7864634102273242E-2</v>
      </c>
      <c r="AD128" s="230">
        <f>(INDEX(Models!$BJ128:$BT128,,AH128)*(1-AF128)+INDEX(Models!$BJ128:$BT128,,AH128+1)*AF128-ERP_i)*AE128*Ramure*Pc/MaxiM</f>
        <v>3.0814535630824133E-4</v>
      </c>
      <c r="AE128" s="304">
        <f t="shared" si="40"/>
        <v>0.5</v>
      </c>
      <c r="AF128" s="176">
        <f t="shared" si="41"/>
        <v>0.97239827543623947</v>
      </c>
      <c r="AG128" s="814">
        <f t="shared" si="49"/>
        <v>1</v>
      </c>
      <c r="AH128" s="175">
        <f t="shared" si="42"/>
        <v>7</v>
      </c>
      <c r="AI128" s="224">
        <f t="shared" si="43"/>
        <v>1.9723982754362395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10">
        <f>'2025'!Wh/'2025'!Env_an*'2026'!Env_an</f>
        <v>45.091635119824097</v>
      </c>
      <c r="C129" s="843"/>
      <c r="D129" s="392">
        <f t="shared" si="25"/>
        <v>47.973685549179855</v>
      </c>
      <c r="E129" s="384">
        <f t="shared" si="47"/>
        <v>50.844675611418502</v>
      </c>
      <c r="F129" s="384">
        <f t="shared" si="26"/>
        <v>50.845704157769369</v>
      </c>
      <c r="G129" s="110">
        <f t="shared" si="48"/>
        <v>0.85569831520718564</v>
      </c>
      <c r="H129" s="413" t="b">
        <f>Wh_hp&gt;='2025'!Maxi_hp</f>
        <v>0</v>
      </c>
      <c r="I129" s="389">
        <f>IF(H129,Wh_hp,'2025'!Maxi_hp)</f>
        <v>55.011025243549312</v>
      </c>
      <c r="J129" s="85">
        <f>IF(H129,An,'2025'!An_max)</f>
        <v>2020</v>
      </c>
      <c r="K129" s="196">
        <f t="shared" si="27"/>
        <v>46137</v>
      </c>
      <c r="L129" s="147">
        <f>IF(t&lt;Tvie,1-EXP((T0-t)*PertePVj)+'2025'!Pspv,1-EXP((T0-t)*PertePVj)+Pspv)</f>
        <v>6.0075651815436261E-2</v>
      </c>
      <c r="M129" s="847"/>
      <c r="N129" s="847"/>
      <c r="O129" s="48">
        <f>IF(t&lt;Tnet,'2025'!Resal+('2025'!Salim-'2025'!Resal)*(1-EXP(('2025'!Tnet-t)/('2025'!Tau_j))),Resal+(Salim-Resal)*(1-EXP((Tnet-t)/(Tau_j))))*Salcycl</f>
        <v>5.6465893974429998E-2</v>
      </c>
      <c r="P129" s="168">
        <f>(INDEX(Models!$BJ129:$BT129,,T129)*(1-R129)+INDEX(Models!$BJ129:$BT129,,T129+1)*R129-ERP_i)*Q129*Ramure*Pc/MaxiM</f>
        <v>2.5481503454784801E-5</v>
      </c>
      <c r="Q129" s="304">
        <f t="shared" si="28"/>
        <v>0.5</v>
      </c>
      <c r="R129" s="176">
        <f t="shared" si="29"/>
        <v>0.8587922405148315</v>
      </c>
      <c r="S129" s="814">
        <f t="shared" si="30"/>
        <v>-1</v>
      </c>
      <c r="T129" s="175">
        <f t="shared" si="31"/>
        <v>5</v>
      </c>
      <c r="U129" s="250">
        <f t="shared" si="32"/>
        <v>-0.14120775948516848</v>
      </c>
      <c r="V129" s="382">
        <f t="shared" si="33"/>
        <v>52.69543887092631</v>
      </c>
      <c r="W129" s="401">
        <f t="shared" si="34"/>
        <v>45.091635119824097</v>
      </c>
      <c r="X129" s="157">
        <f t="shared" si="35"/>
        <v>46137</v>
      </c>
      <c r="Y129" s="384">
        <f t="shared" si="36"/>
        <v>43.579084482550115</v>
      </c>
      <c r="Z129" s="384">
        <f t="shared" si="37"/>
        <v>46.364459614991183</v>
      </c>
      <c r="AA129" s="385">
        <f t="shared" si="38"/>
        <v>50.83355485949167</v>
      </c>
      <c r="AB129" s="196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8.7916244631197835E-2</v>
      </c>
      <c r="AD129" s="230">
        <f>(INDEX(Models!$BJ129:$BT129,,AH129)*(1-AF129)+INDEX(Models!$BJ129:$BT129,,AH129+1)*AF129-ERP_i)*AE129*Ramure*Pc/MaxiM</f>
        <v>3.0099021378604416E-4</v>
      </c>
      <c r="AE129" s="304">
        <f t="shared" si="40"/>
        <v>0.5</v>
      </c>
      <c r="AF129" s="176">
        <f t="shared" si="41"/>
        <v>0.973784780339219</v>
      </c>
      <c r="AG129" s="814">
        <f t="shared" si="49"/>
        <v>1</v>
      </c>
      <c r="AH129" s="175">
        <f t="shared" si="42"/>
        <v>7</v>
      </c>
      <c r="AI129" s="224">
        <f t="shared" si="43"/>
        <v>1.973784780339219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10">
        <f>'2025'!Wh/'2025'!Env_an*'2026'!Env_an</f>
        <v>51.040079509908324</v>
      </c>
      <c r="C130" s="843"/>
      <c r="D130" s="392">
        <f t="shared" si="25"/>
        <v>54.303515080140023</v>
      </c>
      <c r="E130" s="384">
        <f t="shared" si="47"/>
        <v>57.557704105442873</v>
      </c>
      <c r="F130" s="384">
        <f t="shared" si="26"/>
        <v>57.559118436330152</v>
      </c>
      <c r="G130" s="110">
        <f t="shared" si="48"/>
        <v>0.96711925154721889</v>
      </c>
      <c r="H130" s="413" t="b">
        <f>Wh_hp&gt;='2025'!Maxi_hp</f>
        <v>0</v>
      </c>
      <c r="I130" s="389">
        <f>IF(H130,Wh_hp,'2025'!Maxi_hp)</f>
        <v>57.559182694409039</v>
      </c>
      <c r="J130" s="85">
        <f>IF(H130,An,'2025'!An_max)</f>
        <v>2025</v>
      </c>
      <c r="K130" s="196">
        <f t="shared" si="27"/>
        <v>46138</v>
      </c>
      <c r="L130" s="147">
        <f>IF(t&lt;Tvie,1-EXP((T0-t)*PertePVj)+'2025'!Pspv,1-EXP((T0-t)*PertePVj)+Pspv)</f>
        <v>6.0096212287834107E-2</v>
      </c>
      <c r="M130" s="847"/>
      <c r="N130" s="847"/>
      <c r="O130" s="48">
        <f>IF(t&lt;Tnet,'2025'!Resal+('2025'!Salim-'2025'!Resal)*(1-EXP(('2025'!Tnet-t)/('2025'!Tau_j))),Resal+(Salim-Resal)*(1-EXP((Tnet-t)/(Tau_j))))*Salcycl</f>
        <v>5.6537853201047331E-2</v>
      </c>
      <c r="P130" s="168">
        <f>(INDEX(Models!$BJ130:$BT130,,T130)*(1-R130)+INDEX(Models!$BJ130:$BT130,,T130+1)*R130-ERP_i)*Q130*Ramure*Pc/MaxiM</f>
        <v>2.5782836592962987E-5</v>
      </c>
      <c r="Q130" s="304">
        <f t="shared" si="28"/>
        <v>0.5</v>
      </c>
      <c r="R130" s="176">
        <f t="shared" si="29"/>
        <v>0.86022141458154688</v>
      </c>
      <c r="S130" s="814">
        <f t="shared" si="30"/>
        <v>-1</v>
      </c>
      <c r="T130" s="175">
        <f t="shared" si="31"/>
        <v>5</v>
      </c>
      <c r="U130" s="250">
        <f t="shared" si="32"/>
        <v>-0.13977858541845312</v>
      </c>
      <c r="V130" s="382">
        <f t="shared" si="33"/>
        <v>52.775309368623105</v>
      </c>
      <c r="W130" s="401">
        <f t="shared" si="34"/>
        <v>51.040079509908324</v>
      </c>
      <c r="X130" s="157">
        <f t="shared" si="35"/>
        <v>46138</v>
      </c>
      <c r="Y130" s="384">
        <f t="shared" si="36"/>
        <v>49.326987256620988</v>
      </c>
      <c r="Z130" s="384">
        <f t="shared" si="37"/>
        <v>52.480889960757111</v>
      </c>
      <c r="AA130" s="385">
        <f t="shared" si="38"/>
        <v>57.542885090784878</v>
      </c>
      <c r="AB130" s="196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8.79690881338588E-2</v>
      </c>
      <c r="AD130" s="230">
        <f>(INDEX(Models!$BJ130:$BT130,,AH130)*(1-AF130)+INDEX(Models!$BJ130:$BT130,,AH130+1)*AF130-ERP_i)*AE130*Ramure*Pc/MaxiM</f>
        <v>2.9592912048671593E-4</v>
      </c>
      <c r="AE130" s="304">
        <f t="shared" si="40"/>
        <v>0.5</v>
      </c>
      <c r="AF130" s="176">
        <f t="shared" si="41"/>
        <v>0.97521395440593439</v>
      </c>
      <c r="AG130" s="814">
        <f t="shared" si="49"/>
        <v>1</v>
      </c>
      <c r="AH130" s="175">
        <f t="shared" si="42"/>
        <v>7</v>
      </c>
      <c r="AI130" s="224">
        <f t="shared" si="43"/>
        <v>1.9752139544059344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10">
        <f>'2025'!Wh/'2025'!Env_an*'2026'!Env_an</f>
        <v>36.654201823573509</v>
      </c>
      <c r="C131" s="843"/>
      <c r="D131" s="392">
        <f t="shared" si="25"/>
        <v>38.998676371379382</v>
      </c>
      <c r="E131" s="384">
        <f t="shared" si="47"/>
        <v>41.338895951162087</v>
      </c>
      <c r="F131" s="384">
        <f t="shared" si="26"/>
        <v>41.339506888745703</v>
      </c>
      <c r="G131" s="110">
        <f t="shared" si="48"/>
        <v>0.69353204222361797</v>
      </c>
      <c r="H131" s="413" t="b">
        <f>Wh_hp&gt;='2025'!Maxi_hp</f>
        <v>0</v>
      </c>
      <c r="I131" s="389">
        <f>IF(H131,Wh_hp,'2025'!Maxi_hp)</f>
        <v>41.339943480637821</v>
      </c>
      <c r="J131" s="85">
        <f>IF(H131,An,'2025'!An_max)</f>
        <v>2025</v>
      </c>
      <c r="K131" s="196">
        <f t="shared" si="27"/>
        <v>46139</v>
      </c>
      <c r="L131" s="147">
        <f>IF(t&lt;Tvie,1-EXP((T0-t)*PertePVj)+'2025'!Pspv,1-EXP((T0-t)*PertePVj)+Pspv)</f>
        <v>6.0116772309904733E-2</v>
      </c>
      <c r="M131" s="847"/>
      <c r="N131" s="847"/>
      <c r="O131" s="48">
        <f>IF(t&lt;Tnet,'2025'!Resal+('2025'!Salim-'2025'!Resal)*(1-EXP(('2025'!Tnet-t)/('2025'!Tau_j))),Resal+(Salim-Resal)*(1-EXP((Tnet-t)/(Tau_j))))*Salcycl</f>
        <v>5.6610597016123643E-2</v>
      </c>
      <c r="P131" s="168">
        <f>(INDEX(Models!$BJ131:$BT131,,T131)*(1-R131)+INDEX(Models!$BJ131:$BT131,,T131+1)*R131-ERP_i)*Q131*Ramure*Pc/MaxiM</f>
        <v>2.6286979308313894E-5</v>
      </c>
      <c r="Q131" s="304">
        <f t="shared" si="28"/>
        <v>0.5</v>
      </c>
      <c r="R131" s="176">
        <f t="shared" si="29"/>
        <v>0.86169399517382783</v>
      </c>
      <c r="S131" s="814">
        <f t="shared" si="30"/>
        <v>-1</v>
      </c>
      <c r="T131" s="175">
        <f t="shared" si="31"/>
        <v>5</v>
      </c>
      <c r="U131" s="250">
        <f t="shared" si="32"/>
        <v>-0.13830600482617214</v>
      </c>
      <c r="V131" s="382">
        <f t="shared" si="33"/>
        <v>52.85088179514598</v>
      </c>
      <c r="W131" s="401">
        <f t="shared" si="34"/>
        <v>36.654201823573509</v>
      </c>
      <c r="X131" s="157">
        <f t="shared" si="35"/>
        <v>46139</v>
      </c>
      <c r="Y131" s="384">
        <f t="shared" si="36"/>
        <v>35.428393537509329</v>
      </c>
      <c r="Z131" s="384">
        <f t="shared" si="37"/>
        <v>37.694462986194516</v>
      </c>
      <c r="AA131" s="385">
        <f t="shared" si="38"/>
        <v>41.332697697583804</v>
      </c>
      <c r="AB131" s="196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8.8023161178806084E-2</v>
      </c>
      <c r="AD131" s="230">
        <f>(INDEX(Models!$BJ131:$BT131,,AH131)*(1-AF131)+INDEX(Models!$BJ131:$BT131,,AH131+1)*AF131-ERP_i)*AE131*Ramure*Pc/MaxiM</f>
        <v>2.929809394261305E-4</v>
      </c>
      <c r="AE131" s="304">
        <f t="shared" si="40"/>
        <v>0.5</v>
      </c>
      <c r="AF131" s="176">
        <f t="shared" si="41"/>
        <v>0.97668653499821523</v>
      </c>
      <c r="AG131" s="814">
        <f t="shared" si="49"/>
        <v>1</v>
      </c>
      <c r="AH131" s="175">
        <f t="shared" si="42"/>
        <v>7</v>
      </c>
      <c r="AI131" s="224">
        <f t="shared" si="43"/>
        <v>1.9766865349982152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10">
        <f>'2025'!Wh/'2025'!Env_an*'2026'!Env_an</f>
        <v>21.831958083972321</v>
      </c>
      <c r="C132" s="843"/>
      <c r="D132" s="392">
        <f t="shared" si="25"/>
        <v>23.228881010542885</v>
      </c>
      <c r="E132" s="384">
        <f t="shared" si="47"/>
        <v>24.624711175571335</v>
      </c>
      <c r="F132" s="384">
        <f t="shared" si="26"/>
        <v>24.624818050768777</v>
      </c>
      <c r="G132" s="110">
        <f t="shared" si="48"/>
        <v>0.41251729195750708</v>
      </c>
      <c r="H132" s="413" t="b">
        <f>Wh_hp&gt;='2025'!Maxi_hp</f>
        <v>0</v>
      </c>
      <c r="I132" s="389">
        <f>IF(H132,Wh_hp,'2025'!Maxi_hp)</f>
        <v>46.272317689396395</v>
      </c>
      <c r="J132" s="85">
        <f>IF(H132,An,'2025'!An_max)</f>
        <v>2019</v>
      </c>
      <c r="K132" s="196">
        <f t="shared" si="27"/>
        <v>46140</v>
      </c>
      <c r="L132" s="147">
        <f>IF(t&lt;Tvie,1-EXP((T0-t)*PertePVj)+'2025'!Pspv,1-EXP((T0-t)*PertePVj)+Pspv)</f>
        <v>6.0137331881658131E-2</v>
      </c>
      <c r="M132" s="847"/>
      <c r="N132" s="847"/>
      <c r="O132" s="48">
        <f>IF(t&lt;Tnet,'2025'!Resal+('2025'!Salim-'2025'!Resal)*(1-EXP(('2025'!Tnet-t)/('2025'!Tau_j))),Resal+(Salim-Resal)*(1-EXP((Tnet-t)/(Tau_j))))*Salcycl</f>
        <v>5.6684123321339298E-2</v>
      </c>
      <c r="P132" s="168">
        <f>(INDEX(Models!$BJ132:$BT132,,T132)*(1-R132)+INDEX(Models!$BJ132:$BT132,,T132+1)*R132-ERP_i)*Q132*Ramure*Pc/MaxiM</f>
        <v>2.6998932376495243E-5</v>
      </c>
      <c r="Q132" s="304">
        <f t="shared" si="28"/>
        <v>0.5</v>
      </c>
      <c r="R132" s="176">
        <f t="shared" si="29"/>
        <v>0.86321068959955427</v>
      </c>
      <c r="S132" s="814">
        <f t="shared" si="30"/>
        <v>-1</v>
      </c>
      <c r="T132" s="175">
        <f t="shared" si="31"/>
        <v>5</v>
      </c>
      <c r="U132" s="250">
        <f t="shared" si="32"/>
        <v>-0.13678931040044576</v>
      </c>
      <c r="V132" s="382">
        <f t="shared" si="33"/>
        <v>52.922541240535139</v>
      </c>
      <c r="W132" s="401">
        <f t="shared" si="34"/>
        <v>21.831958083972321</v>
      </c>
      <c r="X132" s="157">
        <f t="shared" si="35"/>
        <v>46140</v>
      </c>
      <c r="Y132" s="384">
        <f t="shared" si="36"/>
        <v>21.104472759979831</v>
      </c>
      <c r="Z132" s="384">
        <f t="shared" si="37"/>
        <v>22.454847368533297</v>
      </c>
      <c r="AA132" s="385">
        <f t="shared" si="38"/>
        <v>24.623661505435994</v>
      </c>
      <c r="AB132" s="196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8.8078458048324884E-2</v>
      </c>
      <c r="AD132" s="230">
        <f>(INDEX(Models!$BJ132:$BT132,,AH132)*(1-AF132)+INDEX(Models!$BJ132:$BT132,,AH132+1)*AF132-ERP_i)*AE132*Ramure*Pc/MaxiM</f>
        <v>2.9216778053031347E-4</v>
      </c>
      <c r="AE132" s="304">
        <f t="shared" si="40"/>
        <v>0.5</v>
      </c>
      <c r="AF132" s="176">
        <f t="shared" si="41"/>
        <v>0.97820322942394156</v>
      </c>
      <c r="AG132" s="814">
        <f t="shared" si="49"/>
        <v>1</v>
      </c>
      <c r="AH132" s="175">
        <f t="shared" si="42"/>
        <v>7</v>
      </c>
      <c r="AI132" s="224">
        <f t="shared" si="43"/>
        <v>1.9782032294239416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10">
        <f>'2025'!Wh/'2025'!Env_an*'2026'!Env_an</f>
        <v>41.128469635132404</v>
      </c>
      <c r="C133" s="843"/>
      <c r="D133" s="392">
        <f t="shared" si="25"/>
        <v>43.761041606264364</v>
      </c>
      <c r="E133" s="384">
        <f t="shared" si="47"/>
        <v>46.394309716180125</v>
      </c>
      <c r="F133" s="384">
        <f t="shared" si="26"/>
        <v>46.3951909562225</v>
      </c>
      <c r="G133" s="110">
        <f t="shared" si="48"/>
        <v>0.77613852091689928</v>
      </c>
      <c r="H133" s="413" t="b">
        <f>Wh_hp&gt;='2025'!Maxi_hp</f>
        <v>0</v>
      </c>
      <c r="I133" s="389">
        <f>IF(H133,Wh_hp,'2025'!Maxi_hp)</f>
        <v>53.368157207245993</v>
      </c>
      <c r="J133" s="85">
        <f>IF(H133,An,'2025'!An_max)</f>
        <v>2019</v>
      </c>
      <c r="K133" s="196">
        <f t="shared" si="27"/>
        <v>46141</v>
      </c>
      <c r="L133" s="147">
        <f>IF(t&lt;Tvie,1-EXP((T0-t)*PertePVj)+'2025'!Pspv,1-EXP((T0-t)*PertePVj)+Pspv)</f>
        <v>6.0157891003104182E-2</v>
      </c>
      <c r="M133" s="847"/>
      <c r="N133" s="847"/>
      <c r="O133" s="48">
        <f>IF(t&lt;Tnet,'2025'!Resal+('2025'!Salim-'2025'!Resal)*(1-EXP(('2025'!Tnet-t)/('2025'!Tau_j))),Resal+(Salim-Resal)*(1-EXP((Tnet-t)/(Tau_j))))*Salcycl</f>
        <v>5.6758428480236663E-2</v>
      </c>
      <c r="P133" s="168">
        <f>(INDEX(Models!$BJ133:$BT133,,T133)*(1-R133)+INDEX(Models!$BJ133:$BT133,,T133+1)*R133-ERP_i)*Q133*Ramure*Pc/MaxiM</f>
        <v>2.7924130293219308E-5</v>
      </c>
      <c r="Q133" s="304">
        <f t="shared" si="28"/>
        <v>0.5</v>
      </c>
      <c r="R133" s="176">
        <f t="shared" si="29"/>
        <v>0.86477217145623353</v>
      </c>
      <c r="S133" s="814">
        <f t="shared" si="30"/>
        <v>-1</v>
      </c>
      <c r="T133" s="175">
        <f t="shared" si="31"/>
        <v>5</v>
      </c>
      <c r="U133" s="250">
        <f t="shared" si="32"/>
        <v>-0.1352278285437665</v>
      </c>
      <c r="V133" s="382">
        <f t="shared" si="33"/>
        <v>52.990672728949228</v>
      </c>
      <c r="W133" s="401">
        <f t="shared" si="34"/>
        <v>41.128469635132404</v>
      </c>
      <c r="X133" s="157">
        <f t="shared" si="35"/>
        <v>46141</v>
      </c>
      <c r="Y133" s="384">
        <f t="shared" si="36"/>
        <v>39.75316492497786</v>
      </c>
      <c r="Z133" s="384">
        <f t="shared" si="37"/>
        <v>42.297705693786021</v>
      </c>
      <c r="AA133" s="385">
        <f t="shared" si="38"/>
        <v>46.385928106398289</v>
      </c>
      <c r="AB133" s="196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8.813497065823192E-2</v>
      </c>
      <c r="AD133" s="230">
        <f>(INDEX(Models!$BJ133:$BT133,,AH133)*(1-AF133)+INDEX(Models!$BJ133:$BT133,,AH133+1)*AF133-ERP_i)*AE133*Ramure*Pc/MaxiM</f>
        <v>2.9351483470943014E-4</v>
      </c>
      <c r="AE133" s="304">
        <f t="shared" si="40"/>
        <v>0.5</v>
      </c>
      <c r="AF133" s="176">
        <f t="shared" si="41"/>
        <v>0.97976471128062093</v>
      </c>
      <c r="AG133" s="814">
        <f t="shared" si="49"/>
        <v>1</v>
      </c>
      <c r="AH133" s="175">
        <f t="shared" si="42"/>
        <v>7</v>
      </c>
      <c r="AI133" s="224">
        <f t="shared" si="43"/>
        <v>1.9797647112806209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10">
        <f>'2025'!Wh/'2025'!Env_an*'2026'!Env_an</f>
        <v>43.97663617868379</v>
      </c>
      <c r="C134" s="843"/>
      <c r="D134" s="392">
        <f t="shared" si="25"/>
        <v>46.792538608463751</v>
      </c>
      <c r="E134" s="384">
        <f t="shared" si="47"/>
        <v>47.054199993387094</v>
      </c>
      <c r="F134" s="384">
        <f t="shared" si="26"/>
        <v>47.05514992639047</v>
      </c>
      <c r="G134" s="110">
        <f t="shared" si="48"/>
        <v>0.78613397941683405</v>
      </c>
      <c r="H134" s="413" t="b">
        <f>Wh_hp&gt;='2025'!Maxi_hp</f>
        <v>0</v>
      </c>
      <c r="I134" s="389">
        <f>IF(H134,Wh_hp,'2025'!Maxi_hp)</f>
        <v>60.260535835391735</v>
      </c>
      <c r="J134" s="85">
        <f>IF(H134,An,'2025'!An_max)</f>
        <v>2019</v>
      </c>
      <c r="K134" s="196">
        <f t="shared" si="27"/>
        <v>46142</v>
      </c>
      <c r="L134" s="147">
        <f>IF(t&lt;Tvie,1-EXP((T0-t)*PertePVj)+'2025'!Pspv,1-EXP((T0-t)*PertePVj)+Pspv)</f>
        <v>6.0178449674252656E-2</v>
      </c>
      <c r="M134" s="847"/>
      <c r="N134" s="847"/>
      <c r="O134" s="48">
        <f>IF(t&lt;Tnet,'2025'!Resal+('2025'!Salim-'2025'!Resal)*(1-EXP(('2025'!Tnet-t)/('2025'!Tau_j))),Resal+(Salim-Resal)*(1-EXP((Tnet-t)/(Tau_j))))*Salcycl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2.9068434275326607E-5</v>
      </c>
      <c r="Q134" s="304">
        <f t="shared" si="28"/>
        <v>0.5</v>
      </c>
      <c r="R134" s="176">
        <f t="shared" si="29"/>
        <v>0.866379076850601</v>
      </c>
      <c r="S134" s="814">
        <f t="shared" si="30"/>
        <v>-1</v>
      </c>
      <c r="T134" s="175">
        <f t="shared" si="31"/>
        <v>5</v>
      </c>
      <c r="U134" s="250">
        <f t="shared" si="32"/>
        <v>-0.13362092314939902</v>
      </c>
      <c r="V134" s="382">
        <f t="shared" si="33"/>
        <v>55.939886552800608</v>
      </c>
      <c r="W134" s="401">
        <f t="shared" si="34"/>
        <v>43.97663617868379</v>
      </c>
      <c r="X134" s="157">
        <f t="shared" si="35"/>
        <v>46142</v>
      </c>
      <c r="Y134" s="384">
        <f t="shared" si="36"/>
        <v>41.70146584702821</v>
      </c>
      <c r="Z134" s="384">
        <f t="shared" si="37"/>
        <v>44.371685063589204</v>
      </c>
      <c r="AA134" s="385">
        <f t="shared" si="38"/>
        <v>47.045442565288091</v>
      </c>
      <c r="AB134" s="196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5.6833507262437515E-2</v>
      </c>
      <c r="AD134" s="230">
        <f>(INDEX(Models!$BJ134:$BT134,,AH134)*(1-AF134)+INDEX(Models!$BJ134:$BT134,,AH134+1)*AF134-ERP_i)*AE134*Ramure*Pc/MaxiM</f>
        <v>2.9705019952718827E-4</v>
      </c>
      <c r="AE134" s="304">
        <f t="shared" si="40"/>
        <v>0.5</v>
      </c>
      <c r="AF134" s="176">
        <f t="shared" si="41"/>
        <v>0.9813716166749884</v>
      </c>
      <c r="AG134" s="814">
        <f t="shared" si="49"/>
        <v>1</v>
      </c>
      <c r="AH134" s="175">
        <f t="shared" si="42"/>
        <v>7</v>
      </c>
      <c r="AI134" s="224">
        <f t="shared" si="43"/>
        <v>1.9813716166749884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10">
        <f>'2025'!Wh/'2025'!Env_an*'2026'!Env_an</f>
        <v>44.769631001221114</v>
      </c>
      <c r="C135" s="843"/>
      <c r="D135" s="392">
        <f t="shared" si="25"/>
        <v>47.63735235153338</v>
      </c>
      <c r="E135" s="384">
        <f t="shared" si="47"/>
        <v>47.908725874439376</v>
      </c>
      <c r="F135" s="384">
        <f t="shared" si="26"/>
        <v>47.909766342906998</v>
      </c>
      <c r="G135" s="110">
        <f t="shared" si="48"/>
        <v>0.799418138179259</v>
      </c>
      <c r="H135" s="413" t="b">
        <f>Wh_hp&gt;='2025'!Maxi_hp</f>
        <v>0</v>
      </c>
      <c r="I135" s="389">
        <f>IF(H135,Wh_hp,'2025'!Maxi_hp)</f>
        <v>56.919945297038041</v>
      </c>
      <c r="J135" s="85">
        <f>IF(H135,An,'2025'!An_max)</f>
        <v>2019</v>
      </c>
      <c r="K135" s="196">
        <f t="shared" si="27"/>
        <v>46143</v>
      </c>
      <c r="L135" s="147">
        <f>IF(t&lt;Tvie,1-EXP((T0-t)*PertePVj)+'2025'!Pspv,1-EXP((T0-t)*PertePVj)+Pspv)</f>
        <v>6.0199007895113545E-2</v>
      </c>
      <c r="M135" s="847"/>
      <c r="N135" s="847"/>
      <c r="O135" s="48">
        <f>IF(t&lt;Tnet,'2025'!Resal+('2025'!Salim-'2025'!Resal)*(1-EXP(('2025'!Tnet-t)/('2025'!Tau_j))),Resal+(Salim-Resal)*(1-EXP((Tnet-t)/(Tau_j))))*Salcycl</f>
        <v>5.6643861416230739E-3</v>
      </c>
      <c r="P135" s="168">
        <f>(INDEX(Models!$BJ135:$BT135,,T135)*(1-R135)+INDEX(Models!$BJ135:$BT135,,T135+1)*R135-ERP_i)*Q135*Ramure*Pc/MaxiM</f>
        <v>3.0439151037975419E-5</v>
      </c>
      <c r="Q135" s="304">
        <f t="shared" si="28"/>
        <v>0.5</v>
      </c>
      <c r="R135" s="176">
        <f t="shared" si="29"/>
        <v>0.86803200050543694</v>
      </c>
      <c r="S135" s="814">
        <f t="shared" si="30"/>
        <v>-1</v>
      </c>
      <c r="T135" s="175">
        <f t="shared" si="31"/>
        <v>5</v>
      </c>
      <c r="U135" s="250">
        <f t="shared" si="32"/>
        <v>-0.13196799949456303</v>
      </c>
      <c r="V135" s="382">
        <f t="shared" si="33"/>
        <v>56.00228263334597</v>
      </c>
      <c r="W135" s="401">
        <f t="shared" si="34"/>
        <v>44.769631001221114</v>
      </c>
      <c r="X135" s="157">
        <f t="shared" si="35"/>
        <v>46143</v>
      </c>
      <c r="Y135" s="384">
        <f t="shared" si="36"/>
        <v>42.454091481429714</v>
      </c>
      <c r="Z135" s="384">
        <f t="shared" si="37"/>
        <v>45.173490811437269</v>
      </c>
      <c r="AA135" s="385">
        <f t="shared" si="38"/>
        <v>47.899415549328594</v>
      </c>
      <c r="AB135" s="196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5.6909352789160199E-2</v>
      </c>
      <c r="AD135" s="230">
        <f>(INDEX(Models!$BJ135:$BT135,,AH135)*(1-AF135)+INDEX(Models!$BJ135:$BT135,,AH135+1)*AF135-ERP_i)*AE135*Ramure*Pc/MaxiM</f>
        <v>3.0281491357075056E-4</v>
      </c>
      <c r="AE135" s="304">
        <f t="shared" si="40"/>
        <v>0.5</v>
      </c>
      <c r="AF135" s="176">
        <f t="shared" si="41"/>
        <v>0.98302454032982434</v>
      </c>
      <c r="AG135" s="814">
        <f t="shared" si="49"/>
        <v>1</v>
      </c>
      <c r="AH135" s="175">
        <f t="shared" si="42"/>
        <v>7</v>
      </c>
      <c r="AI135" s="224">
        <f t="shared" si="43"/>
        <v>1.9830245403298243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10">
        <f>'2025'!Wh/'2025'!Env_an*'2026'!Env_an</f>
        <v>27.11923039046691</v>
      </c>
      <c r="C136" s="843"/>
      <c r="D136" s="392">
        <f t="shared" si="25"/>
        <v>28.856985525216757</v>
      </c>
      <c r="E136" s="384">
        <f t="shared" si="47"/>
        <v>29.02439812758265</v>
      </c>
      <c r="F136" s="384">
        <f t="shared" si="26"/>
        <v>29.02464246134608</v>
      </c>
      <c r="G136" s="110">
        <f t="shared" si="48"/>
        <v>0.48375573765040591</v>
      </c>
      <c r="H136" s="413" t="b">
        <f>Wh_hp&gt;='2025'!Maxi_hp</f>
        <v>0</v>
      </c>
      <c r="I136" s="389">
        <f>IF(H136,Wh_hp,'2025'!Maxi_hp)</f>
        <v>40.444664400159141</v>
      </c>
      <c r="J136" s="85">
        <f>IF(H136,An,'2025'!An_max)</f>
        <v>2021</v>
      </c>
      <c r="K136" s="196">
        <f t="shared" si="27"/>
        <v>46144</v>
      </c>
      <c r="L136" s="147">
        <f>IF(t&lt;Tvie,1-EXP((T0-t)*PertePVj)+'2025'!Pspv,1-EXP((T0-t)*PertePVj)+Pspv)</f>
        <v>6.0219565665696619E-2</v>
      </c>
      <c r="M136" s="847"/>
      <c r="N136" s="847"/>
      <c r="O136" s="48">
        <f>IF(t&lt;Tnet,'2025'!Resal+('2025'!Salim-'2025'!Resal)*(1-EXP(('2025'!Tnet-t)/('2025'!Tau_j))),Resal+(Salim-Resal)*(1-EXP((Tnet-t)/(Tau_j))))*Salcycl</f>
        <v>5.7679956576531851E-3</v>
      </c>
      <c r="P136" s="168">
        <f>(INDEX(Models!$BJ136:$BT136,,T136)*(1-R136)+INDEX(Models!$BJ136:$BT136,,T136+1)*R136-ERP_i)*Q136*Ramure*Pc/MaxiM</f>
        <v>3.2066141149712098E-5</v>
      </c>
      <c r="Q136" s="304">
        <f t="shared" si="28"/>
        <v>0.5</v>
      </c>
      <c r="R136" s="176">
        <f t="shared" si="29"/>
        <v>0.86973149176669806</v>
      </c>
      <c r="S136" s="814">
        <f t="shared" si="30"/>
        <v>-1</v>
      </c>
      <c r="T136" s="175">
        <f t="shared" si="31"/>
        <v>5</v>
      </c>
      <c r="U136" s="250">
        <f t="shared" si="32"/>
        <v>-0.13026850823330197</v>
      </c>
      <c r="V136" s="382">
        <f t="shared" si="33"/>
        <v>56.058433955603249</v>
      </c>
      <c r="W136" s="401">
        <f t="shared" si="34"/>
        <v>27.11923039046691</v>
      </c>
      <c r="X136" s="157">
        <f t="shared" si="35"/>
        <v>46144</v>
      </c>
      <c r="Y136" s="384">
        <f t="shared" si="36"/>
        <v>25.720296380239638</v>
      </c>
      <c r="Z136" s="384">
        <f t="shared" si="37"/>
        <v>27.368410152589203</v>
      </c>
      <c r="AA136" s="385">
        <f t="shared" si="38"/>
        <v>29.022272086690052</v>
      </c>
      <c r="AB136" s="196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5.6985956480620527E-2</v>
      </c>
      <c r="AD136" s="230">
        <f>(INDEX(Models!$BJ136:$BT136,,AH136)*(1-AF136)+INDEX(Models!$BJ136:$BT136,,AH136+1)*AF136-ERP_i)*AE136*Ramure*Pc/MaxiM</f>
        <v>3.1108581651335352E-4</v>
      </c>
      <c r="AE136" s="304">
        <f t="shared" si="40"/>
        <v>0.5</v>
      </c>
      <c r="AF136" s="176">
        <f t="shared" si="41"/>
        <v>0.98472403159108546</v>
      </c>
      <c r="AG136" s="814">
        <f t="shared" si="49"/>
        <v>1</v>
      </c>
      <c r="AH136" s="175">
        <f t="shared" si="42"/>
        <v>7</v>
      </c>
      <c r="AI136" s="224">
        <f t="shared" si="43"/>
        <v>1.9847240315910855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10">
        <f>'2025'!Wh/'2025'!Env_an*'2026'!Env_an</f>
        <v>10.976597771847143</v>
      </c>
      <c r="C137" s="843"/>
      <c r="D137" s="392">
        <f t="shared" si="25"/>
        <v>11.680215383023588</v>
      </c>
      <c r="E137" s="384">
        <f t="shared" si="47"/>
        <v>11.749202967153431</v>
      </c>
      <c r="F137" s="384">
        <f t="shared" si="26"/>
        <v>11.749202967153431</v>
      </c>
      <c r="G137" s="110">
        <f t="shared" si="48"/>
        <v>0.19562413349698188</v>
      </c>
      <c r="H137" s="413" t="b">
        <f>Wh_hp&gt;='2025'!Maxi_hp</f>
        <v>0</v>
      </c>
      <c r="I137" s="389">
        <f>IF(H137,Wh_hp,'2025'!Maxi_hp)</f>
        <v>59.833471224448644</v>
      </c>
      <c r="J137" s="85">
        <f>IF(H137,An,'2025'!An_max)</f>
        <v>2021</v>
      </c>
      <c r="K137" s="196">
        <f t="shared" si="27"/>
        <v>46145</v>
      </c>
      <c r="L137" s="147">
        <f>IF(t&lt;Tvie,1-EXP((T0-t)*PertePVj)+'2025'!Pspv,1-EXP((T0-t)*PertePVj)+Pspv)</f>
        <v>6.0240122986011647E-2</v>
      </c>
      <c r="M137" s="847"/>
      <c r="N137" s="847"/>
      <c r="O137" s="48">
        <f>IF(t&lt;Tnet,'2025'!Resal+('2025'!Salim-'2025'!Resal)*(1-EXP(('2025'!Tnet-t)/('2025'!Tau_j))),Resal+(Salim-Resal)*(1-EXP((Tnet-t)/(Tau_j))))*Salcycl</f>
        <v>5.8716820470893017E-3</v>
      </c>
      <c r="P137" s="168">
        <f>(INDEX(Models!$BJ137:$BT137,,T137)*(1-R137)+INDEX(Models!$BJ137:$BT137,,T137+1)*R137-ERP_i)*Q137*Ramure*Pc/MaxiM</f>
        <v>3.3826614100314191E-5</v>
      </c>
      <c r="Q137" s="304">
        <f t="shared" si="28"/>
        <v>0.5</v>
      </c>
      <c r="R137" s="176">
        <f t="shared" si="29"/>
        <v>0.87147805052603622</v>
      </c>
      <c r="S137" s="814">
        <f t="shared" si="30"/>
        <v>-1</v>
      </c>
      <c r="T137" s="175">
        <f t="shared" si="31"/>
        <v>5</v>
      </c>
      <c r="U137" s="250">
        <f t="shared" si="32"/>
        <v>-0.12852194947396373</v>
      </c>
      <c r="V137" s="382">
        <f t="shared" si="33"/>
        <v>56.108754449151455</v>
      </c>
      <c r="W137" s="401">
        <f t="shared" si="34"/>
        <v>10.976597771847143</v>
      </c>
      <c r="X137" s="157">
        <f t="shared" si="35"/>
        <v>46145</v>
      </c>
      <c r="Y137" s="384">
        <f t="shared" si="36"/>
        <v>10.411369041018739</v>
      </c>
      <c r="Z137" s="384">
        <f t="shared" si="37"/>
        <v>11.078754579414509</v>
      </c>
      <c r="AA137" s="385">
        <f t="shared" si="38"/>
        <v>11.749202967153431</v>
      </c>
      <c r="AB137" s="196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5.7063308005935016E-2</v>
      </c>
      <c r="AD137" s="230">
        <f>(INDEX(Models!$BJ137:$BT137,,AH137)*(1-AF137)+INDEX(Models!$BJ137:$BT137,,AH137+1)*AF137-ERP_i)*AE137*Ramure*Pc/MaxiM</f>
        <v>3.209402020605769E-4</v>
      </c>
      <c r="AE137" s="304">
        <f t="shared" si="40"/>
        <v>0.5</v>
      </c>
      <c r="AF137" s="176">
        <f t="shared" si="41"/>
        <v>0.98647059035042362</v>
      </c>
      <c r="AG137" s="814">
        <f t="shared" si="49"/>
        <v>1</v>
      </c>
      <c r="AH137" s="175">
        <f t="shared" si="42"/>
        <v>7</v>
      </c>
      <c r="AI137" s="224">
        <f t="shared" si="43"/>
        <v>1.9864705903504236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10">
        <f>'2025'!Wh/'2025'!Env_an*'2026'!Env_an</f>
        <v>17.22822508970409</v>
      </c>
      <c r="C138" s="843"/>
      <c r="D138" s="392">
        <f t="shared" si="25"/>
        <v>18.332983116068188</v>
      </c>
      <c r="E138" s="384">
        <f t="shared" si="47"/>
        <v>18.443189430807628</v>
      </c>
      <c r="F138" s="384">
        <f t="shared" si="26"/>
        <v>18.443195836186028</v>
      </c>
      <c r="G138" s="110">
        <f t="shared" si="48"/>
        <v>0.30679422204740747</v>
      </c>
      <c r="H138" s="413" t="b">
        <f>Wh_hp&gt;='2025'!Maxi_hp</f>
        <v>0</v>
      </c>
      <c r="I138" s="389">
        <f>IF(H138,Wh_hp,'2025'!Maxi_hp)</f>
        <v>55.569460873367788</v>
      </c>
      <c r="J138" s="85">
        <f>IF(H138,An,'2025'!An_max)</f>
        <v>2020</v>
      </c>
      <c r="K138" s="196">
        <f t="shared" si="27"/>
        <v>46146</v>
      </c>
      <c r="L138" s="147">
        <f>IF(t&lt;Tvie,1-EXP((T0-t)*PertePVj)+'2025'!Pspv,1-EXP((T0-t)*PertePVj)+Pspv)</f>
        <v>6.0260679856068734E-2</v>
      </c>
      <c r="M138" s="847"/>
      <c r="N138" s="847"/>
      <c r="O138" s="48">
        <f>IF(t&lt;Tnet,'2025'!Resal+('2025'!Salim-'2025'!Resal)*(1-EXP(('2025'!Tnet-t)/('2025'!Tau_j))),Resal+(Salim-Resal)*(1-EXP((Tnet-t)/(Tau_j))))*Salcycl</f>
        <v>5.9754477474133838E-3</v>
      </c>
      <c r="P138" s="168">
        <f>(INDEX(Models!$BJ138:$BT138,,T138)*(1-R138)+INDEX(Models!$BJ138:$BT138,,T138+1)*R138-ERP_i)*Q138*Ramure*Pc/MaxiM</f>
        <v>3.5725117370318381E-5</v>
      </c>
      <c r="Q138" s="304">
        <f t="shared" si="28"/>
        <v>0.5</v>
      </c>
      <c r="R138" s="176">
        <f t="shared" si="29"/>
        <v>0.87327212307581048</v>
      </c>
      <c r="S138" s="814">
        <f t="shared" si="30"/>
        <v>-1</v>
      </c>
      <c r="T138" s="175">
        <f t="shared" si="31"/>
        <v>5</v>
      </c>
      <c r="U138" s="250">
        <f t="shared" si="32"/>
        <v>-0.12672787692418946</v>
      </c>
      <c r="V138" s="382">
        <f t="shared" si="33"/>
        <v>56.15365073558079</v>
      </c>
      <c r="W138" s="401">
        <f t="shared" si="34"/>
        <v>17.22822508970409</v>
      </c>
      <c r="X138" s="157">
        <f t="shared" si="35"/>
        <v>46146</v>
      </c>
      <c r="Y138" s="384">
        <f t="shared" si="36"/>
        <v>16.341380485557675</v>
      </c>
      <c r="Z138" s="384">
        <f t="shared" si="37"/>
        <v>17.389269699872532</v>
      </c>
      <c r="AA138" s="385">
        <f t="shared" si="38"/>
        <v>18.443136236984671</v>
      </c>
      <c r="AB138" s="196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5.7141395236173641E-2</v>
      </c>
      <c r="AD138" s="230">
        <f>(INDEX(Models!$BJ138:$BT138,,AH138)*(1-AF138)+INDEX(Models!$BJ138:$BT138,,AH138+1)*AF138-ERP_i)*AE138*Ramure*Pc/MaxiM</f>
        <v>3.3240635135884224E-4</v>
      </c>
      <c r="AE138" s="304">
        <f t="shared" si="40"/>
        <v>0.5</v>
      </c>
      <c r="AF138" s="176">
        <f t="shared" si="41"/>
        <v>0.98826466290019788</v>
      </c>
      <c r="AG138" s="814">
        <f t="shared" si="49"/>
        <v>1</v>
      </c>
      <c r="AH138" s="175">
        <f t="shared" si="42"/>
        <v>7</v>
      </c>
      <c r="AI138" s="224">
        <f t="shared" si="43"/>
        <v>1.9882646629001979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10">
        <f>'2025'!Wh/'2025'!Env_an*'2026'!Env_an</f>
        <v>37.161031159320231</v>
      </c>
      <c r="C139" s="843"/>
      <c r="D139" s="392">
        <f t="shared" si="25"/>
        <v>39.544843195479459</v>
      </c>
      <c r="E139" s="384">
        <f t="shared" si="47"/>
        <v>39.786718389656379</v>
      </c>
      <c r="F139" s="384">
        <f t="shared" si="26"/>
        <v>39.787493971130857</v>
      </c>
      <c r="G139" s="110">
        <f t="shared" si="48"/>
        <v>0.66129236935017077</v>
      </c>
      <c r="H139" s="413" t="b">
        <f>Wh_hp&gt;='2025'!Maxi_hp</f>
        <v>0</v>
      </c>
      <c r="I139" s="389">
        <f>IF(H139,Wh_hp,'2025'!Maxi_hp)</f>
        <v>58.993355519975921</v>
      </c>
      <c r="J139" s="85">
        <f>IF(H139,An,'2025'!An_max)</f>
        <v>2020</v>
      </c>
      <c r="K139" s="196">
        <f t="shared" si="27"/>
        <v>46147</v>
      </c>
      <c r="L139" s="147">
        <f>IF(t&lt;Tvie,1-EXP((T0-t)*PertePVj)+'2025'!Pspv,1-EXP((T0-t)*PertePVj)+Pspv)</f>
        <v>6.0281236275877538E-2</v>
      </c>
      <c r="M139" s="847"/>
      <c r="N139" s="847"/>
      <c r="O139" s="48">
        <f>IF(t&lt;Tnet,'2025'!Resal+('2025'!Salim-'2025'!Resal)*(1-EXP(('2025'!Tnet-t)/('2025'!Tau_j))),Resal+(Salim-Resal)*(1-EXP((Tnet-t)/(Tau_j))))*Salcycl</f>
        <v>6.0792948995713738E-3</v>
      </c>
      <c r="P139" s="168">
        <f>(INDEX(Models!$BJ139:$BT139,,T139)*(1-R139)+INDEX(Models!$BJ139:$BT139,,T139+1)*R139-ERP_i)*Q139*Ramure*Pc/MaxiM</f>
        <v>3.7766398034798796E-5</v>
      </c>
      <c r="Q139" s="304">
        <f t="shared" si="28"/>
        <v>0.5</v>
      </c>
      <c r="R139" s="176">
        <f t="shared" si="29"/>
        <v>0.87511409791575634</v>
      </c>
      <c r="S139" s="814">
        <f t="shared" si="30"/>
        <v>-1</v>
      </c>
      <c r="T139" s="175">
        <f t="shared" si="31"/>
        <v>5</v>
      </c>
      <c r="U139" s="250">
        <f t="shared" si="32"/>
        <v>-0.12488590208424363</v>
      </c>
      <c r="V139" s="382">
        <f t="shared" si="33"/>
        <v>56.193529237129397</v>
      </c>
      <c r="W139" s="401">
        <f t="shared" si="34"/>
        <v>37.161031159320231</v>
      </c>
      <c r="X139" s="157">
        <f t="shared" si="35"/>
        <v>46147</v>
      </c>
      <c r="Y139" s="384">
        <f t="shared" si="36"/>
        <v>35.243358990485447</v>
      </c>
      <c r="Z139" s="384">
        <f t="shared" si="37"/>
        <v>37.504155871928511</v>
      </c>
      <c r="AA139" s="385">
        <f t="shared" si="38"/>
        <v>39.780398391071962</v>
      </c>
      <c r="AB139" s="196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5.7220204201230751E-2</v>
      </c>
      <c r="AD139" s="230">
        <f>(INDEX(Models!$BJ139:$BT139,,AH139)*(1-AF139)+INDEX(Models!$BJ139:$BT139,,AH139+1)*AF139-ERP_i)*AE139*Ramure*Pc/MaxiM</f>
        <v>3.4551431359585593E-4</v>
      </c>
      <c r="AE139" s="304">
        <f t="shared" si="40"/>
        <v>0.5</v>
      </c>
      <c r="AF139" s="176">
        <f t="shared" si="41"/>
        <v>0.99010663774014374</v>
      </c>
      <c r="AG139" s="814">
        <f t="shared" si="49"/>
        <v>1</v>
      </c>
      <c r="AH139" s="175">
        <f t="shared" si="42"/>
        <v>7</v>
      </c>
      <c r="AI139" s="224">
        <f t="shared" si="43"/>
        <v>1.9901066377401437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10">
        <f>'2025'!Wh/'2025'!Env_an*'2026'!Env_an</f>
        <v>36.191394019764168</v>
      </c>
      <c r="C140" s="843"/>
      <c r="D140" s="392">
        <f t="shared" si="25"/>
        <v>38.513848085594432</v>
      </c>
      <c r="E140" s="384">
        <f t="shared" si="47"/>
        <v>38.753469519921794</v>
      </c>
      <c r="F140" s="384">
        <f t="shared" si="26"/>
        <v>38.75422968295009</v>
      </c>
      <c r="G140" s="110">
        <f t="shared" si="48"/>
        <v>0.64363209446549152</v>
      </c>
      <c r="H140" s="413" t="b">
        <f>Wh_hp&gt;='2025'!Maxi_hp</f>
        <v>0</v>
      </c>
      <c r="I140" s="389">
        <f>IF(H140,Wh_hp,'2025'!Maxi_hp)</f>
        <v>62.888390720107274</v>
      </c>
      <c r="J140" s="85">
        <f>IF(H140,An,'2025'!An_max)</f>
        <v>2019</v>
      </c>
      <c r="K140" s="196">
        <f t="shared" si="27"/>
        <v>46148</v>
      </c>
      <c r="L140" s="147">
        <f>IF(t&lt;Tvie,1-EXP((T0-t)*PertePVj)+'2025'!Pspv,1-EXP((T0-t)*PertePVj)+Pspv)</f>
        <v>6.0301792245448051E-2</v>
      </c>
      <c r="M140" s="847"/>
      <c r="N140" s="847"/>
      <c r="O140" s="48">
        <f>IF(t&lt;Tnet,'2025'!Resal+('2025'!Salim-'2025'!Resal)*(1-EXP(('2025'!Tnet-t)/('2025'!Tau_j))),Resal+(Salim-Resal)*(1-EXP((Tnet-t)/(Tau_j))))*Salcycl</f>
        <v>6.1832253291329792E-3</v>
      </c>
      <c r="P140" s="168">
        <f>(INDEX(Models!$BJ140:$BT140,,T140)*(1-R140)+INDEX(Models!$BJ140:$BT140,,T140+1)*R140-ERP_i)*Q140*Ramure*Pc/MaxiM</f>
        <v>3.995539321019305E-5</v>
      </c>
      <c r="Q140" s="304">
        <f t="shared" si="28"/>
        <v>0.5</v>
      </c>
      <c r="R140" s="176">
        <f t="shared" si="29"/>
        <v>0.87700430153256115</v>
      </c>
      <c r="S140" s="814">
        <f t="shared" si="30"/>
        <v>-1</v>
      </c>
      <c r="T140" s="175">
        <f t="shared" si="31"/>
        <v>5</v>
      </c>
      <c r="U140" s="250">
        <f t="shared" si="32"/>
        <v>-0.12299569846743881</v>
      </c>
      <c r="V140" s="382">
        <f t="shared" si="33"/>
        <v>56.228796183766278</v>
      </c>
      <c r="W140" s="401">
        <f t="shared" si="34"/>
        <v>36.191394019764168</v>
      </c>
      <c r="X140" s="157">
        <f t="shared" si="35"/>
        <v>46148</v>
      </c>
      <c r="Y140" s="384">
        <f t="shared" si="36"/>
        <v>34.324507963251818</v>
      </c>
      <c r="Z140" s="384">
        <f t="shared" si="37"/>
        <v>36.527161252410664</v>
      </c>
      <c r="AA140" s="385">
        <f t="shared" si="38"/>
        <v>38.747374951078882</v>
      </c>
      <c r="AB140" s="196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5.7299719051197219E-2</v>
      </c>
      <c r="AD140" s="230">
        <f>(INDEX(Models!$BJ140:$BT140,,AH140)*(1-AF140)+INDEX(Models!$BJ140:$BT140,,AH140+1)*AF140-ERP_i)*AE140*Ramure*Pc/MaxiM</f>
        <v>3.6029574850403003E-4</v>
      </c>
      <c r="AE140" s="304">
        <f t="shared" si="40"/>
        <v>0.5</v>
      </c>
      <c r="AF140" s="176">
        <f t="shared" si="41"/>
        <v>0.99199684135694866</v>
      </c>
      <c r="AG140" s="814">
        <f t="shared" si="49"/>
        <v>1</v>
      </c>
      <c r="AH140" s="175">
        <f t="shared" si="42"/>
        <v>7</v>
      </c>
      <c r="AI140" s="224">
        <f t="shared" si="43"/>
        <v>1.9919968413569487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10">
        <f>'2025'!Wh/'2025'!Env_an*'2026'!Env_an</f>
        <v>47.779212568003764</v>
      </c>
      <c r="C141" s="843"/>
      <c r="D141" s="392">
        <f t="shared" si="25"/>
        <v>50.846385943468391</v>
      </c>
      <c r="E141" s="384">
        <f t="shared" si="47"/>
        <v>51.168092045504686</v>
      </c>
      <c r="F141" s="384">
        <f t="shared" si="26"/>
        <v>51.16979030833626</v>
      </c>
      <c r="G141" s="110">
        <f t="shared" si="48"/>
        <v>0.84925165814349379</v>
      </c>
      <c r="H141" s="413" t="b">
        <f>Wh_hp&gt;='2025'!Maxi_hp</f>
        <v>0</v>
      </c>
      <c r="I141" s="389">
        <f>IF(H141,Wh_hp,'2025'!Maxi_hp)</f>
        <v>58.152952169417603</v>
      </c>
      <c r="J141" s="85">
        <f>IF(H141,An,'2025'!An_max)</f>
        <v>2020</v>
      </c>
      <c r="K141" s="196">
        <f t="shared" si="27"/>
        <v>46149</v>
      </c>
      <c r="L141" s="147">
        <f>IF(t&lt;Tvie,1-EXP((T0-t)*PertePVj)+'2025'!Pspv,1-EXP((T0-t)*PertePVj)+Pspv)</f>
        <v>6.0322347764789931E-2</v>
      </c>
      <c r="M141" s="847"/>
      <c r="N141" s="847"/>
      <c r="O141" s="48">
        <f>IF(t&lt;Tnet,'2025'!Resal+('2025'!Salim-'2025'!Resal)*(1-EXP(('2025'!Tnet-t)/('2025'!Tau_j))),Resal+(Salim-Resal)*(1-EXP((Tnet-t)/(Tau_j))))*Salcycl</f>
        <v>6.2872405277530612E-3</v>
      </c>
      <c r="P141" s="168">
        <f>(INDEX(Models!$BJ141:$BT141,,T141)*(1-R141)+INDEX(Models!$BJ141:$BT141,,T141+1)*R141-ERP_i)*Q141*Ramure*Pc/MaxiM</f>
        <v>4.2297219027223223E-5</v>
      </c>
      <c r="Q141" s="304">
        <f t="shared" si="28"/>
        <v>0.5</v>
      </c>
      <c r="R141" s="176">
        <f t="shared" si="29"/>
        <v>0.87894299417565258</v>
      </c>
      <c r="S141" s="814">
        <f t="shared" si="30"/>
        <v>-1</v>
      </c>
      <c r="T141" s="175">
        <f t="shared" si="31"/>
        <v>5</v>
      </c>
      <c r="U141" s="250">
        <f t="shared" si="32"/>
        <v>-0.12105700582434742</v>
      </c>
      <c r="V141" s="382">
        <f t="shared" si="33"/>
        <v>56.259857606737967</v>
      </c>
      <c r="W141" s="401">
        <f t="shared" si="34"/>
        <v>47.779212568003764</v>
      </c>
      <c r="X141" s="157">
        <f t="shared" si="35"/>
        <v>46149</v>
      </c>
      <c r="Y141" s="384">
        <f t="shared" si="36"/>
        <v>45.310703532263283</v>
      </c>
      <c r="Z141" s="384">
        <f t="shared" si="37"/>
        <v>48.219411650881312</v>
      </c>
      <c r="AA141" s="385">
        <f t="shared" si="38"/>
        <v>51.1546621777496</v>
      </c>
      <c r="AB141" s="196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5.7379922022923829E-2</v>
      </c>
      <c r="AD141" s="230">
        <f>(INDEX(Models!$BJ141:$BT141,,AH141)*(1-AF141)+INDEX(Models!$BJ141:$BT141,,AH141+1)*AF141-ERP_i)*AE141*Ramure*Pc/MaxiM</f>
        <v>3.7678375867305754E-4</v>
      </c>
      <c r="AE141" s="304">
        <f t="shared" si="40"/>
        <v>0.5</v>
      </c>
      <c r="AF141" s="176">
        <f t="shared" si="41"/>
        <v>0.99393553400003998</v>
      </c>
      <c r="AG141" s="814">
        <f t="shared" si="49"/>
        <v>1</v>
      </c>
      <c r="AH141" s="175">
        <f t="shared" si="42"/>
        <v>7</v>
      </c>
      <c r="AI141" s="224">
        <f t="shared" si="43"/>
        <v>1.99393553400004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10">
        <f>'2025'!Wh/'2025'!Env_an*'2026'!Env_an</f>
        <v>49.236492327449533</v>
      </c>
      <c r="C142" s="843"/>
      <c r="D142" s="392">
        <f t="shared" si="25"/>
        <v>52.398361568216693</v>
      </c>
      <c r="E142" s="384">
        <f t="shared" si="47"/>
        <v>52.735411600018644</v>
      </c>
      <c r="F142" s="384">
        <f t="shared" si="26"/>
        <v>52.737351190747525</v>
      </c>
      <c r="G142" s="110">
        <f t="shared" si="48"/>
        <v>0.87473116516604199</v>
      </c>
      <c r="H142" s="413" t="b">
        <f>Wh_hp&gt;='2025'!Maxi_hp</f>
        <v>0</v>
      </c>
      <c r="I142" s="389">
        <f>IF(H142,Wh_hp,'2025'!Maxi_hp)</f>
        <v>57.718187862260137</v>
      </c>
      <c r="J142" s="85">
        <f>IF(H142,An,'2025'!An_max)</f>
        <v>2021</v>
      </c>
      <c r="K142" s="196">
        <f t="shared" si="27"/>
        <v>46150</v>
      </c>
      <c r="L142" s="147">
        <f>IF(t&lt;Tvie,1-EXP((T0-t)*PertePVj)+'2025'!Pspv,1-EXP((T0-t)*PertePVj)+Pspv)</f>
        <v>6.0342902833913394E-2</v>
      </c>
      <c r="M142" s="847"/>
      <c r="N142" s="847"/>
      <c r="O142" s="48">
        <f>IF(t&lt;Tnet,'2025'!Resal+('2025'!Salim-'2025'!Resal)*(1-EXP(('2025'!Tnet-t)/('2025'!Tau_j))),Resal+(Salim-Resal)*(1-EXP((Tnet-t)/(Tau_j))))*Salcycl</f>
        <v>6.3913416350738425E-3</v>
      </c>
      <c r="P142" s="168">
        <f>(INDEX(Models!$BJ142:$BT142,,T142)*(1-R142)+INDEX(Models!$BJ142:$BT142,,T142+1)*R142-ERP_i)*Q142*Ramure*Pc/MaxiM</f>
        <v>4.4793993275950811E-5</v>
      </c>
      <c r="Q142" s="304">
        <f t="shared" si="28"/>
        <v>0.5</v>
      </c>
      <c r="R142" s="176">
        <f t="shared" si="29"/>
        <v>0.88093036565453231</v>
      </c>
      <c r="S142" s="814">
        <f t="shared" si="30"/>
        <v>-1</v>
      </c>
      <c r="T142" s="175">
        <f t="shared" si="31"/>
        <v>5</v>
      </c>
      <c r="U142" s="250">
        <f t="shared" si="32"/>
        <v>-0.11906963434546765</v>
      </c>
      <c r="V142" s="382">
        <f t="shared" si="33"/>
        <v>56.287119528355653</v>
      </c>
      <c r="W142" s="401">
        <f t="shared" si="34"/>
        <v>49.236492327449533</v>
      </c>
      <c r="X142" s="157">
        <f t="shared" si="35"/>
        <v>46150</v>
      </c>
      <c r="Y142" s="384">
        <f t="shared" si="36"/>
        <v>46.692408469217661</v>
      </c>
      <c r="Z142" s="384">
        <f t="shared" si="37"/>
        <v>49.690901723657888</v>
      </c>
      <c r="AA142" s="385">
        <f t="shared" si="38"/>
        <v>52.720249063764498</v>
      </c>
      <c r="AB142" s="196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5.7460793412463775E-2</v>
      </c>
      <c r="AD142" s="230">
        <f>(INDEX(Models!$BJ142:$BT142,,AH142)*(1-AF142)+INDEX(Models!$BJ142:$BT142,,AH142+1)*AF142-ERP_i)*AE142*Ramure*Pc/MaxiM</f>
        <v>3.9496608726559927E-4</v>
      </c>
      <c r="AE142" s="304">
        <f t="shared" si="40"/>
        <v>0.5</v>
      </c>
      <c r="AF142" s="176">
        <f t="shared" si="41"/>
        <v>0.99592290547891982</v>
      </c>
      <c r="AG142" s="814">
        <f t="shared" si="49"/>
        <v>1</v>
      </c>
      <c r="AH142" s="175">
        <f t="shared" si="42"/>
        <v>7</v>
      </c>
      <c r="AI142" s="224">
        <f t="shared" si="43"/>
        <v>1.9959229054789198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10">
        <f>'2025'!Wh/'2025'!Env_an*'2026'!Env_an</f>
        <v>54.092872137259477</v>
      </c>
      <c r="C143" s="843"/>
      <c r="D143" s="392">
        <f t="shared" ref="D143:D206" si="50">Wh/(1-Ppv)</f>
        <v>57.567867667879554</v>
      </c>
      <c r="E143" s="384">
        <f t="shared" si="47"/>
        <v>57.944246224017775</v>
      </c>
      <c r="F143" s="384">
        <f t="shared" ref="F143:F206" si="51">Wh_sa/(1-Pvg*MEDIAN((-Sdif+Wh/Env_an)/Csdif,0,1))</f>
        <v>57.946836973626219</v>
      </c>
      <c r="G143" s="110">
        <f t="shared" si="48"/>
        <v>0.96060691015696842</v>
      </c>
      <c r="H143" s="413" t="b">
        <f>Wh_hp&gt;='2025'!Maxi_hp</f>
        <v>0</v>
      </c>
      <c r="I143" s="389">
        <f>IF(H143,Wh_hp,'2025'!Maxi_hp)</f>
        <v>57.946970080239403</v>
      </c>
      <c r="J143" s="85">
        <f>IF(H143,An,'2025'!An_max)</f>
        <v>2025</v>
      </c>
      <c r="K143" s="196">
        <f t="shared" ref="K143:K206" si="52">t</f>
        <v>46151</v>
      </c>
      <c r="L143" s="147">
        <f>IF(t&lt;Tvie,1-EXP((T0-t)*PertePVj)+'2025'!Pspv,1-EXP((T0-t)*PertePVj)+Pspv)</f>
        <v>6.0363457452827986E-2</v>
      </c>
      <c r="M143" s="847"/>
      <c r="N143" s="847"/>
      <c r="O143" s="48">
        <f>IF(t&lt;Tnet,'2025'!Resal+('2025'!Salim-'2025'!Resal)*(1-EXP(('2025'!Tnet-t)/('2025'!Tau_j))),Resal+(Salim-Resal)*(1-EXP((Tnet-t)/(Tau_j))))*Salcycl</f>
        <v>6.495529421214799E-3</v>
      </c>
      <c r="P143" s="168">
        <f>(INDEX(Models!$BJ143:$BT143,,T143)*(1-R143)+INDEX(Models!$BJ143:$BT143,,T143+1)*R143-ERP_i)*Q143*Ramure*Pc/MaxiM</f>
        <v>4.7374970258551018E-5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0.88296653118493962</v>
      </c>
      <c r="S143" s="814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-0.11703346881506041</v>
      </c>
      <c r="V143" s="382">
        <f t="shared" ref="V143:V206" si="58">MaxiM*(1-Ppv)*(1-Pvg)*(1-Psa)</f>
        <v>56.310991887577742</v>
      </c>
      <c r="W143" s="401">
        <f t="shared" ref="W143:W206" si="59">Wh*(A143&gt;Tmaj)</f>
        <v>54.092872137259477</v>
      </c>
      <c r="X143" s="157">
        <f t="shared" ref="X143:X206" si="60">t</f>
        <v>46151</v>
      </c>
      <c r="Y143" s="384">
        <f t="shared" ref="Y143:Y206" si="61">Wh_pvt_s*(1-Ppv)</f>
        <v>51.295814680576278</v>
      </c>
      <c r="Z143" s="384">
        <f t="shared" ref="Z143:Z206" si="62">Wh_sa_s*(1-Psa_s)</f>
        <v>54.591123650346013</v>
      </c>
      <c r="AA143" s="385">
        <f t="shared" ref="AA143:AA206" si="63">Wh_hp*(1-Pvg_s*MEDIAN((-Sdif+Wh/Env_an)/Csdif,0,1))</f>
        <v>57.924216990965895</v>
      </c>
      <c r="AB143" s="196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5.7542311554072807E-2</v>
      </c>
      <c r="AD143" s="230">
        <f>(INDEX(Models!$BJ143:$BT143,,AH143)*(1-AF143)+INDEX(Models!$BJ143:$BT143,,AH143+1)*AF143-ERP_i)*AE143*Ramure*Pc/MaxiM</f>
        <v>4.136335685578462E-4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0.9979590710093269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1.9979590710093269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10">
        <f>'2025'!Wh/'2025'!Env_an*'2026'!Env_an</f>
        <v>49.977068031647548</v>
      </c>
      <c r="C144" s="843"/>
      <c r="D144" s="392">
        <f t="shared" si="50"/>
        <v>53.188822508113709</v>
      </c>
      <c r="E144" s="384">
        <f t="shared" ref="E144:E169" si="72">Wh_pvt/(1-Psa)</f>
        <v>53.542190485505252</v>
      </c>
      <c r="F144" s="384">
        <f t="shared" si="51"/>
        <v>53.544438177085063</v>
      </c>
      <c r="G144" s="110">
        <f t="shared" ref="G144:G169" si="73">+Wh_hp/MaxiM</f>
        <v>0.88718261640365059</v>
      </c>
      <c r="H144" s="413" t="b">
        <f>Wh_hp&gt;='2025'!Maxi_hp</f>
        <v>0</v>
      </c>
      <c r="I144" s="389">
        <f>IF(H144,Wh_hp,'2025'!Maxi_hp)</f>
        <v>53.544808041153175</v>
      </c>
      <c r="J144" s="85">
        <f>IF(H144,An,'2025'!An_max)</f>
        <v>2025</v>
      </c>
      <c r="K144" s="196">
        <f t="shared" si="52"/>
        <v>46152</v>
      </c>
      <c r="L144" s="147">
        <f>IF(t&lt;Tvie,1-EXP((T0-t)*PertePVj)+'2025'!Pspv,1-EXP((T0-t)*PertePVj)+Pspv)</f>
        <v>6.0384011621543589E-2</v>
      </c>
      <c r="M144" s="847"/>
      <c r="N144" s="847"/>
      <c r="O144" s="48">
        <f>IF(t&lt;Tnet,'2025'!Resal+('2025'!Salim-'2025'!Resal)*(1-EXP(('2025'!Tnet-t)/('2025'!Tau_j))),Resal+(Salim-Resal)*(1-EXP((Tnet-t)/(Tau_j))))*Salcycl</f>
        <v>6.5998042700027935E-3</v>
      </c>
      <c r="P144" s="168">
        <f>(INDEX(Models!$BJ144:$BT144,,T144)*(1-R144)+INDEX(Models!$BJ144:$BT144,,T144+1)*R144-ERP_i)*Q144*Ramure*Pc/MaxiM</f>
        <v>5.0042835638309945E-5</v>
      </c>
      <c r="Q144" s="304">
        <f t="shared" si="53"/>
        <v>0.5</v>
      </c>
      <c r="R144" s="176">
        <f t="shared" si="54"/>
        <v>0.88505152731297054</v>
      </c>
      <c r="S144" s="814">
        <f t="shared" si="55"/>
        <v>-1</v>
      </c>
      <c r="T144" s="175">
        <f t="shared" si="56"/>
        <v>5</v>
      </c>
      <c r="U144" s="250">
        <f t="shared" si="57"/>
        <v>-0.11494847268702947</v>
      </c>
      <c r="V144" s="382">
        <f t="shared" si="58"/>
        <v>56.331880310528476</v>
      </c>
      <c r="W144" s="401">
        <f t="shared" si="59"/>
        <v>49.977068031647548</v>
      </c>
      <c r="X144" s="157">
        <f t="shared" si="60"/>
        <v>46152</v>
      </c>
      <c r="Y144" s="384">
        <f t="shared" si="61"/>
        <v>47.394841399858883</v>
      </c>
      <c r="Z144" s="384">
        <f t="shared" si="62"/>
        <v>50.440650208230913</v>
      </c>
      <c r="AA144" s="385">
        <f t="shared" si="63"/>
        <v>53.524998986279883</v>
      </c>
      <c r="AB144" s="196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5.7624452806427529E-2</v>
      </c>
      <c r="AD144" s="230">
        <f>(INDEX(Models!$BJ144:$BT144,,AH144)*(1-AF144)+INDEX(Models!$BJ144:$BT144,,AH144+1)*AF144-ERP_i)*AE144*Ramure*Pc/MaxiM</f>
        <v>4.3279613588540953E-4</v>
      </c>
      <c r="AE144" s="304">
        <f t="shared" si="65"/>
        <v>0.5</v>
      </c>
      <c r="AF144" s="176">
        <f t="shared" si="66"/>
        <v>4.4067137357828301E-5</v>
      </c>
      <c r="AG144" s="814">
        <f t="shared" ref="AG144:AG207" si="74">INDEX(Echel_vg,AH144)</f>
        <v>2</v>
      </c>
      <c r="AH144" s="175">
        <f t="shared" si="67"/>
        <v>8</v>
      </c>
      <c r="AI144" s="224">
        <f t="shared" si="68"/>
        <v>2.0000440671373578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10">
        <f>'2025'!Wh/'2025'!Env_an*'2026'!Env_an</f>
        <v>54.381474220197752</v>
      </c>
      <c r="C145" s="843"/>
      <c r="D145" s="392">
        <f t="shared" si="50"/>
        <v>57.877541986866063</v>
      </c>
      <c r="E145" s="384">
        <f t="shared" si="72"/>
        <v>58.268181558052937</v>
      </c>
      <c r="F145" s="384">
        <f t="shared" si="51"/>
        <v>58.271104725171078</v>
      </c>
      <c r="G145" s="110">
        <f t="shared" si="73"/>
        <v>0.96506028938294308</v>
      </c>
      <c r="H145" s="413" t="b">
        <f>Wh_hp&gt;='2025'!Maxi_hp</f>
        <v>0</v>
      </c>
      <c r="I145" s="389">
        <f>IF(H145,Wh_hp,'2025'!Maxi_hp)</f>
        <v>58.271235456095248</v>
      </c>
      <c r="J145" s="85">
        <f>IF(H145,An,'2025'!An_max)</f>
        <v>2025</v>
      </c>
      <c r="K145" s="196">
        <f t="shared" si="52"/>
        <v>46153</v>
      </c>
      <c r="L145" s="147">
        <f>IF(t&lt;Tvie,1-EXP((T0-t)*PertePVj)+'2025'!Pspv,1-EXP((T0-t)*PertePVj)+Pspv)</f>
        <v>6.0404565340070195E-2</v>
      </c>
      <c r="M145" s="847"/>
      <c r="N145" s="847"/>
      <c r="O145" s="48">
        <f>IF(t&lt;Tnet,'2025'!Resal+('2025'!Salim-'2025'!Resal)*(1-EXP(('2025'!Tnet-t)/('2025'!Tau_j))),Resal+(Salim-Resal)*(1-EXP((Tnet-t)/(Tau_j))))*Salcycl</f>
        <v>6.7041661631001481E-3</v>
      </c>
      <c r="P145" s="168">
        <f>(INDEX(Models!$BJ145:$BT145,,T145)*(1-R145)+INDEX(Models!$BJ145:$BT145,,T145+1)*R145-ERP_i)*Q145*Ramure*Pc/MaxiM</f>
        <v>5.2800222823283326E-5</v>
      </c>
      <c r="Q145" s="304">
        <f t="shared" si="53"/>
        <v>0.5</v>
      </c>
      <c r="R145" s="176">
        <f t="shared" si="54"/>
        <v>0.88718530794798911</v>
      </c>
      <c r="S145" s="814">
        <f t="shared" si="55"/>
        <v>-1</v>
      </c>
      <c r="T145" s="175">
        <f t="shared" si="56"/>
        <v>5</v>
      </c>
      <c r="U145" s="250">
        <f t="shared" si="57"/>
        <v>-0.11281469205201092</v>
      </c>
      <c r="V145" s="382">
        <f t="shared" si="58"/>
        <v>56.35019024336539</v>
      </c>
      <c r="W145" s="401">
        <f t="shared" si="59"/>
        <v>54.381474220197752</v>
      </c>
      <c r="X145" s="157">
        <f t="shared" si="60"/>
        <v>46153</v>
      </c>
      <c r="Y145" s="384">
        <f t="shared" si="61"/>
        <v>51.569541614296995</v>
      </c>
      <c r="Z145" s="384">
        <f t="shared" si="62"/>
        <v>54.884836294422499</v>
      </c>
      <c r="AA145" s="385">
        <f t="shared" si="63"/>
        <v>58.24605239693102</v>
      </c>
      <c r="AB145" s="196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5.7707191546694833E-2</v>
      </c>
      <c r="AD145" s="230">
        <f>(INDEX(Models!$BJ145:$BT145,,AH145)*(1-AF145)+INDEX(Models!$BJ145:$BT145,,AH145+1)*AF145-ERP_i)*AE145*Ramure*Pc/MaxiM</f>
        <v>4.5251210753786996E-4</v>
      </c>
      <c r="AE145" s="304">
        <f t="shared" si="65"/>
        <v>0.5</v>
      </c>
      <c r="AF145" s="176">
        <f t="shared" si="66"/>
        <v>2.1778477723763956E-3</v>
      </c>
      <c r="AG145" s="814">
        <f t="shared" si="74"/>
        <v>2</v>
      </c>
      <c r="AH145" s="175">
        <f t="shared" si="67"/>
        <v>8</v>
      </c>
      <c r="AI145" s="224">
        <f t="shared" si="68"/>
        <v>2.0021778477723764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10">
        <f>'2025'!Wh/'2025'!Env_an*'2026'!Env_an</f>
        <v>42.632536030164019</v>
      </c>
      <c r="C146" s="843"/>
      <c r="D146" s="392">
        <f t="shared" si="50"/>
        <v>45.374282427625111</v>
      </c>
      <c r="E146" s="384">
        <f t="shared" si="72"/>
        <v>45.685336278193013</v>
      </c>
      <c r="F146" s="384">
        <f t="shared" si="51"/>
        <v>45.686993776649508</v>
      </c>
      <c r="G146" s="110">
        <f t="shared" si="73"/>
        <v>0.75633294739548718</v>
      </c>
      <c r="H146" s="413" t="b">
        <f>Wh_hp&gt;='2025'!Maxi_hp</f>
        <v>0</v>
      </c>
      <c r="I146" s="389">
        <f>IF(H146,Wh_hp,'2025'!Maxi_hp)</f>
        <v>55.50428873596136</v>
      </c>
      <c r="J146" s="85">
        <f>IF(H146,An,'2025'!An_max)</f>
        <v>2019</v>
      </c>
      <c r="K146" s="196">
        <f t="shared" si="52"/>
        <v>46154</v>
      </c>
      <c r="L146" s="147">
        <f>IF(t&lt;Tvie,1-EXP((T0-t)*PertePVj)+'2025'!Pspv,1-EXP((T0-t)*PertePVj)+Pspv)</f>
        <v>6.0425118608417684E-2</v>
      </c>
      <c r="M146" s="847"/>
      <c r="N146" s="847"/>
      <c r="O146" s="48">
        <f>IF(t&lt;Tnet,'2025'!Resal+('2025'!Salim-'2025'!Resal)*(1-EXP(('2025'!Tnet-t)/('2025'!Tau_j))),Resal+(Salim-Resal)*(1-EXP((Tnet-t)/(Tau_j))))*Salcycl</f>
        <v>6.8086146651913752E-3</v>
      </c>
      <c r="P146" s="168">
        <f>(INDEX(Models!$BJ146:$BT146,,T146)*(1-R146)+INDEX(Models!$BJ146:$BT146,,T146+1)*R146-ERP_i)*Q146*Ramure*Pc/MaxiM</f>
        <v>5.5649699163971952E-5</v>
      </c>
      <c r="Q146" s="304">
        <f t="shared" si="53"/>
        <v>0.5</v>
      </c>
      <c r="R146" s="176">
        <f t="shared" si="54"/>
        <v>0.88936774053668632</v>
      </c>
      <c r="S146" s="814">
        <f t="shared" si="55"/>
        <v>-1</v>
      </c>
      <c r="T146" s="175">
        <f t="shared" si="56"/>
        <v>5</v>
      </c>
      <c r="U146" s="250">
        <f t="shared" si="57"/>
        <v>-0.11063225946331366</v>
      </c>
      <c r="V146" s="382">
        <f t="shared" si="58"/>
        <v>56.366326951181442</v>
      </c>
      <c r="W146" s="401">
        <f t="shared" si="59"/>
        <v>42.632536030164019</v>
      </c>
      <c r="X146" s="157">
        <f t="shared" si="60"/>
        <v>46154</v>
      </c>
      <c r="Y146" s="384">
        <f t="shared" si="61"/>
        <v>40.433151492452645</v>
      </c>
      <c r="Z146" s="384">
        <f t="shared" si="62"/>
        <v>43.033452993728453</v>
      </c>
      <c r="AA146" s="385">
        <f t="shared" si="63"/>
        <v>45.672913509821541</v>
      </c>
      <c r="AB146" s="196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5.7790500173051068E-2</v>
      </c>
      <c r="AD146" s="230">
        <f>(INDEX(Models!$BJ146:$BT146,,AH146)*(1-AF146)+INDEX(Models!$BJ146:$BT146,,AH146+1)*AF146-ERP_i)*AE146*Ramure*Pc/MaxiM</f>
        <v>4.7273806503601141E-4</v>
      </c>
      <c r="AE146" s="304">
        <f t="shared" si="65"/>
        <v>0.5</v>
      </c>
      <c r="AF146" s="176">
        <f t="shared" si="66"/>
        <v>4.3602803610736096E-3</v>
      </c>
      <c r="AG146" s="814">
        <f t="shared" si="74"/>
        <v>2</v>
      </c>
      <c r="AH146" s="175">
        <f t="shared" si="67"/>
        <v>8</v>
      </c>
      <c r="AI146" s="224">
        <f t="shared" si="68"/>
        <v>2.0043602803610736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10">
        <f>'2025'!Wh/'2025'!Env_an*'2026'!Env_an</f>
        <v>44.719905179688212</v>
      </c>
      <c r="C147" s="843"/>
      <c r="D147" s="392">
        <f t="shared" si="50"/>
        <v>47.596933801145695</v>
      </c>
      <c r="E147" s="384">
        <f t="shared" si="72"/>
        <v>47.928269062189905</v>
      </c>
      <c r="F147" s="384">
        <f t="shared" si="51"/>
        <v>47.930247699915014</v>
      </c>
      <c r="G147" s="110">
        <f t="shared" si="73"/>
        <v>0.79316387529165333</v>
      </c>
      <c r="H147" s="413" t="b">
        <f>Wh_hp&gt;='2025'!Maxi_hp</f>
        <v>0</v>
      </c>
      <c r="I147" s="389">
        <f>IF(H147,Wh_hp,'2025'!Maxi_hp)</f>
        <v>62.466176005743364</v>
      </c>
      <c r="J147" s="85">
        <f>IF(H147,An,'2025'!An_max)</f>
        <v>2019</v>
      </c>
      <c r="K147" s="196">
        <f t="shared" si="52"/>
        <v>46155</v>
      </c>
      <c r="L147" s="147">
        <f>IF(t&lt;Tvie,1-EXP((T0-t)*PertePVj)+'2025'!Pspv,1-EXP((T0-t)*PertePVj)+Pspv)</f>
        <v>6.0445671426595828E-2</v>
      </c>
      <c r="M147" s="847"/>
      <c r="N147" s="847"/>
      <c r="O147" s="48">
        <f>IF(t&lt;Tnet,'2025'!Resal+('2025'!Salim-'2025'!Resal)*(1-EXP(('2025'!Tnet-t)/('2025'!Tau_j))),Resal+(Salim-Resal)*(1-EXP((Tnet-t)/(Tau_j))))*Salcycl</f>
        <v>6.9131489103911245E-3</v>
      </c>
      <c r="P147" s="168">
        <f>(INDEX(Models!$BJ147:$BT147,,T147)*(1-R147)+INDEX(Models!$BJ147:$BT147,,T147+1)*R147-ERP_i)*Q147*Ramure*Pc/MaxiM</f>
        <v>5.8593751165684971E-5</v>
      </c>
      <c r="Q147" s="304">
        <f t="shared" si="53"/>
        <v>0.5</v>
      </c>
      <c r="R147" s="176">
        <f t="shared" si="54"/>
        <v>0.89159860241195754</v>
      </c>
      <c r="S147" s="814">
        <f t="shared" si="55"/>
        <v>-1</v>
      </c>
      <c r="T147" s="175">
        <f t="shared" si="56"/>
        <v>5</v>
      </c>
      <c r="U147" s="250">
        <f t="shared" si="57"/>
        <v>-0.1084013975880424</v>
      </c>
      <c r="V147" s="382">
        <f t="shared" si="58"/>
        <v>56.380695520088658</v>
      </c>
      <c r="W147" s="401">
        <f t="shared" si="59"/>
        <v>44.719905179688212</v>
      </c>
      <c r="X147" s="157">
        <f t="shared" si="60"/>
        <v>46155</v>
      </c>
      <c r="Y147" s="384">
        <f t="shared" si="61"/>
        <v>42.412061147945707</v>
      </c>
      <c r="Z147" s="384">
        <f t="shared" si="62"/>
        <v>45.140615990075979</v>
      </c>
      <c r="AA147" s="385">
        <f t="shared" si="63"/>
        <v>47.913583445828301</v>
      </c>
      <c r="AB147" s="196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5.7874349116205662E-2</v>
      </c>
      <c r="AD147" s="230">
        <f>(INDEX(Models!$BJ147:$BT147,,AH147)*(1-AF147)+INDEX(Models!$BJ147:$BT147,,AH147+1)*AF147-ERP_i)*AE147*Ramure*Pc/MaxiM</f>
        <v>4.9348152262889647E-4</v>
      </c>
      <c r="AE147" s="304">
        <f t="shared" si="65"/>
        <v>0.5</v>
      </c>
      <c r="AF147" s="176">
        <f t="shared" si="66"/>
        <v>6.5911422363451599E-3</v>
      </c>
      <c r="AG147" s="814">
        <f t="shared" si="74"/>
        <v>2</v>
      </c>
      <c r="AH147" s="175">
        <f t="shared" si="67"/>
        <v>8</v>
      </c>
      <c r="AI147" s="224">
        <f t="shared" si="68"/>
        <v>2.0065911422363452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10">
        <f>'2025'!Wh/'2025'!Env_an*'2026'!Env_an</f>
        <v>47.221692172542291</v>
      </c>
      <c r="C148" s="843"/>
      <c r="D148" s="392">
        <f t="shared" si="50"/>
        <v>50.260771212784434</v>
      </c>
      <c r="E148" s="384">
        <f t="shared" si="72"/>
        <v>50.615982413705147</v>
      </c>
      <c r="F148" s="384">
        <f t="shared" si="51"/>
        <v>50.618377379523537</v>
      </c>
      <c r="G148" s="110">
        <f t="shared" si="73"/>
        <v>0.83734557540941179</v>
      </c>
      <c r="H148" s="413" t="b">
        <f>Wh_hp&gt;='2025'!Maxi_hp</f>
        <v>0</v>
      </c>
      <c r="I148" s="389">
        <f>IF(H148,Wh_hp,'2025'!Maxi_hp)</f>
        <v>61.499322120098213</v>
      </c>
      <c r="J148" s="85">
        <f>IF(H148,An,'2025'!An_max)</f>
        <v>2019</v>
      </c>
      <c r="K148" s="196">
        <f t="shared" si="52"/>
        <v>46156</v>
      </c>
      <c r="L148" s="147">
        <f>IF(t&lt;Tvie,1-EXP((T0-t)*PertePVj)+'2025'!Pspv,1-EXP((T0-t)*PertePVj)+Pspv)</f>
        <v>6.0466223794614506E-2</v>
      </c>
      <c r="M148" s="847"/>
      <c r="N148" s="847"/>
      <c r="O148" s="48">
        <f>IF(t&lt;Tnet,'2025'!Resal+('2025'!Salim-'2025'!Resal)*(1-EXP(('2025'!Tnet-t)/('2025'!Tau_j))),Resal+(Salim-Resal)*(1-EXP((Tnet-t)/(Tau_j))))*Salcycl</f>
        <v>7.0177675900356135E-3</v>
      </c>
      <c r="P148" s="168">
        <f>(INDEX(Models!$BJ148:$BT148,,T148)*(1-R148)+INDEX(Models!$BJ148:$BT148,,T148+1)*R148-ERP_i)*Q148*Ramure*Pc/MaxiM</f>
        <v>6.1634768742425334E-5</v>
      </c>
      <c r="Q148" s="304">
        <f t="shared" si="53"/>
        <v>0.5</v>
      </c>
      <c r="R148" s="176">
        <f t="shared" si="54"/>
        <v>0.89387757735131901</v>
      </c>
      <c r="S148" s="814">
        <f t="shared" si="55"/>
        <v>-1</v>
      </c>
      <c r="T148" s="175">
        <f t="shared" si="56"/>
        <v>5</v>
      </c>
      <c r="U148" s="250">
        <f t="shared" si="57"/>
        <v>-0.10612242264868098</v>
      </c>
      <c r="V148" s="382">
        <f t="shared" si="58"/>
        <v>56.393700861085463</v>
      </c>
      <c r="W148" s="401">
        <f t="shared" si="59"/>
        <v>47.221692172542291</v>
      </c>
      <c r="X148" s="157">
        <f t="shared" si="60"/>
        <v>46156</v>
      </c>
      <c r="Y148" s="384">
        <f t="shared" si="61"/>
        <v>44.783590697438214</v>
      </c>
      <c r="Z148" s="384">
        <f t="shared" si="62"/>
        <v>47.665759158027711</v>
      </c>
      <c r="AA148" s="385">
        <f t="shared" si="63"/>
        <v>50.598375575629682</v>
      </c>
      <c r="AB148" s="196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5.7958706860432127E-2</v>
      </c>
      <c r="AD148" s="230">
        <f>(INDEX(Models!$BJ148:$BT148,,AH148)*(1-AF148)+INDEX(Models!$BJ148:$BT148,,AH148+1)*AF148-ERP_i)*AE148*Ramure*Pc/MaxiM</f>
        <v>5.1474912416772471E-4</v>
      </c>
      <c r="AE148" s="304">
        <f t="shared" si="65"/>
        <v>0.5</v>
      </c>
      <c r="AF148" s="176">
        <f t="shared" si="66"/>
        <v>8.8701171757064046E-3</v>
      </c>
      <c r="AG148" s="814">
        <f t="shared" si="74"/>
        <v>2</v>
      </c>
      <c r="AH148" s="175">
        <f t="shared" si="67"/>
        <v>8</v>
      </c>
      <c r="AI148" s="224">
        <f t="shared" si="68"/>
        <v>2.0088701171757064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10">
        <f>'2025'!Wh/'2025'!Env_an*'2026'!Env_an</f>
        <v>51.057420162369105</v>
      </c>
      <c r="C149" s="843"/>
      <c r="D149" s="392">
        <f t="shared" si="50"/>
        <v>54.344546561426739</v>
      </c>
      <c r="E149" s="384">
        <f t="shared" si="72"/>
        <v>54.734390558238097</v>
      </c>
      <c r="F149" s="384">
        <f t="shared" si="51"/>
        <v>54.737456041878346</v>
      </c>
      <c r="G149" s="110">
        <f t="shared" si="73"/>
        <v>0.90518943809468078</v>
      </c>
      <c r="H149" s="413" t="b">
        <f>Wh_hp&gt;='2025'!Maxi_hp</f>
        <v>0</v>
      </c>
      <c r="I149" s="389">
        <f>IF(H149,Wh_hp,'2025'!Maxi_hp)</f>
        <v>61.883239006526935</v>
      </c>
      <c r="J149" s="85">
        <f>IF(H149,An,'2025'!An_max)</f>
        <v>2019</v>
      </c>
      <c r="K149" s="196">
        <f t="shared" si="52"/>
        <v>46157</v>
      </c>
      <c r="L149" s="147">
        <f>IF(t&lt;Tvie,1-EXP((T0-t)*PertePVj)+'2025'!Pspv,1-EXP((T0-t)*PertePVj)+Pspv)</f>
        <v>6.0486775712483488E-2</v>
      </c>
      <c r="M149" s="847"/>
      <c r="N149" s="847"/>
      <c r="O149" s="48">
        <f>IF(t&lt;Tnet,'2025'!Resal+('2025'!Salim-'2025'!Resal)*(1-EXP(('2025'!Tnet-t)/('2025'!Tau_j))),Resal+(Salim-Resal)*(1-EXP((Tnet-t)/(Tau_j))))*Salcycl</f>
        <v>7.1224689420184284E-3</v>
      </c>
      <c r="P149" s="168">
        <f>(INDEX(Models!$BJ149:$BT149,,T149)*(1-R149)+INDEX(Models!$BJ149:$BT149,,T149+1)*R149-ERP_i)*Q149*Ramure*Pc/MaxiM</f>
        <v>6.4776189139020084E-5</v>
      </c>
      <c r="Q149" s="304">
        <f t="shared" si="53"/>
        <v>0.5</v>
      </c>
      <c r="R149" s="176">
        <f t="shared" si="54"/>
        <v>0.89620425238034285</v>
      </c>
      <c r="S149" s="814">
        <f t="shared" si="55"/>
        <v>-1</v>
      </c>
      <c r="T149" s="175">
        <f t="shared" si="56"/>
        <v>5</v>
      </c>
      <c r="U149" s="250">
        <f t="shared" si="57"/>
        <v>-0.10379574761965721</v>
      </c>
      <c r="V149" s="382">
        <f t="shared" si="58"/>
        <v>56.404737033571408</v>
      </c>
      <c r="W149" s="401">
        <f t="shared" si="59"/>
        <v>51.057420162369105</v>
      </c>
      <c r="X149" s="157">
        <f t="shared" si="60"/>
        <v>46157</v>
      </c>
      <c r="Y149" s="384">
        <f t="shared" si="61"/>
        <v>48.419112478221678</v>
      </c>
      <c r="Z149" s="384">
        <f t="shared" si="62"/>
        <v>51.536382060976841</v>
      </c>
      <c r="AA149" s="385">
        <f t="shared" si="63"/>
        <v>54.712063930836514</v>
      </c>
      <c r="AB149" s="196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5.8043539974550556E-2</v>
      </c>
      <c r="AD149" s="230">
        <f>(INDEX(Models!$BJ149:$BT149,,AH149)*(1-AF149)+INDEX(Models!$BJ149:$BT149,,AH149+1)*AF149-ERP_i)*AE149*Ramure*Pc/MaxiM</f>
        <v>5.3655617857135041E-4</v>
      </c>
      <c r="AE149" s="304">
        <f t="shared" si="65"/>
        <v>0.5</v>
      </c>
      <c r="AF149" s="176">
        <f t="shared" si="66"/>
        <v>1.1196792204730244E-2</v>
      </c>
      <c r="AG149" s="814">
        <f t="shared" si="74"/>
        <v>2</v>
      </c>
      <c r="AH149" s="175">
        <f t="shared" si="67"/>
        <v>8</v>
      </c>
      <c r="AI149" s="224">
        <f t="shared" si="68"/>
        <v>2.0111967922047302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10">
        <f>'2025'!Wh/'2025'!Env_an*'2026'!Env_an</f>
        <v>49.091703106134823</v>
      </c>
      <c r="C150" s="843"/>
      <c r="D150" s="392">
        <f t="shared" si="50"/>
        <v>52.253417750232487</v>
      </c>
      <c r="E150" s="384">
        <f t="shared" si="72"/>
        <v>52.633815532585579</v>
      </c>
      <c r="F150" s="384">
        <f t="shared" si="51"/>
        <v>52.636731958654664</v>
      </c>
      <c r="G150" s="110">
        <f t="shared" si="73"/>
        <v>0.87020980248308777</v>
      </c>
      <c r="H150" s="413" t="b">
        <f>Wh_hp&gt;='2025'!Maxi_hp</f>
        <v>0</v>
      </c>
      <c r="I150" s="389">
        <f>IF(H150,Wh_hp,'2025'!Maxi_hp)</f>
        <v>52.836978218882514</v>
      </c>
      <c r="J150" s="85">
        <f>IF(H150,An,'2025'!An_max)</f>
        <v>2019</v>
      </c>
      <c r="K150" s="196">
        <f t="shared" si="52"/>
        <v>46158</v>
      </c>
      <c r="L150" s="147">
        <f>IF(t&lt;Tvie,1-EXP((T0-t)*PertePVj)+'2025'!Pspv,1-EXP((T0-t)*PertePVj)+Pspv)</f>
        <v>6.0507327180212879E-2</v>
      </c>
      <c r="M150" s="847"/>
      <c r="N150" s="847"/>
      <c r="O150" s="48">
        <f>IF(t&lt;Tnet,'2025'!Resal+('2025'!Salim-'2025'!Resal)*(1-EXP(('2025'!Tnet-t)/('2025'!Tau_j))),Resal+(Salim-Resal)*(1-EXP((Tnet-t)/(Tau_j))))*Salcycl</f>
        <v>7.2272507418274816E-3</v>
      </c>
      <c r="P150" s="168">
        <f>(INDEX(Models!$BJ150:$BT150,,T150)*(1-R150)+INDEX(Models!$BJ150:$BT150,,T150+1)*R150-ERP_i)*Q150*Ramure*Pc/MaxiM</f>
        <v>6.8016934839130051E-5</v>
      </c>
      <c r="Q150" s="304">
        <f t="shared" si="53"/>
        <v>0.5</v>
      </c>
      <c r="R150" s="176">
        <f t="shared" si="54"/>
        <v>0.89857811485701844</v>
      </c>
      <c r="S150" s="814">
        <f t="shared" si="55"/>
        <v>-1</v>
      </c>
      <c r="T150" s="175">
        <f t="shared" si="56"/>
        <v>5</v>
      </c>
      <c r="U150" s="250">
        <f t="shared" si="57"/>
        <v>-0.10142188514298153</v>
      </c>
      <c r="V150" s="382">
        <f t="shared" si="58"/>
        <v>56.412929241208872</v>
      </c>
      <c r="W150" s="401">
        <f t="shared" si="59"/>
        <v>49.091703106134823</v>
      </c>
      <c r="X150" s="157">
        <f t="shared" si="60"/>
        <v>46158</v>
      </c>
      <c r="Y150" s="384">
        <f t="shared" si="61"/>
        <v>46.556043784364981</v>
      </c>
      <c r="Z150" s="384">
        <f t="shared" si="62"/>
        <v>49.554451174836714</v>
      </c>
      <c r="AA150" s="385">
        <f t="shared" si="63"/>
        <v>52.612768993111828</v>
      </c>
      <c r="AB150" s="196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5.812881315323877E-2</v>
      </c>
      <c r="AD150" s="230">
        <f>(INDEX(Models!$BJ150:$BT150,,AH150)*(1-AF150)+INDEX(Models!$BJ150:$BT150,,AH150+1)*AF150-ERP_i)*AE150*Ramure*Pc/MaxiM</f>
        <v>5.5886466081127805E-4</v>
      </c>
      <c r="AE150" s="304">
        <f t="shared" si="65"/>
        <v>0.5</v>
      </c>
      <c r="AF150" s="176">
        <f t="shared" si="66"/>
        <v>1.3570654681406058E-2</v>
      </c>
      <c r="AG150" s="814">
        <f t="shared" si="74"/>
        <v>2</v>
      </c>
      <c r="AH150" s="175">
        <f t="shared" si="67"/>
        <v>8</v>
      </c>
      <c r="AI150" s="224">
        <f t="shared" si="68"/>
        <v>2.0135706546814061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10">
        <f>'2025'!Wh/'2025'!Env_an*'2026'!Env_an</f>
        <v>52.740967716738218</v>
      </c>
      <c r="C151" s="843"/>
      <c r="D151" s="392">
        <f t="shared" si="50"/>
        <v>56.138938551540321</v>
      </c>
      <c r="E151" s="384">
        <f t="shared" si="72"/>
        <v>56.553595753206253</v>
      </c>
      <c r="F151" s="384">
        <f t="shared" si="51"/>
        <v>56.557254520904436</v>
      </c>
      <c r="G151" s="110">
        <f t="shared" si="73"/>
        <v>0.93481434246042772</v>
      </c>
      <c r="H151" s="413" t="b">
        <f>Wh_hp&gt;='2025'!Maxi_hp</f>
        <v>0</v>
      </c>
      <c r="I151" s="389">
        <f>IF(H151,Wh_hp,'2025'!Maxi_hp)</f>
        <v>56.920827652240035</v>
      </c>
      <c r="J151" s="85">
        <f>IF(H151,An,'2025'!An_max)</f>
        <v>2021</v>
      </c>
      <c r="K151" s="196">
        <f t="shared" si="52"/>
        <v>46159</v>
      </c>
      <c r="L151" s="147">
        <f>IF(t&lt;Tvie,1-EXP((T0-t)*PertePVj)+'2025'!Pspv,1-EXP((T0-t)*PertePVj)+Pspv)</f>
        <v>6.0527878197812225E-2</v>
      </c>
      <c r="M151" s="847"/>
      <c r="N151" s="847"/>
      <c r="O151" s="48">
        <f>IF(t&lt;Tnet,'2025'!Resal+('2025'!Salim-'2025'!Resal)*(1-EXP(('2025'!Tnet-t)/('2025'!Tau_j))),Resal+(Salim-Resal)*(1-EXP((Tnet-t)/(Tau_j))))*Salcycl</f>
        <v>7.3321102954347333E-3</v>
      </c>
      <c r="P151" s="168">
        <f>(INDEX(Models!$BJ151:$BT151,,T151)*(1-R151)+INDEX(Models!$BJ151:$BT151,,T151+1)*R151-ERP_i)*Q151*Ramure*Pc/MaxiM</f>
        <v>7.1333507440189114E-5</v>
      </c>
      <c r="Q151" s="304">
        <f t="shared" si="53"/>
        <v>0.5</v>
      </c>
      <c r="R151" s="176">
        <f t="shared" si="54"/>
        <v>0.90099854987300276</v>
      </c>
      <c r="S151" s="814">
        <f t="shared" si="55"/>
        <v>-1</v>
      </c>
      <c r="T151" s="175">
        <f t="shared" si="56"/>
        <v>5</v>
      </c>
      <c r="U151" s="250">
        <f t="shared" si="57"/>
        <v>-9.9001450126997251E-2</v>
      </c>
      <c r="V151" s="382">
        <f t="shared" si="58"/>
        <v>56.418280065995994</v>
      </c>
      <c r="W151" s="401">
        <f t="shared" si="59"/>
        <v>52.740967716738218</v>
      </c>
      <c r="X151" s="157">
        <f t="shared" si="60"/>
        <v>46159</v>
      </c>
      <c r="Y151" s="384">
        <f t="shared" si="61"/>
        <v>50.01441161616664</v>
      </c>
      <c r="Z151" s="384">
        <f t="shared" si="62"/>
        <v>53.236717147310429</v>
      </c>
      <c r="AA151" s="385">
        <f t="shared" si="63"/>
        <v>56.527432776054837</v>
      </c>
      <c r="AB151" s="196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5.8214489268975989E-2</v>
      </c>
      <c r="AD151" s="230">
        <f>(INDEX(Models!$BJ151:$BT151,,AH151)*(1-AF151)+INDEX(Models!$BJ151:$BT151,,AH151+1)*AF151-ERP_i)*AE151*Ramure*Pc/MaxiM</f>
        <v>5.8142244427353349E-4</v>
      </c>
      <c r="AE151" s="304">
        <f t="shared" si="65"/>
        <v>0.5</v>
      </c>
      <c r="AF151" s="176">
        <f t="shared" si="66"/>
        <v>1.5991089697390048E-2</v>
      </c>
      <c r="AG151" s="814">
        <f t="shared" si="74"/>
        <v>2</v>
      </c>
      <c r="AH151" s="175">
        <f t="shared" si="67"/>
        <v>8</v>
      </c>
      <c r="AI151" s="224">
        <f t="shared" si="68"/>
        <v>2.01599108969739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10">
        <f>'2025'!Wh/'2025'!Env_an*'2026'!Env_an</f>
        <v>51.289421174404183</v>
      </c>
      <c r="C152" s="843"/>
      <c r="D152" s="392">
        <f t="shared" si="50"/>
        <v>54.595066680228335</v>
      </c>
      <c r="E152" s="384">
        <f t="shared" si="72"/>
        <v>55.004134875360165</v>
      </c>
      <c r="F152" s="384">
        <f t="shared" si="51"/>
        <v>55.007711392673436</v>
      </c>
      <c r="G152" s="110">
        <f t="shared" si="73"/>
        <v>0.90904297036720882</v>
      </c>
      <c r="H152" s="413" t="b">
        <f>Wh_hp&gt;='2025'!Maxi_hp</f>
        <v>0</v>
      </c>
      <c r="I152" s="389">
        <f>IF(H152,Wh_hp,'2025'!Maxi_hp)</f>
        <v>62.196197916934416</v>
      </c>
      <c r="J152" s="85">
        <f>IF(H152,An,'2025'!An_max)</f>
        <v>2020</v>
      </c>
      <c r="K152" s="196">
        <f t="shared" si="52"/>
        <v>46160</v>
      </c>
      <c r="L152" s="147">
        <f>IF(t&lt;Tvie,1-EXP((T0-t)*PertePVj)+'2025'!Pspv,1-EXP((T0-t)*PertePVj)+Pspv)</f>
        <v>6.054842876529163E-2</v>
      </c>
      <c r="M152" s="847"/>
      <c r="N152" s="847"/>
      <c r="O152" s="48">
        <f>IF(t&lt;Tnet,'2025'!Resal+('2025'!Salim-'2025'!Resal)*(1-EXP(('2025'!Tnet-t)/('2025'!Tau_j))),Resal+(Salim-Resal)*(1-EXP((Tnet-t)/(Tau_j))))*Salcycl</f>
        <v>7.4370444341827022E-3</v>
      </c>
      <c r="P152" s="168">
        <f>(INDEX(Models!$BJ152:$BT152,,T152)*(1-R152)+INDEX(Models!$BJ152:$BT152,,T152+1)*R152-ERP_i)*Q152*Ramure*Pc/MaxiM</f>
        <v>7.4727519479673272E-5</v>
      </c>
      <c r="Q152" s="304">
        <f t="shared" si="53"/>
        <v>0.5</v>
      </c>
      <c r="R152" s="176">
        <f t="shared" si="54"/>
        <v>0.90346483800737698</v>
      </c>
      <c r="S152" s="814">
        <f t="shared" si="55"/>
        <v>-1</v>
      </c>
      <c r="T152" s="175">
        <f t="shared" si="56"/>
        <v>5</v>
      </c>
      <c r="U152" s="250">
        <f t="shared" si="57"/>
        <v>-9.6535161992622992E-2</v>
      </c>
      <c r="V152" s="382">
        <f t="shared" si="58"/>
        <v>56.420790702394889</v>
      </c>
      <c r="W152" s="401">
        <f t="shared" si="59"/>
        <v>51.289421174404183</v>
      </c>
      <c r="X152" s="157">
        <f t="shared" si="60"/>
        <v>46160</v>
      </c>
      <c r="Y152" s="384">
        <f t="shared" si="61"/>
        <v>48.638695676997152</v>
      </c>
      <c r="Z152" s="384">
        <f t="shared" si="62"/>
        <v>51.773499737801259</v>
      </c>
      <c r="AA152" s="385">
        <f t="shared" si="63"/>
        <v>54.978792445035197</v>
      </c>
      <c r="AB152" s="196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5.8300529434843686E-2</v>
      </c>
      <c r="AD152" s="230">
        <f>(INDEX(Models!$BJ152:$BT152,,AH152)*(1-AF152)+INDEX(Models!$BJ152:$BT152,,AH152+1)*AF152-ERP_i)*AE152*Ramure*Pc/MaxiM</f>
        <v>6.0423060583223668E-4</v>
      </c>
      <c r="AE152" s="304">
        <f t="shared" si="65"/>
        <v>0.5</v>
      </c>
      <c r="AF152" s="176">
        <f t="shared" si="66"/>
        <v>1.8457377831764266E-2</v>
      </c>
      <c r="AG152" s="814">
        <f t="shared" si="74"/>
        <v>2</v>
      </c>
      <c r="AH152" s="175">
        <f t="shared" si="67"/>
        <v>8</v>
      </c>
      <c r="AI152" s="224">
        <f t="shared" si="68"/>
        <v>2.0184573778317643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10">
        <f>'2025'!Wh/'2025'!Env_an*'2026'!Env_an</f>
        <v>52.78226235819772</v>
      </c>
      <c r="C153" s="843"/>
      <c r="D153" s="392">
        <f t="shared" si="50"/>
        <v>56.18535174133342</v>
      </c>
      <c r="E153" s="384">
        <f t="shared" si="72"/>
        <v>56.612324697177776</v>
      </c>
      <c r="F153" s="384">
        <f t="shared" si="51"/>
        <v>56.616344269577162</v>
      </c>
      <c r="G153" s="110">
        <f t="shared" si="73"/>
        <v>0.93550956282092024</v>
      </c>
      <c r="H153" s="413" t="b">
        <f>Wh_hp&gt;='2025'!Maxi_hp</f>
        <v>0</v>
      </c>
      <c r="I153" s="389">
        <f>IF(H153,Wh_hp,'2025'!Maxi_hp)</f>
        <v>60.966167385308943</v>
      </c>
      <c r="J153" s="85">
        <f>IF(H153,An,'2025'!An_max)</f>
        <v>2020</v>
      </c>
      <c r="K153" s="196">
        <f t="shared" si="52"/>
        <v>46161</v>
      </c>
      <c r="L153" s="147">
        <f>IF(t&lt;Tvie,1-EXP((T0-t)*PertePVj)+'2025'!Pspv,1-EXP((T0-t)*PertePVj)+Pspv)</f>
        <v>6.0568978882660864E-2</v>
      </c>
      <c r="M153" s="847"/>
      <c r="N153" s="847"/>
      <c r="O153" s="48">
        <f>IF(t&lt;Tnet,'2025'!Resal+('2025'!Salim-'2025'!Resal)*(1-EXP(('2025'!Tnet-t)/('2025'!Tau_j))),Resal+(Salim-Resal)*(1-EXP((Tnet-t)/(Tau_j))))*Salcycl</f>
        <v>7.5420495118025148E-3</v>
      </c>
      <c r="P153" s="168">
        <f>(INDEX(Models!$BJ153:$BT153,,T153)*(1-R153)+INDEX(Models!$BJ153:$BT153,,T153+1)*R153-ERP_i)*Q153*Ramure*Pc/MaxiM</f>
        <v>7.8200472342324437E-5</v>
      </c>
      <c r="Q153" s="304">
        <f t="shared" si="53"/>
        <v>0.5</v>
      </c>
      <c r="R153" s="176">
        <f t="shared" si="54"/>
        <v>0.90597615346775484</v>
      </c>
      <c r="S153" s="814">
        <f t="shared" si="55"/>
        <v>-1</v>
      </c>
      <c r="T153" s="175">
        <f t="shared" si="56"/>
        <v>5</v>
      </c>
      <c r="U153" s="250">
        <f t="shared" si="57"/>
        <v>-9.4023846532245103E-2</v>
      </c>
      <c r="V153" s="382">
        <f t="shared" si="58"/>
        <v>56.420462383637549</v>
      </c>
      <c r="W153" s="401">
        <f t="shared" si="59"/>
        <v>52.78226235819772</v>
      </c>
      <c r="X153" s="157">
        <f t="shared" si="60"/>
        <v>46161</v>
      </c>
      <c r="Y153" s="384">
        <f t="shared" si="61"/>
        <v>50.053195932635106</v>
      </c>
      <c r="Z153" s="384">
        <f t="shared" si="62"/>
        <v>53.280331187172109</v>
      </c>
      <c r="AA153" s="385">
        <f t="shared" si="63"/>
        <v>56.584101044808357</v>
      </c>
      <c r="AB153" s="196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5.8386893078323024E-2</v>
      </c>
      <c r="AD153" s="230">
        <f>(INDEX(Models!$BJ153:$BT153,,AH153)*(1-AF153)+INDEX(Models!$BJ153:$BT153,,AH153+1)*AF153-ERP_i)*AE153*Ramure*Pc/MaxiM</f>
        <v>6.272894617212275E-4</v>
      </c>
      <c r="AE153" s="304">
        <f t="shared" si="65"/>
        <v>0.5</v>
      </c>
      <c r="AF153" s="176">
        <f t="shared" si="66"/>
        <v>2.0968693292142238E-2</v>
      </c>
      <c r="AG153" s="814">
        <f t="shared" si="74"/>
        <v>2</v>
      </c>
      <c r="AH153" s="175">
        <f t="shared" si="67"/>
        <v>8</v>
      </c>
      <c r="AI153" s="224">
        <f t="shared" si="68"/>
        <v>2.0209686932921422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10">
        <f>'2025'!Wh/'2025'!Env_an*'2026'!Env_an</f>
        <v>47.018255492226217</v>
      </c>
      <c r="C154" s="843"/>
      <c r="D154" s="392">
        <f t="shared" si="50"/>
        <v>50.050810504218703</v>
      </c>
      <c r="E154" s="384">
        <f t="shared" si="72"/>
        <v>50.436504577903555</v>
      </c>
      <c r="F154" s="384">
        <f t="shared" si="51"/>
        <v>50.439646792473553</v>
      </c>
      <c r="G154" s="110">
        <f t="shared" si="73"/>
        <v>0.83338521356433537</v>
      </c>
      <c r="H154" s="413" t="b">
        <f>Wh_hp&gt;='2025'!Maxi_hp</f>
        <v>0</v>
      </c>
      <c r="I154" s="389">
        <f>IF(H154,Wh_hp,'2025'!Maxi_hp)</f>
        <v>61.160542885736888</v>
      </c>
      <c r="J154" s="85">
        <f>IF(H154,An,'2025'!An_max)</f>
        <v>2021</v>
      </c>
      <c r="K154" s="196">
        <f t="shared" si="52"/>
        <v>46162</v>
      </c>
      <c r="L154" s="147">
        <f>IF(t&lt;Tvie,1-EXP((T0-t)*PertePVj)+'2025'!Pspv,1-EXP((T0-t)*PertePVj)+Pspv)</f>
        <v>6.0589528549929807E-2</v>
      </c>
      <c r="M154" s="847"/>
      <c r="N154" s="847"/>
      <c r="O154" s="48">
        <f>IF(t&lt;Tnet,'2025'!Resal+('2025'!Salim-'2025'!Resal)*(1-EXP(('2025'!Tnet-t)/('2025'!Tau_j))),Resal+(Salim-Resal)*(1-EXP((Tnet-t)/(Tau_j))))*Salcycl</f>
        <v>7.6471214036871729E-3</v>
      </c>
      <c r="P154" s="168">
        <f>(INDEX(Models!$BJ154:$BT154,,T154)*(1-R154)+INDEX(Models!$BJ154:$BT154,,T154+1)*R154-ERP_i)*Q154*Ramure*Pc/MaxiM</f>
        <v>8.175374676749722E-5</v>
      </c>
      <c r="Q154" s="304">
        <f t="shared" si="53"/>
        <v>0.5</v>
      </c>
      <c r="R154" s="176">
        <f t="shared" si="54"/>
        <v>0.90853156265235135</v>
      </c>
      <c r="S154" s="814">
        <f t="shared" si="55"/>
        <v>-1</v>
      </c>
      <c r="T154" s="175">
        <f t="shared" si="56"/>
        <v>5</v>
      </c>
      <c r="U154" s="250">
        <f t="shared" si="57"/>
        <v>-9.1468437347648701E-2</v>
      </c>
      <c r="V154" s="382">
        <f t="shared" si="58"/>
        <v>56.417296377720966</v>
      </c>
      <c r="W154" s="401">
        <f t="shared" si="59"/>
        <v>47.018255492226217</v>
      </c>
      <c r="X154" s="157">
        <f t="shared" si="60"/>
        <v>46162</v>
      </c>
      <c r="Y154" s="384">
        <f t="shared" si="61"/>
        <v>44.590732439622869</v>
      </c>
      <c r="Z154" s="384">
        <f t="shared" si="62"/>
        <v>47.466718537630094</v>
      </c>
      <c r="AA154" s="385">
        <f t="shared" si="63"/>
        <v>50.414640963057593</v>
      </c>
      <c r="AB154" s="196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5.8473538026139041E-2</v>
      </c>
      <c r="AD154" s="230">
        <f>(INDEX(Models!$BJ154:$BT154,,AH154)*(1-AF154)+INDEX(Models!$BJ154:$BT154,,AH154+1)*AF154-ERP_i)*AE154*Ramure*Pc/MaxiM</f>
        <v>6.5059855087673405E-4</v>
      </c>
      <c r="AE154" s="304">
        <f t="shared" si="65"/>
        <v>0.5</v>
      </c>
      <c r="AF154" s="176">
        <f t="shared" si="66"/>
        <v>2.3524102476738751E-2</v>
      </c>
      <c r="AG154" s="814">
        <f t="shared" si="74"/>
        <v>2</v>
      </c>
      <c r="AH154" s="175">
        <f t="shared" si="67"/>
        <v>8</v>
      </c>
      <c r="AI154" s="224">
        <f t="shared" si="68"/>
        <v>2.0235241024767388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10">
        <f>'2025'!Wh/'2025'!Env_an*'2026'!Env_an</f>
        <v>48.119676153480718</v>
      </c>
      <c r="C155" s="843"/>
      <c r="D155" s="392">
        <f t="shared" si="50"/>
        <v>51.224390441726477</v>
      </c>
      <c r="E155" s="384">
        <f t="shared" si="72"/>
        <v>51.624597512165849</v>
      </c>
      <c r="F155" s="384">
        <f t="shared" si="51"/>
        <v>51.628080281043033</v>
      </c>
      <c r="G155" s="110">
        <f t="shared" si="73"/>
        <v>0.85299963743507545</v>
      </c>
      <c r="H155" s="413" t="b">
        <f>Wh_hp&gt;='2025'!Maxi_hp</f>
        <v>0</v>
      </c>
      <c r="I155" s="389">
        <f>IF(H155,Wh_hp,'2025'!Maxi_hp)</f>
        <v>59.215074303893267</v>
      </c>
      <c r="J155" s="85">
        <f>IF(H155,An,'2025'!An_max)</f>
        <v>2020</v>
      </c>
      <c r="K155" s="196">
        <f t="shared" si="52"/>
        <v>46163</v>
      </c>
      <c r="L155" s="147">
        <f>IF(t&lt;Tvie,1-EXP((T0-t)*PertePVj)+'2025'!Pspv,1-EXP((T0-t)*PertePVj)+Pspv)</f>
        <v>6.0610077767108229E-2</v>
      </c>
      <c r="M155" s="847"/>
      <c r="N155" s="847"/>
      <c r="O155" s="48">
        <f>IF(t&lt;Tnet,'2025'!Resal+('2025'!Salim-'2025'!Resal)*(1-EXP(('2025'!Tnet-t)/('2025'!Tau_j))),Resal+(Salim-Resal)*(1-EXP((Tnet-t)/(Tau_j))))*Salcycl</f>
        <v>7.7522555085307102E-3</v>
      </c>
      <c r="P155" s="168">
        <f>(INDEX(Models!$BJ155:$BT155,,T155)*(1-R155)+INDEX(Models!$BJ155:$BT155,,T155+1)*R155-ERP_i)*Q155*Ramure*Pc/MaxiM</f>
        <v>8.5388593420044294E-5</v>
      </c>
      <c r="Q155" s="304">
        <f t="shared" si="53"/>
        <v>0.5</v>
      </c>
      <c r="R155" s="176">
        <f t="shared" si="54"/>
        <v>0.91113002316491698</v>
      </c>
      <c r="S155" s="814">
        <f t="shared" si="55"/>
        <v>-1</v>
      </c>
      <c r="T155" s="175">
        <f t="shared" si="56"/>
        <v>5</v>
      </c>
      <c r="U155" s="250">
        <f t="shared" si="57"/>
        <v>-8.8869976835082978E-2</v>
      </c>
      <c r="V155" s="382">
        <f t="shared" si="58"/>
        <v>56.411293989070849</v>
      </c>
      <c r="W155" s="401">
        <f t="shared" si="59"/>
        <v>48.119676153480718</v>
      </c>
      <c r="X155" s="157">
        <f t="shared" si="60"/>
        <v>46163</v>
      </c>
      <c r="Y155" s="384">
        <f t="shared" si="61"/>
        <v>45.634464654639856</v>
      </c>
      <c r="Z155" s="384">
        <f t="shared" si="62"/>
        <v>48.578831403863248</v>
      </c>
      <c r="AA155" s="385">
        <f t="shared" si="63"/>
        <v>51.600583262952661</v>
      </c>
      <c r="AB155" s="196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5.8560420600108215E-2</v>
      </c>
      <c r="AD155" s="230">
        <f>(INDEX(Models!$BJ155:$BT155,,AH155)*(1-AF155)+INDEX(Models!$BJ155:$BT155,,AH155+1)*AF155-ERP_i)*AE155*Ramure*Pc/MaxiM</f>
        <v>6.7415662100444066E-4</v>
      </c>
      <c r="AE155" s="304">
        <f t="shared" si="65"/>
        <v>0.5</v>
      </c>
      <c r="AF155" s="176">
        <f t="shared" si="66"/>
        <v>2.6122562989304488E-2</v>
      </c>
      <c r="AG155" s="814">
        <f t="shared" si="74"/>
        <v>2</v>
      </c>
      <c r="AH155" s="175">
        <f t="shared" si="67"/>
        <v>8</v>
      </c>
      <c r="AI155" s="224">
        <f t="shared" si="68"/>
        <v>2.0261225629893045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10">
        <f>'2025'!Wh/'2025'!Env_an*'2026'!Env_an</f>
        <v>34.808482585180748</v>
      </c>
      <c r="C156" s="843"/>
      <c r="D156" s="392">
        <f t="shared" si="50"/>
        <v>37.055160162136438</v>
      </c>
      <c r="E156" s="384">
        <f t="shared" si="72"/>
        <v>37.348624994305638</v>
      </c>
      <c r="F156" s="384">
        <f t="shared" si="51"/>
        <v>37.350132451272074</v>
      </c>
      <c r="G156" s="110">
        <f t="shared" si="73"/>
        <v>0.61711471211362223</v>
      </c>
      <c r="H156" s="413" t="b">
        <f>Wh_hp&gt;='2025'!Maxi_hp</f>
        <v>0</v>
      </c>
      <c r="I156" s="389">
        <f>IF(H156,Wh_hp,'2025'!Maxi_hp)</f>
        <v>59.915343833320051</v>
      </c>
      <c r="J156" s="85">
        <f>IF(H156,An,'2025'!An_max)</f>
        <v>2019</v>
      </c>
      <c r="K156" s="196">
        <f t="shared" si="52"/>
        <v>46164</v>
      </c>
      <c r="L156" s="147">
        <f>IF(t&lt;Tvie,1-EXP((T0-t)*PertePVj)+'2025'!Pspv,1-EXP((T0-t)*PertePVj)+Pspv)</f>
        <v>6.0630626534206124E-2</v>
      </c>
      <c r="M156" s="847"/>
      <c r="N156" s="847"/>
      <c r="O156" s="48">
        <f>IF(t&lt;Tnet,'2025'!Resal+('2025'!Salim-'2025'!Resal)*(1-EXP(('2025'!Tnet-t)/('2025'!Tau_j))),Resal+(Salim-Resal)*(1-EXP((Tnet-t)/(Tau_j))))*Salcycl</f>
        <v>7.8574467524291178E-3</v>
      </c>
      <c r="P156" s="168">
        <f>(INDEX(Models!$BJ156:$BT156,,T156)*(1-R156)+INDEX(Models!$BJ156:$BT156,,T156+1)*R156-ERP_i)*Q156*Ramure*Pc/MaxiM</f>
        <v>8.9082674312879851E-5</v>
      </c>
      <c r="Q156" s="304">
        <f t="shared" si="53"/>
        <v>0.5</v>
      </c>
      <c r="R156" s="176">
        <f t="shared" si="54"/>
        <v>0.91377038331225036</v>
      </c>
      <c r="S156" s="814">
        <f t="shared" si="55"/>
        <v>-1</v>
      </c>
      <c r="T156" s="175">
        <f t="shared" si="56"/>
        <v>5</v>
      </c>
      <c r="U156" s="250">
        <f t="shared" si="57"/>
        <v>-8.622961668774963E-2</v>
      </c>
      <c r="V156" s="382">
        <f t="shared" si="58"/>
        <v>56.402457884034732</v>
      </c>
      <c r="W156" s="401">
        <f t="shared" si="59"/>
        <v>34.808482585180748</v>
      </c>
      <c r="X156" s="157">
        <f t="shared" si="60"/>
        <v>46164</v>
      </c>
      <c r="Y156" s="384">
        <f t="shared" si="61"/>
        <v>33.017448876957282</v>
      </c>
      <c r="Z156" s="384">
        <f t="shared" si="62"/>
        <v>35.148526032033317</v>
      </c>
      <c r="AA156" s="385">
        <f t="shared" si="63"/>
        <v>37.338325305737257</v>
      </c>
      <c r="AB156" s="196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5.864749572384978E-2</v>
      </c>
      <c r="AD156" s="230">
        <f>(INDEX(Models!$BJ156:$BT156,,AH156)*(1-AF156)+INDEX(Models!$BJ156:$BT156,,AH156+1)*AF156-ERP_i)*AE156*Ramure*Pc/MaxiM</f>
        <v>6.9773938736496439E-4</v>
      </c>
      <c r="AE156" s="304">
        <f t="shared" si="65"/>
        <v>0.5</v>
      </c>
      <c r="AF156" s="176">
        <f t="shared" si="66"/>
        <v>2.8762923136637752E-2</v>
      </c>
      <c r="AG156" s="814">
        <f t="shared" si="74"/>
        <v>2</v>
      </c>
      <c r="AH156" s="175">
        <f t="shared" si="67"/>
        <v>8</v>
      </c>
      <c r="AI156" s="224">
        <f t="shared" si="68"/>
        <v>2.0287629231366378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10">
        <f>'2025'!Wh/'2025'!Env_an*'2026'!Env_an</f>
        <v>16.841462515060059</v>
      </c>
      <c r="C157" s="843"/>
      <c r="D157" s="392">
        <f t="shared" si="50"/>
        <v>17.928869514892767</v>
      </c>
      <c r="E157" s="384">
        <f t="shared" si="72"/>
        <v>18.072777431710449</v>
      </c>
      <c r="F157" s="384">
        <f t="shared" si="51"/>
        <v>18.072777431710449</v>
      </c>
      <c r="G157" s="110">
        <f t="shared" si="73"/>
        <v>0.2986285379642889</v>
      </c>
      <c r="H157" s="413" t="b">
        <f>Wh_hp&gt;='2025'!Maxi_hp</f>
        <v>0</v>
      </c>
      <c r="I157" s="389">
        <f>IF(H157,Wh_hp,'2025'!Maxi_hp)</f>
        <v>55.585260349029333</v>
      </c>
      <c r="J157" s="85">
        <f>IF(H157,An,'2025'!An_max)</f>
        <v>2020</v>
      </c>
      <c r="K157" s="196">
        <f t="shared" si="52"/>
        <v>46165</v>
      </c>
      <c r="L157" s="147">
        <f>IF(t&lt;Tvie,1-EXP((T0-t)*PertePVj)+'2025'!Pspv,1-EXP((T0-t)*PertePVj)+Pspv)</f>
        <v>6.065117485123326E-2</v>
      </c>
      <c r="M157" s="847"/>
      <c r="N157" s="847"/>
      <c r="O157" s="48">
        <f>IF(t&lt;Tnet,'2025'!Resal+('2025'!Salim-'2025'!Resal)*(1-EXP(('2025'!Tnet-t)/('2025'!Tau_j))),Resal+(Salim-Resal)*(1-EXP((Tnet-t)/(Tau_j))))*Salcycl</f>
        <v>7.9626895955228864E-3</v>
      </c>
      <c r="P157" s="168">
        <f>(INDEX(Models!$BJ157:$BT157,,T157)*(1-R157)+INDEX(Models!$BJ157:$BT157,,T157+1)*R157-ERP_i)*Q157*Ramure*Pc/MaxiM</f>
        <v>9.2839307529092723E-5</v>
      </c>
      <c r="Q157" s="304">
        <f t="shared" si="53"/>
        <v>0.5</v>
      </c>
      <c r="R157" s="176">
        <f t="shared" si="54"/>
        <v>0.91645138211131383</v>
      </c>
      <c r="S157" s="814">
        <f t="shared" si="55"/>
        <v>-1</v>
      </c>
      <c r="T157" s="175">
        <f t="shared" si="56"/>
        <v>5</v>
      </c>
      <c r="U157" s="250">
        <f t="shared" si="57"/>
        <v>-8.3548617888686227E-2</v>
      </c>
      <c r="V157" s="382">
        <f t="shared" si="58"/>
        <v>56.390789306801487</v>
      </c>
      <c r="W157" s="401">
        <f t="shared" si="59"/>
        <v>16.841462515060059</v>
      </c>
      <c r="X157" s="157">
        <f t="shared" si="60"/>
        <v>46165</v>
      </c>
      <c r="Y157" s="384">
        <f t="shared" si="61"/>
        <v>15.979523968945095</v>
      </c>
      <c r="Z157" s="384">
        <f t="shared" si="62"/>
        <v>17.011277963129814</v>
      </c>
      <c r="AA157" s="385">
        <f t="shared" si="63"/>
        <v>18.072777431710449</v>
      </c>
      <c r="AB157" s="196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5.8734717040122959E-2</v>
      </c>
      <c r="AD157" s="230">
        <f>(INDEX(Models!$BJ157:$BT157,,AH157)*(1-AF157)+INDEX(Models!$BJ157:$BT157,,AH157+1)*AF157-ERP_i)*AE157*Ramure*Pc/MaxiM</f>
        <v>7.2138687551973068E-4</v>
      </c>
      <c r="AE157" s="304">
        <f t="shared" si="65"/>
        <v>0.5</v>
      </c>
      <c r="AF157" s="176">
        <f t="shared" si="66"/>
        <v>3.1443921935701002E-2</v>
      </c>
      <c r="AG157" s="814">
        <f t="shared" si="74"/>
        <v>2</v>
      </c>
      <c r="AH157" s="175">
        <f t="shared" si="67"/>
        <v>8</v>
      </c>
      <c r="AI157" s="224">
        <f t="shared" si="68"/>
        <v>2.031443921935701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10">
        <f>'2025'!Wh/'2025'!Env_an*'2026'!Env_an</f>
        <v>13.795219571443269</v>
      </c>
      <c r="C158" s="843"/>
      <c r="D158" s="392">
        <f t="shared" si="50"/>
        <v>14.686260283107259</v>
      </c>
      <c r="E158" s="384">
        <f t="shared" si="72"/>
        <v>14.805712446006597</v>
      </c>
      <c r="F158" s="384">
        <f t="shared" si="51"/>
        <v>14.805712446006597</v>
      </c>
      <c r="G158" s="110">
        <f t="shared" si="73"/>
        <v>0.24467530968748594</v>
      </c>
      <c r="H158" s="413" t="b">
        <f>Wh_hp&gt;='2025'!Maxi_hp</f>
        <v>0</v>
      </c>
      <c r="I158" s="389">
        <f>IF(H158,Wh_hp,'2025'!Maxi_hp)</f>
        <v>26.001334753599281</v>
      </c>
      <c r="J158" s="85">
        <f>IF(H158,An,'2025'!An_max)</f>
        <v>2021</v>
      </c>
      <c r="K158" s="196">
        <f t="shared" si="52"/>
        <v>46166</v>
      </c>
      <c r="L158" s="147">
        <f>IF(t&lt;Tvie,1-EXP((T0-t)*PertePVj)+'2025'!Pspv,1-EXP((T0-t)*PertePVj)+Pspv)</f>
        <v>6.0671722718199518E-2</v>
      </c>
      <c r="M158" s="847"/>
      <c r="N158" s="847"/>
      <c r="O158" s="48">
        <f>IF(t&lt;Tnet,'2025'!Resal+('2025'!Salim-'2025'!Resal)*(1-EXP(('2025'!Tnet-t)/('2025'!Tau_j))),Resal+(Salim-Resal)*(1-EXP((Tnet-t)/(Tau_j))))*Salcycl</f>
        <v>8.0679780412428355E-3</v>
      </c>
      <c r="P158" s="168">
        <f>(INDEX(Models!$BJ158:$BT158,,T158)*(1-R158)+INDEX(Models!$BJ158:$BT158,,T158+1)*R158-ERP_i)*Q158*Ramure*Pc/MaxiM</f>
        <v>9.6657950735503325E-5</v>
      </c>
      <c r="Q158" s="304">
        <f t="shared" si="53"/>
        <v>0.5</v>
      </c>
      <c r="R158" s="176">
        <f t="shared" si="54"/>
        <v>0.91917164982981148</v>
      </c>
      <c r="S158" s="814">
        <f t="shared" si="55"/>
        <v>-1</v>
      </c>
      <c r="T158" s="175">
        <f t="shared" si="56"/>
        <v>5</v>
      </c>
      <c r="U158" s="250">
        <f t="shared" si="57"/>
        <v>-8.0828350170188523E-2</v>
      </c>
      <c r="V158" s="382">
        <f t="shared" si="58"/>
        <v>56.376289750722833</v>
      </c>
      <c r="W158" s="401">
        <f t="shared" si="59"/>
        <v>13.795219571443269</v>
      </c>
      <c r="X158" s="157">
        <f t="shared" si="60"/>
        <v>46166</v>
      </c>
      <c r="Y158" s="384">
        <f t="shared" si="61"/>
        <v>13.089361334680337</v>
      </c>
      <c r="Z158" s="384">
        <f t="shared" si="62"/>
        <v>13.934810280126914</v>
      </c>
      <c r="AA158" s="385">
        <f t="shared" si="63"/>
        <v>14.805712446006597</v>
      </c>
      <c r="AB158" s="196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5.8822037038452894E-2</v>
      </c>
      <c r="AD158" s="230">
        <f>(INDEX(Models!$BJ158:$BT158,,AH158)*(1-AF158)+INDEX(Models!$BJ158:$BT158,,AH158+1)*AF158-ERP_i)*AE158*Ramure*Pc/MaxiM</f>
        <v>7.4508746931068771E-4</v>
      </c>
      <c r="AE158" s="304">
        <f t="shared" si="65"/>
        <v>0.5</v>
      </c>
      <c r="AF158" s="176">
        <f t="shared" si="66"/>
        <v>3.4164189654198651E-2</v>
      </c>
      <c r="AG158" s="814">
        <f t="shared" si="74"/>
        <v>2</v>
      </c>
      <c r="AH158" s="175">
        <f t="shared" si="67"/>
        <v>8</v>
      </c>
      <c r="AI158" s="224">
        <f t="shared" si="68"/>
        <v>2.0341641896541987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10">
        <f>'2025'!Wh/'2025'!Env_an*'2026'!Env_an</f>
        <v>39.380444808760252</v>
      </c>
      <c r="C159" s="843"/>
      <c r="D159" s="392">
        <f t="shared" si="50"/>
        <v>41.924966181663308</v>
      </c>
      <c r="E159" s="384">
        <f t="shared" si="72"/>
        <v>42.270455534636625</v>
      </c>
      <c r="F159" s="384">
        <f t="shared" si="51"/>
        <v>42.272876502998898</v>
      </c>
      <c r="G159" s="110">
        <f t="shared" si="73"/>
        <v>0.69871304020791392</v>
      </c>
      <c r="H159" s="413" t="b">
        <f>Wh_hp&gt;='2025'!Maxi_hp</f>
        <v>0</v>
      </c>
      <c r="I159" s="389">
        <f>IF(H159,Wh_hp,'2025'!Maxi_hp)</f>
        <v>56.074384360716962</v>
      </c>
      <c r="J159" s="85">
        <f>IF(H159,An,'2025'!An_max)</f>
        <v>2020</v>
      </c>
      <c r="K159" s="196">
        <f t="shared" si="52"/>
        <v>46167</v>
      </c>
      <c r="L159" s="147">
        <f>IF(t&lt;Tvie,1-EXP((T0-t)*PertePVj)+'2025'!Pspv,1-EXP((T0-t)*PertePVj)+Pspv)</f>
        <v>6.0692270135114669E-2</v>
      </c>
      <c r="M159" s="847"/>
      <c r="N159" s="847"/>
      <c r="O159" s="48">
        <f>IF(t&lt;Tnet,'2025'!Resal+('2025'!Salim-'2025'!Resal)*(1-EXP(('2025'!Tnet-t)/('2025'!Tau_j))),Resal+(Salim-Resal)*(1-EXP((Tnet-t)/(Tau_j))))*Salcycl</f>
        <v>8.1733056482021192E-3</v>
      </c>
      <c r="P159" s="168">
        <f>(INDEX(Models!$BJ159:$BT159,,T159)*(1-R159)+INDEX(Models!$BJ159:$BT159,,T159+1)*R159-ERP_i)*Q159*Ramure*Pc/MaxiM</f>
        <v>1.0053840271284498E-4</v>
      </c>
      <c r="Q159" s="304">
        <f t="shared" si="53"/>
        <v>0.5</v>
      </c>
      <c r="R159" s="176">
        <f t="shared" si="54"/>
        <v>0.92192970908044169</v>
      </c>
      <c r="S159" s="814">
        <f t="shared" si="55"/>
        <v>-1</v>
      </c>
      <c r="T159" s="175">
        <f t="shared" si="56"/>
        <v>5</v>
      </c>
      <c r="U159" s="250">
        <f t="shared" si="57"/>
        <v>-7.8070290919558263E-2</v>
      </c>
      <c r="V159" s="382">
        <f t="shared" si="58"/>
        <v>56.35896071323242</v>
      </c>
      <c r="W159" s="401">
        <f t="shared" si="59"/>
        <v>39.380444808760252</v>
      </c>
      <c r="X159" s="157">
        <f t="shared" si="60"/>
        <v>46167</v>
      </c>
      <c r="Y159" s="384">
        <f t="shared" si="61"/>
        <v>37.351744245995008</v>
      </c>
      <c r="Z159" s="384">
        <f t="shared" si="62"/>
        <v>39.765183505269214</v>
      </c>
      <c r="AA159" s="385">
        <f t="shared" si="63"/>
        <v>42.254362979704965</v>
      </c>
      <c r="AB159" s="196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5.8909407192609127E-2</v>
      </c>
      <c r="AD159" s="230">
        <f>(INDEX(Models!$BJ159:$BT159,,AH159)*(1-AF159)+INDEX(Models!$BJ159:$BT159,,AH159+1)*AF159-ERP_i)*AE159*Ramure*Pc/MaxiM</f>
        <v>7.6883287264789893E-4</v>
      </c>
      <c r="AE159" s="304">
        <f t="shared" si="65"/>
        <v>0.5</v>
      </c>
      <c r="AF159" s="176">
        <f t="shared" si="66"/>
        <v>3.6922248904829313E-2</v>
      </c>
      <c r="AG159" s="814">
        <f t="shared" si="74"/>
        <v>2</v>
      </c>
      <c r="AH159" s="175">
        <f t="shared" si="67"/>
        <v>8</v>
      </c>
      <c r="AI159" s="224">
        <f t="shared" si="68"/>
        <v>2.0369222489048293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10">
        <f>'2025'!Wh/'2025'!Env_an*'2026'!Env_an</f>
        <v>21.147655384989068</v>
      </c>
      <c r="C160" s="843"/>
      <c r="D160" s="392">
        <f t="shared" si="50"/>
        <v>22.514578895606313</v>
      </c>
      <c r="E160" s="384">
        <f t="shared" si="72"/>
        <v>22.702525511335967</v>
      </c>
      <c r="F160" s="384">
        <f t="shared" si="51"/>
        <v>22.702780892693983</v>
      </c>
      <c r="G160" s="110">
        <f t="shared" si="73"/>
        <v>0.37533071946397434</v>
      </c>
      <c r="H160" s="413" t="b">
        <f>Wh_hp&gt;='2025'!Maxi_hp</f>
        <v>0</v>
      </c>
      <c r="I160" s="389">
        <f>IF(H160,Wh_hp,'2025'!Maxi_hp)</f>
        <v>59.949871504131856</v>
      </c>
      <c r="J160" s="85">
        <f>IF(H160,An,'2025'!An_max)</f>
        <v>2020</v>
      </c>
      <c r="K160" s="196">
        <f t="shared" si="52"/>
        <v>46168</v>
      </c>
      <c r="L160" s="147">
        <f>IF(t&lt;Tvie,1-EXP((T0-t)*PertePVj)+'2025'!Pspv,1-EXP((T0-t)*PertePVj)+Pspv)</f>
        <v>6.0712817101988815E-2</v>
      </c>
      <c r="M160" s="847"/>
      <c r="N160" s="847"/>
      <c r="O160" s="48">
        <f>IF(t&lt;Tnet,'2025'!Resal+('2025'!Salim-'2025'!Resal)*(1-EXP(('2025'!Tnet-t)/('2025'!Tau_j))),Resal+(Salim-Resal)*(1-EXP((Tnet-t)/(Tau_j))))*Salcycl</f>
        <v>8.2786655447565031E-3</v>
      </c>
      <c r="P160" s="168">
        <f>(INDEX(Models!$BJ160:$BT160,,T160)*(1-R160)+INDEX(Models!$BJ160:$BT160,,T160+1)*R160-ERP_i)*Q160*Ramure*Pc/MaxiM</f>
        <v>1.0448028448870998E-4</v>
      </c>
      <c r="Q160" s="304">
        <f t="shared" si="53"/>
        <v>0.5</v>
      </c>
      <c r="R160" s="176">
        <f t="shared" si="54"/>
        <v>0.92472397648494109</v>
      </c>
      <c r="S160" s="814">
        <f t="shared" si="55"/>
        <v>-1</v>
      </c>
      <c r="T160" s="175">
        <f t="shared" si="56"/>
        <v>5</v>
      </c>
      <c r="U160" s="250">
        <f t="shared" si="57"/>
        <v>-7.5276023515058868E-2</v>
      </c>
      <c r="V160" s="382">
        <f t="shared" si="58"/>
        <v>56.338803729846283</v>
      </c>
      <c r="W160" s="401">
        <f t="shared" si="59"/>
        <v>21.147655384989068</v>
      </c>
      <c r="X160" s="157">
        <f t="shared" si="60"/>
        <v>46168</v>
      </c>
      <c r="Y160" s="384">
        <f t="shared" si="61"/>
        <v>20.064645974675305</v>
      </c>
      <c r="Z160" s="384">
        <f t="shared" si="62"/>
        <v>21.361566877522215</v>
      </c>
      <c r="AA160" s="385">
        <f t="shared" si="63"/>
        <v>22.700843504614831</v>
      </c>
      <c r="AB160" s="196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5.8996778107401934E-2</v>
      </c>
      <c r="AD160" s="230">
        <f>(INDEX(Models!$BJ160:$BT160,,AH160)*(1-AF160)+INDEX(Models!$BJ160:$BT160,,AH160+1)*AF160-ERP_i)*AE160*Ramure*Pc/MaxiM</f>
        <v>7.9261407037110247E-4</v>
      </c>
      <c r="AE160" s="304">
        <f t="shared" si="65"/>
        <v>0.5</v>
      </c>
      <c r="AF160" s="176">
        <f t="shared" si="66"/>
        <v>3.9716516309328487E-2</v>
      </c>
      <c r="AG160" s="814">
        <f t="shared" si="74"/>
        <v>2</v>
      </c>
      <c r="AH160" s="175">
        <f t="shared" si="67"/>
        <v>8</v>
      </c>
      <c r="AI160" s="224">
        <f t="shared" si="68"/>
        <v>2.0397165163093285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10">
        <f>'2025'!Wh/'2025'!Env_an*'2026'!Env_an</f>
        <v>39.545040085963201</v>
      </c>
      <c r="C161" s="843"/>
      <c r="D161" s="392">
        <f t="shared" si="50"/>
        <v>42.102038499231043</v>
      </c>
      <c r="E161" s="384">
        <f t="shared" si="72"/>
        <v>42.458008585054777</v>
      </c>
      <c r="F161" s="384">
        <f t="shared" si="51"/>
        <v>42.460655219182321</v>
      </c>
      <c r="G161" s="110">
        <f t="shared" si="73"/>
        <v>0.70216885141566077</v>
      </c>
      <c r="H161" s="413" t="b">
        <f>Wh_hp&gt;='2025'!Maxi_hp</f>
        <v>0</v>
      </c>
      <c r="I161" s="389">
        <f>IF(H161,Wh_hp,'2025'!Maxi_hp)</f>
        <v>59.872524660282878</v>
      </c>
      <c r="J161" s="85">
        <f>IF(H161,An,'2025'!An_max)</f>
        <v>2021</v>
      </c>
      <c r="K161" s="196">
        <f t="shared" si="52"/>
        <v>46169</v>
      </c>
      <c r="L161" s="147">
        <f>IF(t&lt;Tvie,1-EXP((T0-t)*PertePVj)+'2025'!Pspv,1-EXP((T0-t)*PertePVj)+Pspv)</f>
        <v>6.0733363618831505E-2</v>
      </c>
      <c r="M161" s="847"/>
      <c r="N161" s="847"/>
      <c r="O161" s="48">
        <f>IF(t&lt;Tnet,'2025'!Resal+('2025'!Salim-'2025'!Resal)*(1-EXP(('2025'!Tnet-t)/('2025'!Tau_j))),Resal+(Salim-Resal)*(1-EXP((Tnet-t)/(Tau_j))))*Salcycl</f>
        <v>8.3840504462339878E-3</v>
      </c>
      <c r="P161" s="168">
        <f>(INDEX(Models!$BJ161:$BT161,,T161)*(1-R161)+INDEX(Models!$BJ161:$BT161,,T161+1)*R161-ERP_i)*Q161*Ramure*Pc/MaxiM</f>
        <v>1.0848303546835931E-4</v>
      </c>
      <c r="Q161" s="304">
        <f t="shared" si="53"/>
        <v>0.5</v>
      </c>
      <c r="R161" s="176">
        <f t="shared" si="54"/>
        <v>0.92755276491952665</v>
      </c>
      <c r="S161" s="814">
        <f t="shared" si="55"/>
        <v>-1</v>
      </c>
      <c r="T161" s="175">
        <f t="shared" si="56"/>
        <v>5</v>
      </c>
      <c r="U161" s="250">
        <f t="shared" si="57"/>
        <v>-7.2447235080473363E-2</v>
      </c>
      <c r="V161" s="382">
        <f t="shared" si="58"/>
        <v>56.31582037013019</v>
      </c>
      <c r="W161" s="401">
        <f t="shared" si="59"/>
        <v>39.545040085963201</v>
      </c>
      <c r="X161" s="157">
        <f t="shared" si="60"/>
        <v>46169</v>
      </c>
      <c r="Y161" s="384">
        <f t="shared" si="61"/>
        <v>37.507889044175428</v>
      </c>
      <c r="Z161" s="384">
        <f t="shared" si="62"/>
        <v>39.933164440596784</v>
      </c>
      <c r="AA161" s="385">
        <f t="shared" si="63"/>
        <v>42.440737186785931</v>
      </c>
      <c r="AB161" s="196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5.9084099674166016E-2</v>
      </c>
      <c r="AD161" s="230">
        <f>(INDEX(Models!$BJ161:$BT161,,AH161)*(1-AF161)+INDEX(Models!$BJ161:$BT161,,AH161+1)*AF161-ERP_i)*AE161*Ramure*Pc/MaxiM</f>
        <v>8.1642135285391981E-4</v>
      </c>
      <c r="AE161" s="304">
        <f t="shared" si="65"/>
        <v>0.5</v>
      </c>
      <c r="AF161" s="176">
        <f t="shared" si="66"/>
        <v>4.2545304743914159E-2</v>
      </c>
      <c r="AG161" s="814">
        <f t="shared" si="74"/>
        <v>2</v>
      </c>
      <c r="AH161" s="175">
        <f t="shared" si="67"/>
        <v>8</v>
      </c>
      <c r="AI161" s="224">
        <f t="shared" si="68"/>
        <v>2.0425453047439142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10">
        <f>'2025'!Wh/'2025'!Env_an*'2026'!Env_an</f>
        <v>51.180341774648134</v>
      </c>
      <c r="C162" s="843"/>
      <c r="D162" s="392">
        <f t="shared" si="50"/>
        <v>54.490875503691562</v>
      </c>
      <c r="E162" s="384">
        <f t="shared" si="72"/>
        <v>54.957434039095588</v>
      </c>
      <c r="F162" s="384">
        <f t="shared" si="51"/>
        <v>54.962817717214151</v>
      </c>
      <c r="G162" s="110">
        <f t="shared" si="73"/>
        <v>0.9092127130523302</v>
      </c>
      <c r="H162" s="413" t="b">
        <f>Wh_hp&gt;='2025'!Maxi_hp</f>
        <v>0</v>
      </c>
      <c r="I162" s="389">
        <f>IF(H162,Wh_hp,'2025'!Maxi_hp)</f>
        <v>58.893102499621982</v>
      </c>
      <c r="J162" s="85">
        <f>IF(H162,An,'2025'!An_max)</f>
        <v>2020</v>
      </c>
      <c r="K162" s="196">
        <f t="shared" si="52"/>
        <v>46170</v>
      </c>
      <c r="L162" s="147">
        <f>IF(t&lt;Tvie,1-EXP((T0-t)*PertePVj)+'2025'!Pspv,1-EXP((T0-t)*PertePVj)+Pspv)</f>
        <v>6.0753909685652842E-2</v>
      </c>
      <c r="M162" s="847"/>
      <c r="N162" s="847"/>
      <c r="O162" s="48">
        <f>IF(t&lt;Tnet,'2025'!Resal+('2025'!Salim-'2025'!Resal)*(1-EXP(('2025'!Tnet-t)/('2025'!Tau_j))),Resal+(Salim-Resal)*(1-EXP((Tnet-t)/(Tau_j))))*Salcycl</f>
        <v>8.4894526748123932E-3</v>
      </c>
      <c r="P162" s="168">
        <f>(INDEX(Models!$BJ162:$BT162,,T162)*(1-R162)+INDEX(Models!$BJ162:$BT162,,T162+1)*R162-ERP_i)*Q162*Ramure*Pc/MaxiM</f>
        <v>1.1254591048576701E-4</v>
      </c>
      <c r="Q162" s="304">
        <f t="shared" si="53"/>
        <v>0.5</v>
      </c>
      <c r="R162" s="176">
        <f t="shared" si="54"/>
        <v>0.93041428634845202</v>
      </c>
      <c r="S162" s="814">
        <f t="shared" si="55"/>
        <v>-1</v>
      </c>
      <c r="T162" s="175">
        <f t="shared" si="56"/>
        <v>5</v>
      </c>
      <c r="U162" s="250">
        <f t="shared" si="57"/>
        <v>-6.9585713651547934E-2</v>
      </c>
      <c r="V162" s="382">
        <f t="shared" si="58"/>
        <v>56.290012236267486</v>
      </c>
      <c r="W162" s="401">
        <f t="shared" si="59"/>
        <v>51.180341774648134</v>
      </c>
      <c r="X162" s="157">
        <f t="shared" si="60"/>
        <v>46170</v>
      </c>
      <c r="Y162" s="384">
        <f t="shared" si="61"/>
        <v>48.533456639065413</v>
      </c>
      <c r="Z162" s="384">
        <f t="shared" si="62"/>
        <v>51.672780051522196</v>
      </c>
      <c r="AA162" s="385">
        <f t="shared" si="63"/>
        <v>54.922624296814753</v>
      </c>
      <c r="AB162" s="196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5.9171321234208242E-2</v>
      </c>
      <c r="AD162" s="230">
        <f>(INDEX(Models!$BJ162:$BT162,,AH162)*(1-AF162)+INDEX(Models!$BJ162:$BT162,,AH162+1)*AF162-ERP_i)*AE162*Ramure*Pc/MaxiM</f>
        <v>8.4024434499339092E-4</v>
      </c>
      <c r="AE162" s="304">
        <f t="shared" si="65"/>
        <v>0.5</v>
      </c>
      <c r="AF162" s="176">
        <f t="shared" si="66"/>
        <v>4.540682617283931E-2</v>
      </c>
      <c r="AG162" s="814">
        <f t="shared" si="74"/>
        <v>2</v>
      </c>
      <c r="AH162" s="175">
        <f t="shared" si="67"/>
        <v>8</v>
      </c>
      <c r="AI162" s="224">
        <f t="shared" si="68"/>
        <v>2.0454068261728393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10">
        <f>'2025'!Wh/'2025'!Env_an*'2026'!Env_an</f>
        <v>55.868333897831114</v>
      </c>
      <c r="C163" s="843"/>
      <c r="D163" s="392">
        <f t="shared" si="50"/>
        <v>59.483405464469797</v>
      </c>
      <c r="E163" s="384">
        <f t="shared" si="72"/>
        <v>59.999089489677282</v>
      </c>
      <c r="F163" s="384">
        <f t="shared" si="51"/>
        <v>60.006020664117273</v>
      </c>
      <c r="G163" s="110">
        <f t="shared" si="73"/>
        <v>0.99302818870566434</v>
      </c>
      <c r="H163" s="413" t="b">
        <f>Wh_hp&gt;='2025'!Maxi_hp</f>
        <v>0</v>
      </c>
      <c r="I163" s="389">
        <f>IF(H163,Wh_hp,'2025'!Maxi_hp)</f>
        <v>60.006073151050671</v>
      </c>
      <c r="J163" s="85">
        <f>IF(H163,An,'2025'!An_max)</f>
        <v>2025</v>
      </c>
      <c r="K163" s="196">
        <f t="shared" si="52"/>
        <v>46171</v>
      </c>
      <c r="L163" s="147">
        <f>IF(t&lt;Tvie,1-EXP((T0-t)*PertePVj)+'2025'!Pspv,1-EXP((T0-t)*PertePVj)+Pspv)</f>
        <v>6.0774455302462595E-2</v>
      </c>
      <c r="M163" s="847"/>
      <c r="N163" s="847"/>
      <c r="O163" s="48">
        <f>IF(t&lt;Tnet,'2025'!Resal+('2025'!Salim-'2025'!Resal)*(1-EXP(('2025'!Tnet-t)/('2025'!Tau_j))),Resal+(Salim-Resal)*(1-EXP((Tnet-t)/(Tau_j))))*Salcycl</f>
        <v>8.5948641820007728E-3</v>
      </c>
      <c r="P163" s="168">
        <f>(INDEX(Models!$BJ163:$BT163,,T163)*(1-R163)+INDEX(Models!$BJ163:$BT163,,T163+1)*R163-ERP_i)*Q163*Ramure*Pc/MaxiM</f>
        <v>1.1666979077248763E-4</v>
      </c>
      <c r="Q163" s="304">
        <f t="shared" si="53"/>
        <v>0.5</v>
      </c>
      <c r="R163" s="176">
        <f t="shared" si="54"/>
        <v>0.93330665524718526</v>
      </c>
      <c r="S163" s="814">
        <f t="shared" si="55"/>
        <v>-1</v>
      </c>
      <c r="T163" s="175">
        <f t="shared" si="56"/>
        <v>5</v>
      </c>
      <c r="U163" s="250">
        <f t="shared" si="57"/>
        <v>-6.6693344752814743E-2</v>
      </c>
      <c r="V163" s="382">
        <f t="shared" si="58"/>
        <v>56.260506617553055</v>
      </c>
      <c r="W163" s="401">
        <f t="shared" si="59"/>
        <v>55.868333897831114</v>
      </c>
      <c r="X163" s="157">
        <f t="shared" si="60"/>
        <v>46171</v>
      </c>
      <c r="Y163" s="384">
        <f t="shared" si="61"/>
        <v>52.974075526819043</v>
      </c>
      <c r="Z163" s="384">
        <f t="shared" si="62"/>
        <v>56.401868354079426</v>
      </c>
      <c r="AA163" s="385">
        <f t="shared" si="63"/>
        <v>59.954686663604221</v>
      </c>
      <c r="AB163" s="196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5.9258391749406843E-2</v>
      </c>
      <c r="AD163" s="230">
        <f>(INDEX(Models!$BJ163:$BT163,,AH163)*(1-AF163)+INDEX(Models!$BJ163:$BT163,,AH163+1)*AF163-ERP_i)*AE163*Ramure*Pc/MaxiM</f>
        <v>8.640854664999114E-4</v>
      </c>
      <c r="AE163" s="304">
        <f t="shared" si="65"/>
        <v>0.5</v>
      </c>
      <c r="AF163" s="176">
        <f t="shared" si="66"/>
        <v>4.8299195071572765E-2</v>
      </c>
      <c r="AG163" s="814">
        <f t="shared" si="74"/>
        <v>2</v>
      </c>
      <c r="AH163" s="175">
        <f t="shared" si="67"/>
        <v>8</v>
      </c>
      <c r="AI163" s="224">
        <f t="shared" si="68"/>
        <v>2.0482991950715728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10">
        <f>'2025'!Wh/'2025'!Env_an*'2026'!Env_an</f>
        <v>47.685206348885536</v>
      </c>
      <c r="C164" s="843"/>
      <c r="D164" s="392">
        <f t="shared" si="50"/>
        <v>50.771882999676627</v>
      </c>
      <c r="E164" s="384">
        <f t="shared" si="72"/>
        <v>51.217489322188008</v>
      </c>
      <c r="F164" s="384">
        <f t="shared" si="51"/>
        <v>51.222334457963022</v>
      </c>
      <c r="G164" s="110">
        <f t="shared" si="73"/>
        <v>0.84806601769491619</v>
      </c>
      <c r="H164" s="413" t="b">
        <f>Wh_hp&gt;='2025'!Maxi_hp</f>
        <v>0</v>
      </c>
      <c r="I164" s="389">
        <f>IF(H164,Wh_hp,'2025'!Maxi_hp)</f>
        <v>59.235447555070827</v>
      </c>
      <c r="J164" s="85">
        <f>IF(H164,An,'2025'!An_max)</f>
        <v>2019</v>
      </c>
      <c r="K164" s="196">
        <f t="shared" si="52"/>
        <v>46172</v>
      </c>
      <c r="L164" s="147">
        <f>IF(t&lt;Tvie,1-EXP((T0-t)*PertePVj)+'2025'!Pspv,1-EXP((T0-t)*PertePVj)+Pspv)</f>
        <v>6.0795000469270534E-2</v>
      </c>
      <c r="M164" s="847"/>
      <c r="N164" s="847"/>
      <c r="O164" s="48">
        <f>IF(t&lt;Tnet,'2025'!Resal+('2025'!Salim-'2025'!Resal)*(1-EXP(('2025'!Tnet-t)/('2025'!Tau_j))),Resal+(Salim-Resal)*(1-EXP((Tnet-t)/(Tau_j))))*Salcycl</f>
        <v>8.7002765736574408E-3</v>
      </c>
      <c r="P164" s="168">
        <f>(INDEX(Models!$BJ164:$BT164,,T164)*(1-R164)+INDEX(Models!$BJ164:$BT164,,T164+1)*R164-ERP_i)*Q164*Ramure*Pc/MaxiM</f>
        <v>1.2080756453054491E-4</v>
      </c>
      <c r="Q164" s="304">
        <f t="shared" si="53"/>
        <v>0.5</v>
      </c>
      <c r="R164" s="176">
        <f t="shared" si="54"/>
        <v>0.93622789261123773</v>
      </c>
      <c r="S164" s="814">
        <f t="shared" si="55"/>
        <v>-1</v>
      </c>
      <c r="T164" s="175">
        <f t="shared" si="56"/>
        <v>5</v>
      </c>
      <c r="U164" s="250">
        <f t="shared" si="57"/>
        <v>-6.3772107388762211E-2</v>
      </c>
      <c r="V164" s="382">
        <f t="shared" si="58"/>
        <v>56.226702945089542</v>
      </c>
      <c r="W164" s="401">
        <f t="shared" si="59"/>
        <v>47.685206348885536</v>
      </c>
      <c r="X164" s="157">
        <f t="shared" si="60"/>
        <v>46172</v>
      </c>
      <c r="Y164" s="384">
        <f t="shared" si="61"/>
        <v>45.221823122676561</v>
      </c>
      <c r="Z164" s="384">
        <f t="shared" si="62"/>
        <v>48.149044293068592</v>
      </c>
      <c r="AA164" s="385">
        <f t="shared" si="63"/>
        <v>51.186734350583379</v>
      </c>
      <c r="AB164" s="196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5.9345259979066624E-2</v>
      </c>
      <c r="AD164" s="230">
        <f>(INDEX(Models!$BJ164:$BT164,,AH164)*(1-AF164)+INDEX(Models!$BJ164:$BT164,,AH164+1)*AF164-ERP_i)*AE164*Ramure*Pc/MaxiM</f>
        <v>8.8764535593494813E-4</v>
      </c>
      <c r="AE164" s="304">
        <f t="shared" si="65"/>
        <v>0.5</v>
      </c>
      <c r="AF164" s="176">
        <f t="shared" si="66"/>
        <v>5.1220432435625352E-2</v>
      </c>
      <c r="AG164" s="814">
        <f t="shared" si="74"/>
        <v>2</v>
      </c>
      <c r="AH164" s="175">
        <f t="shared" si="67"/>
        <v>8</v>
      </c>
      <c r="AI164" s="224">
        <f t="shared" si="68"/>
        <v>2.0512204324356254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10">
        <f>'2025'!Wh/'2025'!Env_an*'2026'!Env_an</f>
        <v>53.10337740148799</v>
      </c>
      <c r="C165" s="843"/>
      <c r="D165" s="392">
        <f t="shared" si="50"/>
        <v>56.542010602176866</v>
      </c>
      <c r="E165" s="384">
        <f t="shared" si="72"/>
        <v>57.044324736507924</v>
      </c>
      <c r="F165" s="384">
        <f t="shared" si="51"/>
        <v>57.050894614204125</v>
      </c>
      <c r="G165" s="110">
        <f t="shared" si="73"/>
        <v>0.94507555628346529</v>
      </c>
      <c r="H165" s="413" t="b">
        <f>Wh_hp&gt;='2025'!Maxi_hp</f>
        <v>0</v>
      </c>
      <c r="I165" s="389">
        <f>IF(H165,Wh_hp,'2025'!Maxi_hp)</f>
        <v>60.201047487090179</v>
      </c>
      <c r="J165" s="85">
        <f>IF(H165,An,'2025'!An_max)</f>
        <v>2019</v>
      </c>
      <c r="K165" s="196">
        <f t="shared" si="52"/>
        <v>46173</v>
      </c>
      <c r="L165" s="147">
        <f>IF(t&lt;Tvie,1-EXP((T0-t)*PertePVj)+'2025'!Pspv,1-EXP((T0-t)*PertePVj)+Pspv)</f>
        <v>6.0815545186086652E-2</v>
      </c>
      <c r="M165" s="847"/>
      <c r="N165" s="847"/>
      <c r="O165" s="48">
        <f>IF(t&lt;Tnet,'2025'!Resal+('2025'!Salim-'2025'!Resal)*(1-EXP(('2025'!Tnet-t)/('2025'!Tau_j))),Resal+(Salim-Resal)*(1-EXP((Tnet-t)/(Tau_j))))*Salcycl</f>
        <v>8.8056811374537941E-3</v>
      </c>
      <c r="P165" s="168">
        <f>(INDEX(Models!$BJ165:$BT165,,T165)*(1-R165)+INDEX(Models!$BJ165:$BT165,,T165+1)*R165-ERP_i)*Q165*Ramure*Pc/MaxiM</f>
        <v>1.2496144602271346E-4</v>
      </c>
      <c r="Q165" s="304">
        <f t="shared" si="53"/>
        <v>0.5</v>
      </c>
      <c r="R165" s="176">
        <f t="shared" si="54"/>
        <v>0.93917593054101378</v>
      </c>
      <c r="S165" s="814">
        <f t="shared" si="55"/>
        <v>-1</v>
      </c>
      <c r="T165" s="175">
        <f t="shared" si="56"/>
        <v>5</v>
      </c>
      <c r="U165" s="250">
        <f t="shared" si="57"/>
        <v>-6.0824069458986219E-2</v>
      </c>
      <c r="V165" s="382">
        <f t="shared" si="58"/>
        <v>56.189006690951217</v>
      </c>
      <c r="W165" s="401">
        <f t="shared" si="59"/>
        <v>53.10337740148799</v>
      </c>
      <c r="X165" s="157">
        <f t="shared" si="60"/>
        <v>46173</v>
      </c>
      <c r="Y165" s="384">
        <f t="shared" si="61"/>
        <v>50.354567314436686</v>
      </c>
      <c r="Z165" s="384">
        <f t="shared" si="62"/>
        <v>53.615205252107543</v>
      </c>
      <c r="AA165" s="385">
        <f t="shared" si="63"/>
        <v>57.003000428962807</v>
      </c>
      <c r="AB165" s="196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5.9431874662056385E-2</v>
      </c>
      <c r="AD165" s="230">
        <f>(INDEX(Models!$BJ165:$BT165,,AH165)*(1-AF165)+INDEX(Models!$BJ165:$BT165,,AH165+1)*AF165-ERP_i)*AE165*Ramure*Pc/MaxiM</f>
        <v>9.1096469684590737E-4</v>
      </c>
      <c r="AE165" s="304">
        <f t="shared" si="65"/>
        <v>0.5</v>
      </c>
      <c r="AF165" s="176">
        <f t="shared" si="66"/>
        <v>5.4168470365401067E-2</v>
      </c>
      <c r="AG165" s="814">
        <f t="shared" si="74"/>
        <v>2</v>
      </c>
      <c r="AH165" s="175">
        <f t="shared" si="67"/>
        <v>8</v>
      </c>
      <c r="AI165" s="224">
        <f t="shared" si="68"/>
        <v>2.0541684703654011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10">
        <f>'2025'!Wh/'2025'!Env_an*'2026'!Env_an</f>
        <v>53.510045838152287</v>
      </c>
      <c r="C166" s="843"/>
      <c r="D166" s="392">
        <f t="shared" si="50"/>
        <v>56.976258603231209</v>
      </c>
      <c r="E166" s="384">
        <f t="shared" si="72"/>
        <v>57.48854296901758</v>
      </c>
      <c r="F166" s="384">
        <f t="shared" si="51"/>
        <v>57.495468950444995</v>
      </c>
      <c r="G166" s="110">
        <f t="shared" si="73"/>
        <v>0.95301257907297243</v>
      </c>
      <c r="H166" s="413" t="b">
        <f>Wh_hp&gt;='2025'!Maxi_hp</f>
        <v>0</v>
      </c>
      <c r="I166" s="389">
        <f>IF(H166,Wh_hp,'2025'!Maxi_hp)</f>
        <v>61.029409506694016</v>
      </c>
      <c r="J166" s="85">
        <f>IF(H166,An,'2025'!An_max)</f>
        <v>2019</v>
      </c>
      <c r="K166" s="196">
        <f t="shared" si="52"/>
        <v>46174</v>
      </c>
      <c r="L166" s="147">
        <f>IF(t&lt;Tvie,1-EXP((T0-t)*PertePVj)+'2025'!Pspv,1-EXP((T0-t)*PertePVj)+Pspv)</f>
        <v>6.0836089452920718E-2</v>
      </c>
      <c r="M166" s="847"/>
      <c r="N166" s="847"/>
      <c r="O166" s="48">
        <f>IF(t&lt;Tnet,'2025'!Resal+('2025'!Salim-'2025'!Resal)*(1-EXP(('2025'!Tnet-t)/('2025'!Tau_j))),Resal+(Salim-Resal)*(1-EXP((Tnet-t)/(Tau_j))))*Salcycl</f>
        <v>8.91106887267013E-3</v>
      </c>
      <c r="P166" s="168">
        <f>(INDEX(Models!$BJ166:$BT166,,T166)*(1-R166)+INDEX(Models!$BJ166:$BT166,,T166+1)*R166-ERP_i)*Q166*Ramure*Pc/MaxiM</f>
        <v>1.2912748768748194E-4</v>
      </c>
      <c r="Q166" s="304">
        <f t="shared" si="53"/>
        <v>0.5</v>
      </c>
      <c r="R166" s="176">
        <f t="shared" si="54"/>
        <v>0.94214861738726319</v>
      </c>
      <c r="S166" s="814">
        <f t="shared" si="55"/>
        <v>-1</v>
      </c>
      <c r="T166" s="175">
        <f t="shared" si="56"/>
        <v>5</v>
      </c>
      <c r="U166" s="250">
        <f t="shared" si="57"/>
        <v>-5.7851382612736812E-2</v>
      </c>
      <c r="V166" s="382">
        <f t="shared" si="58"/>
        <v>56.147823472126049</v>
      </c>
      <c r="W166" s="401">
        <f t="shared" si="59"/>
        <v>53.510045838152287</v>
      </c>
      <c r="X166" s="157">
        <f t="shared" si="60"/>
        <v>46174</v>
      </c>
      <c r="Y166" s="384">
        <f t="shared" si="61"/>
        <v>50.739576459155849</v>
      </c>
      <c r="Z166" s="384">
        <f t="shared" si="62"/>
        <v>54.026326916245289</v>
      </c>
      <c r="AA166" s="385">
        <f t="shared" si="63"/>
        <v>57.445371125219083</v>
      </c>
      <c r="AB166" s="196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5.951818470318497E-2</v>
      </c>
      <c r="AD166" s="230">
        <f>(INDEX(Models!$BJ166:$BT166,,AH166)*(1-AF166)+INDEX(Models!$BJ166:$BT166,,AH166+1)*AF166-ERP_i)*AE166*Ramure*Pc/MaxiM</f>
        <v>9.3402016419204953E-4</v>
      </c>
      <c r="AE166" s="304">
        <f t="shared" si="65"/>
        <v>0.5</v>
      </c>
      <c r="AF166" s="176">
        <f t="shared" si="66"/>
        <v>5.7141157211650473E-2</v>
      </c>
      <c r="AG166" s="814">
        <f t="shared" si="74"/>
        <v>2</v>
      </c>
      <c r="AH166" s="175">
        <f t="shared" si="67"/>
        <v>8</v>
      </c>
      <c r="AI166" s="224">
        <f t="shared" si="68"/>
        <v>2.0571411572116505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10">
        <f>'2025'!Wh/'2025'!Env_an*'2026'!Env_an</f>
        <v>42.081265623173117</v>
      </c>
      <c r="C167" s="843"/>
      <c r="D167" s="392">
        <f t="shared" si="50"/>
        <v>44.808138047853106</v>
      </c>
      <c r="E167" s="384">
        <f t="shared" si="72"/>
        <v>45.215823377842895</v>
      </c>
      <c r="F167" s="384">
        <f t="shared" si="51"/>
        <v>45.219698975981665</v>
      </c>
      <c r="G167" s="110">
        <f t="shared" si="73"/>
        <v>0.75002840340578236</v>
      </c>
      <c r="H167" s="413" t="b">
        <f>Wh_hp&gt;='2025'!Maxi_hp</f>
        <v>0</v>
      </c>
      <c r="I167" s="389">
        <f>IF(H167,Wh_hp,'2025'!Maxi_hp)</f>
        <v>60.469553797129123</v>
      </c>
      <c r="J167" s="85">
        <f>IF(H167,An,'2025'!An_max)</f>
        <v>2019</v>
      </c>
      <c r="K167" s="196">
        <f t="shared" si="52"/>
        <v>46175</v>
      </c>
      <c r="L167" s="147">
        <f>IF(t&lt;Tvie,1-EXP((T0-t)*PertePVj)+'2025'!Pspv,1-EXP((T0-t)*PertePVj)+Pspv)</f>
        <v>6.0856633269782613E-2</v>
      </c>
      <c r="M167" s="847"/>
      <c r="N167" s="847"/>
      <c r="O167" s="48">
        <f>IF(t&lt;Tnet,'2025'!Resal+('2025'!Salim-'2025'!Resal)*(1-EXP(('2025'!Tnet-t)/('2025'!Tau_j))),Resal+(Salim-Resal)*(1-EXP((Tnet-t)/(Tau_j))))*Salcycl</f>
        <v>9.0164305221867146E-3</v>
      </c>
      <c r="P167" s="168">
        <f>(INDEX(Models!$BJ167:$BT167,,T167)*(1-R167)+INDEX(Models!$BJ167:$BT167,,T167+1)*R167-ERP_i)*Q167*Ramure*Pc/MaxiM</f>
        <v>1.3330140706485126E-4</v>
      </c>
      <c r="Q167" s="304">
        <f t="shared" si="53"/>
        <v>0.5</v>
      </c>
      <c r="R167" s="176">
        <f t="shared" si="54"/>
        <v>0.94514372343591069</v>
      </c>
      <c r="S167" s="814">
        <f t="shared" si="55"/>
        <v>-1</v>
      </c>
      <c r="T167" s="175">
        <f t="shared" si="56"/>
        <v>5</v>
      </c>
      <c r="U167" s="250">
        <f t="shared" si="57"/>
        <v>-5.4856276564089285E-2</v>
      </c>
      <c r="V167" s="382">
        <f t="shared" si="58"/>
        <v>56.103558724137017</v>
      </c>
      <c r="W167" s="401">
        <f t="shared" si="59"/>
        <v>42.081265623173117</v>
      </c>
      <c r="X167" s="157">
        <f t="shared" si="60"/>
        <v>46175</v>
      </c>
      <c r="Y167" s="384">
        <f t="shared" si="61"/>
        <v>39.911957282265227</v>
      </c>
      <c r="Z167" s="384">
        <f t="shared" si="62"/>
        <v>42.498258195897492</v>
      </c>
      <c r="AA167" s="385">
        <f t="shared" si="63"/>
        <v>45.191881392477761</v>
      </c>
      <c r="AB167" s="196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5.9604139362709189E-2</v>
      </c>
      <c r="AD167" s="230">
        <f>(INDEX(Models!$BJ167:$BT167,,AH167)*(1-AF167)+INDEX(Models!$BJ167:$BT167,,AH167+1)*AF167-ERP_i)*AE167*Ramure*Pc/MaxiM</f>
        <v>9.5678728532741953E-4</v>
      </c>
      <c r="AE167" s="304">
        <f t="shared" si="65"/>
        <v>0.5</v>
      </c>
      <c r="AF167" s="176">
        <f t="shared" si="66"/>
        <v>6.0136263260297973E-2</v>
      </c>
      <c r="AG167" s="814">
        <f t="shared" si="74"/>
        <v>2</v>
      </c>
      <c r="AH167" s="175">
        <f t="shared" si="67"/>
        <v>8</v>
      </c>
      <c r="AI167" s="224">
        <f t="shared" si="68"/>
        <v>2.060136263260298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10">
        <f>'2025'!Wh/'2025'!Env_an*'2026'!Env_an</f>
        <v>52.263870941417707</v>
      </c>
      <c r="C168" s="843"/>
      <c r="D168" s="392">
        <f t="shared" si="50"/>
        <v>55.651795101989997</v>
      </c>
      <c r="E168" s="384">
        <f t="shared" si="72"/>
        <v>56.164110447513409</v>
      </c>
      <c r="F168" s="384">
        <f t="shared" si="51"/>
        <v>56.171086360544578</v>
      </c>
      <c r="G168" s="110">
        <f t="shared" si="73"/>
        <v>0.93232839423406932</v>
      </c>
      <c r="H168" s="413" t="b">
        <f>Wh_hp&gt;='2025'!Maxi_hp</f>
        <v>0</v>
      </c>
      <c r="I168" s="389">
        <f>IF(H168,Wh_hp,'2025'!Maxi_hp)</f>
        <v>57.408695514870161</v>
      </c>
      <c r="J168" s="85">
        <f>IF(H168,An,'2025'!An_max)</f>
        <v>2020</v>
      </c>
      <c r="K168" s="196">
        <f t="shared" si="52"/>
        <v>46176</v>
      </c>
      <c r="L168" s="147">
        <f>IF(t&lt;Tvie,1-EXP((T0-t)*PertePVj)+'2025'!Pspv,1-EXP((T0-t)*PertePVj)+Pspv)</f>
        <v>6.0877176636682219E-2</v>
      </c>
      <c r="M168" s="847"/>
      <c r="N168" s="847"/>
      <c r="O168" s="48">
        <f>IF(t&lt;Tnet,'2025'!Resal+('2025'!Salim-'2025'!Resal)*(1-EXP(('2025'!Tnet-t)/('2025'!Tau_j))),Resal+(Salim-Resal)*(1-EXP((Tnet-t)/(Tau_j))))*Salcycl</f>
        <v>9.1217566065109074E-3</v>
      </c>
      <c r="P168" s="168">
        <f>(INDEX(Models!$BJ168:$BT168,,T168)*(1-R168)+INDEX(Models!$BJ168:$BT168,,T168+1)*R168-ERP_i)*Q168*Ramure*Pc/MaxiM</f>
        <v>1.3747859350790451E-4</v>
      </c>
      <c r="Q168" s="304">
        <f t="shared" si="53"/>
        <v>0.5</v>
      </c>
      <c r="R168" s="176">
        <f t="shared" si="54"/>
        <v>0.94815894710527382</v>
      </c>
      <c r="S168" s="814">
        <f t="shared" si="55"/>
        <v>-1</v>
      </c>
      <c r="T168" s="175">
        <f t="shared" si="56"/>
        <v>5</v>
      </c>
      <c r="U168" s="250">
        <f t="shared" si="57"/>
        <v>-5.1841052894726125E-2</v>
      </c>
      <c r="V168" s="382">
        <f t="shared" si="58"/>
        <v>56.056617699365198</v>
      </c>
      <c r="W168" s="401">
        <f t="shared" si="59"/>
        <v>52.263870941417707</v>
      </c>
      <c r="X168" s="157">
        <f t="shared" si="60"/>
        <v>46176</v>
      </c>
      <c r="Y168" s="384">
        <f t="shared" si="61"/>
        <v>49.558947462014331</v>
      </c>
      <c r="Z168" s="384">
        <f t="shared" si="62"/>
        <v>52.771529164339661</v>
      </c>
      <c r="AA168" s="385">
        <f t="shared" si="63"/>
        <v>56.121397921531624</v>
      </c>
      <c r="AB168" s="196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5.9689688447812986E-2</v>
      </c>
      <c r="AD168" s="230">
        <f>(INDEX(Models!$BJ168:$BT168,,AH168)*(1-AF168)+INDEX(Models!$BJ168:$BT168,,AH168+1)*AF168-ERP_i)*AE168*Ramure*Pc/MaxiM</f>
        <v>9.7924052071503157E-4</v>
      </c>
      <c r="AE168" s="304">
        <f t="shared" si="65"/>
        <v>0.5</v>
      </c>
      <c r="AF168" s="176">
        <f t="shared" si="66"/>
        <v>6.3151486929661438E-2</v>
      </c>
      <c r="AG168" s="814">
        <f t="shared" si="74"/>
        <v>2</v>
      </c>
      <c r="AH168" s="175">
        <f t="shared" si="67"/>
        <v>8</v>
      </c>
      <c r="AI168" s="224">
        <f t="shared" si="68"/>
        <v>2.0631514869296614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10">
        <f>'2025'!Wh/'2025'!Env_an*'2026'!Env_an</f>
        <v>28.824791442720826</v>
      </c>
      <c r="C169" s="843"/>
      <c r="D169" s="392">
        <f t="shared" si="50"/>
        <v>30.693985141873931</v>
      </c>
      <c r="E169" s="384">
        <f t="shared" si="72"/>
        <v>30.979837260773255</v>
      </c>
      <c r="F169" s="384">
        <f t="shared" si="51"/>
        <v>30.981183062284657</v>
      </c>
      <c r="G169" s="110">
        <f t="shared" si="73"/>
        <v>0.51460981030270581</v>
      </c>
      <c r="H169" s="413" t="b">
        <f>Wh_hp&gt;='2025'!Maxi_hp</f>
        <v>0</v>
      </c>
      <c r="I169" s="389">
        <f>IF(H169,Wh_hp,'2025'!Maxi_hp)</f>
        <v>56.649023658356676</v>
      </c>
      <c r="J169" s="85">
        <f>IF(H169,An,'2025'!An_max)</f>
        <v>2019</v>
      </c>
      <c r="K169" s="196">
        <f t="shared" si="52"/>
        <v>46177</v>
      </c>
      <c r="L169" s="147">
        <f>IF(t&lt;Tvie,1-EXP((T0-t)*PertePVj)+'2025'!Pspv,1-EXP((T0-t)*PertePVj)+Pspv)</f>
        <v>6.0897719553629305E-2</v>
      </c>
      <c r="M169" s="847"/>
      <c r="N169" s="847"/>
      <c r="O169" s="48">
        <f>IF(t&lt;Tnet,'2025'!Resal+('2025'!Salim-'2025'!Resal)*(1-EXP(('2025'!Tnet-t)/('2025'!Tau_j))),Resal+(Salim-Resal)*(1-EXP((Tnet-t)/(Tau_j))))*Salcycl</f>
        <v>9.2270374596598592E-3</v>
      </c>
      <c r="P169" s="168">
        <f>(INDEX(Models!$BJ169:$BT169,,T169)*(1-R169)+INDEX(Models!$BJ169:$BT169,,T169+1)*R169-ERP_i)*Q169*Ramure*Pc/MaxiM</f>
        <v>1.4165411688513672E-4</v>
      </c>
      <c r="Q169" s="304">
        <f t="shared" si="53"/>
        <v>0.5</v>
      </c>
      <c r="R169" s="176">
        <f t="shared" si="54"/>
        <v>0.95119192162306976</v>
      </c>
      <c r="S169" s="814">
        <f t="shared" si="55"/>
        <v>-1</v>
      </c>
      <c r="T169" s="175">
        <f t="shared" si="56"/>
        <v>5</v>
      </c>
      <c r="U169" s="250">
        <f t="shared" si="57"/>
        <v>-4.8808078376930242E-2</v>
      </c>
      <c r="V169" s="382">
        <f t="shared" si="58"/>
        <v>56.007405458777825</v>
      </c>
      <c r="W169" s="401">
        <f t="shared" si="59"/>
        <v>28.824791442720826</v>
      </c>
      <c r="X169" s="157">
        <f t="shared" si="60"/>
        <v>46177</v>
      </c>
      <c r="Y169" s="384">
        <f t="shared" si="61"/>
        <v>27.346982184839419</v>
      </c>
      <c r="Z169" s="384">
        <f t="shared" si="62"/>
        <v>29.120344774203883</v>
      </c>
      <c r="AA169" s="385">
        <f t="shared" si="63"/>
        <v>30.971669587615775</v>
      </c>
      <c r="AB169" s="196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5.977478250485263E-2</v>
      </c>
      <c r="AD169" s="230">
        <f>(INDEX(Models!$BJ169:$BT169,,AH169)*(1-AF169)+INDEX(Models!$BJ169:$BT169,,AH169+1)*AF169-ERP_i)*AE169*Ramure*Pc/MaxiM</f>
        <v>1.0013533506341452E-3</v>
      </c>
      <c r="AE169" s="304">
        <f t="shared" si="65"/>
        <v>0.5</v>
      </c>
      <c r="AF169" s="176">
        <f t="shared" si="66"/>
        <v>6.6184461447456933E-2</v>
      </c>
      <c r="AG169" s="814">
        <f t="shared" si="74"/>
        <v>2</v>
      </c>
      <c r="AH169" s="175">
        <f t="shared" si="67"/>
        <v>8</v>
      </c>
      <c r="AI169" s="224">
        <f t="shared" si="68"/>
        <v>2.0661844614474569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10">
        <f>'2025'!Wh/'2025'!Env_an*'2026'!Env_an</f>
        <v>29.72633293999246</v>
      </c>
      <c r="C170" s="843"/>
      <c r="D170" s="392">
        <f t="shared" si="50"/>
        <v>31.654681097254624</v>
      </c>
      <c r="E170" s="384">
        <f t="shared" ref="E170:E232" si="75">Wh_pvt/(1-Psa)</f>
        <v>31.952873727002569</v>
      </c>
      <c r="F170" s="384">
        <f t="shared" si="51"/>
        <v>31.954412390165047</v>
      </c>
      <c r="G170" s="110">
        <f t="shared" ref="G170:G232" si="76">+Wh_hp/MaxiM</f>
        <v>0.53118978785497251</v>
      </c>
      <c r="H170" s="413" t="b">
        <f>Wh_hp&gt;='2025'!Maxi_hp</f>
        <v>0</v>
      </c>
      <c r="I170" s="389">
        <f>IF(H170,Wh_hp,'2025'!Maxi_hp)</f>
        <v>43.624994616930465</v>
      </c>
      <c r="J170" s="85">
        <f>IF(H170,An,'2025'!An_max)</f>
        <v>2021</v>
      </c>
      <c r="K170" s="196">
        <f t="shared" si="52"/>
        <v>46178</v>
      </c>
      <c r="L170" s="147">
        <f>IF(t&lt;Tvie,1-EXP((T0-t)*PertePVj)+'2025'!Pspv,1-EXP((T0-t)*PertePVj)+Pspv)</f>
        <v>6.0918262020633863E-2</v>
      </c>
      <c r="M170" s="847"/>
      <c r="N170" s="847"/>
      <c r="O170" s="48">
        <f>IF(t&lt;Tnet,'2025'!Resal+('2025'!Salim-'2025'!Resal)*(1-EXP(('2025'!Tnet-t)/('2025'!Tau_j))),Resal+(Salim-Resal)*(1-EXP((Tnet-t)/(Tau_j))))*Salcycl</f>
        <v>9.3322632666980338E-3</v>
      </c>
      <c r="P170" s="168">
        <f>(INDEX(Models!$BJ170:$BT170,,T170)*(1-R170)+INDEX(Models!$BJ170:$BT170,,T170+1)*R170-ERP_i)*Q170*Ramure*Pc/MaxiM</f>
        <v>1.4576213150692765E-4</v>
      </c>
      <c r="Q170" s="304">
        <f t="shared" si="53"/>
        <v>0.5</v>
      </c>
      <c r="R170" s="176">
        <f t="shared" si="54"/>
        <v>0.95424022214523285</v>
      </c>
      <c r="S170" s="814">
        <f t="shared" si="55"/>
        <v>-1</v>
      </c>
      <c r="T170" s="175">
        <f t="shared" si="56"/>
        <v>5</v>
      </c>
      <c r="U170" s="250">
        <f t="shared" si="57"/>
        <v>-4.5759777854767092E-2</v>
      </c>
      <c r="V170" s="382">
        <f t="shared" si="58"/>
        <v>55.956330267047591</v>
      </c>
      <c r="W170" s="401">
        <f t="shared" si="59"/>
        <v>29.72633293999246</v>
      </c>
      <c r="X170" s="157">
        <f t="shared" si="60"/>
        <v>46178</v>
      </c>
      <c r="Y170" s="384">
        <f t="shared" si="61"/>
        <v>28.202025413938959</v>
      </c>
      <c r="Z170" s="384">
        <f t="shared" si="62"/>
        <v>30.031491693813159</v>
      </c>
      <c r="AA170" s="385">
        <f t="shared" si="63"/>
        <v>31.943616552344373</v>
      </c>
      <c r="AB170" s="196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5.9859373011127641E-2</v>
      </c>
      <c r="AD170" s="230">
        <f>(INDEX(Models!$BJ170:$BT170,,AH170)*(1-AF170)+INDEX(Models!$BJ170:$BT170,,AH170+1)*AF170-ERP_i)*AE170*Ramure*Pc/MaxiM</f>
        <v>1.0227217824662854E-3</v>
      </c>
      <c r="AE170" s="304">
        <f t="shared" si="65"/>
        <v>0.5</v>
      </c>
      <c r="AF170" s="176">
        <f t="shared" si="66"/>
        <v>6.9232761969620249E-2</v>
      </c>
      <c r="AG170" s="814">
        <f t="shared" si="74"/>
        <v>2</v>
      </c>
      <c r="AH170" s="175">
        <f t="shared" si="67"/>
        <v>8</v>
      </c>
      <c r="AI170" s="224">
        <f t="shared" si="68"/>
        <v>2.0692327619696202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10">
        <f>'2025'!Wh/'2025'!Env_an*'2026'!Env_an</f>
        <v>42.162675923576529</v>
      </c>
      <c r="C171" s="843"/>
      <c r="D171" s="392">
        <f t="shared" si="50"/>
        <v>44.898752184484323</v>
      </c>
      <c r="E171" s="384">
        <f t="shared" si="75"/>
        <v>45.32651775564333</v>
      </c>
      <c r="F171" s="384">
        <f t="shared" si="51"/>
        <v>45.330924563879854</v>
      </c>
      <c r="G171" s="110">
        <f t="shared" si="76"/>
        <v>0.7541609173303695</v>
      </c>
      <c r="H171" s="413" t="b">
        <f>Wh_hp&gt;='2025'!Maxi_hp</f>
        <v>0</v>
      </c>
      <c r="I171" s="389">
        <f>IF(H171,Wh_hp,'2025'!Maxi_hp)</f>
        <v>58.308075737012821</v>
      </c>
      <c r="J171" s="85">
        <f>IF(H171,An,'2025'!An_max)</f>
        <v>2019</v>
      </c>
      <c r="K171" s="196">
        <f t="shared" si="52"/>
        <v>46179</v>
      </c>
      <c r="L171" s="147">
        <f>IF(t&lt;Tvie,1-EXP((T0-t)*PertePVj)+'2025'!Pspv,1-EXP((T0-t)*PertePVj)+Pspv)</f>
        <v>6.0938804037705553E-2</v>
      </c>
      <c r="M171" s="847"/>
      <c r="N171" s="847"/>
      <c r="O171" s="48">
        <f>IF(t&lt;Tnet,'2025'!Resal+('2025'!Salim-'2025'!Resal)*(1-EXP(('2025'!Tnet-t)/('2025'!Tau_j))),Resal+(Salim-Resal)*(1-EXP((Tnet-t)/(Tau_j))))*Salcycl</f>
        <v>9.437424102709667E-3</v>
      </c>
      <c r="P171" s="168">
        <f>(INDEX(Models!$BJ171:$BT171,,T171)*(1-R171)+INDEX(Models!$BJ171:$BT171,,T171+1)*R171-ERP_i)*Q171*Ramure*Pc/MaxiM</f>
        <v>1.4982349116953811E-4</v>
      </c>
      <c r="Q171" s="304">
        <f t="shared" si="53"/>
        <v>0.5</v>
      </c>
      <c r="R171" s="176">
        <f t="shared" si="54"/>
        <v>0.95730137327351694</v>
      </c>
      <c r="S171" s="814">
        <f t="shared" si="55"/>
        <v>-1</v>
      </c>
      <c r="T171" s="175">
        <f t="shared" si="56"/>
        <v>5</v>
      </c>
      <c r="U171" s="250">
        <f t="shared" si="57"/>
        <v>-4.2698626726483113E-2</v>
      </c>
      <c r="V171" s="382">
        <f t="shared" si="58"/>
        <v>55.903795316563283</v>
      </c>
      <c r="W171" s="401">
        <f t="shared" si="59"/>
        <v>42.162675923576529</v>
      </c>
      <c r="X171" s="157">
        <f t="shared" si="60"/>
        <v>46179</v>
      </c>
      <c r="Y171" s="384">
        <f t="shared" si="61"/>
        <v>39.98971408691294</v>
      </c>
      <c r="Z171" s="384">
        <f t="shared" si="62"/>
        <v>42.584779627629956</v>
      </c>
      <c r="AA171" s="385">
        <f t="shared" si="63"/>
        <v>45.300230004048068</v>
      </c>
      <c r="AB171" s="196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5.9943412564913166E-2</v>
      </c>
      <c r="AD171" s="230">
        <f>(INDEX(Models!$BJ171:$BT171,,AH171)*(1-AF171)+INDEX(Models!$BJ171:$BT171,,AH171+1)*AF171-ERP_i)*AE171*Ramure*Pc/MaxiM</f>
        <v>1.0435593897183178E-3</v>
      </c>
      <c r="AE171" s="304">
        <f t="shared" si="65"/>
        <v>0.5</v>
      </c>
      <c r="AF171" s="176">
        <f t="shared" si="66"/>
        <v>7.2293913097904117E-2</v>
      </c>
      <c r="AG171" s="814">
        <f t="shared" si="74"/>
        <v>2</v>
      </c>
      <c r="AH171" s="175">
        <f t="shared" si="67"/>
        <v>8</v>
      </c>
      <c r="AI171" s="224">
        <f t="shared" si="68"/>
        <v>2.0722939130979041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10">
        <f>'2025'!Wh/'2025'!Env_an*'2026'!Env_an</f>
        <v>28.312103879339713</v>
      </c>
      <c r="C172" s="843"/>
      <c r="D172" s="392">
        <f t="shared" si="50"/>
        <v>30.15002997668519</v>
      </c>
      <c r="E172" s="384">
        <f t="shared" si="75"/>
        <v>30.44050883583337</v>
      </c>
      <c r="F172" s="384">
        <f t="shared" si="51"/>
        <v>30.441893165734552</v>
      </c>
      <c r="G172" s="110">
        <f t="shared" si="76"/>
        <v>0.50687434108642937</v>
      </c>
      <c r="H172" s="413" t="b">
        <f>Wh_hp&gt;='2025'!Maxi_hp</f>
        <v>0</v>
      </c>
      <c r="I172" s="389">
        <f>IF(H172,Wh_hp,'2025'!Maxi_hp)</f>
        <v>53.888415995131361</v>
      </c>
      <c r="J172" s="85">
        <f>IF(H172,An,'2025'!An_max)</f>
        <v>2021</v>
      </c>
      <c r="K172" s="196">
        <f t="shared" si="52"/>
        <v>46180</v>
      </c>
      <c r="L172" s="147">
        <f>IF(t&lt;Tvie,1-EXP((T0-t)*PertePVj)+'2025'!Pspv,1-EXP((T0-t)*PertePVj)+Pspv)</f>
        <v>6.0959345604854477E-2</v>
      </c>
      <c r="M172" s="847"/>
      <c r="N172" s="847"/>
      <c r="O172" s="48">
        <f>IF(t&lt;Tnet,'2025'!Resal+('2025'!Salim-'2025'!Resal)*(1-EXP(('2025'!Tnet-t)/('2025'!Tau_j))),Resal+(Salim-Resal)*(1-EXP((Tnet-t)/(Tau_j))))*Salcycl</f>
        <v>9.5425099729686755E-3</v>
      </c>
      <c r="P172" s="168">
        <f>(INDEX(Models!$BJ172:$BT172,,T172)*(1-R172)+INDEX(Models!$BJ172:$BT172,,T172+1)*R172-ERP_i)*Q172*Ramure*Pc/MaxiM</f>
        <v>1.5383106645157747E-4</v>
      </c>
      <c r="Q172" s="304">
        <f t="shared" si="53"/>
        <v>0.5</v>
      </c>
      <c r="R172" s="176">
        <f t="shared" si="54"/>
        <v>0.96037285692421248</v>
      </c>
      <c r="S172" s="814">
        <f t="shared" si="55"/>
        <v>-1</v>
      </c>
      <c r="T172" s="175">
        <f t="shared" si="56"/>
        <v>5</v>
      </c>
      <c r="U172" s="250">
        <f t="shared" si="57"/>
        <v>-3.9627143075787519E-2</v>
      </c>
      <c r="V172" s="382">
        <f t="shared" si="58"/>
        <v>55.850205155013739</v>
      </c>
      <c r="W172" s="401">
        <f t="shared" si="59"/>
        <v>28.312103879339713</v>
      </c>
      <c r="X172" s="157">
        <f t="shared" si="60"/>
        <v>46180</v>
      </c>
      <c r="Y172" s="384">
        <f t="shared" si="61"/>
        <v>26.861786829899454</v>
      </c>
      <c r="Z172" s="384">
        <f t="shared" si="62"/>
        <v>28.605563246036091</v>
      </c>
      <c r="AA172" s="385">
        <f t="shared" si="63"/>
        <v>30.432319689560593</v>
      </c>
      <c r="AB172" s="196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6.0026855072475689E-2</v>
      </c>
      <c r="AD172" s="230">
        <f>(INDEX(Models!$BJ172:$BT172,,AH172)*(1-AF172)+INDEX(Models!$BJ172:$BT172,,AH172+1)*AF172-ERP_i)*AE172*Ramure*Pc/MaxiM</f>
        <v>1.0638346020213903E-3</v>
      </c>
      <c r="AE172" s="304">
        <f t="shared" si="65"/>
        <v>0.5</v>
      </c>
      <c r="AF172" s="176">
        <f t="shared" si="66"/>
        <v>7.5365396748599878E-2</v>
      </c>
      <c r="AG172" s="814">
        <f t="shared" si="74"/>
        <v>2</v>
      </c>
      <c r="AH172" s="175">
        <f t="shared" si="67"/>
        <v>8</v>
      </c>
      <c r="AI172" s="224">
        <f t="shared" si="68"/>
        <v>2.0753653967485999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10">
        <f>'2025'!Wh/'2025'!Env_an*'2026'!Env_an</f>
        <v>21.274436300856035</v>
      </c>
      <c r="C173" s="843"/>
      <c r="D173" s="392">
        <f t="shared" si="50"/>
        <v>22.655996394573194</v>
      </c>
      <c r="E173" s="384">
        <f t="shared" si="75"/>
        <v>22.876699602291222</v>
      </c>
      <c r="F173" s="384">
        <f t="shared" si="51"/>
        <v>22.87711876701642</v>
      </c>
      <c r="G173" s="110">
        <f t="shared" si="76"/>
        <v>0.38123670324994624</v>
      </c>
      <c r="H173" s="413" t="b">
        <f>Wh_hp&gt;='2025'!Maxi_hp</f>
        <v>0</v>
      </c>
      <c r="I173" s="389">
        <f>IF(H173,Wh_hp,'2025'!Maxi_hp)</f>
        <v>61.825772248847073</v>
      </c>
      <c r="J173" s="85">
        <f>IF(H173,An,'2025'!An_max)</f>
        <v>2019</v>
      </c>
      <c r="K173" s="196">
        <f t="shared" si="52"/>
        <v>46181</v>
      </c>
      <c r="L173" s="147">
        <f>IF(t&lt;Tvie,1-EXP((T0-t)*PertePVj)+'2025'!Pspv,1-EXP((T0-t)*PertePVj)+Pspv)</f>
        <v>6.0979886722090294E-2</v>
      </c>
      <c r="M173" s="847"/>
      <c r="N173" s="847"/>
      <c r="O173" s="48">
        <f>IF(t&lt;Tnet,'2025'!Resal+('2025'!Salim-'2025'!Resal)*(1-EXP(('2025'!Tnet-t)/('2025'!Tau_j))),Resal+(Salim-Resal)*(1-EXP((Tnet-t)/(Tau_j))))*Salcycl</f>
        <v>9.6475108540535585E-3</v>
      </c>
      <c r="P173" s="168">
        <f>(INDEX(Models!$BJ173:$BT173,,T173)*(1-R173)+INDEX(Models!$BJ173:$BT173,,T173+1)*R173-ERP_i)*Q173*Ramure*Pc/MaxiM</f>
        <v>1.5777746505851538E-4</v>
      </c>
      <c r="Q173" s="304">
        <f t="shared" si="53"/>
        <v>0.5</v>
      </c>
      <c r="R173" s="176">
        <f t="shared" si="54"/>
        <v>0.96345212049617235</v>
      </c>
      <c r="S173" s="814">
        <f t="shared" si="55"/>
        <v>-1</v>
      </c>
      <c r="T173" s="175">
        <f t="shared" si="56"/>
        <v>5</v>
      </c>
      <c r="U173" s="250">
        <f t="shared" si="57"/>
        <v>-3.6547879503827624E-2</v>
      </c>
      <c r="V173" s="382">
        <f t="shared" si="58"/>
        <v>55.795964129888745</v>
      </c>
      <c r="W173" s="401">
        <f t="shared" si="59"/>
        <v>21.274436300856035</v>
      </c>
      <c r="X173" s="157">
        <f t="shared" si="60"/>
        <v>46181</v>
      </c>
      <c r="Y173" s="384">
        <f t="shared" si="61"/>
        <v>20.188253994754703</v>
      </c>
      <c r="Z173" s="384">
        <f t="shared" si="62"/>
        <v>21.499277501396655</v>
      </c>
      <c r="AA173" s="385">
        <f t="shared" si="63"/>
        <v>22.874240210104315</v>
      </c>
      <c r="AB173" s="196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6.0109655930792094E-2</v>
      </c>
      <c r="AD173" s="230">
        <f>(INDEX(Models!$BJ173:$BT173,,AH173)*(1-AF173)+INDEX(Models!$BJ173:$BT173,,AH173+1)*AF173-ERP_i)*AE173*Ramure*Pc/MaxiM</f>
        <v>1.0835153468681611E-3</v>
      </c>
      <c r="AE173" s="304">
        <f t="shared" si="65"/>
        <v>0.5</v>
      </c>
      <c r="AF173" s="176">
        <f t="shared" si="66"/>
        <v>7.8444660320559745E-2</v>
      </c>
      <c r="AG173" s="814">
        <f t="shared" si="74"/>
        <v>2</v>
      </c>
      <c r="AH173" s="175">
        <f t="shared" si="67"/>
        <v>8</v>
      </c>
      <c r="AI173" s="224">
        <f t="shared" si="68"/>
        <v>2.0784446603205597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10">
        <f>'2025'!Wh/'2025'!Env_an*'2026'!Env_an</f>
        <v>43.001162455824165</v>
      </c>
      <c r="C174" s="843"/>
      <c r="D174" s="392">
        <f t="shared" si="50"/>
        <v>45.794656046832579</v>
      </c>
      <c r="E174" s="384">
        <f t="shared" si="75"/>
        <v>46.245663024867071</v>
      </c>
      <c r="F174" s="384">
        <f t="shared" si="51"/>
        <v>46.250698440040757</v>
      </c>
      <c r="G174" s="110">
        <f t="shared" si="76"/>
        <v>0.7713985217802205</v>
      </c>
      <c r="H174" s="413" t="b">
        <f>Wh_hp&gt;='2025'!Maxi_hp</f>
        <v>0</v>
      </c>
      <c r="I174" s="389">
        <f>IF(H174,Wh_hp,'2025'!Maxi_hp)</f>
        <v>57.898701564439953</v>
      </c>
      <c r="J174" s="85">
        <f>IF(H174,An,'2025'!An_max)</f>
        <v>2021</v>
      </c>
      <c r="K174" s="196">
        <f t="shared" si="52"/>
        <v>46182</v>
      </c>
      <c r="L174" s="147">
        <f>IF(t&lt;Tvie,1-EXP((T0-t)*PertePVj)+'2025'!Pspv,1-EXP((T0-t)*PertePVj)+Pspv)</f>
        <v>6.1000427389422997E-2</v>
      </c>
      <c r="M174" s="847"/>
      <c r="N174" s="847"/>
      <c r="O174" s="48">
        <f>IF(t&lt;Tnet,'2025'!Resal+('2025'!Salim-'2025'!Resal)*(1-EXP(('2025'!Tnet-t)/('2025'!Tau_j))),Resal+(Salim-Resal)*(1-EXP((Tnet-t)/(Tau_j))))*Salcycl</f>
        <v>9.7524167356401754E-3</v>
      </c>
      <c r="P174" s="168">
        <f>(INDEX(Models!$BJ174:$BT174,,T174)*(1-R174)+INDEX(Models!$BJ174:$BT174,,T174+1)*R174-ERP_i)*Q174*Ramure*Pc/MaxiM</f>
        <v>1.6165505744346827E-4</v>
      </c>
      <c r="Q174" s="304">
        <f t="shared" si="53"/>
        <v>0.5</v>
      </c>
      <c r="R174" s="176">
        <f t="shared" si="54"/>
        <v>0.96653658528275588</v>
      </c>
      <c r="S174" s="814">
        <f t="shared" si="55"/>
        <v>-1</v>
      </c>
      <c r="T174" s="175">
        <f t="shared" si="56"/>
        <v>5</v>
      </c>
      <c r="U174" s="250">
        <f t="shared" si="57"/>
        <v>-3.3463414717244094E-2</v>
      </c>
      <c r="V174" s="382">
        <f t="shared" si="58"/>
        <v>55.741476383852358</v>
      </c>
      <c r="W174" s="401">
        <f t="shared" si="59"/>
        <v>43.001162455824165</v>
      </c>
      <c r="X174" s="157">
        <f t="shared" si="60"/>
        <v>46182</v>
      </c>
      <c r="Y174" s="384">
        <f t="shared" si="61"/>
        <v>40.784986411111724</v>
      </c>
      <c r="Z174" s="384">
        <f t="shared" si="62"/>
        <v>43.434510090055305</v>
      </c>
      <c r="AA174" s="385">
        <f t="shared" si="63"/>
        <v>46.216354364069069</v>
      </c>
      <c r="AB174" s="196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6.0191772204700622E-2</v>
      </c>
      <c r="AD174" s="230">
        <f>(INDEX(Models!$BJ174:$BT174,,AH174)*(1-AF174)+INDEX(Models!$BJ174:$BT174,,AH174+1)*AF174-ERP_i)*AE174*Ramure*Pc/MaxiM</f>
        <v>1.1025691790146842E-3</v>
      </c>
      <c r="AE174" s="304">
        <f t="shared" si="65"/>
        <v>0.5</v>
      </c>
      <c r="AF174" s="176">
        <f t="shared" si="66"/>
        <v>8.1529125107143496E-2</v>
      </c>
      <c r="AG174" s="814">
        <f t="shared" si="74"/>
        <v>2</v>
      </c>
      <c r="AH174" s="175">
        <f t="shared" si="67"/>
        <v>8</v>
      </c>
      <c r="AI174" s="224">
        <f t="shared" si="68"/>
        <v>2.0815291251071435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10">
        <f>'2025'!Wh/'2025'!Env_an*'2026'!Env_an</f>
        <v>54.478628946894972</v>
      </c>
      <c r="C175" s="843"/>
      <c r="D175" s="392">
        <f t="shared" si="50"/>
        <v>58.01900475673829</v>
      </c>
      <c r="E175" s="384">
        <f t="shared" si="75"/>
        <v>58.596604239017061</v>
      </c>
      <c r="F175" s="384">
        <f t="shared" si="51"/>
        <v>58.606000329190955</v>
      </c>
      <c r="G175" s="110">
        <f t="shared" si="76"/>
        <v>0.97829308031396522</v>
      </c>
      <c r="H175" s="413" t="b">
        <f>Wh_hp&gt;='2025'!Maxi_hp</f>
        <v>0</v>
      </c>
      <c r="I175" s="389">
        <f>IF(H175,Wh_hp,'2025'!Maxi_hp)</f>
        <v>58.606207773537029</v>
      </c>
      <c r="J175" s="85">
        <f>IF(H175,An,'2025'!An_max)</f>
        <v>2025</v>
      </c>
      <c r="K175" s="196">
        <f t="shared" si="52"/>
        <v>46183</v>
      </c>
      <c r="L175" s="147">
        <f>IF(t&lt;Tvie,1-EXP((T0-t)*PertePVj)+'2025'!Pspv,1-EXP((T0-t)*PertePVj)+Pspv)</f>
        <v>6.1020967606862354E-2</v>
      </c>
      <c r="M175" s="847"/>
      <c r="N175" s="847"/>
      <c r="O175" s="48">
        <f>IF(t&lt;Tnet,'2025'!Resal+('2025'!Salim-'2025'!Resal)*(1-EXP(('2025'!Tnet-t)/('2025'!Tau_j))),Resal+(Salim-Resal)*(1-EXP((Tnet-t)/(Tau_j))))*Salcycl</f>
        <v>9.8572176626948015E-3</v>
      </c>
      <c r="P175" s="168">
        <f>(INDEX(Models!$BJ175:$BT175,,T175)*(1-R175)+INDEX(Models!$BJ175:$BT175,,T175+1)*R175-ERP_i)*Q175*Ramure*Pc/MaxiM</f>
        <v>1.6545600453860075E-4</v>
      </c>
      <c r="Q175" s="304">
        <f t="shared" si="53"/>
        <v>0.5</v>
      </c>
      <c r="R175" s="176">
        <f t="shared" si="54"/>
        <v>0.96962365506936288</v>
      </c>
      <c r="S175" s="814">
        <f t="shared" si="55"/>
        <v>-1</v>
      </c>
      <c r="T175" s="175">
        <f t="shared" si="56"/>
        <v>5</v>
      </c>
      <c r="U175" s="250">
        <f t="shared" si="57"/>
        <v>-3.0376344930637178E-2</v>
      </c>
      <c r="V175" s="382">
        <f t="shared" si="58"/>
        <v>55.687145851856208</v>
      </c>
      <c r="W175" s="401">
        <f t="shared" si="59"/>
        <v>54.478628946894972</v>
      </c>
      <c r="X175" s="157">
        <f t="shared" si="60"/>
        <v>46183</v>
      </c>
      <c r="Y175" s="384">
        <f t="shared" si="61"/>
        <v>51.656813869479002</v>
      </c>
      <c r="Z175" s="384">
        <f t="shared" si="62"/>
        <v>55.013809773604194</v>
      </c>
      <c r="AA175" s="385">
        <f t="shared" si="63"/>
        <v>58.542341876029418</v>
      </c>
      <c r="AB175" s="196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6.0273162797233569E-2</v>
      </c>
      <c r="AD175" s="230">
        <f>(INDEX(Models!$BJ175:$BT175,,AH175)*(1-AF175)+INDEX(Models!$BJ175:$BT175,,AH175+1)*AF175-ERP_i)*AE175*Ramure*Pc/MaxiM</f>
        <v>1.120963413535344E-3</v>
      </c>
      <c r="AE175" s="304">
        <f t="shared" si="65"/>
        <v>0.5</v>
      </c>
      <c r="AF175" s="176">
        <f t="shared" si="66"/>
        <v>8.4616194893750052E-2</v>
      </c>
      <c r="AG175" s="814">
        <f t="shared" si="74"/>
        <v>2</v>
      </c>
      <c r="AH175" s="175">
        <f t="shared" si="67"/>
        <v>8</v>
      </c>
      <c r="AI175" s="224">
        <f t="shared" si="68"/>
        <v>2.0846161948937501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10">
        <f>'2025'!Wh/'2025'!Env_an*'2026'!Env_an</f>
        <v>52.017156524162949</v>
      </c>
      <c r="C176" s="843"/>
      <c r="D176" s="392">
        <f t="shared" si="50"/>
        <v>55.398781663616369</v>
      </c>
      <c r="E176" s="384">
        <f t="shared" si="75"/>
        <v>55.956212063966653</v>
      </c>
      <c r="F176" s="384">
        <f t="shared" si="51"/>
        <v>55.964800602126431</v>
      </c>
      <c r="G176" s="110">
        <f t="shared" si="76"/>
        <v>0.93498440604831767</v>
      </c>
      <c r="H176" s="413" t="b">
        <f>Wh_hp&gt;='2025'!Maxi_hp</f>
        <v>0</v>
      </c>
      <c r="I176" s="389">
        <f>IF(H176,Wh_hp,'2025'!Maxi_hp)</f>
        <v>55.965402983534126</v>
      </c>
      <c r="J176" s="85">
        <f>IF(H176,An,'2025'!An_max)</f>
        <v>2025</v>
      </c>
      <c r="K176" s="196">
        <f t="shared" si="52"/>
        <v>46184</v>
      </c>
      <c r="L176" s="147">
        <f>IF(t&lt;Tvie,1-EXP((T0-t)*PertePVj)+'2025'!Pspv,1-EXP((T0-t)*PertePVj)+Pspv)</f>
        <v>6.1041507374418137E-2</v>
      </c>
      <c r="M176" s="847"/>
      <c r="N176" s="847"/>
      <c r="O176" s="48">
        <f>IF(t&lt;Tnet,'2025'!Resal+('2025'!Salim-'2025'!Resal)*(1-EXP(('2025'!Tnet-t)/('2025'!Tau_j))),Resal+(Salim-Resal)*(1-EXP((Tnet-t)/(Tau_j))))*Salcycl</f>
        <v>9.9619037777799579E-3</v>
      </c>
      <c r="P176" s="168">
        <f>(INDEX(Models!$BJ176:$BT176,,T176)*(1-R176)+INDEX(Models!$BJ176:$BT176,,T176+1)*R176-ERP_i)*Q176*Ramure*Pc/MaxiM</f>
        <v>1.6917228746753457E-4</v>
      </c>
      <c r="Q176" s="304">
        <f t="shared" si="53"/>
        <v>0.5</v>
      </c>
      <c r="R176" s="176">
        <f t="shared" si="54"/>
        <v>0.97271072485596977</v>
      </c>
      <c r="S176" s="814">
        <f t="shared" si="55"/>
        <v>-1</v>
      </c>
      <c r="T176" s="175">
        <f t="shared" si="56"/>
        <v>5</v>
      </c>
      <c r="U176" s="250">
        <f t="shared" si="57"/>
        <v>-2.7289275144030262E-2</v>
      </c>
      <c r="V176" s="382">
        <f t="shared" si="58"/>
        <v>55.633376258374085</v>
      </c>
      <c r="W176" s="401">
        <f t="shared" si="59"/>
        <v>52.017156524162949</v>
      </c>
      <c r="X176" s="157">
        <f t="shared" si="60"/>
        <v>46184</v>
      </c>
      <c r="Y176" s="384">
        <f t="shared" si="61"/>
        <v>49.32611308588821</v>
      </c>
      <c r="Z176" s="384">
        <f t="shared" si="62"/>
        <v>52.532794019423648</v>
      </c>
      <c r="AA176" s="385">
        <f t="shared" si="63"/>
        <v>55.906992847680257</v>
      </c>
      <c r="AB176" s="196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6.0353788611912797E-2</v>
      </c>
      <c r="AD176" s="230">
        <f>(INDEX(Models!$BJ176:$BT176,,AH176)*(1-AF176)+INDEX(Models!$BJ176:$BT176,,AH176+1)*AF176-ERP_i)*AE176*Ramure*Pc/MaxiM</f>
        <v>1.1386652618976783E-3</v>
      </c>
      <c r="AE176" s="304">
        <f t="shared" si="65"/>
        <v>0.5</v>
      </c>
      <c r="AF176" s="176">
        <f t="shared" si="66"/>
        <v>8.7703264680357051E-2</v>
      </c>
      <c r="AG176" s="814">
        <f t="shared" si="74"/>
        <v>2</v>
      </c>
      <c r="AH176" s="175">
        <f t="shared" si="67"/>
        <v>8</v>
      </c>
      <c r="AI176" s="224">
        <f t="shared" si="68"/>
        <v>2.0877032646803571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10">
        <f>'2025'!Wh/'2025'!Env_an*'2026'!Env_an</f>
        <v>41.419011463175828</v>
      </c>
      <c r="C177" s="843"/>
      <c r="D177" s="392">
        <f t="shared" si="50"/>
        <v>44.112618216417516</v>
      </c>
      <c r="E177" s="384">
        <f t="shared" si="75"/>
        <v>44.561191911334959</v>
      </c>
      <c r="F177" s="384">
        <f t="shared" si="51"/>
        <v>44.566089949986477</v>
      </c>
      <c r="G177" s="110">
        <f t="shared" si="76"/>
        <v>0.74517328230193569</v>
      </c>
      <c r="H177" s="413" t="b">
        <f>Wh_hp&gt;='2025'!Maxi_hp</f>
        <v>0</v>
      </c>
      <c r="I177" s="389">
        <f>IF(H177,Wh_hp,'2025'!Maxi_hp)</f>
        <v>57.291729611874956</v>
      </c>
      <c r="J177" s="85">
        <f>IF(H177,An,'2025'!An_max)</f>
        <v>2019</v>
      </c>
      <c r="K177" s="196">
        <f t="shared" si="52"/>
        <v>46185</v>
      </c>
      <c r="L177" s="147">
        <f>IF(t&lt;Tvie,1-EXP((T0-t)*PertePVj)+'2025'!Pspv,1-EXP((T0-t)*PertePVj)+Pspv)</f>
        <v>6.1062046692100448E-2</v>
      </c>
      <c r="M177" s="847"/>
      <c r="N177" s="847"/>
      <c r="O177" s="48">
        <f>IF(t&lt;Tnet,'2025'!Resal+('2025'!Salim-'2025'!Resal)*(1-EXP(('2025'!Tnet-t)/('2025'!Tau_j))),Resal+(Salim-Resal)*(1-EXP((Tnet-t)/(Tau_j))))*Salcycl</f>
        <v>1.0066465363179384E-2</v>
      </c>
      <c r="P177" s="168">
        <f>(INDEX(Models!$BJ177:$BT177,,T177)*(1-R177)+INDEX(Models!$BJ177:$BT177,,T177+1)*R177-ERP_i)*Q177*Ramure*Pc/MaxiM</f>
        <v>1.727988694662935E-4</v>
      </c>
      <c r="Q177" s="304">
        <f t="shared" si="53"/>
        <v>0.5</v>
      </c>
      <c r="R177" s="176">
        <f t="shared" si="54"/>
        <v>0.9757951896425533</v>
      </c>
      <c r="S177" s="814">
        <f t="shared" si="55"/>
        <v>-1</v>
      </c>
      <c r="T177" s="175">
        <f t="shared" si="56"/>
        <v>5</v>
      </c>
      <c r="U177" s="250">
        <f t="shared" si="57"/>
        <v>-2.4204810357446732E-2</v>
      </c>
      <c r="V177" s="382">
        <f t="shared" si="58"/>
        <v>55.579564057043591</v>
      </c>
      <c r="W177" s="401">
        <f t="shared" si="59"/>
        <v>41.419011463175828</v>
      </c>
      <c r="X177" s="157">
        <f t="shared" si="60"/>
        <v>46185</v>
      </c>
      <c r="Y177" s="384">
        <f t="shared" si="61"/>
        <v>39.287062650333937</v>
      </c>
      <c r="Z177" s="384">
        <f t="shared" si="62"/>
        <v>41.842022161235178</v>
      </c>
      <c r="AA177" s="385">
        <f t="shared" si="63"/>
        <v>44.533332319108325</v>
      </c>
      <c r="AB177" s="196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6.0433612705832945E-2</v>
      </c>
      <c r="AD177" s="230">
        <f>(INDEX(Models!$BJ177:$BT177,,AH177)*(1-AF177)+INDEX(Models!$BJ177:$BT177,,AH177+1)*AF177-ERP_i)*AE177*Ramure*Pc/MaxiM</f>
        <v>1.1556629060868761E-3</v>
      </c>
      <c r="AE177" s="304">
        <f t="shared" si="65"/>
        <v>0.5</v>
      </c>
      <c r="AF177" s="176">
        <f t="shared" si="66"/>
        <v>9.0787729466940803E-2</v>
      </c>
      <c r="AG177" s="814">
        <f t="shared" si="74"/>
        <v>2</v>
      </c>
      <c r="AH177" s="175">
        <f t="shared" si="67"/>
        <v>8</v>
      </c>
      <c r="AI177" s="224">
        <f t="shared" si="68"/>
        <v>2.0907877294669408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10">
        <f>'2025'!Wh/'2025'!Env_an*'2026'!Env_an</f>
        <v>49.769121312848597</v>
      </c>
      <c r="C178" s="843"/>
      <c r="D178" s="392">
        <f t="shared" si="50"/>
        <v>53.006921106611031</v>
      </c>
      <c r="E178" s="384">
        <f t="shared" si="75"/>
        <v>53.551588577725148</v>
      </c>
      <c r="F178" s="384">
        <f t="shared" si="51"/>
        <v>53.559631189882737</v>
      </c>
      <c r="G178" s="110">
        <f t="shared" si="76"/>
        <v>0.89631633196050731</v>
      </c>
      <c r="H178" s="413" t="b">
        <f>Wh_hp&gt;='2025'!Maxi_hp</f>
        <v>0</v>
      </c>
      <c r="I178" s="389">
        <f>IF(H178,Wh_hp,'2025'!Maxi_hp)</f>
        <v>61.075275136442549</v>
      </c>
      <c r="J178" s="85">
        <f>IF(H178,An,'2025'!An_max)</f>
        <v>2019</v>
      </c>
      <c r="K178" s="196">
        <f t="shared" si="52"/>
        <v>46186</v>
      </c>
      <c r="L178" s="147">
        <f>IF(t&lt;Tvie,1-EXP((T0-t)*PertePVj)+'2025'!Pspv,1-EXP((T0-t)*PertePVj)+Pspv)</f>
        <v>6.1082585559918835E-2</v>
      </c>
      <c r="M178" s="847"/>
      <c r="N178" s="847"/>
      <c r="O178" s="48">
        <f>IF(t&lt;Tnet,'2025'!Resal+('2025'!Salim-'2025'!Resal)*(1-EXP(('2025'!Tnet-t)/('2025'!Tau_j))),Resal+(Salim-Resal)*(1-EXP((Tnet-t)/(Tau_j))))*Salcycl</f>
        <v>1.017089288254408E-2</v>
      </c>
      <c r="P178" s="168">
        <f>(INDEX(Models!$BJ178:$BT178,,T178)*(1-R178)+INDEX(Models!$BJ178:$BT178,,T178+1)*R178-ERP_i)*Q178*Ramure*Pc/MaxiM</f>
        <v>1.7626408969878104E-4</v>
      </c>
      <c r="Q178" s="304">
        <f t="shared" si="53"/>
        <v>0.5</v>
      </c>
      <c r="R178" s="176">
        <f t="shared" si="54"/>
        <v>0.97887445321451316</v>
      </c>
      <c r="S178" s="814">
        <f t="shared" si="55"/>
        <v>-1</v>
      </c>
      <c r="T178" s="175">
        <f t="shared" si="56"/>
        <v>5</v>
      </c>
      <c r="U178" s="250">
        <f t="shared" si="57"/>
        <v>-2.112554678548681E-2</v>
      </c>
      <c r="V178" s="382">
        <f t="shared" si="58"/>
        <v>55.524841238013714</v>
      </c>
      <c r="W178" s="401">
        <f t="shared" si="59"/>
        <v>49.769121312848597</v>
      </c>
      <c r="X178" s="157">
        <f t="shared" si="60"/>
        <v>46186</v>
      </c>
      <c r="Y178" s="384">
        <f t="shared" si="61"/>
        <v>47.197855785238005</v>
      </c>
      <c r="Z178" s="384">
        <f t="shared" si="62"/>
        <v>50.26837830394723</v>
      </c>
      <c r="AA178" s="385">
        <f t="shared" si="63"/>
        <v>53.506176162749924</v>
      </c>
      <c r="AB178" s="196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6.0512600432411259E-2</v>
      </c>
      <c r="AD178" s="230">
        <f>(INDEX(Models!$BJ178:$BT178,,AH178)*(1-AF178)+INDEX(Models!$BJ178:$BT178,,AH178+1)*AF178-ERP_i)*AE178*Ramure*Pc/MaxiM</f>
        <v>1.1715350078770057E-3</v>
      </c>
      <c r="AE178" s="304">
        <f t="shared" si="65"/>
        <v>0.5</v>
      </c>
      <c r="AF178" s="176">
        <f t="shared" si="66"/>
        <v>9.386699303890067E-2</v>
      </c>
      <c r="AG178" s="814">
        <f t="shared" si="74"/>
        <v>2</v>
      </c>
      <c r="AH178" s="175">
        <f t="shared" si="67"/>
        <v>8</v>
      </c>
      <c r="AI178" s="224">
        <f t="shared" si="68"/>
        <v>2.0938669930389007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10">
        <f>'2025'!Wh/'2025'!Env_an*'2026'!Env_an</f>
        <v>45.50915232370113</v>
      </c>
      <c r="C179" s="843"/>
      <c r="D179" s="392">
        <f t="shared" si="50"/>
        <v>48.47087415660878</v>
      </c>
      <c r="E179" s="384">
        <f t="shared" si="75"/>
        <v>48.974091617458065</v>
      </c>
      <c r="F179" s="384">
        <f t="shared" si="51"/>
        <v>48.980632611153773</v>
      </c>
      <c r="G179" s="110">
        <f t="shared" si="76"/>
        <v>0.82040213974537557</v>
      </c>
      <c r="H179" s="413" t="b">
        <f>Wh_hp&gt;='2025'!Maxi_hp</f>
        <v>0</v>
      </c>
      <c r="I179" s="389">
        <f>IF(H179,Wh_hp,'2025'!Maxi_hp)</f>
        <v>52.838885669161783</v>
      </c>
      <c r="J179" s="85">
        <f>IF(H179,An,'2025'!An_max)</f>
        <v>2021</v>
      </c>
      <c r="K179" s="196">
        <f t="shared" si="52"/>
        <v>46187</v>
      </c>
      <c r="L179" s="147">
        <f>IF(t&lt;Tvie,1-EXP((T0-t)*PertePVj)+'2025'!Pspv,1-EXP((T0-t)*PertePVj)+Pspv)</f>
        <v>6.1103123977883401E-2</v>
      </c>
      <c r="M179" s="847"/>
      <c r="N179" s="847"/>
      <c r="O179" s="48">
        <f>IF(t&lt;Tnet,'2025'!Resal+('2025'!Salim-'2025'!Resal)*(1-EXP(('2025'!Tnet-t)/('2025'!Tau_j))),Resal+(Salim-Resal)*(1-EXP((Tnet-t)/(Tau_j))))*Salcycl</f>
        <v>1.0275177021760279E-2</v>
      </c>
      <c r="P179" s="168">
        <f>(INDEX(Models!$BJ179:$BT179,,T179)*(1-R179)+INDEX(Models!$BJ179:$BT179,,T179+1)*R179-ERP_i)*Q179*Ramure*Pc/MaxiM</f>
        <v>1.7961671837206231E-4</v>
      </c>
      <c r="Q179" s="304">
        <f t="shared" si="53"/>
        <v>0.5</v>
      </c>
      <c r="R179" s="176">
        <f t="shared" si="54"/>
        <v>0.98194593686520881</v>
      </c>
      <c r="S179" s="814">
        <f t="shared" si="55"/>
        <v>-1</v>
      </c>
      <c r="T179" s="175">
        <f t="shared" si="56"/>
        <v>5</v>
      </c>
      <c r="U179" s="250">
        <f t="shared" si="57"/>
        <v>-1.8054063134791243E-2</v>
      </c>
      <c r="V179" s="382">
        <f t="shared" si="58"/>
        <v>55.469205939530234</v>
      </c>
      <c r="W179" s="401">
        <f t="shared" si="59"/>
        <v>45.50915232370113</v>
      </c>
      <c r="X179" s="157">
        <f t="shared" si="60"/>
        <v>46187</v>
      </c>
      <c r="Y179" s="384">
        <f t="shared" si="61"/>
        <v>43.163218719459358</v>
      </c>
      <c r="Z179" s="384">
        <f t="shared" si="62"/>
        <v>45.972267904790229</v>
      </c>
      <c r="AA179" s="385">
        <f t="shared" si="63"/>
        <v>48.937421486704508</v>
      </c>
      <c r="AB179" s="196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6.0590719572747913E-2</v>
      </c>
      <c r="AD179" s="230">
        <f>(INDEX(Models!$BJ179:$BT179,,AH179)*(1-AF179)+INDEX(Models!$BJ179:$BT179,,AH179+1)*AF179-ERP_i)*AE179*Ramure*Pc/MaxiM</f>
        <v>1.1865842915947695E-3</v>
      </c>
      <c r="AE179" s="304">
        <f t="shared" si="65"/>
        <v>0.5</v>
      </c>
      <c r="AF179" s="176">
        <f t="shared" si="66"/>
        <v>9.6938476689595987E-2</v>
      </c>
      <c r="AG179" s="814">
        <f t="shared" si="74"/>
        <v>2</v>
      </c>
      <c r="AH179" s="175">
        <f t="shared" si="67"/>
        <v>8</v>
      </c>
      <c r="AI179" s="224">
        <f t="shared" si="68"/>
        <v>2.096938476689596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10">
        <f>'2025'!Wh/'2025'!Env_an*'2026'!Env_an</f>
        <v>51.144196048332248</v>
      </c>
      <c r="C180" s="843"/>
      <c r="D180" s="392">
        <f t="shared" si="50"/>
        <v>54.473836409956341</v>
      </c>
      <c r="E180" s="384">
        <f t="shared" si="75"/>
        <v>55.045167194291075</v>
      </c>
      <c r="F180" s="384">
        <f t="shared" si="51"/>
        <v>55.054126061861055</v>
      </c>
      <c r="G180" s="110">
        <f t="shared" si="76"/>
        <v>0.92295095304295094</v>
      </c>
      <c r="H180" s="413" t="b">
        <f>Wh_hp&gt;='2025'!Maxi_hp</f>
        <v>0</v>
      </c>
      <c r="I180" s="389">
        <f>IF(H180,Wh_hp,'2025'!Maxi_hp)</f>
        <v>55.054864369458969</v>
      </c>
      <c r="J180" s="85">
        <f>IF(H180,An,'2025'!An_max)</f>
        <v>2025</v>
      </c>
      <c r="K180" s="196">
        <f t="shared" si="52"/>
        <v>46188</v>
      </c>
      <c r="L180" s="147">
        <f>IF(t&lt;Tvie,1-EXP((T0-t)*PertePVj)+'2025'!Pspv,1-EXP((T0-t)*PertePVj)+Pspv)</f>
        <v>6.1123661946003917E-2</v>
      </c>
      <c r="M180" s="847"/>
      <c r="N180" s="847"/>
      <c r="O180" s="48">
        <f>IF(t&lt;Tnet,'2025'!Resal+('2025'!Salim-'2025'!Resal)*(1-EXP(('2025'!Tnet-t)/('2025'!Tau_j))),Resal+(Salim-Resal)*(1-EXP((Tnet-t)/(Tau_j))))*Salcycl</f>
        <v>1.0379308728741371E-2</v>
      </c>
      <c r="P180" s="168">
        <f>(INDEX(Models!$BJ180:$BT180,,T180)*(1-R180)+INDEX(Models!$BJ180:$BT180,,T180+1)*R180-ERP_i)*Q180*Ramure*Pc/MaxiM</f>
        <v>1.8284979602867159E-4</v>
      </c>
      <c r="Q180" s="304">
        <f t="shared" si="53"/>
        <v>0.5</v>
      </c>
      <c r="R180" s="176">
        <f t="shared" si="54"/>
        <v>0.98500708799349279</v>
      </c>
      <c r="S180" s="814">
        <f t="shared" si="55"/>
        <v>-1</v>
      </c>
      <c r="T180" s="175">
        <f t="shared" si="56"/>
        <v>5</v>
      </c>
      <c r="U180" s="250">
        <f t="shared" si="57"/>
        <v>-1.4992912006507236E-2</v>
      </c>
      <c r="V180" s="382">
        <f t="shared" si="58"/>
        <v>55.412659380745112</v>
      </c>
      <c r="W180" s="401">
        <f t="shared" si="59"/>
        <v>51.144196048332248</v>
      </c>
      <c r="X180" s="157">
        <f t="shared" si="60"/>
        <v>46188</v>
      </c>
      <c r="Y180" s="384">
        <f t="shared" si="61"/>
        <v>48.501263822282645</v>
      </c>
      <c r="Z180" s="384">
        <f t="shared" si="62"/>
        <v>51.658841379271472</v>
      </c>
      <c r="AA180" s="385">
        <f t="shared" si="63"/>
        <v>54.995292510588015</v>
      </c>
      <c r="AB180" s="196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6.0667940454615932E-2</v>
      </c>
      <c r="AD180" s="230">
        <f>(INDEX(Models!$BJ180:$BT180,,AH180)*(1-AF180)+INDEX(Models!$BJ180:$BT180,,AH180+1)*AF180-ERP_i)*AE180*Ramure*Pc/MaxiM</f>
        <v>1.2007882431438878E-3</v>
      </c>
      <c r="AE180" s="304">
        <f t="shared" si="65"/>
        <v>0.5</v>
      </c>
      <c r="AF180" s="176">
        <f t="shared" si="66"/>
        <v>9.9999627817880299E-2</v>
      </c>
      <c r="AG180" s="814">
        <f t="shared" si="74"/>
        <v>2</v>
      </c>
      <c r="AH180" s="175">
        <f t="shared" si="67"/>
        <v>8</v>
      </c>
      <c r="AI180" s="224">
        <f t="shared" si="68"/>
        <v>2.0999996278178803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10">
        <f>'2025'!Wh/'2025'!Env_an*'2026'!Env_an</f>
        <v>48.54642259677621</v>
      </c>
      <c r="C181" s="843"/>
      <c r="D181" s="392">
        <f t="shared" si="50"/>
        <v>51.708071217194046</v>
      </c>
      <c r="E181" s="384">
        <f t="shared" si="75"/>
        <v>52.255884244279187</v>
      </c>
      <c r="F181" s="384">
        <f t="shared" si="51"/>
        <v>52.263895295464749</v>
      </c>
      <c r="G181" s="110">
        <f t="shared" si="76"/>
        <v>0.87696970927996531</v>
      </c>
      <c r="H181" s="413" t="b">
        <f>Wh_hp&gt;='2025'!Maxi_hp</f>
        <v>0</v>
      </c>
      <c r="I181" s="389">
        <f>IF(H181,Wh_hp,'2025'!Maxi_hp)</f>
        <v>60.496565061953568</v>
      </c>
      <c r="J181" s="85">
        <f>IF(H181,An,'2025'!An_max)</f>
        <v>2019</v>
      </c>
      <c r="K181" s="196">
        <f t="shared" si="52"/>
        <v>46189</v>
      </c>
      <c r="L181" s="147">
        <f>IF(t&lt;Tvie,1-EXP((T0-t)*PertePVj)+'2025'!Pspv,1-EXP((T0-t)*PertePVj)+Pspv)</f>
        <v>6.1144199464290151E-2</v>
      </c>
      <c r="M181" s="847"/>
      <c r="N181" s="847"/>
      <c r="O181" s="48">
        <f>IF(t&lt;Tnet,'2025'!Resal+('2025'!Salim-'2025'!Resal)*(1-EXP(('2025'!Tnet-t)/('2025'!Tau_j))),Resal+(Salim-Resal)*(1-EXP((Tnet-t)/(Tau_j))))*Salcycl</f>
        <v>1.0483279251850173E-2</v>
      </c>
      <c r="P181" s="168">
        <f>(INDEX(Models!$BJ181:$BT181,,T181)*(1-R181)+INDEX(Models!$BJ181:$BT181,,T181+1)*R181-ERP_i)*Q181*Ramure*Pc/MaxiM</f>
        <v>1.8595642362559796E-4</v>
      </c>
      <c r="Q181" s="304">
        <f t="shared" si="53"/>
        <v>0.5</v>
      </c>
      <c r="R181" s="176">
        <f t="shared" si="54"/>
        <v>0.98805538851565589</v>
      </c>
      <c r="S181" s="814">
        <f t="shared" si="55"/>
        <v>-1</v>
      </c>
      <c r="T181" s="175">
        <f t="shared" si="56"/>
        <v>5</v>
      </c>
      <c r="U181" s="250">
        <f t="shared" si="57"/>
        <v>-1.1944611484344086E-2</v>
      </c>
      <c r="V181" s="382">
        <f t="shared" si="58"/>
        <v>55.355202756495771</v>
      </c>
      <c r="W181" s="401">
        <f t="shared" si="59"/>
        <v>48.54642259677621</v>
      </c>
      <c r="X181" s="157">
        <f t="shared" si="60"/>
        <v>46189</v>
      </c>
      <c r="Y181" s="384">
        <f t="shared" si="61"/>
        <v>46.041523467786931</v>
      </c>
      <c r="Z181" s="384">
        <f t="shared" si="62"/>
        <v>49.040037289555755</v>
      </c>
      <c r="AA181" s="385">
        <f t="shared" si="63"/>
        <v>52.211590465782486</v>
      </c>
      <c r="AB181" s="196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6.0744236058184201E-2</v>
      </c>
      <c r="AD181" s="230">
        <f>(INDEX(Models!$BJ181:$BT181,,AH181)*(1-AF181)+INDEX(Models!$BJ181:$BT181,,AH181+1)*AF181-ERP_i)*AE181*Ramure*Pc/MaxiM</f>
        <v>1.2141251929064911E-3</v>
      </c>
      <c r="AE181" s="304">
        <f t="shared" si="65"/>
        <v>0.5</v>
      </c>
      <c r="AF181" s="176">
        <f t="shared" si="66"/>
        <v>0.10304792834004317</v>
      </c>
      <c r="AG181" s="814">
        <f t="shared" si="74"/>
        <v>2</v>
      </c>
      <c r="AH181" s="175">
        <f t="shared" si="67"/>
        <v>8</v>
      </c>
      <c r="AI181" s="224">
        <f t="shared" si="68"/>
        <v>2.1030479283400432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10">
        <f>'2025'!Wh/'2025'!Env_an*'2026'!Env_an</f>
        <v>49.085508224820877</v>
      </c>
      <c r="C182" s="843"/>
      <c r="D182" s="392">
        <f t="shared" si="50"/>
        <v>52.283409171851233</v>
      </c>
      <c r="E182" s="384">
        <f t="shared" si="75"/>
        <v>52.842860775647345</v>
      </c>
      <c r="F182" s="384">
        <f t="shared" si="51"/>
        <v>52.851243657207746</v>
      </c>
      <c r="G182" s="110">
        <f t="shared" si="76"/>
        <v>0.88764606293557602</v>
      </c>
      <c r="H182" s="413" t="b">
        <f>Wh_hp&gt;='2025'!Maxi_hp</f>
        <v>0</v>
      </c>
      <c r="I182" s="389">
        <f>IF(H182,Wh_hp,'2025'!Maxi_hp)</f>
        <v>59.643028752560177</v>
      </c>
      <c r="J182" s="85">
        <f>IF(H182,An,'2025'!An_max)</f>
        <v>2019</v>
      </c>
      <c r="K182" s="196">
        <f t="shared" si="52"/>
        <v>46190</v>
      </c>
      <c r="L182" s="147">
        <f>IF(t&lt;Tvie,1-EXP((T0-t)*PertePVj)+'2025'!Pspv,1-EXP((T0-t)*PertePVj)+Pspv)</f>
        <v>6.1164736532752097E-2</v>
      </c>
      <c r="M182" s="847"/>
      <c r="N182" s="847"/>
      <c r="O182" s="48">
        <f>IF(t&lt;Tnet,'2025'!Resal+('2025'!Salim-'2025'!Resal)*(1-EXP(('2025'!Tnet-t)/('2025'!Tau_j))),Resal+(Salim-Resal)*(1-EXP((Tnet-t)/(Tau_j))))*Salcycl</f>
        <v>1.0587080176664721E-2</v>
      </c>
      <c r="P182" s="168">
        <f>(INDEX(Models!$BJ182:$BT182,,T182)*(1-R182)+INDEX(Models!$BJ182:$BT182,,T182+1)*R182-ERP_i)*Q182*Ramure*Pc/MaxiM</f>
        <v>1.8892978771438781E-4</v>
      </c>
      <c r="Q182" s="304">
        <f t="shared" si="53"/>
        <v>0.5</v>
      </c>
      <c r="R182" s="176">
        <f t="shared" si="54"/>
        <v>0.99108836303345182</v>
      </c>
      <c r="S182" s="814">
        <f t="shared" si="55"/>
        <v>-1</v>
      </c>
      <c r="T182" s="175">
        <f t="shared" si="56"/>
        <v>5</v>
      </c>
      <c r="U182" s="250">
        <f t="shared" si="57"/>
        <v>-8.9116369665482031E-3</v>
      </c>
      <c r="V182" s="382">
        <f t="shared" si="58"/>
        <v>55.29683723222454</v>
      </c>
      <c r="W182" s="401">
        <f t="shared" si="59"/>
        <v>49.085508224820877</v>
      </c>
      <c r="X182" s="157">
        <f t="shared" si="60"/>
        <v>46190</v>
      </c>
      <c r="Y182" s="384">
        <f t="shared" si="61"/>
        <v>46.552840884293055</v>
      </c>
      <c r="Z182" s="384">
        <f t="shared" si="62"/>
        <v>49.585739581582189</v>
      </c>
      <c r="AA182" s="385">
        <f t="shared" si="63"/>
        <v>52.796820117758095</v>
      </c>
      <c r="AB182" s="196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6.0819582107670717E-2</v>
      </c>
      <c r="AD182" s="230">
        <f>(INDEX(Models!$BJ182:$BT182,,AH182)*(1-AF182)+INDEX(Models!$BJ182:$BT182,,AH182+1)*AF182-ERP_i)*AE182*Ramure*Pc/MaxiM</f>
        <v>1.2265743802772377E-3</v>
      </c>
      <c r="AE182" s="304">
        <f t="shared" si="65"/>
        <v>0.5</v>
      </c>
      <c r="AF182" s="176">
        <f t="shared" si="66"/>
        <v>0.10608090285783911</v>
      </c>
      <c r="AG182" s="814">
        <f t="shared" si="74"/>
        <v>2</v>
      </c>
      <c r="AH182" s="175">
        <f t="shared" si="67"/>
        <v>8</v>
      </c>
      <c r="AI182" s="224">
        <f t="shared" si="68"/>
        <v>2.1060809028578391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10">
        <f>'2025'!Wh/'2025'!Env_an*'2026'!Env_an</f>
        <v>51.630649411691863</v>
      </c>
      <c r="C183" s="843"/>
      <c r="D183" s="392">
        <f t="shared" si="50"/>
        <v>54.995568278956242</v>
      </c>
      <c r="E183" s="384">
        <f t="shared" si="75"/>
        <v>55.589863019929396</v>
      </c>
      <c r="F183" s="384">
        <f t="shared" si="51"/>
        <v>55.59953038310897</v>
      </c>
      <c r="G183" s="110">
        <f t="shared" si="76"/>
        <v>0.93468505820413272</v>
      </c>
      <c r="H183" s="413" t="b">
        <f>Wh_hp&gt;='2025'!Maxi_hp</f>
        <v>0</v>
      </c>
      <c r="I183" s="389">
        <f>IF(H183,Wh_hp,'2025'!Maxi_hp)</f>
        <v>57.817123290426146</v>
      </c>
      <c r="J183" s="85">
        <f>IF(H183,An,'2025'!An_max)</f>
        <v>2019</v>
      </c>
      <c r="K183" s="196">
        <f t="shared" si="52"/>
        <v>46191</v>
      </c>
      <c r="L183" s="147">
        <f>IF(t&lt;Tvie,1-EXP((T0-t)*PertePVj)+'2025'!Pspv,1-EXP((T0-t)*PertePVj)+Pspv)</f>
        <v>6.1185273151399412E-2</v>
      </c>
      <c r="M183" s="847"/>
      <c r="N183" s="847"/>
      <c r="O183" s="48">
        <f>IF(t&lt;Tnet,'2025'!Resal+('2025'!Salim-'2025'!Resal)*(1-EXP(('2025'!Tnet-t)/('2025'!Tau_j))),Resal+(Salim-Resal)*(1-EXP((Tnet-t)/(Tau_j))))*Salcycl</f>
        <v>1.0690703460810773E-2</v>
      </c>
      <c r="P183" s="168">
        <f>(INDEX(Models!$BJ183:$BT183,,T183)*(1-R183)+INDEX(Models!$BJ183:$BT183,,T183+1)*R183-ERP_i)*Q183*Ramure*Pc/MaxiM</f>
        <v>1.9176318476683723E-4</v>
      </c>
      <c r="Q183" s="304">
        <f t="shared" si="53"/>
        <v>0.5</v>
      </c>
      <c r="R183" s="176">
        <f t="shared" si="54"/>
        <v>0.99410358670281496</v>
      </c>
      <c r="S183" s="814">
        <f t="shared" si="55"/>
        <v>-1</v>
      </c>
      <c r="T183" s="175">
        <f t="shared" si="56"/>
        <v>5</v>
      </c>
      <c r="U183" s="250">
        <f t="shared" si="57"/>
        <v>-5.8964132971850436E-3</v>
      </c>
      <c r="V183" s="382">
        <f t="shared" si="58"/>
        <v>55.237563941464884</v>
      </c>
      <c r="W183" s="401">
        <f t="shared" si="59"/>
        <v>51.630649411691863</v>
      </c>
      <c r="X183" s="157">
        <f t="shared" si="60"/>
        <v>46191</v>
      </c>
      <c r="Y183" s="384">
        <f t="shared" si="61"/>
        <v>48.964106091238577</v>
      </c>
      <c r="Z183" s="384">
        <f t="shared" si="62"/>
        <v>52.155238611989574</v>
      </c>
      <c r="AA183" s="385">
        <f t="shared" si="63"/>
        <v>55.537113203542177</v>
      </c>
      <c r="AB183" s="196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6.0893957148224785E-2</v>
      </c>
      <c r="AD183" s="230">
        <f>(INDEX(Models!$BJ183:$BT183,,AH183)*(1-AF183)+INDEX(Models!$BJ183:$BT183,,AH183+1)*AF183-ERP_i)*AE183*Ramure*Pc/MaxiM</f>
        <v>1.2381160111150985E-3</v>
      </c>
      <c r="AE183" s="304">
        <f t="shared" si="65"/>
        <v>0.5</v>
      </c>
      <c r="AF183" s="176">
        <f t="shared" si="66"/>
        <v>0.10909612652720213</v>
      </c>
      <c r="AG183" s="814">
        <f t="shared" si="74"/>
        <v>2</v>
      </c>
      <c r="AH183" s="175">
        <f t="shared" si="67"/>
        <v>8</v>
      </c>
      <c r="AI183" s="224">
        <f t="shared" si="68"/>
        <v>2.1090961265272021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10">
        <f>'2025'!Wh/'2025'!Env_an*'2026'!Env_an</f>
        <v>52.91498847210844</v>
      </c>
      <c r="C184" s="843"/>
      <c r="D184" s="392">
        <f t="shared" si="50"/>
        <v>56.364844390221457</v>
      </c>
      <c r="E184" s="384">
        <f t="shared" si="75"/>
        <v>56.979893420554511</v>
      </c>
      <c r="F184" s="384">
        <f t="shared" si="51"/>
        <v>56.990322193203632</v>
      </c>
      <c r="G184" s="110">
        <f t="shared" si="76"/>
        <v>0.95898678477565547</v>
      </c>
      <c r="H184" s="413" t="b">
        <f>Wh_hp&gt;='2025'!Maxi_hp</f>
        <v>0</v>
      </c>
      <c r="I184" s="389">
        <f>IF(H184,Wh_hp,'2025'!Maxi_hp)</f>
        <v>56.990743351659056</v>
      </c>
      <c r="J184" s="85">
        <f>IF(H184,An,'2025'!An_max)</f>
        <v>2025</v>
      </c>
      <c r="K184" s="196">
        <f t="shared" si="52"/>
        <v>46192</v>
      </c>
      <c r="L184" s="147">
        <f>IF(t&lt;Tvie,1-EXP((T0-t)*PertePVj)+'2025'!Pspv,1-EXP((T0-t)*PertePVj)+Pspv)</f>
        <v>6.1205809320242201E-2</v>
      </c>
      <c r="M184" s="847"/>
      <c r="N184" s="847"/>
      <c r="O184" s="48">
        <f>IF(t&lt;Tnet,'2025'!Resal+('2025'!Salim-'2025'!Resal)*(1-EXP(('2025'!Tnet-t)/('2025'!Tau_j))),Resal+(Salim-Resal)*(1-EXP((Tnet-t)/(Tau_j))))*Salcycl</f>
        <v>1.0794141466596447E-2</v>
      </c>
      <c r="P184" s="168">
        <f>(INDEX(Models!$BJ184:$BT184,,T184)*(1-R184)+INDEX(Models!$BJ184:$BT184,,T184+1)*R184-ERP_i)*Q184*Ramure*Pc/MaxiM</f>
        <v>1.9437760425459401E-4</v>
      </c>
      <c r="Q184" s="304">
        <f t="shared" si="53"/>
        <v>0.5</v>
      </c>
      <c r="R184" s="176">
        <f t="shared" si="54"/>
        <v>0.99709869275146246</v>
      </c>
      <c r="S184" s="814">
        <f t="shared" si="55"/>
        <v>-1</v>
      </c>
      <c r="T184" s="175">
        <f t="shared" si="56"/>
        <v>5</v>
      </c>
      <c r="U184" s="250">
        <f t="shared" si="57"/>
        <v>-2.9013072485375435E-3</v>
      </c>
      <c r="V184" s="382">
        <f t="shared" si="58"/>
        <v>55.17738798114955</v>
      </c>
      <c r="W184" s="401">
        <f t="shared" si="59"/>
        <v>52.91498847210844</v>
      </c>
      <c r="X184" s="157">
        <f t="shared" si="60"/>
        <v>46192</v>
      </c>
      <c r="Y184" s="384">
        <f t="shared" si="61"/>
        <v>50.181256032543459</v>
      </c>
      <c r="Z184" s="384">
        <f t="shared" si="62"/>
        <v>53.452882996866911</v>
      </c>
      <c r="AA184" s="385">
        <f t="shared" si="63"/>
        <v>56.923348273415151</v>
      </c>
      <c r="AB184" s="196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6.0967342607445421E-2</v>
      </c>
      <c r="AD184" s="230">
        <f>(INDEX(Models!$BJ184:$BT184,,AH184)*(1-AF184)+INDEX(Models!$BJ184:$BT184,,AH184+1)*AF184-ERP_i)*AE184*Ramure*Pc/MaxiM</f>
        <v>1.2482993458607118E-3</v>
      </c>
      <c r="AE184" s="304">
        <f t="shared" si="65"/>
        <v>0.5</v>
      </c>
      <c r="AF184" s="176">
        <f t="shared" si="66"/>
        <v>0.11209123257584963</v>
      </c>
      <c r="AG184" s="814">
        <f t="shared" si="74"/>
        <v>2</v>
      </c>
      <c r="AH184" s="175">
        <f t="shared" si="67"/>
        <v>8</v>
      </c>
      <c r="AI184" s="224">
        <f t="shared" si="68"/>
        <v>2.1120912325758496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10">
        <f>'2025'!Wh/'2025'!Env_an*'2026'!Env_an</f>
        <v>30.397569659014064</v>
      </c>
      <c r="C185" s="843"/>
      <c r="D185" s="392">
        <f t="shared" si="50"/>
        <v>32.380083844903254</v>
      </c>
      <c r="E185" s="384">
        <f t="shared" si="75"/>
        <v>32.736829747527068</v>
      </c>
      <c r="F185" s="384">
        <f t="shared" si="51"/>
        <v>32.739145282087044</v>
      </c>
      <c r="G185" s="110">
        <f t="shared" si="76"/>
        <v>0.55144725514455861</v>
      </c>
      <c r="H185" s="413" t="b">
        <f>Wh_hp&gt;='2025'!Maxi_hp</f>
        <v>0</v>
      </c>
      <c r="I185" s="389">
        <f>IF(H185,Wh_hp,'2025'!Maxi_hp)</f>
        <v>58.21085404536079</v>
      </c>
      <c r="J185" s="85">
        <f>IF(H185,An,'2025'!An_max)</f>
        <v>2020</v>
      </c>
      <c r="K185" s="196">
        <f t="shared" si="52"/>
        <v>46193</v>
      </c>
      <c r="L185" s="147">
        <f>IF(t&lt;Tvie,1-EXP((T0-t)*PertePVj)+'2025'!Pspv,1-EXP((T0-t)*PertePVj)+Pspv)</f>
        <v>6.1226345039290121E-2</v>
      </c>
      <c r="M185" s="847"/>
      <c r="N185" s="847"/>
      <c r="O185" s="48">
        <f>IF(t&lt;Tnet,'2025'!Resal+('2025'!Salim-'2025'!Resal)*(1-EXP(('2025'!Tnet-t)/('2025'!Tau_j))),Resal+(Salim-Resal)*(1-EXP((Tnet-t)/(Tau_j))))*Salcycl</f>
        <v>1.0897386991199579E-2</v>
      </c>
      <c r="P185" s="168">
        <f>(INDEX(Models!$BJ185:$BT185,,T185)*(1-R185)+INDEX(Models!$BJ185:$BT185,,T185+1)*R185-ERP_i)*Q185*Ramure*Pc/MaxiM</f>
        <v>1.9684072097129584E-4</v>
      </c>
      <c r="Q185" s="304">
        <f t="shared" si="53"/>
        <v>0.5</v>
      </c>
      <c r="R185" s="176">
        <f t="shared" si="54"/>
        <v>7.1379597711834775E-5</v>
      </c>
      <c r="S185" s="814">
        <f t="shared" si="55"/>
        <v>0</v>
      </c>
      <c r="T185" s="175">
        <f t="shared" si="56"/>
        <v>6</v>
      </c>
      <c r="U185" s="250">
        <f t="shared" si="57"/>
        <v>7.1379597711834775E-5</v>
      </c>
      <c r="V185" s="382">
        <f t="shared" si="58"/>
        <v>55.116306314379955</v>
      </c>
      <c r="W185" s="401">
        <f t="shared" si="59"/>
        <v>30.397569659014064</v>
      </c>
      <c r="X185" s="157">
        <f t="shared" si="60"/>
        <v>46193</v>
      </c>
      <c r="Y185" s="384">
        <f t="shared" si="61"/>
        <v>28.845573342506746</v>
      </c>
      <c r="Z185" s="384">
        <f t="shared" si="62"/>
        <v>30.72686711017046</v>
      </c>
      <c r="AA185" s="385">
        <f t="shared" si="63"/>
        <v>32.724352518023707</v>
      </c>
      <c r="AB185" s="196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6.1039722841058096E-2</v>
      </c>
      <c r="AD185" s="230">
        <f>(INDEX(Models!$BJ185:$BT185,,AH185)*(1-AF185)+INDEX(Models!$BJ185:$BT185,,AH185+1)*AF185-ERP_i)*AE185*Ramure*Pc/MaxiM</f>
        <v>1.2575145254641337E-3</v>
      </c>
      <c r="AE185" s="304">
        <f t="shared" si="65"/>
        <v>0.5</v>
      </c>
      <c r="AF185" s="176">
        <f t="shared" si="66"/>
        <v>0.11506391942209904</v>
      </c>
      <c r="AG185" s="814">
        <f t="shared" si="74"/>
        <v>2</v>
      </c>
      <c r="AH185" s="175">
        <f t="shared" si="67"/>
        <v>8</v>
      </c>
      <c r="AI185" s="224">
        <f t="shared" si="68"/>
        <v>2.115063919422099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10">
        <f>'2025'!Wh/'2025'!Env_an*'2026'!Env_an</f>
        <v>18.603764414496332</v>
      </c>
      <c r="C186" s="843"/>
      <c r="D186" s="392">
        <f t="shared" si="50"/>
        <v>19.817526061176864</v>
      </c>
      <c r="E186" s="384">
        <f t="shared" si="75"/>
        <v>20.037952217901783</v>
      </c>
      <c r="F186" s="384">
        <f t="shared" si="51"/>
        <v>20.038168530498105</v>
      </c>
      <c r="G186" s="110">
        <f t="shared" si="76"/>
        <v>0.33785287597700364</v>
      </c>
      <c r="H186" s="413" t="b">
        <f>Wh_hp&gt;='2025'!Maxi_hp</f>
        <v>0</v>
      </c>
      <c r="I186" s="389">
        <f>IF(H186,Wh_hp,'2025'!Maxi_hp)</f>
        <v>52.532940622341521</v>
      </c>
      <c r="J186" s="85">
        <f>IF(H186,An,'2025'!An_max)</f>
        <v>2020</v>
      </c>
      <c r="K186" s="196">
        <f t="shared" si="52"/>
        <v>46194</v>
      </c>
      <c r="L186" s="147">
        <f>IF(t&lt;Tvie,1-EXP((T0-t)*PertePVj)+'2025'!Pspv,1-EXP((T0-t)*PertePVj)+Pspv)</f>
        <v>6.1246880308553166E-2</v>
      </c>
      <c r="M186" s="847"/>
      <c r="N186" s="847"/>
      <c r="O186" s="48">
        <f>IF(t&lt;Tnet,'2025'!Resal+('2025'!Salim-'2025'!Resal)*(1-EXP(('2025'!Tnet-t)/('2025'!Tau_j))),Resal+(Salim-Resal)*(1-EXP((Tnet-t)/(Tau_j))))*Salcycl</f>
        <v>1.1000433294176243E-2</v>
      </c>
      <c r="P186" s="168">
        <f>(INDEX(Models!$BJ186:$BT186,,T186)*(1-R186)+INDEX(Models!$BJ186:$BT186,,T186+1)*R186-ERP_i)*Q186*Ramure*Pc/MaxiM</f>
        <v>1.9929332053209215E-4</v>
      </c>
      <c r="Q186" s="304">
        <f t="shared" si="53"/>
        <v>0.5</v>
      </c>
      <c r="R186" s="176">
        <f t="shared" si="54"/>
        <v>3.0194175274878554E-3</v>
      </c>
      <c r="S186" s="814">
        <f t="shared" si="55"/>
        <v>0</v>
      </c>
      <c r="T186" s="175">
        <f t="shared" si="56"/>
        <v>6</v>
      </c>
      <c r="U186" s="250">
        <f t="shared" si="57"/>
        <v>3.0194175274878554E-3</v>
      </c>
      <c r="V186" s="382">
        <f t="shared" si="58"/>
        <v>55.054311865869515</v>
      </c>
      <c r="W186" s="401">
        <f t="shared" si="59"/>
        <v>18.603764414496332</v>
      </c>
      <c r="X186" s="157">
        <f t="shared" si="60"/>
        <v>46194</v>
      </c>
      <c r="Y186" s="384">
        <f t="shared" si="61"/>
        <v>17.660128244174146</v>
      </c>
      <c r="Z186" s="384">
        <f t="shared" si="62"/>
        <v>18.812324426659426</v>
      </c>
      <c r="AA186" s="385">
        <f t="shared" si="63"/>
        <v>20.036794693558871</v>
      </c>
      <c r="AB186" s="196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6.1111085162392283E-2</v>
      </c>
      <c r="AD186" s="230">
        <f>(INDEX(Models!$BJ186:$BT186,,AH186)*(1-AF186)+INDEX(Models!$BJ186:$BT186,,AH186+1)*AF186-ERP_i)*AE186*Ramure*Pc/MaxiM</f>
        <v>1.2657447145683935E-3</v>
      </c>
      <c r="AE186" s="304">
        <f t="shared" si="65"/>
        <v>0.5</v>
      </c>
      <c r="AF186" s="176">
        <f t="shared" si="66"/>
        <v>0.1180119573518752</v>
      </c>
      <c r="AG186" s="814">
        <f t="shared" si="74"/>
        <v>2</v>
      </c>
      <c r="AH186" s="175">
        <f t="shared" si="67"/>
        <v>8</v>
      </c>
      <c r="AI186" s="224">
        <f t="shared" si="68"/>
        <v>2.1180119573518752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10">
        <f>'2025'!Wh/'2025'!Env_an*'2026'!Env_an</f>
        <v>44.422197895314241</v>
      </c>
      <c r="C187" s="843"/>
      <c r="D187" s="392">
        <f t="shared" si="50"/>
        <v>47.321461522903597</v>
      </c>
      <c r="E187" s="384">
        <f t="shared" si="75"/>
        <v>47.852784102296027</v>
      </c>
      <c r="F187" s="384">
        <f t="shared" si="51"/>
        <v>47.859782711723817</v>
      </c>
      <c r="G187" s="110">
        <f t="shared" si="76"/>
        <v>0.80775771562827459</v>
      </c>
      <c r="H187" s="413" t="b">
        <f>Wh_hp&gt;='2025'!Maxi_hp</f>
        <v>0</v>
      </c>
      <c r="I187" s="389">
        <f>IF(H187,Wh_hp,'2025'!Maxi_hp)</f>
        <v>59.462179190219061</v>
      </c>
      <c r="J187" s="85">
        <f>IF(H187,An,'2025'!An_max)</f>
        <v>2020</v>
      </c>
      <c r="K187" s="196">
        <f t="shared" si="52"/>
        <v>46195</v>
      </c>
      <c r="L187" s="147">
        <f>IF(t&lt;Tvie,1-EXP((T0-t)*PertePVj)+'2025'!Pspv,1-EXP((T0-t)*PertePVj)+Pspv)</f>
        <v>6.1267415128040993E-2</v>
      </c>
      <c r="M187" s="847"/>
      <c r="N187" s="847"/>
      <c r="O187" s="48">
        <f>IF(t&lt;Tnet,'2025'!Resal+('2025'!Salim-'2025'!Resal)*(1-EXP(('2025'!Tnet-t)/('2025'!Tau_j))),Resal+(Salim-Resal)*(1-EXP((Tnet-t)/(Tau_j))))*Salcycl</f>
        <v>1.1103274122078457E-2</v>
      </c>
      <c r="P187" s="168">
        <f>(INDEX(Models!$BJ187:$BT187,,T187)*(1-R187)+INDEX(Models!$BJ187:$BT187,,T187+1)*R187-ERP_i)*Q187*Ramure*Pc/MaxiM</f>
        <v>2.0157854158805207E-4</v>
      </c>
      <c r="Q187" s="304">
        <f t="shared" si="53"/>
        <v>0.5</v>
      </c>
      <c r="R187" s="176">
        <f t="shared" si="54"/>
        <v>5.9406548915404145E-3</v>
      </c>
      <c r="S187" s="814">
        <f t="shared" si="55"/>
        <v>0</v>
      </c>
      <c r="T187" s="175">
        <f t="shared" si="56"/>
        <v>6</v>
      </c>
      <c r="U187" s="250">
        <f t="shared" si="57"/>
        <v>5.9406548915404145E-3</v>
      </c>
      <c r="V187" s="382">
        <f t="shared" si="58"/>
        <v>54.991413935853167</v>
      </c>
      <c r="W187" s="401">
        <f t="shared" si="59"/>
        <v>44.422197895314241</v>
      </c>
      <c r="X187" s="157">
        <f t="shared" si="60"/>
        <v>46195</v>
      </c>
      <c r="Y187" s="384">
        <f t="shared" si="61"/>
        <v>42.139856714958874</v>
      </c>
      <c r="Z187" s="384">
        <f t="shared" si="62"/>
        <v>44.890160833936172</v>
      </c>
      <c r="AA187" s="385">
        <f t="shared" si="63"/>
        <v>47.815586294663319</v>
      </c>
      <c r="AB187" s="196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6.118141985542596E-2</v>
      </c>
      <c r="AD187" s="230">
        <f>(INDEX(Models!$BJ187:$BT187,,AH187)*(1-AF187)+INDEX(Models!$BJ187:$BT187,,AH187+1)*AF187-ERP_i)*AE187*Ramure*Pc/MaxiM</f>
        <v>1.2729742081482743E-3</v>
      </c>
      <c r="AE187" s="304">
        <f t="shared" si="65"/>
        <v>0.5</v>
      </c>
      <c r="AF187" s="176">
        <f t="shared" si="66"/>
        <v>0.12093319471592778</v>
      </c>
      <c r="AG187" s="814">
        <f t="shared" si="74"/>
        <v>2</v>
      </c>
      <c r="AH187" s="175">
        <f t="shared" si="67"/>
        <v>8</v>
      </c>
      <c r="AI187" s="224">
        <f t="shared" si="68"/>
        <v>2.1209331947159278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10">
        <f>'2025'!Wh/'2025'!Env_an*'2026'!Env_an</f>
        <v>39.88065101649989</v>
      </c>
      <c r="C188" s="843"/>
      <c r="D188" s="392">
        <f t="shared" si="50"/>
        <v>42.484434918208052</v>
      </c>
      <c r="E188" s="384">
        <f t="shared" si="75"/>
        <v>42.965906732726793</v>
      </c>
      <c r="F188" s="384">
        <f t="shared" si="51"/>
        <v>42.971234122511767</v>
      </c>
      <c r="G188" s="110">
        <f t="shared" si="76"/>
        <v>0.72600044010022113</v>
      </c>
      <c r="H188" s="413" t="b">
        <f>Wh_hp&gt;='2025'!Maxi_hp</f>
        <v>0</v>
      </c>
      <c r="I188" s="389">
        <f>IF(H188,Wh_hp,'2025'!Maxi_hp)</f>
        <v>53.377678678761548</v>
      </c>
      <c r="J188" s="85">
        <f>IF(H188,An,'2025'!An_max)</f>
        <v>2019</v>
      </c>
      <c r="K188" s="196">
        <f t="shared" si="52"/>
        <v>46196</v>
      </c>
      <c r="L188" s="147">
        <f>IF(t&lt;Tvie,1-EXP((T0-t)*PertePVj)+'2025'!Pspv,1-EXP((T0-t)*PertePVj)+Pspv)</f>
        <v>6.1287949497763707E-2</v>
      </c>
      <c r="M188" s="847"/>
      <c r="N188" s="847"/>
      <c r="O188" s="48">
        <f>IF(t&lt;Tnet,'2025'!Resal+('2025'!Salim-'2025'!Resal)*(1-EXP(('2025'!Tnet-t)/('2025'!Tau_j))),Resal+(Salim-Resal)*(1-EXP((Tnet-t)/(Tau_j))))*Salcycl</f>
        <v>1.1205903729991791E-2</v>
      </c>
      <c r="P188" s="168">
        <f>(INDEX(Models!$BJ188:$BT188,,T188)*(1-R188)+INDEX(Models!$BJ188:$BT188,,T188+1)*R188-ERP_i)*Q188*Ramure*Pc/MaxiM</f>
        <v>2.0368808880675125E-4</v>
      </c>
      <c r="Q188" s="304">
        <f t="shared" si="53"/>
        <v>0.5</v>
      </c>
      <c r="R188" s="176">
        <f t="shared" si="54"/>
        <v>8.833023790273592E-3</v>
      </c>
      <c r="S188" s="814">
        <f t="shared" si="55"/>
        <v>0</v>
      </c>
      <c r="T188" s="175">
        <f t="shared" si="56"/>
        <v>6</v>
      </c>
      <c r="U188" s="250">
        <f t="shared" si="57"/>
        <v>8.833023790273592E-3</v>
      </c>
      <c r="V188" s="382">
        <f t="shared" si="58"/>
        <v>54.927613591743892</v>
      </c>
      <c r="W188" s="401">
        <f t="shared" si="59"/>
        <v>39.88065101649989</v>
      </c>
      <c r="X188" s="157">
        <f t="shared" si="60"/>
        <v>46196</v>
      </c>
      <c r="Y188" s="384">
        <f t="shared" si="61"/>
        <v>37.83742503765874</v>
      </c>
      <c r="Z188" s="384">
        <f t="shared" si="62"/>
        <v>40.307807934727904</v>
      </c>
      <c r="AA188" s="385">
        <f t="shared" si="63"/>
        <v>42.937777744109418</v>
      </c>
      <c r="AB188" s="196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6.125072017129058E-2</v>
      </c>
      <c r="AD188" s="230">
        <f>(INDEX(Models!$BJ188:$BT188,,AH188)*(1-AF188)+INDEX(Models!$BJ188:$BT188,,AH188+1)*AF188-ERP_i)*AE188*Ramure*Pc/MaxiM</f>
        <v>1.2791753654656432E-3</v>
      </c>
      <c r="AE188" s="304">
        <f t="shared" si="65"/>
        <v>0.5</v>
      </c>
      <c r="AF188" s="176">
        <f t="shared" si="66"/>
        <v>0.12382556361466079</v>
      </c>
      <c r="AG188" s="814">
        <f t="shared" si="74"/>
        <v>2</v>
      </c>
      <c r="AH188" s="175">
        <f t="shared" si="67"/>
        <v>8</v>
      </c>
      <c r="AI188" s="224">
        <f t="shared" si="68"/>
        <v>2.1238255636146608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10">
        <f>'2025'!Wh/'2025'!Env_an*'2026'!Env_an</f>
        <v>43.260836993084034</v>
      </c>
      <c r="C189" s="843"/>
      <c r="D189" s="392">
        <f t="shared" si="50"/>
        <v>46.086319338002198</v>
      </c>
      <c r="E189" s="384">
        <f t="shared" si="75"/>
        <v>46.613438876609628</v>
      </c>
      <c r="F189" s="384">
        <f t="shared" si="51"/>
        <v>46.620128709256292</v>
      </c>
      <c r="G189" s="110">
        <f t="shared" si="76"/>
        <v>0.78847709503160501</v>
      </c>
      <c r="H189" s="413" t="b">
        <f>Wh_hp&gt;='2025'!Maxi_hp</f>
        <v>0</v>
      </c>
      <c r="I189" s="389">
        <f>IF(H189,Wh_hp,'2025'!Maxi_hp)</f>
        <v>58.686977834802818</v>
      </c>
      <c r="J189" s="85">
        <f>IF(H189,An,'2025'!An_max)</f>
        <v>2020</v>
      </c>
      <c r="K189" s="196">
        <f t="shared" si="52"/>
        <v>46197</v>
      </c>
      <c r="L189" s="147">
        <f>IF(t&lt;Tvie,1-EXP((T0-t)*PertePVj)+'2025'!Pspv,1-EXP((T0-t)*PertePVj)+Pspv)</f>
        <v>6.1308483417730965E-2</v>
      </c>
      <c r="M189" s="847"/>
      <c r="N189" s="847"/>
      <c r="O189" s="48">
        <f>IF(t&lt;Tnet,'2025'!Resal+('2025'!Salim-'2025'!Resal)*(1-EXP(('2025'!Tnet-t)/('2025'!Tau_j))),Resal+(Salim-Resal)*(1-EXP((Tnet-t)/(Tau_j))))*Salcycl</f>
        <v>1.1308316899827297E-2</v>
      </c>
      <c r="P189" s="168">
        <f>(INDEX(Models!$BJ189:$BT189,,T189)*(1-R189)+INDEX(Models!$BJ189:$BT189,,T189+1)*R189-ERP_i)*Q189*Ramure*Pc/MaxiM</f>
        <v>2.0561370993305101E-4</v>
      </c>
      <c r="Q189" s="304">
        <f t="shared" si="53"/>
        <v>0.5</v>
      </c>
      <c r="R189" s="176">
        <f t="shared" si="54"/>
        <v>1.1694545219199021E-2</v>
      </c>
      <c r="S189" s="814">
        <f t="shared" si="55"/>
        <v>0</v>
      </c>
      <c r="T189" s="175">
        <f t="shared" si="56"/>
        <v>6</v>
      </c>
      <c r="U189" s="250">
        <f t="shared" si="57"/>
        <v>1.1694545219199021E-2</v>
      </c>
      <c r="V189" s="382">
        <f t="shared" si="58"/>
        <v>54.862911864307158</v>
      </c>
      <c r="W189" s="401">
        <f t="shared" si="59"/>
        <v>43.260836993084034</v>
      </c>
      <c r="X189" s="157">
        <f t="shared" si="60"/>
        <v>46197</v>
      </c>
      <c r="Y189" s="384">
        <f t="shared" si="61"/>
        <v>41.041663486849153</v>
      </c>
      <c r="Z189" s="384">
        <f t="shared" si="62"/>
        <v>43.722205604115707</v>
      </c>
      <c r="AA189" s="385">
        <f t="shared" si="63"/>
        <v>46.578342141860468</v>
      </c>
      <c r="AB189" s="196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6.1318982308258711E-2</v>
      </c>
      <c r="AD189" s="230">
        <f>(INDEX(Models!$BJ189:$BT189,,AH189)*(1-AF189)+INDEX(Models!$BJ189:$BT189,,AH189+1)*AF189-ERP_i)*AE189*Ramure*Pc/MaxiM</f>
        <v>1.2843207896855763E-3</v>
      </c>
      <c r="AE189" s="304">
        <f t="shared" si="65"/>
        <v>0.5</v>
      </c>
      <c r="AF189" s="176">
        <f t="shared" si="66"/>
        <v>0.12668708504358639</v>
      </c>
      <c r="AG189" s="814">
        <f t="shared" si="74"/>
        <v>2</v>
      </c>
      <c r="AH189" s="175">
        <f t="shared" si="67"/>
        <v>8</v>
      </c>
      <c r="AI189" s="224">
        <f t="shared" si="68"/>
        <v>2.1266870850435864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10">
        <f>'2025'!Wh/'2025'!Env_an*'2026'!Env_an</f>
        <v>30.41162936139429</v>
      </c>
      <c r="C190" s="843"/>
      <c r="D190" s="392">
        <f t="shared" si="50"/>
        <v>32.398603886282181</v>
      </c>
      <c r="E190" s="384">
        <f t="shared" si="75"/>
        <v>32.772555423426923</v>
      </c>
      <c r="F190" s="384">
        <f t="shared" si="51"/>
        <v>32.775030911064043</v>
      </c>
      <c r="G190" s="110">
        <f t="shared" si="76"/>
        <v>0.55491082343553988</v>
      </c>
      <c r="H190" s="413" t="b">
        <f>Wh_hp&gt;='2025'!Maxi_hp</f>
        <v>0</v>
      </c>
      <c r="I190" s="389">
        <f>IF(H190,Wh_hp,'2025'!Maxi_hp)</f>
        <v>55.730397600386027</v>
      </c>
      <c r="J190" s="85">
        <f>IF(H190,An,'2025'!An_max)</f>
        <v>2020</v>
      </c>
      <c r="K190" s="196">
        <f t="shared" si="52"/>
        <v>46198</v>
      </c>
      <c r="L190" s="147">
        <f>IF(t&lt;Tvie,1-EXP((T0-t)*PertePVj)+'2025'!Pspv,1-EXP((T0-t)*PertePVj)+Pspv)</f>
        <v>6.1329016887952649E-2</v>
      </c>
      <c r="M190" s="847"/>
      <c r="N190" s="847"/>
      <c r="O190" s="48">
        <f>IF(t&lt;Tnet,'2025'!Resal+('2025'!Salim-'2025'!Resal)*(1-EXP(('2025'!Tnet-t)/('2025'!Tau_j))),Resal+(Salim-Resal)*(1-EXP((Tnet-t)/(Tau_j))))*Salcycl</f>
        <v>1.1410508955228759E-2</v>
      </c>
      <c r="P190" s="168">
        <f>(INDEX(Models!$BJ190:$BT190,,T190)*(1-R190)+INDEX(Models!$BJ190:$BT190,,T190+1)*R190-ERP_i)*Q190*Ramure*Pc/MaxiM</f>
        <v>2.0734940075153296E-4</v>
      </c>
      <c r="Q190" s="304">
        <f t="shared" si="53"/>
        <v>0.5</v>
      </c>
      <c r="R190" s="176">
        <f t="shared" si="54"/>
        <v>1.4523333653784526E-2</v>
      </c>
      <c r="S190" s="814">
        <f t="shared" si="55"/>
        <v>0</v>
      </c>
      <c r="T190" s="175">
        <f t="shared" si="56"/>
        <v>6</v>
      </c>
      <c r="U190" s="250">
        <f t="shared" si="57"/>
        <v>1.4523333653784526E-2</v>
      </c>
      <c r="V190" s="382">
        <f t="shared" si="58"/>
        <v>54.797309625127177</v>
      </c>
      <c r="W190" s="401">
        <f t="shared" si="59"/>
        <v>30.41162936139429</v>
      </c>
      <c r="X190" s="157">
        <f t="shared" si="60"/>
        <v>46198</v>
      </c>
      <c r="Y190" s="384">
        <f t="shared" si="61"/>
        <v>28.862873546716266</v>
      </c>
      <c r="Z190" s="384">
        <f t="shared" si="62"/>
        <v>30.748658545963554</v>
      </c>
      <c r="AA190" s="385">
        <f t="shared" si="63"/>
        <v>32.759649093225178</v>
      </c>
      <c r="AB190" s="196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6.1386205375365405E-2</v>
      </c>
      <c r="AD190" s="230">
        <f>(INDEX(Models!$BJ190:$BT190,,AH190)*(1-AF190)+INDEX(Models!$BJ190:$BT190,,AH190+1)*AF190-ERP_i)*AE190*Ramure*Pc/MaxiM</f>
        <v>1.2883969459325678E-3</v>
      </c>
      <c r="AE190" s="304">
        <f t="shared" si="65"/>
        <v>0.5</v>
      </c>
      <c r="AF190" s="176">
        <f t="shared" si="66"/>
        <v>0.12951587347817206</v>
      </c>
      <c r="AG190" s="814">
        <f t="shared" si="74"/>
        <v>2</v>
      </c>
      <c r="AH190" s="175">
        <f t="shared" si="67"/>
        <v>8</v>
      </c>
      <c r="AI190" s="224">
        <f t="shared" si="68"/>
        <v>2.1295158734781721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10">
        <f>'2025'!Wh/'2025'!Env_an*'2026'!Env_an</f>
        <v>11.028122872011339</v>
      </c>
      <c r="C191" s="843"/>
      <c r="D191" s="392">
        <f t="shared" si="50"/>
        <v>11.74891342238806</v>
      </c>
      <c r="E191" s="384">
        <f t="shared" si="75"/>
        <v>11.885747806048988</v>
      </c>
      <c r="F191" s="384">
        <f t="shared" si="51"/>
        <v>11.885747806048988</v>
      </c>
      <c r="G191" s="110">
        <f t="shared" si="76"/>
        <v>0.20145624645628607</v>
      </c>
      <c r="H191" s="413" t="b">
        <f>Wh_hp&gt;='2025'!Maxi_hp</f>
        <v>0</v>
      </c>
      <c r="I191" s="389">
        <f>IF(H191,Wh_hp,'2025'!Maxi_hp)</f>
        <v>57.645147266339038</v>
      </c>
      <c r="J191" s="85">
        <f>IF(H191,An,'2025'!An_max)</f>
        <v>2019</v>
      </c>
      <c r="K191" s="196">
        <f t="shared" si="52"/>
        <v>46199</v>
      </c>
      <c r="L191" s="147">
        <f>IF(t&lt;Tvie,1-EXP((T0-t)*PertePVj)+'2025'!Pspv,1-EXP((T0-t)*PertePVj)+Pspv)</f>
        <v>6.134954990843864E-2</v>
      </c>
      <c r="M191" s="847"/>
      <c r="N191" s="847"/>
      <c r="O191" s="48">
        <f>IF(t&lt;Tnet,'2025'!Resal+('2025'!Salim-'2025'!Resal)*(1-EXP(('2025'!Tnet-t)/('2025'!Tau_j))),Resal+(Salim-Resal)*(1-EXP((Tnet-t)/(Tau_j))))*Salcycl</f>
        <v>1.1512475772983215E-2</v>
      </c>
      <c r="P191" s="168">
        <f>(INDEX(Models!$BJ191:$BT191,,T191)*(1-R191)+INDEX(Models!$BJ191:$BT191,,T191+1)*R191-ERP_i)*Q191*Ramure*Pc/MaxiM</f>
        <v>2.088902664916845E-4</v>
      </c>
      <c r="Q191" s="304">
        <f t="shared" si="53"/>
        <v>0.5</v>
      </c>
      <c r="R191" s="176">
        <f t="shared" si="54"/>
        <v>1.7317601058283894E-2</v>
      </c>
      <c r="S191" s="814">
        <f t="shared" si="55"/>
        <v>0</v>
      </c>
      <c r="T191" s="175">
        <f t="shared" si="56"/>
        <v>6</v>
      </c>
      <c r="U191" s="250">
        <f t="shared" si="57"/>
        <v>1.7317601058283894E-2</v>
      </c>
      <c r="V191" s="382">
        <f t="shared" si="58"/>
        <v>54.730589884579182</v>
      </c>
      <c r="W191" s="401">
        <f t="shared" si="59"/>
        <v>11.028122872011339</v>
      </c>
      <c r="X191" s="157">
        <f t="shared" si="60"/>
        <v>46199</v>
      </c>
      <c r="Y191" s="384">
        <f t="shared" si="61"/>
        <v>10.470965081354361</v>
      </c>
      <c r="Z191" s="384">
        <f t="shared" si="62"/>
        <v>11.155340180503789</v>
      </c>
      <c r="AA191" s="385">
        <f t="shared" si="63"/>
        <v>11.885747806048988</v>
      </c>
      <c r="AB191" s="196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6.1452391339943652E-2</v>
      </c>
      <c r="AD191" s="230">
        <f>(INDEX(Models!$BJ191:$BT191,,AH191)*(1-AF191)+INDEX(Models!$BJ191:$BT191,,AH191+1)*AF191-ERP_i)*AE191*Ramure*Pc/MaxiM</f>
        <v>1.2913966976569099E-3</v>
      </c>
      <c r="AE191" s="304">
        <f t="shared" si="65"/>
        <v>0.5</v>
      </c>
      <c r="AF191" s="176">
        <f t="shared" si="66"/>
        <v>0.13231014088267123</v>
      </c>
      <c r="AG191" s="814">
        <f t="shared" si="74"/>
        <v>2</v>
      </c>
      <c r="AH191" s="175">
        <f t="shared" si="67"/>
        <v>8</v>
      </c>
      <c r="AI191" s="224">
        <f t="shared" si="68"/>
        <v>2.1323101408826712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10">
        <f>'2025'!Wh/'2025'!Env_an*'2026'!Env_an</f>
        <v>16.449322427179265</v>
      </c>
      <c r="C192" s="843"/>
      <c r="D192" s="392">
        <f t="shared" si="50"/>
        <v>17.524822211747505</v>
      </c>
      <c r="E192" s="384">
        <f t="shared" si="75"/>
        <v>17.730750943882104</v>
      </c>
      <c r="F192" s="384">
        <f t="shared" si="51"/>
        <v>17.730755865570316</v>
      </c>
      <c r="G192" s="110">
        <f t="shared" si="76"/>
        <v>0.30086143009471789</v>
      </c>
      <c r="H192" s="413" t="b">
        <f>Wh_hp&gt;='2025'!Maxi_hp</f>
        <v>0</v>
      </c>
      <c r="I192" s="389">
        <f>IF(H192,Wh_hp,'2025'!Maxi_hp)</f>
        <v>57.559954834573851</v>
      </c>
      <c r="J192" s="85">
        <f>IF(H192,An,'2025'!An_max)</f>
        <v>2019</v>
      </c>
      <c r="K192" s="196">
        <f t="shared" si="52"/>
        <v>46200</v>
      </c>
      <c r="L192" s="147">
        <f>IF(t&lt;Tvie,1-EXP((T0-t)*PertePVj)+'2025'!Pspv,1-EXP((T0-t)*PertePVj)+Pspv)</f>
        <v>6.1370082479198819E-2</v>
      </c>
      <c r="M192" s="847"/>
      <c r="N192" s="847"/>
      <c r="O192" s="48">
        <f>IF(t&lt;Tnet,'2025'!Resal+('2025'!Salim-'2025'!Resal)*(1-EXP(('2025'!Tnet-t)/('2025'!Tau_j))),Resal+(Salim-Resal)*(1-EXP((Tnet-t)/(Tau_j))))*Salcycl</f>
        <v>1.1614213790851998E-2</v>
      </c>
      <c r="P192" s="168">
        <f>(INDEX(Models!$BJ192:$BT192,,T192)*(1-R192)+INDEX(Models!$BJ192:$BT192,,T192+1)*R192-ERP_i)*Q192*Ramure*Pc/MaxiM</f>
        <v>2.1015372965731491E-4</v>
      </c>
      <c r="Q192" s="304">
        <f t="shared" si="53"/>
        <v>0.5</v>
      </c>
      <c r="R192" s="176">
        <f t="shared" si="54"/>
        <v>2.0075660308914195E-2</v>
      </c>
      <c r="S192" s="814">
        <f t="shared" si="55"/>
        <v>0</v>
      </c>
      <c r="T192" s="175">
        <f t="shared" si="56"/>
        <v>6</v>
      </c>
      <c r="U192" s="250">
        <f t="shared" si="57"/>
        <v>2.0075660308914195E-2</v>
      </c>
      <c r="V192" s="382">
        <f t="shared" si="58"/>
        <v>54.662606970172419</v>
      </c>
      <c r="W192" s="401">
        <f t="shared" si="59"/>
        <v>16.449322427179265</v>
      </c>
      <c r="X192" s="157">
        <f t="shared" si="60"/>
        <v>46200</v>
      </c>
      <c r="Y192" s="384">
        <f t="shared" si="61"/>
        <v>15.618778247738755</v>
      </c>
      <c r="Z192" s="384">
        <f t="shared" si="62"/>
        <v>16.639974878483056</v>
      </c>
      <c r="AA192" s="385">
        <f t="shared" si="63"/>
        <v>17.730725586941961</v>
      </c>
      <c r="AB192" s="196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6.1517544959480155E-2</v>
      </c>
      <c r="AD192" s="230">
        <f>(INDEX(Models!$BJ192:$BT192,,AH192)*(1-AF192)+INDEX(Models!$BJ192:$BT192,,AH192+1)*AF192-ERP_i)*AE192*Ramure*Pc/MaxiM</f>
        <v>1.2928829305427819E-3</v>
      </c>
      <c r="AE192" s="304">
        <f t="shared" si="65"/>
        <v>0.5</v>
      </c>
      <c r="AF192" s="176">
        <f t="shared" si="66"/>
        <v>0.13506820013330145</v>
      </c>
      <c r="AG192" s="814">
        <f t="shared" si="74"/>
        <v>2</v>
      </c>
      <c r="AH192" s="175">
        <f t="shared" si="67"/>
        <v>8</v>
      </c>
      <c r="AI192" s="224">
        <f t="shared" si="68"/>
        <v>2.1350682001333015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10">
        <f>'2025'!Wh/'2025'!Env_an*'2026'!Env_an</f>
        <v>54.416578875157946</v>
      </c>
      <c r="C193" s="843"/>
      <c r="D193" s="392">
        <f t="shared" si="50"/>
        <v>57.975745524834842</v>
      </c>
      <c r="E193" s="384">
        <f t="shared" si="75"/>
        <v>58.663025101972941</v>
      </c>
      <c r="F193" s="384">
        <f t="shared" si="51"/>
        <v>58.675360662296924</v>
      </c>
      <c r="G193" s="110">
        <f t="shared" si="76"/>
        <v>0.99675909279631936</v>
      </c>
      <c r="H193" s="413" t="b">
        <f>Wh_hp&gt;='2025'!Maxi_hp</f>
        <v>0</v>
      </c>
      <c r="I193" s="389">
        <f>IF(H193,Wh_hp,'2025'!Maxi_hp)</f>
        <v>58.675396060881987</v>
      </c>
      <c r="J193" s="85">
        <f>IF(H193,An,'2025'!An_max)</f>
        <v>2025</v>
      </c>
      <c r="K193" s="196">
        <f t="shared" si="52"/>
        <v>46201</v>
      </c>
      <c r="L193" s="147">
        <f>IF(t&lt;Tvie,1-EXP((T0-t)*PertePVj)+'2025'!Pspv,1-EXP((T0-t)*PertePVj)+Pspv)</f>
        <v>6.1390614600242956E-2</v>
      </c>
      <c r="M193" s="847"/>
      <c r="N193" s="847"/>
      <c r="O193" s="48">
        <f>IF(t&lt;Tnet,'2025'!Resal+('2025'!Salim-'2025'!Resal)*(1-EXP(('2025'!Tnet-t)/('2025'!Tau_j))),Resal+(Salim-Resal)*(1-EXP((Tnet-t)/(Tau_j))))*Salcycl</f>
        <v>1.1715720011769121E-2</v>
      </c>
      <c r="P193" s="168">
        <f>(INDEX(Models!$BJ193:$BT193,,T193)*(1-R193)+INDEX(Models!$BJ193:$BT193,,T193+1)*R193-ERP_i)*Q193*Ramure*Pc/MaxiM</f>
        <v>2.1121166549097634E-4</v>
      </c>
      <c r="Q193" s="304">
        <f t="shared" si="53"/>
        <v>0.5</v>
      </c>
      <c r="R193" s="176">
        <f t="shared" si="54"/>
        <v>2.2795928027411899E-2</v>
      </c>
      <c r="S193" s="814">
        <f t="shared" si="55"/>
        <v>0</v>
      </c>
      <c r="T193" s="175">
        <f t="shared" si="56"/>
        <v>6</v>
      </c>
      <c r="U193" s="250">
        <f t="shared" si="57"/>
        <v>2.2795928027411899E-2</v>
      </c>
      <c r="V193" s="382">
        <f t="shared" si="58"/>
        <v>54.59345799828116</v>
      </c>
      <c r="W193" s="401">
        <f t="shared" si="59"/>
        <v>54.416578875157946</v>
      </c>
      <c r="X193" s="157">
        <f t="shared" si="60"/>
        <v>46201</v>
      </c>
      <c r="Y193" s="384">
        <f t="shared" si="61"/>
        <v>51.615211561265816</v>
      </c>
      <c r="Z193" s="384">
        <f t="shared" si="62"/>
        <v>54.991152191902188</v>
      </c>
      <c r="AA193" s="385">
        <f t="shared" si="63"/>
        <v>58.599827657483189</v>
      </c>
      <c r="AB193" s="196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6.1581673698321432E-2</v>
      </c>
      <c r="AD193" s="230">
        <f>(INDEX(Models!$BJ193:$BT193,,AH193)*(1-AF193)+INDEX(Models!$BJ193:$BT193,,AH193+1)*AF193-ERP_i)*AE193*Ramure*Pc/MaxiM</f>
        <v>1.293289589385549E-3</v>
      </c>
      <c r="AE193" s="304">
        <f t="shared" si="65"/>
        <v>0.5</v>
      </c>
      <c r="AF193" s="176">
        <f t="shared" si="66"/>
        <v>0.1377884678517991</v>
      </c>
      <c r="AG193" s="814">
        <f t="shared" si="74"/>
        <v>2</v>
      </c>
      <c r="AH193" s="175">
        <f t="shared" si="67"/>
        <v>8</v>
      </c>
      <c r="AI193" s="224">
        <f t="shared" si="68"/>
        <v>2.1377884678517991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10">
        <f>'2025'!Wh/'2025'!Env_an*'2026'!Env_an</f>
        <v>52.221615487545257</v>
      </c>
      <c r="C194" s="843"/>
      <c r="D194" s="392">
        <f t="shared" si="50"/>
        <v>55.638435594138862</v>
      </c>
      <c r="E194" s="384">
        <f t="shared" si="75"/>
        <v>56.303776875290815</v>
      </c>
      <c r="F194" s="384">
        <f t="shared" si="51"/>
        <v>56.314998809215652</v>
      </c>
      <c r="G194" s="110">
        <f t="shared" si="76"/>
        <v>0.9577740335415319</v>
      </c>
      <c r="H194" s="413" t="b">
        <f>Wh_hp&gt;='2025'!Maxi_hp</f>
        <v>0</v>
      </c>
      <c r="I194" s="389">
        <f>IF(H194,Wh_hp,'2025'!Maxi_hp)</f>
        <v>56.315441024057172</v>
      </c>
      <c r="J194" s="85">
        <f>IF(H194,An,'2025'!An_max)</f>
        <v>2025</v>
      </c>
      <c r="K194" s="196">
        <f t="shared" si="52"/>
        <v>46202</v>
      </c>
      <c r="L194" s="147">
        <f>IF(t&lt;Tvie,1-EXP((T0-t)*PertePVj)+'2025'!Pspv,1-EXP((T0-t)*PertePVj)+Pspv)</f>
        <v>6.1411146271581042E-2</v>
      </c>
      <c r="M194" s="847"/>
      <c r="N194" s="847"/>
      <c r="O194" s="48">
        <f>IF(t&lt;Tnet,'2025'!Resal+('2025'!Salim-'2025'!Resal)*(1-EXP(('2025'!Tnet-t)/('2025'!Tau_j))),Resal+(Salim-Resal)*(1-EXP((Tnet-t)/(Tau_j))))*Salcycl</f>
        <v>1.181699200438438E-2</v>
      </c>
      <c r="P194" s="168">
        <f>(INDEX(Models!$BJ194:$BT194,,T194)*(1-R194)+INDEX(Models!$BJ194:$BT194,,T194+1)*R194-ERP_i)*Q194*Ramure*Pc/MaxiM</f>
        <v>2.1205907088547193E-4</v>
      </c>
      <c r="Q194" s="304">
        <f t="shared" si="53"/>
        <v>0.5</v>
      </c>
      <c r="R194" s="176">
        <f t="shared" si="54"/>
        <v>2.5476926826475288E-2</v>
      </c>
      <c r="S194" s="814">
        <f t="shared" si="55"/>
        <v>0</v>
      </c>
      <c r="T194" s="175">
        <f t="shared" si="56"/>
        <v>6</v>
      </c>
      <c r="U194" s="250">
        <f t="shared" si="57"/>
        <v>2.5476926826475288E-2</v>
      </c>
      <c r="V194" s="382">
        <f t="shared" si="58"/>
        <v>54.523244210649999</v>
      </c>
      <c r="W194" s="401">
        <f t="shared" si="59"/>
        <v>52.221615487545257</v>
      </c>
      <c r="X194" s="157">
        <f t="shared" si="60"/>
        <v>46202</v>
      </c>
      <c r="Y194" s="384">
        <f t="shared" si="61"/>
        <v>49.538049615756506</v>
      </c>
      <c r="Z194" s="384">
        <f t="shared" si="62"/>
        <v>52.779286072888269</v>
      </c>
      <c r="AA194" s="385">
        <f t="shared" si="63"/>
        <v>56.24659550787495</v>
      </c>
      <c r="AB194" s="196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6.164478762987944E-2</v>
      </c>
      <c r="AD194" s="230">
        <f>(INDEX(Models!$BJ194:$BT194,,AH194)*(1-AF194)+INDEX(Models!$BJ194:$BT194,,AH194+1)*AF194-ERP_i)*AE194*Ramure*Pc/MaxiM</f>
        <v>1.2926061251977853E-3</v>
      </c>
      <c r="AE194" s="304">
        <f t="shared" si="65"/>
        <v>0.5</v>
      </c>
      <c r="AF194" s="176">
        <f t="shared" si="66"/>
        <v>0.1404694666508628</v>
      </c>
      <c r="AG194" s="814">
        <f t="shared" si="74"/>
        <v>2</v>
      </c>
      <c r="AH194" s="175">
        <f t="shared" si="67"/>
        <v>8</v>
      </c>
      <c r="AI194" s="224">
        <f t="shared" si="68"/>
        <v>2.1404694666508628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10">
        <f>'2025'!Wh/'2025'!Env_an*'2026'!Env_an</f>
        <v>12.610808052089673</v>
      </c>
      <c r="C195" s="843"/>
      <c r="D195" s="392">
        <f t="shared" si="50"/>
        <v>13.436217427845923</v>
      </c>
      <c r="E195" s="384">
        <f t="shared" si="75"/>
        <v>13.598282133706967</v>
      </c>
      <c r="F195" s="384">
        <f t="shared" si="51"/>
        <v>13.598282133706967</v>
      </c>
      <c r="G195" s="110">
        <f t="shared" si="76"/>
        <v>0.23154540492185061</v>
      </c>
      <c r="H195" s="413" t="b">
        <f>Wh_hp&gt;='2025'!Maxi_hp</f>
        <v>0</v>
      </c>
      <c r="I195" s="389">
        <f>IF(H195,Wh_hp,'2025'!Maxi_hp)</f>
        <v>52.079984666293029</v>
      </c>
      <c r="J195" s="85">
        <f>IF(H195,An,'2025'!An_max)</f>
        <v>2019</v>
      </c>
      <c r="K195" s="196">
        <f t="shared" si="52"/>
        <v>46203</v>
      </c>
      <c r="L195" s="147">
        <f>IF(t&lt;Tvie,1-EXP((T0-t)*PertePVj)+'2025'!Pspv,1-EXP((T0-t)*PertePVj)+Pspv)</f>
        <v>6.1431677493222737E-2</v>
      </c>
      <c r="M195" s="847"/>
      <c r="N195" s="847"/>
      <c r="O195" s="48">
        <f>IF(t&lt;Tnet,'2025'!Resal+('2025'!Salim-'2025'!Resal)*(1-EXP(('2025'!Tnet-t)/('2025'!Tau_j))),Resal+(Salim-Resal)*(1-EXP((Tnet-t)/(Tau_j))))*Salcycl</f>
        <v>1.1918027899959606E-2</v>
      </c>
      <c r="P195" s="168">
        <f>(INDEX(Models!$BJ195:$BT195,,T195)*(1-R195)+INDEX(Models!$BJ195:$BT195,,T195+1)*R195-ERP_i)*Q195*Ramure*Pc/MaxiM</f>
        <v>2.1269123734416395E-4</v>
      </c>
      <c r="Q195" s="304">
        <f t="shared" si="53"/>
        <v>0.5</v>
      </c>
      <c r="R195" s="176">
        <f t="shared" si="54"/>
        <v>2.8117286973808636E-2</v>
      </c>
      <c r="S195" s="814">
        <f t="shared" si="55"/>
        <v>0</v>
      </c>
      <c r="T195" s="175">
        <f t="shared" si="56"/>
        <v>6</v>
      </c>
      <c r="U195" s="250">
        <f t="shared" si="57"/>
        <v>2.8117286973808636E-2</v>
      </c>
      <c r="V195" s="382">
        <f t="shared" si="58"/>
        <v>54.452066746807439</v>
      </c>
      <c r="W195" s="401">
        <f t="shared" si="59"/>
        <v>12.610808052089673</v>
      </c>
      <c r="X195" s="157">
        <f t="shared" si="60"/>
        <v>46203</v>
      </c>
      <c r="Y195" s="384">
        <f t="shared" si="61"/>
        <v>11.975356825975171</v>
      </c>
      <c r="Z195" s="384">
        <f t="shared" si="62"/>
        <v>12.759174307088015</v>
      </c>
      <c r="AA195" s="385">
        <f t="shared" si="63"/>
        <v>13.598282133706967</v>
      </c>
      <c r="AB195" s="196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6.1706899325099207E-2</v>
      </c>
      <c r="AD195" s="230">
        <f>(INDEX(Models!$BJ195:$BT195,,AH195)*(1-AF195)+INDEX(Models!$BJ195:$BT195,,AH195+1)*AF195-ERP_i)*AE195*Ramure*Pc/MaxiM</f>
        <v>1.290823106731045E-3</v>
      </c>
      <c r="AE195" s="304">
        <f t="shared" si="65"/>
        <v>0.5</v>
      </c>
      <c r="AF195" s="176">
        <f t="shared" si="66"/>
        <v>0.14310982679819606</v>
      </c>
      <c r="AG195" s="814">
        <f t="shared" si="74"/>
        <v>2</v>
      </c>
      <c r="AH195" s="175">
        <f t="shared" si="67"/>
        <v>8</v>
      </c>
      <c r="AI195" s="224">
        <f t="shared" si="68"/>
        <v>2.1431098267981961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10">
        <f>'2025'!Wh/'2025'!Env_an*'2026'!Env_an</f>
        <v>49.477083739671052</v>
      </c>
      <c r="C196" s="843"/>
      <c r="D196" s="392">
        <f t="shared" si="50"/>
        <v>52.716637528086956</v>
      </c>
      <c r="E196" s="384">
        <f t="shared" si="75"/>
        <v>53.357937312948067</v>
      </c>
      <c r="F196" s="384">
        <f t="shared" si="51"/>
        <v>53.367845361351613</v>
      </c>
      <c r="G196" s="110">
        <f t="shared" si="76"/>
        <v>0.90981429200792718</v>
      </c>
      <c r="H196" s="413" t="b">
        <f>Wh_hp&gt;='2025'!Maxi_hp</f>
        <v>0</v>
      </c>
      <c r="I196" s="389">
        <f>IF(H196,Wh_hp,'2025'!Maxi_hp)</f>
        <v>57.002748716265671</v>
      </c>
      <c r="J196" s="85">
        <f>IF(H196,An,'2025'!An_max)</f>
        <v>2020</v>
      </c>
      <c r="K196" s="196">
        <f t="shared" si="52"/>
        <v>46204</v>
      </c>
      <c r="L196" s="147">
        <f>IF(t&lt;Tvie,1-EXP((T0-t)*PertePVj)+'2025'!Pspv,1-EXP((T0-t)*PertePVj)+Pspv)</f>
        <v>6.1452208265178034E-2</v>
      </c>
      <c r="M196" s="847"/>
      <c r="N196" s="847"/>
      <c r="O196" s="48">
        <f>IF(t&lt;Tnet,'2025'!Resal+('2025'!Salim-'2025'!Resal)*(1-EXP(('2025'!Tnet-t)/('2025'!Tau_j))),Resal+(Salim-Resal)*(1-EXP((Tnet-t)/(Tau_j))))*Salcycl</f>
        <v>1.2018826385657273E-2</v>
      </c>
      <c r="P196" s="168">
        <f>(INDEX(Models!$BJ196:$BT196,,T196)*(1-R196)+INDEX(Models!$BJ196:$BT196,,T196+1)*R196-ERP_i)*Q196*Ramure*Pc/MaxiM</f>
        <v>2.1310375561009445E-4</v>
      </c>
      <c r="Q196" s="304">
        <f t="shared" si="53"/>
        <v>0.5</v>
      </c>
      <c r="R196" s="176">
        <f t="shared" si="54"/>
        <v>3.0715747486374373E-2</v>
      </c>
      <c r="S196" s="814">
        <f t="shared" si="55"/>
        <v>0</v>
      </c>
      <c r="T196" s="175">
        <f t="shared" si="56"/>
        <v>6</v>
      </c>
      <c r="U196" s="250">
        <f t="shared" si="57"/>
        <v>3.0715747486374373E-2</v>
      </c>
      <c r="V196" s="382">
        <f t="shared" si="58"/>
        <v>54.380026644781182</v>
      </c>
      <c r="W196" s="401">
        <f t="shared" si="59"/>
        <v>49.477083739671052</v>
      </c>
      <c r="X196" s="157">
        <f t="shared" si="60"/>
        <v>46204</v>
      </c>
      <c r="Y196" s="384">
        <f t="shared" si="61"/>
        <v>46.941689890423469</v>
      </c>
      <c r="Z196" s="384">
        <f t="shared" si="62"/>
        <v>50.015236628127312</v>
      </c>
      <c r="AA196" s="385">
        <f t="shared" si="63"/>
        <v>53.307964227421138</v>
      </c>
      <c r="AB196" s="196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6.1768023728058265E-2</v>
      </c>
      <c r="AD196" s="230">
        <f>(INDEX(Models!$BJ196:$BT196,,AH196)*(1-AF196)+INDEX(Models!$BJ196:$BT196,,AH196+1)*AF196-ERP_i)*AE196*Ramure*Pc/MaxiM</f>
        <v>1.2879321952244118E-3</v>
      </c>
      <c r="AE196" s="304">
        <f t="shared" si="65"/>
        <v>0.5</v>
      </c>
      <c r="AF196" s="176">
        <f t="shared" si="66"/>
        <v>0.1457082873107618</v>
      </c>
      <c r="AG196" s="814">
        <f t="shared" si="74"/>
        <v>2</v>
      </c>
      <c r="AH196" s="175">
        <f t="shared" si="67"/>
        <v>8</v>
      </c>
      <c r="AI196" s="224">
        <f t="shared" si="68"/>
        <v>2.1457082873107618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10">
        <f>'2025'!Wh/'2025'!Env_an*'2026'!Env_an</f>
        <v>47.422861271785507</v>
      </c>
      <c r="C197" s="843"/>
      <c r="D197" s="392">
        <f t="shared" si="50"/>
        <v>50.529018411687993</v>
      </c>
      <c r="E197" s="384">
        <f t="shared" si="75"/>
        <v>51.148911853431976</v>
      </c>
      <c r="F197" s="384">
        <f t="shared" si="51"/>
        <v>51.157847398160619</v>
      </c>
      <c r="G197" s="110">
        <f t="shared" si="76"/>
        <v>0.87319927169057121</v>
      </c>
      <c r="H197" s="413" t="b">
        <f>Wh_hp&gt;='2025'!Maxi_hp</f>
        <v>0</v>
      </c>
      <c r="I197" s="389">
        <f>IF(H197,Wh_hp,'2025'!Maxi_hp)</f>
        <v>53.87379302070552</v>
      </c>
      <c r="J197" s="85">
        <f>IF(H197,An,'2025'!An_max)</f>
        <v>2021</v>
      </c>
      <c r="K197" s="196">
        <f t="shared" si="52"/>
        <v>46205</v>
      </c>
      <c r="L197" s="147">
        <f>IF(t&lt;Tvie,1-EXP((T0-t)*PertePVj)+'2025'!Pspv,1-EXP((T0-t)*PertePVj)+Pspv)</f>
        <v>6.14727385874567E-2</v>
      </c>
      <c r="M197" s="847"/>
      <c r="N197" s="847"/>
      <c r="O197" s="48">
        <f>IF(t&lt;Tnet,'2025'!Resal+('2025'!Salim-'2025'!Resal)*(1-EXP(('2025'!Tnet-t)/('2025'!Tau_j))),Resal+(Salim-Resal)*(1-EXP((Tnet-t)/(Tau_j))))*Salcycl</f>
        <v>1.2119386694291709E-2</v>
      </c>
      <c r="P197" s="168">
        <f>(INDEX(Models!$BJ197:$BT197,,T197)*(1-R197)+INDEX(Models!$BJ197:$BT197,,T197+1)*R197-ERP_i)*Q197*Ramure*Pc/MaxiM</f>
        <v>2.1329251806641899E-4</v>
      </c>
      <c r="Q197" s="304">
        <f t="shared" si="53"/>
        <v>0.5</v>
      </c>
      <c r="R197" s="176">
        <f t="shared" si="54"/>
        <v>3.3271156670970747E-2</v>
      </c>
      <c r="S197" s="814">
        <f t="shared" si="55"/>
        <v>0</v>
      </c>
      <c r="T197" s="175">
        <f t="shared" si="56"/>
        <v>6</v>
      </c>
      <c r="U197" s="250">
        <f t="shared" si="57"/>
        <v>3.3271156670970747E-2</v>
      </c>
      <c r="V197" s="382">
        <f t="shared" si="58"/>
        <v>54.307224841727894</v>
      </c>
      <c r="W197" s="401">
        <f t="shared" si="59"/>
        <v>47.422861271785507</v>
      </c>
      <c r="X197" s="157">
        <f t="shared" si="60"/>
        <v>46205</v>
      </c>
      <c r="Y197" s="384">
        <f t="shared" si="61"/>
        <v>44.997115649036402</v>
      </c>
      <c r="Z197" s="384">
        <f t="shared" si="62"/>
        <v>47.944388510689478</v>
      </c>
      <c r="AA197" s="385">
        <f t="shared" si="63"/>
        <v>51.104059392325816</v>
      </c>
      <c r="AB197" s="196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6.1828178019666689E-2</v>
      </c>
      <c r="AD197" s="230">
        <f>(INDEX(Models!$BJ197:$BT197,,AH197)*(1-AF197)+INDEX(Models!$BJ197:$BT197,,AH197+1)*AF197-ERP_i)*AE197*Ramure*Pc/MaxiM</f>
        <v>1.2839261124733125E-3</v>
      </c>
      <c r="AE197" s="304">
        <f t="shared" si="65"/>
        <v>0.5</v>
      </c>
      <c r="AF197" s="176">
        <f t="shared" si="66"/>
        <v>0.14826369649535831</v>
      </c>
      <c r="AG197" s="814">
        <f t="shared" si="74"/>
        <v>2</v>
      </c>
      <c r="AH197" s="175">
        <f t="shared" si="67"/>
        <v>8</v>
      </c>
      <c r="AI197" s="224">
        <f t="shared" si="68"/>
        <v>2.1482636964953583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10">
        <f>'2025'!Wh/'2025'!Env_an*'2026'!Env_an</f>
        <v>43.06165330677586</v>
      </c>
      <c r="C198" s="843"/>
      <c r="D198" s="392">
        <f t="shared" si="50"/>
        <v>45.883158702675416</v>
      </c>
      <c r="E198" s="384">
        <f t="shared" si="75"/>
        <v>46.450773620123265</v>
      </c>
      <c r="F198" s="384">
        <f t="shared" si="51"/>
        <v>46.457763061100884</v>
      </c>
      <c r="G198" s="110">
        <f t="shared" si="76"/>
        <v>0.79395097481441879</v>
      </c>
      <c r="H198" s="413" t="b">
        <f>Wh_hp&gt;='2025'!Maxi_hp</f>
        <v>0</v>
      </c>
      <c r="I198" s="389">
        <f>IF(H198,Wh_hp,'2025'!Maxi_hp)</f>
        <v>50.483737643611768</v>
      </c>
      <c r="J198" s="85">
        <f>IF(H198,An,'2025'!An_max)</f>
        <v>2019</v>
      </c>
      <c r="K198" s="196">
        <f t="shared" si="52"/>
        <v>46206</v>
      </c>
      <c r="L198" s="147">
        <f>IF(t&lt;Tvie,1-EXP((T0-t)*PertePVj)+'2025'!Pspv,1-EXP((T0-t)*PertePVj)+Pspv)</f>
        <v>6.1493268460068619E-2</v>
      </c>
      <c r="M198" s="847"/>
      <c r="N198" s="847"/>
      <c r="O198" s="48">
        <f>IF(t&lt;Tnet,'2025'!Resal+('2025'!Salim-'2025'!Resal)*(1-EXP(('2025'!Tnet-t)/('2025'!Tau_j))),Resal+(Salim-Resal)*(1-EXP((Tnet-t)/(Tau_j))))*Salcycl</f>
        <v>1.2219708590643287E-2</v>
      </c>
      <c r="P198" s="168">
        <f>(INDEX(Models!$BJ198:$BT198,,T198)*(1-R198)+INDEX(Models!$BJ198:$BT198,,T198+1)*R198-ERP_i)*Q198*Ramure*Pc/MaxiM</f>
        <v>2.1318396677929703E-4</v>
      </c>
      <c r="Q198" s="304">
        <f t="shared" si="53"/>
        <v>0.5</v>
      </c>
      <c r="R198" s="176">
        <f t="shared" si="54"/>
        <v>3.5782472131348636E-2</v>
      </c>
      <c r="S198" s="814">
        <f t="shared" si="55"/>
        <v>0</v>
      </c>
      <c r="T198" s="175">
        <f t="shared" si="56"/>
        <v>6</v>
      </c>
      <c r="U198" s="250">
        <f t="shared" si="57"/>
        <v>3.5782472131348636E-2</v>
      </c>
      <c r="V198" s="382">
        <f t="shared" si="58"/>
        <v>54.23376596017264</v>
      </c>
      <c r="W198" s="401">
        <f t="shared" si="59"/>
        <v>43.06165330677586</v>
      </c>
      <c r="X198" s="157">
        <f t="shared" si="60"/>
        <v>46206</v>
      </c>
      <c r="Y198" s="384">
        <f t="shared" si="61"/>
        <v>40.865673658877974</v>
      </c>
      <c r="Z198" s="384">
        <f t="shared" si="62"/>
        <v>43.543293069218898</v>
      </c>
      <c r="AA198" s="385">
        <f t="shared" si="63"/>
        <v>46.41584838446655</v>
      </c>
      <c r="AB198" s="196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6.1887381470527587E-2</v>
      </c>
      <c r="AD198" s="230">
        <f>(INDEX(Models!$BJ198:$BT198,,AH198)*(1-AF198)+INDEX(Models!$BJ198:$BT198,,AH198+1)*AF198-ERP_i)*AE198*Ramure*Pc/MaxiM</f>
        <v>1.278433720205818E-3</v>
      </c>
      <c r="AE198" s="304">
        <f t="shared" si="65"/>
        <v>0.5</v>
      </c>
      <c r="AF198" s="176">
        <f t="shared" si="66"/>
        <v>0.15077501195573584</v>
      </c>
      <c r="AG198" s="814">
        <f t="shared" si="74"/>
        <v>2</v>
      </c>
      <c r="AH198" s="175">
        <f t="shared" si="67"/>
        <v>8</v>
      </c>
      <c r="AI198" s="224">
        <f t="shared" si="68"/>
        <v>2.1507750119557358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10">
        <f>'2025'!Wh/'2025'!Env_an*'2026'!Env_an</f>
        <v>44.117592719746547</v>
      </c>
      <c r="C199" s="843"/>
      <c r="D199" s="392">
        <f t="shared" si="50"/>
        <v>47.009314170233878</v>
      </c>
      <c r="E199" s="384">
        <f t="shared" si="75"/>
        <v>47.595683103032158</v>
      </c>
      <c r="F199" s="384">
        <f t="shared" si="51"/>
        <v>47.603131788314073</v>
      </c>
      <c r="G199" s="110">
        <f t="shared" si="76"/>
        <v>0.81453677174724937</v>
      </c>
      <c r="H199" s="413" t="b">
        <f>Wh_hp&gt;='2025'!Maxi_hp</f>
        <v>0</v>
      </c>
      <c r="I199" s="389">
        <f>IF(H199,Wh_hp,'2025'!Maxi_hp)</f>
        <v>48.796596745729502</v>
      </c>
      <c r="J199" s="85">
        <f>IF(H199,An,'2025'!An_max)</f>
        <v>2020</v>
      </c>
      <c r="K199" s="196">
        <f t="shared" si="52"/>
        <v>46207</v>
      </c>
      <c r="L199" s="147">
        <f>IF(t&lt;Tvie,1-EXP((T0-t)*PertePVj)+'2025'!Pspv,1-EXP((T0-t)*PertePVj)+Pspv)</f>
        <v>6.151379788302367E-2</v>
      </c>
      <c r="M199" s="847"/>
      <c r="N199" s="847"/>
      <c r="O199" s="48">
        <f>IF(t&lt;Tnet,'2025'!Resal+('2025'!Salim-'2025'!Resal)*(1-EXP(('2025'!Tnet-t)/('2025'!Tau_j))),Resal+(Salim-Resal)*(1-EXP((Tnet-t)/(Tau_j))))*Salcycl</f>
        <v>1.2319792354465153E-2</v>
      </c>
      <c r="P199" s="168">
        <f>(INDEX(Models!$BJ199:$BT199,,T199)*(1-R199)+INDEX(Models!$BJ199:$BT199,,T199+1)*R199-ERP_i)*Q199*Ramure*Pc/MaxiM</f>
        <v>2.1285651749016393E-4</v>
      </c>
      <c r="Q199" s="304">
        <f t="shared" si="53"/>
        <v>0.5</v>
      </c>
      <c r="R199" s="176">
        <f t="shared" si="54"/>
        <v>3.8248760265722909E-2</v>
      </c>
      <c r="S199" s="814">
        <f t="shared" si="55"/>
        <v>0</v>
      </c>
      <c r="T199" s="175">
        <f t="shared" si="56"/>
        <v>6</v>
      </c>
      <c r="U199" s="250">
        <f t="shared" si="57"/>
        <v>3.8248760265722909E-2</v>
      </c>
      <c r="V199" s="382">
        <f t="shared" si="58"/>
        <v>54.159746287851441</v>
      </c>
      <c r="W199" s="401">
        <f t="shared" si="59"/>
        <v>44.117592719746547</v>
      </c>
      <c r="X199" s="157">
        <f t="shared" si="60"/>
        <v>46207</v>
      </c>
      <c r="Y199" s="384">
        <f t="shared" si="61"/>
        <v>41.86828389423605</v>
      </c>
      <c r="Z199" s="384">
        <f t="shared" si="62"/>
        <v>44.612572672664008</v>
      </c>
      <c r="AA199" s="385">
        <f t="shared" si="63"/>
        <v>47.55862272156029</v>
      </c>
      <c r="AB199" s="196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6.194565528409874E-2</v>
      </c>
      <c r="AD199" s="230">
        <f>(INDEX(Models!$BJ199:$BT199,,AH199)*(1-AF199)+INDEX(Models!$BJ199:$BT199,,AH199+1)*AF199-ERP_i)*AE199*Ramure*Pc/MaxiM</f>
        <v>1.2719083418595201E-3</v>
      </c>
      <c r="AE199" s="304">
        <f t="shared" si="65"/>
        <v>0.5</v>
      </c>
      <c r="AF199" s="176">
        <f t="shared" si="66"/>
        <v>0.1532413000901105</v>
      </c>
      <c r="AG199" s="814">
        <f t="shared" si="74"/>
        <v>2</v>
      </c>
      <c r="AH199" s="175">
        <f t="shared" si="67"/>
        <v>8</v>
      </c>
      <c r="AI199" s="224">
        <f t="shared" si="68"/>
        <v>2.1532413000901105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10">
        <f>'2025'!Wh/'2025'!Env_an*'2026'!Env_an</f>
        <v>51.871484793443678</v>
      </c>
      <c r="C200" s="843"/>
      <c r="D200" s="392">
        <f t="shared" si="50"/>
        <v>55.272650111628266</v>
      </c>
      <c r="E200" s="384">
        <f t="shared" si="75"/>
        <v>55.967749340668661</v>
      </c>
      <c r="F200" s="384">
        <f t="shared" si="51"/>
        <v>55.978939140633834</v>
      </c>
      <c r="G200" s="110">
        <f t="shared" si="76"/>
        <v>0.95905676570199938</v>
      </c>
      <c r="H200" s="413" t="b">
        <f>Wh_hp&gt;='2025'!Maxi_hp</f>
        <v>0</v>
      </c>
      <c r="I200" s="389">
        <f>IF(H200,Wh_hp,'2025'!Maxi_hp)</f>
        <v>57.87508432107736</v>
      </c>
      <c r="J200" s="85">
        <f>IF(H200,An,'2025'!An_max)</f>
        <v>2021</v>
      </c>
      <c r="K200" s="196">
        <f t="shared" si="52"/>
        <v>46208</v>
      </c>
      <c r="L200" s="147">
        <f>IF(t&lt;Tvie,1-EXP((T0-t)*PertePVj)+'2025'!Pspv,1-EXP((T0-t)*PertePVj)+Pspv)</f>
        <v>6.1534326856331624E-2</v>
      </c>
      <c r="M200" s="847"/>
      <c r="N200" s="847"/>
      <c r="O200" s="48">
        <f>IF(t&lt;Tnet,'2025'!Resal+('2025'!Salim-'2025'!Resal)*(1-EXP(('2025'!Tnet-t)/('2025'!Tau_j))),Resal+(Salim-Resal)*(1-EXP((Tnet-t)/(Tau_j))))*Salcycl</f>
        <v>1.2419638760340614E-2</v>
      </c>
      <c r="P200" s="168">
        <f>(INDEX(Models!$BJ200:$BT200,,T200)*(1-R200)+INDEX(Models!$BJ200:$BT200,,T200+1)*R200-ERP_i)*Q200*Ramure*Pc/MaxiM</f>
        <v>2.1230734977540603E-4</v>
      </c>
      <c r="Q200" s="304">
        <f t="shared" si="53"/>
        <v>0.5</v>
      </c>
      <c r="R200" s="176">
        <f t="shared" si="54"/>
        <v>4.0669195281707204E-2</v>
      </c>
      <c r="S200" s="814">
        <f t="shared" si="55"/>
        <v>0</v>
      </c>
      <c r="T200" s="175">
        <f t="shared" si="56"/>
        <v>6</v>
      </c>
      <c r="U200" s="250">
        <f t="shared" si="57"/>
        <v>4.0669195281707204E-2</v>
      </c>
      <c r="V200" s="382">
        <f t="shared" si="58"/>
        <v>54.085266452105088</v>
      </c>
      <c r="W200" s="401">
        <f t="shared" si="59"/>
        <v>51.871484793443678</v>
      </c>
      <c r="X200" s="157">
        <f t="shared" si="60"/>
        <v>46208</v>
      </c>
      <c r="Y200" s="384">
        <f t="shared" si="61"/>
        <v>49.218366453929711</v>
      </c>
      <c r="Z200" s="384">
        <f t="shared" si="62"/>
        <v>52.445569254609211</v>
      </c>
      <c r="AA200" s="385">
        <f t="shared" si="63"/>
        <v>55.912300901600503</v>
      </c>
      <c r="AB200" s="196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6.2003022431367232E-2</v>
      </c>
      <c r="AD200" s="230">
        <f>(INDEX(Models!$BJ200:$BT200,,AH200)*(1-AF200)+INDEX(Models!$BJ200:$BT200,,AH200+1)*AF200-ERP_i)*AE200*Ramure*Pc/MaxiM</f>
        <v>1.264346812892255E-3</v>
      </c>
      <c r="AE200" s="304">
        <f t="shared" si="65"/>
        <v>0.5</v>
      </c>
      <c r="AF200" s="176">
        <f t="shared" si="66"/>
        <v>0.15566173510609449</v>
      </c>
      <c r="AG200" s="814">
        <f t="shared" si="74"/>
        <v>2</v>
      </c>
      <c r="AH200" s="175">
        <f t="shared" si="67"/>
        <v>8</v>
      </c>
      <c r="AI200" s="224">
        <f t="shared" si="68"/>
        <v>2.1556617351060945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10">
        <f>'2025'!Wh/'2025'!Env_an*'2026'!Env_an</f>
        <v>39.980976621209983</v>
      </c>
      <c r="C201" s="843"/>
      <c r="D201" s="392">
        <f t="shared" si="50"/>
        <v>42.603424238930224</v>
      </c>
      <c r="E201" s="384">
        <f t="shared" si="75"/>
        <v>43.143549074897173</v>
      </c>
      <c r="F201" s="384">
        <f t="shared" si="51"/>
        <v>43.149289586124361</v>
      </c>
      <c r="G201" s="110">
        <f t="shared" si="76"/>
        <v>0.74018740647043491</v>
      </c>
      <c r="H201" s="413" t="b">
        <f>Wh_hp&gt;='2025'!Maxi_hp</f>
        <v>0</v>
      </c>
      <c r="I201" s="389">
        <f>IF(H201,Wh_hp,'2025'!Maxi_hp)</f>
        <v>56.501784231476087</v>
      </c>
      <c r="J201" s="85">
        <f>IF(H201,An,'2025'!An_max)</f>
        <v>2020</v>
      </c>
      <c r="K201" s="196">
        <f t="shared" si="52"/>
        <v>46209</v>
      </c>
      <c r="L201" s="147">
        <f>IF(t&lt;Tvie,1-EXP((T0-t)*PertePVj)+'2025'!Pspv,1-EXP((T0-t)*PertePVj)+Pspv)</f>
        <v>6.1554855380002473E-2</v>
      </c>
      <c r="M201" s="847"/>
      <c r="N201" s="847"/>
      <c r="O201" s="48">
        <f>IF(t&lt;Tnet,'2025'!Resal+('2025'!Salim-'2025'!Resal)*(1-EXP(('2025'!Tnet-t)/('2025'!Tau_j))),Resal+(Salim-Resal)*(1-EXP((Tnet-t)/(Tau_j))))*Salcycl</f>
        <v>1.2519249054575736E-2</v>
      </c>
      <c r="P201" s="168">
        <f>(INDEX(Models!$BJ201:$BT201,,T201)*(1-R201)+INDEX(Models!$BJ201:$BT201,,T201+1)*R201-ERP_i)*Q201*Ramure*Pc/MaxiM</f>
        <v>2.1153391898786266E-4</v>
      </c>
      <c r="Q201" s="304">
        <f t="shared" si="53"/>
        <v>0.5</v>
      </c>
      <c r="R201" s="176">
        <f t="shared" si="54"/>
        <v>4.304305775838288E-2</v>
      </c>
      <c r="S201" s="814">
        <f t="shared" si="55"/>
        <v>0</v>
      </c>
      <c r="T201" s="175">
        <f t="shared" si="56"/>
        <v>6</v>
      </c>
      <c r="U201" s="250">
        <f t="shared" si="57"/>
        <v>4.304305775838288E-2</v>
      </c>
      <c r="V201" s="382">
        <f t="shared" si="58"/>
        <v>54.010426988523385</v>
      </c>
      <c r="W201" s="401">
        <f t="shared" si="59"/>
        <v>39.980976621209983</v>
      </c>
      <c r="X201" s="157">
        <f t="shared" si="60"/>
        <v>46209</v>
      </c>
      <c r="Y201" s="384">
        <f t="shared" si="61"/>
        <v>37.95025514598521</v>
      </c>
      <c r="Z201" s="384">
        <f t="shared" si="62"/>
        <v>40.439502898544298</v>
      </c>
      <c r="AA201" s="385">
        <f t="shared" si="63"/>
        <v>43.115211701566523</v>
      </c>
      <c r="AB201" s="196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6.2059507478308566E-2</v>
      </c>
      <c r="AD201" s="230">
        <f>(INDEX(Models!$BJ201:$BT201,,AH201)*(1-AF201)+INDEX(Models!$BJ201:$BT201,,AH201+1)*AF201-ERP_i)*AE201*Ramure*Pc/MaxiM</f>
        <v>1.2557467769067818E-3</v>
      </c>
      <c r="AE201" s="304">
        <f t="shared" si="65"/>
        <v>0.5</v>
      </c>
      <c r="AF201" s="176">
        <f t="shared" si="66"/>
        <v>0.1580355975827703</v>
      </c>
      <c r="AG201" s="814">
        <f t="shared" si="74"/>
        <v>2</v>
      </c>
      <c r="AH201" s="175">
        <f t="shared" si="67"/>
        <v>8</v>
      </c>
      <c r="AI201" s="224">
        <f t="shared" si="68"/>
        <v>2.1580355975827703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10">
        <f>'2025'!Wh/'2025'!Env_an*'2026'!Env_an</f>
        <v>49.199423415710577</v>
      </c>
      <c r="C202" s="843"/>
      <c r="D202" s="392">
        <f t="shared" si="50"/>
        <v>52.42767777852864</v>
      </c>
      <c r="E202" s="384">
        <f t="shared" si="75"/>
        <v>53.097697710549362</v>
      </c>
      <c r="F202" s="384">
        <f t="shared" si="51"/>
        <v>53.107476116085685</v>
      </c>
      <c r="G202" s="110">
        <f t="shared" si="76"/>
        <v>0.9121688024327137</v>
      </c>
      <c r="H202" s="413" t="b">
        <f>Wh_hp&gt;='2025'!Maxi_hp</f>
        <v>0</v>
      </c>
      <c r="I202" s="389">
        <f>IF(H202,Wh_hp,'2025'!Maxi_hp)</f>
        <v>53.10830706585228</v>
      </c>
      <c r="J202" s="85">
        <f>IF(H202,An,'2025'!An_max)</f>
        <v>2025</v>
      </c>
      <c r="K202" s="196">
        <f t="shared" si="52"/>
        <v>46210</v>
      </c>
      <c r="L202" s="147">
        <f>IF(t&lt;Tvie,1-EXP((T0-t)*PertePVj)+'2025'!Pspv,1-EXP((T0-t)*PertePVj)+Pspv)</f>
        <v>6.1575383454045875E-2</v>
      </c>
      <c r="M202" s="847"/>
      <c r="N202" s="847"/>
      <c r="O202" s="48">
        <f>IF(t&lt;Tnet,'2025'!Resal+('2025'!Salim-'2025'!Resal)*(1-EXP(('2025'!Tnet-t)/('2025'!Tau_j))),Resal+(Salim-Resal)*(1-EXP((Tnet-t)/(Tau_j))))*Salcycl</f>
        <v>1.2618624929336741E-2</v>
      </c>
      <c r="P202" s="168">
        <f>(INDEX(Models!$BJ202:$BT202,,T202)*(1-R202)+INDEX(Models!$BJ202:$BT202,,T202+1)*R202-ERP_i)*Q202*Ramure*Pc/MaxiM</f>
        <v>2.1053394858556196E-4</v>
      </c>
      <c r="Q202" s="304">
        <f t="shared" si="53"/>
        <v>0.5</v>
      </c>
      <c r="R202" s="176">
        <f t="shared" si="54"/>
        <v>4.5369732787406636E-2</v>
      </c>
      <c r="S202" s="814">
        <f t="shared" si="55"/>
        <v>0</v>
      </c>
      <c r="T202" s="175">
        <f t="shared" si="56"/>
        <v>6</v>
      </c>
      <c r="U202" s="250">
        <f t="shared" si="57"/>
        <v>4.5369732787406636E-2</v>
      </c>
      <c r="V202" s="382">
        <f t="shared" si="58"/>
        <v>53.935328343065777</v>
      </c>
      <c r="W202" s="401">
        <f t="shared" si="59"/>
        <v>49.199423415710577</v>
      </c>
      <c r="X202" s="157">
        <f t="shared" si="60"/>
        <v>46210</v>
      </c>
      <c r="Y202" s="384">
        <f t="shared" si="61"/>
        <v>46.690769359274796</v>
      </c>
      <c r="Z202" s="384">
        <f t="shared" si="62"/>
        <v>49.754416642573631</v>
      </c>
      <c r="AA202" s="385">
        <f t="shared" si="63"/>
        <v>53.049599768558259</v>
      </c>
      <c r="AB202" s="196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6.2115136407450082E-2</v>
      </c>
      <c r="AD202" s="230">
        <f>(INDEX(Models!$BJ202:$BT202,,AH202)*(1-AF202)+INDEX(Models!$BJ202:$BT202,,AH202+1)*AF202-ERP_i)*AE202*Ramure*Pc/MaxiM</f>
        <v>1.246106630512738E-3</v>
      </c>
      <c r="AE202" s="304">
        <f t="shared" si="65"/>
        <v>0.5</v>
      </c>
      <c r="AF202" s="176">
        <f t="shared" si="66"/>
        <v>0.16036227261179414</v>
      </c>
      <c r="AG202" s="814">
        <f t="shared" si="74"/>
        <v>2</v>
      </c>
      <c r="AH202" s="175">
        <f t="shared" si="67"/>
        <v>8</v>
      </c>
      <c r="AI202" s="224">
        <f t="shared" si="68"/>
        <v>2.1603622726117941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10">
        <f>'2025'!Wh/'2025'!Env_an*'2026'!Env_an</f>
        <v>53.612116397152114</v>
      </c>
      <c r="C203" s="843"/>
      <c r="D203" s="392">
        <f t="shared" si="50"/>
        <v>57.131162395899686</v>
      </c>
      <c r="E203" s="384">
        <f t="shared" si="75"/>
        <v>57.867102812908065</v>
      </c>
      <c r="F203" s="384">
        <f t="shared" si="51"/>
        <v>57.879137557468844</v>
      </c>
      <c r="G203" s="110">
        <f t="shared" si="76"/>
        <v>0.99539495049613924</v>
      </c>
      <c r="H203" s="413" t="b">
        <f>Wh_hp&gt;='2025'!Maxi_hp</f>
        <v>0</v>
      </c>
      <c r="I203" s="389">
        <f>IF(H203,Wh_hp,'2025'!Maxi_hp)</f>
        <v>58.837681305863043</v>
      </c>
      <c r="J203" s="85">
        <f>IF(H203,An,'2025'!An_max)</f>
        <v>2020</v>
      </c>
      <c r="K203" s="196">
        <f t="shared" si="52"/>
        <v>46211</v>
      </c>
      <c r="L203" s="147">
        <f>IF(t&lt;Tvie,1-EXP((T0-t)*PertePVj)+'2025'!Pspv,1-EXP((T0-t)*PertePVj)+Pspv)</f>
        <v>6.1595911078471823E-2</v>
      </c>
      <c r="M203" s="847"/>
      <c r="N203" s="847"/>
      <c r="O203" s="48">
        <f>IF(t&lt;Tnet,'2025'!Resal+('2025'!Salim-'2025'!Resal)*(1-EXP(('2025'!Tnet-t)/('2025'!Tau_j))),Resal+(Salim-Resal)*(1-EXP((Tnet-t)/(Tau_j))))*Salcycl</f>
        <v>1.2717768494264809E-2</v>
      </c>
      <c r="P203" s="168">
        <f>(INDEX(Models!$BJ203:$BT203,,T203)*(1-R203)+INDEX(Models!$BJ203:$BT203,,T203+1)*R203-ERP_i)*Q203*Ramure*Pc/MaxiM</f>
        <v>2.093054210891686E-4</v>
      </c>
      <c r="Q203" s="304">
        <f t="shared" si="53"/>
        <v>0.5</v>
      </c>
      <c r="R203" s="176">
        <f t="shared" si="54"/>
        <v>4.7648707726768075E-2</v>
      </c>
      <c r="S203" s="814">
        <f t="shared" si="55"/>
        <v>0</v>
      </c>
      <c r="T203" s="175">
        <f t="shared" si="56"/>
        <v>6</v>
      </c>
      <c r="U203" s="250">
        <f t="shared" si="57"/>
        <v>4.7648707726768075E-2</v>
      </c>
      <c r="V203" s="382">
        <f t="shared" si="58"/>
        <v>53.860070875475898</v>
      </c>
      <c r="W203" s="401">
        <f t="shared" si="59"/>
        <v>53.612116397152114</v>
      </c>
      <c r="X203" s="157">
        <f t="shared" si="60"/>
        <v>46211</v>
      </c>
      <c r="Y203" s="384">
        <f t="shared" si="61"/>
        <v>50.874804820180586</v>
      </c>
      <c r="Z203" s="384">
        <f t="shared" si="62"/>
        <v>54.214176409492254</v>
      </c>
      <c r="AA203" s="385">
        <f t="shared" si="63"/>
        <v>57.808102465173995</v>
      </c>
      <c r="AB203" s="196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6.2169936434894706E-2</v>
      </c>
      <c r="AD203" s="230">
        <f>(INDEX(Models!$BJ203:$BT203,,AH203)*(1-AF203)+INDEX(Models!$BJ203:$BT203,,AH203+1)*AF203-ERP_i)*AE203*Ramure*Pc/MaxiM</f>
        <v>1.2354254658083991E-3</v>
      </c>
      <c r="AE203" s="304">
        <f t="shared" si="65"/>
        <v>0.5</v>
      </c>
      <c r="AF203" s="176">
        <f t="shared" si="66"/>
        <v>0.16264124755115539</v>
      </c>
      <c r="AG203" s="814">
        <f t="shared" si="74"/>
        <v>2</v>
      </c>
      <c r="AH203" s="175">
        <f t="shared" si="67"/>
        <v>8</v>
      </c>
      <c r="AI203" s="224">
        <f t="shared" si="68"/>
        <v>2.1626412475511554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10">
        <f>'2025'!Wh/'2025'!Env_an*'2026'!Env_an</f>
        <v>52.800514084586375</v>
      </c>
      <c r="C204" s="843"/>
      <c r="D204" s="392">
        <f t="shared" si="50"/>
        <v>56.26751814183887</v>
      </c>
      <c r="E204" s="384">
        <f t="shared" si="75"/>
        <v>56.998043959906354</v>
      </c>
      <c r="F204" s="384">
        <f t="shared" si="51"/>
        <v>57.009583439376009</v>
      </c>
      <c r="G204" s="110">
        <f t="shared" si="76"/>
        <v>0.98169504102602456</v>
      </c>
      <c r="H204" s="413" t="b">
        <f>Wh_hp&gt;='2025'!Maxi_hp</f>
        <v>0</v>
      </c>
      <c r="I204" s="389">
        <f>IF(H204,Wh_hp,'2025'!Maxi_hp)</f>
        <v>58.42671028153908</v>
      </c>
      <c r="J204" s="85">
        <f>IF(H204,An,'2025'!An_max)</f>
        <v>2021</v>
      </c>
      <c r="K204" s="196">
        <f t="shared" si="52"/>
        <v>46212</v>
      </c>
      <c r="L204" s="147">
        <f>IF(t&lt;Tvie,1-EXP((T0-t)*PertePVj)+'2025'!Pspv,1-EXP((T0-t)*PertePVj)+Pspv)</f>
        <v>6.1616438253290086E-2</v>
      </c>
      <c r="M204" s="847"/>
      <c r="N204" s="847"/>
      <c r="O204" s="48">
        <f>IF(t&lt;Tnet,'2025'!Resal+('2025'!Salim-'2025'!Resal)*(1-EXP(('2025'!Tnet-t)/('2025'!Tau_j))),Resal+(Salim-Resal)*(1-EXP((Tnet-t)/(Tau_j))))*Salcycl</f>
        <v>1.2816682245821415E-2</v>
      </c>
      <c r="P204" s="168">
        <f>(INDEX(Models!$BJ204:$BT204,,T204)*(1-R204)+INDEX(Models!$BJ204:$BT204,,T204+1)*R204-ERP_i)*Q204*Ramure*Pc/MaxiM</f>
        <v>2.0784656785056518E-4</v>
      </c>
      <c r="Q204" s="304">
        <f t="shared" si="53"/>
        <v>0.5</v>
      </c>
      <c r="R204" s="176">
        <f t="shared" si="54"/>
        <v>4.987956960203932E-2</v>
      </c>
      <c r="S204" s="814">
        <f t="shared" si="55"/>
        <v>0</v>
      </c>
      <c r="T204" s="175">
        <f t="shared" si="56"/>
        <v>6</v>
      </c>
      <c r="U204" s="250">
        <f t="shared" si="57"/>
        <v>4.987956960203932E-2</v>
      </c>
      <c r="V204" s="382">
        <f t="shared" si="58"/>
        <v>53.784754861243734</v>
      </c>
      <c r="W204" s="401">
        <f t="shared" si="59"/>
        <v>52.800514084586375</v>
      </c>
      <c r="X204" s="157">
        <f t="shared" si="60"/>
        <v>46212</v>
      </c>
      <c r="Y204" s="384">
        <f t="shared" si="61"/>
        <v>50.108285108232558</v>
      </c>
      <c r="Z204" s="384">
        <f t="shared" si="62"/>
        <v>53.398511174855678</v>
      </c>
      <c r="AA204" s="385">
        <f t="shared" si="63"/>
        <v>56.94164440183927</v>
      </c>
      <c r="AB204" s="196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6.2223935824184701E-2</v>
      </c>
      <c r="AD204" s="230">
        <f>(INDEX(Models!$BJ204:$BT204,,AH204)*(1-AF204)+INDEX(Models!$BJ204:$BT204,,AH204+1)*AF204-ERP_i)*AE204*Ramure*Pc/MaxiM</f>
        <v>1.2237030112334435E-3</v>
      </c>
      <c r="AE204" s="304">
        <f t="shared" si="65"/>
        <v>0.5</v>
      </c>
      <c r="AF204" s="176">
        <f t="shared" si="66"/>
        <v>0.16487210942642694</v>
      </c>
      <c r="AG204" s="814">
        <f t="shared" si="74"/>
        <v>2</v>
      </c>
      <c r="AH204" s="175">
        <f t="shared" si="67"/>
        <v>8</v>
      </c>
      <c r="AI204" s="224">
        <f t="shared" si="68"/>
        <v>2.1648721094264269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10">
        <f>'2025'!Wh/'2025'!Env_an*'2026'!Env_an</f>
        <v>52.595324560182895</v>
      </c>
      <c r="C205" s="843"/>
      <c r="D205" s="392">
        <f t="shared" si="50"/>
        <v>56.050081468712598</v>
      </c>
      <c r="E205" s="384">
        <f t="shared" si="75"/>
        <v>56.783460820270165</v>
      </c>
      <c r="F205" s="384">
        <f t="shared" si="51"/>
        <v>56.794822557628301</v>
      </c>
      <c r="G205" s="110">
        <f t="shared" si="76"/>
        <v>0.97925447126136989</v>
      </c>
      <c r="H205" s="413" t="b">
        <f>Wh_hp&gt;='2025'!Maxi_hp</f>
        <v>0</v>
      </c>
      <c r="I205" s="389">
        <f>IF(H205,Wh_hp,'2025'!Maxi_hp)</f>
        <v>57.577022545392943</v>
      </c>
      <c r="J205" s="85">
        <f>IF(H205,An,'2025'!An_max)</f>
        <v>2019</v>
      </c>
      <c r="K205" s="196">
        <f t="shared" si="52"/>
        <v>46213</v>
      </c>
      <c r="L205" s="147">
        <f>IF(t&lt;Tvie,1-EXP((T0-t)*PertePVj)+'2025'!Pspv,1-EXP((T0-t)*PertePVj)+Pspv)</f>
        <v>6.1636964978510546E-2</v>
      </c>
      <c r="M205" s="847"/>
      <c r="N205" s="847"/>
      <c r="O205" s="48">
        <f>IF(t&lt;Tnet,'2025'!Resal+('2025'!Salim-'2025'!Resal)*(1-EXP(('2025'!Tnet-t)/('2025'!Tau_j))),Resal+(Salim-Resal)*(1-EXP((Tnet-t)/(Tau_j))))*Salcycl</f>
        <v>1.291536903463575E-2</v>
      </c>
      <c r="P205" s="168">
        <f>(INDEX(Models!$BJ205:$BT205,,T205)*(1-R205)+INDEX(Models!$BJ205:$BT205,,T205+1)*R205-ERP_i)*Q205*Ramure*Pc/MaxiM</f>
        <v>2.06156820614876E-4</v>
      </c>
      <c r="Q205" s="304">
        <f t="shared" si="53"/>
        <v>0.5</v>
      </c>
      <c r="R205" s="176">
        <f t="shared" si="54"/>
        <v>5.2062002190736534E-2</v>
      </c>
      <c r="S205" s="814">
        <f t="shared" si="55"/>
        <v>0</v>
      </c>
      <c r="T205" s="175">
        <f t="shared" si="56"/>
        <v>6</v>
      </c>
      <c r="U205" s="250">
        <f t="shared" si="57"/>
        <v>5.2062002190736534E-2</v>
      </c>
      <c r="V205" s="382">
        <f t="shared" si="58"/>
        <v>53.709229610150473</v>
      </c>
      <c r="W205" s="401">
        <f t="shared" si="59"/>
        <v>52.595324560182895</v>
      </c>
      <c r="X205" s="157">
        <f t="shared" si="60"/>
        <v>46213</v>
      </c>
      <c r="Y205" s="384">
        <f t="shared" si="61"/>
        <v>49.916428638745501</v>
      </c>
      <c r="Z205" s="384">
        <f t="shared" si="62"/>
        <v>53.195220587096514</v>
      </c>
      <c r="AA205" s="385">
        <f t="shared" si="63"/>
        <v>56.728084811178803</v>
      </c>
      <c r="AB205" s="196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6.2277163698396226E-2</v>
      </c>
      <c r="AD205" s="230">
        <f>(INDEX(Models!$BJ205:$BT205,,AH205)*(1-AF205)+INDEX(Models!$BJ205:$BT205,,AH205+1)*AF205-ERP_i)*AE205*Ramure*Pc/MaxiM</f>
        <v>1.2109452268914396E-3</v>
      </c>
      <c r="AE205" s="304">
        <f t="shared" si="65"/>
        <v>0.5</v>
      </c>
      <c r="AF205" s="176">
        <f t="shared" si="66"/>
        <v>0.16705454201512371</v>
      </c>
      <c r="AG205" s="814">
        <f t="shared" si="74"/>
        <v>2</v>
      </c>
      <c r="AH205" s="175">
        <f t="shared" si="67"/>
        <v>8</v>
      </c>
      <c r="AI205" s="224">
        <f t="shared" si="68"/>
        <v>2.1670545420151237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10">
        <f>'2025'!Wh/'2025'!Env_an*'2026'!Env_an</f>
        <v>51.362056534551442</v>
      </c>
      <c r="C206" s="843"/>
      <c r="D206" s="392">
        <f t="shared" si="50"/>
        <v>54.73700280636276</v>
      </c>
      <c r="E206" s="384">
        <f t="shared" si="75"/>
        <v>55.458733448116355</v>
      </c>
      <c r="F206" s="384">
        <f t="shared" si="51"/>
        <v>55.469374738292551</v>
      </c>
      <c r="G206" s="110">
        <f t="shared" si="76"/>
        <v>0.95764089169100497</v>
      </c>
      <c r="H206" s="413" t="b">
        <f>Wh_hp&gt;='2025'!Maxi_hp</f>
        <v>0</v>
      </c>
      <c r="I206" s="389">
        <f>IF(H206,Wh_hp,'2025'!Maxi_hp)</f>
        <v>58.243264696264866</v>
      </c>
      <c r="J206" s="85">
        <f>IF(H206,An,'2025'!An_max)</f>
        <v>2019</v>
      </c>
      <c r="K206" s="196">
        <f t="shared" si="52"/>
        <v>46214</v>
      </c>
      <c r="L206" s="147">
        <f>IF(t&lt;Tvie,1-EXP((T0-t)*PertePVj)+'2025'!Pspv,1-EXP((T0-t)*PertePVj)+Pspv)</f>
        <v>6.1657491254143083E-2</v>
      </c>
      <c r="M206" s="847"/>
      <c r="N206" s="847"/>
      <c r="O206" s="48">
        <f>IF(t&lt;Tnet,'2025'!Resal+('2025'!Salim-'2025'!Resal)*(1-EXP(('2025'!Tnet-t)/('2025'!Tau_j))),Resal+(Salim-Resal)*(1-EXP((Tnet-t)/(Tau_j))))*Salcycl</f>
        <v>1.3013832031140761E-2</v>
      </c>
      <c r="P206" s="168">
        <f>(INDEX(Models!$BJ206:$BT206,,T206)*(1-R206)+INDEX(Models!$BJ206:$BT206,,T206+1)*R206-ERP_i)*Q206*Ramure*Pc/MaxiM</f>
        <v>2.0419374412252936E-4</v>
      </c>
      <c r="Q206" s="304">
        <f t="shared" si="53"/>
        <v>0.5</v>
      </c>
      <c r="R206" s="176">
        <f t="shared" si="54"/>
        <v>5.4195782825755129E-2</v>
      </c>
      <c r="S206" s="814">
        <f t="shared" si="55"/>
        <v>0</v>
      </c>
      <c r="T206" s="175">
        <f t="shared" si="56"/>
        <v>6</v>
      </c>
      <c r="U206" s="250">
        <f t="shared" si="57"/>
        <v>5.4195782825755129E-2</v>
      </c>
      <c r="V206" s="382">
        <f t="shared" si="58"/>
        <v>53.633279851262898</v>
      </c>
      <c r="W206" s="401">
        <f t="shared" si="59"/>
        <v>51.362056534551442</v>
      </c>
      <c r="X206" s="157">
        <f t="shared" si="60"/>
        <v>46214</v>
      </c>
      <c r="Y206" s="384">
        <f t="shared" si="61"/>
        <v>48.750180214768513</v>
      </c>
      <c r="Z206" s="384">
        <f t="shared" si="62"/>
        <v>51.953502863176944</v>
      </c>
      <c r="AA206" s="385">
        <f t="shared" si="63"/>
        <v>55.407001890343025</v>
      </c>
      <c r="AB206" s="196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6.2329649851853727E-2</v>
      </c>
      <c r="AD206" s="230">
        <f>(INDEX(Models!$BJ206:$BT206,,AH206)*(1-AF206)+INDEX(Models!$BJ206:$BT206,,AH206+1)*AF206-ERP_i)*AE206*Ramure*Pc/MaxiM</f>
        <v>1.1968610143613908E-3</v>
      </c>
      <c r="AE206" s="304">
        <f t="shared" si="65"/>
        <v>0.5</v>
      </c>
      <c r="AF206" s="176">
        <f t="shared" si="66"/>
        <v>0.16918832265014272</v>
      </c>
      <c r="AG206" s="814">
        <f t="shared" si="74"/>
        <v>2</v>
      </c>
      <c r="AH206" s="175">
        <f t="shared" si="67"/>
        <v>8</v>
      </c>
      <c r="AI206" s="224">
        <f t="shared" si="68"/>
        <v>2.1691883226501427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10">
        <f>'2025'!Wh/'2025'!Env_an*'2026'!Env_an</f>
        <v>50.962991204264675</v>
      </c>
      <c r="C207" s="843"/>
      <c r="D207" s="392">
        <f t="shared" ref="D207:D270" si="77">Wh/(1-Ppv)</f>
        <v>54.312903387046013</v>
      </c>
      <c r="E207" s="384">
        <f t="shared" si="75"/>
        <v>55.034520125448047</v>
      </c>
      <c r="F207" s="384">
        <f t="shared" ref="F207:F270" si="78">Wh_sa/(1-Pvg*MEDIAN((-Sdif+Wh/Env_an)/Csdif,0,1))</f>
        <v>55.044872023379511</v>
      </c>
      <c r="G207" s="110">
        <f t="shared" si="76"/>
        <v>0.95155391329313921</v>
      </c>
      <c r="H207" s="413" t="b">
        <f>Wh_hp&gt;='2025'!Maxi_hp</f>
        <v>0</v>
      </c>
      <c r="I207" s="389">
        <f>IF(H207,Wh_hp,'2025'!Maxi_hp)</f>
        <v>59.300969895752004</v>
      </c>
      <c r="J207" s="85">
        <f>IF(H207,An,'2025'!An_max)</f>
        <v>2019</v>
      </c>
      <c r="K207" s="196">
        <f t="shared" ref="K207:K270" si="79">t</f>
        <v>46215</v>
      </c>
      <c r="L207" s="147">
        <f>IF(t&lt;Tvie,1-EXP((T0-t)*PertePVj)+'2025'!Pspv,1-EXP((T0-t)*PertePVj)+Pspv)</f>
        <v>6.1678017080197468E-2</v>
      </c>
      <c r="M207" s="847"/>
      <c r="N207" s="847"/>
      <c r="O207" s="48">
        <f>IF(t&lt;Tnet,'2025'!Resal+('2025'!Salim-'2025'!Resal)*(1-EXP(('2025'!Tnet-t)/('2025'!Tau_j))),Resal+(Salim-Resal)*(1-EXP((Tnet-t)/(Tau_j))))*Salcycl</f>
        <v>1.311207468979751E-2</v>
      </c>
      <c r="P207" s="168">
        <f>(INDEX(Models!$BJ207:$BT207,,T207)*(1-R207)+INDEX(Models!$BJ207:$BT207,,T207+1)*R207-ERP_i)*Q207*Ramure*Pc/MaxiM</f>
        <v>2.0204212574597807E-4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5.6280778953786054E-2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5.6280778953786054E-2</v>
      </c>
      <c r="V207" s="382">
        <f t="shared" ref="V207:V270" si="85">MaxiM*(1-Ppv)*(1-Pvg)*(1-Psa)</f>
        <v>53.556900912133479</v>
      </c>
      <c r="W207" s="401">
        <f t="shared" ref="W207:W270" si="86">Wh*(A207&gt;Tmaj)</f>
        <v>50.962991204264675</v>
      </c>
      <c r="X207" s="157">
        <f t="shared" ref="X207:X270" si="87">t</f>
        <v>46215</v>
      </c>
      <c r="Y207" s="384">
        <f t="shared" ref="Y207:Y270" si="88">Wh_pvt_s*(1-Ppv)</f>
        <v>48.37454771596785</v>
      </c>
      <c r="Z207" s="384">
        <f t="shared" ref="Z207:Z270" si="89">Wh_sa_s*(1-Psa_s)</f>
        <v>51.554315678973467</v>
      </c>
      <c r="AA207" s="385">
        <f t="shared" ref="AA207:AA270" si="90">Wh_hp*(1-Pvg_s*MEDIAN((-Sdif+Wh/Env_an)/Csdif,0,1))</f>
        <v>54.984315615693149</v>
      </c>
      <c r="AB207" s="196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6.2381424562838843E-2</v>
      </c>
      <c r="AD207" s="230">
        <f>(INDEX(Models!$BJ207:$BT207,,AH207)*(1-AF207)+INDEX(Models!$BJ207:$BT207,,AH207+1)*AF207-ERP_i)*AE207*Ramure*Pc/MaxiM</f>
        <v>1.181903590771188E-3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0.17127331877817342</v>
      </c>
      <c r="AG207" s="814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2.1712733187781734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10">
        <f>'2025'!Wh/'2025'!Env_an*'2026'!Env_an</f>
        <v>50.966519303470214</v>
      </c>
      <c r="C208" s="843"/>
      <c r="D208" s="392">
        <f t="shared" si="77"/>
        <v>54.317851575027909</v>
      </c>
      <c r="E208" s="384">
        <f t="shared" si="75"/>
        <v>55.045001589732401</v>
      </c>
      <c r="F208" s="384">
        <f t="shared" si="78"/>
        <v>55.055258015767109</v>
      </c>
      <c r="G208" s="110">
        <f t="shared" si="76"/>
        <v>0.95298705071543999</v>
      </c>
      <c r="H208" s="413" t="b">
        <f>Wh_hp&gt;='2025'!Maxi_hp</f>
        <v>0</v>
      </c>
      <c r="I208" s="389">
        <f>IF(H208,Wh_hp,'2025'!Maxi_hp)</f>
        <v>55.055686034454325</v>
      </c>
      <c r="J208" s="85">
        <f>IF(H208,An,'2025'!An_max)</f>
        <v>2025</v>
      </c>
      <c r="K208" s="196">
        <f t="shared" si="79"/>
        <v>46216</v>
      </c>
      <c r="L208" s="147">
        <f>IF(t&lt;Tvie,1-EXP((T0-t)*PertePVj)+'2025'!Pspv,1-EXP((T0-t)*PertePVj)+Pspv)</f>
        <v>6.1698542456683582E-2</v>
      </c>
      <c r="M208" s="847"/>
      <c r="N208" s="847"/>
      <c r="O208" s="48">
        <f>IF(t&lt;Tnet,'2025'!Resal+('2025'!Salim-'2025'!Resal)*(1-EXP(('2025'!Tnet-t)/('2025'!Tau_j))),Resal+(Salim-Resal)*(1-EXP((Tnet-t)/(Tau_j))))*Salcycl</f>
        <v>1.3210100712216661E-2</v>
      </c>
      <c r="P208" s="168">
        <f>(INDEX(Models!$BJ208:$BT208,,T208)*(1-R208)+INDEX(Models!$BJ208:$BT208,,T208+1)*R208-ERP_i)*Q208*Ramure*Pc/MaxiM</f>
        <v>1.9970191107282045E-4</v>
      </c>
      <c r="Q208" s="304">
        <f t="shared" si="80"/>
        <v>0.5</v>
      </c>
      <c r="R208" s="176">
        <f t="shared" si="81"/>
        <v>5.8316944484193306E-2</v>
      </c>
      <c r="S208" s="814">
        <f t="shared" si="82"/>
        <v>0</v>
      </c>
      <c r="T208" s="175">
        <f t="shared" si="83"/>
        <v>6</v>
      </c>
      <c r="U208" s="250">
        <f t="shared" si="84"/>
        <v>5.8316944484193306E-2</v>
      </c>
      <c r="V208" s="382">
        <f t="shared" si="85"/>
        <v>53.480092670671922</v>
      </c>
      <c r="W208" s="401">
        <f t="shared" si="86"/>
        <v>50.966519303470214</v>
      </c>
      <c r="X208" s="157">
        <f t="shared" si="87"/>
        <v>46216</v>
      </c>
      <c r="Y208" s="384">
        <f t="shared" si="88"/>
        <v>48.380578133879247</v>
      </c>
      <c r="Z208" s="384">
        <f t="shared" si="89"/>
        <v>51.561870382840979</v>
      </c>
      <c r="AA208" s="385">
        <f t="shared" si="90"/>
        <v>54.995369821619263</v>
      </c>
      <c r="AB208" s="196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6.2432518408641384E-2</v>
      </c>
      <c r="AD208" s="230">
        <f>(INDEX(Models!$BJ208:$BT208,,AH208)*(1-AF208)+INDEX(Models!$BJ208:$BT208,,AH208+1)*AF208-ERP_i)*AE208*Ramure*Pc/MaxiM</f>
        <v>1.166077421272279E-3</v>
      </c>
      <c r="AE208" s="304">
        <f t="shared" si="92"/>
        <v>0.5</v>
      </c>
      <c r="AF208" s="176">
        <f t="shared" si="93"/>
        <v>0.17330948430858051</v>
      </c>
      <c r="AG208" s="814">
        <f t="shared" ref="AG208:AG271" si="99">INDEX(Echel_vg,AH208)</f>
        <v>2</v>
      </c>
      <c r="AH208" s="175">
        <f t="shared" si="94"/>
        <v>8</v>
      </c>
      <c r="AI208" s="224">
        <f t="shared" si="95"/>
        <v>2.1733094843085805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10">
        <f>'2025'!Wh/'2025'!Env_an*'2026'!Env_an</f>
        <v>50.370593625354672</v>
      </c>
      <c r="C209" s="843"/>
      <c r="D209" s="392">
        <f t="shared" si="77"/>
        <v>53.683914779016852</v>
      </c>
      <c r="E209" s="384">
        <f t="shared" si="75"/>
        <v>54.40797138362101</v>
      </c>
      <c r="F209" s="384">
        <f t="shared" si="78"/>
        <v>54.417830771269891</v>
      </c>
      <c r="G209" s="110">
        <f t="shared" si="76"/>
        <v>0.94320402671101478</v>
      </c>
      <c r="H209" s="413" t="b">
        <f>Wh_hp&gt;='2025'!Maxi_hp</f>
        <v>0</v>
      </c>
      <c r="I209" s="389">
        <f>IF(H209,Wh_hp,'2025'!Maxi_hp)</f>
        <v>58.425013192463943</v>
      </c>
      <c r="J209" s="85">
        <f>IF(H209,An,'2025'!An_max)</f>
        <v>2019</v>
      </c>
      <c r="K209" s="196">
        <f t="shared" si="79"/>
        <v>46217</v>
      </c>
      <c r="L209" s="147">
        <f>IF(t&lt;Tvie,1-EXP((T0-t)*PertePVj)+'2025'!Pspv,1-EXP((T0-t)*PertePVj)+Pspv)</f>
        <v>6.1719067383611194E-2</v>
      </c>
      <c r="M209" s="847"/>
      <c r="N209" s="847"/>
      <c r="O209" s="48">
        <f>IF(t&lt;Tnet,'2025'!Resal+('2025'!Salim-'2025'!Resal)*(1-EXP(('2025'!Tnet-t)/('2025'!Tau_j))),Resal+(Salim-Resal)*(1-EXP((Tnet-t)/(Tau_j))))*Salcycl</f>
        <v>1.3307914009492468E-2</v>
      </c>
      <c r="P209" s="168">
        <f>(INDEX(Models!$BJ209:$BT209,,T209)*(1-R209)+INDEX(Models!$BJ209:$BT209,,T209+1)*R209-ERP_i)*Q209*Ramure*Pc/MaxiM</f>
        <v>1.9717316805007137E-4</v>
      </c>
      <c r="Q209" s="304">
        <f t="shared" si="80"/>
        <v>0.5</v>
      </c>
      <c r="R209" s="176">
        <f t="shared" si="81"/>
        <v>6.0304315963073063E-2</v>
      </c>
      <c r="S209" s="814">
        <f t="shared" si="82"/>
        <v>0</v>
      </c>
      <c r="T209" s="175">
        <f t="shared" si="83"/>
        <v>6</v>
      </c>
      <c r="U209" s="250">
        <f t="shared" si="84"/>
        <v>6.0304315963073063E-2</v>
      </c>
      <c r="V209" s="382">
        <f t="shared" si="85"/>
        <v>53.40285498706691</v>
      </c>
      <c r="W209" s="401">
        <f t="shared" si="86"/>
        <v>50.370593625354672</v>
      </c>
      <c r="X209" s="157">
        <f t="shared" si="87"/>
        <v>46217</v>
      </c>
      <c r="Y209" s="384">
        <f t="shared" si="88"/>
        <v>47.818325230896541</v>
      </c>
      <c r="Z209" s="384">
        <f t="shared" si="89"/>
        <v>50.963761032162857</v>
      </c>
      <c r="AA209" s="385">
        <f t="shared" si="90"/>
        <v>54.360357167976403</v>
      </c>
      <c r="AB209" s="196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6.248296208426081E-2</v>
      </c>
      <c r="AD209" s="230">
        <f>(INDEX(Models!$BJ209:$BT209,,AH209)*(1-AF209)+INDEX(Models!$BJ209:$BT209,,AH209+1)*AF209-ERP_i)*AE209*Ramure*Pc/MaxiM</f>
        <v>1.1493870455454337E-3</v>
      </c>
      <c r="AE209" s="304">
        <f t="shared" si="92"/>
        <v>0.5</v>
      </c>
      <c r="AF209" s="176">
        <f t="shared" si="93"/>
        <v>0.17529685578746035</v>
      </c>
      <c r="AG209" s="814">
        <f t="shared" si="99"/>
        <v>2</v>
      </c>
      <c r="AH209" s="175">
        <f t="shared" si="94"/>
        <v>8</v>
      </c>
      <c r="AI209" s="224">
        <f t="shared" si="95"/>
        <v>2.1752968557874603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10">
        <f>'2025'!Wh/'2025'!Env_an*'2026'!Env_an</f>
        <v>48.810587864530348</v>
      </c>
      <c r="C210" s="843"/>
      <c r="D210" s="392">
        <f t="shared" si="77"/>
        <v>52.02243155644134</v>
      </c>
      <c r="E210" s="384">
        <f t="shared" si="75"/>
        <v>52.729295106129712</v>
      </c>
      <c r="F210" s="384">
        <f t="shared" si="78"/>
        <v>52.738310062694893</v>
      </c>
      <c r="G210" s="110">
        <f t="shared" si="76"/>
        <v>0.91531679144331612</v>
      </c>
      <c r="H210" s="413" t="b">
        <f>Wh_hp&gt;='2025'!Maxi_hp</f>
        <v>0</v>
      </c>
      <c r="I210" s="389">
        <f>IF(H210,Wh_hp,'2025'!Maxi_hp)</f>
        <v>59.682824722317406</v>
      </c>
      <c r="J210" s="85">
        <f>IF(H210,An,'2025'!An_max)</f>
        <v>2019</v>
      </c>
      <c r="K210" s="196">
        <f t="shared" si="79"/>
        <v>46218</v>
      </c>
      <c r="L210" s="147">
        <f>IF(t&lt;Tvie,1-EXP((T0-t)*PertePVj)+'2025'!Pspv,1-EXP((T0-t)*PertePVj)+Pspv)</f>
        <v>6.1739591860990296E-2</v>
      </c>
      <c r="M210" s="847"/>
      <c r="N210" s="847"/>
      <c r="O210" s="48">
        <f>IF(t&lt;Tnet,'2025'!Resal+('2025'!Salim-'2025'!Resal)*(1-EXP(('2025'!Tnet-t)/('2025'!Tau_j))),Resal+(Salim-Resal)*(1-EXP((Tnet-t)/(Tau_j))))*Salcycl</f>
        <v>1.3405518664068042E-2</v>
      </c>
      <c r="P210" s="168">
        <f>(INDEX(Models!$BJ210:$BT210,,T210)*(1-R210)+INDEX(Models!$BJ210:$BT210,,T210+1)*R210-ERP_i)*Q210*Ramure*Pc/MaxiM</f>
        <v>1.9445607080260417E-4</v>
      </c>
      <c r="Q210" s="304">
        <f t="shared" si="80"/>
        <v>0.5</v>
      </c>
      <c r="R210" s="176">
        <f t="shared" si="81"/>
        <v>6.2243008606164496E-2</v>
      </c>
      <c r="S210" s="814">
        <f t="shared" si="82"/>
        <v>0</v>
      </c>
      <c r="T210" s="175">
        <f t="shared" si="83"/>
        <v>6</v>
      </c>
      <c r="U210" s="250">
        <f t="shared" si="84"/>
        <v>6.2243008606164496E-2</v>
      </c>
      <c r="V210" s="382">
        <f t="shared" si="85"/>
        <v>53.325187706433063</v>
      </c>
      <c r="W210" s="401">
        <f t="shared" si="86"/>
        <v>48.810587864530348</v>
      </c>
      <c r="X210" s="157">
        <f t="shared" si="87"/>
        <v>46218</v>
      </c>
      <c r="Y210" s="384">
        <f t="shared" si="88"/>
        <v>46.341850625343788</v>
      </c>
      <c r="Z210" s="384">
        <f t="shared" si="89"/>
        <v>49.39124599455328</v>
      </c>
      <c r="AA210" s="385">
        <f t="shared" si="90"/>
        <v>52.685838255311047</v>
      </c>
      <c r="AB210" s="196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6.2532786226015033E-2</v>
      </c>
      <c r="AD210" s="230">
        <f>(INDEX(Models!$BJ210:$BT210,,AH210)*(1-AF210)+INDEX(Models!$BJ210:$BT210,,AH210+1)*AF210-ERP_i)*AE210*Ramure*Pc/MaxiM</f>
        <v>1.1318370108608109E-3</v>
      </c>
      <c r="AE210" s="304">
        <f t="shared" si="92"/>
        <v>0.5</v>
      </c>
      <c r="AF210" s="176">
        <f t="shared" si="93"/>
        <v>0.17723554843055211</v>
      </c>
      <c r="AG210" s="814">
        <f t="shared" si="99"/>
        <v>2</v>
      </c>
      <c r="AH210" s="175">
        <f t="shared" si="94"/>
        <v>8</v>
      </c>
      <c r="AI210" s="224">
        <f t="shared" si="95"/>
        <v>2.1772355484305521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10">
        <f>'2025'!Wh/'2025'!Env_an*'2026'!Env_an</f>
        <v>50.317575920283389</v>
      </c>
      <c r="C211" s="843"/>
      <c r="D211" s="392">
        <f t="shared" si="77"/>
        <v>53.629755857108087</v>
      </c>
      <c r="E211" s="384">
        <f t="shared" si="75"/>
        <v>54.363826192818621</v>
      </c>
      <c r="F211" s="384">
        <f t="shared" si="78"/>
        <v>54.373422868400972</v>
      </c>
      <c r="G211" s="110">
        <f t="shared" si="76"/>
        <v>0.94496840335437382</v>
      </c>
      <c r="H211" s="413" t="b">
        <f>Wh_hp&gt;='2025'!Maxi_hp</f>
        <v>0</v>
      </c>
      <c r="I211" s="389">
        <f>IF(H211,Wh_hp,'2025'!Maxi_hp)</f>
        <v>58.694583788185525</v>
      </c>
      <c r="J211" s="85">
        <f>IF(H211,An,'2025'!An_max)</f>
        <v>2019</v>
      </c>
      <c r="K211" s="196">
        <f t="shared" si="79"/>
        <v>46219</v>
      </c>
      <c r="L211" s="147">
        <f>IF(t&lt;Tvie,1-EXP((T0-t)*PertePVj)+'2025'!Pspv,1-EXP((T0-t)*PertePVj)+Pspv)</f>
        <v>6.176011588883077E-2</v>
      </c>
      <c r="M211" s="847"/>
      <c r="N211" s="847"/>
      <c r="O211" s="48">
        <f>IF(t&lt;Tnet,'2025'!Resal+('2025'!Salim-'2025'!Resal)*(1-EXP(('2025'!Tnet-t)/('2025'!Tau_j))),Resal+(Salim-Resal)*(1-EXP((Tnet-t)/(Tau_j))))*Salcycl</f>
        <v>1.350291889145038E-2</v>
      </c>
      <c r="P211" s="168">
        <f>(INDEX(Models!$BJ211:$BT211,,T211)*(1-R211)+INDEX(Models!$BJ211:$BT211,,T211+1)*R211-ERP_i)*Q211*Ramure*Pc/MaxiM</f>
        <v>1.9155088364960766E-4</v>
      </c>
      <c r="Q211" s="304">
        <f t="shared" si="80"/>
        <v>0.5</v>
      </c>
      <c r="R211" s="176">
        <f t="shared" si="81"/>
        <v>6.4133212222969332E-2</v>
      </c>
      <c r="S211" s="814">
        <f t="shared" si="82"/>
        <v>0</v>
      </c>
      <c r="T211" s="175">
        <f t="shared" si="83"/>
        <v>6</v>
      </c>
      <c r="U211" s="250">
        <f t="shared" si="84"/>
        <v>6.4133212222969332E-2</v>
      </c>
      <c r="V211" s="382">
        <f t="shared" si="85"/>
        <v>53.247090662326165</v>
      </c>
      <c r="W211" s="401">
        <f t="shared" si="86"/>
        <v>50.317575920283389</v>
      </c>
      <c r="X211" s="157">
        <f t="shared" si="87"/>
        <v>46219</v>
      </c>
      <c r="Y211" s="384">
        <f t="shared" si="88"/>
        <v>47.773610259813964</v>
      </c>
      <c r="Z211" s="384">
        <f t="shared" si="89"/>
        <v>50.918332367709723</v>
      </c>
      <c r="AA211" s="385">
        <f t="shared" si="90"/>
        <v>54.317640072501668</v>
      </c>
      <c r="AB211" s="196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6.2582021241251326E-2</v>
      </c>
      <c r="AD211" s="230">
        <f>(INDEX(Models!$BJ211:$BT211,,AH211)*(1-AF211)+INDEX(Models!$BJ211:$BT211,,AH211+1)*AF211-ERP_i)*AE211*Ramure*Pc/MaxiM</f>
        <v>1.1134318082615035E-3</v>
      </c>
      <c r="AE211" s="304">
        <f t="shared" si="92"/>
        <v>0.5</v>
      </c>
      <c r="AF211" s="176">
        <f t="shared" si="93"/>
        <v>0.17912575204735681</v>
      </c>
      <c r="AG211" s="814">
        <f t="shared" si="99"/>
        <v>2</v>
      </c>
      <c r="AH211" s="175">
        <f t="shared" si="94"/>
        <v>8</v>
      </c>
      <c r="AI211" s="224">
        <f t="shared" si="95"/>
        <v>2.1791257520473568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10">
        <f>'2025'!Wh/'2025'!Env_an*'2026'!Env_an</f>
        <v>49.982333184939399</v>
      </c>
      <c r="C212" s="843"/>
      <c r="D212" s="392">
        <f t="shared" si="77"/>
        <v>53.273610935242424</v>
      </c>
      <c r="E212" s="384">
        <f t="shared" si="75"/>
        <v>54.00812790178685</v>
      </c>
      <c r="F212" s="384">
        <f t="shared" si="78"/>
        <v>54.017435921651156</v>
      </c>
      <c r="G212" s="110">
        <f t="shared" si="76"/>
        <v>0.94005785994984237</v>
      </c>
      <c r="H212" s="413" t="b">
        <f>Wh_hp&gt;='2025'!Maxi_hp</f>
        <v>0</v>
      </c>
      <c r="I212" s="389">
        <f>IF(H212,Wh_hp,'2025'!Maxi_hp)</f>
        <v>57.888056189789317</v>
      </c>
      <c r="J212" s="85">
        <f>IF(H212,An,'2025'!An_max)</f>
        <v>2021</v>
      </c>
      <c r="K212" s="196">
        <f t="shared" si="79"/>
        <v>46220</v>
      </c>
      <c r="L212" s="147">
        <f>IF(t&lt;Tvie,1-EXP((T0-t)*PertePVj)+'2025'!Pspv,1-EXP((T0-t)*PertePVj)+Pspv)</f>
        <v>6.1780639467142275E-2</v>
      </c>
      <c r="M212" s="847"/>
      <c r="N212" s="847"/>
      <c r="O212" s="48">
        <f>IF(t&lt;Tnet,'2025'!Resal+('2025'!Salim-'2025'!Resal)*(1-EXP(('2025'!Tnet-t)/('2025'!Tau_j))),Resal+(Salim-Resal)*(1-EXP((Tnet-t)/(Tau_j))))*Salcycl</f>
        <v>1.3600119002090428E-2</v>
      </c>
      <c r="P212" s="168">
        <f>(INDEX(Models!$BJ212:$BT212,,T212)*(1-R212)+INDEX(Models!$BJ212:$BT212,,T212+1)*R212-ERP_i)*Q212*Ramure*Pc/MaxiM</f>
        <v>1.8844813711258921E-4</v>
      </c>
      <c r="Q212" s="304">
        <f t="shared" si="80"/>
        <v>0.5</v>
      </c>
      <c r="R212" s="176">
        <f t="shared" si="81"/>
        <v>6.5975187062915136E-2</v>
      </c>
      <c r="S212" s="814">
        <f t="shared" si="82"/>
        <v>0</v>
      </c>
      <c r="T212" s="175">
        <f t="shared" si="83"/>
        <v>6</v>
      </c>
      <c r="U212" s="250">
        <f t="shared" si="84"/>
        <v>6.5975187062915136E-2</v>
      </c>
      <c r="V212" s="382">
        <f t="shared" si="85"/>
        <v>53.168564200706939</v>
      </c>
      <c r="W212" s="401">
        <f t="shared" si="86"/>
        <v>49.982333184939399</v>
      </c>
      <c r="X212" s="157">
        <f t="shared" si="87"/>
        <v>46220</v>
      </c>
      <c r="Y212" s="384">
        <f t="shared" si="88"/>
        <v>47.458541357906903</v>
      </c>
      <c r="Z212" s="384">
        <f t="shared" si="89"/>
        <v>50.583630389968746</v>
      </c>
      <c r="AA212" s="385">
        <f t="shared" si="90"/>
        <v>53.963395468486517</v>
      </c>
      <c r="AB212" s="196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6.2630697145280412E-2</v>
      </c>
      <c r="AD212" s="230">
        <f>(INDEX(Models!$BJ212:$BT212,,AH212)*(1-AF212)+INDEX(Models!$BJ212:$BT212,,AH212+1)*AF212-ERP_i)*AE212*Ramure*Pc/MaxiM</f>
        <v>1.0940912112409218E-3</v>
      </c>
      <c r="AE212" s="304">
        <f t="shared" si="92"/>
        <v>0.5</v>
      </c>
      <c r="AF212" s="176">
        <f t="shared" si="93"/>
        <v>0.18096772688730267</v>
      </c>
      <c r="AG212" s="814">
        <f t="shared" si="99"/>
        <v>2</v>
      </c>
      <c r="AH212" s="175">
        <f t="shared" si="94"/>
        <v>8</v>
      </c>
      <c r="AI212" s="224">
        <f t="shared" si="95"/>
        <v>2.1809677268873027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10">
        <f>'2025'!Wh/'2025'!Env_an*'2026'!Env_an</f>
        <v>50.732986358490287</v>
      </c>
      <c r="C213" s="843"/>
      <c r="D213" s="392">
        <f t="shared" si="77"/>
        <v>54.074876599575774</v>
      </c>
      <c r="E213" s="384">
        <f t="shared" si="75"/>
        <v>54.825832794886971</v>
      </c>
      <c r="F213" s="384">
        <f t="shared" si="78"/>
        <v>54.835345567220287</v>
      </c>
      <c r="G213" s="110">
        <f t="shared" si="76"/>
        <v>0.95559933501840122</v>
      </c>
      <c r="H213" s="413" t="b">
        <f>Wh_hp&gt;='2025'!Maxi_hp</f>
        <v>0</v>
      </c>
      <c r="I213" s="389">
        <f>IF(H213,Wh_hp,'2025'!Maxi_hp)</f>
        <v>54.835713530083801</v>
      </c>
      <c r="J213" s="85">
        <f>IF(H213,An,'2025'!An_max)</f>
        <v>2025</v>
      </c>
      <c r="K213" s="196">
        <f t="shared" si="79"/>
        <v>46221</v>
      </c>
      <c r="L213" s="147">
        <f>IF(t&lt;Tvie,1-EXP((T0-t)*PertePVj)+'2025'!Pspv,1-EXP((T0-t)*PertePVj)+Pspv)</f>
        <v>6.180116259593469E-2</v>
      </c>
      <c r="M213" s="847"/>
      <c r="N213" s="847"/>
      <c r="O213" s="48">
        <f>IF(t&lt;Tnet,'2025'!Resal+('2025'!Salim-'2025'!Resal)*(1-EXP(('2025'!Tnet-t)/('2025'!Tau_j))),Resal+(Salim-Resal)*(1-EXP((Tnet-t)/(Tau_j))))*Salcycl</f>
        <v>1.3697123363737232E-2</v>
      </c>
      <c r="P213" s="168">
        <f>(INDEX(Models!$BJ213:$BT213,,T213)*(1-R213)+INDEX(Models!$BJ213:$BT213,,T213+1)*R213-ERP_i)*Q213*Ramure*Pc/MaxiM</f>
        <v>1.8522457939682655E-4</v>
      </c>
      <c r="Q213" s="304">
        <f t="shared" si="80"/>
        <v>0.5</v>
      </c>
      <c r="R213" s="176">
        <f t="shared" si="81"/>
        <v>6.776925961268937E-2</v>
      </c>
      <c r="S213" s="814">
        <f t="shared" si="82"/>
        <v>0</v>
      </c>
      <c r="T213" s="175">
        <f t="shared" si="83"/>
        <v>6</v>
      </c>
      <c r="U213" s="250">
        <f t="shared" si="84"/>
        <v>6.776925961268937E-2</v>
      </c>
      <c r="V213" s="382">
        <f t="shared" si="85"/>
        <v>53.089604083768336</v>
      </c>
      <c r="W213" s="401">
        <f t="shared" si="86"/>
        <v>50.732986358490287</v>
      </c>
      <c r="X213" s="157">
        <f t="shared" si="87"/>
        <v>46221</v>
      </c>
      <c r="Y213" s="384">
        <f t="shared" si="88"/>
        <v>48.173337944336296</v>
      </c>
      <c r="Z213" s="384">
        <f t="shared" si="89"/>
        <v>51.346618673743791</v>
      </c>
      <c r="AA213" s="385">
        <f t="shared" si="90"/>
        <v>54.780176796986424</v>
      </c>
      <c r="AB213" s="196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6.2678843406571955E-2</v>
      </c>
      <c r="AD213" s="230">
        <f>(INDEX(Models!$BJ213:$BT213,,AH213)*(1-AF213)+INDEX(Models!$BJ213:$BT213,,AH213+1)*AF213-ERP_i)*AE213*Ramure*Pc/MaxiM</f>
        <v>1.0741991823586363E-3</v>
      </c>
      <c r="AE213" s="304">
        <f t="shared" si="92"/>
        <v>0.5</v>
      </c>
      <c r="AF213" s="176">
        <f t="shared" si="93"/>
        <v>0.18276179943707671</v>
      </c>
      <c r="AG213" s="814">
        <f t="shared" si="99"/>
        <v>2</v>
      </c>
      <c r="AH213" s="175">
        <f t="shared" si="94"/>
        <v>8</v>
      </c>
      <c r="AI213" s="224">
        <f t="shared" si="95"/>
        <v>2.1827617994370767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10">
        <f>'2025'!Wh/'2025'!Env_an*'2026'!Env_an</f>
        <v>40.099188662995317</v>
      </c>
      <c r="C214" s="843"/>
      <c r="D214" s="392">
        <f t="shared" si="77"/>
        <v>42.741542874777018</v>
      </c>
      <c r="E214" s="384">
        <f t="shared" si="75"/>
        <v>43.339363294137108</v>
      </c>
      <c r="F214" s="384">
        <f t="shared" si="78"/>
        <v>43.344503861827768</v>
      </c>
      <c r="G214" s="110">
        <f t="shared" si="76"/>
        <v>0.75639486558159263</v>
      </c>
      <c r="H214" s="413" t="b">
        <f>Wh_hp&gt;='2025'!Maxi_hp</f>
        <v>0</v>
      </c>
      <c r="I214" s="389">
        <f>IF(H214,Wh_hp,'2025'!Maxi_hp)</f>
        <v>57.925852793246442</v>
      </c>
      <c r="J214" s="85">
        <f>IF(H214,An,'2025'!An_max)</f>
        <v>2020</v>
      </c>
      <c r="K214" s="196">
        <f t="shared" si="79"/>
        <v>46222</v>
      </c>
      <c r="L214" s="147">
        <f>IF(t&lt;Tvie,1-EXP((T0-t)*PertePVj)+'2025'!Pspv,1-EXP((T0-t)*PertePVj)+Pspv)</f>
        <v>6.1821685275218009E-2</v>
      </c>
      <c r="M214" s="847"/>
      <c r="N214" s="847"/>
      <c r="O214" s="48">
        <f>IF(t&lt;Tnet,'2025'!Resal+('2025'!Salim-'2025'!Resal)*(1-EXP(('2025'!Tnet-t)/('2025'!Tau_j))),Resal+(Salim-Resal)*(1-EXP((Tnet-t)/(Tau_j))))*Salcycl</f>
        <v>1.3793936364565069E-2</v>
      </c>
      <c r="P214" s="168">
        <f>(INDEX(Models!$BJ214:$BT214,,T214)*(1-R214)+INDEX(Models!$BJ214:$BT214,,T214+1)*R214-ERP_i)*Q214*Ramure*Pc/MaxiM</f>
        <v>1.8188160614107752E-4</v>
      </c>
      <c r="Q214" s="304">
        <f t="shared" si="80"/>
        <v>0.5</v>
      </c>
      <c r="R214" s="176">
        <f t="shared" si="81"/>
        <v>6.9515818372027638E-2</v>
      </c>
      <c r="S214" s="814">
        <f t="shared" si="82"/>
        <v>0</v>
      </c>
      <c r="T214" s="175">
        <f t="shared" si="83"/>
        <v>6</v>
      </c>
      <c r="U214" s="250">
        <f t="shared" si="84"/>
        <v>6.9515818372027638E-2</v>
      </c>
      <c r="V214" s="382">
        <f t="shared" si="85"/>
        <v>53.010210092337005</v>
      </c>
      <c r="W214" s="401">
        <f t="shared" si="86"/>
        <v>40.099188662995317</v>
      </c>
      <c r="X214" s="157">
        <f t="shared" si="87"/>
        <v>46222</v>
      </c>
      <c r="Y214" s="384">
        <f t="shared" si="88"/>
        <v>38.087920002247621</v>
      </c>
      <c r="Z214" s="384">
        <f t="shared" si="89"/>
        <v>40.597740754028038</v>
      </c>
      <c r="AA214" s="385">
        <f t="shared" si="90"/>
        <v>43.314721123506935</v>
      </c>
      <c r="AB214" s="196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6.2726488801156915E-2</v>
      </c>
      <c r="AD214" s="230">
        <f>(INDEX(Models!$BJ214:$BT214,,AH214)*(1-AF214)+INDEX(Models!$BJ214:$BT214,,AH214+1)*AF214-ERP_i)*AE214*Ramure*Pc/MaxiM</f>
        <v>1.0537614923178708E-3</v>
      </c>
      <c r="AE214" s="304">
        <f t="shared" si="92"/>
        <v>0.5</v>
      </c>
      <c r="AF214" s="176">
        <f t="shared" si="93"/>
        <v>0.18450835819641487</v>
      </c>
      <c r="AG214" s="814">
        <f t="shared" si="99"/>
        <v>2</v>
      </c>
      <c r="AH214" s="175">
        <f t="shared" si="94"/>
        <v>8</v>
      </c>
      <c r="AI214" s="224">
        <f t="shared" si="95"/>
        <v>2.1845083581964149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10">
        <f>'2025'!Wh/'2025'!Env_an*'2026'!Env_an</f>
        <v>39.087725804130862</v>
      </c>
      <c r="C215" s="843"/>
      <c r="D215" s="392">
        <f t="shared" si="77"/>
        <v>41.664340601146009</v>
      </c>
      <c r="E215" s="384">
        <f t="shared" si="75"/>
        <v>42.251234002579281</v>
      </c>
      <c r="F215" s="384">
        <f t="shared" si="78"/>
        <v>42.255956579266623</v>
      </c>
      <c r="G215" s="110">
        <f t="shared" si="76"/>
        <v>0.73842504937491182</v>
      </c>
      <c r="H215" s="413" t="b">
        <f>Wh_hp&gt;='2025'!Maxi_hp</f>
        <v>0</v>
      </c>
      <c r="I215" s="389">
        <f>IF(H215,Wh_hp,'2025'!Maxi_hp)</f>
        <v>57.010821173837634</v>
      </c>
      <c r="J215" s="85">
        <f>IF(H215,An,'2025'!An_max)</f>
        <v>2020</v>
      </c>
      <c r="K215" s="196">
        <f t="shared" si="79"/>
        <v>46223</v>
      </c>
      <c r="L215" s="147">
        <f>IF(t&lt;Tvie,1-EXP((T0-t)*PertePVj)+'2025'!Pspv,1-EXP((T0-t)*PertePVj)+Pspv)</f>
        <v>6.1842207505001891E-2</v>
      </c>
      <c r="M215" s="847"/>
      <c r="N215" s="847"/>
      <c r="O215" s="48">
        <f>IF(t&lt;Tnet,'2025'!Resal+('2025'!Salim-'2025'!Resal)*(1-EXP(('2025'!Tnet-t)/('2025'!Tau_j))),Resal+(Salim-Resal)*(1-EXP((Tnet-t)/(Tau_j))))*Salcycl</f>
        <v>1.3890562377360206E-2</v>
      </c>
      <c r="P215" s="168">
        <f>(INDEX(Models!$BJ215:$BT215,,T215)*(1-R215)+INDEX(Models!$BJ215:$BT215,,T215+1)*R215-ERP_i)*Q215*Ramure*Pc/MaxiM</f>
        <v>1.7842060045114504E-4</v>
      </c>
      <c r="Q215" s="304">
        <f t="shared" si="80"/>
        <v>0.5</v>
      </c>
      <c r="R215" s="176">
        <f t="shared" si="81"/>
        <v>7.1215309633288704E-2</v>
      </c>
      <c r="S215" s="814">
        <f t="shared" si="82"/>
        <v>0</v>
      </c>
      <c r="T215" s="175">
        <f t="shared" si="83"/>
        <v>6</v>
      </c>
      <c r="U215" s="250">
        <f t="shared" si="84"/>
        <v>7.1215309633288704E-2</v>
      </c>
      <c r="V215" s="382">
        <f t="shared" si="85"/>
        <v>52.930382009479253</v>
      </c>
      <c r="W215" s="401">
        <f t="shared" si="86"/>
        <v>39.087725804130862</v>
      </c>
      <c r="X215" s="157">
        <f t="shared" si="87"/>
        <v>46223</v>
      </c>
      <c r="Y215" s="384">
        <f t="shared" si="88"/>
        <v>37.130197989103586</v>
      </c>
      <c r="Z215" s="384">
        <f t="shared" si="89"/>
        <v>39.577774960816683</v>
      </c>
      <c r="AA215" s="385">
        <f t="shared" si="90"/>
        <v>42.228620052170228</v>
      </c>
      <c r="AB215" s="196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6.2773661277082435E-2</v>
      </c>
      <c r="AD215" s="230">
        <f>(INDEX(Models!$BJ215:$BT215,,AH215)*(1-AF215)+INDEX(Models!$BJ215:$BT215,,AH215+1)*AF215-ERP_i)*AE215*Ramure*Pc/MaxiM</f>
        <v>1.032783563231139E-3</v>
      </c>
      <c r="AE215" s="304">
        <f t="shared" si="92"/>
        <v>0.5</v>
      </c>
      <c r="AF215" s="176">
        <f t="shared" si="93"/>
        <v>0.18620784945767621</v>
      </c>
      <c r="AG215" s="814">
        <f t="shared" si="99"/>
        <v>2</v>
      </c>
      <c r="AH215" s="175">
        <f t="shared" si="94"/>
        <v>8</v>
      </c>
      <c r="AI215" s="224">
        <f t="shared" si="95"/>
        <v>2.1862078494576762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10">
        <f>'2025'!Wh/'2025'!Env_an*'2026'!Env_an</f>
        <v>49.554300028100712</v>
      </c>
      <c r="C216" s="843"/>
      <c r="D216" s="392">
        <f t="shared" si="77"/>
        <v>52.822013979200108</v>
      </c>
      <c r="E216" s="384">
        <f t="shared" si="75"/>
        <v>53.571316286801419</v>
      </c>
      <c r="F216" s="384">
        <f t="shared" si="78"/>
        <v>53.579849762439892</v>
      </c>
      <c r="G216" s="110">
        <f t="shared" si="76"/>
        <v>0.93762376281839888</v>
      </c>
      <c r="H216" s="413" t="b">
        <f>Wh_hp&gt;='2025'!Maxi_hp</f>
        <v>0</v>
      </c>
      <c r="I216" s="389">
        <f>IF(H216,Wh_hp,'2025'!Maxi_hp)</f>
        <v>53.580322966747843</v>
      </c>
      <c r="J216" s="85">
        <f>IF(H216,An,'2025'!An_max)</f>
        <v>2025</v>
      </c>
      <c r="K216" s="196">
        <f t="shared" si="79"/>
        <v>46224</v>
      </c>
      <c r="L216" s="147">
        <f>IF(t&lt;Tvie,1-EXP((T0-t)*PertePVj)+'2025'!Pspv,1-EXP((T0-t)*PertePVj)+Pspv)</f>
        <v>6.1862729285296326E-2</v>
      </c>
      <c r="M216" s="847"/>
      <c r="N216" s="847"/>
      <c r="O216" s="48">
        <f>IF(t&lt;Tnet,'2025'!Resal+('2025'!Salim-'2025'!Resal)*(1-EXP(('2025'!Tnet-t)/('2025'!Tau_j))),Resal+(Salim-Resal)*(1-EXP((Tnet-t)/(Tau_j))))*Salcycl</f>
        <v>1.3987005725037997E-2</v>
      </c>
      <c r="P216" s="168">
        <f>(INDEX(Models!$BJ216:$BT216,,T216)*(1-R216)+INDEX(Models!$BJ216:$BT216,,T216+1)*R216-ERP_i)*Q216*Ramure*Pc/MaxiM</f>
        <v>1.7484292303623062E-4</v>
      </c>
      <c r="Q216" s="304">
        <f t="shared" si="80"/>
        <v>0.5</v>
      </c>
      <c r="R216" s="176">
        <f t="shared" si="81"/>
        <v>7.2868233288124695E-2</v>
      </c>
      <c r="S216" s="814">
        <f t="shared" si="82"/>
        <v>0</v>
      </c>
      <c r="T216" s="175">
        <f t="shared" si="83"/>
        <v>6</v>
      </c>
      <c r="U216" s="250">
        <f t="shared" si="84"/>
        <v>7.2868233288124695E-2</v>
      </c>
      <c r="V216" s="382">
        <f t="shared" si="85"/>
        <v>52.85011962358179</v>
      </c>
      <c r="W216" s="401">
        <f t="shared" si="86"/>
        <v>49.554300028100712</v>
      </c>
      <c r="X216" s="157">
        <f t="shared" si="87"/>
        <v>46224</v>
      </c>
      <c r="Y216" s="384">
        <f t="shared" si="88"/>
        <v>47.064176795367509</v>
      </c>
      <c r="Z216" s="384">
        <f t="shared" si="89"/>
        <v>50.167686824245322</v>
      </c>
      <c r="AA216" s="385">
        <f t="shared" si="90"/>
        <v>53.530493165622524</v>
      </c>
      <c r="AB216" s="196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6.2820387829656807E-2</v>
      </c>
      <c r="AD216" s="230">
        <f>(INDEX(Models!$BJ216:$BT216,,AH216)*(1-AF216)+INDEX(Models!$BJ216:$BT216,,AH216+1)*AF216-ERP_i)*AE216*Ramure*Pc/MaxiM</f>
        <v>1.0112704394166451E-3</v>
      </c>
      <c r="AE216" s="304">
        <f t="shared" si="92"/>
        <v>0.5</v>
      </c>
      <c r="AF216" s="176">
        <f t="shared" si="93"/>
        <v>0.18786077311251193</v>
      </c>
      <c r="AG216" s="814">
        <f t="shared" si="99"/>
        <v>2</v>
      </c>
      <c r="AH216" s="175">
        <f t="shared" si="94"/>
        <v>8</v>
      </c>
      <c r="AI216" s="224">
        <f t="shared" si="95"/>
        <v>2.1878607731125119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10">
        <f>'2025'!Wh/'2025'!Env_an*'2026'!Env_an</f>
        <v>38.697113370615121</v>
      </c>
      <c r="C217" s="843"/>
      <c r="D217" s="392">
        <f t="shared" si="77"/>
        <v>41.24978409779974</v>
      </c>
      <c r="E217" s="384">
        <f t="shared" si="75"/>
        <v>41.839014259247492</v>
      </c>
      <c r="F217" s="384">
        <f t="shared" si="78"/>
        <v>41.843447480180458</v>
      </c>
      <c r="G217" s="110">
        <f t="shared" si="76"/>
        <v>0.73327673429738882</v>
      </c>
      <c r="H217" s="413" t="b">
        <f>Wh_hp&gt;='2025'!Maxi_hp</f>
        <v>0</v>
      </c>
      <c r="I217" s="389">
        <f>IF(H217,Wh_hp,'2025'!Maxi_hp)</f>
        <v>54.375496718092663</v>
      </c>
      <c r="J217" s="85">
        <f>IF(H217,An,'2025'!An_max)</f>
        <v>2021</v>
      </c>
      <c r="K217" s="196">
        <f t="shared" si="79"/>
        <v>46225</v>
      </c>
      <c r="L217" s="147">
        <f>IF(t&lt;Tvie,1-EXP((T0-t)*PertePVj)+'2025'!Pspv,1-EXP((T0-t)*PertePVj)+Pspv)</f>
        <v>6.1883250616111087E-2</v>
      </c>
      <c r="M217" s="847"/>
      <c r="N217" s="847"/>
      <c r="O217" s="48">
        <f>IF(t&lt;Tnet,'2025'!Resal+('2025'!Salim-'2025'!Resal)*(1-EXP(('2025'!Tnet-t)/('2025'!Tau_j))),Resal+(Salim-Resal)*(1-EXP((Tnet-t)/(Tau_j))))*Salcycl</f>
        <v>1.4083270647742695E-2</v>
      </c>
      <c r="P217" s="168">
        <f>(INDEX(Models!$BJ217:$BT217,,T217)*(1-R217)+INDEX(Models!$BJ217:$BT217,,T217+1)*R217-ERP_i)*Q217*Ramure*Pc/MaxiM</f>
        <v>1.7114990328096876E-4</v>
      </c>
      <c r="Q217" s="304">
        <f t="shared" si="80"/>
        <v>0.5</v>
      </c>
      <c r="R217" s="176">
        <f t="shared" si="81"/>
        <v>7.447513868249217E-2</v>
      </c>
      <c r="S217" s="814">
        <f t="shared" si="82"/>
        <v>0</v>
      </c>
      <c r="T217" s="175">
        <f t="shared" si="83"/>
        <v>6</v>
      </c>
      <c r="U217" s="250">
        <f t="shared" si="84"/>
        <v>7.447513868249217E-2</v>
      </c>
      <c r="V217" s="382">
        <f t="shared" si="85"/>
        <v>52.769422729480951</v>
      </c>
      <c r="W217" s="401">
        <f t="shared" si="86"/>
        <v>38.697113370615121</v>
      </c>
      <c r="X217" s="157">
        <f t="shared" si="87"/>
        <v>46225</v>
      </c>
      <c r="Y217" s="384">
        <f t="shared" si="88"/>
        <v>36.763740602286227</v>
      </c>
      <c r="Z217" s="384">
        <f t="shared" si="89"/>
        <v>39.188875613222905</v>
      </c>
      <c r="AA217" s="385">
        <f t="shared" si="90"/>
        <v>41.817823972903149</v>
      </c>
      <c r="AB217" s="196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6.2866694388109073E-2</v>
      </c>
      <c r="AD217" s="230">
        <f>(INDEX(Models!$BJ217:$BT217,,AH217)*(1-AF217)+INDEX(Models!$BJ217:$BT217,,AH217+1)*AF217-ERP_i)*AE217*Ramure*Pc/MaxiM</f>
        <v>9.8922676278457287E-4</v>
      </c>
      <c r="AE217" s="304">
        <f t="shared" si="92"/>
        <v>0.5</v>
      </c>
      <c r="AF217" s="176">
        <f t="shared" si="93"/>
        <v>0.18946767850687962</v>
      </c>
      <c r="AG217" s="814">
        <f t="shared" si="99"/>
        <v>2</v>
      </c>
      <c r="AH217" s="175">
        <f t="shared" si="94"/>
        <v>8</v>
      </c>
      <c r="AI217" s="224">
        <f t="shared" si="95"/>
        <v>2.1894676785068796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10">
        <f>'2025'!Wh/'2025'!Env_an*'2026'!Env_an</f>
        <v>45.485322324432296</v>
      </c>
      <c r="C218" s="843"/>
      <c r="D218" s="392">
        <f t="shared" si="77"/>
        <v>48.486840627255489</v>
      </c>
      <c r="E218" s="384">
        <f t="shared" si="75"/>
        <v>49.184241760048891</v>
      </c>
      <c r="F218" s="384">
        <f t="shared" si="78"/>
        <v>49.190865850828068</v>
      </c>
      <c r="G218" s="110">
        <f t="shared" si="76"/>
        <v>0.86326268329561506</v>
      </c>
      <c r="H218" s="413" t="b">
        <f>Wh_hp&gt;='2025'!Maxi_hp</f>
        <v>0</v>
      </c>
      <c r="I218" s="389">
        <f>IF(H218,Wh_hp,'2025'!Maxi_hp)</f>
        <v>55.212338097424414</v>
      </c>
      <c r="J218" s="85">
        <f>IF(H218,An,'2025'!An_max)</f>
        <v>2019</v>
      </c>
      <c r="K218" s="196">
        <f t="shared" si="79"/>
        <v>46226</v>
      </c>
      <c r="L218" s="147">
        <f>IF(t&lt;Tvie,1-EXP((T0-t)*PertePVj)+'2025'!Pspv,1-EXP((T0-t)*PertePVj)+Pspv)</f>
        <v>6.1903771497456052E-2</v>
      </c>
      <c r="M218" s="847"/>
      <c r="N218" s="847"/>
      <c r="O218" s="48">
        <f>IF(t&lt;Tnet,'2025'!Resal+('2025'!Salim-'2025'!Resal)*(1-EXP(('2025'!Tnet-t)/('2025'!Tau_j))),Resal+(Salim-Resal)*(1-EXP((Tnet-t)/(Tau_j))))*Salcycl</f>
        <v>1.4179361271761642E-2</v>
      </c>
      <c r="P218" s="168">
        <f>(INDEX(Models!$BJ218:$BT218,,T218)*(1-R218)+INDEX(Models!$BJ218:$BT218,,T218+1)*R218-ERP_i)*Q218*Ramure*Pc/MaxiM</f>
        <v>1.6734283126822278E-4</v>
      </c>
      <c r="Q218" s="304">
        <f t="shared" si="80"/>
        <v>0.5</v>
      </c>
      <c r="R218" s="176">
        <f t="shared" si="81"/>
        <v>7.6036620539171429E-2</v>
      </c>
      <c r="S218" s="814">
        <f t="shared" si="82"/>
        <v>0</v>
      </c>
      <c r="T218" s="175">
        <f t="shared" si="83"/>
        <v>6</v>
      </c>
      <c r="U218" s="250">
        <f t="shared" si="84"/>
        <v>7.6036620539171429E-2</v>
      </c>
      <c r="V218" s="382">
        <f t="shared" si="85"/>
        <v>52.688291131245997</v>
      </c>
      <c r="W218" s="401">
        <f t="shared" si="86"/>
        <v>45.485322324432296</v>
      </c>
      <c r="X218" s="157">
        <f t="shared" si="87"/>
        <v>46226</v>
      </c>
      <c r="Y218" s="384">
        <f t="shared" si="88"/>
        <v>43.20897823626931</v>
      </c>
      <c r="Z218" s="384">
        <f t="shared" si="89"/>
        <v>46.06028350123799</v>
      </c>
      <c r="AA218" s="385">
        <f t="shared" si="90"/>
        <v>49.152601755294413</v>
      </c>
      <c r="AB218" s="196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6.2912605714169387E-2</v>
      </c>
      <c r="AD218" s="230">
        <f>(INDEX(Models!$BJ218:$BT218,,AH218)*(1-AF218)+INDEX(Models!$BJ218:$BT218,,AH218+1)*AF218-ERP_i)*AE218*Ramure*Pc/MaxiM</f>
        <v>9.6665675274952719E-4</v>
      </c>
      <c r="AE218" s="304">
        <f t="shared" si="92"/>
        <v>0.5</v>
      </c>
      <c r="AF218" s="176">
        <f t="shared" si="93"/>
        <v>0.19102916036355877</v>
      </c>
      <c r="AG218" s="814">
        <f t="shared" si="99"/>
        <v>2</v>
      </c>
      <c r="AH218" s="175">
        <f t="shared" si="94"/>
        <v>8</v>
      </c>
      <c r="AI218" s="224">
        <f t="shared" si="95"/>
        <v>2.1910291603635588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10">
        <f>'2025'!Wh/'2025'!Env_an*'2026'!Env_an</f>
        <v>49.876928388288484</v>
      </c>
      <c r="C219" s="843"/>
      <c r="D219" s="392">
        <f t="shared" si="77"/>
        <v>53.169406220816015</v>
      </c>
      <c r="E219" s="384">
        <f t="shared" si="75"/>
        <v>53.939406435972494</v>
      </c>
      <c r="F219" s="384">
        <f t="shared" si="78"/>
        <v>53.947568899302887</v>
      </c>
      <c r="G219" s="110">
        <f t="shared" si="76"/>
        <v>0.94808614037084116</v>
      </c>
      <c r="H219" s="413" t="b">
        <f>Wh_hp&gt;='2025'!Maxi_hp</f>
        <v>0</v>
      </c>
      <c r="I219" s="389">
        <f>IF(H219,Wh_hp,'2025'!Maxi_hp)</f>
        <v>55.317819769739138</v>
      </c>
      <c r="J219" s="85">
        <f>IF(H219,An,'2025'!An_max)</f>
        <v>2019</v>
      </c>
      <c r="K219" s="196">
        <f t="shared" si="79"/>
        <v>46227</v>
      </c>
      <c r="L219" s="147">
        <f>IF(t&lt;Tvie,1-EXP((T0-t)*PertePVj)+'2025'!Pspv,1-EXP((T0-t)*PertePVj)+Pspv)</f>
        <v>6.1924291929340992E-2</v>
      </c>
      <c r="M219" s="847"/>
      <c r="N219" s="847"/>
      <c r="O219" s="48">
        <f>IF(t&lt;Tnet,'2025'!Resal+('2025'!Salim-'2025'!Resal)*(1-EXP(('2025'!Tnet-t)/('2025'!Tau_j))),Resal+(Salim-Resal)*(1-EXP((Tnet-t)/(Tau_j))))*Salcycl</f>
        <v>1.4275281580461763E-2</v>
      </c>
      <c r="P219" s="168">
        <f>(INDEX(Models!$BJ219:$BT219,,T219)*(1-R219)+INDEX(Models!$BJ219:$BT219,,T219+1)*R219-ERP_i)*Q219*Ramure*Pc/MaxiM</f>
        <v>1.6342066425228355E-4</v>
      </c>
      <c r="Q219" s="304">
        <f t="shared" si="80"/>
        <v>0.5</v>
      </c>
      <c r="R219" s="176">
        <f t="shared" si="81"/>
        <v>7.7553314964897757E-2</v>
      </c>
      <c r="S219" s="814">
        <f t="shared" si="82"/>
        <v>0</v>
      </c>
      <c r="T219" s="175">
        <f t="shared" si="83"/>
        <v>6</v>
      </c>
      <c r="U219" s="250">
        <f t="shared" si="84"/>
        <v>7.7553314964897757E-2</v>
      </c>
      <c r="V219" s="382">
        <f t="shared" si="85"/>
        <v>52.607375862678204</v>
      </c>
      <c r="W219" s="401">
        <f t="shared" si="86"/>
        <v>49.876928388288484</v>
      </c>
      <c r="X219" s="157">
        <f t="shared" si="87"/>
        <v>46227</v>
      </c>
      <c r="Y219" s="384">
        <f t="shared" si="88"/>
        <v>47.379360748492907</v>
      </c>
      <c r="Z219" s="384">
        <f t="shared" si="89"/>
        <v>50.506969044042378</v>
      </c>
      <c r="AA219" s="385">
        <f t="shared" si="90"/>
        <v>53.900440830266582</v>
      </c>
      <c r="AB219" s="196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6.2958145312954072E-2</v>
      </c>
      <c r="AD219" s="230">
        <f>(INDEX(Models!$BJ219:$BT219,,AH219)*(1-AF219)+INDEX(Models!$BJ219:$BT219,,AH219+1)*AF219-ERP_i)*AE219*Ramure*Pc/MaxiM</f>
        <v>9.4355098884930434E-4</v>
      </c>
      <c r="AE219" s="304">
        <f t="shared" si="92"/>
        <v>0.5</v>
      </c>
      <c r="AF219" s="176">
        <f t="shared" si="93"/>
        <v>0.1925458547892851</v>
      </c>
      <c r="AG219" s="814">
        <f t="shared" si="99"/>
        <v>2</v>
      </c>
      <c r="AH219" s="175">
        <f t="shared" si="94"/>
        <v>8</v>
      </c>
      <c r="AI219" s="224">
        <f t="shared" si="95"/>
        <v>2.1925458547892851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10">
        <f>'2025'!Wh/'2025'!Env_an*'2026'!Env_an</f>
        <v>28.8862727216022</v>
      </c>
      <c r="C220" s="843"/>
      <c r="D220" s="392">
        <f t="shared" si="77"/>
        <v>30.793788135720483</v>
      </c>
      <c r="E220" s="384">
        <f t="shared" si="75"/>
        <v>31.242779221514578</v>
      </c>
      <c r="F220" s="384">
        <f t="shared" si="78"/>
        <v>31.244557149690102</v>
      </c>
      <c r="G220" s="110">
        <f t="shared" si="76"/>
        <v>0.54987420367192219</v>
      </c>
      <c r="H220" s="413" t="b">
        <f>Wh_hp&gt;='2025'!Maxi_hp</f>
        <v>0</v>
      </c>
      <c r="I220" s="389">
        <f>IF(H220,Wh_hp,'2025'!Maxi_hp)</f>
        <v>56.522396659484173</v>
      </c>
      <c r="J220" s="85">
        <f>IF(H220,An,'2025'!An_max)</f>
        <v>2020</v>
      </c>
      <c r="K220" s="196">
        <f t="shared" si="79"/>
        <v>46228</v>
      </c>
      <c r="L220" s="147">
        <f>IF(t&lt;Tvie,1-EXP((T0-t)*PertePVj)+'2025'!Pspv,1-EXP((T0-t)*PertePVj)+Pspv)</f>
        <v>6.19448119117759E-2</v>
      </c>
      <c r="M220" s="847"/>
      <c r="N220" s="847"/>
      <c r="O220" s="48">
        <f>IF(t&lt;Tnet,'2025'!Resal+('2025'!Salim-'2025'!Resal)*(1-EXP(('2025'!Tnet-t)/('2025'!Tau_j))),Resal+(Salim-Resal)*(1-EXP((Tnet-t)/(Tau_j))))*Salcycl</f>
        <v>1.4371035387431438E-2</v>
      </c>
      <c r="P220" s="168">
        <f>(INDEX(Models!$BJ220:$BT220,,T220)*(1-R220)+INDEX(Models!$BJ220:$BT220,,T220+1)*R220-ERP_i)*Q220*Ramure*Pc/MaxiM</f>
        <v>1.5937438391147246E-4</v>
      </c>
      <c r="Q220" s="304">
        <f t="shared" si="80"/>
        <v>0.5</v>
      </c>
      <c r="R220" s="176">
        <f t="shared" si="81"/>
        <v>7.902589555717876E-2</v>
      </c>
      <c r="S220" s="814">
        <f t="shared" si="82"/>
        <v>0</v>
      </c>
      <c r="T220" s="175">
        <f t="shared" si="83"/>
        <v>6</v>
      </c>
      <c r="U220" s="250">
        <f t="shared" si="84"/>
        <v>7.902589555717876E-2</v>
      </c>
      <c r="V220" s="382">
        <f t="shared" si="85"/>
        <v>52.527127771472138</v>
      </c>
      <c r="W220" s="401">
        <f t="shared" si="86"/>
        <v>28.8862727216022</v>
      </c>
      <c r="X220" s="157">
        <f t="shared" si="87"/>
        <v>46228</v>
      </c>
      <c r="Y220" s="384">
        <f t="shared" si="88"/>
        <v>27.453527431757649</v>
      </c>
      <c r="Z220" s="384">
        <f t="shared" si="89"/>
        <v>29.266430995076639</v>
      </c>
      <c r="AA220" s="385">
        <f t="shared" si="90"/>
        <v>31.234295808522486</v>
      </c>
      <c r="AB220" s="196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6.3003335356416196E-2</v>
      </c>
      <c r="AD220" s="230">
        <f>(INDEX(Models!$BJ220:$BT220,,AH220)*(1-AF220)+INDEX(Models!$BJ220:$BT220,,AH220+1)*AF220-ERP_i)*AE220*Ramure*Pc/MaxiM</f>
        <v>9.1983182965981239E-4</v>
      </c>
      <c r="AE220" s="304">
        <f t="shared" si="92"/>
        <v>0.5</v>
      </c>
      <c r="AF220" s="176">
        <f t="shared" si="93"/>
        <v>0.19401843538156616</v>
      </c>
      <c r="AG220" s="814">
        <f t="shared" si="99"/>
        <v>2</v>
      </c>
      <c r="AH220" s="175">
        <f t="shared" si="94"/>
        <v>8</v>
      </c>
      <c r="AI220" s="224">
        <f t="shared" si="95"/>
        <v>2.1940184353815662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10">
        <f>'2025'!Wh/'2025'!Env_an*'2026'!Env_an</f>
        <v>50.114231911968702</v>
      </c>
      <c r="C221" s="843"/>
      <c r="D221" s="392">
        <f t="shared" si="77"/>
        <v>53.424711891677902</v>
      </c>
      <c r="E221" s="384">
        <f t="shared" si="75"/>
        <v>54.208932257417594</v>
      </c>
      <c r="F221" s="384">
        <f t="shared" si="78"/>
        <v>54.216814645371237</v>
      </c>
      <c r="G221" s="110">
        <f t="shared" si="76"/>
        <v>0.95550755702164281</v>
      </c>
      <c r="H221" s="413" t="b">
        <f>Wh_hp&gt;='2025'!Maxi_hp</f>
        <v>0</v>
      </c>
      <c r="I221" s="389">
        <f>IF(H221,Wh_hp,'2025'!Maxi_hp)</f>
        <v>56.237487014663813</v>
      </c>
      <c r="J221" s="85">
        <f>IF(H221,An,'2025'!An_max)</f>
        <v>2020</v>
      </c>
      <c r="K221" s="196">
        <f t="shared" si="79"/>
        <v>46229</v>
      </c>
      <c r="L221" s="147">
        <f>IF(t&lt;Tvie,1-EXP((T0-t)*PertePVj)+'2025'!Pspv,1-EXP((T0-t)*PertePVj)+Pspv)</f>
        <v>6.1965331444770545E-2</v>
      </c>
      <c r="M221" s="847"/>
      <c r="N221" s="847"/>
      <c r="O221" s="48">
        <f>IF(t&lt;Tnet,'2025'!Resal+('2025'!Salim-'2025'!Resal)*(1-EXP(('2025'!Tnet-t)/('2025'!Tau_j))),Resal+(Salim-Resal)*(1-EXP((Tnet-t)/(Tau_j))))*Salcycl</f>
        <v>1.4466626311983545E-2</v>
      </c>
      <c r="P221" s="168">
        <f>(INDEX(Models!$BJ221:$BT221,,T221)*(1-R221)+INDEX(Models!$BJ221:$BT221,,T221+1)*R221-ERP_i)*Q221*Ramure*Pc/MaxiM</f>
        <v>1.5525224840639261E-4</v>
      </c>
      <c r="Q221" s="304">
        <f t="shared" si="80"/>
        <v>0.5</v>
      </c>
      <c r="R221" s="176">
        <f t="shared" si="81"/>
        <v>8.0455069623894149E-2</v>
      </c>
      <c r="S221" s="814">
        <f t="shared" si="82"/>
        <v>0</v>
      </c>
      <c r="T221" s="175">
        <f t="shared" si="83"/>
        <v>6</v>
      </c>
      <c r="U221" s="250">
        <f t="shared" si="84"/>
        <v>8.0455069623894149E-2</v>
      </c>
      <c r="V221" s="382">
        <f t="shared" si="85"/>
        <v>52.447243407772348</v>
      </c>
      <c r="W221" s="401">
        <f t="shared" si="86"/>
        <v>50.114231911968702</v>
      </c>
      <c r="X221" s="157">
        <f t="shared" si="87"/>
        <v>46229</v>
      </c>
      <c r="Y221" s="384">
        <f t="shared" si="88"/>
        <v>47.61081995629948</v>
      </c>
      <c r="Z221" s="384">
        <f t="shared" si="89"/>
        <v>50.755927848200059</v>
      </c>
      <c r="AA221" s="385">
        <f t="shared" si="90"/>
        <v>54.171332682293432</v>
      </c>
      <c r="AB221" s="196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6.304819661949608E-2</v>
      </c>
      <c r="AD221" s="230">
        <f>(INDEX(Models!$BJ221:$BT221,,AH221)*(1-AF221)+INDEX(Models!$BJ221:$BT221,,AH221+1)*AF221-ERP_i)*AE221*Ramure*Pc/MaxiM</f>
        <v>8.9581698735086677E-4</v>
      </c>
      <c r="AE221" s="304">
        <f t="shared" si="92"/>
        <v>0.5</v>
      </c>
      <c r="AF221" s="176">
        <f t="shared" si="93"/>
        <v>0.19544760944828177</v>
      </c>
      <c r="AG221" s="814">
        <f t="shared" si="99"/>
        <v>2</v>
      </c>
      <c r="AH221" s="175">
        <f t="shared" si="94"/>
        <v>8</v>
      </c>
      <c r="AI221" s="224">
        <f t="shared" si="95"/>
        <v>2.1954476094482818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10">
        <f>'2025'!Wh/'2025'!Env_an*'2026'!Env_an</f>
        <v>52.946303477744365</v>
      </c>
      <c r="C222" s="843"/>
      <c r="D222" s="392">
        <f t="shared" si="77"/>
        <v>56.445101076104528</v>
      </c>
      <c r="E222" s="384">
        <f t="shared" si="75"/>
        <v>57.279204155297371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Wh_hp&gt;='2025'!Maxi_hp</f>
        <v>1</v>
      </c>
      <c r="I222" s="389">
        <f>IF(H222,Wh_hp,'2025'!Maxi_hp)</f>
        <v>57.287857875556981</v>
      </c>
      <c r="J222" s="85">
        <f>IF(H222,An,'2025'!An_max)</f>
        <v>2026</v>
      </c>
      <c r="K222" s="196">
        <f t="shared" si="79"/>
        <v>46230</v>
      </c>
      <c r="L222" s="147">
        <f>IF(t&lt;Tvie,1-EXP((T0-t)*PertePVj)+'2025'!Pspv,1-EXP((T0-t)*PertePVj)+Pspv)</f>
        <v>6.1985850528334697E-2</v>
      </c>
      <c r="M222" s="847"/>
      <c r="N222" s="847"/>
      <c r="O222" s="48">
        <f>IF(t&lt;Tnet,'2025'!Resal+('2025'!Salim-'2025'!Resal)*(1-EXP(('2025'!Tnet-t)/('2025'!Tau_j))),Resal+(Salim-Resal)*(1-EXP((Tnet-t)/(Tau_j))))*Salcycl</f>
        <v>1.4562057757146781E-2</v>
      </c>
      <c r="P222" s="168">
        <f>(INDEX(Models!$BJ222:$BT222,,T222)*(1-R222)+INDEX(Models!$BJ222:$BT222,,T222+1)*R222-ERP_i)*Q222*Ramure*Pc/MaxiM</f>
        <v>1.5105679598643223E-4</v>
      </c>
      <c r="Q222" s="304">
        <f t="shared" si="80"/>
        <v>0.5</v>
      </c>
      <c r="R222" s="176">
        <f t="shared" si="81"/>
        <v>8.1841574526873628E-2</v>
      </c>
      <c r="S222" s="814">
        <f t="shared" si="82"/>
        <v>0</v>
      </c>
      <c r="T222" s="175">
        <f t="shared" si="83"/>
        <v>6</v>
      </c>
      <c r="U222" s="250">
        <f t="shared" si="84"/>
        <v>8.1841574526873628E-2</v>
      </c>
      <c r="V222" s="382">
        <f t="shared" si="85"/>
        <v>52.367421883253598</v>
      </c>
      <c r="W222" s="401">
        <f t="shared" si="86"/>
        <v>52.946303477744365</v>
      </c>
      <c r="X222" s="157">
        <f t="shared" si="87"/>
        <v>46230</v>
      </c>
      <c r="Y222" s="384">
        <f t="shared" si="88"/>
        <v>50.302539830177615</v>
      </c>
      <c r="Z222" s="384">
        <f t="shared" si="89"/>
        <v>53.626632240580193</v>
      </c>
      <c r="AA222" s="385">
        <f t="shared" si="90"/>
        <v>57.237930596287306</v>
      </c>
      <c r="AB222" s="196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6.3092748428982451E-2</v>
      </c>
      <c r="AD222" s="230">
        <f>(INDEX(Models!$BJ222:$BT222,,AH222)*(1-AF222)+INDEX(Models!$BJ222:$BT222,,AH222+1)*AF222-ERP_i)*AE222*Ramure*Pc/MaxiM</f>
        <v>8.7151590443704599E-4</v>
      </c>
      <c r="AE222" s="304">
        <f t="shared" si="92"/>
        <v>0.5</v>
      </c>
      <c r="AF222" s="176">
        <f t="shared" si="93"/>
        <v>0.19683411435126086</v>
      </c>
      <c r="AG222" s="814">
        <f t="shared" si="99"/>
        <v>2</v>
      </c>
      <c r="AH222" s="175">
        <f t="shared" si="94"/>
        <v>8</v>
      </c>
      <c r="AI222" s="224">
        <f t="shared" si="95"/>
        <v>2.1968341143512609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10">
        <f>'2025'!Wh/'2025'!Env_an*'2026'!Env_an</f>
        <v>44.569086193766623</v>
      </c>
      <c r="C223" s="843"/>
      <c r="D223" s="392">
        <f t="shared" si="77"/>
        <v>47.515339900518825</v>
      </c>
      <c r="E223" s="384">
        <f t="shared" si="75"/>
        <v>48.222147976086873</v>
      </c>
      <c r="F223" s="384">
        <f t="shared" si="78"/>
        <v>48.227734481662154</v>
      </c>
      <c r="G223" s="110">
        <f t="shared" si="76"/>
        <v>0.85236095907095666</v>
      </c>
      <c r="H223" s="413" t="b">
        <f>Wh_hp&gt;='2025'!Maxi_hp</f>
        <v>0</v>
      </c>
      <c r="I223" s="389">
        <f>IF(H223,Wh_hp,'2025'!Maxi_hp)</f>
        <v>58.386184765777948</v>
      </c>
      <c r="J223" s="85">
        <f>IF(H223,An,'2025'!An_max)</f>
        <v>2019</v>
      </c>
      <c r="K223" s="196">
        <f t="shared" si="79"/>
        <v>46231</v>
      </c>
      <c r="L223" s="147">
        <f>IF(t&lt;Tvie,1-EXP((T0-t)*PertePVj)+'2025'!Pspv,1-EXP((T0-t)*PertePVj)+Pspv)</f>
        <v>6.2006369162478238E-2</v>
      </c>
      <c r="M223" s="847"/>
      <c r="N223" s="847"/>
      <c r="O223" s="48">
        <f>IF(t&lt;Tnet,'2025'!Resal+('2025'!Salim-'2025'!Resal)*(1-EXP(('2025'!Tnet-t)/('2025'!Tau_j))),Resal+(Salim-Resal)*(1-EXP((Tnet-t)/(Tau_j))))*Salcycl</f>
        <v>1.4657332890242774E-2</v>
      </c>
      <c r="P223" s="168">
        <f>(INDEX(Models!$BJ223:$BT223,,T223)*(1-R223)+INDEX(Models!$BJ223:$BT223,,T223+1)*R223-ERP_i)*Q223*Ramure*Pc/MaxiM</f>
        <v>1.4679041320695573E-4</v>
      </c>
      <c r="Q223" s="304">
        <f t="shared" si="80"/>
        <v>0.5</v>
      </c>
      <c r="R223" s="176">
        <f t="shared" si="81"/>
        <v>8.3186174158822568E-2</v>
      </c>
      <c r="S223" s="814">
        <f t="shared" si="82"/>
        <v>0</v>
      </c>
      <c r="T223" s="175">
        <f t="shared" si="83"/>
        <v>6</v>
      </c>
      <c r="U223" s="250">
        <f t="shared" si="84"/>
        <v>8.3186174158822568E-2</v>
      </c>
      <c r="V223" s="382">
        <f t="shared" si="85"/>
        <v>52.287362469654752</v>
      </c>
      <c r="W223" s="401">
        <f t="shared" si="86"/>
        <v>44.569086193766623</v>
      </c>
      <c r="X223" s="157">
        <f t="shared" si="87"/>
        <v>46231</v>
      </c>
      <c r="Y223" s="384">
        <f t="shared" si="88"/>
        <v>42.352834497338378</v>
      </c>
      <c r="Z223" s="384">
        <f t="shared" si="89"/>
        <v>45.152582176407861</v>
      </c>
      <c r="AA223" s="385">
        <f t="shared" si="90"/>
        <v>48.195502001992466</v>
      </c>
      <c r="AB223" s="196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6.3137008624970944E-2</v>
      </c>
      <c r="AD223" s="230">
        <f>(INDEX(Models!$BJ223:$BT223,,AH223)*(1-AF223)+INDEX(Models!$BJ223:$BT223,,AH223+1)*AF223-ERP_i)*AE223*Ramure*Pc/MaxiM</f>
        <v>8.469371319222808E-4</v>
      </c>
      <c r="AE223" s="304">
        <f t="shared" si="92"/>
        <v>0.5</v>
      </c>
      <c r="AF223" s="176">
        <f t="shared" si="93"/>
        <v>0.19817871398320985</v>
      </c>
      <c r="AG223" s="814">
        <f t="shared" si="99"/>
        <v>2</v>
      </c>
      <c r="AH223" s="175">
        <f t="shared" si="94"/>
        <v>8</v>
      </c>
      <c r="AI223" s="224">
        <f t="shared" si="95"/>
        <v>2.1981787139832099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10">
        <f>'2025'!Wh/'2025'!Env_an*'2026'!Env_an</f>
        <v>26.088804704510988</v>
      </c>
      <c r="C224" s="843"/>
      <c r="D224" s="392">
        <f t="shared" si="77"/>
        <v>27.814021908076082</v>
      </c>
      <c r="E224" s="384">
        <f t="shared" si="75"/>
        <v>28.230490944812409</v>
      </c>
      <c r="F224" s="384">
        <f t="shared" si="78"/>
        <v>28.231638411223521</v>
      </c>
      <c r="G224" s="110">
        <f t="shared" si="76"/>
        <v>0.49966989296058545</v>
      </c>
      <c r="H224" s="413" t="b">
        <f>Wh_hp&gt;='2025'!Maxi_hp</f>
        <v>0</v>
      </c>
      <c r="I224" s="389">
        <f>IF(H224,Wh_hp,'2025'!Maxi_hp)</f>
        <v>57.892402465153239</v>
      </c>
      <c r="J224" s="85">
        <f>IF(H224,An,'2025'!An_max)</f>
        <v>2019</v>
      </c>
      <c r="K224" s="196">
        <f t="shared" si="79"/>
        <v>46232</v>
      </c>
      <c r="L224" s="147">
        <f>IF(t&lt;Tvie,1-EXP((T0-t)*PertePVj)+'2025'!Pspv,1-EXP((T0-t)*PertePVj)+Pspv)</f>
        <v>6.2026887347211047E-2</v>
      </c>
      <c r="M224" s="847"/>
      <c r="N224" s="847"/>
      <c r="O224" s="48">
        <f>IF(t&lt;Tnet,'2025'!Resal+('2025'!Salim-'2025'!Resal)*(1-EXP(('2025'!Tnet-t)/('2025'!Tau_j))),Resal+(Salim-Resal)*(1-EXP((Tnet-t)/(Tau_j))))*Salcycl</f>
        <v>1.4752454626116053E-2</v>
      </c>
      <c r="P224" s="168">
        <f>(INDEX(Models!$BJ224:$BT224,,T224)*(1-R224)+INDEX(Models!$BJ224:$BT224,,T224+1)*R224-ERP_i)*Q224*Ramure*Pc/MaxiM</f>
        <v>1.4245532988060549E-4</v>
      </c>
      <c r="Q224" s="304">
        <f t="shared" si="80"/>
        <v>0.5</v>
      </c>
      <c r="R224" s="176">
        <f t="shared" si="81"/>
        <v>8.4489655561242605E-2</v>
      </c>
      <c r="S224" s="814">
        <f t="shared" si="82"/>
        <v>0</v>
      </c>
      <c r="T224" s="175">
        <f t="shared" si="83"/>
        <v>6</v>
      </c>
      <c r="U224" s="250">
        <f t="shared" si="84"/>
        <v>8.4489655561242605E-2</v>
      </c>
      <c r="V224" s="382">
        <f t="shared" si="85"/>
        <v>52.206764598701845</v>
      </c>
      <c r="W224" s="401">
        <f t="shared" si="86"/>
        <v>26.088804704510988</v>
      </c>
      <c r="X224" s="157">
        <f t="shared" si="87"/>
        <v>46232</v>
      </c>
      <c r="Y224" s="384">
        <f t="shared" si="88"/>
        <v>24.80163363640904</v>
      </c>
      <c r="Z224" s="384">
        <f t="shared" si="89"/>
        <v>26.441731966351046</v>
      </c>
      <c r="AA224" s="385">
        <f t="shared" si="90"/>
        <v>28.22501655481739</v>
      </c>
      <c r="AB224" s="196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6.318099353468673E-2</v>
      </c>
      <c r="AD224" s="230">
        <f>(INDEX(Models!$BJ224:$BT224,,AH224)*(1-AF224)+INDEX(Models!$BJ224:$BT224,,AH224+1)*AF224-ERP_i)*AE224*Ramure*Pc/MaxiM</f>
        <v>8.2208832400014226E-4</v>
      </c>
      <c r="AE224" s="304">
        <f t="shared" si="92"/>
        <v>0.5</v>
      </c>
      <c r="AF224" s="176">
        <f t="shared" si="93"/>
        <v>0.19948219538563006</v>
      </c>
      <c r="AG224" s="814">
        <f t="shared" si="99"/>
        <v>2</v>
      </c>
      <c r="AH224" s="175">
        <f t="shared" si="94"/>
        <v>8</v>
      </c>
      <c r="AI224" s="224">
        <f t="shared" si="95"/>
        <v>2.1994821953856301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10">
        <f>'2025'!Wh/'2025'!Env_an*'2026'!Env_an</f>
        <v>45.019210556161532</v>
      </c>
      <c r="C225" s="843"/>
      <c r="D225" s="392">
        <f t="shared" si="77"/>
        <v>47.997319694097513</v>
      </c>
      <c r="E225" s="384">
        <f t="shared" si="75"/>
        <v>48.720696612873262</v>
      </c>
      <c r="F225" s="384">
        <f t="shared" si="78"/>
        <v>48.726113357198869</v>
      </c>
      <c r="G225" s="110">
        <f t="shared" si="76"/>
        <v>0.86364924424600231</v>
      </c>
      <c r="H225" s="413" t="b">
        <f>Wh_hp&gt;='2025'!Maxi_hp</f>
        <v>0</v>
      </c>
      <c r="I225" s="389">
        <f>IF(H225,Wh_hp,'2025'!Maxi_hp)</f>
        <v>50.981621896708326</v>
      </c>
      <c r="J225" s="85">
        <f>IF(H225,An,'2025'!An_max)</f>
        <v>2020</v>
      </c>
      <c r="K225" s="196">
        <f t="shared" si="79"/>
        <v>46233</v>
      </c>
      <c r="L225" s="147">
        <f>IF(t&lt;Tvie,1-EXP((T0-t)*PertePVj)+'2025'!Pspv,1-EXP((T0-t)*PertePVj)+Pspv)</f>
        <v>6.2047405082542896E-2</v>
      </c>
      <c r="M225" s="847"/>
      <c r="N225" s="847"/>
      <c r="O225" s="48">
        <f>IF(t&lt;Tnet,'2025'!Resal+('2025'!Salim-'2025'!Resal)*(1-EXP(('2025'!Tnet-t)/('2025'!Tau_j))),Resal+(Salim-Resal)*(1-EXP((Tnet-t)/(Tau_j))))*Salcycl</f>
        <v>1.48474256130527E-2</v>
      </c>
      <c r="P225" s="168">
        <f>(INDEX(Models!$BJ225:$BT225,,T225)*(1-R225)+INDEX(Models!$BJ225:$BT225,,T225+1)*R225-ERP_i)*Q225*Ramure*Pc/MaxiM</f>
        <v>1.3805361496881151E-4</v>
      </c>
      <c r="Q225" s="304">
        <f t="shared" si="80"/>
        <v>0.5</v>
      </c>
      <c r="R225" s="176">
        <f t="shared" si="81"/>
        <v>8.5752825689372036E-2</v>
      </c>
      <c r="S225" s="814">
        <f t="shared" si="82"/>
        <v>0</v>
      </c>
      <c r="T225" s="175">
        <f t="shared" si="83"/>
        <v>6</v>
      </c>
      <c r="U225" s="250">
        <f t="shared" si="84"/>
        <v>8.5752825689372036E-2</v>
      </c>
      <c r="V225" s="382">
        <f t="shared" si="85"/>
        <v>52.125327863336253</v>
      </c>
      <c r="W225" s="401">
        <f t="shared" si="86"/>
        <v>45.019210556161532</v>
      </c>
      <c r="X225" s="157">
        <f t="shared" si="87"/>
        <v>46233</v>
      </c>
      <c r="Y225" s="384">
        <f t="shared" si="88"/>
        <v>42.785762886341772</v>
      </c>
      <c r="Z225" s="384">
        <f t="shared" si="89"/>
        <v>45.61612507730954</v>
      </c>
      <c r="AA225" s="385">
        <f t="shared" si="90"/>
        <v>48.694842777971608</v>
      </c>
      <c r="AB225" s="196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6.322471795832163E-2</v>
      </c>
      <c r="AD225" s="230">
        <f>(INDEX(Models!$BJ225:$BT225,,AH225)*(1-AF225)+INDEX(Models!$BJ225:$BT225,,AH225+1)*AF225-ERP_i)*AE225*Ramure*Pc/MaxiM</f>
        <v>7.9697623609180455E-4</v>
      </c>
      <c r="AE225" s="304">
        <f t="shared" si="92"/>
        <v>0.5</v>
      </c>
      <c r="AF225" s="176">
        <f t="shared" si="93"/>
        <v>0.20074536551375921</v>
      </c>
      <c r="AG225" s="814">
        <f t="shared" si="99"/>
        <v>2</v>
      </c>
      <c r="AH225" s="175">
        <f t="shared" si="94"/>
        <v>8</v>
      </c>
      <c r="AI225" s="224">
        <f t="shared" si="95"/>
        <v>2.2007453655137592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10">
        <f>'2025'!Wh/'2025'!Env_an*'2026'!Env_an</f>
        <v>51.488839179459418</v>
      </c>
      <c r="C226" s="843"/>
      <c r="D226" s="392">
        <f t="shared" si="77"/>
        <v>54.896127776629633</v>
      </c>
      <c r="E226" s="384">
        <f t="shared" si="75"/>
        <v>55.728841966382078</v>
      </c>
      <c r="F226" s="384">
        <f t="shared" si="78"/>
        <v>55.736177344658529</v>
      </c>
      <c r="G226" s="110">
        <f t="shared" si="76"/>
        <v>0.98935462312967137</v>
      </c>
      <c r="H226" s="413" t="b">
        <f>Wh_hp&gt;='2025'!Maxi_hp</f>
        <v>0</v>
      </c>
      <c r="I226" s="389">
        <f>IF(H226,Wh_hp,'2025'!Maxi_hp)</f>
        <v>55.736240369027314</v>
      </c>
      <c r="J226" s="85">
        <f>IF(H226,An,'2025'!An_max)</f>
        <v>2025</v>
      </c>
      <c r="K226" s="196">
        <f t="shared" si="79"/>
        <v>46234</v>
      </c>
      <c r="L226" s="147">
        <f>IF(t&lt;Tvie,1-EXP((T0-t)*PertePVj)+'2025'!Pspv,1-EXP((T0-t)*PertePVj)+Pspv)</f>
        <v>6.2067922368483776E-2</v>
      </c>
      <c r="M226" s="847"/>
      <c r="N226" s="847"/>
      <c r="O226" s="48">
        <f>IF(t&lt;Tnet,'2025'!Resal+('2025'!Salim-'2025'!Resal)*(1-EXP(('2025'!Tnet-t)/('2025'!Tau_j))),Resal+(Salim-Resal)*(1-EXP((Tnet-t)/(Tau_j))))*Salcycl</f>
        <v>1.4942248221392685E-2</v>
      </c>
      <c r="P226" s="168">
        <f>(INDEX(Models!$BJ226:$BT226,,T226)*(1-R226)+INDEX(Models!$BJ226:$BT226,,T226+1)*R226-ERP_i)*Q226*Ramure*Pc/MaxiM</f>
        <v>1.3364090753534234E-4</v>
      </c>
      <c r="Q226" s="304">
        <f t="shared" si="80"/>
        <v>0.5</v>
      </c>
      <c r="R226" s="176">
        <f t="shared" si="81"/>
        <v>8.6976508328655888E-2</v>
      </c>
      <c r="S226" s="814">
        <f t="shared" si="82"/>
        <v>0</v>
      </c>
      <c r="T226" s="175">
        <f t="shared" si="83"/>
        <v>6</v>
      </c>
      <c r="U226" s="250">
        <f t="shared" si="84"/>
        <v>8.6976508328655888E-2</v>
      </c>
      <c r="V226" s="382">
        <f t="shared" si="85"/>
        <v>52.042749219981516</v>
      </c>
      <c r="W226" s="401">
        <f t="shared" si="86"/>
        <v>51.488839179459418</v>
      </c>
      <c r="X226" s="157">
        <f t="shared" si="87"/>
        <v>46234</v>
      </c>
      <c r="Y226" s="384">
        <f t="shared" si="88"/>
        <v>48.932061821031247</v>
      </c>
      <c r="Z226" s="384">
        <f t="shared" si="89"/>
        <v>52.170154948315037</v>
      </c>
      <c r="AA226" s="385">
        <f t="shared" si="90"/>
        <v>55.693801234371335</v>
      </c>
      <c r="AB226" s="196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6.3268195166425276E-2</v>
      </c>
      <c r="AD226" s="230">
        <f>(INDEX(Models!$BJ226:$BT226,,AH226)*(1-AF226)+INDEX(Models!$BJ226:$BT226,,AH226+1)*AF226-ERP_i)*AE226*Ramure*Pc/MaxiM</f>
        <v>7.7203678163075538E-4</v>
      </c>
      <c r="AE226" s="304">
        <f t="shared" si="92"/>
        <v>0.5</v>
      </c>
      <c r="AF226" s="176">
        <f t="shared" si="93"/>
        <v>0.2019690481530434</v>
      </c>
      <c r="AG226" s="814">
        <f t="shared" si="99"/>
        <v>2</v>
      </c>
      <c r="AH226" s="175">
        <f t="shared" si="94"/>
        <v>8</v>
      </c>
      <c r="AI226" s="224">
        <f t="shared" si="95"/>
        <v>2.2019690481530434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10">
        <f>'2025'!Wh/'2025'!Env_an*'2026'!Env_an</f>
        <v>51.277306294156368</v>
      </c>
      <c r="C227" s="843"/>
      <c r="D227" s="392">
        <f t="shared" si="77"/>
        <v>54.671792562930634</v>
      </c>
      <c r="E227" s="384">
        <f t="shared" si="75"/>
        <v>55.506438692749562</v>
      </c>
      <c r="F227" s="384">
        <f t="shared" si="78"/>
        <v>55.513478293551486</v>
      </c>
      <c r="G227" s="110">
        <f t="shared" si="76"/>
        <v>0.98688293733372601</v>
      </c>
      <c r="H227" s="413" t="b">
        <f>Wh_hp&gt;='2025'!Maxi_hp</f>
        <v>0</v>
      </c>
      <c r="I227" s="389">
        <f>IF(H227,Wh_hp,'2025'!Maxi_hp)</f>
        <v>55.51355298771945</v>
      </c>
      <c r="J227" s="85">
        <f>IF(H227,An,'2025'!An_max)</f>
        <v>2025</v>
      </c>
      <c r="K227" s="196">
        <f t="shared" si="79"/>
        <v>46235</v>
      </c>
      <c r="L227" s="147">
        <f>IF(t&lt;Tvie,1-EXP((T0-t)*PertePVj)+'2025'!Pspv,1-EXP((T0-t)*PertePVj)+Pspv)</f>
        <v>6.2088439205043457E-2</v>
      </c>
      <c r="M227" s="847"/>
      <c r="N227" s="847"/>
      <c r="O227" s="48">
        <f>IF(t&lt;Tnet,'2025'!Resal+('2025'!Salim-'2025'!Resal)*(1-EXP(('2025'!Tnet-t)/('2025'!Tau_j))),Resal+(Salim-Resal)*(1-EXP((Tnet-t)/(Tau_j))))*Salcycl</f>
        <v>1.5036924534809889E-2</v>
      </c>
      <c r="P227" s="168">
        <f>(INDEX(Models!$BJ227:$BT227,,T227)*(1-R227)+INDEX(Models!$BJ227:$BT227,,T227+1)*R227-ERP_i)*Q227*Ramure*Pc/MaxiM</f>
        <v>1.2923001453989864E-4</v>
      </c>
      <c r="Q227" s="304">
        <f t="shared" si="80"/>
        <v>0.5</v>
      </c>
      <c r="R227" s="176">
        <f t="shared" si="81"/>
        <v>8.8161541165857449E-2</v>
      </c>
      <c r="S227" s="814">
        <f t="shared" si="82"/>
        <v>0</v>
      </c>
      <c r="T227" s="175">
        <f t="shared" si="83"/>
        <v>6</v>
      </c>
      <c r="U227" s="250">
        <f t="shared" si="84"/>
        <v>8.8161541165857449E-2</v>
      </c>
      <c r="V227" s="382">
        <f t="shared" si="85"/>
        <v>51.958728019532316</v>
      </c>
      <c r="W227" s="401">
        <f t="shared" si="86"/>
        <v>51.277306294156368</v>
      </c>
      <c r="X227" s="157">
        <f t="shared" si="87"/>
        <v>46235</v>
      </c>
      <c r="Y227" s="384">
        <f t="shared" si="88"/>
        <v>48.734547013114835</v>
      </c>
      <c r="Z227" s="384">
        <f t="shared" si="89"/>
        <v>51.960706158487199</v>
      </c>
      <c r="AA227" s="385">
        <f t="shared" si="90"/>
        <v>55.472766729403865</v>
      </c>
      <c r="AB227" s="196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6.3311436908285099E-2</v>
      </c>
      <c r="AD227" s="230">
        <f>(INDEX(Models!$BJ227:$BT227,,AH227)*(1-AF227)+INDEX(Models!$BJ227:$BT227,,AH227+1)*AF227-ERP_i)*AE227*Ramure*Pc/MaxiM</f>
        <v>7.4736567807922477E-4</v>
      </c>
      <c r="AE227" s="304">
        <f t="shared" si="92"/>
        <v>0.5</v>
      </c>
      <c r="AF227" s="176">
        <f t="shared" si="93"/>
        <v>0.20315408099024479</v>
      </c>
      <c r="AG227" s="814">
        <f t="shared" si="99"/>
        <v>2</v>
      </c>
      <c r="AH227" s="175">
        <f t="shared" si="94"/>
        <v>8</v>
      </c>
      <c r="AI227" s="224">
        <f t="shared" si="95"/>
        <v>2.2031540809902448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10">
        <f>'2025'!Wh/'2025'!Env_an*'2026'!Env_an</f>
        <v>51.480272922839006</v>
      </c>
      <c r="C228" s="843"/>
      <c r="D228" s="392">
        <f t="shared" si="77"/>
        <v>54.88939598026149</v>
      </c>
      <c r="E228" s="384">
        <f t="shared" si="75"/>
        <v>55.732713095408691</v>
      </c>
      <c r="F228" s="384">
        <f t="shared" si="78"/>
        <v>55.739595445176271</v>
      </c>
      <c r="G228" s="110">
        <f t="shared" si="76"/>
        <v>0.99242840844781299</v>
      </c>
      <c r="H228" s="413" t="b">
        <f>Wh_hp&gt;='2025'!Maxi_hp</f>
        <v>0</v>
      </c>
      <c r="I228" s="389">
        <f>IF(H228,Wh_hp,'2025'!Maxi_hp)</f>
        <v>55.739637208128379</v>
      </c>
      <c r="J228" s="85">
        <f>IF(H228,An,'2025'!An_max)</f>
        <v>2025</v>
      </c>
      <c r="K228" s="196">
        <f t="shared" si="79"/>
        <v>46236</v>
      </c>
      <c r="L228" s="147">
        <f>IF(t&lt;Tvie,1-EXP((T0-t)*PertePVj)+'2025'!Pspv,1-EXP((T0-t)*PertePVj)+Pspv)</f>
        <v>6.2108955592231709E-2</v>
      </c>
      <c r="M228" s="847"/>
      <c r="N228" s="847"/>
      <c r="O228" s="48">
        <f>IF(t&lt;Tnet,'2025'!Resal+('2025'!Salim-'2025'!Resal)*(1-EXP(('2025'!Tnet-t)/('2025'!Tau_j))),Resal+(Salim-Resal)*(1-EXP((Tnet-t)/(Tau_j))))*Salcycl</f>
        <v>1.5131456344203674E-2</v>
      </c>
      <c r="P228" s="168">
        <f>(INDEX(Models!$BJ228:$BT228,,T228)*(1-R228)+INDEX(Models!$BJ228:$BT228,,T228+1)*R228-ERP_i)*Q228*Ramure*Pc/MaxiM</f>
        <v>1.2482318214771608E-4</v>
      </c>
      <c r="Q228" s="304">
        <f t="shared" si="80"/>
        <v>0.5</v>
      </c>
      <c r="R228" s="176">
        <f t="shared" si="81"/>
        <v>8.9308773016639531E-2</v>
      </c>
      <c r="S228" s="814">
        <f t="shared" si="82"/>
        <v>0</v>
      </c>
      <c r="T228" s="175">
        <f t="shared" si="83"/>
        <v>6</v>
      </c>
      <c r="U228" s="250">
        <f t="shared" si="84"/>
        <v>8.9308773016639531E-2</v>
      </c>
      <c r="V228" s="382">
        <f t="shared" si="85"/>
        <v>51.872964318508672</v>
      </c>
      <c r="W228" s="401">
        <f t="shared" si="86"/>
        <v>51.480272922839006</v>
      </c>
      <c r="X228" s="157">
        <f t="shared" si="87"/>
        <v>46236</v>
      </c>
      <c r="Y228" s="384">
        <f t="shared" si="88"/>
        <v>48.93062646451456</v>
      </c>
      <c r="Z228" s="384">
        <f t="shared" si="89"/>
        <v>52.170907011284903</v>
      </c>
      <c r="AA228" s="385">
        <f t="shared" si="90"/>
        <v>55.69973316199524</v>
      </c>
      <c r="AB228" s="196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6.3354453430633548E-2</v>
      </c>
      <c r="AD228" s="230">
        <f>(INDEX(Models!$BJ228:$BT228,,AH228)*(1-AF228)+INDEX(Models!$BJ228:$BT228,,AH228+1)*AF228-ERP_i)*AE228*Ramure*Pc/MaxiM</f>
        <v>7.2297067169838438E-4</v>
      </c>
      <c r="AE228" s="304">
        <f t="shared" si="92"/>
        <v>0.5</v>
      </c>
      <c r="AF228" s="176">
        <f t="shared" si="93"/>
        <v>0.20430131284102693</v>
      </c>
      <c r="AG228" s="814">
        <f t="shared" si="99"/>
        <v>2</v>
      </c>
      <c r="AH228" s="175">
        <f t="shared" si="94"/>
        <v>8</v>
      </c>
      <c r="AI228" s="224">
        <f t="shared" si="95"/>
        <v>2.2043013128410269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10">
        <f>'2025'!Wh/'2025'!Env_an*'2026'!Env_an</f>
        <v>49.325141211968607</v>
      </c>
      <c r="C229" s="843"/>
      <c r="D229" s="392">
        <f t="shared" si="77"/>
        <v>52.592697728159244</v>
      </c>
      <c r="E229" s="384">
        <f t="shared" si="75"/>
        <v>53.405846882583873</v>
      </c>
      <c r="F229" s="384">
        <f t="shared" si="78"/>
        <v>53.411842373253982</v>
      </c>
      <c r="G229" s="110">
        <f t="shared" si="76"/>
        <v>0.95248792621471501</v>
      </c>
      <c r="H229" s="413" t="b">
        <f>Wh_hp&gt;='2025'!Maxi_hp</f>
        <v>0</v>
      </c>
      <c r="I229" s="389">
        <f>IF(H229,Wh_hp,'2025'!Maxi_hp)</f>
        <v>56.092480847378184</v>
      </c>
      <c r="J229" s="85">
        <f>IF(H229,An,'2025'!An_max)</f>
        <v>2019</v>
      </c>
      <c r="K229" s="196">
        <f t="shared" si="79"/>
        <v>46237</v>
      </c>
      <c r="L229" s="147">
        <f>IF(t&lt;Tvie,1-EXP((T0-t)*PertePVj)+'2025'!Pspv,1-EXP((T0-t)*PertePVj)+Pspv)</f>
        <v>6.2129471530058412E-2</v>
      </c>
      <c r="M229" s="847"/>
      <c r="N229" s="847"/>
      <c r="O229" s="48">
        <f>IF(t&lt;Tnet,'2025'!Resal+('2025'!Salim-'2025'!Resal)*(1-EXP(('2025'!Tnet-t)/('2025'!Tau_j))),Resal+(Salim-Resal)*(1-EXP((Tnet-t)/(Tau_j))))*Salcycl</f>
        <v>1.5225845144116613E-2</v>
      </c>
      <c r="P229" s="168">
        <f>(INDEX(Models!$BJ229:$BT229,,T229)*(1-R229)+INDEX(Models!$BJ229:$BT229,,T229+1)*R229-ERP_i)*Q229*Ramure*Pc/MaxiM</f>
        <v>1.2042247571703332E-4</v>
      </c>
      <c r="Q229" s="304">
        <f t="shared" si="80"/>
        <v>0.5</v>
      </c>
      <c r="R229" s="176">
        <f t="shared" si="81"/>
        <v>9.0419061210273266E-2</v>
      </c>
      <c r="S229" s="814">
        <f t="shared" si="82"/>
        <v>0</v>
      </c>
      <c r="T229" s="175">
        <f t="shared" si="83"/>
        <v>6</v>
      </c>
      <c r="U229" s="250">
        <f t="shared" si="84"/>
        <v>9.0419061210273266E-2</v>
      </c>
      <c r="V229" s="382">
        <f t="shared" si="85"/>
        <v>51.785158332360936</v>
      </c>
      <c r="W229" s="401">
        <f t="shared" si="86"/>
        <v>49.325141211968607</v>
      </c>
      <c r="X229" s="157">
        <f t="shared" si="87"/>
        <v>46237</v>
      </c>
      <c r="Y229" s="384">
        <f t="shared" si="88"/>
        <v>46.887045685560871</v>
      </c>
      <c r="Z229" s="384">
        <f t="shared" si="89"/>
        <v>49.993089943932048</v>
      </c>
      <c r="AA229" s="385">
        <f t="shared" si="90"/>
        <v>53.37704820007027</v>
      </c>
      <c r="AB229" s="196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6.3397253505932311E-2</v>
      </c>
      <c r="AD229" s="230">
        <f>(INDEX(Models!$BJ229:$BT229,,AH229)*(1-AF229)+INDEX(Models!$BJ229:$BT229,,AH229+1)*AF229-ERP_i)*AE229*Ramure*Pc/MaxiM</f>
        <v>6.9885864324638466E-4</v>
      </c>
      <c r="AE229" s="304">
        <f t="shared" si="92"/>
        <v>0.5</v>
      </c>
      <c r="AF229" s="176">
        <f t="shared" si="93"/>
        <v>0.2054116010346605</v>
      </c>
      <c r="AG229" s="814">
        <f t="shared" si="99"/>
        <v>2</v>
      </c>
      <c r="AH229" s="175">
        <f t="shared" si="94"/>
        <v>8</v>
      </c>
      <c r="AI229" s="224">
        <f t="shared" si="95"/>
        <v>2.2054116010346605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10">
        <f>'2025'!Wh/'2025'!Env_an*'2026'!Env_an</f>
        <v>46.285179828869452</v>
      </c>
      <c r="C230" s="843"/>
      <c r="D230" s="392">
        <f t="shared" si="77"/>
        <v>49.352432892469473</v>
      </c>
      <c r="E230" s="384">
        <f t="shared" si="75"/>
        <v>50.120280202836788</v>
      </c>
      <c r="F230" s="384">
        <f t="shared" si="78"/>
        <v>50.125226735603555</v>
      </c>
      <c r="G230" s="110">
        <f t="shared" si="76"/>
        <v>0.89533547786648648</v>
      </c>
      <c r="H230" s="413" t="b">
        <f>Wh_hp&gt;='2025'!Maxi_hp</f>
        <v>0</v>
      </c>
      <c r="I230" s="389">
        <f>IF(H230,Wh_hp,'2025'!Maxi_hp)</f>
        <v>52.936123470546605</v>
      </c>
      <c r="J230" s="85">
        <f>IF(H230,An,'2025'!An_max)</f>
        <v>2018</v>
      </c>
      <c r="K230" s="196">
        <f t="shared" si="79"/>
        <v>46238</v>
      </c>
      <c r="L230" s="147">
        <f>IF(t&lt;Tvie,1-EXP((T0-t)*PertePVj)+'2025'!Pspv,1-EXP((T0-t)*PertePVj)+Pspv)</f>
        <v>6.2149987018533449E-2</v>
      </c>
      <c r="M230" s="847"/>
      <c r="N230" s="847"/>
      <c r="O230" s="48">
        <f>IF(t&lt;Tnet,'2025'!Resal+('2025'!Salim-'2025'!Resal)*(1-EXP(('2025'!Tnet-t)/('2025'!Tau_j))),Resal+(Salim-Resal)*(1-EXP((Tnet-t)/(Tau_j))))*Salcycl</f>
        <v>1.5320092131565034E-2</v>
      </c>
      <c r="P230" s="168">
        <f>(INDEX(Models!$BJ230:$BT230,,T230)*(1-R230)+INDEX(Models!$BJ230:$BT230,,T230+1)*R230-ERP_i)*Q230*Ramure*Pc/MaxiM</f>
        <v>1.160297843662008E-4</v>
      </c>
      <c r="Q230" s="304">
        <f t="shared" si="80"/>
        <v>0.5</v>
      </c>
      <c r="R230" s="176">
        <f t="shared" si="81"/>
        <v>9.1493269131079358E-2</v>
      </c>
      <c r="S230" s="814">
        <f t="shared" si="82"/>
        <v>0</v>
      </c>
      <c r="T230" s="175">
        <f t="shared" si="83"/>
        <v>6</v>
      </c>
      <c r="U230" s="250">
        <f t="shared" si="84"/>
        <v>9.1493269131079358E-2</v>
      </c>
      <c r="V230" s="382">
        <f t="shared" si="85"/>
        <v>51.695010437863452</v>
      </c>
      <c r="W230" s="401">
        <f t="shared" si="86"/>
        <v>46.285179828869452</v>
      </c>
      <c r="X230" s="157">
        <f t="shared" si="87"/>
        <v>46238</v>
      </c>
      <c r="Y230" s="384">
        <f t="shared" si="88"/>
        <v>44.002363877910966</v>
      </c>
      <c r="Z230" s="384">
        <f t="shared" si="89"/>
        <v>46.918337973921346</v>
      </c>
      <c r="AA230" s="385">
        <f t="shared" si="90"/>
        <v>50.096448900647907</v>
      </c>
      <c r="AB230" s="196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6.3439844469404344E-2</v>
      </c>
      <c r="AD230" s="230">
        <f>(INDEX(Models!$BJ230:$BT230,,AH230)*(1-AF230)+INDEX(Models!$BJ230:$BT230,,AH230+1)*AF230-ERP_i)*AE230*Ramure*Pc/MaxiM</f>
        <v>6.7503565464343076E-4</v>
      </c>
      <c r="AE230" s="304">
        <f t="shared" si="92"/>
        <v>0.5</v>
      </c>
      <c r="AF230" s="176">
        <f t="shared" si="93"/>
        <v>0.20648580895546687</v>
      </c>
      <c r="AG230" s="814">
        <f t="shared" si="99"/>
        <v>2</v>
      </c>
      <c r="AH230" s="175">
        <f t="shared" si="94"/>
        <v>8</v>
      </c>
      <c r="AI230" s="224">
        <f t="shared" si="95"/>
        <v>2.2064858089554669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10">
        <f>'2025'!Wh/'2025'!Env_an*'2026'!Env_an</f>
        <v>43.062542070702357</v>
      </c>
      <c r="C231" s="843"/>
      <c r="D231" s="392">
        <f t="shared" si="77"/>
        <v>45.917239930269552</v>
      </c>
      <c r="E231" s="384">
        <f t="shared" si="75"/>
        <v>46.63609798826846</v>
      </c>
      <c r="F231" s="384">
        <f t="shared" si="78"/>
        <v>46.640074140229459</v>
      </c>
      <c r="G231" s="110">
        <f t="shared" si="76"/>
        <v>0.83448743797528491</v>
      </c>
      <c r="H231" s="413" t="b">
        <f>Wh_hp&gt;='2025'!Maxi_hp</f>
        <v>0</v>
      </c>
      <c r="I231" s="389">
        <f>IF(H231,Wh_hp,'2025'!Maxi_hp)</f>
        <v>56.311096677498618</v>
      </c>
      <c r="J231" s="85">
        <f>IF(H231,An,'2025'!An_max)</f>
        <v>2020</v>
      </c>
      <c r="K231" s="196">
        <f t="shared" si="79"/>
        <v>46239</v>
      </c>
      <c r="L231" s="147">
        <f>IF(t&lt;Tvie,1-EXP((T0-t)*PertePVj)+'2025'!Pspv,1-EXP((T0-t)*PertePVj)+Pspv)</f>
        <v>6.2170502057666589E-2</v>
      </c>
      <c r="M231" s="847"/>
      <c r="N231" s="847"/>
      <c r="O231" s="48">
        <f>IF(t&lt;Tnet,'2025'!Resal+('2025'!Salim-'2025'!Resal)*(1-EXP(('2025'!Tnet-t)/('2025'!Tau_j))),Resal+(Salim-Resal)*(1-EXP((Tnet-t)/(Tau_j))))*Salcycl</f>
        <v>1.5414198207142845E-2</v>
      </c>
      <c r="P231" s="168">
        <f>(INDEX(Models!$BJ231:$BT231,,T231)*(1-R231)+INDEX(Models!$BJ231:$BT231,,T231+1)*R231-ERP_i)*Q231*Ramure*Pc/MaxiM</f>
        <v>1.1164682583922643E-4</v>
      </c>
      <c r="Q231" s="304">
        <f t="shared" si="80"/>
        <v>0.5</v>
      </c>
      <c r="R231" s="176">
        <f t="shared" si="81"/>
        <v>9.2532263915264756E-2</v>
      </c>
      <c r="S231" s="814">
        <f t="shared" si="82"/>
        <v>0</v>
      </c>
      <c r="T231" s="175">
        <f t="shared" si="83"/>
        <v>6</v>
      </c>
      <c r="U231" s="250">
        <f t="shared" si="84"/>
        <v>9.2532263915264756E-2</v>
      </c>
      <c r="V231" s="382">
        <f t="shared" si="85"/>
        <v>51.602221170544979</v>
      </c>
      <c r="W231" s="401">
        <f t="shared" si="86"/>
        <v>43.062542070702357</v>
      </c>
      <c r="X231" s="157">
        <f t="shared" si="87"/>
        <v>46239</v>
      </c>
      <c r="Y231" s="384">
        <f t="shared" si="88"/>
        <v>40.943318055701624</v>
      </c>
      <c r="Z231" s="384">
        <f t="shared" si="89"/>
        <v>43.657528522545157</v>
      </c>
      <c r="AA231" s="385">
        <f t="shared" si="90"/>
        <v>46.616871592390432</v>
      </c>
      <c r="AB231" s="196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6.3482232263916027E-2</v>
      </c>
      <c r="AD231" s="230">
        <f>(INDEX(Models!$BJ231:$BT231,,AH231)*(1-AF231)+INDEX(Models!$BJ231:$BT231,,AH231+1)*AF231-ERP_i)*AE231*Ramure*Pc/MaxiM</f>
        <v>6.5150699546265647E-4</v>
      </c>
      <c r="AE231" s="304">
        <f t="shared" si="92"/>
        <v>0.5</v>
      </c>
      <c r="AF231" s="176">
        <f t="shared" si="93"/>
        <v>0.20752480373965199</v>
      </c>
      <c r="AG231" s="814">
        <f t="shared" si="99"/>
        <v>2</v>
      </c>
      <c r="AH231" s="175">
        <f t="shared" si="94"/>
        <v>8</v>
      </c>
      <c r="AI231" s="224">
        <f t="shared" si="95"/>
        <v>2.207524803739652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10">
        <f>'2025'!Wh/'2025'!Env_an*'2026'!Env_an</f>
        <v>47.186598741498031</v>
      </c>
      <c r="C232" s="843"/>
      <c r="D232" s="392">
        <f t="shared" si="77"/>
        <v>50.315788800415127</v>
      </c>
      <c r="E232" s="384">
        <f t="shared" si="75"/>
        <v>51.108386031656984</v>
      </c>
      <c r="F232" s="384">
        <f t="shared" si="78"/>
        <v>51.113212239690625</v>
      </c>
      <c r="G232" s="110">
        <f t="shared" si="76"/>
        <v>0.91611738755658756</v>
      </c>
      <c r="H232" s="413" t="b">
        <f>Wh_hp&gt;='2025'!Maxi_hp</f>
        <v>0</v>
      </c>
      <c r="I232" s="389">
        <f>IF(H232,Wh_hp,'2025'!Maxi_hp)</f>
        <v>56.389246381378285</v>
      </c>
      <c r="J232" s="85">
        <f>IF(H232,An,'2025'!An_max)</f>
        <v>2020</v>
      </c>
      <c r="K232" s="196">
        <f t="shared" si="79"/>
        <v>46240</v>
      </c>
      <c r="L232" s="147">
        <f>IF(t&lt;Tvie,1-EXP((T0-t)*PertePVj)+'2025'!Pspv,1-EXP((T0-t)*PertePVj)+Pspv)</f>
        <v>6.2191016647467824E-2</v>
      </c>
      <c r="M232" s="847"/>
      <c r="N232" s="847"/>
      <c r="O232" s="48">
        <f>IF(t&lt;Tnet,'2025'!Resal+('2025'!Salim-'2025'!Resal)*(1-EXP(('2025'!Tnet-t)/('2025'!Tau_j))),Resal+(Salim-Resal)*(1-EXP((Tnet-t)/(Tau_j))))*Salcycl</f>
        <v>1.5508163978234771E-2</v>
      </c>
      <c r="P232" s="168">
        <f>(INDEX(Models!$BJ232:$BT232,,T232)*(1-R232)+INDEX(Models!$BJ232:$BT232,,T232+1)*R232-ERP_i)*Q232*Ramure*Pc/MaxiM</f>
        <v>1.072751515528566E-4</v>
      </c>
      <c r="Q232" s="304">
        <f t="shared" si="80"/>
        <v>0.5</v>
      </c>
      <c r="R232" s="176">
        <f t="shared" si="81"/>
        <v>9.3536914300983709E-2</v>
      </c>
      <c r="S232" s="814">
        <f t="shared" si="82"/>
        <v>0</v>
      </c>
      <c r="T232" s="175">
        <f t="shared" si="83"/>
        <v>6</v>
      </c>
      <c r="U232" s="250">
        <f t="shared" si="84"/>
        <v>9.3536914300983709E-2</v>
      </c>
      <c r="V232" s="382">
        <f t="shared" si="85"/>
        <v>51.506491226155688</v>
      </c>
      <c r="W232" s="401">
        <f t="shared" si="86"/>
        <v>47.186598741498031</v>
      </c>
      <c r="X232" s="157">
        <f t="shared" si="87"/>
        <v>46240</v>
      </c>
      <c r="Y232" s="384">
        <f t="shared" si="88"/>
        <v>44.864598850249713</v>
      </c>
      <c r="Z232" s="384">
        <f t="shared" si="89"/>
        <v>47.839804956725011</v>
      </c>
      <c r="AA232" s="385">
        <f t="shared" si="90"/>
        <v>51.084946638898174</v>
      </c>
      <c r="AB232" s="196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6.3524421491754621E-2</v>
      </c>
      <c r="AD232" s="230">
        <f>(INDEX(Models!$BJ232:$BT232,,AH232)*(1-AF232)+INDEX(Models!$BJ232:$BT232,,AH232+1)*AF232-ERP_i)*AE232*Ramure*Pc/MaxiM</f>
        <v>6.2827722874872786E-4</v>
      </c>
      <c r="AE232" s="304">
        <f t="shared" si="92"/>
        <v>0.5</v>
      </c>
      <c r="AF232" s="176">
        <f t="shared" si="93"/>
        <v>0.20852945412537105</v>
      </c>
      <c r="AG232" s="814">
        <f t="shared" si="99"/>
        <v>2</v>
      </c>
      <c r="AH232" s="175">
        <f t="shared" si="94"/>
        <v>8</v>
      </c>
      <c r="AI232" s="224">
        <f t="shared" si="95"/>
        <v>2.208529454125371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10">
        <f>'2025'!Wh/'2025'!Env_an*'2026'!Env_an</f>
        <v>50.153026895139881</v>
      </c>
      <c r="C233" s="843"/>
      <c r="D233" s="392">
        <f t="shared" si="77"/>
        <v>53.480106166457091</v>
      </c>
      <c r="E233" s="384">
        <f t="shared" ref="E233:E296" si="100">Wh_pvt/(1-Psa)</f>
        <v>54.327726803962214</v>
      </c>
      <c r="F233" s="384">
        <f t="shared" si="78"/>
        <v>54.333123431371931</v>
      </c>
      <c r="G233" s="110">
        <f t="shared" ref="G233:G296" si="101">+Wh_hp/MaxiM</f>
        <v>0.97557932352496679</v>
      </c>
      <c r="H233" s="413" t="b">
        <f>Wh_hp&gt;='2025'!Maxi_hp</f>
        <v>0</v>
      </c>
      <c r="I233" s="389">
        <f>IF(H233,Wh_hp,'2025'!Maxi_hp)</f>
        <v>54.87487901548878</v>
      </c>
      <c r="J233" s="85">
        <f>IF(H233,An,'2025'!An_max)</f>
        <v>2020</v>
      </c>
      <c r="K233" s="196">
        <f t="shared" si="79"/>
        <v>46241</v>
      </c>
      <c r="L233" s="147">
        <f>IF(t&lt;Tvie,1-EXP((T0-t)*PertePVj)+'2025'!Pspv,1-EXP((T0-t)*PertePVj)+Pspv)</f>
        <v>6.2211530787946813E-2</v>
      </c>
      <c r="M233" s="847"/>
      <c r="N233" s="847"/>
      <c r="O233" s="48">
        <f>IF(t&lt;Tnet,'2025'!Resal+('2025'!Salim-'2025'!Resal)*(1-EXP(('2025'!Tnet-t)/('2025'!Tau_j))),Resal+(Salim-Resal)*(1-EXP((Tnet-t)/(Tau_j))))*Salcycl</f>
        <v>1.5601989764153074E-2</v>
      </c>
      <c r="P233" s="168">
        <f>(INDEX(Models!$BJ233:$BT233,,T233)*(1-R233)+INDEX(Models!$BJ233:$BT233,,T233+1)*R233-ERP_i)*Q233*Ramure*Pc/MaxiM</f>
        <v>1.0291465015993297E-4</v>
      </c>
      <c r="Q233" s="304">
        <f t="shared" si="80"/>
        <v>0.5</v>
      </c>
      <c r="R233" s="176">
        <f t="shared" si="81"/>
        <v>9.4508088628721842E-2</v>
      </c>
      <c r="S233" s="814">
        <f t="shared" si="82"/>
        <v>0</v>
      </c>
      <c r="T233" s="175">
        <f t="shared" si="83"/>
        <v>6</v>
      </c>
      <c r="U233" s="250">
        <f t="shared" si="84"/>
        <v>9.4508088628721842E-2</v>
      </c>
      <c r="V233" s="382">
        <f t="shared" si="85"/>
        <v>51.408271605144435</v>
      </c>
      <c r="W233" s="401">
        <f t="shared" si="86"/>
        <v>50.153026895139881</v>
      </c>
      <c r="X233" s="157">
        <f t="shared" si="87"/>
        <v>46241</v>
      </c>
      <c r="Y233" s="384">
        <f t="shared" si="88"/>
        <v>47.686202757824262</v>
      </c>
      <c r="Z233" s="384">
        <f t="shared" si="89"/>
        <v>50.849636483471663</v>
      </c>
      <c r="AA233" s="385">
        <f t="shared" si="90"/>
        <v>54.301380603642215</v>
      </c>
      <c r="AB233" s="196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6.3566415472298896E-2</v>
      </c>
      <c r="AD233" s="230">
        <f>(INDEX(Models!$BJ233:$BT233,,AH233)*(1-AF233)+INDEX(Models!$BJ233:$BT233,,AH233+1)*AF233-ERP_i)*AE233*Ramure*Pc/MaxiM</f>
        <v>6.0534140359802394E-4</v>
      </c>
      <c r="AE233" s="304">
        <f t="shared" si="92"/>
        <v>0.5</v>
      </c>
      <c r="AF233" s="176">
        <f t="shared" si="93"/>
        <v>0.20950062845310935</v>
      </c>
      <c r="AG233" s="814">
        <f t="shared" si="99"/>
        <v>2</v>
      </c>
      <c r="AH233" s="175">
        <f t="shared" si="94"/>
        <v>8</v>
      </c>
      <c r="AI233" s="224">
        <f t="shared" si="95"/>
        <v>2.2095006284531093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10">
        <f>'2025'!Wh/'2025'!Env_an*'2026'!Env_an</f>
        <v>50.957233484356024</v>
      </c>
      <c r="C234" s="843"/>
      <c r="D234" s="392">
        <f t="shared" si="77"/>
        <v>54.338851295096404</v>
      </c>
      <c r="E234" s="384">
        <f t="shared" si="100"/>
        <v>55.205336345936303</v>
      </c>
      <c r="F234" s="384">
        <f t="shared" si="78"/>
        <v>55.210737032712728</v>
      </c>
      <c r="G234" s="110">
        <f t="shared" si="101"/>
        <v>0.99315864631898609</v>
      </c>
      <c r="H234" s="413" t="b">
        <f>Wh_hp&gt;='2025'!Maxi_hp</f>
        <v>0</v>
      </c>
      <c r="I234" s="389">
        <f>IF(H234,Wh_hp,'2025'!Maxi_hp)</f>
        <v>55.210766457934838</v>
      </c>
      <c r="J234" s="85">
        <f>IF(H234,An,'2025'!An_max)</f>
        <v>2025</v>
      </c>
      <c r="K234" s="196">
        <f t="shared" si="79"/>
        <v>46242</v>
      </c>
      <c r="L234" s="147">
        <f>IF(t&lt;Tvie,1-EXP((T0-t)*PertePVj)+'2025'!Pspv,1-EXP((T0-t)*PertePVj)+Pspv)</f>
        <v>6.2232044479113548E-2</v>
      </c>
      <c r="M234" s="847"/>
      <c r="N234" s="847"/>
      <c r="O234" s="48">
        <f>IF(t&lt;Tnet,'2025'!Resal+('2025'!Salim-'2025'!Resal)*(1-EXP(('2025'!Tnet-t)/('2025'!Tau_j))),Resal+(Salim-Resal)*(1-EXP((Tnet-t)/(Tau_j))))*Salcycl</f>
        <v>1.5695675602992381E-2</v>
      </c>
      <c r="P234" s="168">
        <f>(INDEX(Models!$BJ234:$BT234,,T234)*(1-R234)+INDEX(Models!$BJ234:$BT234,,T234+1)*R234-ERP_i)*Q234*Ramure*Pc/MaxiM</f>
        <v>9.8784826140754447E-5</v>
      </c>
      <c r="Q234" s="304">
        <f t="shared" si="80"/>
        <v>0.5</v>
      </c>
      <c r="R234" s="176">
        <f t="shared" si="81"/>
        <v>9.5446652988474767E-2</v>
      </c>
      <c r="S234" s="814">
        <f t="shared" si="82"/>
        <v>0</v>
      </c>
      <c r="T234" s="175">
        <f t="shared" si="83"/>
        <v>6</v>
      </c>
      <c r="U234" s="250">
        <f t="shared" si="84"/>
        <v>9.5446652988474767E-2</v>
      </c>
      <c r="V234" s="382">
        <f t="shared" si="85"/>
        <v>51.308201844830265</v>
      </c>
      <c r="W234" s="401">
        <f t="shared" si="86"/>
        <v>50.957233484356024</v>
      </c>
      <c r="X234" s="157">
        <f t="shared" si="87"/>
        <v>46242</v>
      </c>
      <c r="Y234" s="384">
        <f t="shared" si="88"/>
        <v>48.453484284883665</v>
      </c>
      <c r="Z234" s="384">
        <f t="shared" si="89"/>
        <v>51.668948591840092</v>
      </c>
      <c r="AA234" s="385">
        <f t="shared" si="90"/>
        <v>55.178771846896822</v>
      </c>
      <c r="AB234" s="196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6.3608216304548285E-2</v>
      </c>
      <c r="AD234" s="230">
        <f>(INDEX(Models!$BJ234:$BT234,,AH234)*(1-AF234)+INDEX(Models!$BJ234:$BT234,,AH234+1)*AF234-ERP_i)*AE234*Ramure*Pc/MaxiM</f>
        <v>5.8468032939098841E-4</v>
      </c>
      <c r="AE234" s="304">
        <f t="shared" si="92"/>
        <v>0.5</v>
      </c>
      <c r="AF234" s="176">
        <f t="shared" si="93"/>
        <v>0.21043919281286216</v>
      </c>
      <c r="AG234" s="814">
        <f t="shared" si="99"/>
        <v>2</v>
      </c>
      <c r="AH234" s="175">
        <f t="shared" si="94"/>
        <v>8</v>
      </c>
      <c r="AI234" s="224">
        <f t="shared" si="95"/>
        <v>2.2104391928128622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10">
        <f>'2025'!Wh/'2025'!Env_an*'2026'!Env_an</f>
        <v>49.251777713284014</v>
      </c>
      <c r="C235" s="843"/>
      <c r="D235" s="392">
        <f t="shared" si="77"/>
        <v>52.521367153598035</v>
      </c>
      <c r="E235" s="384">
        <f t="shared" si="100"/>
        <v>53.363942245009305</v>
      </c>
      <c r="F235" s="384">
        <f t="shared" si="78"/>
        <v>53.368730732591267</v>
      </c>
      <c r="G235" s="110">
        <f t="shared" si="101"/>
        <v>0.96182579516763089</v>
      </c>
      <c r="H235" s="413" t="b">
        <f>Wh_hp&gt;='2025'!Maxi_hp</f>
        <v>0</v>
      </c>
      <c r="I235" s="389">
        <f>IF(H235,Wh_hp,'2025'!Maxi_hp)</f>
        <v>55.479223820400136</v>
      </c>
      <c r="J235" s="85">
        <f>IF(H235,An,'2025'!An_max)</f>
        <v>2021</v>
      </c>
      <c r="K235" s="196">
        <f t="shared" si="79"/>
        <v>46243</v>
      </c>
      <c r="L235" s="147">
        <f>IF(t&lt;Tvie,1-EXP((T0-t)*PertePVj)+'2025'!Pspv,1-EXP((T0-t)*PertePVj)+Pspv)</f>
        <v>6.2252557720977687E-2</v>
      </c>
      <c r="M235" s="847"/>
      <c r="N235" s="847"/>
      <c r="O235" s="48">
        <f>IF(t&lt;Tnet,'2025'!Resal+('2025'!Salim-'2025'!Resal)*(1-EXP(('2025'!Tnet-t)/('2025'!Tau_j))),Resal+(Salim-Resal)*(1-EXP((Tnet-t)/(Tau_j))))*Salcycl</f>
        <v>1.5789221259980418E-2</v>
      </c>
      <c r="P235" s="168">
        <f>(INDEX(Models!$BJ235:$BT235,,T235)*(1-R235)+INDEX(Models!$BJ235:$BT235,,T235+1)*R235-ERP_i)*Q235*Ramure*Pc/MaxiM</f>
        <v>9.4899205169498931E-5</v>
      </c>
      <c r="Q235" s="304">
        <f t="shared" si="80"/>
        <v>0.5</v>
      </c>
      <c r="R235" s="176">
        <f t="shared" si="81"/>
        <v>9.6353469509651735E-2</v>
      </c>
      <c r="S235" s="814">
        <f t="shared" si="82"/>
        <v>0</v>
      </c>
      <c r="T235" s="175">
        <f t="shared" si="83"/>
        <v>6</v>
      </c>
      <c r="U235" s="250">
        <f t="shared" si="84"/>
        <v>9.6353469509651735E-2</v>
      </c>
      <c r="V235" s="382">
        <f t="shared" si="85"/>
        <v>51.206281926474645</v>
      </c>
      <c r="W235" s="401">
        <f t="shared" si="86"/>
        <v>49.251777713284014</v>
      </c>
      <c r="X235" s="157">
        <f t="shared" si="87"/>
        <v>46243</v>
      </c>
      <c r="Y235" s="384">
        <f t="shared" si="88"/>
        <v>46.835852782542425</v>
      </c>
      <c r="Z235" s="384">
        <f t="shared" si="89"/>
        <v>49.945060547130389</v>
      </c>
      <c r="AA235" s="385">
        <f t="shared" si="90"/>
        <v>53.340151875958959</v>
      </c>
      <c r="AB235" s="196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6.3649824933452684E-2</v>
      </c>
      <c r="AD235" s="230">
        <f>(INDEX(Models!$BJ235:$BT235,,AH235)*(1-AF235)+INDEX(Models!$BJ235:$BT235,,AH235+1)*AF235-ERP_i)*AE235*Ramure*Pc/MaxiM</f>
        <v>5.6638149992796298E-4</v>
      </c>
      <c r="AE235" s="304">
        <f t="shared" si="92"/>
        <v>0.5</v>
      </c>
      <c r="AF235" s="176">
        <f t="shared" si="93"/>
        <v>0.21134600933403913</v>
      </c>
      <c r="AG235" s="814">
        <f t="shared" si="99"/>
        <v>2</v>
      </c>
      <c r="AH235" s="175">
        <f t="shared" si="94"/>
        <v>8</v>
      </c>
      <c r="AI235" s="224">
        <f t="shared" si="95"/>
        <v>2.2113460093340391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10">
        <f>'2025'!Wh/'2025'!Env_an*'2026'!Env_an</f>
        <v>47.222837423385641</v>
      </c>
      <c r="C236" s="843"/>
      <c r="D236" s="392">
        <f t="shared" si="77"/>
        <v>50.358836819635101</v>
      </c>
      <c r="E236" s="384">
        <f t="shared" si="100"/>
        <v>51.171575832546289</v>
      </c>
      <c r="F236" s="384">
        <f t="shared" si="78"/>
        <v>51.175739693301381</v>
      </c>
      <c r="G236" s="110">
        <f t="shared" si="101"/>
        <v>0.92407139733454779</v>
      </c>
      <c r="H236" s="413" t="b">
        <f>Wh_hp&gt;='2025'!Maxi_hp</f>
        <v>0</v>
      </c>
      <c r="I236" s="389">
        <f>IF(H236,Wh_hp,'2025'!Maxi_hp)</f>
        <v>51.455396116933656</v>
      </c>
      <c r="J236" s="85">
        <f>IF(H236,An,'2025'!An_max)</f>
        <v>2021</v>
      </c>
      <c r="K236" s="196">
        <f t="shared" si="79"/>
        <v>46244</v>
      </c>
      <c r="L236" s="147">
        <f>IF(t&lt;Tvie,1-EXP((T0-t)*PertePVj)+'2025'!Pspv,1-EXP((T0-t)*PertePVj)+Pspv)</f>
        <v>6.2273070513549224E-2</v>
      </c>
      <c r="M236" s="847"/>
      <c r="N236" s="847"/>
      <c r="O236" s="48">
        <f>IF(t&lt;Tnet,'2025'!Resal+('2025'!Salim-'2025'!Resal)*(1-EXP(('2025'!Tnet-t)/('2025'!Tau_j))),Resal+(Salim-Resal)*(1-EXP((Tnet-t)/(Tau_j))))*Salcycl</f>
        <v>1.5882626237088988E-2</v>
      </c>
      <c r="P236" s="168">
        <f>(INDEX(Models!$BJ236:$BT236,,T236)*(1-R236)+INDEX(Models!$BJ236:$BT236,,T236+1)*R236-ERP_i)*Q236*Ramure*Pc/MaxiM</f>
        <v>9.126189138629089E-5</v>
      </c>
      <c r="Q236" s="304">
        <f t="shared" si="80"/>
        <v>0.5</v>
      </c>
      <c r="R236" s="176">
        <f t="shared" si="81"/>
        <v>9.7229394789190016E-2</v>
      </c>
      <c r="S236" s="814">
        <f t="shared" si="82"/>
        <v>0</v>
      </c>
      <c r="T236" s="175">
        <f t="shared" si="83"/>
        <v>6</v>
      </c>
      <c r="U236" s="250">
        <f t="shared" si="84"/>
        <v>9.7229394789190016E-2</v>
      </c>
      <c r="V236" s="382">
        <f t="shared" si="85"/>
        <v>51.102512330846984</v>
      </c>
      <c r="W236" s="401">
        <f t="shared" si="86"/>
        <v>47.222837423385641</v>
      </c>
      <c r="X236" s="157">
        <f t="shared" si="87"/>
        <v>46244</v>
      </c>
      <c r="Y236" s="384">
        <f t="shared" si="88"/>
        <v>44.910347657858452</v>
      </c>
      <c r="Z236" s="384">
        <f t="shared" si="89"/>
        <v>47.892777999298531</v>
      </c>
      <c r="AA236" s="385">
        <f t="shared" si="90"/>
        <v>51.150624780707986</v>
      </c>
      <c r="AB236" s="196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6.3691241218977054E-2</v>
      </c>
      <c r="AD236" s="230">
        <f>(INDEX(Models!$BJ236:$BT236,,AH236)*(1-AF236)+INDEX(Models!$BJ236:$BT236,,AH236+1)*AF236-ERP_i)*AE236*Ramure*Pc/MaxiM</f>
        <v>5.5045895146020845E-4</v>
      </c>
      <c r="AE236" s="304">
        <f t="shared" si="92"/>
        <v>0.5</v>
      </c>
      <c r="AF236" s="176">
        <f t="shared" si="93"/>
        <v>0.21222193461357719</v>
      </c>
      <c r="AG236" s="814">
        <f t="shared" si="99"/>
        <v>2</v>
      </c>
      <c r="AH236" s="175">
        <f t="shared" si="94"/>
        <v>8</v>
      </c>
      <c r="AI236" s="224">
        <f t="shared" si="95"/>
        <v>2.2122219346135772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10">
        <f>'2025'!Wh/'2025'!Env_an*'2026'!Env_an</f>
        <v>43.455331648095779</v>
      </c>
      <c r="C237" s="843"/>
      <c r="D237" s="392">
        <f t="shared" si="77"/>
        <v>46.342150222761404</v>
      </c>
      <c r="E237" s="384">
        <f t="shared" si="100"/>
        <v>47.094527198701364</v>
      </c>
      <c r="F237" s="384">
        <f t="shared" si="78"/>
        <v>47.097791635930996</v>
      </c>
      <c r="G237" s="110">
        <f t="shared" si="101"/>
        <v>0.85210140876368157</v>
      </c>
      <c r="H237" s="413" t="b">
        <f>Wh_hp&gt;='2025'!Maxi_hp</f>
        <v>0</v>
      </c>
      <c r="I237" s="389">
        <f>IF(H237,Wh_hp,'2025'!Maxi_hp)</f>
        <v>54.32605328693775</v>
      </c>
      <c r="J237" s="85">
        <f>IF(H237,An,'2025'!An_max)</f>
        <v>2018</v>
      </c>
      <c r="K237" s="196">
        <f t="shared" si="79"/>
        <v>46245</v>
      </c>
      <c r="L237" s="147">
        <f>IF(t&lt;Tvie,1-EXP((T0-t)*PertePVj)+'2025'!Pspv,1-EXP((T0-t)*PertePVj)+Pspv)</f>
        <v>6.2293582856838038E-2</v>
      </c>
      <c r="M237" s="847"/>
      <c r="N237" s="847"/>
      <c r="O237" s="48">
        <f>IF(t&lt;Tnet,'2025'!Resal+('2025'!Salim-'2025'!Resal)*(1-EXP(('2025'!Tnet-t)/('2025'!Tau_j))),Resal+(Salim-Resal)*(1-EXP((Tnet-t)/(Tau_j))))*Salcycl</f>
        <v>1.5975889783658468E-2</v>
      </c>
      <c r="P237" s="168">
        <f>(INDEX(Models!$BJ237:$BT237,,T237)*(1-R237)+INDEX(Models!$BJ237:$BT237,,T237+1)*R237-ERP_i)*Q237*Ramure*Pc/MaxiM</f>
        <v>8.7876857536028823E-5</v>
      </c>
      <c r="Q237" s="304">
        <f t="shared" si="80"/>
        <v>0.5</v>
      </c>
      <c r="R237" s="176">
        <f t="shared" si="81"/>
        <v>9.8075278452995518E-2</v>
      </c>
      <c r="S237" s="814">
        <f t="shared" si="82"/>
        <v>0</v>
      </c>
      <c r="T237" s="175">
        <f t="shared" si="83"/>
        <v>6</v>
      </c>
      <c r="U237" s="250">
        <f t="shared" si="84"/>
        <v>9.8075278452995518E-2</v>
      </c>
      <c r="V237" s="382">
        <f t="shared" si="85"/>
        <v>50.996893560658457</v>
      </c>
      <c r="W237" s="401">
        <f t="shared" si="86"/>
        <v>43.455331648095779</v>
      </c>
      <c r="X237" s="157">
        <f t="shared" si="87"/>
        <v>46245</v>
      </c>
      <c r="Y237" s="384">
        <f t="shared" si="88"/>
        <v>41.331715995244387</v>
      </c>
      <c r="Z237" s="384">
        <f t="shared" si="89"/>
        <v>44.077458828922758</v>
      </c>
      <c r="AA237" s="385">
        <f t="shared" si="90"/>
        <v>47.0778459515493</v>
      </c>
      <c r="AB237" s="196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6.3732464006837228E-2</v>
      </c>
      <c r="AD237" s="230">
        <f>(INDEX(Models!$BJ237:$BT237,,AH237)*(1-AF237)+INDEX(Models!$BJ237:$BT237,,AH237+1)*AF237-ERP_i)*AE237*Ramure*Pc/MaxiM</f>
        <v>5.3692687026133832E-4</v>
      </c>
      <c r="AE237" s="304">
        <f t="shared" si="92"/>
        <v>0.5</v>
      </c>
      <c r="AF237" s="176">
        <f t="shared" si="93"/>
        <v>0.21306781827738286</v>
      </c>
      <c r="AG237" s="814">
        <f t="shared" si="99"/>
        <v>2</v>
      </c>
      <c r="AH237" s="175">
        <f t="shared" si="94"/>
        <v>8</v>
      </c>
      <c r="AI237" s="224">
        <f t="shared" si="95"/>
        <v>2.2130678182773829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10">
        <f>'2025'!Wh/'2025'!Env_an*'2026'!Env_an</f>
        <v>45.604891480013059</v>
      </c>
      <c r="C238" s="843"/>
      <c r="D238" s="392">
        <f t="shared" si="77"/>
        <v>48.635573196437981</v>
      </c>
      <c r="E238" s="384">
        <f t="shared" si="100"/>
        <v>49.429862191157881</v>
      </c>
      <c r="F238" s="384">
        <f t="shared" si="78"/>
        <v>49.433430087579858</v>
      </c>
      <c r="G238" s="110">
        <f t="shared" si="101"/>
        <v>0.89614526126098848</v>
      </c>
      <c r="H238" s="413" t="b">
        <f>Wh_hp&gt;='2025'!Maxi_hp</f>
        <v>0</v>
      </c>
      <c r="I238" s="389">
        <f>IF(H238,Wh_hp,'2025'!Maxi_hp)</f>
        <v>51.451294762618211</v>
      </c>
      <c r="J238" s="85">
        <f>IF(H238,An,'2025'!An_max)</f>
        <v>2018</v>
      </c>
      <c r="K238" s="196">
        <f t="shared" si="79"/>
        <v>46246</v>
      </c>
      <c r="L238" s="147">
        <f>IF(t&lt;Tvie,1-EXP((T0-t)*PertePVj)+'2025'!Pspv,1-EXP((T0-t)*PertePVj)+Pspv)</f>
        <v>6.2314094750853789E-2</v>
      </c>
      <c r="M238" s="847"/>
      <c r="N238" s="847"/>
      <c r="O238" s="48">
        <f>IF(t&lt;Tnet,'2025'!Resal+('2025'!Salim-'2025'!Resal)*(1-EXP(('2025'!Tnet-t)/('2025'!Tau_j))),Resal+(Salim-Resal)*(1-EXP((Tnet-t)/(Tau_j))))*Salcycl</f>
        <v>1.6069010907782403E-2</v>
      </c>
      <c r="P238" s="168">
        <f>(INDEX(Models!$BJ238:$BT238,,T238)*(1-R238)+INDEX(Models!$BJ238:$BT238,,T238+1)*R238-ERP_i)*Q238*Ramure*Pc/MaxiM</f>
        <v>8.4747955003733002E-5</v>
      </c>
      <c r="Q238" s="304">
        <f t="shared" si="80"/>
        <v>0.5</v>
      </c>
      <c r="R238" s="176">
        <f t="shared" si="81"/>
        <v>9.889196184553517E-2</v>
      </c>
      <c r="S238" s="814">
        <f t="shared" si="82"/>
        <v>0</v>
      </c>
      <c r="T238" s="175">
        <f t="shared" si="83"/>
        <v>6</v>
      </c>
      <c r="U238" s="250">
        <f t="shared" si="84"/>
        <v>9.889196184553517E-2</v>
      </c>
      <c r="V238" s="382">
        <f t="shared" si="85"/>
        <v>50.889426142614283</v>
      </c>
      <c r="W238" s="401">
        <f t="shared" si="86"/>
        <v>45.604891480013059</v>
      </c>
      <c r="X238" s="157">
        <f t="shared" si="87"/>
        <v>46246</v>
      </c>
      <c r="Y238" s="384">
        <f t="shared" si="88"/>
        <v>43.377502971363242</v>
      </c>
      <c r="Z238" s="384">
        <f t="shared" si="89"/>
        <v>46.260163161818774</v>
      </c>
      <c r="AA238" s="385">
        <f t="shared" si="90"/>
        <v>49.411293877061226</v>
      </c>
      <c r="AB238" s="196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6.3773491199859894E-2</v>
      </c>
      <c r="AD238" s="230">
        <f>(INDEX(Models!$BJ238:$BT238,,AH238)*(1-AF238)+INDEX(Models!$BJ238:$BT238,,AH238+1)*AF238-ERP_i)*AE238*Ramure*Pc/MaxiM</f>
        <v>5.2579961722764689E-4</v>
      </c>
      <c r="AE238" s="304">
        <f t="shared" si="92"/>
        <v>0.5</v>
      </c>
      <c r="AF238" s="176">
        <f t="shared" si="93"/>
        <v>0.21388450166992268</v>
      </c>
      <c r="AG238" s="814">
        <f t="shared" si="99"/>
        <v>2</v>
      </c>
      <c r="AH238" s="175">
        <f t="shared" si="94"/>
        <v>8</v>
      </c>
      <c r="AI238" s="224">
        <f t="shared" si="95"/>
        <v>2.2138845016699227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10">
        <f>'2025'!Wh/'2025'!Env_an*'2026'!Env_an</f>
        <v>31.767385391043781</v>
      </c>
      <c r="C239" s="843"/>
      <c r="D239" s="392">
        <f t="shared" si="77"/>
        <v>33.879234107333154</v>
      </c>
      <c r="E239" s="384">
        <f t="shared" si="100"/>
        <v>34.435784862417918</v>
      </c>
      <c r="F239" s="384">
        <f t="shared" si="78"/>
        <v>34.437096361173765</v>
      </c>
      <c r="G239" s="110">
        <f t="shared" si="101"/>
        <v>0.6255597653609829</v>
      </c>
      <c r="H239" s="413" t="b">
        <f>Wh_hp&gt;='2025'!Maxi_hp</f>
        <v>0</v>
      </c>
      <c r="I239" s="389">
        <f>IF(H239,Wh_hp,'2025'!Maxi_hp)</f>
        <v>51.299776685989691</v>
      </c>
      <c r="J239" s="85">
        <f>IF(H239,An,'2025'!An_max)</f>
        <v>2019</v>
      </c>
      <c r="K239" s="196">
        <f t="shared" si="79"/>
        <v>46247</v>
      </c>
      <c r="L239" s="147">
        <f>IF(t&lt;Tvie,1-EXP((T0-t)*PertePVj)+'2025'!Pspv,1-EXP((T0-t)*PertePVj)+Pspv)</f>
        <v>6.2334606195606469E-2</v>
      </c>
      <c r="M239" s="847"/>
      <c r="N239" s="847"/>
      <c r="O239" s="48">
        <f>IF(t&lt;Tnet,'2025'!Resal+('2025'!Salim-'2025'!Resal)*(1-EXP(('2025'!Tnet-t)/('2025'!Tau_j))),Resal+(Salim-Resal)*(1-EXP((Tnet-t)/(Tau_j))))*Salcycl</f>
        <v>1.6161988388194621E-2</v>
      </c>
      <c r="P239" s="168">
        <f>(INDEX(Models!$BJ239:$BT239,,T239)*(1-R239)+INDEX(Models!$BJ239:$BT239,,T239+1)*R239-ERP_i)*Q239*Ramure*Pc/MaxiM</f>
        <v>8.1878923136706811E-5</v>
      </c>
      <c r="Q239" s="304">
        <f t="shared" si="80"/>
        <v>0.5</v>
      </c>
      <c r="R239" s="176">
        <f t="shared" si="81"/>
        <v>9.9680276842181337E-2</v>
      </c>
      <c r="S239" s="814">
        <f t="shared" si="82"/>
        <v>0</v>
      </c>
      <c r="T239" s="175">
        <f t="shared" si="83"/>
        <v>6</v>
      </c>
      <c r="U239" s="250">
        <f t="shared" si="84"/>
        <v>9.9680276842181337E-2</v>
      </c>
      <c r="V239" s="382">
        <f t="shared" si="85"/>
        <v>50.780110620100416</v>
      </c>
      <c r="W239" s="401">
        <f t="shared" si="86"/>
        <v>31.767385391043781</v>
      </c>
      <c r="X239" s="157">
        <f t="shared" si="87"/>
        <v>46247</v>
      </c>
      <c r="Y239" s="384">
        <f t="shared" si="88"/>
        <v>30.222608266112051</v>
      </c>
      <c r="Z239" s="384">
        <f t="shared" si="89"/>
        <v>32.231762487778013</v>
      </c>
      <c r="AA239" s="385">
        <f t="shared" si="90"/>
        <v>34.428813824506356</v>
      </c>
      <c r="AB239" s="196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6.3814319828947655E-2</v>
      </c>
      <c r="AD239" s="230">
        <f>(INDEX(Models!$BJ239:$BT239,,AH239)*(1-AF239)+INDEX(Models!$BJ239:$BT239,,AH239+1)*AF239-ERP_i)*AE239*Ramure*Pc/MaxiM</f>
        <v>5.1709174724392821E-4</v>
      </c>
      <c r="AE239" s="304">
        <f t="shared" si="92"/>
        <v>0.5</v>
      </c>
      <c r="AF239" s="176">
        <f t="shared" si="93"/>
        <v>0.21467281666656879</v>
      </c>
      <c r="AG239" s="814">
        <f t="shared" si="99"/>
        <v>2</v>
      </c>
      <c r="AH239" s="175">
        <f t="shared" si="94"/>
        <v>8</v>
      </c>
      <c r="AI239" s="224">
        <f t="shared" si="95"/>
        <v>2.2146728166665688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10">
        <f>'2025'!Wh/'2025'!Env_an*'2026'!Env_an</f>
        <v>33.02733219409793</v>
      </c>
      <c r="C240" s="843"/>
      <c r="D240" s="392">
        <f t="shared" si="77"/>
        <v>35.223710809531916</v>
      </c>
      <c r="E240" s="384">
        <f t="shared" si="100"/>
        <v>35.805726476534879</v>
      </c>
      <c r="F240" s="384">
        <f t="shared" si="78"/>
        <v>35.807159032598733</v>
      </c>
      <c r="G240" s="110">
        <f t="shared" si="101"/>
        <v>0.65180030152136414</v>
      </c>
      <c r="H240" s="413" t="b">
        <f>Wh_hp&gt;='2025'!Maxi_hp</f>
        <v>0</v>
      </c>
      <c r="I240" s="389">
        <f>IF(H240,Wh_hp,'2025'!Maxi_hp)</f>
        <v>56.168421438709679</v>
      </c>
      <c r="J240" s="85">
        <f>IF(H240,An,'2025'!An_max)</f>
        <v>2019</v>
      </c>
      <c r="K240" s="196">
        <f t="shared" si="79"/>
        <v>46248</v>
      </c>
      <c r="L240" s="147">
        <f>IF(t&lt;Tvie,1-EXP((T0-t)*PertePVj)+'2025'!Pspv,1-EXP((T0-t)*PertePVj)+Pspv)</f>
        <v>6.2355117191105848E-2</v>
      </c>
      <c r="M240" s="847"/>
      <c r="N240" s="847"/>
      <c r="O240" s="48">
        <f>IF(t&lt;Tnet,'2025'!Resal+('2025'!Salim-'2025'!Resal)*(1-EXP(('2025'!Tnet-t)/('2025'!Tau_j))),Resal+(Salim-Resal)*(1-EXP((Tnet-t)/(Tau_j))))*Salcycl</f>
        <v>1.6254820786400816E-2</v>
      </c>
      <c r="P240" s="168">
        <f>(INDEX(Models!$BJ240:$BT240,,T240)*(1-R240)+INDEX(Models!$BJ240:$BT240,,T240+1)*R240-ERP_i)*Q240*Ramure*Pc/MaxiM</f>
        <v>7.9599755899754622E-5</v>
      </c>
      <c r="Q240" s="304">
        <f t="shared" si="80"/>
        <v>0.5</v>
      </c>
      <c r="R240" s="176">
        <f t="shared" si="81"/>
        <v>0.10044104477875071</v>
      </c>
      <c r="S240" s="814">
        <f t="shared" si="82"/>
        <v>0</v>
      </c>
      <c r="T240" s="175">
        <f t="shared" si="83"/>
        <v>6</v>
      </c>
      <c r="U240" s="250">
        <f t="shared" si="84"/>
        <v>0.10044104477875071</v>
      </c>
      <c r="V240" s="382">
        <f t="shared" si="85"/>
        <v>50.668931019465347</v>
      </c>
      <c r="W240" s="401">
        <f t="shared" si="86"/>
        <v>33.02733219409793</v>
      </c>
      <c r="X240" s="157">
        <f t="shared" si="87"/>
        <v>46248</v>
      </c>
      <c r="Y240" s="384">
        <f t="shared" si="88"/>
        <v>31.422414592745024</v>
      </c>
      <c r="Z240" s="384">
        <f t="shared" si="89"/>
        <v>33.512063222286443</v>
      </c>
      <c r="AA240" s="385">
        <f t="shared" si="90"/>
        <v>35.797938667181981</v>
      </c>
      <c r="AB240" s="196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6.3854946122669662E-2</v>
      </c>
      <c r="AD240" s="230">
        <f>(INDEX(Models!$BJ240:$BT240,,AH240)*(1-AF240)+INDEX(Models!$BJ240:$BT240,,AH240+1)*AF240-ERP_i)*AE240*Ramure*Pc/MaxiM</f>
        <v>5.1232817688564604E-4</v>
      </c>
      <c r="AE240" s="304">
        <f t="shared" si="92"/>
        <v>0.5</v>
      </c>
      <c r="AF240" s="176">
        <f t="shared" si="93"/>
        <v>0.21543358460313833</v>
      </c>
      <c r="AG240" s="814">
        <f t="shared" si="99"/>
        <v>2</v>
      </c>
      <c r="AH240" s="175">
        <f t="shared" si="94"/>
        <v>8</v>
      </c>
      <c r="AI240" s="224">
        <f t="shared" si="95"/>
        <v>2.2154335846031383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10">
        <f>'2025'!Wh/'2025'!Env_an*'2026'!Env_an</f>
        <v>37.869310559431334</v>
      </c>
      <c r="C241" s="843"/>
      <c r="D241" s="392">
        <f t="shared" si="77"/>
        <v>40.388573163949019</v>
      </c>
      <c r="E241" s="384">
        <f t="shared" si="100"/>
        <v>41.059798484877582</v>
      </c>
      <c r="F241" s="384">
        <f t="shared" si="78"/>
        <v>41.061849459118939</v>
      </c>
      <c r="G241" s="110">
        <f t="shared" si="101"/>
        <v>0.74903741074770802</v>
      </c>
      <c r="H241" s="413" t="b">
        <f>Wh_hp&gt;='2025'!Maxi_hp</f>
        <v>0</v>
      </c>
      <c r="I241" s="389">
        <f>IF(H241,Wh_hp,'2025'!Maxi_hp)</f>
        <v>54.459997130630313</v>
      </c>
      <c r="J241" s="85">
        <f>IF(H241,An,'2025'!An_max)</f>
        <v>2018</v>
      </c>
      <c r="K241" s="196">
        <f t="shared" si="79"/>
        <v>46249</v>
      </c>
      <c r="L241" s="147">
        <f>IF(t&lt;Tvie,1-EXP((T0-t)*PertePVj)+'2025'!Pspv,1-EXP((T0-t)*PertePVj)+Pspv)</f>
        <v>6.2375627737361806E-2</v>
      </c>
      <c r="M241" s="847"/>
      <c r="N241" s="847"/>
      <c r="O241" s="48">
        <f>IF(t&lt;Tnet,'2025'!Resal+('2025'!Salim-'2025'!Resal)*(1-EXP(('2025'!Tnet-t)/('2025'!Tau_j))),Resal+(Salim-Resal)*(1-EXP((Tnet-t)/(Tau_j))))*Salcycl</f>
        <v>1.634750645880002E-2</v>
      </c>
      <c r="P241" s="168">
        <f>(INDEX(Models!$BJ241:$BT241,,T241)*(1-R241)+INDEX(Models!$BJ241:$BT241,,T241+1)*R241-ERP_i)*Q241*Ramure*Pc/MaxiM</f>
        <v>7.7860464936894895E-5</v>
      </c>
      <c r="Q241" s="304">
        <f t="shared" si="80"/>
        <v>0.5</v>
      </c>
      <c r="R241" s="176">
        <f t="shared" si="81"/>
        <v>0.10117507549257482</v>
      </c>
      <c r="S241" s="814">
        <f t="shared" si="82"/>
        <v>0</v>
      </c>
      <c r="T241" s="175">
        <f t="shared" si="83"/>
        <v>6</v>
      </c>
      <c r="U241" s="250">
        <f t="shared" si="84"/>
        <v>0.10117507549257482</v>
      </c>
      <c r="V241" s="382">
        <f t="shared" si="85"/>
        <v>50.555890738077458</v>
      </c>
      <c r="W241" s="401">
        <f t="shared" si="86"/>
        <v>37.869310559431334</v>
      </c>
      <c r="X241" s="157">
        <f t="shared" si="87"/>
        <v>46249</v>
      </c>
      <c r="Y241" s="384">
        <f t="shared" si="88"/>
        <v>36.028764946806845</v>
      </c>
      <c r="Z241" s="384">
        <f t="shared" si="89"/>
        <v>38.425584927857251</v>
      </c>
      <c r="AA241" s="385">
        <f t="shared" si="90"/>
        <v>41.048386595630532</v>
      </c>
      <c r="AB241" s="196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6.3895365574550361E-2</v>
      </c>
      <c r="AD241" s="230">
        <f>(INDEX(Models!$BJ241:$BT241,,AH241)*(1-AF241)+INDEX(Models!$BJ241:$BT241,,AH241+1)*AF241-ERP_i)*AE241*Ramure*Pc/MaxiM</f>
        <v>5.1108628741150259E-4</v>
      </c>
      <c r="AE241" s="304">
        <f t="shared" si="92"/>
        <v>0.5</v>
      </c>
      <c r="AF241" s="176">
        <f t="shared" si="93"/>
        <v>0.21616761531696227</v>
      </c>
      <c r="AG241" s="814">
        <f t="shared" si="99"/>
        <v>2</v>
      </c>
      <c r="AH241" s="175">
        <f t="shared" si="94"/>
        <v>8</v>
      </c>
      <c r="AI241" s="224">
        <f t="shared" si="95"/>
        <v>2.2161676153169623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10">
        <f>'2025'!Wh/'2025'!Env_an*'2026'!Env_an</f>
        <v>31.81050354345626</v>
      </c>
      <c r="C242" s="843"/>
      <c r="D242" s="392">
        <f t="shared" si="77"/>
        <v>33.92744508323851</v>
      </c>
      <c r="E242" s="384">
        <f t="shared" si="100"/>
        <v>34.49453677062445</v>
      </c>
      <c r="F242" s="384">
        <f t="shared" si="78"/>
        <v>34.495785998455169</v>
      </c>
      <c r="G242" s="110">
        <f t="shared" si="101"/>
        <v>0.6306223657876493</v>
      </c>
      <c r="H242" s="413" t="b">
        <f>Wh_hp&gt;='2025'!Maxi_hp</f>
        <v>0</v>
      </c>
      <c r="I242" s="389">
        <f>IF(H242,Wh_hp,'2025'!Maxi_hp)</f>
        <v>55.604090749056766</v>
      </c>
      <c r="J242" s="85">
        <f>IF(H242,An,'2025'!An_max)</f>
        <v>2019</v>
      </c>
      <c r="K242" s="196">
        <f t="shared" si="79"/>
        <v>46250</v>
      </c>
      <c r="L242" s="147">
        <f>IF(t&lt;Tvie,1-EXP((T0-t)*PertePVj)+'2025'!Pspv,1-EXP((T0-t)*PertePVj)+Pspv)</f>
        <v>6.2396137834384226E-2</v>
      </c>
      <c r="M242" s="847"/>
      <c r="N242" s="847"/>
      <c r="O242" s="48">
        <f>IF(t&lt;Tnet,'2025'!Resal+('2025'!Salim-'2025'!Resal)*(1-EXP(('2025'!Tnet-t)/('2025'!Tau_j))),Resal+(Salim-Resal)*(1-EXP((Tnet-t)/(Tau_j))))*Salcycl</f>
        <v>1.6440043568547832E-2</v>
      </c>
      <c r="P242" s="168">
        <f>(INDEX(Models!$BJ242:$BT242,,T242)*(1-R242)+INDEX(Models!$BJ242:$BT242,,T242+1)*R242-ERP_i)*Q242*Ramure*Pc/MaxiM</f>
        <v>7.6666900488897899E-5</v>
      </c>
      <c r="Q242" s="304">
        <f t="shared" si="80"/>
        <v>0.5</v>
      </c>
      <c r="R242" s="176">
        <f t="shared" si="81"/>
        <v>0.10188316646938606</v>
      </c>
      <c r="S242" s="814">
        <f t="shared" si="82"/>
        <v>0</v>
      </c>
      <c r="T242" s="175">
        <f t="shared" si="83"/>
        <v>6</v>
      </c>
      <c r="U242" s="250">
        <f t="shared" si="84"/>
        <v>0.10188316646938606</v>
      </c>
      <c r="V242" s="382">
        <f t="shared" si="85"/>
        <v>50.440990350263561</v>
      </c>
      <c r="W242" s="401">
        <f t="shared" si="86"/>
        <v>31.81050354345626</v>
      </c>
      <c r="X242" s="157">
        <f t="shared" si="87"/>
        <v>46250</v>
      </c>
      <c r="Y242" s="384">
        <f t="shared" si="88"/>
        <v>30.268147691377496</v>
      </c>
      <c r="Z242" s="384">
        <f t="shared" si="89"/>
        <v>32.28244775087223</v>
      </c>
      <c r="AA242" s="385">
        <f t="shared" si="90"/>
        <v>34.48742075861432</v>
      </c>
      <c r="AB242" s="196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6.3935573007190799E-2</v>
      </c>
      <c r="AD242" s="230">
        <f>(INDEX(Models!$BJ242:$BT242,,AH242)*(1-AF242)+INDEX(Models!$BJ242:$BT242,,AH242+1)*AF242-ERP_i)*AE242*Ramure*Pc/MaxiM</f>
        <v>5.1338674553417878E-4</v>
      </c>
      <c r="AE242" s="304">
        <f t="shared" si="92"/>
        <v>0.5</v>
      </c>
      <c r="AF242" s="176">
        <f t="shared" si="93"/>
        <v>0.21687570629377362</v>
      </c>
      <c r="AG242" s="814">
        <f t="shared" si="99"/>
        <v>2</v>
      </c>
      <c r="AH242" s="175">
        <f t="shared" si="94"/>
        <v>8</v>
      </c>
      <c r="AI242" s="224">
        <f t="shared" si="95"/>
        <v>2.2168757062937736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10">
        <f>'2025'!Wh/'2025'!Env_an*'2026'!Env_an</f>
        <v>21.866276385356002</v>
      </c>
      <c r="C243" s="843"/>
      <c r="D243" s="392">
        <f t="shared" si="77"/>
        <v>23.321954604500586</v>
      </c>
      <c r="E243" s="384">
        <f t="shared" si="100"/>
        <v>23.714004730017709</v>
      </c>
      <c r="F243" s="384">
        <f t="shared" si="78"/>
        <v>23.714351160766224</v>
      </c>
      <c r="G243" s="110">
        <f t="shared" si="101"/>
        <v>0.43448122752984081</v>
      </c>
      <c r="H243" s="413" t="b">
        <f>Wh_hp&gt;='2025'!Maxi_hp</f>
        <v>0</v>
      </c>
      <c r="I243" s="389">
        <f>IF(H243,Wh_hp,'2025'!Maxi_hp)</f>
        <v>54.149035020517147</v>
      </c>
      <c r="J243" s="85">
        <f>IF(H243,An,'2025'!An_max)</f>
        <v>2019</v>
      </c>
      <c r="K243" s="196">
        <f t="shared" si="79"/>
        <v>46251</v>
      </c>
      <c r="L243" s="147">
        <f>IF(t&lt;Tvie,1-EXP((T0-t)*PertePVj)+'2025'!Pspv,1-EXP((T0-t)*PertePVj)+Pspv)</f>
        <v>6.2416647482182765E-2</v>
      </c>
      <c r="M243" s="847"/>
      <c r="N243" s="847"/>
      <c r="O243" s="48">
        <f>IF(t&lt;Tnet,'2025'!Resal+('2025'!Salim-'2025'!Resal)*(1-EXP(('2025'!Tnet-t)/('2025'!Tau_j))),Resal+(Salim-Resal)*(1-EXP((Tnet-t)/(Tau_j))))*Salcycl</f>
        <v>1.6532430096923185E-2</v>
      </c>
      <c r="P243" s="168">
        <f>(INDEX(Models!$BJ243:$BT243,,T243)*(1-R243)+INDEX(Models!$BJ243:$BT243,,T243+1)*R243-ERP_i)*Q243*Ramure*Pc/MaxiM</f>
        <v>7.6024817925643992E-5</v>
      </c>
      <c r="Q243" s="304">
        <f t="shared" si="80"/>
        <v>0.5</v>
      </c>
      <c r="R243" s="176">
        <f t="shared" si="81"/>
        <v>0.10256610209029765</v>
      </c>
      <c r="S243" s="814">
        <f t="shared" si="82"/>
        <v>0</v>
      </c>
      <c r="T243" s="175">
        <f t="shared" si="83"/>
        <v>6</v>
      </c>
      <c r="U243" s="250">
        <f t="shared" si="84"/>
        <v>0.10256610209029765</v>
      </c>
      <c r="V243" s="382">
        <f t="shared" si="85"/>
        <v>50.324230447287036</v>
      </c>
      <c r="W243" s="401">
        <f t="shared" si="86"/>
        <v>21.866276385356002</v>
      </c>
      <c r="X243" s="157">
        <f t="shared" si="87"/>
        <v>46251</v>
      </c>
      <c r="Y243" s="384">
        <f t="shared" si="88"/>
        <v>20.809660118190816</v>
      </c>
      <c r="Z243" s="384">
        <f t="shared" si="89"/>
        <v>22.194997449888451</v>
      </c>
      <c r="AA243" s="385">
        <f t="shared" si="90"/>
        <v>23.711985033540977</v>
      </c>
      <c r="AB243" s="196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6.3975562632429164E-2</v>
      </c>
      <c r="AD243" s="230">
        <f>(INDEX(Models!$BJ243:$BT243,,AH243)*(1-AF243)+INDEX(Models!$BJ243:$BT243,,AH243+1)*AF243-ERP_i)*AE243*Ramure*Pc/MaxiM</f>
        <v>5.1925065041081588E-4</v>
      </c>
      <c r="AE243" s="304">
        <f t="shared" si="92"/>
        <v>0.5</v>
      </c>
      <c r="AF243" s="176">
        <f t="shared" si="93"/>
        <v>0.21755864191468488</v>
      </c>
      <c r="AG243" s="814">
        <f t="shared" si="99"/>
        <v>2</v>
      </c>
      <c r="AH243" s="175">
        <f t="shared" si="94"/>
        <v>8</v>
      </c>
      <c r="AI243" s="224">
        <f t="shared" si="95"/>
        <v>2.2175586419146849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10">
        <f>'2025'!Wh/'2025'!Env_an*'2026'!Env_an</f>
        <v>38.048345827756556</v>
      </c>
      <c r="C244" s="843"/>
      <c r="D244" s="392">
        <f t="shared" si="77"/>
        <v>40.582181875995488</v>
      </c>
      <c r="E244" s="384">
        <f t="shared" si="100"/>
        <v>41.26825270505794</v>
      </c>
      <c r="F244" s="384">
        <f t="shared" si="78"/>
        <v>41.270302607536543</v>
      </c>
      <c r="G244" s="110">
        <f t="shared" si="101"/>
        <v>0.75783054950832007</v>
      </c>
      <c r="H244" s="413" t="b">
        <f>Wh_hp&gt;='2025'!Maxi_hp</f>
        <v>0</v>
      </c>
      <c r="I244" s="389">
        <f>IF(H244,Wh_hp,'2025'!Maxi_hp)</f>
        <v>52.532669315171944</v>
      </c>
      <c r="J244" s="85">
        <f>IF(H244,An,'2025'!An_max)</f>
        <v>2021</v>
      </c>
      <c r="K244" s="196">
        <f t="shared" si="79"/>
        <v>46252</v>
      </c>
      <c r="L244" s="147">
        <f>IF(t&lt;Tvie,1-EXP((T0-t)*PertePVj)+'2025'!Pspv,1-EXP((T0-t)*PertePVj)+Pspv)</f>
        <v>6.2437156680767415E-2</v>
      </c>
      <c r="M244" s="847"/>
      <c r="N244" s="847"/>
      <c r="O244" s="48">
        <f>IF(t&lt;Tnet,'2025'!Resal+('2025'!Salim-'2025'!Resal)*(1-EXP(('2025'!Tnet-t)/('2025'!Tau_j))),Resal+(Salim-Resal)*(1-EXP((Tnet-t)/(Tau_j))))*Salcycl</f>
        <v>1.6624663853974164E-2</v>
      </c>
      <c r="P244" s="168">
        <f>(INDEX(Models!$BJ244:$BT244,,T244)*(1-R244)+INDEX(Models!$BJ244:$BT244,,T244+1)*R244-ERP_i)*Q244*Ramure*Pc/MaxiM</f>
        <v>7.5939884692282099E-5</v>
      </c>
      <c r="Q244" s="304">
        <f t="shared" si="80"/>
        <v>0.5</v>
      </c>
      <c r="R244" s="176">
        <f t="shared" si="81"/>
        <v>0.10322465297318584</v>
      </c>
      <c r="S244" s="814">
        <f t="shared" si="82"/>
        <v>0</v>
      </c>
      <c r="T244" s="175">
        <f t="shared" si="83"/>
        <v>6</v>
      </c>
      <c r="U244" s="250">
        <f t="shared" si="84"/>
        <v>0.10322465297318584</v>
      </c>
      <c r="V244" s="382">
        <f t="shared" si="85"/>
        <v>50.205611641246364</v>
      </c>
      <c r="W244" s="401">
        <f t="shared" si="86"/>
        <v>38.048345827756556</v>
      </c>
      <c r="X244" s="157">
        <f t="shared" si="87"/>
        <v>46252</v>
      </c>
      <c r="Y244" s="384">
        <f t="shared" si="88"/>
        <v>36.204001065221973</v>
      </c>
      <c r="Z244" s="384">
        <f t="shared" si="89"/>
        <v>38.615012660964425</v>
      </c>
      <c r="AA244" s="385">
        <f t="shared" si="90"/>
        <v>41.25603102330696</v>
      </c>
      <c r="AB244" s="196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6.40153281068295E-2</v>
      </c>
      <c r="AD244" s="230">
        <f>(INDEX(Models!$BJ244:$BT244,,AH244)*(1-AF244)+INDEX(Models!$BJ244:$BT244,,AH244+1)*AF244-ERP_i)*AE244*Ramure*Pc/MaxiM</f>
        <v>5.286995220913453E-4</v>
      </c>
      <c r="AE244" s="304">
        <f t="shared" si="92"/>
        <v>0.5</v>
      </c>
      <c r="AF244" s="176">
        <f t="shared" si="93"/>
        <v>0.21821719279757312</v>
      </c>
      <c r="AG244" s="814">
        <f t="shared" si="99"/>
        <v>2</v>
      </c>
      <c r="AH244" s="175">
        <f t="shared" si="94"/>
        <v>8</v>
      </c>
      <c r="AI244" s="224">
        <f t="shared" si="95"/>
        <v>2.2182171927975731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10">
        <f>'2025'!Wh/'2025'!Env_an*'2026'!Env_an</f>
        <v>39.395292619857983</v>
      </c>
      <c r="C245" s="843"/>
      <c r="D245" s="392">
        <f t="shared" si="77"/>
        <v>42.019747980695399</v>
      </c>
      <c r="E245" s="384">
        <f t="shared" si="100"/>
        <v>42.734123315623137</v>
      </c>
      <c r="F245" s="384">
        <f t="shared" si="78"/>
        <v>42.736393368543204</v>
      </c>
      <c r="G245" s="110">
        <f t="shared" si="101"/>
        <v>0.7865482443113756</v>
      </c>
      <c r="H245" s="413" t="b">
        <f>Wh_hp&gt;='2025'!Maxi_hp</f>
        <v>0</v>
      </c>
      <c r="I245" s="389">
        <f>IF(H245,Wh_hp,'2025'!Maxi_hp)</f>
        <v>51.308352268844715</v>
      </c>
      <c r="J245" s="85">
        <f>IF(H245,An,'2025'!An_max)</f>
        <v>2018</v>
      </c>
      <c r="K245" s="196">
        <f t="shared" si="79"/>
        <v>46253</v>
      </c>
      <c r="L245" s="147">
        <f>IF(t&lt;Tvie,1-EXP((T0-t)*PertePVj)+'2025'!Pspv,1-EXP((T0-t)*PertePVj)+Pspv)</f>
        <v>6.2457665430148059E-2</v>
      </c>
      <c r="M245" s="847"/>
      <c r="N245" s="847"/>
      <c r="O245" s="48">
        <f>IF(t&lt;Tnet,'2025'!Resal+('2025'!Salim-'2025'!Resal)*(1-EXP(('2025'!Tnet-t)/('2025'!Tau_j))),Resal+(Salim-Resal)*(1-EXP((Tnet-t)/(Tau_j))))*Salcycl</f>
        <v>1.6716742488234581E-2</v>
      </c>
      <c r="P245" s="168">
        <f>(INDEX(Models!$BJ245:$BT245,,T245)*(1-R245)+INDEX(Models!$BJ245:$BT245,,T245+1)*R245-ERP_i)*Q245*Ramure*Pc/MaxiM</f>
        <v>7.6417686296568902E-5</v>
      </c>
      <c r="Q245" s="304">
        <f t="shared" si="80"/>
        <v>0.5</v>
      </c>
      <c r="R245" s="176">
        <f t="shared" si="81"/>
        <v>0.1038595754028494</v>
      </c>
      <c r="S245" s="814">
        <f t="shared" si="82"/>
        <v>0</v>
      </c>
      <c r="T245" s="175">
        <f t="shared" si="83"/>
        <v>6</v>
      </c>
      <c r="U245" s="250">
        <f t="shared" si="84"/>
        <v>0.1038595754028494</v>
      </c>
      <c r="V245" s="382">
        <f t="shared" si="85"/>
        <v>50.085134561932556</v>
      </c>
      <c r="W245" s="401">
        <f t="shared" si="86"/>
        <v>39.395292619857983</v>
      </c>
      <c r="X245" s="157">
        <f t="shared" si="87"/>
        <v>46253</v>
      </c>
      <c r="Y245" s="384">
        <f t="shared" si="88"/>
        <v>37.486558742906936</v>
      </c>
      <c r="Z245" s="384">
        <f t="shared" si="89"/>
        <v>39.983857113082699</v>
      </c>
      <c r="AA245" s="385">
        <f t="shared" si="90"/>
        <v>42.720300063079797</v>
      </c>
      <c r="AB245" s="196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6.4054862581876315E-2</v>
      </c>
      <c r="AD245" s="230">
        <f>(INDEX(Models!$BJ245:$BT245,,AH245)*(1-AF245)+INDEX(Models!$BJ245:$BT245,,AH245+1)*AF245-ERP_i)*AE245*Ramure*Pc/MaxiM</f>
        <v>5.4175528574883919E-4</v>
      </c>
      <c r="AE245" s="304">
        <f t="shared" si="92"/>
        <v>0.5</v>
      </c>
      <c r="AF245" s="176">
        <f t="shared" si="93"/>
        <v>0.21885211522723669</v>
      </c>
      <c r="AG245" s="814">
        <f t="shared" si="99"/>
        <v>2</v>
      </c>
      <c r="AH245" s="175">
        <f t="shared" si="94"/>
        <v>8</v>
      </c>
      <c r="AI245" s="224">
        <f t="shared" si="95"/>
        <v>2.2188521152272367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10">
        <f>'2025'!Wh/'2025'!Env_an*'2026'!Env_an</f>
        <v>46.91652975745761</v>
      </c>
      <c r="C246" s="843"/>
      <c r="D246" s="392">
        <f t="shared" si="77"/>
        <v>50.043133336036803</v>
      </c>
      <c r="E246" s="384">
        <f t="shared" si="100"/>
        <v>50.898671985805017</v>
      </c>
      <c r="F246" s="384">
        <f t="shared" si="78"/>
        <v>50.902271619135007</v>
      </c>
      <c r="G246" s="110">
        <f t="shared" si="101"/>
        <v>0.93902289932747218</v>
      </c>
      <c r="H246" s="413" t="b">
        <f>Wh_hp&gt;='2025'!Maxi_hp</f>
        <v>0</v>
      </c>
      <c r="I246" s="389">
        <f>IF(H246,Wh_hp,'2025'!Maxi_hp)</f>
        <v>52.975167716922265</v>
      </c>
      <c r="J246" s="85">
        <f>IF(H246,An,'2025'!An_max)</f>
        <v>2021</v>
      </c>
      <c r="K246" s="196">
        <f t="shared" si="79"/>
        <v>46254</v>
      </c>
      <c r="L246" s="147">
        <f>IF(t&lt;Tvie,1-EXP((T0-t)*PertePVj)+'2025'!Pspv,1-EXP((T0-t)*PertePVj)+Pspv)</f>
        <v>6.2478173730334353E-2</v>
      </c>
      <c r="M246" s="847"/>
      <c r="N246" s="847"/>
      <c r="O246" s="48">
        <f>IF(t&lt;Tnet,'2025'!Resal+('2025'!Salim-'2025'!Resal)*(1-EXP(('2025'!Tnet-t)/('2025'!Tau_j))),Resal+(Salim-Resal)*(1-EXP((Tnet-t)/(Tau_j))))*Salcycl</f>
        <v>1.6808663495322857E-2</v>
      </c>
      <c r="P246" s="168">
        <f>(INDEX(Models!$BJ246:$BT246,,T246)*(1-R246)+INDEX(Models!$BJ246:$BT246,,T246+1)*R246-ERP_i)*Q246*Ramure*Pc/MaxiM</f>
        <v>7.7463731370259453E-5</v>
      </c>
      <c r="Q246" s="304">
        <f t="shared" si="80"/>
        <v>0.5</v>
      </c>
      <c r="R246" s="176">
        <f t="shared" si="81"/>
        <v>0.10447161084442058</v>
      </c>
      <c r="S246" s="814">
        <f t="shared" si="82"/>
        <v>0</v>
      </c>
      <c r="T246" s="175">
        <f t="shared" si="83"/>
        <v>6</v>
      </c>
      <c r="U246" s="250">
        <f t="shared" si="84"/>
        <v>0.10447161084442058</v>
      </c>
      <c r="V246" s="382">
        <f t="shared" si="85"/>
        <v>49.962799857817267</v>
      </c>
      <c r="W246" s="401">
        <f t="shared" si="86"/>
        <v>46.91652975745761</v>
      </c>
      <c r="X246" s="157">
        <f t="shared" si="87"/>
        <v>46254</v>
      </c>
      <c r="Y246" s="384">
        <f t="shared" si="88"/>
        <v>44.640520482521339</v>
      </c>
      <c r="Z246" s="384">
        <f t="shared" si="89"/>
        <v>47.61544662927249</v>
      </c>
      <c r="AA246" s="385">
        <f t="shared" si="90"/>
        <v>50.876321666710837</v>
      </c>
      <c r="AB246" s="196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6.4094158748351199E-2</v>
      </c>
      <c r="AD246" s="230">
        <f>(INDEX(Models!$BJ246:$BT246,,AH246)*(1-AF246)+INDEX(Models!$BJ246:$BT246,,AH246+1)*AF246-ERP_i)*AE246*Ramure*Pc/MaxiM</f>
        <v>5.5844025193016293E-4</v>
      </c>
      <c r="AE246" s="304">
        <f t="shared" si="92"/>
        <v>0.5</v>
      </c>
      <c r="AF246" s="176">
        <f t="shared" si="93"/>
        <v>0.21946415066880798</v>
      </c>
      <c r="AG246" s="814">
        <f t="shared" si="99"/>
        <v>2</v>
      </c>
      <c r="AH246" s="175">
        <f t="shared" si="94"/>
        <v>8</v>
      </c>
      <c r="AI246" s="224">
        <f t="shared" si="95"/>
        <v>2.219464150668808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10">
        <f>'2025'!Wh/'2025'!Env_an*'2026'!Env_an</f>
        <v>31.628141708987428</v>
      </c>
      <c r="C247" s="843"/>
      <c r="D247" s="392">
        <f t="shared" si="77"/>
        <v>33.736637045307198</v>
      </c>
      <c r="E247" s="384">
        <f t="shared" si="100"/>
        <v>34.316602180120618</v>
      </c>
      <c r="F247" s="384">
        <f t="shared" si="78"/>
        <v>34.317899407410295</v>
      </c>
      <c r="G247" s="110">
        <f t="shared" si="101"/>
        <v>0.63456852828107047</v>
      </c>
      <c r="H247" s="413" t="b">
        <f>Wh_hp&gt;='2025'!Maxi_hp</f>
        <v>0</v>
      </c>
      <c r="I247" s="389">
        <f>IF(H247,Wh_hp,'2025'!Maxi_hp)</f>
        <v>53.054891406226311</v>
      </c>
      <c r="J247" s="85">
        <f>IF(H247,An,'2025'!An_max)</f>
        <v>2020</v>
      </c>
      <c r="K247" s="196">
        <f t="shared" si="79"/>
        <v>46255</v>
      </c>
      <c r="L247" s="147">
        <f>IF(t&lt;Tvie,1-EXP((T0-t)*PertePVj)+'2025'!Pspv,1-EXP((T0-t)*PertePVj)+Pspv)</f>
        <v>6.2498681581336292E-2</v>
      </c>
      <c r="M247" s="847"/>
      <c r="N247" s="847"/>
      <c r="O247" s="48">
        <f>IF(t&lt;Tnet,'2025'!Resal+('2025'!Salim-'2025'!Resal)*(1-EXP(('2025'!Tnet-t)/('2025'!Tau_j))),Resal+(Salim-Resal)*(1-EXP((Tnet-t)/(Tau_j))))*Salcycl</f>
        <v>1.6900424225257032E-2</v>
      </c>
      <c r="P247" s="168">
        <f>(INDEX(Models!$BJ247:$BT247,,T247)*(1-R247)+INDEX(Models!$BJ247:$BT247,,T247+1)*R247-ERP_i)*Q247*Ramure*Pc/MaxiM</f>
        <v>7.9081396188643779E-5</v>
      </c>
      <c r="Q247" s="304">
        <f t="shared" si="80"/>
        <v>0.5</v>
      </c>
      <c r="R247" s="176">
        <f t="shared" si="81"/>
        <v>0.10506148553461914</v>
      </c>
      <c r="S247" s="814">
        <f t="shared" si="82"/>
        <v>0</v>
      </c>
      <c r="T247" s="175">
        <f t="shared" si="83"/>
        <v>6</v>
      </c>
      <c r="U247" s="250">
        <f t="shared" si="84"/>
        <v>0.10506148553461914</v>
      </c>
      <c r="V247" s="382">
        <f t="shared" si="85"/>
        <v>49.839906339680226</v>
      </c>
      <c r="W247" s="401">
        <f t="shared" si="86"/>
        <v>31.628141708987428</v>
      </c>
      <c r="X247" s="157">
        <f t="shared" si="87"/>
        <v>46255</v>
      </c>
      <c r="Y247" s="384">
        <f t="shared" si="88"/>
        <v>30.101383672358114</v>
      </c>
      <c r="Z247" s="384">
        <f t="shared" si="89"/>
        <v>32.108097429806087</v>
      </c>
      <c r="AA247" s="385">
        <f t="shared" si="90"/>
        <v>34.308405570402748</v>
      </c>
      <c r="AB247" s="196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6.4133208874469827E-2</v>
      </c>
      <c r="AD247" s="230">
        <f>(INDEX(Models!$BJ247:$BT247,,AH247)*(1-AF247)+INDEX(Models!$BJ247:$BT247,,AH247+1)*AF247-ERP_i)*AE247*Ramure*Pc/MaxiM</f>
        <v>5.7876201936190577E-4</v>
      </c>
      <c r="AE247" s="304">
        <f t="shared" si="92"/>
        <v>0.5</v>
      </c>
      <c r="AF247" s="176">
        <f t="shared" si="93"/>
        <v>0.22005402535900664</v>
      </c>
      <c r="AG247" s="814">
        <f t="shared" si="99"/>
        <v>2</v>
      </c>
      <c r="AH247" s="175">
        <f t="shared" si="94"/>
        <v>8</v>
      </c>
      <c r="AI247" s="224">
        <f t="shared" si="95"/>
        <v>2.2200540253590066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10">
        <f>'2025'!Wh/'2025'!Env_an*'2026'!Env_an</f>
        <v>24.642027811953092</v>
      </c>
      <c r="C248" s="843"/>
      <c r="D248" s="392">
        <f t="shared" si="77"/>
        <v>26.285367681526381</v>
      </c>
      <c r="E248" s="384">
        <f t="shared" si="100"/>
        <v>26.739729754808508</v>
      </c>
      <c r="F248" s="384">
        <f t="shared" si="78"/>
        <v>26.740337143307872</v>
      </c>
      <c r="G248" s="110">
        <f t="shared" si="101"/>
        <v>0.49561336889719521</v>
      </c>
      <c r="H248" s="413" t="b">
        <f>Wh_hp&gt;='2025'!Maxi_hp</f>
        <v>0</v>
      </c>
      <c r="I248" s="389">
        <f>IF(H248,Wh_hp,'2025'!Maxi_hp)</f>
        <v>55.9528605164124</v>
      </c>
      <c r="J248" s="85">
        <f>IF(H248,An,'2025'!An_max)</f>
        <v>2019</v>
      </c>
      <c r="K248" s="196">
        <f t="shared" si="79"/>
        <v>46256</v>
      </c>
      <c r="L248" s="147">
        <f>IF(t&lt;Tvie,1-EXP((T0-t)*PertePVj)+'2025'!Pspv,1-EXP((T0-t)*PertePVj)+Pspv)</f>
        <v>6.2519188983163637E-2</v>
      </c>
      <c r="M248" s="847"/>
      <c r="N248" s="847"/>
      <c r="O248" s="48">
        <f>IF(t&lt;Tnet,'2025'!Resal+('2025'!Salim-'2025'!Resal)*(1-EXP(('2025'!Tnet-t)/('2025'!Tau_j))),Resal+(Salim-Resal)*(1-EXP((Tnet-t)/(Tau_j))))*Salcycl</f>
        <v>1.6992021888344665E-2</v>
      </c>
      <c r="P248" s="168">
        <f>(INDEX(Models!$BJ248:$BT248,,T248)*(1-R248)+INDEX(Models!$BJ248:$BT248,,T248+1)*R248-ERP_i)*Q248*Ramure*Pc/MaxiM</f>
        <v>8.1270842224877418E-5</v>
      </c>
      <c r="Q248" s="304">
        <f t="shared" si="80"/>
        <v>0.5</v>
      </c>
      <c r="R248" s="176">
        <f t="shared" si="81"/>
        <v>0.10562991014559014</v>
      </c>
      <c r="S248" s="814">
        <f t="shared" si="82"/>
        <v>0</v>
      </c>
      <c r="T248" s="175">
        <f t="shared" si="83"/>
        <v>6</v>
      </c>
      <c r="U248" s="250">
        <f t="shared" si="84"/>
        <v>0.10562991014559014</v>
      </c>
      <c r="V248" s="382">
        <f t="shared" si="85"/>
        <v>49.717353029613562</v>
      </c>
      <c r="W248" s="401">
        <f t="shared" si="86"/>
        <v>24.642027811953092</v>
      </c>
      <c r="X248" s="157">
        <f t="shared" si="87"/>
        <v>46256</v>
      </c>
      <c r="Y248" s="384">
        <f t="shared" si="88"/>
        <v>23.455909849761134</v>
      </c>
      <c r="Z248" s="384">
        <f t="shared" si="89"/>
        <v>25.020149291716955</v>
      </c>
      <c r="AA248" s="385">
        <f t="shared" si="90"/>
        <v>26.735841865225979</v>
      </c>
      <c r="AB248" s="196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6.4172004837466642E-2</v>
      </c>
      <c r="AD248" s="230">
        <f>(INDEX(Models!$BJ248:$BT248,,AH248)*(1-AF248)+INDEX(Models!$BJ248:$BT248,,AH248+1)*AF248-ERP_i)*AE248*Ramure*Pc/MaxiM</f>
        <v>6.0148494107603178E-4</v>
      </c>
      <c r="AE248" s="304">
        <f t="shared" si="92"/>
        <v>0.5</v>
      </c>
      <c r="AF248" s="176">
        <f t="shared" si="93"/>
        <v>0.22062244996997737</v>
      </c>
      <c r="AG248" s="814">
        <f t="shared" si="99"/>
        <v>2</v>
      </c>
      <c r="AH248" s="175">
        <f t="shared" si="94"/>
        <v>8</v>
      </c>
      <c r="AI248" s="224">
        <f t="shared" si="95"/>
        <v>2.2206224499699774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10">
        <f>'2025'!Wh/'2025'!Env_an*'2026'!Env_an</f>
        <v>44.078398525161667</v>
      </c>
      <c r="C249" s="843"/>
      <c r="D249" s="392">
        <f t="shared" si="77"/>
        <v>47.018949318780209</v>
      </c>
      <c r="E249" s="384">
        <f t="shared" si="100"/>
        <v>47.836156069459406</v>
      </c>
      <c r="F249" s="384">
        <f t="shared" si="78"/>
        <v>47.839528130028739</v>
      </c>
      <c r="G249" s="110">
        <f t="shared" si="101"/>
        <v>0.88876316649358211</v>
      </c>
      <c r="H249" s="413" t="b">
        <f>Wh_hp&gt;='2025'!Maxi_hp</f>
        <v>0</v>
      </c>
      <c r="I249" s="389">
        <f>IF(H249,Wh_hp,'2025'!Maxi_hp)</f>
        <v>53.332836013800012</v>
      </c>
      <c r="J249" s="85">
        <f>IF(H249,An,'2025'!An_max)</f>
        <v>2019</v>
      </c>
      <c r="K249" s="196">
        <f t="shared" si="79"/>
        <v>46257</v>
      </c>
      <c r="L249" s="147">
        <f>IF(t&lt;Tvie,1-EXP((T0-t)*PertePVj)+'2025'!Pspv,1-EXP((T0-t)*PertePVj)+Pspv)</f>
        <v>6.2539695935826284E-2</v>
      </c>
      <c r="M249" s="847"/>
      <c r="N249" s="847"/>
      <c r="O249" s="48">
        <f>IF(t&lt;Tnet,'2025'!Resal+('2025'!Salim-'2025'!Resal)*(1-EXP(('2025'!Tnet-t)/('2025'!Tau_j))),Resal+(Salim-Resal)*(1-EXP((Tnet-t)/(Tau_j))))*Salcycl</f>
        <v>1.7083453559533349E-2</v>
      </c>
      <c r="P249" s="168">
        <f>(INDEX(Models!$BJ249:$BT249,,T249)*(1-R249)+INDEX(Models!$BJ249:$BT249,,T249+1)*R249-ERP_i)*Q249*Ramure*Pc/MaxiM</f>
        <v>8.3802535183134119E-5</v>
      </c>
      <c r="Q249" s="304">
        <f t="shared" si="80"/>
        <v>0.5</v>
      </c>
      <c r="R249" s="176">
        <f t="shared" si="81"/>
        <v>0.10617757951622192</v>
      </c>
      <c r="S249" s="814">
        <f t="shared" si="82"/>
        <v>0</v>
      </c>
      <c r="T249" s="175">
        <f t="shared" si="83"/>
        <v>6</v>
      </c>
      <c r="U249" s="250">
        <f t="shared" si="84"/>
        <v>0.10617757951622192</v>
      </c>
      <c r="V249" s="382">
        <f t="shared" si="85"/>
        <v>49.594552535637568</v>
      </c>
      <c r="W249" s="401">
        <f t="shared" si="86"/>
        <v>44.078398525161667</v>
      </c>
      <c r="X249" s="157">
        <f t="shared" si="87"/>
        <v>46257</v>
      </c>
      <c r="Y249" s="384">
        <f t="shared" si="88"/>
        <v>41.945919017727867</v>
      </c>
      <c r="Z249" s="384">
        <f t="shared" si="89"/>
        <v>44.744208193007886</v>
      </c>
      <c r="AA249" s="385">
        <f t="shared" si="90"/>
        <v>47.814396311405325</v>
      </c>
      <c r="AB249" s="196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6.4210538148425769E-2</v>
      </c>
      <c r="AD249" s="230">
        <f>(INDEX(Models!$BJ249:$BT249,,AH249)*(1-AF249)+INDEX(Models!$BJ249:$BT249,,AH249+1)*AF249-ERP_i)*AE249*Ramure*Pc/MaxiM</f>
        <v>6.2457659674182919E-4</v>
      </c>
      <c r="AE249" s="304">
        <f t="shared" si="92"/>
        <v>0.5</v>
      </c>
      <c r="AF249" s="176">
        <f t="shared" si="93"/>
        <v>0.22117011934060926</v>
      </c>
      <c r="AG249" s="814">
        <f t="shared" si="99"/>
        <v>2</v>
      </c>
      <c r="AH249" s="175">
        <f t="shared" si="94"/>
        <v>8</v>
      </c>
      <c r="AI249" s="224">
        <f t="shared" si="95"/>
        <v>2.2211701193406093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10">
        <f>'2025'!Wh/'2025'!Env_an*'2026'!Env_an</f>
        <v>45.541269062729015</v>
      </c>
      <c r="C250" s="843"/>
      <c r="D250" s="392">
        <f t="shared" si="77"/>
        <v>48.580473307441196</v>
      </c>
      <c r="E250" s="384">
        <f t="shared" si="100"/>
        <v>49.429409384623334</v>
      </c>
      <c r="F250" s="384">
        <f t="shared" si="78"/>
        <v>49.433207973237273</v>
      </c>
      <c r="G250" s="110">
        <f t="shared" si="101"/>
        <v>0.92055764919591709</v>
      </c>
      <c r="H250" s="413" t="b">
        <f>Wh_hp&gt;='2025'!Maxi_hp</f>
        <v>0</v>
      </c>
      <c r="I250" s="389">
        <f>IF(H250,Wh_hp,'2025'!Maxi_hp)</f>
        <v>53.598539486969429</v>
      </c>
      <c r="J250" s="85">
        <f>IF(H250,An,'2025'!An_max)</f>
        <v>2019</v>
      </c>
      <c r="K250" s="196">
        <f t="shared" si="79"/>
        <v>46258</v>
      </c>
      <c r="L250" s="147">
        <f>IF(t&lt;Tvie,1-EXP((T0-t)*PertePVj)+'2025'!Pspv,1-EXP((T0-t)*PertePVj)+Pspv)</f>
        <v>6.2560202439333995E-2</v>
      </c>
      <c r="M250" s="847"/>
      <c r="N250" s="847"/>
      <c r="O250" s="48">
        <f>IF(t&lt;Tnet,'2025'!Resal+('2025'!Salim-'2025'!Resal)*(1-EXP(('2025'!Tnet-t)/('2025'!Tau_j))),Resal+(Salim-Resal)*(1-EXP((Tnet-t)/(Tau_j))))*Salcycl</f>
        <v>1.7174716181137112E-2</v>
      </c>
      <c r="P250" s="168">
        <f>(INDEX(Models!$BJ250:$BT250,,T250)*(1-R250)+INDEX(Models!$BJ250:$BT250,,T250+1)*R250-ERP_i)*Q250*Ramure*Pc/MaxiM</f>
        <v>8.6678829221229224E-5</v>
      </c>
      <c r="Q250" s="304">
        <f t="shared" si="80"/>
        <v>0.5</v>
      </c>
      <c r="R250" s="176">
        <f t="shared" si="81"/>
        <v>0.10670517244602046</v>
      </c>
      <c r="S250" s="814">
        <f t="shared" si="82"/>
        <v>0</v>
      </c>
      <c r="T250" s="175">
        <f t="shared" si="83"/>
        <v>6</v>
      </c>
      <c r="U250" s="250">
        <f t="shared" si="84"/>
        <v>0.10670517244602046</v>
      </c>
      <c r="V250" s="382">
        <f t="shared" si="85"/>
        <v>49.470906167727826</v>
      </c>
      <c r="W250" s="401">
        <f t="shared" si="86"/>
        <v>45.541269062729015</v>
      </c>
      <c r="X250" s="157">
        <f t="shared" si="87"/>
        <v>46258</v>
      </c>
      <c r="Y250" s="384">
        <f t="shared" si="88"/>
        <v>43.338412389890642</v>
      </c>
      <c r="Z250" s="384">
        <f t="shared" si="89"/>
        <v>46.230608624321839</v>
      </c>
      <c r="AA250" s="385">
        <f t="shared" si="90"/>
        <v>49.404808268322952</v>
      </c>
      <c r="AB250" s="196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6.4248799970271733E-2</v>
      </c>
      <c r="AD250" s="230">
        <f>(INDEX(Models!$BJ250:$BT250,,AH250)*(1-AF250)+INDEX(Models!$BJ250:$BT250,,AH250+1)*AF250-ERP_i)*AE250*Ramure*Pc/MaxiM</f>
        <v>6.4804416123591727E-4</v>
      </c>
      <c r="AE250" s="304">
        <f t="shared" si="92"/>
        <v>0.5</v>
      </c>
      <c r="AF250" s="176">
        <f t="shared" si="93"/>
        <v>0.2216977122704078</v>
      </c>
      <c r="AG250" s="814">
        <f t="shared" si="99"/>
        <v>2</v>
      </c>
      <c r="AH250" s="175">
        <f t="shared" si="94"/>
        <v>8</v>
      </c>
      <c r="AI250" s="224">
        <f t="shared" si="95"/>
        <v>2.2216977122704078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10">
        <f>'2025'!Wh/'2025'!Env_an*'2026'!Env_an</f>
        <v>32.495770662613232</v>
      </c>
      <c r="C251" s="843"/>
      <c r="D251" s="392">
        <f t="shared" si="77"/>
        <v>34.665139662740479</v>
      </c>
      <c r="E251" s="384">
        <f t="shared" si="100"/>
        <v>35.274176775649089</v>
      </c>
      <c r="F251" s="384">
        <f t="shared" si="78"/>
        <v>35.275801114811713</v>
      </c>
      <c r="G251" s="110">
        <f t="shared" si="101"/>
        <v>0.65850255269136393</v>
      </c>
      <c r="H251" s="413" t="b">
        <f>Wh_hp&gt;='2025'!Maxi_hp</f>
        <v>0</v>
      </c>
      <c r="I251" s="389">
        <f>IF(H251,Wh_hp,'2025'!Maxi_hp)</f>
        <v>49.950195766823477</v>
      </c>
      <c r="J251" s="85">
        <f>IF(H251,An,'2025'!An_max)</f>
        <v>2020</v>
      </c>
      <c r="K251" s="196">
        <f t="shared" si="79"/>
        <v>46259</v>
      </c>
      <c r="L251" s="147">
        <f>IF(t&lt;Tvie,1-EXP((T0-t)*PertePVj)+'2025'!Pspv,1-EXP((T0-t)*PertePVj)+Pspv)</f>
        <v>6.2580708493696652E-2</v>
      </c>
      <c r="M251" s="847"/>
      <c r="N251" s="847"/>
      <c r="O251" s="48">
        <f>IF(t&lt;Tnet,'2025'!Resal+('2025'!Salim-'2025'!Resal)*(1-EXP(('2025'!Tnet-t)/('2025'!Tau_j))),Resal+(Salim-Resal)*(1-EXP((Tnet-t)/(Tau_j))))*Salcycl</f>
        <v>1.7265806563884076E-2</v>
      </c>
      <c r="P251" s="168">
        <f>(INDEX(Models!$BJ251:$BT251,,T251)*(1-R251)+INDEX(Models!$BJ251:$BT251,,T251+1)*R251-ERP_i)*Q251*Ramure*Pc/MaxiM</f>
        <v>8.9902264580262383E-5</v>
      </c>
      <c r="Q251" s="304">
        <f t="shared" si="80"/>
        <v>0.5</v>
      </c>
      <c r="R251" s="176">
        <f t="shared" si="81"/>
        <v>0.10721335154679923</v>
      </c>
      <c r="S251" s="814">
        <f t="shared" si="82"/>
        <v>0</v>
      </c>
      <c r="T251" s="175">
        <f t="shared" si="83"/>
        <v>6</v>
      </c>
      <c r="U251" s="250">
        <f t="shared" si="84"/>
        <v>0.10721335154679923</v>
      </c>
      <c r="V251" s="382">
        <f t="shared" si="85"/>
        <v>49.345815514844233</v>
      </c>
      <c r="W251" s="401">
        <f t="shared" si="86"/>
        <v>32.495770662613232</v>
      </c>
      <c r="X251" s="157">
        <f t="shared" si="87"/>
        <v>46259</v>
      </c>
      <c r="Y251" s="384">
        <f t="shared" si="88"/>
        <v>30.931718878422977</v>
      </c>
      <c r="Z251" s="384">
        <f t="shared" si="89"/>
        <v>32.996674122974341</v>
      </c>
      <c r="AA251" s="385">
        <f t="shared" si="90"/>
        <v>35.263661405558835</v>
      </c>
      <c r="AB251" s="196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6.4286781128947992E-2</v>
      </c>
      <c r="AD251" s="230">
        <f>(INDEX(Models!$BJ251:$BT251,,AH251)*(1-AF251)+INDEX(Models!$BJ251:$BT251,,AH251+1)*AF251-ERP_i)*AE251*Ramure*Pc/MaxiM</f>
        <v>6.7189622604168597E-4</v>
      </c>
      <c r="AE251" s="304">
        <f t="shared" si="92"/>
        <v>0.5</v>
      </c>
      <c r="AF251" s="176">
        <f t="shared" si="93"/>
        <v>0.2222058913711864</v>
      </c>
      <c r="AG251" s="814">
        <f t="shared" si="99"/>
        <v>2</v>
      </c>
      <c r="AH251" s="175">
        <f t="shared" si="94"/>
        <v>8</v>
      </c>
      <c r="AI251" s="224">
        <f t="shared" si="95"/>
        <v>2.2222058913711864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10">
        <f>'2025'!Wh/'2025'!Env_an*'2026'!Env_an</f>
        <v>40.823866632029244</v>
      </c>
      <c r="C252" s="843"/>
      <c r="D252" s="392">
        <f t="shared" si="77"/>
        <v>43.550159490325399</v>
      </c>
      <c r="E252" s="384">
        <f t="shared" si="100"/>
        <v>44.319398949905548</v>
      </c>
      <c r="F252" s="384">
        <f t="shared" si="78"/>
        <v>44.322532523467487</v>
      </c>
      <c r="G252" s="110">
        <f t="shared" si="101"/>
        <v>0.82941953588275175</v>
      </c>
      <c r="H252" s="413" t="b">
        <f>Wh_hp&gt;='2025'!Maxi_hp</f>
        <v>0</v>
      </c>
      <c r="I252" s="389">
        <f>IF(H252,Wh_hp,'2025'!Maxi_hp)</f>
        <v>53.423762617483668</v>
      </c>
      <c r="J252" s="85">
        <f>IF(H252,An,'2025'!An_max)</f>
        <v>2018</v>
      </c>
      <c r="K252" s="196">
        <f t="shared" si="79"/>
        <v>46260</v>
      </c>
      <c r="L252" s="147">
        <f>IF(t&lt;Tvie,1-EXP((T0-t)*PertePVj)+'2025'!Pspv,1-EXP((T0-t)*PertePVj)+Pspv)</f>
        <v>6.2601214098924135E-2</v>
      </c>
      <c r="M252" s="847"/>
      <c r="N252" s="847"/>
      <c r="O252" s="48">
        <f>IF(t&lt;Tnet,'2025'!Resal+('2025'!Salim-'2025'!Resal)*(1-EXP(('2025'!Tnet-t)/('2025'!Tau_j))),Resal+(Salim-Resal)*(1-EXP((Tnet-t)/(Tau_j))))*Salcycl</f>
        <v>1.7356721386263086E-2</v>
      </c>
      <c r="P252" s="168">
        <f>(INDEX(Models!$BJ252:$BT252,,T252)*(1-R252)+INDEX(Models!$BJ252:$BT252,,T252+1)*R252-ERP_i)*Q252*Ramure*Pc/MaxiM</f>
        <v>9.3475523527408513E-5</v>
      </c>
      <c r="Q252" s="304">
        <f t="shared" si="80"/>
        <v>0.5</v>
      </c>
      <c r="R252" s="176">
        <f t="shared" si="81"/>
        <v>0.10770276314764143</v>
      </c>
      <c r="S252" s="814">
        <f t="shared" si="82"/>
        <v>0</v>
      </c>
      <c r="T252" s="175">
        <f t="shared" si="83"/>
        <v>6</v>
      </c>
      <c r="U252" s="250">
        <f t="shared" si="84"/>
        <v>0.10770276314764143</v>
      </c>
      <c r="V252" s="382">
        <f t="shared" si="85"/>
        <v>49.218682449702399</v>
      </c>
      <c r="W252" s="401">
        <f t="shared" si="86"/>
        <v>40.823866632029244</v>
      </c>
      <c r="X252" s="157">
        <f t="shared" si="87"/>
        <v>46260</v>
      </c>
      <c r="Y252" s="384">
        <f t="shared" si="88"/>
        <v>38.854873531396692</v>
      </c>
      <c r="Z252" s="384">
        <f t="shared" si="89"/>
        <v>41.449673410924454</v>
      </c>
      <c r="AA252" s="385">
        <f t="shared" si="90"/>
        <v>44.299195795733716</v>
      </c>
      <c r="AB252" s="196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6.4324472117927051E-2</v>
      </c>
      <c r="AD252" s="230">
        <f>(INDEX(Models!$BJ252:$BT252,,AH252)*(1-AF252)+INDEX(Models!$BJ252:$BT252,,AH252+1)*AF252-ERP_i)*AE252*Ramure*Pc/MaxiM</f>
        <v>6.9614221565568696E-4</v>
      </c>
      <c r="AE252" s="304">
        <f t="shared" si="92"/>
        <v>0.5</v>
      </c>
      <c r="AF252" s="176">
        <f t="shared" si="93"/>
        <v>0.22269530297202866</v>
      </c>
      <c r="AG252" s="814">
        <f t="shared" si="99"/>
        <v>2</v>
      </c>
      <c r="AH252" s="175">
        <f t="shared" si="94"/>
        <v>8</v>
      </c>
      <c r="AI252" s="224">
        <f t="shared" si="95"/>
        <v>2.2226953029720287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10">
        <f>'2025'!Wh/'2025'!Env_an*'2026'!Env_an</f>
        <v>48.098435452142944</v>
      </c>
      <c r="C253" s="843"/>
      <c r="D253" s="392">
        <f t="shared" si="77"/>
        <v>51.311659807092077</v>
      </c>
      <c r="E253" s="384">
        <f t="shared" si="100"/>
        <v>52.222815138679287</v>
      </c>
      <c r="F253" s="384">
        <f t="shared" si="78"/>
        <v>52.22775556968233</v>
      </c>
      <c r="G253" s="110">
        <f t="shared" si="101"/>
        <v>0.97982011133009506</v>
      </c>
      <c r="H253" s="413" t="b">
        <f>Wh_hp&gt;='2025'!Maxi_hp</f>
        <v>0</v>
      </c>
      <c r="I253" s="389">
        <f>IF(H253,Wh_hp,'2025'!Maxi_hp)</f>
        <v>52.471560857407106</v>
      </c>
      <c r="J253" s="85">
        <f>IF(H253,An,'2025'!An_max)</f>
        <v>2018</v>
      </c>
      <c r="K253" s="196">
        <f t="shared" si="79"/>
        <v>46261</v>
      </c>
      <c r="L253" s="147">
        <f>IF(t&lt;Tvie,1-EXP((T0-t)*PertePVj)+'2025'!Pspv,1-EXP((T0-t)*PertePVj)+Pspv)</f>
        <v>6.2621719255026215E-2</v>
      </c>
      <c r="M253" s="847"/>
      <c r="N253" s="847"/>
      <c r="O253" s="48">
        <f>IF(t&lt;Tnet,'2025'!Resal+('2025'!Salim-'2025'!Resal)*(1-EXP(('2025'!Tnet-t)/('2025'!Tau_j))),Resal+(Salim-Resal)*(1-EXP((Tnet-t)/(Tau_j))))*Salcycl</f>
        <v>1.7447457192179563E-2</v>
      </c>
      <c r="P253" s="168">
        <f>(INDEX(Models!$BJ253:$BT253,,T253)*(1-R253)+INDEX(Models!$BJ253:$BT253,,T253+1)*R253-ERP_i)*Q253*Ramure*Pc/MaxiM</f>
        <v>9.7401523443429766E-5</v>
      </c>
      <c r="Q253" s="304">
        <f t="shared" si="80"/>
        <v>0.5</v>
      </c>
      <c r="R253" s="176">
        <f t="shared" si="81"/>
        <v>0.10817403724878977</v>
      </c>
      <c r="S253" s="814">
        <f t="shared" si="82"/>
        <v>0</v>
      </c>
      <c r="T253" s="175">
        <f t="shared" si="83"/>
        <v>6</v>
      </c>
      <c r="U253" s="250">
        <f t="shared" si="84"/>
        <v>0.10817403724878977</v>
      </c>
      <c r="V253" s="382">
        <f t="shared" si="85"/>
        <v>49.088909121681432</v>
      </c>
      <c r="W253" s="401">
        <f t="shared" si="86"/>
        <v>48.098435452142944</v>
      </c>
      <c r="X253" s="157">
        <f t="shared" si="87"/>
        <v>46261</v>
      </c>
      <c r="Y253" s="384">
        <f t="shared" si="88"/>
        <v>45.774124372451269</v>
      </c>
      <c r="Z253" s="384">
        <f t="shared" si="89"/>
        <v>48.832072721028545</v>
      </c>
      <c r="AA253" s="385">
        <f t="shared" si="90"/>
        <v>52.191195286917861</v>
      </c>
      <c r="AB253" s="196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6.4361863096308661E-2</v>
      </c>
      <c r="AD253" s="230">
        <f>(INDEX(Models!$BJ253:$BT253,,AH253)*(1-AF253)+INDEX(Models!$BJ253:$BT253,,AH253+1)*AF253-ERP_i)*AE253*Ramure*Pc/MaxiM</f>
        <v>7.2079282892318275E-4</v>
      </c>
      <c r="AE253" s="304">
        <f t="shared" si="92"/>
        <v>0.5</v>
      </c>
      <c r="AF253" s="176">
        <f t="shared" si="93"/>
        <v>0.22316657707317722</v>
      </c>
      <c r="AG253" s="814">
        <f t="shared" si="99"/>
        <v>2</v>
      </c>
      <c r="AH253" s="175">
        <f t="shared" si="94"/>
        <v>8</v>
      </c>
      <c r="AI253" s="224">
        <f t="shared" si="95"/>
        <v>2.2231665770731772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10">
        <f>'2025'!Wh/'2025'!Env_an*'2026'!Env_an</f>
        <v>47.203630242641559</v>
      </c>
      <c r="C254" s="843"/>
      <c r="D254" s="392">
        <f t="shared" si="77"/>
        <v>50.358178541134322</v>
      </c>
      <c r="E254" s="384">
        <f t="shared" si="100"/>
        <v>51.257126559134356</v>
      </c>
      <c r="F254" s="384">
        <f t="shared" si="78"/>
        <v>51.262066649933516</v>
      </c>
      <c r="G254" s="110">
        <f t="shared" si="101"/>
        <v>0.96420209493382503</v>
      </c>
      <c r="H254" s="413" t="b">
        <f>Wh_hp&gt;='2025'!Maxi_hp</f>
        <v>0</v>
      </c>
      <c r="I254" s="389">
        <f>IF(H254,Wh_hp,'2025'!Maxi_hp)</f>
        <v>53.825007614477727</v>
      </c>
      <c r="J254" s="85">
        <f>IF(H254,An,'2025'!An_max)</f>
        <v>2021</v>
      </c>
      <c r="K254" s="196">
        <f t="shared" si="79"/>
        <v>46262</v>
      </c>
      <c r="L254" s="147">
        <f>IF(t&lt;Tvie,1-EXP((T0-t)*PertePVj)+'2025'!Pspv,1-EXP((T0-t)*PertePVj)+Pspv)</f>
        <v>6.2642223962012772E-2</v>
      </c>
      <c r="M254" s="847"/>
      <c r="N254" s="847"/>
      <c r="O254" s="48">
        <f>IF(t&lt;Tnet,'2025'!Resal+('2025'!Salim-'2025'!Resal)*(1-EXP(('2025'!Tnet-t)/('2025'!Tau_j))),Resal+(Salim-Resal)*(1-EXP((Tnet-t)/(Tau_j))))*Salcycl</f>
        <v>1.7538010386964089E-2</v>
      </c>
      <c r="P254" s="168">
        <f>(INDEX(Models!$BJ254:$BT254,,T254)*(1-R254)+INDEX(Models!$BJ254:$BT254,,T254+1)*R254-ERP_i)*Q254*Ramure*Pc/MaxiM</f>
        <v>1.0156249119335494E-4</v>
      </c>
      <c r="Q254" s="304">
        <f t="shared" si="80"/>
        <v>0.5</v>
      </c>
      <c r="R254" s="176">
        <f t="shared" si="81"/>
        <v>0.10862778752032565</v>
      </c>
      <c r="S254" s="814">
        <f t="shared" si="82"/>
        <v>0</v>
      </c>
      <c r="T254" s="175">
        <f t="shared" si="83"/>
        <v>6</v>
      </c>
      <c r="U254" s="250">
        <f t="shared" si="84"/>
        <v>0.10862778752032565</v>
      </c>
      <c r="V254" s="382">
        <f t="shared" si="85"/>
        <v>48.955903882363522</v>
      </c>
      <c r="W254" s="401">
        <f t="shared" si="86"/>
        <v>47.203630242641559</v>
      </c>
      <c r="X254" s="157">
        <f t="shared" si="87"/>
        <v>46262</v>
      </c>
      <c r="Y254" s="384">
        <f t="shared" si="88"/>
        <v>44.924685553691681</v>
      </c>
      <c r="Z254" s="384">
        <f t="shared" si="89"/>
        <v>47.926935373149419</v>
      </c>
      <c r="AA254" s="385">
        <f t="shared" si="90"/>
        <v>51.225824361454173</v>
      </c>
      <c r="AB254" s="196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6.4398943880873236E-2</v>
      </c>
      <c r="AD254" s="230">
        <f>(INDEX(Models!$BJ254:$BT254,,AH254)*(1-AF254)+INDEX(Models!$BJ254:$BT254,,AH254+1)*AF254-ERP_i)*AE254*Ramure*Pc/MaxiM</f>
        <v>7.4509907897608982E-4</v>
      </c>
      <c r="AE254" s="304">
        <f t="shared" si="92"/>
        <v>0.5</v>
      </c>
      <c r="AF254" s="176">
        <f t="shared" si="93"/>
        <v>0.22362032734471304</v>
      </c>
      <c r="AG254" s="814">
        <f t="shared" si="99"/>
        <v>2</v>
      </c>
      <c r="AH254" s="175">
        <f t="shared" si="94"/>
        <v>8</v>
      </c>
      <c r="AI254" s="224">
        <f t="shared" si="95"/>
        <v>2.223620327344713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10">
        <f>'2025'!Wh/'2025'!Env_an*'2026'!Env_an</f>
        <v>31.825500045478044</v>
      </c>
      <c r="C255" s="843"/>
      <c r="D255" s="392">
        <f t="shared" si="77"/>
        <v>33.9530935167423</v>
      </c>
      <c r="E255" s="384">
        <f t="shared" si="100"/>
        <v>34.562372049252701</v>
      </c>
      <c r="F255" s="384">
        <f t="shared" si="78"/>
        <v>34.564207340387121</v>
      </c>
      <c r="G255" s="110">
        <f t="shared" si="101"/>
        <v>0.65187267868765231</v>
      </c>
      <c r="H255" s="413" t="b">
        <f>Wh_hp&gt;='2025'!Maxi_hp</f>
        <v>0</v>
      </c>
      <c r="I255" s="389">
        <f>IF(H255,Wh_hp,'2025'!Maxi_hp)</f>
        <v>53.392910497519651</v>
      </c>
      <c r="J255" s="85">
        <f>IF(H255,An,'2025'!An_max)</f>
        <v>2021</v>
      </c>
      <c r="K255" s="196">
        <f t="shared" si="79"/>
        <v>46263</v>
      </c>
      <c r="L255" s="147">
        <f>IF(t&lt;Tvie,1-EXP((T0-t)*PertePVj)+'2025'!Pspv,1-EXP((T0-t)*PertePVj)+Pspv)</f>
        <v>6.2662728219893576E-2</v>
      </c>
      <c r="M255" s="847"/>
      <c r="N255" s="847"/>
      <c r="O255" s="48">
        <f>IF(t&lt;Tnet,'2025'!Resal+('2025'!Salim-'2025'!Resal)*(1-EXP(('2025'!Tnet-t)/('2025'!Tau_j))),Resal+(Salim-Resal)*(1-EXP((Tnet-t)/(Tau_j))))*Salcycl</f>
        <v>1.7628377231810339E-2</v>
      </c>
      <c r="P255" s="168">
        <f>(INDEX(Models!$BJ255:$BT255,,T255)*(1-R255)+INDEX(Models!$BJ255:$BT255,,T255+1)*R255-ERP_i)*Q255*Ramure*Pc/MaxiM</f>
        <v>1.0562059206244635E-4</v>
      </c>
      <c r="Q255" s="304">
        <f t="shared" si="80"/>
        <v>0.5</v>
      </c>
      <c r="R255" s="176">
        <f t="shared" si="81"/>
        <v>0.10906461134170242</v>
      </c>
      <c r="S255" s="814">
        <f t="shared" si="82"/>
        <v>0</v>
      </c>
      <c r="T255" s="175">
        <f t="shared" si="83"/>
        <v>6</v>
      </c>
      <c r="U255" s="250">
        <f t="shared" si="84"/>
        <v>0.10906461134170242</v>
      </c>
      <c r="V255" s="382">
        <f t="shared" si="85"/>
        <v>48.819086058053493</v>
      </c>
      <c r="W255" s="401">
        <f t="shared" si="86"/>
        <v>31.825500045478044</v>
      </c>
      <c r="X255" s="157">
        <f t="shared" si="87"/>
        <v>46263</v>
      </c>
      <c r="Y255" s="384">
        <f t="shared" si="88"/>
        <v>30.299015943916721</v>
      </c>
      <c r="Z255" s="384">
        <f t="shared" si="89"/>
        <v>32.324561133022655</v>
      </c>
      <c r="AA255" s="385">
        <f t="shared" si="90"/>
        <v>34.550870815502641</v>
      </c>
      <c r="AB255" s="196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6.443570393256369E-2</v>
      </c>
      <c r="AD255" s="230">
        <f>(INDEX(Models!$BJ255:$BT255,,AH255)*(1-AF255)+INDEX(Models!$BJ255:$BT255,,AH255+1)*AF255-ERP_i)*AE255*Ramure*Pc/MaxiM</f>
        <v>7.6751400796282014E-4</v>
      </c>
      <c r="AE255" s="304">
        <f t="shared" si="92"/>
        <v>0.5</v>
      </c>
      <c r="AF255" s="176">
        <f t="shared" si="93"/>
        <v>0.2240571511660896</v>
      </c>
      <c r="AG255" s="814">
        <f t="shared" si="99"/>
        <v>2</v>
      </c>
      <c r="AH255" s="175">
        <f t="shared" si="94"/>
        <v>8</v>
      </c>
      <c r="AI255" s="224">
        <f t="shared" si="95"/>
        <v>2.2240571511660896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10">
        <f>'2025'!Wh/'2025'!Env_an*'2026'!Env_an</f>
        <v>46.210785836816626</v>
      </c>
      <c r="C256" s="843"/>
      <c r="D256" s="392">
        <f t="shared" si="77"/>
        <v>49.301140677161676</v>
      </c>
      <c r="E256" s="384">
        <f t="shared" si="100"/>
        <v>50.190442738921668</v>
      </c>
      <c r="F256" s="384">
        <f t="shared" si="78"/>
        <v>50.195544735678467</v>
      </c>
      <c r="G256" s="110">
        <f t="shared" si="101"/>
        <v>0.94931084684709466</v>
      </c>
      <c r="H256" s="413" t="b">
        <f>Wh_hp&gt;='2025'!Maxi_hp</f>
        <v>0</v>
      </c>
      <c r="I256" s="389">
        <f>IF(H256,Wh_hp,'2025'!Maxi_hp)</f>
        <v>51.895427977541566</v>
      </c>
      <c r="J256" s="85">
        <f>IF(H256,An,'2025'!An_max)</f>
        <v>2021</v>
      </c>
      <c r="K256" s="196">
        <f t="shared" si="79"/>
        <v>46264</v>
      </c>
      <c r="L256" s="147">
        <f>IF(t&lt;Tvie,1-EXP((T0-t)*PertePVj)+'2025'!Pspv,1-EXP((T0-t)*PertePVj)+Pspv)</f>
        <v>6.2683232028678509E-2</v>
      </c>
      <c r="M256" s="847"/>
      <c r="N256" s="847"/>
      <c r="O256" s="48">
        <f>IF(t&lt;Tnet,'2025'!Resal+('2025'!Salim-'2025'!Resal)*(1-EXP(('2025'!Tnet-t)/('2025'!Tau_j))),Resal+(Salim-Resal)*(1-EXP((Tnet-t)/(Tau_j))))*Salcycl</f>
        <v>1.7718553836751801E-2</v>
      </c>
      <c r="P256" s="168">
        <f>(INDEX(Models!$BJ256:$BT256,,T256)*(1-R256)+INDEX(Models!$BJ256:$BT256,,T256+1)*R256-ERP_i)*Q256*Ramure*Pc/MaxiM</f>
        <v>1.0957597677637332E-4</v>
      </c>
      <c r="Q256" s="304">
        <f t="shared" si="80"/>
        <v>0.5</v>
      </c>
      <c r="R256" s="176">
        <f t="shared" si="81"/>
        <v>0.10948508987840727</v>
      </c>
      <c r="S256" s="814">
        <f t="shared" si="82"/>
        <v>0</v>
      </c>
      <c r="T256" s="175">
        <f t="shared" si="83"/>
        <v>6</v>
      </c>
      <c r="U256" s="250">
        <f t="shared" si="84"/>
        <v>0.10948508987840727</v>
      </c>
      <c r="V256" s="382">
        <f t="shared" si="85"/>
        <v>48.677858614214799</v>
      </c>
      <c r="W256" s="401">
        <f t="shared" si="86"/>
        <v>46.210785836816626</v>
      </c>
      <c r="X256" s="157">
        <f t="shared" si="87"/>
        <v>46264</v>
      </c>
      <c r="Y256" s="384">
        <f t="shared" si="88"/>
        <v>43.98359359438998</v>
      </c>
      <c r="Z256" s="384">
        <f t="shared" si="89"/>
        <v>46.925004542045833</v>
      </c>
      <c r="AA256" s="385">
        <f t="shared" si="90"/>
        <v>50.158852733393893</v>
      </c>
      <c r="AB256" s="196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6.4472132337968793E-2</v>
      </c>
      <c r="AD256" s="230">
        <f>(INDEX(Models!$BJ256:$BT256,,AH256)*(1-AF256)+INDEX(Models!$BJ256:$BT256,,AH256+1)*AF256-ERP_i)*AE256*Ramure*Pc/MaxiM</f>
        <v>7.8803695530635278E-4</v>
      </c>
      <c r="AE256" s="304">
        <f t="shared" si="92"/>
        <v>0.5</v>
      </c>
      <c r="AF256" s="176">
        <f t="shared" si="93"/>
        <v>0.22447762970279461</v>
      </c>
      <c r="AG256" s="814">
        <f t="shared" si="99"/>
        <v>2</v>
      </c>
      <c r="AH256" s="175">
        <f t="shared" si="94"/>
        <v>8</v>
      </c>
      <c r="AI256" s="224">
        <f t="shared" si="95"/>
        <v>2.2244776297027946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10">
        <f>'2025'!Wh/'2025'!Env_an*'2026'!Env_an</f>
        <v>21.748750760096367</v>
      </c>
      <c r="C257" s="843"/>
      <c r="D257" s="392">
        <f t="shared" si="77"/>
        <v>23.203710055441398</v>
      </c>
      <c r="E257" s="384">
        <f t="shared" si="100"/>
        <v>23.62442650900481</v>
      </c>
      <c r="F257" s="384">
        <f t="shared" si="78"/>
        <v>23.624993606072238</v>
      </c>
      <c r="G257" s="110">
        <f t="shared" si="101"/>
        <v>0.44809556506287196</v>
      </c>
      <c r="H257" s="413" t="b">
        <f>Wh_hp&gt;='2025'!Maxi_hp</f>
        <v>0</v>
      </c>
      <c r="I257" s="389">
        <f>IF(H257,Wh_hp,'2025'!Maxi_hp)</f>
        <v>51.83189151482037</v>
      </c>
      <c r="J257" s="85">
        <f>IF(H257,An,'2025'!An_max)</f>
        <v>2021</v>
      </c>
      <c r="K257" s="196">
        <f t="shared" si="79"/>
        <v>46265</v>
      </c>
      <c r="L257" s="147">
        <f>IF(t&lt;Tvie,1-EXP((T0-t)*PertePVj)+'2025'!Pspv,1-EXP((T0-t)*PertePVj)+Pspv)</f>
        <v>6.2703735388377452E-2</v>
      </c>
      <c r="M257" s="847"/>
      <c r="N257" s="847"/>
      <c r="O257" s="48">
        <f>IF(t&lt;Tnet,'2025'!Resal+('2025'!Salim-'2025'!Resal)*(1-EXP(('2025'!Tnet-t)/('2025'!Tau_j))),Resal+(Salim-Resal)*(1-EXP((Tnet-t)/(Tau_j))))*Salcycl</f>
        <v>1.7808536152318814E-2</v>
      </c>
      <c r="P257" s="168">
        <f>(INDEX(Models!$BJ257:$BT257,,T257)*(1-R257)+INDEX(Models!$BJ257:$BT257,,T257+1)*R257-ERP_i)*Q257*Ramure*Pc/MaxiM</f>
        <v>1.1342902060190527E-4</v>
      </c>
      <c r="Q257" s="304">
        <f t="shared" si="80"/>
        <v>0.5</v>
      </c>
      <c r="R257" s="176">
        <f t="shared" si="81"/>
        <v>0.10988978819222739</v>
      </c>
      <c r="S257" s="814">
        <f t="shared" si="82"/>
        <v>0</v>
      </c>
      <c r="T257" s="175">
        <f t="shared" si="83"/>
        <v>6</v>
      </c>
      <c r="U257" s="250">
        <f t="shared" si="84"/>
        <v>0.10988978819222739</v>
      </c>
      <c r="V257" s="382">
        <f t="shared" si="85"/>
        <v>48.531624789410444</v>
      </c>
      <c r="W257" s="401">
        <f t="shared" si="86"/>
        <v>21.748750760096367</v>
      </c>
      <c r="X257" s="157">
        <f t="shared" si="87"/>
        <v>46265</v>
      </c>
      <c r="Y257" s="384">
        <f t="shared" si="88"/>
        <v>20.71163664498043</v>
      </c>
      <c r="Z257" s="384">
        <f t="shared" si="89"/>
        <v>22.097214538204195</v>
      </c>
      <c r="AA257" s="385">
        <f t="shared" si="90"/>
        <v>23.620960609529476</v>
      </c>
      <c r="AB257" s="196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6.4508217786475294E-2</v>
      </c>
      <c r="AD257" s="230">
        <f>(INDEX(Models!$BJ257:$BT257,,AH257)*(1-AF257)+INDEX(Models!$BJ257:$BT257,,AH257+1)*AF257-ERP_i)*AE257*Ramure*Pc/MaxiM</f>
        <v>8.0666763101181469E-4</v>
      </c>
      <c r="AE257" s="304">
        <f t="shared" si="92"/>
        <v>0.5</v>
      </c>
      <c r="AF257" s="176">
        <f t="shared" si="93"/>
        <v>0.22488232801661479</v>
      </c>
      <c r="AG257" s="814">
        <f t="shared" si="99"/>
        <v>2</v>
      </c>
      <c r="AH257" s="175">
        <f t="shared" si="94"/>
        <v>8</v>
      </c>
      <c r="AI257" s="224">
        <f t="shared" si="95"/>
        <v>2.2248823280166148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10">
        <f>'2025'!Wh/'2025'!Env_an*'2026'!Env_an</f>
        <v>41.924563835714984</v>
      </c>
      <c r="C258" s="843"/>
      <c r="D258" s="392">
        <f t="shared" si="77"/>
        <v>44.730233671709236</v>
      </c>
      <c r="E258" s="384">
        <f t="shared" si="100"/>
        <v>45.54542017471104</v>
      </c>
      <c r="F258" s="384">
        <f t="shared" si="78"/>
        <v>45.549740311741168</v>
      </c>
      <c r="G258" s="110">
        <f t="shared" si="101"/>
        <v>0.86655252082564627</v>
      </c>
      <c r="H258" s="413" t="b">
        <f>Wh_hp&gt;='2025'!Maxi_hp</f>
        <v>0</v>
      </c>
      <c r="I258" s="389">
        <f>IF(H258,Wh_hp,'2025'!Maxi_hp)</f>
        <v>53.126958868503813</v>
      </c>
      <c r="J258" s="85">
        <f>IF(H258,An,'2025'!An_max)</f>
        <v>2018</v>
      </c>
      <c r="K258" s="196">
        <f t="shared" si="79"/>
        <v>46266</v>
      </c>
      <c r="L258" s="147">
        <f>IF(t&lt;Tvie,1-EXP((T0-t)*PertePVj)+'2025'!Pspv,1-EXP((T0-t)*PertePVj)+Pspv)</f>
        <v>6.2724238299000173E-2</v>
      </c>
      <c r="M258" s="847"/>
      <c r="N258" s="847"/>
      <c r="O258" s="48">
        <f>IF(t&lt;Tnet,'2025'!Resal+('2025'!Salim-'2025'!Resal)*(1-EXP(('2025'!Tnet-t)/('2025'!Tau_j))),Resal+(Salim-Resal)*(1-EXP((Tnet-t)/(Tau_j))))*Salcycl</f>
        <v>1.7898319960048061E-2</v>
      </c>
      <c r="P258" s="168">
        <f>(INDEX(Models!$BJ258:$BT258,,T258)*(1-R258)+INDEX(Models!$BJ258:$BT258,,T258+1)*R258-ERP_i)*Q258*Ramure*Pc/MaxiM</f>
        <v>1.1718030996473391E-4</v>
      </c>
      <c r="Q258" s="304">
        <f t="shared" si="80"/>
        <v>0.5</v>
      </c>
      <c r="R258" s="176">
        <f t="shared" si="81"/>
        <v>0.11027925538180028</v>
      </c>
      <c r="S258" s="814">
        <f t="shared" si="82"/>
        <v>0</v>
      </c>
      <c r="T258" s="175">
        <f t="shared" si="83"/>
        <v>6</v>
      </c>
      <c r="U258" s="250">
        <f t="shared" si="84"/>
        <v>0.11027925538180028</v>
      </c>
      <c r="V258" s="382">
        <f t="shared" si="85"/>
        <v>48.379788085971803</v>
      </c>
      <c r="W258" s="401">
        <f t="shared" si="86"/>
        <v>41.924563835714984</v>
      </c>
      <c r="X258" s="157">
        <f t="shared" si="87"/>
        <v>46266</v>
      </c>
      <c r="Y258" s="384">
        <f t="shared" si="88"/>
        <v>39.910497912052477</v>
      </c>
      <c r="Z258" s="384">
        <f t="shared" si="89"/>
        <v>42.581382708138698</v>
      </c>
      <c r="AA258" s="385">
        <f t="shared" si="90"/>
        <v>45.519383451371404</v>
      </c>
      <c r="AB258" s="196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6.4543948543841462E-2</v>
      </c>
      <c r="AD258" s="230">
        <f>(INDEX(Models!$BJ258:$BT258,,AH258)*(1-AF258)+INDEX(Models!$BJ258:$BT258,,AH258+1)*AF258-ERP_i)*AE258*Ramure*Pc/MaxiM</f>
        <v>8.2340589728465666E-4</v>
      </c>
      <c r="AE258" s="304">
        <f t="shared" si="92"/>
        <v>0.5</v>
      </c>
      <c r="AF258" s="176">
        <f t="shared" si="93"/>
        <v>0.22527179520618779</v>
      </c>
      <c r="AG258" s="814">
        <f t="shared" si="99"/>
        <v>2</v>
      </c>
      <c r="AH258" s="175">
        <f t="shared" si="94"/>
        <v>8</v>
      </c>
      <c r="AI258" s="224">
        <f t="shared" si="95"/>
        <v>2.2252717952061878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10">
        <f>'2025'!Wh/'2025'!Env_an*'2026'!Env_an</f>
        <v>38.45535406033401</v>
      </c>
      <c r="C259" s="843"/>
      <c r="D259" s="392">
        <f t="shared" si="77"/>
        <v>41.029755428141804</v>
      </c>
      <c r="E259" s="384">
        <f t="shared" si="100"/>
        <v>41.781313554241549</v>
      </c>
      <c r="F259" s="384">
        <f t="shared" si="78"/>
        <v>41.784901653361771</v>
      </c>
      <c r="G259" s="110">
        <f t="shared" si="101"/>
        <v>0.79744114909512753</v>
      </c>
      <c r="H259" s="413" t="b">
        <f>Wh_hp&gt;='2025'!Maxi_hp</f>
        <v>0</v>
      </c>
      <c r="I259" s="389">
        <f>IF(H259,Wh_hp,'2025'!Maxi_hp)</f>
        <v>50.943890407811566</v>
      </c>
      <c r="J259" s="85">
        <f>IF(H259,An,'2025'!An_max)</f>
        <v>2018</v>
      </c>
      <c r="K259" s="196">
        <f t="shared" si="79"/>
        <v>46267</v>
      </c>
      <c r="L259" s="147">
        <f>IF(t&lt;Tvie,1-EXP((T0-t)*PertePVj)+'2025'!Pspv,1-EXP((T0-t)*PertePVj)+Pspv)</f>
        <v>6.2744740760556555E-2</v>
      </c>
      <c r="M259" s="847"/>
      <c r="N259" s="847"/>
      <c r="O259" s="48">
        <f>IF(t&lt;Tnet,'2025'!Resal+('2025'!Salim-'2025'!Resal)*(1-EXP(('2025'!Tnet-t)/('2025'!Tau_j))),Resal+(Salim-Resal)*(1-EXP((Tnet-t)/(Tau_j))))*Salcycl</f>
        <v>1.7987900862045873E-2</v>
      </c>
      <c r="P259" s="168">
        <f>(INDEX(Models!$BJ259:$BT259,,T259)*(1-R259)+INDEX(Models!$BJ259:$BT259,,T259+1)*R259-ERP_i)*Q259*Ramure*Pc/MaxiM</f>
        <v>1.2083062942497296E-4</v>
      </c>
      <c r="Q259" s="304">
        <f t="shared" si="80"/>
        <v>0.5</v>
      </c>
      <c r="R259" s="176">
        <f t="shared" si="81"/>
        <v>0.11065402475032421</v>
      </c>
      <c r="S259" s="814">
        <f t="shared" si="82"/>
        <v>0</v>
      </c>
      <c r="T259" s="175">
        <f t="shared" si="83"/>
        <v>6</v>
      </c>
      <c r="U259" s="250">
        <f t="shared" si="84"/>
        <v>0.11065402475032421</v>
      </c>
      <c r="V259" s="382">
        <f t="shared" si="85"/>
        <v>48.221752279007774</v>
      </c>
      <c r="W259" s="401">
        <f t="shared" si="86"/>
        <v>38.45535406033401</v>
      </c>
      <c r="X259" s="157">
        <f t="shared" si="87"/>
        <v>46267</v>
      </c>
      <c r="Y259" s="384">
        <f t="shared" si="88"/>
        <v>36.612167933813176</v>
      </c>
      <c r="Z259" s="384">
        <f t="shared" si="89"/>
        <v>39.063176837783693</v>
      </c>
      <c r="AA259" s="385">
        <f t="shared" si="90"/>
        <v>41.760009540700963</v>
      </c>
      <c r="AB259" s="196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6.4579312423021049E-2</v>
      </c>
      <c r="AD259" s="230">
        <f>(INDEX(Models!$BJ259:$BT259,,AH259)*(1-AF259)+INDEX(Models!$BJ259:$BT259,,AH259+1)*AF259-ERP_i)*AE259*Ramure*Pc/MaxiM</f>
        <v>8.3825154761535674E-4</v>
      </c>
      <c r="AE259" s="304">
        <f t="shared" si="92"/>
        <v>0.5</v>
      </c>
      <c r="AF259" s="176">
        <f t="shared" si="93"/>
        <v>0.22564656457471166</v>
      </c>
      <c r="AG259" s="814">
        <f t="shared" si="99"/>
        <v>2</v>
      </c>
      <c r="AH259" s="175">
        <f t="shared" si="94"/>
        <v>8</v>
      </c>
      <c r="AI259" s="224">
        <f t="shared" si="95"/>
        <v>2.2256465645747117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10">
        <f>'2025'!Wh/'2025'!Env_an*'2026'!Env_an</f>
        <v>32.108337584092602</v>
      </c>
      <c r="C260" s="843"/>
      <c r="D260" s="392">
        <f t="shared" si="77"/>
        <v>34.258586054889378</v>
      </c>
      <c r="E260" s="384">
        <f t="shared" si="100"/>
        <v>34.889289306767388</v>
      </c>
      <c r="F260" s="384">
        <f t="shared" si="78"/>
        <v>34.891571640801722</v>
      </c>
      <c r="G260" s="110">
        <f t="shared" si="101"/>
        <v>0.66809198614570042</v>
      </c>
      <c r="H260" s="413" t="b">
        <f>Wh_hp&gt;='2025'!Maxi_hp</f>
        <v>0</v>
      </c>
      <c r="I260" s="389">
        <f>IF(H260,Wh_hp,'2025'!Maxi_hp)</f>
        <v>53.385719153898613</v>
      </c>
      <c r="J260" s="85">
        <f>IF(H260,An,'2025'!An_max)</f>
        <v>2019</v>
      </c>
      <c r="K260" s="196">
        <f t="shared" si="79"/>
        <v>46268</v>
      </c>
      <c r="L260" s="147">
        <f>IF(t&lt;Tvie,1-EXP((T0-t)*PertePVj)+'2025'!Pspv,1-EXP((T0-t)*PertePVj)+Pspv)</f>
        <v>6.2765242773056368E-2</v>
      </c>
      <c r="M260" s="847"/>
      <c r="N260" s="847"/>
      <c r="O260" s="48">
        <f>IF(t&lt;Tnet,'2025'!Resal+('2025'!Salim-'2025'!Resal)*(1-EXP(('2025'!Tnet-t)/('2025'!Tau_j))),Resal+(Salim-Resal)*(1-EXP((Tnet-t)/(Tau_j))))*Salcycl</f>
        <v>1.8077274269833604E-2</v>
      </c>
      <c r="P260" s="168">
        <f>(INDEX(Models!$BJ260:$BT260,,T260)*(1-R260)+INDEX(Models!$BJ260:$BT260,,T260+1)*R260-ERP_i)*Q260*Ramure*Pc/MaxiM</f>
        <v>1.2438094917298177E-4</v>
      </c>
      <c r="Q260" s="304">
        <f t="shared" si="80"/>
        <v>0.5</v>
      </c>
      <c r="R260" s="176">
        <f t="shared" si="81"/>
        <v>0.11101461399749951</v>
      </c>
      <c r="S260" s="814">
        <f t="shared" si="82"/>
        <v>0</v>
      </c>
      <c r="T260" s="175">
        <f t="shared" si="83"/>
        <v>6</v>
      </c>
      <c r="U260" s="250">
        <f t="shared" si="84"/>
        <v>0.11101461399749951</v>
      </c>
      <c r="V260" s="382">
        <f t="shared" si="85"/>
        <v>48.056921407724417</v>
      </c>
      <c r="W260" s="401">
        <f t="shared" si="86"/>
        <v>32.108337584092602</v>
      </c>
      <c r="X260" s="157">
        <f t="shared" si="87"/>
        <v>46268</v>
      </c>
      <c r="Y260" s="384">
        <f t="shared" si="88"/>
        <v>30.574910212331382</v>
      </c>
      <c r="Z260" s="384">
        <f t="shared" si="89"/>
        <v>32.62246729175444</v>
      </c>
      <c r="AA260" s="385">
        <f t="shared" si="90"/>
        <v>34.875952431726162</v>
      </c>
      <c r="AB260" s="196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6.4614296753133488E-2</v>
      </c>
      <c r="AD260" s="230">
        <f>(INDEX(Models!$BJ260:$BT260,,AH260)*(1-AF260)+INDEX(Models!$BJ260:$BT260,,AH260+1)*AF260-ERP_i)*AE260*Ramure*Pc/MaxiM</f>
        <v>8.5120408359231942E-4</v>
      </c>
      <c r="AE260" s="304">
        <f t="shared" si="92"/>
        <v>0.5</v>
      </c>
      <c r="AF260" s="176">
        <f t="shared" si="93"/>
        <v>0.22600715382188685</v>
      </c>
      <c r="AG260" s="814">
        <f t="shared" si="99"/>
        <v>2</v>
      </c>
      <c r="AH260" s="175">
        <f t="shared" si="94"/>
        <v>8</v>
      </c>
      <c r="AI260" s="224">
        <f t="shared" si="95"/>
        <v>2.2260071538218869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10">
        <f>'2025'!Wh/'2025'!Env_an*'2026'!Env_an</f>
        <v>46.5689944102986</v>
      </c>
      <c r="C261" s="843"/>
      <c r="D261" s="392">
        <f t="shared" si="77"/>
        <v>49.688738865085448</v>
      </c>
      <c r="E261" s="384">
        <f t="shared" si="100"/>
        <v>50.608107785519316</v>
      </c>
      <c r="F261" s="384">
        <f t="shared" si="78"/>
        <v>50.614323562827714</v>
      </c>
      <c r="G261" s="110">
        <f t="shared" si="101"/>
        <v>0.97249260103977408</v>
      </c>
      <c r="H261" s="413" t="b">
        <f>Wh_hp&gt;='2025'!Maxi_hp</f>
        <v>0</v>
      </c>
      <c r="I261" s="389">
        <f>IF(H261,Wh_hp,'2025'!Maxi_hp)</f>
        <v>53.038083158550982</v>
      </c>
      <c r="J261" s="85">
        <f>IF(H261,An,'2025'!An_max)</f>
        <v>2019</v>
      </c>
      <c r="K261" s="196">
        <f t="shared" si="79"/>
        <v>46269</v>
      </c>
      <c r="L261" s="147">
        <f>IF(t&lt;Tvie,1-EXP((T0-t)*PertePVj)+'2025'!Pspv,1-EXP((T0-t)*PertePVj)+Pspv)</f>
        <v>6.2785744336509602E-2</v>
      </c>
      <c r="M261" s="847"/>
      <c r="N261" s="847"/>
      <c r="O261" s="48">
        <f>IF(t&lt;Tnet,'2025'!Resal+('2025'!Salim-'2025'!Resal)*(1-EXP(('2025'!Tnet-t)/('2025'!Tau_j))),Resal+(Salim-Resal)*(1-EXP((Tnet-t)/(Tau_j))))*Salcycl</f>
        <v>1.8166435392728372E-2</v>
      </c>
      <c r="P261" s="168">
        <f>(INDEX(Models!$BJ261:$BT261,,T261)*(1-R261)+INDEX(Models!$BJ261:$BT261,,T261+1)*R261-ERP_i)*Q261*Ramure*Pc/MaxiM</f>
        <v>1.2782899797033365E-4</v>
      </c>
      <c r="Q261" s="304">
        <f t="shared" si="80"/>
        <v>0.5</v>
      </c>
      <c r="R261" s="176">
        <f t="shared" si="81"/>
        <v>0.11136152543295808</v>
      </c>
      <c r="S261" s="814">
        <f t="shared" si="82"/>
        <v>0</v>
      </c>
      <c r="T261" s="175">
        <f t="shared" si="83"/>
        <v>6</v>
      </c>
      <c r="U261" s="250">
        <f t="shared" si="84"/>
        <v>0.11136152543295808</v>
      </c>
      <c r="V261" s="382">
        <f t="shared" si="85"/>
        <v>47.885979232884637</v>
      </c>
      <c r="W261" s="401">
        <f t="shared" si="86"/>
        <v>46.5689944102986</v>
      </c>
      <c r="X261" s="157">
        <f t="shared" si="87"/>
        <v>46269</v>
      </c>
      <c r="Y261" s="384">
        <f t="shared" si="88"/>
        <v>44.332996571763829</v>
      </c>
      <c r="Z261" s="384">
        <f t="shared" si="89"/>
        <v>47.302947329134234</v>
      </c>
      <c r="AA261" s="385">
        <f t="shared" si="90"/>
        <v>50.572396546966161</v>
      </c>
      <c r="AB261" s="196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6.464888834753188E-2</v>
      </c>
      <c r="AD261" s="230">
        <f>(INDEX(Models!$BJ261:$BT261,,AH261)*(1-AF261)+INDEX(Models!$BJ261:$BT261,,AH261+1)*AF261-ERP_i)*AE261*Ramure*Pc/MaxiM</f>
        <v>8.6223945285629955E-4</v>
      </c>
      <c r="AE261" s="304">
        <f t="shared" si="92"/>
        <v>0.5</v>
      </c>
      <c r="AF261" s="176">
        <f t="shared" si="93"/>
        <v>0.22635406525734547</v>
      </c>
      <c r="AG261" s="814">
        <f t="shared" si="99"/>
        <v>2</v>
      </c>
      <c r="AH261" s="175">
        <f t="shared" si="94"/>
        <v>8</v>
      </c>
      <c r="AI261" s="224">
        <f t="shared" si="95"/>
        <v>2.2263540652573455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10">
        <f>'2025'!Wh/'2025'!Env_an*'2026'!Env_an</f>
        <v>39.368207341629947</v>
      </c>
      <c r="C262" s="843"/>
      <c r="D262" s="392">
        <f t="shared" si="77"/>
        <v>42.006476409535779</v>
      </c>
      <c r="E262" s="384">
        <f t="shared" si="100"/>
        <v>42.787579906900469</v>
      </c>
      <c r="F262" s="384">
        <f t="shared" si="78"/>
        <v>42.791790750175586</v>
      </c>
      <c r="G262" s="110">
        <f t="shared" si="101"/>
        <v>0.82512797729760667</v>
      </c>
      <c r="H262" s="413" t="b">
        <f>Wh_hp&gt;='2025'!Maxi_hp</f>
        <v>0</v>
      </c>
      <c r="I262" s="389">
        <f>IF(H262,Wh_hp,'2025'!Maxi_hp)</f>
        <v>52.253818490500642</v>
      </c>
      <c r="J262" s="85">
        <f>IF(H262,An,'2025'!An_max)</f>
        <v>2020</v>
      </c>
      <c r="K262" s="196">
        <f t="shared" si="79"/>
        <v>46270</v>
      </c>
      <c r="L262" s="147">
        <f>IF(t&lt;Tvie,1-EXP((T0-t)*PertePVj)+'2025'!Pspv,1-EXP((T0-t)*PertePVj)+Pspv)</f>
        <v>6.2806245450925807E-2</v>
      </c>
      <c r="M262" s="847"/>
      <c r="N262" s="847"/>
      <c r="O262" s="48">
        <f>IF(t&lt;Tnet,'2025'!Resal+('2025'!Salim-'2025'!Resal)*(1-EXP(('2025'!Tnet-t)/('2025'!Tau_j))),Resal+(Salim-Resal)*(1-EXP((Tnet-t)/(Tau_j))))*Salcycl</f>
        <v>1.8255379226033742E-2</v>
      </c>
      <c r="P262" s="168">
        <f>(INDEX(Models!$BJ262:$BT262,,T262)*(1-R262)+INDEX(Models!$BJ262:$BT262,,T262+1)*R262-ERP_i)*Q262*Ramure*Pc/MaxiM</f>
        <v>1.3116535532517362E-4</v>
      </c>
      <c r="Q262" s="304">
        <f t="shared" si="80"/>
        <v>0.5</v>
      </c>
      <c r="R262" s="176">
        <f t="shared" si="81"/>
        <v>0.1116952462086212</v>
      </c>
      <c r="S262" s="814">
        <f t="shared" si="82"/>
        <v>0</v>
      </c>
      <c r="T262" s="175">
        <f t="shared" si="83"/>
        <v>6</v>
      </c>
      <c r="U262" s="250">
        <f t="shared" si="84"/>
        <v>0.1116952462086212</v>
      </c>
      <c r="V262" s="382">
        <f t="shared" si="85"/>
        <v>47.710074685513106</v>
      </c>
      <c r="W262" s="401">
        <f t="shared" si="86"/>
        <v>39.368207341629947</v>
      </c>
      <c r="X262" s="157">
        <f t="shared" si="87"/>
        <v>46270</v>
      </c>
      <c r="Y262" s="384">
        <f t="shared" si="88"/>
        <v>37.485616184531651</v>
      </c>
      <c r="Z262" s="384">
        <f t="shared" si="89"/>
        <v>39.997722992261785</v>
      </c>
      <c r="AA262" s="385">
        <f t="shared" si="90"/>
        <v>42.763818185923583</v>
      </c>
      <c r="AB262" s="196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6.468307347196392E-2</v>
      </c>
      <c r="AD262" s="230">
        <f>(INDEX(Models!$BJ262:$BT262,,AH262)*(1-AF262)+INDEX(Models!$BJ262:$BT262,,AH262+1)*AF262-ERP_i)*AE262*Ramure*Pc/MaxiM</f>
        <v>8.7132934895655257E-4</v>
      </c>
      <c r="AE262" s="304">
        <f t="shared" si="92"/>
        <v>0.5</v>
      </c>
      <c r="AF262" s="176">
        <f t="shared" si="93"/>
        <v>0.22668778603300854</v>
      </c>
      <c r="AG262" s="814">
        <f t="shared" si="99"/>
        <v>2</v>
      </c>
      <c r="AH262" s="175">
        <f t="shared" si="94"/>
        <v>8</v>
      </c>
      <c r="AI262" s="224">
        <f t="shared" si="95"/>
        <v>2.2266877860330085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10">
        <f>'2025'!Wh/'2025'!Env_an*'2026'!Env_an</f>
        <v>44.647111627666959</v>
      </c>
      <c r="C263" s="843"/>
      <c r="D263" s="392">
        <f t="shared" si="77"/>
        <v>47.64018973295223</v>
      </c>
      <c r="E263" s="384">
        <f t="shared" si="100"/>
        <v>48.530436947535662</v>
      </c>
      <c r="F263" s="384">
        <f t="shared" si="78"/>
        <v>48.536394985053406</v>
      </c>
      <c r="G263" s="110">
        <f t="shared" si="101"/>
        <v>0.93934864101898086</v>
      </c>
      <c r="H263" s="413" t="b">
        <f>Wh_hp&gt;='2025'!Maxi_hp</f>
        <v>0</v>
      </c>
      <c r="I263" s="389">
        <f>IF(H263,Wh_hp,'2025'!Maxi_hp)</f>
        <v>54.048993300295933</v>
      </c>
      <c r="J263" s="85">
        <f>IF(H263,An,'2025'!An_max)</f>
        <v>2019</v>
      </c>
      <c r="K263" s="196">
        <f t="shared" si="79"/>
        <v>46271</v>
      </c>
      <c r="L263" s="147">
        <f>IF(t&lt;Tvie,1-EXP((T0-t)*PertePVj)+'2025'!Pspv,1-EXP((T0-t)*PertePVj)+Pspv)</f>
        <v>6.2826746116315085E-2</v>
      </c>
      <c r="M263" s="847"/>
      <c r="N263" s="847"/>
      <c r="O263" s="48">
        <f>IF(t&lt;Tnet,'2025'!Resal+('2025'!Salim-'2025'!Resal)*(1-EXP(('2025'!Tnet-t)/('2025'!Tau_j))),Resal+(Salim-Resal)*(1-EXP((Tnet-t)/(Tau_j))))*Salcycl</f>
        <v>1.8344100539334579E-2</v>
      </c>
      <c r="P263" s="168">
        <f>(INDEX(Models!$BJ263:$BT263,,T263)*(1-R263)+INDEX(Models!$BJ263:$BT263,,T263+1)*R263-ERP_i)*Q263*Ramure*Pc/MaxiM</f>
        <v>1.343966926014687E-4</v>
      </c>
      <c r="Q263" s="304">
        <f t="shared" si="80"/>
        <v>0.5</v>
      </c>
      <c r="R263" s="176">
        <f t="shared" si="81"/>
        <v>0.11201624856760017</v>
      </c>
      <c r="S263" s="814">
        <f t="shared" si="82"/>
        <v>0</v>
      </c>
      <c r="T263" s="175">
        <f t="shared" si="83"/>
        <v>6</v>
      </c>
      <c r="U263" s="250">
        <f t="shared" si="84"/>
        <v>0.11201624856760017</v>
      </c>
      <c r="V263" s="382">
        <f t="shared" si="85"/>
        <v>47.529308930110417</v>
      </c>
      <c r="W263" s="401">
        <f t="shared" si="86"/>
        <v>44.647111627666959</v>
      </c>
      <c r="X263" s="157">
        <f t="shared" si="87"/>
        <v>46271</v>
      </c>
      <c r="Y263" s="384">
        <f t="shared" si="88"/>
        <v>42.509050651933322</v>
      </c>
      <c r="Z263" s="384">
        <f t="shared" si="89"/>
        <v>45.358796226603836</v>
      </c>
      <c r="AA263" s="385">
        <f t="shared" si="90"/>
        <v>48.497394222923269</v>
      </c>
      <c r="AB263" s="196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6.4716837813853276E-2</v>
      </c>
      <c r="AD263" s="230">
        <f>(INDEX(Models!$BJ263:$BT263,,AH263)*(1-AF263)+INDEX(Models!$BJ263:$BT263,,AH263+1)*AF263-ERP_i)*AE263*Ramure*Pc/MaxiM</f>
        <v>8.7974831034821552E-4</v>
      </c>
      <c r="AE263" s="304">
        <f t="shared" si="92"/>
        <v>0.5</v>
      </c>
      <c r="AF263" s="176">
        <f t="shared" si="93"/>
        <v>0.22700878839198779</v>
      </c>
      <c r="AG263" s="814">
        <f t="shared" si="99"/>
        <v>2</v>
      </c>
      <c r="AH263" s="175">
        <f t="shared" si="94"/>
        <v>8</v>
      </c>
      <c r="AI263" s="224">
        <f t="shared" si="95"/>
        <v>2.2270087883919878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10">
        <f>'2025'!Wh/'2025'!Env_an*'2026'!Env_an</f>
        <v>34.737463745719658</v>
      </c>
      <c r="C264" s="843"/>
      <c r="D264" s="392">
        <f t="shared" si="77"/>
        <v>37.06702414284468</v>
      </c>
      <c r="E264" s="384">
        <f t="shared" si="100"/>
        <v>37.763095953651089</v>
      </c>
      <c r="F264" s="384">
        <f t="shared" si="78"/>
        <v>37.766314041463616</v>
      </c>
      <c r="G264" s="110">
        <f t="shared" si="101"/>
        <v>0.73368970304466696</v>
      </c>
      <c r="H264" s="413" t="b">
        <f>Wh_hp&gt;='2025'!Maxi_hp</f>
        <v>0</v>
      </c>
      <c r="I264" s="389">
        <f>IF(H264,Wh_hp,'2025'!Maxi_hp)</f>
        <v>52.847504684614634</v>
      </c>
      <c r="J264" s="85">
        <f>IF(H264,An,'2025'!An_max)</f>
        <v>2019</v>
      </c>
      <c r="K264" s="196">
        <f t="shared" si="79"/>
        <v>46272</v>
      </c>
      <c r="L264" s="147">
        <f>IF(t&lt;Tvie,1-EXP((T0-t)*PertePVj)+'2025'!Pspv,1-EXP((T0-t)*PertePVj)+Pspv)</f>
        <v>6.2847246332687207E-2</v>
      </c>
      <c r="M264" s="847"/>
      <c r="N264" s="847"/>
      <c r="O264" s="48">
        <f>IF(t&lt;Tnet,'2025'!Resal+('2025'!Salim-'2025'!Resal)*(1-EXP(('2025'!Tnet-t)/('2025'!Tau_j))),Resal+(Salim-Resal)*(1-EXP((Tnet-t)/(Tau_j))))*Salcycl</f>
        <v>1.843259386520478E-2</v>
      </c>
      <c r="P264" s="168">
        <f>(INDEX(Models!$BJ264:$BT264,,T264)*(1-R264)+INDEX(Models!$BJ264:$BT264,,T264+1)*R264-ERP_i)*Q264*Ramure*Pc/MaxiM</f>
        <v>1.3752250725943541E-4</v>
      </c>
      <c r="Q264" s="304">
        <f t="shared" si="80"/>
        <v>0.5</v>
      </c>
      <c r="R264" s="176">
        <f t="shared" si="81"/>
        <v>0.11232499010742275</v>
      </c>
      <c r="S264" s="814">
        <f t="shared" si="82"/>
        <v>0</v>
      </c>
      <c r="T264" s="175">
        <f t="shared" si="83"/>
        <v>6</v>
      </c>
      <c r="U264" s="250">
        <f t="shared" si="84"/>
        <v>0.11232499010742275</v>
      </c>
      <c r="V264" s="382">
        <f t="shared" si="85"/>
        <v>47.343783429788211</v>
      </c>
      <c r="W264" s="401">
        <f t="shared" si="86"/>
        <v>34.737463745719658</v>
      </c>
      <c r="X264" s="157">
        <f t="shared" si="87"/>
        <v>46272</v>
      </c>
      <c r="Y264" s="384">
        <f t="shared" si="88"/>
        <v>33.082912911778216</v>
      </c>
      <c r="Z264" s="384">
        <f t="shared" si="89"/>
        <v>35.301515982657591</v>
      </c>
      <c r="AA264" s="385">
        <f t="shared" si="90"/>
        <v>37.74554639459528</v>
      </c>
      <c r="AB264" s="196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6.4750166453747343E-2</v>
      </c>
      <c r="AD264" s="230">
        <f>(INDEX(Models!$BJ264:$BT264,,AH264)*(1-AF264)+INDEX(Models!$BJ264:$BT264,,AH264+1)*AF264-ERP_i)*AE264*Ramure*Pc/MaxiM</f>
        <v>8.8748941408409849E-4</v>
      </c>
      <c r="AE264" s="304">
        <f t="shared" si="92"/>
        <v>0.5</v>
      </c>
      <c r="AF264" s="176">
        <f t="shared" si="93"/>
        <v>0.2273175299318102</v>
      </c>
      <c r="AG264" s="814">
        <f t="shared" si="99"/>
        <v>2</v>
      </c>
      <c r="AH264" s="175">
        <f t="shared" si="94"/>
        <v>8</v>
      </c>
      <c r="AI264" s="224">
        <f t="shared" si="95"/>
        <v>2.2273175299318102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10">
        <f>'2025'!Wh/'2025'!Env_an*'2026'!Env_an</f>
        <v>38.039263959438131</v>
      </c>
      <c r="C265" s="843"/>
      <c r="D265" s="392">
        <f t="shared" si="77"/>
        <v>40.591137271324087</v>
      </c>
      <c r="E265" s="384">
        <f t="shared" si="100"/>
        <v>41.357106175515312</v>
      </c>
      <c r="F265" s="384">
        <f t="shared" si="78"/>
        <v>41.361314044267544</v>
      </c>
      <c r="G265" s="110">
        <f t="shared" si="101"/>
        <v>0.80667834289491569</v>
      </c>
      <c r="H265" s="413" t="b">
        <f>Wh_hp&gt;='2025'!Maxi_hp</f>
        <v>0</v>
      </c>
      <c r="I265" s="389">
        <f>IF(H265,Wh_hp,'2025'!Maxi_hp)</f>
        <v>46.460443083143332</v>
      </c>
      <c r="J265" s="85">
        <f>IF(H265,An,'2025'!An_max)</f>
        <v>2018</v>
      </c>
      <c r="K265" s="196">
        <f t="shared" si="79"/>
        <v>46273</v>
      </c>
      <c r="L265" s="147">
        <f>IF(t&lt;Tvie,1-EXP((T0-t)*PertePVj)+'2025'!Pspv,1-EXP((T0-t)*PertePVj)+Pspv)</f>
        <v>6.2867746100051941E-2</v>
      </c>
      <c r="M265" s="847"/>
      <c r="N265" s="847"/>
      <c r="O265" s="48">
        <f>IF(t&lt;Tnet,'2025'!Resal+('2025'!Salim-'2025'!Resal)*(1-EXP(('2025'!Tnet-t)/('2025'!Tau_j))),Resal+(Salim-Resal)*(1-EXP((Tnet-t)/(Tau_j))))*Salcycl</f>
        <v>1.8520853488649066E-2</v>
      </c>
      <c r="P265" s="168">
        <f>(INDEX(Models!$BJ265:$BT265,,T265)*(1-R265)+INDEX(Models!$BJ265:$BT265,,T265+1)*R265-ERP_i)*Q265*Ramure*Pc/MaxiM</f>
        <v>1.4054219105570642E-4</v>
      </c>
      <c r="Q265" s="304">
        <f t="shared" si="80"/>
        <v>0.5</v>
      </c>
      <c r="R265" s="176">
        <f t="shared" si="81"/>
        <v>0.11262191405553024</v>
      </c>
      <c r="S265" s="814">
        <f t="shared" si="82"/>
        <v>0</v>
      </c>
      <c r="T265" s="175">
        <f t="shared" si="83"/>
        <v>6</v>
      </c>
      <c r="U265" s="250">
        <f t="shared" si="84"/>
        <v>0.11262191405553024</v>
      </c>
      <c r="V265" s="382">
        <f t="shared" si="85"/>
        <v>47.15359960351612</v>
      </c>
      <c r="W265" s="401">
        <f t="shared" si="86"/>
        <v>38.039263959438131</v>
      </c>
      <c r="X265" s="157">
        <f t="shared" si="87"/>
        <v>46273</v>
      </c>
      <c r="Y265" s="384">
        <f t="shared" si="88"/>
        <v>36.226491370401142</v>
      </c>
      <c r="Z265" s="384">
        <f t="shared" si="89"/>
        <v>38.656754390473502</v>
      </c>
      <c r="AA265" s="385">
        <f t="shared" si="90"/>
        <v>41.33453113296558</v>
      </c>
      <c r="AB265" s="196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6.4783043839983581E-2</v>
      </c>
      <c r="AD265" s="230">
        <f>(INDEX(Models!$BJ265:$BT265,,AH265)*(1-AF265)+INDEX(Models!$BJ265:$BT265,,AH265+1)*AF265-ERP_i)*AE265*Ramure*Pc/MaxiM</f>
        <v>8.9454525767493332E-4</v>
      </c>
      <c r="AE265" s="304">
        <f t="shared" si="92"/>
        <v>0.5</v>
      </c>
      <c r="AF265" s="176">
        <f t="shared" si="93"/>
        <v>0.22761445387991763</v>
      </c>
      <c r="AG265" s="814">
        <f t="shared" si="99"/>
        <v>2</v>
      </c>
      <c r="AH265" s="175">
        <f t="shared" si="94"/>
        <v>8</v>
      </c>
      <c r="AI265" s="224">
        <f t="shared" si="95"/>
        <v>2.2276144538799176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10">
        <f>'2025'!Wh/'2025'!Env_an*'2026'!Env_an</f>
        <v>21.176245679220962</v>
      </c>
      <c r="C266" s="843"/>
      <c r="D266" s="392">
        <f t="shared" si="77"/>
        <v>22.597353598105414</v>
      </c>
      <c r="E266" s="384">
        <f t="shared" si="100"/>
        <v>23.025838512784613</v>
      </c>
      <c r="F266" s="384">
        <f t="shared" si="78"/>
        <v>23.026550855251475</v>
      </c>
      <c r="G266" s="110">
        <f t="shared" si="101"/>
        <v>0.45090241538328474</v>
      </c>
      <c r="H266" s="413" t="b">
        <f>Wh_hp&gt;='2025'!Maxi_hp</f>
        <v>0</v>
      </c>
      <c r="I266" s="389">
        <f>IF(H266,Wh_hp,'2025'!Maxi_hp)</f>
        <v>49.540166553764124</v>
      </c>
      <c r="J266" s="85">
        <f>IF(H266,An,'2025'!An_max)</f>
        <v>2020</v>
      </c>
      <c r="K266" s="196">
        <f t="shared" si="79"/>
        <v>46274</v>
      </c>
      <c r="L266" s="147">
        <f>IF(t&lt;Tvie,1-EXP((T0-t)*PertePVj)+'2025'!Pspv,1-EXP((T0-t)*PertePVj)+Pspv)</f>
        <v>6.288824541841917E-2</v>
      </c>
      <c r="M266" s="847"/>
      <c r="N266" s="847"/>
      <c r="O266" s="48">
        <f>IF(t&lt;Tnet,'2025'!Resal+('2025'!Salim-'2025'!Resal)*(1-EXP(('2025'!Tnet-t)/('2025'!Tau_j))),Resal+(Salim-Resal)*(1-EXP((Tnet-t)/(Tau_j))))*Salcycl</f>
        <v>1.8608873437607549E-2</v>
      </c>
      <c r="P266" s="168">
        <f>(INDEX(Models!$BJ266:$BT266,,T266)*(1-R266)+INDEX(Models!$BJ266:$BT266,,T266+1)*R266-ERP_i)*Q266*Ramure*Pc/MaxiM</f>
        <v>1.4345503086680237E-4</v>
      </c>
      <c r="Q266" s="304">
        <f t="shared" si="80"/>
        <v>0.5</v>
      </c>
      <c r="R266" s="176">
        <f t="shared" si="81"/>
        <v>0.11290744955514337</v>
      </c>
      <c r="S266" s="814">
        <f t="shared" si="82"/>
        <v>0</v>
      </c>
      <c r="T266" s="175">
        <f t="shared" si="83"/>
        <v>6</v>
      </c>
      <c r="U266" s="250">
        <f t="shared" si="84"/>
        <v>0.11290744955514337</v>
      </c>
      <c r="V266" s="382">
        <f t="shared" si="85"/>
        <v>46.958858826498187</v>
      </c>
      <c r="W266" s="401">
        <f t="shared" si="86"/>
        <v>21.176245679220962</v>
      </c>
      <c r="X266" s="157">
        <f t="shared" si="87"/>
        <v>46274</v>
      </c>
      <c r="Y266" s="384">
        <f t="shared" si="88"/>
        <v>20.175913843470799</v>
      </c>
      <c r="Z266" s="384">
        <f t="shared" si="89"/>
        <v>21.529890906639324</v>
      </c>
      <c r="AA266" s="385">
        <f t="shared" si="90"/>
        <v>23.022077293062345</v>
      </c>
      <c r="AB266" s="196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6.4815453767618519E-2</v>
      </c>
      <c r="AD266" s="230">
        <f>(INDEX(Models!$BJ266:$BT266,,AH266)*(1-AF266)+INDEX(Models!$BJ266:$BT266,,AH266+1)*AF266-ERP_i)*AE266*Ramure*Pc/MaxiM</f>
        <v>9.0090796461167097E-4</v>
      </c>
      <c r="AE266" s="304">
        <f t="shared" si="92"/>
        <v>0.5</v>
      </c>
      <c r="AF266" s="176">
        <f t="shared" si="93"/>
        <v>0.2278999893795306</v>
      </c>
      <c r="AG266" s="814">
        <f t="shared" si="99"/>
        <v>2</v>
      </c>
      <c r="AH266" s="175">
        <f t="shared" si="94"/>
        <v>8</v>
      </c>
      <c r="AI266" s="224">
        <f t="shared" si="95"/>
        <v>2.2278999893795306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10">
        <f>'2025'!Wh/'2025'!Env_an*'2026'!Env_an</f>
        <v>44.735554907344913</v>
      </c>
      <c r="C267" s="843"/>
      <c r="D267" s="392">
        <f t="shared" si="77"/>
        <v>47.73873903384716</v>
      </c>
      <c r="E267" s="384">
        <f t="shared" si="100"/>
        <v>48.648299132987965</v>
      </c>
      <c r="F267" s="384">
        <f t="shared" si="78"/>
        <v>48.654975354079284</v>
      </c>
      <c r="G267" s="110">
        <f t="shared" si="101"/>
        <v>0.95670387485828989</v>
      </c>
      <c r="H267" s="413" t="b">
        <f>Wh_hp&gt;='2025'!Maxi_hp</f>
        <v>0</v>
      </c>
      <c r="I267" s="389">
        <f>IF(H267,Wh_hp,'2025'!Maxi_hp)</f>
        <v>48.655215644026455</v>
      </c>
      <c r="J267" s="85">
        <f>IF(H267,An,'2025'!An_max)</f>
        <v>2025</v>
      </c>
      <c r="K267" s="196">
        <f t="shared" si="79"/>
        <v>46275</v>
      </c>
      <c r="L267" s="147">
        <f>IF(t&lt;Tvie,1-EXP((T0-t)*PertePVj)+'2025'!Pspv,1-EXP((T0-t)*PertePVj)+Pspv)</f>
        <v>6.2908744287798662E-2</v>
      </c>
      <c r="M267" s="847"/>
      <c r="N267" s="847"/>
      <c r="O267" s="48">
        <f>IF(t&lt;Tnet,'2025'!Resal+('2025'!Salim-'2025'!Resal)*(1-EXP(('2025'!Tnet-t)/('2025'!Tau_j))),Resal+(Salim-Resal)*(1-EXP((Tnet-t)/(Tau_j))))*Salcycl</f>
        <v>1.8696647474855659E-2</v>
      </c>
      <c r="P267" s="168">
        <f>(INDEX(Models!$BJ267:$BT267,,T267)*(1-R267)+INDEX(Models!$BJ267:$BT267,,T267+1)*R267-ERP_i)*Q267*Ramure*Pc/MaxiM</f>
        <v>1.4626020960114994E-4</v>
      </c>
      <c r="Q267" s="304">
        <f t="shared" si="80"/>
        <v>0.5</v>
      </c>
      <c r="R267" s="176">
        <f t="shared" si="81"/>
        <v>0.11318201195974226</v>
      </c>
      <c r="S267" s="814">
        <f t="shared" si="82"/>
        <v>0</v>
      </c>
      <c r="T267" s="175">
        <f t="shared" si="83"/>
        <v>6</v>
      </c>
      <c r="U267" s="250">
        <f t="shared" si="84"/>
        <v>0.11318201195974226</v>
      </c>
      <c r="V267" s="382">
        <f t="shared" si="85"/>
        <v>46.75966243192395</v>
      </c>
      <c r="W267" s="401">
        <f t="shared" si="86"/>
        <v>44.735554907344913</v>
      </c>
      <c r="X267" s="157">
        <f t="shared" si="87"/>
        <v>46275</v>
      </c>
      <c r="Y267" s="384">
        <f t="shared" si="88"/>
        <v>42.601227171422863</v>
      </c>
      <c r="Z267" s="384">
        <f t="shared" si="89"/>
        <v>45.461129758430395</v>
      </c>
      <c r="AA267" s="385">
        <f t="shared" si="90"/>
        <v>48.613593925926452</v>
      </c>
      <c r="AB267" s="196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6.4847379362643509E-2</v>
      </c>
      <c r="AD267" s="230">
        <f>(INDEX(Models!$BJ267:$BT267,,AH267)*(1-AF267)+INDEX(Models!$BJ267:$BT267,,AH267+1)*AF267-ERP_i)*AE267*Ramure*Pc/MaxiM</f>
        <v>9.0656919122961317E-4</v>
      </c>
      <c r="AE267" s="304">
        <f t="shared" si="92"/>
        <v>0.5</v>
      </c>
      <c r="AF267" s="176">
        <f t="shared" si="93"/>
        <v>0.2281745517841296</v>
      </c>
      <c r="AG267" s="814">
        <f t="shared" si="99"/>
        <v>2</v>
      </c>
      <c r="AH267" s="175">
        <f t="shared" si="94"/>
        <v>8</v>
      </c>
      <c r="AI267" s="224">
        <f t="shared" si="95"/>
        <v>2.2281745517841296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10">
        <f>'2025'!Wh/'2025'!Env_an*'2026'!Env_an</f>
        <v>45.261370081195523</v>
      </c>
      <c r="C268" s="843"/>
      <c r="D268" s="392">
        <f t="shared" si="77"/>
        <v>48.300909754140733</v>
      </c>
      <c r="E268" s="384">
        <f t="shared" si="100"/>
        <v>49.225571207331399</v>
      </c>
      <c r="F268" s="384">
        <f t="shared" si="78"/>
        <v>49.232604948124497</v>
      </c>
      <c r="G268" s="110">
        <f t="shared" si="101"/>
        <v>0.97218373205036401</v>
      </c>
      <c r="H268" s="413" t="b">
        <f>Wh_hp&gt;='2025'!Maxi_hp</f>
        <v>0</v>
      </c>
      <c r="I268" s="389">
        <f>IF(H268,Wh_hp,'2025'!Maxi_hp)</f>
        <v>49.232763508160232</v>
      </c>
      <c r="J268" s="85">
        <f>IF(H268,An,'2025'!An_max)</f>
        <v>2025</v>
      </c>
      <c r="K268" s="196">
        <f t="shared" si="79"/>
        <v>46276</v>
      </c>
      <c r="L268" s="147">
        <f>IF(t&lt;Tvie,1-EXP((T0-t)*PertePVj)+'2025'!Pspv,1-EXP((T0-t)*PertePVj)+Pspv)</f>
        <v>6.2929242708200411E-2</v>
      </c>
      <c r="M268" s="847"/>
      <c r="N268" s="847"/>
      <c r="O268" s="48">
        <f>IF(t&lt;Tnet,'2025'!Resal+('2025'!Salim-'2025'!Resal)*(1-EXP(('2025'!Tnet-t)/('2025'!Tau_j))),Resal+(Salim-Resal)*(1-EXP((Tnet-t)/(Tau_j))))*Salcycl</f>
        <v>1.878416909163165E-2</v>
      </c>
      <c r="P268" s="168">
        <f>(INDEX(Models!$BJ268:$BT268,,T268)*(1-R268)+INDEX(Models!$BJ268:$BT268,,T268+1)*R268-ERP_i)*Q268*Ramure*Pc/MaxiM</f>
        <v>1.4877839642223783E-4</v>
      </c>
      <c r="Q268" s="304">
        <f t="shared" si="80"/>
        <v>0.5</v>
      </c>
      <c r="R268" s="176">
        <f t="shared" si="81"/>
        <v>0.11344600313454428</v>
      </c>
      <c r="S268" s="814">
        <f t="shared" si="82"/>
        <v>0</v>
      </c>
      <c r="T268" s="175">
        <f t="shared" si="83"/>
        <v>6</v>
      </c>
      <c r="U268" s="250">
        <f t="shared" si="84"/>
        <v>0.11344600313454428</v>
      </c>
      <c r="V268" s="382">
        <f t="shared" si="85"/>
        <v>46.556120018298245</v>
      </c>
      <c r="W268" s="401">
        <f t="shared" si="86"/>
        <v>45.261370081195523</v>
      </c>
      <c r="X268" s="157">
        <f t="shared" si="87"/>
        <v>46276</v>
      </c>
      <c r="Y268" s="384">
        <f t="shared" si="88"/>
        <v>43.10355704713038</v>
      </c>
      <c r="Z268" s="384">
        <f t="shared" si="89"/>
        <v>45.998188196270995</v>
      </c>
      <c r="AA268" s="385">
        <f t="shared" si="90"/>
        <v>49.1895471382797</v>
      </c>
      <c r="AB268" s="196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6.4878803072475677E-2</v>
      </c>
      <c r="AD268" s="230">
        <f>(INDEX(Models!$BJ268:$BT268,,AH268)*(1-AF268)+INDEX(Models!$BJ268:$BT268,,AH268+1)*AF268-ERP_i)*AE268*Ramure*Pc/MaxiM</f>
        <v>9.1076314732142641E-4</v>
      </c>
      <c r="AE268" s="304">
        <f t="shared" si="92"/>
        <v>0.5</v>
      </c>
      <c r="AF268" s="176">
        <f t="shared" si="93"/>
        <v>0.22843854295893173</v>
      </c>
      <c r="AG268" s="814">
        <f t="shared" si="99"/>
        <v>2</v>
      </c>
      <c r="AH268" s="175">
        <f t="shared" si="94"/>
        <v>8</v>
      </c>
      <c r="AI268" s="224">
        <f t="shared" si="95"/>
        <v>2.2284385429589317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10">
        <f>'2025'!Wh/'2025'!Env_an*'2026'!Env_an</f>
        <v>31.698645827597776</v>
      </c>
      <c r="C269" s="843"/>
      <c r="D269" s="392">
        <f t="shared" si="77"/>
        <v>33.828117021800431</v>
      </c>
      <c r="E269" s="384">
        <f t="shared" si="100"/>
        <v>34.478780975293631</v>
      </c>
      <c r="F269" s="384">
        <f t="shared" si="78"/>
        <v>34.481639168460084</v>
      </c>
      <c r="G269" s="110">
        <f t="shared" si="101"/>
        <v>0.68387543917422611</v>
      </c>
      <c r="H269" s="413" t="b">
        <f>Wh_hp&gt;='2025'!Maxi_hp</f>
        <v>0</v>
      </c>
      <c r="I269" s="389">
        <f>IF(H269,Wh_hp,'2025'!Maxi_hp)</f>
        <v>50.900576803696573</v>
      </c>
      <c r="J269" s="85">
        <f>IF(H269,An,'2025'!An_max)</f>
        <v>2019</v>
      </c>
      <c r="K269" s="196">
        <f t="shared" si="79"/>
        <v>46277</v>
      </c>
      <c r="L269" s="147">
        <f>IF(t&lt;Tvie,1-EXP((T0-t)*PertePVj)+'2025'!Pspv,1-EXP((T0-t)*PertePVj)+Pspv)</f>
        <v>6.2949740679634075E-2</v>
      </c>
      <c r="M269" s="847"/>
      <c r="N269" s="847"/>
      <c r="O269" s="48">
        <f>IF(t&lt;Tnet,'2025'!Resal+('2025'!Salim-'2025'!Resal)*(1-EXP(('2025'!Tnet-t)/('2025'!Tau_j))),Resal+(Salim-Resal)*(1-EXP((Tnet-t)/(Tau_j))))*Salcycl</f>
        <v>1.8871431503319179E-2</v>
      </c>
      <c r="P269" s="168">
        <f>(INDEX(Models!$BJ269:$BT269,,T269)*(1-R269)+INDEX(Models!$BJ269:$BT269,,T269+1)*R269-ERP_i)*Q269*Ramure*Pc/MaxiM</f>
        <v>1.5113274958143387E-4</v>
      </c>
      <c r="Q269" s="304">
        <f t="shared" si="80"/>
        <v>0.5</v>
      </c>
      <c r="R269" s="176">
        <f t="shared" si="81"/>
        <v>0.11369981176349647</v>
      </c>
      <c r="S269" s="814">
        <f t="shared" si="82"/>
        <v>0</v>
      </c>
      <c r="T269" s="175">
        <f t="shared" si="83"/>
        <v>6</v>
      </c>
      <c r="U269" s="250">
        <f t="shared" si="84"/>
        <v>0.11369981176349647</v>
      </c>
      <c r="V269" s="382">
        <f t="shared" si="85"/>
        <v>46.348326960067588</v>
      </c>
      <c r="W269" s="401">
        <f t="shared" si="86"/>
        <v>31.698645827597776</v>
      </c>
      <c r="X269" s="157">
        <f t="shared" si="87"/>
        <v>46277</v>
      </c>
      <c r="Y269" s="384">
        <f t="shared" si="88"/>
        <v>30.198579164258355</v>
      </c>
      <c r="Z269" s="384">
        <f t="shared" si="89"/>
        <v>32.227277954291495</v>
      </c>
      <c r="AA269" s="385">
        <f t="shared" si="90"/>
        <v>34.464348720065232</v>
      </c>
      <c r="AB269" s="196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6.4909706663666203E-2</v>
      </c>
      <c r="AD269" s="230">
        <f>(INDEX(Models!$BJ269:$BT269,,AH269)*(1-AF269)+INDEX(Models!$BJ269:$BT269,,AH269+1)*AF269-ERP_i)*AE269*Ramure*Pc/MaxiM</f>
        <v>9.1426746032381419E-4</v>
      </c>
      <c r="AE269" s="304">
        <f t="shared" si="92"/>
        <v>0.5</v>
      </c>
      <c r="AF269" s="176">
        <f t="shared" si="93"/>
        <v>0.22869235158788381</v>
      </c>
      <c r="AG269" s="814">
        <f t="shared" si="99"/>
        <v>2</v>
      </c>
      <c r="AH269" s="175">
        <f t="shared" si="94"/>
        <v>8</v>
      </c>
      <c r="AI269" s="224">
        <f t="shared" si="95"/>
        <v>2.2286923515878838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10">
        <f>'2025'!Wh/'2025'!Env_an*'2026'!Env_an</f>
        <v>11.239746488897021</v>
      </c>
      <c r="C270" s="843"/>
      <c r="D270" s="392">
        <f t="shared" si="77"/>
        <v>11.995079502417493</v>
      </c>
      <c r="E270" s="384">
        <f t="shared" si="100"/>
        <v>12.226881959399329</v>
      </c>
      <c r="F270" s="384">
        <f t="shared" si="78"/>
        <v>12.226881959399329</v>
      </c>
      <c r="G270" s="110">
        <f t="shared" si="101"/>
        <v>0.24358265881509472</v>
      </c>
      <c r="H270" s="413" t="b">
        <f>Wh_hp&gt;='2025'!Maxi_hp</f>
        <v>0</v>
      </c>
      <c r="I270" s="389">
        <f>IF(H270,Wh_hp,'2025'!Maxi_hp)</f>
        <v>48.380443853441712</v>
      </c>
      <c r="J270" s="85">
        <f>IF(H270,An,'2025'!An_max)</f>
        <v>2020</v>
      </c>
      <c r="K270" s="196">
        <f t="shared" si="79"/>
        <v>46278</v>
      </c>
      <c r="L270" s="147">
        <f>IF(t&lt;Tvie,1-EXP((T0-t)*PertePVj)+'2025'!Pspv,1-EXP((T0-t)*PertePVj)+Pspv)</f>
        <v>6.2970238202109535E-2</v>
      </c>
      <c r="M270" s="847"/>
      <c r="N270" s="847"/>
      <c r="O270" s="48">
        <f>IF(t&lt;Tnet,'2025'!Resal+('2025'!Salim-'2025'!Resal)*(1-EXP(('2025'!Tnet-t)/('2025'!Tau_j))),Resal+(Salim-Resal)*(1-EXP((Tnet-t)/(Tau_j))))*Salcycl</f>
        <v>1.8958427647503339E-2</v>
      </c>
      <c r="P270" s="168">
        <f>(INDEX(Models!$BJ270:$BT270,,T270)*(1-R270)+INDEX(Models!$BJ270:$BT270,,T270+1)*R270-ERP_i)*Q270*Ramure*Pc/MaxiM</f>
        <v>1.5332132734652561E-4</v>
      </c>
      <c r="Q270" s="304">
        <f t="shared" si="80"/>
        <v>0.5</v>
      </c>
      <c r="R270" s="176">
        <f t="shared" si="81"/>
        <v>0.11394381366042255</v>
      </c>
      <c r="S270" s="814">
        <f t="shared" si="82"/>
        <v>0</v>
      </c>
      <c r="T270" s="175">
        <f t="shared" si="83"/>
        <v>6</v>
      </c>
      <c r="U270" s="250">
        <f t="shared" si="84"/>
        <v>0.11394381366042255</v>
      </c>
      <c r="V270" s="382">
        <f t="shared" si="85"/>
        <v>46.13638446477902</v>
      </c>
      <c r="W270" s="401">
        <f t="shared" si="86"/>
        <v>11.239746488897021</v>
      </c>
      <c r="X270" s="157">
        <f t="shared" si="87"/>
        <v>46278</v>
      </c>
      <c r="Y270" s="384">
        <f t="shared" si="88"/>
        <v>10.712936992185288</v>
      </c>
      <c r="Z270" s="384">
        <f t="shared" si="89"/>
        <v>11.432867374063173</v>
      </c>
      <c r="AA270" s="385">
        <f t="shared" si="90"/>
        <v>12.226881959399329</v>
      </c>
      <c r="AB270" s="196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6.4940071227706772E-2</v>
      </c>
      <c r="AD270" s="230">
        <f>(INDEX(Models!$BJ270:$BT270,,AH270)*(1-AF270)+INDEX(Models!$BJ270:$BT270,,AH270+1)*AF270-ERP_i)*AE270*Ramure*Pc/MaxiM</f>
        <v>9.170731166652054E-4</v>
      </c>
      <c r="AE270" s="304">
        <f t="shared" si="92"/>
        <v>0.5</v>
      </c>
      <c r="AF270" s="176">
        <f t="shared" si="93"/>
        <v>0.2289363534848099</v>
      </c>
      <c r="AG270" s="814">
        <f t="shared" si="99"/>
        <v>2</v>
      </c>
      <c r="AH270" s="175">
        <f t="shared" si="94"/>
        <v>8</v>
      </c>
      <c r="AI270" s="224">
        <f t="shared" si="95"/>
        <v>2.2289363534848099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10">
        <f>'2025'!Wh/'2025'!Env_an*'2026'!Env_an</f>
        <v>37.298368508775376</v>
      </c>
      <c r="C271" s="843"/>
      <c r="D271" s="392">
        <f t="shared" ref="D271:D334" si="102">Wh/(1-Ppv)</f>
        <v>39.805762774125085</v>
      </c>
      <c r="E271" s="384">
        <f t="shared" si="100"/>
        <v>40.578588078360767</v>
      </c>
      <c r="F271" s="384">
        <f t="shared" ref="F271:F334" si="103">Wh_sa/(1-Pvg*MEDIAN((-Sdif+Wh/Env_an)/Csdif,0,1))</f>
        <v>40.583201367501033</v>
      </c>
      <c r="G271" s="110">
        <f t="shared" si="101"/>
        <v>0.81220588974286889</v>
      </c>
      <c r="H271" s="413" t="b">
        <f>Wh_hp&gt;='2025'!Maxi_hp</f>
        <v>0</v>
      </c>
      <c r="I271" s="389">
        <f>IF(H271,Wh_hp,'2025'!Maxi_hp)</f>
        <v>48.09542285224876</v>
      </c>
      <c r="J271" s="85">
        <f>IF(H271,An,'2025'!An_max)</f>
        <v>2020</v>
      </c>
      <c r="K271" s="196">
        <f t="shared" ref="K271:K334" si="104">t</f>
        <v>46279</v>
      </c>
      <c r="L271" s="147">
        <f>IF(t&lt;Tvie,1-EXP((T0-t)*PertePVj)+'2025'!Pspv,1-EXP((T0-t)*PertePVj)+Pspv)</f>
        <v>6.2990735275636672E-2</v>
      </c>
      <c r="M271" s="847"/>
      <c r="N271" s="847"/>
      <c r="O271" s="48">
        <f>IF(t&lt;Tnet,'2025'!Resal+('2025'!Salim-'2025'!Resal)*(1-EXP(('2025'!Tnet-t)/('2025'!Tau_j))),Resal+(Salim-Resal)*(1-EXP((Tnet-t)/(Tau_j))))*Salcycl</f>
        <v>1.9045150184705421E-2</v>
      </c>
      <c r="P271" s="168">
        <f>(INDEX(Models!$BJ271:$BT271,,T271)*(1-R271)+INDEX(Models!$BJ271:$BT271,,T271+1)*R271-ERP_i)*Q271*Ramure*Pc/MaxiM</f>
        <v>1.5534209073453205E-4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0.1141783720830839</v>
      </c>
      <c r="S271" s="814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0.1141783720830839</v>
      </c>
      <c r="V271" s="382">
        <f t="shared" ref="V271:V334" si="110">MaxiM*(1-Ppv)*(1-Pvg)*(1-Psa)</f>
        <v>45.920393686909001</v>
      </c>
      <c r="W271" s="401">
        <f t="shared" ref="W271:W334" si="111">Wh*(A271&gt;Tmaj)</f>
        <v>37.298368508775376</v>
      </c>
      <c r="X271" s="157">
        <f t="shared" ref="X271:X334" si="112">t</f>
        <v>46279</v>
      </c>
      <c r="Y271" s="384">
        <f t="shared" ref="Y271:Y334" si="113">Wh_pvt_s*(1-Ppv)</f>
        <v>35.532320905084106</v>
      </c>
      <c r="Z271" s="384">
        <f t="shared" ref="Z271:Z334" si="114">Wh_sa_s*(1-Psa_s)</f>
        <v>37.920992078489775</v>
      </c>
      <c r="AA271" s="385">
        <f t="shared" ref="AA271:AA334" si="115">Wh_hp*(1-Pvg_s*MEDIAN((-Sdif+Wh/Env_an)/Csdif,0,1))</f>
        <v>40.55590419350407</v>
      </c>
      <c r="AB271" s="196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6.4969877195743389E-2</v>
      </c>
      <c r="AD271" s="230">
        <f>(INDEX(Models!$BJ271:$BT271,,AH271)*(1-AF271)+INDEX(Models!$BJ271:$BT271,,AH271+1)*AF271-ERP_i)*AE271*Ramure*Pc/MaxiM</f>
        <v>9.1917067213963765E-4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0.22917091190747119</v>
      </c>
      <c r="AG271" s="814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2.2291709119074712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10">
        <f>'2025'!Wh/'2025'!Env_an*'2026'!Env_an</f>
        <v>40.969261835651857</v>
      </c>
      <c r="C272" s="843"/>
      <c r="D272" s="392">
        <f t="shared" si="102"/>
        <v>43.724389480930547</v>
      </c>
      <c r="E272" s="384">
        <f t="shared" si="100"/>
        <v>44.57722269584486</v>
      </c>
      <c r="F272" s="384">
        <f t="shared" si="103"/>
        <v>44.583194388772455</v>
      </c>
      <c r="G272" s="110">
        <f t="shared" si="101"/>
        <v>0.89645296952774134</v>
      </c>
      <c r="H272" s="413" t="b">
        <f>Wh_hp&gt;='2025'!Maxi_hp</f>
        <v>0</v>
      </c>
      <c r="I272" s="389">
        <f>IF(H272,Wh_hp,'2025'!Maxi_hp)</f>
        <v>48.958278323972046</v>
      </c>
      <c r="J272" s="85">
        <f>IF(H272,An,'2025'!An_max)</f>
        <v>2020</v>
      </c>
      <c r="K272" s="196">
        <f t="shared" si="104"/>
        <v>46280</v>
      </c>
      <c r="L272" s="147">
        <f>IF(t&lt;Tvie,1-EXP((T0-t)*PertePVj)+'2025'!Pspv,1-EXP((T0-t)*PertePVj)+Pspv)</f>
        <v>6.3011231900225367E-2</v>
      </c>
      <c r="M272" s="847"/>
      <c r="N272" s="847"/>
      <c r="O272" s="48">
        <f>IF(t&lt;Tnet,'2025'!Resal+('2025'!Salim-'2025'!Resal)*(1-EXP(('2025'!Tnet-t)/('2025'!Tau_j))),Resal+(Salim-Resal)*(1-EXP((Tnet-t)/(Tau_j))))*Salcycl</f>
        <v>1.9131591502083566E-2</v>
      </c>
      <c r="P272" s="168">
        <f>(INDEX(Models!$BJ272:$BT272,,T272)*(1-R272)+INDEX(Models!$BJ272:$BT272,,T272+1)*R272-ERP_i)*Q272*Ramure*Pc/MaxiM</f>
        <v>1.5719290615661411E-4</v>
      </c>
      <c r="Q272" s="304">
        <f t="shared" si="105"/>
        <v>0.5</v>
      </c>
      <c r="R272" s="176">
        <f t="shared" si="106"/>
        <v>0.11440383804902271</v>
      </c>
      <c r="S272" s="814">
        <f t="shared" si="107"/>
        <v>0</v>
      </c>
      <c r="T272" s="175">
        <f t="shared" si="108"/>
        <v>6</v>
      </c>
      <c r="U272" s="250">
        <f t="shared" si="109"/>
        <v>0.11440383804902271</v>
      </c>
      <c r="V272" s="382">
        <f t="shared" si="110"/>
        <v>45.700455738674812</v>
      </c>
      <c r="W272" s="401">
        <f t="shared" si="111"/>
        <v>40.969261835651857</v>
      </c>
      <c r="X272" s="157">
        <f t="shared" si="112"/>
        <v>46280</v>
      </c>
      <c r="Y272" s="384">
        <f t="shared" si="113"/>
        <v>39.028045036008457</v>
      </c>
      <c r="Z272" s="384">
        <f t="shared" si="114"/>
        <v>41.652628467636639</v>
      </c>
      <c r="AA272" s="385">
        <f t="shared" si="115"/>
        <v>44.548223068017407</v>
      </c>
      <c r="AB272" s="196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6.4999104362921431E-2</v>
      </c>
      <c r="AD272" s="230">
        <f>(INDEX(Models!$BJ272:$BT272,,AH272)*(1-AF272)+INDEX(Models!$BJ272:$BT272,,AH272+1)*AF272-ERP_i)*AE272*Ramure*Pc/MaxiM</f>
        <v>9.2055027079793596E-4</v>
      </c>
      <c r="AE272" s="304">
        <f t="shared" si="117"/>
        <v>0.5</v>
      </c>
      <c r="AF272" s="176">
        <f t="shared" si="118"/>
        <v>0.22939637787341027</v>
      </c>
      <c r="AG272" s="814">
        <f t="shared" ref="AG272:AG335" si="124">INDEX(Echel_vg,AH272)</f>
        <v>2</v>
      </c>
      <c r="AH272" s="175">
        <f t="shared" si="119"/>
        <v>8</v>
      </c>
      <c r="AI272" s="224">
        <f t="shared" si="120"/>
        <v>2.2293963778734103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10">
        <f>'2025'!Wh/'2025'!Env_an*'2026'!Env_an</f>
        <v>27.277259770077805</v>
      </c>
      <c r="C273" s="843"/>
      <c r="D273" s="392">
        <f t="shared" si="102"/>
        <v>29.112255545283819</v>
      </c>
      <c r="E273" s="384">
        <f t="shared" si="100"/>
        <v>29.682689872178418</v>
      </c>
      <c r="F273" s="384">
        <f t="shared" si="103"/>
        <v>29.684709743671494</v>
      </c>
      <c r="G273" s="110">
        <f t="shared" si="101"/>
        <v>0.59975325966540627</v>
      </c>
      <c r="H273" s="413" t="b">
        <f>Wh_hp&gt;='2025'!Maxi_hp</f>
        <v>0</v>
      </c>
      <c r="I273" s="389">
        <f>IF(H273,Wh_hp,'2025'!Maxi_hp)</f>
        <v>47.140487034967791</v>
      </c>
      <c r="J273" s="85">
        <f>IF(H273,An,'2025'!An_max)</f>
        <v>2018</v>
      </c>
      <c r="K273" s="196">
        <f t="shared" si="104"/>
        <v>46281</v>
      </c>
      <c r="L273" s="147">
        <f>IF(t&lt;Tvie,1-EXP((T0-t)*PertePVj)+'2025'!Pspv,1-EXP((T0-t)*PertePVj)+Pspv)</f>
        <v>6.3031728075885279E-2</v>
      </c>
      <c r="M273" s="847"/>
      <c r="N273" s="847"/>
      <c r="O273" s="48">
        <f>IF(t&lt;Tnet,'2025'!Resal+('2025'!Salim-'2025'!Resal)*(1-EXP(('2025'!Tnet-t)/('2025'!Tau_j))),Resal+(Salim-Resal)*(1-EXP((Tnet-t)/(Tau_j))))*Salcycl</f>
        <v>1.9217743720365037E-2</v>
      </c>
      <c r="P273" s="168">
        <f>(INDEX(Models!$BJ273:$BT273,,T273)*(1-R273)+INDEX(Models!$BJ273:$BT273,,T273+1)*R273-ERP_i)*Q273*Ramure*Pc/MaxiM</f>
        <v>1.588715487134375E-4</v>
      </c>
      <c r="Q273" s="304">
        <f t="shared" si="105"/>
        <v>0.5</v>
      </c>
      <c r="R273" s="176">
        <f t="shared" si="106"/>
        <v>0.11462055065216009</v>
      </c>
      <c r="S273" s="814">
        <f t="shared" si="107"/>
        <v>0</v>
      </c>
      <c r="T273" s="175">
        <f t="shared" si="108"/>
        <v>6</v>
      </c>
      <c r="U273" s="250">
        <f t="shared" si="109"/>
        <v>0.11462055065216009</v>
      </c>
      <c r="V273" s="382">
        <f t="shared" si="110"/>
        <v>45.476671681201829</v>
      </c>
      <c r="W273" s="401">
        <f t="shared" si="111"/>
        <v>27.277259770077805</v>
      </c>
      <c r="X273" s="157">
        <f t="shared" si="112"/>
        <v>46281</v>
      </c>
      <c r="Y273" s="384">
        <f t="shared" si="113"/>
        <v>25.994713635508102</v>
      </c>
      <c r="Z273" s="384">
        <f t="shared" si="114"/>
        <v>27.743429969220369</v>
      </c>
      <c r="AA273" s="385">
        <f t="shared" si="115"/>
        <v>29.672997709634004</v>
      </c>
      <c r="AB273" s="196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6.5027731922991952E-2</v>
      </c>
      <c r="AD273" s="230">
        <f>(INDEX(Models!$BJ273:$BT273,,AH273)*(1-AF273)+INDEX(Models!$BJ273:$BT273,,AH273+1)*AF273-ERP_i)*AE273*Ramure*Pc/MaxiM</f>
        <v>9.2120166678759505E-4</v>
      </c>
      <c r="AE273" s="304">
        <f t="shared" si="117"/>
        <v>0.5</v>
      </c>
      <c r="AF273" s="176">
        <f t="shared" si="118"/>
        <v>0.22961309047654765</v>
      </c>
      <c r="AG273" s="814">
        <f t="shared" si="124"/>
        <v>2</v>
      </c>
      <c r="AH273" s="175">
        <f t="shared" si="119"/>
        <v>8</v>
      </c>
      <c r="AI273" s="224">
        <f t="shared" si="120"/>
        <v>2.2296130904765477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10">
        <f>'2025'!Wh/'2025'!Env_an*'2026'!Env_an</f>
        <v>47.171537935730541</v>
      </c>
      <c r="C274" s="843"/>
      <c r="D274" s="392">
        <f t="shared" si="102"/>
        <v>50.345962853103117</v>
      </c>
      <c r="E274" s="384">
        <f t="shared" si="100"/>
        <v>51.336950749062851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Wh_hp&gt;='2025'!Maxi_hp</f>
        <v>1</v>
      </c>
      <c r="I274" s="389">
        <f>IF(H274,Wh_hp,'2025'!Maxi_hp)</f>
        <v>51.345185269403622</v>
      </c>
      <c r="J274" s="85">
        <f>IF(H274,An,'2025'!An_max)</f>
        <v>2026</v>
      </c>
      <c r="K274" s="196">
        <f t="shared" si="104"/>
        <v>46282</v>
      </c>
      <c r="L274" s="147">
        <f>IF(t&lt;Tvie,1-EXP((T0-t)*PertePVj)+'2025'!Pspv,1-EXP((T0-t)*PertePVj)+Pspv)</f>
        <v>6.30522238026264E-2</v>
      </c>
      <c r="M274" s="847"/>
      <c r="N274" s="847"/>
      <c r="O274" s="48">
        <f>IF(t&lt;Tnet,'2025'!Resal+('2025'!Salim-'2025'!Resal)*(1-EXP(('2025'!Tnet-t)/('2025'!Tau_j))),Resal+(Salim-Resal)*(1-EXP((Tnet-t)/(Tau_j))))*Salcycl</f>
        <v>1.9303598704249542E-2</v>
      </c>
      <c r="P274" s="168">
        <f>(INDEX(Models!$BJ274:$BT274,,T274)*(1-R274)+INDEX(Models!$BJ274:$BT274,,T274+1)*R274-ERP_i)*Q274*Ramure*Pc/MaxiM</f>
        <v>1.6037570606797057E-4</v>
      </c>
      <c r="Q274" s="304">
        <f t="shared" si="105"/>
        <v>0.5</v>
      </c>
      <c r="R274" s="176">
        <f t="shared" si="106"/>
        <v>0.11482883737921912</v>
      </c>
      <c r="S274" s="814">
        <f t="shared" si="107"/>
        <v>0</v>
      </c>
      <c r="T274" s="175">
        <f t="shared" si="108"/>
        <v>6</v>
      </c>
      <c r="U274" s="250">
        <f t="shared" si="109"/>
        <v>0.11482883737921912</v>
      </c>
      <c r="V274" s="382">
        <f t="shared" si="110"/>
        <v>45.249142529602679</v>
      </c>
      <c r="W274" s="401">
        <f t="shared" si="111"/>
        <v>47.171537935730541</v>
      </c>
      <c r="X274" s="157">
        <f t="shared" si="112"/>
        <v>46282</v>
      </c>
      <c r="Y274" s="384">
        <f t="shared" si="113"/>
        <v>44.936641544027161</v>
      </c>
      <c r="Z274" s="384">
        <f t="shared" si="114"/>
        <v>47.960668337784703</v>
      </c>
      <c r="AA274" s="385">
        <f t="shared" si="115"/>
        <v>51.297890487654101</v>
      </c>
      <c r="AB274" s="196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6.5055738513702985E-2</v>
      </c>
      <c r="AD274" s="230">
        <f>(INDEX(Models!$BJ274:$BT274,,AH274)*(1-AF274)+INDEX(Models!$BJ274:$BT274,,AH274+1)*AF274-ERP_i)*AE274*Ramure*Pc/MaxiM</f>
        <v>9.2111424861686462E-4</v>
      </c>
      <c r="AE274" s="304">
        <f t="shared" si="117"/>
        <v>0.5</v>
      </c>
      <c r="AF274" s="176">
        <f t="shared" si="118"/>
        <v>0.2298213772036064</v>
      </c>
      <c r="AG274" s="814">
        <f t="shared" si="124"/>
        <v>2</v>
      </c>
      <c r="AH274" s="175">
        <f t="shared" si="119"/>
        <v>8</v>
      </c>
      <c r="AI274" s="224">
        <f t="shared" si="120"/>
        <v>2.2298213772036064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10">
        <f>'2025'!Wh/'2025'!Env_an*'2026'!Env_an</f>
        <v>45.607450908175238</v>
      </c>
      <c r="C275" s="843"/>
      <c r="D275" s="392">
        <f t="shared" si="102"/>
        <v>48.677684850220274</v>
      </c>
      <c r="E275" s="384">
        <f t="shared" si="100"/>
        <v>49.640165367063915</v>
      </c>
      <c r="F275" s="384">
        <f t="shared" si="103"/>
        <v>49.648193903240497</v>
      </c>
      <c r="G275" s="110">
        <f t="shared" si="101"/>
        <v>1.0131290871697451</v>
      </c>
      <c r="H275" s="413" t="b">
        <f>Wh_hp&gt;='2025'!Maxi_hp</f>
        <v>1</v>
      </c>
      <c r="I275" s="389">
        <f>IF(H275,Wh_hp,'2025'!Maxi_hp)</f>
        <v>49.648193903240497</v>
      </c>
      <c r="J275" s="85">
        <f>IF(H275,An,'2025'!An_max)</f>
        <v>2026</v>
      </c>
      <c r="K275" s="196">
        <f t="shared" si="104"/>
        <v>46283</v>
      </c>
      <c r="L275" s="147">
        <f>IF(t&lt;Tvie,1-EXP((T0-t)*PertePVj)+'2025'!Pspv,1-EXP((T0-t)*PertePVj)+Pspv)</f>
        <v>6.30727190804585E-2</v>
      </c>
      <c r="M275" s="847"/>
      <c r="N275" s="847"/>
      <c r="O275" s="48">
        <f>IF(t&lt;Tnet,'2025'!Resal+('2025'!Salim-'2025'!Resal)*(1-EXP(('2025'!Tnet-t)/('2025'!Tau_j))),Resal+(Salim-Resal)*(1-EXP((Tnet-t)/(Tau_j))))*Salcycl</f>
        <v>1.9389148076493674E-2</v>
      </c>
      <c r="P275" s="168">
        <f>(INDEX(Models!$BJ275:$BT275,,T275)*(1-R275)+INDEX(Models!$BJ275:$BT275,,T275+1)*R275-ERP_i)*Q275*Ramure*Pc/MaxiM</f>
        <v>1.6170852442745482E-4</v>
      </c>
      <c r="Q275" s="304">
        <f t="shared" si="105"/>
        <v>0.5</v>
      </c>
      <c r="R275" s="176">
        <f t="shared" si="106"/>
        <v>0.1150290144251338</v>
      </c>
      <c r="S275" s="814">
        <f t="shared" si="107"/>
        <v>0</v>
      </c>
      <c r="T275" s="175">
        <f t="shared" si="108"/>
        <v>6</v>
      </c>
      <c r="U275" s="250">
        <f t="shared" si="109"/>
        <v>0.1150290144251338</v>
      </c>
      <c r="V275" s="382">
        <f t="shared" si="110"/>
        <v>45.016426322911336</v>
      </c>
      <c r="W275" s="401">
        <f t="shared" si="111"/>
        <v>45.607450908175238</v>
      </c>
      <c r="X275" s="157">
        <f t="shared" si="112"/>
        <v>46283</v>
      </c>
      <c r="Y275" s="384">
        <f t="shared" si="113"/>
        <v>43.449269522720762</v>
      </c>
      <c r="Z275" s="384">
        <f t="shared" si="114"/>
        <v>46.374217516729523</v>
      </c>
      <c r="AA275" s="385">
        <f t="shared" si="115"/>
        <v>49.602502243242355</v>
      </c>
      <c r="AB275" s="196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6.5083102273386706E-2</v>
      </c>
      <c r="AD275" s="230">
        <f>(INDEX(Models!$BJ275:$BT275,,AH275)*(1-AF275)+INDEX(Models!$BJ275:$BT275,,AH275+1)*AF275-ERP_i)*AE275*Ramure*Pc/MaxiM</f>
        <v>9.2030860351511386E-4</v>
      </c>
      <c r="AE275" s="304">
        <f t="shared" si="117"/>
        <v>0.5</v>
      </c>
      <c r="AF275" s="176">
        <f t="shared" si="118"/>
        <v>0.2300215542495212</v>
      </c>
      <c r="AG275" s="814">
        <f t="shared" si="124"/>
        <v>2</v>
      </c>
      <c r="AH275" s="175">
        <f t="shared" si="119"/>
        <v>8</v>
      </c>
      <c r="AI275" s="224">
        <f t="shared" si="120"/>
        <v>2.2300215542495212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10">
        <f>'2025'!Wh/'2025'!Env_an*'2026'!Env_an</f>
        <v>44.43175487854802</v>
      </c>
      <c r="C276" s="843"/>
      <c r="D276" s="392">
        <f t="shared" si="102"/>
        <v>47.423879875976269</v>
      </c>
      <c r="E276" s="384">
        <f t="shared" si="100"/>
        <v>48.365773484308143</v>
      </c>
      <c r="F276" s="384">
        <f t="shared" si="103"/>
        <v>48.373561256311582</v>
      </c>
      <c r="G276" s="110">
        <f t="shared" si="101"/>
        <v>0.99227864842605573</v>
      </c>
      <c r="H276" s="413" t="b">
        <f>Wh_hp&gt;='2025'!Maxi_hp</f>
        <v>0</v>
      </c>
      <c r="I276" s="389">
        <f>IF(H276,Wh_hp,'2025'!Maxi_hp)</f>
        <v>48.37360794157091</v>
      </c>
      <c r="J276" s="85">
        <f>IF(H276,An,'2025'!An_max)</f>
        <v>2025</v>
      </c>
      <c r="K276" s="196">
        <f t="shared" si="104"/>
        <v>46284</v>
      </c>
      <c r="L276" s="147">
        <f>IF(t&lt;Tvie,1-EXP((T0-t)*PertePVj)+'2025'!Pspv,1-EXP((T0-t)*PertePVj)+Pspv)</f>
        <v>6.3093213909391349E-2</v>
      </c>
      <c r="M276" s="847"/>
      <c r="N276" s="847"/>
      <c r="O276" s="48">
        <f>IF(t&lt;Tnet,'2025'!Resal+('2025'!Salim-'2025'!Resal)*(1-EXP(('2025'!Tnet-t)/('2025'!Tau_j))),Resal+(Salim-Resal)*(1-EXP((Tnet-t)/(Tau_j))))*Salcycl</f>
        <v>1.9474383235852918E-2</v>
      </c>
      <c r="P276" s="168">
        <f>(INDEX(Models!$BJ276:$BT276,,T276)*(1-R276)+INDEX(Models!$BJ276:$BT276,,T276+1)*R276-ERP_i)*Q276*Ramure*Pc/MaxiM</f>
        <v>1.6278753706967607E-4</v>
      </c>
      <c r="Q276" s="304">
        <f t="shared" si="105"/>
        <v>0.5</v>
      </c>
      <c r="R276" s="176">
        <f t="shared" si="106"/>
        <v>0.11522138700669077</v>
      </c>
      <c r="S276" s="814">
        <f t="shared" si="107"/>
        <v>0</v>
      </c>
      <c r="T276" s="175">
        <f t="shared" si="108"/>
        <v>6</v>
      </c>
      <c r="U276" s="250">
        <f t="shared" si="109"/>
        <v>0.11522138700669077</v>
      </c>
      <c r="V276" s="382">
        <f t="shared" si="110"/>
        <v>44.777417282609811</v>
      </c>
      <c r="W276" s="401">
        <f t="shared" si="111"/>
        <v>44.43175487854802</v>
      </c>
      <c r="X276" s="157">
        <f t="shared" si="112"/>
        <v>46284</v>
      </c>
      <c r="Y276" s="384">
        <f t="shared" si="113"/>
        <v>42.33213430555309</v>
      </c>
      <c r="Z276" s="384">
        <f t="shared" si="114"/>
        <v>45.182866571167231</v>
      </c>
      <c r="AA276" s="385">
        <f t="shared" si="115"/>
        <v>48.329597010536979</v>
      </c>
      <c r="AB276" s="196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6.5109800909030721E-2</v>
      </c>
      <c r="AD276" s="230">
        <f>(INDEX(Models!$BJ276:$BT276,,AH276)*(1-AF276)+INDEX(Models!$BJ276:$BT276,,AH276+1)*AF276-ERP_i)*AE276*Ramure*Pc/MaxiM</f>
        <v>9.1898315533791338E-4</v>
      </c>
      <c r="AE276" s="304">
        <f t="shared" si="117"/>
        <v>0.5</v>
      </c>
      <c r="AF276" s="176">
        <f t="shared" si="118"/>
        <v>0.23021392683107811</v>
      </c>
      <c r="AG276" s="814">
        <f t="shared" si="124"/>
        <v>2</v>
      </c>
      <c r="AH276" s="175">
        <f t="shared" si="119"/>
        <v>8</v>
      </c>
      <c r="AI276" s="224">
        <f t="shared" si="120"/>
        <v>2.2302139268310781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10">
        <f>'2025'!Wh/'2025'!Env_an*'2026'!Env_an</f>
        <v>45.770990534749245</v>
      </c>
      <c r="C277" s="843"/>
      <c r="D277" s="392">
        <f t="shared" si="102"/>
        <v>48.854371058392438</v>
      </c>
      <c r="E277" s="384">
        <f t="shared" si="100"/>
        <v>49.828991012035431</v>
      </c>
      <c r="F277" s="384">
        <f t="shared" si="103"/>
        <v>49.837145014855807</v>
      </c>
      <c r="G277" s="110">
        <f t="shared" si="101"/>
        <v>1.0278059854196937</v>
      </c>
      <c r="H277" s="413" t="b">
        <f>Wh_hp&gt;='2025'!Maxi_hp</f>
        <v>1</v>
      </c>
      <c r="I277" s="389">
        <f>IF(H277,Wh_hp,'2025'!Maxi_hp)</f>
        <v>49.837145014855807</v>
      </c>
      <c r="J277" s="85">
        <f>IF(H277,An,'2025'!An_max)</f>
        <v>2026</v>
      </c>
      <c r="K277" s="196">
        <f t="shared" si="104"/>
        <v>46285</v>
      </c>
      <c r="L277" s="147">
        <f>IF(t&lt;Tvie,1-EXP((T0-t)*PertePVj)+'2025'!Pspv,1-EXP((T0-t)*PertePVj)+Pspv)</f>
        <v>6.3113708289434939E-2</v>
      </c>
      <c r="M277" s="847"/>
      <c r="N277" s="847"/>
      <c r="O277" s="48">
        <f>IF(t&lt;Tnet,'2025'!Resal+('2025'!Salim-'2025'!Resal)*(1-EXP(('2025'!Tnet-t)/('2025'!Tau_j))),Resal+(Salim-Resal)*(1-EXP((Tnet-t)/(Tau_j))))*Salcycl</f>
        <v>1.9559295379021104E-2</v>
      </c>
      <c r="P277" s="168">
        <f>(INDEX(Models!$BJ277:$BT277,,T277)*(1-R277)+INDEX(Models!$BJ277:$BT277,,T277+1)*R277-ERP_i)*Q277*Ramure*Pc/MaxiM</f>
        <v>1.6361296013132914E-4</v>
      </c>
      <c r="Q277" s="304">
        <f t="shared" si="105"/>
        <v>0.5</v>
      </c>
      <c r="R277" s="176">
        <f t="shared" si="106"/>
        <v>0.11540624967372604</v>
      </c>
      <c r="S277" s="814">
        <f t="shared" si="107"/>
        <v>0</v>
      </c>
      <c r="T277" s="175">
        <f t="shared" si="108"/>
        <v>6</v>
      </c>
      <c r="U277" s="250">
        <f t="shared" si="109"/>
        <v>0.11540624967372604</v>
      </c>
      <c r="V277" s="382">
        <f t="shared" si="110"/>
        <v>44.532714523995644</v>
      </c>
      <c r="W277" s="401">
        <f t="shared" si="111"/>
        <v>45.770990534749245</v>
      </c>
      <c r="X277" s="157">
        <f t="shared" si="112"/>
        <v>46285</v>
      </c>
      <c r="Y277" s="384">
        <f t="shared" si="113"/>
        <v>43.610401385498633</v>
      </c>
      <c r="Z277" s="384">
        <f t="shared" si="114"/>
        <v>46.548232983401704</v>
      </c>
      <c r="AA277" s="385">
        <f t="shared" si="115"/>
        <v>49.791438766983909</v>
      </c>
      <c r="AB277" s="196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6.5135811775994201E-2</v>
      </c>
      <c r="AD277" s="230">
        <f>(INDEX(Models!$BJ277:$BT277,,AH277)*(1-AF277)+INDEX(Models!$BJ277:$BT277,,AH277+1)*AF277-ERP_i)*AE277*Ramure*Pc/MaxiM</f>
        <v>9.1711208293078646E-4</v>
      </c>
      <c r="AE277" s="304">
        <f t="shared" si="117"/>
        <v>0.5</v>
      </c>
      <c r="AF277" s="176">
        <f t="shared" si="118"/>
        <v>0.23039878949811321</v>
      </c>
      <c r="AG277" s="814">
        <f t="shared" si="124"/>
        <v>2</v>
      </c>
      <c r="AH277" s="175">
        <f t="shared" si="119"/>
        <v>8</v>
      </c>
      <c r="AI277" s="224">
        <f t="shared" si="120"/>
        <v>2.2303987894981132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10">
        <f>'2025'!Wh/'2025'!Env_an*'2026'!Env_an</f>
        <v>44.65515925613898</v>
      </c>
      <c r="C278" s="843"/>
      <c r="D278" s="392">
        <f t="shared" si="102"/>
        <v>47.664414008903442</v>
      </c>
      <c r="E278" s="384">
        <f t="shared" si="100"/>
        <v>48.619489202976887</v>
      </c>
      <c r="F278" s="384">
        <f t="shared" si="103"/>
        <v>48.627472839036514</v>
      </c>
      <c r="G278" s="110">
        <f t="shared" si="101"/>
        <v>1.0084059985964879</v>
      </c>
      <c r="H278" s="413" t="b">
        <f>Wh_hp&gt;='2025'!Maxi_hp</f>
        <v>1</v>
      </c>
      <c r="I278" s="389">
        <f>IF(H278,Wh_hp,'2025'!Maxi_hp)</f>
        <v>48.627472839036514</v>
      </c>
      <c r="J278" s="85">
        <f>IF(H278,An,'2025'!An_max)</f>
        <v>2026</v>
      </c>
      <c r="K278" s="196">
        <f t="shared" si="104"/>
        <v>46286</v>
      </c>
      <c r="L278" s="147">
        <f>IF(t&lt;Tvie,1-EXP((T0-t)*PertePVj)+'2025'!Pspv,1-EXP((T0-t)*PertePVj)+Pspv)</f>
        <v>6.3134202220598928E-2</v>
      </c>
      <c r="M278" s="847"/>
      <c r="N278" s="847"/>
      <c r="O278" s="48">
        <f>IF(t&lt;Tnet,'2025'!Resal+('2025'!Salim-'2025'!Resal)*(1-EXP(('2025'!Tnet-t)/('2025'!Tau_j))),Resal+(Salim-Resal)*(1-EXP((Tnet-t)/(Tau_j))))*Salcycl</f>
        <v>1.9643875526667711E-2</v>
      </c>
      <c r="P278" s="168">
        <f>(INDEX(Models!$BJ278:$BT278,,T278)*(1-R278)+INDEX(Models!$BJ278:$BT278,,T278+1)*R278-ERP_i)*Q278*Ramure*Pc/MaxiM</f>
        <v>1.641795387157205E-4</v>
      </c>
      <c r="Q278" s="304">
        <f t="shared" si="105"/>
        <v>0.5</v>
      </c>
      <c r="R278" s="176">
        <f t="shared" si="106"/>
        <v>0.11558388661727864</v>
      </c>
      <c r="S278" s="814">
        <f t="shared" si="107"/>
        <v>0</v>
      </c>
      <c r="T278" s="175">
        <f t="shared" si="108"/>
        <v>6</v>
      </c>
      <c r="U278" s="250">
        <f t="shared" si="109"/>
        <v>0.11558388661727864</v>
      </c>
      <c r="V278" s="382">
        <f t="shared" si="110"/>
        <v>44.282917117005056</v>
      </c>
      <c r="W278" s="401">
        <f t="shared" si="111"/>
        <v>44.65515925613898</v>
      </c>
      <c r="X278" s="157">
        <f t="shared" si="112"/>
        <v>46286</v>
      </c>
      <c r="Y278" s="384">
        <f t="shared" si="113"/>
        <v>42.549889264398395</v>
      </c>
      <c r="Z278" s="384">
        <f t="shared" si="114"/>
        <v>45.417272532791721</v>
      </c>
      <c r="AA278" s="385">
        <f t="shared" si="115"/>
        <v>48.582994475626528</v>
      </c>
      <c r="AB278" s="196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6.5161111969395058E-2</v>
      </c>
      <c r="AD278" s="230">
        <f>(INDEX(Models!$BJ278:$BT278,,AH278)*(1-AF278)+INDEX(Models!$BJ278:$BT278,,AH278+1)*AF278-ERP_i)*AE278*Ramure*Pc/MaxiM</f>
        <v>9.146756105795613E-4</v>
      </c>
      <c r="AE278" s="304">
        <f t="shared" si="117"/>
        <v>0.5</v>
      </c>
      <c r="AF278" s="176">
        <f t="shared" si="118"/>
        <v>0.23057642644166609</v>
      </c>
      <c r="AG278" s="814">
        <f t="shared" si="124"/>
        <v>2</v>
      </c>
      <c r="AH278" s="175">
        <f t="shared" si="119"/>
        <v>8</v>
      </c>
      <c r="AI278" s="224">
        <f t="shared" si="120"/>
        <v>2.2305764264416661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10">
        <f>'2025'!Wh/'2025'!Env_an*'2026'!Env_an</f>
        <v>43.491404966038928</v>
      </c>
      <c r="C279" s="843"/>
      <c r="D279" s="392">
        <f t="shared" si="102"/>
        <v>46.423251273773019</v>
      </c>
      <c r="E279" s="384">
        <f t="shared" si="100"/>
        <v>47.357525971107584</v>
      </c>
      <c r="F279" s="384">
        <f t="shared" si="103"/>
        <v>47.365180884186984</v>
      </c>
      <c r="G279" s="110">
        <f t="shared" si="101"/>
        <v>0.98779558485288499</v>
      </c>
      <c r="H279" s="413" t="b">
        <f>Wh_hp&gt;='2025'!Maxi_hp</f>
        <v>0</v>
      </c>
      <c r="I279" s="389">
        <f>IF(H279,Wh_hp,'2025'!Maxi_hp)</f>
        <v>47.365253614947505</v>
      </c>
      <c r="J279" s="85">
        <f>IF(H279,An,'2025'!An_max)</f>
        <v>2025</v>
      </c>
      <c r="K279" s="196">
        <f t="shared" si="104"/>
        <v>46287</v>
      </c>
      <c r="L279" s="147">
        <f>IF(t&lt;Tvie,1-EXP((T0-t)*PertePVj)+'2025'!Pspv,1-EXP((T0-t)*PertePVj)+Pspv)</f>
        <v>6.315469570289331E-2</v>
      </c>
      <c r="M279" s="847"/>
      <c r="N279" s="847"/>
      <c r="O279" s="48">
        <f>IF(t&lt;Tnet,'2025'!Resal+('2025'!Salim-'2025'!Resal)*(1-EXP(('2025'!Tnet-t)/('2025'!Tau_j))),Resal+(Salim-Resal)*(1-EXP((Tnet-t)/(Tau_j))))*Salcycl</f>
        <v>1.9728114553630959E-2</v>
      </c>
      <c r="P279" s="168">
        <f>(INDEX(Models!$BJ279:$BT279,,T279)*(1-R279)+INDEX(Models!$BJ279:$BT279,,T279+1)*R279-ERP_i)*Q279*Ramure*Pc/MaxiM</f>
        <v>1.6448183080110354E-4</v>
      </c>
      <c r="Q279" s="304">
        <f t="shared" si="105"/>
        <v>0.5</v>
      </c>
      <c r="R279" s="176">
        <f t="shared" si="106"/>
        <v>0.11575457197416472</v>
      </c>
      <c r="S279" s="814">
        <f t="shared" si="107"/>
        <v>0</v>
      </c>
      <c r="T279" s="175">
        <f t="shared" si="108"/>
        <v>6</v>
      </c>
      <c r="U279" s="250">
        <f t="shared" si="109"/>
        <v>0.11575457197416472</v>
      </c>
      <c r="V279" s="382">
        <f t="shared" si="110"/>
        <v>44.028623857537902</v>
      </c>
      <c r="W279" s="401">
        <f t="shared" si="111"/>
        <v>43.491404966038928</v>
      </c>
      <c r="X279" s="157">
        <f t="shared" si="112"/>
        <v>46287</v>
      </c>
      <c r="Y279" s="384">
        <f t="shared" si="113"/>
        <v>41.444150549639708</v>
      </c>
      <c r="Z279" s="384">
        <f t="shared" si="114"/>
        <v>44.23798716772594</v>
      </c>
      <c r="AA279" s="385">
        <f t="shared" si="115"/>
        <v>47.322752921981333</v>
      </c>
      <c r="AB279" s="196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6.5185678427058052E-2</v>
      </c>
      <c r="AD279" s="230">
        <f>(INDEX(Models!$BJ279:$BT279,,AH279)*(1-AF279)+INDEX(Models!$BJ279:$BT279,,AH279+1)*AF279-ERP_i)*AE279*Ramure*Pc/MaxiM</f>
        <v>9.1165357834402296E-4</v>
      </c>
      <c r="AE279" s="304">
        <f t="shared" si="117"/>
        <v>0.5</v>
      </c>
      <c r="AF279" s="176">
        <f t="shared" si="118"/>
        <v>0.23074711179855223</v>
      </c>
      <c r="AG279" s="814">
        <f t="shared" si="124"/>
        <v>2</v>
      </c>
      <c r="AH279" s="175">
        <f t="shared" si="119"/>
        <v>8</v>
      </c>
      <c r="AI279" s="224">
        <f t="shared" si="120"/>
        <v>2.2307471117985522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10">
        <f>'2025'!Wh/'2025'!Env_an*'2026'!Env_an</f>
        <v>27.478331438934674</v>
      </c>
      <c r="C280" s="843"/>
      <c r="D280" s="392">
        <f t="shared" si="102"/>
        <v>29.331344674645699</v>
      </c>
      <c r="E280" s="384">
        <f t="shared" si="100"/>
        <v>29.924203082571712</v>
      </c>
      <c r="F280" s="384">
        <f t="shared" si="103"/>
        <v>29.926508503154906</v>
      </c>
      <c r="G280" s="110">
        <f t="shared" si="101"/>
        <v>0.62772802211932655</v>
      </c>
      <c r="H280" s="413" t="b">
        <f>Wh_hp&gt;='2025'!Maxi_hp</f>
        <v>0</v>
      </c>
      <c r="I280" s="389">
        <f>IF(H280,Wh_hp,'2025'!Maxi_hp)</f>
        <v>44.179127561148483</v>
      </c>
      <c r="J280" s="85">
        <f>IF(H280,An,'2025'!An_max)</f>
        <v>2018</v>
      </c>
      <c r="K280" s="196">
        <f t="shared" si="104"/>
        <v>46288</v>
      </c>
      <c r="L280" s="147">
        <f>IF(t&lt;Tvie,1-EXP((T0-t)*PertePVj)+'2025'!Pspv,1-EXP((T0-t)*PertePVj)+Pspv)</f>
        <v>6.3175188736327742E-2</v>
      </c>
      <c r="M280" s="847"/>
      <c r="N280" s="847"/>
      <c r="O280" s="48">
        <f>IF(t&lt;Tnet,'2025'!Resal+('2025'!Salim-'2025'!Resal)*(1-EXP(('2025'!Tnet-t)/('2025'!Tau_j))),Resal+(Salim-Resal)*(1-EXP((Tnet-t)/(Tau_j))))*Salcycl</f>
        <v>1.9812003223280628E-2</v>
      </c>
      <c r="P280" s="168">
        <f>(INDEX(Models!$BJ280:$BT280,,T280)*(1-R280)+INDEX(Models!$BJ280:$BT280,,T280+1)*R280-ERP_i)*Q280*Ramure*Pc/MaxiM</f>
        <v>1.6451511425266688E-4</v>
      </c>
      <c r="Q280" s="304">
        <f t="shared" si="105"/>
        <v>0.5</v>
      </c>
      <c r="R280" s="176">
        <f t="shared" si="106"/>
        <v>0.11591857012750384</v>
      </c>
      <c r="S280" s="814">
        <f t="shared" si="107"/>
        <v>0</v>
      </c>
      <c r="T280" s="175">
        <f t="shared" si="108"/>
        <v>6</v>
      </c>
      <c r="U280" s="250">
        <f t="shared" si="109"/>
        <v>0.11591857012750384</v>
      </c>
      <c r="V280" s="382">
        <f t="shared" si="110"/>
        <v>43.77043322486702</v>
      </c>
      <c r="W280" s="401">
        <f t="shared" si="111"/>
        <v>27.478331438934674</v>
      </c>
      <c r="X280" s="157">
        <f t="shared" si="112"/>
        <v>46288</v>
      </c>
      <c r="Y280" s="384">
        <f t="shared" si="113"/>
        <v>26.196545884226914</v>
      </c>
      <c r="Z280" s="384">
        <f t="shared" si="114"/>
        <v>27.963121353383769</v>
      </c>
      <c r="AA280" s="385">
        <f t="shared" si="115"/>
        <v>29.913783886044815</v>
      </c>
      <c r="AB280" s="196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6.5209488043772953E-2</v>
      </c>
      <c r="AD280" s="230">
        <f>(INDEX(Models!$BJ280:$BT280,,AH280)*(1-AF280)+INDEX(Models!$BJ280:$BT280,,AH280+1)*AF280-ERP_i)*AE280*Ramure*Pc/MaxiM</f>
        <v>9.0803034073156221E-4</v>
      </c>
      <c r="AE280" s="304">
        <f t="shared" si="117"/>
        <v>0.5</v>
      </c>
      <c r="AF280" s="176">
        <f t="shared" si="118"/>
        <v>0.23091110995189101</v>
      </c>
      <c r="AG280" s="814">
        <f t="shared" si="124"/>
        <v>2</v>
      </c>
      <c r="AH280" s="175">
        <f t="shared" si="119"/>
        <v>8</v>
      </c>
      <c r="AI280" s="224">
        <f t="shared" si="120"/>
        <v>2.230911109951891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10">
        <f>'2025'!Wh/'2025'!Env_an*'2026'!Env_an</f>
        <v>17.225086115796245</v>
      </c>
      <c r="C281" s="843"/>
      <c r="D281" s="392">
        <f t="shared" si="102"/>
        <v>18.387069500366895</v>
      </c>
      <c r="E281" s="384">
        <f t="shared" si="100"/>
        <v>18.760315971345069</v>
      </c>
      <c r="F281" s="384">
        <f t="shared" si="103"/>
        <v>18.760738181534617</v>
      </c>
      <c r="G281" s="110">
        <f t="shared" si="101"/>
        <v>0.39584146880889326</v>
      </c>
      <c r="H281" s="413" t="b">
        <f>Wh_hp&gt;='2025'!Maxi_hp</f>
        <v>0</v>
      </c>
      <c r="I281" s="389">
        <f>IF(H281,Wh_hp,'2025'!Maxi_hp)</f>
        <v>40.512868531707113</v>
      </c>
      <c r="J281" s="85">
        <f>IF(H281,An,'2025'!An_max)</f>
        <v>2021</v>
      </c>
      <c r="K281" s="196">
        <f t="shared" si="104"/>
        <v>46289</v>
      </c>
      <c r="L281" s="147">
        <f>IF(t&lt;Tvie,1-EXP((T0-t)*PertePVj)+'2025'!Pspv,1-EXP((T0-t)*PertePVj)+Pspv)</f>
        <v>6.3195681320912217E-2</v>
      </c>
      <c r="M281" s="847"/>
      <c r="N281" s="847"/>
      <c r="O281" s="48">
        <f>IF(t&lt;Tnet,'2025'!Resal+('2025'!Salim-'2025'!Resal)*(1-EXP(('2025'!Tnet-t)/('2025'!Tau_j))),Resal+(Salim-Resal)*(1-EXP((Tnet-t)/(Tau_j))))*Salcycl</f>
        <v>1.9895532226017937E-2</v>
      </c>
      <c r="P281" s="168">
        <f>(INDEX(Models!$BJ281:$BT281,,T281)*(1-R281)+INDEX(Models!$BJ281:$BT281,,T281+1)*R281-ERP_i)*Q281*Ramure*Pc/MaxiM</f>
        <v>1.6427410391478274E-4</v>
      </c>
      <c r="Q281" s="304">
        <f t="shared" si="105"/>
        <v>0.5</v>
      </c>
      <c r="R281" s="176">
        <f t="shared" si="106"/>
        <v>0.11607613600278549</v>
      </c>
      <c r="S281" s="814">
        <f t="shared" si="107"/>
        <v>0</v>
      </c>
      <c r="T281" s="175">
        <f t="shared" si="108"/>
        <v>6</v>
      </c>
      <c r="U281" s="250">
        <f t="shared" si="109"/>
        <v>0.11607613600278549</v>
      </c>
      <c r="V281" s="382">
        <f t="shared" si="110"/>
        <v>43.508943434940022</v>
      </c>
      <c r="W281" s="401">
        <f t="shared" si="111"/>
        <v>17.225086115796245</v>
      </c>
      <c r="X281" s="157">
        <f t="shared" si="112"/>
        <v>46289</v>
      </c>
      <c r="Y281" s="384">
        <f t="shared" si="113"/>
        <v>16.426635752682451</v>
      </c>
      <c r="Z281" s="384">
        <f t="shared" si="114"/>
        <v>17.534756645704118</v>
      </c>
      <c r="AA281" s="385">
        <f t="shared" si="115"/>
        <v>18.758415305985412</v>
      </c>
      <c r="AB281" s="196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6.5232517796471476E-2</v>
      </c>
      <c r="AD281" s="230">
        <f>(INDEX(Models!$BJ281:$BT281,,AH281)*(1-AF281)+INDEX(Models!$BJ281:$BT281,,AH281+1)*AF281-ERP_i)*AE281*Ramure*Pc/MaxiM</f>
        <v>9.037875181588809E-4</v>
      </c>
      <c r="AE281" s="304">
        <f t="shared" si="117"/>
        <v>0.5</v>
      </c>
      <c r="AF281" s="176">
        <f t="shared" si="118"/>
        <v>0.23106867582717294</v>
      </c>
      <c r="AG281" s="814">
        <f t="shared" si="124"/>
        <v>2</v>
      </c>
      <c r="AH281" s="175">
        <f t="shared" si="119"/>
        <v>8</v>
      </c>
      <c r="AI281" s="224">
        <f t="shared" si="120"/>
        <v>2.2310686758271729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10">
        <f>'2025'!Wh/'2025'!Env_an*'2026'!Env_an</f>
        <v>30.491293737158873</v>
      </c>
      <c r="C282" s="843"/>
      <c r="D282" s="392">
        <f t="shared" si="102"/>
        <v>32.548911363755373</v>
      </c>
      <c r="E282" s="384">
        <f t="shared" si="100"/>
        <v>33.212452734877665</v>
      </c>
      <c r="F282" s="384">
        <f t="shared" si="103"/>
        <v>33.215602787978341</v>
      </c>
      <c r="G282" s="110">
        <f t="shared" si="101"/>
        <v>0.7050379632125221</v>
      </c>
      <c r="H282" s="413" t="b">
        <f>Wh_hp&gt;='2025'!Maxi_hp</f>
        <v>0</v>
      </c>
      <c r="I282" s="389">
        <f>IF(H282,Wh_hp,'2025'!Maxi_hp)</f>
        <v>46.527927467994083</v>
      </c>
      <c r="J282" s="85">
        <f>IF(H282,An,'2025'!An_max)</f>
        <v>2018</v>
      </c>
      <c r="K282" s="196">
        <f t="shared" si="104"/>
        <v>46290</v>
      </c>
      <c r="L282" s="147">
        <f>IF(t&lt;Tvie,1-EXP((T0-t)*PertePVj)+'2025'!Pspv,1-EXP((T0-t)*PertePVj)+Pspv)</f>
        <v>6.3216173456656505E-2</v>
      </c>
      <c r="M282" s="847"/>
      <c r="N282" s="847"/>
      <c r="O282" s="48">
        <f>IF(t&lt;Tnet,'2025'!Resal+('2025'!Salim-'2025'!Resal)*(1-EXP(('2025'!Tnet-t)/('2025'!Tau_j))),Resal+(Salim-Resal)*(1-EXP((Tnet-t)/(Tau_j))))*Salcycl</f>
        <v>1.9978692221832874E-2</v>
      </c>
      <c r="P282" s="168">
        <f>(INDEX(Models!$BJ282:$BT282,,T282)*(1-R282)+INDEX(Models!$BJ282:$BT282,,T282+1)*R282-ERP_i)*Q282*Ramure*Pc/MaxiM</f>
        <v>1.6387995886301294E-4</v>
      </c>
      <c r="Q282" s="304">
        <f t="shared" si="105"/>
        <v>0.5</v>
      </c>
      <c r="R282" s="176">
        <f t="shared" si="106"/>
        <v>0.11622751535911646</v>
      </c>
      <c r="S282" s="814">
        <f t="shared" si="107"/>
        <v>0</v>
      </c>
      <c r="T282" s="175">
        <f t="shared" si="108"/>
        <v>6</v>
      </c>
      <c r="U282" s="250">
        <f t="shared" si="109"/>
        <v>0.11622751535911646</v>
      </c>
      <c r="V282" s="382">
        <f t="shared" si="110"/>
        <v>43.244746957504326</v>
      </c>
      <c r="W282" s="401">
        <f t="shared" si="111"/>
        <v>30.491293737158873</v>
      </c>
      <c r="X282" s="157">
        <f t="shared" si="112"/>
        <v>46290</v>
      </c>
      <c r="Y282" s="384">
        <f t="shared" si="113"/>
        <v>29.070242953004183</v>
      </c>
      <c r="Z282" s="384">
        <f t="shared" si="114"/>
        <v>31.031965037516741</v>
      </c>
      <c r="AA282" s="385">
        <f t="shared" si="115"/>
        <v>33.198312446663365</v>
      </c>
      <c r="AB282" s="196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6.5254744879791396E-2</v>
      </c>
      <c r="AD282" s="230">
        <f>(INDEX(Models!$BJ282:$BT282,,AH282)*(1-AF282)+INDEX(Models!$BJ282:$BT282,,AH282+1)*AF282-ERP_i)*AE282*Ramure*Pc/MaxiM</f>
        <v>8.9952147880286706E-4</v>
      </c>
      <c r="AE282" s="304">
        <f t="shared" si="117"/>
        <v>0.5</v>
      </c>
      <c r="AF282" s="176">
        <f t="shared" si="118"/>
        <v>0.23122005518350397</v>
      </c>
      <c r="AG282" s="814">
        <f t="shared" si="124"/>
        <v>2</v>
      </c>
      <c r="AH282" s="175">
        <f t="shared" si="119"/>
        <v>8</v>
      </c>
      <c r="AI282" s="224">
        <f t="shared" si="120"/>
        <v>2.231220055183504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10">
        <f>'2025'!Wh/'2025'!Env_an*'2026'!Env_an</f>
        <v>32.88266938785727</v>
      </c>
      <c r="C283" s="843"/>
      <c r="D283" s="392">
        <f t="shared" si="102"/>
        <v>35.102429999458657</v>
      </c>
      <c r="E283" s="384">
        <f t="shared" si="100"/>
        <v>35.821053121247914</v>
      </c>
      <c r="F283" s="384">
        <f t="shared" si="103"/>
        <v>35.824945326201146</v>
      </c>
      <c r="G283" s="110">
        <f t="shared" si="101"/>
        <v>0.76505498826259366</v>
      </c>
      <c r="H283" s="413" t="b">
        <f>Wh_hp&gt;='2025'!Maxi_hp</f>
        <v>0</v>
      </c>
      <c r="I283" s="389">
        <f>IF(H283,Wh_hp,'2025'!Maxi_hp)</f>
        <v>45.350079953012298</v>
      </c>
      <c r="J283" s="85">
        <f>IF(H283,An,'2025'!An_max)</f>
        <v>2018</v>
      </c>
      <c r="K283" s="196">
        <f t="shared" si="104"/>
        <v>46291</v>
      </c>
      <c r="L283" s="147">
        <f>IF(t&lt;Tvie,1-EXP((T0-t)*PertePVj)+'2025'!Pspv,1-EXP((T0-t)*PertePVj)+Pspv)</f>
        <v>6.3236665143570375E-2</v>
      </c>
      <c r="M283" s="847"/>
      <c r="N283" s="847"/>
      <c r="O283" s="48">
        <f>IF(t&lt;Tnet,'2025'!Resal+('2025'!Salim-'2025'!Resal)*(1-EXP(('2025'!Tnet-t)/('2025'!Tau_j))),Resal+(Salim-Resal)*(1-EXP((Tnet-t)/(Tau_j))))*Salcycl</f>
        <v>2.0061473886790714E-2</v>
      </c>
      <c r="P283" s="168">
        <f>(INDEX(Models!$BJ283:$BT283,,T283)*(1-R283)+INDEX(Models!$BJ283:$BT283,,T283+1)*R283-ERP_i)*Q283*Ramure*Pc/MaxiM</f>
        <v>1.6351766966957027E-4</v>
      </c>
      <c r="Q283" s="304">
        <f t="shared" si="105"/>
        <v>0.5</v>
      </c>
      <c r="R283" s="176">
        <f t="shared" si="106"/>
        <v>0.11637294507534324</v>
      </c>
      <c r="S283" s="814">
        <f t="shared" si="107"/>
        <v>0</v>
      </c>
      <c r="T283" s="175">
        <f t="shared" si="108"/>
        <v>6</v>
      </c>
      <c r="U283" s="250">
        <f t="shared" si="109"/>
        <v>0.11637294507534324</v>
      </c>
      <c r="V283" s="382">
        <f t="shared" si="110"/>
        <v>42.978433367353226</v>
      </c>
      <c r="W283" s="401">
        <f t="shared" si="111"/>
        <v>32.88266938785727</v>
      </c>
      <c r="X283" s="157">
        <f t="shared" si="112"/>
        <v>46291</v>
      </c>
      <c r="Y283" s="384">
        <f t="shared" si="113"/>
        <v>31.350185779795893</v>
      </c>
      <c r="Z283" s="384">
        <f t="shared" si="114"/>
        <v>33.4664953390823</v>
      </c>
      <c r="AA283" s="385">
        <f t="shared" si="115"/>
        <v>35.803617535114277</v>
      </c>
      <c r="AB283" s="196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6.5276146851358116E-2</v>
      </c>
      <c r="AD283" s="230">
        <f>(INDEX(Models!$BJ283:$BT283,,AH283)*(1-AF283)+INDEX(Models!$BJ283:$BT283,,AH283+1)*AF283-ERP_i)*AE283*Ramure*Pc/MaxiM</f>
        <v>8.9601414612793938E-4</v>
      </c>
      <c r="AE283" s="304">
        <f t="shared" si="117"/>
        <v>0.5</v>
      </c>
      <c r="AF283" s="176">
        <f t="shared" si="118"/>
        <v>0.23136548489973041</v>
      </c>
      <c r="AG283" s="814">
        <f t="shared" si="124"/>
        <v>2</v>
      </c>
      <c r="AH283" s="175">
        <f t="shared" si="119"/>
        <v>8</v>
      </c>
      <c r="AI283" s="224">
        <f t="shared" si="120"/>
        <v>2.2313654848997304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10">
        <f>'2025'!Wh/'2025'!Env_an*'2026'!Env_an</f>
        <v>14.862280428942672</v>
      </c>
      <c r="C284" s="843"/>
      <c r="D284" s="392">
        <f t="shared" si="102"/>
        <v>15.865912966609345</v>
      </c>
      <c r="E284" s="384">
        <f t="shared" si="100"/>
        <v>16.192084172224821</v>
      </c>
      <c r="F284" s="384">
        <f t="shared" si="103"/>
        <v>16.192265271825065</v>
      </c>
      <c r="G284" s="110">
        <f t="shared" si="101"/>
        <v>0.34792349603292172</v>
      </c>
      <c r="H284" s="413" t="b">
        <f>Wh_hp&gt;='2025'!Maxi_hp</f>
        <v>0</v>
      </c>
      <c r="I284" s="389">
        <f>IF(H284,Wh_hp,'2025'!Maxi_hp)</f>
        <v>44.445052403607114</v>
      </c>
      <c r="J284" s="85">
        <f>IF(H284,An,'2025'!An_max)</f>
        <v>2018</v>
      </c>
      <c r="K284" s="196">
        <f t="shared" si="104"/>
        <v>46292</v>
      </c>
      <c r="L284" s="147">
        <f>IF(t&lt;Tvie,1-EXP((T0-t)*PertePVj)+'2025'!Pspv,1-EXP((T0-t)*PertePVj)+Pspv)</f>
        <v>6.3257156381663709E-2</v>
      </c>
      <c r="M284" s="847"/>
      <c r="N284" s="847"/>
      <c r="O284" s="48">
        <f>IF(t&lt;Tnet,'2025'!Resal+('2025'!Salim-'2025'!Resal)*(1-EXP(('2025'!Tnet-t)/('2025'!Tau_j))),Resal+(Salim-Resal)*(1-EXP((Tnet-t)/(Tau_j))))*Salcycl</f>
        <v>2.0143867963271566E-2</v>
      </c>
      <c r="P284" s="168">
        <f>(INDEX(Models!$BJ284:$BT284,,T284)*(1-R284)+INDEX(Models!$BJ284:$BT284,,T284+1)*R284-ERP_i)*Q284*Ramure*Pc/MaxiM</f>
        <v>1.6318504734522376E-4</v>
      </c>
      <c r="Q284" s="304">
        <f t="shared" si="105"/>
        <v>0.5</v>
      </c>
      <c r="R284" s="176">
        <f t="shared" si="106"/>
        <v>0.11651265343078476</v>
      </c>
      <c r="S284" s="814">
        <f t="shared" si="107"/>
        <v>0</v>
      </c>
      <c r="T284" s="175">
        <f t="shared" si="108"/>
        <v>6</v>
      </c>
      <c r="U284" s="250">
        <f t="shared" si="109"/>
        <v>0.11651265343078476</v>
      </c>
      <c r="V284" s="382">
        <f t="shared" si="110"/>
        <v>42.710600162940857</v>
      </c>
      <c r="W284" s="401">
        <f t="shared" si="111"/>
        <v>14.862280428942672</v>
      </c>
      <c r="X284" s="157">
        <f t="shared" si="112"/>
        <v>46292</v>
      </c>
      <c r="Y284" s="384">
        <f t="shared" si="113"/>
        <v>14.17670100792475</v>
      </c>
      <c r="Z284" s="384">
        <f t="shared" si="114"/>
        <v>15.134037163459626</v>
      </c>
      <c r="AA284" s="385">
        <f t="shared" si="115"/>
        <v>16.191273950115409</v>
      </c>
      <c r="AB284" s="196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6.5296701785979475E-2</v>
      </c>
      <c r="AD284" s="230">
        <f>(INDEX(Models!$BJ284:$BT284,,AH284)*(1-AF284)+INDEX(Models!$BJ284:$BT284,,AH284+1)*AF284-ERP_i)*AE284*Ramure*Pc/MaxiM</f>
        <v>8.9325917840811845E-4</v>
      </c>
      <c r="AE284" s="304">
        <f t="shared" si="117"/>
        <v>0.5</v>
      </c>
      <c r="AF284" s="176">
        <f t="shared" si="118"/>
        <v>0.23150519325517216</v>
      </c>
      <c r="AG284" s="814">
        <f t="shared" si="124"/>
        <v>2</v>
      </c>
      <c r="AH284" s="175">
        <f t="shared" si="119"/>
        <v>8</v>
      </c>
      <c r="AI284" s="224">
        <f t="shared" si="120"/>
        <v>2.2315051932551722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10">
        <f>'2025'!Wh/'2025'!Env_an*'2026'!Env_an</f>
        <v>17.07714700439799</v>
      </c>
      <c r="C285" s="843"/>
      <c r="D285" s="392">
        <f t="shared" si="102"/>
        <v>18.230745698362202</v>
      </c>
      <c r="E285" s="384">
        <f t="shared" si="100"/>
        <v>18.607090198599646</v>
      </c>
      <c r="F285" s="384">
        <f t="shared" si="103"/>
        <v>18.60753341221174</v>
      </c>
      <c r="G285" s="110">
        <f t="shared" si="101"/>
        <v>0.40230985147628967</v>
      </c>
      <c r="H285" s="413" t="b">
        <f>Wh_hp&gt;='2025'!Maxi_hp</f>
        <v>0</v>
      </c>
      <c r="I285" s="389">
        <f>IF(H285,Wh_hp,'2025'!Maxi_hp)</f>
        <v>42.089507508036213</v>
      </c>
      <c r="J285" s="85">
        <f>IF(H285,An,'2025'!An_max)</f>
        <v>2018</v>
      </c>
      <c r="K285" s="196">
        <f t="shared" si="104"/>
        <v>46293</v>
      </c>
      <c r="L285" s="147">
        <f>IF(t&lt;Tvie,1-EXP((T0-t)*PertePVj)+'2025'!Pspv,1-EXP((T0-t)*PertePVj)+Pspv)</f>
        <v>6.3277647170946388E-2</v>
      </c>
      <c r="M285" s="847"/>
      <c r="N285" s="847"/>
      <c r="O285" s="48">
        <f>IF(t&lt;Tnet,'2025'!Resal+('2025'!Salim-'2025'!Resal)*(1-EXP(('2025'!Tnet-t)/('2025'!Tau_j))),Resal+(Salim-Resal)*(1-EXP((Tnet-t)/(Tau_j))))*Salcycl</f>
        <v>2.0225865313737691E-2</v>
      </c>
      <c r="P285" s="168">
        <f>(INDEX(Models!$BJ285:$BT285,,T285)*(1-R285)+INDEX(Models!$BJ285:$BT285,,T285+1)*R285-ERP_i)*Q285*Ramure*Pc/MaxiM</f>
        <v>1.6287986914744059E-4</v>
      </c>
      <c r="Q285" s="304">
        <f t="shared" si="105"/>
        <v>0.5</v>
      </c>
      <c r="R285" s="176">
        <f t="shared" si="106"/>
        <v>0.11664686038035676</v>
      </c>
      <c r="S285" s="814">
        <f t="shared" si="107"/>
        <v>0</v>
      </c>
      <c r="T285" s="175">
        <f t="shared" si="108"/>
        <v>6</v>
      </c>
      <c r="U285" s="250">
        <f t="shared" si="109"/>
        <v>0.11664686038035676</v>
      </c>
      <c r="V285" s="382">
        <f t="shared" si="110"/>
        <v>42.441844570747513</v>
      </c>
      <c r="W285" s="401">
        <f t="shared" si="111"/>
        <v>17.07714700439799</v>
      </c>
      <c r="X285" s="157">
        <f t="shared" si="112"/>
        <v>46293</v>
      </c>
      <c r="Y285" s="384">
        <f t="shared" si="113"/>
        <v>16.289498441210974</v>
      </c>
      <c r="Z285" s="384">
        <f t="shared" si="114"/>
        <v>17.389889749095921</v>
      </c>
      <c r="AA285" s="385">
        <f t="shared" si="115"/>
        <v>18.605108224837053</v>
      </c>
      <c r="AB285" s="196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6.5316388437819742E-2</v>
      </c>
      <c r="AD285" s="230">
        <f>(INDEX(Models!$BJ285:$BT285,,AH285)*(1-AF285)+INDEX(Models!$BJ285:$BT285,,AH285+1)*AF285-ERP_i)*AE285*Ramure*Pc/MaxiM</f>
        <v>8.9125015899227476E-4</v>
      </c>
      <c r="AE285" s="304">
        <f t="shared" si="117"/>
        <v>0.5</v>
      </c>
      <c r="AF285" s="176">
        <f t="shared" si="118"/>
        <v>0.23163940020474438</v>
      </c>
      <c r="AG285" s="814">
        <f t="shared" si="124"/>
        <v>2</v>
      </c>
      <c r="AH285" s="175">
        <f t="shared" si="119"/>
        <v>8</v>
      </c>
      <c r="AI285" s="224">
        <f t="shared" si="120"/>
        <v>2.2316394002047444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10">
        <f>'2025'!Wh/'2025'!Env_an*'2026'!Env_an</f>
        <v>23.420641794578348</v>
      </c>
      <c r="C286" s="843"/>
      <c r="D286" s="392">
        <f t="shared" si="102"/>
        <v>25.003304394373497</v>
      </c>
      <c r="E286" s="384">
        <f t="shared" si="100"/>
        <v>25.521582839899008</v>
      </c>
      <c r="F286" s="384">
        <f t="shared" si="103"/>
        <v>25.523096719365252</v>
      </c>
      <c r="G286" s="110">
        <f t="shared" si="101"/>
        <v>0.55529257901095541</v>
      </c>
      <c r="H286" s="413" t="b">
        <f>Wh_hp&gt;='2025'!Maxi_hp</f>
        <v>0</v>
      </c>
      <c r="I286" s="389">
        <f>IF(H286,Wh_hp,'2025'!Maxi_hp)</f>
        <v>45.134596389109774</v>
      </c>
      <c r="J286" s="85">
        <f>IF(H286,An,'2025'!An_max)</f>
        <v>2019</v>
      </c>
      <c r="K286" s="196">
        <f t="shared" si="104"/>
        <v>46294</v>
      </c>
      <c r="L286" s="147">
        <f>IF(t&lt;Tvie,1-EXP((T0-t)*PertePVj)+'2025'!Pspv,1-EXP((T0-t)*PertePVj)+Pspv)</f>
        <v>6.3298137511428182E-2</v>
      </c>
      <c r="M286" s="847"/>
      <c r="N286" s="847"/>
      <c r="O286" s="48">
        <f>IF(t&lt;Tnet,'2025'!Resal+('2025'!Salim-'2025'!Resal)*(1-EXP(('2025'!Tnet-t)/('2025'!Tau_j))),Resal+(Salim-Resal)*(1-EXP((Tnet-t)/(Tau_j))))*Salcycl</f>
        <v>2.0307456977757037E-2</v>
      </c>
      <c r="P286" s="168">
        <f>(INDEX(Models!$BJ286:$BT286,,T286)*(1-R286)+INDEX(Models!$BJ286:$BT286,,T286+1)*R286-ERP_i)*Q286*Ramure*Pc/MaxiM</f>
        <v>1.6259987536059321E-4</v>
      </c>
      <c r="Q286" s="304">
        <f t="shared" si="105"/>
        <v>0.5</v>
      </c>
      <c r="R286" s="176">
        <f t="shared" si="106"/>
        <v>0.11677577782390292</v>
      </c>
      <c r="S286" s="814">
        <f t="shared" si="107"/>
        <v>0</v>
      </c>
      <c r="T286" s="175">
        <f t="shared" si="108"/>
        <v>6</v>
      </c>
      <c r="U286" s="250">
        <f t="shared" si="109"/>
        <v>0.11677577782390292</v>
      </c>
      <c r="V286" s="382">
        <f t="shared" si="110"/>
        <v>42.172763543158204</v>
      </c>
      <c r="W286" s="401">
        <f t="shared" si="111"/>
        <v>23.420641794578348</v>
      </c>
      <c r="X286" s="157">
        <f t="shared" si="112"/>
        <v>46294</v>
      </c>
      <c r="Y286" s="384">
        <f t="shared" si="113"/>
        <v>22.33827463573018</v>
      </c>
      <c r="Z286" s="384">
        <f t="shared" si="114"/>
        <v>23.847795686434559</v>
      </c>
      <c r="AA286" s="385">
        <f t="shared" si="115"/>
        <v>25.514810592712426</v>
      </c>
      <c r="AB286" s="196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6.5335186409496648E-2</v>
      </c>
      <c r="AD286" s="230">
        <f>(INDEX(Models!$BJ286:$BT286,,AH286)*(1-AF286)+INDEX(Models!$BJ286:$BT286,,AH286+1)*AF286-ERP_i)*AE286*Ramure*Pc/MaxiM</f>
        <v>8.899804713743256E-4</v>
      </c>
      <c r="AE286" s="304">
        <f t="shared" si="117"/>
        <v>0.5</v>
      </c>
      <c r="AF286" s="176">
        <f t="shared" si="118"/>
        <v>0.23176831764829053</v>
      </c>
      <c r="AG286" s="814">
        <f t="shared" si="124"/>
        <v>2</v>
      </c>
      <c r="AH286" s="175">
        <f t="shared" si="119"/>
        <v>8</v>
      </c>
      <c r="AI286" s="224">
        <f t="shared" si="120"/>
        <v>2.2317683176482905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10">
        <f>'2025'!Wh/'2025'!Env_an*'2026'!Env_an</f>
        <v>28.618948898362724</v>
      </c>
      <c r="C287" s="843"/>
      <c r="D287" s="392">
        <f t="shared" si="102"/>
        <v>30.553558270320639</v>
      </c>
      <c r="E287" s="384">
        <f t="shared" si="100"/>
        <v>31.18946894451965</v>
      </c>
      <c r="F287" s="384">
        <f t="shared" si="103"/>
        <v>31.192239334775561</v>
      </c>
      <c r="G287" s="110">
        <f t="shared" si="101"/>
        <v>0.68291514050372404</v>
      </c>
      <c r="H287" s="413" t="b">
        <f>Wh_hp&gt;='2025'!Maxi_hp</f>
        <v>0</v>
      </c>
      <c r="I287" s="389">
        <f>IF(H287,Wh_hp,'2025'!Maxi_hp)</f>
        <v>39.258046137495292</v>
      </c>
      <c r="J287" s="85">
        <f>IF(H287,An,'2025'!An_max)</f>
        <v>2018</v>
      </c>
      <c r="K287" s="196">
        <f t="shared" si="104"/>
        <v>46295</v>
      </c>
      <c r="L287" s="147">
        <f>IF(t&lt;Tvie,1-EXP((T0-t)*PertePVj)+'2025'!Pspv,1-EXP((T0-t)*PertePVj)+Pspv)</f>
        <v>6.331862740311886E-2</v>
      </c>
      <c r="M287" s="847"/>
      <c r="N287" s="847"/>
      <c r="O287" s="48">
        <f>IF(t&lt;Tnet,'2025'!Resal+('2025'!Salim-'2025'!Resal)*(1-EXP(('2025'!Tnet-t)/('2025'!Tau_j))),Resal+(Salim-Resal)*(1-EXP((Tnet-t)/(Tau_j))))*Salcycl</f>
        <v>2.0388634231964051E-2</v>
      </c>
      <c r="P287" s="168">
        <f>(INDEX(Models!$BJ287:$BT287,,T287)*(1-R287)+INDEX(Models!$BJ287:$BT287,,T287+1)*R287-ERP_i)*Q287*Ramure*Pc/MaxiM</f>
        <v>1.6234276658625275E-4</v>
      </c>
      <c r="Q287" s="304">
        <f t="shared" si="105"/>
        <v>0.5</v>
      </c>
      <c r="R287" s="176">
        <f t="shared" si="106"/>
        <v>0.11689960986958831</v>
      </c>
      <c r="S287" s="814">
        <f t="shared" si="107"/>
        <v>0</v>
      </c>
      <c r="T287" s="175">
        <f t="shared" si="108"/>
        <v>6</v>
      </c>
      <c r="U287" s="250">
        <f t="shared" si="109"/>
        <v>0.11689960986958831</v>
      </c>
      <c r="V287" s="382">
        <f t="shared" si="110"/>
        <v>41.903953762426688</v>
      </c>
      <c r="W287" s="401">
        <f t="shared" si="111"/>
        <v>28.618948898362724</v>
      </c>
      <c r="X287" s="157">
        <f t="shared" si="112"/>
        <v>46295</v>
      </c>
      <c r="Y287" s="384">
        <f t="shared" si="113"/>
        <v>27.294468150064752</v>
      </c>
      <c r="Z287" s="384">
        <f t="shared" si="114"/>
        <v>29.139544084657967</v>
      </c>
      <c r="AA287" s="385">
        <f t="shared" si="115"/>
        <v>31.177060927074386</v>
      </c>
      <c r="AB287" s="196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6.5353076326929299E-2</v>
      </c>
      <c r="AD287" s="230">
        <f>(INDEX(Models!$BJ287:$BT287,,AH287)*(1-AF287)+INDEX(Models!$BJ287:$BT287,,AH287+1)*AF287-ERP_i)*AE287*Ramure*Pc/MaxiM</f>
        <v>8.8944317260831074E-4</v>
      </c>
      <c r="AE287" s="304">
        <f t="shared" si="117"/>
        <v>0.5</v>
      </c>
      <c r="AF287" s="176">
        <f t="shared" si="118"/>
        <v>0.23189214969397565</v>
      </c>
      <c r="AG287" s="814">
        <f t="shared" si="124"/>
        <v>2</v>
      </c>
      <c r="AH287" s="175">
        <f t="shared" si="119"/>
        <v>8</v>
      </c>
      <c r="AI287" s="224">
        <f t="shared" si="120"/>
        <v>2.2318921496939756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10">
        <f>'2025'!Wh/'2025'!Env_an*'2026'!Env_an</f>
        <v>36.996334827318542</v>
      </c>
      <c r="C288" s="843"/>
      <c r="D288" s="392">
        <f t="shared" si="102"/>
        <v>39.498110247481058</v>
      </c>
      <c r="E288" s="384">
        <f t="shared" si="100"/>
        <v>40.323507800485153</v>
      </c>
      <c r="F288" s="384">
        <f t="shared" si="103"/>
        <v>40.329004653136522</v>
      </c>
      <c r="G288" s="110">
        <f t="shared" si="101"/>
        <v>0.88854283867234873</v>
      </c>
      <c r="H288" s="413" t="b">
        <f>Wh_hp&gt;='2025'!Maxi_hp</f>
        <v>0</v>
      </c>
      <c r="I288" s="389">
        <f>IF(H288,Wh_hp,'2025'!Maxi_hp)</f>
        <v>44.088165069651787</v>
      </c>
      <c r="J288" s="85">
        <f>IF(H288,An,'2025'!An_max)</f>
        <v>2020</v>
      </c>
      <c r="K288" s="196">
        <f t="shared" si="104"/>
        <v>46296</v>
      </c>
      <c r="L288" s="147">
        <f>IF(t&lt;Tvie,1-EXP((T0-t)*PertePVj)+'2025'!Pspv,1-EXP((T0-t)*PertePVj)+Pspv)</f>
        <v>6.3339116846028415E-2</v>
      </c>
      <c r="M288" s="847"/>
      <c r="N288" s="847"/>
      <c r="O288" s="48">
        <f>IF(t&lt;Tnet,'2025'!Resal+('2025'!Salim-'2025'!Resal)*(1-EXP(('2025'!Tnet-t)/('2025'!Tau_j))),Resal+(Salim-Resal)*(1-EXP((Tnet-t)/(Tau_j))))*Salcycl</f>
        <v>2.0469388652595386E-2</v>
      </c>
      <c r="P288" s="168">
        <f>(INDEX(Models!$BJ288:$BT288,,T288)*(1-R288)+INDEX(Models!$BJ288:$BT288,,T288+1)*R288-ERP_i)*Q288*Ramure*Pc/MaxiM</f>
        <v>1.6210620162200728E-4</v>
      </c>
      <c r="Q288" s="304">
        <f t="shared" si="105"/>
        <v>0.5</v>
      </c>
      <c r="R288" s="176">
        <f t="shared" si="106"/>
        <v>0.11701855309123727</v>
      </c>
      <c r="S288" s="814">
        <f t="shared" si="107"/>
        <v>0</v>
      </c>
      <c r="T288" s="175">
        <f t="shared" si="108"/>
        <v>6</v>
      </c>
      <c r="U288" s="250">
        <f t="shared" si="109"/>
        <v>0.11701855309123727</v>
      </c>
      <c r="V288" s="382">
        <f t="shared" si="110"/>
        <v>41.636011636896271</v>
      </c>
      <c r="W288" s="401">
        <f t="shared" si="111"/>
        <v>36.996334827318542</v>
      </c>
      <c r="X288" s="157">
        <f t="shared" si="112"/>
        <v>46296</v>
      </c>
      <c r="Y288" s="384">
        <f t="shared" si="113"/>
        <v>35.278865267042228</v>
      </c>
      <c r="Z288" s="384">
        <f t="shared" si="114"/>
        <v>37.664501530425248</v>
      </c>
      <c r="AA288" s="385">
        <f t="shared" si="115"/>
        <v>40.298838196003501</v>
      </c>
      <c r="AB288" s="196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6.5370040018660105E-2</v>
      </c>
      <c r="AD288" s="230">
        <f>(INDEX(Models!$BJ288:$BT288,,AH288)*(1-AF288)+INDEX(Models!$BJ288:$BT288,,AH288+1)*AF288-ERP_i)*AE288*Ramure*Pc/MaxiM</f>
        <v>8.896308655841215E-4</v>
      </c>
      <c r="AE288" s="304">
        <f t="shared" si="117"/>
        <v>0.5</v>
      </c>
      <c r="AF288" s="176">
        <f t="shared" si="118"/>
        <v>0.23201109291562449</v>
      </c>
      <c r="AG288" s="814">
        <f t="shared" si="124"/>
        <v>2</v>
      </c>
      <c r="AH288" s="175">
        <f t="shared" si="119"/>
        <v>8</v>
      </c>
      <c r="AI288" s="224">
        <f t="shared" si="120"/>
        <v>2.2320110929156245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10">
        <f>'2025'!Wh/'2025'!Env_an*'2026'!Env_an</f>
        <v>39.765616819003093</v>
      </c>
      <c r="C289" s="843"/>
      <c r="D289" s="392">
        <f t="shared" si="102"/>
        <v>42.455586014601536</v>
      </c>
      <c r="E289" s="384">
        <f t="shared" si="100"/>
        <v>43.346340842989633</v>
      </c>
      <c r="F289" s="384">
        <f t="shared" si="103"/>
        <v>43.352970772810338</v>
      </c>
      <c r="G289" s="110">
        <f t="shared" si="101"/>
        <v>0.96124053916084218</v>
      </c>
      <c r="H289" s="413" t="b">
        <f>Wh_hp&gt;='2025'!Maxi_hp</f>
        <v>0</v>
      </c>
      <c r="I289" s="389">
        <f>IF(H289,Wh_hp,'2025'!Maxi_hp)</f>
        <v>43.353177194084154</v>
      </c>
      <c r="J289" s="85">
        <f>IF(H289,An,'2025'!An_max)</f>
        <v>2025</v>
      </c>
      <c r="K289" s="196">
        <f t="shared" si="104"/>
        <v>46297</v>
      </c>
      <c r="L289" s="147">
        <f>IF(t&lt;Tvie,1-EXP((T0-t)*PertePVj)+'2025'!Pspv,1-EXP((T0-t)*PertePVj)+Pspv)</f>
        <v>6.3359605840166616E-2</v>
      </c>
      <c r="M289" s="847"/>
      <c r="N289" s="847"/>
      <c r="O289" s="48">
        <f>IF(t&lt;Tnet,'2025'!Resal+('2025'!Salim-'2025'!Resal)*(1-EXP(('2025'!Tnet-t)/('2025'!Tau_j))),Resal+(Salim-Resal)*(1-EXP((Tnet-t)/(Tau_j))))*Salcycl</f>
        <v>2.054971218019578E-2</v>
      </c>
      <c r="P289" s="168">
        <f>(INDEX(Models!$BJ289:$BT289,,T289)*(1-R289)+INDEX(Models!$BJ289:$BT289,,T289+1)*R289-ERP_i)*Q289*Ramure*Pc/MaxiM</f>
        <v>1.618911015629745E-4</v>
      </c>
      <c r="Q289" s="304">
        <f t="shared" si="105"/>
        <v>0.5</v>
      </c>
      <c r="R289" s="176">
        <f t="shared" si="106"/>
        <v>0.11713279677953109</v>
      </c>
      <c r="S289" s="814">
        <f t="shared" si="107"/>
        <v>0</v>
      </c>
      <c r="T289" s="175">
        <f t="shared" si="108"/>
        <v>6</v>
      </c>
      <c r="U289" s="250">
        <f t="shared" si="109"/>
        <v>0.11713279677953109</v>
      </c>
      <c r="V289" s="382">
        <f t="shared" si="110"/>
        <v>41.368688443776968</v>
      </c>
      <c r="W289" s="401">
        <f t="shared" si="111"/>
        <v>39.765616819003093</v>
      </c>
      <c r="X289" s="157">
        <f t="shared" si="112"/>
        <v>46297</v>
      </c>
      <c r="Y289" s="384">
        <f t="shared" si="113"/>
        <v>37.91914136632851</v>
      </c>
      <c r="Z289" s="384">
        <f t="shared" si="114"/>
        <v>40.484204613385259</v>
      </c>
      <c r="AA289" s="385">
        <f t="shared" si="115"/>
        <v>43.316499905439279</v>
      </c>
      <c r="AB289" s="196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6.5386060698278389E-2</v>
      </c>
      <c r="AD289" s="230">
        <f>(INDEX(Models!$BJ289:$BT289,,AH289)*(1-AF289)+INDEX(Models!$BJ289:$BT289,,AH289+1)*AF289-ERP_i)*AE289*Ramure*Pc/MaxiM</f>
        <v>8.9055375446326875E-4</v>
      </c>
      <c r="AE289" s="304">
        <f t="shared" si="117"/>
        <v>0.5</v>
      </c>
      <c r="AF289" s="176">
        <f t="shared" si="118"/>
        <v>0.23212533660391843</v>
      </c>
      <c r="AG289" s="814">
        <f t="shared" si="124"/>
        <v>2</v>
      </c>
      <c r="AH289" s="175">
        <f t="shared" si="119"/>
        <v>8</v>
      </c>
      <c r="AI289" s="224">
        <f t="shared" si="120"/>
        <v>2.2321253366039184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10">
        <f>'2025'!Wh/'2025'!Env_an*'2026'!Env_an</f>
        <v>36.820297093247817</v>
      </c>
      <c r="C290" s="843"/>
      <c r="D290" s="392">
        <f t="shared" si="102"/>
        <v>39.311888283104935</v>
      </c>
      <c r="E290" s="384">
        <f t="shared" si="100"/>
        <v>40.139959478204673</v>
      </c>
      <c r="F290" s="384">
        <f t="shared" si="103"/>
        <v>40.145487481545935</v>
      </c>
      <c r="G290" s="110">
        <f t="shared" si="101"/>
        <v>0.89582463944772517</v>
      </c>
      <c r="H290" s="413" t="b">
        <f>Wh_hp&gt;='2025'!Maxi_hp</f>
        <v>0</v>
      </c>
      <c r="I290" s="389">
        <f>IF(H290,Wh_hp,'2025'!Maxi_hp)</f>
        <v>41.859424132175342</v>
      </c>
      <c r="J290" s="85">
        <f>IF(H290,An,'2025'!An_max)</f>
        <v>2018</v>
      </c>
      <c r="K290" s="196">
        <f t="shared" si="104"/>
        <v>46298</v>
      </c>
      <c r="L290" s="147">
        <f>IF(t&lt;Tvie,1-EXP((T0-t)*PertePVj)+'2025'!Pspv,1-EXP((T0-t)*PertePVj)+Pspv)</f>
        <v>6.3380094385543123E-2</v>
      </c>
      <c r="M290" s="847"/>
      <c r="N290" s="847"/>
      <c r="O290" s="48">
        <f>IF(t&lt;Tnet,'2025'!Resal+('2025'!Salim-'2025'!Resal)*(1-EXP(('2025'!Tnet-t)/('2025'!Tau_j))),Resal+(Salim-Resal)*(1-EXP((Tnet-t)/(Tau_j))))*Salcycl</f>
        <v>2.062959718605013E-2</v>
      </c>
      <c r="P290" s="168">
        <f>(INDEX(Models!$BJ290:$BT290,,T290)*(1-R290)+INDEX(Models!$BJ290:$BT290,,T290+1)*R290-ERP_i)*Q290*Ramure*Pc/MaxiM</f>
        <v>1.6176904557543132E-4</v>
      </c>
      <c r="Q290" s="304">
        <f t="shared" si="105"/>
        <v>0.5</v>
      </c>
      <c r="R290" s="176">
        <f t="shared" si="106"/>
        <v>0.1172425231870039</v>
      </c>
      <c r="S290" s="814">
        <f t="shared" si="107"/>
        <v>0</v>
      </c>
      <c r="T290" s="175">
        <f t="shared" si="108"/>
        <v>6</v>
      </c>
      <c r="U290" s="250">
        <f t="shared" si="109"/>
        <v>0.1172425231870039</v>
      </c>
      <c r="V290" s="382">
        <f t="shared" si="110"/>
        <v>41.101136419632148</v>
      </c>
      <c r="W290" s="401">
        <f t="shared" si="111"/>
        <v>36.820297093247817</v>
      </c>
      <c r="X290" s="157">
        <f t="shared" si="112"/>
        <v>46298</v>
      </c>
      <c r="Y290" s="384">
        <f t="shared" si="113"/>
        <v>35.11522587494423</v>
      </c>
      <c r="Z290" s="384">
        <f t="shared" si="114"/>
        <v>37.491436669720741</v>
      </c>
      <c r="AA290" s="385">
        <f t="shared" si="115"/>
        <v>40.115002915499346</v>
      </c>
      <c r="AB290" s="196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6.5401123148490045E-2</v>
      </c>
      <c r="AD290" s="230">
        <f>(INDEX(Models!$BJ290:$BT290,,AH290)*(1-AF290)+INDEX(Models!$BJ290:$BT290,,AH290+1)*AF290-ERP_i)*AE290*Ramure*Pc/MaxiM</f>
        <v>8.9208686205586305E-4</v>
      </c>
      <c r="AE290" s="304">
        <f t="shared" si="117"/>
        <v>0.5</v>
      </c>
      <c r="AF290" s="176">
        <f t="shared" si="118"/>
        <v>0.23223506301139141</v>
      </c>
      <c r="AG290" s="814">
        <f t="shared" si="124"/>
        <v>2</v>
      </c>
      <c r="AH290" s="175">
        <f t="shared" si="119"/>
        <v>8</v>
      </c>
      <c r="AI290" s="224">
        <f t="shared" si="120"/>
        <v>2.2322350630113914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10">
        <f>'2025'!Wh/'2025'!Env_an*'2026'!Env_an</f>
        <v>41.158551762543333</v>
      </c>
      <c r="C291" s="843"/>
      <c r="D291" s="392">
        <f t="shared" si="102"/>
        <v>43.944669399455094</v>
      </c>
      <c r="E291" s="384">
        <f t="shared" si="100"/>
        <v>44.873966001059571</v>
      </c>
      <c r="F291" s="384">
        <f t="shared" si="103"/>
        <v>44.881229188425138</v>
      </c>
      <c r="G291" s="110">
        <f t="shared" si="101"/>
        <v>1.0079714315717951</v>
      </c>
      <c r="H291" s="413" t="b">
        <f>Wh_hp&gt;='2025'!Maxi_hp</f>
        <v>0</v>
      </c>
      <c r="I291" s="389">
        <f>IF(H291,Wh_hp,'2025'!Maxi_hp)</f>
        <v>44.881229188425152</v>
      </c>
      <c r="J291" s="85">
        <f>IF(H291,An,'2025'!An_max)</f>
        <v>2022</v>
      </c>
      <c r="K291" s="196">
        <f t="shared" si="104"/>
        <v>46299</v>
      </c>
      <c r="L291" s="147">
        <f>IF(t&lt;Tvie,1-EXP((T0-t)*PertePVj)+'2025'!Pspv,1-EXP((T0-t)*PertePVj)+Pspv)</f>
        <v>6.3400582482168039E-2</v>
      </c>
      <c r="M291" s="847"/>
      <c r="N291" s="847"/>
      <c r="O291" s="48">
        <f>IF(t&lt;Tnet,'2025'!Resal+('2025'!Salim-'2025'!Resal)*(1-EXP(('2025'!Tnet-t)/('2025'!Tau_j))),Resal+(Salim-Resal)*(1-EXP((Tnet-t)/(Tau_j))))*Salcycl</f>
        <v>2.07090365398622E-2</v>
      </c>
      <c r="P291" s="168">
        <f>(INDEX(Models!$BJ291:$BT291,,T291)*(1-R291)+INDEX(Models!$BJ291:$BT291,,T291+1)*R291-ERP_i)*Q291*Ramure*Pc/MaxiM</f>
        <v>1.6183129332474443E-4</v>
      </c>
      <c r="Q291" s="304">
        <f t="shared" si="105"/>
        <v>0.5</v>
      </c>
      <c r="R291" s="176">
        <f t="shared" si="106"/>
        <v>0.11734790776680221</v>
      </c>
      <c r="S291" s="814">
        <f t="shared" si="107"/>
        <v>0</v>
      </c>
      <c r="T291" s="175">
        <f t="shared" si="108"/>
        <v>6</v>
      </c>
      <c r="U291" s="250">
        <f t="shared" si="109"/>
        <v>0.11734790776680221</v>
      </c>
      <c r="V291" s="382">
        <f t="shared" si="110"/>
        <v>40.833053867768982</v>
      </c>
      <c r="W291" s="401">
        <f t="shared" si="111"/>
        <v>41.158551762543333</v>
      </c>
      <c r="X291" s="157">
        <f t="shared" si="112"/>
        <v>46299</v>
      </c>
      <c r="Y291" s="384">
        <f t="shared" si="113"/>
        <v>39.250833243531261</v>
      </c>
      <c r="Z291" s="384">
        <f t="shared" si="114"/>
        <v>41.907812998168943</v>
      </c>
      <c r="AA291" s="385">
        <f t="shared" si="115"/>
        <v>44.841103366648206</v>
      </c>
      <c r="AB291" s="196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6.5415213905306691E-2</v>
      </c>
      <c r="AD291" s="230">
        <f>(INDEX(Models!$BJ291:$BT291,,AH291)*(1-AF291)+INDEX(Models!$BJ291:$BT291,,AH291+1)*AF291-ERP_i)*AE291*Ramure*Pc/MaxiM</f>
        <v>8.9404462628394428E-4</v>
      </c>
      <c r="AE291" s="304">
        <f t="shared" si="117"/>
        <v>0.5</v>
      </c>
      <c r="AF291" s="176">
        <f t="shared" si="118"/>
        <v>0.23234044759118966</v>
      </c>
      <c r="AG291" s="814">
        <f t="shared" si="124"/>
        <v>2</v>
      </c>
      <c r="AH291" s="175">
        <f t="shared" si="119"/>
        <v>8</v>
      </c>
      <c r="AI291" s="224">
        <f t="shared" si="120"/>
        <v>2.2323404475911897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10">
        <f>'2025'!Wh/'2025'!Env_an*'2026'!Env_an</f>
        <v>41.747670723317398</v>
      </c>
      <c r="C292" s="843"/>
      <c r="D292" s="392">
        <f t="shared" si="102"/>
        <v>44.574642234493119</v>
      </c>
      <c r="E292" s="384">
        <f t="shared" si="100"/>
        <v>45.520932456245852</v>
      </c>
      <c r="F292" s="384">
        <f t="shared" si="103"/>
        <v>45.528311712611462</v>
      </c>
      <c r="G292" s="110">
        <f t="shared" si="101"/>
        <v>1.0291767006339698</v>
      </c>
      <c r="H292" s="413" t="b">
        <f>Wh_hp&gt;='2025'!Maxi_hp</f>
        <v>1</v>
      </c>
      <c r="I292" s="389">
        <f>IF(H292,Wh_hp,'2025'!Maxi_hp)</f>
        <v>45.528311712611462</v>
      </c>
      <c r="J292" s="85">
        <f>IF(H292,An,'2025'!An_max)</f>
        <v>2026</v>
      </c>
      <c r="K292" s="196">
        <f t="shared" si="104"/>
        <v>46300</v>
      </c>
      <c r="L292" s="147">
        <f>IF(t&lt;Tvie,1-EXP((T0-t)*PertePVj)+'2025'!Pspv,1-EXP((T0-t)*PertePVj)+Pspv)</f>
        <v>6.3421070130051022E-2</v>
      </c>
      <c r="M292" s="847"/>
      <c r="N292" s="847"/>
      <c r="O292" s="48">
        <f>IF(t&lt;Tnet,'2025'!Resal+('2025'!Salim-'2025'!Resal)*(1-EXP(('2025'!Tnet-t)/('2025'!Tau_j))),Resal+(Salim-Resal)*(1-EXP((Tnet-t)/(Tau_j))))*Salcycl</f>
        <v>2.0788023678168246E-2</v>
      </c>
      <c r="P292" s="168">
        <f>(INDEX(Models!$BJ292:$BT292,,T292)*(1-R292)+INDEX(Models!$BJ292:$BT292,,T292+1)*R292-ERP_i)*Q292*Ramure*Pc/MaxiM</f>
        <v>1.6208060628714925E-4</v>
      </c>
      <c r="Q292" s="304">
        <f t="shared" si="105"/>
        <v>0.5</v>
      </c>
      <c r="R292" s="176">
        <f t="shared" si="106"/>
        <v>0.1174491194051912</v>
      </c>
      <c r="S292" s="814">
        <f t="shared" si="107"/>
        <v>0</v>
      </c>
      <c r="T292" s="175">
        <f t="shared" si="108"/>
        <v>6</v>
      </c>
      <c r="U292" s="250">
        <f t="shared" si="109"/>
        <v>0.1174491194051912</v>
      </c>
      <c r="V292" s="382">
        <f t="shared" si="110"/>
        <v>40.56414287031658</v>
      </c>
      <c r="W292" s="401">
        <f t="shared" si="111"/>
        <v>41.747670723317398</v>
      </c>
      <c r="X292" s="157">
        <f t="shared" si="112"/>
        <v>46300</v>
      </c>
      <c r="Y292" s="384">
        <f t="shared" si="113"/>
        <v>39.815213953586358</v>
      </c>
      <c r="Z292" s="384">
        <f t="shared" si="114"/>
        <v>42.511327859057218</v>
      </c>
      <c r="AA292" s="385">
        <f t="shared" si="115"/>
        <v>45.487498534723777</v>
      </c>
      <c r="AB292" s="196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6.5428321440772166E-2</v>
      </c>
      <c r="AD292" s="230">
        <f>(INDEX(Models!$BJ292:$BT292,,AH292)*(1-AF292)+INDEX(Models!$BJ292:$BT292,,AH292+1)*AF292-ERP_i)*AE292*Ramure*Pc/MaxiM</f>
        <v>8.9643512690104469E-4</v>
      </c>
      <c r="AE292" s="304">
        <f t="shared" si="117"/>
        <v>0.5</v>
      </c>
      <c r="AF292" s="176">
        <f t="shared" si="118"/>
        <v>0.2324416592295786</v>
      </c>
      <c r="AG292" s="814">
        <f t="shared" si="124"/>
        <v>2</v>
      </c>
      <c r="AH292" s="175">
        <f t="shared" si="119"/>
        <v>8</v>
      </c>
      <c r="AI292" s="224">
        <f t="shared" si="120"/>
        <v>2.2324416592295786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10">
        <f>'2025'!Wh/'2025'!Env_an*'2026'!Env_an</f>
        <v>14.94467567717273</v>
      </c>
      <c r="C293" s="843"/>
      <c r="D293" s="392">
        <f t="shared" si="102"/>
        <v>15.957013461492878</v>
      </c>
      <c r="E293" s="384">
        <f t="shared" si="100"/>
        <v>16.297077283034383</v>
      </c>
      <c r="F293" s="384">
        <f t="shared" si="103"/>
        <v>16.297345514148962</v>
      </c>
      <c r="G293" s="110">
        <f t="shared" si="101"/>
        <v>0.37083569871870031</v>
      </c>
      <c r="H293" s="413" t="b">
        <f>Wh_hp&gt;='2025'!Maxi_hp</f>
        <v>0</v>
      </c>
      <c r="I293" s="389">
        <f>IF(H293,Wh_hp,'2025'!Maxi_hp)</f>
        <v>40.753647143943134</v>
      </c>
      <c r="J293" s="85">
        <f>IF(H293,An,'2025'!An_max)</f>
        <v>2018</v>
      </c>
      <c r="K293" s="196">
        <f t="shared" si="104"/>
        <v>46301</v>
      </c>
      <c r="L293" s="147">
        <f>IF(t&lt;Tvie,1-EXP((T0-t)*PertePVj)+'2025'!Pspv,1-EXP((T0-t)*PertePVj)+Pspv)</f>
        <v>6.3441557329201842E-2</v>
      </c>
      <c r="M293" s="847"/>
      <c r="N293" s="847"/>
      <c r="O293" s="48">
        <f>IF(t&lt;Tnet,'2025'!Resal+('2025'!Salim-'2025'!Resal)*(1-EXP(('2025'!Tnet-t)/('2025'!Tau_j))),Resal+(Salim-Resal)*(1-EXP((Tnet-t)/(Tau_j))))*Salcycl</f>
        <v>2.0866552672945744E-2</v>
      </c>
      <c r="P293" s="168">
        <f>(INDEX(Models!$BJ293:$BT293,,T293)*(1-R293)+INDEX(Models!$BJ293:$BT293,,T293+1)*R293-ERP_i)*Q293*Ramure*Pc/MaxiM</f>
        <v>1.6251974332515912E-4</v>
      </c>
      <c r="Q293" s="304">
        <f t="shared" si="105"/>
        <v>0.5</v>
      </c>
      <c r="R293" s="176">
        <f t="shared" si="106"/>
        <v>0.11754632064781467</v>
      </c>
      <c r="S293" s="814">
        <f t="shared" si="107"/>
        <v>0</v>
      </c>
      <c r="T293" s="175">
        <f t="shared" si="108"/>
        <v>6</v>
      </c>
      <c r="U293" s="250">
        <f t="shared" si="109"/>
        <v>0.11754632064781467</v>
      </c>
      <c r="V293" s="382">
        <f t="shared" si="110"/>
        <v>40.294105600171392</v>
      </c>
      <c r="W293" s="401">
        <f t="shared" si="111"/>
        <v>14.94467567717273</v>
      </c>
      <c r="X293" s="157">
        <f t="shared" si="112"/>
        <v>46301</v>
      </c>
      <c r="Y293" s="384">
        <f t="shared" si="113"/>
        <v>14.263272823743268</v>
      </c>
      <c r="Z293" s="384">
        <f t="shared" si="114"/>
        <v>15.229453041999678</v>
      </c>
      <c r="AA293" s="385">
        <f t="shared" si="115"/>
        <v>16.29586131717404</v>
      </c>
      <c r="AB293" s="196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6.54404363425998E-2</v>
      </c>
      <c r="AD293" s="230">
        <f>(INDEX(Models!$BJ293:$BT293,,AH293)*(1-AF293)+INDEX(Models!$BJ293:$BT293,,AH293+1)*AF293-ERP_i)*AE293*Ramure*Pc/MaxiM</f>
        <v>8.9926670807095779E-4</v>
      </c>
      <c r="AE293" s="304">
        <f t="shared" si="117"/>
        <v>0.5</v>
      </c>
      <c r="AF293" s="176">
        <f t="shared" si="118"/>
        <v>0.23253886047220185</v>
      </c>
      <c r="AG293" s="814">
        <f t="shared" si="124"/>
        <v>2</v>
      </c>
      <c r="AH293" s="175">
        <f t="shared" si="119"/>
        <v>8</v>
      </c>
      <c r="AI293" s="224">
        <f t="shared" si="120"/>
        <v>2.2325388604722018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10">
        <f>'2025'!Wh/'2025'!Env_an*'2026'!Env_an</f>
        <v>28.76193592209826</v>
      </c>
      <c r="C294" s="843"/>
      <c r="D294" s="392">
        <f t="shared" si="102"/>
        <v>30.710913252664568</v>
      </c>
      <c r="E294" s="384">
        <f t="shared" si="100"/>
        <v>31.367901986642035</v>
      </c>
      <c r="F294" s="384">
        <f t="shared" si="103"/>
        <v>31.370962985472715</v>
      </c>
      <c r="G294" s="110">
        <f t="shared" si="101"/>
        <v>0.71859443823375657</v>
      </c>
      <c r="H294" s="413" t="b">
        <f>Wh_hp&gt;='2025'!Maxi_hp</f>
        <v>0</v>
      </c>
      <c r="I294" s="389">
        <f>IF(H294,Wh_hp,'2025'!Maxi_hp)</f>
        <v>44.062156348589909</v>
      </c>
      <c r="J294" s="85">
        <f>IF(H294,An,'2025'!An_max)</f>
        <v>2021</v>
      </c>
      <c r="K294" s="196">
        <f t="shared" si="104"/>
        <v>46302</v>
      </c>
      <c r="L294" s="147">
        <f>IF(t&lt;Tvie,1-EXP((T0-t)*PertePVj)+'2025'!Pspv,1-EXP((T0-t)*PertePVj)+Pspv)</f>
        <v>6.3462044079630492E-2</v>
      </c>
      <c r="M294" s="847"/>
      <c r="N294" s="847"/>
      <c r="O294" s="48">
        <f>IF(t&lt;Tnet,'2025'!Resal+('2025'!Salim-'2025'!Resal)*(1-EXP(('2025'!Tnet-t)/('2025'!Tau_j))),Resal+(Salim-Resal)*(1-EXP((Tnet-t)/(Tau_j))))*Salcycl</f>
        <v>2.0944618299854608E-2</v>
      </c>
      <c r="P294" s="168">
        <f>(INDEX(Models!$BJ294:$BT294,,T294)*(1-R294)+INDEX(Models!$BJ294:$BT294,,T294+1)*R294-ERP_i)*Q294*Ramure*Pc/MaxiM</f>
        <v>1.6315147469389145E-4</v>
      </c>
      <c r="Q294" s="304">
        <f t="shared" si="105"/>
        <v>0.5</v>
      </c>
      <c r="R294" s="176">
        <f t="shared" si="106"/>
        <v>0.11763966791972841</v>
      </c>
      <c r="S294" s="814">
        <f t="shared" si="107"/>
        <v>0</v>
      </c>
      <c r="T294" s="175">
        <f t="shared" si="108"/>
        <v>6</v>
      </c>
      <c r="U294" s="250">
        <f t="shared" si="109"/>
        <v>0.11763966791972841</v>
      </c>
      <c r="V294" s="382">
        <f t="shared" si="110"/>
        <v>40.022644318525259</v>
      </c>
      <c r="W294" s="401">
        <f t="shared" si="111"/>
        <v>28.76193592209826</v>
      </c>
      <c r="X294" s="157">
        <f t="shared" si="112"/>
        <v>46302</v>
      </c>
      <c r="Y294" s="384">
        <f t="shared" si="113"/>
        <v>27.44230384901093</v>
      </c>
      <c r="Z294" s="384">
        <f t="shared" si="114"/>
        <v>29.301859765034717</v>
      </c>
      <c r="AA294" s="385">
        <f t="shared" si="115"/>
        <v>31.354029651135846</v>
      </c>
      <c r="AB294" s="196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6.5451551489069434E-2</v>
      </c>
      <c r="AD294" s="230">
        <f>(INDEX(Models!$BJ294:$BT294,,AH294)*(1-AF294)+INDEX(Models!$BJ294:$BT294,,AH294+1)*AF294-ERP_i)*AE294*Ramure*Pc/MaxiM</f>
        <v>9.0254803133366025E-4</v>
      </c>
      <c r="AE294" s="304">
        <f t="shared" si="117"/>
        <v>0.5</v>
      </c>
      <c r="AF294" s="176">
        <f t="shared" si="118"/>
        <v>0.23263220774411586</v>
      </c>
      <c r="AG294" s="814">
        <f t="shared" si="124"/>
        <v>2</v>
      </c>
      <c r="AH294" s="175">
        <f t="shared" si="119"/>
        <v>8</v>
      </c>
      <c r="AI294" s="224">
        <f t="shared" si="120"/>
        <v>2.2326322077441159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10">
        <f>'2025'!Wh/'2025'!Env_an*'2026'!Env_an</f>
        <v>16.092878799783936</v>
      </c>
      <c r="C295" s="843"/>
      <c r="D295" s="392">
        <f t="shared" si="102"/>
        <v>17.183746509648028</v>
      </c>
      <c r="E295" s="384">
        <f t="shared" si="100"/>
        <v>17.552744089134872</v>
      </c>
      <c r="F295" s="384">
        <f t="shared" si="103"/>
        <v>17.553175256109039</v>
      </c>
      <c r="G295" s="110">
        <f t="shared" si="101"/>
        <v>0.40480133816355962</v>
      </c>
      <c r="H295" s="413" t="b">
        <f>Wh_hp&gt;='2025'!Maxi_hp</f>
        <v>0</v>
      </c>
      <c r="I295" s="389">
        <f>IF(H295,Wh_hp,'2025'!Maxi_hp)</f>
        <v>43.274258019273653</v>
      </c>
      <c r="J295" s="85">
        <f>IF(H295,An,'2025'!An_max)</f>
        <v>2021</v>
      </c>
      <c r="K295" s="196">
        <f t="shared" si="104"/>
        <v>46303</v>
      </c>
      <c r="L295" s="147">
        <f>IF(t&lt;Tvie,1-EXP((T0-t)*PertePVj)+'2025'!Pspv,1-EXP((T0-t)*PertePVj)+Pspv)</f>
        <v>6.3482530381346741E-2</v>
      </c>
      <c r="M295" s="847"/>
      <c r="N295" s="847"/>
      <c r="O295" s="48">
        <f>IF(t&lt;Tnet,'2025'!Resal+('2025'!Salim-'2025'!Resal)*(1-EXP(('2025'!Tnet-t)/('2025'!Tau_j))),Resal+(Salim-Resal)*(1-EXP((Tnet-t)/(Tau_j))))*Salcycl</f>
        <v>2.1022216105529352E-2</v>
      </c>
      <c r="P295" s="168">
        <f>(INDEX(Models!$BJ295:$BT295,,T295)*(1-R295)+INDEX(Models!$BJ295:$BT295,,T295+1)*R295-ERP_i)*Q295*Ramure*Pc/MaxiM</f>
        <v>1.6397859784568789E-4</v>
      </c>
      <c r="Q295" s="304">
        <f t="shared" si="105"/>
        <v>0.5</v>
      </c>
      <c r="R295" s="176">
        <f t="shared" si="106"/>
        <v>0.11772931173924511</v>
      </c>
      <c r="S295" s="814">
        <f t="shared" si="107"/>
        <v>0</v>
      </c>
      <c r="T295" s="175">
        <f t="shared" si="108"/>
        <v>6</v>
      </c>
      <c r="U295" s="250">
        <f t="shared" si="109"/>
        <v>0.11772931173924511</v>
      </c>
      <c r="V295" s="382">
        <f t="shared" si="110"/>
        <v>39.749461370330714</v>
      </c>
      <c r="W295" s="401">
        <f t="shared" si="111"/>
        <v>16.092878799783936</v>
      </c>
      <c r="X295" s="157">
        <f t="shared" si="112"/>
        <v>46303</v>
      </c>
      <c r="Y295" s="384">
        <f t="shared" si="113"/>
        <v>15.360654851696587</v>
      </c>
      <c r="Z295" s="384">
        <f t="shared" si="114"/>
        <v>16.401888218861945</v>
      </c>
      <c r="AA295" s="385">
        <f t="shared" si="115"/>
        <v>17.550792252976116</v>
      </c>
      <c r="AB295" s="196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6.5461662217518923E-2</v>
      </c>
      <c r="AD295" s="230">
        <f>(INDEX(Models!$BJ295:$BT295,,AH295)*(1-AF295)+INDEX(Models!$BJ295:$BT295,,AH295+1)*AF295-ERP_i)*AE295*Ramure*Pc/MaxiM</f>
        <v>9.0628813385822246E-4</v>
      </c>
      <c r="AE295" s="304">
        <f t="shared" si="117"/>
        <v>0.5</v>
      </c>
      <c r="AF295" s="176">
        <f t="shared" si="118"/>
        <v>0.23272185156363268</v>
      </c>
      <c r="AG295" s="814">
        <f t="shared" si="124"/>
        <v>2</v>
      </c>
      <c r="AH295" s="175">
        <f t="shared" si="119"/>
        <v>8</v>
      </c>
      <c r="AI295" s="224">
        <f t="shared" si="120"/>
        <v>2.2327218515636327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10">
        <f>'2025'!Wh/'2025'!Env_an*'2026'!Env_an</f>
        <v>38.549688708940025</v>
      </c>
      <c r="C296" s="843"/>
      <c r="D296" s="392">
        <f t="shared" si="102"/>
        <v>41.163708348458677</v>
      </c>
      <c r="E296" s="384">
        <f t="shared" si="100"/>
        <v>42.05095586764083</v>
      </c>
      <c r="F296" s="384">
        <f t="shared" si="103"/>
        <v>42.057657576372087</v>
      </c>
      <c r="G296" s="110">
        <f t="shared" si="101"/>
        <v>0.97657236263879788</v>
      </c>
      <c r="H296" s="413" t="b">
        <f>Wh_hp&gt;='2025'!Maxi_hp</f>
        <v>0</v>
      </c>
      <c r="I296" s="389">
        <f>IF(H296,Wh_hp,'2025'!Maxi_hp)</f>
        <v>42.057780556139107</v>
      </c>
      <c r="J296" s="85">
        <f>IF(H296,An,'2025'!An_max)</f>
        <v>2025</v>
      </c>
      <c r="K296" s="196">
        <f t="shared" si="104"/>
        <v>46304</v>
      </c>
      <c r="L296" s="147">
        <f>IF(t&lt;Tvie,1-EXP((T0-t)*PertePVj)+'2025'!Pspv,1-EXP((T0-t)*PertePVj)+Pspv)</f>
        <v>6.3503016234360471E-2</v>
      </c>
      <c r="M296" s="847"/>
      <c r="N296" s="847"/>
      <c r="O296" s="48">
        <f>IF(t&lt;Tnet,'2025'!Resal+('2025'!Salim-'2025'!Resal)*(1-EXP(('2025'!Tnet-t)/('2025'!Tau_j))),Resal+(Salim-Resal)*(1-EXP((Tnet-t)/(Tau_j))))*Salcycl</f>
        <v>2.1099342473328012E-2</v>
      </c>
      <c r="P296" s="168">
        <f>(INDEX(Models!$BJ296:$BT296,,T296)*(1-R296)+INDEX(Models!$BJ296:$BT296,,T296+1)*R296-ERP_i)*Q296*Ramure*Pc/MaxiM</f>
        <v>1.648620880495122E-4</v>
      </c>
      <c r="Q296" s="304">
        <f t="shared" si="105"/>
        <v>0.5</v>
      </c>
      <c r="R296" s="176">
        <f t="shared" si="106"/>
        <v>0.11781539692564263</v>
      </c>
      <c r="S296" s="814">
        <f t="shared" si="107"/>
        <v>0</v>
      </c>
      <c r="T296" s="175">
        <f t="shared" si="108"/>
        <v>6</v>
      </c>
      <c r="U296" s="250">
        <f t="shared" si="109"/>
        <v>0.11781539692564263</v>
      </c>
      <c r="V296" s="382">
        <f t="shared" si="110"/>
        <v>39.474264782113082</v>
      </c>
      <c r="W296" s="401">
        <f t="shared" si="111"/>
        <v>38.549688708940025</v>
      </c>
      <c r="X296" s="157">
        <f t="shared" si="112"/>
        <v>46304</v>
      </c>
      <c r="Y296" s="384">
        <f t="shared" si="113"/>
        <v>36.775815624400224</v>
      </c>
      <c r="Z296" s="384">
        <f t="shared" si="114"/>
        <v>39.269550529170154</v>
      </c>
      <c r="AA296" s="385">
        <f t="shared" si="115"/>
        <v>42.020676422778024</v>
      </c>
      <c r="AB296" s="196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6.5470766484772125E-2</v>
      </c>
      <c r="AD296" s="230">
        <f>(INDEX(Models!$BJ296:$BT296,,AH296)*(1-AF296)+INDEX(Models!$BJ296:$BT296,,AH296+1)*AF296-ERP_i)*AE296*Ramure*Pc/MaxiM</f>
        <v>9.0973667231428993E-4</v>
      </c>
      <c r="AE296" s="304">
        <f t="shared" si="117"/>
        <v>0.5</v>
      </c>
      <c r="AF296" s="176">
        <f t="shared" si="118"/>
        <v>0.2328079367500302</v>
      </c>
      <c r="AG296" s="814">
        <f t="shared" si="124"/>
        <v>2</v>
      </c>
      <c r="AH296" s="175">
        <f t="shared" si="119"/>
        <v>8</v>
      </c>
      <c r="AI296" s="224">
        <f t="shared" si="120"/>
        <v>2.2328079367500302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10">
        <f>'2025'!Wh/'2025'!Env_an*'2026'!Env_an</f>
        <v>31.112582315244701</v>
      </c>
      <c r="C297" s="843"/>
      <c r="D297" s="392">
        <f t="shared" si="102"/>
        <v>33.223025211723574</v>
      </c>
      <c r="E297" s="384">
        <f t="shared" ref="E297:E360" si="125">Wh_pvt/(1-Psa)</f>
        <v>33.941776081694691</v>
      </c>
      <c r="F297" s="384">
        <f t="shared" si="103"/>
        <v>33.945742876363347</v>
      </c>
      <c r="G297" s="110">
        <f t="shared" ref="G297:G360" si="126">+Wh_hp/MaxiM</f>
        <v>0.79371513534088034</v>
      </c>
      <c r="H297" s="413" t="b">
        <f>Wh_hp&gt;='2025'!Maxi_hp</f>
        <v>0</v>
      </c>
      <c r="I297" s="389">
        <f>IF(H297,Wh_hp,'2025'!Maxi_hp)</f>
        <v>33.946620655214758</v>
      </c>
      <c r="J297" s="85">
        <f>IF(H297,An,'2025'!An_max)</f>
        <v>2025</v>
      </c>
      <c r="K297" s="196">
        <f t="shared" si="104"/>
        <v>46305</v>
      </c>
      <c r="L297" s="147">
        <f>IF(t&lt;Tvie,1-EXP((T0-t)*PertePVj)+'2025'!Pspv,1-EXP((T0-t)*PertePVj)+Pspv)</f>
        <v>6.352350163868134E-2</v>
      </c>
      <c r="M297" s="847"/>
      <c r="N297" s="847"/>
      <c r="O297" s="48">
        <f>IF(t&lt;Tnet,'2025'!Resal+('2025'!Salim-'2025'!Resal)*(1-EXP(('2025'!Tnet-t)/('2025'!Tau_j))),Resal+(Salim-Resal)*(1-EXP((Tnet-t)/(Tau_j))))*Salcycl</f>
        <v>2.1175994686935436E-2</v>
      </c>
      <c r="P297" s="168">
        <f>(INDEX(Models!$BJ297:$BT297,,T297)*(1-R297)+INDEX(Models!$BJ297:$BT297,,T297+1)*R297-ERP_i)*Q297*Ramure*Pc/MaxiM</f>
        <v>1.6566925447758475E-4</v>
      </c>
      <c r="Q297" s="304">
        <f t="shared" si="105"/>
        <v>0.5</v>
      </c>
      <c r="R297" s="176">
        <f t="shared" si="106"/>
        <v>0.11789806280079729</v>
      </c>
      <c r="S297" s="814">
        <f t="shared" si="107"/>
        <v>0</v>
      </c>
      <c r="T297" s="175">
        <f t="shared" si="108"/>
        <v>6</v>
      </c>
      <c r="U297" s="250">
        <f t="shared" si="109"/>
        <v>0.11789806280079729</v>
      </c>
      <c r="V297" s="382">
        <f t="shared" si="110"/>
        <v>39.196762256969421</v>
      </c>
      <c r="W297" s="401">
        <f t="shared" si="111"/>
        <v>31.112582315244701</v>
      </c>
      <c r="X297" s="157">
        <f t="shared" si="112"/>
        <v>46305</v>
      </c>
      <c r="Y297" s="384">
        <f t="shared" si="113"/>
        <v>29.688741265223253</v>
      </c>
      <c r="Z297" s="384">
        <f t="shared" si="114"/>
        <v>31.702601525157029</v>
      </c>
      <c r="AA297" s="385">
        <f t="shared" si="115"/>
        <v>33.923899993725726</v>
      </c>
      <c r="AB297" s="196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6.5478865017864402E-2</v>
      </c>
      <c r="AD297" s="230">
        <f>(INDEX(Models!$BJ297:$BT297,,AH297)*(1-AF297)+INDEX(Models!$BJ297:$BT297,,AH297+1)*AF297-ERP_i)*AE297*Ramure*Pc/MaxiM</f>
        <v>9.1224638139457599E-4</v>
      </c>
      <c r="AE297" s="304">
        <f t="shared" si="117"/>
        <v>0.5</v>
      </c>
      <c r="AF297" s="176">
        <f t="shared" si="118"/>
        <v>0.23289060262518468</v>
      </c>
      <c r="AG297" s="814">
        <f t="shared" si="124"/>
        <v>2</v>
      </c>
      <c r="AH297" s="175">
        <f t="shared" si="119"/>
        <v>8</v>
      </c>
      <c r="AI297" s="224">
        <f t="shared" si="120"/>
        <v>2.2328906026251847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10">
        <f>'2025'!Wh/'2025'!Env_an*'2026'!Env_an</f>
        <v>24.552015342860397</v>
      </c>
      <c r="C298" s="843"/>
      <c r="D298" s="392">
        <f t="shared" si="102"/>
        <v>26.218012369390657</v>
      </c>
      <c r="E298" s="384">
        <f t="shared" si="125"/>
        <v>26.787300663484167</v>
      </c>
      <c r="F298" s="384">
        <f t="shared" si="103"/>
        <v>26.789407833898593</v>
      </c>
      <c r="G298" s="110">
        <f t="shared" si="126"/>
        <v>0.6308317122035596</v>
      </c>
      <c r="H298" s="413" t="b">
        <f>Wh_hp&gt;='2025'!Maxi_hp</f>
        <v>0</v>
      </c>
      <c r="I298" s="389">
        <f>IF(H298,Wh_hp,'2025'!Maxi_hp)</f>
        <v>43.136286710165194</v>
      </c>
      <c r="J298" s="85">
        <f>IF(H298,An,'2025'!An_max)</f>
        <v>2019</v>
      </c>
      <c r="K298" s="196">
        <f t="shared" si="104"/>
        <v>46306</v>
      </c>
      <c r="L298" s="147">
        <f>IF(t&lt;Tvie,1-EXP((T0-t)*PertePVj)+'2025'!Pspv,1-EXP((T0-t)*PertePVj)+Pspv)</f>
        <v>6.354398659431934E-2</v>
      </c>
      <c r="M298" s="847"/>
      <c r="N298" s="847"/>
      <c r="O298" s="48">
        <f>IF(t&lt;Tnet,'2025'!Resal+('2025'!Salim-'2025'!Resal)*(1-EXP(('2025'!Tnet-t)/('2025'!Tau_j))),Resal+(Salim-Resal)*(1-EXP((Tnet-t)/(Tau_j))))*Salcycl</f>
        <v>2.1252170991217109E-2</v>
      </c>
      <c r="P298" s="168">
        <f>(INDEX(Models!$BJ298:$BT298,,T298)*(1-R298)+INDEX(Models!$BJ298:$BT298,,T298+1)*R298-ERP_i)*Q298*Ramure*Pc/MaxiM</f>
        <v>1.6640056080688103E-4</v>
      </c>
      <c r="Q298" s="304">
        <f t="shared" si="105"/>
        <v>0.5</v>
      </c>
      <c r="R298" s="176">
        <f t="shared" si="106"/>
        <v>0.11797744338481708</v>
      </c>
      <c r="S298" s="814">
        <f t="shared" si="107"/>
        <v>0</v>
      </c>
      <c r="T298" s="175">
        <f t="shared" si="108"/>
        <v>6</v>
      </c>
      <c r="U298" s="250">
        <f t="shared" si="109"/>
        <v>0.11797744338481708</v>
      </c>
      <c r="V298" s="382">
        <f t="shared" si="110"/>
        <v>38.916656238937499</v>
      </c>
      <c r="W298" s="401">
        <f t="shared" si="111"/>
        <v>24.552015342860397</v>
      </c>
      <c r="X298" s="157">
        <f t="shared" si="112"/>
        <v>46306</v>
      </c>
      <c r="Y298" s="384">
        <f t="shared" si="113"/>
        <v>23.434122160575008</v>
      </c>
      <c r="Z298" s="384">
        <f t="shared" si="114"/>
        <v>25.024263633430426</v>
      </c>
      <c r="AA298" s="385">
        <f t="shared" si="115"/>
        <v>26.777835967398708</v>
      </c>
      <c r="AB298" s="196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6.5485961453465136E-2</v>
      </c>
      <c r="AD298" s="230">
        <f>(INDEX(Models!$BJ298:$BT298,,AH298)*(1-AF298)+INDEX(Models!$BJ298:$BT298,,AH298+1)*AF298-ERP_i)*AE298*Ramure*Pc/MaxiM</f>
        <v>9.1381554238795844E-4</v>
      </c>
      <c r="AE298" s="304">
        <f t="shared" si="117"/>
        <v>0.5</v>
      </c>
      <c r="AF298" s="176">
        <f t="shared" si="118"/>
        <v>0.23296998320920448</v>
      </c>
      <c r="AG298" s="814">
        <f t="shared" si="124"/>
        <v>2</v>
      </c>
      <c r="AH298" s="175">
        <f t="shared" si="119"/>
        <v>8</v>
      </c>
      <c r="AI298" s="224">
        <f t="shared" si="120"/>
        <v>2.2329699832092045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10">
        <f>'2025'!Wh/'2025'!Env_an*'2026'!Env_an</f>
        <v>27.589355414049884</v>
      </c>
      <c r="C299" s="843"/>
      <c r="D299" s="392">
        <f t="shared" si="102"/>
        <v>29.462098097127974</v>
      </c>
      <c r="E299" s="384">
        <f t="shared" si="125"/>
        <v>30.104155634520147</v>
      </c>
      <c r="F299" s="384">
        <f t="shared" si="103"/>
        <v>30.107131197793077</v>
      </c>
      <c r="G299" s="110">
        <f t="shared" si="126"/>
        <v>0.71407887980082907</v>
      </c>
      <c r="H299" s="413" t="b">
        <f>Wh_hp&gt;='2025'!Maxi_hp</f>
        <v>0</v>
      </c>
      <c r="I299" s="389">
        <f>IF(H299,Wh_hp,'2025'!Maxi_hp)</f>
        <v>41.118712487030926</v>
      </c>
      <c r="J299" s="85">
        <f>IF(H299,An,'2025'!An_max)</f>
        <v>2021</v>
      </c>
      <c r="K299" s="196">
        <f t="shared" si="104"/>
        <v>46307</v>
      </c>
      <c r="L299" s="147">
        <f>IF(t&lt;Tvie,1-EXP((T0-t)*PertePVj)+'2025'!Pspv,1-EXP((T0-t)*PertePVj)+Pspv)</f>
        <v>6.3564471101284131E-2</v>
      </c>
      <c r="M299" s="847"/>
      <c r="N299" s="847"/>
      <c r="O299" s="48">
        <f>IF(t&lt;Tnet,'2025'!Resal+('2025'!Salim-'2025'!Resal)*(1-EXP(('2025'!Tnet-t)/('2025'!Tau_j))),Resal+(Salim-Resal)*(1-EXP((Tnet-t)/(Tau_j))))*Salcycl</f>
        <v>2.1327870649722837E-2</v>
      </c>
      <c r="P299" s="168">
        <f>(INDEX(Models!$BJ299:$BT299,,T299)*(1-R299)+INDEX(Models!$BJ299:$BT299,,T299+1)*R299-ERP_i)*Q299*Ramure*Pc/MaxiM</f>
        <v>1.670566135394121E-4</v>
      </c>
      <c r="Q299" s="304">
        <f t="shared" si="105"/>
        <v>0.5</v>
      </c>
      <c r="R299" s="176">
        <f t="shared" si="106"/>
        <v>0.11805366758575797</v>
      </c>
      <c r="S299" s="814">
        <f t="shared" si="107"/>
        <v>0</v>
      </c>
      <c r="T299" s="175">
        <f t="shared" si="108"/>
        <v>6</v>
      </c>
      <c r="U299" s="250">
        <f t="shared" si="109"/>
        <v>0.11805366758575797</v>
      </c>
      <c r="V299" s="382">
        <f t="shared" si="110"/>
        <v>38.633649235769653</v>
      </c>
      <c r="W299" s="401">
        <f t="shared" si="111"/>
        <v>27.589355414049884</v>
      </c>
      <c r="X299" s="157">
        <f t="shared" si="112"/>
        <v>46307</v>
      </c>
      <c r="Y299" s="384">
        <f t="shared" si="113"/>
        <v>26.332690689842</v>
      </c>
      <c r="Z299" s="384">
        <f t="shared" si="114"/>
        <v>28.120132008244344</v>
      </c>
      <c r="AA299" s="385">
        <f t="shared" si="115"/>
        <v>30.090843404071784</v>
      </c>
      <c r="AB299" s="196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6.5492062464449594E-2</v>
      </c>
      <c r="AD299" s="230">
        <f>(INDEX(Models!$BJ299:$BT299,,AH299)*(1-AF299)+INDEX(Models!$BJ299:$BT299,,AH299+1)*AF299-ERP_i)*AE299*Ramure*Pc/MaxiM</f>
        <v>9.1444322016623445E-4</v>
      </c>
      <c r="AE299" s="304">
        <f t="shared" si="117"/>
        <v>0.5</v>
      </c>
      <c r="AF299" s="176">
        <f t="shared" si="118"/>
        <v>0.23304620741014537</v>
      </c>
      <c r="AG299" s="814">
        <f t="shared" si="124"/>
        <v>2</v>
      </c>
      <c r="AH299" s="175">
        <f t="shared" si="119"/>
        <v>8</v>
      </c>
      <c r="AI299" s="224">
        <f t="shared" si="120"/>
        <v>2.2330462074101454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10">
        <f>'2025'!Wh/'2025'!Env_an*'2026'!Env_an</f>
        <v>22.334453686280391</v>
      </c>
      <c r="C300" s="843"/>
      <c r="D300" s="392">
        <f t="shared" si="102"/>
        <v>23.851019704715096</v>
      </c>
      <c r="E300" s="384">
        <f t="shared" si="125"/>
        <v>24.372670257218694</v>
      </c>
      <c r="F300" s="384">
        <f t="shared" si="103"/>
        <v>24.374318830385079</v>
      </c>
      <c r="G300" s="110">
        <f t="shared" si="126"/>
        <v>0.58236528464356785</v>
      </c>
      <c r="H300" s="413" t="b">
        <f>Wh_hp&gt;='2025'!Maxi_hp</f>
        <v>0</v>
      </c>
      <c r="I300" s="389">
        <f>IF(H300,Wh_hp,'2025'!Maxi_hp)</f>
        <v>39.212191078905711</v>
      </c>
      <c r="J300" s="85">
        <f>IF(H300,An,'2025'!An_max)</f>
        <v>2021</v>
      </c>
      <c r="K300" s="196">
        <f t="shared" si="104"/>
        <v>46308</v>
      </c>
      <c r="L300" s="147">
        <f>IF(t&lt;Tvie,1-EXP((T0-t)*PertePVj)+'2025'!Pspv,1-EXP((T0-t)*PertePVj)+Pspv)</f>
        <v>6.3584955159585704E-2</v>
      </c>
      <c r="M300" s="847"/>
      <c r="N300" s="847"/>
      <c r="O300" s="48">
        <f>IF(t&lt;Tnet,'2025'!Resal+('2025'!Salim-'2025'!Resal)*(1-EXP(('2025'!Tnet-t)/('2025'!Tau_j))),Resal+(Salim-Resal)*(1-EXP((Tnet-t)/(Tau_j))))*Salcycl</f>
        <v>2.1403093998249724E-2</v>
      </c>
      <c r="P300" s="168">
        <f>(INDEX(Models!$BJ300:$BT300,,T300)*(1-R300)+INDEX(Models!$BJ300:$BT300,,T300+1)*R300-ERP_i)*Q300*Ramure*Pc/MaxiM</f>
        <v>1.6763816500488523E-4</v>
      </c>
      <c r="Q300" s="304">
        <f t="shared" si="105"/>
        <v>0.5</v>
      </c>
      <c r="R300" s="176">
        <f t="shared" si="106"/>
        <v>0.11812685938351447</v>
      </c>
      <c r="S300" s="814">
        <f t="shared" si="107"/>
        <v>0</v>
      </c>
      <c r="T300" s="175">
        <f t="shared" si="108"/>
        <v>6</v>
      </c>
      <c r="U300" s="250">
        <f t="shared" si="109"/>
        <v>0.11812685938351447</v>
      </c>
      <c r="V300" s="382">
        <f t="shared" si="110"/>
        <v>38.347443817123619</v>
      </c>
      <c r="W300" s="401">
        <f t="shared" si="111"/>
        <v>22.334453686280391</v>
      </c>
      <c r="X300" s="157">
        <f t="shared" si="112"/>
        <v>46308</v>
      </c>
      <c r="Y300" s="384">
        <f t="shared" si="113"/>
        <v>21.32167322076047</v>
      </c>
      <c r="Z300" s="384">
        <f t="shared" si="114"/>
        <v>22.769468878401192</v>
      </c>
      <c r="AA300" s="385">
        <f t="shared" si="115"/>
        <v>24.365329177449929</v>
      </c>
      <c r="AB300" s="196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6.5497177872142334E-2</v>
      </c>
      <c r="AD300" s="230">
        <f>(INDEX(Models!$BJ300:$BT300,,AH300)*(1-AF300)+INDEX(Models!$BJ300:$BT300,,AH300+1)*AF300-ERP_i)*AE300*Ramure*Pc/MaxiM</f>
        <v>9.1412923175583421E-4</v>
      </c>
      <c r="AE300" s="304">
        <f t="shared" si="117"/>
        <v>0.5</v>
      </c>
      <c r="AF300" s="176">
        <f t="shared" si="118"/>
        <v>0.2331193992079017</v>
      </c>
      <c r="AG300" s="814">
        <f t="shared" si="124"/>
        <v>2</v>
      </c>
      <c r="AH300" s="175">
        <f t="shared" si="119"/>
        <v>8</v>
      </c>
      <c r="AI300" s="224">
        <f t="shared" si="120"/>
        <v>2.2331193992079017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10">
        <f>'2025'!Wh/'2025'!Env_an*'2026'!Env_an</f>
        <v>17.554796274625815</v>
      </c>
      <c r="C301" s="843"/>
      <c r="D301" s="392">
        <f t="shared" si="102"/>
        <v>18.747221525456503</v>
      </c>
      <c r="E301" s="384">
        <f t="shared" si="125"/>
        <v>19.158709265445967</v>
      </c>
      <c r="F301" s="384">
        <f t="shared" si="103"/>
        <v>19.159451461217039</v>
      </c>
      <c r="G301" s="110">
        <f t="shared" si="126"/>
        <v>0.46120771349440143</v>
      </c>
      <c r="H301" s="413" t="b">
        <f>Wh_hp&gt;='2025'!Maxi_hp</f>
        <v>0</v>
      </c>
      <c r="I301" s="389">
        <f>IF(H301,Wh_hp,'2025'!Maxi_hp)</f>
        <v>43.45780557148769</v>
      </c>
      <c r="J301" s="85">
        <f>IF(H301,An,'2025'!An_max)</f>
        <v>2021</v>
      </c>
      <c r="K301" s="196">
        <f t="shared" si="104"/>
        <v>46309</v>
      </c>
      <c r="L301" s="147">
        <f>IF(t&lt;Tvie,1-EXP((T0-t)*PertePVj)+'2025'!Pspv,1-EXP((T0-t)*PertePVj)+Pspv)</f>
        <v>6.3605438769233941E-2</v>
      </c>
      <c r="M301" s="847"/>
      <c r="N301" s="847"/>
      <c r="O301" s="48">
        <f>IF(t&lt;Tnet,'2025'!Resal+('2025'!Salim-'2025'!Resal)*(1-EXP(('2025'!Tnet-t)/('2025'!Tau_j))),Resal+(Salim-Resal)*(1-EXP((Tnet-t)/(Tau_j))))*Salcycl</f>
        <v>2.1477842493889333E-2</v>
      </c>
      <c r="P301" s="168">
        <f>(INDEX(Models!$BJ301:$BT301,,T301)*(1-R301)+INDEX(Models!$BJ301:$BT301,,T301+1)*R301-ERP_i)*Q301*Ramure*Pc/MaxiM</f>
        <v>1.6814611590701658E-4</v>
      </c>
      <c r="Q301" s="304">
        <f t="shared" si="105"/>
        <v>0.5</v>
      </c>
      <c r="R301" s="176">
        <f t="shared" si="106"/>
        <v>0.11819713800798293</v>
      </c>
      <c r="S301" s="814">
        <f t="shared" si="107"/>
        <v>0</v>
      </c>
      <c r="T301" s="175">
        <f t="shared" si="108"/>
        <v>6</v>
      </c>
      <c r="U301" s="250">
        <f t="shared" si="109"/>
        <v>0.11819713800798293</v>
      </c>
      <c r="V301" s="382">
        <f t="shared" si="110"/>
        <v>38.057742611711362</v>
      </c>
      <c r="W301" s="401">
        <f t="shared" si="111"/>
        <v>17.554796274625815</v>
      </c>
      <c r="X301" s="157">
        <f t="shared" si="112"/>
        <v>46309</v>
      </c>
      <c r="Y301" s="384">
        <f t="shared" si="113"/>
        <v>16.762133664735753</v>
      </c>
      <c r="Z301" s="384">
        <f t="shared" si="114"/>
        <v>17.900716598251233</v>
      </c>
      <c r="AA301" s="385">
        <f t="shared" si="115"/>
        <v>19.155422041345876</v>
      </c>
      <c r="AB301" s="196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6.5501320742838834E-2</v>
      </c>
      <c r="AD301" s="230">
        <f>(INDEX(Models!$BJ301:$BT301,,AH301)*(1-AF301)+INDEX(Models!$BJ301:$BT301,,AH301+1)*AF301-ERP_i)*AE301*Ramure*Pc/MaxiM</f>
        <v>9.128741055961381E-4</v>
      </c>
      <c r="AE301" s="304">
        <f t="shared" si="117"/>
        <v>0.5</v>
      </c>
      <c r="AF301" s="176">
        <f t="shared" si="118"/>
        <v>0.2331896778323701</v>
      </c>
      <c r="AG301" s="814">
        <f t="shared" si="124"/>
        <v>2</v>
      </c>
      <c r="AH301" s="175">
        <f t="shared" si="119"/>
        <v>8</v>
      </c>
      <c r="AI301" s="224">
        <f t="shared" si="120"/>
        <v>2.2331896778323701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10">
        <f>'2025'!Wh/'2025'!Env_an*'2026'!Env_an</f>
        <v>37.46684408569984</v>
      </c>
      <c r="C302" s="843"/>
      <c r="D302" s="392">
        <f t="shared" si="102"/>
        <v>40.012688265499477</v>
      </c>
      <c r="E302" s="384">
        <f t="shared" si="125"/>
        <v>40.894041504541036</v>
      </c>
      <c r="F302" s="384">
        <f t="shared" si="103"/>
        <v>40.900859060414582</v>
      </c>
      <c r="G302" s="110">
        <f t="shared" si="126"/>
        <v>0.99212283293453074</v>
      </c>
      <c r="H302" s="413" t="b">
        <f>Wh_hp&gt;='2025'!Maxi_hp</f>
        <v>0</v>
      </c>
      <c r="I302" s="389">
        <f>IF(H302,Wh_hp,'2025'!Maxi_hp)</f>
        <v>40.900899985726952</v>
      </c>
      <c r="J302" s="85">
        <f>IF(H302,An,'2025'!An_max)</f>
        <v>2025</v>
      </c>
      <c r="K302" s="196">
        <f t="shared" si="104"/>
        <v>46310</v>
      </c>
      <c r="L302" s="147">
        <f>IF(t&lt;Tvie,1-EXP((T0-t)*PertePVj)+'2025'!Pspv,1-EXP((T0-t)*PertePVj)+Pspv)</f>
        <v>6.3625921930238388E-2</v>
      </c>
      <c r="M302" s="847"/>
      <c r="N302" s="847"/>
      <c r="O302" s="48">
        <f>IF(t&lt;Tnet,'2025'!Resal+('2025'!Salim-'2025'!Resal)*(1-EXP(('2025'!Tnet-t)/('2025'!Tau_j))),Resal+(Salim-Resal)*(1-EXP((Tnet-t)/(Tau_j))))*Salcycl</f>
        <v>2.1552118759005173E-2</v>
      </c>
      <c r="P302" s="168">
        <f>(INDEX(Models!$BJ302:$BT302,,T302)*(1-R302)+INDEX(Models!$BJ302:$BT302,,T302+1)*R302-ERP_i)*Q302*Ramure*Pc/MaxiM</f>
        <v>1.6858151735489902E-4</v>
      </c>
      <c r="Q302" s="304">
        <f t="shared" si="105"/>
        <v>0.5</v>
      </c>
      <c r="R302" s="176">
        <f t="shared" si="106"/>
        <v>0.11826461811160255</v>
      </c>
      <c r="S302" s="814">
        <f t="shared" si="107"/>
        <v>0</v>
      </c>
      <c r="T302" s="175">
        <f t="shared" si="108"/>
        <v>6</v>
      </c>
      <c r="U302" s="250">
        <f t="shared" si="109"/>
        <v>0.11826461811160255</v>
      </c>
      <c r="V302" s="382">
        <f t="shared" si="110"/>
        <v>37.764248306849815</v>
      </c>
      <c r="W302" s="401">
        <f t="shared" si="111"/>
        <v>37.46684408569984</v>
      </c>
      <c r="X302" s="157">
        <f t="shared" si="112"/>
        <v>46310</v>
      </c>
      <c r="Y302" s="384">
        <f t="shared" si="113"/>
        <v>35.757553223737546</v>
      </c>
      <c r="Z302" s="384">
        <f t="shared" si="114"/>
        <v>38.187252361201679</v>
      </c>
      <c r="AA302" s="385">
        <f t="shared" si="115"/>
        <v>40.864030555894757</v>
      </c>
      <c r="AB302" s="196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6.5504507467312179E-2</v>
      </c>
      <c r="AD302" s="230">
        <f>(INDEX(Models!$BJ302:$BT302,,AH302)*(1-AF302)+INDEX(Models!$BJ302:$BT302,,AH302+1)*AF302-ERP_i)*AE302*Ramure*Pc/MaxiM</f>
        <v>9.1067903058335319E-4</v>
      </c>
      <c r="AE302" s="304">
        <f t="shared" si="117"/>
        <v>0.5</v>
      </c>
      <c r="AF302" s="176">
        <f t="shared" si="118"/>
        <v>0.23325715793599011</v>
      </c>
      <c r="AG302" s="814">
        <f t="shared" si="124"/>
        <v>2</v>
      </c>
      <c r="AH302" s="175">
        <f t="shared" si="119"/>
        <v>8</v>
      </c>
      <c r="AI302" s="224">
        <f t="shared" si="120"/>
        <v>2.2332571579359901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10">
        <f>'2025'!Wh/'2025'!Env_an*'2026'!Env_an</f>
        <v>33.708864623608733</v>
      </c>
      <c r="C303" s="843"/>
      <c r="D303" s="392">
        <f t="shared" si="102"/>
        <v>36.000144380011285</v>
      </c>
      <c r="E303" s="384">
        <f t="shared" si="125"/>
        <v>36.795889588147993</v>
      </c>
      <c r="F303" s="384">
        <f t="shared" si="103"/>
        <v>36.801216727499025</v>
      </c>
      <c r="G303" s="110">
        <f t="shared" si="126"/>
        <v>0.89972002112873539</v>
      </c>
      <c r="H303" s="413" t="b">
        <f>Wh_hp&gt;='2025'!Maxi_hp</f>
        <v>0</v>
      </c>
      <c r="I303" s="389">
        <f>IF(H303,Wh_hp,'2025'!Maxi_hp)</f>
        <v>39.25450354106809</v>
      </c>
      <c r="J303" s="85">
        <f>IF(H303,An,'2025'!An_max)</f>
        <v>2021</v>
      </c>
      <c r="K303" s="196">
        <f t="shared" si="104"/>
        <v>46311</v>
      </c>
      <c r="L303" s="147">
        <f>IF(t&lt;Tvie,1-EXP((T0-t)*PertePVj)+'2025'!Pspv,1-EXP((T0-t)*PertePVj)+Pspv)</f>
        <v>6.364640464260915E-2</v>
      </c>
      <c r="M303" s="847"/>
      <c r="N303" s="847"/>
      <c r="O303" s="48">
        <f>IF(t&lt;Tnet,'2025'!Resal+('2025'!Salim-'2025'!Resal)*(1-EXP(('2025'!Tnet-t)/('2025'!Tau_j))),Resal+(Salim-Resal)*(1-EXP((Tnet-t)/(Tau_j))))*Salcycl</f>
        <v>2.1625926619614058E-2</v>
      </c>
      <c r="P303" s="168">
        <f>(INDEX(Models!$BJ303:$BT303,,T303)*(1-R303)+INDEX(Models!$BJ303:$BT303,,T303+1)*R303-ERP_i)*Q303*Ramure*Pc/MaxiM</f>
        <v>1.6895288168893507E-4</v>
      </c>
      <c r="Q303" s="304">
        <f t="shared" si="105"/>
        <v>0.5</v>
      </c>
      <c r="R303" s="176">
        <f t="shared" si="106"/>
        <v>0.11832940993638236</v>
      </c>
      <c r="S303" s="814">
        <f t="shared" si="107"/>
        <v>0</v>
      </c>
      <c r="T303" s="175">
        <f t="shared" si="108"/>
        <v>6</v>
      </c>
      <c r="U303" s="250">
        <f t="shared" si="109"/>
        <v>0.11832940993638236</v>
      </c>
      <c r="V303" s="382">
        <f t="shared" si="110"/>
        <v>37.465042470743768</v>
      </c>
      <c r="W303" s="401">
        <f t="shared" si="111"/>
        <v>33.708864623608733</v>
      </c>
      <c r="X303" s="157">
        <f t="shared" si="112"/>
        <v>46311</v>
      </c>
      <c r="Y303" s="384">
        <f t="shared" si="113"/>
        <v>32.176617542602294</v>
      </c>
      <c r="Z303" s="384">
        <f t="shared" si="114"/>
        <v>34.363746454480165</v>
      </c>
      <c r="AA303" s="385">
        <f t="shared" si="115"/>
        <v>36.772600275197334</v>
      </c>
      <c r="AB303" s="196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6.5506757822125297E-2</v>
      </c>
      <c r="AD303" s="230">
        <f>(INDEX(Models!$BJ303:$BT303,,AH303)*(1-AF303)+INDEX(Models!$BJ303:$BT303,,AH303+1)*AF303-ERP_i)*AE303*Ramure*Pc/MaxiM</f>
        <v>9.0758505860101481E-4</v>
      </c>
      <c r="AE303" s="304">
        <f t="shared" si="117"/>
        <v>0.5</v>
      </c>
      <c r="AF303" s="176">
        <f t="shared" si="118"/>
        <v>0.2333219497607697</v>
      </c>
      <c r="AG303" s="814">
        <f t="shared" si="124"/>
        <v>2</v>
      </c>
      <c r="AH303" s="175">
        <f t="shared" si="119"/>
        <v>8</v>
      </c>
      <c r="AI303" s="224">
        <f t="shared" si="120"/>
        <v>2.2333219497607697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10">
        <f>'2025'!Wh/'2025'!Env_an*'2026'!Env_an</f>
        <v>20.193882664075787</v>
      </c>
      <c r="C304" s="843"/>
      <c r="D304" s="392">
        <f t="shared" si="102"/>
        <v>21.566985490190781</v>
      </c>
      <c r="E304" s="384">
        <f t="shared" si="125"/>
        <v>22.04535359517854</v>
      </c>
      <c r="F304" s="384">
        <f t="shared" si="103"/>
        <v>22.04665034111094</v>
      </c>
      <c r="G304" s="110">
        <f t="shared" si="126"/>
        <v>0.54338328703590555</v>
      </c>
      <c r="H304" s="413" t="b">
        <f>Wh_hp&gt;='2025'!Maxi_hp</f>
        <v>0</v>
      </c>
      <c r="I304" s="389">
        <f>IF(H304,Wh_hp,'2025'!Maxi_hp)</f>
        <v>36.49082251593331</v>
      </c>
      <c r="J304" s="85">
        <f>IF(H304,An,'2025'!An_max)</f>
        <v>2021</v>
      </c>
      <c r="K304" s="196">
        <f t="shared" si="104"/>
        <v>46312</v>
      </c>
      <c r="L304" s="147">
        <f>IF(t&lt;Tvie,1-EXP((T0-t)*PertePVj)+'2025'!Pspv,1-EXP((T0-t)*PertePVj)+Pspv)</f>
        <v>6.3666886906355885E-2</v>
      </c>
      <c r="M304" s="847"/>
      <c r="N304" s="847"/>
      <c r="O304" s="48">
        <f>IF(t&lt;Tnet,'2025'!Resal+('2025'!Salim-'2025'!Resal)*(1-EXP(('2025'!Tnet-t)/('2025'!Tau_j))),Resal+(Salim-Resal)*(1-EXP((Tnet-t)/(Tau_j))))*Salcycl</f>
        <v>2.1699271137677736E-2</v>
      </c>
      <c r="P304" s="168">
        <f>(INDEX(Models!$BJ304:$BT304,,T304)*(1-R304)+INDEX(Models!$BJ304:$BT304,,T304+1)*R304-ERP_i)*Q304*Ramure*Pc/MaxiM</f>
        <v>1.6912686784885115E-4</v>
      </c>
      <c r="Q304" s="304">
        <f t="shared" si="105"/>
        <v>0.5</v>
      </c>
      <c r="R304" s="176">
        <f t="shared" si="106"/>
        <v>0.11839161947552923</v>
      </c>
      <c r="S304" s="814">
        <f t="shared" si="107"/>
        <v>0</v>
      </c>
      <c r="T304" s="175">
        <f t="shared" si="108"/>
        <v>6</v>
      </c>
      <c r="U304" s="250">
        <f t="shared" si="109"/>
        <v>0.11839161947552923</v>
      </c>
      <c r="V304" s="382">
        <f t="shared" si="110"/>
        <v>37.159138781024978</v>
      </c>
      <c r="W304" s="401">
        <f t="shared" si="111"/>
        <v>20.193882664075787</v>
      </c>
      <c r="X304" s="157">
        <f t="shared" si="112"/>
        <v>46312</v>
      </c>
      <c r="Y304" s="384">
        <f t="shared" si="113"/>
        <v>19.284656065253643</v>
      </c>
      <c r="Z304" s="384">
        <f t="shared" si="114"/>
        <v>20.595935138443572</v>
      </c>
      <c r="AA304" s="385">
        <f t="shared" si="115"/>
        <v>22.03971487447112</v>
      </c>
      <c r="AB304" s="196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6.5508095011696216E-2</v>
      </c>
      <c r="AD304" s="230">
        <f>(INDEX(Models!$BJ304:$BT304,,AH304)*(1-AF304)+INDEX(Models!$BJ304:$BT304,,AH304+1)*AF304-ERP_i)*AE304*Ramure*Pc/MaxiM</f>
        <v>9.0455170944140479E-4</v>
      </c>
      <c r="AE304" s="304">
        <f t="shared" si="117"/>
        <v>0.5</v>
      </c>
      <c r="AF304" s="176">
        <f t="shared" si="118"/>
        <v>0.2333841592999164</v>
      </c>
      <c r="AG304" s="814">
        <f t="shared" si="124"/>
        <v>2</v>
      </c>
      <c r="AH304" s="175">
        <f t="shared" si="119"/>
        <v>8</v>
      </c>
      <c r="AI304" s="224">
        <f t="shared" si="120"/>
        <v>2.2333841592999164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10">
        <f>'2025'!Wh/'2025'!Env_an*'2026'!Env_an</f>
        <v>34.202101582911418</v>
      </c>
      <c r="C305" s="843"/>
      <c r="D305" s="392">
        <f t="shared" si="102"/>
        <v>36.528506014288524</v>
      </c>
      <c r="E305" s="384">
        <f t="shared" si="125"/>
        <v>37.341511322542623</v>
      </c>
      <c r="F305" s="384">
        <f t="shared" si="103"/>
        <v>37.34717650724857</v>
      </c>
      <c r="G305" s="110">
        <f t="shared" si="126"/>
        <v>0.92818740620214479</v>
      </c>
      <c r="H305" s="413" t="b">
        <f>Wh_hp&gt;='2025'!Maxi_hp</f>
        <v>0</v>
      </c>
      <c r="I305" s="389">
        <f>IF(H305,Wh_hp,'2025'!Maxi_hp)</f>
        <v>40.595682285029085</v>
      </c>
      <c r="J305" s="85">
        <f>IF(H305,An,'2025'!An_max)</f>
        <v>2020</v>
      </c>
      <c r="K305" s="196">
        <f t="shared" si="104"/>
        <v>46313</v>
      </c>
      <c r="L305" s="147">
        <f>IF(t&lt;Tvie,1-EXP((T0-t)*PertePVj)+'2025'!Pspv,1-EXP((T0-t)*PertePVj)+Pspv)</f>
        <v>6.3687368721488585E-2</v>
      </c>
      <c r="M305" s="847"/>
      <c r="N305" s="847"/>
      <c r="O305" s="48">
        <f>IF(t&lt;Tnet,'2025'!Resal+('2025'!Salim-'2025'!Resal)*(1-EXP(('2025'!Tnet-t)/('2025'!Tau_j))),Resal+(Salim-Resal)*(1-EXP((Tnet-t)/(Tau_j))))*Salcycl</f>
        <v>2.1772158636849209E-2</v>
      </c>
      <c r="P305" s="168">
        <f>(INDEX(Models!$BJ305:$BT305,,T305)*(1-R305)+INDEX(Models!$BJ305:$BT305,,T305+1)*R305-ERP_i)*Q305*Ramure*Pc/MaxiM</f>
        <v>1.6902618443256695E-4</v>
      </c>
      <c r="Q305" s="304">
        <f t="shared" si="105"/>
        <v>0.5</v>
      </c>
      <c r="R305" s="176">
        <f t="shared" si="106"/>
        <v>0.11845134862979351</v>
      </c>
      <c r="S305" s="814">
        <f t="shared" si="107"/>
        <v>0</v>
      </c>
      <c r="T305" s="175">
        <f t="shared" si="108"/>
        <v>6</v>
      </c>
      <c r="U305" s="250">
        <f t="shared" si="109"/>
        <v>0.11845134862979351</v>
      </c>
      <c r="V305" s="382">
        <f t="shared" si="110"/>
        <v>36.847632625369002</v>
      </c>
      <c r="W305" s="401">
        <f t="shared" si="111"/>
        <v>34.202101582911418</v>
      </c>
      <c r="X305" s="157">
        <f t="shared" si="112"/>
        <v>46313</v>
      </c>
      <c r="Y305" s="384">
        <f t="shared" si="113"/>
        <v>32.651444978296666</v>
      </c>
      <c r="Z305" s="384">
        <f t="shared" si="114"/>
        <v>34.872374768363358</v>
      </c>
      <c r="AA305" s="385">
        <f t="shared" si="115"/>
        <v>37.316954165321548</v>
      </c>
      <c r="AB305" s="196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6.5508545690203257E-2</v>
      </c>
      <c r="AD305" s="230">
        <f>(INDEX(Models!$BJ305:$BT305,,AH305)*(1-AF305)+INDEX(Models!$BJ305:$BT305,,AH305+1)*AF305-ERP_i)*AE305*Ramure*Pc/MaxiM</f>
        <v>9.0171237226902674E-4</v>
      </c>
      <c r="AE305" s="304">
        <f t="shared" si="117"/>
        <v>0.5</v>
      </c>
      <c r="AF305" s="176">
        <f t="shared" si="118"/>
        <v>0.23344388845418074</v>
      </c>
      <c r="AG305" s="814">
        <f t="shared" si="124"/>
        <v>2</v>
      </c>
      <c r="AH305" s="175">
        <f t="shared" si="119"/>
        <v>8</v>
      </c>
      <c r="AI305" s="224">
        <f t="shared" si="120"/>
        <v>2.2334438884541807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10">
        <f>'2025'!Wh/'2025'!Env_an*'2026'!Env_an</f>
        <v>15.38336127000766</v>
      </c>
      <c r="C306" s="843"/>
      <c r="D306" s="392">
        <f t="shared" si="102"/>
        <v>16.430086775216243</v>
      </c>
      <c r="E306" s="384">
        <f t="shared" si="125"/>
        <v>16.797010700082261</v>
      </c>
      <c r="F306" s="384">
        <f t="shared" si="103"/>
        <v>16.797500763233568</v>
      </c>
      <c r="G306" s="110">
        <f t="shared" si="126"/>
        <v>0.42103846716080573</v>
      </c>
      <c r="H306" s="413" t="b">
        <f>Wh_hp&gt;='2025'!Maxi_hp</f>
        <v>0</v>
      </c>
      <c r="I306" s="389">
        <f>IF(H306,Wh_hp,'2025'!Maxi_hp)</f>
        <v>39.260964769799557</v>
      </c>
      <c r="J306" s="85">
        <f>IF(H306,An,'2025'!An_max)</f>
        <v>2020</v>
      </c>
      <c r="K306" s="196">
        <f t="shared" si="104"/>
        <v>46314</v>
      </c>
      <c r="L306" s="147">
        <f>IF(t&lt;Tvie,1-EXP((T0-t)*PertePVj)+'2025'!Pspv,1-EXP((T0-t)*PertePVj)+Pspv)</f>
        <v>6.3707850088016799E-2</v>
      </c>
      <c r="M306" s="847"/>
      <c r="N306" s="847"/>
      <c r="O306" s="48">
        <f>IF(t&lt;Tnet,'2025'!Resal+('2025'!Salim-'2025'!Resal)*(1-EXP(('2025'!Tnet-t)/('2025'!Tau_j))),Resal+(Salim-Resal)*(1-EXP((Tnet-t)/(Tau_j))))*Salcycl</f>
        <v>2.1844596721261898E-2</v>
      </c>
      <c r="P306" s="168">
        <f>(INDEX(Models!$BJ306:$BT306,,T306)*(1-R306)+INDEX(Models!$BJ306:$BT306,,T306+1)*R306-ERP_i)*Q306*Ramure*Pc/MaxiM</f>
        <v>1.6864416552972479E-4</v>
      </c>
      <c r="Q306" s="304">
        <f t="shared" si="105"/>
        <v>0.5</v>
      </c>
      <c r="R306" s="176">
        <f t="shared" si="106"/>
        <v>0.11850869535865161</v>
      </c>
      <c r="S306" s="814">
        <f t="shared" si="107"/>
        <v>0</v>
      </c>
      <c r="T306" s="175">
        <f t="shared" si="108"/>
        <v>6</v>
      </c>
      <c r="U306" s="250">
        <f t="shared" si="109"/>
        <v>0.11850869535865161</v>
      </c>
      <c r="V306" s="382">
        <f t="shared" si="110"/>
        <v>36.531616227300574</v>
      </c>
      <c r="W306" s="401">
        <f t="shared" si="111"/>
        <v>15.38336127000766</v>
      </c>
      <c r="X306" s="157">
        <f t="shared" si="112"/>
        <v>46314</v>
      </c>
      <c r="Y306" s="384">
        <f t="shared" si="113"/>
        <v>14.694811610222645</v>
      </c>
      <c r="Z306" s="384">
        <f t="shared" si="114"/>
        <v>15.694686334392573</v>
      </c>
      <c r="AA306" s="385">
        <f t="shared" si="115"/>
        <v>16.794888222743744</v>
      </c>
      <c r="AB306" s="196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6.5508139962567338E-2</v>
      </c>
      <c r="AD306" s="230">
        <f>(INDEX(Models!$BJ306:$BT306,,AH306)*(1-AF306)+INDEX(Models!$BJ306:$BT306,,AH306+1)*AF306-ERP_i)*AE306*Ramure*Pc/MaxiM</f>
        <v>8.9904680579303855E-4</v>
      </c>
      <c r="AE306" s="304">
        <f t="shared" si="117"/>
        <v>0.5</v>
      </c>
      <c r="AF306" s="176">
        <f t="shared" si="118"/>
        <v>0.23350123518303878</v>
      </c>
      <c r="AG306" s="814">
        <f t="shared" si="124"/>
        <v>2</v>
      </c>
      <c r="AH306" s="175">
        <f t="shared" si="119"/>
        <v>8</v>
      </c>
      <c r="AI306" s="224">
        <f t="shared" si="120"/>
        <v>2.2335012351830388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10">
        <f>'2025'!Wh/'2025'!Env_an*'2026'!Env_an</f>
        <v>9.0050688181980298</v>
      </c>
      <c r="C307" s="843"/>
      <c r="D307" s="392">
        <f t="shared" si="102"/>
        <v>9.6180084439308864</v>
      </c>
      <c r="E307" s="384">
        <f t="shared" si="125"/>
        <v>9.833525840180835</v>
      </c>
      <c r="F307" s="384">
        <f t="shared" si="103"/>
        <v>9.833525840180835</v>
      </c>
      <c r="G307" s="110">
        <f t="shared" si="126"/>
        <v>0.24863335679991985</v>
      </c>
      <c r="H307" s="413" t="b">
        <f>Wh_hp&gt;='2025'!Maxi_hp</f>
        <v>0</v>
      </c>
      <c r="I307" s="389">
        <f>IF(H307,Wh_hp,'2025'!Maxi_hp)</f>
        <v>33.080208038674293</v>
      </c>
      <c r="J307" s="85">
        <f>IF(H307,An,'2025'!An_max)</f>
        <v>2020</v>
      </c>
      <c r="K307" s="196">
        <f t="shared" si="104"/>
        <v>46315</v>
      </c>
      <c r="L307" s="147">
        <f>IF(t&lt;Tvie,1-EXP((T0-t)*PertePVj)+'2025'!Pspv,1-EXP((T0-t)*PertePVj)+Pspv)</f>
        <v>6.3728331005950628E-2</v>
      </c>
      <c r="M307" s="847"/>
      <c r="N307" s="847"/>
      <c r="O307" s="48">
        <f>IF(t&lt;Tnet,'2025'!Resal+('2025'!Salim-'2025'!Resal)*(1-EXP(('2025'!Tnet-t)/('2025'!Tau_j))),Resal+(Salim-Resal)*(1-EXP((Tnet-t)/(Tau_j))))*Salcycl</f>
        <v>2.1916594286997437E-2</v>
      </c>
      <c r="P307" s="168">
        <f>(INDEX(Models!$BJ307:$BT307,,T307)*(1-R307)+INDEX(Models!$BJ307:$BT307,,T307+1)*R307-ERP_i)*Q307*Ramure*Pc/MaxiM</f>
        <v>1.6797403159452419E-4</v>
      </c>
      <c r="Q307" s="304">
        <f t="shared" si="105"/>
        <v>0.5</v>
      </c>
      <c r="R307" s="176">
        <f t="shared" si="106"/>
        <v>0.11856375382644763</v>
      </c>
      <c r="S307" s="814">
        <f t="shared" si="107"/>
        <v>0</v>
      </c>
      <c r="T307" s="175">
        <f t="shared" si="108"/>
        <v>6</v>
      </c>
      <c r="U307" s="250">
        <f t="shared" si="109"/>
        <v>0.11856375382644763</v>
      </c>
      <c r="V307" s="382">
        <f t="shared" si="110"/>
        <v>36.212181327420161</v>
      </c>
      <c r="W307" s="401">
        <f t="shared" si="111"/>
        <v>9.0050688181980298</v>
      </c>
      <c r="X307" s="157">
        <f t="shared" si="112"/>
        <v>46315</v>
      </c>
      <c r="Y307" s="384">
        <f t="shared" si="113"/>
        <v>8.6037392354734354</v>
      </c>
      <c r="Z307" s="384">
        <f t="shared" si="114"/>
        <v>9.1893619345734123</v>
      </c>
      <c r="AA307" s="385">
        <f t="shared" si="115"/>
        <v>9.833525840180835</v>
      </c>
      <c r="AB307" s="196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6.5506911363907835E-2</v>
      </c>
      <c r="AD307" s="230">
        <f>(INDEX(Models!$BJ307:$BT307,,AH307)*(1-AF307)+INDEX(Models!$BJ307:$BT307,,AH307+1)*AF307-ERP_i)*AE307*Ramure*Pc/MaxiM</f>
        <v>8.9653479176758123E-4</v>
      </c>
      <c r="AE307" s="304">
        <f t="shared" si="117"/>
        <v>0.5</v>
      </c>
      <c r="AF307" s="176">
        <f t="shared" si="118"/>
        <v>0.23355629365083486</v>
      </c>
      <c r="AG307" s="814">
        <f t="shared" si="124"/>
        <v>2</v>
      </c>
      <c r="AH307" s="175">
        <f t="shared" si="119"/>
        <v>8</v>
      </c>
      <c r="AI307" s="224">
        <f t="shared" si="120"/>
        <v>2.2335562936508349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10">
        <f>'2025'!Wh/'2025'!Env_an*'2026'!Env_an</f>
        <v>15.280762968791754</v>
      </c>
      <c r="C308" s="843"/>
      <c r="D308" s="392">
        <f t="shared" si="102"/>
        <v>16.321221437241057</v>
      </c>
      <c r="E308" s="384">
        <f t="shared" si="125"/>
        <v>16.688163471217155</v>
      </c>
      <c r="F308" s="384">
        <f t="shared" si="103"/>
        <v>16.688664210191298</v>
      </c>
      <c r="G308" s="110">
        <f t="shared" si="126"/>
        <v>0.42570328571809607</v>
      </c>
      <c r="H308" s="413" t="b">
        <f>Wh_hp&gt;='2025'!Maxi_hp</f>
        <v>0</v>
      </c>
      <c r="I308" s="389">
        <f>IF(H308,Wh_hp,'2025'!Maxi_hp)</f>
        <v>24.658725492939233</v>
      </c>
      <c r="J308" s="85">
        <f>IF(H308,An,'2025'!An_max)</f>
        <v>2019</v>
      </c>
      <c r="K308" s="196">
        <f t="shared" si="104"/>
        <v>46316</v>
      </c>
      <c r="L308" s="147">
        <f>IF(t&lt;Tvie,1-EXP((T0-t)*PertePVj)+'2025'!Pspv,1-EXP((T0-t)*PertePVj)+Pspv)</f>
        <v>6.3748811475299844E-2</v>
      </c>
      <c r="M308" s="847"/>
      <c r="N308" s="847"/>
      <c r="O308" s="48">
        <f>IF(t&lt;Tnet,'2025'!Resal+('2025'!Salim-'2025'!Resal)*(1-EXP(('2025'!Tnet-t)/('2025'!Tau_j))),Resal+(Salim-Resal)*(1-EXP((Tnet-t)/(Tau_j))))*Salcycl</f>
        <v>2.1988161525921087E-2</v>
      </c>
      <c r="P308" s="168">
        <f>(INDEX(Models!$BJ308:$BT308,,T308)*(1-R308)+INDEX(Models!$BJ308:$BT308,,T308+1)*R308-ERP_i)*Q308*Ramure*Pc/MaxiM</f>
        <v>1.6700894808999376E-4</v>
      </c>
      <c r="Q308" s="304">
        <f t="shared" si="105"/>
        <v>0.5</v>
      </c>
      <c r="R308" s="176">
        <f t="shared" si="106"/>
        <v>0.11861661454361883</v>
      </c>
      <c r="S308" s="814">
        <f t="shared" si="107"/>
        <v>0</v>
      </c>
      <c r="T308" s="175">
        <f t="shared" si="108"/>
        <v>6</v>
      </c>
      <c r="U308" s="250">
        <f t="shared" si="109"/>
        <v>0.11861661454361883</v>
      </c>
      <c r="V308" s="382">
        <f t="shared" si="110"/>
        <v>35.890419194956642</v>
      </c>
      <c r="W308" s="401">
        <f t="shared" si="111"/>
        <v>15.280762968791754</v>
      </c>
      <c r="X308" s="157">
        <f t="shared" si="112"/>
        <v>46316</v>
      </c>
      <c r="Y308" s="384">
        <f t="shared" si="113"/>
        <v>14.598936386180817</v>
      </c>
      <c r="Z308" s="384">
        <f t="shared" si="114"/>
        <v>15.59296967001465</v>
      </c>
      <c r="AA308" s="385">
        <f t="shared" si="115"/>
        <v>16.685983283276489</v>
      </c>
      <c r="AB308" s="196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6.5504896817037583E-2</v>
      </c>
      <c r="AD308" s="230">
        <f>(INDEX(Models!$BJ308:$BT308,,AH308)*(1-AF308)+INDEX(Models!$BJ308:$BT308,,AH308+1)*AF308-ERP_i)*AE308*Ramure*Pc/MaxiM</f>
        <v>8.9415605149280677E-4</v>
      </c>
      <c r="AE308" s="304">
        <f t="shared" si="117"/>
        <v>0.5</v>
      </c>
      <c r="AF308" s="176">
        <f t="shared" si="118"/>
        <v>0.23360915436800633</v>
      </c>
      <c r="AG308" s="814">
        <f t="shared" si="124"/>
        <v>2</v>
      </c>
      <c r="AH308" s="175">
        <f t="shared" si="119"/>
        <v>8</v>
      </c>
      <c r="AI308" s="224">
        <f t="shared" si="120"/>
        <v>2.2336091543680063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10">
        <f>'2025'!Wh/'2025'!Env_an*'2026'!Env_an</f>
        <v>33.668629699166253</v>
      </c>
      <c r="C309" s="843"/>
      <c r="D309" s="392">
        <f t="shared" si="102"/>
        <v>35.961894214053196</v>
      </c>
      <c r="E309" s="384">
        <f t="shared" si="125"/>
        <v>36.773083049823079</v>
      </c>
      <c r="F309" s="384">
        <f t="shared" si="103"/>
        <v>36.778713934389351</v>
      </c>
      <c r="G309" s="110">
        <f t="shared" si="126"/>
        <v>0.94660235272745463</v>
      </c>
      <c r="H309" s="413" t="b">
        <f>Wh_hp&gt;='2025'!Maxi_hp</f>
        <v>0</v>
      </c>
      <c r="I309" s="389">
        <f>IF(H309,Wh_hp,'2025'!Maxi_hp)</f>
        <v>36.778958247256632</v>
      </c>
      <c r="J309" s="85">
        <f>IF(H309,An,'2025'!An_max)</f>
        <v>2025</v>
      </c>
      <c r="K309" s="196">
        <f t="shared" si="104"/>
        <v>46317</v>
      </c>
      <c r="L309" s="147">
        <f>IF(t&lt;Tvie,1-EXP((T0-t)*PertePVj)+'2025'!Pspv,1-EXP((T0-t)*PertePVj)+Pspv)</f>
        <v>6.3769291496074104E-2</v>
      </c>
      <c r="M309" s="847"/>
      <c r="N309" s="847"/>
      <c r="O309" s="48">
        <f>IF(t&lt;Tnet,'2025'!Resal+('2025'!Salim-'2025'!Resal)*(1-EXP(('2025'!Tnet-t)/('2025'!Tau_j))),Resal+(Salim-Resal)*(1-EXP((Tnet-t)/(Tau_j))))*Salcycl</f>
        <v>2.2059309921629869E-2</v>
      </c>
      <c r="P309" s="168">
        <f>(INDEX(Models!$BJ309:$BT309,,T309)*(1-R309)+INDEX(Models!$BJ309:$BT309,,T309+1)*R309-ERP_i)*Q309*Ramure*Pc/MaxiM</f>
        <v>1.657420885077048E-4</v>
      </c>
      <c r="Q309" s="304">
        <f t="shared" si="105"/>
        <v>0.5</v>
      </c>
      <c r="R309" s="176">
        <f t="shared" si="106"/>
        <v>0.11866736450312637</v>
      </c>
      <c r="S309" s="814">
        <f t="shared" si="107"/>
        <v>0</v>
      </c>
      <c r="T309" s="175">
        <f t="shared" si="108"/>
        <v>6</v>
      </c>
      <c r="U309" s="250">
        <f t="shared" si="109"/>
        <v>0.11866736450312637</v>
      </c>
      <c r="V309" s="382">
        <f t="shared" si="110"/>
        <v>35.56742063157769</v>
      </c>
      <c r="W309" s="401">
        <f t="shared" si="111"/>
        <v>33.668629699166253</v>
      </c>
      <c r="X309" s="157">
        <f t="shared" si="112"/>
        <v>46317</v>
      </c>
      <c r="Y309" s="384">
        <f t="shared" si="113"/>
        <v>32.151392256839543</v>
      </c>
      <c r="Z309" s="384">
        <f t="shared" si="114"/>
        <v>34.34131348694671</v>
      </c>
      <c r="AA309" s="385">
        <f t="shared" si="115"/>
        <v>36.74841305769975</v>
      </c>
      <c r="AB309" s="196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6.5502136567736402E-2</v>
      </c>
      <c r="AD309" s="230">
        <f>(INDEX(Models!$BJ309:$BT309,,AH309)*(1-AF309)+INDEX(Models!$BJ309:$BT309,,AH309+1)*AF309-ERP_i)*AE309*Ramure*Pc/MaxiM</f>
        <v>8.9189016877198142E-4</v>
      </c>
      <c r="AE309" s="304">
        <f t="shared" si="117"/>
        <v>0.5</v>
      </c>
      <c r="AF309" s="176">
        <f t="shared" si="118"/>
        <v>0.2336599043275136</v>
      </c>
      <c r="AG309" s="814">
        <f t="shared" si="124"/>
        <v>2</v>
      </c>
      <c r="AH309" s="175">
        <f t="shared" si="119"/>
        <v>8</v>
      </c>
      <c r="AI309" s="224">
        <f t="shared" si="120"/>
        <v>2.2336599043275136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10">
        <f>'2025'!Wh/'2025'!Env_an*'2026'!Env_an</f>
        <v>18.837749642926603</v>
      </c>
      <c r="C310" s="843"/>
      <c r="D310" s="392">
        <f t="shared" si="102"/>
        <v>20.121281589095471</v>
      </c>
      <c r="E310" s="384">
        <f t="shared" si="125"/>
        <v>20.576643791060338</v>
      </c>
      <c r="F310" s="384">
        <f t="shared" si="103"/>
        <v>20.57777723162334</v>
      </c>
      <c r="G310" s="110">
        <f t="shared" si="126"/>
        <v>0.53443272903845584</v>
      </c>
      <c r="H310" s="413" t="b">
        <f>Wh_hp&gt;='2025'!Maxi_hp</f>
        <v>0</v>
      </c>
      <c r="I310" s="389">
        <f>IF(H310,Wh_hp,'2025'!Maxi_hp)</f>
        <v>38.121231488419959</v>
      </c>
      <c r="J310" s="85">
        <f>IF(H310,An,'2025'!An_max)</f>
        <v>2018</v>
      </c>
      <c r="K310" s="196">
        <f t="shared" si="104"/>
        <v>46318</v>
      </c>
      <c r="L310" s="147">
        <f>IF(t&lt;Tvie,1-EXP((T0-t)*PertePVj)+'2025'!Pspv,1-EXP((T0-t)*PertePVj)+Pspv)</f>
        <v>6.3789771068283402E-2</v>
      </c>
      <c r="M310" s="847"/>
      <c r="N310" s="847"/>
      <c r="O310" s="48">
        <f>IF(t&lt;Tnet,'2025'!Resal+('2025'!Salim-'2025'!Resal)*(1-EXP(('2025'!Tnet-t)/('2025'!Tau_j))),Resal+(Salim-Resal)*(1-EXP((Tnet-t)/(Tau_j))))*Salcycl</f>
        <v>2.2130052237318745E-2</v>
      </c>
      <c r="P310" s="168">
        <f>(INDEX(Models!$BJ310:$BT310,,T310)*(1-R310)+INDEX(Models!$BJ310:$BT310,,T310+1)*R310-ERP_i)*Q310*Ramure*Pc/MaxiM</f>
        <v>1.6442650429660801E-4</v>
      </c>
      <c r="Q310" s="304">
        <f t="shared" si="105"/>
        <v>0.5</v>
      </c>
      <c r="R310" s="176">
        <f t="shared" si="106"/>
        <v>0.11871608731221944</v>
      </c>
      <c r="S310" s="814">
        <f t="shared" si="107"/>
        <v>0</v>
      </c>
      <c r="T310" s="175">
        <f t="shared" si="108"/>
        <v>6</v>
      </c>
      <c r="U310" s="250">
        <f t="shared" si="109"/>
        <v>0.11871608731221944</v>
      </c>
      <c r="V310" s="382">
        <f t="shared" si="110"/>
        <v>35.244266825630376</v>
      </c>
      <c r="W310" s="401">
        <f t="shared" si="111"/>
        <v>18.837749642926603</v>
      </c>
      <c r="X310" s="157">
        <f t="shared" si="112"/>
        <v>46318</v>
      </c>
      <c r="Y310" s="384">
        <f t="shared" si="113"/>
        <v>17.99790305173164</v>
      </c>
      <c r="Z310" s="384">
        <f t="shared" si="114"/>
        <v>19.224211075186123</v>
      </c>
      <c r="AA310" s="385">
        <f t="shared" si="115"/>
        <v>20.571625253313403</v>
      </c>
      <c r="AB310" s="196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6.5498674097723808E-2</v>
      </c>
      <c r="AD310" s="230">
        <f>(INDEX(Models!$BJ310:$BT310,,AH310)*(1-AF310)+INDEX(Models!$BJ310:$BT310,,AH310+1)*AF310-ERP_i)*AE310*Ramure*Pc/MaxiM</f>
        <v>8.9245816766332338E-4</v>
      </c>
      <c r="AE310" s="304">
        <f t="shared" si="117"/>
        <v>0.5</v>
      </c>
      <c r="AF310" s="176">
        <f t="shared" si="118"/>
        <v>0.23370862713660667</v>
      </c>
      <c r="AG310" s="814">
        <f t="shared" si="124"/>
        <v>2</v>
      </c>
      <c r="AH310" s="175">
        <f t="shared" si="119"/>
        <v>8</v>
      </c>
      <c r="AI310" s="224">
        <f t="shared" si="120"/>
        <v>2.2337086271366067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10">
        <f>'2025'!Wh/'2025'!Env_an*'2026'!Env_an</f>
        <v>25.85293802687525</v>
      </c>
      <c r="C311" s="843"/>
      <c r="D311" s="392">
        <f t="shared" si="102"/>
        <v>27.615062045034801</v>
      </c>
      <c r="E311" s="384">
        <f t="shared" si="125"/>
        <v>28.24204685245417</v>
      </c>
      <c r="F311" s="384">
        <f t="shared" si="103"/>
        <v>28.24494645601818</v>
      </c>
      <c r="G311" s="110">
        <f t="shared" si="126"/>
        <v>0.7402594629916851</v>
      </c>
      <c r="H311" s="413" t="b">
        <f>Wh_hp&gt;='2025'!Maxi_hp</f>
        <v>0</v>
      </c>
      <c r="I311" s="389">
        <f>IF(H311,Wh_hp,'2025'!Maxi_hp)</f>
        <v>39.472897554741962</v>
      </c>
      <c r="J311" s="85">
        <f>IF(H311,An,'2025'!An_max)</f>
        <v>2021</v>
      </c>
      <c r="K311" s="196">
        <f t="shared" si="104"/>
        <v>46319</v>
      </c>
      <c r="L311" s="147">
        <f>IF(t&lt;Tvie,1-EXP((T0-t)*PertePVj)+'2025'!Pspv,1-EXP((T0-t)*PertePVj)+Pspv)</f>
        <v>6.3810250191937506E-2</v>
      </c>
      <c r="M311" s="847"/>
      <c r="N311" s="847"/>
      <c r="O311" s="48">
        <f>IF(t&lt;Tnet,'2025'!Resal+('2025'!Salim-'2025'!Resal)*(1-EXP(('2025'!Tnet-t)/('2025'!Tau_j))),Resal+(Salim-Resal)*(1-EXP((Tnet-t)/(Tau_j))))*Salcycl</f>
        <v>2.2200402495433327E-2</v>
      </c>
      <c r="P311" s="168">
        <f>(INDEX(Models!$BJ311:$BT311,,T311)*(1-R311)+INDEX(Models!$BJ311:$BT311,,T311+1)*R311-ERP_i)*Q311*Ramure*Pc/MaxiM</f>
        <v>1.6320858129976215E-4</v>
      </c>
      <c r="Q311" s="304">
        <f t="shared" si="105"/>
        <v>0.5</v>
      </c>
      <c r="R311" s="176">
        <f t="shared" si="106"/>
        <v>0.11876286331965502</v>
      </c>
      <c r="S311" s="814">
        <f t="shared" si="107"/>
        <v>0</v>
      </c>
      <c r="T311" s="175">
        <f t="shared" si="108"/>
        <v>6</v>
      </c>
      <c r="U311" s="250">
        <f t="shared" si="109"/>
        <v>0.11876286331965502</v>
      </c>
      <c r="V311" s="382">
        <f t="shared" si="110"/>
        <v>34.92204257982808</v>
      </c>
      <c r="W311" s="401">
        <f t="shared" si="111"/>
        <v>25.85293802687525</v>
      </c>
      <c r="X311" s="157">
        <f t="shared" si="112"/>
        <v>46319</v>
      </c>
      <c r="Y311" s="384">
        <f t="shared" si="113"/>
        <v>24.696843945639422</v>
      </c>
      <c r="Z311" s="384">
        <f t="shared" si="114"/>
        <v>26.38016913847088</v>
      </c>
      <c r="AA311" s="385">
        <f t="shared" si="115"/>
        <v>28.229016008714193</v>
      </c>
      <c r="AB311" s="196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6.5494556015433941E-2</v>
      </c>
      <c r="AD311" s="230">
        <f>(INDEX(Models!$BJ311:$BT311,,AH311)*(1-AF311)+INDEX(Models!$BJ311:$BT311,,AH311+1)*AF311-ERP_i)*AE311*Ramure*Pc/MaxiM</f>
        <v>8.9666937102165719E-4</v>
      </c>
      <c r="AE311" s="304">
        <f t="shared" si="117"/>
        <v>0.5</v>
      </c>
      <c r="AF311" s="176">
        <f t="shared" si="118"/>
        <v>0.23375540314404253</v>
      </c>
      <c r="AG311" s="814">
        <f t="shared" si="124"/>
        <v>2</v>
      </c>
      <c r="AH311" s="175">
        <f t="shared" si="119"/>
        <v>8</v>
      </c>
      <c r="AI311" s="224">
        <f t="shared" si="120"/>
        <v>2.2337554031440425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10">
        <f>'2025'!Wh/'2025'!Env_an*'2026'!Env_an</f>
        <v>22.006283143002836</v>
      </c>
      <c r="C312" s="843"/>
      <c r="D312" s="392">
        <f t="shared" si="102"/>
        <v>23.506735183019618</v>
      </c>
      <c r="E312" s="384">
        <f t="shared" si="125"/>
        <v>24.042163196023303</v>
      </c>
      <c r="F312" s="384">
        <f t="shared" si="103"/>
        <v>24.044033783937305</v>
      </c>
      <c r="G312" s="110">
        <f t="shared" si="126"/>
        <v>0.6359323569196591</v>
      </c>
      <c r="H312" s="413" t="b">
        <f>Wh_hp&gt;='2025'!Maxi_hp</f>
        <v>0</v>
      </c>
      <c r="I312" s="389">
        <f>IF(H312,Wh_hp,'2025'!Maxi_hp)</f>
        <v>37.235103928768822</v>
      </c>
      <c r="J312" s="85">
        <f>IF(H312,An,'2025'!An_max)</f>
        <v>2018</v>
      </c>
      <c r="K312" s="196">
        <f t="shared" si="104"/>
        <v>46320</v>
      </c>
      <c r="L312" s="147">
        <f>IF(t&lt;Tvie,1-EXP((T0-t)*PertePVj)+'2025'!Pspv,1-EXP((T0-t)*PertePVj)+Pspv)</f>
        <v>6.3830728867046188E-2</v>
      </c>
      <c r="M312" s="847"/>
      <c r="N312" s="847"/>
      <c r="O312" s="48">
        <f>IF(t&lt;Tnet,'2025'!Resal+('2025'!Salim-'2025'!Resal)*(1-EXP(('2025'!Tnet-t)/('2025'!Tau_j))),Resal+(Salim-Resal)*(1-EXP((Tnet-t)/(Tau_j))))*Salcycl</f>
        <v>2.2270375949042995E-2</v>
      </c>
      <c r="P312" s="168">
        <f>(INDEX(Models!$BJ312:$BT312,,T312)*(1-R312)+INDEX(Models!$BJ312:$BT312,,T312+1)*R312-ERP_i)*Q312*Ramure*Pc/MaxiM</f>
        <v>1.6208681756029608E-4</v>
      </c>
      <c r="Q312" s="304">
        <f t="shared" si="105"/>
        <v>0.5</v>
      </c>
      <c r="R312" s="176">
        <f t="shared" si="106"/>
        <v>0.11880776973849999</v>
      </c>
      <c r="S312" s="814">
        <f t="shared" si="107"/>
        <v>0</v>
      </c>
      <c r="T312" s="175">
        <f t="shared" si="108"/>
        <v>6</v>
      </c>
      <c r="U312" s="250">
        <f t="shared" si="109"/>
        <v>0.11880776973849999</v>
      </c>
      <c r="V312" s="382">
        <f t="shared" si="110"/>
        <v>34.601837577501492</v>
      </c>
      <c r="W312" s="401">
        <f t="shared" si="111"/>
        <v>22.006283143002836</v>
      </c>
      <c r="X312" s="157">
        <f t="shared" si="112"/>
        <v>46320</v>
      </c>
      <c r="Y312" s="384">
        <f t="shared" si="113"/>
        <v>21.026023605158006</v>
      </c>
      <c r="Z312" s="384">
        <f t="shared" si="114"/>
        <v>22.459638714387914</v>
      </c>
      <c r="AA312" s="385">
        <f t="shared" si="115"/>
        <v>24.033594798277864</v>
      </c>
      <c r="AB312" s="196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6.5489831924882544E-2</v>
      </c>
      <c r="AD312" s="230">
        <f>(INDEX(Models!$BJ312:$BT312,,AH312)*(1-AF312)+INDEX(Models!$BJ312:$BT312,,AH312+1)*AF312-ERP_i)*AE312*Ramure*Pc/MaxiM</f>
        <v>9.0454019906321742E-4</v>
      </c>
      <c r="AE312" s="304">
        <f t="shared" si="117"/>
        <v>0.5</v>
      </c>
      <c r="AF312" s="176">
        <f t="shared" si="118"/>
        <v>0.23380030956288733</v>
      </c>
      <c r="AG312" s="814">
        <f t="shared" si="124"/>
        <v>2</v>
      </c>
      <c r="AH312" s="175">
        <f t="shared" si="119"/>
        <v>8</v>
      </c>
      <c r="AI312" s="224">
        <f t="shared" si="120"/>
        <v>2.2338003095628873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10">
        <f>'2025'!Wh/'2025'!Env_an*'2026'!Env_an</f>
        <v>17.606158032506315</v>
      </c>
      <c r="C313" s="843"/>
      <c r="D313" s="392">
        <f t="shared" si="102"/>
        <v>18.807008208434464</v>
      </c>
      <c r="E313" s="384">
        <f t="shared" si="125"/>
        <v>19.236757152480976</v>
      </c>
      <c r="F313" s="384">
        <f t="shared" si="103"/>
        <v>19.237702283795571</v>
      </c>
      <c r="G313" s="110">
        <f t="shared" si="126"/>
        <v>0.51347003696741411</v>
      </c>
      <c r="H313" s="413" t="b">
        <f>Wh_hp&gt;='2025'!Maxi_hp</f>
        <v>0</v>
      </c>
      <c r="I313" s="389">
        <f>IF(H313,Wh_hp,'2025'!Maxi_hp)</f>
        <v>37.759644135743372</v>
      </c>
      <c r="J313" s="85">
        <f>IF(H313,An,'2025'!An_max)</f>
        <v>2019</v>
      </c>
      <c r="K313" s="196">
        <f t="shared" si="104"/>
        <v>46321</v>
      </c>
      <c r="L313" s="147">
        <f>IF(t&lt;Tvie,1-EXP((T0-t)*PertePVj)+'2025'!Pspv,1-EXP((T0-t)*PertePVj)+Pspv)</f>
        <v>6.3851207093619439E-2</v>
      </c>
      <c r="M313" s="847"/>
      <c r="N313" s="847"/>
      <c r="O313" s="48">
        <f>IF(t&lt;Tnet,'2025'!Resal+('2025'!Salim-'2025'!Resal)*(1-EXP(('2025'!Tnet-t)/('2025'!Tau_j))),Resal+(Salim-Resal)*(1-EXP((Tnet-t)/(Tau_j))))*Salcycl</f>
        <v>2.233998904493557E-2</v>
      </c>
      <c r="P313" s="168">
        <f>(INDEX(Models!$BJ313:$BT313,,T313)*(1-R313)+INDEX(Models!$BJ313:$BT313,,T313+1)*R313-ERP_i)*Q313*Ramure*Pc/MaxiM</f>
        <v>1.6105831095269247E-4</v>
      </c>
      <c r="Q313" s="304">
        <f t="shared" si="105"/>
        <v>0.5</v>
      </c>
      <c r="R313" s="176">
        <f t="shared" si="106"/>
        <v>0.11885088076463768</v>
      </c>
      <c r="S313" s="814">
        <f t="shared" si="107"/>
        <v>0</v>
      </c>
      <c r="T313" s="175">
        <f t="shared" si="108"/>
        <v>6</v>
      </c>
      <c r="U313" s="250">
        <f t="shared" si="109"/>
        <v>0.11885088076463768</v>
      </c>
      <c r="V313" s="382">
        <f t="shared" si="110"/>
        <v>34.284741124465832</v>
      </c>
      <c r="W313" s="401">
        <f t="shared" si="111"/>
        <v>17.606158032506315</v>
      </c>
      <c r="X313" s="157">
        <f t="shared" si="112"/>
        <v>46321</v>
      </c>
      <c r="Y313" s="384">
        <f t="shared" si="113"/>
        <v>16.825314427546704</v>
      </c>
      <c r="Z313" s="384">
        <f t="shared" si="114"/>
        <v>17.97290618226468</v>
      </c>
      <c r="AA313" s="385">
        <f t="shared" si="115"/>
        <v>19.232326511505338</v>
      </c>
      <c r="AB313" s="196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6.5484554273100445E-2</v>
      </c>
      <c r="AD313" s="230">
        <f>(INDEX(Models!$BJ313:$BT313,,AH313)*(1-AF313)+INDEX(Models!$BJ313:$BT313,,AH313+1)*AF313-ERP_i)*AE313*Ramure*Pc/MaxiM</f>
        <v>9.1607673109783347E-4</v>
      </c>
      <c r="AE313" s="304">
        <f t="shared" si="117"/>
        <v>0.5</v>
      </c>
      <c r="AF313" s="176">
        <f t="shared" si="118"/>
        <v>0.23384342058902519</v>
      </c>
      <c r="AG313" s="814">
        <f t="shared" si="124"/>
        <v>2</v>
      </c>
      <c r="AH313" s="175">
        <f t="shared" si="119"/>
        <v>8</v>
      </c>
      <c r="AI313" s="224">
        <f t="shared" si="120"/>
        <v>2.2338434205890252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10">
        <f>'2025'!Wh/'2025'!Env_an*'2026'!Env_an</f>
        <v>13.791864129305827</v>
      </c>
      <c r="C314" s="843"/>
      <c r="D314" s="392">
        <f t="shared" si="102"/>
        <v>14.732877861316599</v>
      </c>
      <c r="E314" s="384">
        <f t="shared" si="125"/>
        <v>15.070598819246465</v>
      </c>
      <c r="F314" s="384">
        <f t="shared" si="103"/>
        <v>15.070964169856735</v>
      </c>
      <c r="G314" s="110">
        <f t="shared" si="126"/>
        <v>0.40592411877637752</v>
      </c>
      <c r="H314" s="413" t="b">
        <f>Wh_hp&gt;='2025'!Maxi_hp</f>
        <v>0</v>
      </c>
      <c r="I314" s="389">
        <f>IF(H314,Wh_hp,'2025'!Maxi_hp)</f>
        <v>36.161643424321802</v>
      </c>
      <c r="J314" s="85">
        <f>IF(H314,An,'2025'!An_max)</f>
        <v>2021</v>
      </c>
      <c r="K314" s="196">
        <f t="shared" si="104"/>
        <v>46322</v>
      </c>
      <c r="L314" s="147">
        <f>IF(t&lt;Tvie,1-EXP((T0-t)*PertePVj)+'2025'!Pspv,1-EXP((T0-t)*PertePVj)+Pspv)</f>
        <v>6.3871684871666917E-2</v>
      </c>
      <c r="M314" s="847"/>
      <c r="N314" s="847"/>
      <c r="O314" s="48">
        <f>IF(t&lt;Tnet,'2025'!Resal+('2025'!Salim-'2025'!Resal)*(1-EXP(('2025'!Tnet-t)/('2025'!Tau_j))),Resal+(Salim-Resal)*(1-EXP((Tnet-t)/(Tau_j))))*Salcycl</f>
        <v>2.2409259378503684E-2</v>
      </c>
      <c r="P314" s="168">
        <f>(INDEX(Models!$BJ314:$BT314,,T314)*(1-R314)+INDEX(Models!$BJ314:$BT314,,T314+1)*R314-ERP_i)*Q314*Ramure*Pc/MaxiM</f>
        <v>1.6012010253263609E-4</v>
      </c>
      <c r="Q314" s="304">
        <f t="shared" si="105"/>
        <v>0.5</v>
      </c>
      <c r="R314" s="176">
        <f t="shared" si="106"/>
        <v>0.11889226769110406</v>
      </c>
      <c r="S314" s="814">
        <f t="shared" si="107"/>
        <v>0</v>
      </c>
      <c r="T314" s="175">
        <f t="shared" si="108"/>
        <v>6</v>
      </c>
      <c r="U314" s="250">
        <f t="shared" si="109"/>
        <v>0.11889226769110406</v>
      </c>
      <c r="V314" s="382">
        <f t="shared" si="110"/>
        <v>33.971842110261861</v>
      </c>
      <c r="W314" s="401">
        <f t="shared" si="111"/>
        <v>13.791864129305827</v>
      </c>
      <c r="X314" s="157">
        <f t="shared" si="112"/>
        <v>46322</v>
      </c>
      <c r="Y314" s="384">
        <f t="shared" si="113"/>
        <v>13.182699406635862</v>
      </c>
      <c r="Z314" s="384">
        <f t="shared" si="114"/>
        <v>14.082150057418845</v>
      </c>
      <c r="AA314" s="385">
        <f t="shared" si="115"/>
        <v>15.068839239354276</v>
      </c>
      <c r="AB314" s="196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6.5478778176792804E-2</v>
      </c>
      <c r="AD314" s="230">
        <f>(INDEX(Models!$BJ314:$BT314,,AH314)*(1-AF314)+INDEX(Models!$BJ314:$BT314,,AH314+1)*AF314-ERP_i)*AE314*Ramure*Pc/MaxiM</f>
        <v>9.3128102256782115E-4</v>
      </c>
      <c r="AE314" s="304">
        <f t="shared" si="117"/>
        <v>0.5</v>
      </c>
      <c r="AF314" s="176">
        <f t="shared" si="118"/>
        <v>0.23388480751549157</v>
      </c>
      <c r="AG314" s="814">
        <f t="shared" si="124"/>
        <v>2</v>
      </c>
      <c r="AH314" s="175">
        <f t="shared" si="119"/>
        <v>8</v>
      </c>
      <c r="AI314" s="224">
        <f t="shared" si="120"/>
        <v>2.2338848075154916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10">
        <f>'2025'!Wh/'2025'!Env_an*'2026'!Env_an</f>
        <v>18.170879081143397</v>
      </c>
      <c r="C315" s="843"/>
      <c r="D315" s="392">
        <f t="shared" si="102"/>
        <v>19.411095973591113</v>
      </c>
      <c r="E315" s="384">
        <f t="shared" si="125"/>
        <v>19.857455951978064</v>
      </c>
      <c r="F315" s="384">
        <f t="shared" si="103"/>
        <v>19.858539311085227</v>
      </c>
      <c r="G315" s="110">
        <f t="shared" si="126"/>
        <v>0.53971163875120953</v>
      </c>
      <c r="H315" s="413" t="b">
        <f>Wh_hp&gt;='2025'!Maxi_hp</f>
        <v>0</v>
      </c>
      <c r="I315" s="389">
        <f>IF(H315,Wh_hp,'2025'!Maxi_hp)</f>
        <v>36.883267903412836</v>
      </c>
      <c r="J315" s="85">
        <f>IF(H315,An,'2025'!An_max)</f>
        <v>2021</v>
      </c>
      <c r="K315" s="196">
        <f t="shared" si="104"/>
        <v>46323</v>
      </c>
      <c r="L315" s="147">
        <f>IF(t&lt;Tvie,1-EXP((T0-t)*PertePVj)+'2025'!Pspv,1-EXP((T0-t)*PertePVj)+Pspv)</f>
        <v>6.3892162201198505E-2</v>
      </c>
      <c r="M315" s="847"/>
      <c r="N315" s="847"/>
      <c r="O315" s="48">
        <f>IF(t&lt;Tnet,'2025'!Resal+('2025'!Salim-'2025'!Resal)*(1-EXP(('2025'!Tnet-t)/('2025'!Tau_j))),Resal+(Salim-Resal)*(1-EXP((Tnet-t)/(Tau_j))))*Salcycl</f>
        <v>2.2478205640561372E-2</v>
      </c>
      <c r="P315" s="168">
        <f>(INDEX(Models!$BJ315:$BT315,,T315)*(1-R315)+INDEX(Models!$BJ315:$BT315,,T315+1)*R315-ERP_i)*Q315*Ramure*Pc/MaxiM</f>
        <v>1.5926914922806388E-4</v>
      </c>
      <c r="Q315" s="304">
        <f t="shared" si="105"/>
        <v>0.5</v>
      </c>
      <c r="R315" s="176">
        <f t="shared" si="106"/>
        <v>0.11893199901837331</v>
      </c>
      <c r="S315" s="814">
        <f t="shared" si="107"/>
        <v>0</v>
      </c>
      <c r="T315" s="175">
        <f t="shared" si="108"/>
        <v>6</v>
      </c>
      <c r="U315" s="250">
        <f t="shared" si="109"/>
        <v>0.11893199901837331</v>
      </c>
      <c r="V315" s="382">
        <f t="shared" si="110"/>
        <v>33.664229012594284</v>
      </c>
      <c r="W315" s="401">
        <f t="shared" si="111"/>
        <v>18.170879081143397</v>
      </c>
      <c r="X315" s="157">
        <f t="shared" si="112"/>
        <v>46323</v>
      </c>
      <c r="Y315" s="384">
        <f t="shared" si="113"/>
        <v>17.366962843342435</v>
      </c>
      <c r="Z315" s="384">
        <f t="shared" si="114"/>
        <v>18.552310046008966</v>
      </c>
      <c r="AA315" s="385">
        <f t="shared" si="115"/>
        <v>19.852076328982307</v>
      </c>
      <c r="AB315" s="196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6.5472561229063586E-2</v>
      </c>
      <c r="AD315" s="230">
        <f>(INDEX(Models!$BJ315:$BT315,,AH315)*(1-AF315)+INDEX(Models!$BJ315:$BT315,,AH315+1)*AF315-ERP_i)*AE315*Ramure*Pc/MaxiM</f>
        <v>9.501500049258247E-4</v>
      </c>
      <c r="AE315" s="304">
        <f t="shared" si="117"/>
        <v>0.5</v>
      </c>
      <c r="AF315" s="176">
        <f t="shared" si="118"/>
        <v>0.23392453884276065</v>
      </c>
      <c r="AG315" s="814">
        <f t="shared" si="124"/>
        <v>2</v>
      </c>
      <c r="AH315" s="175">
        <f t="shared" si="119"/>
        <v>8</v>
      </c>
      <c r="AI315" s="224">
        <f t="shared" si="120"/>
        <v>2.2339245388427607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10">
        <f>'2025'!Wh/'2025'!Env_an*'2026'!Env_an</f>
        <v>26.828186071294652</v>
      </c>
      <c r="C316" s="843"/>
      <c r="D316" s="392">
        <f t="shared" si="102"/>
        <v>28.659917002822546</v>
      </c>
      <c r="E316" s="384">
        <f t="shared" si="125"/>
        <v>29.321013422659458</v>
      </c>
      <c r="F316" s="384">
        <f t="shared" si="103"/>
        <v>29.324360831418218</v>
      </c>
      <c r="G316" s="110">
        <f t="shared" si="126"/>
        <v>0.80409448162091279</v>
      </c>
      <c r="H316" s="413" t="b">
        <f>Wh_hp&gt;='2025'!Maxi_hp</f>
        <v>0</v>
      </c>
      <c r="I316" s="389">
        <f>IF(H316,Wh_hp,'2025'!Maxi_hp)</f>
        <v>30.389582180422003</v>
      </c>
      <c r="J316" s="85">
        <f>IF(H316,An,'2025'!An_max)</f>
        <v>2019</v>
      </c>
      <c r="K316" s="196">
        <f t="shared" si="104"/>
        <v>46324</v>
      </c>
      <c r="L316" s="147">
        <f>IF(t&lt;Tvie,1-EXP((T0-t)*PertePVj)+'2025'!Pspv,1-EXP((T0-t)*PertePVj)+Pspv)</f>
        <v>6.3912639082223971E-2</v>
      </c>
      <c r="M316" s="847"/>
      <c r="N316" s="847"/>
      <c r="O316" s="48">
        <f>IF(t&lt;Tnet,'2025'!Resal+('2025'!Salim-'2025'!Resal)*(1-EXP(('2025'!Tnet-t)/('2025'!Tau_j))),Resal+(Salim-Resal)*(1-EXP((Tnet-t)/(Tau_j))))*Salcycl</f>
        <v>2.2546847556299397E-2</v>
      </c>
      <c r="P316" s="168">
        <f>(INDEX(Models!$BJ316:$BT316,,T316)*(1-R316)+INDEX(Models!$BJ316:$BT316,,T316+1)*R316-ERP_i)*Q316*Ramure*Pc/MaxiM</f>
        <v>1.585022975749402E-4</v>
      </c>
      <c r="Q316" s="304">
        <f t="shared" si="105"/>
        <v>0.5</v>
      </c>
      <c r="R316" s="176">
        <f t="shared" si="106"/>
        <v>0.11897014056071498</v>
      </c>
      <c r="S316" s="814">
        <f t="shared" si="107"/>
        <v>0</v>
      </c>
      <c r="T316" s="175">
        <f t="shared" si="108"/>
        <v>6</v>
      </c>
      <c r="U316" s="250">
        <f t="shared" si="109"/>
        <v>0.11897014056071498</v>
      </c>
      <c r="V316" s="382">
        <f t="shared" si="110"/>
        <v>33.362989906171165</v>
      </c>
      <c r="W316" s="401">
        <f t="shared" si="111"/>
        <v>26.828186071294652</v>
      </c>
      <c r="X316" s="157">
        <f t="shared" si="112"/>
        <v>46324</v>
      </c>
      <c r="Y316" s="384">
        <f t="shared" si="113"/>
        <v>25.635141973914958</v>
      </c>
      <c r="Z316" s="384">
        <f t="shared" si="114"/>
        <v>27.385416195323138</v>
      </c>
      <c r="AA316" s="385">
        <f t="shared" si="115"/>
        <v>29.303818929539744</v>
      </c>
      <c r="AB316" s="196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6.5465963287220527E-2</v>
      </c>
      <c r="AD316" s="230">
        <f>(INDEX(Models!$BJ316:$BT316,,AH316)*(1-AF316)+INDEX(Models!$BJ316:$BT316,,AH316+1)*AF316-ERP_i)*AE316*Ramure*Pc/MaxiM</f>
        <v>9.7267435169799156E-4</v>
      </c>
      <c r="AE316" s="304">
        <f t="shared" si="117"/>
        <v>0.5</v>
      </c>
      <c r="AF316" s="176">
        <f t="shared" si="118"/>
        <v>0.23396268038510248</v>
      </c>
      <c r="AG316" s="814">
        <f t="shared" si="124"/>
        <v>2</v>
      </c>
      <c r="AH316" s="175">
        <f t="shared" si="119"/>
        <v>8</v>
      </c>
      <c r="AI316" s="224">
        <f t="shared" si="120"/>
        <v>2.2339626803851025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10">
        <f>'2025'!Wh/'2025'!Env_an*'2026'!Env_an</f>
        <v>22.527184954384982</v>
      </c>
      <c r="C317" s="843"/>
      <c r="D317" s="392">
        <f t="shared" si="102"/>
        <v>24.065785605451609</v>
      </c>
      <c r="E317" s="384">
        <f t="shared" si="125"/>
        <v>24.622631484214796</v>
      </c>
      <c r="F317" s="384">
        <f t="shared" si="103"/>
        <v>24.62474834956495</v>
      </c>
      <c r="G317" s="110">
        <f t="shared" si="126"/>
        <v>0.6812204222130368</v>
      </c>
      <c r="H317" s="413" t="b">
        <f>Wh_hp&gt;='2025'!Maxi_hp</f>
        <v>0</v>
      </c>
      <c r="I317" s="389">
        <f>IF(H317,Wh_hp,'2025'!Maxi_hp)</f>
        <v>32.225870251285528</v>
      </c>
      <c r="J317" s="85">
        <f>IF(H317,An,'2025'!An_max)</f>
        <v>2018</v>
      </c>
      <c r="K317" s="196">
        <f t="shared" si="104"/>
        <v>46325</v>
      </c>
      <c r="L317" s="147">
        <f>IF(t&lt;Tvie,1-EXP((T0-t)*PertePVj)+'2025'!Pspv,1-EXP((T0-t)*PertePVj)+Pspv)</f>
        <v>6.3933115514753308E-2</v>
      </c>
      <c r="M317" s="847"/>
      <c r="N317" s="847"/>
      <c r="O317" s="48">
        <f>IF(t&lt;Tnet,'2025'!Resal+('2025'!Salim-'2025'!Resal)*(1-EXP(('2025'!Tnet-t)/('2025'!Tau_j))),Resal+(Salim-Resal)*(1-EXP((Tnet-t)/(Tau_j))))*Salcycl</f>
        <v>2.2615205816655808E-2</v>
      </c>
      <c r="P317" s="168">
        <f>(INDEX(Models!$BJ317:$BT317,,T317)*(1-R317)+INDEX(Models!$BJ317:$BT317,,T317+1)*R317-ERP_i)*Q317*Ramure*Pc/MaxiM</f>
        <v>1.5782926679248563E-4</v>
      </c>
      <c r="Q317" s="304">
        <f t="shared" si="105"/>
        <v>0.5</v>
      </c>
      <c r="R317" s="176">
        <f t="shared" si="106"/>
        <v>0.11900675554874063</v>
      </c>
      <c r="S317" s="814">
        <f t="shared" si="107"/>
        <v>0</v>
      </c>
      <c r="T317" s="175">
        <f t="shared" si="108"/>
        <v>6</v>
      </c>
      <c r="U317" s="250">
        <f t="shared" si="109"/>
        <v>0.11900675554874063</v>
      </c>
      <c r="V317" s="382">
        <f t="shared" si="110"/>
        <v>33.066486529210096</v>
      </c>
      <c r="W317" s="401">
        <f t="shared" si="111"/>
        <v>22.527184954384982</v>
      </c>
      <c r="X317" s="157">
        <f t="shared" si="112"/>
        <v>46325</v>
      </c>
      <c r="Y317" s="384">
        <f t="shared" si="113"/>
        <v>21.529833144598324</v>
      </c>
      <c r="Z317" s="384">
        <f t="shared" si="114"/>
        <v>23.00031493629626</v>
      </c>
      <c r="AA317" s="385">
        <f t="shared" si="115"/>
        <v>24.611350464447394</v>
      </c>
      <c r="AB317" s="196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6.5459046242845334E-2</v>
      </c>
      <c r="AD317" s="230">
        <f>(INDEX(Models!$BJ317:$BT317,,AH317)*(1-AF317)+INDEX(Models!$BJ317:$BT317,,AH317+1)*AF317-ERP_i)*AE317*Ramure*Pc/MaxiM</f>
        <v>9.9891964527726675E-4</v>
      </c>
      <c r="AE317" s="304">
        <f t="shared" si="117"/>
        <v>0.5</v>
      </c>
      <c r="AF317" s="176">
        <f t="shared" si="118"/>
        <v>0.23399929537312802</v>
      </c>
      <c r="AG317" s="814">
        <f t="shared" si="124"/>
        <v>2</v>
      </c>
      <c r="AH317" s="175">
        <f t="shared" si="119"/>
        <v>8</v>
      </c>
      <c r="AI317" s="224">
        <f t="shared" si="120"/>
        <v>2.233999295373128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10">
        <f>'2025'!Wh/'2025'!Env_an*'2026'!Env_an</f>
        <v>21.650857485339674</v>
      </c>
      <c r="C318" s="843"/>
      <c r="D318" s="392">
        <f t="shared" si="102"/>
        <v>23.130111166183518</v>
      </c>
      <c r="E318" s="384">
        <f t="shared" si="125"/>
        <v>23.666955873746247</v>
      </c>
      <c r="F318" s="384">
        <f t="shared" si="103"/>
        <v>23.668878758673689</v>
      </c>
      <c r="G318" s="110">
        <f t="shared" si="126"/>
        <v>0.66059371734204198</v>
      </c>
      <c r="H318" s="413" t="b">
        <f>Wh_hp&gt;='2025'!Maxi_hp</f>
        <v>0</v>
      </c>
      <c r="I318" s="389">
        <f>IF(H318,Wh_hp,'2025'!Maxi_hp)</f>
        <v>35.005693815920047</v>
      </c>
      <c r="J318" s="85">
        <f>IF(H318,An,'2025'!An_max)</f>
        <v>2020</v>
      </c>
      <c r="K318" s="196">
        <f t="shared" si="104"/>
        <v>46326</v>
      </c>
      <c r="L318" s="147">
        <f>IF(t&lt;Tvie,1-EXP((T0-t)*PertePVj)+'2025'!Pspv,1-EXP((T0-t)*PertePVj)+Pspv)</f>
        <v>6.3953591498796064E-2</v>
      </c>
      <c r="M318" s="847"/>
      <c r="N318" s="847"/>
      <c r="O318" s="48">
        <f>IF(t&lt;Tnet,'2025'!Resal+('2025'!Salim-'2025'!Resal)*(1-EXP(('2025'!Tnet-t)/('2025'!Tau_j))),Resal+(Salim-Resal)*(1-EXP((Tnet-t)/(Tau_j))))*Salcycl</f>
        <v>2.268330200244506E-2</v>
      </c>
      <c r="P318" s="168">
        <f>(INDEX(Models!$BJ318:$BT318,,T318)*(1-R318)+INDEX(Models!$BJ318:$BT318,,T318+1)*R318-ERP_i)*Q318*Ramure*Pc/MaxiM</f>
        <v>1.5768655614102292E-4</v>
      </c>
      <c r="Q318" s="304">
        <f t="shared" si="105"/>
        <v>0.5</v>
      </c>
      <c r="R318" s="176">
        <f t="shared" si="106"/>
        <v>0.11904190472825715</v>
      </c>
      <c r="S318" s="814">
        <f t="shared" si="107"/>
        <v>0</v>
      </c>
      <c r="T318" s="175">
        <f t="shared" si="108"/>
        <v>6</v>
      </c>
      <c r="U318" s="250">
        <f t="shared" si="109"/>
        <v>0.11904190472825715</v>
      </c>
      <c r="V318" s="382">
        <f t="shared" si="110"/>
        <v>32.772340505368611</v>
      </c>
      <c r="W318" s="401">
        <f t="shared" si="111"/>
        <v>21.650857485339674</v>
      </c>
      <c r="X318" s="157">
        <f t="shared" si="112"/>
        <v>46326</v>
      </c>
      <c r="Y318" s="384">
        <f t="shared" si="113"/>
        <v>20.694087618335061</v>
      </c>
      <c r="Z318" s="384">
        <f t="shared" si="114"/>
        <v>22.10797181677178</v>
      </c>
      <c r="AA318" s="385">
        <f t="shared" si="115"/>
        <v>23.656322447604268</v>
      </c>
      <c r="AB318" s="196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6.5451873775473207E-2</v>
      </c>
      <c r="AD318" s="230">
        <f>(INDEX(Models!$BJ318:$BT318,,AH318)*(1-AF318)+INDEX(Models!$BJ318:$BT318,,AH318+1)*AF318-ERP_i)*AE318*Ramure*Pc/MaxiM</f>
        <v>1.0296827553825444E-3</v>
      </c>
      <c r="AE318" s="304">
        <f t="shared" si="117"/>
        <v>0.5</v>
      </c>
      <c r="AF318" s="176">
        <f t="shared" si="118"/>
        <v>0.23403444455264477</v>
      </c>
      <c r="AG318" s="814">
        <f t="shared" si="124"/>
        <v>2</v>
      </c>
      <c r="AH318" s="175">
        <f t="shared" si="119"/>
        <v>8</v>
      </c>
      <c r="AI318" s="224">
        <f t="shared" si="120"/>
        <v>2.2340344445526448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10">
        <f>'2025'!Wh/'2025'!Env_an*'2026'!Env_an</f>
        <v>20.571115094623313</v>
      </c>
      <c r="C319" s="843"/>
      <c r="D319" s="392">
        <f t="shared" si="102"/>
        <v>21.977078166464111</v>
      </c>
      <c r="E319" s="384">
        <f t="shared" si="125"/>
        <v>22.488722660206218</v>
      </c>
      <c r="F319" s="384">
        <f t="shared" si="103"/>
        <v>22.4904171981382</v>
      </c>
      <c r="G319" s="110">
        <f t="shared" si="126"/>
        <v>0.6332840022151911</v>
      </c>
      <c r="H319" s="413" t="b">
        <f>Wh_hp&gt;='2025'!Maxi_hp</f>
        <v>0</v>
      </c>
      <c r="I319" s="389">
        <f>IF(H319,Wh_hp,'2025'!Maxi_hp)</f>
        <v>32.902406059457448</v>
      </c>
      <c r="J319" s="85">
        <f>IF(H319,An,'2025'!An_max)</f>
        <v>2020</v>
      </c>
      <c r="K319" s="196">
        <f t="shared" si="104"/>
        <v>46327</v>
      </c>
      <c r="L319" s="147">
        <f>IF(t&lt;Tvie,1-EXP((T0-t)*PertePVj)+'2025'!Pspv,1-EXP((T0-t)*PertePVj)+Pspv)</f>
        <v>6.3974067034362342E-2</v>
      </c>
      <c r="M319" s="847"/>
      <c r="N319" s="847"/>
      <c r="O319" s="48">
        <f>IF(t&lt;Tnet,'2025'!Resal+('2025'!Salim-'2025'!Resal)*(1-EXP(('2025'!Tnet-t)/('2025'!Tau_j))),Resal+(Salim-Resal)*(1-EXP((Tnet-t)/(Tau_j))))*Salcycl</f>
        <v>2.2751158501654749E-2</v>
      </c>
      <c r="P319" s="168">
        <f>(INDEX(Models!$BJ319:$BT319,,T319)*(1-R319)+INDEX(Models!$BJ319:$BT319,,T319+1)*R319-ERP_i)*Q319*Ramure*Pc/MaxiM</f>
        <v>1.5822276062923578E-4</v>
      </c>
      <c r="Q319" s="304">
        <f t="shared" si="105"/>
        <v>0.5</v>
      </c>
      <c r="R319" s="176">
        <f t="shared" si="106"/>
        <v>0.11907564645554214</v>
      </c>
      <c r="S319" s="814">
        <f t="shared" si="107"/>
        <v>0</v>
      </c>
      <c r="T319" s="175">
        <f t="shared" si="108"/>
        <v>6</v>
      </c>
      <c r="U319" s="250">
        <f t="shared" si="109"/>
        <v>0.11907564645554214</v>
      </c>
      <c r="V319" s="382">
        <f t="shared" si="110"/>
        <v>32.480545859237751</v>
      </c>
      <c r="W319" s="401">
        <f t="shared" si="111"/>
        <v>20.571115094623313</v>
      </c>
      <c r="X319" s="157">
        <f t="shared" si="112"/>
        <v>46327</v>
      </c>
      <c r="Y319" s="384">
        <f t="shared" si="113"/>
        <v>19.6639328407738</v>
      </c>
      <c r="Z319" s="384">
        <f t="shared" si="114"/>
        <v>21.007893209189195</v>
      </c>
      <c r="AA319" s="385">
        <f t="shared" si="115"/>
        <v>22.479021800751823</v>
      </c>
      <c r="AB319" s="196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6.5444511091377888E-2</v>
      </c>
      <c r="AD319" s="230">
        <f>(INDEX(Models!$BJ319:$BT319,,AH319)*(1-AF319)+INDEX(Models!$BJ319:$BT319,,AH319+1)*AF319-ERP_i)*AE319*Ramure*Pc/MaxiM</f>
        <v>1.064013498258843E-3</v>
      </c>
      <c r="AE319" s="304">
        <f t="shared" si="117"/>
        <v>0.5</v>
      </c>
      <c r="AF319" s="176">
        <f t="shared" si="118"/>
        <v>0.23406818627992942</v>
      </c>
      <c r="AG319" s="814">
        <f t="shared" si="124"/>
        <v>2</v>
      </c>
      <c r="AH319" s="175">
        <f t="shared" si="119"/>
        <v>8</v>
      </c>
      <c r="AI319" s="224">
        <f t="shared" si="120"/>
        <v>2.2340681862799294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10">
        <f>'2025'!Wh/'2025'!Env_an*'2026'!Env_an</f>
        <v>29.681544537616436</v>
      </c>
      <c r="C320" s="843"/>
      <c r="D320" s="392">
        <f t="shared" si="102"/>
        <v>31.710866948243901</v>
      </c>
      <c r="E320" s="384">
        <f t="shared" si="125"/>
        <v>32.451368177143699</v>
      </c>
      <c r="F320" s="384">
        <f t="shared" si="103"/>
        <v>32.455966744731967</v>
      </c>
      <c r="G320" s="110">
        <f t="shared" si="126"/>
        <v>0.92202553257702557</v>
      </c>
      <c r="H320" s="413" t="b">
        <f>Wh_hp&gt;='2025'!Maxi_hp</f>
        <v>0</v>
      </c>
      <c r="I320" s="389">
        <f>IF(H320,Wh_hp,'2025'!Maxi_hp)</f>
        <v>32.456277702775147</v>
      </c>
      <c r="J320" s="85">
        <f>IF(H320,An,'2025'!An_max)</f>
        <v>2025</v>
      </c>
      <c r="K320" s="196">
        <f t="shared" si="104"/>
        <v>46328</v>
      </c>
      <c r="L320" s="147">
        <f>IF(t&lt;Tvie,1-EXP((T0-t)*PertePVj)+'2025'!Pspv,1-EXP((T0-t)*PertePVj)+Pspv)</f>
        <v>6.39945421214618E-2</v>
      </c>
      <c r="M320" s="847"/>
      <c r="N320" s="847"/>
      <c r="O320" s="48">
        <f>IF(t&lt;Tnet,'2025'!Resal+('2025'!Salim-'2025'!Resal)*(1-EXP(('2025'!Tnet-t)/('2025'!Tau_j))),Resal+(Salim-Resal)*(1-EXP((Tnet-t)/(Tau_j))))*Salcycl</f>
        <v>2.281879842038069E-2</v>
      </c>
      <c r="P320" s="168">
        <f>(INDEX(Models!$BJ320:$BT320,,T320)*(1-R320)+INDEX(Models!$BJ320:$BT320,,T320+1)*R320-ERP_i)*Q320*Ramure*Pc/MaxiM</f>
        <v>1.5944335337212334E-4</v>
      </c>
      <c r="Q320" s="304">
        <f t="shared" si="105"/>
        <v>0.5</v>
      </c>
      <c r="R320" s="176">
        <f t="shared" si="106"/>
        <v>0.1191080367891546</v>
      </c>
      <c r="S320" s="814">
        <f t="shared" si="107"/>
        <v>0</v>
      </c>
      <c r="T320" s="175">
        <f t="shared" si="108"/>
        <v>6</v>
      </c>
      <c r="U320" s="250">
        <f t="shared" si="109"/>
        <v>0.1191080367891546</v>
      </c>
      <c r="V320" s="382">
        <f t="shared" si="110"/>
        <v>32.191101394773128</v>
      </c>
      <c r="W320" s="401">
        <f t="shared" si="111"/>
        <v>29.681544537616436</v>
      </c>
      <c r="X320" s="157">
        <f t="shared" si="112"/>
        <v>46328</v>
      </c>
      <c r="Y320" s="384">
        <f t="shared" si="113"/>
        <v>28.363252193387613</v>
      </c>
      <c r="Z320" s="384">
        <f t="shared" si="114"/>
        <v>30.302443169159599</v>
      </c>
      <c r="AA320" s="385">
        <f t="shared" si="115"/>
        <v>32.424185387594498</v>
      </c>
      <c r="AB320" s="196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6.5437024649096606E-2</v>
      </c>
      <c r="AD320" s="230">
        <f>(INDEX(Models!$BJ320:$BT320,,AH320)*(1-AF320)+INDEX(Models!$BJ320:$BT320,,AH320+1)*AF320-ERP_i)*AE320*Ramure*Pc/MaxiM</f>
        <v>1.1019357787934916E-3</v>
      </c>
      <c r="AE320" s="304">
        <f t="shared" si="117"/>
        <v>0.5</v>
      </c>
      <c r="AF320" s="176">
        <f t="shared" si="118"/>
        <v>0.234100576613542</v>
      </c>
      <c r="AG320" s="814">
        <f t="shared" si="124"/>
        <v>2</v>
      </c>
      <c r="AH320" s="175">
        <f t="shared" si="119"/>
        <v>8</v>
      </c>
      <c r="AI320" s="224">
        <f t="shared" si="120"/>
        <v>2.234100576613542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10">
        <f>'2025'!Wh/'2025'!Env_an*'2026'!Env_an</f>
        <v>9.577476803499966</v>
      </c>
      <c r="C321" s="843"/>
      <c r="D321" s="392">
        <f t="shared" si="102"/>
        <v>10.232511178061531</v>
      </c>
      <c r="E321" s="384">
        <f t="shared" si="125"/>
        <v>10.472180061748521</v>
      </c>
      <c r="F321" s="384">
        <f t="shared" si="103"/>
        <v>10.47218053652399</v>
      </c>
      <c r="G321" s="110">
        <f t="shared" si="126"/>
        <v>0.30014826033537689</v>
      </c>
      <c r="H321" s="413" t="b">
        <f>Wh_hp&gt;='2025'!Maxi_hp</f>
        <v>0</v>
      </c>
      <c r="I321" s="389">
        <f>IF(H321,Wh_hp,'2025'!Maxi_hp)</f>
        <v>31.704368019491852</v>
      </c>
      <c r="J321" s="85">
        <f>IF(H321,An,'2025'!An_max)</f>
        <v>2020</v>
      </c>
      <c r="K321" s="196">
        <f t="shared" si="104"/>
        <v>46329</v>
      </c>
      <c r="L321" s="147">
        <f>IF(t&lt;Tvie,1-EXP((T0-t)*PertePVj)+'2025'!Pspv,1-EXP((T0-t)*PertePVj)+Pspv)</f>
        <v>6.4015016760104321E-2</v>
      </c>
      <c r="M321" s="847"/>
      <c r="N321" s="847"/>
      <c r="O321" s="48">
        <f>IF(t&lt;Tnet,'2025'!Resal+('2025'!Salim-'2025'!Resal)*(1-EXP(('2025'!Tnet-t)/('2025'!Tau_j))),Resal+(Salim-Resal)*(1-EXP((Tnet-t)/(Tau_j))))*Salcycl</f>
        <v>2.2886245487930699E-2</v>
      </c>
      <c r="P321" s="168">
        <f>(INDEX(Models!$BJ321:$BT321,,T321)*(1-R321)+INDEX(Models!$BJ321:$BT321,,T321+1)*R321-ERP_i)*Q321*Ramure*Pc/MaxiM</f>
        <v>1.6135368939346314E-4</v>
      </c>
      <c r="Q321" s="304">
        <f t="shared" si="105"/>
        <v>0.5</v>
      </c>
      <c r="R321" s="176">
        <f t="shared" si="106"/>
        <v>0.11913912957839057</v>
      </c>
      <c r="S321" s="814">
        <f t="shared" si="107"/>
        <v>0</v>
      </c>
      <c r="T321" s="175">
        <f t="shared" si="108"/>
        <v>6</v>
      </c>
      <c r="U321" s="250">
        <f t="shared" si="109"/>
        <v>0.11913912957839057</v>
      </c>
      <c r="V321" s="382">
        <f t="shared" si="110"/>
        <v>31.904005926021927</v>
      </c>
      <c r="W321" s="401">
        <f t="shared" si="111"/>
        <v>9.577476803499966</v>
      </c>
      <c r="X321" s="157">
        <f t="shared" si="112"/>
        <v>46329</v>
      </c>
      <c r="Y321" s="384">
        <f t="shared" si="113"/>
        <v>9.1604738417004388</v>
      </c>
      <c r="Z321" s="384">
        <f t="shared" si="114"/>
        <v>9.7869880454616034</v>
      </c>
      <c r="AA321" s="385">
        <f t="shared" si="115"/>
        <v>10.47217717190648</v>
      </c>
      <c r="AB321" s="196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6.542948187345618E-2</v>
      </c>
      <c r="AD321" s="230">
        <f>(INDEX(Models!$BJ321:$BT321,,AH321)*(1-AF321)+INDEX(Models!$BJ321:$BT321,,AH321+1)*AF321-ERP_i)*AE321*Ramure*Pc/MaxiM</f>
        <v>1.1434740914543268E-3</v>
      </c>
      <c r="AE321" s="304">
        <f t="shared" si="117"/>
        <v>0.5</v>
      </c>
      <c r="AF321" s="176">
        <f t="shared" si="118"/>
        <v>0.23413166940277819</v>
      </c>
      <c r="AG321" s="814">
        <f t="shared" si="124"/>
        <v>2</v>
      </c>
      <c r="AH321" s="175">
        <f t="shared" si="119"/>
        <v>8</v>
      </c>
      <c r="AI321" s="224">
        <f t="shared" si="120"/>
        <v>2.2341316694027782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10">
        <f>'2025'!Wh/'2025'!Env_an*'2026'!Env_an</f>
        <v>14.136567277361534</v>
      </c>
      <c r="C322" s="843"/>
      <c r="D322" s="392">
        <f t="shared" si="102"/>
        <v>15.103742867039495</v>
      </c>
      <c r="E322" s="384">
        <f t="shared" si="125"/>
        <v>15.458571559670485</v>
      </c>
      <c r="F322" s="384">
        <f t="shared" si="103"/>
        <v>15.459104154242953</v>
      </c>
      <c r="G322" s="110">
        <f t="shared" si="126"/>
        <v>0.44702934844445152</v>
      </c>
      <c r="H322" s="413" t="b">
        <f>Wh_hp&gt;='2025'!Maxi_hp</f>
        <v>0</v>
      </c>
      <c r="I322" s="389">
        <f>IF(H322,Wh_hp,'2025'!Maxi_hp)</f>
        <v>22.319752291324583</v>
      </c>
      <c r="J322" s="85">
        <f>IF(H322,An,'2025'!An_max)</f>
        <v>2018</v>
      </c>
      <c r="K322" s="196">
        <f t="shared" si="104"/>
        <v>46330</v>
      </c>
      <c r="L322" s="147">
        <f>IF(t&lt;Tvie,1-EXP((T0-t)*PertePVj)+'2025'!Pspv,1-EXP((T0-t)*PertePVj)+Pspv)</f>
        <v>6.4035490950299673E-2</v>
      </c>
      <c r="M322" s="847"/>
      <c r="N322" s="847"/>
      <c r="O322" s="48">
        <f>IF(t&lt;Tnet,'2025'!Resal+('2025'!Salim-'2025'!Resal)*(1-EXP(('2025'!Tnet-t)/('2025'!Tau_j))),Resal+(Salim-Resal)*(1-EXP((Tnet-t)/(Tau_j))))*Salcycl</f>
        <v>2.295352395668275E-2</v>
      </c>
      <c r="P322" s="168">
        <f>(INDEX(Models!$BJ322:$BT322,,T322)*(1-R322)+INDEX(Models!$BJ322:$BT322,,T322+1)*R322-ERP_i)*Q322*Ramure*Pc/MaxiM</f>
        <v>1.6395906027674362E-4</v>
      </c>
      <c r="Q322" s="304">
        <f t="shared" si="105"/>
        <v>0.5</v>
      </c>
      <c r="R322" s="176">
        <f t="shared" si="106"/>
        <v>0.11916897654849395</v>
      </c>
      <c r="S322" s="814">
        <f t="shared" si="107"/>
        <v>0</v>
      </c>
      <c r="T322" s="175">
        <f t="shared" si="108"/>
        <v>6</v>
      </c>
      <c r="U322" s="250">
        <f t="shared" si="109"/>
        <v>0.11916897654849395</v>
      </c>
      <c r="V322" s="382">
        <f t="shared" si="110"/>
        <v>31.619258278967127</v>
      </c>
      <c r="W322" s="401">
        <f t="shared" si="111"/>
        <v>14.136567277361534</v>
      </c>
      <c r="X322" s="157">
        <f t="shared" si="112"/>
        <v>46330</v>
      </c>
      <c r="Y322" s="384">
        <f t="shared" si="113"/>
        <v>13.51919384482124</v>
      </c>
      <c r="Z322" s="384">
        <f t="shared" si="114"/>
        <v>14.444130855503799</v>
      </c>
      <c r="AA322" s="385">
        <f t="shared" si="115"/>
        <v>15.455243003829279</v>
      </c>
      <c r="AB322" s="196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6.5421950859974223E-2</v>
      </c>
      <c r="AD322" s="230">
        <f>(INDEX(Models!$BJ322:$BT322,,AH322)*(1-AF322)+INDEX(Models!$BJ322:$BT322,,AH322+1)*AF322-ERP_i)*AE322*Ramure*Pc/MaxiM</f>
        <v>1.1886538581870137E-3</v>
      </c>
      <c r="AE322" s="304">
        <f t="shared" si="117"/>
        <v>0.5</v>
      </c>
      <c r="AF322" s="176">
        <f t="shared" si="118"/>
        <v>0.23416151637288118</v>
      </c>
      <c r="AG322" s="814">
        <f t="shared" si="124"/>
        <v>2</v>
      </c>
      <c r="AH322" s="175">
        <f t="shared" si="119"/>
        <v>8</v>
      </c>
      <c r="AI322" s="224">
        <f t="shared" si="120"/>
        <v>2.2341615163728812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10">
        <f>'2025'!Wh/'2025'!Env_an*'2026'!Env_an</f>
        <v>30.106956865377835</v>
      </c>
      <c r="C323" s="843"/>
      <c r="D323" s="392">
        <f t="shared" si="102"/>
        <v>32.167475542992385</v>
      </c>
      <c r="E323" s="384">
        <f t="shared" si="125"/>
        <v>32.925440873208665</v>
      </c>
      <c r="F323" s="384">
        <f t="shared" si="103"/>
        <v>32.930640177454322</v>
      </c>
      <c r="G323" s="110">
        <f t="shared" si="126"/>
        <v>0.96074326115351882</v>
      </c>
      <c r="H323" s="413" t="b">
        <f>Wh_hp&gt;='2025'!Maxi_hp</f>
        <v>0</v>
      </c>
      <c r="I323" s="389">
        <f>IF(H323,Wh_hp,'2025'!Maxi_hp)</f>
        <v>32.930809058994697</v>
      </c>
      <c r="J323" s="85">
        <f>IF(H323,An,'2025'!An_max)</f>
        <v>2025</v>
      </c>
      <c r="K323" s="196">
        <f t="shared" si="104"/>
        <v>46331</v>
      </c>
      <c r="L323" s="147">
        <f>IF(t&lt;Tvie,1-EXP((T0-t)*PertePVj)+'2025'!Pspv,1-EXP((T0-t)*PertePVj)+Pspv)</f>
        <v>6.4055964692057737E-2</v>
      </c>
      <c r="M323" s="847"/>
      <c r="N323" s="847"/>
      <c r="O323" s="48">
        <f>IF(t&lt;Tnet,'2025'!Resal+('2025'!Salim-'2025'!Resal)*(1-EXP(('2025'!Tnet-t)/('2025'!Tau_j))),Resal+(Salim-Resal)*(1-EXP((Tnet-t)/(Tau_j))))*Salcycl</f>
        <v>2.3020658497333452E-2</v>
      </c>
      <c r="P323" s="168">
        <f>(INDEX(Models!$BJ323:$BT323,,T323)*(1-R323)+INDEX(Models!$BJ323:$BT323,,T323+1)*R323-ERP_i)*Q323*Ramure*Pc/MaxiM</f>
        <v>1.6726475258280549E-4</v>
      </c>
      <c r="Q323" s="304">
        <f t="shared" si="105"/>
        <v>0.5</v>
      </c>
      <c r="R323" s="176">
        <f t="shared" si="106"/>
        <v>0.1191976273827276</v>
      </c>
      <c r="S323" s="814">
        <f t="shared" si="107"/>
        <v>0</v>
      </c>
      <c r="T323" s="175">
        <f t="shared" si="108"/>
        <v>6</v>
      </c>
      <c r="U323" s="250">
        <f t="shared" si="109"/>
        <v>0.1191976273827276</v>
      </c>
      <c r="V323" s="382">
        <f t="shared" si="110"/>
        <v>31.336857293863282</v>
      </c>
      <c r="W323" s="401">
        <f t="shared" si="111"/>
        <v>30.106956865377835</v>
      </c>
      <c r="X323" s="157">
        <f t="shared" si="112"/>
        <v>46331</v>
      </c>
      <c r="Y323" s="384">
        <f t="shared" si="113"/>
        <v>28.771432778939381</v>
      </c>
      <c r="Z323" s="384">
        <f t="shared" si="114"/>
        <v>30.740548252410271</v>
      </c>
      <c r="AA323" s="385">
        <f t="shared" si="115"/>
        <v>32.892173326855115</v>
      </c>
      <c r="AB323" s="196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6.5414500071606069E-2</v>
      </c>
      <c r="AD323" s="230">
        <f>(INDEX(Models!$BJ323:$BT323,,AH323)*(1-AF323)+INDEX(Models!$BJ323:$BT323,,AH323+1)*AF323-ERP_i)*AE323*Ramure*Pc/MaxiM</f>
        <v>1.2375017779520995E-3</v>
      </c>
      <c r="AE323" s="304">
        <f t="shared" si="117"/>
        <v>0.5</v>
      </c>
      <c r="AF323" s="176">
        <f t="shared" si="118"/>
        <v>0.23419016720711516</v>
      </c>
      <c r="AG323" s="814">
        <f t="shared" si="124"/>
        <v>2</v>
      </c>
      <c r="AH323" s="175">
        <f t="shared" si="119"/>
        <v>8</v>
      </c>
      <c r="AI323" s="224">
        <f t="shared" si="120"/>
        <v>2.2341901672071152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10">
        <f>'2025'!Wh/'2025'!Env_an*'2026'!Env_an</f>
        <v>30.99422612759572</v>
      </c>
      <c r="C324" s="843"/>
      <c r="D324" s="392">
        <f t="shared" si="102"/>
        <v>33.116193870447546</v>
      </c>
      <c r="E324" s="384">
        <f t="shared" si="125"/>
        <v>33.898839222452281</v>
      </c>
      <c r="F324" s="384">
        <f t="shared" si="103"/>
        <v>33.904624858225283</v>
      </c>
      <c r="G324" s="110">
        <f t="shared" si="126"/>
        <v>0.99798449051569327</v>
      </c>
      <c r="H324" s="413" t="b">
        <f>Wh_hp&gt;='2025'!Maxi_hp</f>
        <v>0</v>
      </c>
      <c r="I324" s="389">
        <f>IF(H324,Wh_hp,'2025'!Maxi_hp)</f>
        <v>33.904634030741668</v>
      </c>
      <c r="J324" s="85">
        <f>IF(H324,An,'2025'!An_max)</f>
        <v>2025</v>
      </c>
      <c r="K324" s="196">
        <f t="shared" si="104"/>
        <v>46332</v>
      </c>
      <c r="L324" s="147">
        <f>IF(t&lt;Tvie,1-EXP((T0-t)*PertePVj)+'2025'!Pspv,1-EXP((T0-t)*PertePVj)+Pspv)</f>
        <v>6.4076437985388285E-2</v>
      </c>
      <c r="M324" s="847"/>
      <c r="N324" s="847"/>
      <c r="O324" s="48">
        <f>IF(t&lt;Tnet,'2025'!Resal+('2025'!Salim-'2025'!Resal)*(1-EXP(('2025'!Tnet-t)/('2025'!Tau_j))),Resal+(Salim-Resal)*(1-EXP((Tnet-t)/(Tau_j))))*Salcycl</f>
        <v>2.3087674090219567E-2</v>
      </c>
      <c r="P324" s="168">
        <f>(INDEX(Models!$BJ324:$BT324,,T324)*(1-R324)+INDEX(Models!$BJ324:$BT324,,T324+1)*R324-ERP_i)*Q324*Ramure*Pc/MaxiM</f>
        <v>1.7113707613361726E-4</v>
      </c>
      <c r="Q324" s="304">
        <f t="shared" si="105"/>
        <v>0.5</v>
      </c>
      <c r="R324" s="176">
        <f t="shared" si="106"/>
        <v>0.11922512980140915</v>
      </c>
      <c r="S324" s="814">
        <f t="shared" si="107"/>
        <v>0</v>
      </c>
      <c r="T324" s="175">
        <f t="shared" si="108"/>
        <v>6</v>
      </c>
      <c r="U324" s="250">
        <f t="shared" si="109"/>
        <v>0.11922512980140915</v>
      </c>
      <c r="V324" s="382">
        <f t="shared" si="110"/>
        <v>31.056806143494811</v>
      </c>
      <c r="W324" s="401">
        <f t="shared" si="111"/>
        <v>30.99422612759572</v>
      </c>
      <c r="X324" s="157">
        <f t="shared" si="112"/>
        <v>46332</v>
      </c>
      <c r="Y324" s="384">
        <f t="shared" si="113"/>
        <v>29.618572460774455</v>
      </c>
      <c r="Z324" s="384">
        <f t="shared" si="114"/>
        <v>31.646358381040574</v>
      </c>
      <c r="AA324" s="385">
        <f t="shared" si="115"/>
        <v>33.861119317771809</v>
      </c>
      <c r="AB324" s="196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6.5407198029890007E-2</v>
      </c>
      <c r="AD324" s="230">
        <f>(INDEX(Models!$BJ324:$BT324,,AH324)*(1-AF324)+INDEX(Models!$BJ324:$BT324,,AH324+1)*AF324-ERP_i)*AE324*Ramure*Pc/MaxiM</f>
        <v>1.2868786216304873E-3</v>
      </c>
      <c r="AE324" s="304">
        <f t="shared" si="117"/>
        <v>0.5</v>
      </c>
      <c r="AF324" s="176">
        <f t="shared" si="118"/>
        <v>0.23421766962579671</v>
      </c>
      <c r="AG324" s="814">
        <f t="shared" si="124"/>
        <v>2</v>
      </c>
      <c r="AH324" s="175">
        <f t="shared" si="119"/>
        <v>8</v>
      </c>
      <c r="AI324" s="224">
        <f t="shared" si="120"/>
        <v>2.2342176696257967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10">
        <f>'2025'!Wh/'2025'!Env_an*'2026'!Env_an</f>
        <v>29.926606204066029</v>
      </c>
      <c r="C325" s="843"/>
      <c r="D325" s="392">
        <f t="shared" si="102"/>
        <v>31.976180600724259</v>
      </c>
      <c r="E325" s="384">
        <f t="shared" si="125"/>
        <v>32.734126062275706</v>
      </c>
      <c r="F325" s="384">
        <f t="shared" si="103"/>
        <v>32.739638599943156</v>
      </c>
      <c r="G325" s="110">
        <f t="shared" si="126"/>
        <v>0.97229571425783845</v>
      </c>
      <c r="H325" s="413" t="b">
        <f>Wh_hp&gt;='2025'!Maxi_hp</f>
        <v>0</v>
      </c>
      <c r="I325" s="389">
        <f>IF(H325,Wh_hp,'2025'!Maxi_hp)</f>
        <v>32.739763800036776</v>
      </c>
      <c r="J325" s="85">
        <f>IF(H325,An,'2025'!An_max)</f>
        <v>2025</v>
      </c>
      <c r="K325" s="196">
        <f t="shared" si="104"/>
        <v>46333</v>
      </c>
      <c r="L325" s="147">
        <f>IF(t&lt;Tvie,1-EXP((T0-t)*PertePVj)+'2025'!Pspv,1-EXP((T0-t)*PertePVj)+Pspv)</f>
        <v>6.4096910830301196E-2</v>
      </c>
      <c r="M325" s="847"/>
      <c r="N325" s="847"/>
      <c r="O325" s="48">
        <f>IF(t&lt;Tnet,'2025'!Resal+('2025'!Salim-'2025'!Resal)*(1-EXP(('2025'!Tnet-t)/('2025'!Tau_j))),Resal+(Salim-Resal)*(1-EXP((Tnet-t)/(Tau_j))))*Salcycl</f>
        <v>2.3154595913435251E-2</v>
      </c>
      <c r="P325" s="168">
        <f>(INDEX(Models!$BJ325:$BT325,,T325)*(1-R325)+INDEX(Models!$BJ325:$BT325,,T325+1)*R325-ERP_i)*Q325*Ramure*Pc/MaxiM</f>
        <v>1.7531175145842187E-4</v>
      </c>
      <c r="Q325" s="304">
        <f t="shared" si="105"/>
        <v>0.5</v>
      </c>
      <c r="R325" s="176">
        <f t="shared" si="106"/>
        <v>0.11925152963801178</v>
      </c>
      <c r="S325" s="814">
        <f t="shared" si="107"/>
        <v>0</v>
      </c>
      <c r="T325" s="175">
        <f t="shared" si="108"/>
        <v>6</v>
      </c>
      <c r="U325" s="250">
        <f t="shared" si="109"/>
        <v>0.11925152963801178</v>
      </c>
      <c r="V325" s="382">
        <f t="shared" si="110"/>
        <v>30.779111887221774</v>
      </c>
      <c r="W325" s="401">
        <f t="shared" si="111"/>
        <v>29.926606204066029</v>
      </c>
      <c r="X325" s="157">
        <f t="shared" si="112"/>
        <v>46333</v>
      </c>
      <c r="Y325" s="384">
        <f t="shared" si="113"/>
        <v>28.600506199681238</v>
      </c>
      <c r="Z325" s="384">
        <f t="shared" si="114"/>
        <v>30.559260387797874</v>
      </c>
      <c r="AA325" s="385">
        <f t="shared" si="115"/>
        <v>32.697693219262185</v>
      </c>
      <c r="AB325" s="196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6.5400113002606633E-2</v>
      </c>
      <c r="AD325" s="230">
        <f>(INDEX(Models!$BJ325:$BT325,,AH325)*(1-AF325)+INDEX(Models!$BJ325:$BT325,,AH325+1)*AF325-ERP_i)*AE325*Ramure*Pc/MaxiM</f>
        <v>1.3339624318929597E-3</v>
      </c>
      <c r="AE325" s="304">
        <f t="shared" si="117"/>
        <v>0.5</v>
      </c>
      <c r="AF325" s="176">
        <f t="shared" si="118"/>
        <v>0.23424406946239928</v>
      </c>
      <c r="AG325" s="814">
        <f t="shared" si="124"/>
        <v>2</v>
      </c>
      <c r="AH325" s="175">
        <f t="shared" si="119"/>
        <v>8</v>
      </c>
      <c r="AI325" s="224">
        <f t="shared" si="120"/>
        <v>2.2342440694623993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10">
        <f>'2025'!Wh/'2025'!Env_an*'2026'!Env_an</f>
        <v>18.143238231305236</v>
      </c>
      <c r="C326" s="843"/>
      <c r="D326" s="392">
        <f t="shared" si="102"/>
        <v>19.386232745577487</v>
      </c>
      <c r="E326" s="384">
        <f t="shared" si="125"/>
        <v>19.847111436123868</v>
      </c>
      <c r="F326" s="384">
        <f t="shared" si="103"/>
        <v>19.848614268872915</v>
      </c>
      <c r="G326" s="110">
        <f t="shared" si="126"/>
        <v>0.59472478042703747</v>
      </c>
      <c r="H326" s="413" t="b">
        <f>Wh_hp&gt;='2025'!Maxi_hp</f>
        <v>0</v>
      </c>
      <c r="I326" s="389">
        <f>IF(H326,Wh_hp,'2025'!Maxi_hp)</f>
        <v>25.868696727513875</v>
      </c>
      <c r="J326" s="85">
        <f>IF(H326,An,'2025'!An_max)</f>
        <v>2021</v>
      </c>
      <c r="K326" s="196">
        <f t="shared" si="104"/>
        <v>46334</v>
      </c>
      <c r="L326" s="147">
        <f>IF(t&lt;Tvie,1-EXP((T0-t)*PertePVj)+'2025'!Pspv,1-EXP((T0-t)*PertePVj)+Pspv)</f>
        <v>6.411738322680624E-2</v>
      </c>
      <c r="M326" s="847"/>
      <c r="N326" s="847"/>
      <c r="O326" s="48">
        <f>IF(t&lt;Tnet,'2025'!Resal+('2025'!Salim-'2025'!Resal)*(1-EXP(('2025'!Tnet-t)/('2025'!Tau_j))),Resal+(Salim-Resal)*(1-EXP((Tnet-t)/(Tau_j))))*Salcycl</f>
        <v>2.3221449228502392E-2</v>
      </c>
      <c r="P326" s="168">
        <f>(INDEX(Models!$BJ326:$BT326,,T326)*(1-R326)+INDEX(Models!$BJ326:$BT326,,T326+1)*R326-ERP_i)*Q326*Ramure*Pc/MaxiM</f>
        <v>1.797921100916277E-4</v>
      </c>
      <c r="Q326" s="304">
        <f t="shared" si="105"/>
        <v>0.5</v>
      </c>
      <c r="R326" s="176">
        <f t="shared" si="106"/>
        <v>0.11927687091243139</v>
      </c>
      <c r="S326" s="814">
        <f t="shared" si="107"/>
        <v>0</v>
      </c>
      <c r="T326" s="175">
        <f t="shared" si="108"/>
        <v>6</v>
      </c>
      <c r="U326" s="250">
        <f t="shared" si="109"/>
        <v>0.11927687091243139</v>
      </c>
      <c r="V326" s="382">
        <f t="shared" si="110"/>
        <v>30.503773148395346</v>
      </c>
      <c r="W326" s="401">
        <f t="shared" si="111"/>
        <v>18.143238231305236</v>
      </c>
      <c r="X326" s="157">
        <f t="shared" si="112"/>
        <v>46334</v>
      </c>
      <c r="Y326" s="384">
        <f t="shared" si="113"/>
        <v>17.351148270064932</v>
      </c>
      <c r="Z326" s="384">
        <f t="shared" si="114"/>
        <v>18.539876645951093</v>
      </c>
      <c r="AA326" s="385">
        <f t="shared" si="115"/>
        <v>19.837089652455997</v>
      </c>
      <c r="AB326" s="196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6.539331269011521E-2</v>
      </c>
      <c r="AD326" s="230">
        <f>(INDEX(Models!$BJ326:$BT326,,AH326)*(1-AF326)+INDEX(Models!$BJ326:$BT326,,AH326+1)*AF326-ERP_i)*AE326*Ramure*Pc/MaxiM</f>
        <v>1.3787529616375502E-3</v>
      </c>
      <c r="AE326" s="304">
        <f t="shared" si="117"/>
        <v>0.5</v>
      </c>
      <c r="AF326" s="176">
        <f t="shared" si="118"/>
        <v>0.23426941073681862</v>
      </c>
      <c r="AG326" s="814">
        <f t="shared" si="124"/>
        <v>2</v>
      </c>
      <c r="AH326" s="175">
        <f t="shared" si="119"/>
        <v>8</v>
      </c>
      <c r="AI326" s="224">
        <f t="shared" si="120"/>
        <v>2.2342694107368186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10">
        <f>'2025'!Wh/'2025'!Env_an*'2026'!Env_an</f>
        <v>9.0390924828027508</v>
      </c>
      <c r="C327" s="843"/>
      <c r="D327" s="392">
        <f t="shared" si="102"/>
        <v>9.6585726143375137</v>
      </c>
      <c r="E327" s="384">
        <f t="shared" si="125"/>
        <v>9.8888671155555752</v>
      </c>
      <c r="F327" s="384">
        <f t="shared" si="103"/>
        <v>9.8888671155555752</v>
      </c>
      <c r="G327" s="110">
        <f t="shared" si="126"/>
        <v>0.29894767746815043</v>
      </c>
      <c r="H327" s="413" t="b">
        <f>Wh_hp&gt;='2025'!Maxi_hp</f>
        <v>0</v>
      </c>
      <c r="I327" s="389">
        <f>IF(H327,Wh_hp,'2025'!Maxi_hp)</f>
        <v>23.871171034928089</v>
      </c>
      <c r="J327" s="85">
        <f>IF(H327,An,'2025'!An_max)</f>
        <v>2020</v>
      </c>
      <c r="K327" s="196">
        <f t="shared" si="104"/>
        <v>46335</v>
      </c>
      <c r="L327" s="147">
        <f>IF(t&lt;Tvie,1-EXP((T0-t)*PertePVj)+'2025'!Pspv,1-EXP((T0-t)*PertePVj)+Pspv)</f>
        <v>6.41378551749133E-2</v>
      </c>
      <c r="M327" s="847"/>
      <c r="N327" s="847"/>
      <c r="O327" s="48">
        <f>IF(t&lt;Tnet,'2025'!Resal+('2025'!Salim-'2025'!Resal)*(1-EXP(('2025'!Tnet-t)/('2025'!Tau_j))),Resal+(Salim-Resal)*(1-EXP((Tnet-t)/(Tau_j))))*Salcycl</f>
        <v>2.3288259264380169E-2</v>
      </c>
      <c r="P327" s="168">
        <f>(INDEX(Models!$BJ327:$BT327,,T327)*(1-R327)+INDEX(Models!$BJ327:$BT327,,T327+1)*R327-ERP_i)*Q327*Ramure*Pc/MaxiM</f>
        <v>1.8458169788708424E-4</v>
      </c>
      <c r="Q327" s="304">
        <f t="shared" si="105"/>
        <v>0.5</v>
      </c>
      <c r="R327" s="176">
        <f t="shared" si="106"/>
        <v>0.11930119590151311</v>
      </c>
      <c r="S327" s="814">
        <f t="shared" si="107"/>
        <v>0</v>
      </c>
      <c r="T327" s="175">
        <f t="shared" si="108"/>
        <v>6</v>
      </c>
      <c r="U327" s="250">
        <f t="shared" si="109"/>
        <v>0.11930119590151311</v>
      </c>
      <c r="V327" s="382">
        <f t="shared" si="110"/>
        <v>30.230788572450958</v>
      </c>
      <c r="W327" s="401">
        <f t="shared" si="111"/>
        <v>9.0390924828027508</v>
      </c>
      <c r="X327" s="157">
        <f t="shared" si="112"/>
        <v>46335</v>
      </c>
      <c r="Y327" s="384">
        <f t="shared" si="113"/>
        <v>8.6494860462862526</v>
      </c>
      <c r="Z327" s="384">
        <f t="shared" si="114"/>
        <v>9.2422651072213711</v>
      </c>
      <c r="AA327" s="385">
        <f t="shared" si="115"/>
        <v>9.8888671155555752</v>
      </c>
      <c r="AB327" s="196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6.5386863912558144E-2</v>
      </c>
      <c r="AD327" s="230">
        <f>(INDEX(Models!$BJ327:$BT327,,AH327)*(1-AF327)+INDEX(Models!$BJ327:$BT327,,AH327+1)*AF327-ERP_i)*AE327*Ramure*Pc/MaxiM</f>
        <v>1.4212519524860151E-3</v>
      </c>
      <c r="AE327" s="304">
        <f t="shared" si="117"/>
        <v>0.5</v>
      </c>
      <c r="AF327" s="176">
        <f t="shared" si="118"/>
        <v>0.23429373572590073</v>
      </c>
      <c r="AG327" s="814">
        <f t="shared" si="124"/>
        <v>2</v>
      </c>
      <c r="AH327" s="175">
        <f t="shared" si="119"/>
        <v>8</v>
      </c>
      <c r="AI327" s="224">
        <f t="shared" si="120"/>
        <v>2.2342937357259007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10">
        <f>'2025'!Wh/'2025'!Env_an*'2026'!Env_an</f>
        <v>24.304429038982573</v>
      </c>
      <c r="C328" s="843"/>
      <c r="D328" s="392">
        <f t="shared" si="102"/>
        <v>25.970663341610514</v>
      </c>
      <c r="E328" s="384">
        <f t="shared" si="125"/>
        <v>26.59171418526039</v>
      </c>
      <c r="F328" s="384">
        <f t="shared" si="103"/>
        <v>26.595398459537272</v>
      </c>
      <c r="G328" s="110">
        <f t="shared" si="126"/>
        <v>0.81118352414877903</v>
      </c>
      <c r="H328" s="413" t="b">
        <f>Wh_hp&gt;='2025'!Maxi_hp</f>
        <v>0</v>
      </c>
      <c r="I328" s="389">
        <f>IF(H328,Wh_hp,'2025'!Maxi_hp)</f>
        <v>26.596155478556742</v>
      </c>
      <c r="J328" s="85">
        <f>IF(H328,An,'2025'!An_max)</f>
        <v>2025</v>
      </c>
      <c r="K328" s="196">
        <f t="shared" si="104"/>
        <v>46336</v>
      </c>
      <c r="L328" s="147">
        <f>IF(t&lt;Tvie,1-EXP((T0-t)*PertePVj)+'2025'!Pspv,1-EXP((T0-t)*PertePVj)+Pspv)</f>
        <v>6.4158326674632143E-2</v>
      </c>
      <c r="M328" s="847"/>
      <c r="N328" s="847"/>
      <c r="O328" s="48">
        <f>IF(t&lt;Tnet,'2025'!Resal+('2025'!Salim-'2025'!Resal)*(1-EXP(('2025'!Tnet-t)/('2025'!Tau_j))),Resal+(Salim-Resal)*(1-EXP((Tnet-t)/(Tau_j))))*Salcycl</f>
        <v>2.335505110062144E-2</v>
      </c>
      <c r="P328" s="168">
        <f>(INDEX(Models!$BJ328:$BT328,,T328)*(1-R328)+INDEX(Models!$BJ328:$BT328,,T328+1)*R328-ERP_i)*Q328*Ramure*Pc/MaxiM</f>
        <v>1.8968429984334188E-4</v>
      </c>
      <c r="Q328" s="304">
        <f t="shared" si="105"/>
        <v>0.5</v>
      </c>
      <c r="R328" s="176">
        <f t="shared" si="106"/>
        <v>0.1193245452069342</v>
      </c>
      <c r="S328" s="814">
        <f t="shared" si="107"/>
        <v>0</v>
      </c>
      <c r="T328" s="175">
        <f t="shared" si="108"/>
        <v>6</v>
      </c>
      <c r="U328" s="250">
        <f t="shared" si="109"/>
        <v>0.1193245452069342</v>
      </c>
      <c r="V328" s="382">
        <f t="shared" si="110"/>
        <v>29.960156832236716</v>
      </c>
      <c r="W328" s="401">
        <f t="shared" si="111"/>
        <v>24.304429038982573</v>
      </c>
      <c r="X328" s="157">
        <f t="shared" si="112"/>
        <v>46336</v>
      </c>
      <c r="Y328" s="384">
        <f t="shared" si="113"/>
        <v>23.236985077671726</v>
      </c>
      <c r="Z328" s="384">
        <f t="shared" si="114"/>
        <v>24.830038819603654</v>
      </c>
      <c r="AA328" s="385">
        <f t="shared" si="115"/>
        <v>26.56701218819568</v>
      </c>
      <c r="AB328" s="196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6.538083230013346E-2</v>
      </c>
      <c r="AD328" s="230">
        <f>(INDEX(Models!$BJ328:$BT328,,AH328)*(1-AF328)+INDEX(Models!$BJ328:$BT328,,AH328+1)*AF328-ERP_i)*AE328*Ramure*Pc/MaxiM</f>
        <v>1.461462855351862E-3</v>
      </c>
      <c r="AE328" s="304">
        <f t="shared" si="117"/>
        <v>0.5</v>
      </c>
      <c r="AF328" s="176">
        <f t="shared" si="118"/>
        <v>0.23431708503132143</v>
      </c>
      <c r="AG328" s="814">
        <f t="shared" si="124"/>
        <v>2</v>
      </c>
      <c r="AH328" s="175">
        <f t="shared" si="119"/>
        <v>8</v>
      </c>
      <c r="AI328" s="224">
        <f t="shared" si="120"/>
        <v>2.2343170850313214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10">
        <f>'2025'!Wh/'2025'!Env_an*'2026'!Env_an</f>
        <v>28.34038753121385</v>
      </c>
      <c r="C329" s="843"/>
      <c r="D329" s="392">
        <f t="shared" si="102"/>
        <v>30.283976749348334</v>
      </c>
      <c r="E329" s="384">
        <f t="shared" si="125"/>
        <v>31.010295218471938</v>
      </c>
      <c r="F329" s="384">
        <f t="shared" si="103"/>
        <v>31.015953068951774</v>
      </c>
      <c r="G329" s="110">
        <f t="shared" si="126"/>
        <v>0.95447075578991381</v>
      </c>
      <c r="H329" s="413" t="b">
        <f>Wh_hp&gt;='2025'!Maxi_hp</f>
        <v>0</v>
      </c>
      <c r="I329" s="389">
        <f>IF(H329,Wh_hp,'2025'!Maxi_hp)</f>
        <v>31.016172555384017</v>
      </c>
      <c r="J329" s="85">
        <f>IF(H329,An,'2025'!An_max)</f>
        <v>2025</v>
      </c>
      <c r="K329" s="196">
        <f t="shared" si="104"/>
        <v>46337</v>
      </c>
      <c r="L329" s="147">
        <f>IF(t&lt;Tvie,1-EXP((T0-t)*PertePVj)+'2025'!Pspv,1-EXP((T0-t)*PertePVj)+Pspv)</f>
        <v>6.4178797725972542E-2</v>
      </c>
      <c r="M329" s="847"/>
      <c r="N329" s="847"/>
      <c r="O329" s="48">
        <f>IF(t&lt;Tnet,'2025'!Resal+('2025'!Salim-'2025'!Resal)*(1-EXP(('2025'!Tnet-t)/('2025'!Tau_j))),Resal+(Salim-Resal)*(1-EXP((Tnet-t)/(Tau_j))))*Salcycl</f>
        <v>2.3421849550498915E-2</v>
      </c>
      <c r="P329" s="168">
        <f>(INDEX(Models!$BJ329:$BT329,,T329)*(1-R329)+INDEX(Models!$BJ329:$BT329,,T329+1)*R329-ERP_i)*Q329*Ramure*Pc/MaxiM</f>
        <v>1.9510396397745411E-4</v>
      </c>
      <c r="Q329" s="304">
        <f t="shared" si="105"/>
        <v>0.5</v>
      </c>
      <c r="R329" s="176">
        <f t="shared" si="106"/>
        <v>0.11934695782053251</v>
      </c>
      <c r="S329" s="814">
        <f t="shared" si="107"/>
        <v>0</v>
      </c>
      <c r="T329" s="175">
        <f t="shared" si="108"/>
        <v>6</v>
      </c>
      <c r="U329" s="250">
        <f t="shared" si="109"/>
        <v>0.11934695782053251</v>
      </c>
      <c r="V329" s="382">
        <f t="shared" si="110"/>
        <v>29.691876626331158</v>
      </c>
      <c r="W329" s="401">
        <f t="shared" si="111"/>
        <v>28.34038753121385</v>
      </c>
      <c r="X329" s="157">
        <f t="shared" si="112"/>
        <v>46337</v>
      </c>
      <c r="Y329" s="384">
        <f t="shared" si="113"/>
        <v>27.089813317773153</v>
      </c>
      <c r="Z329" s="384">
        <f t="shared" si="114"/>
        <v>28.947637916244503</v>
      </c>
      <c r="AA329" s="385">
        <f t="shared" si="115"/>
        <v>30.972472007628046</v>
      </c>
      <c r="AB329" s="196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6.5375281988627104E-2</v>
      </c>
      <c r="AD329" s="230">
        <f>(INDEX(Models!$BJ329:$BT329,,AH329)*(1-AF329)+INDEX(Models!$BJ329:$BT329,,AH329+1)*AF329-ERP_i)*AE329*Ramure*Pc/MaxiM</f>
        <v>1.499390528689171E-3</v>
      </c>
      <c r="AE329" s="304">
        <f t="shared" si="117"/>
        <v>0.5</v>
      </c>
      <c r="AF329" s="176">
        <f t="shared" si="118"/>
        <v>0.23433949764491979</v>
      </c>
      <c r="AG329" s="814">
        <f t="shared" si="124"/>
        <v>2</v>
      </c>
      <c r="AH329" s="175">
        <f t="shared" si="119"/>
        <v>8</v>
      </c>
      <c r="AI329" s="224">
        <f t="shared" si="120"/>
        <v>2.2343394976449198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10">
        <f>'2025'!Wh/'2025'!Env_an*'2026'!Env_an</f>
        <v>28.204450732576277</v>
      </c>
      <c r="C330" s="843"/>
      <c r="D330" s="392">
        <f t="shared" si="102"/>
        <v>30.139376662178609</v>
      </c>
      <c r="E330" s="384">
        <f t="shared" si="125"/>
        <v>30.864339220052322</v>
      </c>
      <c r="F330" s="384">
        <f t="shared" si="103"/>
        <v>30.870171665781253</v>
      </c>
      <c r="G330" s="110">
        <f t="shared" si="126"/>
        <v>0.95847773546964365</v>
      </c>
      <c r="H330" s="413" t="b">
        <f>Wh_hp&gt;='2025'!Maxi_hp</f>
        <v>0</v>
      </c>
      <c r="I330" s="389">
        <f>IF(H330,Wh_hp,'2025'!Maxi_hp)</f>
        <v>30.870377185624601</v>
      </c>
      <c r="J330" s="85">
        <f>IF(H330,An,'2025'!An_max)</f>
        <v>2025</v>
      </c>
      <c r="K330" s="196">
        <f t="shared" si="104"/>
        <v>46338</v>
      </c>
      <c r="L330" s="147">
        <f>IF(t&lt;Tvie,1-EXP((T0-t)*PertePVj)+'2025'!Pspv,1-EXP((T0-t)*PertePVj)+Pspv)</f>
        <v>6.4199268328944487E-2</v>
      </c>
      <c r="M330" s="847"/>
      <c r="N330" s="847"/>
      <c r="O330" s="48">
        <f>IF(t&lt;Tnet,'2025'!Resal+('2025'!Salim-'2025'!Resal)*(1-EXP(('2025'!Tnet-t)/('2025'!Tau_j))),Resal+(Salim-Resal)*(1-EXP((Tnet-t)/(Tau_j))))*Salcycl</f>
        <v>2.3488679044931897E-2</v>
      </c>
      <c r="P330" s="168">
        <f>(INDEX(Models!$BJ330:$BT330,,T330)*(1-R330)+INDEX(Models!$BJ330:$BT330,,T330+1)*R330-ERP_i)*Q330*Ramure*Pc/MaxiM</f>
        <v>2.0084502382128924E-4</v>
      </c>
      <c r="Q330" s="304">
        <f t="shared" si="105"/>
        <v>0.5</v>
      </c>
      <c r="R330" s="176">
        <f t="shared" si="106"/>
        <v>0.11936847118717042</v>
      </c>
      <c r="S330" s="814">
        <f t="shared" si="107"/>
        <v>0</v>
      </c>
      <c r="T330" s="175">
        <f t="shared" si="108"/>
        <v>6</v>
      </c>
      <c r="U330" s="250">
        <f t="shared" si="109"/>
        <v>0.11936847118717042</v>
      </c>
      <c r="V330" s="382">
        <f t="shared" si="110"/>
        <v>29.425946686511981</v>
      </c>
      <c r="W330" s="401">
        <f t="shared" si="111"/>
        <v>28.204450732576277</v>
      </c>
      <c r="X330" s="157">
        <f t="shared" si="112"/>
        <v>46338</v>
      </c>
      <c r="Y330" s="384">
        <f t="shared" si="113"/>
        <v>26.960903052672826</v>
      </c>
      <c r="Z330" s="384">
        <f t="shared" si="114"/>
        <v>28.810517175519678</v>
      </c>
      <c r="AA330" s="385">
        <f t="shared" si="115"/>
        <v>30.825594794191755</v>
      </c>
      <c r="AB330" s="196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6.5370275322368276E-2</v>
      </c>
      <c r="AD330" s="230">
        <f>(INDEX(Models!$BJ330:$BT330,,AH330)*(1-AF330)+INDEX(Models!$BJ330:$BT330,,AH330+1)*AF330-ERP_i)*AE330*Ramure*Pc/MaxiM</f>
        <v>1.5350409163449317E-3</v>
      </c>
      <c r="AE330" s="304">
        <f t="shared" si="117"/>
        <v>0.5</v>
      </c>
      <c r="AF330" s="176">
        <f t="shared" si="118"/>
        <v>0.23436101101155771</v>
      </c>
      <c r="AG330" s="814">
        <f t="shared" si="124"/>
        <v>2</v>
      </c>
      <c r="AH330" s="175">
        <f t="shared" si="119"/>
        <v>8</v>
      </c>
      <c r="AI330" s="224">
        <f t="shared" si="120"/>
        <v>2.2343610110115577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10">
        <f>'2025'!Wh/'2025'!Env_an*'2026'!Env_an</f>
        <v>24.728515912742505</v>
      </c>
      <c r="C331" s="843"/>
      <c r="D331" s="392">
        <f t="shared" si="102"/>
        <v>26.425558359897089</v>
      </c>
      <c r="E331" s="384">
        <f t="shared" si="125"/>
        <v>27.063043602466625</v>
      </c>
      <c r="F331" s="384">
        <f t="shared" si="103"/>
        <v>27.067428145344262</v>
      </c>
      <c r="G331" s="110">
        <f t="shared" si="126"/>
        <v>0.84795294739218352</v>
      </c>
      <c r="H331" s="413" t="b">
        <f>Wh_hp&gt;='2025'!Maxi_hp</f>
        <v>0</v>
      </c>
      <c r="I331" s="389">
        <f>IF(H331,Wh_hp,'2025'!Maxi_hp)</f>
        <v>31.04926746236552</v>
      </c>
      <c r="J331" s="85">
        <f>IF(H331,An,'2025'!An_max)</f>
        <v>2020</v>
      </c>
      <c r="K331" s="196">
        <f t="shared" si="104"/>
        <v>46339</v>
      </c>
      <c r="L331" s="147">
        <f>IF(t&lt;Tvie,1-EXP((T0-t)*PertePVj)+'2025'!Pspv,1-EXP((T0-t)*PertePVj)+Pspv)</f>
        <v>6.4219738483557637E-2</v>
      </c>
      <c r="M331" s="847"/>
      <c r="N331" s="847"/>
      <c r="O331" s="48">
        <f>IF(t&lt;Tnet,'2025'!Resal+('2025'!Salim-'2025'!Resal)*(1-EXP(('2025'!Tnet-t)/('2025'!Tau_j))),Resal+(Salim-Resal)*(1-EXP((Tnet-t)/(Tau_j))))*Salcycl</f>
        <v>2.3555563518045441E-2</v>
      </c>
      <c r="P331" s="168">
        <f>(INDEX(Models!$BJ331:$BT331,,T331)*(1-R331)+INDEX(Models!$BJ331:$BT331,,T331+1)*R331-ERP_i)*Q331*Ramure*Pc/MaxiM</f>
        <v>2.0691972756924743E-4</v>
      </c>
      <c r="Q331" s="304">
        <f t="shared" si="105"/>
        <v>0.5</v>
      </c>
      <c r="R331" s="176">
        <f t="shared" si="106"/>
        <v>0.11938912126522083</v>
      </c>
      <c r="S331" s="814">
        <f t="shared" si="107"/>
        <v>0</v>
      </c>
      <c r="T331" s="175">
        <f t="shared" si="108"/>
        <v>6</v>
      </c>
      <c r="U331" s="250">
        <f t="shared" si="109"/>
        <v>0.11938912126522083</v>
      </c>
      <c r="V331" s="382">
        <f t="shared" si="110"/>
        <v>29.161293280444873</v>
      </c>
      <c r="W331" s="401">
        <f t="shared" si="111"/>
        <v>24.728515912742505</v>
      </c>
      <c r="X331" s="157">
        <f t="shared" si="112"/>
        <v>46339</v>
      </c>
      <c r="Y331" s="384">
        <f t="shared" si="113"/>
        <v>23.644433928947446</v>
      </c>
      <c r="Z331" s="384">
        <f t="shared" si="114"/>
        <v>25.267079143806022</v>
      </c>
      <c r="AA331" s="385">
        <f t="shared" si="115"/>
        <v>27.034192741490557</v>
      </c>
      <c r="AB331" s="196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6.536587256672434E-2</v>
      </c>
      <c r="AD331" s="230">
        <f>(INDEX(Models!$BJ331:$BT331,,AH331)*(1-AF331)+INDEX(Models!$BJ331:$BT331,,AH331+1)*AF331-ERP_i)*AE331*Ramure*Pc/MaxiM</f>
        <v>1.5684783802980249E-3</v>
      </c>
      <c r="AE331" s="304">
        <f t="shared" si="117"/>
        <v>0.5</v>
      </c>
      <c r="AF331" s="176">
        <f t="shared" si="118"/>
        <v>0.23438166108960834</v>
      </c>
      <c r="AG331" s="814">
        <f t="shared" si="124"/>
        <v>2</v>
      </c>
      <c r="AH331" s="175">
        <f t="shared" si="119"/>
        <v>8</v>
      </c>
      <c r="AI331" s="224">
        <f t="shared" si="120"/>
        <v>2.2343816610896083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10">
        <f>'2025'!Wh/'2025'!Env_an*'2026'!Env_an</f>
        <v>11.609661674681425</v>
      </c>
      <c r="C332" s="843"/>
      <c r="D332" s="392">
        <f t="shared" si="102"/>
        <v>12.406668651816236</v>
      </c>
      <c r="E332" s="384">
        <f t="shared" si="125"/>
        <v>12.706836224661952</v>
      </c>
      <c r="F332" s="384">
        <f t="shared" si="103"/>
        <v>12.707229440588844</v>
      </c>
      <c r="G332" s="110">
        <f t="shared" si="126"/>
        <v>0.40168441513316838</v>
      </c>
      <c r="H332" s="413" t="b">
        <f>Wh_hp&gt;='2025'!Maxi_hp</f>
        <v>0</v>
      </c>
      <c r="I332" s="389">
        <f>IF(H332,Wh_hp,'2025'!Maxi_hp)</f>
        <v>19.84263142805246</v>
      </c>
      <c r="J332" s="85">
        <f>IF(H332,An,'2025'!An_max)</f>
        <v>2020</v>
      </c>
      <c r="K332" s="196">
        <f t="shared" si="104"/>
        <v>46340</v>
      </c>
      <c r="L332" s="147">
        <f>IF(t&lt;Tvie,1-EXP((T0-t)*PertePVj)+'2025'!Pspv,1-EXP((T0-t)*PertePVj)+Pspv)</f>
        <v>6.4240208189821874E-2</v>
      </c>
      <c r="M332" s="847"/>
      <c r="N332" s="847"/>
      <c r="O332" s="48">
        <f>IF(t&lt;Tnet,'2025'!Resal+('2025'!Salim-'2025'!Resal)*(1-EXP(('2025'!Tnet-t)/('2025'!Tau_j))),Resal+(Salim-Resal)*(1-EXP((Tnet-t)/(Tau_j))))*Salcycl</f>
        <v>2.3622526295187334E-2</v>
      </c>
      <c r="P332" s="168">
        <f>(INDEX(Models!$BJ332:$BT332,,T332)*(1-R332)+INDEX(Models!$BJ332:$BT332,,T332+1)*R332-ERP_i)*Q332*Ramure*Pc/MaxiM</f>
        <v>2.1286870134473271E-4</v>
      </c>
      <c r="Q332" s="304">
        <f t="shared" si="105"/>
        <v>0.5</v>
      </c>
      <c r="R332" s="176">
        <f t="shared" si="106"/>
        <v>0.11940894258475787</v>
      </c>
      <c r="S332" s="814">
        <f t="shared" si="107"/>
        <v>0</v>
      </c>
      <c r="T332" s="175">
        <f t="shared" si="108"/>
        <v>6</v>
      </c>
      <c r="U332" s="250">
        <f t="shared" si="109"/>
        <v>0.11940894258475787</v>
      </c>
      <c r="V332" s="382">
        <f t="shared" si="110"/>
        <v>28.897186674183732</v>
      </c>
      <c r="W332" s="401">
        <f t="shared" si="111"/>
        <v>11.609661674681425</v>
      </c>
      <c r="X332" s="157">
        <f t="shared" si="112"/>
        <v>46340</v>
      </c>
      <c r="Y332" s="384">
        <f t="shared" si="113"/>
        <v>11.111119861060162</v>
      </c>
      <c r="Z332" s="384">
        <f t="shared" si="114"/>
        <v>11.873901783668526</v>
      </c>
      <c r="AA332" s="385">
        <f t="shared" si="115"/>
        <v>12.704280647652656</v>
      </c>
      <c r="AB332" s="196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6.5362131632187861E-2</v>
      </c>
      <c r="AD332" s="230">
        <f>(INDEX(Models!$BJ332:$BT332,,AH332)*(1-AF332)+INDEX(Models!$BJ332:$BT332,,AH332+1)*AF332-ERP_i)*AE332*Ramure*Pc/MaxiM</f>
        <v>1.5963384998722361E-3</v>
      </c>
      <c r="AE332" s="304">
        <f t="shared" si="117"/>
        <v>0.5</v>
      </c>
      <c r="AF332" s="176">
        <f t="shared" si="118"/>
        <v>0.23440148240914516</v>
      </c>
      <c r="AG332" s="814">
        <f t="shared" si="124"/>
        <v>2</v>
      </c>
      <c r="AH332" s="175">
        <f t="shared" si="119"/>
        <v>8</v>
      </c>
      <c r="AI332" s="224">
        <f t="shared" si="120"/>
        <v>2.2344014824091452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10">
        <f>'2025'!Wh/'2025'!Env_an*'2026'!Env_an</f>
        <v>12.573901685739932</v>
      </c>
      <c r="C333" s="843"/>
      <c r="D333" s="392">
        <f t="shared" si="102"/>
        <v>13.437397983280528</v>
      </c>
      <c r="E333" s="384">
        <f t="shared" si="125"/>
        <v>13.763448433437546</v>
      </c>
      <c r="F333" s="384">
        <f t="shared" si="103"/>
        <v>13.764045485806026</v>
      </c>
      <c r="G333" s="110">
        <f t="shared" si="126"/>
        <v>0.4390460347752928</v>
      </c>
      <c r="H333" s="413" t="b">
        <f>Wh_hp&gt;='2025'!Maxi_hp</f>
        <v>0</v>
      </c>
      <c r="I333" s="389">
        <f>IF(H333,Wh_hp,'2025'!Maxi_hp)</f>
        <v>29.001692225643055</v>
      </c>
      <c r="J333" s="85">
        <f>IF(H333,An,'2025'!An_max)</f>
        <v>2020</v>
      </c>
      <c r="K333" s="196">
        <f t="shared" si="104"/>
        <v>46341</v>
      </c>
      <c r="L333" s="147">
        <f>IF(t&lt;Tvie,1-EXP((T0-t)*PertePVj)+'2025'!Pspv,1-EXP((T0-t)*PertePVj)+Pspv)</f>
        <v>6.4260677447746967E-2</v>
      </c>
      <c r="M333" s="847"/>
      <c r="N333" s="847"/>
      <c r="O333" s="48">
        <f>IF(t&lt;Tnet,'2025'!Resal+('2025'!Salim-'2025'!Resal)*(1-EXP(('2025'!Tnet-t)/('2025'!Tau_j))),Resal+(Salim-Resal)*(1-EXP((Tnet-t)/(Tau_j))))*Salcycl</f>
        <v>2.3689589984214689E-2</v>
      </c>
      <c r="P333" s="168">
        <f>(INDEX(Models!$BJ333:$BT333,,T333)*(1-R333)+INDEX(Models!$BJ333:$BT333,,T333+1)*R333-ERP_i)*Q333*Ramure*Pc/MaxiM</f>
        <v>2.1825588336116104E-4</v>
      </c>
      <c r="Q333" s="304">
        <f t="shared" si="105"/>
        <v>0.5</v>
      </c>
      <c r="R333" s="176">
        <f t="shared" si="106"/>
        <v>0.11942796830353491</v>
      </c>
      <c r="S333" s="814">
        <f t="shared" si="107"/>
        <v>0</v>
      </c>
      <c r="T333" s="175">
        <f t="shared" si="108"/>
        <v>6</v>
      </c>
      <c r="U333" s="250">
        <f t="shared" si="109"/>
        <v>0.11942796830353491</v>
      </c>
      <c r="V333" s="382">
        <f t="shared" si="110"/>
        <v>28.634133310093599</v>
      </c>
      <c r="W333" s="401">
        <f t="shared" si="111"/>
        <v>12.573901685739932</v>
      </c>
      <c r="X333" s="157">
        <f t="shared" si="112"/>
        <v>46341</v>
      </c>
      <c r="Y333" s="384">
        <f t="shared" si="113"/>
        <v>12.033891459631663</v>
      </c>
      <c r="Z333" s="384">
        <f t="shared" si="114"/>
        <v>12.860303259254849</v>
      </c>
      <c r="AA333" s="385">
        <f t="shared" si="115"/>
        <v>13.759619728545299</v>
      </c>
      <c r="AB333" s="196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6.5359107812024517E-2</v>
      </c>
      <c r="AD333" s="230">
        <f>(INDEX(Models!$BJ333:$BT333,,AH333)*(1-AF333)+INDEX(Models!$BJ333:$BT333,,AH333+1)*AF333-ERP_i)*AE333*Ramure*Pc/MaxiM</f>
        <v>1.617860696105202E-3</v>
      </c>
      <c r="AE333" s="304">
        <f t="shared" si="117"/>
        <v>0.5</v>
      </c>
      <c r="AF333" s="176">
        <f t="shared" si="118"/>
        <v>0.23442050812792248</v>
      </c>
      <c r="AG333" s="814">
        <f t="shared" si="124"/>
        <v>2</v>
      </c>
      <c r="AH333" s="175">
        <f t="shared" si="119"/>
        <v>8</v>
      </c>
      <c r="AI333" s="224">
        <f t="shared" si="120"/>
        <v>2.2344205081279225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10">
        <f>'2025'!Wh/'2025'!Env_an*'2026'!Env_an</f>
        <v>27.931856276348316</v>
      </c>
      <c r="C334" s="843"/>
      <c r="D334" s="392">
        <f t="shared" si="102"/>
        <v>29.850693041641094</v>
      </c>
      <c r="E334" s="384">
        <f t="shared" si="125"/>
        <v>30.577106523384543</v>
      </c>
      <c r="F334" s="384">
        <f t="shared" si="103"/>
        <v>30.583777665527801</v>
      </c>
      <c r="G334" s="110">
        <f t="shared" si="126"/>
        <v>0.98446006423113797</v>
      </c>
      <c r="H334" s="413" t="b">
        <f>Wh_hp&gt;='2025'!Maxi_hp</f>
        <v>0</v>
      </c>
      <c r="I334" s="389">
        <f>IF(H334,Wh_hp,'2025'!Maxi_hp)</f>
        <v>30.583862584989568</v>
      </c>
      <c r="J334" s="85">
        <f>IF(H334,An,'2025'!An_max)</f>
        <v>2025</v>
      </c>
      <c r="K334" s="196">
        <f t="shared" si="104"/>
        <v>46342</v>
      </c>
      <c r="L334" s="147">
        <f>IF(t&lt;Tvie,1-EXP((T0-t)*PertePVj)+'2025'!Pspv,1-EXP((T0-t)*PertePVj)+Pspv)</f>
        <v>6.4281146257342797E-2</v>
      </c>
      <c r="M334" s="847"/>
      <c r="N334" s="847"/>
      <c r="O334" s="48">
        <f>IF(t&lt;Tnet,'2025'!Resal+('2025'!Salim-'2025'!Resal)*(1-EXP(('2025'!Tnet-t)/('2025'!Tau_j))),Resal+(Salim-Resal)*(1-EXP((Tnet-t)/(Tau_j))))*Salcycl</f>
        <v>2.3756776370841642E-2</v>
      </c>
      <c r="P334" s="168">
        <f>(INDEX(Models!$BJ334:$BT334,,T334)*(1-R334)+INDEX(Models!$BJ334:$BT334,,T334+1)*R334-ERP_i)*Q334*Ramure*Pc/MaxiM</f>
        <v>2.2307756724300253E-4</v>
      </c>
      <c r="Q334" s="304">
        <f t="shared" si="105"/>
        <v>0.5</v>
      </c>
      <c r="R334" s="176">
        <f t="shared" si="106"/>
        <v>0.11944623026082868</v>
      </c>
      <c r="S334" s="814">
        <f t="shared" si="107"/>
        <v>0</v>
      </c>
      <c r="T334" s="175">
        <f t="shared" si="108"/>
        <v>6</v>
      </c>
      <c r="U334" s="250">
        <f t="shared" si="109"/>
        <v>0.11944623026082868</v>
      </c>
      <c r="V334" s="382">
        <f t="shared" si="110"/>
        <v>28.372626760042319</v>
      </c>
      <c r="W334" s="401">
        <f t="shared" si="111"/>
        <v>27.931856276348316</v>
      </c>
      <c r="X334" s="157">
        <f t="shared" si="112"/>
        <v>46342</v>
      </c>
      <c r="Y334" s="384">
        <f t="shared" si="113"/>
        <v>26.704737729071606</v>
      </c>
      <c r="Z334" s="384">
        <f t="shared" si="114"/>
        <v>28.539275042133525</v>
      </c>
      <c r="AA334" s="385">
        <f t="shared" si="115"/>
        <v>30.534942828271202</v>
      </c>
      <c r="AB334" s="196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6.5356853535352241E-2</v>
      </c>
      <c r="AD334" s="230">
        <f>(INDEX(Models!$BJ334:$BT334,,AH334)*(1-AF334)+INDEX(Models!$BJ334:$BT334,,AH334+1)*AF334-ERP_i)*AE334*Ramure*Pc/MaxiM</f>
        <v>1.6329972376500827E-3</v>
      </c>
      <c r="AE334" s="304">
        <f t="shared" si="117"/>
        <v>0.5</v>
      </c>
      <c r="AF334" s="176">
        <f t="shared" si="118"/>
        <v>0.23443877008521596</v>
      </c>
      <c r="AG334" s="814">
        <f t="shared" si="124"/>
        <v>2</v>
      </c>
      <c r="AH334" s="175">
        <f t="shared" si="119"/>
        <v>8</v>
      </c>
      <c r="AI334" s="224">
        <f t="shared" si="120"/>
        <v>2.234438770085216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10">
        <f>'2025'!Wh/'2025'!Env_an*'2026'!Env_an</f>
        <v>14.390541306674782</v>
      </c>
      <c r="C335" s="843"/>
      <c r="D335" s="392">
        <f t="shared" ref="D335:D379" si="127">Wh/(1-Ppv)</f>
        <v>15.379465788871004</v>
      </c>
      <c r="E335" s="384">
        <f t="shared" si="125"/>
        <v>15.754810058743178</v>
      </c>
      <c r="F335" s="384">
        <f t="shared" ref="F335:F379" si="128">Wh_sa/(1-Pvg*MEDIAN((-Sdif+Wh/Env_an)/Csdif,0,1))</f>
        <v>15.755894206995906</v>
      </c>
      <c r="G335" s="110">
        <f t="shared" si="126"/>
        <v>0.51179802314764411</v>
      </c>
      <c r="H335" s="413" t="b">
        <f>Wh_hp&gt;='2025'!Maxi_hp</f>
        <v>0</v>
      </c>
      <c r="I335" s="389">
        <f>IF(H335,Wh_hp,'2025'!Maxi_hp)</f>
        <v>29.428386616561589</v>
      </c>
      <c r="J335" s="85">
        <f>IF(H335,An,'2025'!An_max)</f>
        <v>2018</v>
      </c>
      <c r="K335" s="196">
        <f t="shared" ref="K335:K379" si="129">t</f>
        <v>46343</v>
      </c>
      <c r="L335" s="147">
        <f>IF(t&lt;Tvie,1-EXP((T0-t)*PertePVj)+'2025'!Pspv,1-EXP((T0-t)*PertePVj)+Pspv)</f>
        <v>6.4301614618619135E-2</v>
      </c>
      <c r="M335" s="847"/>
      <c r="N335" s="847"/>
      <c r="O335" s="48">
        <f>IF(t&lt;Tnet,'2025'!Resal+('2025'!Salim-'2025'!Resal)*(1-EXP(('2025'!Tnet-t)/('2025'!Tau_j))),Resal+(Salim-Resal)*(1-EXP((Tnet-t)/(Tau_j))))*Salcycl</f>
        <v>2.3824106318811267E-2</v>
      </c>
      <c r="P335" s="168">
        <f>(INDEX(Models!$BJ335:$BT335,,T335)*(1-R335)+INDEX(Models!$BJ335:$BT335,,T335+1)*R335-ERP_i)*Q335*Ramure*Pc/MaxiM</f>
        <v>2.2732928772431897E-4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0.11946375902922518</v>
      </c>
      <c r="S335" s="814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0.11946375902922518</v>
      </c>
      <c r="V335" s="382">
        <f t="shared" ref="V335:V379" si="135">MaxiM*(1-Ppv)*(1-Pvg)*(1-Psa)</f>
        <v>28.113160479414216</v>
      </c>
      <c r="W335" s="401">
        <f t="shared" ref="W335:W379" si="136">Wh*(A335&gt;Tmaj)</f>
        <v>14.390541306674782</v>
      </c>
      <c r="X335" s="157">
        <f t="shared" ref="X335:X379" si="137">t</f>
        <v>46343</v>
      </c>
      <c r="Y335" s="384">
        <f t="shared" ref="Y335:Y379" si="138">Wh_pvt_s*(1-Ppv)</f>
        <v>13.772398096307473</v>
      </c>
      <c r="Z335" s="384">
        <f t="shared" ref="Z335:Z379" si="139">Wh_sa_s*(1-Psa_s)</f>
        <v>14.718843498585271</v>
      </c>
      <c r="AA335" s="385">
        <f t="shared" ref="AA335:AA379" si="140">Wh_hp*(1-Pvg_s*MEDIAN((-Sdif+Wh/Env_an)/Csdif,0,1))</f>
        <v>15.748064862530958</v>
      </c>
      <c r="AB335" s="196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6.53554181374051E-2</v>
      </c>
      <c r="AD335" s="230">
        <f>(INDEX(Models!$BJ335:$BT335,,AH335)*(1-AF335)+INDEX(Models!$BJ335:$BT335,,AH335+1)*AF335-ERP_i)*AE335*Ramure*Pc/MaxiM</f>
        <v>1.6416936485285183E-3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0.23445629885361274</v>
      </c>
      <c r="AG335" s="814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2.2344562988536127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10">
        <f>'2025'!Wh/'2025'!Env_an*'2026'!Env_an</f>
        <v>12.840564717069508</v>
      </c>
      <c r="C336" s="843"/>
      <c r="D336" s="392">
        <f t="shared" si="127"/>
        <v>13.723274299142547</v>
      </c>
      <c r="E336" s="384">
        <f t="shared" si="125"/>
        <v>14.059170369379109</v>
      </c>
      <c r="F336" s="384">
        <f t="shared" si="128"/>
        <v>14.059917198990107</v>
      </c>
      <c r="G336" s="110">
        <f t="shared" si="126"/>
        <v>0.46087648692989092</v>
      </c>
      <c r="H336" s="413" t="b">
        <f>Wh_hp&gt;='2025'!Maxi_hp</f>
        <v>0</v>
      </c>
      <c r="I336" s="389">
        <f>IF(H336,Wh_hp,'2025'!Maxi_hp)</f>
        <v>28.461608184939823</v>
      </c>
      <c r="J336" s="85">
        <f>IF(H336,An,'2025'!An_max)</f>
        <v>2020</v>
      </c>
      <c r="K336" s="196">
        <f t="shared" si="129"/>
        <v>46344</v>
      </c>
      <c r="L336" s="147">
        <f>IF(t&lt;Tvie,1-EXP((T0-t)*PertePVj)+'2025'!Pspv,1-EXP((T0-t)*PertePVj)+Pspv)</f>
        <v>6.4322082531585861E-2</v>
      </c>
      <c r="M336" s="847"/>
      <c r="N336" s="847"/>
      <c r="O336" s="48">
        <f>IF(t&lt;Tnet,'2025'!Resal+('2025'!Salim-'2025'!Resal)*(1-EXP(('2025'!Tnet-t)/('2025'!Tau_j))),Resal+(Salim-Resal)*(1-EXP((Tnet-t)/(Tau_j))))*Salcycl</f>
        <v>2.3891599675621288E-2</v>
      </c>
      <c r="P336" s="168">
        <f>(INDEX(Models!$BJ336:$BT336,,T336)*(1-R336)+INDEX(Models!$BJ336:$BT336,,T336+1)*R336-ERP_i)*Q336*Ramure*Pc/MaxiM</f>
        <v>2.3100581684402469E-4</v>
      </c>
      <c r="Q336" s="304">
        <f t="shared" si="130"/>
        <v>0.5</v>
      </c>
      <c r="R336" s="176">
        <f t="shared" si="131"/>
        <v>0.11948058396442324</v>
      </c>
      <c r="S336" s="814">
        <f t="shared" si="132"/>
        <v>0</v>
      </c>
      <c r="T336" s="175">
        <f t="shared" si="133"/>
        <v>6</v>
      </c>
      <c r="U336" s="250">
        <f t="shared" si="134"/>
        <v>0.11948058396442324</v>
      </c>
      <c r="V336" s="382">
        <f t="shared" si="135"/>
        <v>27.856227807581696</v>
      </c>
      <c r="W336" s="401">
        <f t="shared" si="136"/>
        <v>12.840564717069508</v>
      </c>
      <c r="X336" s="157">
        <f t="shared" si="137"/>
        <v>46344</v>
      </c>
      <c r="Y336" s="384">
        <f t="shared" si="138"/>
        <v>12.291127048567159</v>
      </c>
      <c r="Z336" s="384">
        <f t="shared" si="139"/>
        <v>13.136066181643185</v>
      </c>
      <c r="AA336" s="385">
        <f t="shared" si="140"/>
        <v>14.054602592861331</v>
      </c>
      <c r="AB336" s="196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6.5354847648605344E-2</v>
      </c>
      <c r="AD336" s="230">
        <f>(INDEX(Models!$BJ336:$BT336,,AH336)*(1-AF336)+INDEX(Models!$BJ336:$BT336,,AH336+1)*AF336-ERP_i)*AE336*Ramure*Pc/MaxiM</f>
        <v>1.6438889298188359E-3</v>
      </c>
      <c r="AE336" s="304">
        <f t="shared" si="142"/>
        <v>0.5</v>
      </c>
      <c r="AF336" s="176">
        <f t="shared" si="143"/>
        <v>0.23447312378881069</v>
      </c>
      <c r="AG336" s="814">
        <f t="shared" ref="AG336:AG379" si="149">INDEX(Echel_vg,AH336)</f>
        <v>2</v>
      </c>
      <c r="AH336" s="175">
        <f t="shared" si="144"/>
        <v>8</v>
      </c>
      <c r="AI336" s="224">
        <f t="shared" si="145"/>
        <v>2.2344731237888107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10">
        <f>'2025'!Wh/'2025'!Env_an*'2026'!Env_an</f>
        <v>8.5392693825100068</v>
      </c>
      <c r="C337" s="843"/>
      <c r="D337" s="392">
        <f t="shared" si="127"/>
        <v>9.1264910918796289</v>
      </c>
      <c r="E337" s="384">
        <f t="shared" si="125"/>
        <v>9.3505228417643309</v>
      </c>
      <c r="F337" s="384">
        <f t="shared" si="128"/>
        <v>9.3505521358537251</v>
      </c>
      <c r="G337" s="110">
        <f t="shared" si="126"/>
        <v>0.30929633691096658</v>
      </c>
      <c r="H337" s="413" t="b">
        <f>Wh_hp&gt;='2025'!Maxi_hp</f>
        <v>0</v>
      </c>
      <c r="I337" s="389">
        <f>IF(H337,Wh_hp,'2025'!Maxi_hp)</f>
        <v>29.760900399703338</v>
      </c>
      <c r="J337" s="85">
        <f>IF(H337,An,'2025'!An_max)</f>
        <v>2021</v>
      </c>
      <c r="K337" s="196">
        <f t="shared" si="129"/>
        <v>46345</v>
      </c>
      <c r="L337" s="147">
        <f>IF(t&lt;Tvie,1-EXP((T0-t)*PertePVj)+'2025'!Pspv,1-EXP((T0-t)*PertePVj)+Pspv)</f>
        <v>6.4342549996252857E-2</v>
      </c>
      <c r="M337" s="847"/>
      <c r="N337" s="847"/>
      <c r="O337" s="48">
        <f>IF(t&lt;Tnet,'2025'!Resal+('2025'!Salim-'2025'!Resal)*(1-EXP(('2025'!Tnet-t)/('2025'!Tau_j))),Resal+(Salim-Resal)*(1-EXP((Tnet-t)/(Tau_j))))*Salcycl</f>
        <v>2.3959275184491213E-2</v>
      </c>
      <c r="P337" s="168">
        <f>(INDEX(Models!$BJ337:$BT337,,T337)*(1-R337)+INDEX(Models!$BJ337:$BT337,,T337+1)*R337-ERP_i)*Q337*Ramure*Pc/MaxiM</f>
        <v>2.3410116791651662E-4</v>
      </c>
      <c r="Q337" s="304">
        <f t="shared" si="130"/>
        <v>0.5</v>
      </c>
      <c r="R337" s="176">
        <f t="shared" si="131"/>
        <v>0.11949673325312554</v>
      </c>
      <c r="S337" s="814">
        <f t="shared" si="132"/>
        <v>0</v>
      </c>
      <c r="T337" s="175">
        <f t="shared" si="133"/>
        <v>6</v>
      </c>
      <c r="U337" s="250">
        <f t="shared" si="134"/>
        <v>0.11949673325312554</v>
      </c>
      <c r="V337" s="382">
        <f t="shared" si="135"/>
        <v>27.602321970908967</v>
      </c>
      <c r="W337" s="401">
        <f t="shared" si="136"/>
        <v>8.5392693825100068</v>
      </c>
      <c r="X337" s="157">
        <f t="shared" si="137"/>
        <v>46345</v>
      </c>
      <c r="Y337" s="384">
        <f t="shared" si="138"/>
        <v>8.1769474795264525</v>
      </c>
      <c r="Z337" s="384">
        <f t="shared" si="139"/>
        <v>8.7392533234184206</v>
      </c>
      <c r="AA337" s="385">
        <f t="shared" si="140"/>
        <v>9.3503469761557962</v>
      </c>
      <c r="AB337" s="196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6.5355184603920827E-2</v>
      </c>
      <c r="AD337" s="230">
        <f>(INDEX(Models!$BJ337:$BT337,,AH337)*(1-AF337)+INDEX(Models!$BJ337:$BT337,,AH337+1)*AF337-ERP_i)*AE337*Ramure*Pc/MaxiM</f>
        <v>1.6395158848387587E-3</v>
      </c>
      <c r="AE337" s="304">
        <f t="shared" si="142"/>
        <v>0.5</v>
      </c>
      <c r="AF337" s="176">
        <f t="shared" si="143"/>
        <v>0.23448927307751299</v>
      </c>
      <c r="AG337" s="814">
        <f t="shared" si="149"/>
        <v>2</v>
      </c>
      <c r="AH337" s="175">
        <f t="shared" si="144"/>
        <v>8</v>
      </c>
      <c r="AI337" s="224">
        <f t="shared" si="145"/>
        <v>2.234489273077513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10">
        <f>'2025'!Wh/'2025'!Env_an*'2026'!Env_an</f>
        <v>17.5598302100388</v>
      </c>
      <c r="C338" s="843"/>
      <c r="D338" s="392">
        <f t="shared" si="127"/>
        <v>18.767781232815842</v>
      </c>
      <c r="E338" s="384">
        <f t="shared" si="125"/>
        <v>19.229818985814553</v>
      </c>
      <c r="F338" s="384">
        <f t="shared" si="128"/>
        <v>19.232040740514272</v>
      </c>
      <c r="G338" s="110">
        <f t="shared" si="126"/>
        <v>0.64191813263917441</v>
      </c>
      <c r="H338" s="413" t="b">
        <f>Wh_hp&gt;='2025'!Maxi_hp</f>
        <v>0</v>
      </c>
      <c r="I338" s="389">
        <f>IF(H338,Wh_hp,'2025'!Maxi_hp)</f>
        <v>30.755738511673645</v>
      </c>
      <c r="J338" s="85">
        <f>IF(H338,An,'2025'!An_max)</f>
        <v>2019</v>
      </c>
      <c r="K338" s="196">
        <f t="shared" si="129"/>
        <v>46346</v>
      </c>
      <c r="L338" s="147">
        <f>IF(t&lt;Tvie,1-EXP((T0-t)*PertePVj)+'2025'!Pspv,1-EXP((T0-t)*PertePVj)+Pspv)</f>
        <v>6.4363017012629781E-2</v>
      </c>
      <c r="M338" s="847"/>
      <c r="N338" s="847"/>
      <c r="O338" s="48">
        <f>IF(t&lt;Tnet,'2025'!Resal+('2025'!Salim-'2025'!Resal)*(1-EXP(('2025'!Tnet-t)/('2025'!Tau_j))),Resal+(Salim-Resal)*(1-EXP((Tnet-t)/(Tau_j))))*Salcycl</f>
        <v>2.4027150403212238E-2</v>
      </c>
      <c r="P338" s="168">
        <f>(INDEX(Models!$BJ338:$BT338,,T338)*(1-R338)+INDEX(Models!$BJ338:$BT338,,T338+1)*R338-ERP_i)*Q338*Ramure*Pc/MaxiM</f>
        <v>2.3645474385284538E-4</v>
      </c>
      <c r="Q338" s="304">
        <f t="shared" si="130"/>
        <v>0.5</v>
      </c>
      <c r="R338" s="176">
        <f t="shared" si="131"/>
        <v>0.11951223395908894</v>
      </c>
      <c r="S338" s="814">
        <f t="shared" si="132"/>
        <v>0</v>
      </c>
      <c r="T338" s="175">
        <f t="shared" si="133"/>
        <v>6</v>
      </c>
      <c r="U338" s="250">
        <f t="shared" si="134"/>
        <v>0.11951223395908894</v>
      </c>
      <c r="V338" s="382">
        <f t="shared" si="135"/>
        <v>27.351940289115451</v>
      </c>
      <c r="W338" s="401">
        <f t="shared" si="136"/>
        <v>17.5598302100388</v>
      </c>
      <c r="X338" s="157">
        <f t="shared" si="137"/>
        <v>46346</v>
      </c>
      <c r="Y338" s="384">
        <f t="shared" si="138"/>
        <v>16.804785899339652</v>
      </c>
      <c r="Z338" s="384">
        <f t="shared" si="139"/>
        <v>17.960796980987329</v>
      </c>
      <c r="AA338" s="385">
        <f t="shared" si="140"/>
        <v>19.216734897987521</v>
      </c>
      <c r="AB338" s="196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6.5356467873828067E-2</v>
      </c>
      <c r="AD338" s="230">
        <f>(INDEX(Models!$BJ338:$BT338,,AH338)*(1-AF338)+INDEX(Models!$BJ338:$BT338,,AH338+1)*AF338-ERP_i)*AE338*Ramure*Pc/MaxiM</f>
        <v>1.6289552913160879E-3</v>
      </c>
      <c r="AE338" s="304">
        <f t="shared" si="142"/>
        <v>0.5</v>
      </c>
      <c r="AF338" s="176">
        <f t="shared" si="143"/>
        <v>0.23450477378347623</v>
      </c>
      <c r="AG338" s="814">
        <f t="shared" si="149"/>
        <v>2</v>
      </c>
      <c r="AH338" s="175">
        <f t="shared" si="144"/>
        <v>8</v>
      </c>
      <c r="AI338" s="224">
        <f t="shared" si="145"/>
        <v>2.2345047737834762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10">
        <f>'2025'!Wh/'2025'!Env_an*'2026'!Env_an</f>
        <v>3.0055172834702026</v>
      </c>
      <c r="C339" s="843"/>
      <c r="D339" s="392">
        <f t="shared" si="127"/>
        <v>3.2123388490112479</v>
      </c>
      <c r="E339" s="384">
        <f t="shared" si="125"/>
        <v>3.2916519992977396</v>
      </c>
      <c r="F339" s="384">
        <f t="shared" si="128"/>
        <v>3.2916519992977396</v>
      </c>
      <c r="G339" s="110">
        <f t="shared" si="126"/>
        <v>0.11085548713191415</v>
      </c>
      <c r="H339" s="413" t="b">
        <f>Wh_hp&gt;='2025'!Maxi_hp</f>
        <v>0</v>
      </c>
      <c r="I339" s="389">
        <f>IF(H339,Wh_hp,'2025'!Maxi_hp)</f>
        <v>29.244111126722764</v>
      </c>
      <c r="J339" s="85">
        <f>IF(H339,An,'2025'!An_max)</f>
        <v>2019</v>
      </c>
      <c r="K339" s="196">
        <f t="shared" si="129"/>
        <v>46347</v>
      </c>
      <c r="L339" s="147">
        <f>IF(t&lt;Tvie,1-EXP((T0-t)*PertePVj)+'2025'!Pspv,1-EXP((T0-t)*PertePVj)+Pspv)</f>
        <v>6.4383483580726403E-2</v>
      </c>
      <c r="M339" s="847"/>
      <c r="N339" s="847"/>
      <c r="O339" s="48">
        <f>IF(t&lt;Tnet,'2025'!Resal+('2025'!Salim-'2025'!Resal)*(1-EXP(('2025'!Tnet-t)/('2025'!Tau_j))),Resal+(Salim-Resal)*(1-EXP((Tnet-t)/(Tau_j))))*Salcycl</f>
        <v>2.4095241630467834E-2</v>
      </c>
      <c r="P339" s="168">
        <f>(INDEX(Models!$BJ339:$BT339,,T339)*(1-R339)+INDEX(Models!$BJ339:$BT339,,T339+1)*R339-ERP_i)*Q339*Ramure*Pc/MaxiM</f>
        <v>2.3820171465159114E-4</v>
      </c>
      <c r="Q339" s="304">
        <f t="shared" si="130"/>
        <v>0.5</v>
      </c>
      <c r="R339" s="176">
        <f t="shared" si="131"/>
        <v>0.11952711206740002</v>
      </c>
      <c r="S339" s="814">
        <f t="shared" si="132"/>
        <v>0</v>
      </c>
      <c r="T339" s="175">
        <f t="shared" si="133"/>
        <v>6</v>
      </c>
      <c r="U339" s="250">
        <f t="shared" si="134"/>
        <v>0.11952711206740002</v>
      </c>
      <c r="V339" s="382">
        <f t="shared" si="135"/>
        <v>27.105571783959206</v>
      </c>
      <c r="W339" s="401">
        <f t="shared" si="136"/>
        <v>3.0055172834702026</v>
      </c>
      <c r="X339" s="157">
        <f t="shared" si="137"/>
        <v>46347</v>
      </c>
      <c r="Y339" s="384">
        <f t="shared" si="138"/>
        <v>2.8784371212153448</v>
      </c>
      <c r="Z339" s="384">
        <f t="shared" si="139"/>
        <v>3.0765137967331948</v>
      </c>
      <c r="AA339" s="385">
        <f t="shared" si="140"/>
        <v>3.2916519992977396</v>
      </c>
      <c r="AB339" s="196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6.5358732518031565E-2</v>
      </c>
      <c r="AD339" s="230">
        <f>(INDEX(Models!$BJ339:$BT339,,AH339)*(1-AF339)+INDEX(Models!$BJ339:$BT339,,AH339+1)*AF339-ERP_i)*AE339*Ramure*Pc/MaxiM</f>
        <v>1.6154082292439628E-3</v>
      </c>
      <c r="AE339" s="304">
        <f t="shared" si="142"/>
        <v>0.5</v>
      </c>
      <c r="AF339" s="176">
        <f t="shared" si="143"/>
        <v>0.23451965189178736</v>
      </c>
      <c r="AG339" s="814">
        <f t="shared" si="149"/>
        <v>2</v>
      </c>
      <c r="AH339" s="175">
        <f t="shared" si="144"/>
        <v>8</v>
      </c>
      <c r="AI339" s="224">
        <f t="shared" si="145"/>
        <v>2.2345196518917874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10">
        <f>'2025'!Wh/'2025'!Env_an*'2026'!Env_an</f>
        <v>9.3882831615105644</v>
      </c>
      <c r="C340" s="843"/>
      <c r="D340" s="392">
        <f t="shared" si="127"/>
        <v>10.034547664567148</v>
      </c>
      <c r="E340" s="384">
        <f t="shared" si="125"/>
        <v>10.283022126182892</v>
      </c>
      <c r="F340" s="384">
        <f t="shared" si="128"/>
        <v>10.283196085961668</v>
      </c>
      <c r="G340" s="110">
        <f t="shared" si="126"/>
        <v>0.34940055724436736</v>
      </c>
      <c r="H340" s="413" t="b">
        <f>Wh_hp&gt;='2025'!Maxi_hp</f>
        <v>0</v>
      </c>
      <c r="I340" s="389">
        <f>IF(H340,Wh_hp,'2025'!Maxi_hp)</f>
        <v>30.738398160711071</v>
      </c>
      <c r="J340" s="85">
        <f>IF(H340,An,'2025'!An_max)</f>
        <v>2020</v>
      </c>
      <c r="K340" s="196">
        <f t="shared" si="129"/>
        <v>46348</v>
      </c>
      <c r="L340" s="147">
        <f>IF(t&lt;Tvie,1-EXP((T0-t)*PertePVj)+'2025'!Pspv,1-EXP((T0-t)*PertePVj)+Pspv)</f>
        <v>6.4403949700552826E-2</v>
      </c>
      <c r="M340" s="847"/>
      <c r="N340" s="847"/>
      <c r="O340" s="48">
        <f>IF(t&lt;Tnet,'2025'!Resal+('2025'!Salim-'2025'!Resal)*(1-EXP(('2025'!Tnet-t)/('2025'!Tau_j))),Resal+(Salim-Resal)*(1-EXP((Tnet-t)/(Tau_j))))*Salcycl</f>
        <v>2.4163563840154764E-2</v>
      </c>
      <c r="P340" s="168">
        <f>(INDEX(Models!$BJ340:$BT340,,T340)*(1-R340)+INDEX(Models!$BJ340:$BT340,,T340+1)*R340-ERP_i)*Q340*Ramure*Pc/MaxiM</f>
        <v>2.3933383581340573E-4</v>
      </c>
      <c r="Q340" s="304">
        <f t="shared" si="130"/>
        <v>0.5</v>
      </c>
      <c r="R340" s="176">
        <f t="shared" si="131"/>
        <v>0.11954139252704116</v>
      </c>
      <c r="S340" s="814">
        <f t="shared" si="132"/>
        <v>0</v>
      </c>
      <c r="T340" s="175">
        <f t="shared" si="133"/>
        <v>6</v>
      </c>
      <c r="U340" s="250">
        <f t="shared" si="134"/>
        <v>0.11954139252704116</v>
      </c>
      <c r="V340" s="382">
        <f t="shared" si="135"/>
        <v>26.863709339846217</v>
      </c>
      <c r="W340" s="401">
        <f t="shared" si="136"/>
        <v>9.3882831615105644</v>
      </c>
      <c r="X340" s="157">
        <f t="shared" si="137"/>
        <v>46348</v>
      </c>
      <c r="Y340" s="384">
        <f t="shared" si="138"/>
        <v>8.9910589348093328</v>
      </c>
      <c r="Z340" s="384">
        <f t="shared" si="139"/>
        <v>9.6099795760485005</v>
      </c>
      <c r="AA340" s="385">
        <f t="shared" si="140"/>
        <v>10.282033980431864</v>
      </c>
      <c r="AB340" s="196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6.5362009662910669E-2</v>
      </c>
      <c r="AD340" s="230">
        <f>(INDEX(Models!$BJ340:$BT340,,AH340)*(1-AF340)+INDEX(Models!$BJ340:$BT340,,AH340+1)*AF340-ERP_i)*AE340*Ramure*Pc/MaxiM</f>
        <v>1.5988246020241935E-3</v>
      </c>
      <c r="AE340" s="304">
        <f t="shared" si="142"/>
        <v>0.5</v>
      </c>
      <c r="AF340" s="176">
        <f t="shared" si="143"/>
        <v>0.23453393235142839</v>
      </c>
      <c r="AG340" s="814">
        <f t="shared" si="149"/>
        <v>2</v>
      </c>
      <c r="AH340" s="175">
        <f t="shared" si="144"/>
        <v>8</v>
      </c>
      <c r="AI340" s="224">
        <f t="shared" si="145"/>
        <v>2.2345339323514284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10">
        <f>'2025'!Wh/'2025'!Env_an*'2026'!Env_an</f>
        <v>15.368886830167323</v>
      </c>
      <c r="C341" s="843"/>
      <c r="D341" s="392">
        <f t="shared" si="127"/>
        <v>16.427199557885203</v>
      </c>
      <c r="E341" s="384">
        <f t="shared" si="125"/>
        <v>16.835151139372137</v>
      </c>
      <c r="F341" s="384">
        <f t="shared" si="128"/>
        <v>16.836750214437465</v>
      </c>
      <c r="G341" s="110">
        <f t="shared" si="126"/>
        <v>0.57711154869409642</v>
      </c>
      <c r="H341" s="413" t="b">
        <f>Wh_hp&gt;='2025'!Maxi_hp</f>
        <v>0</v>
      </c>
      <c r="I341" s="389">
        <f>IF(H341,Wh_hp,'2025'!Maxi_hp)</f>
        <v>30.216505837462773</v>
      </c>
      <c r="J341" s="85">
        <f>IF(H341,An,'2025'!An_max)</f>
        <v>2020</v>
      </c>
      <c r="K341" s="196">
        <f t="shared" si="129"/>
        <v>46349</v>
      </c>
      <c r="L341" s="147">
        <f>IF(t&lt;Tvie,1-EXP((T0-t)*PertePVj)+'2025'!Pspv,1-EXP((T0-t)*PertePVj)+Pspv)</f>
        <v>6.4424415372118599E-2</v>
      </c>
      <c r="M341" s="847"/>
      <c r="N341" s="847"/>
      <c r="O341" s="48">
        <f>IF(t&lt;Tnet,'2025'!Resal+('2025'!Salim-'2025'!Resal)*(1-EXP(('2025'!Tnet-t)/('2025'!Tau_j))),Resal+(Salim-Resal)*(1-EXP((Tnet-t)/(Tau_j))))*Salcycl</f>
        <v>2.4232130624171528E-2</v>
      </c>
      <c r="P341" s="168">
        <f>(INDEX(Models!$BJ341:$BT341,,T341)*(1-R341)+INDEX(Models!$BJ341:$BT341,,T341+1)*R341-ERP_i)*Q341*Ramure*Pc/MaxiM</f>
        <v>2.3984074263845822E-4</v>
      </c>
      <c r="Q341" s="304">
        <f t="shared" si="130"/>
        <v>0.5</v>
      </c>
      <c r="R341" s="176">
        <f t="shared" si="131"/>
        <v>0.11955509929181102</v>
      </c>
      <c r="S341" s="814">
        <f t="shared" si="132"/>
        <v>0</v>
      </c>
      <c r="T341" s="175">
        <f t="shared" si="133"/>
        <v>6</v>
      </c>
      <c r="U341" s="250">
        <f t="shared" si="134"/>
        <v>0.11955509929181102</v>
      </c>
      <c r="V341" s="382">
        <f t="shared" si="135"/>
        <v>26.626845767621464</v>
      </c>
      <c r="W341" s="401">
        <f t="shared" si="136"/>
        <v>15.368886830167323</v>
      </c>
      <c r="X341" s="157">
        <f t="shared" si="137"/>
        <v>46349</v>
      </c>
      <c r="Y341" s="384">
        <f t="shared" si="138"/>
        <v>14.713192276859225</v>
      </c>
      <c r="Z341" s="384">
        <f t="shared" si="139"/>
        <v>15.726353400630153</v>
      </c>
      <c r="AA341" s="385">
        <f t="shared" si="140"/>
        <v>16.826221700438285</v>
      </c>
      <c r="AB341" s="196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6.536632640347792E-2</v>
      </c>
      <c r="AD341" s="230">
        <f>(INDEX(Models!$BJ341:$BT341,,AH341)*(1-AF341)+INDEX(Models!$BJ341:$BT341,,AH341+1)*AF341-ERP_i)*AE341*Ramure*Pc/MaxiM</f>
        <v>1.5791420122772343E-3</v>
      </c>
      <c r="AE341" s="304">
        <f t="shared" si="142"/>
        <v>0.5</v>
      </c>
      <c r="AF341" s="176">
        <f t="shared" si="143"/>
        <v>0.23454763911619825</v>
      </c>
      <c r="AG341" s="814">
        <f t="shared" si="149"/>
        <v>2</v>
      </c>
      <c r="AH341" s="175">
        <f t="shared" si="144"/>
        <v>8</v>
      </c>
      <c r="AI341" s="224">
        <f t="shared" si="145"/>
        <v>2.2345476391161982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10">
        <f>'2025'!Wh/'2025'!Env_an*'2026'!Env_an</f>
        <v>13.750179812948632</v>
      </c>
      <c r="C342" s="843"/>
      <c r="D342" s="392">
        <f t="shared" si="127"/>
        <v>14.697348694644447</v>
      </c>
      <c r="E342" s="384">
        <f t="shared" si="125"/>
        <v>15.06340377913487</v>
      </c>
      <c r="F342" s="384">
        <f t="shared" si="128"/>
        <v>15.064543509873848</v>
      </c>
      <c r="G342" s="110">
        <f t="shared" si="126"/>
        <v>0.52084398936584497</v>
      </c>
      <c r="H342" s="413" t="b">
        <f>Wh_hp&gt;='2025'!Maxi_hp</f>
        <v>0</v>
      </c>
      <c r="I342" s="389">
        <f>IF(H342,Wh_hp,'2025'!Maxi_hp)</f>
        <v>28.331820487180057</v>
      </c>
      <c r="J342" s="85">
        <f>IF(H342,An,'2025'!An_max)</f>
        <v>2020</v>
      </c>
      <c r="K342" s="196">
        <f t="shared" si="129"/>
        <v>46350</v>
      </c>
      <c r="L342" s="147">
        <f>IF(t&lt;Tvie,1-EXP((T0-t)*PertePVj)+'2025'!Pspv,1-EXP((T0-t)*PertePVj)+Pspv)</f>
        <v>6.4444880595433712E-2</v>
      </c>
      <c r="M342" s="847"/>
      <c r="N342" s="847"/>
      <c r="O342" s="48">
        <f>IF(t&lt;Tnet,'2025'!Resal+('2025'!Salim-'2025'!Resal)*(1-EXP(('2025'!Tnet-t)/('2025'!Tau_j))),Resal+(Salim-Resal)*(1-EXP((Tnet-t)/(Tau_j))))*Salcycl</f>
        <v>2.4300954144073711E-2</v>
      </c>
      <c r="P342" s="168">
        <f>(INDEX(Models!$BJ342:$BT342,,T342)*(1-R342)+INDEX(Models!$BJ342:$BT342,,T342+1)*R342-ERP_i)*Q342*Ramure*Pc/MaxiM</f>
        <v>2.397125100336851E-4</v>
      </c>
      <c r="Q342" s="304">
        <f t="shared" si="130"/>
        <v>0.5</v>
      </c>
      <c r="R342" s="176">
        <f t="shared" si="131"/>
        <v>0.11956825535965981</v>
      </c>
      <c r="S342" s="814">
        <f t="shared" si="132"/>
        <v>0</v>
      </c>
      <c r="T342" s="175">
        <f t="shared" si="133"/>
        <v>6</v>
      </c>
      <c r="U342" s="250">
        <f t="shared" si="134"/>
        <v>0.11956825535965981</v>
      </c>
      <c r="V342" s="382">
        <f t="shared" si="135"/>
        <v>26.395473737664155</v>
      </c>
      <c r="W342" s="401">
        <f t="shared" si="136"/>
        <v>13.750179812948632</v>
      </c>
      <c r="X342" s="157">
        <f t="shared" si="137"/>
        <v>46350</v>
      </c>
      <c r="Y342" s="384">
        <f t="shared" si="138"/>
        <v>13.165910741460907</v>
      </c>
      <c r="Z342" s="384">
        <f t="shared" si="139"/>
        <v>14.072832768891637</v>
      </c>
      <c r="AA342" s="385">
        <f t="shared" si="140"/>
        <v>15.057143952495004</v>
      </c>
      <c r="AB342" s="196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6.5371705730439225E-2</v>
      </c>
      <c r="AD342" s="230">
        <f>(INDEX(Models!$BJ342:$BT342,,AH342)*(1-AF342)+INDEX(Models!$BJ342:$BT342,,AH342+1)*AF342-ERP_i)*AE342*Ramure*Pc/MaxiM</f>
        <v>1.5563030913863676E-3</v>
      </c>
      <c r="AE342" s="304">
        <f t="shared" si="142"/>
        <v>0.5</v>
      </c>
      <c r="AF342" s="176">
        <f t="shared" si="143"/>
        <v>0.23456079518404716</v>
      </c>
      <c r="AG342" s="814">
        <f t="shared" si="149"/>
        <v>2</v>
      </c>
      <c r="AH342" s="175">
        <f t="shared" si="144"/>
        <v>8</v>
      </c>
      <c r="AI342" s="224">
        <f t="shared" si="145"/>
        <v>2.2345607951840472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10">
        <f>'2025'!Wh/'2025'!Env_an*'2026'!Env_an</f>
        <v>4.518792317909873</v>
      </c>
      <c r="C343" s="843"/>
      <c r="D343" s="392">
        <f t="shared" si="127"/>
        <v>4.8301709568412399</v>
      </c>
      <c r="E343" s="384">
        <f t="shared" si="125"/>
        <v>4.9508227300138028</v>
      </c>
      <c r="F343" s="384">
        <f t="shared" si="128"/>
        <v>4.9508227300138028</v>
      </c>
      <c r="G343" s="110">
        <f t="shared" si="126"/>
        <v>0.17262888007282773</v>
      </c>
      <c r="H343" s="413" t="b">
        <f>Wh_hp&gt;='2025'!Maxi_hp</f>
        <v>0</v>
      </c>
      <c r="I343" s="389">
        <f>IF(H343,Wh_hp,'2025'!Maxi_hp)</f>
        <v>25.716385889252038</v>
      </c>
      <c r="J343" s="85">
        <f>IF(H343,An,'2025'!An_max)</f>
        <v>2020</v>
      </c>
      <c r="K343" s="196">
        <f t="shared" si="129"/>
        <v>46351</v>
      </c>
      <c r="L343" s="147">
        <f>IF(t&lt;Tvie,1-EXP((T0-t)*PertePVj)+'2025'!Pspv,1-EXP((T0-t)*PertePVj)+Pspv)</f>
        <v>6.4465345370507826E-2</v>
      </c>
      <c r="M343" s="847"/>
      <c r="N343" s="847"/>
      <c r="O343" s="48">
        <f>IF(t&lt;Tnet,'2025'!Resal+('2025'!Salim-'2025'!Resal)*(1-EXP(('2025'!Tnet-t)/('2025'!Tau_j))),Resal+(Salim-Resal)*(1-EXP((Tnet-t)/(Tau_j))))*Salcycl</f>
        <v>2.4370045091924895E-2</v>
      </c>
      <c r="P343" s="168">
        <f>(INDEX(Models!$BJ343:$BT343,,T343)*(1-R343)+INDEX(Models!$BJ343:$BT343,,T343+1)*R343-ERP_i)*Q343*Ramure*Pc/MaxiM</f>
        <v>2.3893999831839651E-4</v>
      </c>
      <c r="Q343" s="304">
        <f t="shared" si="130"/>
        <v>0.5</v>
      </c>
      <c r="R343" s="176">
        <f t="shared" si="131"/>
        <v>0.11958088281049822</v>
      </c>
      <c r="S343" s="814">
        <f t="shared" si="132"/>
        <v>0</v>
      </c>
      <c r="T343" s="175">
        <f t="shared" si="133"/>
        <v>6</v>
      </c>
      <c r="U343" s="250">
        <f t="shared" si="134"/>
        <v>0.11958088281049822</v>
      </c>
      <c r="V343" s="382">
        <f t="shared" si="135"/>
        <v>26.170085768818765</v>
      </c>
      <c r="W343" s="401">
        <f t="shared" si="136"/>
        <v>4.518792317909873</v>
      </c>
      <c r="X343" s="157">
        <f t="shared" si="137"/>
        <v>46351</v>
      </c>
      <c r="Y343" s="384">
        <f t="shared" si="138"/>
        <v>4.3288563867911733</v>
      </c>
      <c r="Z343" s="384">
        <f t="shared" si="139"/>
        <v>4.6271470173443952</v>
      </c>
      <c r="AA343" s="385">
        <f t="shared" si="140"/>
        <v>4.9508227300138028</v>
      </c>
      <c r="AB343" s="196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6.5378166482746511E-2</v>
      </c>
      <c r="AD343" s="230">
        <f>(INDEX(Models!$BJ343:$BT343,,AH343)*(1-AF343)+INDEX(Models!$BJ343:$BT343,,AH343+1)*AF343-ERP_i)*AE343*Ramure*Pc/MaxiM</f>
        <v>1.5302572366643081E-3</v>
      </c>
      <c r="AE343" s="304">
        <f t="shared" si="142"/>
        <v>0.5</v>
      </c>
      <c r="AF343" s="176">
        <f t="shared" si="143"/>
        <v>0.23457342263488545</v>
      </c>
      <c r="AG343" s="814">
        <f t="shared" si="149"/>
        <v>2</v>
      </c>
      <c r="AH343" s="175">
        <f t="shared" si="144"/>
        <v>8</v>
      </c>
      <c r="AI343" s="224">
        <f t="shared" si="145"/>
        <v>2.2345734226348855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10">
        <f>'2025'!Wh/'2025'!Env_an*'2026'!Env_an</f>
        <v>10.547874446852857</v>
      </c>
      <c r="C344" s="843"/>
      <c r="D344" s="392">
        <f t="shared" si="127"/>
        <v>11.27494863914411</v>
      </c>
      <c r="E344" s="384">
        <f t="shared" si="125"/>
        <v>11.557404824946564</v>
      </c>
      <c r="F344" s="384">
        <f t="shared" si="128"/>
        <v>11.557822285485956</v>
      </c>
      <c r="G344" s="110">
        <f t="shared" si="126"/>
        <v>0.40636889796874248</v>
      </c>
      <c r="H344" s="413" t="b">
        <f>Wh_hp&gt;='2025'!Maxi_hp</f>
        <v>0</v>
      </c>
      <c r="I344" s="389">
        <f>IF(H344,Wh_hp,'2025'!Maxi_hp)</f>
        <v>27.213789763808492</v>
      </c>
      <c r="J344" s="85">
        <f>IF(H344,An,'2025'!An_max)</f>
        <v>2020</v>
      </c>
      <c r="K344" s="196">
        <f t="shared" si="129"/>
        <v>46352</v>
      </c>
      <c r="L344" s="147">
        <f>IF(t&lt;Tvie,1-EXP((T0-t)*PertePVj)+'2025'!Pspv,1-EXP((T0-t)*PertePVj)+Pspv)</f>
        <v>6.4485809697350932E-2</v>
      </c>
      <c r="M344" s="847"/>
      <c r="N344" s="847"/>
      <c r="O344" s="48">
        <f>IF(t&lt;Tnet,'2025'!Resal+('2025'!Salim-'2025'!Resal)*(1-EXP(('2025'!Tnet-t)/('2025'!Tau_j))),Resal+(Salim-Resal)*(1-EXP((Tnet-t)/(Tau_j))))*Salcycl</f>
        <v>2.4439412660597952E-2</v>
      </c>
      <c r="P344" s="168">
        <f>(INDEX(Models!$BJ344:$BT344,,T344)*(1-R344)+INDEX(Models!$BJ344:$BT344,,T344+1)*R344-ERP_i)*Q344*Ramure*Pc/MaxiM</f>
        <v>2.375137190105589E-4</v>
      </c>
      <c r="Q344" s="304">
        <f t="shared" si="130"/>
        <v>0.5</v>
      </c>
      <c r="R344" s="176">
        <f t="shared" si="131"/>
        <v>0.11959300284253721</v>
      </c>
      <c r="S344" s="814">
        <f t="shared" si="132"/>
        <v>0</v>
      </c>
      <c r="T344" s="175">
        <f t="shared" si="133"/>
        <v>6</v>
      </c>
      <c r="U344" s="250">
        <f t="shared" si="134"/>
        <v>0.11959300284253721</v>
      </c>
      <c r="V344" s="382">
        <f t="shared" si="135"/>
        <v>25.951174265233142</v>
      </c>
      <c r="W344" s="401">
        <f t="shared" si="136"/>
        <v>10.547874446852857</v>
      </c>
      <c r="X344" s="157">
        <f t="shared" si="137"/>
        <v>46352</v>
      </c>
      <c r="Y344" s="384">
        <f t="shared" si="138"/>
        <v>10.103216558950246</v>
      </c>
      <c r="Z344" s="384">
        <f t="shared" si="139"/>
        <v>10.799640094910528</v>
      </c>
      <c r="AA344" s="385">
        <f t="shared" si="140"/>
        <v>11.555184170031229</v>
      </c>
      <c r="AB344" s="196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6.5385723325832451E-2</v>
      </c>
      <c r="AD344" s="230">
        <f>(INDEX(Models!$BJ344:$BT344,,AH344)*(1-AF344)+INDEX(Models!$BJ344:$BT344,,AH344+1)*AF344-ERP_i)*AE344*Ramure*Pc/MaxiM</f>
        <v>1.5009529134005224E-3</v>
      </c>
      <c r="AE344" s="304">
        <f t="shared" si="142"/>
        <v>0.5</v>
      </c>
      <c r="AF344" s="176">
        <f t="shared" si="143"/>
        <v>0.23458554266692477</v>
      </c>
      <c r="AG344" s="814">
        <f t="shared" si="149"/>
        <v>2</v>
      </c>
      <c r="AH344" s="175">
        <f t="shared" si="144"/>
        <v>8</v>
      </c>
      <c r="AI344" s="224">
        <f t="shared" si="145"/>
        <v>2.2345855426669248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10">
        <f>'2025'!Wh/'2025'!Env_an*'2026'!Env_an</f>
        <v>14.509759908080785</v>
      </c>
      <c r="C345" s="843"/>
      <c r="D345" s="392">
        <f t="shared" si="127"/>
        <v>15.510269602282728</v>
      </c>
      <c r="E345" s="384">
        <f t="shared" si="125"/>
        <v>15.899962816886307</v>
      </c>
      <c r="F345" s="384">
        <f t="shared" si="128"/>
        <v>15.901373877700021</v>
      </c>
      <c r="G345" s="110">
        <f t="shared" si="126"/>
        <v>0.56372691026969957</v>
      </c>
      <c r="H345" s="413" t="b">
        <f>Wh_hp&gt;='2025'!Maxi_hp</f>
        <v>0</v>
      </c>
      <c r="I345" s="389">
        <f>IF(H345,Wh_hp,'2025'!Maxi_hp)</f>
        <v>25.74929122512259</v>
      </c>
      <c r="J345" s="85">
        <f>IF(H345,An,'2025'!An_max)</f>
        <v>2018</v>
      </c>
      <c r="K345" s="196">
        <f t="shared" si="129"/>
        <v>46353</v>
      </c>
      <c r="L345" s="147">
        <f>IF(t&lt;Tvie,1-EXP((T0-t)*PertePVj)+'2025'!Pspv,1-EXP((T0-t)*PertePVj)+Pspv)</f>
        <v>6.4506273575972689E-2</v>
      </c>
      <c r="M345" s="847"/>
      <c r="N345" s="847"/>
      <c r="O345" s="48">
        <f>IF(t&lt;Tnet,'2025'!Resal+('2025'!Salim-'2025'!Resal)*(1-EXP(('2025'!Tnet-t)/('2025'!Tau_j))),Resal+(Salim-Resal)*(1-EXP((Tnet-t)/(Tau_j))))*Salcycl</f>
        <v>2.4509064523705146E-2</v>
      </c>
      <c r="P345" s="168">
        <f>(INDEX(Models!$BJ345:$BT345,,T345)*(1-R345)+INDEX(Models!$BJ345:$BT345,,T345+1)*R345-ERP_i)*Q345*Ramure*Pc/MaxiM</f>
        <v>2.3546071542966752E-4</v>
      </c>
      <c r="Q345" s="304">
        <f t="shared" si="130"/>
        <v>0.5</v>
      </c>
      <c r="R345" s="176">
        <f t="shared" si="131"/>
        <v>0.11960463580721359</v>
      </c>
      <c r="S345" s="814">
        <f t="shared" si="132"/>
        <v>0</v>
      </c>
      <c r="T345" s="175">
        <f t="shared" si="133"/>
        <v>6</v>
      </c>
      <c r="U345" s="250">
        <f t="shared" si="134"/>
        <v>0.11960463580721359</v>
      </c>
      <c r="V345" s="382">
        <f t="shared" si="135"/>
        <v>25.73521069824584</v>
      </c>
      <c r="W345" s="401">
        <f t="shared" si="136"/>
        <v>14.509759908080785</v>
      </c>
      <c r="X345" s="157">
        <f t="shared" si="137"/>
        <v>46353</v>
      </c>
      <c r="Y345" s="384">
        <f t="shared" si="138"/>
        <v>13.895157763677044</v>
      </c>
      <c r="Z345" s="384">
        <f t="shared" si="139"/>
        <v>14.853288024487345</v>
      </c>
      <c r="AA345" s="385">
        <f t="shared" si="140"/>
        <v>15.892573096072143</v>
      </c>
      <c r="AB345" s="196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6.5394386755512651E-2</v>
      </c>
      <c r="AD345" s="230">
        <f>(INDEX(Models!$BJ345:$BT345,,AH345)*(1-AF345)+INDEX(Models!$BJ345:$BT345,,AH345+1)*AF345-ERP_i)*AE345*Ramure*Pc/MaxiM</f>
        <v>1.4685677033186419E-3</v>
      </c>
      <c r="AE345" s="304">
        <f t="shared" si="142"/>
        <v>0.5</v>
      </c>
      <c r="AF345" s="176">
        <f t="shared" si="143"/>
        <v>0.23459717563160076</v>
      </c>
      <c r="AG345" s="814">
        <f t="shared" si="149"/>
        <v>2</v>
      </c>
      <c r="AH345" s="175">
        <f t="shared" si="144"/>
        <v>8</v>
      </c>
      <c r="AI345" s="224">
        <f t="shared" si="145"/>
        <v>2.2345971756316008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10">
        <f>'2025'!Wh/'2025'!Env_an*'2026'!Env_an</f>
        <v>10.252144037096322</v>
      </c>
      <c r="C346" s="843"/>
      <c r="D346" s="392">
        <f t="shared" si="127"/>
        <v>10.959312727216101</v>
      </c>
      <c r="E346" s="384">
        <f t="shared" si="125"/>
        <v>11.235469406442016</v>
      </c>
      <c r="F346" s="384">
        <f t="shared" si="128"/>
        <v>11.235849719201422</v>
      </c>
      <c r="G346" s="110">
        <f t="shared" si="126"/>
        <v>0.40166252038548678</v>
      </c>
      <c r="H346" s="413" t="b">
        <f>Wh_hp&gt;='2025'!Maxi_hp</f>
        <v>0</v>
      </c>
      <c r="I346" s="389">
        <f>IF(H346,Wh_hp,'2025'!Maxi_hp)</f>
        <v>19.489438693359329</v>
      </c>
      <c r="J346" s="85">
        <f>IF(H346,An,'2025'!An_max)</f>
        <v>2018</v>
      </c>
      <c r="K346" s="196">
        <f t="shared" si="129"/>
        <v>46354</v>
      </c>
      <c r="L346" s="147">
        <f>IF(t&lt;Tvie,1-EXP((T0-t)*PertePVj)+'2025'!Pspv,1-EXP((T0-t)*PertePVj)+Pspv)</f>
        <v>6.4526737006382978E-2</v>
      </c>
      <c r="M346" s="847"/>
      <c r="N346" s="847"/>
      <c r="O346" s="48">
        <f>IF(t&lt;Tnet,'2025'!Resal+('2025'!Salim-'2025'!Resal)*(1-EXP(('2025'!Tnet-t)/('2025'!Tau_j))),Resal+(Salim-Resal)*(1-EXP((Tnet-t)/(Tau_j))))*Salcycl</f>
        <v>2.4579006825257901E-2</v>
      </c>
      <c r="P346" s="168">
        <f>(INDEX(Models!$BJ346:$BT346,,T346)*(1-R346)+INDEX(Models!$BJ346:$BT346,,T346+1)*R346-ERP_i)*Q346*Ramure*Pc/MaxiM</f>
        <v>2.3287919166156519E-4</v>
      </c>
      <c r="Q346" s="304">
        <f t="shared" si="130"/>
        <v>0.5</v>
      </c>
      <c r="R346" s="176">
        <f t="shared" si="131"/>
        <v>0.11961580124275439</v>
      </c>
      <c r="S346" s="814">
        <f t="shared" si="132"/>
        <v>0</v>
      </c>
      <c r="T346" s="175">
        <f t="shared" si="133"/>
        <v>6</v>
      </c>
      <c r="U346" s="250">
        <f t="shared" si="134"/>
        <v>0.11961580124275439</v>
      </c>
      <c r="V346" s="382">
        <f t="shared" si="135"/>
        <v>25.519193235437022</v>
      </c>
      <c r="W346" s="401">
        <f t="shared" si="136"/>
        <v>10.252144037096322</v>
      </c>
      <c r="X346" s="157">
        <f t="shared" si="137"/>
        <v>46354</v>
      </c>
      <c r="Y346" s="384">
        <f t="shared" si="138"/>
        <v>9.8213357635157355</v>
      </c>
      <c r="Z346" s="384">
        <f t="shared" si="139"/>
        <v>10.498788316072641</v>
      </c>
      <c r="AA346" s="385">
        <f t="shared" si="140"/>
        <v>11.233506401230748</v>
      </c>
      <c r="AB346" s="196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6.5404163127339307E-2</v>
      </c>
      <c r="AD346" s="230">
        <f>(INDEX(Models!$BJ346:$BT346,,AH346)*(1-AF346)+INDEX(Models!$BJ346:$BT346,,AH346+1)*AF346-ERP_i)*AE346*Ramure*Pc/MaxiM</f>
        <v>1.4348979394445409E-3</v>
      </c>
      <c r="AE346" s="304">
        <f t="shared" si="142"/>
        <v>0.5</v>
      </c>
      <c r="AF346" s="176">
        <f t="shared" si="143"/>
        <v>0.23460834106714179</v>
      </c>
      <c r="AG346" s="814">
        <f t="shared" si="149"/>
        <v>2</v>
      </c>
      <c r="AH346" s="175">
        <f t="shared" si="144"/>
        <v>8</v>
      </c>
      <c r="AI346" s="224">
        <f t="shared" si="145"/>
        <v>2.2346083410671418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10">
        <f>'2025'!Wh/'2025'!Env_an*'2026'!Env_an</f>
        <v>12.510989211506249</v>
      </c>
      <c r="C347" s="843"/>
      <c r="D347" s="392">
        <f t="shared" si="127"/>
        <v>13.374260263429296</v>
      </c>
      <c r="E347" s="384">
        <f t="shared" si="125"/>
        <v>13.712257035339661</v>
      </c>
      <c r="F347" s="384">
        <f t="shared" si="128"/>
        <v>13.713133965467053</v>
      </c>
      <c r="G347" s="110">
        <f t="shared" si="126"/>
        <v>0.49433740032689333</v>
      </c>
      <c r="H347" s="413" t="b">
        <f>Wh_hp&gt;='2025'!Maxi_hp</f>
        <v>0</v>
      </c>
      <c r="I347" s="389">
        <f>IF(H347,Wh_hp,'2025'!Maxi_hp)</f>
        <v>27.334557288633277</v>
      </c>
      <c r="J347" s="85">
        <f>IF(H347,An,'2025'!An_max)</f>
        <v>2018</v>
      </c>
      <c r="K347" s="196">
        <f t="shared" si="129"/>
        <v>46355</v>
      </c>
      <c r="L347" s="147">
        <f>IF(t&lt;Tvie,1-EXP((T0-t)*PertePVj)+'2025'!Pspv,1-EXP((T0-t)*PertePVj)+Pspv)</f>
        <v>6.454719998859168E-2</v>
      </c>
      <c r="M347" s="847"/>
      <c r="N347" s="847"/>
      <c r="O347" s="48">
        <f>IF(t&lt;Tnet,'2025'!Resal+('2025'!Salim-'2025'!Resal)*(1-EXP(('2025'!Tnet-t)/('2025'!Tau_j))),Resal+(Salim-Resal)*(1-EXP((Tnet-t)/(Tau_j))))*Salcycl</f>
        <v>2.4649244179077844E-2</v>
      </c>
      <c r="P347" s="168">
        <f>(INDEX(Models!$BJ347:$BT347,,T347)*(1-R347)+INDEX(Models!$BJ347:$BT347,,T347+1)*R347-ERP_i)*Q347*Ramure*Pc/MaxiM</f>
        <v>2.3024288108448361E-4</v>
      </c>
      <c r="Q347" s="304">
        <f t="shared" si="130"/>
        <v>0.5</v>
      </c>
      <c r="R347" s="176">
        <f t="shared" si="131"/>
        <v>0.11962651790643192</v>
      </c>
      <c r="S347" s="814">
        <f t="shared" si="132"/>
        <v>0</v>
      </c>
      <c r="T347" s="175">
        <f t="shared" si="133"/>
        <v>6</v>
      </c>
      <c r="U347" s="250">
        <f t="shared" si="134"/>
        <v>0.11962651790643192</v>
      </c>
      <c r="V347" s="382">
        <f t="shared" si="135"/>
        <v>25.304394446228915</v>
      </c>
      <c r="W347" s="401">
        <f t="shared" si="136"/>
        <v>12.510989211506249</v>
      </c>
      <c r="X347" s="157">
        <f t="shared" si="137"/>
        <v>46355</v>
      </c>
      <c r="Y347" s="384">
        <f t="shared" si="138"/>
        <v>11.984172844946</v>
      </c>
      <c r="Z347" s="384">
        <f t="shared" si="139"/>
        <v>12.811093028744846</v>
      </c>
      <c r="AA347" s="385">
        <f t="shared" si="140"/>
        <v>13.707788781878081</v>
      </c>
      <c r="AB347" s="196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6.5415054710988935E-2</v>
      </c>
      <c r="AD347" s="230">
        <f>(INDEX(Models!$BJ347:$BT347,,AH347)*(1-AF347)+INDEX(Models!$BJ347:$BT347,,AH347+1)*AF347-ERP_i)*AE347*Ramure*Pc/MaxiM</f>
        <v>1.4034076729803871E-3</v>
      </c>
      <c r="AE347" s="304">
        <f t="shared" si="142"/>
        <v>0.5</v>
      </c>
      <c r="AF347" s="176">
        <f t="shared" si="143"/>
        <v>0.23461905773081915</v>
      </c>
      <c r="AG347" s="814">
        <f t="shared" si="149"/>
        <v>2</v>
      </c>
      <c r="AH347" s="175">
        <f t="shared" si="144"/>
        <v>8</v>
      </c>
      <c r="AI347" s="224">
        <f t="shared" si="145"/>
        <v>2.2346190577308191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10">
        <f>'2025'!Wh/'2025'!Env_an*'2026'!Env_an</f>
        <v>3.9010411865048504</v>
      </c>
      <c r="C348" s="843"/>
      <c r="D348" s="392">
        <f t="shared" si="127"/>
        <v>4.1703082416681312</v>
      </c>
      <c r="E348" s="384">
        <f t="shared" si="125"/>
        <v>4.2760102735302459</v>
      </c>
      <c r="F348" s="384">
        <f t="shared" si="128"/>
        <v>4.2760102735302459</v>
      </c>
      <c r="G348" s="110">
        <f t="shared" si="126"/>
        <v>0.15543353044314692</v>
      </c>
      <c r="H348" s="413" t="b">
        <f>Wh_hp&gt;='2025'!Maxi_hp</f>
        <v>0</v>
      </c>
      <c r="I348" s="389">
        <f>IF(H348,Wh_hp,'2025'!Maxi_hp)</f>
        <v>26.225428056883853</v>
      </c>
      <c r="J348" s="85">
        <f>IF(H348,An,'2025'!An_max)</f>
        <v>2020</v>
      </c>
      <c r="K348" s="196">
        <f t="shared" si="129"/>
        <v>46356</v>
      </c>
      <c r="L348" s="147">
        <f>IF(t&lt;Tvie,1-EXP((T0-t)*PertePVj)+'2025'!Pspv,1-EXP((T0-t)*PertePVj)+Pspv)</f>
        <v>6.4567662522608565E-2</v>
      </c>
      <c r="M348" s="847"/>
      <c r="N348" s="847"/>
      <c r="O348" s="48">
        <f>IF(t&lt;Tnet,'2025'!Resal+('2025'!Salim-'2025'!Resal)*(1-EXP(('2025'!Tnet-t)/('2025'!Tau_j))),Resal+(Salim-Resal)*(1-EXP((Tnet-t)/(Tau_j))))*Salcycl</f>
        <v>2.471977967790235E-2</v>
      </c>
      <c r="P348" s="168">
        <f>(INDEX(Models!$BJ348:$BT348,,T348)*(1-R348)+INDEX(Models!$BJ348:$BT348,,T348+1)*R348-ERP_i)*Q348*Ramure*Pc/MaxiM</f>
        <v>2.2753861558308584E-4</v>
      </c>
      <c r="Q348" s="304">
        <f t="shared" si="130"/>
        <v>0.5</v>
      </c>
      <c r="R348" s="176">
        <f t="shared" si="131"/>
        <v>0.11963680380555736</v>
      </c>
      <c r="S348" s="814">
        <f t="shared" si="132"/>
        <v>0</v>
      </c>
      <c r="T348" s="175">
        <f t="shared" si="133"/>
        <v>6</v>
      </c>
      <c r="U348" s="250">
        <f t="shared" si="134"/>
        <v>0.11963680380555736</v>
      </c>
      <c r="V348" s="382">
        <f t="shared" si="135"/>
        <v>25.092099097758723</v>
      </c>
      <c r="W348" s="401">
        <f t="shared" si="136"/>
        <v>3.9010411865048504</v>
      </c>
      <c r="X348" s="157">
        <f t="shared" si="137"/>
        <v>46356</v>
      </c>
      <c r="Y348" s="384">
        <f t="shared" si="138"/>
        <v>3.738215392525563</v>
      </c>
      <c r="Z348" s="384">
        <f t="shared" si="139"/>
        <v>3.9962434937908187</v>
      </c>
      <c r="AA348" s="385">
        <f t="shared" si="140"/>
        <v>4.2760102735302459</v>
      </c>
      <c r="AB348" s="196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6.5427059769071524E-2</v>
      </c>
      <c r="AD348" s="230">
        <f>(INDEX(Models!$BJ348:$BT348,,AH348)*(1-AF348)+INDEX(Models!$BJ348:$BT348,,AH348+1)*AF348-ERP_i)*AE348*Ramure*Pc/MaxiM</f>
        <v>1.3740346976123473E-3</v>
      </c>
      <c r="AE348" s="304">
        <f t="shared" si="142"/>
        <v>0.5</v>
      </c>
      <c r="AF348" s="176">
        <f t="shared" si="143"/>
        <v>0.23462934362994492</v>
      </c>
      <c r="AG348" s="814">
        <f t="shared" si="149"/>
        <v>2</v>
      </c>
      <c r="AH348" s="175">
        <f t="shared" si="144"/>
        <v>8</v>
      </c>
      <c r="AI348" s="224">
        <f t="shared" si="145"/>
        <v>2.2346293436299449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10">
        <f>'2025'!Wh/'2025'!Env_an*'2026'!Env_an</f>
        <v>3.4513292230811508</v>
      </c>
      <c r="C349" s="843"/>
      <c r="D349" s="392">
        <f t="shared" si="127"/>
        <v>3.6896358854076441</v>
      </c>
      <c r="E349" s="384">
        <f t="shared" si="125"/>
        <v>3.7834294273889566</v>
      </c>
      <c r="F349" s="384">
        <f t="shared" si="128"/>
        <v>3.7834294273889566</v>
      </c>
      <c r="G349" s="110">
        <f t="shared" si="126"/>
        <v>0.13866782548557283</v>
      </c>
      <c r="H349" s="413" t="b">
        <f>Wh_hp&gt;='2025'!Maxi_hp</f>
        <v>0</v>
      </c>
      <c r="I349" s="389">
        <f>IF(H349,Wh_hp,'2025'!Maxi_hp)</f>
        <v>26.861538170544915</v>
      </c>
      <c r="J349" s="85">
        <f>IF(H349,An,'2025'!An_max)</f>
        <v>2020</v>
      </c>
      <c r="K349" s="196">
        <f t="shared" si="129"/>
        <v>46357</v>
      </c>
      <c r="L349" s="147">
        <f>IF(t&lt;Tvie,1-EXP((T0-t)*PertePVj)+'2025'!Pspv,1-EXP((T0-t)*PertePVj)+Pspv)</f>
        <v>6.4588124608443404E-2</v>
      </c>
      <c r="M349" s="847"/>
      <c r="N349" s="847"/>
      <c r="O349" s="48">
        <f>IF(t&lt;Tnet,'2025'!Resal+('2025'!Salim-'2025'!Resal)*(1-EXP(('2025'!Tnet-t)/('2025'!Tau_j))),Resal+(Salim-Resal)*(1-EXP((Tnet-t)/(Tau_j))))*Salcycl</f>
        <v>2.4790614912048693E-2</v>
      </c>
      <c r="P349" s="168">
        <f>(INDEX(Models!$BJ349:$BT349,,T349)*(1-R349)+INDEX(Models!$BJ349:$BT349,,T349+1)*R349-ERP_i)*Q349*Ramure*Pc/MaxiM</f>
        <v>2.2475306103224526E-4</v>
      </c>
      <c r="Q349" s="304">
        <f t="shared" si="130"/>
        <v>0.5</v>
      </c>
      <c r="R349" s="176">
        <f t="shared" si="131"/>
        <v>0.11964667622726266</v>
      </c>
      <c r="S349" s="814">
        <f t="shared" si="132"/>
        <v>0</v>
      </c>
      <c r="T349" s="175">
        <f t="shared" si="133"/>
        <v>6</v>
      </c>
      <c r="U349" s="250">
        <f t="shared" si="134"/>
        <v>0.11964667622726266</v>
      </c>
      <c r="V349" s="382">
        <f t="shared" si="135"/>
        <v>24.88359151945188</v>
      </c>
      <c r="W349" s="401">
        <f t="shared" si="136"/>
        <v>3.4513292230811508</v>
      </c>
      <c r="X349" s="157">
        <f t="shared" si="137"/>
        <v>46357</v>
      </c>
      <c r="Y349" s="384">
        <f t="shared" si="138"/>
        <v>3.3074678034675045</v>
      </c>
      <c r="Z349" s="384">
        <f t="shared" si="139"/>
        <v>3.5358411524153706</v>
      </c>
      <c r="AA349" s="385">
        <f t="shared" si="140"/>
        <v>3.7834294273889566</v>
      </c>
      <c r="AB349" s="196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6.5440172659557996E-2</v>
      </c>
      <c r="AD349" s="230">
        <f>(INDEX(Models!$BJ349:$BT349,,AH349)*(1-AF349)+INDEX(Models!$BJ349:$BT349,,AH349+1)*AF349-ERP_i)*AE349*Ramure*Pc/MaxiM</f>
        <v>1.3467210748304614E-3</v>
      </c>
      <c r="AE349" s="304">
        <f t="shared" si="142"/>
        <v>0.5</v>
      </c>
      <c r="AF349" s="176">
        <f t="shared" si="143"/>
        <v>0.23463921605164995</v>
      </c>
      <c r="AG349" s="814">
        <f t="shared" si="149"/>
        <v>2</v>
      </c>
      <c r="AH349" s="175">
        <f t="shared" si="144"/>
        <v>8</v>
      </c>
      <c r="AI349" s="224">
        <f t="shared" si="145"/>
        <v>2.2346392160516499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10">
        <f>'2025'!Wh/'2025'!Env_an*'2026'!Env_an</f>
        <v>4.9954295120396521</v>
      </c>
      <c r="C350" s="843"/>
      <c r="D350" s="392">
        <f t="shared" si="127"/>
        <v>5.3404697098855074</v>
      </c>
      <c r="E350" s="384">
        <f t="shared" si="125"/>
        <v>5.4766282728335192</v>
      </c>
      <c r="F350" s="384">
        <f t="shared" si="128"/>
        <v>5.4766282728335192</v>
      </c>
      <c r="G350" s="110">
        <f t="shared" si="126"/>
        <v>0.20236181828394909</v>
      </c>
      <c r="H350" s="413" t="b">
        <f>Wh_hp&gt;='2025'!Maxi_hp</f>
        <v>0</v>
      </c>
      <c r="I350" s="389">
        <f>IF(H350,Wh_hp,'2025'!Maxi_hp)</f>
        <v>9.5659847348518507</v>
      </c>
      <c r="J350" s="85">
        <f>IF(H350,An,'2025'!An_max)</f>
        <v>2021</v>
      </c>
      <c r="K350" s="196">
        <f t="shared" si="129"/>
        <v>46358</v>
      </c>
      <c r="L350" s="147">
        <f>IF(t&lt;Tvie,1-EXP((T0-t)*PertePVj)+'2025'!Pspv,1-EXP((T0-t)*PertePVj)+Pspv)</f>
        <v>6.4608586246106076E-2</v>
      </c>
      <c r="M350" s="847"/>
      <c r="N350" s="847"/>
      <c r="O350" s="48">
        <f>IF(t&lt;Tnet,'2025'!Resal+('2025'!Salim-'2025'!Resal)*(1-EXP(('2025'!Tnet-t)/('2025'!Tau_j))),Resal+(Salim-Resal)*(1-EXP((Tnet-t)/(Tau_j))))*Salcycl</f>
        <v>2.4861749997424094E-2</v>
      </c>
      <c r="P350" s="168">
        <f>(INDEX(Models!$BJ350:$BT350,,T350)*(1-R350)+INDEX(Models!$BJ350:$BT350,,T350+1)*R350-ERP_i)*Q350*Ramure*Pc/MaxiM</f>
        <v>2.2187278681741251E-4</v>
      </c>
      <c r="Q350" s="304">
        <f t="shared" si="130"/>
        <v>0.5</v>
      </c>
      <c r="R350" s="176">
        <f t="shared" si="131"/>
        <v>0.1196561517671158</v>
      </c>
      <c r="S350" s="814">
        <f t="shared" si="132"/>
        <v>0</v>
      </c>
      <c r="T350" s="175">
        <f t="shared" si="133"/>
        <v>6</v>
      </c>
      <c r="U350" s="250">
        <f t="shared" si="134"/>
        <v>0.1196561517671158</v>
      </c>
      <c r="V350" s="382">
        <f t="shared" si="135"/>
        <v>24.680155597161907</v>
      </c>
      <c r="W350" s="401">
        <f t="shared" si="136"/>
        <v>4.9954295120396521</v>
      </c>
      <c r="X350" s="157">
        <f t="shared" si="137"/>
        <v>46358</v>
      </c>
      <c r="Y350" s="384">
        <f t="shared" si="138"/>
        <v>4.7874819295591804</v>
      </c>
      <c r="Z350" s="384">
        <f t="shared" si="139"/>
        <v>5.1181589430526788</v>
      </c>
      <c r="AA350" s="385">
        <f t="shared" si="140"/>
        <v>5.4766282728335192</v>
      </c>
      <c r="AB350" s="196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6.545438396084062E-2</v>
      </c>
      <c r="AD350" s="230">
        <f>(INDEX(Models!$BJ350:$BT350,,AH350)*(1-AF350)+INDEX(Models!$BJ350:$BT350,,AH350+1)*AF350-ERP_i)*AE350*Ramure*Pc/MaxiM</f>
        <v>1.3214125020869732E-3</v>
      </c>
      <c r="AE350" s="304">
        <f t="shared" si="142"/>
        <v>0.5</v>
      </c>
      <c r="AF350" s="176">
        <f t="shared" si="143"/>
        <v>0.23464869159150314</v>
      </c>
      <c r="AG350" s="814">
        <f t="shared" si="149"/>
        <v>2</v>
      </c>
      <c r="AH350" s="175">
        <f t="shared" si="144"/>
        <v>8</v>
      </c>
      <c r="AI350" s="224">
        <f t="shared" si="145"/>
        <v>2.2346486915915031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10">
        <f>'2025'!Wh/'2025'!Env_an*'2026'!Env_an</f>
        <v>9.8450761629290415</v>
      </c>
      <c r="C351" s="843"/>
      <c r="D351" s="392">
        <f t="shared" si="127"/>
        <v>10.525317400479441</v>
      </c>
      <c r="E351" s="384">
        <f t="shared" si="125"/>
        <v>10.794457593660537</v>
      </c>
      <c r="F351" s="384">
        <f t="shared" si="128"/>
        <v>10.794802286393793</v>
      </c>
      <c r="G351" s="110">
        <f t="shared" si="126"/>
        <v>0.40204245726401011</v>
      </c>
      <c r="H351" s="413" t="b">
        <f>Wh_hp&gt;='2025'!Maxi_hp</f>
        <v>0</v>
      </c>
      <c r="I351" s="389">
        <f>IF(H351,Wh_hp,'2025'!Maxi_hp)</f>
        <v>16.831353899278419</v>
      </c>
      <c r="J351" s="85">
        <f>IF(H351,An,'2025'!An_max)</f>
        <v>2021</v>
      </c>
      <c r="K351" s="196">
        <f t="shared" si="129"/>
        <v>46359</v>
      </c>
      <c r="L351" s="147">
        <f>IF(t&lt;Tvie,1-EXP((T0-t)*PertePVj)+'2025'!Pspv,1-EXP((T0-t)*PertePVj)+Pspv)</f>
        <v>6.4629047435606352E-2</v>
      </c>
      <c r="M351" s="847"/>
      <c r="N351" s="847"/>
      <c r="O351" s="48">
        <f>IF(t&lt;Tnet,'2025'!Resal+('2025'!Salim-'2025'!Resal)*(1-EXP(('2025'!Tnet-t)/('2025'!Tau_j))),Resal+(Salim-Resal)*(1-EXP((Tnet-t)/(Tau_j))))*Salcycl</f>
        <v>2.4933183612593734E-2</v>
      </c>
      <c r="P351" s="168">
        <f>(INDEX(Models!$BJ351:$BT351,,T351)*(1-R351)+INDEX(Models!$BJ351:$BT351,,T351+1)*R351-ERP_i)*Q351*Ramure*Pc/MaxiM</f>
        <v>2.1888435438315973E-4</v>
      </c>
      <c r="Q351" s="304">
        <f t="shared" si="130"/>
        <v>0.5</v>
      </c>
      <c r="R351" s="176">
        <f t="shared" si="131"/>
        <v>0.11966524635661335</v>
      </c>
      <c r="S351" s="814">
        <f t="shared" si="132"/>
        <v>0</v>
      </c>
      <c r="T351" s="175">
        <f t="shared" si="133"/>
        <v>6</v>
      </c>
      <c r="U351" s="250">
        <f t="shared" si="134"/>
        <v>0.11966524635661335</v>
      </c>
      <c r="V351" s="382">
        <f t="shared" si="135"/>
        <v>24.483074759532123</v>
      </c>
      <c r="W351" s="401">
        <f t="shared" si="136"/>
        <v>9.8450761629290415</v>
      </c>
      <c r="X351" s="157">
        <f t="shared" si="137"/>
        <v>46359</v>
      </c>
      <c r="Y351" s="384">
        <f t="shared" si="138"/>
        <v>9.4343008196020239</v>
      </c>
      <c r="Z351" s="384">
        <f t="shared" si="139"/>
        <v>10.086159714215135</v>
      </c>
      <c r="AA351" s="385">
        <f t="shared" si="140"/>
        <v>10.792758142815472</v>
      </c>
      <c r="AB351" s="196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6.5469680618267759E-2</v>
      </c>
      <c r="AD351" s="230">
        <f>(INDEX(Models!$BJ351:$BT351,,AH351)*(1-AF351)+INDEX(Models!$BJ351:$BT351,,AH351+1)*AF351-ERP_i)*AE351*Ramure*Pc/MaxiM</f>
        <v>1.2980576735167201E-3</v>
      </c>
      <c r="AE351" s="304">
        <f t="shared" si="142"/>
        <v>0.5</v>
      </c>
      <c r="AF351" s="176">
        <f t="shared" si="143"/>
        <v>0.23465778618100064</v>
      </c>
      <c r="AG351" s="814">
        <f t="shared" si="149"/>
        <v>2</v>
      </c>
      <c r="AH351" s="175">
        <f t="shared" si="144"/>
        <v>8</v>
      </c>
      <c r="AI351" s="224">
        <f t="shared" si="145"/>
        <v>2.2346577861810006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10">
        <f>'2025'!Wh/'2025'!Env_an*'2026'!Env_an</f>
        <v>17.867468247205363</v>
      </c>
      <c r="C352" s="843"/>
      <c r="D352" s="392">
        <f t="shared" si="127"/>
        <v>19.10243101746892</v>
      </c>
      <c r="E352" s="384">
        <f t="shared" si="125"/>
        <v>19.592335667165958</v>
      </c>
      <c r="F352" s="384">
        <f t="shared" si="128"/>
        <v>19.594967520281283</v>
      </c>
      <c r="G352" s="110">
        <f t="shared" si="126"/>
        <v>0.73541957639282418</v>
      </c>
      <c r="H352" s="413" t="b">
        <f>Wh_hp&gt;='2025'!Maxi_hp</f>
        <v>0</v>
      </c>
      <c r="I352" s="389">
        <f>IF(H352,Wh_hp,'2025'!Maxi_hp)</f>
        <v>19.595824242477793</v>
      </c>
      <c r="J352" s="85">
        <f>IF(H352,An,'2025'!An_max)</f>
        <v>2025</v>
      </c>
      <c r="K352" s="196">
        <f t="shared" si="129"/>
        <v>46360</v>
      </c>
      <c r="L352" s="147">
        <f>IF(t&lt;Tvie,1-EXP((T0-t)*PertePVj)+'2025'!Pspv,1-EXP((T0-t)*PertePVj)+Pspv)</f>
        <v>6.4649508176954001E-2</v>
      </c>
      <c r="M352" s="847"/>
      <c r="N352" s="847"/>
      <c r="O352" s="48">
        <f>IF(t&lt;Tnet,'2025'!Resal+('2025'!Salim-'2025'!Resal)*(1-EXP(('2025'!Tnet-t)/('2025'!Tau_j))),Resal+(Salim-Resal)*(1-EXP((Tnet-t)/(Tau_j))))*Salcycl</f>
        <v>2.5004913044545784E-2</v>
      </c>
      <c r="P352" s="168">
        <f>(INDEX(Models!$BJ352:$BT352,,T352)*(1-R352)+INDEX(Models!$BJ352:$BT352,,T352+1)*R352-ERP_i)*Q352*Ramure*Pc/MaxiM</f>
        <v>2.1589736202911485E-4</v>
      </c>
      <c r="Q352" s="304">
        <f t="shared" si="130"/>
        <v>0.5</v>
      </c>
      <c r="R352" s="176">
        <f t="shared" si="131"/>
        <v>0.11967397528959434</v>
      </c>
      <c r="S352" s="814">
        <f t="shared" si="132"/>
        <v>0</v>
      </c>
      <c r="T352" s="175">
        <f t="shared" si="133"/>
        <v>6</v>
      </c>
      <c r="U352" s="250">
        <f t="shared" si="134"/>
        <v>0.11967397528959434</v>
      </c>
      <c r="V352" s="382">
        <f t="shared" si="135"/>
        <v>24.293628989010084</v>
      </c>
      <c r="W352" s="401">
        <f t="shared" si="136"/>
        <v>17.867468247205363</v>
      </c>
      <c r="X352" s="157">
        <f t="shared" si="137"/>
        <v>46360</v>
      </c>
      <c r="Y352" s="384">
        <f t="shared" si="138"/>
        <v>17.114316135547597</v>
      </c>
      <c r="Z352" s="384">
        <f t="shared" si="139"/>
        <v>18.297222576096495</v>
      </c>
      <c r="AA352" s="385">
        <f t="shared" si="140"/>
        <v>19.579400072036286</v>
      </c>
      <c r="AB352" s="196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6.5486046110831739E-2</v>
      </c>
      <c r="AD352" s="230">
        <f>(INDEX(Models!$BJ352:$BT352,,AH352)*(1-AF352)+INDEX(Models!$BJ352:$BT352,,AH352+1)*AF352-ERP_i)*AE352*Ramure*Pc/MaxiM</f>
        <v>1.2770359371686581E-3</v>
      </c>
      <c r="AE352" s="304">
        <f t="shared" si="142"/>
        <v>0.5</v>
      </c>
      <c r="AF352" s="176">
        <f t="shared" si="143"/>
        <v>0.23466651511398151</v>
      </c>
      <c r="AG352" s="814">
        <f t="shared" si="149"/>
        <v>2</v>
      </c>
      <c r="AH352" s="175">
        <f t="shared" si="144"/>
        <v>8</v>
      </c>
      <c r="AI352" s="224">
        <f t="shared" si="145"/>
        <v>2.2346665151139815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10">
        <f>'2025'!Wh/'2025'!Env_an*'2026'!Env_an</f>
        <v>25.189754768607347</v>
      </c>
      <c r="C353" s="843"/>
      <c r="D353" s="392">
        <f t="shared" si="127"/>
        <v>26.931408079997791</v>
      </c>
      <c r="E353" s="384">
        <f t="shared" si="125"/>
        <v>27.624136740552636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Wh_hp&gt;='2025'!Maxi_hp</f>
        <v>1</v>
      </c>
      <c r="I353" s="389">
        <f>IF(H353,Wh_hp,'2025'!Maxi_hp)</f>
        <v>27.630023642459491</v>
      </c>
      <c r="J353" s="85">
        <f>IF(H353,An,'2025'!An_max)</f>
        <v>2026</v>
      </c>
      <c r="K353" s="196">
        <f t="shared" si="129"/>
        <v>46361</v>
      </c>
      <c r="L353" s="147">
        <f>IF(t&lt;Tvie,1-EXP((T0-t)*PertePVj)+'2025'!Pspv,1-EXP((T0-t)*PertePVj)+Pspv)</f>
        <v>6.4669968470159017E-2</v>
      </c>
      <c r="M353" s="847"/>
      <c r="N353" s="847"/>
      <c r="O353" s="48">
        <f>IF(t&lt;Tnet,'2025'!Resal+('2025'!Salim-'2025'!Resal)*(1-EXP(('2025'!Tnet-t)/('2025'!Tau_j))),Resal+(Salim-Resal)*(1-EXP((Tnet-t)/(Tau_j))))*Salcycl</f>
        <v>2.5076934242723597E-2</v>
      </c>
      <c r="P353" s="168">
        <f>(INDEX(Models!$BJ353:$BT353,,T353)*(1-R353)+INDEX(Models!$BJ353:$BT353,,T353+1)*R353-ERP_i)*Q353*Ramure*Pc/MaxiM</f>
        <v>2.1306177595191875E-4</v>
      </c>
      <c r="Q353" s="304">
        <f t="shared" si="130"/>
        <v>0.5</v>
      </c>
      <c r="R353" s="176">
        <f t="shared" si="131"/>
        <v>0.11968235324761572</v>
      </c>
      <c r="S353" s="814">
        <f t="shared" si="132"/>
        <v>0</v>
      </c>
      <c r="T353" s="175">
        <f t="shared" si="133"/>
        <v>6</v>
      </c>
      <c r="U353" s="250">
        <f t="shared" si="134"/>
        <v>0.11968235324761572</v>
      </c>
      <c r="V353" s="382">
        <f t="shared" si="135"/>
        <v>24.113096926262124</v>
      </c>
      <c r="W353" s="401">
        <f t="shared" si="136"/>
        <v>25.189754768607347</v>
      </c>
      <c r="X353" s="157">
        <f t="shared" si="137"/>
        <v>46361</v>
      </c>
      <c r="Y353" s="384">
        <f t="shared" si="138"/>
        <v>24.119995439225551</v>
      </c>
      <c r="Z353" s="384">
        <f t="shared" si="139"/>
        <v>25.78768416082449</v>
      </c>
      <c r="AA353" s="385">
        <f t="shared" si="140"/>
        <v>27.595269832020943</v>
      </c>
      <c r="AB353" s="196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6.5503460636538849E-2</v>
      </c>
      <c r="AD353" s="230">
        <f>(INDEX(Models!$BJ353:$BT353,,AH353)*(1-AF353)+INDEX(Models!$BJ353:$BT353,,AH353+1)*AF353-ERP_i)*AE353*Ramure*Pc/MaxiM</f>
        <v>1.2578277488383813E-3</v>
      </c>
      <c r="AE353" s="304">
        <f t="shared" si="142"/>
        <v>0.5</v>
      </c>
      <c r="AF353" s="176">
        <f t="shared" si="143"/>
        <v>0.23467489307200307</v>
      </c>
      <c r="AG353" s="814">
        <f t="shared" si="149"/>
        <v>2</v>
      </c>
      <c r="AH353" s="175">
        <f t="shared" si="144"/>
        <v>8</v>
      </c>
      <c r="AI353" s="224">
        <f t="shared" si="145"/>
        <v>2.2346748930720031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10">
        <f>'2025'!Wh/'2025'!Env_an*'2026'!Env_an</f>
        <v>14.08085518366693</v>
      </c>
      <c r="C354" s="843"/>
      <c r="D354" s="392">
        <f t="shared" si="127"/>
        <v>15.054753645152106</v>
      </c>
      <c r="E354" s="384">
        <f t="shared" si="125"/>
        <v>15.443136828654692</v>
      </c>
      <c r="F354" s="384">
        <f t="shared" si="128"/>
        <v>15.444474055121484</v>
      </c>
      <c r="G354" s="110">
        <f t="shared" si="126"/>
        <v>0.58803210825340668</v>
      </c>
      <c r="H354" s="413" t="b">
        <f>Wh_hp&gt;='2025'!Maxi_hp</f>
        <v>0</v>
      </c>
      <c r="I354" s="389">
        <f>IF(H354,Wh_hp,'2025'!Maxi_hp)</f>
        <v>23.185833675036029</v>
      </c>
      <c r="J354" s="85">
        <f>IF(H354,An,'2025'!An_max)</f>
        <v>2020</v>
      </c>
      <c r="K354" s="196">
        <f t="shared" si="129"/>
        <v>46362</v>
      </c>
      <c r="L354" s="147">
        <f>IF(t&lt;Tvie,1-EXP((T0-t)*PertePVj)+'2025'!Pspv,1-EXP((T0-t)*PertePVj)+Pspv)</f>
        <v>6.4690428315231058E-2</v>
      </c>
      <c r="M354" s="847"/>
      <c r="N354" s="847"/>
      <c r="O354" s="48">
        <f>IF(t&lt;Tnet,'2025'!Resal+('2025'!Salim-'2025'!Resal)*(1-EXP(('2025'!Tnet-t)/('2025'!Tau_j))),Resal+(Salim-Resal)*(1-EXP((Tnet-t)/(Tau_j))))*Salcycl</f>
        <v>2.5149241880829645E-2</v>
      </c>
      <c r="P354" s="168">
        <f>(INDEX(Models!$BJ354:$BT354,,T354)*(1-R354)+INDEX(Models!$BJ354:$BT354,,T354+1)*R354-ERP_i)*Q354*Ramure*Pc/MaxiM</f>
        <v>2.1036777609943866E-4</v>
      </c>
      <c r="Q354" s="304">
        <f t="shared" si="130"/>
        <v>0.5</v>
      </c>
      <c r="R354" s="176">
        <f t="shared" si="131"/>
        <v>0.11969039432432949</v>
      </c>
      <c r="S354" s="814">
        <f t="shared" si="132"/>
        <v>0</v>
      </c>
      <c r="T354" s="175">
        <f t="shared" si="133"/>
        <v>6</v>
      </c>
      <c r="U354" s="250">
        <f t="shared" si="134"/>
        <v>0.11969039432432949</v>
      </c>
      <c r="V354" s="382">
        <f t="shared" si="135"/>
        <v>23.942760671413826</v>
      </c>
      <c r="W354" s="401">
        <f t="shared" si="136"/>
        <v>14.08085518366693</v>
      </c>
      <c r="X354" s="157">
        <f t="shared" si="137"/>
        <v>46362</v>
      </c>
      <c r="Y354" s="384">
        <f t="shared" si="138"/>
        <v>13.491985276733416</v>
      </c>
      <c r="Z354" s="384">
        <f t="shared" si="139"/>
        <v>14.425154713674495</v>
      </c>
      <c r="AA354" s="385">
        <f t="shared" si="140"/>
        <v>15.436589401047867</v>
      </c>
      <c r="AB354" s="196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6.5521901314853484E-2</v>
      </c>
      <c r="AD354" s="230">
        <f>(INDEX(Models!$BJ354:$BT354,,AH354)*(1-AF354)+INDEX(Models!$BJ354:$BT354,,AH354+1)*AF354-ERP_i)*AE354*Ramure*Pc/MaxiM</f>
        <v>1.2403861155685183E-3</v>
      </c>
      <c r="AE354" s="304">
        <f t="shared" si="142"/>
        <v>0.5</v>
      </c>
      <c r="AF354" s="176">
        <f t="shared" si="143"/>
        <v>0.23468293414871688</v>
      </c>
      <c r="AG354" s="814">
        <f t="shared" si="149"/>
        <v>2</v>
      </c>
      <c r="AH354" s="175">
        <f t="shared" si="144"/>
        <v>8</v>
      </c>
      <c r="AI354" s="224">
        <f t="shared" si="145"/>
        <v>2.2346829341487169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10">
        <f>'2025'!Wh/'2025'!Env_an*'2026'!Env_an</f>
        <v>19.897821080529773</v>
      </c>
      <c r="C355" s="843"/>
      <c r="D355" s="392">
        <f t="shared" si="127"/>
        <v>21.274513751002097</v>
      </c>
      <c r="E355" s="384">
        <f t="shared" si="125"/>
        <v>21.824979665343943</v>
      </c>
      <c r="F355" s="384">
        <f t="shared" si="128"/>
        <v>21.828456949145195</v>
      </c>
      <c r="G355" s="110">
        <f t="shared" si="126"/>
        <v>0.83656819273340477</v>
      </c>
      <c r="H355" s="413" t="b">
        <f>Wh_hp&gt;='2025'!Maxi_hp</f>
        <v>0</v>
      </c>
      <c r="I355" s="389">
        <f>IF(H355,Wh_hp,'2025'!Maxi_hp)</f>
        <v>22.326722541325999</v>
      </c>
      <c r="J355" s="85">
        <f>IF(H355,An,'2025'!An_max)</f>
        <v>2018</v>
      </c>
      <c r="K355" s="196">
        <f t="shared" si="129"/>
        <v>46363</v>
      </c>
      <c r="L355" s="147">
        <f>IF(t&lt;Tvie,1-EXP((T0-t)*PertePVj)+'2025'!Pspv,1-EXP((T0-t)*PertePVj)+Pspv)</f>
        <v>6.4710887712179893E-2</v>
      </c>
      <c r="M355" s="847"/>
      <c r="N355" s="847"/>
      <c r="O355" s="48">
        <f>IF(t&lt;Tnet,'2025'!Resal+('2025'!Salim-'2025'!Resal)*(1-EXP(('2025'!Tnet-t)/('2025'!Tau_j))),Resal+(Salim-Resal)*(1-EXP((Tnet-t)/(Tau_j))))*Salcycl</f>
        <v>2.5221829425845135E-2</v>
      </c>
      <c r="P355" s="168">
        <f>(INDEX(Models!$BJ355:$BT355,,T355)*(1-R355)+INDEX(Models!$BJ355:$BT355,,T355+1)*R355-ERP_i)*Q355*Ramure*Pc/MaxiM</f>
        <v>2.0780565762860739E-4</v>
      </c>
      <c r="Q355" s="304">
        <f t="shared" si="130"/>
        <v>0.5</v>
      </c>
      <c r="R355" s="176">
        <f t="shared" si="131"/>
        <v>0.11969811204890052</v>
      </c>
      <c r="S355" s="814">
        <f t="shared" si="132"/>
        <v>0</v>
      </c>
      <c r="T355" s="175">
        <f t="shared" si="133"/>
        <v>6</v>
      </c>
      <c r="U355" s="250">
        <f t="shared" si="134"/>
        <v>0.11969811204890052</v>
      </c>
      <c r="V355" s="382">
        <f t="shared" si="135"/>
        <v>23.783901841306982</v>
      </c>
      <c r="W355" s="401">
        <f t="shared" si="136"/>
        <v>19.897821080529773</v>
      </c>
      <c r="X355" s="157">
        <f t="shared" si="137"/>
        <v>46363</v>
      </c>
      <c r="Y355" s="384">
        <f t="shared" si="138"/>
        <v>19.059921021080207</v>
      </c>
      <c r="Z355" s="384">
        <f t="shared" si="139"/>
        <v>20.378640968520997</v>
      </c>
      <c r="AA355" s="385">
        <f t="shared" si="140"/>
        <v>21.807964218511223</v>
      </c>
      <c r="AB355" s="196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6.5541342404486211E-2</v>
      </c>
      <c r="AD355" s="230">
        <f>(INDEX(Models!$BJ355:$BT355,,AH355)*(1-AF355)+INDEX(Models!$BJ355:$BT355,,AH355+1)*AF355-ERP_i)*AE355*Ramure*Pc/MaxiM</f>
        <v>1.2246643096728552E-3</v>
      </c>
      <c r="AE355" s="304">
        <f t="shared" si="142"/>
        <v>0.5</v>
      </c>
      <c r="AF355" s="176">
        <f t="shared" si="143"/>
        <v>0.23469065187328786</v>
      </c>
      <c r="AG355" s="814">
        <f t="shared" si="149"/>
        <v>2</v>
      </c>
      <c r="AH355" s="175">
        <f t="shared" si="144"/>
        <v>8</v>
      </c>
      <c r="AI355" s="224">
        <f t="shared" si="145"/>
        <v>2.2346906518732879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10">
        <f>'2025'!Wh/'2025'!Env_an*'2026'!Env_an</f>
        <v>3.6671054139068593</v>
      </c>
      <c r="C356" s="843"/>
      <c r="D356" s="392">
        <f t="shared" si="127"/>
        <v>3.9209112812826534</v>
      </c>
      <c r="E356" s="384">
        <f t="shared" si="125"/>
        <v>4.0226632992483085</v>
      </c>
      <c r="F356" s="384">
        <f t="shared" si="128"/>
        <v>4.0226632992483085</v>
      </c>
      <c r="G356" s="110">
        <f t="shared" si="126"/>
        <v>0.15510546982484955</v>
      </c>
      <c r="H356" s="413" t="b">
        <f>Wh_hp&gt;='2025'!Maxi_hp</f>
        <v>0</v>
      </c>
      <c r="I356" s="389">
        <f>IF(H356,Wh_hp,'2025'!Maxi_hp)</f>
        <v>18.567301939285336</v>
      </c>
      <c r="J356" s="85">
        <f>IF(H356,An,'2025'!An_max)</f>
        <v>2019</v>
      </c>
      <c r="K356" s="196">
        <f t="shared" si="129"/>
        <v>46364</v>
      </c>
      <c r="L356" s="147">
        <f>IF(t&lt;Tvie,1-EXP((T0-t)*PertePVj)+'2025'!Pspv,1-EXP((T0-t)*PertePVj)+Pspv)</f>
        <v>6.4731346661015515E-2</v>
      </c>
      <c r="M356" s="847"/>
      <c r="N356" s="847"/>
      <c r="O356" s="48">
        <f>IF(t&lt;Tnet,'2025'!Resal+('2025'!Salim-'2025'!Resal)*(1-EXP(('2025'!Tnet-t)/('2025'!Tau_j))),Resal+(Salim-Resal)*(1-EXP((Tnet-t)/(Tau_j))))*Salcycl</f>
        <v>2.529468921365334E-2</v>
      </c>
      <c r="P356" s="168">
        <f>(INDEX(Models!$BJ356:$BT356,,T356)*(1-R356)+INDEX(Models!$BJ356:$BT356,,T356+1)*R356-ERP_i)*Q356*Ramure*Pc/MaxiM</f>
        <v>2.053658194197344E-4</v>
      </c>
      <c r="Q356" s="304">
        <f t="shared" si="130"/>
        <v>0.5</v>
      </c>
      <c r="R356" s="176">
        <f t="shared" si="131"/>
        <v>0.11970551940850094</v>
      </c>
      <c r="S356" s="814">
        <f t="shared" si="132"/>
        <v>0</v>
      </c>
      <c r="T356" s="175">
        <f t="shared" si="133"/>
        <v>6</v>
      </c>
      <c r="U356" s="250">
        <f t="shared" si="134"/>
        <v>0.11970551940850094</v>
      </c>
      <c r="V356" s="382">
        <f t="shared" si="135"/>
        <v>23.637801554895553</v>
      </c>
      <c r="W356" s="401">
        <f t="shared" si="136"/>
        <v>3.6671054139068593</v>
      </c>
      <c r="X356" s="157">
        <f t="shared" si="137"/>
        <v>46364</v>
      </c>
      <c r="Y356" s="384">
        <f t="shared" si="138"/>
        <v>3.5156098025934326</v>
      </c>
      <c r="Z356" s="384">
        <f t="shared" si="139"/>
        <v>3.7589304314246204</v>
      </c>
      <c r="AA356" s="385">
        <f t="shared" si="140"/>
        <v>4.0226632992483085</v>
      </c>
      <c r="AB356" s="196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6.5561755534690222E-2</v>
      </c>
      <c r="AD356" s="230">
        <f>(INDEX(Models!$BJ356:$BT356,,AH356)*(1-AF356)+INDEX(Models!$BJ356:$BT356,,AH356+1)*AF356-ERP_i)*AE356*Ramure*Pc/MaxiM</f>
        <v>1.210615201655343E-3</v>
      </c>
      <c r="AE356" s="304">
        <f t="shared" si="142"/>
        <v>0.5</v>
      </c>
      <c r="AF356" s="176">
        <f t="shared" si="143"/>
        <v>0.23469805923288822</v>
      </c>
      <c r="AG356" s="814">
        <f t="shared" si="149"/>
        <v>2</v>
      </c>
      <c r="AH356" s="175">
        <f t="shared" si="144"/>
        <v>8</v>
      </c>
      <c r="AI356" s="224">
        <f t="shared" si="145"/>
        <v>2.2346980592328882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10">
        <f>'2025'!Wh/'2025'!Env_an*'2026'!Env_an</f>
        <v>8.2800019165579055</v>
      </c>
      <c r="C357" s="843"/>
      <c r="D357" s="392">
        <f t="shared" si="127"/>
        <v>8.8532669319825867</v>
      </c>
      <c r="E357" s="384">
        <f t="shared" si="125"/>
        <v>9.0837005444790844</v>
      </c>
      <c r="F357" s="384">
        <f t="shared" si="128"/>
        <v>9.0838382253714638</v>
      </c>
      <c r="G357" s="110">
        <f t="shared" si="126"/>
        <v>0.35218827736043551</v>
      </c>
      <c r="H357" s="413" t="b">
        <f>Wh_hp&gt;='2025'!Maxi_hp</f>
        <v>0</v>
      </c>
      <c r="I357" s="389">
        <f>IF(H357,Wh_hp,'2025'!Maxi_hp)</f>
        <v>10.545859216009614</v>
      </c>
      <c r="J357" s="85">
        <f>IF(H357,An,'2025'!An_max)</f>
        <v>2020</v>
      </c>
      <c r="K357" s="196">
        <f t="shared" si="129"/>
        <v>46365</v>
      </c>
      <c r="L357" s="147">
        <f>IF(t&lt;Tvie,1-EXP((T0-t)*PertePVj)+'2025'!Pspv,1-EXP((T0-t)*PertePVj)+Pspv)</f>
        <v>6.4751805161747694E-2</v>
      </c>
      <c r="M357" s="847"/>
      <c r="N357" s="847"/>
      <c r="O357" s="48">
        <f>IF(t&lt;Tnet,'2025'!Resal+('2025'!Salim-'2025'!Resal)*(1-EXP(('2025'!Tnet-t)/('2025'!Tau_j))),Resal+(Salim-Resal)*(1-EXP((Tnet-t)/(Tau_j))))*Salcycl</f>
        <v>2.5367812530604869E-2</v>
      </c>
      <c r="P357" s="168">
        <f>(INDEX(Models!$BJ357:$BT357,,T357)*(1-R357)+INDEX(Models!$BJ357:$BT357,,T357+1)*R357-ERP_i)*Q357*Ramure*Pc/MaxiM</f>
        <v>2.0303875951993219E-4</v>
      </c>
      <c r="Q357" s="304">
        <f t="shared" si="130"/>
        <v>0.5</v>
      </c>
      <c r="R357" s="176">
        <f t="shared" si="131"/>
        <v>0.11971262886991701</v>
      </c>
      <c r="S357" s="814">
        <f t="shared" si="132"/>
        <v>0</v>
      </c>
      <c r="T357" s="175">
        <f t="shared" si="133"/>
        <v>6</v>
      </c>
      <c r="U357" s="250">
        <f t="shared" si="134"/>
        <v>0.11971262886991701</v>
      </c>
      <c r="V357" s="382">
        <f t="shared" si="135"/>
        <v>23.505740426975237</v>
      </c>
      <c r="W357" s="401">
        <f t="shared" si="136"/>
        <v>8.2800019165579055</v>
      </c>
      <c r="X357" s="157">
        <f t="shared" si="137"/>
        <v>46365</v>
      </c>
      <c r="Y357" s="384">
        <f t="shared" si="138"/>
        <v>7.9377625449125562</v>
      </c>
      <c r="Z357" s="384">
        <f t="shared" si="139"/>
        <v>8.4873326553550452</v>
      </c>
      <c r="AA357" s="385">
        <f t="shared" si="140"/>
        <v>9.0830257305002231</v>
      </c>
      <c r="AB357" s="196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6.5583109948139678E-2</v>
      </c>
      <c r="AD357" s="230">
        <f>(INDEX(Models!$BJ357:$BT357,,AH357)*(1-AF357)+INDEX(Models!$BJ357:$BT357,,AH357+1)*AF357-ERP_i)*AE357*Ramure*Pc/MaxiM</f>
        <v>1.1981905980015624E-3</v>
      </c>
      <c r="AE357" s="304">
        <f t="shared" si="142"/>
        <v>0.5</v>
      </c>
      <c r="AF357" s="176">
        <f t="shared" si="143"/>
        <v>0.23470516869430424</v>
      </c>
      <c r="AG357" s="814">
        <f t="shared" si="149"/>
        <v>2</v>
      </c>
      <c r="AH357" s="175">
        <f t="shared" si="144"/>
        <v>8</v>
      </c>
      <c r="AI357" s="224">
        <f t="shared" si="145"/>
        <v>2.2347051686943042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10">
        <f>'2025'!Wh/'2025'!Env_an*'2026'!Env_an</f>
        <v>15.311829316978146</v>
      </c>
      <c r="C358" s="843"/>
      <c r="D358" s="392">
        <f t="shared" si="127"/>
        <v>16.372300258763754</v>
      </c>
      <c r="E358" s="384">
        <f t="shared" si="125"/>
        <v>16.799704733805857</v>
      </c>
      <c r="F358" s="384">
        <f t="shared" si="128"/>
        <v>16.801414180927736</v>
      </c>
      <c r="G358" s="110">
        <f t="shared" si="126"/>
        <v>0.65459460164427108</v>
      </c>
      <c r="H358" s="413" t="b">
        <f>Wh_hp&gt;='2025'!Maxi_hp</f>
        <v>0</v>
      </c>
      <c r="I358" s="389">
        <f>IF(H358,Wh_hp,'2025'!Maxi_hp)</f>
        <v>22.599335595679641</v>
      </c>
      <c r="J358" s="85">
        <f>IF(H358,An,'2025'!An_max)</f>
        <v>2019</v>
      </c>
      <c r="K358" s="196">
        <f t="shared" si="129"/>
        <v>46366</v>
      </c>
      <c r="L358" s="147">
        <f>IF(t&lt;Tvie,1-EXP((T0-t)*PertePVj)+'2025'!Pspv,1-EXP((T0-t)*PertePVj)+Pspv)</f>
        <v>6.47722632143862E-2</v>
      </c>
      <c r="M358" s="847"/>
      <c r="N358" s="847"/>
      <c r="O358" s="48">
        <f>IF(t&lt;Tnet,'2025'!Resal+('2025'!Salim-'2025'!Resal)*(1-EXP(('2025'!Tnet-t)/('2025'!Tau_j))),Resal+(Salim-Resal)*(1-EXP((Tnet-t)/(Tau_j))))*Salcycl</f>
        <v>2.5441189700319011E-2</v>
      </c>
      <c r="P358" s="168">
        <f>(INDEX(Models!$BJ358:$BT358,,T358)*(1-R358)+INDEX(Models!$BJ358:$BT358,,T358+1)*R358-ERP_i)*Q358*Ramure*Pc/MaxiM</f>
        <v>2.0081507772897746E-4</v>
      </c>
      <c r="Q358" s="304">
        <f t="shared" si="130"/>
        <v>0.5</v>
      </c>
      <c r="R358" s="176">
        <f t="shared" si="131"/>
        <v>0.11971945240030374</v>
      </c>
      <c r="S358" s="814">
        <f t="shared" si="132"/>
        <v>0</v>
      </c>
      <c r="T358" s="175">
        <f t="shared" si="133"/>
        <v>6</v>
      </c>
      <c r="U358" s="250">
        <f t="shared" si="134"/>
        <v>0.11971945240030374</v>
      </c>
      <c r="V358" s="382">
        <f t="shared" si="135"/>
        <v>23.388998577761168</v>
      </c>
      <c r="W358" s="401">
        <f t="shared" si="136"/>
        <v>15.311829316978146</v>
      </c>
      <c r="X358" s="157">
        <f t="shared" si="137"/>
        <v>46366</v>
      </c>
      <c r="Y358" s="384">
        <f t="shared" si="138"/>
        <v>14.67344911659905</v>
      </c>
      <c r="Z358" s="384">
        <f t="shared" si="139"/>
        <v>15.689706944569275</v>
      </c>
      <c r="AA358" s="385">
        <f t="shared" si="140"/>
        <v>16.791306892252074</v>
      </c>
      <c r="AB358" s="196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6.5605372753392094E-2</v>
      </c>
      <c r="AD358" s="230">
        <f>(INDEX(Models!$BJ358:$BT358,,AH358)*(1-AF358)+INDEX(Models!$BJ358:$BT358,,AH358+1)*AF358-ERP_i)*AE358*Ramure*Pc/MaxiM</f>
        <v>1.1873405939590268E-3</v>
      </c>
      <c r="AE358" s="304">
        <f t="shared" si="142"/>
        <v>0.5</v>
      </c>
      <c r="AF358" s="176">
        <f t="shared" si="143"/>
        <v>0.23471199222469119</v>
      </c>
      <c r="AG358" s="814">
        <f t="shared" si="149"/>
        <v>2</v>
      </c>
      <c r="AH358" s="175">
        <f t="shared" si="144"/>
        <v>8</v>
      </c>
      <c r="AI358" s="224">
        <f t="shared" si="145"/>
        <v>2.2347119922246912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10">
        <f>'2025'!Wh/'2025'!Env_an*'2026'!Env_an</f>
        <v>16.427928430844531</v>
      </c>
      <c r="C359" s="843"/>
      <c r="D359" s="392">
        <f t="shared" si="127"/>
        <v>17.566082724709023</v>
      </c>
      <c r="E359" s="384">
        <f t="shared" si="125"/>
        <v>18.026013025260212</v>
      </c>
      <c r="F359" s="384">
        <f t="shared" si="128"/>
        <v>18.028088331364149</v>
      </c>
      <c r="G359" s="110">
        <f t="shared" si="126"/>
        <v>0.70544763739284055</v>
      </c>
      <c r="H359" s="413" t="b">
        <f>Wh_hp&gt;='2025'!Maxi_hp</f>
        <v>0</v>
      </c>
      <c r="I359" s="389">
        <f>IF(H359,Wh_hp,'2025'!Maxi_hp)</f>
        <v>18.967198725102847</v>
      </c>
      <c r="J359" s="85">
        <f>IF(H359,An,'2025'!An_max)</f>
        <v>2018</v>
      </c>
      <c r="K359" s="196">
        <f t="shared" si="129"/>
        <v>46367</v>
      </c>
      <c r="L359" s="147">
        <f>IF(t&lt;Tvie,1-EXP((T0-t)*PertePVj)+'2025'!Pspv,1-EXP((T0-t)*PertePVj)+Pspv)</f>
        <v>6.4792720818940802E-2</v>
      </c>
      <c r="M359" s="847"/>
      <c r="N359" s="847"/>
      <c r="O359" s="48">
        <f>IF(t&lt;Tnet,'2025'!Resal+('2025'!Salim-'2025'!Resal)*(1-EXP(('2025'!Tnet-t)/('2025'!Tau_j))),Resal+(Salim-Resal)*(1-EXP((Tnet-t)/(Tau_j))))*Salcycl</f>
        <v>2.5514810174977615E-2</v>
      </c>
      <c r="P359" s="168">
        <f>(INDEX(Models!$BJ359:$BT359,,T359)*(1-R359)+INDEX(Models!$BJ359:$BT359,,T359+1)*R359-ERP_i)*Q359*Ramure*Pc/MaxiM</f>
        <v>1.987158790188323E-4</v>
      </c>
      <c r="Q359" s="304">
        <f t="shared" si="130"/>
        <v>0.5</v>
      </c>
      <c r="R359" s="176">
        <f t="shared" si="131"/>
        <v>0.11972600148711854</v>
      </c>
      <c r="S359" s="814">
        <f t="shared" si="132"/>
        <v>0</v>
      </c>
      <c r="T359" s="175">
        <f t="shared" si="133"/>
        <v>6</v>
      </c>
      <c r="U359" s="250">
        <f t="shared" si="134"/>
        <v>0.11972600148711854</v>
      </c>
      <c r="V359" s="382">
        <f t="shared" si="135"/>
        <v>23.285292933511737</v>
      </c>
      <c r="W359" s="401">
        <f t="shared" si="136"/>
        <v>16.427928430844531</v>
      </c>
      <c r="X359" s="157">
        <f t="shared" si="137"/>
        <v>46367</v>
      </c>
      <c r="Y359" s="384">
        <f t="shared" si="138"/>
        <v>15.742750703092179</v>
      </c>
      <c r="Z359" s="384">
        <f t="shared" si="139"/>
        <v>16.833434740668149</v>
      </c>
      <c r="AA359" s="385">
        <f t="shared" si="140"/>
        <v>18.015783771381084</v>
      </c>
      <c r="AB359" s="196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6.5628509184882153E-2</v>
      </c>
      <c r="AD359" s="230">
        <f>(INDEX(Models!$BJ359:$BT359,,AH359)*(1-AF359)+INDEX(Models!$BJ359:$BT359,,AH359+1)*AF359-ERP_i)*AE359*Ramure*Pc/MaxiM</f>
        <v>1.1781931582694925E-3</v>
      </c>
      <c r="AE359" s="304">
        <f t="shared" si="142"/>
        <v>0.5</v>
      </c>
      <c r="AF359" s="176">
        <f t="shared" si="143"/>
        <v>0.23471854131150582</v>
      </c>
      <c r="AG359" s="814">
        <f t="shared" si="149"/>
        <v>2</v>
      </c>
      <c r="AH359" s="175">
        <f t="shared" si="144"/>
        <v>8</v>
      </c>
      <c r="AI359" s="224">
        <f t="shared" si="145"/>
        <v>2.2347185413115058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10">
        <f>'2025'!Wh/'2025'!Env_an*'2026'!Env_an</f>
        <v>5.2805470548475935</v>
      </c>
      <c r="C360" s="843"/>
      <c r="D360" s="392">
        <f t="shared" si="127"/>
        <v>5.6465156805950043</v>
      </c>
      <c r="E360" s="384">
        <f t="shared" si="125"/>
        <v>5.794796780420552</v>
      </c>
      <c r="F360" s="384">
        <f t="shared" si="128"/>
        <v>5.794796780420552</v>
      </c>
      <c r="G360" s="110">
        <f t="shared" si="126"/>
        <v>0.22764747915745379</v>
      </c>
      <c r="H360" s="413" t="b">
        <f>Wh_hp&gt;='2025'!Maxi_hp</f>
        <v>0</v>
      </c>
      <c r="I360" s="389">
        <f>IF(H360,Wh_hp,'2025'!Maxi_hp)</f>
        <v>25.182974084445021</v>
      </c>
      <c r="J360" s="85">
        <f>IF(H360,An,'2025'!An_max)</f>
        <v>2021</v>
      </c>
      <c r="K360" s="196">
        <f t="shared" si="129"/>
        <v>46368</v>
      </c>
      <c r="L360" s="147">
        <f>IF(t&lt;Tvie,1-EXP((T0-t)*PertePVj)+'2025'!Pspv,1-EXP((T0-t)*PertePVj)+Pspv)</f>
        <v>6.4813177975421271E-2</v>
      </c>
      <c r="M360" s="847"/>
      <c r="N360" s="847"/>
      <c r="O360" s="48">
        <f>IF(t&lt;Tnet,'2025'!Resal+('2025'!Salim-'2025'!Resal)*(1-EXP(('2025'!Tnet-t)/('2025'!Tau_j))),Resal+(Salim-Resal)*(1-EXP((Tnet-t)/(Tau_j))))*Salcycl</f>
        <v>2.5588662630337572E-2</v>
      </c>
      <c r="P360" s="168">
        <f>(INDEX(Models!$BJ360:$BT360,,T360)*(1-R360)+INDEX(Models!$BJ360:$BT360,,T360+1)*R360-ERP_i)*Q360*Ramure*Pc/MaxiM</f>
        <v>1.9676795294170787E-4</v>
      </c>
      <c r="Q360" s="304">
        <f t="shared" si="130"/>
        <v>0.5</v>
      </c>
      <c r="R360" s="176">
        <f t="shared" si="131"/>
        <v>0.11973228715726736</v>
      </c>
      <c r="S360" s="814">
        <f t="shared" si="132"/>
        <v>0</v>
      </c>
      <c r="T360" s="175">
        <f t="shared" si="133"/>
        <v>6</v>
      </c>
      <c r="U360" s="250">
        <f t="shared" si="134"/>
        <v>0.11973228715726736</v>
      </c>
      <c r="V360" s="382">
        <f t="shared" si="135"/>
        <v>23.191594442219124</v>
      </c>
      <c r="W360" s="401">
        <f t="shared" si="136"/>
        <v>5.2805470548475935</v>
      </c>
      <c r="X360" s="157">
        <f t="shared" si="137"/>
        <v>46368</v>
      </c>
      <c r="Y360" s="384">
        <f t="shared" si="138"/>
        <v>5.06343249567702</v>
      </c>
      <c r="Z360" s="384">
        <f t="shared" si="139"/>
        <v>5.4143539840683754</v>
      </c>
      <c r="AA360" s="385">
        <f t="shared" si="140"/>
        <v>5.794796780420552</v>
      </c>
      <c r="AB360" s="196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6.5652482868358009E-2</v>
      </c>
      <c r="AD360" s="230">
        <f>(INDEX(Models!$BJ360:$BT360,,AH360)*(1-AF360)+INDEX(Models!$BJ360:$BT360,,AH360+1)*AF360-ERP_i)*AE360*Ramure*Pc/MaxiM</f>
        <v>1.1709090475833189E-3</v>
      </c>
      <c r="AE360" s="304">
        <f t="shared" si="142"/>
        <v>0.5</v>
      </c>
      <c r="AF360" s="176">
        <f t="shared" si="143"/>
        <v>0.23472482698165464</v>
      </c>
      <c r="AG360" s="814">
        <f t="shared" si="149"/>
        <v>2</v>
      </c>
      <c r="AH360" s="175">
        <f t="shared" si="144"/>
        <v>8</v>
      </c>
      <c r="AI360" s="224">
        <f t="shared" si="145"/>
        <v>2.2347248269816546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10">
        <f>'2025'!Wh/'2025'!Env_an*'2026'!Env_an</f>
        <v>4.9425992246721</v>
      </c>
      <c r="C361" s="843"/>
      <c r="D361" s="392">
        <f t="shared" si="127"/>
        <v>5.2852619683355471</v>
      </c>
      <c r="E361" s="384">
        <f t="shared" ref="E361:E379" si="150">Wh_pvt/(1-Psa)</f>
        <v>5.4244686706926792</v>
      </c>
      <c r="F361" s="384">
        <f t="shared" si="128"/>
        <v>5.4244686706926792</v>
      </c>
      <c r="G361" s="110">
        <f t="shared" ref="G361:G379" si="151">+Wh_hp/MaxiM</f>
        <v>0.21384896679016149</v>
      </c>
      <c r="H361" s="413" t="b">
        <f>Wh_hp&gt;='2025'!Maxi_hp</f>
        <v>0</v>
      </c>
      <c r="I361" s="389">
        <f>IF(H361,Wh_hp,'2025'!Maxi_hp)</f>
        <v>25.628630345535896</v>
      </c>
      <c r="J361" s="85">
        <f>IF(H361,An,'2025'!An_max)</f>
        <v>2021</v>
      </c>
      <c r="K361" s="196">
        <f t="shared" si="129"/>
        <v>46369</v>
      </c>
      <c r="L361" s="147">
        <f>IF(t&lt;Tvie,1-EXP((T0-t)*PertePVj)+'2025'!Pspv,1-EXP((T0-t)*PertePVj)+Pspv)</f>
        <v>6.4833634683837599E-2</v>
      </c>
      <c r="M361" s="847"/>
      <c r="N361" s="847"/>
      <c r="O361" s="48">
        <f>IF(t&lt;Tnet,'2025'!Resal+('2025'!Salim-'2025'!Resal)*(1-EXP(('2025'!Tnet-t)/('2025'!Tau_j))),Resal+(Salim-Resal)*(1-EXP((Tnet-t)/(Tau_j))))*Salcycl</f>
        <v>2.5662735063664004E-2</v>
      </c>
      <c r="P361" s="168">
        <f>(INDEX(Models!$BJ361:$BT361,,T361)*(1-R361)+INDEX(Models!$BJ361:$BT361,,T361+1)*R361-ERP_i)*Q361*Ramure*Pc/MaxiM</f>
        <v>1.9499027867399119E-4</v>
      </c>
      <c r="Q361" s="304">
        <f t="shared" si="130"/>
        <v>0.5</v>
      </c>
      <c r="R361" s="176">
        <f t="shared" si="131"/>
        <v>0.11973831999549289</v>
      </c>
      <c r="S361" s="814">
        <f t="shared" si="132"/>
        <v>0</v>
      </c>
      <c r="T361" s="175">
        <f t="shared" si="133"/>
        <v>6</v>
      </c>
      <c r="U361" s="250">
        <f t="shared" si="134"/>
        <v>0.11973831999549289</v>
      </c>
      <c r="V361" s="382">
        <f t="shared" si="135"/>
        <v>23.108063321722138</v>
      </c>
      <c r="W361" s="401">
        <f t="shared" si="136"/>
        <v>4.9425992246721</v>
      </c>
      <c r="X361" s="157">
        <f t="shared" si="137"/>
        <v>46369</v>
      </c>
      <c r="Y361" s="384">
        <f t="shared" si="138"/>
        <v>4.7396143366707104</v>
      </c>
      <c r="Z361" s="384">
        <f t="shared" si="139"/>
        <v>5.0682044526572927</v>
      </c>
      <c r="AA361" s="385">
        <f t="shared" si="140"/>
        <v>5.4244686706926792</v>
      </c>
      <c r="AB361" s="196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6.5677256089653635E-2</v>
      </c>
      <c r="AD361" s="230">
        <f>(INDEX(Models!$BJ361:$BT361,,AH361)*(1-AF361)+INDEX(Models!$BJ361:$BT361,,AH361+1)*AF361-ERP_i)*AE361*Ramure*Pc/MaxiM</f>
        <v>1.1641758731495754E-3</v>
      </c>
      <c r="AE361" s="304">
        <f t="shared" si="142"/>
        <v>0.5</v>
      </c>
      <c r="AF361" s="176">
        <f t="shared" si="143"/>
        <v>0.23473085981988007</v>
      </c>
      <c r="AG361" s="814">
        <f t="shared" si="149"/>
        <v>2</v>
      </c>
      <c r="AH361" s="175">
        <f t="shared" si="144"/>
        <v>8</v>
      </c>
      <c r="AI361" s="224">
        <f t="shared" si="145"/>
        <v>2.2347308598198801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10">
        <f>'2025'!Wh/'2025'!Env_an*'2026'!Env_an</f>
        <v>16.047548959836789</v>
      </c>
      <c r="C362" s="843"/>
      <c r="D362" s="392">
        <f t="shared" si="127"/>
        <v>17.160476033135517</v>
      </c>
      <c r="E362" s="384">
        <f t="shared" si="150"/>
        <v>17.613802736500762</v>
      </c>
      <c r="F362" s="384">
        <f t="shared" si="128"/>
        <v>17.615733107799837</v>
      </c>
      <c r="G362" s="110">
        <f t="shared" si="151"/>
        <v>0.69660522804216163</v>
      </c>
      <c r="H362" s="413" t="b">
        <f>Wh_hp&gt;='2025'!Maxi_hp</f>
        <v>0</v>
      </c>
      <c r="I362" s="389">
        <f>IF(H362,Wh_hp,'2025'!Maxi_hp)</f>
        <v>25.793549080224839</v>
      </c>
      <c r="J362" s="85">
        <f>IF(H362,An,'2025'!An_max)</f>
        <v>2021</v>
      </c>
      <c r="K362" s="196">
        <f t="shared" si="129"/>
        <v>46370</v>
      </c>
      <c r="L362" s="147">
        <f>IF(t&lt;Tvie,1-EXP((T0-t)*PertePVj)+'2025'!Pspv,1-EXP((T0-t)*PertePVj)+Pspv)</f>
        <v>6.4854090944199555E-2</v>
      </c>
      <c r="M362" s="847"/>
      <c r="N362" s="847"/>
      <c r="O362" s="48">
        <f>IF(t&lt;Tnet,'2025'!Resal+('2025'!Salim-'2025'!Resal)*(1-EXP(('2025'!Tnet-t)/('2025'!Tau_j))),Resal+(Salim-Resal)*(1-EXP((Tnet-t)/(Tau_j))))*Salcycl</f>
        <v>2.5737014893769956E-2</v>
      </c>
      <c r="P362" s="168">
        <f>(INDEX(Models!$BJ362:$BT362,,T362)*(1-R362)+INDEX(Models!$BJ362:$BT362,,T362+1)*R362-ERP_i)*Q362*Ramure*Pc/MaxiM</f>
        <v>1.9338189201051622E-4</v>
      </c>
      <c r="Q362" s="304">
        <f t="shared" si="130"/>
        <v>0.5</v>
      </c>
      <c r="R362" s="176">
        <f t="shared" si="131"/>
        <v>0.11974411016203451</v>
      </c>
      <c r="S362" s="814">
        <f t="shared" si="132"/>
        <v>0</v>
      </c>
      <c r="T362" s="175">
        <f t="shared" si="133"/>
        <v>6</v>
      </c>
      <c r="U362" s="250">
        <f t="shared" si="134"/>
        <v>0.11974411016203451</v>
      </c>
      <c r="V362" s="382">
        <f t="shared" si="135"/>
        <v>23.034860186679865</v>
      </c>
      <c r="W362" s="401">
        <f t="shared" si="136"/>
        <v>16.047548959836789</v>
      </c>
      <c r="X362" s="157">
        <f t="shared" si="137"/>
        <v>46370</v>
      </c>
      <c r="Y362" s="384">
        <f t="shared" si="138"/>
        <v>15.380840934598645</v>
      </c>
      <c r="Z362" s="384">
        <f t="shared" si="139"/>
        <v>16.447530578547251</v>
      </c>
      <c r="AA362" s="385">
        <f t="shared" si="140"/>
        <v>17.604173922007206</v>
      </c>
      <c r="AB362" s="196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6.5702790064691416E-2</v>
      </c>
      <c r="AD362" s="230">
        <f>(INDEX(Models!$BJ362:$BT362,,AH362)*(1-AF362)+INDEX(Models!$BJ362:$BT362,,AH362+1)*AF362-ERP_i)*AE362*Ramure*Pc/MaxiM</f>
        <v>1.1579830366056196E-3</v>
      </c>
      <c r="AE362" s="304">
        <f t="shared" si="142"/>
        <v>0.5</v>
      </c>
      <c r="AF362" s="176">
        <f t="shared" si="143"/>
        <v>0.23473664998642185</v>
      </c>
      <c r="AG362" s="814">
        <f t="shared" si="149"/>
        <v>2</v>
      </c>
      <c r="AH362" s="175">
        <f t="shared" si="144"/>
        <v>8</v>
      </c>
      <c r="AI362" s="224">
        <f t="shared" si="145"/>
        <v>2.2347366499864219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10">
        <f>'2025'!Wh/'2025'!Env_an*'2026'!Env_an</f>
        <v>5.8564232141016817</v>
      </c>
      <c r="C363" s="843"/>
      <c r="D363" s="392">
        <f t="shared" si="127"/>
        <v>6.2627139425931304</v>
      </c>
      <c r="E363" s="384">
        <f t="shared" si="150"/>
        <v>6.4286468915192216</v>
      </c>
      <c r="F363" s="384">
        <f t="shared" si="128"/>
        <v>6.4286468915192216</v>
      </c>
      <c r="G363" s="110">
        <f t="shared" si="151"/>
        <v>0.25488690654437279</v>
      </c>
      <c r="H363" s="413" t="b">
        <f>Wh_hp&gt;='2025'!Maxi_hp</f>
        <v>0</v>
      </c>
      <c r="I363" s="389">
        <f>IF(H363,Wh_hp,'2025'!Maxi_hp)</f>
        <v>25.480565606345994</v>
      </c>
      <c r="J363" s="85">
        <f>IF(H363,An,'2025'!An_max)</f>
        <v>2019</v>
      </c>
      <c r="K363" s="196">
        <f t="shared" si="129"/>
        <v>46371</v>
      </c>
      <c r="L363" s="147">
        <f>IF(t&lt;Tvie,1-EXP((T0-t)*PertePVj)+'2025'!Pspv,1-EXP((T0-t)*PertePVj)+Pspv)</f>
        <v>6.487454675651691E-2</v>
      </c>
      <c r="M363" s="847"/>
      <c r="N363" s="847"/>
      <c r="O363" s="48">
        <f>IF(t&lt;Tnet,'2025'!Resal+('2025'!Salim-'2025'!Resal)*(1-EXP(('2025'!Tnet-t)/('2025'!Tau_j))),Resal+(Salim-Resal)*(1-EXP((Tnet-t)/(Tau_j))))*Salcycl</f>
        <v>2.5811489062339581E-2</v>
      </c>
      <c r="P363" s="168">
        <f>(INDEX(Models!$BJ363:$BT363,,T363)*(1-R363)+INDEX(Models!$BJ363:$BT363,,T363+1)*R363-ERP_i)*Q363*Ramure*Pc/MaxiM</f>
        <v>1.9194165871988568E-4</v>
      </c>
      <c r="Q363" s="304">
        <f t="shared" si="130"/>
        <v>0.5</v>
      </c>
      <c r="R363" s="176">
        <f t="shared" si="131"/>
        <v>0.11974966740958842</v>
      </c>
      <c r="S363" s="814">
        <f t="shared" si="132"/>
        <v>0</v>
      </c>
      <c r="T363" s="175">
        <f t="shared" si="133"/>
        <v>6</v>
      </c>
      <c r="U363" s="250">
        <f t="shared" si="134"/>
        <v>0.11974966740958842</v>
      </c>
      <c r="V363" s="382">
        <f t="shared" si="135"/>
        <v>22.972145575851549</v>
      </c>
      <c r="W363" s="401">
        <f t="shared" si="136"/>
        <v>5.8564232141016817</v>
      </c>
      <c r="X363" s="157">
        <f t="shared" si="137"/>
        <v>46371</v>
      </c>
      <c r="Y363" s="384">
        <f t="shared" si="138"/>
        <v>5.6164551793315658</v>
      </c>
      <c r="Z363" s="384">
        <f t="shared" si="139"/>
        <v>6.0060980693562431</v>
      </c>
      <c r="AA363" s="385">
        <f t="shared" si="140"/>
        <v>6.4286468915192216</v>
      </c>
      <c r="AB363" s="196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6.5729045208628892E-2</v>
      </c>
      <c r="AD363" s="230">
        <f>(INDEX(Models!$BJ363:$BT363,,AH363)*(1-AF363)+INDEX(Models!$BJ363:$BT363,,AH363+1)*AF363-ERP_i)*AE363*Ramure*Pc/MaxiM</f>
        <v>1.1523194430676737E-3</v>
      </c>
      <c r="AE363" s="304">
        <f t="shared" si="142"/>
        <v>0.5</v>
      </c>
      <c r="AF363" s="176">
        <f t="shared" si="143"/>
        <v>0.23474220723397599</v>
      </c>
      <c r="AG363" s="814">
        <f t="shared" si="149"/>
        <v>2</v>
      </c>
      <c r="AH363" s="175">
        <f t="shared" si="144"/>
        <v>8</v>
      </c>
      <c r="AI363" s="224">
        <f t="shared" si="145"/>
        <v>2.234742207233976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10">
        <f>'2025'!Wh/'2025'!Env_an*'2026'!Env_an</f>
        <v>4.8467427496533961</v>
      </c>
      <c r="C364" s="843"/>
      <c r="D364" s="392">
        <f t="shared" si="127"/>
        <v>5.1831000375847758</v>
      </c>
      <c r="E364" s="384">
        <f t="shared" si="150"/>
        <v>5.3208359642785599</v>
      </c>
      <c r="F364" s="384">
        <f t="shared" si="128"/>
        <v>5.3208359642785599</v>
      </c>
      <c r="G364" s="110">
        <f t="shared" si="151"/>
        <v>0.21142241390866395</v>
      </c>
      <c r="H364" s="413" t="b">
        <f>Wh_hp&gt;='2025'!Maxi_hp</f>
        <v>0</v>
      </c>
      <c r="I364" s="389">
        <f>IF(H364,Wh_hp,'2025'!Maxi_hp)</f>
        <v>25.377084616872267</v>
      </c>
      <c r="J364" s="85">
        <f>IF(H364,An,'2025'!An_max)</f>
        <v>2021</v>
      </c>
      <c r="K364" s="196">
        <f t="shared" si="129"/>
        <v>46372</v>
      </c>
      <c r="L364" s="147">
        <f>IF(t&lt;Tvie,1-EXP((T0-t)*PertePVj)+'2025'!Pspv,1-EXP((T0-t)*PertePVj)+Pspv)</f>
        <v>6.4895002120799433E-2</v>
      </c>
      <c r="M364" s="847"/>
      <c r="N364" s="847"/>
      <c r="O364" s="48">
        <f>IF(t&lt;Tnet,'2025'!Resal+('2025'!Salim-'2025'!Resal)*(1-EXP(('2025'!Tnet-t)/('2025'!Tau_j))),Resal+(Salim-Resal)*(1-EXP((Tnet-t)/(Tau_j))))*Salcycl</f>
        <v>2.5886144135709881E-2</v>
      </c>
      <c r="P364" s="168">
        <f>(INDEX(Models!$BJ364:$BT364,,T364)*(1-R364)+INDEX(Models!$BJ364:$BT364,,T364+1)*R364-ERP_i)*Q364*Ramure*Pc/MaxiM</f>
        <v>1.9066826323670949E-4</v>
      </c>
      <c r="Q364" s="304">
        <f t="shared" si="130"/>
        <v>0.5</v>
      </c>
      <c r="R364" s="176">
        <f t="shared" si="131"/>
        <v>0.11975500109959553</v>
      </c>
      <c r="S364" s="814">
        <f t="shared" si="132"/>
        <v>0</v>
      </c>
      <c r="T364" s="175">
        <f t="shared" si="133"/>
        <v>6</v>
      </c>
      <c r="U364" s="250">
        <f t="shared" si="134"/>
        <v>0.11975500109959553</v>
      </c>
      <c r="V364" s="382">
        <f t="shared" si="135"/>
        <v>22.920079948213981</v>
      </c>
      <c r="W364" s="401">
        <f t="shared" si="136"/>
        <v>4.8467427496533961</v>
      </c>
      <c r="X364" s="157">
        <f t="shared" si="137"/>
        <v>46372</v>
      </c>
      <c r="Y364" s="384">
        <f t="shared" si="138"/>
        <v>4.6483687674567422</v>
      </c>
      <c r="Z364" s="384">
        <f t="shared" si="139"/>
        <v>4.9709591735678345</v>
      </c>
      <c r="AA364" s="385">
        <f t="shared" si="140"/>
        <v>5.3208359642785599</v>
      </c>
      <c r="AB364" s="196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6.5755981402099928E-2</v>
      </c>
      <c r="AD364" s="230">
        <f>(INDEX(Models!$BJ364:$BT364,,AH364)*(1-AF364)+INDEX(Models!$BJ364:$BT364,,AH364+1)*AF364-ERP_i)*AE364*Ramure*Pc/MaxiM</f>
        <v>1.1471735217257642E-3</v>
      </c>
      <c r="AE364" s="304">
        <f t="shared" si="142"/>
        <v>0.5</v>
      </c>
      <c r="AF364" s="176">
        <f t="shared" si="143"/>
        <v>0.23474754092398298</v>
      </c>
      <c r="AG364" s="814">
        <f t="shared" si="149"/>
        <v>2</v>
      </c>
      <c r="AH364" s="175">
        <f t="shared" si="144"/>
        <v>8</v>
      </c>
      <c r="AI364" s="224">
        <f t="shared" si="145"/>
        <v>2.234747540923983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10">
        <f>'2025'!Wh/'2025'!Env_an*'2026'!Env_an</f>
        <v>2.8643607474578738</v>
      </c>
      <c r="C365" s="843"/>
      <c r="D365" s="392">
        <f t="shared" si="127"/>
        <v>3.0632104540855263</v>
      </c>
      <c r="E365" s="384">
        <f t="shared" si="150"/>
        <v>3.1448539005504124</v>
      </c>
      <c r="F365" s="384">
        <f t="shared" si="128"/>
        <v>3.1448539005504124</v>
      </c>
      <c r="G365" s="110">
        <f t="shared" si="151"/>
        <v>0.12517329640366162</v>
      </c>
      <c r="H365" s="413" t="b">
        <f>Wh_hp&gt;='2025'!Maxi_hp</f>
        <v>0</v>
      </c>
      <c r="I365" s="389">
        <f>IF(H365,Wh_hp,'2025'!Maxi_hp)</f>
        <v>25.511567876955379</v>
      </c>
      <c r="J365" s="85">
        <f>IF(H365,An,'2025'!An_max)</f>
        <v>2021</v>
      </c>
      <c r="K365" s="196">
        <f t="shared" si="129"/>
        <v>46373</v>
      </c>
      <c r="L365" s="147">
        <f>IF(t&lt;Tvie,1-EXP((T0-t)*PertePVj)+'2025'!Pspv,1-EXP((T0-t)*PertePVj)+Pspv)</f>
        <v>6.4915457037056895E-2</v>
      </c>
      <c r="M365" s="847"/>
      <c r="N365" s="847"/>
      <c r="O365" s="48">
        <f>IF(t&lt;Tnet,'2025'!Resal+('2025'!Salim-'2025'!Resal)*(1-EXP(('2025'!Tnet-t)/('2025'!Tau_j))),Resal+(Salim-Resal)*(1-EXP((Tnet-t)/(Tau_j))))*Salcycl</f>
        <v>2.5960966406292241E-2</v>
      </c>
      <c r="P365" s="168">
        <f>(INDEX(Models!$BJ365:$BT365,,T365)*(1-R365)+INDEX(Models!$BJ365:$BT365,,T365+1)*R365-ERP_i)*Q365*Ramure*Pc/MaxiM</f>
        <v>1.8956019735643891E-4</v>
      </c>
      <c r="Q365" s="304">
        <f t="shared" si="130"/>
        <v>0.5</v>
      </c>
      <c r="R365" s="176">
        <f t="shared" si="131"/>
        <v>0.11976012021788301</v>
      </c>
      <c r="S365" s="814">
        <f t="shared" si="132"/>
        <v>0</v>
      </c>
      <c r="T365" s="175">
        <f t="shared" si="133"/>
        <v>6</v>
      </c>
      <c r="U365" s="250">
        <f t="shared" si="134"/>
        <v>0.11976012021788301</v>
      </c>
      <c r="V365" s="382">
        <f t="shared" si="135"/>
        <v>22.878823686435343</v>
      </c>
      <c r="W365" s="401">
        <f t="shared" si="136"/>
        <v>2.8643607474578738</v>
      </c>
      <c r="X365" s="157">
        <f t="shared" si="137"/>
        <v>46373</v>
      </c>
      <c r="Y365" s="384">
        <f t="shared" si="138"/>
        <v>2.7472542814822454</v>
      </c>
      <c r="Z365" s="384">
        <f t="shared" si="139"/>
        <v>2.9379742207877748</v>
      </c>
      <c r="AA365" s="385">
        <f t="shared" si="140"/>
        <v>3.1448539005504124</v>
      </c>
      <c r="AB365" s="196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6.5783558252556454E-2</v>
      </c>
      <c r="AD365" s="230">
        <f>(INDEX(Models!$BJ365:$BT365,,AH365)*(1-AF365)+INDEX(Models!$BJ365:$BT365,,AH365+1)*AF365-ERP_i)*AE365*Ramure*Pc/MaxiM</f>
        <v>1.142533246113566E-3</v>
      </c>
      <c r="AE365" s="304">
        <f t="shared" si="142"/>
        <v>0.5</v>
      </c>
      <c r="AF365" s="176">
        <f t="shared" si="143"/>
        <v>0.23475266004227047</v>
      </c>
      <c r="AG365" s="814">
        <f t="shared" si="149"/>
        <v>2</v>
      </c>
      <c r="AH365" s="175">
        <f t="shared" si="144"/>
        <v>8</v>
      </c>
      <c r="AI365" s="224">
        <f t="shared" si="145"/>
        <v>2.2347526600422705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10">
        <f>'2025'!Wh/'2025'!Env_an*'2026'!Env_an</f>
        <v>18.978934719479774</v>
      </c>
      <c r="C366" s="843"/>
      <c r="D366" s="392">
        <f t="shared" si="127"/>
        <v>20.296934673250831</v>
      </c>
      <c r="E366" s="384">
        <f t="shared" si="150"/>
        <v>20.839510972078781</v>
      </c>
      <c r="F366" s="384">
        <f t="shared" si="128"/>
        <v>20.842492654076128</v>
      </c>
      <c r="G366" s="110">
        <f t="shared" si="151"/>
        <v>0.83060328440510722</v>
      </c>
      <c r="H366" s="413" t="b">
        <f>Wh_hp&gt;='2025'!Maxi_hp</f>
        <v>0</v>
      </c>
      <c r="I366" s="389">
        <f>IF(H366,Wh_hp,'2025'!Maxi_hp)</f>
        <v>25.730204802155043</v>
      </c>
      <c r="J366" s="85">
        <f>IF(H366,An,'2025'!An_max)</f>
        <v>2021</v>
      </c>
      <c r="K366" s="196">
        <f t="shared" si="129"/>
        <v>46374</v>
      </c>
      <c r="L366" s="147">
        <f>IF(t&lt;Tvie,1-EXP((T0-t)*PertePVj)+'2025'!Pspv,1-EXP((T0-t)*PertePVj)+Pspv)</f>
        <v>6.4935911505299287E-2</v>
      </c>
      <c r="M366" s="847"/>
      <c r="N366" s="847"/>
      <c r="O366" s="48">
        <f>IF(t&lt;Tnet,'2025'!Resal+('2025'!Salim-'2025'!Resal)*(1-EXP(('2025'!Tnet-t)/('2025'!Tau_j))),Resal+(Salim-Resal)*(1-EXP((Tnet-t)/(Tau_j))))*Salcycl</f>
        <v>2.6035941992828104E-2</v>
      </c>
      <c r="P366" s="168">
        <f>(INDEX(Models!$BJ366:$BT366,,T366)*(1-R366)+INDEX(Models!$BJ366:$BT366,,T366+1)*R366-ERP_i)*Q366*Ramure*Pc/MaxiM</f>
        <v>1.8871600189182056E-4</v>
      </c>
      <c r="Q366" s="304">
        <f t="shared" si="130"/>
        <v>0.5</v>
      </c>
      <c r="R366" s="176">
        <f t="shared" si="131"/>
        <v>0.11976503338968458</v>
      </c>
      <c r="S366" s="814">
        <f t="shared" si="132"/>
        <v>0</v>
      </c>
      <c r="T366" s="175">
        <f t="shared" si="133"/>
        <v>6</v>
      </c>
      <c r="U366" s="250">
        <f t="shared" si="134"/>
        <v>0.11976503338968458</v>
      </c>
      <c r="V366" s="382">
        <f t="shared" si="135"/>
        <v>22.848534804231036</v>
      </c>
      <c r="W366" s="401">
        <f t="shared" si="136"/>
        <v>18.978934719479774</v>
      </c>
      <c r="X366" s="157">
        <f t="shared" si="137"/>
        <v>46374</v>
      </c>
      <c r="Y366" s="384">
        <f t="shared" si="138"/>
        <v>18.190739646766975</v>
      </c>
      <c r="Z366" s="384">
        <f t="shared" si="139"/>
        <v>19.454003068443225</v>
      </c>
      <c r="AA366" s="385">
        <f t="shared" si="140"/>
        <v>20.824499519597975</v>
      </c>
      <c r="AB366" s="196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6.5811735348788272E-2</v>
      </c>
      <c r="AD366" s="230">
        <f>(INDEX(Models!$BJ366:$BT366,,AH366)*(1-AF366)+INDEX(Models!$BJ366:$BT366,,AH366+1)*AF366-ERP_i)*AE366*Ramure*Pc/MaxiM</f>
        <v>1.1388177556290657E-3</v>
      </c>
      <c r="AE366" s="304">
        <f t="shared" si="142"/>
        <v>0.5</v>
      </c>
      <c r="AF366" s="176">
        <f t="shared" si="143"/>
        <v>0.23475757321407187</v>
      </c>
      <c r="AG366" s="814">
        <f t="shared" si="149"/>
        <v>2</v>
      </c>
      <c r="AH366" s="175">
        <f t="shared" si="144"/>
        <v>8</v>
      </c>
      <c r="AI366" s="224">
        <f t="shared" si="145"/>
        <v>2.2347575732140719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10">
        <f>'2025'!Wh/'2025'!Env_an*'2026'!Env_an</f>
        <v>17.841596581544895</v>
      </c>
      <c r="C367" s="843"/>
      <c r="D367" s="392">
        <f t="shared" si="127"/>
        <v>19.081031006186862</v>
      </c>
      <c r="E367" s="384">
        <f t="shared" si="150"/>
        <v>19.592614889134957</v>
      </c>
      <c r="F367" s="384">
        <f t="shared" si="128"/>
        <v>19.595149082221834</v>
      </c>
      <c r="G367" s="110">
        <f t="shared" si="151"/>
        <v>0.78147336042867099</v>
      </c>
      <c r="H367" s="413" t="b">
        <f>Wh_hp&gt;='2025'!Maxi_hp</f>
        <v>0</v>
      </c>
      <c r="I367" s="389">
        <f>IF(H367,Wh_hp,'2025'!Maxi_hp)</f>
        <v>25.266435662050515</v>
      </c>
      <c r="J367" s="85">
        <f>IF(H367,An,'2025'!An_max)</f>
        <v>2021</v>
      </c>
      <c r="K367" s="196">
        <f t="shared" si="129"/>
        <v>46375</v>
      </c>
      <c r="L367" s="147">
        <f>IF(t&lt;Tvie,1-EXP((T0-t)*PertePVj)+'2025'!Pspv,1-EXP((T0-t)*PertePVj)+Pspv)</f>
        <v>6.495636552553638E-2</v>
      </c>
      <c r="M367" s="847"/>
      <c r="N367" s="847"/>
      <c r="O367" s="48">
        <f>IF(t&lt;Tnet,'2025'!Resal+('2025'!Salim-'2025'!Resal)*(1-EXP(('2025'!Tnet-t)/('2025'!Tau_j))),Resal+(Salim-Resal)*(1-EXP((Tnet-t)/(Tau_j))))*Salcycl</f>
        <v>2.6111056938693433E-2</v>
      </c>
      <c r="P367" s="168">
        <f>(INDEX(Models!$BJ367:$BT367,,T367)*(1-R367)+INDEX(Models!$BJ367:$BT367,,T367+1)*R367-ERP_i)*Q367*Ramure*Pc/MaxiM</f>
        <v>1.8800765722102423E-4</v>
      </c>
      <c r="Q367" s="304">
        <f t="shared" si="130"/>
        <v>0.5</v>
      </c>
      <c r="R367" s="176">
        <f t="shared" si="131"/>
        <v>0.11976974889406428</v>
      </c>
      <c r="S367" s="814">
        <f t="shared" si="132"/>
        <v>0</v>
      </c>
      <c r="T367" s="175">
        <f t="shared" si="133"/>
        <v>6</v>
      </c>
      <c r="U367" s="250">
        <f t="shared" si="134"/>
        <v>0.11976974889406428</v>
      </c>
      <c r="V367" s="382">
        <f t="shared" si="135"/>
        <v>22.82937641017514</v>
      </c>
      <c r="W367" s="401">
        <f t="shared" si="136"/>
        <v>17.841596581544895</v>
      </c>
      <c r="X367" s="157">
        <f t="shared" si="137"/>
        <v>46375</v>
      </c>
      <c r="Y367" s="384">
        <f t="shared" si="138"/>
        <v>17.102599204451501</v>
      </c>
      <c r="Z367" s="384">
        <f t="shared" si="139"/>
        <v>18.290696363131683</v>
      </c>
      <c r="AA367" s="385">
        <f t="shared" si="140"/>
        <v>19.579842441059469</v>
      </c>
      <c r="AB367" s="196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6.5840472506786346E-2</v>
      </c>
      <c r="AD367" s="230">
        <f>(INDEX(Models!$BJ367:$BT367,,AH367)*(1-AF367)+INDEX(Models!$BJ367:$BT367,,AH367+1)*AF367-ERP_i)*AE367*Ramure*Pc/MaxiM</f>
        <v>1.1355747751672311E-3</v>
      </c>
      <c r="AE367" s="304">
        <f t="shared" si="142"/>
        <v>0.5</v>
      </c>
      <c r="AF367" s="176">
        <f t="shared" si="143"/>
        <v>0.23476228871845173</v>
      </c>
      <c r="AG367" s="814">
        <f t="shared" si="149"/>
        <v>2</v>
      </c>
      <c r="AH367" s="175">
        <f t="shared" si="144"/>
        <v>8</v>
      </c>
      <c r="AI367" s="224">
        <f t="shared" si="145"/>
        <v>2.2347622887184517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10">
        <f>'2025'!Wh/'2025'!Env_an*'2026'!Env_an</f>
        <v>3.5409781033683982</v>
      </c>
      <c r="C368" s="843"/>
      <c r="D368" s="392">
        <f t="shared" si="127"/>
        <v>3.7870484664900386</v>
      </c>
      <c r="E368" s="384">
        <f t="shared" si="150"/>
        <v>3.8888839374709927</v>
      </c>
      <c r="F368" s="384">
        <f t="shared" si="128"/>
        <v>3.8888839374709927</v>
      </c>
      <c r="G368" s="110">
        <f t="shared" si="151"/>
        <v>0.1551306034615581</v>
      </c>
      <c r="H368" s="413" t="b">
        <f>Wh_hp&gt;='2025'!Maxi_hp</f>
        <v>0</v>
      </c>
      <c r="I368" s="389">
        <f>IF(H368,Wh_hp,'2025'!Maxi_hp)</f>
        <v>25.824781167990668</v>
      </c>
      <c r="J368" s="85">
        <f>IF(H368,An,'2025'!An_max)</f>
        <v>2021</v>
      </c>
      <c r="K368" s="196">
        <f t="shared" si="129"/>
        <v>46376</v>
      </c>
      <c r="L368" s="147">
        <f>IF(t&lt;Tvie,1-EXP((T0-t)*PertePVj)+'2025'!Pspv,1-EXP((T0-t)*PertePVj)+Pspv)</f>
        <v>6.4976819097777833E-2</v>
      </c>
      <c r="M368" s="847"/>
      <c r="N368" s="847"/>
      <c r="O368" s="48">
        <f>IF(t&lt;Tnet,'2025'!Resal+('2025'!Salim-'2025'!Resal)*(1-EXP(('2025'!Tnet-t)/('2025'!Tau_j))),Resal+(Salim-Resal)*(1-EXP((Tnet-t)/(Tau_j))))*Salcycl</f>
        <v>2.6186297307494184E-2</v>
      </c>
      <c r="P368" s="168">
        <f>(INDEX(Models!$BJ368:$BT368,,T368)*(1-R368)+INDEX(Models!$BJ368:$BT368,,T368+1)*R368-ERP_i)*Q368*Ramure*Pc/MaxiM</f>
        <v>1.8743297964749964E-4</v>
      </c>
      <c r="Q368" s="304">
        <f t="shared" si="130"/>
        <v>0.5</v>
      </c>
      <c r="R368" s="176">
        <f t="shared" si="131"/>
        <v>0.1197742746777673</v>
      </c>
      <c r="S368" s="814">
        <f t="shared" si="132"/>
        <v>0</v>
      </c>
      <c r="T368" s="175">
        <f t="shared" si="133"/>
        <v>6</v>
      </c>
      <c r="U368" s="250">
        <f t="shared" si="134"/>
        <v>0.1197742746777673</v>
      </c>
      <c r="V368" s="382">
        <f t="shared" si="135"/>
        <v>22.82150864042065</v>
      </c>
      <c r="W368" s="401">
        <f t="shared" si="136"/>
        <v>3.5409781033683982</v>
      </c>
      <c r="X368" s="157">
        <f t="shared" si="137"/>
        <v>46376</v>
      </c>
      <c r="Y368" s="384">
        <f t="shared" si="138"/>
        <v>3.3966813391509558</v>
      </c>
      <c r="Z368" s="384">
        <f t="shared" si="139"/>
        <v>3.6327242024881476</v>
      </c>
      <c r="AA368" s="385">
        <f t="shared" si="140"/>
        <v>3.8888839374709927</v>
      </c>
      <c r="AB368" s="196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6.5869730005218452E-2</v>
      </c>
      <c r="AD368" s="230">
        <f>(INDEX(Models!$BJ368:$BT368,,AH368)*(1-AF368)+INDEX(Models!$BJ368:$BT368,,AH368+1)*AF368-ERP_i)*AE368*Ramure*Pc/MaxiM</f>
        <v>1.1327906018408387E-3</v>
      </c>
      <c r="AE368" s="304">
        <f t="shared" si="142"/>
        <v>0.5</v>
      </c>
      <c r="AF368" s="176">
        <f t="shared" si="143"/>
        <v>0.23476681450215464</v>
      </c>
      <c r="AG368" s="814">
        <f t="shared" si="149"/>
        <v>2</v>
      </c>
      <c r="AH368" s="175">
        <f t="shared" si="144"/>
        <v>8</v>
      </c>
      <c r="AI368" s="224">
        <f t="shared" si="145"/>
        <v>2.2347668145021546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10">
        <f>'2025'!Wh/'2025'!Env_an*'2026'!Env_an</f>
        <v>21.090203904883037</v>
      </c>
      <c r="C369" s="843"/>
      <c r="D369" s="392">
        <f t="shared" si="127"/>
        <v>22.556302006737347</v>
      </c>
      <c r="E369" s="384">
        <f t="shared" si="150"/>
        <v>23.164643756660379</v>
      </c>
      <c r="F369" s="384">
        <f t="shared" si="128"/>
        <v>23.168505616729394</v>
      </c>
      <c r="G369" s="110">
        <f t="shared" si="151"/>
        <v>0.92397331992957532</v>
      </c>
      <c r="H369" s="413" t="b">
        <f>Wh_hp&gt;='2025'!Maxi_hp</f>
        <v>0</v>
      </c>
      <c r="I369" s="389">
        <f>IF(H369,Wh_hp,'2025'!Maxi_hp)</f>
        <v>23.168758077897557</v>
      </c>
      <c r="J369" s="85">
        <f>IF(H369,An,'2025'!An_max)</f>
        <v>2025</v>
      </c>
      <c r="K369" s="196">
        <f t="shared" si="129"/>
        <v>46377</v>
      </c>
      <c r="L369" s="147">
        <f>IF(t&lt;Tvie,1-EXP((T0-t)*PertePVj)+'2025'!Pspv,1-EXP((T0-t)*PertePVj)+Pspv)</f>
        <v>6.4997272222033636E-2</v>
      </c>
      <c r="M369" s="847"/>
      <c r="N369" s="847"/>
      <c r="O369" s="48">
        <f>IF(t&lt;Tnet,'2025'!Resal+('2025'!Salim-'2025'!Resal)*(1-EXP(('2025'!Tnet-t)/('2025'!Tau_j))),Resal+(Salim-Resal)*(1-EXP((Tnet-t)/(Tau_j))))*Salcycl</f>
        <v>2.6261649275228702E-2</v>
      </c>
      <c r="P369" s="168">
        <f>(INDEX(Models!$BJ369:$BT369,,T369)*(1-R369)+INDEX(Models!$BJ369:$BT369,,T369+1)*R369-ERP_i)*Q369*Ramure*Pc/MaxiM</f>
        <v>1.8698960795546243E-4</v>
      </c>
      <c r="Q369" s="304">
        <f t="shared" si="130"/>
        <v>0.5</v>
      </c>
      <c r="R369" s="176">
        <f t="shared" si="131"/>
        <v>0.11977861836851944</v>
      </c>
      <c r="S369" s="814">
        <f t="shared" si="132"/>
        <v>0</v>
      </c>
      <c r="T369" s="175">
        <f t="shared" si="133"/>
        <v>6</v>
      </c>
      <c r="U369" s="250">
        <f t="shared" si="134"/>
        <v>0.11977861836851944</v>
      </c>
      <c r="V369" s="382">
        <f t="shared" si="135"/>
        <v>22.825091554484853</v>
      </c>
      <c r="W369" s="401">
        <f t="shared" si="136"/>
        <v>21.090203904883037</v>
      </c>
      <c r="X369" s="157">
        <f t="shared" si="137"/>
        <v>46377</v>
      </c>
      <c r="Y369" s="384">
        <f t="shared" si="138"/>
        <v>20.214670120488602</v>
      </c>
      <c r="Z369" s="384">
        <f t="shared" si="139"/>
        <v>21.619904969185232</v>
      </c>
      <c r="AA369" s="385">
        <f t="shared" si="140"/>
        <v>23.145158628287163</v>
      </c>
      <c r="AB369" s="196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6.5899468808903405E-2</v>
      </c>
      <c r="AD369" s="230">
        <f>(INDEX(Models!$BJ369:$BT369,,AH369)*(1-AF369)+INDEX(Models!$BJ369:$BT369,,AH369+1)*AF369-ERP_i)*AE369*Ramure*Pc/MaxiM</f>
        <v>1.1304511654318225E-3</v>
      </c>
      <c r="AE369" s="304">
        <f t="shared" si="142"/>
        <v>0.5</v>
      </c>
      <c r="AF369" s="176">
        <f t="shared" si="143"/>
        <v>0.23477115819290706</v>
      </c>
      <c r="AG369" s="814">
        <f t="shared" si="149"/>
        <v>2</v>
      </c>
      <c r="AH369" s="175">
        <f t="shared" si="144"/>
        <v>8</v>
      </c>
      <c r="AI369" s="224">
        <f t="shared" si="145"/>
        <v>2.2347711581929071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10">
        <f>'2025'!Wh/'2025'!Env_an*'2026'!Env_an</f>
        <v>18.416144884503534</v>
      </c>
      <c r="C370" s="843"/>
      <c r="D370" s="392">
        <f t="shared" si="127"/>
        <v>19.696785035310576</v>
      </c>
      <c r="E370" s="384">
        <f t="shared" si="150"/>
        <v>20.229573314848288</v>
      </c>
      <c r="F370" s="384">
        <f t="shared" si="128"/>
        <v>20.232305073192954</v>
      </c>
      <c r="G370" s="110">
        <f t="shared" si="151"/>
        <v>0.80625935099867563</v>
      </c>
      <c r="H370" s="413" t="b">
        <f>Wh_hp&gt;='2025'!Maxi_hp</f>
        <v>0</v>
      </c>
      <c r="I370" s="389">
        <f>IF(H370,Wh_hp,'2025'!Maxi_hp)</f>
        <v>25.028510849440355</v>
      </c>
      <c r="J370" s="85">
        <f>IF(H370,An,'2025'!An_max)</f>
        <v>2021</v>
      </c>
      <c r="K370" s="196">
        <f t="shared" si="129"/>
        <v>46378</v>
      </c>
      <c r="L370" s="147">
        <f>IF(t&lt;Tvie,1-EXP((T0-t)*PertePVj)+'2025'!Pspv,1-EXP((T0-t)*PertePVj)+Pspv)</f>
        <v>6.5017724898313561E-2</v>
      </c>
      <c r="M370" s="847"/>
      <c r="N370" s="847"/>
      <c r="O370" s="48">
        <f>IF(t&lt;Tnet,'2025'!Resal+('2025'!Salim-'2025'!Resal)*(1-EXP(('2025'!Tnet-t)/('2025'!Tau_j))),Resal+(Salim-Resal)*(1-EXP((Tnet-t)/(Tau_j))))*Salcycl</f>
        <v>2.6337099218333555E-2</v>
      </c>
      <c r="P370" s="168">
        <f>(INDEX(Models!$BJ370:$BT370,,T370)*(1-R370)+INDEX(Models!$BJ370:$BT370,,T370+1)*R370-ERP_i)*Q370*Ramure*Pc/MaxiM</f>
        <v>1.866750012198206E-4</v>
      </c>
      <c r="Q370" s="304">
        <f t="shared" si="130"/>
        <v>0.5</v>
      </c>
      <c r="R370" s="176">
        <f t="shared" si="131"/>
        <v>0.11978278728779779</v>
      </c>
      <c r="S370" s="814">
        <f t="shared" si="132"/>
        <v>0</v>
      </c>
      <c r="T370" s="175">
        <f t="shared" si="133"/>
        <v>6</v>
      </c>
      <c r="U370" s="250">
        <f t="shared" si="134"/>
        <v>0.11978278728779779</v>
      </c>
      <c r="V370" s="382">
        <f t="shared" si="135"/>
        <v>22.840285127151915</v>
      </c>
      <c r="W370" s="401">
        <f t="shared" si="136"/>
        <v>18.416144884503534</v>
      </c>
      <c r="X370" s="157">
        <f t="shared" si="137"/>
        <v>46378</v>
      </c>
      <c r="Y370" s="384">
        <f t="shared" si="138"/>
        <v>17.655242495157459</v>
      </c>
      <c r="Z370" s="384">
        <f t="shared" si="139"/>
        <v>18.882970260839777</v>
      </c>
      <c r="AA370" s="385">
        <f t="shared" si="140"/>
        <v>20.215790252397841</v>
      </c>
      <c r="AB370" s="196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6.592965077880035E-2</v>
      </c>
      <c r="AD370" s="230">
        <f>(INDEX(Models!$BJ370:$BT370,,AH370)*(1-AF370)+INDEX(Models!$BJ370:$BT370,,AH370+1)*AF370-ERP_i)*AE370*Ramure*Pc/MaxiM</f>
        <v>1.128542060863974E-3</v>
      </c>
      <c r="AE370" s="304">
        <f t="shared" si="142"/>
        <v>0.5</v>
      </c>
      <c r="AF370" s="176">
        <f t="shared" si="143"/>
        <v>0.23477532711218529</v>
      </c>
      <c r="AG370" s="814">
        <f t="shared" si="149"/>
        <v>2</v>
      </c>
      <c r="AH370" s="175">
        <f t="shared" si="144"/>
        <v>8</v>
      </c>
      <c r="AI370" s="224">
        <f t="shared" si="145"/>
        <v>2.2347753271121853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10">
        <f>'2025'!Wh/'2025'!Env_an*'2026'!Env_an</f>
        <v>19.234189930191768</v>
      </c>
      <c r="C371" s="843"/>
      <c r="D371" s="392">
        <f t="shared" si="127"/>
        <v>20.572166113778067</v>
      </c>
      <c r="E371" s="384">
        <f t="shared" si="150"/>
        <v>21.130272256930766</v>
      </c>
      <c r="F371" s="384">
        <f t="shared" si="128"/>
        <v>21.133318821625707</v>
      </c>
      <c r="G371" s="110">
        <f t="shared" si="151"/>
        <v>0.84108829491836423</v>
      </c>
      <c r="H371" s="413" t="b">
        <f>Wh_hp&gt;='2025'!Maxi_hp</f>
        <v>0</v>
      </c>
      <c r="I371" s="389">
        <f>IF(H371,Wh_hp,'2025'!Maxi_hp)</f>
        <v>21.278593952413768</v>
      </c>
      <c r="J371" s="85">
        <f>IF(H371,An,'2025'!An_max)</f>
        <v>2020</v>
      </c>
      <c r="K371" s="196">
        <f t="shared" si="129"/>
        <v>46379</v>
      </c>
      <c r="L371" s="147">
        <f>IF(t&lt;Tvie,1-EXP((T0-t)*PertePVj)+'2025'!Pspv,1-EXP((T0-t)*PertePVj)+Pspv)</f>
        <v>6.5038177126627267E-2</v>
      </c>
      <c r="M371" s="847"/>
      <c r="N371" s="847"/>
      <c r="O371" s="48">
        <f>IF(t&lt;Tnet,'2025'!Resal+('2025'!Salim-'2025'!Resal)*(1-EXP(('2025'!Tnet-t)/('2025'!Tau_j))),Resal+(Salim-Resal)*(1-EXP((Tnet-t)/(Tau_j))))*Salcycl</f>
        <v>2.6412633796975366E-2</v>
      </c>
      <c r="P371" s="168">
        <f>(INDEX(Models!$BJ371:$BT371,,T371)*(1-R371)+INDEX(Models!$BJ371:$BT371,,T371+1)*R371-ERP_i)*Q371*Ramure*Pc/MaxiM</f>
        <v>1.8648505073922469E-4</v>
      </c>
      <c r="Q371" s="304">
        <f t="shared" si="130"/>
        <v>0.5</v>
      </c>
      <c r="R371" s="176">
        <f t="shared" si="131"/>
        <v>0.11978278728779779</v>
      </c>
      <c r="S371" s="814">
        <f t="shared" si="132"/>
        <v>0</v>
      </c>
      <c r="T371" s="175">
        <f t="shared" si="133"/>
        <v>6</v>
      </c>
      <c r="U371" s="250">
        <f t="shared" si="134"/>
        <v>0.11978278728779779</v>
      </c>
      <c r="V371" s="382">
        <f t="shared" si="135"/>
        <v>22.86724928609004</v>
      </c>
      <c r="W371" s="401">
        <f t="shared" si="136"/>
        <v>19.234189930191768</v>
      </c>
      <c r="X371" s="157">
        <f t="shared" si="137"/>
        <v>46379</v>
      </c>
      <c r="Y371" s="384">
        <f t="shared" si="138"/>
        <v>18.439468748325936</v>
      </c>
      <c r="Z371" s="384">
        <f t="shared" si="139"/>
        <v>19.722162228674549</v>
      </c>
      <c r="AA371" s="385">
        <f t="shared" si="140"/>
        <v>21.114906505430746</v>
      </c>
      <c r="AB371" s="196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6.5960238867171103E-2</v>
      </c>
      <c r="AD371" s="230">
        <f>(INDEX(Models!$BJ371:$BT371,,AH371)*(1-AF371)+INDEX(Models!$BJ371:$BT371,,AH371+1)*AF371-ERP_i)*AE371*Ramure*Pc/MaxiM</f>
        <v>1.1270470394232083E-3</v>
      </c>
      <c r="AE371" s="304">
        <f t="shared" si="142"/>
        <v>0.5</v>
      </c>
      <c r="AF371" s="176">
        <f t="shared" si="143"/>
        <v>0.23477532711218529</v>
      </c>
      <c r="AG371" s="814">
        <f t="shared" si="149"/>
        <v>2</v>
      </c>
      <c r="AH371" s="175">
        <f t="shared" si="144"/>
        <v>8</v>
      </c>
      <c r="AI371" s="224">
        <f t="shared" si="145"/>
        <v>2.2347753271121853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10">
        <f>'2025'!Wh/'2025'!Env_an*'2026'!Env_an</f>
        <v>21.963671785663539</v>
      </c>
      <c r="C372" s="843"/>
      <c r="D372" s="392">
        <f t="shared" si="127"/>
        <v>23.492031120610687</v>
      </c>
      <c r="E372" s="384">
        <f t="shared" si="150"/>
        <v>24.131224795278367</v>
      </c>
      <c r="F372" s="384">
        <f t="shared" si="128"/>
        <v>24.135459618715405</v>
      </c>
      <c r="G372" s="110">
        <f t="shared" si="151"/>
        <v>0.95884454641812655</v>
      </c>
      <c r="H372" s="413" t="b">
        <f>Wh_hp&gt;='2025'!Maxi_hp</f>
        <v>0</v>
      </c>
      <c r="I372" s="389">
        <f>IF(H372,Wh_hp,'2025'!Maxi_hp)</f>
        <v>24.135601514029915</v>
      </c>
      <c r="J372" s="85">
        <f>IF(H372,An,'2025'!An_max)</f>
        <v>2025</v>
      </c>
      <c r="K372" s="196">
        <f t="shared" si="129"/>
        <v>46380</v>
      </c>
      <c r="L372" s="147">
        <f>IF(t&lt;Tvie,1-EXP((T0-t)*PertePVj)+'2025'!Pspv,1-EXP((T0-t)*PertePVj)+Pspv)</f>
        <v>6.5058628906984745E-2</v>
      </c>
      <c r="M372" s="847"/>
      <c r="N372" s="847"/>
      <c r="O372" s="48">
        <f>IF(t&lt;Tnet,'2025'!Resal+('2025'!Salim-'2025'!Resal)*(1-EXP(('2025'!Tnet-t)/('2025'!Tau_j))),Resal+(Salim-Resal)*(1-EXP((Tnet-t)/(Tau_j))))*Salcycl</f>
        <v>2.6488240033002815E-2</v>
      </c>
      <c r="P372" s="168">
        <f>(INDEX(Models!$BJ372:$BT372,,T372)*(1-R372)+INDEX(Models!$BJ372:$BT372,,T372+1)*R372-ERP_i)*Q372*Ramure*Pc/MaxiM</f>
        <v>1.8641802052081011E-4</v>
      </c>
      <c r="Q372" s="304">
        <f t="shared" si="130"/>
        <v>0.5</v>
      </c>
      <c r="R372" s="176">
        <f t="shared" si="131"/>
        <v>0.11978278728779779</v>
      </c>
      <c r="S372" s="814">
        <f t="shared" si="132"/>
        <v>0</v>
      </c>
      <c r="T372" s="175">
        <f t="shared" si="133"/>
        <v>6</v>
      </c>
      <c r="U372" s="250">
        <f t="shared" si="134"/>
        <v>0.11978278728779779</v>
      </c>
      <c r="V372" s="382">
        <f t="shared" si="135"/>
        <v>22.906143817983956</v>
      </c>
      <c r="W372" s="401">
        <f t="shared" si="136"/>
        <v>21.963671785663539</v>
      </c>
      <c r="X372" s="157">
        <f t="shared" si="137"/>
        <v>46380</v>
      </c>
      <c r="Y372" s="384">
        <f t="shared" si="138"/>
        <v>21.053796683256369</v>
      </c>
      <c r="Z372" s="384">
        <f t="shared" si="139"/>
        <v>22.518841645271223</v>
      </c>
      <c r="AA372" s="385">
        <f t="shared" si="140"/>
        <v>24.109881598648332</v>
      </c>
      <c r="AB372" s="196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6.5991197296726242E-2</v>
      </c>
      <c r="AD372" s="230">
        <f>(INDEX(Models!$BJ372:$BT372,,AH372)*(1-AF372)+INDEX(Models!$BJ372:$BT372,,AH372+1)*AF372-ERP_i)*AE372*Ramure*Pc/MaxiM</f>
        <v>1.1259510439186242E-3</v>
      </c>
      <c r="AE372" s="304">
        <f t="shared" si="142"/>
        <v>0.5</v>
      </c>
      <c r="AF372" s="176">
        <f t="shared" si="143"/>
        <v>0.23477532711218529</v>
      </c>
      <c r="AG372" s="814">
        <f t="shared" si="149"/>
        <v>2</v>
      </c>
      <c r="AH372" s="175">
        <f t="shared" si="144"/>
        <v>8</v>
      </c>
      <c r="AI372" s="224">
        <f t="shared" si="145"/>
        <v>2.2347753271121853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10">
        <f>'2025'!Wh/'2025'!Env_an*'2026'!Env_an</f>
        <v>10.727124934902417</v>
      </c>
      <c r="C373" s="843"/>
      <c r="D373" s="392">
        <f t="shared" si="127"/>
        <v>11.473831324310513</v>
      </c>
      <c r="E373" s="384">
        <f t="shared" si="150"/>
        <v>11.786938441822903</v>
      </c>
      <c r="F373" s="384">
        <f t="shared" si="128"/>
        <v>11.787463590544583</v>
      </c>
      <c r="G373" s="110">
        <f t="shared" si="151"/>
        <v>0.4671840949634834</v>
      </c>
      <c r="H373" s="413" t="b">
        <f>Wh_hp&gt;='2025'!Maxi_hp</f>
        <v>0</v>
      </c>
      <c r="I373" s="389">
        <f>IF(H373,Wh_hp,'2025'!Maxi_hp)</f>
        <v>16.698245889929026</v>
      </c>
      <c r="J373" s="85">
        <f>IF(H373,An,'2025'!An_max)</f>
        <v>2018</v>
      </c>
      <c r="K373" s="196">
        <f t="shared" si="129"/>
        <v>46381</v>
      </c>
      <c r="L373" s="147">
        <f>IF(t&lt;Tvie,1-EXP((T0-t)*PertePVj)+'2025'!Pspv,1-EXP((T0-t)*PertePVj)+Pspv)</f>
        <v>6.5079080239395765E-2</v>
      </c>
      <c r="M373" s="847"/>
      <c r="N373" s="847"/>
      <c r="O373" s="48">
        <f>IF(t&lt;Tnet,'2025'!Resal+('2025'!Salim-'2025'!Resal)*(1-EXP(('2025'!Tnet-t)/('2025'!Tau_j))),Resal+(Salim-Resal)*(1-EXP((Tnet-t)/(Tau_j))))*Salcycl</f>
        <v>2.6563905382029424E-2</v>
      </c>
      <c r="P373" s="168">
        <f>(INDEX(Models!$BJ373:$BT373,,T373)*(1-R373)+INDEX(Models!$BJ373:$BT373,,T373+1)*R373-ERP_i)*Q373*Ramure*Pc/MaxiM</f>
        <v>1.8646306009122531E-4</v>
      </c>
      <c r="Q373" s="304">
        <f t="shared" si="130"/>
        <v>0.5</v>
      </c>
      <c r="R373" s="176">
        <f t="shared" si="131"/>
        <v>0.11978278728779779</v>
      </c>
      <c r="S373" s="814">
        <f t="shared" si="132"/>
        <v>0</v>
      </c>
      <c r="T373" s="175">
        <f t="shared" si="133"/>
        <v>6</v>
      </c>
      <c r="U373" s="250">
        <f t="shared" si="134"/>
        <v>0.11978278728779779</v>
      </c>
      <c r="V373" s="382">
        <f t="shared" si="135"/>
        <v>22.95797883372126</v>
      </c>
      <c r="W373" s="401">
        <f t="shared" si="136"/>
        <v>10.727124934902417</v>
      </c>
      <c r="X373" s="157">
        <f t="shared" si="137"/>
        <v>46381</v>
      </c>
      <c r="Y373" s="384">
        <f t="shared" si="138"/>
        <v>10.289988462773353</v>
      </c>
      <c r="Z373" s="384">
        <f t="shared" si="139"/>
        <v>11.006266140036963</v>
      </c>
      <c r="AA373" s="385">
        <f t="shared" si="140"/>
        <v>11.784294635036847</v>
      </c>
      <c r="AB373" s="196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6.6022491722725854E-2</v>
      </c>
      <c r="AD373" s="230">
        <f>(INDEX(Models!$BJ373:$BT373,,AH373)*(1-AF373)+INDEX(Models!$BJ373:$BT373,,AH373+1)*AF373-ERP_i)*AE373*Ramure*Pc/MaxiM</f>
        <v>1.1251920015603392E-3</v>
      </c>
      <c r="AE373" s="304">
        <f t="shared" si="142"/>
        <v>0.5</v>
      </c>
      <c r="AF373" s="176">
        <f t="shared" si="143"/>
        <v>0.23477532711218529</v>
      </c>
      <c r="AG373" s="814">
        <f t="shared" si="149"/>
        <v>2</v>
      </c>
      <c r="AH373" s="175">
        <f t="shared" si="144"/>
        <v>8</v>
      </c>
      <c r="AI373" s="224">
        <f t="shared" si="145"/>
        <v>2.2347753271121853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10">
        <f>'2025'!Wh/'2025'!Env_an*'2026'!Env_an</f>
        <v>19.733016147152796</v>
      </c>
      <c r="C374" s="843"/>
      <c r="D374" s="392">
        <f t="shared" si="127"/>
        <v>21.107076960689099</v>
      </c>
      <c r="E374" s="384">
        <f t="shared" si="150"/>
        <v>21.684750424056542</v>
      </c>
      <c r="F374" s="384">
        <f t="shared" si="128"/>
        <v>21.68797139967219</v>
      </c>
      <c r="G374" s="110">
        <f t="shared" si="151"/>
        <v>0.85705644370640532</v>
      </c>
      <c r="H374" s="413" t="b">
        <f>Wh_hp&gt;='2025'!Maxi_hp</f>
        <v>0</v>
      </c>
      <c r="I374" s="389">
        <f>IF(H374,Wh_hp,'2025'!Maxi_hp)</f>
        <v>24.848198087219174</v>
      </c>
      <c r="J374" s="85">
        <f>IF(H374,An,'2025'!An_max)</f>
        <v>2018</v>
      </c>
      <c r="K374" s="196">
        <f t="shared" si="129"/>
        <v>46382</v>
      </c>
      <c r="L374" s="147">
        <f>IF(t&lt;Tvie,1-EXP((T0-t)*PertePVj)+'2025'!Pspv,1-EXP((T0-t)*PertePVj)+Pspv)</f>
        <v>6.5099531123870097E-2</v>
      </c>
      <c r="M374" s="847"/>
      <c r="N374" s="847"/>
      <c r="O374" s="48">
        <f>IF(t&lt;Tnet,'2025'!Resal+('2025'!Salim-'2025'!Resal)*(1-EXP(('2025'!Tnet-t)/('2025'!Tau_j))),Resal+(Salim-Resal)*(1-EXP((Tnet-t)/(Tau_j))))*Salcycl</f>
        <v>2.6639617799178714E-2</v>
      </c>
      <c r="P374" s="168">
        <f>(INDEX(Models!$BJ374:$BT374,,T374)*(1-R374)+INDEX(Models!$BJ374:$BT374,,T374+1)*R374-ERP_i)*Q374*Ramure*Pc/MaxiM</f>
        <v>1.8661299459952718E-4</v>
      </c>
      <c r="Q374" s="304">
        <f t="shared" si="130"/>
        <v>0.5</v>
      </c>
      <c r="R374" s="176">
        <f t="shared" si="131"/>
        <v>0.11978278728779779</v>
      </c>
      <c r="S374" s="814">
        <f t="shared" si="132"/>
        <v>0</v>
      </c>
      <c r="T374" s="175">
        <f t="shared" si="133"/>
        <v>6</v>
      </c>
      <c r="U374" s="250">
        <f t="shared" si="134"/>
        <v>0.11978278728779779</v>
      </c>
      <c r="V374" s="382">
        <f t="shared" si="135"/>
        <v>23.023296049864534</v>
      </c>
      <c r="W374" s="401">
        <f t="shared" si="136"/>
        <v>19.733016147152796</v>
      </c>
      <c r="X374" s="157">
        <f t="shared" si="137"/>
        <v>46382</v>
      </c>
      <c r="Y374" s="384">
        <f t="shared" si="138"/>
        <v>18.919825208861401</v>
      </c>
      <c r="Z374" s="384">
        <f t="shared" si="139"/>
        <v>20.237261439825197</v>
      </c>
      <c r="AA374" s="385">
        <f t="shared" si="140"/>
        <v>21.668558328318444</v>
      </c>
      <c r="AB374" s="196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6.605408937717358E-2</v>
      </c>
      <c r="AD374" s="230">
        <f>(INDEX(Models!$BJ374:$BT374,,AH374)*(1-AF374)+INDEX(Models!$BJ374:$BT374,,AH374+1)*AF374-ERP_i)*AE374*Ramure*Pc/MaxiM</f>
        <v>1.1247310790248189E-3</v>
      </c>
      <c r="AE374" s="304">
        <f t="shared" si="142"/>
        <v>0.5</v>
      </c>
      <c r="AF374" s="176">
        <f t="shared" si="143"/>
        <v>0.23477532711218529</v>
      </c>
      <c r="AG374" s="814">
        <f t="shared" si="149"/>
        <v>2</v>
      </c>
      <c r="AH374" s="175">
        <f t="shared" si="144"/>
        <v>8</v>
      </c>
      <c r="AI374" s="224">
        <f t="shared" si="145"/>
        <v>2.2347753271121853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10">
        <f>'2025'!Wh/'2025'!Env_an*'2026'!Env_an</f>
        <v>6.3112111158706776</v>
      </c>
      <c r="C375" s="843"/>
      <c r="D375" s="392">
        <f t="shared" si="127"/>
        <v>6.7508246955633764</v>
      </c>
      <c r="E375" s="384">
        <f t="shared" si="150"/>
        <v>6.9361258344523353</v>
      </c>
      <c r="F375" s="384">
        <f t="shared" si="128"/>
        <v>6.9361258344523353</v>
      </c>
      <c r="G375" s="110">
        <f t="shared" si="151"/>
        <v>0.27314318674046384</v>
      </c>
      <c r="H375" s="413" t="b">
        <f>Wh_hp&gt;='2025'!Maxi_hp</f>
        <v>0</v>
      </c>
      <c r="I375" s="389">
        <f>IF(H375,Wh_hp,'2025'!Maxi_hp)</f>
        <v>25.062175747198527</v>
      </c>
      <c r="J375" s="85">
        <f>IF(H375,An,'2025'!An_max)</f>
        <v>2018</v>
      </c>
      <c r="K375" s="196">
        <f t="shared" si="129"/>
        <v>46383</v>
      </c>
      <c r="L375" s="147">
        <f>IF(t&lt;Tvie,1-EXP((T0-t)*PertePVj)+'2025'!Pspv,1-EXP((T0-t)*PertePVj)+Pspv)</f>
        <v>6.5119981560417511E-2</v>
      </c>
      <c r="M375" s="847"/>
      <c r="N375" s="847"/>
      <c r="O375" s="48">
        <f>IF(t&lt;Tnet,'2025'!Resal+('2025'!Salim-'2025'!Resal)*(1-EXP(('2025'!Tnet-t)/('2025'!Tau_j))),Resal+(Salim-Resal)*(1-EXP((Tnet-t)/(Tau_j))))*Salcycl</f>
        <v>2.6715365798087504E-2</v>
      </c>
      <c r="P375" s="168">
        <f>(INDEX(Models!$BJ375:$BT375,,T375)*(1-R375)+INDEX(Models!$BJ375:$BT375,,T375+1)*R375-ERP_i)*Q375*Ramure*Pc/MaxiM</f>
        <v>1.8699284990139506E-4</v>
      </c>
      <c r="Q375" s="304">
        <f t="shared" si="130"/>
        <v>0.5</v>
      </c>
      <c r="R375" s="176">
        <f t="shared" si="131"/>
        <v>0.11978278728779779</v>
      </c>
      <c r="S375" s="814">
        <f t="shared" si="132"/>
        <v>0</v>
      </c>
      <c r="T375" s="175">
        <f t="shared" si="133"/>
        <v>6</v>
      </c>
      <c r="U375" s="250">
        <f t="shared" si="134"/>
        <v>0.11978278728779779</v>
      </c>
      <c r="V375" s="382">
        <f t="shared" si="135"/>
        <v>23.101549922654591</v>
      </c>
      <c r="W375" s="401">
        <f t="shared" si="136"/>
        <v>6.3112111158706776</v>
      </c>
      <c r="X375" s="157">
        <f t="shared" si="137"/>
        <v>46383</v>
      </c>
      <c r="Y375" s="384">
        <f t="shared" si="138"/>
        <v>6.0559146507363195</v>
      </c>
      <c r="Z375" s="384">
        <f t="shared" si="139"/>
        <v>6.477745305589381</v>
      </c>
      <c r="AA375" s="385">
        <f t="shared" si="140"/>
        <v>6.9361258344523353</v>
      </c>
      <c r="AB375" s="196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6.6085959194416413E-2</v>
      </c>
      <c r="AD375" s="230">
        <f>(INDEX(Models!$BJ375:$BT375,,AH375)*(1-AF375)+INDEX(Models!$BJ375:$BT375,,AH375+1)*AF375-ERP_i)*AE375*Ramure*Pc/MaxiM</f>
        <v>1.1250129004077101E-3</v>
      </c>
      <c r="AE375" s="304">
        <f t="shared" si="142"/>
        <v>0.5</v>
      </c>
      <c r="AF375" s="176">
        <f t="shared" si="143"/>
        <v>0.23477532711218529</v>
      </c>
      <c r="AG375" s="814">
        <f t="shared" si="149"/>
        <v>2</v>
      </c>
      <c r="AH375" s="175">
        <f t="shared" si="144"/>
        <v>8</v>
      </c>
      <c r="AI375" s="224">
        <f t="shared" si="145"/>
        <v>2.2347753271121853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10">
        <f>'2025'!Wh/'2025'!Env_an*'2026'!Env_an</f>
        <v>19.273326360074343</v>
      </c>
      <c r="C376" s="843"/>
      <c r="D376" s="392">
        <f t="shared" si="127"/>
        <v>20.616279717829652</v>
      </c>
      <c r="E376" s="384">
        <f t="shared" si="150"/>
        <v>21.183818328692464</v>
      </c>
      <c r="F376" s="384">
        <f t="shared" si="128"/>
        <v>21.186831995832684</v>
      </c>
      <c r="G376" s="110">
        <f t="shared" si="151"/>
        <v>0.83098859491213628</v>
      </c>
      <c r="H376" s="413" t="b">
        <f>Wh_hp&gt;='2025'!Maxi_hp</f>
        <v>0</v>
      </c>
      <c r="I376" s="389">
        <f>IF(H376,Wh_hp,'2025'!Maxi_hp)</f>
        <v>21.187345678192241</v>
      </c>
      <c r="J376" s="85">
        <f>IF(H376,An,'2025'!An_max)</f>
        <v>2025</v>
      </c>
      <c r="K376" s="196">
        <f t="shared" si="129"/>
        <v>46384</v>
      </c>
      <c r="L376" s="147">
        <f>IF(t&lt;Tvie,1-EXP((T0-t)*PertePVj)+'2025'!Pspv,1-EXP((T0-t)*PertePVj)+Pspv)</f>
        <v>6.5140431549048E-2</v>
      </c>
      <c r="M376" s="847"/>
      <c r="N376" s="847"/>
      <c r="O376" s="48">
        <f>IF(t&lt;Tnet,'2025'!Resal+('2025'!Salim-'2025'!Resal)*(1-EXP(('2025'!Tnet-t)/('2025'!Tau_j))),Resal+(Salim-Resal)*(1-EXP((Tnet-t)/(Tau_j))))*Salcycl</f>
        <v>2.6791138502831144E-2</v>
      </c>
      <c r="P376" s="168">
        <f>(INDEX(Models!$BJ376:$BT376,,T376)*(1-R376)+INDEX(Models!$BJ376:$BT376,,T376+1)*R376-ERP_i)*Q376*Ramure*Pc/MaxiM</f>
        <v>1.8750434649088228E-4</v>
      </c>
      <c r="Q376" s="304">
        <f t="shared" si="130"/>
        <v>0.5</v>
      </c>
      <c r="R376" s="176">
        <f t="shared" si="131"/>
        <v>0.11978278728779779</v>
      </c>
      <c r="S376" s="814">
        <f t="shared" si="132"/>
        <v>0</v>
      </c>
      <c r="T376" s="175">
        <f t="shared" si="133"/>
        <v>6</v>
      </c>
      <c r="U376" s="250">
        <f t="shared" si="134"/>
        <v>0.11978278728779779</v>
      </c>
      <c r="V376" s="382">
        <f t="shared" si="135"/>
        <v>23.192200238240062</v>
      </c>
      <c r="W376" s="401">
        <f t="shared" si="136"/>
        <v>19.273326360074343</v>
      </c>
      <c r="X376" s="157">
        <f t="shared" si="137"/>
        <v>46384</v>
      </c>
      <c r="Y376" s="384">
        <f t="shared" si="138"/>
        <v>18.481336112520982</v>
      </c>
      <c r="Z376" s="384">
        <f t="shared" si="139"/>
        <v>19.769104083883178</v>
      </c>
      <c r="AA376" s="385">
        <f t="shared" si="140"/>
        <v>21.1687403829274</v>
      </c>
      <c r="AB376" s="196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6.6118071917638924E-2</v>
      </c>
      <c r="AD376" s="230">
        <f>(INDEX(Models!$BJ376:$BT376,,AH376)*(1-AF376)+INDEX(Models!$BJ376:$BT376,,AH376+1)*AF376-ERP_i)*AE376*Ramure*Pc/MaxiM</f>
        <v>1.125623997919089E-3</v>
      </c>
      <c r="AE376" s="304">
        <f t="shared" si="142"/>
        <v>0.5</v>
      </c>
      <c r="AF376" s="176">
        <f t="shared" si="143"/>
        <v>0.23477532711218529</v>
      </c>
      <c r="AG376" s="814">
        <f t="shared" si="149"/>
        <v>2</v>
      </c>
      <c r="AH376" s="175">
        <f t="shared" si="144"/>
        <v>8</v>
      </c>
      <c r="AI376" s="224">
        <f t="shared" si="145"/>
        <v>2.2347753271121853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10">
        <f>'2025'!Wh/'2025'!Env_an*'2026'!Env_an</f>
        <v>10.559400217085585</v>
      </c>
      <c r="C377" s="843"/>
      <c r="D377" s="392">
        <f t="shared" si="127"/>
        <v>11.29541971820243</v>
      </c>
      <c r="E377" s="384">
        <f t="shared" si="150"/>
        <v>11.607271416851708</v>
      </c>
      <c r="F377" s="384">
        <f t="shared" si="128"/>
        <v>11.607749695386849</v>
      </c>
      <c r="G377" s="110">
        <f t="shared" si="151"/>
        <v>0.45322954887941941</v>
      </c>
      <c r="H377" s="413" t="b">
        <f>Wh_hp&gt;='2025'!Maxi_hp</f>
        <v>0</v>
      </c>
      <c r="I377" s="389">
        <f>IF(H377,Wh_hp,'2025'!Maxi_hp)</f>
        <v>24.833306177671162</v>
      </c>
      <c r="J377" s="85">
        <f>IF(H377,An,'2025'!An_max)</f>
        <v>2019</v>
      </c>
      <c r="K377" s="196">
        <f t="shared" si="129"/>
        <v>46385</v>
      </c>
      <c r="L377" s="147">
        <f>IF(t&lt;Tvie,1-EXP((T0-t)*PertePVj)+'2025'!Pspv,1-EXP((T0-t)*PertePVj)+Pspv)</f>
        <v>6.5160881089771111E-2</v>
      </c>
      <c r="M377" s="847"/>
      <c r="N377" s="847"/>
      <c r="O377" s="48">
        <f>IF(t&lt;Tnet,'2025'!Resal+('2025'!Salim-'2025'!Resal)*(1-EXP(('2025'!Tnet-t)/('2025'!Tau_j))),Resal+(Salim-Resal)*(1-EXP((Tnet-t)/(Tau_j))))*Salcycl</f>
        <v>2.6866925692503863E-2</v>
      </c>
      <c r="P377" s="168">
        <f>(INDEX(Models!$BJ377:$BT377,,T377)*(1-R377)+INDEX(Models!$BJ377:$BT377,,T377+1)*R377-ERP_i)*Q377*Ramure*Pc/MaxiM</f>
        <v>1.8814800458759605E-4</v>
      </c>
      <c r="Q377" s="304">
        <f t="shared" si="130"/>
        <v>0.5</v>
      </c>
      <c r="R377" s="176">
        <f t="shared" si="131"/>
        <v>0.11978278728779779</v>
      </c>
      <c r="S377" s="814">
        <f t="shared" si="132"/>
        <v>0</v>
      </c>
      <c r="T377" s="175">
        <f t="shared" si="133"/>
        <v>6</v>
      </c>
      <c r="U377" s="250">
        <f t="shared" si="134"/>
        <v>0.11978278728779779</v>
      </c>
      <c r="V377" s="382">
        <f t="shared" si="135"/>
        <v>23.294704707945339</v>
      </c>
      <c r="W377" s="401">
        <f t="shared" si="136"/>
        <v>10.559400217085585</v>
      </c>
      <c r="X377" s="157">
        <f t="shared" si="137"/>
        <v>46385</v>
      </c>
      <c r="Y377" s="384">
        <f t="shared" si="138"/>
        <v>10.131055376123848</v>
      </c>
      <c r="Z377" s="384">
        <f t="shared" si="139"/>
        <v>10.837218053020647</v>
      </c>
      <c r="AA377" s="385">
        <f t="shared" si="140"/>
        <v>11.604885899376333</v>
      </c>
      <c r="AB377" s="196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6.6150400185920111E-2</v>
      </c>
      <c r="AD377" s="230">
        <f>(INDEX(Models!$BJ377:$BT377,,AH377)*(1-AF377)+INDEX(Models!$BJ377:$BT377,,AH377+1)*AF377-ERP_i)*AE377*Ramure*Pc/MaxiM</f>
        <v>1.1265768068918589E-3</v>
      </c>
      <c r="AE377" s="304">
        <f t="shared" si="142"/>
        <v>0.5</v>
      </c>
      <c r="AF377" s="176">
        <f t="shared" si="143"/>
        <v>0.23477532711218529</v>
      </c>
      <c r="AG377" s="814">
        <f t="shared" si="149"/>
        <v>2</v>
      </c>
      <c r="AH377" s="175">
        <f t="shared" si="144"/>
        <v>8</v>
      </c>
      <c r="AI377" s="224">
        <f t="shared" si="145"/>
        <v>2.2347753271121853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10">
        <f>'2025'!Wh/'2025'!Env_an*'2026'!Env_an</f>
        <v>14.91620270330109</v>
      </c>
      <c r="C378" s="843"/>
      <c r="D378" s="392">
        <f t="shared" si="127"/>
        <v>15.956252463608427</v>
      </c>
      <c r="E378" s="384">
        <f t="shared" si="150"/>
        <v>16.398060788528376</v>
      </c>
      <c r="F378" s="384">
        <f t="shared" si="128"/>
        <v>16.399553325326199</v>
      </c>
      <c r="G378" s="110">
        <f t="shared" si="151"/>
        <v>0.63715011831908142</v>
      </c>
      <c r="H378" s="413" t="b">
        <f>Wh_hp&gt;='2025'!Maxi_hp</f>
        <v>0</v>
      </c>
      <c r="I378" s="389">
        <f>IF(H378,Wh_hp,'2025'!Maxi_hp)</f>
        <v>25.966265464195352</v>
      </c>
      <c r="J378" s="85">
        <f>IF(H378,An,'2025'!An_max)</f>
        <v>2019</v>
      </c>
      <c r="K378" s="196">
        <f t="shared" si="129"/>
        <v>46386</v>
      </c>
      <c r="L378" s="147">
        <f>IF(t&lt;Tvie,1-EXP((T0-t)*PertePVj)+'2025'!Pspv,1-EXP((T0-t)*PertePVj)+Pspv)</f>
        <v>6.5181330182596947E-2</v>
      </c>
      <c r="M378" s="847"/>
      <c r="N378" s="847"/>
      <c r="O378" s="48">
        <f>IF(t&lt;Tnet,'2025'!Resal+('2025'!Salim-'2025'!Resal)*(1-EXP(('2025'!Tnet-t)/('2025'!Tau_j))),Resal+(Salim-Resal)*(1-EXP((Tnet-t)/(Tau_j))))*Salcycl</f>
        <v>2.6942717838259606E-2</v>
      </c>
      <c r="P378" s="168">
        <f>(INDEX(Models!$BJ378:$BT378,,T378)*(1-R378)+INDEX(Models!$BJ378:$BT378,,T378+1)*R378-ERP_i)*Q378*Ramure*Pc/MaxiM</f>
        <v>1.8892410911757531E-4</v>
      </c>
      <c r="Q378" s="304">
        <f t="shared" si="130"/>
        <v>0.5</v>
      </c>
      <c r="R378" s="176">
        <f t="shared" si="131"/>
        <v>0.11978278728779779</v>
      </c>
      <c r="S378" s="814">
        <f t="shared" si="132"/>
        <v>0</v>
      </c>
      <c r="T378" s="175">
        <f t="shared" si="133"/>
        <v>6</v>
      </c>
      <c r="U378" s="250">
        <f t="shared" si="134"/>
        <v>0.11978278728779779</v>
      </c>
      <c r="V378" s="382">
        <f t="shared" si="135"/>
        <v>23.408521237114503</v>
      </c>
      <c r="W378" s="401">
        <f t="shared" si="136"/>
        <v>14.91620270330109</v>
      </c>
      <c r="X378" s="157">
        <f t="shared" si="137"/>
        <v>46386</v>
      </c>
      <c r="Y378" s="384">
        <f t="shared" si="138"/>
        <v>14.308205789648055</v>
      </c>
      <c r="Z378" s="384">
        <f t="shared" si="139"/>
        <v>15.305862250743086</v>
      </c>
      <c r="AA378" s="385">
        <f t="shared" si="140"/>
        <v>16.390642831060724</v>
      </c>
      <c r="AB378" s="196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6.618291860170053E-2</v>
      </c>
      <c r="AD378" s="230">
        <f>(INDEX(Models!$BJ378:$BT378,,AH378)*(1-AF378)+INDEX(Models!$BJ378:$BT378,,AH378+1)*AF378-ERP_i)*AE378*Ramure*Pc/MaxiM</f>
        <v>1.1278832075411708E-3</v>
      </c>
      <c r="AE378" s="304">
        <f t="shared" si="142"/>
        <v>0.5</v>
      </c>
      <c r="AF378" s="176">
        <f t="shared" si="143"/>
        <v>0.23477532711218529</v>
      </c>
      <c r="AG378" s="814">
        <f t="shared" si="149"/>
        <v>2</v>
      </c>
      <c r="AH378" s="175">
        <f t="shared" si="144"/>
        <v>8</v>
      </c>
      <c r="AI378" s="224">
        <f t="shared" si="145"/>
        <v>2.2347753271121853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10">
        <f>'2025'!Wh/'2025'!Env_an*'2026'!Env_an</f>
        <v>12.016198258147041</v>
      </c>
      <c r="C379" s="843"/>
      <c r="D379" s="392">
        <f t="shared" si="127"/>
        <v>12.854322982210855</v>
      </c>
      <c r="E379" s="384">
        <f t="shared" si="150"/>
        <v>13.211271810647482</v>
      </c>
      <c r="F379" s="384">
        <f t="shared" si="128"/>
        <v>13.212026412382233</v>
      </c>
      <c r="G379" s="110">
        <f t="shared" si="151"/>
        <v>0.51054044521618691</v>
      </c>
      <c r="H379" s="413" t="b">
        <f>Wh_hp&gt;='2025'!Maxi_hp</f>
        <v>0</v>
      </c>
      <c r="I379" s="389">
        <f>IF(H379,Wh_hp,'2025'!Maxi_hp)</f>
        <v>25.625929752628863</v>
      </c>
      <c r="J379" s="85">
        <f>IF(H379,An,'2025'!An_max)</f>
        <v>2021</v>
      </c>
      <c r="K379" s="196">
        <f t="shared" si="129"/>
        <v>46387</v>
      </c>
      <c r="L379" s="147">
        <f>IF(t&lt;Tvie,1-EXP((T0-t)*PertePVj)+'2025'!Pspv,1-EXP((T0-t)*PertePVj)+Pspv)</f>
        <v>6.5201778827535056E-2</v>
      </c>
      <c r="M379" s="847"/>
      <c r="N379" s="847"/>
      <c r="O379" s="48">
        <f>IF(t&lt;Tnet,'2025'!Resal+('2025'!Salim-'2025'!Resal)*(1-EXP(('2025'!Tnet-t)/('2025'!Tau_j))),Resal+(Salim-Resal)*(1-EXP((Tnet-t)/(Tau_j))))*Salcycl</f>
        <v>2.7018506132690925E-2</v>
      </c>
      <c r="P379" s="168">
        <f>(INDEX(Models!$BJ379:$BT379,,T379)*(1-R379)+INDEX(Models!$BJ379:$BT379,,T379+1)*R379-ERP_i)*Q379*Ramure*Pc/MaxiM</f>
        <v>1.8983273145861427E-4</v>
      </c>
      <c r="Q379" s="305">
        <f t="shared" si="130"/>
        <v>0.5</v>
      </c>
      <c r="R379" s="176">
        <f t="shared" si="131"/>
        <v>0.11978278728779779</v>
      </c>
      <c r="S379" s="814">
        <f t="shared" si="132"/>
        <v>0</v>
      </c>
      <c r="T379" s="175">
        <f t="shared" si="133"/>
        <v>6</v>
      </c>
      <c r="U379" s="306">
        <f t="shared" si="134"/>
        <v>0.11978278728779779</v>
      </c>
      <c r="V379" s="382">
        <f t="shared" si="135"/>
        <v>23.53310793335428</v>
      </c>
      <c r="W379" s="401">
        <f t="shared" si="136"/>
        <v>12.016198258147041</v>
      </c>
      <c r="X379" s="157">
        <f t="shared" si="137"/>
        <v>46387</v>
      </c>
      <c r="Y379" s="384">
        <f t="shared" si="138"/>
        <v>11.528858367723155</v>
      </c>
      <c r="Z379" s="384">
        <f t="shared" si="139"/>
        <v>12.332991341450303</v>
      </c>
      <c r="AA379" s="385">
        <f t="shared" si="140"/>
        <v>13.207536334251705</v>
      </c>
      <c r="AB379" s="196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6.621560377868535E-2</v>
      </c>
      <c r="AD379" s="230">
        <f>(INDEX(Models!$BJ379:$BT379,,AH379)*(1-AF379)+INDEX(Models!$BJ379:$BT379,,AH379+1)*AF379-ERP_i)*AE379*Ramure*Pc/MaxiM</f>
        <v>1.1295545142901633E-3</v>
      </c>
      <c r="AE379" s="305">
        <f t="shared" si="142"/>
        <v>0.5</v>
      </c>
      <c r="AF379" s="176">
        <f t="shared" si="143"/>
        <v>0.23477532711218529</v>
      </c>
      <c r="AG379" s="814">
        <f t="shared" si="149"/>
        <v>2</v>
      </c>
      <c r="AH379" s="175">
        <f t="shared" si="144"/>
        <v>8</v>
      </c>
      <c r="AI379" s="221">
        <f t="shared" si="145"/>
        <v>2.2347753271121853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Wh_hp&gt;='2025'!Maxi_hp</f>
        <v>0</v>
      </c>
      <c r="I380" s="389">
        <f>IF(H380,Wh_hp,'2025'!Maxi_hp)</f>
        <v>16.851168488797253</v>
      </c>
      <c r="J380" s="85">
        <f>IF(H380,An,'2025'!An_max)</f>
        <v>2024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1.4398157940000385</v>
      </c>
      <c r="C381" s="374"/>
      <c r="D381" s="372">
        <f>MIN(D15:D380)</f>
        <v>1.5283278210378415</v>
      </c>
      <c r="E381" s="372">
        <f>MIN(E15:E380)</f>
        <v>1.6101970801856504</v>
      </c>
      <c r="F381" s="373">
        <f>MIN(F15:F380)</f>
        <v>1.6101970801856504</v>
      </c>
      <c r="G381" s="125">
        <f>+MIN(G15:G380)</f>
        <v>5.7895064139754322E-2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5.7728803566307808E-2</v>
      </c>
      <c r="M381" s="849"/>
      <c r="N381" s="849"/>
      <c r="O381" s="47">
        <f t="shared" si="152"/>
        <v>5.5608507839918844E-3</v>
      </c>
      <c r="P381" s="167">
        <f t="shared" si="152"/>
        <v>2.5378418671592553E-5</v>
      </c>
      <c r="Q381" s="309">
        <f t="shared" si="152"/>
        <v>0.5</v>
      </c>
      <c r="R381" s="310">
        <f t="shared" si="152"/>
        <v>7.1379597711834775E-5</v>
      </c>
      <c r="S381" s="814">
        <f t="shared" si="152"/>
        <v>-1</v>
      </c>
      <c r="T381" s="175">
        <f t="shared" si="152"/>
        <v>5</v>
      </c>
      <c r="U381" s="251">
        <f>MIN(U15:U380)</f>
        <v>-0.18021644889049954</v>
      </c>
      <c r="V381" s="57">
        <f>MIN(V15:V380)</f>
        <v>22.82150864042065</v>
      </c>
      <c r="W381" s="58"/>
      <c r="X381" s="112" t="s">
        <v>7</v>
      </c>
      <c r="Y381" s="372">
        <f>MIN(Y15:Y380)</f>
        <v>1.3869693546323785</v>
      </c>
      <c r="Z381" s="372">
        <f>MIN(Z15:Z380)</f>
        <v>1.4722326706269673</v>
      </c>
      <c r="AA381" s="372">
        <f>MIN(AA15:AA380)</f>
        <v>1.6101970801856504</v>
      </c>
      <c r="AB381" s="199" t="s">
        <v>7</v>
      </c>
      <c r="AC381" s="47">
        <f t="shared" ref="AC381:AH381" si="153">MIN(AC15:AC380)</f>
        <v>5.6833507262437515E-2</v>
      </c>
      <c r="AD381" s="167">
        <f t="shared" si="153"/>
        <v>2.9216778053031347E-4</v>
      </c>
      <c r="AE381" s="309">
        <f t="shared" si="153"/>
        <v>0.5</v>
      </c>
      <c r="AF381" s="310">
        <f t="shared" si="153"/>
        <v>4.4067137357828301E-5</v>
      </c>
      <c r="AG381" s="814">
        <f t="shared" si="153"/>
        <v>1</v>
      </c>
      <c r="AH381" s="175">
        <f t="shared" si="153"/>
        <v>7</v>
      </c>
      <c r="AI381" s="225">
        <f>MIN(AI15:AI380)</f>
        <v>1.9347760909338878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29.681464279478472</v>
      </c>
      <c r="C382" s="374"/>
      <c r="D382" s="374">
        <f>AVERAGE(D15:D380)</f>
        <v>31.623063683826096</v>
      </c>
      <c r="E382" s="374">
        <f>AVERAGE(E15:E380)</f>
        <v>32.456697532396831</v>
      </c>
      <c r="F382" s="375">
        <f>AVERAGE(F15:F380)</f>
        <v>32.459539164845118</v>
      </c>
      <c r="G382" s="126">
        <f>AVERAGE(G15:G380)</f>
        <v>0.68043699605968755</v>
      </c>
      <c r="H382" s="94"/>
      <c r="I382" s="375">
        <f>AVERAGE(I15:I380)</f>
        <v>43.582204047055711</v>
      </c>
      <c r="J382" s="59">
        <f>AVERAGE(J15:J380)</f>
        <v>2020.9153005464482</v>
      </c>
      <c r="K382" s="199" t="s">
        <v>8</v>
      </c>
      <c r="L382" s="147">
        <f t="shared" ref="L382:V382" si="154">AVERAGE(L15:L380)</f>
        <v>6.1470242485346799E-2</v>
      </c>
      <c r="M382" s="847"/>
      <c r="N382" s="847"/>
      <c r="O382" s="48">
        <f t="shared" si="154"/>
        <v>2.9001652611758039E-2</v>
      </c>
      <c r="P382" s="168">
        <f t="shared" si="154"/>
        <v>1.2352642373552008E-4</v>
      </c>
      <c r="Q382" s="311">
        <f t="shared" si="154"/>
        <v>0.5</v>
      </c>
      <c r="R382" s="176">
        <f t="shared" si="154"/>
        <v>0.45346713396652077</v>
      </c>
      <c r="S382" s="814">
        <f t="shared" si="154"/>
        <v>-0.46575342465753422</v>
      </c>
      <c r="T382" s="175">
        <f t="shared" si="154"/>
        <v>5.5342465753424657</v>
      </c>
      <c r="U382" s="250">
        <f>AVERAGE(U15:U380)</f>
        <v>-1.2286290691013245E-2</v>
      </c>
      <c r="V382" s="59">
        <f t="shared" si="154"/>
        <v>42.3589209108003</v>
      </c>
      <c r="X382" s="112" t="s">
        <v>8</v>
      </c>
      <c r="Y382" s="374">
        <f>AVERAGE(Y15:Y380)</f>
        <v>28.341766351145107</v>
      </c>
      <c r="Z382" s="374">
        <f>AVERAGE(Z15:Z380)</f>
        <v>30.195553927802816</v>
      </c>
      <c r="AA382" s="374">
        <f>AVERAGE(AA15:AA380)</f>
        <v>32.44004123782203</v>
      </c>
      <c r="AB382" s="199" t="s">
        <v>8</v>
      </c>
      <c r="AC382" s="48">
        <f t="shared" ref="AC382:AH382" si="155">AVERAGE(AC15:AC380)</f>
        <v>7.0896570483100385E-2</v>
      </c>
      <c r="AD382" s="168">
        <f t="shared" si="155"/>
        <v>8.7613206692131089E-4</v>
      </c>
      <c r="AE382" s="311">
        <f t="shared" si="155"/>
        <v>0.5</v>
      </c>
      <c r="AF382" s="176">
        <f t="shared" si="155"/>
        <v>0.45613090666762018</v>
      </c>
      <c r="AG382" s="814">
        <f t="shared" si="155"/>
        <v>1.6465753424657534</v>
      </c>
      <c r="AH382" s="175">
        <f t="shared" si="155"/>
        <v>7.646575342465753</v>
      </c>
      <c r="AI382" s="224">
        <f>AVERAGE(AI15:AI380)</f>
        <v>2.1027062491333721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55.868333897831114</v>
      </c>
      <c r="C383" s="376"/>
      <c r="D383" s="376">
        <f>MAX(D15:D380)</f>
        <v>59.483405464469797</v>
      </c>
      <c r="E383" s="376">
        <f>MAX(E15:E380)</f>
        <v>59.999089489677282</v>
      </c>
      <c r="F383" s="377">
        <f>MAX(F15:F380)</f>
        <v>60.006020664117273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2026</v>
      </c>
      <c r="K383" s="199" t="s">
        <v>9</v>
      </c>
      <c r="L383" s="148">
        <f t="shared" ref="L383:T383" si="156">MAX(L15:L380)</f>
        <v>6.5201778827535056E-2</v>
      </c>
      <c r="M383" s="850"/>
      <c r="N383" s="850"/>
      <c r="O383" s="49">
        <f t="shared" si="156"/>
        <v>5.6758428480236663E-2</v>
      </c>
      <c r="P383" s="169">
        <f t="shared" si="156"/>
        <v>2.3984074263845822E-4</v>
      </c>
      <c r="Q383" s="312">
        <f t="shared" si="156"/>
        <v>0.5</v>
      </c>
      <c r="R383" s="313">
        <f t="shared" si="156"/>
        <v>0.99709869275146246</v>
      </c>
      <c r="S383" s="815">
        <f t="shared" si="156"/>
        <v>0</v>
      </c>
      <c r="T383" s="232">
        <f t="shared" si="156"/>
        <v>6</v>
      </c>
      <c r="U383" s="252">
        <f>MAX(U15:U380)</f>
        <v>0.11978278728779779</v>
      </c>
      <c r="V383" s="60">
        <f>MAX(V15:V380)</f>
        <v>56.420790702394889</v>
      </c>
      <c r="X383" s="112" t="s">
        <v>9</v>
      </c>
      <c r="Y383" s="376">
        <f>MAX(Y15:Y380)</f>
        <v>52.974075526819043</v>
      </c>
      <c r="Z383" s="376">
        <f>MAX(Z15:Z380)</f>
        <v>56.401868354079426</v>
      </c>
      <c r="AA383" s="376">
        <f>MAX(AA15:AA380)</f>
        <v>59.954686663604221</v>
      </c>
      <c r="AB383" s="199" t="s">
        <v>9</v>
      </c>
      <c r="AC383" s="49">
        <f t="shared" ref="AC383:AH383" si="157">MAX(AC15:AC380)</f>
        <v>8.813497065823192E-2</v>
      </c>
      <c r="AD383" s="169">
        <f t="shared" si="157"/>
        <v>1.6438889298188359E-3</v>
      </c>
      <c r="AE383" s="312">
        <f t="shared" si="157"/>
        <v>0.5</v>
      </c>
      <c r="AF383" s="313">
        <f t="shared" si="157"/>
        <v>0.9979590710093269</v>
      </c>
      <c r="AG383" s="815">
        <f t="shared" si="157"/>
        <v>2</v>
      </c>
      <c r="AH383" s="232">
        <f t="shared" si="157"/>
        <v>8</v>
      </c>
      <c r="AI383" s="226">
        <f>MAX(AI15:AI380)</f>
        <v>2.2347753271121853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'2026'!An+1</f>
        <v>2027</v>
      </c>
      <c r="K1" s="1295"/>
      <c r="L1" s="113" t="str">
        <f>"Calcul pertes et enveloppes en "&amp;TEXT(An,0)</f>
        <v>Calcul pertes et enveloppes en 2027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368.53863786143432</v>
      </c>
      <c r="AK4" s="836">
        <f>AM12-AK12</f>
        <v>5.4345042051778591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368.53863786143432</v>
      </c>
      <c r="AA5" s="236">
        <f>Wh_Pvg_s-Wh_Pvg</f>
        <v>5.4345042051778591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10584.608214410693</v>
      </c>
      <c r="AK6" s="515">
        <f>SUMIF(AK15:AK380,"FAUX",Wh)</f>
        <v>10584.608214410693</v>
      </c>
      <c r="AL6" s="515">
        <f>SUMIF(AJ15:AJ380,"FAUX",Wh_s)</f>
        <v>10210.086268000106</v>
      </c>
      <c r="AM6" s="515">
        <f>SUMIF(AK15:AK380,"FAUX",Wh_s)</f>
        <v>10210.086268000106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AND(YEAR(Tnet)=An,Resal_2027="I")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AND(YEAR(Tnet)=An,Resal_2027&lt;&gt;"I")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11367.032045208114</v>
      </c>
      <c r="AK8" s="515">
        <f>SUMIF(AK15:AK380,"FAUX",Wh_sa)</f>
        <v>11845.644181438938</v>
      </c>
      <c r="AL8" s="515">
        <f>SUMIF(AJ15:AJ380,"FAUX",Wh_pvt_s)</f>
        <v>10964.879823345138</v>
      </c>
      <c r="AM8" s="515">
        <f>SUMIF(AK15:AK380,"FAUX",Wh_sa_s)</f>
        <v>11839.277671670672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11367.032045208114</v>
      </c>
      <c r="E9" s="183">
        <f>SUM(E$15:E$380)</f>
        <v>11845.644181438938</v>
      </c>
      <c r="F9" s="183">
        <f>SUM(F$15:F$380)</f>
        <v>11847.43905697939</v>
      </c>
      <c r="H9" s="1296">
        <f>+SUM(Wh)</f>
        <v>10584.608214410693</v>
      </c>
      <c r="I9" s="1297"/>
      <c r="J9" s="1298"/>
      <c r="K9" s="190"/>
      <c r="L9" s="231"/>
      <c r="M9" s="231"/>
      <c r="N9" s="231"/>
      <c r="O9" s="222">
        <f>Tnet_2027</f>
        <v>46142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10210.086268000106</v>
      </c>
      <c r="Y9" s="1291"/>
      <c r="Z9" s="515">
        <f>SUM(Z$15:Z$380)</f>
        <v>10964.879823345138</v>
      </c>
      <c r="AA9" s="515">
        <f>SUM(AA$15:AA$380)</f>
        <v>11839.277671670672</v>
      </c>
      <c r="AB9" s="515">
        <f>F9</f>
        <v>11847.43905697939</v>
      </c>
      <c r="AC9" s="324">
        <f>IF(An_Tnet,Tnet,'2026'!Tnet_s)</f>
        <v>46142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IF(Inflex,'2026'!Resal+('2026'!Salim-'2026'!Resal)*(1-EXP(-(Tnet-'2026'!Tnet)/('2026'!Tau_j))),IF(An_Tnet,Resal_2027,'2026'!Resal))</f>
        <v>5.4999999999999997E-3</v>
      </c>
      <c r="P10" s="420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IF(OR(Inflex,GainD),'2026'!Resal_s+('2026'!Salim-'2026'!Resal_s)*(1-EXP(('2026'!Tnet_s-Tnet)/('2026'!Tau_j))),IF(Acti_net,'2026'!Resal+('2026'!Salim-'2026'!Resal)*(1-EXP(('2026'!Tnet-Tnet)/'2026'!Tau_j)),'2026'!Resal_s))</f>
        <v>5.6211594607653931E-2</v>
      </c>
      <c r="AD10" s="427"/>
      <c r="AE10" s="427"/>
      <c r="AF10" s="259"/>
      <c r="AG10" s="260"/>
      <c r="AH10" s="261"/>
      <c r="AI10" s="472"/>
      <c r="AJ10" s="515">
        <f>SUMIF(AJ15:AJ380,"FAUX",Wh_sa)</f>
        <v>11845.644181438938</v>
      </c>
      <c r="AK10" s="515">
        <f>SUMIF(AK15:AK380,"FAUX",Wh_hp)</f>
        <v>11847.43905697939</v>
      </c>
      <c r="AL10" s="515">
        <f>SUMIF(AJ15:AJ380,"FAUX",Wh_sa_s)</f>
        <v>11839.277671670672</v>
      </c>
      <c r="AM10" s="515">
        <f>SUMIF(AK15:AK380,"FAUX",Wh_hp)</f>
        <v>11847.43905697939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782.42383079742103</v>
      </c>
      <c r="E11" s="51">
        <f>(E$9-D$9)*Prod_an/D$9</f>
        <v>445.66795699331379</v>
      </c>
      <c r="F11" s="185">
        <f>(F$9-E$9)*Prod_an/E$9</f>
        <v>1.6038008653918667</v>
      </c>
      <c r="G11" s="184" t="s">
        <v>6</v>
      </c>
      <c r="K11" s="193"/>
      <c r="L11" s="210">
        <f>Tvie_2027</f>
        <v>44375</v>
      </c>
      <c r="M11" s="846"/>
      <c r="N11" s="846"/>
      <c r="O11" s="201">
        <f>IF(An_Tnet,Salim_2027,'2026'!Salim)</f>
        <v>0.1</v>
      </c>
      <c r="P11" s="255">
        <f>Ttai_2027</f>
        <v>45747</v>
      </c>
      <c r="Q11" s="271">
        <f>Dens_2027</f>
        <v>0.5</v>
      </c>
      <c r="R11" s="276"/>
      <c r="S11" s="229"/>
      <c r="T11" s="229"/>
      <c r="U11" s="265">
        <f>Htf_2027</f>
        <v>0.41978278728779778</v>
      </c>
      <c r="V11" s="427"/>
      <c r="W11" s="518"/>
      <c r="X11" s="525" t="s">
        <v>43</v>
      </c>
      <c r="Y11" s="50">
        <f>Z$9-Prod_an_s</f>
        <v>754.79355534503156</v>
      </c>
      <c r="Z11" s="51">
        <f>(AA$9-Z$9)*Prod_an_s/Z$9</f>
        <v>814.20659485474812</v>
      </c>
      <c r="AA11" s="185">
        <f>(AB$9-AA$9)*Prod_an_s/AA$9</f>
        <v>7.0383050705697254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Pspv_2027</f>
        <v>-1.1999999999999999E-3</v>
      </c>
      <c r="M12" s="211"/>
      <c r="N12" s="211"/>
      <c r="O12" s="204">
        <f>IF(An_Tnet,Tau_2027*365,'2026'!Tau_j)</f>
        <v>949</v>
      </c>
      <c r="P12" s="280">
        <f>INDEX(Croivg,MIN(MAX(Ttai-$A$15,0)+1,366))</f>
        <v>2.3909964587625958E-6</v>
      </c>
      <c r="Q12" s="279">
        <f>'2026'!Df</f>
        <v>0.5</v>
      </c>
      <c r="R12" s="277"/>
      <c r="S12" s="278"/>
      <c r="T12" s="278"/>
      <c r="U12" s="266">
        <f>'2026'!Hdf</f>
        <v>0.11978278728779779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'2026'!Df_s</f>
        <v>0.5</v>
      </c>
      <c r="AF12" s="202"/>
      <c r="AG12" s="202"/>
      <c r="AH12" s="202"/>
      <c r="AI12" s="296">
        <f>'2026'!Hdf_s</f>
        <v>2.2347753271121853</v>
      </c>
      <c r="AJ12" s="835">
        <f>IF($AJ8=0,0,($AJ10-$AJ8)*$AJ6/$AJ8)</f>
        <v>445.66795699331379</v>
      </c>
      <c r="AK12" s="836">
        <f>IF($AK8=0,0,($AK10-$AK8)*$AK6/$AK8)</f>
        <v>1.6038008653918667</v>
      </c>
      <c r="AL12" s="835">
        <f>IF($AL8=0,0,($AL10-$AL8)*$AL6/$AL8)</f>
        <v>814.20659485474812</v>
      </c>
      <c r="AM12" s="836">
        <f>IF($AM8=0,0,($AM10-$AM8)*$AM6/$AM8)</f>
        <v>7.0383050705697254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445.66795699331379</v>
      </c>
      <c r="AK13" s="73">
        <f>+AK11+AK12</f>
        <v>1.6038008653918667</v>
      </c>
      <c r="AL13" s="73">
        <f>+AL11+AL12</f>
        <v>814.20659485474812</v>
      </c>
      <c r="AM13" s="73">
        <f>+AM11+AM12</f>
        <v>7.0383050705697254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2027</v>
      </c>
      <c r="W14" s="840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9">
        <f>'2026'!Wh/'2026'!Env_an*'2027'!Env_an</f>
        <v>23.477366281175282</v>
      </c>
      <c r="C15" s="843"/>
      <c r="D15" s="392">
        <f t="shared" ref="D15:D78" si="0">Wh/(1-Ppv)</f>
        <v>25.115451992880246</v>
      </c>
      <c r="E15" s="399">
        <f t="shared" ref="E15:E79" si="1">Wh_pvt/(1-Psa)</f>
        <v>25.814887857493797</v>
      </c>
      <c r="F15" s="399">
        <f t="shared" ref="F15:F78" si="2">Wh_sa/(1-Pvg*MEDIAN((-Sdif+Wh/Env_an)/Csdif,0,1))</f>
        <v>25.819759494318024</v>
      </c>
      <c r="G15" s="123">
        <f>+Wh_hp/MaxiM</f>
        <v>0.99194655278957022</v>
      </c>
      <c r="H15" s="413" t="b">
        <f>Wh_hp&gt;='2026'!Maxi_hp</f>
        <v>0</v>
      </c>
      <c r="I15" s="395">
        <f>IF(H15,Wh_hp,'2026'!Maxi_hp)</f>
        <v>25.819789767396504</v>
      </c>
      <c r="J15" s="84">
        <f>IF(H15,An,'2026'!An_max)</f>
        <v>2026</v>
      </c>
      <c r="K15" s="196">
        <f t="shared" ref="K15:K78" si="3">t</f>
        <v>46388</v>
      </c>
      <c r="L15" s="146">
        <f>IF(t&lt;Tvie,1-EXP((T0-t)*PertePVj)+'2026'!Pspv,1-EXP((T0-t)*PertePVj)+Pspv)</f>
        <v>6.5222227024595431E-2</v>
      </c>
      <c r="M15" s="847"/>
      <c r="N15" s="847"/>
      <c r="O15" s="48">
        <f>IF(t&lt;Tnet,'2026'!Resal+('2026'!Salim-'2026'!Resal)*(1-EXP(('2026'!Tnet-t)/('2026'!Tau_j))),Resal+(Salim-Resal)*(1-EXP((Tnet-t)/(Tau_j))))*Salcycl</f>
        <v>2.7094282511497012E-2</v>
      </c>
      <c r="P15" s="301">
        <f>(INDEX(Models!$BJ15:$BT15,,T15)*(1-R15)+INDEX(Models!$BJ15:$BT15,,T15+1)*R15-ERP_i)*Q15*Ramure*Pc/MaxiM</f>
        <v>1.9087402641938253E-4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0.11978350458673541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0.11978350458673541</v>
      </c>
      <c r="V15" s="381">
        <f t="shared" ref="V15:V78" si="9">MaxiM*(1-Ppv)*(1-Pvg)*(1-Psa)</f>
        <v>23.667923098555494</v>
      </c>
      <c r="W15" s="401">
        <f t="shared" ref="W15:W78" si="10">Wh*(A15&gt;Tmaj)</f>
        <v>23.477366281175282</v>
      </c>
      <c r="X15" s="156">
        <f t="shared" ref="X15:X78" si="11">t</f>
        <v>46388</v>
      </c>
      <c r="Y15" s="384">
        <f t="shared" ref="Y15:Y78" si="12">Wh_pvt_s*(1-Ppv)</f>
        <v>22.511573132966621</v>
      </c>
      <c r="Z15" s="384">
        <f>Wh_sa_s*(1-Psa_s)</f>
        <v>24.082272582618344</v>
      </c>
      <c r="AA15" s="385">
        <f t="shared" ref="AA15:AA78" si="13">Wh_hp*(1-Pvg_s*MEDIAN((-Sdif+Wh/Env_an)/Csdif,0,1))</f>
        <v>25.790877862014607</v>
      </c>
      <c r="AB15" s="196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6.6248434370383927E-2</v>
      </c>
      <c r="AD15" s="230">
        <f>(INDEX(Models!$BJ15:$BT15,,AH15)*(1-AF15)+INDEX(Models!$BJ15:$BT15,,AH15+1)*AF15-ERP_i)*AE15*Ramure*Pc/MaxiM</f>
        <v>1.1316018919762378E-3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0.23477604441112288</v>
      </c>
      <c r="AG15" s="813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2.2347760444111229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10">
        <f>'2026'!Wh/'2026'!Env_an*'2027'!Env_an</f>
        <v>16.621630129105881</v>
      </c>
      <c r="C16" s="843"/>
      <c r="D16" s="392">
        <f t="shared" si="0"/>
        <v>17.781759693708128</v>
      </c>
      <c r="E16" s="384">
        <f t="shared" si="1"/>
        <v>18.278384115174561</v>
      </c>
      <c r="F16" s="384">
        <f t="shared" si="2"/>
        <v>18.280380186968568</v>
      </c>
      <c r="G16" s="110">
        <f t="shared" ref="G16:G79" si="21">+Wh_hp/MaxiM</f>
        <v>0.69796556277276089</v>
      </c>
      <c r="H16" s="413" t="b">
        <f>Wh_hp&gt;='2026'!Maxi_hp</f>
        <v>0</v>
      </c>
      <c r="I16" s="389">
        <f>IF(H16,Wh_hp,'2026'!Maxi_hp)</f>
        <v>25.015272489823854</v>
      </c>
      <c r="J16" s="85">
        <f>IF(H16,An,'2026'!An_max)</f>
        <v>2020</v>
      </c>
      <c r="K16" s="196">
        <f t="shared" si="3"/>
        <v>46389</v>
      </c>
      <c r="L16" s="147">
        <f>IF(t&lt;Tvie,1-EXP((T0-t)*PertePVj)+'2026'!Pspv,1-EXP((T0-t)*PertePVj)+Pspv)</f>
        <v>6.5242674773787729E-2</v>
      </c>
      <c r="M16" s="847"/>
      <c r="N16" s="847"/>
      <c r="O16" s="48">
        <f>IF(t&lt;Tnet,'2026'!Resal+('2026'!Salim-'2026'!Resal)*(1-EXP(('2026'!Tnet-t)/('2026'!Tau_j))),Resal+(Salim-Resal)*(1-EXP((Tnet-t)/(Tau_j))))*Salcycl</f>
        <v>2.7170039667463688E-2</v>
      </c>
      <c r="P16" s="168">
        <f>(INDEX(Models!$BJ16:$BT16,,T16)*(1-R16)+INDEX(Models!$BJ16:$BT16,,T16+1)*R16-ERP_i)*Q16*Ramure*Pc/MaxiM</f>
        <v>1.9203499295964948E-4</v>
      </c>
      <c r="Q16" s="304">
        <f t="shared" si="4"/>
        <v>0.5</v>
      </c>
      <c r="R16" s="176">
        <f t="shared" si="5"/>
        <v>0.11980103335513195</v>
      </c>
      <c r="S16" s="814">
        <f t="shared" si="6"/>
        <v>0</v>
      </c>
      <c r="T16" s="175">
        <f t="shared" si="7"/>
        <v>6</v>
      </c>
      <c r="U16" s="250">
        <f t="shared" si="8"/>
        <v>0.11980103335513195</v>
      </c>
      <c r="V16" s="382">
        <f t="shared" si="9"/>
        <v>23.812425540872141</v>
      </c>
      <c r="W16" s="401">
        <f t="shared" si="10"/>
        <v>16.621630129105881</v>
      </c>
      <c r="X16" s="157">
        <f t="shared" si="11"/>
        <v>46389</v>
      </c>
      <c r="Y16" s="384">
        <f t="shared" si="12"/>
        <v>15.944821950342044</v>
      </c>
      <c r="Z16" s="384">
        <f t="shared" ref="Z16:Z78" si="22">Wh_sa_s*(1-Psa_s)</f>
        <v>17.05771275607108</v>
      </c>
      <c r="AA16" s="385">
        <f t="shared" si="13"/>
        <v>18.268579626783797</v>
      </c>
      <c r="AB16" s="196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6.6281391079657387E-2</v>
      </c>
      <c r="AD16" s="230">
        <f>(INDEX(Models!$BJ16:$BT16,,AH16)*(1-AF16)+INDEX(Models!$BJ16:$BT16,,AH16+1)*AF16-ERP_i)*AE16*Ramure*Pc/MaxiM</f>
        <v>1.1352900726340463E-3</v>
      </c>
      <c r="AE16" s="304">
        <f t="shared" si="15"/>
        <v>0.5</v>
      </c>
      <c r="AF16" s="176">
        <f t="shared" ref="AF16:AF78" si="23">(Hp_vg_s-AG16)/(INDEX(Echel_vg,AH16+1)-AG16)</f>
        <v>0.23479357317951965</v>
      </c>
      <c r="AG16" s="814">
        <f t="shared" ref="AG16:AG79" si="24">INDEX(Echel_vg,AH16)</f>
        <v>2</v>
      </c>
      <c r="AH16" s="175">
        <f t="shared" si="16"/>
        <v>8</v>
      </c>
      <c r="AI16" s="224">
        <f t="shared" si="17"/>
        <v>2.2347935731795197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10">
        <f>'2026'!Wh/'2026'!Env_an*'2027'!Env_an</f>
        <v>17.830088713699926</v>
      </c>
      <c r="C17" s="843"/>
      <c r="D17" s="392">
        <f t="shared" si="0"/>
        <v>19.07498156409838</v>
      </c>
      <c r="E17" s="384">
        <f t="shared" si="1"/>
        <v>19.60925071980661</v>
      </c>
      <c r="F17" s="384">
        <f t="shared" si="2"/>
        <v>19.611655221153274</v>
      </c>
      <c r="G17" s="110">
        <f t="shared" si="21"/>
        <v>0.74391941800081296</v>
      </c>
      <c r="H17" s="413" t="b">
        <f>Wh_hp&gt;='2026'!Maxi_hp</f>
        <v>0</v>
      </c>
      <c r="I17" s="389">
        <f>IF(H17,Wh_hp,'2026'!Maxi_hp)</f>
        <v>27.472426453662738</v>
      </c>
      <c r="J17" s="85">
        <f>IF(H17,An,'2026'!An_max)</f>
        <v>2019</v>
      </c>
      <c r="K17" s="196">
        <f t="shared" si="3"/>
        <v>46390</v>
      </c>
      <c r="L17" s="147">
        <f>IF(t&lt;Tvie,1-EXP((T0-t)*PertePVj)+'2026'!Pspv,1-EXP((T0-t)*PertePVj)+Pspv)</f>
        <v>6.5263122075121943E-2</v>
      </c>
      <c r="M17" s="847"/>
      <c r="N17" s="847"/>
      <c r="O17" s="48">
        <f>IF(t&lt;Tnet,'2026'!Resal+('2026'!Salim-'2026'!Resal)*(1-EXP(('2026'!Tnet-t)/('2026'!Tau_j))),Resal+(Salim-Resal)*(1-EXP((Tnet-t)/(Tau_j))))*Salcycl</f>
        <v>2.7245771056850412E-2</v>
      </c>
      <c r="P17" s="168">
        <f>(INDEX(Models!$BJ17:$BT17,,T17)*(1-R17)+INDEX(Models!$BJ17:$BT17,,T17+1)*R17-ERP_i)*Q17*Ramure*Pc/MaxiM</f>
        <v>1.9330950476432378E-4</v>
      </c>
      <c r="Q17" s="304">
        <f t="shared" si="4"/>
        <v>0.5</v>
      </c>
      <c r="R17" s="176">
        <f t="shared" si="5"/>
        <v>0.1198192953124257</v>
      </c>
      <c r="S17" s="814">
        <f t="shared" si="6"/>
        <v>0</v>
      </c>
      <c r="T17" s="175">
        <f t="shared" si="7"/>
        <v>6</v>
      </c>
      <c r="U17" s="250">
        <f t="shared" si="8"/>
        <v>0.1198192953124257</v>
      </c>
      <c r="V17" s="382">
        <f t="shared" si="9"/>
        <v>23.966074111214489</v>
      </c>
      <c r="W17" s="401">
        <f t="shared" si="10"/>
        <v>17.830088713699926</v>
      </c>
      <c r="X17" s="157">
        <f t="shared" si="11"/>
        <v>46390</v>
      </c>
      <c r="Y17" s="384">
        <f t="shared" si="12"/>
        <v>17.103696097595979</v>
      </c>
      <c r="Z17" s="384">
        <f t="shared" si="22"/>
        <v>18.297872376198846</v>
      </c>
      <c r="AA17" s="385">
        <f t="shared" si="13"/>
        <v>19.597467805427947</v>
      </c>
      <c r="AB17" s="196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6.6314456649810033E-2</v>
      </c>
      <c r="AD17" s="230">
        <f>(INDEX(Models!$BJ17:$BT17,,AH17)*(1-AF17)+INDEX(Models!$BJ17:$BT17,,AH17+1)*AF17-ERP_i)*AE17*Ramure*Pc/MaxiM</f>
        <v>1.140595039198137E-3</v>
      </c>
      <c r="AE17" s="304">
        <f t="shared" si="15"/>
        <v>0.5</v>
      </c>
      <c r="AF17" s="176">
        <f>(Hp_vg_s-AG17)/(INDEX(Echel_vg,AH17+1)-AG17)</f>
        <v>0.23481183513681314</v>
      </c>
      <c r="AG17" s="814">
        <f>INDEX(Echel_vg,AH17)</f>
        <v>2</v>
      </c>
      <c r="AH17" s="175">
        <f t="shared" si="16"/>
        <v>8</v>
      </c>
      <c r="AI17" s="224">
        <f t="shared" si="17"/>
        <v>2.2348118351368131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10">
        <f>'2026'!Wh/'2026'!Env_an*'2027'!Env_an</f>
        <v>19.212838684999607</v>
      </c>
      <c r="C18" s="843"/>
      <c r="D18" s="392">
        <f t="shared" si="0"/>
        <v>20.554724455819649</v>
      </c>
      <c r="E18" s="384">
        <f t="shared" si="1"/>
        <v>21.132084075921387</v>
      </c>
      <c r="F18" s="384">
        <f t="shared" si="2"/>
        <v>21.13500142866085</v>
      </c>
      <c r="G18" s="110">
        <f t="shared" si="21"/>
        <v>0.79623213432983553</v>
      </c>
      <c r="H18" s="413" t="b">
        <f>Wh_hp&gt;='2026'!Maxi_hp</f>
        <v>0</v>
      </c>
      <c r="I18" s="389">
        <f>IF(H18,Wh_hp,'2026'!Maxi_hp)</f>
        <v>24.427777295299801</v>
      </c>
      <c r="J18" s="85">
        <f>IF(H18,An,'2026'!An_max)</f>
        <v>2019</v>
      </c>
      <c r="K18" s="196">
        <f t="shared" si="3"/>
        <v>46391</v>
      </c>
      <c r="L18" s="147">
        <f>IF(t&lt;Tvie,1-EXP((T0-t)*PertePVj)+'2026'!Pspv,1-EXP((T0-t)*PertePVj)+Pspv)</f>
        <v>6.5283568928607733E-2</v>
      </c>
      <c r="M18" s="847"/>
      <c r="N18" s="847"/>
      <c r="O18" s="48">
        <f>IF(t&lt;Tnet,'2026'!Resal+('2026'!Salim-'2026'!Resal)*(1-EXP(('2026'!Tnet-t)/('2026'!Tau_j))),Resal+(Salim-Resal)*(1-EXP((Tnet-t)/(Tau_j))))*Salcycl</f>
        <v>2.7321470898348413E-2</v>
      </c>
      <c r="P18" s="168">
        <f>(INDEX(Models!$BJ18:$BT18,,T18)*(1-R18)+INDEX(Models!$BJ18:$BT18,,T18+1)*R18-ERP_i)*Q18*Ramure*Pc/MaxiM</f>
        <v>1.9469747788169304E-4</v>
      </c>
      <c r="Q18" s="304">
        <f t="shared" si="4"/>
        <v>0.5</v>
      </c>
      <c r="R18" s="176">
        <f t="shared" si="5"/>
        <v>0.11983832103120277</v>
      </c>
      <c r="S18" s="814">
        <f t="shared" si="6"/>
        <v>0</v>
      </c>
      <c r="T18" s="175">
        <f t="shared" si="7"/>
        <v>6</v>
      </c>
      <c r="U18" s="250">
        <f t="shared" si="8"/>
        <v>0.11983832103120277</v>
      </c>
      <c r="V18" s="382">
        <f t="shared" si="9"/>
        <v>24.12832771213019</v>
      </c>
      <c r="W18" s="401">
        <f t="shared" si="10"/>
        <v>19.212838684999607</v>
      </c>
      <c r="X18" s="157">
        <f t="shared" si="11"/>
        <v>46391</v>
      </c>
      <c r="Y18" s="384">
        <f t="shared" si="12"/>
        <v>18.429515132361303</v>
      </c>
      <c r="Z18" s="384">
        <f>Wh_sa_s*(1-Psa_s)</f>
        <v>19.716691094471287</v>
      </c>
      <c r="AA18" s="385">
        <f t="shared" si="13"/>
        <v>21.11780725774749</v>
      </c>
      <c r="AB18" s="196">
        <f>t</f>
        <v>46391</v>
      </c>
      <c r="AC18" s="119">
        <f>IF(OR(t&lt;Tnet,NoTnet),'2026'!Resal_s+('2026'!Salim-'2026'!Resal_s)*(1-EXP(('2026'!Tnet_s-t)/'2026'!Tau_j)),Resal_s+(Salim-Resal_s)*(1-EXP((Tnet_s-t)/Tau_j)))*Salcycl</f>
        <v>6.6347615837916818E-2</v>
      </c>
      <c r="AD18" s="230">
        <f>(INDEX(Models!$BJ18:$BT18,,AH18)*(1-AF18)+INDEX(Models!$BJ18:$BT18,,AH18+1)*AF18-ERP_i)*AE18*Ramure*Pc/MaxiM</f>
        <v>1.1474998089239664E-3</v>
      </c>
      <c r="AE18" s="304">
        <f t="shared" si="15"/>
        <v>0.5</v>
      </c>
      <c r="AF18" s="176">
        <f t="shared" si="23"/>
        <v>0.23483086085559046</v>
      </c>
      <c r="AG18" s="814">
        <f t="shared" si="24"/>
        <v>2</v>
      </c>
      <c r="AH18" s="175">
        <f t="shared" si="16"/>
        <v>8</v>
      </c>
      <c r="AI18" s="224">
        <f t="shared" si="17"/>
        <v>2.2348308608555905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10">
        <f>'2026'!Wh/'2026'!Env_an*'2027'!Env_an</f>
        <v>14.046028634828192</v>
      </c>
      <c r="C19" s="843"/>
      <c r="D19" s="392">
        <f t="shared" si="0"/>
        <v>15.027376671411686</v>
      </c>
      <c r="E19" s="384">
        <f t="shared" si="1"/>
        <v>15.450681053163379</v>
      </c>
      <c r="F19" s="384">
        <f t="shared" si="2"/>
        <v>15.451885299257357</v>
      </c>
      <c r="G19" s="110">
        <f t="shared" si="21"/>
        <v>0.57798972378411984</v>
      </c>
      <c r="H19" s="413" t="b">
        <f>Wh_hp&gt;='2026'!Maxi_hp</f>
        <v>0</v>
      </c>
      <c r="I19" s="389">
        <f>IF(H19,Wh_hp,'2026'!Maxi_hp)</f>
        <v>27.076162439381022</v>
      </c>
      <c r="J19" s="85">
        <f>IF(H19,An,'2026'!An_max)</f>
        <v>2019</v>
      </c>
      <c r="K19" s="196">
        <f t="shared" si="3"/>
        <v>46392</v>
      </c>
      <c r="L19" s="147">
        <f>IF(t&lt;Tvie,1-EXP((T0-t)*PertePVj)+'2026'!Pspv,1-EXP((T0-t)*PertePVj)+Pspv)</f>
        <v>6.5304015334254978E-2</v>
      </c>
      <c r="M19" s="847"/>
      <c r="N19" s="847"/>
      <c r="O19" s="48">
        <f>IF(t&lt;Tnet,'2026'!Resal+('2026'!Salim-'2026'!Resal)*(1-EXP(('2026'!Tnet-t)/('2026'!Tau_j))),Resal+(Salim-Resal)*(1-EXP((Tnet-t)/(Tau_j))))*Salcycl</f>
        <v>2.7397134164841578E-2</v>
      </c>
      <c r="P19" s="168">
        <f>(INDEX(Models!$BJ19:$BT19,,T19)*(1-R19)+INDEX(Models!$BJ19:$BT19,,T19+1)*R19-ERP_i)*Q19*Ramure*Pc/MaxiM</f>
        <v>1.9619876612862635E-4</v>
      </c>
      <c r="Q19" s="304">
        <f t="shared" si="4"/>
        <v>0.5</v>
      </c>
      <c r="R19" s="176">
        <f t="shared" si="5"/>
        <v>0.11985814235073979</v>
      </c>
      <c r="S19" s="814">
        <f t="shared" si="6"/>
        <v>0</v>
      </c>
      <c r="T19" s="175">
        <f t="shared" si="7"/>
        <v>6</v>
      </c>
      <c r="U19" s="250">
        <f t="shared" si="8"/>
        <v>0.11985814235073979</v>
      </c>
      <c r="V19" s="382">
        <f t="shared" si="9"/>
        <v>24.298645450416437</v>
      </c>
      <c r="W19" s="401">
        <f t="shared" si="10"/>
        <v>14.046028634828192</v>
      </c>
      <c r="X19" s="157">
        <f t="shared" si="11"/>
        <v>46392</v>
      </c>
      <c r="Y19" s="384">
        <f t="shared" si="12"/>
        <v>13.477896998913968</v>
      </c>
      <c r="Z19" s="384">
        <f t="shared" si="22"/>
        <v>14.419551618951028</v>
      </c>
      <c r="AA19" s="385">
        <f t="shared" si="13"/>
        <v>15.444789989481794</v>
      </c>
      <c r="AB19" s="196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6.6380855371227079E-2</v>
      </c>
      <c r="AD19" s="230">
        <f>(INDEX(Models!$BJ19:$BT19,,AH19)*(1-AF19)+INDEX(Models!$BJ19:$BT19,,AH19+1)*AF19-ERP_i)*AE19*Ramure*Pc/MaxiM</f>
        <v>1.1559855001614897E-3</v>
      </c>
      <c r="AE19" s="304">
        <f t="shared" si="15"/>
        <v>0.5</v>
      </c>
      <c r="AF19" s="176">
        <f t="shared" si="23"/>
        <v>0.23485068217512728</v>
      </c>
      <c r="AG19" s="814">
        <f t="shared" si="24"/>
        <v>2</v>
      </c>
      <c r="AH19" s="175">
        <f t="shared" si="16"/>
        <v>8</v>
      </c>
      <c r="AI19" s="224">
        <f t="shared" si="17"/>
        <v>2.2348506821751273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10">
        <f>'2026'!Wh/'2026'!Env_an*'2027'!Env_an</f>
        <v>25.413375660372743</v>
      </c>
      <c r="C20" s="843"/>
      <c r="D20" s="392">
        <f t="shared" si="0"/>
        <v>27.189516156059454</v>
      </c>
      <c r="E20" s="384">
        <f t="shared" si="1"/>
        <v>27.957588170092215</v>
      </c>
      <c r="F20" s="384">
        <f t="shared" si="2"/>
        <v>27.963119643763424</v>
      </c>
      <c r="G20" s="110">
        <f t="shared" si="21"/>
        <v>1.0382771042356749</v>
      </c>
      <c r="H20" s="413" t="b">
        <f>Wh_hp&gt;='2026'!Maxi_hp</f>
        <v>1</v>
      </c>
      <c r="I20" s="389">
        <f>IF(H20,Wh_hp,'2026'!Maxi_hp)</f>
        <v>27.963119643763424</v>
      </c>
      <c r="J20" s="85">
        <f>IF(H20,An,'2026'!An_max)</f>
        <v>2027</v>
      </c>
      <c r="K20" s="196">
        <f t="shared" si="3"/>
        <v>46393</v>
      </c>
      <c r="L20" s="147">
        <f>IF(t&lt;Tvie,1-EXP((T0-t)*PertePVj)+'2026'!Pspv,1-EXP((T0-t)*PertePVj)+Pspv)</f>
        <v>6.5324461292073449E-2</v>
      </c>
      <c r="M20" s="847"/>
      <c r="N20" s="847"/>
      <c r="O20" s="48">
        <f>IF(t&lt;Tnet,'2026'!Resal+('2026'!Salim-'2026'!Resal)*(1-EXP(('2026'!Tnet-t)/('2026'!Tau_j))),Resal+(Salim-Resal)*(1-EXP((Tnet-t)/(Tau_j))))*Salcycl</f>
        <v>2.7472756568265425E-2</v>
      </c>
      <c r="P20" s="168">
        <f>(INDEX(Models!$BJ20:$BT20,,T20)*(1-R20)+INDEX(Models!$BJ20:$BT20,,T20+1)*R20-ERP_i)*Q20*Ramure*Pc/MaxiM</f>
        <v>1.9781318185083568E-4</v>
      </c>
      <c r="Q20" s="304">
        <f t="shared" si="4"/>
        <v>0.5</v>
      </c>
      <c r="R20" s="176">
        <f t="shared" si="5"/>
        <v>0.11987879242879021</v>
      </c>
      <c r="S20" s="814">
        <f t="shared" si="6"/>
        <v>0</v>
      </c>
      <c r="T20" s="175">
        <f t="shared" si="7"/>
        <v>6</v>
      </c>
      <c r="U20" s="250">
        <f t="shared" si="8"/>
        <v>0.11987879242879021</v>
      </c>
      <c r="V20" s="382">
        <f t="shared" si="9"/>
        <v>24.476486630301586</v>
      </c>
      <c r="W20" s="401">
        <f t="shared" si="10"/>
        <v>25.413375660372743</v>
      </c>
      <c r="X20" s="157">
        <f t="shared" si="11"/>
        <v>46393</v>
      </c>
      <c r="Y20" s="384">
        <f t="shared" si="12"/>
        <v>24.372161957515129</v>
      </c>
      <c r="Z20" s="384">
        <f t="shared" si="22"/>
        <v>26.075532040997491</v>
      </c>
      <c r="AA20" s="385">
        <f t="shared" si="13"/>
        <v>27.930513759271225</v>
      </c>
      <c r="AB20" s="196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6.6414163887622474E-2</v>
      </c>
      <c r="AD20" s="230">
        <f>(INDEX(Models!$BJ20:$BT20,,AH20)*(1-AF20)+INDEX(Models!$BJ20:$BT20,,AH20+1)*AF20-ERP_i)*AE20*Ramure*Pc/MaxiM</f>
        <v>1.1660317199075915E-3</v>
      </c>
      <c r="AE20" s="304">
        <f t="shared" si="15"/>
        <v>0.5</v>
      </c>
      <c r="AF20" s="176">
        <f t="shared" si="23"/>
        <v>0.23487133225317791</v>
      </c>
      <c r="AG20" s="814">
        <f t="shared" si="24"/>
        <v>2</v>
      </c>
      <c r="AH20" s="175">
        <f t="shared" si="16"/>
        <v>8</v>
      </c>
      <c r="AI20" s="224">
        <f t="shared" si="17"/>
        <v>2.2348713322531779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10">
        <f>'2026'!Wh/'2026'!Env_an*'2027'!Env_an</f>
        <v>9.6373895725215863</v>
      </c>
      <c r="C21" s="843"/>
      <c r="D21" s="392">
        <f t="shared" si="0"/>
        <v>10.311172156080817</v>
      </c>
      <c r="E21" s="384">
        <f t="shared" si="1"/>
        <v>10.603274715130709</v>
      </c>
      <c r="F21" s="384">
        <f t="shared" si="2"/>
        <v>10.603549138778824</v>
      </c>
      <c r="G21" s="110">
        <f t="shared" si="21"/>
        <v>0.39072196901773304</v>
      </c>
      <c r="H21" s="413" t="b">
        <f>Wh_hp&gt;='2026'!Maxi_hp</f>
        <v>0</v>
      </c>
      <c r="I21" s="389">
        <f>IF(H21,Wh_hp,'2026'!Maxi_hp)</f>
        <v>14.031962129731935</v>
      </c>
      <c r="J21" s="85">
        <f>IF(H21,An,'2026'!An_max)</f>
        <v>2021</v>
      </c>
      <c r="K21" s="196">
        <f t="shared" si="3"/>
        <v>46394</v>
      </c>
      <c r="L21" s="147">
        <f>IF(t&lt;Tvie,1-EXP((T0-t)*PertePVj)+'2026'!Pspv,1-EXP((T0-t)*PertePVj)+Pspv)</f>
        <v>6.5344906802072916E-2</v>
      </c>
      <c r="M21" s="847"/>
      <c r="N21" s="847"/>
      <c r="O21" s="48">
        <f>IF(t&lt;Tnet,'2026'!Resal+('2026'!Salim-'2026'!Resal)*(1-EXP(('2026'!Tnet-t)/('2026'!Tau_j))),Resal+(Salim-Resal)*(1-EXP((Tnet-t)/(Tau_j))))*Salcycl</f>
        <v>2.7548334537920362E-2</v>
      </c>
      <c r="P21" s="168">
        <f>(INDEX(Models!$BJ21:$BT21,,T21)*(1-R21)+INDEX(Models!$BJ21:$BT21,,T21+1)*R21-ERP_i)*Q21*Ramure*Pc/MaxiM</f>
        <v>1.9954051620852696E-4</v>
      </c>
      <c r="Q21" s="304">
        <f t="shared" si="4"/>
        <v>0.5</v>
      </c>
      <c r="R21" s="176">
        <f t="shared" si="5"/>
        <v>0.11990030579542812</v>
      </c>
      <c r="S21" s="814">
        <f t="shared" si="6"/>
        <v>0</v>
      </c>
      <c r="T21" s="175">
        <f t="shared" si="7"/>
        <v>6</v>
      </c>
      <c r="U21" s="250">
        <f t="shared" si="8"/>
        <v>0.11990030579542812</v>
      </c>
      <c r="V21" s="382">
        <f t="shared" si="9"/>
        <v>24.66131075975256</v>
      </c>
      <c r="W21" s="401">
        <f t="shared" si="10"/>
        <v>9.6373895725215863</v>
      </c>
      <c r="X21" s="157">
        <f t="shared" si="11"/>
        <v>46394</v>
      </c>
      <c r="Y21" s="384">
        <f t="shared" si="12"/>
        <v>9.2507090940485295</v>
      </c>
      <c r="Z21" s="384">
        <f t="shared" si="22"/>
        <v>9.8974575341981836</v>
      </c>
      <c r="AA21" s="385">
        <f t="shared" si="13"/>
        <v>10.601929588307804</v>
      </c>
      <c r="AB21" s="196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6.6447531861231979E-2</v>
      </c>
      <c r="AD21" s="230">
        <f>(INDEX(Models!$BJ21:$BT21,,AH21)*(1-AF21)+INDEX(Models!$BJ21:$BT21,,AH21+1)*AF21-ERP_i)*AE21*Ramure*Pc/MaxiM</f>
        <v>1.1776169409349647E-3</v>
      </c>
      <c r="AE21" s="304">
        <f t="shared" si="15"/>
        <v>0.5</v>
      </c>
      <c r="AF21" s="176">
        <f t="shared" si="23"/>
        <v>0.23489284561981583</v>
      </c>
      <c r="AG21" s="814">
        <f t="shared" si="24"/>
        <v>2</v>
      </c>
      <c r="AH21" s="175">
        <f t="shared" si="16"/>
        <v>8</v>
      </c>
      <c r="AI21" s="224">
        <f t="shared" si="17"/>
        <v>2.2348928456198158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10">
        <f>'2026'!Wh/'2026'!Env_an*'2027'!Env_an</f>
        <v>6.5693539553197517</v>
      </c>
      <c r="C22" s="843"/>
      <c r="D22" s="392">
        <f t="shared" si="0"/>
        <v>7.0287935167215068</v>
      </c>
      <c r="E22" s="384">
        <f t="shared" si="1"/>
        <v>7.2284718486165653</v>
      </c>
      <c r="F22" s="384">
        <f t="shared" si="2"/>
        <v>7.2284718486165653</v>
      </c>
      <c r="G22" s="110">
        <f t="shared" si="21"/>
        <v>0.26427967095721816</v>
      </c>
      <c r="H22" s="413" t="b">
        <f>Wh_hp&gt;='2026'!Maxi_hp</f>
        <v>0</v>
      </c>
      <c r="I22" s="389">
        <f>IF(H22,Wh_hp,'2026'!Maxi_hp)</f>
        <v>20.064125599545072</v>
      </c>
      <c r="J22" s="85">
        <f>IF(H22,An,'2026'!An_max)</f>
        <v>2021</v>
      </c>
      <c r="K22" s="196">
        <f t="shared" si="3"/>
        <v>46395</v>
      </c>
      <c r="L22" s="147">
        <f>IF(t&lt;Tvie,1-EXP((T0-t)*PertePVj)+'2026'!Pspv,1-EXP((T0-t)*PertePVj)+Pspv)</f>
        <v>6.5365351864263371E-2</v>
      </c>
      <c r="M22" s="847"/>
      <c r="N22" s="847"/>
      <c r="O22" s="48">
        <f>IF(t&lt;Tnet,'2026'!Resal+('2026'!Salim-'2026'!Resal)*(1-EXP(('2026'!Tnet-t)/('2026'!Tau_j))),Resal+(Salim-Resal)*(1-EXP((Tnet-t)/(Tau_j))))*Salcycl</f>
        <v>2.762386519265126E-2</v>
      </c>
      <c r="P22" s="168">
        <f>(INDEX(Models!$BJ22:$BT22,,T22)*(1-R22)+INDEX(Models!$BJ22:$BT22,,T22+1)*R22-ERP_i)*Q22*Ramure*Pc/MaxiM</f>
        <v>2.0138055899500136E-4</v>
      </c>
      <c r="Q22" s="304">
        <f t="shared" si="4"/>
        <v>0.5</v>
      </c>
      <c r="R22" s="176">
        <f t="shared" si="5"/>
        <v>0.11992271840902641</v>
      </c>
      <c r="S22" s="814">
        <f t="shared" si="6"/>
        <v>0</v>
      </c>
      <c r="T22" s="175">
        <f t="shared" si="7"/>
        <v>6</v>
      </c>
      <c r="U22" s="250">
        <f t="shared" si="8"/>
        <v>0.11992271840902641</v>
      </c>
      <c r="V22" s="382">
        <f t="shared" si="9"/>
        <v>24.852577541657499</v>
      </c>
      <c r="W22" s="401">
        <f t="shared" si="10"/>
        <v>6.5693539553197517</v>
      </c>
      <c r="X22" s="157">
        <f t="shared" si="11"/>
        <v>46395</v>
      </c>
      <c r="Y22" s="384">
        <f t="shared" si="12"/>
        <v>6.3068362478374551</v>
      </c>
      <c r="Z22" s="384">
        <f t="shared" si="22"/>
        <v>6.7479161621253265</v>
      </c>
      <c r="AA22" s="385">
        <f t="shared" si="13"/>
        <v>7.2284718486165653</v>
      </c>
      <c r="AB22" s="196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6.6480951514421613E-2</v>
      </c>
      <c r="AD22" s="230">
        <f>(INDEX(Models!$BJ22:$BT22,,AH22)*(1-AF22)+INDEX(Models!$BJ22:$BT22,,AH22+1)*AF22-ERP_i)*AE22*Ramure*Pc/MaxiM</f>
        <v>1.1907188660610032E-3</v>
      </c>
      <c r="AE22" s="304">
        <f t="shared" si="15"/>
        <v>0.5</v>
      </c>
      <c r="AF22" s="176">
        <f t="shared" si="23"/>
        <v>0.23491525823341375</v>
      </c>
      <c r="AG22" s="814">
        <f t="shared" si="24"/>
        <v>2</v>
      </c>
      <c r="AH22" s="175">
        <f t="shared" si="16"/>
        <v>8</v>
      </c>
      <c r="AI22" s="224">
        <f t="shared" si="17"/>
        <v>2.2349152582334137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10">
        <f>'2026'!Wh/'2026'!Env_an*'2027'!Env_an</f>
        <v>1.8228529638232358</v>
      </c>
      <c r="C23" s="843"/>
      <c r="D23" s="392">
        <f t="shared" si="0"/>
        <v>1.9503801215039032</v>
      </c>
      <c r="E23" s="384">
        <f t="shared" si="1"/>
        <v>2.0059434436217538</v>
      </c>
      <c r="F23" s="384">
        <f t="shared" si="2"/>
        <v>2.0059434436217538</v>
      </c>
      <c r="G23" s="110">
        <f t="shared" si="21"/>
        <v>7.2744285968881273E-2</v>
      </c>
      <c r="H23" s="413" t="b">
        <f>Wh_hp&gt;='2026'!Maxi_hp</f>
        <v>0</v>
      </c>
      <c r="I23" s="389">
        <f>IF(H23,Wh_hp,'2026'!Maxi_hp)</f>
        <v>26.291265960705861</v>
      </c>
      <c r="J23" s="85">
        <f>IF(H23,An,'2026'!An_max)</f>
        <v>2020</v>
      </c>
      <c r="K23" s="196">
        <f t="shared" si="3"/>
        <v>46396</v>
      </c>
      <c r="L23" s="147">
        <f>IF(t&lt;Tvie,1-EXP((T0-t)*PertePVj)+'2026'!Pspv,1-EXP((T0-t)*PertePVj)+Pspv)</f>
        <v>6.5385796478654362E-2</v>
      </c>
      <c r="M23" s="847"/>
      <c r="N23" s="847"/>
      <c r="O23" s="48">
        <f>IF(t&lt;Tnet,'2026'!Resal+('2026'!Salim-'2026'!Resal)*(1-EXP(('2026'!Tnet-t)/('2026'!Tau_j))),Resal+(Salim-Resal)*(1-EXP((Tnet-t)/(Tau_j))))*Salcycl</f>
        <v>2.7699346307356678E-2</v>
      </c>
      <c r="P23" s="168">
        <f>(INDEX(Models!$BJ23:$BT23,,T23)*(1-R23)+INDEX(Models!$BJ23:$BT23,,T23+1)*R23-ERP_i)*Q23*Ramure*Pc/MaxiM</f>
        <v>2.0330451488718065E-4</v>
      </c>
      <c r="Q23" s="304">
        <f t="shared" si="4"/>
        <v>0.5</v>
      </c>
      <c r="R23" s="176">
        <f t="shared" si="5"/>
        <v>0.11994606771444748</v>
      </c>
      <c r="S23" s="814">
        <f t="shared" si="6"/>
        <v>0</v>
      </c>
      <c r="T23" s="175">
        <f t="shared" si="7"/>
        <v>6</v>
      </c>
      <c r="U23" s="250">
        <f t="shared" si="8"/>
        <v>0.11994606771444748</v>
      </c>
      <c r="V23" s="382">
        <f t="shared" si="9"/>
        <v>25.053271818013872</v>
      </c>
      <c r="W23" s="401">
        <f t="shared" si="10"/>
        <v>1.8228529638232358</v>
      </c>
      <c r="X23" s="157">
        <f t="shared" si="11"/>
        <v>46396</v>
      </c>
      <c r="Y23" s="384">
        <f t="shared" si="12"/>
        <v>1.7500831205968856</v>
      </c>
      <c r="Z23" s="384">
        <f t="shared" si="22"/>
        <v>1.87251928550101</v>
      </c>
      <c r="AA23" s="385">
        <f t="shared" si="13"/>
        <v>2.0059434436217538</v>
      </c>
      <c r="AB23" s="196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6.6514416717474822E-2</v>
      </c>
      <c r="AD23" s="230">
        <f>(INDEX(Models!$BJ23:$BT23,,AH23)*(1-AF23)+INDEX(Models!$BJ23:$BT23,,AH23+1)*AF23-ERP_i)*AE23*Ramure*Pc/MaxiM</f>
        <v>1.2051452245525765E-3</v>
      </c>
      <c r="AE23" s="304">
        <f t="shared" si="15"/>
        <v>0.5</v>
      </c>
      <c r="AF23" s="176">
        <f t="shared" si="23"/>
        <v>0.23493860753883489</v>
      </c>
      <c r="AG23" s="814">
        <f t="shared" si="24"/>
        <v>2</v>
      </c>
      <c r="AH23" s="175">
        <f t="shared" si="16"/>
        <v>8</v>
      </c>
      <c r="AI23" s="224">
        <f t="shared" si="17"/>
        <v>2.2349386075388349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10">
        <f>'2026'!Wh/'2026'!Env_an*'2027'!Env_an</f>
        <v>1.4629210940528263</v>
      </c>
      <c r="C24" s="843"/>
      <c r="D24" s="392">
        <f t="shared" si="0"/>
        <v>1.5653015862879787</v>
      </c>
      <c r="E24" s="384">
        <f t="shared" si="1"/>
        <v>1.610019518203395</v>
      </c>
      <c r="F24" s="384">
        <f t="shared" si="2"/>
        <v>1.610019518203395</v>
      </c>
      <c r="G24" s="110">
        <f t="shared" si="21"/>
        <v>5.7888679851471871E-2</v>
      </c>
      <c r="H24" s="413" t="b">
        <f>Wh_hp&gt;='2026'!Maxi_hp</f>
        <v>0</v>
      </c>
      <c r="I24" s="389">
        <f>IF(H24,Wh_hp,'2026'!Maxi_hp)</f>
        <v>14.840705904124258</v>
      </c>
      <c r="J24" s="85">
        <f>IF(H24,An,'2026'!An_max)</f>
        <v>2019</v>
      </c>
      <c r="K24" s="196">
        <f t="shared" si="3"/>
        <v>46397</v>
      </c>
      <c r="L24" s="147">
        <f>IF(t&lt;Tvie,1-EXP((T0-t)*PertePVj)+'2026'!Pspv,1-EXP((T0-t)*PertePVj)+Pspv)</f>
        <v>6.5406240645255881E-2</v>
      </c>
      <c r="M24" s="847"/>
      <c r="N24" s="847"/>
      <c r="O24" s="48">
        <f>IF(t&lt;Tnet,'2026'!Resal+('2026'!Salim-'2026'!Resal)*(1-EXP(('2026'!Tnet-t)/('2026'!Tau_j))),Resal+(Salim-Resal)*(1-EXP((Tnet-t)/(Tau_j))))*Salcycl</f>
        <v>2.7774776274337699E-2</v>
      </c>
      <c r="P24" s="168">
        <f>(INDEX(Models!$BJ24:$BT24,,T24)*(1-R24)+INDEX(Models!$BJ24:$BT24,,T24+1)*R24-ERP_i)*Q24*Ramure*Pc/MaxiM</f>
        <v>2.0513797113880252E-4</v>
      </c>
      <c r="Q24" s="304">
        <f t="shared" si="4"/>
        <v>0.5</v>
      </c>
      <c r="R24" s="176">
        <f t="shared" si="5"/>
        <v>0.11997039270352922</v>
      </c>
      <c r="S24" s="814">
        <f t="shared" si="6"/>
        <v>0</v>
      </c>
      <c r="T24" s="175">
        <f t="shared" si="7"/>
        <v>6</v>
      </c>
      <c r="U24" s="250">
        <f t="shared" si="8"/>
        <v>0.11997039270352922</v>
      </c>
      <c r="V24" s="382">
        <f t="shared" si="9"/>
        <v>25.266096880087474</v>
      </c>
      <c r="W24" s="401">
        <f t="shared" si="10"/>
        <v>1.4629210940528263</v>
      </c>
      <c r="X24" s="157">
        <f t="shared" si="11"/>
        <v>46397</v>
      </c>
      <c r="Y24" s="384">
        <f t="shared" si="12"/>
        <v>1.4045785900073036</v>
      </c>
      <c r="Z24" s="384">
        <f t="shared" si="22"/>
        <v>1.5028760634749405</v>
      </c>
      <c r="AA24" s="385">
        <f t="shared" si="13"/>
        <v>1.610019518203395</v>
      </c>
      <c r="AB24" s="196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6.6547922877366564E-2</v>
      </c>
      <c r="AD24" s="230">
        <f>(INDEX(Models!$BJ24:$BT24,,AH24)*(1-AF24)+INDEX(Models!$BJ24:$BT24,,AH24+1)*AF24-ERP_i)*AE24*Ramure*Pc/MaxiM</f>
        <v>1.2211501111924058E-3</v>
      </c>
      <c r="AE24" s="304">
        <f t="shared" si="15"/>
        <v>0.5</v>
      </c>
      <c r="AF24" s="176">
        <f t="shared" si="23"/>
        <v>0.23496293252791656</v>
      </c>
      <c r="AG24" s="814">
        <f t="shared" si="24"/>
        <v>2</v>
      </c>
      <c r="AH24" s="175">
        <f t="shared" si="16"/>
        <v>8</v>
      </c>
      <c r="AI24" s="224">
        <f t="shared" si="17"/>
        <v>2.2349629325279166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10">
        <f>'2026'!Wh/'2026'!Env_an*'2027'!Env_an</f>
        <v>26.13708811903393</v>
      </c>
      <c r="C25" s="843"/>
      <c r="D25" s="392">
        <f t="shared" si="0"/>
        <v>27.966867533821222</v>
      </c>
      <c r="E25" s="384">
        <f t="shared" si="1"/>
        <v>28.768062506639911</v>
      </c>
      <c r="F25" s="384">
        <f t="shared" si="2"/>
        <v>28.774012285280151</v>
      </c>
      <c r="G25" s="110">
        <f t="shared" si="21"/>
        <v>1.0253824281395247</v>
      </c>
      <c r="H25" s="413" t="b">
        <f>Wh_hp&gt;='2026'!Maxi_hp</f>
        <v>1</v>
      </c>
      <c r="I25" s="389">
        <f>IF(H25,Wh_hp,'2026'!Maxi_hp)</f>
        <v>28.774012285280151</v>
      </c>
      <c r="J25" s="85">
        <f>IF(H25,An,'2026'!An_max)</f>
        <v>2027</v>
      </c>
      <c r="K25" s="196">
        <f t="shared" si="3"/>
        <v>46398</v>
      </c>
      <c r="L25" s="147">
        <f>IF(t&lt;Tvie,1-EXP((T0-t)*PertePVj)+'2026'!Pspv,1-EXP((T0-t)*PertePVj)+Pspv)</f>
        <v>6.5426684364077697E-2</v>
      </c>
      <c r="M25" s="847"/>
      <c r="N25" s="847"/>
      <c r="O25" s="48">
        <f>IF(t&lt;Tnet,'2026'!Resal+('2026'!Salim-'2026'!Resal)*(1-EXP(('2026'!Tnet-t)/('2026'!Tau_j))),Resal+(Salim-Resal)*(1-EXP((Tnet-t)/(Tau_j))))*Salcycl</f>
        <v>2.7850154060036728E-2</v>
      </c>
      <c r="P25" s="168">
        <f>(INDEX(Models!$BJ25:$BT25,,T25)*(1-R25)+INDEX(Models!$BJ25:$BT25,,T25+1)*R25-ERP_i)*Q25*Ramure*Pc/MaxiM</f>
        <v>2.0677612080132642E-4</v>
      </c>
      <c r="Q25" s="304">
        <f t="shared" si="4"/>
        <v>0.5</v>
      </c>
      <c r="R25" s="176">
        <f t="shared" si="5"/>
        <v>0.11999573397794883</v>
      </c>
      <c r="S25" s="814">
        <f t="shared" si="6"/>
        <v>0</v>
      </c>
      <c r="T25" s="175">
        <f t="shared" si="7"/>
        <v>6</v>
      </c>
      <c r="U25" s="250">
        <f t="shared" si="8"/>
        <v>0.11999573397794883</v>
      </c>
      <c r="V25" s="382">
        <f t="shared" si="9"/>
        <v>25.490087797250048</v>
      </c>
      <c r="W25" s="401">
        <f t="shared" si="10"/>
        <v>26.13708811903393</v>
      </c>
      <c r="X25" s="157">
        <f t="shared" si="11"/>
        <v>46398</v>
      </c>
      <c r="Y25" s="384">
        <f t="shared" si="12"/>
        <v>25.069870461260347</v>
      </c>
      <c r="Z25" s="384">
        <f t="shared" si="22"/>
        <v>26.824937157767845</v>
      </c>
      <c r="AA25" s="385">
        <f t="shared" si="13"/>
        <v>28.738380698631058</v>
      </c>
      <c r="AB25" s="196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6.6581466817104154E-2</v>
      </c>
      <c r="AD25" s="230">
        <f>(INDEX(Models!$BJ25:$BT25,,AH25)*(1-AF25)+INDEX(Models!$BJ25:$BT25,,AH25+1)*AF25-ERP_i)*AE25*Ramure*Pc/MaxiM</f>
        <v>1.2383252740640887E-3</v>
      </c>
      <c r="AE25" s="304">
        <f t="shared" si="15"/>
        <v>0.5</v>
      </c>
      <c r="AF25" s="176">
        <f t="shared" si="23"/>
        <v>0.23498827380233633</v>
      </c>
      <c r="AG25" s="814">
        <f t="shared" si="24"/>
        <v>2</v>
      </c>
      <c r="AH25" s="175">
        <f t="shared" si="16"/>
        <v>8</v>
      </c>
      <c r="AI25" s="224">
        <f t="shared" si="17"/>
        <v>2.2349882738023363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10">
        <f>'2026'!Wh/'2026'!Env_an*'2027'!Env_an</f>
        <v>23.933782035772534</v>
      </c>
      <c r="C26" s="843"/>
      <c r="D26" s="392">
        <f t="shared" si="0"/>
        <v>25.60987477916418</v>
      </c>
      <c r="E26" s="384">
        <f t="shared" si="1"/>
        <v>26.345587946256042</v>
      </c>
      <c r="F26" s="384">
        <f t="shared" si="2"/>
        <v>26.350529311717601</v>
      </c>
      <c r="G26" s="110">
        <f t="shared" si="21"/>
        <v>0.93037741147738484</v>
      </c>
      <c r="H26" s="413" t="b">
        <f>Wh_hp&gt;='2026'!Maxi_hp</f>
        <v>0</v>
      </c>
      <c r="I26" s="389">
        <f>IF(H26,Wh_hp,'2026'!Maxi_hp)</f>
        <v>28.636326712021056</v>
      </c>
      <c r="J26" s="85">
        <f>IF(H26,An,'2026'!An_max)</f>
        <v>2020</v>
      </c>
      <c r="K26" s="196">
        <f t="shared" si="3"/>
        <v>46399</v>
      </c>
      <c r="L26" s="147">
        <f>IF(t&lt;Tvie,1-EXP((T0-t)*PertePVj)+'2026'!Pspv,1-EXP((T0-t)*PertePVj)+Pspv)</f>
        <v>6.5447127635129582E-2</v>
      </c>
      <c r="M26" s="847"/>
      <c r="N26" s="847"/>
      <c r="O26" s="48">
        <f>IF(t&lt;Tnet,'2026'!Resal+('2026'!Salim-'2026'!Resal)*(1-EXP(('2026'!Tnet-t)/('2026'!Tau_j))),Resal+(Salim-Resal)*(1-EXP((Tnet-t)/(Tau_j))))*Salcycl</f>
        <v>2.7925479157750736E-2</v>
      </c>
      <c r="P26" s="168">
        <f>(INDEX(Models!$BJ26:$BT26,,T26)*(1-R26)+INDEX(Models!$BJ26:$BT26,,T26+1)*R26-ERP_i)*Q26*Ramure*Pc/MaxiM</f>
        <v>2.0822925983826621E-4</v>
      </c>
      <c r="Q26" s="304">
        <f t="shared" si="4"/>
        <v>0.5</v>
      </c>
      <c r="R26" s="176">
        <f t="shared" si="5"/>
        <v>0.12002213381455148</v>
      </c>
      <c r="S26" s="814">
        <f t="shared" si="6"/>
        <v>0</v>
      </c>
      <c r="T26" s="175">
        <f t="shared" si="7"/>
        <v>6</v>
      </c>
      <c r="U26" s="250">
        <f t="shared" si="8"/>
        <v>0.12002213381455148</v>
      </c>
      <c r="V26" s="382">
        <f t="shared" si="9"/>
        <v>25.724277159355015</v>
      </c>
      <c r="W26" s="401">
        <f t="shared" si="10"/>
        <v>23.933782035772534</v>
      </c>
      <c r="X26" s="157">
        <f t="shared" si="11"/>
        <v>46399</v>
      </c>
      <c r="Y26" s="384">
        <f t="shared" si="12"/>
        <v>22.959490325779978</v>
      </c>
      <c r="Z26" s="384">
        <f t="shared" si="22"/>
        <v>24.567353014154644</v>
      </c>
      <c r="AA26" s="385">
        <f t="shared" si="13"/>
        <v>26.320708220017483</v>
      </c>
      <c r="AB26" s="196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6.6615046647163251E-2</v>
      </c>
      <c r="AD26" s="230">
        <f>(INDEX(Models!$BJ26:$BT26,,AH26)*(1-AF26)+INDEX(Models!$BJ26:$BT26,,AH26+1)*AF26-ERP_i)*AE26*Ramure*Pc/MaxiM</f>
        <v>1.2566615241460062E-3</v>
      </c>
      <c r="AE26" s="304">
        <f t="shared" si="15"/>
        <v>0.5</v>
      </c>
      <c r="AF26" s="176">
        <f t="shared" si="23"/>
        <v>0.23501467363893891</v>
      </c>
      <c r="AG26" s="814">
        <f t="shared" si="24"/>
        <v>2</v>
      </c>
      <c r="AH26" s="175">
        <f t="shared" si="16"/>
        <v>8</v>
      </c>
      <c r="AI26" s="224">
        <f t="shared" si="17"/>
        <v>2.2350146736389389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10">
        <f>'2026'!Wh/'2026'!Env_an*'2027'!Env_an</f>
        <v>5.1800475505790526</v>
      </c>
      <c r="C27" s="843"/>
      <c r="D27" s="392">
        <f t="shared" si="0"/>
        <v>5.5429296906476004</v>
      </c>
      <c r="E27" s="384">
        <f t="shared" si="1"/>
        <v>5.7026069715713517</v>
      </c>
      <c r="F27" s="384">
        <f t="shared" si="2"/>
        <v>5.7026069715713517</v>
      </c>
      <c r="G27" s="110">
        <f t="shared" si="21"/>
        <v>0.19943863728196179</v>
      </c>
      <c r="H27" s="413" t="b">
        <f>Wh_hp&gt;='2026'!Maxi_hp</f>
        <v>0</v>
      </c>
      <c r="I27" s="389">
        <f>IF(H27,Wh_hp,'2026'!Maxi_hp)</f>
        <v>16.901313212419812</v>
      </c>
      <c r="J27" s="85">
        <f>IF(H27,An,'2026'!An_max)</f>
        <v>2020</v>
      </c>
      <c r="K27" s="196">
        <f t="shared" si="3"/>
        <v>46400</v>
      </c>
      <c r="L27" s="147">
        <f>IF(t&lt;Tvie,1-EXP((T0-t)*PertePVj)+'2026'!Pspv,1-EXP((T0-t)*PertePVj)+Pspv)</f>
        <v>6.5467570458421415E-2</v>
      </c>
      <c r="M27" s="847"/>
      <c r="N27" s="847"/>
      <c r="O27" s="48">
        <f>IF(t&lt;Tnet,'2026'!Resal+('2026'!Salim-'2026'!Resal)*(1-EXP(('2026'!Tnet-t)/('2026'!Tau_j))),Resal+(Salim-Resal)*(1-EXP((Tnet-t)/(Tau_j))))*Salcycl</f>
        <v>2.8000751536933089E-2</v>
      </c>
      <c r="P27" s="168">
        <f>(INDEX(Models!$BJ27:$BT27,,T27)*(1-R27)+INDEX(Models!$BJ27:$BT27,,T27+1)*R27-ERP_i)*Q27*Ramure*Pc/MaxiM</f>
        <v>2.0950800155484641E-4</v>
      </c>
      <c r="Q27" s="304">
        <f t="shared" si="4"/>
        <v>0.5</v>
      </c>
      <c r="R27" s="176">
        <f t="shared" si="5"/>
        <v>0.12004963623323296</v>
      </c>
      <c r="S27" s="814">
        <f t="shared" si="6"/>
        <v>0</v>
      </c>
      <c r="T27" s="175">
        <f t="shared" si="7"/>
        <v>6</v>
      </c>
      <c r="U27" s="250">
        <f t="shared" si="8"/>
        <v>0.12004963623323296</v>
      </c>
      <c r="V27" s="382">
        <f t="shared" si="9"/>
        <v>25.967697933309044</v>
      </c>
      <c r="W27" s="401">
        <f t="shared" si="10"/>
        <v>5.1800475505790526</v>
      </c>
      <c r="X27" s="157">
        <f t="shared" si="11"/>
        <v>46400</v>
      </c>
      <c r="Y27" s="384">
        <f t="shared" si="12"/>
        <v>4.9740823583917217</v>
      </c>
      <c r="Z27" s="384">
        <f t="shared" si="22"/>
        <v>5.322535849110861</v>
      </c>
      <c r="AA27" s="385">
        <f t="shared" si="13"/>
        <v>5.7026069715713517</v>
      </c>
      <c r="AB27" s="196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6.6648661630587955E-2</v>
      </c>
      <c r="AD27" s="230">
        <f>(INDEX(Models!$BJ27:$BT27,,AH27)*(1-AF27)+INDEX(Models!$BJ27:$BT27,,AH27+1)*AF27-ERP_i)*AE27*Ramure*Pc/MaxiM</f>
        <v>1.276149839319695E-3</v>
      </c>
      <c r="AE27" s="304">
        <f t="shared" si="15"/>
        <v>0.5</v>
      </c>
      <c r="AF27" s="176">
        <f t="shared" si="23"/>
        <v>0.23504217605762046</v>
      </c>
      <c r="AG27" s="814">
        <f t="shared" si="24"/>
        <v>2</v>
      </c>
      <c r="AH27" s="175">
        <f t="shared" si="16"/>
        <v>8</v>
      </c>
      <c r="AI27" s="224">
        <f t="shared" si="17"/>
        <v>2.2350421760576205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10">
        <f>'2026'!Wh/'2026'!Env_an*'2027'!Env_an</f>
        <v>27.103669034246298</v>
      </c>
      <c r="C28" s="843"/>
      <c r="D28" s="392">
        <f t="shared" si="0"/>
        <v>29.003019122782767</v>
      </c>
      <c r="E28" s="384">
        <f t="shared" si="1"/>
        <v>29.840829401266362</v>
      </c>
      <c r="F28" s="384">
        <f t="shared" si="2"/>
        <v>29.847115895042656</v>
      </c>
      <c r="G28" s="110">
        <f t="shared" si="21"/>
        <v>1.0337264061663218</v>
      </c>
      <c r="H28" s="413" t="b">
        <f>Wh_hp&gt;='2026'!Maxi_hp</f>
        <v>1</v>
      </c>
      <c r="I28" s="389">
        <f>IF(H28,Wh_hp,'2026'!Maxi_hp)</f>
        <v>29.847115895042656</v>
      </c>
      <c r="J28" s="85">
        <f>IF(H28,An,'2026'!An_max)</f>
        <v>2027</v>
      </c>
      <c r="K28" s="196">
        <f t="shared" si="3"/>
        <v>46401</v>
      </c>
      <c r="L28" s="147">
        <f>IF(t&lt;Tvie,1-EXP((T0-t)*PertePVj)+'2026'!Pspv,1-EXP((T0-t)*PertePVj)+Pspv)</f>
        <v>6.5488012833962855E-2</v>
      </c>
      <c r="M28" s="847"/>
      <c r="N28" s="847"/>
      <c r="O28" s="48">
        <f>IF(t&lt;Tnet,'2026'!Resal+('2026'!Salim-'2026'!Resal)*(1-EXP(('2026'!Tnet-t)/('2026'!Tau_j))),Resal+(Salim-Resal)*(1-EXP((Tnet-t)/(Tau_j))))*Salcycl</f>
        <v>2.8075971589718682E-2</v>
      </c>
      <c r="P28" s="168">
        <f>(INDEX(Models!$BJ28:$BT28,,T28)*(1-R28)+INDEX(Models!$BJ28:$BT28,,T28+1)*R28-ERP_i)*Q28*Ramure*Pc/MaxiM</f>
        <v>2.106231569710585E-4</v>
      </c>
      <c r="Q28" s="304">
        <f t="shared" si="4"/>
        <v>0.5</v>
      </c>
      <c r="R28" s="176">
        <f t="shared" si="5"/>
        <v>0.12007828706746665</v>
      </c>
      <c r="S28" s="814">
        <f t="shared" si="6"/>
        <v>0</v>
      </c>
      <c r="T28" s="175">
        <f t="shared" si="7"/>
        <v>6</v>
      </c>
      <c r="U28" s="250">
        <f t="shared" si="8"/>
        <v>0.12007828706746665</v>
      </c>
      <c r="V28" s="382">
        <f t="shared" si="9"/>
        <v>26.219383458301095</v>
      </c>
      <c r="W28" s="401">
        <f t="shared" si="10"/>
        <v>27.103669034246298</v>
      </c>
      <c r="X28" s="157">
        <f t="shared" si="11"/>
        <v>46401</v>
      </c>
      <c r="Y28" s="384">
        <f t="shared" si="12"/>
        <v>25.998793486679379</v>
      </c>
      <c r="Z28" s="384">
        <f t="shared" si="22"/>
        <v>27.820716955726013</v>
      </c>
      <c r="AA28" s="385">
        <f t="shared" si="13"/>
        <v>29.808410699506773</v>
      </c>
      <c r="AB28" s="196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6.6682312043347222E-2</v>
      </c>
      <c r="AD28" s="230">
        <f>(INDEX(Models!$BJ28:$BT28,,AH28)*(1-AF28)+INDEX(Models!$BJ28:$BT28,,AH28+1)*AF28-ERP_i)*AE28*Ramure*Pc/MaxiM</f>
        <v>1.2967817618288126E-3</v>
      </c>
      <c r="AE28" s="304">
        <f t="shared" si="15"/>
        <v>0.5</v>
      </c>
      <c r="AF28" s="176">
        <f t="shared" si="23"/>
        <v>0.23507082689185399</v>
      </c>
      <c r="AG28" s="814">
        <f t="shared" si="24"/>
        <v>2</v>
      </c>
      <c r="AH28" s="175">
        <f t="shared" si="16"/>
        <v>8</v>
      </c>
      <c r="AI28" s="224">
        <f t="shared" si="17"/>
        <v>2.235070826891854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10">
        <f>'2026'!Wh/'2026'!Env_an*'2027'!Env_an</f>
        <v>27.447294497918978</v>
      </c>
      <c r="C29" s="843"/>
      <c r="D29" s="392">
        <f t="shared" si="0"/>
        <v>29.371367389869384</v>
      </c>
      <c r="E29" s="384">
        <f t="shared" si="1"/>
        <v>30.222155523386448</v>
      </c>
      <c r="F29" s="384">
        <f t="shared" si="2"/>
        <v>30.22855145041326</v>
      </c>
      <c r="G29" s="110">
        <f t="shared" si="21"/>
        <v>1.0365931566084636</v>
      </c>
      <c r="H29" s="413" t="b">
        <f>Wh_hp&gt;='2026'!Maxi_hp</f>
        <v>1</v>
      </c>
      <c r="I29" s="389">
        <f>IF(H29,Wh_hp,'2026'!Maxi_hp)</f>
        <v>30.22855145041326</v>
      </c>
      <c r="J29" s="85">
        <f>IF(H29,An,'2026'!An_max)</f>
        <v>2027</v>
      </c>
      <c r="K29" s="196">
        <f t="shared" si="3"/>
        <v>46402</v>
      </c>
      <c r="L29" s="147">
        <f>IF(t&lt;Tvie,1-EXP((T0-t)*PertePVj)+'2026'!Pspv,1-EXP((T0-t)*PertePVj)+Pspv)</f>
        <v>6.5508454761763896E-2</v>
      </c>
      <c r="M29" s="847"/>
      <c r="N29" s="847"/>
      <c r="O29" s="48">
        <f>IF(t&lt;Tnet,'2026'!Resal+('2026'!Salim-'2026'!Resal)*(1-EXP(('2026'!Tnet-t)/('2026'!Tau_j))),Resal+(Salim-Resal)*(1-EXP((Tnet-t)/(Tau_j))))*Salcycl</f>
        <v>2.8151140075323482E-2</v>
      </c>
      <c r="P29" s="168">
        <f>(INDEX(Models!$BJ29:$BT29,,T29)*(1-R29)+INDEX(Models!$BJ29:$BT29,,T29+1)*R29-ERP_i)*Q29*Ramure*Pc/MaxiM</f>
        <v>2.1158562749217189E-4</v>
      </c>
      <c r="Q29" s="304">
        <f t="shared" si="4"/>
        <v>0.5</v>
      </c>
      <c r="R29" s="176">
        <f t="shared" si="5"/>
        <v>0.12010813403757004</v>
      </c>
      <c r="S29" s="814">
        <f t="shared" si="6"/>
        <v>0</v>
      </c>
      <c r="T29" s="175">
        <f t="shared" si="7"/>
        <v>6</v>
      </c>
      <c r="U29" s="250">
        <f t="shared" si="8"/>
        <v>0.12010813403757004</v>
      </c>
      <c r="V29" s="382">
        <f t="shared" si="9"/>
        <v>26.478367451046392</v>
      </c>
      <c r="W29" s="401">
        <f t="shared" si="10"/>
        <v>27.447294497918978</v>
      </c>
      <c r="X29" s="157">
        <f t="shared" si="11"/>
        <v>46402</v>
      </c>
      <c r="Y29" s="384">
        <f t="shared" si="12"/>
        <v>26.328948617243142</v>
      </c>
      <c r="Z29" s="384">
        <f t="shared" si="22"/>
        <v>28.174624747975574</v>
      </c>
      <c r="AA29" s="385">
        <f t="shared" si="13"/>
        <v>30.188693601025275</v>
      </c>
      <c r="AB29" s="196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6.6715999031548026E-2</v>
      </c>
      <c r="AD29" s="230">
        <f>(INDEX(Models!$BJ29:$BT29,,AH29)*(1-AF29)+INDEX(Models!$BJ29:$BT29,,AH29+1)*AF29-ERP_i)*AE29*Ramure*Pc/MaxiM</f>
        <v>1.3185497642309904E-3</v>
      </c>
      <c r="AE29" s="304">
        <f t="shared" si="15"/>
        <v>0.5</v>
      </c>
      <c r="AF29" s="176">
        <f t="shared" si="23"/>
        <v>0.23510067386195743</v>
      </c>
      <c r="AG29" s="814">
        <f t="shared" si="24"/>
        <v>2</v>
      </c>
      <c r="AH29" s="175">
        <f t="shared" si="16"/>
        <v>8</v>
      </c>
      <c r="AI29" s="224">
        <f t="shared" si="17"/>
        <v>2.2351006738619574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10">
        <f>'2026'!Wh/'2026'!Env_an*'2027'!Env_an</f>
        <v>27.017191872084616</v>
      </c>
      <c r="C30" s="843"/>
      <c r="D30" s="392">
        <f t="shared" si="0"/>
        <v>28.911746723284946</v>
      </c>
      <c r="E30" s="384">
        <f t="shared" si="1"/>
        <v>29.751520827940457</v>
      </c>
      <c r="F30" s="384">
        <f t="shared" si="2"/>
        <v>29.757828642764931</v>
      </c>
      <c r="G30" s="110">
        <f t="shared" si="21"/>
        <v>1.0102265688655996</v>
      </c>
      <c r="H30" s="413" t="b">
        <f>Wh_hp&gt;='2026'!Maxi_hp</f>
        <v>1</v>
      </c>
      <c r="I30" s="389">
        <f>IF(H30,Wh_hp,'2026'!Maxi_hp)</f>
        <v>29.757828642764931</v>
      </c>
      <c r="J30" s="85">
        <f>IF(H30,An,'2026'!An_max)</f>
        <v>2027</v>
      </c>
      <c r="K30" s="196">
        <f t="shared" si="3"/>
        <v>46403</v>
      </c>
      <c r="L30" s="147">
        <f>IF(t&lt;Tvie,1-EXP((T0-t)*PertePVj)+'2026'!Pspv,1-EXP((T0-t)*PertePVj)+Pspv)</f>
        <v>6.5528896241834195E-2</v>
      </c>
      <c r="M30" s="847"/>
      <c r="N30" s="847"/>
      <c r="O30" s="48">
        <f>IF(t&lt;Tnet,'2026'!Resal+('2026'!Salim-'2026'!Resal)*(1-EXP(('2026'!Tnet-t)/('2026'!Tau_j))),Resal+(Salim-Resal)*(1-EXP((Tnet-t)/(Tau_j))))*Salcycl</f>
        <v>2.8226258062977926E-2</v>
      </c>
      <c r="P30" s="168">
        <f>(INDEX(Models!$BJ30:$BT30,,T30)*(1-R30)+INDEX(Models!$BJ30:$BT30,,T30+1)*R30-ERP_i)*Q30*Ramure*Pc/MaxiM</f>
        <v>2.1197160922576321E-4</v>
      </c>
      <c r="Q30" s="304">
        <f t="shared" si="4"/>
        <v>0.5</v>
      </c>
      <c r="R30" s="176">
        <f t="shared" si="5"/>
        <v>0.120139226826806</v>
      </c>
      <c r="S30" s="814">
        <f t="shared" si="6"/>
        <v>0</v>
      </c>
      <c r="T30" s="175">
        <f t="shared" si="7"/>
        <v>6</v>
      </c>
      <c r="U30" s="250">
        <f t="shared" si="8"/>
        <v>0.120139226826806</v>
      </c>
      <c r="V30" s="382">
        <f t="shared" si="9"/>
        <v>26.743695627034118</v>
      </c>
      <c r="W30" s="401">
        <f t="shared" si="10"/>
        <v>27.017191872084616</v>
      </c>
      <c r="X30" s="157">
        <f t="shared" si="11"/>
        <v>46403</v>
      </c>
      <c r="Y30" s="384">
        <f t="shared" si="12"/>
        <v>25.916934819359373</v>
      </c>
      <c r="Z30" s="384">
        <f t="shared" si="22"/>
        <v>27.734335192526707</v>
      </c>
      <c r="AA30" s="385">
        <f t="shared" si="13"/>
        <v>29.718003754876964</v>
      </c>
      <c r="AB30" s="196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6.674972446709912E-2</v>
      </c>
      <c r="AD30" s="230">
        <f>(INDEX(Models!$BJ30:$BT30,,AH30)*(1-AF30)+INDEX(Models!$BJ30:$BT30,,AH30+1)*AF30-ERP_i)*AE30*Ramure*Pc/MaxiM</f>
        <v>1.3382995233306837E-3</v>
      </c>
      <c r="AE30" s="304">
        <f t="shared" si="15"/>
        <v>0.5</v>
      </c>
      <c r="AF30" s="176">
        <f t="shared" si="23"/>
        <v>0.23513176665119362</v>
      </c>
      <c r="AG30" s="814">
        <f t="shared" si="24"/>
        <v>2</v>
      </c>
      <c r="AH30" s="175">
        <f t="shared" si="16"/>
        <v>8</v>
      </c>
      <c r="AI30" s="224">
        <f t="shared" si="17"/>
        <v>2.2351317666511936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10">
        <f>'2026'!Wh/'2026'!Env_an*'2027'!Env_an</f>
        <v>17.484009336530789</v>
      </c>
      <c r="C31" s="843"/>
      <c r="D31" s="392">
        <f t="shared" si="0"/>
        <v>18.710468122018867</v>
      </c>
      <c r="E31" s="384">
        <f t="shared" si="1"/>
        <v>19.255422117463112</v>
      </c>
      <c r="F31" s="384">
        <f t="shared" si="2"/>
        <v>19.257444629930077</v>
      </c>
      <c r="G31" s="110">
        <f t="shared" si="21"/>
        <v>0.64714154704900317</v>
      </c>
      <c r="H31" s="413" t="b">
        <f>Wh_hp&gt;='2026'!Maxi_hp</f>
        <v>0</v>
      </c>
      <c r="I31" s="389">
        <f>IF(H31,Wh_hp,'2026'!Maxi_hp)</f>
        <v>19.258575104696234</v>
      </c>
      <c r="J31" s="85">
        <f>IF(H31,An,'2026'!An_max)</f>
        <v>2026</v>
      </c>
      <c r="K31" s="196">
        <f t="shared" si="3"/>
        <v>46404</v>
      </c>
      <c r="L31" s="147">
        <f>IF(t&lt;Tvie,1-EXP((T0-t)*PertePVj)+'2026'!Pspv,1-EXP((T0-t)*PertePVj)+Pspv)</f>
        <v>6.5549337274183744E-2</v>
      </c>
      <c r="M31" s="847"/>
      <c r="N31" s="847"/>
      <c r="O31" s="48">
        <f>IF(t&lt;Tnet,'2026'!Resal+('2026'!Salim-'2026'!Resal)*(1-EXP(('2026'!Tnet-t)/('2026'!Tau_j))),Resal+(Salim-Resal)*(1-EXP((Tnet-t)/(Tau_j))))*Salcycl</f>
        <v>2.8301326874055687E-2</v>
      </c>
      <c r="P31" s="168">
        <f>(INDEX(Models!$BJ31:$BT31,,T31)*(1-R31)+INDEX(Models!$BJ31:$BT31,,T31+1)*R31-ERP_i)*Q31*Ramure*Pc/MaxiM</f>
        <v>2.1173740664351574E-4</v>
      </c>
      <c r="Q31" s="304">
        <f t="shared" si="4"/>
        <v>0.5</v>
      </c>
      <c r="R31" s="176">
        <f t="shared" si="5"/>
        <v>0.12017161716041848</v>
      </c>
      <c r="S31" s="814">
        <f t="shared" si="6"/>
        <v>0</v>
      </c>
      <c r="T31" s="175">
        <f t="shared" si="7"/>
        <v>6</v>
      </c>
      <c r="U31" s="250">
        <f t="shared" si="8"/>
        <v>0.12017161716041848</v>
      </c>
      <c r="V31" s="382">
        <f t="shared" si="9"/>
        <v>27.014404281364847</v>
      </c>
      <c r="W31" s="401">
        <f t="shared" si="10"/>
        <v>17.484009336530789</v>
      </c>
      <c r="X31" s="157">
        <f t="shared" si="11"/>
        <v>46404</v>
      </c>
      <c r="Y31" s="384">
        <f t="shared" si="12"/>
        <v>16.782070154835935</v>
      </c>
      <c r="Z31" s="384">
        <f t="shared" si="22"/>
        <v>17.959289692065937</v>
      </c>
      <c r="AA31" s="385">
        <f t="shared" si="13"/>
        <v>19.244504908648558</v>
      </c>
      <c r="AB31" s="196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6.6783490803395074E-2</v>
      </c>
      <c r="AD31" s="230">
        <f>(INDEX(Models!$BJ31:$BT31,,AH31)*(1-AF31)+INDEX(Models!$BJ31:$BT31,,AH31+1)*AF31-ERP_i)*AE31*Ramure*Pc/MaxiM</f>
        <v>1.3546631091727111E-3</v>
      </c>
      <c r="AE31" s="304">
        <f t="shared" si="15"/>
        <v>0.5</v>
      </c>
      <c r="AF31" s="176">
        <f t="shared" si="23"/>
        <v>0.23516415698480619</v>
      </c>
      <c r="AG31" s="814">
        <f t="shared" si="24"/>
        <v>2</v>
      </c>
      <c r="AH31" s="175">
        <f t="shared" si="16"/>
        <v>8</v>
      </c>
      <c r="AI31" s="224">
        <f t="shared" si="17"/>
        <v>2.2351641569848062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10">
        <f>'2026'!Wh/'2026'!Env_an*'2027'!Env_an</f>
        <v>3.6993406033575189</v>
      </c>
      <c r="C32" s="843"/>
      <c r="D32" s="392">
        <f t="shared" si="0"/>
        <v>3.9589265369443565</v>
      </c>
      <c r="E32" s="384">
        <f t="shared" si="1"/>
        <v>4.0745473094374285</v>
      </c>
      <c r="F32" s="384">
        <f t="shared" si="2"/>
        <v>4.0745473094374285</v>
      </c>
      <c r="G32" s="110">
        <f t="shared" si="21"/>
        <v>0.1355303890035981</v>
      </c>
      <c r="H32" s="413" t="b">
        <f>Wh_hp&gt;='2026'!Maxi_hp</f>
        <v>0</v>
      </c>
      <c r="I32" s="389">
        <f>IF(H32,Wh_hp,'2026'!Maxi_hp)</f>
        <v>29.889326692258766</v>
      </c>
      <c r="J32" s="85">
        <f>IF(H32,An,'2026'!An_max)</f>
        <v>2021</v>
      </c>
      <c r="K32" s="196">
        <f t="shared" si="3"/>
        <v>46405</v>
      </c>
      <c r="L32" s="147">
        <f>IF(t&lt;Tvie,1-EXP((T0-t)*PertePVj)+'2026'!Pspv,1-EXP((T0-t)*PertePVj)+Pspv)</f>
        <v>6.5569777858822093E-2</v>
      </c>
      <c r="M32" s="847"/>
      <c r="N32" s="847"/>
      <c r="O32" s="48">
        <f>IF(t&lt;Tnet,'2026'!Resal+('2026'!Salim-'2026'!Resal)*(1-EXP(('2026'!Tnet-t)/('2026'!Tau_j))),Resal+(Salim-Resal)*(1-EXP((Tnet-t)/(Tau_j))))*Salcycl</f>
        <v>2.8376348024054799E-2</v>
      </c>
      <c r="P32" s="168">
        <f>(INDEX(Models!$BJ32:$BT32,,T32)*(1-R32)+INDEX(Models!$BJ32:$BT32,,T32+1)*R32-ERP_i)*Q32*Ramure*Pc/MaxiM</f>
        <v>2.1090858444572654E-4</v>
      </c>
      <c r="Q32" s="304">
        <f t="shared" si="4"/>
        <v>0.5</v>
      </c>
      <c r="R32" s="176">
        <f t="shared" si="5"/>
        <v>0.12020535888770349</v>
      </c>
      <c r="S32" s="814">
        <f t="shared" si="6"/>
        <v>0</v>
      </c>
      <c r="T32" s="175">
        <f t="shared" si="7"/>
        <v>6</v>
      </c>
      <c r="U32" s="250">
        <f t="shared" si="8"/>
        <v>0.12020535888770349</v>
      </c>
      <c r="V32" s="382">
        <f t="shared" si="9"/>
        <v>27.289528259003905</v>
      </c>
      <c r="W32" s="401">
        <f t="shared" si="10"/>
        <v>3.6993406033575189</v>
      </c>
      <c r="X32" s="157">
        <f t="shared" si="11"/>
        <v>46405</v>
      </c>
      <c r="Y32" s="384">
        <f t="shared" si="12"/>
        <v>3.5529812824033962</v>
      </c>
      <c r="Z32" s="384">
        <f t="shared" si="22"/>
        <v>3.8022970556988214</v>
      </c>
      <c r="AA32" s="385">
        <f t="shared" si="13"/>
        <v>4.0745473094374285</v>
      </c>
      <c r="AB32" s="196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6.6817300932553586E-2</v>
      </c>
      <c r="AD32" s="230">
        <f>(INDEX(Models!$BJ32:$BT32,,AH32)*(1-AF32)+INDEX(Models!$BJ32:$BT32,,AH32+1)*AF32-ERP_i)*AE32*Ramure*Pc/MaxiM</f>
        <v>1.3677766486435159E-3</v>
      </c>
      <c r="AE32" s="304">
        <f t="shared" si="15"/>
        <v>0.5</v>
      </c>
      <c r="AF32" s="176">
        <f t="shared" si="23"/>
        <v>0.23519789871209085</v>
      </c>
      <c r="AG32" s="814">
        <f t="shared" si="24"/>
        <v>2</v>
      </c>
      <c r="AH32" s="175">
        <f t="shared" si="16"/>
        <v>8</v>
      </c>
      <c r="AI32" s="224">
        <f t="shared" si="17"/>
        <v>2.2351978987120908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10">
        <f>'2026'!Wh/'2026'!Env_an*'2027'!Env_an</f>
        <v>11.56469064949958</v>
      </c>
      <c r="C33" s="843"/>
      <c r="D33" s="392">
        <f t="shared" si="0"/>
        <v>12.37646573508056</v>
      </c>
      <c r="E33" s="384">
        <f t="shared" si="1"/>
        <v>12.738904421547025</v>
      </c>
      <c r="F33" s="384">
        <f t="shared" si="2"/>
        <v>12.739360044692191</v>
      </c>
      <c r="G33" s="110">
        <f t="shared" si="21"/>
        <v>0.41942245205426371</v>
      </c>
      <c r="H33" s="413" t="b">
        <f>Wh_hp&gt;='2026'!Maxi_hp</f>
        <v>0</v>
      </c>
      <c r="I33" s="389">
        <f>IF(H33,Wh_hp,'2026'!Maxi_hp)</f>
        <v>31.224540909778487</v>
      </c>
      <c r="J33" s="85">
        <f>IF(H33,An,'2026'!An_max)</f>
        <v>2021</v>
      </c>
      <c r="K33" s="196">
        <f t="shared" si="3"/>
        <v>46406</v>
      </c>
      <c r="L33" s="147">
        <f>IF(t&lt;Tvie,1-EXP((T0-t)*PertePVj)+'2026'!Pspv,1-EXP((T0-t)*PertePVj)+Pspv)</f>
        <v>6.5590217995759231E-2</v>
      </c>
      <c r="M33" s="847"/>
      <c r="N33" s="847"/>
      <c r="O33" s="48">
        <f>IF(t&lt;Tnet,'2026'!Resal+('2026'!Salim-'2026'!Resal)*(1-EXP(('2026'!Tnet-t)/('2026'!Tau_j))),Resal+(Salim-Resal)*(1-EXP((Tnet-t)/(Tau_j))))*Salcycl</f>
        <v>2.8451323165077147E-2</v>
      </c>
      <c r="P33" s="168">
        <f>(INDEX(Models!$BJ33:$BT33,,T33)*(1-R33)+INDEX(Models!$BJ33:$BT33,,T33+1)*R33-ERP_i)*Q33*Ramure*Pc/MaxiM</f>
        <v>2.0951023138068245E-4</v>
      </c>
      <c r="Q33" s="304">
        <f t="shared" si="4"/>
        <v>0.5</v>
      </c>
      <c r="R33" s="176">
        <f t="shared" si="5"/>
        <v>0.12024050806722002</v>
      </c>
      <c r="S33" s="814">
        <f t="shared" si="6"/>
        <v>0</v>
      </c>
      <c r="T33" s="175">
        <f t="shared" si="7"/>
        <v>6</v>
      </c>
      <c r="U33" s="250">
        <f t="shared" si="8"/>
        <v>0.12024050806722002</v>
      </c>
      <c r="V33" s="382">
        <f t="shared" si="9"/>
        <v>27.568102782978084</v>
      </c>
      <c r="W33" s="401">
        <f t="shared" si="10"/>
        <v>11.56469064949958</v>
      </c>
      <c r="X33" s="157">
        <f t="shared" si="11"/>
        <v>46406</v>
      </c>
      <c r="Y33" s="384">
        <f t="shared" si="12"/>
        <v>11.105388420066269</v>
      </c>
      <c r="Z33" s="384">
        <f t="shared" si="22"/>
        <v>11.884923118255486</v>
      </c>
      <c r="AA33" s="385">
        <f t="shared" si="13"/>
        <v>12.736363786686637</v>
      </c>
      <c r="AB33" s="196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6.6851158045686712E-2</v>
      </c>
      <c r="AD33" s="230">
        <f>(INDEX(Models!$BJ33:$BT33,,AH33)*(1-AF33)+INDEX(Models!$BJ33:$BT33,,AH33+1)*AF33-ERP_i)*AE33*Ramure*Pc/MaxiM</f>
        <v>1.3777761614588381E-3</v>
      </c>
      <c r="AE33" s="304">
        <f t="shared" si="15"/>
        <v>0.5</v>
      </c>
      <c r="AF33" s="176">
        <f t="shared" si="23"/>
        <v>0.23523304789160759</v>
      </c>
      <c r="AG33" s="814">
        <f t="shared" si="24"/>
        <v>2</v>
      </c>
      <c r="AH33" s="175">
        <f t="shared" si="16"/>
        <v>8</v>
      </c>
      <c r="AI33" s="224">
        <f t="shared" si="17"/>
        <v>2.2352330478916076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10">
        <f>'2026'!Wh/'2026'!Env_an*'2027'!Env_an</f>
        <v>5.3860089607785717</v>
      </c>
      <c r="C34" s="843"/>
      <c r="D34" s="392">
        <f t="shared" si="0"/>
        <v>5.7642020481895395</v>
      </c>
      <c r="E34" s="384">
        <f t="shared" si="1"/>
        <v>5.9334614775726431</v>
      </c>
      <c r="F34" s="384">
        <f t="shared" si="2"/>
        <v>5.9334614775726431</v>
      </c>
      <c r="G34" s="110">
        <f t="shared" si="21"/>
        <v>0.19335916547626691</v>
      </c>
      <c r="H34" s="413" t="b">
        <f>Wh_hp&gt;='2026'!Maxi_hp</f>
        <v>0</v>
      </c>
      <c r="I34" s="389">
        <f>IF(H34,Wh_hp,'2026'!Maxi_hp)</f>
        <v>10.158617938876899</v>
      </c>
      <c r="J34" s="85">
        <f>IF(H34,An,'2026'!An_max)</f>
        <v>2020</v>
      </c>
      <c r="K34" s="196">
        <f t="shared" si="3"/>
        <v>46407</v>
      </c>
      <c r="L34" s="147">
        <f>IF(t&lt;Tvie,1-EXP((T0-t)*PertePVj)+'2026'!Pspv,1-EXP((T0-t)*PertePVj)+Pspv)</f>
        <v>6.561065768500482E-2</v>
      </c>
      <c r="M34" s="847"/>
      <c r="N34" s="847"/>
      <c r="O34" s="48">
        <f>IF(t&lt;Tnet,'2026'!Resal+('2026'!Salim-'2026'!Resal)*(1-EXP(('2026'!Tnet-t)/('2026'!Tau_j))),Resal+(Salim-Resal)*(1-EXP((Tnet-t)/(Tau_j))))*Salcycl</f>
        <v>2.8526254029434858E-2</v>
      </c>
      <c r="P34" s="168">
        <f>(INDEX(Models!$BJ34:$BT34,,T34)*(1-R34)+INDEX(Models!$BJ34:$BT34,,T34+1)*R34-ERP_i)*Q34*Ramure*Pc/MaxiM</f>
        <v>2.0756790895986218E-4</v>
      </c>
      <c r="Q34" s="304">
        <f t="shared" si="4"/>
        <v>0.5</v>
      </c>
      <c r="R34" s="176">
        <f t="shared" si="5"/>
        <v>0.12027712305524561</v>
      </c>
      <c r="S34" s="814">
        <f t="shared" si="6"/>
        <v>0</v>
      </c>
      <c r="T34" s="175">
        <f t="shared" si="7"/>
        <v>6</v>
      </c>
      <c r="U34" s="250">
        <f t="shared" si="8"/>
        <v>0.12027712305524561</v>
      </c>
      <c r="V34" s="382">
        <f t="shared" si="9"/>
        <v>27.849163420297714</v>
      </c>
      <c r="W34" s="401">
        <f t="shared" si="10"/>
        <v>5.3860089607785717</v>
      </c>
      <c r="X34" s="157">
        <f t="shared" si="11"/>
        <v>46407</v>
      </c>
      <c r="Y34" s="384">
        <f t="shared" si="12"/>
        <v>5.1733414510806535</v>
      </c>
      <c r="Z34" s="384">
        <f t="shared" si="22"/>
        <v>5.5366015180175836</v>
      </c>
      <c r="AA34" s="385">
        <f t="shared" si="13"/>
        <v>5.9334614775726431</v>
      </c>
      <c r="AB34" s="196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6.6885065497621257E-2</v>
      </c>
      <c r="AD34" s="230">
        <f>(INDEX(Models!$BJ34:$BT34,,AH34)*(1-AF34)+INDEX(Models!$BJ34:$BT34,,AH34+1)*AF34-ERP_i)*AE34*Ramure*Pc/MaxiM</f>
        <v>1.3848040147692779E-3</v>
      </c>
      <c r="AE34" s="304">
        <f t="shared" si="15"/>
        <v>0.5</v>
      </c>
      <c r="AF34" s="176">
        <f t="shared" si="23"/>
        <v>0.23526966287963313</v>
      </c>
      <c r="AG34" s="814">
        <f t="shared" si="24"/>
        <v>2</v>
      </c>
      <c r="AH34" s="175">
        <f t="shared" si="16"/>
        <v>8</v>
      </c>
      <c r="AI34" s="224">
        <f t="shared" si="17"/>
        <v>2.2352696628796331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10">
        <f>'2026'!Wh/'2026'!Env_an*'2027'!Env_an</f>
        <v>18.466485098800337</v>
      </c>
      <c r="C35" s="843"/>
      <c r="D35" s="392">
        <f t="shared" si="0"/>
        <v>19.763591273273651</v>
      </c>
      <c r="E35" s="384">
        <f t="shared" si="1"/>
        <v>20.345495692257629</v>
      </c>
      <c r="F35" s="384">
        <f t="shared" si="2"/>
        <v>20.347620737850225</v>
      </c>
      <c r="G35" s="110">
        <f t="shared" si="21"/>
        <v>0.6563625955082808</v>
      </c>
      <c r="H35" s="413" t="b">
        <f>Wh_hp&gt;='2026'!Maxi_hp</f>
        <v>0</v>
      </c>
      <c r="I35" s="389">
        <f>IF(H35,Wh_hp,'2026'!Maxi_hp)</f>
        <v>20.348759913777219</v>
      </c>
      <c r="J35" s="85">
        <f>IF(H35,An,'2026'!An_max)</f>
        <v>2026</v>
      </c>
      <c r="K35" s="196">
        <f t="shared" si="3"/>
        <v>46408</v>
      </c>
      <c r="L35" s="147">
        <f>IF(t&lt;Tvie,1-EXP((T0-t)*PertePVj)+'2026'!Pspv,1-EXP((T0-t)*PertePVj)+Pspv)</f>
        <v>6.5631096926568849E-2</v>
      </c>
      <c r="M35" s="847"/>
      <c r="N35" s="847"/>
      <c r="O35" s="48">
        <f>IF(t&lt;Tnet,'2026'!Resal+('2026'!Salim-'2026'!Resal)*(1-EXP(('2026'!Tnet-t)/('2026'!Tau_j))),Resal+(Salim-Resal)*(1-EXP((Tnet-t)/(Tau_j))))*Salcycl</f>
        <v>2.8601142374988682E-2</v>
      </c>
      <c r="P35" s="168">
        <f>(INDEX(Models!$BJ35:$BT35,,T35)*(1-R35)+INDEX(Models!$BJ35:$BT35,,T35+1)*R35-ERP_i)*Q35*Ramure*Pc/MaxiM</f>
        <v>2.0510677680926588E-4</v>
      </c>
      <c r="Q35" s="304">
        <f t="shared" si="4"/>
        <v>0.5</v>
      </c>
      <c r="R35" s="176">
        <f t="shared" si="5"/>
        <v>0.12031526459758732</v>
      </c>
      <c r="S35" s="814">
        <f t="shared" si="6"/>
        <v>0</v>
      </c>
      <c r="T35" s="175">
        <f t="shared" si="7"/>
        <v>6</v>
      </c>
      <c r="U35" s="250">
        <f t="shared" si="8"/>
        <v>0.12031526459758732</v>
      </c>
      <c r="V35" s="382">
        <f t="shared" si="9"/>
        <v>28.131746103568364</v>
      </c>
      <c r="W35" s="401">
        <f t="shared" si="10"/>
        <v>18.466485098800337</v>
      </c>
      <c r="X35" s="157">
        <f t="shared" si="11"/>
        <v>46408</v>
      </c>
      <c r="Y35" s="384">
        <f t="shared" si="12"/>
        <v>17.727360520763547</v>
      </c>
      <c r="Z35" s="384">
        <f t="shared" si="22"/>
        <v>18.97254977391983</v>
      </c>
      <c r="AA35" s="385">
        <f t="shared" si="13"/>
        <v>20.333229715702743</v>
      </c>
      <c r="AB35" s="196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6.691902667740493E-2</v>
      </c>
      <c r="AD35" s="230">
        <f>(INDEX(Models!$BJ35:$BT35,,AH35)*(1-AF35)+INDEX(Models!$BJ35:$BT35,,AH35+1)*AF35-ERP_i)*AE35*Ramure*Pc/MaxiM</f>
        <v>1.3890036891177175E-3</v>
      </c>
      <c r="AE35" s="304">
        <f t="shared" si="15"/>
        <v>0.5</v>
      </c>
      <c r="AF35" s="176">
        <f t="shared" si="23"/>
        <v>0.23530780442197496</v>
      </c>
      <c r="AG35" s="814">
        <f t="shared" si="24"/>
        <v>2</v>
      </c>
      <c r="AH35" s="175">
        <f t="shared" si="16"/>
        <v>8</v>
      </c>
      <c r="AI35" s="224">
        <f t="shared" si="17"/>
        <v>2.235307804421975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10">
        <f>'2026'!Wh/'2026'!Env_an*'2027'!Env_an</f>
        <v>28.53071409859664</v>
      </c>
      <c r="C36" s="843"/>
      <c r="D36" s="392">
        <f t="shared" si="0"/>
        <v>30.535410705251405</v>
      </c>
      <c r="E36" s="384">
        <f t="shared" si="1"/>
        <v>31.436894783583774</v>
      </c>
      <c r="F36" s="384">
        <f t="shared" si="2"/>
        <v>31.4432510366217</v>
      </c>
      <c r="G36" s="110">
        <f t="shared" si="21"/>
        <v>1.0040762762424644</v>
      </c>
      <c r="H36" s="413" t="b">
        <f>Wh_hp&gt;='2026'!Maxi_hp</f>
        <v>1</v>
      </c>
      <c r="I36" s="389">
        <f>IF(H36,Wh_hp,'2026'!Maxi_hp)</f>
        <v>31.4432510366217</v>
      </c>
      <c r="J36" s="85">
        <f>IF(H36,An,'2026'!An_max)</f>
        <v>2027</v>
      </c>
      <c r="K36" s="196">
        <f t="shared" si="3"/>
        <v>46409</v>
      </c>
      <c r="L36" s="147">
        <f>IF(t&lt;Tvie,1-EXP((T0-t)*PertePVj)+'2026'!Pspv,1-EXP((T0-t)*PertePVj)+Pspv)</f>
        <v>6.5651535720461091E-2</v>
      </c>
      <c r="M36" s="847"/>
      <c r="N36" s="847"/>
      <c r="O36" s="48">
        <f>IF(t&lt;Tnet,'2026'!Resal+('2026'!Salim-'2026'!Resal)*(1-EXP(('2026'!Tnet-t)/('2026'!Tau_j))),Resal+(Salim-Resal)*(1-EXP((Tnet-t)/(Tau_j))))*Salcycl</f>
        <v>2.867598993279457E-2</v>
      </c>
      <c r="P36" s="168">
        <f>(INDEX(Models!$BJ36:$BT36,,T36)*(1-R36)+INDEX(Models!$BJ36:$BT36,,T36+1)*R36-ERP_i)*Q36*Ramure*Pc/MaxiM</f>
        <v>2.0214999493915246E-4</v>
      </c>
      <c r="Q36" s="304">
        <f t="shared" si="4"/>
        <v>0.5</v>
      </c>
      <c r="R36" s="176">
        <f t="shared" si="5"/>
        <v>0.12035499592485659</v>
      </c>
      <c r="S36" s="814">
        <f t="shared" si="6"/>
        <v>0</v>
      </c>
      <c r="T36" s="175">
        <f t="shared" si="7"/>
        <v>6</v>
      </c>
      <c r="U36" s="250">
        <f t="shared" si="8"/>
        <v>0.12035499592485659</v>
      </c>
      <c r="V36" s="382">
        <f t="shared" si="9"/>
        <v>28.414887169096943</v>
      </c>
      <c r="W36" s="401">
        <f t="shared" si="10"/>
        <v>28.53071409859664</v>
      </c>
      <c r="X36" s="157">
        <f t="shared" si="11"/>
        <v>46409</v>
      </c>
      <c r="Y36" s="384">
        <f t="shared" si="12"/>
        <v>27.373826379155155</v>
      </c>
      <c r="Z36" s="384">
        <f t="shared" si="22"/>
        <v>29.297234838677316</v>
      </c>
      <c r="AA36" s="385">
        <f t="shared" si="13"/>
        <v>31.399528906980816</v>
      </c>
      <c r="AB36" s="196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6.6953044885845872E-2</v>
      </c>
      <c r="AD36" s="230">
        <f>(INDEX(Models!$BJ36:$BT36,,AH36)*(1-AF36)+INDEX(Models!$BJ36:$BT36,,AH36+1)*AF36-ERP_i)*AE36*Ramure*Pc/MaxiM</f>
        <v>1.3905091935296496E-3</v>
      </c>
      <c r="AE36" s="304">
        <f t="shared" si="15"/>
        <v>0.5</v>
      </c>
      <c r="AF36" s="176">
        <f t="shared" si="23"/>
        <v>0.23534753574924405</v>
      </c>
      <c r="AG36" s="814">
        <f t="shared" si="24"/>
        <v>2</v>
      </c>
      <c r="AH36" s="175">
        <f t="shared" si="16"/>
        <v>8</v>
      </c>
      <c r="AI36" s="224">
        <f t="shared" si="17"/>
        <v>2.2353475357492441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10">
        <f>'2026'!Wh/'2026'!Env_an*'2027'!Env_an</f>
        <v>28.334045548533449</v>
      </c>
      <c r="C37" s="843"/>
      <c r="D37" s="392">
        <f t="shared" si="0"/>
        <v>30.325586691280414</v>
      </c>
      <c r="E37" s="384">
        <f t="shared" si="1"/>
        <v>31.223280945816263</v>
      </c>
      <c r="F37" s="384">
        <f t="shared" si="2"/>
        <v>31.229372824949021</v>
      </c>
      <c r="G37" s="110">
        <f t="shared" si="21"/>
        <v>0.98721501319043836</v>
      </c>
      <c r="H37" s="413" t="b">
        <f>Wh_hp&gt;='2026'!Maxi_hp</f>
        <v>0</v>
      </c>
      <c r="I37" s="389">
        <f>IF(H37,Wh_hp,'2026'!Maxi_hp)</f>
        <v>31.229436098216372</v>
      </c>
      <c r="J37" s="85">
        <f>IF(H37,An,'2026'!An_max)</f>
        <v>2026</v>
      </c>
      <c r="K37" s="196">
        <f t="shared" si="3"/>
        <v>46410</v>
      </c>
      <c r="L37" s="147">
        <f>IF(t&lt;Tvie,1-EXP((T0-t)*PertePVj)+'2026'!Pspv,1-EXP((T0-t)*PertePVj)+Pspv)</f>
        <v>6.5671974066691202E-2</v>
      </c>
      <c r="M37" s="847"/>
      <c r="N37" s="847"/>
      <c r="O37" s="48">
        <f>IF(t&lt;Tnet,'2026'!Resal+('2026'!Salim-'2026'!Resal)*(1-EXP(('2026'!Tnet-t)/('2026'!Tau_j))),Resal+(Salim-Resal)*(1-EXP((Tnet-t)/(Tau_j))))*Salcycl</f>
        <v>2.8750798357599711E-2</v>
      </c>
      <c r="P37" s="168">
        <f>(INDEX(Models!$BJ37:$BT37,,T37)*(1-R37)+INDEX(Models!$BJ37:$BT37,,T37+1)*R37-ERP_i)*Q37*Ramure*Pc/MaxiM</f>
        <v>1.9869692815177998E-4</v>
      </c>
      <c r="Q37" s="304">
        <f t="shared" si="4"/>
        <v>0.5</v>
      </c>
      <c r="R37" s="176">
        <f t="shared" si="5"/>
        <v>0.12039638285132295</v>
      </c>
      <c r="S37" s="814">
        <f t="shared" si="6"/>
        <v>0</v>
      </c>
      <c r="T37" s="175">
        <f t="shared" si="7"/>
        <v>6</v>
      </c>
      <c r="U37" s="250">
        <f t="shared" si="8"/>
        <v>0.12039638285132295</v>
      </c>
      <c r="V37" s="382">
        <f t="shared" si="9"/>
        <v>28.700883143933414</v>
      </c>
      <c r="W37" s="401">
        <f t="shared" si="10"/>
        <v>28.334045548533449</v>
      </c>
      <c r="X37" s="157">
        <f t="shared" si="11"/>
        <v>46410</v>
      </c>
      <c r="Y37" s="384">
        <f t="shared" si="12"/>
        <v>27.186764591242667</v>
      </c>
      <c r="Z37" s="384">
        <f t="shared" si="22"/>
        <v>29.097665741200004</v>
      </c>
      <c r="AA37" s="385">
        <f t="shared" si="13"/>
        <v>31.186778302202896</v>
      </c>
      <c r="AB37" s="196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6.6987123221231445E-2</v>
      </c>
      <c r="AD37" s="230">
        <f>(INDEX(Models!$BJ37:$BT37,,AH37)*(1-AF37)+INDEX(Models!$BJ37:$BT37,,AH37+1)*AF37-ERP_i)*AE37*Ramure*Pc/MaxiM</f>
        <v>1.3892923088769037E-3</v>
      </c>
      <c r="AE37" s="304">
        <f t="shared" si="15"/>
        <v>0.5</v>
      </c>
      <c r="AF37" s="176">
        <f t="shared" si="23"/>
        <v>0.23538892267571043</v>
      </c>
      <c r="AG37" s="814">
        <f t="shared" si="24"/>
        <v>2</v>
      </c>
      <c r="AH37" s="175">
        <f t="shared" si="16"/>
        <v>8</v>
      </c>
      <c r="AI37" s="224">
        <f t="shared" si="17"/>
        <v>2.2353889226757104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10">
        <f>'2026'!Wh/'2026'!Env_an*'2027'!Env_an</f>
        <v>28.986872489153313</v>
      </c>
      <c r="C38" s="843"/>
      <c r="D38" s="392">
        <f t="shared" si="0"/>
        <v>31.024978133941676</v>
      </c>
      <c r="E38" s="384">
        <f t="shared" si="1"/>
        <v>31.945835011121627</v>
      </c>
      <c r="F38" s="384">
        <f t="shared" si="2"/>
        <v>31.952051988121251</v>
      </c>
      <c r="G38" s="110">
        <f t="shared" si="21"/>
        <v>0.99980884556028815</v>
      </c>
      <c r="H38" s="413" t="b">
        <f>Wh_hp&gt;='2026'!Maxi_hp</f>
        <v>0</v>
      </c>
      <c r="I38" s="389">
        <f>IF(H38,Wh_hp,'2026'!Maxi_hp)</f>
        <v>31.952052937733722</v>
      </c>
      <c r="J38" s="85">
        <f>IF(H38,An,'2026'!An_max)</f>
        <v>2026</v>
      </c>
      <c r="K38" s="196">
        <f t="shared" si="3"/>
        <v>46411</v>
      </c>
      <c r="L38" s="147">
        <f>IF(t&lt;Tvie,1-EXP((T0-t)*PertePVj)+'2026'!Pspv,1-EXP((T0-t)*PertePVj)+Pspv)</f>
        <v>6.5692411965269065E-2</v>
      </c>
      <c r="M38" s="847"/>
      <c r="N38" s="847"/>
      <c r="O38" s="48">
        <f>IF(t&lt;Tnet,'2026'!Resal+('2026'!Salim-'2026'!Resal)*(1-EXP(('2026'!Tnet-t)/('2026'!Tau_j))),Resal+(Salim-Resal)*(1-EXP((Tnet-t)/(Tau_j))))*Salcycl</f>
        <v>2.8825569181690342E-2</v>
      </c>
      <c r="P38" s="168">
        <f>(INDEX(Models!$BJ38:$BT38,,T38)*(1-R38)+INDEX(Models!$BJ38:$BT38,,T38+1)*R38-ERP_i)*Q38*Ramure*Pc/MaxiM</f>
        <v>1.9462520628524727E-4</v>
      </c>
      <c r="Q38" s="304">
        <f t="shared" si="4"/>
        <v>0.5</v>
      </c>
      <c r="R38" s="176">
        <f t="shared" si="5"/>
        <v>0.12043949387746064</v>
      </c>
      <c r="S38" s="814">
        <f t="shared" si="6"/>
        <v>0</v>
      </c>
      <c r="T38" s="175">
        <f t="shared" si="7"/>
        <v>6</v>
      </c>
      <c r="U38" s="250">
        <f t="shared" si="8"/>
        <v>0.12043949387746064</v>
      </c>
      <c r="V38" s="382">
        <f t="shared" si="9"/>
        <v>28.992412977151339</v>
      </c>
      <c r="W38" s="401">
        <f t="shared" si="10"/>
        <v>28.986872489153313</v>
      </c>
      <c r="X38" s="157">
        <f t="shared" si="11"/>
        <v>46411</v>
      </c>
      <c r="Y38" s="384">
        <f t="shared" si="12"/>
        <v>27.813758441583492</v>
      </c>
      <c r="Z38" s="384">
        <f t="shared" si="22"/>
        <v>29.769380873902925</v>
      </c>
      <c r="AA38" s="385">
        <f t="shared" si="13"/>
        <v>31.907887865341095</v>
      </c>
      <c r="AB38" s="196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6.7021264474263612E-2</v>
      </c>
      <c r="AD38" s="230">
        <f>(INDEX(Models!$BJ38:$BT38,,AH38)*(1-AF38)+INDEX(Models!$BJ38:$BT38,,AH38+1)*AF38-ERP_i)*AE38*Ramure*Pc/MaxiM</f>
        <v>1.3825773373484348E-3</v>
      </c>
      <c r="AE38" s="304">
        <f t="shared" si="15"/>
        <v>0.5</v>
      </c>
      <c r="AF38" s="176">
        <f t="shared" si="23"/>
        <v>0.23543203370184829</v>
      </c>
      <c r="AG38" s="814">
        <f t="shared" si="24"/>
        <v>2</v>
      </c>
      <c r="AH38" s="175">
        <f t="shared" si="16"/>
        <v>8</v>
      </c>
      <c r="AI38" s="224">
        <f t="shared" si="17"/>
        <v>2.2354320337018483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10">
        <f>'2026'!Wh/'2026'!Env_an*'2027'!Env_an</f>
        <v>28.135006118443222</v>
      </c>
      <c r="C39" s="843"/>
      <c r="D39" s="392">
        <f t="shared" si="0"/>
        <v>30.113874627155983</v>
      </c>
      <c r="E39" s="384">
        <f t="shared" si="1"/>
        <v>31.010075221054045</v>
      </c>
      <c r="F39" s="384">
        <f t="shared" si="2"/>
        <v>31.01563899210052</v>
      </c>
      <c r="G39" s="110">
        <f t="shared" si="21"/>
        <v>0.96058691083150549</v>
      </c>
      <c r="H39" s="413" t="b">
        <f>Wh_hp&gt;='2026'!Maxi_hp</f>
        <v>0</v>
      </c>
      <c r="I39" s="389">
        <f>IF(H39,Wh_hp,'2026'!Maxi_hp)</f>
        <v>31.015824820837448</v>
      </c>
      <c r="J39" s="85">
        <f>IF(H39,An,'2026'!An_max)</f>
        <v>2026</v>
      </c>
      <c r="K39" s="196">
        <f t="shared" si="3"/>
        <v>46412</v>
      </c>
      <c r="L39" s="147">
        <f>IF(t&lt;Tvie,1-EXP((T0-t)*PertePVj)+'2026'!Pspv,1-EXP((T0-t)*PertePVj)+Pspv)</f>
        <v>6.571284941620445E-2</v>
      </c>
      <c r="M39" s="847"/>
      <c r="N39" s="847"/>
      <c r="O39" s="48">
        <f>IF(t&lt;Tnet,'2026'!Resal+('2026'!Salim-'2026'!Resal)*(1-EXP(('2026'!Tnet-t)/('2026'!Tau_j))),Resal+(Salim-Resal)*(1-EXP((Tnet-t)/(Tau_j))))*Salcycl</f>
        <v>2.8900303772549103E-2</v>
      </c>
      <c r="P39" s="168">
        <f>(INDEX(Models!$BJ39:$BT39,,T39)*(1-R39)+INDEX(Models!$BJ39:$BT39,,T39+1)*R39-ERP_i)*Q39*Ramure*Pc/MaxiM</f>
        <v>1.9008586983810405E-4</v>
      </c>
      <c r="Q39" s="304">
        <f t="shared" si="4"/>
        <v>0.5</v>
      </c>
      <c r="R39" s="176">
        <f t="shared" si="5"/>
        <v>0.12048440029630558</v>
      </c>
      <c r="S39" s="814">
        <f t="shared" si="6"/>
        <v>0</v>
      </c>
      <c r="T39" s="175">
        <f t="shared" si="7"/>
        <v>6</v>
      </c>
      <c r="U39" s="250">
        <f t="shared" si="8"/>
        <v>0.12048440029630558</v>
      </c>
      <c r="V39" s="382">
        <f t="shared" si="9"/>
        <v>29.289078068779993</v>
      </c>
      <c r="W39" s="401">
        <f t="shared" si="10"/>
        <v>28.135006118443222</v>
      </c>
      <c r="X39" s="157">
        <f t="shared" si="11"/>
        <v>46412</v>
      </c>
      <c r="Y39" s="384">
        <f t="shared" si="12"/>
        <v>26.999455296296567</v>
      </c>
      <c r="Z39" s="384">
        <f t="shared" si="22"/>
        <v>28.898455126377129</v>
      </c>
      <c r="AA39" s="385">
        <f t="shared" si="13"/>
        <v>30.975534159977162</v>
      </c>
      <c r="AB39" s="196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6.7055471033128589E-2</v>
      </c>
      <c r="AD39" s="230">
        <f>(INDEX(Models!$BJ39:$BT39,,AH39)*(1-AF39)+INDEX(Models!$BJ39:$BT39,,AH39+1)*AF39-ERP_i)*AE39*Ramure*Pc/MaxiM</f>
        <v>1.3701789371278459E-3</v>
      </c>
      <c r="AE39" s="304">
        <f t="shared" si="15"/>
        <v>0.5</v>
      </c>
      <c r="AF39" s="176">
        <f t="shared" si="23"/>
        <v>0.23547694012069309</v>
      </c>
      <c r="AG39" s="814">
        <f t="shared" si="24"/>
        <v>2</v>
      </c>
      <c r="AH39" s="175">
        <f t="shared" si="16"/>
        <v>8</v>
      </c>
      <c r="AI39" s="224">
        <f t="shared" si="17"/>
        <v>2.2354769401206931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10">
        <f>'2026'!Wh/'2026'!Env_an*'2027'!Env_an</f>
        <v>28.991798431952724</v>
      </c>
      <c r="C40" s="843"/>
      <c r="D40" s="392">
        <f t="shared" si="0"/>
        <v>31.03160800928493</v>
      </c>
      <c r="E40" s="384">
        <f t="shared" si="1"/>
        <v>31.957578965090082</v>
      </c>
      <c r="F40" s="384">
        <f t="shared" si="2"/>
        <v>31.963324311316491</v>
      </c>
      <c r="G40" s="110">
        <f t="shared" si="21"/>
        <v>0.97976239852479563</v>
      </c>
      <c r="H40" s="413" t="b">
        <f>Wh_hp&gt;='2026'!Maxi_hp</f>
        <v>0</v>
      </c>
      <c r="I40" s="389">
        <f>IF(H40,Wh_hp,'2026'!Maxi_hp)</f>
        <v>31.963420118788285</v>
      </c>
      <c r="J40" s="85">
        <f>IF(H40,An,'2026'!An_max)</f>
        <v>2026</v>
      </c>
      <c r="K40" s="196">
        <f t="shared" si="3"/>
        <v>46413</v>
      </c>
      <c r="L40" s="147">
        <f>IF(t&lt;Tvie,1-EXP((T0-t)*PertePVj)+'2026'!Pspv,1-EXP((T0-t)*PertePVj)+Pspv)</f>
        <v>6.5733286419507347E-2</v>
      </c>
      <c r="M40" s="847"/>
      <c r="N40" s="847"/>
      <c r="O40" s="48">
        <f>IF(t&lt;Tnet,'2026'!Resal+('2026'!Salim-'2026'!Resal)*(1-EXP(('2026'!Tnet-t)/('2026'!Tau_j))),Resal+(Salim-Resal)*(1-EXP((Tnet-t)/(Tau_j))))*Salcycl</f>
        <v>2.8975003294732231E-2</v>
      </c>
      <c r="P40" s="168">
        <f>(INDEX(Models!$BJ40:$BT40,,T40)*(1-R40)+INDEX(Models!$BJ40:$BT40,,T40+1)*R40-ERP_i)*Q40*Ramure*Pc/MaxiM</f>
        <v>1.8509803864572962E-4</v>
      </c>
      <c r="Q40" s="304">
        <f t="shared" si="4"/>
        <v>0.5</v>
      </c>
      <c r="R40" s="176">
        <f t="shared" si="5"/>
        <v>0.12053117630374119</v>
      </c>
      <c r="S40" s="814">
        <f t="shared" si="6"/>
        <v>0</v>
      </c>
      <c r="T40" s="175">
        <f t="shared" si="7"/>
        <v>6</v>
      </c>
      <c r="U40" s="250">
        <f t="shared" si="8"/>
        <v>0.12053117630374119</v>
      </c>
      <c r="V40" s="382">
        <f t="shared" si="9"/>
        <v>29.590483716096404</v>
      </c>
      <c r="W40" s="401">
        <f t="shared" si="10"/>
        <v>28.991798431952724</v>
      </c>
      <c r="X40" s="157">
        <f t="shared" si="11"/>
        <v>46413</v>
      </c>
      <c r="Y40" s="384">
        <f t="shared" si="12"/>
        <v>27.822233394437212</v>
      </c>
      <c r="Z40" s="384">
        <f t="shared" si="22"/>
        <v>29.779754528351997</v>
      </c>
      <c r="AA40" s="385">
        <f t="shared" si="13"/>
        <v>31.921349735780964</v>
      </c>
      <c r="AB40" s="196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6.7089744799494838E-2</v>
      </c>
      <c r="AD40" s="230">
        <f>(INDEX(Models!$BJ40:$BT40,,AH40)*(1-AF40)+INDEX(Models!$BJ40:$BT40,,AH40+1)*AF40-ERP_i)*AE40*Ramure*Pc/MaxiM</f>
        <v>1.3522965019758212E-3</v>
      </c>
      <c r="AE40" s="304">
        <f t="shared" si="15"/>
        <v>0.5</v>
      </c>
      <c r="AF40" s="176">
        <f t="shared" si="23"/>
        <v>0.2355237161281285</v>
      </c>
      <c r="AG40" s="814">
        <f t="shared" si="24"/>
        <v>2</v>
      </c>
      <c r="AH40" s="175">
        <f t="shared" si="16"/>
        <v>8</v>
      </c>
      <c r="AI40" s="224">
        <f t="shared" si="17"/>
        <v>2.2355237161281285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10">
        <f>'2026'!Wh/'2026'!Env_an*'2027'!Env_an</f>
        <v>25.416748543600821</v>
      </c>
      <c r="C41" s="843"/>
      <c r="D41" s="392">
        <f t="shared" si="0"/>
        <v>27.205619298310328</v>
      </c>
      <c r="E41" s="384">
        <f t="shared" si="1"/>
        <v>28.019578778269253</v>
      </c>
      <c r="F41" s="384">
        <f t="shared" si="2"/>
        <v>28.023536255598913</v>
      </c>
      <c r="G41" s="110">
        <f t="shared" si="21"/>
        <v>0.8501328192111155</v>
      </c>
      <c r="H41" s="413" t="b">
        <f>Wh_hp&gt;='2026'!Maxi_hp</f>
        <v>0</v>
      </c>
      <c r="I41" s="389">
        <f>IF(H41,Wh_hp,'2026'!Maxi_hp)</f>
        <v>28.024140109944298</v>
      </c>
      <c r="J41" s="85">
        <f>IF(H41,An,'2026'!An_max)</f>
        <v>2026</v>
      </c>
      <c r="K41" s="196">
        <f t="shared" si="3"/>
        <v>46414</v>
      </c>
      <c r="L41" s="147">
        <f>IF(t&lt;Tvie,1-EXP((T0-t)*PertePVj)+'2026'!Pspv,1-EXP((T0-t)*PertePVj)+Pspv)</f>
        <v>6.5753722975187306E-2</v>
      </c>
      <c r="M41" s="847"/>
      <c r="N41" s="847"/>
      <c r="O41" s="48">
        <f>IF(t&lt;Tnet,'2026'!Resal+('2026'!Salim-'2026'!Resal)*(1-EXP(('2026'!Tnet-t)/('2026'!Tau_j))),Resal+(Salim-Resal)*(1-EXP((Tnet-t)/(Tau_j))))*Salcycl</f>
        <v>2.9049668676325552E-2</v>
      </c>
      <c r="P41" s="168">
        <f>(INDEX(Models!$BJ41:$BT41,,T41)*(1-R41)+INDEX(Models!$BJ41:$BT41,,T41+1)*R41-ERP_i)*Q41*Ramure*Pc/MaxiM</f>
        <v>1.7968017761204946E-4</v>
      </c>
      <c r="Q41" s="304">
        <f t="shared" si="4"/>
        <v>0.5</v>
      </c>
      <c r="R41" s="176">
        <f t="shared" si="5"/>
        <v>0.12057989911283423</v>
      </c>
      <c r="S41" s="814">
        <f t="shared" si="6"/>
        <v>0</v>
      </c>
      <c r="T41" s="175">
        <f t="shared" si="7"/>
        <v>6</v>
      </c>
      <c r="U41" s="250">
        <f t="shared" si="8"/>
        <v>0.12057989911283423</v>
      </c>
      <c r="V41" s="382">
        <f t="shared" si="9"/>
        <v>29.896235379544009</v>
      </c>
      <c r="W41" s="401">
        <f t="shared" si="10"/>
        <v>25.416748543600821</v>
      </c>
      <c r="X41" s="157">
        <f t="shared" si="11"/>
        <v>46414</v>
      </c>
      <c r="Y41" s="384">
        <f t="shared" si="12"/>
        <v>24.398002977917056</v>
      </c>
      <c r="Z41" s="384">
        <f t="shared" si="22"/>
        <v>26.115172816759397</v>
      </c>
      <c r="AA41" s="385">
        <f t="shared" si="13"/>
        <v>27.99426210504976</v>
      </c>
      <c r="AB41" s="196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6.7124087116102391E-2</v>
      </c>
      <c r="AD41" s="230">
        <f>(INDEX(Models!$BJ41:$BT41,,AH41)*(1-AF41)+INDEX(Models!$BJ41:$BT41,,AH41+1)*AF41-ERP_i)*AE41*Ramure*Pc/MaxiM</f>
        <v>1.3291256353364627E-3</v>
      </c>
      <c r="AE41" s="304">
        <f t="shared" si="15"/>
        <v>0.5</v>
      </c>
      <c r="AF41" s="176">
        <f t="shared" si="23"/>
        <v>0.23557243893722157</v>
      </c>
      <c r="AG41" s="814">
        <f t="shared" si="24"/>
        <v>2</v>
      </c>
      <c r="AH41" s="175">
        <f t="shared" si="16"/>
        <v>8</v>
      </c>
      <c r="AI41" s="224">
        <f t="shared" si="17"/>
        <v>2.2355724389372216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10">
        <f>'2026'!Wh/'2026'!Env_an*'2027'!Env_an</f>
        <v>3.7585515159069072</v>
      </c>
      <c r="C42" s="843"/>
      <c r="D42" s="392">
        <f t="shared" si="0"/>
        <v>4.0231722901377696</v>
      </c>
      <c r="E42" s="384">
        <f t="shared" si="1"/>
        <v>4.1438592937719863</v>
      </c>
      <c r="F42" s="384">
        <f t="shared" si="2"/>
        <v>4.1438592937719863</v>
      </c>
      <c r="G42" s="110">
        <f t="shared" si="21"/>
        <v>0.1244092471552212</v>
      </c>
      <c r="H42" s="413" t="b">
        <f>Wh_hp&gt;='2026'!Maxi_hp</f>
        <v>0</v>
      </c>
      <c r="I42" s="389">
        <f>IF(H42,Wh_hp,'2026'!Maxi_hp)</f>
        <v>19.765771987607742</v>
      </c>
      <c r="J42" s="85">
        <f>IF(H42,An,'2026'!An_max)</f>
        <v>2020</v>
      </c>
      <c r="K42" s="196">
        <f t="shared" si="3"/>
        <v>46415</v>
      </c>
      <c r="L42" s="147">
        <f>IF(t&lt;Tvie,1-EXP((T0-t)*PertePVj)+'2026'!Pspv,1-EXP((T0-t)*PertePVj)+Pspv)</f>
        <v>6.5774159083254319E-2</v>
      </c>
      <c r="M42" s="847"/>
      <c r="N42" s="847"/>
      <c r="O42" s="48">
        <f>IF(t&lt;Tnet,'2026'!Resal+('2026'!Salim-'2026'!Resal)*(1-EXP(('2026'!Tnet-t)/('2026'!Tau_j))),Resal+(Salim-Resal)*(1-EXP((Tnet-t)/(Tau_j))))*Salcycl</f>
        <v>2.9124300580283435E-2</v>
      </c>
      <c r="P42" s="168">
        <f>(INDEX(Models!$BJ42:$BT42,,T42)*(1-R42)+INDEX(Models!$BJ42:$BT42,,T42+1)*R42-ERP_i)*Q42*Ramure*Pc/MaxiM</f>
        <v>1.738500351553428E-4</v>
      </c>
      <c r="Q42" s="304">
        <f t="shared" si="4"/>
        <v>0.5</v>
      </c>
      <c r="R42" s="176">
        <f t="shared" si="5"/>
        <v>0.12063064907234181</v>
      </c>
      <c r="S42" s="814">
        <f t="shared" si="6"/>
        <v>0</v>
      </c>
      <c r="T42" s="175">
        <f t="shared" si="7"/>
        <v>6</v>
      </c>
      <c r="U42" s="250">
        <f t="shared" si="8"/>
        <v>0.12063064907234181</v>
      </c>
      <c r="V42" s="382">
        <f t="shared" si="9"/>
        <v>30.205938686415578</v>
      </c>
      <c r="W42" s="401">
        <f t="shared" si="10"/>
        <v>3.7585515159069072</v>
      </c>
      <c r="X42" s="157">
        <f t="shared" si="11"/>
        <v>46415</v>
      </c>
      <c r="Y42" s="384">
        <f t="shared" si="12"/>
        <v>3.6113097082183128</v>
      </c>
      <c r="Z42" s="384">
        <f t="shared" si="22"/>
        <v>3.8655639247514002</v>
      </c>
      <c r="AA42" s="385">
        <f t="shared" si="13"/>
        <v>4.1438592937719863</v>
      </c>
      <c r="AB42" s="196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6.7158498706471531E-2</v>
      </c>
      <c r="AD42" s="230">
        <f>(INDEX(Models!$BJ42:$BT42,,AH42)*(1-AF42)+INDEX(Models!$BJ42:$BT42,,AH42+1)*AF42-ERP_i)*AE42*Ramure*Pc/MaxiM</f>
        <v>1.3008572483397462E-3</v>
      </c>
      <c r="AE42" s="304">
        <f t="shared" si="15"/>
        <v>0.5</v>
      </c>
      <c r="AF42" s="176">
        <f t="shared" si="23"/>
        <v>0.23562318889672929</v>
      </c>
      <c r="AG42" s="814">
        <f t="shared" si="24"/>
        <v>2</v>
      </c>
      <c r="AH42" s="175">
        <f t="shared" si="16"/>
        <v>8</v>
      </c>
      <c r="AI42" s="224">
        <f t="shared" si="17"/>
        <v>2.2356231888967293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10">
        <f>'2026'!Wh/'2026'!Env_an*'2027'!Env_an</f>
        <v>6.0421250479978239</v>
      </c>
      <c r="C43" s="843"/>
      <c r="D43" s="392">
        <f t="shared" si="0"/>
        <v>6.4676622657094125</v>
      </c>
      <c r="E43" s="384">
        <f t="shared" si="1"/>
        <v>6.6621909076790748</v>
      </c>
      <c r="F43" s="384">
        <f t="shared" si="2"/>
        <v>6.6621909076790748</v>
      </c>
      <c r="G43" s="110">
        <f t="shared" si="21"/>
        <v>0.19794464966298431</v>
      </c>
      <c r="H43" s="413" t="b">
        <f>Wh_hp&gt;='2026'!Maxi_hp</f>
        <v>0</v>
      </c>
      <c r="I43" s="389">
        <f>IF(H43,Wh_hp,'2026'!Maxi_hp)</f>
        <v>24.438772504901799</v>
      </c>
      <c r="J43" s="85">
        <f>IF(H43,An,'2026'!An_max)</f>
        <v>2020</v>
      </c>
      <c r="K43" s="196">
        <f t="shared" si="3"/>
        <v>46416</v>
      </c>
      <c r="L43" s="147">
        <f>IF(t&lt;Tvie,1-EXP((T0-t)*PertePVj)+'2026'!Pspv,1-EXP((T0-t)*PertePVj)+Pspv)</f>
        <v>6.5794594743718154E-2</v>
      </c>
      <c r="M43" s="847"/>
      <c r="N43" s="847"/>
      <c r="O43" s="48">
        <f>IF(t&lt;Tnet,'2026'!Resal+('2026'!Salim-'2026'!Resal)*(1-EXP(('2026'!Tnet-t)/('2026'!Tau_j))),Resal+(Salim-Resal)*(1-EXP((Tnet-t)/(Tau_j))))*Salcycl</f>
        <v>2.9198899380899188E-2</v>
      </c>
      <c r="P43" s="168">
        <f>(INDEX(Models!$BJ43:$BT43,,T43)*(1-R43)+INDEX(Models!$BJ43:$BT43,,T43+1)*R43-ERP_i)*Q43*Ramure*Pc/MaxiM</f>
        <v>1.6762459307149971E-4</v>
      </c>
      <c r="Q43" s="304">
        <f t="shared" si="4"/>
        <v>0.5</v>
      </c>
      <c r="R43" s="176">
        <f t="shared" si="5"/>
        <v>0.12068350978951296</v>
      </c>
      <c r="S43" s="814">
        <f t="shared" si="6"/>
        <v>0</v>
      </c>
      <c r="T43" s="175">
        <f t="shared" si="7"/>
        <v>6</v>
      </c>
      <c r="U43" s="250">
        <f t="shared" si="8"/>
        <v>0.12068350978951296</v>
      </c>
      <c r="V43" s="382">
        <f t="shared" si="9"/>
        <v>30.519199430400445</v>
      </c>
      <c r="W43" s="401">
        <f t="shared" si="10"/>
        <v>6.0421250479978239</v>
      </c>
      <c r="X43" s="157">
        <f t="shared" si="11"/>
        <v>46416</v>
      </c>
      <c r="Y43" s="384">
        <f t="shared" si="12"/>
        <v>5.8056554109270078</v>
      </c>
      <c r="Z43" s="384">
        <f t="shared" si="22"/>
        <v>6.2145384497473923</v>
      </c>
      <c r="AA43" s="385">
        <f t="shared" si="13"/>
        <v>6.6621909076790748</v>
      </c>
      <c r="AB43" s="196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6.7192979627122743E-2</v>
      </c>
      <c r="AD43" s="230">
        <f>(INDEX(Models!$BJ43:$BT43,,AH43)*(1-AF43)+INDEX(Models!$BJ43:$BT43,,AH43+1)*AF43-ERP_i)*AE43*Ramure*Pc/MaxiM</f>
        <v>1.2676767857867596E-3</v>
      </c>
      <c r="AE43" s="304">
        <f t="shared" si="15"/>
        <v>0.5</v>
      </c>
      <c r="AF43" s="176">
        <f t="shared" si="23"/>
        <v>0.23567604961390032</v>
      </c>
      <c r="AG43" s="814">
        <f t="shared" si="24"/>
        <v>2</v>
      </c>
      <c r="AH43" s="175">
        <f t="shared" si="16"/>
        <v>8</v>
      </c>
      <c r="AI43" s="224">
        <f t="shared" si="17"/>
        <v>2.2356760496139003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10">
        <f>'2026'!Wh/'2026'!Env_an*'2027'!Env_an</f>
        <v>4.2998561288072565</v>
      </c>
      <c r="C44" s="843"/>
      <c r="D44" s="392">
        <f t="shared" si="0"/>
        <v>4.6027888123777485</v>
      </c>
      <c r="E44" s="384">
        <f t="shared" si="1"/>
        <v>4.7415916296839544</v>
      </c>
      <c r="F44" s="384">
        <f t="shared" si="2"/>
        <v>4.7415916296839544</v>
      </c>
      <c r="G44" s="110">
        <f t="shared" si="21"/>
        <v>0.13942198236137668</v>
      </c>
      <c r="H44" s="413" t="b">
        <f>Wh_hp&gt;='2026'!Maxi_hp</f>
        <v>0</v>
      </c>
      <c r="I44" s="389">
        <f>IF(H44,Wh_hp,'2026'!Maxi_hp)</f>
        <v>10.973075209769302</v>
      </c>
      <c r="J44" s="85">
        <f>IF(H44,An,'2026'!An_max)</f>
        <v>2020</v>
      </c>
      <c r="K44" s="196">
        <f t="shared" si="3"/>
        <v>46417</v>
      </c>
      <c r="L44" s="147">
        <f>IF(t&lt;Tvie,1-EXP((T0-t)*PertePVj)+'2026'!Pspv,1-EXP((T0-t)*PertePVj)+Pspv)</f>
        <v>6.5815029956588472E-2</v>
      </c>
      <c r="M44" s="847"/>
      <c r="N44" s="847"/>
      <c r="O44" s="48">
        <f>IF(t&lt;Tnet,'2026'!Resal+('2026'!Salim-'2026'!Resal)*(1-EXP(('2026'!Tnet-t)/('2026'!Tau_j))),Resal+(Salim-Resal)*(1-EXP((Tnet-t)/(Tau_j))))*Salcycl</f>
        <v>2.9273465145596537E-2</v>
      </c>
      <c r="P44" s="168">
        <f>(INDEX(Models!$BJ44:$BT44,,T44)*(1-R44)+INDEX(Models!$BJ44:$BT44,,T44+1)*R44-ERP_i)*Q44*Ramure*Pc/MaxiM</f>
        <v>1.6136802271406604E-4</v>
      </c>
      <c r="Q44" s="304">
        <f t="shared" si="4"/>
        <v>0.5</v>
      </c>
      <c r="R44" s="176">
        <f t="shared" si="5"/>
        <v>0.12073856825730905</v>
      </c>
      <c r="S44" s="814">
        <f t="shared" si="6"/>
        <v>0</v>
      </c>
      <c r="T44" s="175">
        <f t="shared" si="7"/>
        <v>6</v>
      </c>
      <c r="U44" s="250">
        <f t="shared" si="8"/>
        <v>0.12073856825730905</v>
      </c>
      <c r="V44" s="382">
        <f t="shared" si="9"/>
        <v>30.835612840323307</v>
      </c>
      <c r="W44" s="401">
        <f t="shared" si="10"/>
        <v>4.2998561288072565</v>
      </c>
      <c r="X44" s="157">
        <f t="shared" si="11"/>
        <v>46417</v>
      </c>
      <c r="Y44" s="384">
        <f t="shared" si="12"/>
        <v>4.1317377049074171</v>
      </c>
      <c r="Z44" s="384">
        <f t="shared" si="22"/>
        <v>4.4228261397905122</v>
      </c>
      <c r="AA44" s="385">
        <f t="shared" si="13"/>
        <v>4.7415916296839544</v>
      </c>
      <c r="AB44" s="196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6.7227529232560465E-2</v>
      </c>
      <c r="AD44" s="230">
        <f>(INDEX(Models!$BJ44:$BT44,,AH44)*(1-AF44)+INDEX(Models!$BJ44:$BT44,,AH44+1)*AF44-ERP_i)*AE44*Ramure*Pc/MaxiM</f>
        <v>1.2303384420155486E-3</v>
      </c>
      <c r="AE44" s="304">
        <f t="shared" si="15"/>
        <v>0.5</v>
      </c>
      <c r="AF44" s="176">
        <f t="shared" si="23"/>
        <v>0.23573110808169639</v>
      </c>
      <c r="AG44" s="814">
        <f t="shared" si="24"/>
        <v>2</v>
      </c>
      <c r="AH44" s="175">
        <f t="shared" si="16"/>
        <v>8</v>
      </c>
      <c r="AI44" s="224">
        <f t="shared" si="17"/>
        <v>2.2357311080816964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10">
        <f>'2026'!Wh/'2026'!Env_an*'2027'!Env_an</f>
        <v>10.697595529560502</v>
      </c>
      <c r="C45" s="843"/>
      <c r="D45" s="392">
        <f t="shared" si="0"/>
        <v>11.451511083511164</v>
      </c>
      <c r="E45" s="384">
        <f t="shared" si="1"/>
        <v>11.797751465466671</v>
      </c>
      <c r="F45" s="384">
        <f t="shared" si="2"/>
        <v>11.797865098103772</v>
      </c>
      <c r="G45" s="110">
        <f t="shared" si="21"/>
        <v>0.3433193166778985</v>
      </c>
      <c r="H45" s="413" t="b">
        <f>Wh_hp&gt;='2026'!Maxi_hp</f>
        <v>0</v>
      </c>
      <c r="I45" s="389">
        <f>IF(H45,Wh_hp,'2026'!Maxi_hp)</f>
        <v>22.393686095850722</v>
      </c>
      <c r="J45" s="85">
        <f>IF(H45,An,'2026'!An_max)</f>
        <v>2020</v>
      </c>
      <c r="K45" s="196">
        <f t="shared" si="3"/>
        <v>46418</v>
      </c>
      <c r="L45" s="147">
        <f>IF(t&lt;Tvie,1-EXP((T0-t)*PertePVj)+'2026'!Pspv,1-EXP((T0-t)*PertePVj)+Pspv)</f>
        <v>6.5835464721875264E-2</v>
      </c>
      <c r="M45" s="847"/>
      <c r="N45" s="847"/>
      <c r="O45" s="48">
        <f>IF(t&lt;Tnet,'2026'!Resal+('2026'!Salim-'2026'!Resal)*(1-EXP(('2026'!Tnet-t)/('2026'!Tau_j))),Resal+(Salim-Resal)*(1-EXP((Tnet-t)/(Tau_j))))*Salcycl</f>
        <v>2.9347997622173348E-2</v>
      </c>
      <c r="P45" s="168">
        <f>(INDEX(Models!$BJ45:$BT45,,T45)*(1-R45)+INDEX(Models!$BJ45:$BT45,,T45+1)*R45-ERP_i)*Q45*Ramure*Pc/MaxiM</f>
        <v>1.5545847015401124E-4</v>
      </c>
      <c r="Q45" s="304">
        <f t="shared" si="4"/>
        <v>0.5</v>
      </c>
      <c r="R45" s="176">
        <f t="shared" si="5"/>
        <v>0.12079591498616708</v>
      </c>
      <c r="S45" s="814">
        <f t="shared" si="6"/>
        <v>0</v>
      </c>
      <c r="T45" s="175">
        <f t="shared" si="7"/>
        <v>6</v>
      </c>
      <c r="U45" s="250">
        <f t="shared" si="8"/>
        <v>0.12079591498616708</v>
      </c>
      <c r="V45" s="382">
        <f t="shared" si="9"/>
        <v>31.154773408761081</v>
      </c>
      <c r="W45" s="401">
        <f t="shared" si="10"/>
        <v>10.697595529560502</v>
      </c>
      <c r="X45" s="157">
        <f t="shared" si="11"/>
        <v>46418</v>
      </c>
      <c r="Y45" s="384">
        <f t="shared" si="12"/>
        <v>10.279082163652349</v>
      </c>
      <c r="Z45" s="384">
        <f t="shared" si="22"/>
        <v>11.003502889982869</v>
      </c>
      <c r="AA45" s="385">
        <f t="shared" si="13"/>
        <v>11.796994026350957</v>
      </c>
      <c r="AB45" s="196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6.7262146153135804E-2</v>
      </c>
      <c r="AD45" s="230">
        <f>(INDEX(Models!$BJ45:$BT45,,AH45)*(1-AF45)+INDEX(Models!$BJ45:$BT45,,AH45+1)*AF45-ERP_i)*AE45*Ramure*Pc/MaxiM</f>
        <v>1.1916953222407373E-3</v>
      </c>
      <c r="AE45" s="304">
        <f t="shared" si="15"/>
        <v>0.5</v>
      </c>
      <c r="AF45" s="176">
        <f t="shared" si="23"/>
        <v>0.23578845481055444</v>
      </c>
      <c r="AG45" s="814">
        <f t="shared" si="24"/>
        <v>2</v>
      </c>
      <c r="AH45" s="175">
        <f t="shared" si="16"/>
        <v>8</v>
      </c>
      <c r="AI45" s="224">
        <f t="shared" si="17"/>
        <v>2.2357884548105544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10">
        <f>'2026'!Wh/'2026'!Env_an*'2027'!Env_an</f>
        <v>13.569523777843923</v>
      </c>
      <c r="C46" s="843"/>
      <c r="D46" s="392">
        <f t="shared" si="0"/>
        <v>14.526156900089431</v>
      </c>
      <c r="E46" s="384">
        <f t="shared" si="1"/>
        <v>14.966508953369688</v>
      </c>
      <c r="F46" s="384">
        <f t="shared" si="2"/>
        <v>14.96692911518354</v>
      </c>
      <c r="G46" s="110">
        <f t="shared" si="21"/>
        <v>0.43105054163191014</v>
      </c>
      <c r="H46" s="413" t="b">
        <f>Wh_hp&gt;='2026'!Maxi_hp</f>
        <v>0</v>
      </c>
      <c r="I46" s="389">
        <f>IF(H46,Wh_hp,'2026'!Maxi_hp)</f>
        <v>27.773324166847818</v>
      </c>
      <c r="J46" s="85">
        <f>IF(H46,An,'2026'!An_max)</f>
        <v>2019</v>
      </c>
      <c r="K46" s="196">
        <f t="shared" si="3"/>
        <v>46419</v>
      </c>
      <c r="L46" s="147">
        <f>IF(t&lt;Tvie,1-EXP((T0-t)*PertePVj)+'2026'!Pspv,1-EXP((T0-t)*PertePVj)+Pspv)</f>
        <v>6.5855899039588189E-2</v>
      </c>
      <c r="M46" s="847"/>
      <c r="N46" s="847"/>
      <c r="O46" s="48">
        <f>IF(t&lt;Tnet,'2026'!Resal+('2026'!Salim-'2026'!Resal)*(1-EXP(('2026'!Tnet-t)/('2026'!Tau_j))),Resal+(Salim-Resal)*(1-EXP((Tnet-t)/(Tau_j))))*Salcycl</f>
        <v>2.9422496231568524E-2</v>
      </c>
      <c r="P46" s="168">
        <f>(INDEX(Models!$BJ46:$BT46,,T46)*(1-R46)+INDEX(Models!$BJ46:$BT46,,T46+1)*R46-ERP_i)*Q46*Ramure*Pc/MaxiM</f>
        <v>1.4988876952467652E-4</v>
      </c>
      <c r="Q46" s="304">
        <f t="shared" si="4"/>
        <v>0.5</v>
      </c>
      <c r="R46" s="176">
        <f t="shared" si="5"/>
        <v>0.12085564414043137</v>
      </c>
      <c r="S46" s="814">
        <f t="shared" si="6"/>
        <v>0</v>
      </c>
      <c r="T46" s="175">
        <f t="shared" si="7"/>
        <v>6</v>
      </c>
      <c r="U46" s="250">
        <f t="shared" si="8"/>
        <v>0.12085564414043137</v>
      </c>
      <c r="V46" s="382">
        <f t="shared" si="9"/>
        <v>31.476287429662129</v>
      </c>
      <c r="W46" s="401">
        <f t="shared" si="10"/>
        <v>13.569523777843923</v>
      </c>
      <c r="X46" s="157">
        <f t="shared" si="11"/>
        <v>46419</v>
      </c>
      <c r="Y46" s="384">
        <f t="shared" si="12"/>
        <v>13.037560405682003</v>
      </c>
      <c r="Z46" s="384">
        <f t="shared" si="22"/>
        <v>13.956690827761832</v>
      </c>
      <c r="AA46" s="385">
        <f t="shared" si="13"/>
        <v>14.963700404396128</v>
      </c>
      <c r="AB46" s="196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6.7296828285766247E-2</v>
      </c>
      <c r="AD46" s="230">
        <f>(INDEX(Models!$BJ46:$BT46,,AH46)*(1-AF46)+INDEX(Models!$BJ46:$BT46,,AH46+1)*AF46-ERP_i)*AE46*Ramure*Pc/MaxiM</f>
        <v>1.1518121617007243E-3</v>
      </c>
      <c r="AE46" s="304">
        <f t="shared" si="15"/>
        <v>0.5</v>
      </c>
      <c r="AF46" s="176">
        <f t="shared" si="23"/>
        <v>0.23584818396481877</v>
      </c>
      <c r="AG46" s="814">
        <f t="shared" si="24"/>
        <v>2</v>
      </c>
      <c r="AH46" s="175">
        <f t="shared" si="16"/>
        <v>8</v>
      </c>
      <c r="AI46" s="224">
        <f t="shared" si="17"/>
        <v>2.2358481839648188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10">
        <f>'2026'!Wh/'2026'!Env_an*'2027'!Env_an</f>
        <v>5.0146520548367661</v>
      </c>
      <c r="C47" s="843"/>
      <c r="D47" s="392">
        <f t="shared" si="0"/>
        <v>5.3682956887893605</v>
      </c>
      <c r="E47" s="384">
        <f t="shared" si="1"/>
        <v>5.5314568506198034</v>
      </c>
      <c r="F47" s="384">
        <f t="shared" si="2"/>
        <v>5.5314568506198034</v>
      </c>
      <c r="G47" s="110">
        <f t="shared" si="21"/>
        <v>0.15767183345185085</v>
      </c>
      <c r="H47" s="413" t="b">
        <f>Wh_hp&gt;='2026'!Maxi_hp</f>
        <v>0</v>
      </c>
      <c r="I47" s="389">
        <f>IF(H47,Wh_hp,'2026'!Maxi_hp)</f>
        <v>31.04236433925411</v>
      </c>
      <c r="J47" s="85">
        <f>IF(H47,An,'2026'!An_max)</f>
        <v>2021</v>
      </c>
      <c r="K47" s="196">
        <f t="shared" si="3"/>
        <v>46420</v>
      </c>
      <c r="L47" s="147">
        <f>IF(t&lt;Tvie,1-EXP((T0-t)*PertePVj)+'2026'!Pspv,1-EXP((T0-t)*PertePVj)+Pspv)</f>
        <v>6.5876332909737129E-2</v>
      </c>
      <c r="M47" s="847"/>
      <c r="N47" s="847"/>
      <c r="O47" s="48">
        <f>IF(t&lt;Tnet,'2026'!Resal+('2026'!Salim-'2026'!Resal)*(1-EXP(('2026'!Tnet-t)/('2026'!Tau_j))),Resal+(Salim-Resal)*(1-EXP((Tnet-t)/(Tau_j))))*Salcycl</f>
        <v>2.9496960066164223E-2</v>
      </c>
      <c r="P47" s="168">
        <f>(INDEX(Models!$BJ47:$BT47,,T47)*(1-R47)+INDEX(Models!$BJ47:$BT47,,T47+1)*R47-ERP_i)*Q47*Ramure*Pc/MaxiM</f>
        <v>1.4465158511716152E-4</v>
      </c>
      <c r="Q47" s="304">
        <f t="shared" si="4"/>
        <v>0.5</v>
      </c>
      <c r="R47" s="176">
        <f t="shared" si="5"/>
        <v>0.1209178536795783</v>
      </c>
      <c r="S47" s="814">
        <f t="shared" si="6"/>
        <v>0</v>
      </c>
      <c r="T47" s="175">
        <f t="shared" si="7"/>
        <v>6</v>
      </c>
      <c r="U47" s="250">
        <f t="shared" si="8"/>
        <v>0.1209178536795783</v>
      </c>
      <c r="V47" s="382">
        <f t="shared" si="9"/>
        <v>31.799761363207296</v>
      </c>
      <c r="W47" s="401">
        <f t="shared" si="10"/>
        <v>5.0146520548367661</v>
      </c>
      <c r="X47" s="157">
        <f t="shared" si="11"/>
        <v>46420</v>
      </c>
      <c r="Y47" s="384">
        <f t="shared" si="12"/>
        <v>4.819158160773986</v>
      </c>
      <c r="Z47" s="384">
        <f t="shared" si="22"/>
        <v>5.1590151610068551</v>
      </c>
      <c r="AA47" s="385">
        <f t="shared" si="13"/>
        <v>5.5314568506198034</v>
      </c>
      <c r="AB47" s="196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6.7331572797357297E-2</v>
      </c>
      <c r="AD47" s="230">
        <f>(INDEX(Models!$BJ47:$BT47,,AH47)*(1-AF47)+INDEX(Models!$BJ47:$BT47,,AH47+1)*AF47-ERP_i)*AE47*Ramure*Pc/MaxiM</f>
        <v>1.1107493186998671E-3</v>
      </c>
      <c r="AE47" s="304">
        <f t="shared" si="15"/>
        <v>0.5</v>
      </c>
      <c r="AF47" s="176">
        <f t="shared" si="23"/>
        <v>0.23591039350396592</v>
      </c>
      <c r="AG47" s="814">
        <f t="shared" si="24"/>
        <v>2</v>
      </c>
      <c r="AH47" s="175">
        <f t="shared" si="16"/>
        <v>8</v>
      </c>
      <c r="AI47" s="224">
        <f t="shared" si="17"/>
        <v>2.2359103935039659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10">
        <f>'2026'!Wh/'2026'!Env_an*'2027'!Env_an</f>
        <v>14.01251097500284</v>
      </c>
      <c r="C48" s="843"/>
      <c r="D48" s="392">
        <f t="shared" si="0"/>
        <v>15.001030367900601</v>
      </c>
      <c r="E48" s="384">
        <f t="shared" si="1"/>
        <v>15.458149296875325</v>
      </c>
      <c r="F48" s="384">
        <f t="shared" si="2"/>
        <v>15.458569573223935</v>
      </c>
      <c r="G48" s="110">
        <f t="shared" si="21"/>
        <v>0.43614070720470721</v>
      </c>
      <c r="H48" s="413" t="b">
        <f>Wh_hp&gt;='2026'!Maxi_hp</f>
        <v>0</v>
      </c>
      <c r="I48" s="389">
        <f>IF(H48,Wh_hp,'2026'!Maxi_hp)</f>
        <v>27.850010824525498</v>
      </c>
      <c r="J48" s="85">
        <f>IF(H48,An,'2026'!An_max)</f>
        <v>2020</v>
      </c>
      <c r="K48" s="196">
        <f t="shared" si="3"/>
        <v>46421</v>
      </c>
      <c r="L48" s="147">
        <f>IF(t&lt;Tvie,1-EXP((T0-t)*PertePVj)+'2026'!Pspv,1-EXP((T0-t)*PertePVj)+Pspv)</f>
        <v>6.5896766332331852E-2</v>
      </c>
      <c r="M48" s="847"/>
      <c r="N48" s="847"/>
      <c r="O48" s="48">
        <f>IF(t&lt;Tnet,'2026'!Resal+('2026'!Salim-'2026'!Resal)*(1-EXP(('2026'!Tnet-t)/('2026'!Tau_j))),Resal+(Salim-Resal)*(1-EXP((Tnet-t)/(Tau_j))))*Salcycl</f>
        <v>2.9571387893576943E-2</v>
      </c>
      <c r="P48" s="168">
        <f>(INDEX(Models!$BJ48:$BT48,,T48)*(1-R48)+INDEX(Models!$BJ48:$BT48,,T48+1)*R48-ERP_i)*Q48*Ramure*Pc/MaxiM</f>
        <v>1.3973947103183232E-4</v>
      </c>
      <c r="Q48" s="304">
        <f t="shared" si="4"/>
        <v>0.5</v>
      </c>
      <c r="R48" s="176">
        <f t="shared" si="5"/>
        <v>0.12098264550435808</v>
      </c>
      <c r="S48" s="814">
        <f t="shared" si="6"/>
        <v>0</v>
      </c>
      <c r="T48" s="175">
        <f t="shared" si="7"/>
        <v>6</v>
      </c>
      <c r="U48" s="250">
        <f t="shared" si="8"/>
        <v>0.12098264550435808</v>
      </c>
      <c r="V48" s="382">
        <f t="shared" si="9"/>
        <v>32.124801839776175</v>
      </c>
      <c r="W48" s="401">
        <f t="shared" si="10"/>
        <v>14.01251097500284</v>
      </c>
      <c r="X48" s="157">
        <f t="shared" si="11"/>
        <v>46421</v>
      </c>
      <c r="Y48" s="384">
        <f t="shared" si="12"/>
        <v>13.464336336316462</v>
      </c>
      <c r="Z48" s="384">
        <f t="shared" si="22"/>
        <v>14.414184483068341</v>
      </c>
      <c r="AA48" s="385">
        <f t="shared" si="13"/>
        <v>15.455355794937553</v>
      </c>
      <c r="AB48" s="196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6.7366376140641809E-2</v>
      </c>
      <c r="AD48" s="230">
        <f>(INDEX(Models!$BJ48:$BT48,,AH48)*(1-AF48)+INDEX(Models!$BJ48:$BT48,,AH48+1)*AF48-ERP_i)*AE48*Ramure*Pc/MaxiM</f>
        <v>1.0685628140606632E-3</v>
      </c>
      <c r="AE48" s="304">
        <f t="shared" si="15"/>
        <v>0.5</v>
      </c>
      <c r="AF48" s="176">
        <f t="shared" si="23"/>
        <v>0.23597518532874551</v>
      </c>
      <c r="AG48" s="814">
        <f t="shared" si="24"/>
        <v>2</v>
      </c>
      <c r="AH48" s="175">
        <f t="shared" si="16"/>
        <v>8</v>
      </c>
      <c r="AI48" s="224">
        <f t="shared" si="17"/>
        <v>2.2359751853287455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10">
        <f>'2026'!Wh/'2026'!Env_an*'2027'!Env_an</f>
        <v>11.659080873539695</v>
      </c>
      <c r="C49" s="843"/>
      <c r="D49" s="392">
        <f t="shared" si="0"/>
        <v>12.481849430151744</v>
      </c>
      <c r="E49" s="384">
        <f t="shared" si="1"/>
        <v>12.863188667905744</v>
      </c>
      <c r="F49" s="384">
        <f t="shared" si="2"/>
        <v>12.863335892905177</v>
      </c>
      <c r="G49" s="110">
        <f t="shared" si="21"/>
        <v>0.35923802067179483</v>
      </c>
      <c r="H49" s="413" t="b">
        <f>Wh_hp&gt;='2026'!Maxi_hp</f>
        <v>0</v>
      </c>
      <c r="I49" s="389">
        <f>IF(H49,Wh_hp,'2026'!Maxi_hp)</f>
        <v>29.1914143774355</v>
      </c>
      <c r="J49" s="85">
        <f>IF(H49,An,'2026'!An_max)</f>
        <v>2019</v>
      </c>
      <c r="K49" s="196">
        <f t="shared" si="3"/>
        <v>46422</v>
      </c>
      <c r="L49" s="147">
        <f>IF(t&lt;Tvie,1-EXP((T0-t)*PertePVj)+'2026'!Pspv,1-EXP((T0-t)*PertePVj)+Pspv)</f>
        <v>6.591719930738224E-2</v>
      </c>
      <c r="M49" s="847"/>
      <c r="N49" s="847"/>
      <c r="O49" s="48">
        <f>IF(t&lt;Tnet,'2026'!Resal+('2026'!Salim-'2026'!Resal)*(1-EXP(('2026'!Tnet-t)/('2026'!Tau_j))),Resal+(Salim-Resal)*(1-EXP((Tnet-t)/(Tau_j))))*Salcycl</f>
        <v>2.9645778165833848E-2</v>
      </c>
      <c r="P49" s="168">
        <f>(INDEX(Models!$BJ49:$BT49,,T49)*(1-R49)+INDEX(Models!$BJ49:$BT49,,T49+1)*R49-ERP_i)*Q49*Ramure*Pc/MaxiM</f>
        <v>1.3514492536763123E-4</v>
      </c>
      <c r="Q49" s="304">
        <f t="shared" si="4"/>
        <v>0.5</v>
      </c>
      <c r="R49" s="176">
        <f t="shared" si="5"/>
        <v>0.12105012560797766</v>
      </c>
      <c r="S49" s="814">
        <f t="shared" si="6"/>
        <v>0</v>
      </c>
      <c r="T49" s="175">
        <f t="shared" si="7"/>
        <v>6</v>
      </c>
      <c r="U49" s="250">
        <f t="shared" si="8"/>
        <v>0.12105012560797766</v>
      </c>
      <c r="V49" s="382">
        <f t="shared" si="9"/>
        <v>32.45101565678619</v>
      </c>
      <c r="W49" s="401">
        <f t="shared" si="10"/>
        <v>11.659080873539695</v>
      </c>
      <c r="X49" s="157">
        <f t="shared" si="11"/>
        <v>46422</v>
      </c>
      <c r="Y49" s="384">
        <f t="shared" si="12"/>
        <v>11.204593621508895</v>
      </c>
      <c r="Z49" s="384">
        <f t="shared" si="22"/>
        <v>11.995289510952075</v>
      </c>
      <c r="AA49" s="385">
        <f t="shared" si="13"/>
        <v>12.862218940580441</v>
      </c>
      <c r="AB49" s="196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6.7401234082028694E-2</v>
      </c>
      <c r="AD49" s="230">
        <f>(INDEX(Models!$BJ49:$BT49,,AH49)*(1-AF49)+INDEX(Models!$BJ49:$BT49,,AH49+1)*AF49-ERP_i)*AE49*Ramure*Pc/MaxiM</f>
        <v>1.0253043922384341E-3</v>
      </c>
      <c r="AE49" s="304">
        <f t="shared" si="15"/>
        <v>0.5</v>
      </c>
      <c r="AF49" s="176">
        <f t="shared" si="23"/>
        <v>0.23604266543236507</v>
      </c>
      <c r="AG49" s="814">
        <f t="shared" si="24"/>
        <v>2</v>
      </c>
      <c r="AH49" s="175">
        <f t="shared" si="16"/>
        <v>8</v>
      </c>
      <c r="AI49" s="224">
        <f t="shared" si="17"/>
        <v>2.2360426654323651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10">
        <f>'2026'!Wh/'2026'!Env_an*'2027'!Env_an</f>
        <v>9.6609788820646152</v>
      </c>
      <c r="C50" s="843"/>
      <c r="D50" s="392">
        <f t="shared" si="0"/>
        <v>10.342969818003597</v>
      </c>
      <c r="E50" s="384">
        <f t="shared" si="1"/>
        <v>10.659779850636147</v>
      </c>
      <c r="F50" s="384">
        <f t="shared" si="2"/>
        <v>10.659779850636147</v>
      </c>
      <c r="G50" s="110">
        <f t="shared" si="21"/>
        <v>0.29470107267934614</v>
      </c>
      <c r="H50" s="413" t="b">
        <f>Wh_hp&gt;='2026'!Maxi_hp</f>
        <v>0</v>
      </c>
      <c r="I50" s="389">
        <f>IF(H50,Wh_hp,'2026'!Maxi_hp)</f>
        <v>36.34952786245141</v>
      </c>
      <c r="J50" s="85">
        <f>IF(H50,An,'2026'!An_max)</f>
        <v>2020</v>
      </c>
      <c r="K50" s="196">
        <f t="shared" si="3"/>
        <v>46423</v>
      </c>
      <c r="L50" s="147">
        <f>IF(t&lt;Tvie,1-EXP((T0-t)*PertePVj)+'2026'!Pspv,1-EXP((T0-t)*PertePVj)+Pspv)</f>
        <v>6.5937631834897953E-2</v>
      </c>
      <c r="M50" s="847"/>
      <c r="N50" s="847"/>
      <c r="O50" s="48">
        <f>IF(t&lt;Tnet,'2026'!Resal+('2026'!Salim-'2026'!Resal)*(1-EXP(('2026'!Tnet-t)/('2026'!Tau_j))),Resal+(Salim-Resal)*(1-EXP((Tnet-t)/(Tau_j))))*Salcycl</f>
        <v>2.9720129033775865E-2</v>
      </c>
      <c r="P50" s="168">
        <f>(INDEX(Models!$BJ50:$BT50,,T50)*(1-R50)+INDEX(Models!$BJ50:$BT50,,T50+1)*R50-ERP_i)*Q50*Ramure*Pc/MaxiM</f>
        <v>1.3086043913478296E-4</v>
      </c>
      <c r="Q50" s="304">
        <f t="shared" si="4"/>
        <v>0.5</v>
      </c>
      <c r="R50" s="176">
        <f t="shared" si="5"/>
        <v>0.12112040423244617</v>
      </c>
      <c r="S50" s="814">
        <f t="shared" si="6"/>
        <v>0</v>
      </c>
      <c r="T50" s="175">
        <f t="shared" si="7"/>
        <v>6</v>
      </c>
      <c r="U50" s="250">
        <f t="shared" si="8"/>
        <v>0.12112040423244617</v>
      </c>
      <c r="V50" s="382">
        <f t="shared" si="9"/>
        <v>32.778009778865069</v>
      </c>
      <c r="W50" s="401">
        <f t="shared" si="10"/>
        <v>9.6609788820646152</v>
      </c>
      <c r="X50" s="157">
        <f t="shared" si="11"/>
        <v>46423</v>
      </c>
      <c r="Y50" s="384">
        <f t="shared" si="12"/>
        <v>9.2854443448833894</v>
      </c>
      <c r="Z50" s="384">
        <f t="shared" si="22"/>
        <v>9.9409254257014688</v>
      </c>
      <c r="AA50" s="385">
        <f t="shared" si="13"/>
        <v>10.659779850636147</v>
      </c>
      <c r="AB50" s="196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6.7436141740936484E-2</v>
      </c>
      <c r="AD50" s="230">
        <f>(INDEX(Models!$BJ50:$BT50,,AH50)*(1-AF50)+INDEX(Models!$BJ50:$BT50,,AH50+1)*AF50-ERP_i)*AE50*Ramure*Pc/MaxiM</f>
        <v>9.8102159949222984E-4</v>
      </c>
      <c r="AE50" s="304">
        <f t="shared" si="15"/>
        <v>0.5</v>
      </c>
      <c r="AF50" s="176">
        <f t="shared" si="23"/>
        <v>0.23611294405683347</v>
      </c>
      <c r="AG50" s="814">
        <f t="shared" si="24"/>
        <v>2</v>
      </c>
      <c r="AH50" s="175">
        <f t="shared" si="16"/>
        <v>8</v>
      </c>
      <c r="AI50" s="224">
        <f t="shared" si="17"/>
        <v>2.2361129440568335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10">
        <f>'2026'!Wh/'2026'!Env_an*'2027'!Env_an</f>
        <v>21.875276616648925</v>
      </c>
      <c r="C51" s="843"/>
      <c r="D51" s="392">
        <f t="shared" si="0"/>
        <v>23.420015495595077</v>
      </c>
      <c r="E51" s="384">
        <f t="shared" si="1"/>
        <v>24.139230305135627</v>
      </c>
      <c r="F51" s="384">
        <f t="shared" si="2"/>
        <v>24.140808516395317</v>
      </c>
      <c r="G51" s="110">
        <f t="shared" si="21"/>
        <v>0.66067417907518777</v>
      </c>
      <c r="H51" s="413" t="b">
        <f>Wh_hp&gt;='2026'!Maxi_hp</f>
        <v>0</v>
      </c>
      <c r="I51" s="389">
        <f>IF(H51,Wh_hp,'2026'!Maxi_hp)</f>
        <v>37.913350711029565</v>
      </c>
      <c r="J51" s="85">
        <f>IF(H51,An,'2026'!An_max)</f>
        <v>2020</v>
      </c>
      <c r="K51" s="196">
        <f t="shared" si="3"/>
        <v>46424</v>
      </c>
      <c r="L51" s="147">
        <f>IF(t&lt;Tvie,1-EXP((T0-t)*PertePVj)+'2026'!Pspv,1-EXP((T0-t)*PertePVj)+Pspv)</f>
        <v>6.5958063914888981E-2</v>
      </c>
      <c r="M51" s="847"/>
      <c r="N51" s="847"/>
      <c r="O51" s="48">
        <f>IF(t&lt;Tnet,'2026'!Resal+('2026'!Salim-'2026'!Resal)*(1-EXP(('2026'!Tnet-t)/('2026'!Tau_j))),Resal+(Salim-Resal)*(1-EXP((Tnet-t)/(Tau_j))))*Salcycl</f>
        <v>2.9794438366476689E-2</v>
      </c>
      <c r="P51" s="168">
        <f>(INDEX(Models!$BJ51:$BT51,,T51)*(1-R51)+INDEX(Models!$BJ51:$BT51,,T51+1)*R51-ERP_i)*Q51*Ramure*Pc/MaxiM</f>
        <v>1.268666267538327E-4</v>
      </c>
      <c r="Q51" s="304">
        <f t="shared" si="4"/>
        <v>0.5</v>
      </c>
      <c r="R51" s="176">
        <f t="shared" si="5"/>
        <v>0.12119359603020266</v>
      </c>
      <c r="S51" s="814">
        <f t="shared" si="6"/>
        <v>0</v>
      </c>
      <c r="T51" s="175">
        <f t="shared" si="7"/>
        <v>6</v>
      </c>
      <c r="U51" s="250">
        <f t="shared" si="8"/>
        <v>0.12119359603020266</v>
      </c>
      <c r="V51" s="382">
        <f t="shared" si="9"/>
        <v>33.1085004991833</v>
      </c>
      <c r="W51" s="401">
        <f t="shared" si="10"/>
        <v>21.875276616648925</v>
      </c>
      <c r="X51" s="157">
        <f t="shared" si="11"/>
        <v>46424</v>
      </c>
      <c r="Y51" s="384">
        <f t="shared" si="12"/>
        <v>21.01701531994404</v>
      </c>
      <c r="Z51" s="384">
        <f t="shared" si="22"/>
        <v>22.501147441016979</v>
      </c>
      <c r="AA51" s="385">
        <f t="shared" si="13"/>
        <v>24.129168852091261</v>
      </c>
      <c r="AB51" s="196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6.7471093639977706E-2</v>
      </c>
      <c r="AD51" s="230">
        <f>(INDEX(Models!$BJ51:$BT51,,AH51)*(1-AF51)+INDEX(Models!$BJ51:$BT51,,AH51+1)*AF51-ERP_i)*AE51*Ramure*Pc/MaxiM</f>
        <v>9.356700110547025E-4</v>
      </c>
      <c r="AE51" s="304">
        <f t="shared" si="15"/>
        <v>0.5</v>
      </c>
      <c r="AF51" s="176">
        <f t="shared" si="23"/>
        <v>0.23618613585459025</v>
      </c>
      <c r="AG51" s="814">
        <f t="shared" si="24"/>
        <v>2</v>
      </c>
      <c r="AH51" s="175">
        <f t="shared" si="16"/>
        <v>8</v>
      </c>
      <c r="AI51" s="224">
        <f t="shared" si="17"/>
        <v>2.2361861358545903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10">
        <f>'2026'!Wh/'2026'!Env_an*'2027'!Env_an</f>
        <v>13.538287628836068</v>
      </c>
      <c r="C52" s="843"/>
      <c r="D52" s="392">
        <f t="shared" si="0"/>
        <v>14.494620910007759</v>
      </c>
      <c r="E52" s="384">
        <f t="shared" si="1"/>
        <v>14.940885802175274</v>
      </c>
      <c r="F52" s="384">
        <f t="shared" si="2"/>
        <v>14.941161708650542</v>
      </c>
      <c r="G52" s="110">
        <f t="shared" si="21"/>
        <v>0.40475249381235895</v>
      </c>
      <c r="H52" s="413" t="b">
        <f>Wh_hp&gt;='2026'!Maxi_hp</f>
        <v>0</v>
      </c>
      <c r="I52" s="389">
        <f>IF(H52,Wh_hp,'2026'!Maxi_hp)</f>
        <v>24.755005366085477</v>
      </c>
      <c r="J52" s="85">
        <f>IF(H52,An,'2026'!An_max)</f>
        <v>2021</v>
      </c>
      <c r="K52" s="196">
        <f t="shared" si="3"/>
        <v>46425</v>
      </c>
      <c r="L52" s="147">
        <f>IF(t&lt;Tvie,1-EXP((T0-t)*PertePVj)+'2026'!Pspv,1-EXP((T0-t)*PertePVj)+Pspv)</f>
        <v>6.5978495547364985E-2</v>
      </c>
      <c r="M52" s="847"/>
      <c r="N52" s="847"/>
      <c r="O52" s="48">
        <f>IF(t&lt;Tnet,'2026'!Resal+('2026'!Salim-'2026'!Resal)*(1-EXP(('2026'!Tnet-t)/('2026'!Tau_j))),Resal+(Salim-Resal)*(1-EXP((Tnet-t)/(Tau_j))))*Salcycl</f>
        <v>2.9868703775417466E-2</v>
      </c>
      <c r="P52" s="168">
        <f>(INDEX(Models!$BJ52:$BT52,,T52)*(1-R52)+INDEX(Models!$BJ52:$BT52,,T52+1)*R52-ERP_i)*Q52*Ramure*Pc/MaxiM</f>
        <v>1.2334887980000242E-4</v>
      </c>
      <c r="Q52" s="304">
        <f t="shared" si="4"/>
        <v>0.5</v>
      </c>
      <c r="R52" s="176">
        <f t="shared" si="5"/>
        <v>0.12126982023114355</v>
      </c>
      <c r="S52" s="814">
        <f t="shared" si="6"/>
        <v>0</v>
      </c>
      <c r="T52" s="175">
        <f t="shared" si="7"/>
        <v>6</v>
      </c>
      <c r="U52" s="250">
        <f t="shared" si="8"/>
        <v>0.12126982023114355</v>
      </c>
      <c r="V52" s="382">
        <f t="shared" si="9"/>
        <v>33.444803621146903</v>
      </c>
      <c r="W52" s="401">
        <f t="shared" si="10"/>
        <v>13.538287628836068</v>
      </c>
      <c r="X52" s="157">
        <f t="shared" si="11"/>
        <v>46425</v>
      </c>
      <c r="Y52" s="384">
        <f t="shared" si="12"/>
        <v>13.011557703140827</v>
      </c>
      <c r="Z52" s="384">
        <f t="shared" si="22"/>
        <v>13.930683224221905</v>
      </c>
      <c r="AA52" s="385">
        <f t="shared" si="13"/>
        <v>14.939167947037932</v>
      </c>
      <c r="AB52" s="196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6.7506083765259781E-2</v>
      </c>
      <c r="AD52" s="230">
        <f>(INDEX(Models!$BJ52:$BT52,,AH52)*(1-AF52)+INDEX(Models!$BJ52:$BT52,,AH52+1)*AF52-ERP_i)*AE52*Ramure*Pc/MaxiM</f>
        <v>8.913464653704285E-4</v>
      </c>
      <c r="AE52" s="304">
        <f t="shared" si="15"/>
        <v>0.5</v>
      </c>
      <c r="AF52" s="176">
        <f t="shared" si="23"/>
        <v>0.23626236005553114</v>
      </c>
      <c r="AG52" s="814">
        <f t="shared" si="24"/>
        <v>2</v>
      </c>
      <c r="AH52" s="175">
        <f t="shared" si="16"/>
        <v>8</v>
      </c>
      <c r="AI52" s="224">
        <f t="shared" si="17"/>
        <v>2.2362623600555311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10">
        <f>'2026'!Wh/'2026'!Env_an*'2027'!Env_an</f>
        <v>34.161522895530275</v>
      </c>
      <c r="C53" s="843"/>
      <c r="D53" s="392">
        <f t="shared" si="0"/>
        <v>36.575464282941283</v>
      </c>
      <c r="E53" s="384">
        <f t="shared" si="1"/>
        <v>37.704445580252155</v>
      </c>
      <c r="F53" s="384">
        <f t="shared" si="2"/>
        <v>37.708985818537442</v>
      </c>
      <c r="G53" s="110">
        <f t="shared" si="21"/>
        <v>1.0111167718204535</v>
      </c>
      <c r="H53" s="413" t="b">
        <f>Wh_hp&gt;='2026'!Maxi_hp</f>
        <v>1</v>
      </c>
      <c r="I53" s="389">
        <f>IF(H53,Wh_hp,'2026'!Maxi_hp)</f>
        <v>37.708985818537442</v>
      </c>
      <c r="J53" s="85">
        <f>IF(H53,An,'2026'!An_max)</f>
        <v>2027</v>
      </c>
      <c r="K53" s="196">
        <f t="shared" si="3"/>
        <v>46426</v>
      </c>
      <c r="L53" s="147">
        <f>IF(t&lt;Tvie,1-EXP((T0-t)*PertePVj)+'2026'!Pspv,1-EXP((T0-t)*PertePVj)+Pspv)</f>
        <v>6.5998926732335733E-2</v>
      </c>
      <c r="M53" s="847"/>
      <c r="N53" s="847"/>
      <c r="O53" s="48">
        <f>IF(t&lt;Tnet,'2026'!Resal+('2026'!Salim-'2026'!Resal)*(1-EXP(('2026'!Tnet-t)/('2026'!Tau_j))),Resal+(Salim-Resal)*(1-EXP((Tnet-t)/(Tau_j))))*Salcycl</f>
        <v>2.994292264311078E-2</v>
      </c>
      <c r="P53" s="168">
        <f>(INDEX(Models!$BJ53:$BT53,,T53)*(1-R53)+INDEX(Models!$BJ53:$BT53,,T53+1)*R53-ERP_i)*Q53*Ramure*Pc/MaxiM</f>
        <v>1.2040202584961226E-4</v>
      </c>
      <c r="Q53" s="304">
        <f t="shared" si="4"/>
        <v>0.5</v>
      </c>
      <c r="R53" s="176">
        <f t="shared" si="5"/>
        <v>0.1213492008151633</v>
      </c>
      <c r="S53" s="814">
        <f t="shared" si="6"/>
        <v>0</v>
      </c>
      <c r="T53" s="175">
        <f t="shared" si="7"/>
        <v>6</v>
      </c>
      <c r="U53" s="250">
        <f t="shared" si="8"/>
        <v>0.1213492008151633</v>
      </c>
      <c r="V53" s="382">
        <f t="shared" si="9"/>
        <v>33.785932394360906</v>
      </c>
      <c r="W53" s="401">
        <f t="shared" si="10"/>
        <v>34.161522895530275</v>
      </c>
      <c r="X53" s="157">
        <f t="shared" si="11"/>
        <v>46426</v>
      </c>
      <c r="Y53" s="384">
        <f t="shared" si="12"/>
        <v>32.813491087599381</v>
      </c>
      <c r="Z53" s="384">
        <f t="shared" si="22"/>
        <v>35.132177067847707</v>
      </c>
      <c r="AA53" s="385">
        <f t="shared" si="13"/>
        <v>37.676917749612336</v>
      </c>
      <c r="AB53" s="196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6.7541105635978163E-2</v>
      </c>
      <c r="AD53" s="230">
        <f>(INDEX(Models!$BJ53:$BT53,,AH53)*(1-AF53)+INDEX(Models!$BJ53:$BT53,,AH53+1)*AF53-ERP_i)*AE53*Ramure*Pc/MaxiM</f>
        <v>8.5040921226093192E-4</v>
      </c>
      <c r="AE53" s="304">
        <f t="shared" si="15"/>
        <v>0.5</v>
      </c>
      <c r="AF53" s="176">
        <f t="shared" si="23"/>
        <v>0.23634174063955093</v>
      </c>
      <c r="AG53" s="814">
        <f t="shared" si="24"/>
        <v>2</v>
      </c>
      <c r="AH53" s="175">
        <f t="shared" si="16"/>
        <v>8</v>
      </c>
      <c r="AI53" s="224">
        <f t="shared" si="17"/>
        <v>2.2363417406395509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10">
        <f>'2026'!Wh/'2026'!Env_an*'2027'!Env_an</f>
        <v>34.251274457842648</v>
      </c>
      <c r="C54" s="843"/>
      <c r="D54" s="392">
        <f t="shared" si="0"/>
        <v>36.67236010915029</v>
      </c>
      <c r="E54" s="384">
        <f t="shared" si="1"/>
        <v>37.807223006285867</v>
      </c>
      <c r="F54" s="384">
        <f t="shared" si="2"/>
        <v>37.811685305334407</v>
      </c>
      <c r="G54" s="110">
        <f t="shared" si="21"/>
        <v>1.0035267302787512</v>
      </c>
      <c r="H54" s="413" t="b">
        <f>Wh_hp&gt;='2026'!Maxi_hp</f>
        <v>1</v>
      </c>
      <c r="I54" s="389">
        <f>IF(H54,Wh_hp,'2026'!Maxi_hp)</f>
        <v>37.811685305334407</v>
      </c>
      <c r="J54" s="85">
        <f>IF(H54,An,'2026'!An_max)</f>
        <v>2027</v>
      </c>
      <c r="K54" s="196">
        <f t="shared" si="3"/>
        <v>46427</v>
      </c>
      <c r="L54" s="147">
        <f>IF(t&lt;Tvie,1-EXP((T0-t)*PertePVj)+'2026'!Pspv,1-EXP((T0-t)*PertePVj)+Pspv)</f>
        <v>6.6019357469811218E-2</v>
      </c>
      <c r="M54" s="847"/>
      <c r="N54" s="847"/>
      <c r="O54" s="48">
        <f>IF(t&lt;Tnet,'2026'!Resal+('2026'!Salim-'2026'!Resal)*(1-EXP(('2026'!Tnet-t)/('2026'!Tau_j))),Resal+(Salim-Resal)*(1-EXP((Tnet-t)/(Tau_j))))*Salcycl</f>
        <v>3.0017092155826697E-2</v>
      </c>
      <c r="P54" s="168">
        <f>(INDEX(Models!$BJ54:$BT54,,T54)*(1-R54)+INDEX(Models!$BJ54:$BT54,,T54+1)*R54-ERP_i)*Q54*Ramure*Pc/MaxiM</f>
        <v>1.1801375718921128E-4</v>
      </c>
      <c r="Q54" s="304">
        <f t="shared" si="4"/>
        <v>0.5</v>
      </c>
      <c r="R54" s="176">
        <f t="shared" si="5"/>
        <v>0.12143186669031798</v>
      </c>
      <c r="S54" s="814">
        <f t="shared" si="6"/>
        <v>0</v>
      </c>
      <c r="T54" s="175">
        <f t="shared" si="7"/>
        <v>6</v>
      </c>
      <c r="U54" s="250">
        <f t="shared" si="8"/>
        <v>0.12143186669031798</v>
      </c>
      <c r="V54" s="382">
        <f t="shared" si="9"/>
        <v>34.130903965386771</v>
      </c>
      <c r="W54" s="401">
        <f t="shared" si="10"/>
        <v>34.251274457842648</v>
      </c>
      <c r="X54" s="157">
        <f t="shared" si="11"/>
        <v>46427</v>
      </c>
      <c r="Y54" s="384">
        <f t="shared" si="12"/>
        <v>32.902140003391921</v>
      </c>
      <c r="Z54" s="384">
        <f t="shared" si="22"/>
        <v>35.227860734092715</v>
      </c>
      <c r="AA54" s="385">
        <f t="shared" si="13"/>
        <v>37.780952111104746</v>
      </c>
      <c r="AB54" s="196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6.7576152382396351E-2</v>
      </c>
      <c r="AD54" s="230">
        <f>(INDEX(Models!$BJ54:$BT54,,AH54)*(1-AF54)+INDEX(Models!$BJ54:$BT54,,AH54+1)*AF54-ERP_i)*AE54*Ramure*Pc/MaxiM</f>
        <v>8.1279620258882437E-4</v>
      </c>
      <c r="AE54" s="304">
        <f t="shared" si="15"/>
        <v>0.5</v>
      </c>
      <c r="AF54" s="176">
        <f t="shared" si="23"/>
        <v>0.23642440651470542</v>
      </c>
      <c r="AG54" s="814">
        <f t="shared" si="24"/>
        <v>2</v>
      </c>
      <c r="AH54" s="175">
        <f t="shared" si="16"/>
        <v>8</v>
      </c>
      <c r="AI54" s="224">
        <f t="shared" si="17"/>
        <v>2.2364244065147054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10">
        <f>'2026'!Wh/'2026'!Env_an*'2027'!Env_an</f>
        <v>32.056125445704438</v>
      </c>
      <c r="C55" s="843"/>
      <c r="D55" s="392">
        <f t="shared" si="0"/>
        <v>34.322795581210627</v>
      </c>
      <c r="E55" s="384">
        <f t="shared" si="1"/>
        <v>35.387652851208834</v>
      </c>
      <c r="F55" s="384">
        <f t="shared" si="2"/>
        <v>35.391351624786317</v>
      </c>
      <c r="G55" s="110">
        <f t="shared" si="21"/>
        <v>0.92972525772356862</v>
      </c>
      <c r="H55" s="413" t="b">
        <f>Wh_hp&gt;='2026'!Maxi_hp</f>
        <v>0</v>
      </c>
      <c r="I55" s="389">
        <f>IF(H55,Wh_hp,'2026'!Maxi_hp)</f>
        <v>35.391572657797994</v>
      </c>
      <c r="J55" s="85">
        <f>IF(H55,An,'2026'!An_max)</f>
        <v>2026</v>
      </c>
      <c r="K55" s="196">
        <f t="shared" si="3"/>
        <v>46428</v>
      </c>
      <c r="L55" s="147">
        <f>IF(t&lt;Tvie,1-EXP((T0-t)*PertePVj)+'2026'!Pspv,1-EXP((T0-t)*PertePVj)+Pspv)</f>
        <v>6.6039787759800989E-2</v>
      </c>
      <c r="M55" s="847"/>
      <c r="N55" s="847"/>
      <c r="O55" s="48">
        <f>IF(t&lt;Tnet,'2026'!Resal+('2026'!Salim-'2026'!Resal)*(1-EXP(('2026'!Tnet-t)/('2026'!Tau_j))),Resal+(Salim-Resal)*(1-EXP((Tnet-t)/(Tau_j))))*Salcycl</f>
        <v>3.0091209340034966E-2</v>
      </c>
      <c r="P55" s="168">
        <f>(INDEX(Models!$BJ55:$BT55,,T55)*(1-R55)+INDEX(Models!$BJ55:$BT55,,T55+1)*R55-ERP_i)*Q55*Ramure*Pc/MaxiM</f>
        <v>1.1617162038120425E-4</v>
      </c>
      <c r="Q55" s="304">
        <f t="shared" si="4"/>
        <v>0.5</v>
      </c>
      <c r="R55" s="176">
        <f t="shared" si="5"/>
        <v>0.12151795187671549</v>
      </c>
      <c r="S55" s="814">
        <f t="shared" si="6"/>
        <v>0</v>
      </c>
      <c r="T55" s="175">
        <f t="shared" si="7"/>
        <v>6</v>
      </c>
      <c r="U55" s="250">
        <f t="shared" si="8"/>
        <v>0.12151795187671549</v>
      </c>
      <c r="V55" s="382">
        <f t="shared" si="9"/>
        <v>34.478735879423738</v>
      </c>
      <c r="W55" s="401">
        <f t="shared" si="10"/>
        <v>32.056125445704438</v>
      </c>
      <c r="X55" s="157">
        <f t="shared" si="11"/>
        <v>46428</v>
      </c>
      <c r="Y55" s="384">
        <f t="shared" si="12"/>
        <v>30.797702529464441</v>
      </c>
      <c r="Z55" s="384">
        <f t="shared" si="22"/>
        <v>32.975390306609533</v>
      </c>
      <c r="AA55" s="385">
        <f t="shared" si="13"/>
        <v>35.366566932027382</v>
      </c>
      <c r="AB55" s="196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6.7611216831239593E-2</v>
      </c>
      <c r="AD55" s="230">
        <f>(INDEX(Models!$BJ55:$BT55,,AH55)*(1-AF55)+INDEX(Models!$BJ55:$BT55,,AH55+1)*AF55-ERP_i)*AE55*Ramure*Pc/MaxiM</f>
        <v>7.784412476564786E-4</v>
      </c>
      <c r="AE55" s="304">
        <f t="shared" si="15"/>
        <v>0.5</v>
      </c>
      <c r="AF55" s="176">
        <f t="shared" si="23"/>
        <v>0.23651049170110294</v>
      </c>
      <c r="AG55" s="814">
        <f t="shared" si="24"/>
        <v>2</v>
      </c>
      <c r="AH55" s="175">
        <f t="shared" si="16"/>
        <v>8</v>
      </c>
      <c r="AI55" s="224">
        <f t="shared" si="17"/>
        <v>2.2365104917011029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10">
        <f>'2026'!Wh/'2026'!Env_an*'2027'!Env_an</f>
        <v>14.917043670854572</v>
      </c>
      <c r="C56" s="843"/>
      <c r="D56" s="392">
        <f t="shared" si="0"/>
        <v>15.972168604445079</v>
      </c>
      <c r="E56" s="384">
        <f t="shared" si="1"/>
        <v>16.46895922421367</v>
      </c>
      <c r="F56" s="384">
        <f t="shared" si="2"/>
        <v>16.469305950501003</v>
      </c>
      <c r="G56" s="110">
        <f t="shared" si="21"/>
        <v>0.42826040064196491</v>
      </c>
      <c r="H56" s="413" t="b">
        <f>Wh_hp&gt;='2026'!Maxi_hp</f>
        <v>0</v>
      </c>
      <c r="I56" s="389">
        <f>IF(H56,Wh_hp,'2026'!Maxi_hp)</f>
        <v>33.522126825040729</v>
      </c>
      <c r="J56" s="85">
        <f>IF(H56,An,'2026'!An_max)</f>
        <v>2021</v>
      </c>
      <c r="K56" s="196">
        <f t="shared" si="3"/>
        <v>46429</v>
      </c>
      <c r="L56" s="147">
        <f>IF(t&lt;Tvie,1-EXP((T0-t)*PertePVj)+'2026'!Pspv,1-EXP((T0-t)*PertePVj)+Pspv)</f>
        <v>6.6060217602315036E-2</v>
      </c>
      <c r="M56" s="847"/>
      <c r="N56" s="847"/>
      <c r="O56" s="48">
        <f>IF(t&lt;Tnet,'2026'!Resal+('2026'!Salim-'2026'!Resal)*(1-EXP(('2026'!Tnet-t)/('2026'!Tau_j))),Resal+(Salim-Resal)*(1-EXP((Tnet-t)/(Tau_j))))*Salcycl</f>
        <v>3.0165271102145941E-2</v>
      </c>
      <c r="P56" s="168">
        <f>(INDEX(Models!$BJ56:$BT56,,T56)*(1-R56)+INDEX(Models!$BJ56:$BT56,,T56+1)*R56-ERP_i)*Q56*Ramure*Pc/MaxiM</f>
        <v>1.1486319449946611E-4</v>
      </c>
      <c r="Q56" s="304">
        <f t="shared" si="4"/>
        <v>0.5</v>
      </c>
      <c r="R56" s="176">
        <f t="shared" si="5"/>
        <v>0.12160759569623221</v>
      </c>
      <c r="S56" s="814">
        <f t="shared" si="6"/>
        <v>0</v>
      </c>
      <c r="T56" s="175">
        <f t="shared" si="7"/>
        <v>6</v>
      </c>
      <c r="U56" s="250">
        <f t="shared" si="8"/>
        <v>0.12160759569623221</v>
      </c>
      <c r="V56" s="382">
        <f t="shared" si="9"/>
        <v>34.828446072634897</v>
      </c>
      <c r="W56" s="401">
        <f t="shared" si="10"/>
        <v>14.917043670854572</v>
      </c>
      <c r="X56" s="157">
        <f t="shared" si="11"/>
        <v>46429</v>
      </c>
      <c r="Y56" s="384">
        <f t="shared" si="12"/>
        <v>14.338885202257899</v>
      </c>
      <c r="Z56" s="384">
        <f t="shared" si="22"/>
        <v>15.353115342667987</v>
      </c>
      <c r="AA56" s="385">
        <f t="shared" si="13"/>
        <v>16.46705022386152</v>
      </c>
      <c r="AB56" s="196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6.7646291597470792E-2</v>
      </c>
      <c r="AD56" s="230">
        <f>(INDEX(Models!$BJ56:$BT56,,AH56)*(1-AF56)+INDEX(Models!$BJ56:$BT56,,AH56+1)*AF56-ERP_i)*AE56*Ramure*Pc/MaxiM</f>
        <v>7.4727523465951376E-4</v>
      </c>
      <c r="AE56" s="304">
        <f t="shared" si="15"/>
        <v>0.5</v>
      </c>
      <c r="AF56" s="176">
        <f t="shared" si="23"/>
        <v>0.23660013552061976</v>
      </c>
      <c r="AG56" s="814">
        <f t="shared" si="24"/>
        <v>2</v>
      </c>
      <c r="AH56" s="175">
        <f t="shared" si="16"/>
        <v>8</v>
      </c>
      <c r="AI56" s="224">
        <f t="shared" si="17"/>
        <v>2.2366001355206198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10">
        <f>'2026'!Wh/'2026'!Env_an*'2027'!Env_an</f>
        <v>26.323355871681365</v>
      </c>
      <c r="C57" s="843"/>
      <c r="D57" s="392">
        <f t="shared" si="0"/>
        <v>28.185898265251009</v>
      </c>
      <c r="E57" s="384">
        <f t="shared" si="1"/>
        <v>29.064796621935571</v>
      </c>
      <c r="F57" s="384">
        <f t="shared" si="2"/>
        <v>29.066920031918045</v>
      </c>
      <c r="G57" s="110">
        <f t="shared" si="21"/>
        <v>0.74823719680809275</v>
      </c>
      <c r="H57" s="413" t="b">
        <f>Wh_hp&gt;='2026'!Maxi_hp</f>
        <v>0</v>
      </c>
      <c r="I57" s="389">
        <f>IF(H57,Wh_hp,'2026'!Maxi_hp)</f>
        <v>38.964390120778035</v>
      </c>
      <c r="J57" s="85">
        <f>IF(H57,An,'2026'!An_max)</f>
        <v>2019</v>
      </c>
      <c r="K57" s="196">
        <f t="shared" si="3"/>
        <v>46430</v>
      </c>
      <c r="L57" s="147">
        <f>IF(t&lt;Tvie,1-EXP((T0-t)*PertePVj)+'2026'!Pspv,1-EXP((T0-t)*PertePVj)+Pspv)</f>
        <v>6.6080646997363129E-2</v>
      </c>
      <c r="M57" s="847"/>
      <c r="N57" s="847"/>
      <c r="O57" s="48">
        <f>IF(t&lt;Tnet,'2026'!Resal+('2026'!Salim-'2026'!Resal)*(1-EXP(('2026'!Tnet-t)/('2026'!Tau_j))),Resal+(Salim-Resal)*(1-EXP((Tnet-t)/(Tau_j))))*Salcycl</f>
        <v>3.0239274271103837E-2</v>
      </c>
      <c r="P57" s="168">
        <f>(INDEX(Models!$BJ57:$BT57,,T57)*(1-R57)+INDEX(Models!$BJ57:$BT57,,T57+1)*R57-ERP_i)*Q57*Ramure*Pc/MaxiM</f>
        <v>1.1407625159147112E-4</v>
      </c>
      <c r="Q57" s="304">
        <f t="shared" si="4"/>
        <v>0.5</v>
      </c>
      <c r="R57" s="176">
        <f t="shared" si="5"/>
        <v>0.12170094296814592</v>
      </c>
      <c r="S57" s="814">
        <f t="shared" si="6"/>
        <v>0</v>
      </c>
      <c r="T57" s="175">
        <f t="shared" si="7"/>
        <v>6</v>
      </c>
      <c r="U57" s="250">
        <f t="shared" si="8"/>
        <v>0.12170094296814592</v>
      </c>
      <c r="V57" s="382">
        <f t="shared" si="9"/>
        <v>35.179052874119101</v>
      </c>
      <c r="W57" s="401">
        <f t="shared" si="10"/>
        <v>26.323355871681365</v>
      </c>
      <c r="X57" s="157">
        <f t="shared" si="11"/>
        <v>46430</v>
      </c>
      <c r="Y57" s="384">
        <f t="shared" si="12"/>
        <v>25.297213154110821</v>
      </c>
      <c r="Z57" s="384">
        <f t="shared" si="22"/>
        <v>27.087149519685987</v>
      </c>
      <c r="AA57" s="385">
        <f t="shared" si="13"/>
        <v>29.053532370046003</v>
      </c>
      <c r="AB57" s="196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6.7681369181371701E-2</v>
      </c>
      <c r="AD57" s="230">
        <f>(INDEX(Models!$BJ57:$BT57,,AH57)*(1-AF57)+INDEX(Models!$BJ57:$BT57,,AH57+1)*AF57-ERP_i)*AE57*Ramure*Pc/MaxiM</f>
        <v>7.1922723192465777E-4</v>
      </c>
      <c r="AE57" s="304">
        <f t="shared" si="15"/>
        <v>0.5</v>
      </c>
      <c r="AF57" s="176">
        <f t="shared" si="23"/>
        <v>0.23669348279253333</v>
      </c>
      <c r="AG57" s="814">
        <f t="shared" si="24"/>
        <v>2</v>
      </c>
      <c r="AH57" s="175">
        <f t="shared" si="16"/>
        <v>8</v>
      </c>
      <c r="AI57" s="224">
        <f t="shared" si="17"/>
        <v>2.2366934827925333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10">
        <f>'2026'!Wh/'2026'!Env_an*'2027'!Env_an</f>
        <v>31.687420262702027</v>
      </c>
      <c r="C58" s="843"/>
      <c r="D58" s="392">
        <f t="shared" si="0"/>
        <v>33.930246032529247</v>
      </c>
      <c r="E58" s="384">
        <f t="shared" si="1"/>
        <v>34.990933752944962</v>
      </c>
      <c r="F58" s="384">
        <f t="shared" si="2"/>
        <v>34.994297837243295</v>
      </c>
      <c r="G58" s="110">
        <f t="shared" si="21"/>
        <v>0.89184462235905704</v>
      </c>
      <c r="H58" s="413" t="b">
        <f>Wh_hp&gt;='2026'!Maxi_hp</f>
        <v>0</v>
      </c>
      <c r="I58" s="389">
        <f>IF(H58,Wh_hp,'2026'!Maxi_hp)</f>
        <v>40.487434831791077</v>
      </c>
      <c r="J58" s="85">
        <f>IF(H58,An,'2026'!An_max)</f>
        <v>2019</v>
      </c>
      <c r="K58" s="196">
        <f t="shared" si="3"/>
        <v>46431</v>
      </c>
      <c r="L58" s="147">
        <f>IF(t&lt;Tvie,1-EXP((T0-t)*PertePVj)+'2026'!Pspv,1-EXP((T0-t)*PertePVj)+Pspv)</f>
        <v>6.6101075944954929E-2</v>
      </c>
      <c r="M58" s="847"/>
      <c r="N58" s="847"/>
      <c r="O58" s="48">
        <f>IF(t&lt;Tnet,'2026'!Resal+('2026'!Salim-'2026'!Resal)*(1-EXP(('2026'!Tnet-t)/('2026'!Tau_j))),Resal+(Salim-Resal)*(1-EXP((Tnet-t)/(Tau_j))))*Salcycl</f>
        <v>3.0313215643364765E-2</v>
      </c>
      <c r="P58" s="168">
        <f>(INDEX(Models!$BJ58:$BT58,,T58)*(1-R58)+INDEX(Models!$BJ58:$BT58,,T58+1)*R58-ERP_i)*Q58*Ramure*Pc/MaxiM</f>
        <v>1.1369684783920867E-4</v>
      </c>
      <c r="Q58" s="304">
        <f t="shared" si="4"/>
        <v>0.5</v>
      </c>
      <c r="R58" s="176">
        <f t="shared" si="5"/>
        <v>0.12179814421076943</v>
      </c>
      <c r="S58" s="814">
        <f t="shared" si="6"/>
        <v>0</v>
      </c>
      <c r="T58" s="175">
        <f t="shared" si="7"/>
        <v>6</v>
      </c>
      <c r="U58" s="250">
        <f t="shared" si="8"/>
        <v>0.12179814421076943</v>
      </c>
      <c r="V58" s="382">
        <f t="shared" si="9"/>
        <v>35.52957862989841</v>
      </c>
      <c r="W58" s="401">
        <f t="shared" si="10"/>
        <v>31.687420262702027</v>
      </c>
      <c r="X58" s="157">
        <f t="shared" si="11"/>
        <v>46431</v>
      </c>
      <c r="Y58" s="384">
        <f t="shared" si="12"/>
        <v>30.45018470350961</v>
      </c>
      <c r="Z58" s="384">
        <f t="shared" si="22"/>
        <v>32.605439324518208</v>
      </c>
      <c r="AA58" s="385">
        <f t="shared" si="13"/>
        <v>34.9737363135606</v>
      </c>
      <c r="AB58" s="196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6.7716442069820207E-2</v>
      </c>
      <c r="AD58" s="230">
        <f>(INDEX(Models!$BJ58:$BT58,,AH58)*(1-AF58)+INDEX(Models!$BJ58:$BT58,,AH58+1)*AF58-ERP_i)*AE58*Ramure*Pc/MaxiM</f>
        <v>6.9492326058913096E-4</v>
      </c>
      <c r="AE58" s="304">
        <f t="shared" si="15"/>
        <v>0.5</v>
      </c>
      <c r="AF58" s="176">
        <f t="shared" si="23"/>
        <v>0.23679068403515702</v>
      </c>
      <c r="AG58" s="814">
        <f t="shared" si="24"/>
        <v>2</v>
      </c>
      <c r="AH58" s="175">
        <f t="shared" si="16"/>
        <v>8</v>
      </c>
      <c r="AI58" s="224">
        <f t="shared" si="17"/>
        <v>2.236790684035157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10">
        <f>'2026'!Wh/'2026'!Env_an*'2027'!Env_an</f>
        <v>17.430249954693394</v>
      </c>
      <c r="C59" s="843"/>
      <c r="D59" s="392">
        <f t="shared" si="0"/>
        <v>18.664365908047326</v>
      </c>
      <c r="E59" s="384">
        <f t="shared" si="1"/>
        <v>19.2492960382706</v>
      </c>
      <c r="F59" s="384">
        <f t="shared" si="2"/>
        <v>19.249875555448924</v>
      </c>
      <c r="G59" s="110">
        <f t="shared" si="21"/>
        <v>0.4857652644056315</v>
      </c>
      <c r="H59" s="413" t="b">
        <f>Wh_hp&gt;='2026'!Maxi_hp</f>
        <v>0</v>
      </c>
      <c r="I59" s="389">
        <f>IF(H59,Wh_hp,'2026'!Maxi_hp)</f>
        <v>40.730011197654498</v>
      </c>
      <c r="J59" s="85">
        <f>IF(H59,An,'2026'!An_max)</f>
        <v>2019</v>
      </c>
      <c r="K59" s="196">
        <f t="shared" si="3"/>
        <v>46432</v>
      </c>
      <c r="L59" s="147">
        <f>IF(t&lt;Tvie,1-EXP((T0-t)*PertePVj)+'2026'!Pspv,1-EXP((T0-t)*PertePVj)+Pspv)</f>
        <v>6.6121504445100426E-2</v>
      </c>
      <c r="M59" s="847"/>
      <c r="N59" s="847"/>
      <c r="O59" s="48">
        <f>IF(t&lt;Tnet,'2026'!Resal+('2026'!Salim-'2026'!Resal)*(1-EXP(('2026'!Tnet-t)/('2026'!Tau_j))),Resal+(Salim-Resal)*(1-EXP((Tnet-t)/(Tau_j))))*Salcycl</f>
        <v>3.0387092029773133E-2</v>
      </c>
      <c r="P59" s="168">
        <f>(INDEX(Models!$BJ59:$BT59,,T59)*(1-R59)+INDEX(Models!$BJ59:$BT59,,T59+1)*R59-ERP_i)*Q59*Ramure*Pc/MaxiM</f>
        <v>1.1341677758925834E-4</v>
      </c>
      <c r="Q59" s="304">
        <f t="shared" si="4"/>
        <v>0.5</v>
      </c>
      <c r="R59" s="176">
        <f t="shared" si="5"/>
        <v>0.12189935584915845</v>
      </c>
      <c r="S59" s="814">
        <f t="shared" si="6"/>
        <v>0</v>
      </c>
      <c r="T59" s="175">
        <f t="shared" si="7"/>
        <v>6</v>
      </c>
      <c r="U59" s="250">
        <f t="shared" si="8"/>
        <v>0.12189935584915845</v>
      </c>
      <c r="V59" s="382">
        <f t="shared" si="9"/>
        <v>35.879053202576287</v>
      </c>
      <c r="W59" s="401">
        <f t="shared" si="10"/>
        <v>17.430249954693394</v>
      </c>
      <c r="X59" s="157">
        <f t="shared" si="11"/>
        <v>46432</v>
      </c>
      <c r="Y59" s="384">
        <f t="shared" si="12"/>
        <v>16.75607573158808</v>
      </c>
      <c r="Z59" s="384">
        <f t="shared" si="22"/>
        <v>17.942458051389028</v>
      </c>
      <c r="AA59" s="385">
        <f t="shared" si="13"/>
        <v>19.246432797758395</v>
      </c>
      <c r="AB59" s="196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6.7751502840632361E-2</v>
      </c>
      <c r="AD59" s="230">
        <f>(INDEX(Models!$BJ59:$BT59,,AH59)*(1-AF59)+INDEX(Models!$BJ59:$BT59,,AH59+1)*AF59-ERP_i)*AE59*Ramure*Pc/MaxiM</f>
        <v>6.7377896270487804E-4</v>
      </c>
      <c r="AE59" s="304">
        <f t="shared" si="15"/>
        <v>0.5</v>
      </c>
      <c r="AF59" s="176">
        <f t="shared" si="23"/>
        <v>0.23689189567354596</v>
      </c>
      <c r="AG59" s="814">
        <f t="shared" si="24"/>
        <v>2</v>
      </c>
      <c r="AH59" s="175">
        <f t="shared" si="16"/>
        <v>8</v>
      </c>
      <c r="AI59" s="224">
        <f t="shared" si="17"/>
        <v>2.236891895673546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10">
        <f>'2026'!Wh/'2026'!Env_an*'2027'!Env_an</f>
        <v>20.705605853411072</v>
      </c>
      <c r="C60" s="843"/>
      <c r="D60" s="392">
        <f t="shared" si="0"/>
        <v>22.172112202010293</v>
      </c>
      <c r="E60" s="384">
        <f t="shared" si="1"/>
        <v>22.868713813562255</v>
      </c>
      <c r="F60" s="384">
        <f t="shared" si="2"/>
        <v>22.869718461981527</v>
      </c>
      <c r="G60" s="110">
        <f t="shared" si="21"/>
        <v>0.57152010203586601</v>
      </c>
      <c r="H60" s="413" t="b">
        <f>Wh_hp&gt;='2026'!Maxi_hp</f>
        <v>0</v>
      </c>
      <c r="I60" s="389">
        <f>IF(H60,Wh_hp,'2026'!Maxi_hp)</f>
        <v>40.824287994702445</v>
      </c>
      <c r="J60" s="85">
        <f>IF(H60,An,'2026'!An_max)</f>
        <v>2019</v>
      </c>
      <c r="K60" s="196">
        <f t="shared" si="3"/>
        <v>46433</v>
      </c>
      <c r="L60" s="147">
        <f>IF(t&lt;Tvie,1-EXP((T0-t)*PertePVj)+'2026'!Pspv,1-EXP((T0-t)*PertePVj)+Pspv)</f>
        <v>6.6141932497809391E-2</v>
      </c>
      <c r="M60" s="847"/>
      <c r="N60" s="847"/>
      <c r="O60" s="48">
        <f>IF(t&lt;Tnet,'2026'!Resal+('2026'!Salim-'2026'!Resal)*(1-EXP(('2026'!Tnet-t)/('2026'!Tau_j))),Resal+(Salim-Resal)*(1-EXP((Tnet-t)/(Tau_j))))*Salcycl</f>
        <v>3.0460900303839761E-2</v>
      </c>
      <c r="P60" s="168">
        <f>(INDEX(Models!$BJ60:$BT60,,T60)*(1-R60)+INDEX(Models!$BJ60:$BT60,,T60+1)*R60-ERP_i)*Q60*Ramure*Pc/MaxiM</f>
        <v>1.1323638065052088E-4</v>
      </c>
      <c r="Q60" s="304">
        <f t="shared" si="4"/>
        <v>0.5</v>
      </c>
      <c r="R60" s="176">
        <f t="shared" si="5"/>
        <v>0.12200474042895672</v>
      </c>
      <c r="S60" s="814">
        <f t="shared" si="6"/>
        <v>0</v>
      </c>
      <c r="T60" s="175">
        <f t="shared" si="7"/>
        <v>6</v>
      </c>
      <c r="U60" s="250">
        <f t="shared" si="8"/>
        <v>0.12200474042895672</v>
      </c>
      <c r="V60" s="382">
        <f t="shared" si="9"/>
        <v>36.226496092499268</v>
      </c>
      <c r="W60" s="401">
        <f t="shared" si="10"/>
        <v>20.705605853411072</v>
      </c>
      <c r="X60" s="157">
        <f t="shared" si="11"/>
        <v>46433</v>
      </c>
      <c r="Y60" s="384">
        <f t="shared" si="12"/>
        <v>19.90428447736614</v>
      </c>
      <c r="Z60" s="384">
        <f t="shared" si="22"/>
        <v>21.314036008281793</v>
      </c>
      <c r="AA60" s="385">
        <f t="shared" si="13"/>
        <v>22.863900834347426</v>
      </c>
      <c r="AB60" s="196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6.7786544268830087E-2</v>
      </c>
      <c r="AD60" s="230">
        <f>(INDEX(Models!$BJ60:$BT60,,AH60)*(1-AF60)+INDEX(Models!$BJ60:$BT60,,AH60+1)*AF60-ERP_i)*AE60*Ramure*Pc/MaxiM</f>
        <v>6.5571904023350492E-4</v>
      </c>
      <c r="AE60" s="304">
        <f t="shared" si="15"/>
        <v>0.5</v>
      </c>
      <c r="AF60" s="176">
        <f t="shared" si="23"/>
        <v>0.23699728025334421</v>
      </c>
      <c r="AG60" s="814">
        <f t="shared" si="24"/>
        <v>2</v>
      </c>
      <c r="AH60" s="175">
        <f t="shared" si="16"/>
        <v>8</v>
      </c>
      <c r="AI60" s="224">
        <f t="shared" si="17"/>
        <v>2.2369972802533442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10">
        <f>'2026'!Wh/'2026'!Env_an*'2027'!Env_an</f>
        <v>9.0499311842824692</v>
      </c>
      <c r="C61" s="843"/>
      <c r="D61" s="392">
        <f t="shared" si="0"/>
        <v>9.6911184531837264</v>
      </c>
      <c r="E61" s="384">
        <f t="shared" si="1"/>
        <v>9.9963534826063274</v>
      </c>
      <c r="F61" s="384">
        <f t="shared" si="2"/>
        <v>9.9963534826063274</v>
      </c>
      <c r="G61" s="110">
        <f t="shared" si="21"/>
        <v>0.24743444661152159</v>
      </c>
      <c r="H61" s="413" t="b">
        <f>Wh_hp&gt;='2026'!Maxi_hp</f>
        <v>0</v>
      </c>
      <c r="I61" s="389">
        <f>IF(H61,Wh_hp,'2026'!Maxi_hp)</f>
        <v>41.302237931814616</v>
      </c>
      <c r="J61" s="85">
        <f>IF(H61,An,'2026'!An_max)</f>
        <v>2019</v>
      </c>
      <c r="K61" s="196">
        <f t="shared" si="3"/>
        <v>46434</v>
      </c>
      <c r="L61" s="147">
        <f>IF(t&lt;Tvie,1-EXP((T0-t)*PertePVj)+'2026'!Pspv,1-EXP((T0-t)*PertePVj)+Pspv)</f>
        <v>6.6162360103091483E-2</v>
      </c>
      <c r="M61" s="847"/>
      <c r="N61" s="847"/>
      <c r="O61" s="48">
        <f>IF(t&lt;Tnet,'2026'!Resal+('2026'!Salim-'2026'!Resal)*(1-EXP(('2026'!Tnet-t)/('2026'!Tau_j))),Resal+(Salim-Resal)*(1-EXP((Tnet-t)/(Tau_j))))*Salcycl</f>
        <v>3.0534637450917584E-2</v>
      </c>
      <c r="P61" s="168">
        <f>(INDEX(Models!$BJ61:$BT61,,T61)*(1-R61)+INDEX(Models!$BJ61:$BT61,,T61+1)*R61-ERP_i)*Q61*Ramure*Pc/MaxiM</f>
        <v>1.1315601467809648E-4</v>
      </c>
      <c r="Q61" s="304">
        <f t="shared" si="4"/>
        <v>0.5</v>
      </c>
      <c r="R61" s="176">
        <f t="shared" si="5"/>
        <v>0.12211446683642956</v>
      </c>
      <c r="S61" s="814">
        <f t="shared" si="6"/>
        <v>0</v>
      </c>
      <c r="T61" s="175">
        <f t="shared" si="7"/>
        <v>6</v>
      </c>
      <c r="U61" s="250">
        <f t="shared" si="8"/>
        <v>0.12211446683642956</v>
      </c>
      <c r="V61" s="382">
        <f t="shared" si="9"/>
        <v>36.570927185185177</v>
      </c>
      <c r="W61" s="401">
        <f t="shared" si="10"/>
        <v>9.0499311842824692</v>
      </c>
      <c r="X61" s="157">
        <f t="shared" si="11"/>
        <v>46434</v>
      </c>
      <c r="Y61" s="384">
        <f t="shared" si="12"/>
        <v>8.7018588435331168</v>
      </c>
      <c r="Z61" s="384">
        <f t="shared" si="22"/>
        <v>9.3183852007654817</v>
      </c>
      <c r="AA61" s="385">
        <f t="shared" si="13"/>
        <v>9.9963534826063274</v>
      </c>
      <c r="AB61" s="196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6.7821559433698678E-2</v>
      </c>
      <c r="AD61" s="230">
        <f>(INDEX(Models!$BJ61:$BT61,,AH61)*(1-AF61)+INDEX(Models!$BJ61:$BT61,,AH61+1)*AF61-ERP_i)*AE61*Ramure*Pc/MaxiM</f>
        <v>6.4067020430438567E-4</v>
      </c>
      <c r="AE61" s="304">
        <f t="shared" si="15"/>
        <v>0.5</v>
      </c>
      <c r="AF61" s="176">
        <f t="shared" si="23"/>
        <v>0.23710700666081719</v>
      </c>
      <c r="AG61" s="814">
        <f t="shared" si="24"/>
        <v>2</v>
      </c>
      <c r="AH61" s="175">
        <f t="shared" si="16"/>
        <v>8</v>
      </c>
      <c r="AI61" s="224">
        <f t="shared" si="17"/>
        <v>2.2371070066608172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10">
        <f>'2026'!Wh/'2026'!Env_an*'2027'!Env_an</f>
        <v>10.979948452799974</v>
      </c>
      <c r="C62" s="843"/>
      <c r="D62" s="392">
        <f t="shared" si="0"/>
        <v>11.758134571747648</v>
      </c>
      <c r="E62" s="384">
        <f t="shared" si="1"/>
        <v>12.12939473201682</v>
      </c>
      <c r="F62" s="384">
        <f t="shared" si="2"/>
        <v>12.12939473201682</v>
      </c>
      <c r="G62" s="110">
        <f t="shared" si="21"/>
        <v>0.29743427982815784</v>
      </c>
      <c r="H62" s="413" t="b">
        <f>Wh_hp&gt;='2026'!Maxi_hp</f>
        <v>0</v>
      </c>
      <c r="I62" s="389">
        <f>IF(H62,Wh_hp,'2026'!Maxi_hp)</f>
        <v>41.977734594143215</v>
      </c>
      <c r="J62" s="85">
        <f>IF(H62,An,'2026'!An_max)</f>
        <v>2019</v>
      </c>
      <c r="K62" s="196">
        <f t="shared" si="3"/>
        <v>46435</v>
      </c>
      <c r="L62" s="147">
        <f>IF(t&lt;Tvie,1-EXP((T0-t)*PertePVj)+'2026'!Pspv,1-EXP((T0-t)*PertePVj)+Pspv)</f>
        <v>6.6182787260956694E-2</v>
      </c>
      <c r="M62" s="847"/>
      <c r="N62" s="847"/>
      <c r="O62" s="48">
        <f>IF(t&lt;Tnet,'2026'!Resal+('2026'!Salim-'2026'!Resal)*(1-EXP(('2026'!Tnet-t)/('2026'!Tau_j))),Resal+(Salim-Resal)*(1-EXP((Tnet-t)/(Tau_j))))*Salcycl</f>
        <v>3.0608300617770444E-2</v>
      </c>
      <c r="P62" s="168">
        <f>(INDEX(Models!$BJ62:$BT62,,T62)*(1-R62)+INDEX(Models!$BJ62:$BT62,,T62+1)*R62-ERP_i)*Q62*Ramure*Pc/MaxiM</f>
        <v>1.1317608446229376E-4</v>
      </c>
      <c r="Q62" s="304">
        <f t="shared" si="4"/>
        <v>0.5</v>
      </c>
      <c r="R62" s="176">
        <f t="shared" si="5"/>
        <v>0.12222871052472337</v>
      </c>
      <c r="S62" s="814">
        <f t="shared" si="6"/>
        <v>0</v>
      </c>
      <c r="T62" s="175">
        <f t="shared" si="7"/>
        <v>6</v>
      </c>
      <c r="U62" s="250">
        <f t="shared" si="8"/>
        <v>0.12222871052472337</v>
      </c>
      <c r="V62" s="382">
        <f t="shared" si="9"/>
        <v>36.911366744846681</v>
      </c>
      <c r="W62" s="401">
        <f t="shared" si="10"/>
        <v>10.979948452799974</v>
      </c>
      <c r="X62" s="157">
        <f t="shared" si="11"/>
        <v>46435</v>
      </c>
      <c r="Y62" s="384">
        <f t="shared" si="12"/>
        <v>10.558051124115277</v>
      </c>
      <c r="Z62" s="384">
        <f t="shared" si="22"/>
        <v>11.306335951065556</v>
      </c>
      <c r="AA62" s="385">
        <f t="shared" si="13"/>
        <v>12.12939473201682</v>
      </c>
      <c r="AB62" s="196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6.785654182551365E-2</v>
      </c>
      <c r="AD62" s="230">
        <f>(INDEX(Models!$BJ62:$BT62,,AH62)*(1-AF62)+INDEX(Models!$BJ62:$BT62,,AH62+1)*AF62-ERP_i)*AE62*Ramure*Pc/MaxiM</f>
        <v>6.2856185069093981E-4</v>
      </c>
      <c r="AE62" s="304">
        <f t="shared" si="15"/>
        <v>0.5</v>
      </c>
      <c r="AF62" s="176">
        <f t="shared" si="23"/>
        <v>0.23722125034911068</v>
      </c>
      <c r="AG62" s="814">
        <f t="shared" si="24"/>
        <v>2</v>
      </c>
      <c r="AH62" s="175">
        <f t="shared" si="16"/>
        <v>8</v>
      </c>
      <c r="AI62" s="224">
        <f t="shared" si="17"/>
        <v>2.2372212503491107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10">
        <f>'2026'!Wh/'2026'!Env_an*'2027'!Env_an</f>
        <v>30.745358003117154</v>
      </c>
      <c r="C63" s="843"/>
      <c r="D63" s="392">
        <f t="shared" si="0"/>
        <v>32.925105829370438</v>
      </c>
      <c r="E63" s="384">
        <f t="shared" si="1"/>
        <v>33.967286274030798</v>
      </c>
      <c r="F63" s="384">
        <f t="shared" si="2"/>
        <v>33.970175282962664</v>
      </c>
      <c r="G63" s="110">
        <f t="shared" si="21"/>
        <v>0.82542554239099064</v>
      </c>
      <c r="H63" s="413" t="b">
        <f>Wh_hp&gt;='2026'!Maxi_hp</f>
        <v>0</v>
      </c>
      <c r="I63" s="389">
        <f>IF(H63,Wh_hp,'2026'!Maxi_hp)</f>
        <v>41.235106126634335</v>
      </c>
      <c r="J63" s="85">
        <f>IF(H63,An,'2026'!An_max)</f>
        <v>2019</v>
      </c>
      <c r="K63" s="196">
        <f t="shared" si="3"/>
        <v>46436</v>
      </c>
      <c r="L63" s="147">
        <f>IF(t&lt;Tvie,1-EXP((T0-t)*PertePVj)+'2026'!Pspv,1-EXP((T0-t)*PertePVj)+Pspv)</f>
        <v>6.6203213971414571E-2</v>
      </c>
      <c r="M63" s="847"/>
      <c r="N63" s="847"/>
      <c r="O63" s="48">
        <f>IF(t&lt;Tnet,'2026'!Resal+('2026'!Salim-'2026'!Resal)*(1-EXP(('2026'!Tnet-t)/('2026'!Tau_j))),Resal+(Salim-Resal)*(1-EXP((Tnet-t)/(Tau_j))))*Salcycl</f>
        <v>3.0681887162035095E-2</v>
      </c>
      <c r="P63" s="168">
        <f>(INDEX(Models!$BJ63:$BT63,,T63)*(1-R63)+INDEX(Models!$BJ63:$BT63,,T63+1)*R63-ERP_i)*Q63*Ramure*Pc/MaxiM</f>
        <v>1.1329707004187194E-4</v>
      </c>
      <c r="Q63" s="304">
        <f t="shared" si="4"/>
        <v>0.5</v>
      </c>
      <c r="R63" s="176">
        <f t="shared" si="5"/>
        <v>0.12234765374637233</v>
      </c>
      <c r="S63" s="814">
        <f t="shared" si="6"/>
        <v>0</v>
      </c>
      <c r="T63" s="175">
        <f t="shared" si="7"/>
        <v>6</v>
      </c>
      <c r="U63" s="250">
        <f t="shared" si="8"/>
        <v>0.12234765374637233</v>
      </c>
      <c r="V63" s="382">
        <f t="shared" si="9"/>
        <v>37.246835413029075</v>
      </c>
      <c r="W63" s="401">
        <f t="shared" si="10"/>
        <v>30.745358003117154</v>
      </c>
      <c r="X63" s="157">
        <f t="shared" si="11"/>
        <v>46436</v>
      </c>
      <c r="Y63" s="384">
        <f t="shared" si="12"/>
        <v>29.55389259971464</v>
      </c>
      <c r="Z63" s="384">
        <f t="shared" si="22"/>
        <v>31.649169328807194</v>
      </c>
      <c r="AA63" s="385">
        <f t="shared" si="13"/>
        <v>33.954382815733965</v>
      </c>
      <c r="AB63" s="196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6.7891485450843503E-2</v>
      </c>
      <c r="AD63" s="230">
        <f>(INDEX(Models!$BJ63:$BT63,,AH63)*(1-AF63)+INDEX(Models!$BJ63:$BT63,,AH63+1)*AF63-ERP_i)*AE63*Ramure*Pc/MaxiM</f>
        <v>6.1932666459020135E-4</v>
      </c>
      <c r="AE63" s="304">
        <f t="shared" si="15"/>
        <v>0.5</v>
      </c>
      <c r="AF63" s="176">
        <f t="shared" si="23"/>
        <v>0.23734019357075997</v>
      </c>
      <c r="AG63" s="814">
        <f t="shared" si="24"/>
        <v>2</v>
      </c>
      <c r="AH63" s="175">
        <f t="shared" si="16"/>
        <v>8</v>
      </c>
      <c r="AI63" s="224">
        <f t="shared" si="17"/>
        <v>2.23734019357076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10">
        <f>'2026'!Wh/'2026'!Env_an*'2027'!Env_an</f>
        <v>16.717462621893169</v>
      </c>
      <c r="C64" s="843"/>
      <c r="D64" s="392">
        <f t="shared" si="0"/>
        <v>17.903069024033758</v>
      </c>
      <c r="E64" s="384">
        <f t="shared" si="1"/>
        <v>18.471156740163096</v>
      </c>
      <c r="F64" s="384">
        <f t="shared" si="2"/>
        <v>18.471590775202266</v>
      </c>
      <c r="G64" s="110">
        <f t="shared" si="21"/>
        <v>0.4448530997378991</v>
      </c>
      <c r="H64" s="413" t="b">
        <f>Wh_hp&gt;='2026'!Maxi_hp</f>
        <v>0</v>
      </c>
      <c r="I64" s="389">
        <f>IF(H64,Wh_hp,'2026'!Maxi_hp)</f>
        <v>39.639407492619156</v>
      </c>
      <c r="J64" s="85">
        <f>IF(H64,An,'2026'!An_max)</f>
        <v>2021</v>
      </c>
      <c r="K64" s="196">
        <f t="shared" si="3"/>
        <v>46437</v>
      </c>
      <c r="L64" s="147">
        <f>IF(t&lt;Tvie,1-EXP((T0-t)*PertePVj)+'2026'!Pspv,1-EXP((T0-t)*PertePVj)+Pspv)</f>
        <v>6.6223640234475217E-2</v>
      </c>
      <c r="M64" s="847"/>
      <c r="N64" s="847"/>
      <c r="O64" s="48">
        <f>IF(t&lt;Tnet,'2026'!Resal+('2026'!Salim-'2026'!Resal)*(1-EXP(('2026'!Tnet-t)/('2026'!Tau_j))),Resal+(Salim-Resal)*(1-EXP((Tnet-t)/(Tau_j))))*Salcycl</f>
        <v>3.0755394701085757E-2</v>
      </c>
      <c r="P64" s="168">
        <f>(INDEX(Models!$BJ64:$BT64,,T64)*(1-R64)+INDEX(Models!$BJ64:$BT64,,T64+1)*R64-ERP_i)*Q64*Ramure*Pc/MaxiM</f>
        <v>1.135195538642258E-4</v>
      </c>
      <c r="Q64" s="304">
        <f t="shared" si="4"/>
        <v>0.5</v>
      </c>
      <c r="R64" s="176">
        <f t="shared" si="5"/>
        <v>0.1224714857920577</v>
      </c>
      <c r="S64" s="814">
        <f t="shared" si="6"/>
        <v>0</v>
      </c>
      <c r="T64" s="175">
        <f t="shared" si="7"/>
        <v>6</v>
      </c>
      <c r="U64" s="250">
        <f t="shared" si="8"/>
        <v>0.1224714857920577</v>
      </c>
      <c r="V64" s="382">
        <f t="shared" si="9"/>
        <v>37.576354205475511</v>
      </c>
      <c r="W64" s="401">
        <f t="shared" si="10"/>
        <v>16.717462621893169</v>
      </c>
      <c r="X64" s="157">
        <f t="shared" si="11"/>
        <v>46437</v>
      </c>
      <c r="Y64" s="384">
        <f t="shared" si="12"/>
        <v>16.074678199023197</v>
      </c>
      <c r="Z64" s="384">
        <f t="shared" si="22"/>
        <v>17.214698177901631</v>
      </c>
      <c r="AA64" s="385">
        <f t="shared" si="13"/>
        <v>18.469247385259376</v>
      </c>
      <c r="AB64" s="196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6.7926384935372175E-2</v>
      </c>
      <c r="AD64" s="230">
        <f>(INDEX(Models!$BJ64:$BT64,,AH64)*(1-AF64)+INDEX(Models!$BJ64:$BT64,,AH64+1)*AF64-ERP_i)*AE64*Ramure*Pc/MaxiM</f>
        <v>6.1290116428487044E-4</v>
      </c>
      <c r="AE64" s="304">
        <f t="shared" si="15"/>
        <v>0.5</v>
      </c>
      <c r="AF64" s="176">
        <f t="shared" si="23"/>
        <v>0.23746402561644508</v>
      </c>
      <c r="AG64" s="814">
        <f t="shared" si="24"/>
        <v>2</v>
      </c>
      <c r="AH64" s="175">
        <f t="shared" si="16"/>
        <v>8</v>
      </c>
      <c r="AI64" s="224">
        <f t="shared" si="17"/>
        <v>2.2374640256164451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10">
        <f>'2026'!Wh/'2026'!Env_an*'2027'!Env_an</f>
        <v>20.791451936673464</v>
      </c>
      <c r="C65" s="843"/>
      <c r="D65" s="392">
        <f t="shared" si="0"/>
        <v>22.266473690533022</v>
      </c>
      <c r="E65" s="384">
        <f t="shared" si="1"/>
        <v>22.974758408705192</v>
      </c>
      <c r="F65" s="384">
        <f t="shared" si="2"/>
        <v>22.975687204466016</v>
      </c>
      <c r="G65" s="110">
        <f t="shared" si="21"/>
        <v>0.54853587013834193</v>
      </c>
      <c r="H65" s="413" t="b">
        <f>Wh_hp&gt;='2026'!Maxi_hp</f>
        <v>0</v>
      </c>
      <c r="I65" s="389">
        <f>IF(H65,Wh_hp,'2026'!Maxi_hp)</f>
        <v>41.874871627810187</v>
      </c>
      <c r="J65" s="85">
        <f>IF(H65,An,'2026'!An_max)</f>
        <v>2020</v>
      </c>
      <c r="K65" s="196">
        <f t="shared" si="3"/>
        <v>46438</v>
      </c>
      <c r="L65" s="147">
        <f>IF(t&lt;Tvie,1-EXP((T0-t)*PertePVj)+'2026'!Pspv,1-EXP((T0-t)*PertePVj)+Pspv)</f>
        <v>6.6244066050148182E-2</v>
      </c>
      <c r="M65" s="847"/>
      <c r="N65" s="847"/>
      <c r="O65" s="48">
        <f>IF(t&lt;Tnet,'2026'!Resal+('2026'!Salim-'2026'!Resal)*(1-EXP(('2026'!Tnet-t)/('2026'!Tau_j))),Resal+(Salim-Resal)*(1-EXP((Tnet-t)/(Tau_j))))*Salcycl</f>
        <v>3.08288211598256E-2</v>
      </c>
      <c r="P65" s="168">
        <f>(INDEX(Models!$BJ65:$BT65,,T65)*(1-R65)+INDEX(Models!$BJ65:$BT65,,T65+1)*R65-ERP_i)*Q65*Ramure*Pc/MaxiM</f>
        <v>1.1383879929811617E-4</v>
      </c>
      <c r="Q65" s="304">
        <f t="shared" si="4"/>
        <v>0.5</v>
      </c>
      <c r="R65" s="176">
        <f t="shared" si="5"/>
        <v>0.12260040323560387</v>
      </c>
      <c r="S65" s="814">
        <f t="shared" si="6"/>
        <v>0</v>
      </c>
      <c r="T65" s="175">
        <f t="shared" si="7"/>
        <v>6</v>
      </c>
      <c r="U65" s="250">
        <f t="shared" si="8"/>
        <v>0.12260040323560387</v>
      </c>
      <c r="V65" s="382">
        <f t="shared" si="9"/>
        <v>37.900758419876766</v>
      </c>
      <c r="W65" s="401">
        <f t="shared" si="10"/>
        <v>20.791451936673464</v>
      </c>
      <c r="X65" s="157">
        <f t="shared" si="11"/>
        <v>46438</v>
      </c>
      <c r="Y65" s="384">
        <f t="shared" si="12"/>
        <v>19.991339685901469</v>
      </c>
      <c r="Z65" s="384">
        <f t="shared" si="22"/>
        <v>21.409598546096223</v>
      </c>
      <c r="AA65" s="385">
        <f t="shared" si="13"/>
        <v>22.970716846109234</v>
      </c>
      <c r="AB65" s="196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6.796123562323364E-2</v>
      </c>
      <c r="AD65" s="230">
        <f>(INDEX(Models!$BJ65:$BT65,,AH65)*(1-AF65)+INDEX(Models!$BJ65:$BT65,,AH65+1)*AF65-ERP_i)*AE65*Ramure*Pc/MaxiM</f>
        <v>6.0919703909401331E-4</v>
      </c>
      <c r="AE65" s="304">
        <f t="shared" si="15"/>
        <v>0.5</v>
      </c>
      <c r="AF65" s="176">
        <f t="shared" si="23"/>
        <v>0.23759294305999124</v>
      </c>
      <c r="AG65" s="814">
        <f t="shared" si="24"/>
        <v>2</v>
      </c>
      <c r="AH65" s="175">
        <f t="shared" si="16"/>
        <v>8</v>
      </c>
      <c r="AI65" s="224">
        <f t="shared" si="17"/>
        <v>2.2375929430599912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10">
        <f>'2026'!Wh/'2026'!Env_an*'2027'!Env_an</f>
        <v>21.080408993674546</v>
      </c>
      <c r="C66" s="843"/>
      <c r="D66" s="392">
        <f t="shared" si="0"/>
        <v>22.576424265687322</v>
      </c>
      <c r="E66" s="384">
        <f t="shared" si="1"/>
        <v>23.296331336271024</v>
      </c>
      <c r="F66" s="384">
        <f t="shared" si="2"/>
        <v>23.297286903707072</v>
      </c>
      <c r="G66" s="110">
        <f t="shared" si="21"/>
        <v>0.55148900101703513</v>
      </c>
      <c r="H66" s="413" t="b">
        <f>Wh_hp&gt;='2026'!Maxi_hp</f>
        <v>0</v>
      </c>
      <c r="I66" s="389">
        <f>IF(H66,Wh_hp,'2026'!Maxi_hp)</f>
        <v>39.365531433595841</v>
      </c>
      <c r="J66" s="85">
        <f>IF(H66,An,'2026'!An_max)</f>
        <v>2019</v>
      </c>
      <c r="K66" s="196">
        <f t="shared" si="3"/>
        <v>46439</v>
      </c>
      <c r="L66" s="147">
        <f>IF(t&lt;Tvie,1-EXP((T0-t)*PertePVj)+'2026'!Pspv,1-EXP((T0-t)*PertePVj)+Pspv)</f>
        <v>6.6264491418443455E-2</v>
      </c>
      <c r="M66" s="847"/>
      <c r="N66" s="847"/>
      <c r="O66" s="48">
        <f>IF(t&lt;Tnet,'2026'!Resal+('2026'!Salim-'2026'!Resal)*(1-EXP(('2026'!Tnet-t)/('2026'!Tau_j))),Resal+(Salim-Resal)*(1-EXP((Tnet-t)/(Tau_j))))*Salcycl</f>
        <v>3.0902164816949042E-2</v>
      </c>
      <c r="P66" s="168">
        <f>(INDEX(Models!$BJ66:$BT66,,T66)*(1-R66)+INDEX(Models!$BJ66:$BT66,,T66+1)*R66-ERP_i)*Q66*Ramure*Pc/MaxiM</f>
        <v>1.1414723292489476E-4</v>
      </c>
      <c r="Q66" s="304">
        <f t="shared" si="4"/>
        <v>0.5</v>
      </c>
      <c r="R66" s="176">
        <f t="shared" si="5"/>
        <v>0.12273461018517584</v>
      </c>
      <c r="S66" s="814">
        <f t="shared" si="6"/>
        <v>0</v>
      </c>
      <c r="T66" s="175">
        <f t="shared" si="7"/>
        <v>6</v>
      </c>
      <c r="U66" s="250">
        <f t="shared" si="8"/>
        <v>0.12273461018517584</v>
      </c>
      <c r="V66" s="382">
        <f t="shared" si="9"/>
        <v>38.221736536214379</v>
      </c>
      <c r="W66" s="401">
        <f t="shared" si="10"/>
        <v>21.080408993674546</v>
      </c>
      <c r="X66" s="157">
        <f t="shared" si="11"/>
        <v>46439</v>
      </c>
      <c r="Y66" s="384">
        <f t="shared" si="12"/>
        <v>20.269925712875096</v>
      </c>
      <c r="Z66" s="384">
        <f t="shared" si="22"/>
        <v>21.708423345351051</v>
      </c>
      <c r="AA66" s="385">
        <f t="shared" si="13"/>
        <v>23.292200601761248</v>
      </c>
      <c r="AB66" s="196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6.7996033671908249E-2</v>
      </c>
      <c r="AD66" s="230">
        <f>(INDEX(Models!$BJ66:$BT66,,AH66)*(1-AF66)+INDEX(Models!$BJ66:$BT66,,AH66+1)*AF66-ERP_i)*AE66*Ramure*Pc/MaxiM</f>
        <v>6.0758379893827521E-4</v>
      </c>
      <c r="AE66" s="304">
        <f t="shared" si="15"/>
        <v>0.5</v>
      </c>
      <c r="AF66" s="176">
        <f t="shared" si="23"/>
        <v>0.23772715000956346</v>
      </c>
      <c r="AG66" s="814">
        <f t="shared" si="24"/>
        <v>2</v>
      </c>
      <c r="AH66" s="175">
        <f t="shared" si="16"/>
        <v>8</v>
      </c>
      <c r="AI66" s="224">
        <f t="shared" si="17"/>
        <v>2.2377271500095635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10">
        <f>'2026'!Wh/'2026'!Env_an*'2027'!Env_an</f>
        <v>34.894020924637005</v>
      </c>
      <c r="C67" s="843"/>
      <c r="D67" s="392">
        <f t="shared" si="0"/>
        <v>37.371165503544212</v>
      </c>
      <c r="E67" s="384">
        <f t="shared" si="1"/>
        <v>38.565756166139806</v>
      </c>
      <c r="F67" s="384">
        <f t="shared" si="2"/>
        <v>38.569567880893899</v>
      </c>
      <c r="G67" s="110">
        <f t="shared" si="21"/>
        <v>0.9053931699940555</v>
      </c>
      <c r="H67" s="413" t="b">
        <f>Wh_hp&gt;='2026'!Maxi_hp</f>
        <v>0</v>
      </c>
      <c r="I67" s="389">
        <f>IF(H67,Wh_hp,'2026'!Maxi_hp)</f>
        <v>40.864561185039193</v>
      </c>
      <c r="J67" s="85">
        <f>IF(H67,An,'2026'!An_max)</f>
        <v>2020</v>
      </c>
      <c r="K67" s="196">
        <f t="shared" si="3"/>
        <v>46440</v>
      </c>
      <c r="L67" s="147">
        <f>IF(t&lt;Tvie,1-EXP((T0-t)*PertePVj)+'2026'!Pspv,1-EXP((T0-t)*PertePVj)+Pspv)</f>
        <v>6.6284916339370697E-2</v>
      </c>
      <c r="M67" s="847"/>
      <c r="N67" s="847"/>
      <c r="O67" s="48">
        <f>IF(t&lt;Tnet,'2026'!Resal+('2026'!Salim-'2026'!Resal)*(1-EXP(('2026'!Tnet-t)/('2026'!Tau_j))),Resal+(Salim-Resal)*(1-EXP((Tnet-t)/(Tau_j))))*Salcycl</f>
        <v>3.0975424349242397E-2</v>
      </c>
      <c r="P67" s="168">
        <f>(INDEX(Models!$BJ67:$BT67,,T67)*(1-R67)+INDEX(Models!$BJ67:$BT67,,T67+1)*R67-ERP_i)*Q67*Ramure*Pc/MaxiM</f>
        <v>1.1426839113527842E-4</v>
      </c>
      <c r="Q67" s="304">
        <f t="shared" si="4"/>
        <v>0.5</v>
      </c>
      <c r="R67" s="176">
        <f t="shared" si="5"/>
        <v>0.12287431854061742</v>
      </c>
      <c r="S67" s="814">
        <f t="shared" si="6"/>
        <v>0</v>
      </c>
      <c r="T67" s="175">
        <f t="shared" si="7"/>
        <v>6</v>
      </c>
      <c r="U67" s="250">
        <f t="shared" si="8"/>
        <v>0.12287431854061742</v>
      </c>
      <c r="V67" s="382">
        <f t="shared" si="9"/>
        <v>38.539590550974459</v>
      </c>
      <c r="W67" s="401">
        <f t="shared" si="10"/>
        <v>34.894020924637005</v>
      </c>
      <c r="X67" s="157">
        <f t="shared" si="11"/>
        <v>46440</v>
      </c>
      <c r="Y67" s="384">
        <f t="shared" si="12"/>
        <v>33.545400333200206</v>
      </c>
      <c r="Z67" s="384">
        <f t="shared" si="22"/>
        <v>35.926805639345027</v>
      </c>
      <c r="AA67" s="385">
        <f t="shared" si="13"/>
        <v>38.549347681904976</v>
      </c>
      <c r="AB67" s="196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6.8030776141796326E-2</v>
      </c>
      <c r="AD67" s="230">
        <f>(INDEX(Models!$BJ67:$BT67,,AH67)*(1-AF67)+INDEX(Models!$BJ67:$BT67,,AH67+1)*AF67-ERP_i)*AE67*Ramure*Pc/MaxiM</f>
        <v>6.0616540217755773E-4</v>
      </c>
      <c r="AE67" s="304">
        <f t="shared" si="15"/>
        <v>0.5</v>
      </c>
      <c r="AF67" s="176">
        <f t="shared" si="23"/>
        <v>0.23786685836500476</v>
      </c>
      <c r="AG67" s="814">
        <f t="shared" si="24"/>
        <v>2</v>
      </c>
      <c r="AH67" s="175">
        <f t="shared" si="16"/>
        <v>8</v>
      </c>
      <c r="AI67" s="224">
        <f t="shared" si="17"/>
        <v>2.2378668583650048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10">
        <f>'2026'!Wh/'2026'!Env_an*'2027'!Env_an</f>
        <v>35.880039686112589</v>
      </c>
      <c r="C68" s="843"/>
      <c r="D68" s="392">
        <f t="shared" si="0"/>
        <v>38.428022837093501</v>
      </c>
      <c r="E68" s="384">
        <f t="shared" si="1"/>
        <v>39.659391371350445</v>
      </c>
      <c r="F68" s="384">
        <f t="shared" si="2"/>
        <v>39.663425740692496</v>
      </c>
      <c r="G68" s="110">
        <f t="shared" si="21"/>
        <v>0.92343190018546195</v>
      </c>
      <c r="H68" s="413" t="b">
        <f>Wh_hp&gt;='2026'!Maxi_hp</f>
        <v>0</v>
      </c>
      <c r="I68" s="389">
        <f>IF(H68,Wh_hp,'2026'!Maxi_hp)</f>
        <v>41.700793464247006</v>
      </c>
      <c r="J68" s="85">
        <f>IF(H68,An,'2026'!An_max)</f>
        <v>2020</v>
      </c>
      <c r="K68" s="196">
        <f t="shared" si="3"/>
        <v>46441</v>
      </c>
      <c r="L68" s="147">
        <f>IF(t&lt;Tvie,1-EXP((T0-t)*PertePVj)+'2026'!Pspv,1-EXP((T0-t)*PertePVj)+Pspv)</f>
        <v>6.6305340812939678E-2</v>
      </c>
      <c r="M68" s="847"/>
      <c r="N68" s="847"/>
      <c r="O68" s="48">
        <f>IF(t&lt;Tnet,'2026'!Resal+('2026'!Salim-'2026'!Resal)*(1-EXP(('2026'!Tnet-t)/('2026'!Tau_j))),Resal+(Salim-Resal)*(1-EXP((Tnet-t)/(Tau_j))))*Salcycl</f>
        <v>3.1048598873518619E-2</v>
      </c>
      <c r="P68" s="168">
        <f>(INDEX(Models!$BJ68:$BT68,,T68)*(1-R68)+INDEX(Models!$BJ68:$BT68,,T68+1)*R68-ERP_i)*Q68*Ramure*Pc/MaxiM</f>
        <v>1.1420534153694489E-4</v>
      </c>
      <c r="Q68" s="304">
        <f t="shared" si="4"/>
        <v>0.5</v>
      </c>
      <c r="R68" s="176">
        <f t="shared" si="5"/>
        <v>0.12301974825684414</v>
      </c>
      <c r="S68" s="814">
        <f t="shared" si="6"/>
        <v>0</v>
      </c>
      <c r="T68" s="175">
        <f t="shared" si="7"/>
        <v>6</v>
      </c>
      <c r="U68" s="250">
        <f t="shared" si="8"/>
        <v>0.12301974825684414</v>
      </c>
      <c r="V68" s="382">
        <f t="shared" si="9"/>
        <v>38.854615573687859</v>
      </c>
      <c r="W68" s="401">
        <f t="shared" si="10"/>
        <v>35.880039686112589</v>
      </c>
      <c r="X68" s="157">
        <f t="shared" si="11"/>
        <v>46441</v>
      </c>
      <c r="Y68" s="384">
        <f t="shared" si="12"/>
        <v>34.494230086878218</v>
      </c>
      <c r="Z68" s="384">
        <f t="shared" si="22"/>
        <v>36.943801431734975</v>
      </c>
      <c r="AA68" s="385">
        <f t="shared" si="13"/>
        <v>39.642056269890901</v>
      </c>
      <c r="AB68" s="196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6.8065461079659439E-2</v>
      </c>
      <c r="AD68" s="230">
        <f>(INDEX(Models!$BJ68:$BT68,,AH68)*(1-AF68)+INDEX(Models!$BJ68:$BT68,,AH68+1)*AF68-ERP_i)*AE68*Ramure*Pc/MaxiM</f>
        <v>6.0492917341991421E-4</v>
      </c>
      <c r="AE68" s="304">
        <f t="shared" si="15"/>
        <v>0.5</v>
      </c>
      <c r="AF68" s="176">
        <f t="shared" si="23"/>
        <v>0.23801228808123165</v>
      </c>
      <c r="AG68" s="814">
        <f t="shared" si="24"/>
        <v>2</v>
      </c>
      <c r="AH68" s="175">
        <f t="shared" si="16"/>
        <v>8</v>
      </c>
      <c r="AI68" s="224">
        <f t="shared" si="17"/>
        <v>2.2380122880812316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10">
        <f>'2026'!Wh/'2026'!Env_an*'2027'!Env_an</f>
        <v>21.411626438894203</v>
      </c>
      <c r="C69" s="843"/>
      <c r="D69" s="392">
        <f t="shared" si="0"/>
        <v>22.932652131292585</v>
      </c>
      <c r="E69" s="384">
        <f t="shared" si="1"/>
        <v>23.669280080816591</v>
      </c>
      <c r="F69" s="384">
        <f t="shared" si="2"/>
        <v>23.670230654022095</v>
      </c>
      <c r="G69" s="110">
        <f t="shared" si="21"/>
        <v>0.54663333663613833</v>
      </c>
      <c r="H69" s="413" t="b">
        <f>Wh_hp&gt;='2026'!Maxi_hp</f>
        <v>0</v>
      </c>
      <c r="I69" s="389">
        <f>IF(H69,Wh_hp,'2026'!Maxi_hp)</f>
        <v>41.717998173912889</v>
      </c>
      <c r="J69" s="85">
        <f>IF(H69,An,'2026'!An_max)</f>
        <v>2020</v>
      </c>
      <c r="K69" s="196">
        <f t="shared" si="3"/>
        <v>46442</v>
      </c>
      <c r="L69" s="147">
        <f>IF(t&lt;Tvie,1-EXP((T0-t)*PertePVj)+'2026'!Pspv,1-EXP((T0-t)*PertePVj)+Pspv)</f>
        <v>6.6325764839160389E-2</v>
      </c>
      <c r="M69" s="847"/>
      <c r="N69" s="847"/>
      <c r="O69" s="48">
        <f>IF(t&lt;Tnet,'2026'!Resal+('2026'!Salim-'2026'!Resal)*(1-EXP(('2026'!Tnet-t)/('2026'!Tau_j))),Resal+(Salim-Resal)*(1-EXP((Tnet-t)/(Tau_j))))*Salcycl</f>
        <v>3.1121687985813589E-2</v>
      </c>
      <c r="P69" s="168">
        <f>(INDEX(Models!$BJ69:$BT69,,T69)*(1-R69)+INDEX(Models!$BJ69:$BT69,,T69+1)*R69-ERP_i)*Q69*Ramure*Pc/MaxiM</f>
        <v>1.1396153708306394E-4</v>
      </c>
      <c r="Q69" s="304">
        <f t="shared" si="4"/>
        <v>0.5</v>
      </c>
      <c r="R69" s="176">
        <f t="shared" si="5"/>
        <v>0.12317112761317511</v>
      </c>
      <c r="S69" s="814">
        <f t="shared" si="6"/>
        <v>0</v>
      </c>
      <c r="T69" s="175">
        <f t="shared" si="7"/>
        <v>6</v>
      </c>
      <c r="U69" s="250">
        <f t="shared" si="8"/>
        <v>0.12317112761317511</v>
      </c>
      <c r="V69" s="382">
        <f t="shared" si="9"/>
        <v>39.167106556659796</v>
      </c>
      <c r="W69" s="401">
        <f t="shared" si="10"/>
        <v>21.411626438894203</v>
      </c>
      <c r="X69" s="157">
        <f t="shared" si="11"/>
        <v>46442</v>
      </c>
      <c r="Y69" s="384">
        <f t="shared" si="12"/>
        <v>20.590870584598996</v>
      </c>
      <c r="Z69" s="384">
        <f t="shared" si="22"/>
        <v>22.05359193729053</v>
      </c>
      <c r="AA69" s="385">
        <f t="shared" si="13"/>
        <v>23.665193701306883</v>
      </c>
      <c r="AB69" s="196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6.8100087595199074E-2</v>
      </c>
      <c r="AD69" s="230">
        <f>(INDEX(Models!$BJ69:$BT69,,AH69)*(1-AF69)+INDEX(Models!$BJ69:$BT69,,AH69+1)*AF69-ERP_i)*AE69*Ramure*Pc/MaxiM</f>
        <v>6.0386603611003683E-4</v>
      </c>
      <c r="AE69" s="304">
        <f t="shared" si="15"/>
        <v>0.5</v>
      </c>
      <c r="AF69" s="176">
        <f t="shared" si="23"/>
        <v>0.23816366743756268</v>
      </c>
      <c r="AG69" s="814">
        <f t="shared" si="24"/>
        <v>2</v>
      </c>
      <c r="AH69" s="175">
        <f t="shared" si="16"/>
        <v>8</v>
      </c>
      <c r="AI69" s="224">
        <f t="shared" si="17"/>
        <v>2.2381636674375627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10">
        <f>'2026'!Wh/'2026'!Env_an*'2027'!Env_an</f>
        <v>30.443923520786591</v>
      </c>
      <c r="C70" s="843"/>
      <c r="D70" s="392">
        <f t="shared" si="0"/>
        <v>32.607293134918216</v>
      </c>
      <c r="E70" s="384">
        <f t="shared" si="1"/>
        <v>33.657219731193756</v>
      </c>
      <c r="F70" s="384">
        <f t="shared" si="2"/>
        <v>33.659792169229227</v>
      </c>
      <c r="G70" s="110">
        <f t="shared" si="21"/>
        <v>0.77114565883986552</v>
      </c>
      <c r="H70" s="413" t="b">
        <f>Wh_hp&gt;='2026'!Maxi_hp</f>
        <v>0</v>
      </c>
      <c r="I70" s="389">
        <f>IF(H70,Wh_hp,'2026'!Maxi_hp)</f>
        <v>42.62355723611401</v>
      </c>
      <c r="J70" s="85">
        <f>IF(H70,An,'2026'!An_max)</f>
        <v>2019</v>
      </c>
      <c r="K70" s="196">
        <f t="shared" si="3"/>
        <v>46443</v>
      </c>
      <c r="L70" s="147">
        <f>IF(t&lt;Tvie,1-EXP((T0-t)*PertePVj)+'2026'!Pspv,1-EXP((T0-t)*PertePVj)+Pspv)</f>
        <v>6.6346188418042379E-2</v>
      </c>
      <c r="M70" s="847"/>
      <c r="N70" s="847"/>
      <c r="O70" s="48">
        <f>IF(t&lt;Tnet,'2026'!Resal+('2026'!Salim-'2026'!Resal)*(1-EXP(('2026'!Tnet-t)/('2026'!Tau_j))),Resal+(Salim-Resal)*(1-EXP((Tnet-t)/(Tau_j))))*Salcycl</f>
        <v>3.1194691797506346E-2</v>
      </c>
      <c r="P70" s="168">
        <f>(INDEX(Models!$BJ70:$BT70,,T70)*(1-R70)+INDEX(Models!$BJ70:$BT70,,T70+1)*R70-ERP_i)*Q70*Ramure*Pc/MaxiM</f>
        <v>1.1354027801133718E-4</v>
      </c>
      <c r="Q70" s="304">
        <f t="shared" si="4"/>
        <v>0.5</v>
      </c>
      <c r="R70" s="176">
        <f t="shared" si="5"/>
        <v>0.12332869348845674</v>
      </c>
      <c r="S70" s="814">
        <f t="shared" si="6"/>
        <v>0</v>
      </c>
      <c r="T70" s="175">
        <f t="shared" si="7"/>
        <v>6</v>
      </c>
      <c r="U70" s="250">
        <f t="shared" si="8"/>
        <v>0.12332869348845674</v>
      </c>
      <c r="V70" s="382">
        <f t="shared" si="9"/>
        <v>39.477358317835225</v>
      </c>
      <c r="W70" s="401">
        <f t="shared" si="10"/>
        <v>30.443923520786591</v>
      </c>
      <c r="X70" s="157">
        <f t="shared" si="11"/>
        <v>46443</v>
      </c>
      <c r="Y70" s="384">
        <f t="shared" si="12"/>
        <v>29.273467351983889</v>
      </c>
      <c r="Z70" s="384">
        <f t="shared" si="22"/>
        <v>31.353663412334516</v>
      </c>
      <c r="AA70" s="385">
        <f t="shared" si="13"/>
        <v>33.646130969308459</v>
      </c>
      <c r="AB70" s="196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6.8134655930130586E-2</v>
      </c>
      <c r="AD70" s="230">
        <f>(INDEX(Models!$BJ70:$BT70,,AH70)*(1-AF70)+INDEX(Models!$BJ70:$BT70,,AH70+1)*AF70-ERP_i)*AE70*Ramure*Pc/MaxiM</f>
        <v>6.0296746338973266E-4</v>
      </c>
      <c r="AE70" s="304">
        <f t="shared" si="15"/>
        <v>0.5</v>
      </c>
      <c r="AF70" s="176">
        <f t="shared" si="23"/>
        <v>0.23832123331284416</v>
      </c>
      <c r="AG70" s="814">
        <f t="shared" si="24"/>
        <v>2</v>
      </c>
      <c r="AH70" s="175">
        <f t="shared" si="16"/>
        <v>8</v>
      </c>
      <c r="AI70" s="224">
        <f t="shared" si="17"/>
        <v>2.2383212333128442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10">
        <f>'2026'!Wh/'2026'!Env_an*'2027'!Env_an</f>
        <v>40.416366464784481</v>
      </c>
      <c r="C71" s="843"/>
      <c r="D71" s="392">
        <f t="shared" si="0"/>
        <v>43.289332798889554</v>
      </c>
      <c r="E71" s="384">
        <f t="shared" si="1"/>
        <v>44.686575249279109</v>
      </c>
      <c r="F71" s="384">
        <f t="shared" si="2"/>
        <v>44.691622932804918</v>
      </c>
      <c r="G71" s="110">
        <f t="shared" si="21"/>
        <v>1.0158524665485094</v>
      </c>
      <c r="H71" s="413" t="b">
        <f>Wh_hp&gt;='2026'!Maxi_hp</f>
        <v>1</v>
      </c>
      <c r="I71" s="389">
        <f>IF(H71,Wh_hp,'2026'!Maxi_hp)</f>
        <v>44.691622932804918</v>
      </c>
      <c r="J71" s="85">
        <f>IF(H71,An,'2026'!An_max)</f>
        <v>2027</v>
      </c>
      <c r="K71" s="196">
        <f t="shared" si="3"/>
        <v>46444</v>
      </c>
      <c r="L71" s="147">
        <f>IF(t&lt;Tvie,1-EXP((T0-t)*PertePVj)+'2026'!Pspv,1-EXP((T0-t)*PertePVj)+Pspv)</f>
        <v>6.6366611549595639E-2</v>
      </c>
      <c r="M71" s="847"/>
      <c r="N71" s="847"/>
      <c r="O71" s="48">
        <f>IF(t&lt;Tnet,'2026'!Resal+('2026'!Salim-'2026'!Resal)*(1-EXP(('2026'!Tnet-t)/('2026'!Tau_j))),Resal+(Salim-Resal)*(1-EXP((Tnet-t)/(Tau_j))))*Salcycl</f>
        <v>3.126761096806354E-2</v>
      </c>
      <c r="P71" s="168">
        <f>(INDEX(Models!$BJ71:$BT71,,T71)*(1-R71)+INDEX(Models!$BJ71:$BT71,,T71+1)*R71-ERP_i)*Q71*Ramure*Pc/MaxiM</f>
        <v>1.1294473537916759E-4</v>
      </c>
      <c r="Q71" s="304">
        <f t="shared" si="4"/>
        <v>0.5</v>
      </c>
      <c r="R71" s="176">
        <f t="shared" si="5"/>
        <v>0.12349269164179592</v>
      </c>
      <c r="S71" s="814">
        <f t="shared" si="6"/>
        <v>0</v>
      </c>
      <c r="T71" s="175">
        <f t="shared" si="7"/>
        <v>6</v>
      </c>
      <c r="U71" s="250">
        <f t="shared" si="8"/>
        <v>0.12349269164179592</v>
      </c>
      <c r="V71" s="382">
        <f t="shared" si="9"/>
        <v>39.785665532815344</v>
      </c>
      <c r="W71" s="401">
        <f t="shared" si="10"/>
        <v>40.416366464784481</v>
      </c>
      <c r="X71" s="157">
        <f t="shared" si="11"/>
        <v>46444</v>
      </c>
      <c r="Y71" s="384">
        <f t="shared" si="12"/>
        <v>38.857777283520988</v>
      </c>
      <c r="Z71" s="384">
        <f t="shared" si="22"/>
        <v>41.619952504071307</v>
      </c>
      <c r="AA71" s="385">
        <f t="shared" si="13"/>
        <v>44.66470850000433</v>
      </c>
      <c r="AB71" s="196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6.8169167519199741E-2</v>
      </c>
      <c r="AD71" s="230">
        <f>(INDEX(Models!$BJ71:$BT71,,AH71)*(1-AF71)+INDEX(Models!$BJ71:$BT71,,AH71+1)*AF71-ERP_i)*AE71*Ramure*Pc/MaxiM</f>
        <v>6.0222545153605287E-4</v>
      </c>
      <c r="AE71" s="304">
        <f t="shared" si="15"/>
        <v>0.5</v>
      </c>
      <c r="AF71" s="176">
        <f t="shared" si="23"/>
        <v>0.23848523146618339</v>
      </c>
      <c r="AG71" s="814">
        <f t="shared" si="24"/>
        <v>2</v>
      </c>
      <c r="AH71" s="175">
        <f t="shared" si="16"/>
        <v>8</v>
      </c>
      <c r="AI71" s="224">
        <f t="shared" si="17"/>
        <v>2.2384852314661834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10">
        <f>'2026'!Wh/'2026'!Env_an*'2027'!Env_an</f>
        <v>26.607841117248913</v>
      </c>
      <c r="C72" s="843"/>
      <c r="D72" s="392">
        <f t="shared" si="0"/>
        <v>28.499862462185465</v>
      </c>
      <c r="E72" s="384">
        <f t="shared" si="1"/>
        <v>29.421959826956449</v>
      </c>
      <c r="F72" s="384">
        <f t="shared" si="2"/>
        <v>29.423675315094211</v>
      </c>
      <c r="G72" s="110">
        <f t="shared" si="21"/>
        <v>0.66362848844980338</v>
      </c>
      <c r="H72" s="413" t="b">
        <f>Wh_hp&gt;='2026'!Maxi_hp</f>
        <v>0</v>
      </c>
      <c r="I72" s="389">
        <f>IF(H72,Wh_hp,'2026'!Maxi_hp)</f>
        <v>43.393091127418728</v>
      </c>
      <c r="J72" s="85">
        <f>IF(H72,An,'2026'!An_max)</f>
        <v>2019</v>
      </c>
      <c r="K72" s="196">
        <f t="shared" si="3"/>
        <v>46445</v>
      </c>
      <c r="L72" s="147">
        <f>IF(t&lt;Tvie,1-EXP((T0-t)*PertePVj)+'2026'!Pspv,1-EXP((T0-t)*PertePVj)+Pspv)</f>
        <v>6.6387034233829939E-2</v>
      </c>
      <c r="M72" s="847"/>
      <c r="N72" s="847"/>
      <c r="O72" s="48">
        <f>IF(t&lt;Tnet,'2026'!Resal+('2026'!Salim-'2026'!Resal)*(1-EXP(('2026'!Tnet-t)/('2026'!Tau_j))),Resal+(Salim-Resal)*(1-EXP((Tnet-t)/(Tau_j))))*Salcycl</f>
        <v>3.1340446734148535E-2</v>
      </c>
      <c r="P72" s="168">
        <f>(INDEX(Models!$BJ72:$BT72,,T72)*(1-R72)+INDEX(Models!$BJ72:$BT72,,T72+1)*R72-ERP_i)*Q72*Ramure*Pc/MaxiM</f>
        <v>1.122246341834994E-4</v>
      </c>
      <c r="Q72" s="304">
        <f t="shared" si="4"/>
        <v>0.5</v>
      </c>
      <c r="R72" s="176">
        <f t="shared" si="5"/>
        <v>0.123663376998682</v>
      </c>
      <c r="S72" s="814">
        <f t="shared" si="6"/>
        <v>0</v>
      </c>
      <c r="T72" s="175">
        <f t="shared" si="7"/>
        <v>6</v>
      </c>
      <c r="U72" s="250">
        <f t="shared" si="8"/>
        <v>0.123663376998682</v>
      </c>
      <c r="V72" s="382">
        <f t="shared" si="9"/>
        <v>40.092320866310111</v>
      </c>
      <c r="W72" s="401">
        <f t="shared" si="10"/>
        <v>26.607841117248913</v>
      </c>
      <c r="X72" s="157">
        <f t="shared" si="11"/>
        <v>46445</v>
      </c>
      <c r="Y72" s="384">
        <f t="shared" si="12"/>
        <v>25.588749876683476</v>
      </c>
      <c r="Z72" s="384">
        <f t="shared" si="22"/>
        <v>27.408306027202666</v>
      </c>
      <c r="AA72" s="385">
        <f t="shared" si="13"/>
        <v>29.414480205998046</v>
      </c>
      <c r="AB72" s="196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6.820362504268529E-2</v>
      </c>
      <c r="AD72" s="230">
        <f>(INDEX(Models!$BJ72:$BT72,,AH72)*(1-AF72)+INDEX(Models!$BJ72:$BT72,,AH72+1)*AF72-ERP_i)*AE72*Ramure*Pc/MaxiM</f>
        <v>6.0153010206285813E-4</v>
      </c>
      <c r="AE72" s="304">
        <f t="shared" si="15"/>
        <v>0.5</v>
      </c>
      <c r="AF72" s="176">
        <f t="shared" si="23"/>
        <v>0.23865591682306952</v>
      </c>
      <c r="AG72" s="814">
        <f t="shared" si="24"/>
        <v>2</v>
      </c>
      <c r="AH72" s="175">
        <f t="shared" si="16"/>
        <v>8</v>
      </c>
      <c r="AI72" s="224">
        <f t="shared" si="17"/>
        <v>2.2386559168230695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10">
        <f>'2026'!Wh/'2026'!Env_an*'2027'!Env_an</f>
        <v>35.684990062050225</v>
      </c>
      <c r="C73" s="843"/>
      <c r="D73" s="392">
        <f t="shared" si="0"/>
        <v>38.223302348957105</v>
      </c>
      <c r="E73" s="384">
        <f t="shared" si="1"/>
        <v>39.462960248735726</v>
      </c>
      <c r="F73" s="384">
        <f t="shared" si="2"/>
        <v>39.4666264955248</v>
      </c>
      <c r="G73" s="110">
        <f t="shared" si="21"/>
        <v>0.88332756805283497</v>
      </c>
      <c r="H73" s="413" t="b">
        <f>Wh_hp&gt;='2026'!Maxi_hp</f>
        <v>0</v>
      </c>
      <c r="I73" s="389">
        <f>IF(H73,Wh_hp,'2026'!Maxi_hp)</f>
        <v>39.467010504341474</v>
      </c>
      <c r="J73" s="85">
        <f>IF(H73,An,'2026'!An_max)</f>
        <v>2026</v>
      </c>
      <c r="K73" s="196">
        <f t="shared" si="3"/>
        <v>46446</v>
      </c>
      <c r="L73" s="147">
        <f>IF(t&lt;Tvie,1-EXP((T0-t)*PertePVj)+'2026'!Pspv,1-EXP((T0-t)*PertePVj)+Pspv)</f>
        <v>6.640745647075505E-2</v>
      </c>
      <c r="M73" s="847"/>
      <c r="N73" s="847"/>
      <c r="O73" s="48">
        <f>IF(t&lt;Tnet,'2026'!Resal+('2026'!Salim-'2026'!Resal)*(1-EXP(('2026'!Tnet-t)/('2026'!Tau_j))),Resal+(Salim-Resal)*(1-EXP((Tnet-t)/(Tau_j))))*Salcycl</f>
        <v>3.141320093487756E-2</v>
      </c>
      <c r="P73" s="168">
        <f>(INDEX(Models!$BJ73:$BT73,,T73)*(1-R73)+INDEX(Models!$BJ73:$BT73,,T73+1)*R73-ERP_i)*Q73*Ramure*Pc/MaxiM</f>
        <v>1.1147179899620929E-4</v>
      </c>
      <c r="Q73" s="304">
        <f t="shared" si="4"/>
        <v>0.5</v>
      </c>
      <c r="R73" s="176">
        <f t="shared" si="5"/>
        <v>0.1238410139422346</v>
      </c>
      <c r="S73" s="814">
        <f t="shared" si="6"/>
        <v>0</v>
      </c>
      <c r="T73" s="175">
        <f t="shared" si="7"/>
        <v>6</v>
      </c>
      <c r="U73" s="250">
        <f t="shared" si="8"/>
        <v>0.1238410139422346</v>
      </c>
      <c r="V73" s="382">
        <f t="shared" si="9"/>
        <v>40.397615078720897</v>
      </c>
      <c r="W73" s="401">
        <f t="shared" si="10"/>
        <v>35.684990062050225</v>
      </c>
      <c r="X73" s="157">
        <f t="shared" si="11"/>
        <v>46446</v>
      </c>
      <c r="Y73" s="384">
        <f t="shared" si="12"/>
        <v>34.314293357853408</v>
      </c>
      <c r="Z73" s="384">
        <f t="shared" si="22"/>
        <v>36.755106492320124</v>
      </c>
      <c r="AA73" s="385">
        <f t="shared" si="13"/>
        <v>39.446884261390259</v>
      </c>
      <c r="AB73" s="196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6.8238032470026785E-2</v>
      </c>
      <c r="AD73" s="230">
        <f>(INDEX(Models!$BJ73:$BT73,,AH73)*(1-AF73)+INDEX(Models!$BJ73:$BT73,,AH73+1)*AF73-ERP_i)*AE73*Ramure*Pc/MaxiM</f>
        <v>6.0026028846122325E-4</v>
      </c>
      <c r="AE73" s="304">
        <f t="shared" si="15"/>
        <v>0.5</v>
      </c>
      <c r="AF73" s="176">
        <f t="shared" si="23"/>
        <v>0.23883355376662196</v>
      </c>
      <c r="AG73" s="814">
        <f t="shared" si="24"/>
        <v>2</v>
      </c>
      <c r="AH73" s="175">
        <f t="shared" si="16"/>
        <v>8</v>
      </c>
      <c r="AI73" s="224">
        <f t="shared" si="17"/>
        <v>2.238833553766622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10">
        <f>'2026'!Wh/'2026'!Env_an*'2027'!Env_an</f>
        <v>39.144002158251901</v>
      </c>
      <c r="C74" s="843"/>
      <c r="D74" s="392">
        <f t="shared" si="0"/>
        <v>41.929274928765999</v>
      </c>
      <c r="E74" s="384">
        <f t="shared" si="1"/>
        <v>43.292373225314734</v>
      </c>
      <c r="F74" s="384">
        <f t="shared" si="2"/>
        <v>43.296903556538687</v>
      </c>
      <c r="G74" s="110">
        <f t="shared" si="21"/>
        <v>0.96171973814335243</v>
      </c>
      <c r="H74" s="413" t="b">
        <f>Wh_hp&gt;='2026'!Maxi_hp</f>
        <v>0</v>
      </c>
      <c r="I74" s="389">
        <f>IF(H74,Wh_hp,'2026'!Maxi_hp)</f>
        <v>43.297040883180408</v>
      </c>
      <c r="J74" s="85">
        <f>IF(H74,An,'2026'!An_max)</f>
        <v>2026</v>
      </c>
      <c r="K74" s="196">
        <f t="shared" si="3"/>
        <v>46447</v>
      </c>
      <c r="L74" s="147">
        <f>IF(t&lt;Tvie,1-EXP((T0-t)*PertePVj)+'2026'!Pspv,1-EXP((T0-t)*PertePVj)+Pspv)</f>
        <v>6.6427878260380629E-2</v>
      </c>
      <c r="M74" s="847"/>
      <c r="N74" s="847"/>
      <c r="O74" s="48">
        <f>IF(t&lt;Tnet,'2026'!Resal+('2026'!Salim-'2026'!Resal)*(1-EXP(('2026'!Tnet-t)/('2026'!Tau_j))),Resal+(Salim-Resal)*(1-EXP((Tnet-t)/(Tau_j))))*Salcycl</f>
        <v>3.1485876033048615E-2</v>
      </c>
      <c r="P74" s="168">
        <f>(INDEX(Models!$BJ74:$BT74,,T74)*(1-R74)+INDEX(Models!$BJ74:$BT74,,T74+1)*R74-ERP_i)*Q74*Ramure*Pc/MaxiM</f>
        <v>1.1068614135275349E-4</v>
      </c>
      <c r="Q74" s="304">
        <f t="shared" si="4"/>
        <v>0.5</v>
      </c>
      <c r="R74" s="176">
        <f t="shared" si="5"/>
        <v>0.12402587660926986</v>
      </c>
      <c r="S74" s="814">
        <f t="shared" si="6"/>
        <v>0</v>
      </c>
      <c r="T74" s="175">
        <f t="shared" si="7"/>
        <v>6</v>
      </c>
      <c r="U74" s="250">
        <f t="shared" si="8"/>
        <v>0.12402587660926986</v>
      </c>
      <c r="V74" s="382">
        <f t="shared" si="9"/>
        <v>40.701842416922702</v>
      </c>
      <c r="W74" s="401">
        <f t="shared" si="10"/>
        <v>39.144002158251901</v>
      </c>
      <c r="X74" s="157">
        <f t="shared" si="11"/>
        <v>46447</v>
      </c>
      <c r="Y74" s="384">
        <f t="shared" si="12"/>
        <v>37.639853437268435</v>
      </c>
      <c r="Z74" s="384">
        <f t="shared" si="22"/>
        <v>40.318099224225215</v>
      </c>
      <c r="AA74" s="385">
        <f t="shared" si="13"/>
        <v>43.272410318149248</v>
      </c>
      <c r="AB74" s="196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6.8272395094315819E-2</v>
      </c>
      <c r="AD74" s="230">
        <f>(INDEX(Models!$BJ74:$BT74,,AH74)*(1-AF74)+INDEX(Models!$BJ74:$BT74,,AH74+1)*AF74-ERP_i)*AE74*Ramure*Pc/MaxiM</f>
        <v>5.9842468741104927E-4</v>
      </c>
      <c r="AE74" s="304">
        <f t="shared" si="15"/>
        <v>0.5</v>
      </c>
      <c r="AF74" s="176">
        <f t="shared" si="23"/>
        <v>0.23901841643365751</v>
      </c>
      <c r="AG74" s="814">
        <f t="shared" si="24"/>
        <v>2</v>
      </c>
      <c r="AH74" s="175">
        <f t="shared" si="16"/>
        <v>8</v>
      </c>
      <c r="AI74" s="224">
        <f t="shared" si="17"/>
        <v>2.2390184164336575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10">
        <f>'2026'!Wh/'2026'!Env_an*'2027'!Env_an</f>
        <v>15.49119171615116</v>
      </c>
      <c r="C75" s="843"/>
      <c r="D75" s="392">
        <f t="shared" si="0"/>
        <v>16.59382304114353</v>
      </c>
      <c r="E75" s="384">
        <f t="shared" si="1"/>
        <v>17.134563744991155</v>
      </c>
      <c r="F75" s="384">
        <f t="shared" si="2"/>
        <v>17.134772937746106</v>
      </c>
      <c r="G75" s="110">
        <f t="shared" si="21"/>
        <v>0.37774824191896839</v>
      </c>
      <c r="H75" s="413" t="b">
        <f>Wh_hp&gt;='2026'!Maxi_hp</f>
        <v>0</v>
      </c>
      <c r="I75" s="389">
        <f>IF(H75,Wh_hp,'2026'!Maxi_hp)</f>
        <v>29.944510502068969</v>
      </c>
      <c r="J75" s="85">
        <f>IF(H75,An,'2026'!An_max)</f>
        <v>2020</v>
      </c>
      <c r="K75" s="196">
        <f t="shared" si="3"/>
        <v>46448</v>
      </c>
      <c r="L75" s="147">
        <f>IF(t&lt;Tvie,1-EXP((T0-t)*PertePVj)+'2026'!Pspv,1-EXP((T0-t)*PertePVj)+Pspv)</f>
        <v>6.6448299602716782E-2</v>
      </c>
      <c r="M75" s="847"/>
      <c r="N75" s="847"/>
      <c r="O75" s="48">
        <f>IF(t&lt;Tnet,'2026'!Resal+('2026'!Salim-'2026'!Resal)*(1-EXP(('2026'!Tnet-t)/('2026'!Tau_j))),Resal+(Salim-Resal)*(1-EXP((Tnet-t)/(Tau_j))))*Salcycl</f>
        <v>3.1558475132213049E-2</v>
      </c>
      <c r="P75" s="168">
        <f>(INDEX(Models!$BJ75:$BT75,,T75)*(1-R75)+INDEX(Models!$BJ75:$BT75,,T75+1)*R75-ERP_i)*Q75*Ramure*Pc/MaxiM</f>
        <v>1.0986761770514587E-4</v>
      </c>
      <c r="Q75" s="304">
        <f t="shared" si="4"/>
        <v>0.5</v>
      </c>
      <c r="R75" s="176">
        <f t="shared" si="5"/>
        <v>0.1242182491908268</v>
      </c>
      <c r="S75" s="814">
        <f t="shared" si="6"/>
        <v>0</v>
      </c>
      <c r="T75" s="175">
        <f t="shared" si="7"/>
        <v>6</v>
      </c>
      <c r="U75" s="250">
        <f t="shared" si="8"/>
        <v>0.1242182491908268</v>
      </c>
      <c r="V75" s="382">
        <f t="shared" si="9"/>
        <v>41.005296981612069</v>
      </c>
      <c r="W75" s="401">
        <f t="shared" si="10"/>
        <v>15.49119171615116</v>
      </c>
      <c r="X75" s="157">
        <f t="shared" si="11"/>
        <v>46448</v>
      </c>
      <c r="Y75" s="384">
        <f t="shared" si="12"/>
        <v>14.902561617445267</v>
      </c>
      <c r="Z75" s="384">
        <f t="shared" si="22"/>
        <v>15.963295456591551</v>
      </c>
      <c r="AA75" s="385">
        <f t="shared" si="13"/>
        <v>17.133638067036063</v>
      </c>
      <c r="AB75" s="196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6.8306719557486767E-2</v>
      </c>
      <c r="AD75" s="230">
        <f>(INDEX(Models!$BJ75:$BT75,,AH75)*(1-AF75)+INDEX(Models!$BJ75:$BT75,,AH75+1)*AF75-ERP_i)*AE75*Ramure*Pc/MaxiM</f>
        <v>5.9603183363047966E-4</v>
      </c>
      <c r="AE75" s="304">
        <f t="shared" si="15"/>
        <v>0.5</v>
      </c>
      <c r="AF75" s="176">
        <f t="shared" si="23"/>
        <v>0.23921078901521442</v>
      </c>
      <c r="AG75" s="814">
        <f t="shared" si="24"/>
        <v>2</v>
      </c>
      <c r="AH75" s="175">
        <f t="shared" si="16"/>
        <v>8</v>
      </c>
      <c r="AI75" s="224">
        <f t="shared" si="17"/>
        <v>2.2392107890152144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10">
        <f>'2026'!Wh/'2026'!Env_an*'2027'!Env_an</f>
        <v>36.089131358333908</v>
      </c>
      <c r="C76" s="843"/>
      <c r="D76" s="392">
        <f t="shared" si="0"/>
        <v>38.658727512137766</v>
      </c>
      <c r="E76" s="384">
        <f t="shared" si="1"/>
        <v>39.921484053663129</v>
      </c>
      <c r="F76" s="384">
        <f t="shared" si="2"/>
        <v>39.925050933726936</v>
      </c>
      <c r="G76" s="110">
        <f t="shared" si="21"/>
        <v>0.87363665419320724</v>
      </c>
      <c r="H76" s="413" t="b">
        <f>Wh_hp&gt;='2026'!Maxi_hp</f>
        <v>0</v>
      </c>
      <c r="I76" s="389">
        <f>IF(H76,Wh_hp,'2026'!Maxi_hp)</f>
        <v>39.925463008517006</v>
      </c>
      <c r="J76" s="85">
        <f>IF(H76,An,'2026'!An_max)</f>
        <v>2026</v>
      </c>
      <c r="K76" s="196">
        <f t="shared" si="3"/>
        <v>46449</v>
      </c>
      <c r="L76" s="147">
        <f>IF(t&lt;Tvie,1-EXP((T0-t)*PertePVj)+'2026'!Pspv,1-EXP((T0-t)*PertePVj)+Pspv)</f>
        <v>6.6468720497773054E-2</v>
      </c>
      <c r="M76" s="847"/>
      <c r="N76" s="847"/>
      <c r="O76" s="48">
        <f>IF(t&lt;Tnet,'2026'!Resal+('2026'!Salim-'2026'!Resal)*(1-EXP(('2026'!Tnet-t)/('2026'!Tau_j))),Resal+(Salim-Resal)*(1-EXP((Tnet-t)/(Tau_j))))*Salcycl</f>
        <v>3.1631001989503818E-2</v>
      </c>
      <c r="P76" s="168">
        <f>(INDEX(Models!$BJ76:$BT76,,T76)*(1-R76)+INDEX(Models!$BJ76:$BT76,,T76+1)*R76-ERP_i)*Q76*Ramure*Pc/MaxiM</f>
        <v>1.0901622961538019E-4</v>
      </c>
      <c r="Q76" s="304">
        <f t="shared" si="4"/>
        <v>0.5</v>
      </c>
      <c r="R76" s="176">
        <f t="shared" si="5"/>
        <v>0.12441842623674153</v>
      </c>
      <c r="S76" s="814">
        <f t="shared" si="6"/>
        <v>0</v>
      </c>
      <c r="T76" s="175">
        <f t="shared" si="7"/>
        <v>6</v>
      </c>
      <c r="U76" s="250">
        <f t="shared" si="8"/>
        <v>0.12441842623674153</v>
      </c>
      <c r="V76" s="382">
        <f t="shared" si="9"/>
        <v>41.308272726373339</v>
      </c>
      <c r="W76" s="401">
        <f t="shared" si="10"/>
        <v>36.089131358333908</v>
      </c>
      <c r="X76" s="157">
        <f t="shared" si="11"/>
        <v>46449</v>
      </c>
      <c r="Y76" s="384">
        <f t="shared" si="12"/>
        <v>34.707249216709407</v>
      </c>
      <c r="Z76" s="384">
        <f t="shared" si="22"/>
        <v>37.178453447447247</v>
      </c>
      <c r="AA76" s="385">
        <f t="shared" si="13"/>
        <v>39.9056457360306</v>
      </c>
      <c r="AB76" s="196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6.8341013866140374E-2</v>
      </c>
      <c r="AD76" s="230">
        <f>(INDEX(Models!$BJ76:$BT76,,AH76)*(1-AF76)+INDEX(Models!$BJ76:$BT76,,AH76+1)*AF76-ERP_i)*AE76*Ramure*Pc/MaxiM</f>
        <v>5.9309016562176511E-4</v>
      </c>
      <c r="AE76" s="304">
        <f t="shared" si="15"/>
        <v>0.5</v>
      </c>
      <c r="AF76" s="176">
        <f t="shared" si="23"/>
        <v>0.23941096606112922</v>
      </c>
      <c r="AG76" s="814">
        <f t="shared" si="24"/>
        <v>2</v>
      </c>
      <c r="AH76" s="175">
        <f t="shared" si="16"/>
        <v>8</v>
      </c>
      <c r="AI76" s="224">
        <f t="shared" si="17"/>
        <v>2.2394109660611292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10">
        <f>'2026'!Wh/'2026'!Env_an*'2027'!Env_an</f>
        <v>5.3812412638308453</v>
      </c>
      <c r="C77" s="843"/>
      <c r="D77" s="392">
        <f t="shared" si="0"/>
        <v>5.7645191929331592</v>
      </c>
      <c r="E77" s="384">
        <f t="shared" si="1"/>
        <v>5.9532580783882176</v>
      </c>
      <c r="F77" s="384">
        <f t="shared" si="2"/>
        <v>5.9532580783882176</v>
      </c>
      <c r="G77" s="110">
        <f t="shared" si="21"/>
        <v>0.12930838417225726</v>
      </c>
      <c r="H77" s="413" t="b">
        <f>Wh_hp&gt;='2026'!Maxi_hp</f>
        <v>0</v>
      </c>
      <c r="I77" s="389">
        <f>IF(H77,Wh_hp,'2026'!Maxi_hp)</f>
        <v>32.295079329869516</v>
      </c>
      <c r="J77" s="85">
        <f>IF(H77,An,'2026'!An_max)</f>
        <v>2021</v>
      </c>
      <c r="K77" s="196">
        <f t="shared" si="3"/>
        <v>46450</v>
      </c>
      <c r="L77" s="147">
        <f>IF(t&lt;Tvie,1-EXP((T0-t)*PertePVj)+'2026'!Pspv,1-EXP((T0-t)*PertePVj)+Pspv)</f>
        <v>6.6489140945559216E-2</v>
      </c>
      <c r="M77" s="847"/>
      <c r="N77" s="847"/>
      <c r="O77" s="48">
        <f>IF(t&lt;Tnet,'2026'!Resal+('2026'!Salim-'2026'!Resal)*(1-EXP(('2026'!Tnet-t)/('2026'!Tau_j))),Resal+(Salim-Resal)*(1-EXP((Tnet-t)/(Tau_j))))*Salcycl</f>
        <v>3.1703461024178717E-2</v>
      </c>
      <c r="P77" s="168">
        <f>(INDEX(Models!$BJ77:$BT77,,T77)*(1-R77)+INDEX(Models!$BJ77:$BT77,,T77+1)*R77-ERP_i)*Q77*Ramure*Pc/MaxiM</f>
        <v>1.0813202355364001E-4</v>
      </c>
      <c r="Q77" s="304">
        <f t="shared" si="4"/>
        <v>0.5</v>
      </c>
      <c r="R77" s="176">
        <f t="shared" si="5"/>
        <v>0.1246267129638005</v>
      </c>
      <c r="S77" s="814">
        <f t="shared" si="6"/>
        <v>0</v>
      </c>
      <c r="T77" s="175">
        <f t="shared" si="7"/>
        <v>6</v>
      </c>
      <c r="U77" s="250">
        <f t="shared" si="8"/>
        <v>0.1246267129638005</v>
      </c>
      <c r="V77" s="382">
        <f t="shared" si="9"/>
        <v>41.611063457075986</v>
      </c>
      <c r="W77" s="401">
        <f t="shared" si="10"/>
        <v>5.3812412638308453</v>
      </c>
      <c r="X77" s="157">
        <f t="shared" si="11"/>
        <v>46450</v>
      </c>
      <c r="Y77" s="384">
        <f t="shared" si="12"/>
        <v>5.1774401168064736</v>
      </c>
      <c r="Z77" s="384">
        <f t="shared" si="22"/>
        <v>5.5462023463237875</v>
      </c>
      <c r="AA77" s="385">
        <f t="shared" si="13"/>
        <v>5.9532580783882176</v>
      </c>
      <c r="AB77" s="196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6.8375287398028714E-2</v>
      </c>
      <c r="AD77" s="230">
        <f>(INDEX(Models!$BJ77:$BT77,,AH77)*(1-AF77)+INDEX(Models!$BJ77:$BT77,,AH77+1)*AF77-ERP_i)*AE77*Ramure*Pc/MaxiM</f>
        <v>5.8960806476332994E-4</v>
      </c>
      <c r="AE77" s="304">
        <f t="shared" si="15"/>
        <v>0.5</v>
      </c>
      <c r="AF77" s="176">
        <f t="shared" si="23"/>
        <v>0.23961925278818796</v>
      </c>
      <c r="AG77" s="814">
        <f t="shared" si="24"/>
        <v>2</v>
      </c>
      <c r="AH77" s="175">
        <f t="shared" si="16"/>
        <v>8</v>
      </c>
      <c r="AI77" s="224">
        <f t="shared" si="17"/>
        <v>2.239619252788188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10">
        <f>'2026'!Wh/'2026'!Env_an*'2027'!Env_an</f>
        <v>12.572497566292022</v>
      </c>
      <c r="C78" s="843"/>
      <c r="D78" s="392">
        <f t="shared" si="0"/>
        <v>13.468266026413886</v>
      </c>
      <c r="E78" s="384">
        <f t="shared" si="1"/>
        <v>13.910277003794283</v>
      </c>
      <c r="F78" s="384">
        <f t="shared" si="2"/>
        <v>13.910277003794283</v>
      </c>
      <c r="G78" s="110">
        <f t="shared" si="21"/>
        <v>0.29992748850403483</v>
      </c>
      <c r="H78" s="413" t="b">
        <f>Wh_hp&gt;='2026'!Maxi_hp</f>
        <v>0</v>
      </c>
      <c r="I78" s="389">
        <f>IF(H78,Wh_hp,'2026'!Maxi_hp)</f>
        <v>45.312703719886137</v>
      </c>
      <c r="J78" s="85">
        <f>IF(H78,An,'2026'!An_max)</f>
        <v>2019</v>
      </c>
      <c r="K78" s="196">
        <f t="shared" si="3"/>
        <v>46451</v>
      </c>
      <c r="L78" s="147">
        <f>IF(t&lt;Tvie,1-EXP((T0-t)*PertePVj)+'2026'!Pspv,1-EXP((T0-t)*PertePVj)+Pspv)</f>
        <v>6.6509560946085261E-2</v>
      </c>
      <c r="M78" s="847"/>
      <c r="N78" s="847"/>
      <c r="O78" s="48">
        <f>IF(t&lt;Tnet,'2026'!Resal+('2026'!Salim-'2026'!Resal)*(1-EXP(('2026'!Tnet-t)/('2026'!Tau_j))),Resal+(Salim-Resal)*(1-EXP((Tnet-t)/(Tau_j))))*Salcycl</f>
        <v>3.1775857321880048E-2</v>
      </c>
      <c r="P78" s="168">
        <f>(INDEX(Models!$BJ78:$BT78,,T78)*(1-R78)+INDEX(Models!$BJ78:$BT78,,T78+1)*R78-ERP_i)*Q78*Ramure*Pc/MaxiM</f>
        <v>1.0721509031615635E-4</v>
      </c>
      <c r="Q78" s="304">
        <f t="shared" si="4"/>
        <v>0.5</v>
      </c>
      <c r="R78" s="176">
        <f t="shared" si="5"/>
        <v>0.12484342556693788</v>
      </c>
      <c r="S78" s="814">
        <f t="shared" si="6"/>
        <v>0</v>
      </c>
      <c r="T78" s="175">
        <f t="shared" si="7"/>
        <v>6</v>
      </c>
      <c r="U78" s="250">
        <f t="shared" si="8"/>
        <v>0.12484342556693788</v>
      </c>
      <c r="V78" s="382">
        <f t="shared" si="9"/>
        <v>41.913962829921928</v>
      </c>
      <c r="W78" s="401">
        <f t="shared" si="10"/>
        <v>12.572497566292022</v>
      </c>
      <c r="X78" s="157">
        <f t="shared" si="11"/>
        <v>46451</v>
      </c>
      <c r="Y78" s="384">
        <f t="shared" si="12"/>
        <v>12.096805003955465</v>
      </c>
      <c r="Z78" s="384">
        <f t="shared" si="22"/>
        <v>12.958681201079555</v>
      </c>
      <c r="AA78" s="385">
        <f t="shared" si="13"/>
        <v>13.910277003794283</v>
      </c>
      <c r="AB78" s="196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6.8409550899321533E-2</v>
      </c>
      <c r="AD78" s="230">
        <f>(INDEX(Models!$BJ78:$BT78,,AH78)*(1-AF78)+INDEX(Models!$BJ78:$BT78,,AH78+1)*AF78-ERP_i)*AE78*Ramure*Pc/MaxiM</f>
        <v>5.8559388812631037E-4</v>
      </c>
      <c r="AE78" s="304">
        <f t="shared" si="15"/>
        <v>0.5</v>
      </c>
      <c r="AF78" s="176">
        <f t="shared" si="23"/>
        <v>0.23983596539132535</v>
      </c>
      <c r="AG78" s="814">
        <f t="shared" si="24"/>
        <v>2</v>
      </c>
      <c r="AH78" s="175">
        <f t="shared" si="16"/>
        <v>8</v>
      </c>
      <c r="AI78" s="224">
        <f t="shared" si="17"/>
        <v>2.2398359653913253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10">
        <f>'2026'!Wh/'2026'!Env_an*'2027'!Env_an</f>
        <v>19.861861799342599</v>
      </c>
      <c r="C79" s="843"/>
      <c r="D79" s="392">
        <f t="shared" ref="D79:D142" si="25">Wh/(1-Ppv)</f>
        <v>21.27745014239207</v>
      </c>
      <c r="E79" s="384">
        <f t="shared" si="1"/>
        <v>21.977390393149662</v>
      </c>
      <c r="F79" s="384">
        <f t="shared" ref="F79:F142" si="26">Wh_sa/(1-Pvg*MEDIAN((-Sdif+Wh/Env_an)/Csdif,0,1))</f>
        <v>21.977959162416184</v>
      </c>
      <c r="G79" s="110">
        <f t="shared" si="21"/>
        <v>0.4704333946895316</v>
      </c>
      <c r="H79" s="413" t="b">
        <f>Wh_hp&gt;='2026'!Maxi_hp</f>
        <v>0</v>
      </c>
      <c r="I79" s="389">
        <f>IF(H79,Wh_hp,'2026'!Maxi_hp)</f>
        <v>24.720173237036324</v>
      </c>
      <c r="J79" s="85">
        <f>IF(H79,An,'2026'!An_max)</f>
        <v>2019</v>
      </c>
      <c r="K79" s="196">
        <f t="shared" ref="K79:K142" si="27">t</f>
        <v>46452</v>
      </c>
      <c r="L79" s="147">
        <f>IF(t&lt;Tvie,1-EXP((T0-t)*PertePVj)+'2026'!Pspv,1-EXP((T0-t)*PertePVj)+Pspv)</f>
        <v>6.6529980499360958E-2</v>
      </c>
      <c r="M79" s="847"/>
      <c r="N79" s="847"/>
      <c r="O79" s="48">
        <f>IF(t&lt;Tnet,'2026'!Resal+('2026'!Salim-'2026'!Resal)*(1-EXP(('2026'!Tnet-t)/('2026'!Tau_j))),Resal+(Salim-Resal)*(1-EXP((Tnet-t)/(Tau_j))))*Salcycl</f>
        <v>3.1848196634654269E-2</v>
      </c>
      <c r="P79" s="168">
        <f>(INDEX(Models!$BJ79:$BT79,,T79)*(1-R79)+INDEX(Models!$BJ79:$BT79,,T79+1)*R79-ERP_i)*Q79*Ramure*Pc/MaxiM</f>
        <v>1.0626634446416524E-4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0.12506889153287676</v>
      </c>
      <c r="S79" s="814">
        <f t="shared" ref="S79:S142" si="30">INDEX(Echel_vg,T79)</f>
        <v>0</v>
      </c>
      <c r="T79" s="175">
        <f t="shared" ref="T79:T142" si="31">MIN(MATCH(Hp_vg,Echel_vg),10)</f>
        <v>6</v>
      </c>
      <c r="U79" s="250">
        <f t="shared" ref="U79:U142" si="32">IF(OR(t&lt;Ttai,Notai),Hdd+PousH*Croivg,Hdtf+PousH*(Croivg-Croi_tai))</f>
        <v>0.12506889153287676</v>
      </c>
      <c r="V79" s="382">
        <f t="shared" ref="V79:V142" si="33">MaxiM*(1-Ppv)*(1-Pvg)*(1-Psa)</f>
        <v>42.216954283834816</v>
      </c>
      <c r="W79" s="401">
        <f t="shared" ref="W79:W142" si="34">Wh*(A79&gt;Tmaj)</f>
        <v>19.861861799342599</v>
      </c>
      <c r="X79" s="157">
        <f t="shared" ref="X79:X142" si="35">t</f>
        <v>46452</v>
      </c>
      <c r="Y79" s="384">
        <f t="shared" ref="Y79:Y142" si="36">Wh_pvt_s*(1-Ppv)</f>
        <v>19.108884246868346</v>
      </c>
      <c r="Z79" s="384">
        <f t="shared" ref="Z79:Z142" si="37">Wh_sa_s*(1-Psa_s)</f>
        <v>20.470806611540311</v>
      </c>
      <c r="AA79" s="385">
        <f t="shared" ref="AA79:AA142" si="38">Wh_hp*(1-Pvg_s*MEDIAN((-Sdif+Wh/Env_an)/Csdif,0,1))</f>
        <v>21.974849154059591</v>
      </c>
      <c r="AB79" s="196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6.8443816472861949E-2</v>
      </c>
      <c r="AD79" s="230">
        <f>(INDEX(Models!$BJ79:$BT79,,AH79)*(1-AF79)+INDEX(Models!$BJ79:$BT79,,AH79+1)*AF79-ERP_i)*AE79*Ramure*Pc/MaxiM</f>
        <v>5.8106026250205264E-4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0.24006143135726443</v>
      </c>
      <c r="AG79" s="814">
        <f t="shared" si="24"/>
        <v>2</v>
      </c>
      <c r="AH79" s="175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2.2400614313572644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10">
        <f>'2026'!Wh/'2026'!Env_an*'2027'!Env_an</f>
        <v>38.609784608295058</v>
      </c>
      <c r="C80" s="843"/>
      <c r="D80" s="392">
        <f t="shared" si="25"/>
        <v>41.362473766096485</v>
      </c>
      <c r="E80" s="384">
        <f t="shared" ref="E80:E143" si="47">Wh_pvt/(1-Psa)</f>
        <v>42.726318593980807</v>
      </c>
      <c r="F80" s="384">
        <f t="shared" si="26"/>
        <v>42.730229744611449</v>
      </c>
      <c r="G80" s="110">
        <f t="shared" ref="G80:G143" si="48">+Wh_hp/MaxiM</f>
        <v>0.90803223191093796</v>
      </c>
      <c r="H80" s="413" t="b">
        <f>Wh_hp&gt;='2026'!Maxi_hp</f>
        <v>0</v>
      </c>
      <c r="I80" s="389">
        <f>IF(H80,Wh_hp,'2026'!Maxi_hp)</f>
        <v>42.73054020673284</v>
      </c>
      <c r="J80" s="85">
        <f>IF(H80,An,'2026'!An_max)</f>
        <v>2026</v>
      </c>
      <c r="K80" s="196">
        <f t="shared" si="27"/>
        <v>46453</v>
      </c>
      <c r="L80" s="147">
        <f>IF(t&lt;Tvie,1-EXP((T0-t)*PertePVj)+'2026'!Pspv,1-EXP((T0-t)*PertePVj)+Pspv)</f>
        <v>6.6550399605395966E-2</v>
      </c>
      <c r="M80" s="847"/>
      <c r="N80" s="847"/>
      <c r="O80" s="48">
        <f>IF(t&lt;Tnet,'2026'!Resal+('2026'!Salim-'2026'!Resal)*(1-EXP(('2026'!Tnet-t)/('2026'!Tau_j))),Resal+(Salim-Resal)*(1-EXP((Tnet-t)/(Tau_j))))*Salcycl</f>
        <v>3.1920485376815369E-2</v>
      </c>
      <c r="P80" s="168">
        <f>(INDEX(Models!$BJ80:$BT80,,T80)*(1-R80)+INDEX(Models!$BJ80:$BT80,,T80+1)*R80-ERP_i)*Q80*Ramure*Pc/MaxiM</f>
        <v>1.0537358939693677E-4</v>
      </c>
      <c r="Q80" s="304">
        <f t="shared" si="28"/>
        <v>0.5</v>
      </c>
      <c r="R80" s="176">
        <f t="shared" si="29"/>
        <v>0.1253034499555381</v>
      </c>
      <c r="S80" s="814">
        <f t="shared" si="30"/>
        <v>0</v>
      </c>
      <c r="T80" s="175">
        <f t="shared" si="31"/>
        <v>6</v>
      </c>
      <c r="U80" s="250">
        <f t="shared" si="32"/>
        <v>0.1253034499555381</v>
      </c>
      <c r="V80" s="382">
        <f t="shared" si="33"/>
        <v>42.519691209346668</v>
      </c>
      <c r="W80" s="401">
        <f t="shared" si="34"/>
        <v>38.609784608295058</v>
      </c>
      <c r="X80" s="157">
        <f t="shared" si="35"/>
        <v>46453</v>
      </c>
      <c r="Y80" s="384">
        <f t="shared" si="36"/>
        <v>37.136559157334027</v>
      </c>
      <c r="Z80" s="384">
        <f t="shared" si="37"/>
        <v>39.784214532455763</v>
      </c>
      <c r="AA80" s="385">
        <f t="shared" si="38"/>
        <v>42.708834250862012</v>
      </c>
      <c r="AB80" s="196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6.8478097557701928E-2</v>
      </c>
      <c r="AD80" s="230">
        <f>(INDEX(Models!$BJ80:$BT80,,AH80)*(1-AF80)+INDEX(Models!$BJ80:$BT80,,AH80+1)*AF80-ERP_i)*AE80*Ramure*Pc/MaxiM</f>
        <v>5.7643394136644389E-4</v>
      </c>
      <c r="AE80" s="304">
        <f t="shared" si="40"/>
        <v>0.5</v>
      </c>
      <c r="AF80" s="176">
        <f t="shared" si="41"/>
        <v>0.24029598977992572</v>
      </c>
      <c r="AG80" s="814">
        <f t="shared" ref="AG80:AG143" si="49">INDEX(Echel_vg,AH80)</f>
        <v>2</v>
      </c>
      <c r="AH80" s="175">
        <f t="shared" si="42"/>
        <v>8</v>
      </c>
      <c r="AI80" s="224">
        <f t="shared" si="43"/>
        <v>2.2402959897799257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10">
        <f>'2026'!Wh/'2026'!Env_an*'2027'!Env_an</f>
        <v>30.392360336222069</v>
      </c>
      <c r="C81" s="843"/>
      <c r="D81" s="392">
        <f t="shared" si="25"/>
        <v>32.559899487719676</v>
      </c>
      <c r="E81" s="384">
        <f t="shared" si="47"/>
        <v>33.636007205261464</v>
      </c>
      <c r="F81" s="384">
        <f t="shared" si="26"/>
        <v>33.638067272868518</v>
      </c>
      <c r="G81" s="110">
        <f t="shared" si="48"/>
        <v>0.70970670081551912</v>
      </c>
      <c r="H81" s="413" t="b">
        <f>Wh_hp&gt;='2026'!Maxi_hp</f>
        <v>0</v>
      </c>
      <c r="I81" s="389">
        <f>IF(H81,Wh_hp,'2026'!Maxi_hp)</f>
        <v>33.638833228051929</v>
      </c>
      <c r="J81" s="85">
        <f>IF(H81,An,'2026'!An_max)</f>
        <v>2026</v>
      </c>
      <c r="K81" s="196">
        <f t="shared" si="27"/>
        <v>46454</v>
      </c>
      <c r="L81" s="147">
        <f>IF(t&lt;Tvie,1-EXP((T0-t)*PertePVj)+'2026'!Pspv,1-EXP((T0-t)*PertePVj)+Pspv)</f>
        <v>6.6570818264200055E-2</v>
      </c>
      <c r="M81" s="847"/>
      <c r="N81" s="847"/>
      <c r="O81" s="48">
        <f>IF(t&lt;Tnet,'2026'!Resal+('2026'!Salim-'2026'!Resal)*(1-EXP(('2026'!Tnet-t)/('2026'!Tau_j))),Resal+(Salim-Resal)*(1-EXP((Tnet-t)/(Tau_j))))*Salcycl</f>
        <v>3.1992730616773719E-2</v>
      </c>
      <c r="P81" s="168">
        <f>(INDEX(Models!$BJ81:$BT81,,T81)*(1-R81)+INDEX(Models!$BJ81:$BT81,,T81+1)*R81-ERP_i)*Q81*Ramure*Pc/MaxiM</f>
        <v>1.0462675867531929E-4</v>
      </c>
      <c r="Q81" s="304">
        <f t="shared" si="28"/>
        <v>0.5</v>
      </c>
      <c r="R81" s="176">
        <f t="shared" si="29"/>
        <v>0.12554745185246416</v>
      </c>
      <c r="S81" s="814">
        <f t="shared" si="30"/>
        <v>0</v>
      </c>
      <c r="T81" s="175">
        <f t="shared" si="31"/>
        <v>6</v>
      </c>
      <c r="U81" s="250">
        <f t="shared" si="32"/>
        <v>0.12554745185246416</v>
      </c>
      <c r="V81" s="382">
        <f t="shared" si="33"/>
        <v>42.821973725096051</v>
      </c>
      <c r="W81" s="401">
        <f t="shared" si="34"/>
        <v>30.392360336222069</v>
      </c>
      <c r="X81" s="157">
        <f t="shared" si="35"/>
        <v>46454</v>
      </c>
      <c r="Y81" s="384">
        <f t="shared" si="36"/>
        <v>29.2377534703493</v>
      </c>
      <c r="Z81" s="384">
        <f t="shared" si="37"/>
        <v>31.322947731266481</v>
      </c>
      <c r="AA81" s="385">
        <f t="shared" si="38"/>
        <v>33.626800861927265</v>
      </c>
      <c r="AB81" s="196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6.8512408900283983E-2</v>
      </c>
      <c r="AD81" s="230">
        <f>(INDEX(Models!$BJ81:$BT81,,AH81)*(1-AF81)+INDEX(Models!$BJ81:$BT81,,AH81+1)*AF81-ERP_i)*AE81*Ramure*Pc/MaxiM</f>
        <v>5.7219872525146869E-4</v>
      </c>
      <c r="AE81" s="304">
        <f t="shared" si="40"/>
        <v>0.5</v>
      </c>
      <c r="AF81" s="176">
        <f t="shared" si="41"/>
        <v>0.24053999167685181</v>
      </c>
      <c r="AG81" s="814">
        <f t="shared" si="49"/>
        <v>2</v>
      </c>
      <c r="AH81" s="175">
        <f t="shared" si="42"/>
        <v>8</v>
      </c>
      <c r="AI81" s="224">
        <f t="shared" si="43"/>
        <v>2.2405399916768518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10">
        <f>'2026'!Wh/'2026'!Env_an*'2027'!Env_an</f>
        <v>28.864981172160189</v>
      </c>
      <c r="C82" s="843"/>
      <c r="D82" s="392">
        <f t="shared" si="25"/>
        <v>30.924266302339365</v>
      </c>
      <c r="E82" s="384">
        <f t="shared" si="47"/>
        <v>31.948699434872875</v>
      </c>
      <c r="F82" s="384">
        <f t="shared" si="26"/>
        <v>31.950453133654516</v>
      </c>
      <c r="G82" s="110">
        <f t="shared" si="48"/>
        <v>0.66932164476401834</v>
      </c>
      <c r="H82" s="413" t="b">
        <f>Wh_hp&gt;='2026'!Maxi_hp</f>
        <v>0</v>
      </c>
      <c r="I82" s="389">
        <f>IF(H82,Wh_hp,'2026'!Maxi_hp)</f>
        <v>44.764426477667158</v>
      </c>
      <c r="J82" s="85">
        <f>IF(H82,An,'2026'!An_max)</f>
        <v>2021</v>
      </c>
      <c r="K82" s="196">
        <f t="shared" si="27"/>
        <v>46455</v>
      </c>
      <c r="L82" s="147">
        <f>IF(t&lt;Tvie,1-EXP((T0-t)*PertePVj)+'2026'!Pspv,1-EXP((T0-t)*PertePVj)+Pspv)</f>
        <v>6.6591236475783216E-2</v>
      </c>
      <c r="M82" s="847"/>
      <c r="N82" s="847"/>
      <c r="O82" s="48">
        <f>IF(t&lt;Tnet,'2026'!Resal+('2026'!Salim-'2026'!Resal)*(1-EXP(('2026'!Tnet-t)/('2026'!Tau_j))),Resal+(Salim-Resal)*(1-EXP((Tnet-t)/(Tau_j))))*Salcycl</f>
        <v>3.2064940064987786E-2</v>
      </c>
      <c r="P82" s="168">
        <f>(INDEX(Models!$BJ82:$BT82,,T82)*(1-R82)+INDEX(Models!$BJ82:$BT82,,T82+1)*R82-ERP_i)*Q82*Ramure*Pc/MaxiM</f>
        <v>1.0402376819434909E-4</v>
      </c>
      <c r="Q82" s="304">
        <f t="shared" si="28"/>
        <v>0.5</v>
      </c>
      <c r="R82" s="176">
        <f t="shared" si="29"/>
        <v>0.12580126048141629</v>
      </c>
      <c r="S82" s="814">
        <f t="shared" si="30"/>
        <v>0</v>
      </c>
      <c r="T82" s="175">
        <f t="shared" si="31"/>
        <v>6</v>
      </c>
      <c r="U82" s="250">
        <f t="shared" si="32"/>
        <v>0.12580126048141629</v>
      </c>
      <c r="V82" s="382">
        <f t="shared" si="33"/>
        <v>43.123605846554746</v>
      </c>
      <c r="W82" s="401">
        <f t="shared" si="34"/>
        <v>28.864981172160189</v>
      </c>
      <c r="X82" s="157">
        <f t="shared" si="35"/>
        <v>46455</v>
      </c>
      <c r="Y82" s="384">
        <f t="shared" si="36"/>
        <v>27.770243677526068</v>
      </c>
      <c r="Z82" s="384">
        <f t="shared" si="37"/>
        <v>29.751428058887711</v>
      </c>
      <c r="AA82" s="385">
        <f t="shared" si="38"/>
        <v>31.940871521439906</v>
      </c>
      <c r="AB82" s="196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6.8546766517706331E-2</v>
      </c>
      <c r="AD82" s="230">
        <f>(INDEX(Models!$BJ82:$BT82,,AH82)*(1-AF82)+INDEX(Models!$BJ82:$BT82,,AH82+1)*AF82-ERP_i)*AE82*Ramure*Pc/MaxiM</f>
        <v>5.6835040223291572E-4</v>
      </c>
      <c r="AE82" s="304">
        <f t="shared" si="40"/>
        <v>0.5</v>
      </c>
      <c r="AF82" s="176">
        <f t="shared" si="41"/>
        <v>0.24079380030580388</v>
      </c>
      <c r="AG82" s="814">
        <f t="shared" si="49"/>
        <v>2</v>
      </c>
      <c r="AH82" s="175">
        <f t="shared" si="42"/>
        <v>8</v>
      </c>
      <c r="AI82" s="224">
        <f t="shared" si="43"/>
        <v>2.2407938003058039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10">
        <f>'2026'!Wh/'2026'!Env_an*'2027'!Env_an</f>
        <v>22.647702681782192</v>
      </c>
      <c r="C83" s="843"/>
      <c r="D83" s="392">
        <f t="shared" si="25"/>
        <v>24.263965566599552</v>
      </c>
      <c r="E83" s="384">
        <f t="shared" si="47"/>
        <v>25.069631369888441</v>
      </c>
      <c r="F83" s="384">
        <f t="shared" si="26"/>
        <v>25.070453093900976</v>
      </c>
      <c r="G83" s="110">
        <f t="shared" si="48"/>
        <v>0.52150643084406734</v>
      </c>
      <c r="H83" s="413" t="b">
        <f>Wh_hp&gt;='2026'!Maxi_hp</f>
        <v>0</v>
      </c>
      <c r="I83" s="389">
        <f>IF(H83,Wh_hp,'2026'!Maxi_hp)</f>
        <v>45.253306652586467</v>
      </c>
      <c r="J83" s="85">
        <f>IF(H83,An,'2026'!An_max)</f>
        <v>2021</v>
      </c>
      <c r="K83" s="196">
        <f t="shared" si="27"/>
        <v>46456</v>
      </c>
      <c r="L83" s="147">
        <f>IF(t&lt;Tvie,1-EXP((T0-t)*PertePVj)+'2026'!Pspv,1-EXP((T0-t)*PertePVj)+Pspv)</f>
        <v>6.661165424015511E-2</v>
      </c>
      <c r="M83" s="847"/>
      <c r="N83" s="847"/>
      <c r="O83" s="48">
        <f>IF(t&lt;Tnet,'2026'!Resal+('2026'!Salim-'2026'!Resal)*(1-EXP(('2026'!Tnet-t)/('2026'!Tau_j))),Resal+(Salim-Resal)*(1-EXP((Tnet-t)/(Tau_j))))*Salcycl</f>
        <v>3.2137122058228149E-2</v>
      </c>
      <c r="P83" s="168">
        <f>(INDEX(Models!$BJ83:$BT83,,T83)*(1-R83)+INDEX(Models!$BJ83:$BT83,,T83+1)*R83-ERP_i)*Q83*Ramure*Pc/MaxiM</f>
        <v>1.0356264090661976E-4</v>
      </c>
      <c r="Q83" s="304">
        <f t="shared" si="28"/>
        <v>0.5</v>
      </c>
      <c r="R83" s="176">
        <f t="shared" si="29"/>
        <v>0.12606525165621835</v>
      </c>
      <c r="S83" s="814">
        <f t="shared" si="30"/>
        <v>0</v>
      </c>
      <c r="T83" s="175">
        <f t="shared" si="31"/>
        <v>6</v>
      </c>
      <c r="U83" s="250">
        <f t="shared" si="32"/>
        <v>0.12606525165621835</v>
      </c>
      <c r="V83" s="382">
        <f t="shared" si="33"/>
        <v>43.424391624840354</v>
      </c>
      <c r="W83" s="401">
        <f t="shared" si="34"/>
        <v>22.647702681782192</v>
      </c>
      <c r="X83" s="157">
        <f t="shared" si="35"/>
        <v>46456</v>
      </c>
      <c r="Y83" s="384">
        <f t="shared" si="36"/>
        <v>21.79174016300512</v>
      </c>
      <c r="Z83" s="384">
        <f t="shared" si="37"/>
        <v>23.346916920486173</v>
      </c>
      <c r="AA83" s="385">
        <f t="shared" si="38"/>
        <v>25.065970979983341</v>
      </c>
      <c r="AB83" s="196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6.8581187653569686E-2</v>
      </c>
      <c r="AD83" s="230">
        <f>(INDEX(Models!$BJ83:$BT83,,AH83)*(1-AF83)+INDEX(Models!$BJ83:$BT83,,AH83+1)*AF83-ERP_i)*AE83*Ramure*Pc/MaxiM</f>
        <v>5.6488498215149932E-4</v>
      </c>
      <c r="AE83" s="304">
        <f t="shared" si="40"/>
        <v>0.5</v>
      </c>
      <c r="AF83" s="176">
        <f t="shared" si="41"/>
        <v>0.24105779148060602</v>
      </c>
      <c r="AG83" s="814">
        <f t="shared" si="49"/>
        <v>2</v>
      </c>
      <c r="AH83" s="175">
        <f t="shared" si="42"/>
        <v>8</v>
      </c>
      <c r="AI83" s="224">
        <f t="shared" si="43"/>
        <v>2.241057791480606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10">
        <f>'2026'!Wh/'2026'!Env_an*'2027'!Env_an</f>
        <v>14.374689411673517</v>
      </c>
      <c r="C84" s="843"/>
      <c r="D84" s="392">
        <f t="shared" si="25"/>
        <v>15.40088208907896</v>
      </c>
      <c r="E84" s="384">
        <f t="shared" si="47"/>
        <v>15.913442709230944</v>
      </c>
      <c r="F84" s="384">
        <f t="shared" si="26"/>
        <v>15.913510207309937</v>
      </c>
      <c r="G84" s="110">
        <f t="shared" si="48"/>
        <v>0.32872614321697735</v>
      </c>
      <c r="H84" s="413" t="b">
        <f>Wh_hp&gt;='2026'!Maxi_hp</f>
        <v>0</v>
      </c>
      <c r="I84" s="389">
        <f>IF(H84,Wh_hp,'2026'!Maxi_hp)</f>
        <v>35.768760137724279</v>
      </c>
      <c r="J84" s="85">
        <f>IF(H84,An,'2026'!An_max)</f>
        <v>2021</v>
      </c>
      <c r="K84" s="196">
        <f t="shared" si="27"/>
        <v>46457</v>
      </c>
      <c r="L84" s="147">
        <f>IF(t&lt;Tvie,1-EXP((T0-t)*PertePVj)+'2026'!Pspv,1-EXP((T0-t)*PertePVj)+Pspv)</f>
        <v>6.6632071557325617E-2</v>
      </c>
      <c r="M84" s="847"/>
      <c r="N84" s="847"/>
      <c r="O84" s="48">
        <f>IF(t&lt;Tnet,'2026'!Resal+('2026'!Salim-'2026'!Resal)*(1-EXP(('2026'!Tnet-t)/('2026'!Tau_j))),Resal+(Salim-Resal)*(1-EXP((Tnet-t)/(Tau_j))))*Salcycl</f>
        <v>3.2209285540372855E-2</v>
      </c>
      <c r="P84" s="168">
        <f>(INDEX(Models!$BJ84:$BT84,,T84)*(1-R84)+INDEX(Models!$BJ84:$BT84,,T84+1)*R84-ERP_i)*Q84*Ramure*Pc/MaxiM</f>
        <v>1.0324151280751842E-4</v>
      </c>
      <c r="Q84" s="304">
        <f t="shared" si="28"/>
        <v>0.5</v>
      </c>
      <c r="R84" s="176">
        <f t="shared" si="29"/>
        <v>0.12633981406081726</v>
      </c>
      <c r="S84" s="814">
        <f t="shared" si="30"/>
        <v>0</v>
      </c>
      <c r="T84" s="175">
        <f t="shared" si="31"/>
        <v>6</v>
      </c>
      <c r="U84" s="250">
        <f t="shared" si="32"/>
        <v>0.12633981406081726</v>
      </c>
      <c r="V84" s="382">
        <f t="shared" si="33"/>
        <v>43.724135145984754</v>
      </c>
      <c r="W84" s="401">
        <f t="shared" si="34"/>
        <v>14.374689411673517</v>
      </c>
      <c r="X84" s="157">
        <f t="shared" si="35"/>
        <v>46457</v>
      </c>
      <c r="Y84" s="384">
        <f t="shared" si="36"/>
        <v>13.833680919210318</v>
      </c>
      <c r="Z84" s="384">
        <f t="shared" si="37"/>
        <v>14.821251617560755</v>
      </c>
      <c r="AA84" s="385">
        <f t="shared" si="38"/>
        <v>15.913142909964808</v>
      </c>
      <c r="AB84" s="196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6.8615690726959486E-2</v>
      </c>
      <c r="AD84" s="230">
        <f>(INDEX(Models!$BJ84:$BT84,,AH84)*(1-AF84)+INDEX(Models!$BJ84:$BT84,,AH84+1)*AF84-ERP_i)*AE84*Ramure*Pc/MaxiM</f>
        <v>5.617987078521086E-4</v>
      </c>
      <c r="AE84" s="304">
        <f t="shared" si="40"/>
        <v>0.5</v>
      </c>
      <c r="AF84" s="176">
        <f t="shared" si="41"/>
        <v>0.24133235388520458</v>
      </c>
      <c r="AG84" s="814">
        <f t="shared" si="49"/>
        <v>2</v>
      </c>
      <c r="AH84" s="175">
        <f t="shared" si="42"/>
        <v>8</v>
      </c>
      <c r="AI84" s="224">
        <f t="shared" si="43"/>
        <v>2.2413323538852046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10">
        <f>'2026'!Wh/'2026'!Env_an*'2027'!Env_an</f>
        <v>13.751862632488946</v>
      </c>
      <c r="C85" s="843"/>
      <c r="D85" s="392">
        <f t="shared" si="25"/>
        <v>14.733914712342226</v>
      </c>
      <c r="E85" s="384">
        <f t="shared" si="47"/>
        <v>15.22541296815772</v>
      </c>
      <c r="F85" s="384">
        <f t="shared" si="26"/>
        <v>15.225440722619066</v>
      </c>
      <c r="G85" s="110">
        <f t="shared" si="48"/>
        <v>0.31234997001319381</v>
      </c>
      <c r="H85" s="413" t="b">
        <f>Wh_hp&gt;='2026'!Maxi_hp</f>
        <v>0</v>
      </c>
      <c r="I85" s="389">
        <f>IF(H85,Wh_hp,'2026'!Maxi_hp)</f>
        <v>43.865300261572678</v>
      </c>
      <c r="J85" s="85">
        <f>IF(H85,An,'2026'!An_max)</f>
        <v>2020</v>
      </c>
      <c r="K85" s="196">
        <f t="shared" si="27"/>
        <v>46458</v>
      </c>
      <c r="L85" s="147">
        <f>IF(t&lt;Tvie,1-EXP((T0-t)*PertePVj)+'2026'!Pspv,1-EXP((T0-t)*PertePVj)+Pspv)</f>
        <v>6.6652488427304396E-2</v>
      </c>
      <c r="M85" s="847"/>
      <c r="N85" s="847"/>
      <c r="O85" s="48">
        <f>IF(t&lt;Tnet,'2026'!Resal+('2026'!Salim-'2026'!Resal)*(1-EXP(('2026'!Tnet-t)/('2026'!Tau_j))),Resal+(Salim-Resal)*(1-EXP((Tnet-t)/(Tau_j))))*Salcycl</f>
        <v>3.2281440039978439E-2</v>
      </c>
      <c r="P85" s="168">
        <f>(INDEX(Models!$BJ85:$BT85,,T85)*(1-R85)+INDEX(Models!$BJ85:$BT85,,T85+1)*R85-ERP_i)*Q85*Ramure*Pc/MaxiM</f>
        <v>1.0305863886902768E-4</v>
      </c>
      <c r="Q85" s="304">
        <f t="shared" si="28"/>
        <v>0.5</v>
      </c>
      <c r="R85" s="176">
        <f t="shared" si="29"/>
        <v>0.12662534956043042</v>
      </c>
      <c r="S85" s="814">
        <f t="shared" si="30"/>
        <v>0</v>
      </c>
      <c r="T85" s="175">
        <f t="shared" si="31"/>
        <v>6</v>
      </c>
      <c r="U85" s="250">
        <f t="shared" si="32"/>
        <v>0.12662534956043042</v>
      </c>
      <c r="V85" s="382">
        <f t="shared" si="33"/>
        <v>44.022640531711296</v>
      </c>
      <c r="W85" s="401">
        <f t="shared" si="34"/>
        <v>13.751862632488946</v>
      </c>
      <c r="X85" s="157">
        <f t="shared" si="35"/>
        <v>46458</v>
      </c>
      <c r="Y85" s="384">
        <f t="shared" si="36"/>
        <v>13.234932573506775</v>
      </c>
      <c r="Z85" s="384">
        <f t="shared" si="37"/>
        <v>14.180069491165025</v>
      </c>
      <c r="AA85" s="385">
        <f t="shared" si="38"/>
        <v>15.225290156026254</v>
      </c>
      <c r="AB85" s="196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6.8650295275162698E-2</v>
      </c>
      <c r="AD85" s="230">
        <f>(INDEX(Models!$BJ85:$BT85,,AH85)*(1-AF85)+INDEX(Models!$BJ85:$BT85,,AH85+1)*AF85-ERP_i)*AE85*Ramure*Pc/MaxiM</f>
        <v>5.5908806592134782E-4</v>
      </c>
      <c r="AE85" s="304">
        <f t="shared" si="40"/>
        <v>0.5</v>
      </c>
      <c r="AF85" s="176">
        <f t="shared" si="41"/>
        <v>0.24161788938481799</v>
      </c>
      <c r="AG85" s="814">
        <f t="shared" si="49"/>
        <v>2</v>
      </c>
      <c r="AH85" s="175">
        <f t="shared" si="42"/>
        <v>8</v>
      </c>
      <c r="AI85" s="224">
        <f t="shared" si="43"/>
        <v>2.241617889384818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10">
        <f>'2026'!Wh/'2026'!Env_an*'2027'!Env_an</f>
        <v>8.3621442598699076</v>
      </c>
      <c r="C86" s="843"/>
      <c r="D86" s="392">
        <f t="shared" si="25"/>
        <v>8.9595001616522136</v>
      </c>
      <c r="E86" s="384">
        <f t="shared" si="47"/>
        <v>9.2590641801881279</v>
      </c>
      <c r="F86" s="384">
        <f t="shared" si="26"/>
        <v>9.2590641801881279</v>
      </c>
      <c r="G86" s="110">
        <f t="shared" si="48"/>
        <v>0.18865833033566981</v>
      </c>
      <c r="H86" s="413" t="b">
        <f>Wh_hp&gt;='2026'!Maxi_hp</f>
        <v>0</v>
      </c>
      <c r="I86" s="389">
        <f>IF(H86,Wh_hp,'2026'!Maxi_hp)</f>
        <v>45.683346556341533</v>
      </c>
      <c r="J86" s="85">
        <f>IF(H86,An,'2026'!An_max)</f>
        <v>2021</v>
      </c>
      <c r="K86" s="196">
        <f t="shared" si="27"/>
        <v>46459</v>
      </c>
      <c r="L86" s="147">
        <f>IF(t&lt;Tvie,1-EXP((T0-t)*PertePVj)+'2026'!Pspv,1-EXP((T0-t)*PertePVj)+Pspv)</f>
        <v>6.6672904850101439E-2</v>
      </c>
      <c r="M86" s="847"/>
      <c r="N86" s="847"/>
      <c r="O86" s="48">
        <f>IF(t&lt;Tnet,'2026'!Resal+('2026'!Salim-'2026'!Resal)*(1-EXP(('2026'!Tnet-t)/('2026'!Tau_j))),Resal+(Salim-Resal)*(1-EXP((Tnet-t)/(Tau_j))))*Salcycl</f>
        <v>3.2353595644892361E-2</v>
      </c>
      <c r="P86" s="168">
        <f>(INDEX(Models!$BJ86:$BT86,,T86)*(1-R86)+INDEX(Models!$BJ86:$BT86,,T86+1)*R86-ERP_i)*Q86*Ramure*Pc/MaxiM</f>
        <v>1.0295711713774641E-4</v>
      </c>
      <c r="Q86" s="304">
        <f t="shared" si="28"/>
        <v>0.5</v>
      </c>
      <c r="R86" s="176">
        <f t="shared" si="29"/>
        <v>0.12692227350853788</v>
      </c>
      <c r="S86" s="814">
        <f t="shared" si="30"/>
        <v>0</v>
      </c>
      <c r="T86" s="175">
        <f t="shared" si="31"/>
        <v>6</v>
      </c>
      <c r="U86" s="250">
        <f t="shared" si="32"/>
        <v>0.12692227350853788</v>
      </c>
      <c r="V86" s="382">
        <f t="shared" si="33"/>
        <v>44.319714389113017</v>
      </c>
      <c r="W86" s="401">
        <f t="shared" si="34"/>
        <v>8.3621442598699076</v>
      </c>
      <c r="X86" s="157">
        <f t="shared" si="35"/>
        <v>46459</v>
      </c>
      <c r="Y86" s="384">
        <f t="shared" si="36"/>
        <v>8.0481776848200042</v>
      </c>
      <c r="Z86" s="384">
        <f t="shared" si="37"/>
        <v>8.6231051542840014</v>
      </c>
      <c r="AA86" s="385">
        <f t="shared" si="38"/>
        <v>9.2590641801881279</v>
      </c>
      <c r="AB86" s="196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6.868502189075501E-2</v>
      </c>
      <c r="AD86" s="230">
        <f>(INDEX(Models!$BJ86:$BT86,,AH86)*(1-AF86)+INDEX(Models!$BJ86:$BT86,,AH86+1)*AF86-ERP_i)*AE86*Ramure*Pc/MaxiM</f>
        <v>5.5687219290640876E-4</v>
      </c>
      <c r="AE86" s="304">
        <f t="shared" si="40"/>
        <v>0.5</v>
      </c>
      <c r="AF86" s="176">
        <f t="shared" si="41"/>
        <v>0.24191481333292542</v>
      </c>
      <c r="AG86" s="814">
        <f t="shared" si="49"/>
        <v>2</v>
      </c>
      <c r="AH86" s="175">
        <f t="shared" si="42"/>
        <v>8</v>
      </c>
      <c r="AI86" s="224">
        <f t="shared" si="43"/>
        <v>2.2419148133329254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10">
        <f>'2026'!Wh/'2026'!Env_an*'2027'!Env_an</f>
        <v>11.208915499033182</v>
      </c>
      <c r="C87" s="843"/>
      <c r="D87" s="392">
        <f t="shared" si="25"/>
        <v>12.009895299313692</v>
      </c>
      <c r="E87" s="384">
        <f t="shared" si="47"/>
        <v>12.412376063495104</v>
      </c>
      <c r="F87" s="384">
        <f t="shared" si="26"/>
        <v>12.412376063495104</v>
      </c>
      <c r="G87" s="110">
        <f t="shared" si="48"/>
        <v>0.25120971129955749</v>
      </c>
      <c r="H87" s="413" t="b">
        <f>Wh_hp&gt;='2026'!Maxi_hp</f>
        <v>0</v>
      </c>
      <c r="I87" s="389">
        <f>IF(H87,Wh_hp,'2026'!Maxi_hp)</f>
        <v>40.234319557946243</v>
      </c>
      <c r="J87" s="85">
        <f>IF(H87,An,'2026'!An_max)</f>
        <v>2020</v>
      </c>
      <c r="K87" s="196">
        <f t="shared" si="27"/>
        <v>46460</v>
      </c>
      <c r="L87" s="147">
        <f>IF(t&lt;Tvie,1-EXP((T0-t)*PertePVj)+'2026'!Pspv,1-EXP((T0-t)*PertePVj)+Pspv)</f>
        <v>6.6693320825726293E-2</v>
      </c>
      <c r="M87" s="847"/>
      <c r="N87" s="847"/>
      <c r="O87" s="48">
        <f>IF(t&lt;Tnet,'2026'!Resal+('2026'!Salim-'2026'!Resal)*(1-EXP(('2026'!Tnet-t)/('2026'!Tau_j))),Resal+(Salim-Resal)*(1-EXP((Tnet-t)/(Tau_j))))*Salcycl</f>
        <v>3.2425762974190864E-2</v>
      </c>
      <c r="P87" s="168">
        <f>(INDEX(Models!$BJ87:$BT87,,T87)*(1-R87)+INDEX(Models!$BJ87:$BT87,,T87+1)*R87-ERP_i)*Q87*Ramure*Pc/MaxiM</f>
        <v>1.0289448486711969E-4</v>
      </c>
      <c r="Q87" s="304">
        <f t="shared" si="28"/>
        <v>0.5</v>
      </c>
      <c r="R87" s="176">
        <f t="shared" si="29"/>
        <v>0.12723101504836046</v>
      </c>
      <c r="S87" s="814">
        <f t="shared" si="30"/>
        <v>0</v>
      </c>
      <c r="T87" s="175">
        <f t="shared" si="31"/>
        <v>6</v>
      </c>
      <c r="U87" s="250">
        <f t="shared" si="32"/>
        <v>0.12723101504836046</v>
      </c>
      <c r="V87" s="382">
        <f t="shared" si="33"/>
        <v>44.615162787565097</v>
      </c>
      <c r="W87" s="401">
        <f t="shared" si="34"/>
        <v>11.208915499033182</v>
      </c>
      <c r="X87" s="157">
        <f t="shared" si="35"/>
        <v>46460</v>
      </c>
      <c r="Y87" s="384">
        <f t="shared" si="36"/>
        <v>10.788464218380158</v>
      </c>
      <c r="Z87" s="384">
        <f t="shared" si="37"/>
        <v>11.559398919040264</v>
      </c>
      <c r="AA87" s="385">
        <f t="shared" si="38"/>
        <v>12.412376063495104</v>
      </c>
      <c r="AB87" s="196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6.8719892153723289E-2</v>
      </c>
      <c r="AD87" s="230">
        <f>(INDEX(Models!$BJ87:$BT87,,AH87)*(1-AF87)+INDEX(Models!$BJ87:$BT87,,AH87+1)*AF87-ERP_i)*AE87*Ramure*Pc/MaxiM</f>
        <v>5.5523875620756813E-4</v>
      </c>
      <c r="AE87" s="304">
        <f t="shared" si="40"/>
        <v>0.5</v>
      </c>
      <c r="AF87" s="176">
        <f t="shared" si="41"/>
        <v>0.24222355487274783</v>
      </c>
      <c r="AG87" s="814">
        <f t="shared" si="49"/>
        <v>2</v>
      </c>
      <c r="AH87" s="175">
        <f t="shared" si="42"/>
        <v>8</v>
      </c>
      <c r="AI87" s="224">
        <f t="shared" si="43"/>
        <v>2.2422235548727478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10">
        <f>'2026'!Wh/'2026'!Env_an*'2027'!Env_an</f>
        <v>13.327145305792483</v>
      </c>
      <c r="C88" s="843"/>
      <c r="D88" s="392">
        <f t="shared" si="25"/>
        <v>14.279804412561495</v>
      </c>
      <c r="E88" s="384">
        <f t="shared" si="47"/>
        <v>14.759456539673906</v>
      </c>
      <c r="F88" s="384">
        <f t="shared" si="26"/>
        <v>14.759456539673906</v>
      </c>
      <c r="G88" s="110">
        <f t="shared" si="48"/>
        <v>0.29672975688300518</v>
      </c>
      <c r="H88" s="413" t="b">
        <f>Wh_hp&gt;='2026'!Maxi_hp</f>
        <v>0</v>
      </c>
      <c r="I88" s="389">
        <f>IF(H88,Wh_hp,'2026'!Maxi_hp)</f>
        <v>34.275990691254492</v>
      </c>
      <c r="J88" s="85">
        <f>IF(H88,An,'2026'!An_max)</f>
        <v>2020</v>
      </c>
      <c r="K88" s="196">
        <f t="shared" si="27"/>
        <v>46461</v>
      </c>
      <c r="L88" s="147">
        <f>IF(t&lt;Tvie,1-EXP((T0-t)*PertePVj)+'2026'!Pspv,1-EXP((T0-t)*PertePVj)+Pspv)</f>
        <v>6.6713736354188952E-2</v>
      </c>
      <c r="M88" s="847"/>
      <c r="N88" s="847"/>
      <c r="O88" s="48">
        <f>IF(t&lt;Tnet,'2026'!Resal+('2026'!Salim-'2026'!Resal)*(1-EXP(('2026'!Tnet-t)/('2026'!Tau_j))),Resal+(Salim-Resal)*(1-EXP((Tnet-t)/(Tau_j))))*Salcycl</f>
        <v>3.2497953147738866E-2</v>
      </c>
      <c r="P88" s="168">
        <f>(INDEX(Models!$BJ88:$BT88,,T88)*(1-R88)+INDEX(Models!$BJ88:$BT88,,T88+1)*R88-ERP_i)*Q88*Ramure*Pc/MaxiM</f>
        <v>1.0287116860300424E-4</v>
      </c>
      <c r="Q88" s="304">
        <f t="shared" si="28"/>
        <v>0.5</v>
      </c>
      <c r="R88" s="176">
        <f t="shared" si="29"/>
        <v>0.12755201740733943</v>
      </c>
      <c r="S88" s="814">
        <f t="shared" si="30"/>
        <v>0</v>
      </c>
      <c r="T88" s="175">
        <f t="shared" si="31"/>
        <v>6</v>
      </c>
      <c r="U88" s="250">
        <f t="shared" si="32"/>
        <v>0.12755201740733943</v>
      </c>
      <c r="V88" s="382">
        <f t="shared" si="33"/>
        <v>44.908789960134776</v>
      </c>
      <c r="W88" s="401">
        <f t="shared" si="34"/>
        <v>13.327145305792483</v>
      </c>
      <c r="X88" s="157">
        <f t="shared" si="35"/>
        <v>46461</v>
      </c>
      <c r="Y88" s="384">
        <f t="shared" si="36"/>
        <v>12.827712791690232</v>
      </c>
      <c r="Z88" s="384">
        <f t="shared" si="37"/>
        <v>13.744671159714446</v>
      </c>
      <c r="AA88" s="385">
        <f t="shared" si="38"/>
        <v>14.759456539673906</v>
      </c>
      <c r="AB88" s="196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6.8754928559305845E-2</v>
      </c>
      <c r="AD88" s="230">
        <f>(INDEX(Models!$BJ88:$BT88,,AH88)*(1-AF88)+INDEX(Models!$BJ88:$BT88,,AH88+1)*AF88-ERP_i)*AE88*Ramure*Pc/MaxiM</f>
        <v>5.5418141806958129E-4</v>
      </c>
      <c r="AE88" s="304">
        <f t="shared" si="40"/>
        <v>0.5</v>
      </c>
      <c r="AF88" s="176">
        <f t="shared" si="41"/>
        <v>0.24254455723172708</v>
      </c>
      <c r="AG88" s="814">
        <f t="shared" si="49"/>
        <v>2</v>
      </c>
      <c r="AH88" s="175">
        <f t="shared" si="42"/>
        <v>8</v>
      </c>
      <c r="AI88" s="224">
        <f t="shared" si="43"/>
        <v>2.2425445572317271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10">
        <f>'2026'!Wh/'2026'!Env_an*'2027'!Env_an</f>
        <v>11.173018371817706</v>
      </c>
      <c r="C89" s="843"/>
      <c r="D89" s="392">
        <f t="shared" si="25"/>
        <v>11.971956746304862</v>
      </c>
      <c r="E89" s="384">
        <f t="shared" si="47"/>
        <v>12.375013123439391</v>
      </c>
      <c r="F89" s="384">
        <f t="shared" si="26"/>
        <v>12.375013123439391</v>
      </c>
      <c r="G89" s="110">
        <f t="shared" si="48"/>
        <v>0.24716305082103082</v>
      </c>
      <c r="H89" s="413" t="b">
        <f>Wh_hp&gt;='2026'!Maxi_hp</f>
        <v>0</v>
      </c>
      <c r="I89" s="389">
        <f>IF(H89,Wh_hp,'2026'!Maxi_hp)</f>
        <v>51.528895224299958</v>
      </c>
      <c r="J89" s="85">
        <f>IF(H89,An,'2026'!An_max)</f>
        <v>2020</v>
      </c>
      <c r="K89" s="196">
        <f t="shared" si="27"/>
        <v>46462</v>
      </c>
      <c r="L89" s="147">
        <f>IF(t&lt;Tvie,1-EXP((T0-t)*PertePVj)+'2026'!Pspv,1-EXP((T0-t)*PertePVj)+Pspv)</f>
        <v>6.6734151435499184E-2</v>
      </c>
      <c r="M89" s="847"/>
      <c r="N89" s="847"/>
      <c r="O89" s="48">
        <f>IF(t&lt;Tnet,'2026'!Resal+('2026'!Salim-'2026'!Resal)*(1-EXP(('2026'!Tnet-t)/('2026'!Tau_j))),Resal+(Salim-Resal)*(1-EXP((Tnet-t)/(Tau_j))))*Salcycl</f>
        <v>3.2570177753678743E-2</v>
      </c>
      <c r="P89" s="168">
        <f>(INDEX(Models!$BJ89:$BT89,,T89)*(1-R89)+INDEX(Models!$BJ89:$BT89,,T89+1)*R89-ERP_i)*Q89*Ramure*Pc/MaxiM</f>
        <v>1.0288764054341035E-4</v>
      </c>
      <c r="Q89" s="304">
        <f t="shared" si="28"/>
        <v>0.5</v>
      </c>
      <c r="R89" s="176">
        <f t="shared" si="29"/>
        <v>0.12788573818300258</v>
      </c>
      <c r="S89" s="814">
        <f t="shared" si="30"/>
        <v>0</v>
      </c>
      <c r="T89" s="175">
        <f t="shared" si="31"/>
        <v>6</v>
      </c>
      <c r="U89" s="250">
        <f t="shared" si="32"/>
        <v>0.12788573818300258</v>
      </c>
      <c r="V89" s="382">
        <f t="shared" si="33"/>
        <v>45.200400177974657</v>
      </c>
      <c r="W89" s="401">
        <f t="shared" si="34"/>
        <v>11.173018371817706</v>
      </c>
      <c r="X89" s="157">
        <f t="shared" si="35"/>
        <v>46462</v>
      </c>
      <c r="Y89" s="384">
        <f t="shared" si="36"/>
        <v>10.754707445627229</v>
      </c>
      <c r="Z89" s="384">
        <f t="shared" si="37"/>
        <v>11.523734059453199</v>
      </c>
      <c r="AA89" s="385">
        <f t="shared" si="38"/>
        <v>12.375013123439391</v>
      </c>
      <c r="AB89" s="196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6.8790154442243956E-2</v>
      </c>
      <c r="AD89" s="230">
        <f>(INDEX(Models!$BJ89:$BT89,,AH89)*(1-AF89)+INDEX(Models!$BJ89:$BT89,,AH89+1)*AF89-ERP_i)*AE89*Ramure*Pc/MaxiM</f>
        <v>5.536943549031123E-4</v>
      </c>
      <c r="AE89" s="304">
        <f t="shared" si="40"/>
        <v>0.5</v>
      </c>
      <c r="AF89" s="176">
        <f t="shared" si="41"/>
        <v>0.24287827800739015</v>
      </c>
      <c r="AG89" s="814">
        <f t="shared" si="49"/>
        <v>2</v>
      </c>
      <c r="AH89" s="175">
        <f t="shared" si="42"/>
        <v>8</v>
      </c>
      <c r="AI89" s="224">
        <f t="shared" si="43"/>
        <v>2.2428782780073901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10">
        <f>'2026'!Wh/'2026'!Env_an*'2027'!Env_an</f>
        <v>9.8606445395051683</v>
      </c>
      <c r="C90" s="843"/>
      <c r="D90" s="392">
        <f t="shared" si="25"/>
        <v>10.565971373658245</v>
      </c>
      <c r="E90" s="384">
        <f t="shared" si="47"/>
        <v>10.922508808357241</v>
      </c>
      <c r="F90" s="384">
        <f t="shared" si="26"/>
        <v>10.922508808357241</v>
      </c>
      <c r="G90" s="110">
        <f t="shared" si="48"/>
        <v>0.21674375197569093</v>
      </c>
      <c r="H90" s="413" t="b">
        <f>Wh_hp&gt;='2026'!Maxi_hp</f>
        <v>0</v>
      </c>
      <c r="I90" s="389">
        <f>IF(H90,Wh_hp,'2026'!Maxi_hp)</f>
        <v>25.74376126702278</v>
      </c>
      <c r="J90" s="85">
        <f>IF(H90,An,'2026'!An_max)</f>
        <v>2021</v>
      </c>
      <c r="K90" s="196">
        <f t="shared" si="27"/>
        <v>46463</v>
      </c>
      <c r="L90" s="147">
        <f>IF(t&lt;Tvie,1-EXP((T0-t)*PertePVj)+'2026'!Pspv,1-EXP((T0-t)*PertePVj)+Pspv)</f>
        <v>6.6754566069666649E-2</v>
      </c>
      <c r="M90" s="847"/>
      <c r="N90" s="847"/>
      <c r="O90" s="48">
        <f>IF(t&lt;Tnet,'2026'!Resal+('2026'!Salim-'2026'!Resal)*(1-EXP(('2026'!Tnet-t)/('2026'!Tau_j))),Resal+(Salim-Resal)*(1-EXP((Tnet-t)/(Tau_j))))*Salcycl</f>
        <v>3.2642448814158502E-2</v>
      </c>
      <c r="P90" s="168">
        <f>(INDEX(Models!$BJ90:$BT90,,T90)*(1-R90)+INDEX(Models!$BJ90:$BT90,,T90+1)*R90-ERP_i)*Q90*Ramure*Pc/MaxiM</f>
        <v>1.0294442002449397E-4</v>
      </c>
      <c r="Q90" s="304">
        <f t="shared" si="28"/>
        <v>0.5</v>
      </c>
      <c r="R90" s="176">
        <f t="shared" si="29"/>
        <v>0.12823264961846112</v>
      </c>
      <c r="S90" s="814">
        <f t="shared" si="30"/>
        <v>0</v>
      </c>
      <c r="T90" s="175">
        <f t="shared" si="31"/>
        <v>6</v>
      </c>
      <c r="U90" s="250">
        <f t="shared" si="32"/>
        <v>0.12823264961846112</v>
      </c>
      <c r="V90" s="382">
        <f t="shared" si="33"/>
        <v>45.489797751022586</v>
      </c>
      <c r="W90" s="401">
        <f t="shared" si="34"/>
        <v>9.8606445395051683</v>
      </c>
      <c r="X90" s="157">
        <f t="shared" si="35"/>
        <v>46463</v>
      </c>
      <c r="Y90" s="384">
        <f t="shared" si="36"/>
        <v>9.4918159387906904</v>
      </c>
      <c r="Z90" s="384">
        <f t="shared" si="37"/>
        <v>10.17076065276442</v>
      </c>
      <c r="AA90" s="385">
        <f t="shared" si="38"/>
        <v>10.922508808357241</v>
      </c>
      <c r="AB90" s="196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6.882559389813718E-2</v>
      </c>
      <c r="AD90" s="230">
        <f>(INDEX(Models!$BJ90:$BT90,,AH90)*(1-AF90)+INDEX(Models!$BJ90:$BT90,,AH90+1)*AF90-ERP_i)*AE90*Ramure*Pc/MaxiM</f>
        <v>5.5377227707002904E-4</v>
      </c>
      <c r="AE90" s="304">
        <f t="shared" si="40"/>
        <v>0.5</v>
      </c>
      <c r="AF90" s="176">
        <f t="shared" si="41"/>
        <v>0.24322518944284877</v>
      </c>
      <c r="AG90" s="814">
        <f t="shared" si="49"/>
        <v>2</v>
      </c>
      <c r="AH90" s="175">
        <f t="shared" si="42"/>
        <v>8</v>
      </c>
      <c r="AI90" s="224">
        <f t="shared" si="43"/>
        <v>2.2432251894428488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10">
        <f>'2026'!Wh/'2026'!Env_an*'2027'!Env_an</f>
        <v>12.622390529379588</v>
      </c>
      <c r="C91" s="843"/>
      <c r="D91" s="392">
        <f t="shared" si="25"/>
        <v>13.525559497806452</v>
      </c>
      <c r="E91" s="384">
        <f t="shared" si="47"/>
        <v>13.983010595698198</v>
      </c>
      <c r="F91" s="384">
        <f t="shared" si="26"/>
        <v>13.983010595698198</v>
      </c>
      <c r="G91" s="110">
        <f t="shared" si="48"/>
        <v>0.2757093870267332</v>
      </c>
      <c r="H91" s="413" t="b">
        <f>Wh_hp&gt;='2026'!Maxi_hp</f>
        <v>0</v>
      </c>
      <c r="I91" s="389">
        <f>IF(H91,Wh_hp,'2026'!Maxi_hp)</f>
        <v>31.959695723000372</v>
      </c>
      <c r="J91" s="85">
        <f>IF(H91,An,'2026'!An_max)</f>
        <v>2019</v>
      </c>
      <c r="K91" s="196">
        <f t="shared" si="27"/>
        <v>46464</v>
      </c>
      <c r="L91" s="147">
        <f>IF(t&lt;Tvie,1-EXP((T0-t)*PertePVj)+'2026'!Pspv,1-EXP((T0-t)*PertePVj)+Pspv)</f>
        <v>6.6774980256701227E-2</v>
      </c>
      <c r="M91" s="847"/>
      <c r="N91" s="847"/>
      <c r="O91" s="48">
        <f>IF(t&lt;Tnet,'2026'!Resal+('2026'!Salim-'2026'!Resal)*(1-EXP(('2026'!Tnet-t)/('2026'!Tau_j))),Resal+(Salim-Resal)*(1-EXP((Tnet-t)/(Tau_j))))*Salcycl</f>
        <v>3.2714778749612032E-2</v>
      </c>
      <c r="P91" s="168">
        <f>(INDEX(Models!$BJ91:$BT91,,T91)*(1-R91)+INDEX(Models!$BJ91:$BT91,,T91+1)*R91-ERP_i)*Q91*Ramure*Pc/MaxiM</f>
        <v>1.0304207504960066E-4</v>
      </c>
      <c r="Q91" s="304">
        <f t="shared" si="28"/>
        <v>0.5</v>
      </c>
      <c r="R91" s="176">
        <f t="shared" si="29"/>
        <v>0.12859323886563639</v>
      </c>
      <c r="S91" s="814">
        <f t="shared" si="30"/>
        <v>0</v>
      </c>
      <c r="T91" s="175">
        <f t="shared" si="31"/>
        <v>6</v>
      </c>
      <c r="U91" s="250">
        <f t="shared" si="32"/>
        <v>0.12859323886563639</v>
      </c>
      <c r="V91" s="382">
        <f t="shared" si="33"/>
        <v>45.776787029901136</v>
      </c>
      <c r="W91" s="401">
        <f t="shared" si="34"/>
        <v>12.622390529379588</v>
      </c>
      <c r="X91" s="157">
        <f t="shared" si="35"/>
        <v>46464</v>
      </c>
      <c r="Y91" s="384">
        <f t="shared" si="36"/>
        <v>12.150704267358394</v>
      </c>
      <c r="Z91" s="384">
        <f t="shared" si="37"/>
        <v>13.020122703847649</v>
      </c>
      <c r="AA91" s="385">
        <f t="shared" si="38"/>
        <v>13.983010595698198</v>
      </c>
      <c r="AB91" s="196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6.8861271702588572E-2</v>
      </c>
      <c r="AD91" s="230">
        <f>(INDEX(Models!$BJ91:$BT91,,AH91)*(1-AF91)+INDEX(Models!$BJ91:$BT91,,AH91+1)*AF91-ERP_i)*AE91*Ramure*Pc/MaxiM</f>
        <v>5.5441044835143353E-4</v>
      </c>
      <c r="AE91" s="304">
        <f t="shared" si="40"/>
        <v>0.5</v>
      </c>
      <c r="AF91" s="176">
        <f t="shared" si="41"/>
        <v>0.24358577869002396</v>
      </c>
      <c r="AG91" s="814">
        <f t="shared" si="49"/>
        <v>2</v>
      </c>
      <c r="AH91" s="175">
        <f t="shared" si="42"/>
        <v>8</v>
      </c>
      <c r="AI91" s="224">
        <f t="shared" si="43"/>
        <v>2.243585778690024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10">
        <f>'2026'!Wh/'2026'!Env_an*'2027'!Env_an</f>
        <v>28.358877098679955</v>
      </c>
      <c r="C92" s="843"/>
      <c r="D92" s="392">
        <f t="shared" si="25"/>
        <v>30.388702452007639</v>
      </c>
      <c r="E92" s="384">
        <f t="shared" si="47"/>
        <v>31.418837544719175</v>
      </c>
      <c r="F92" s="384">
        <f t="shared" si="26"/>
        <v>31.420299580721597</v>
      </c>
      <c r="G92" s="110">
        <f t="shared" si="48"/>
        <v>0.61564369775735328</v>
      </c>
      <c r="H92" s="413" t="b">
        <f>Wh_hp&gt;='2026'!Maxi_hp</f>
        <v>0</v>
      </c>
      <c r="I92" s="389">
        <f>IF(H92,Wh_hp,'2026'!Maxi_hp)</f>
        <v>46.728461228850939</v>
      </c>
      <c r="J92" s="85">
        <f>IF(H92,An,'2026'!An_max)</f>
        <v>2020</v>
      </c>
      <c r="K92" s="196">
        <f t="shared" si="27"/>
        <v>46465</v>
      </c>
      <c r="L92" s="147">
        <f>IF(t&lt;Tvie,1-EXP((T0-t)*PertePVj)+'2026'!Pspv,1-EXP((T0-t)*PertePVj)+Pspv)</f>
        <v>6.6795393996612801E-2</v>
      </c>
      <c r="M92" s="847"/>
      <c r="N92" s="847"/>
      <c r="O92" s="48">
        <f>IF(t&lt;Tnet,'2026'!Resal+('2026'!Salim-'2026'!Resal)*(1-EXP(('2026'!Tnet-t)/('2026'!Tau_j))),Resal+(Salim-Resal)*(1-EXP((Tnet-t)/(Tau_j))))*Salcycl</f>
        <v>3.2787180341898953E-2</v>
      </c>
      <c r="P92" s="168">
        <f>(INDEX(Models!$BJ92:$BT92,,T92)*(1-R92)+INDEX(Models!$BJ92:$BT92,,T92+1)*R92-ERP_i)*Q92*Ramure*Pc/MaxiM</f>
        <v>1.0318122388022931E-4</v>
      </c>
      <c r="Q92" s="304">
        <f t="shared" si="28"/>
        <v>0.5</v>
      </c>
      <c r="R92" s="176">
        <f t="shared" si="29"/>
        <v>0.12896800823416033</v>
      </c>
      <c r="S92" s="814">
        <f t="shared" si="30"/>
        <v>0</v>
      </c>
      <c r="T92" s="175">
        <f t="shared" si="31"/>
        <v>6</v>
      </c>
      <c r="U92" s="250">
        <f t="shared" si="32"/>
        <v>0.12896800823416033</v>
      </c>
      <c r="V92" s="382">
        <f t="shared" si="33"/>
        <v>46.061172406652602</v>
      </c>
      <c r="W92" s="401">
        <f t="shared" si="34"/>
        <v>28.358877098679955</v>
      </c>
      <c r="X92" s="157">
        <f t="shared" si="35"/>
        <v>46465</v>
      </c>
      <c r="Y92" s="384">
        <f t="shared" si="36"/>
        <v>27.29455329112448</v>
      </c>
      <c r="Z92" s="384">
        <f t="shared" si="37"/>
        <v>29.24819821455683</v>
      </c>
      <c r="AA92" s="385">
        <f t="shared" si="38"/>
        <v>31.412426887885811</v>
      </c>
      <c r="AB92" s="196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6.8897213228807069E-2</v>
      </c>
      <c r="AD92" s="230">
        <f>(INDEX(Models!$BJ92:$BT92,,AH92)*(1-AF92)+INDEX(Models!$BJ92:$BT92,,AH92+1)*AF92-ERP_i)*AE92*Ramure*Pc/MaxiM</f>
        <v>5.5560470514042708E-4</v>
      </c>
      <c r="AE92" s="304">
        <f t="shared" si="40"/>
        <v>0.5</v>
      </c>
      <c r="AF92" s="176">
        <f t="shared" si="41"/>
        <v>0.24396054805854783</v>
      </c>
      <c r="AG92" s="814">
        <f t="shared" si="49"/>
        <v>2</v>
      </c>
      <c r="AH92" s="175">
        <f t="shared" si="42"/>
        <v>8</v>
      </c>
      <c r="AI92" s="224">
        <f t="shared" si="43"/>
        <v>2.2439605480585478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10">
        <f>'2026'!Wh/'2026'!Env_an*'2027'!Env_an</f>
        <v>31.501893596882795</v>
      </c>
      <c r="C93" s="843"/>
      <c r="D93" s="392">
        <f t="shared" si="25"/>
        <v>33.757423071409193</v>
      </c>
      <c r="E93" s="384">
        <f t="shared" si="47"/>
        <v>34.904369003106609</v>
      </c>
      <c r="F93" s="384">
        <f t="shared" si="26"/>
        <v>34.906326109265599</v>
      </c>
      <c r="G93" s="110">
        <f t="shared" si="48"/>
        <v>0.67969142529990445</v>
      </c>
      <c r="H93" s="413" t="b">
        <f>Wh_hp&gt;='2026'!Maxi_hp</f>
        <v>0</v>
      </c>
      <c r="I93" s="389">
        <f>IF(H93,Wh_hp,'2026'!Maxi_hp)</f>
        <v>52.177110378201441</v>
      </c>
      <c r="J93" s="85">
        <f>IF(H93,An,'2026'!An_max)</f>
        <v>2019</v>
      </c>
      <c r="K93" s="196">
        <f t="shared" si="27"/>
        <v>46466</v>
      </c>
      <c r="L93" s="147">
        <f>IF(t&lt;Tvie,1-EXP((T0-t)*PertePVj)+'2026'!Pspv,1-EXP((T0-t)*PertePVj)+Pspv)</f>
        <v>6.6815807289411028E-2</v>
      </c>
      <c r="M93" s="847"/>
      <c r="N93" s="847"/>
      <c r="O93" s="48">
        <f>IF(t&lt;Tnet,'2026'!Resal+('2026'!Salim-'2026'!Resal)*(1-EXP(('2026'!Tnet-t)/('2026'!Tau_j))),Resal+(Salim-Resal)*(1-EXP((Tnet-t)/(Tau_j))))*Salcycl</f>
        <v>3.2859666696605699E-2</v>
      </c>
      <c r="P93" s="168">
        <f>(INDEX(Models!$BJ93:$BT93,,T93)*(1-R93)+INDEX(Models!$BJ93:$BT93,,T93+1)*R93-ERP_i)*Q93*Ramure*Pc/MaxiM</f>
        <v>1.0335719758712017E-4</v>
      </c>
      <c r="Q93" s="304">
        <f t="shared" si="28"/>
        <v>0.5</v>
      </c>
      <c r="R93" s="176">
        <f t="shared" si="29"/>
        <v>0.12935747542373321</v>
      </c>
      <c r="S93" s="814">
        <f t="shared" si="30"/>
        <v>0</v>
      </c>
      <c r="T93" s="175">
        <f t="shared" si="31"/>
        <v>6</v>
      </c>
      <c r="U93" s="250">
        <f t="shared" si="32"/>
        <v>0.12935747542373321</v>
      </c>
      <c r="V93" s="382">
        <f t="shared" si="33"/>
        <v>46.345154024225103</v>
      </c>
      <c r="W93" s="401">
        <f t="shared" si="34"/>
        <v>31.501893596882795</v>
      </c>
      <c r="X93" s="157">
        <f t="shared" si="35"/>
        <v>46466</v>
      </c>
      <c r="Y93" s="384">
        <f t="shared" si="36"/>
        <v>30.319422407967526</v>
      </c>
      <c r="Z93" s="384">
        <f t="shared" si="37"/>
        <v>32.490287174603452</v>
      </c>
      <c r="AA93" s="385">
        <f t="shared" si="38"/>
        <v>34.895773001341027</v>
      </c>
      <c r="AB93" s="196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6.8933444364311244E-2</v>
      </c>
      <c r="AD93" s="230">
        <f>(INDEX(Models!$BJ93:$BT93,,AH93)*(1-AF93)+INDEX(Models!$BJ93:$BT93,,AH93+1)*AF93-ERP_i)*AE93*Ramure*Pc/MaxiM</f>
        <v>5.5732268579664404E-4</v>
      </c>
      <c r="AE93" s="304">
        <f t="shared" si="40"/>
        <v>0.5</v>
      </c>
      <c r="AF93" s="176">
        <f t="shared" si="41"/>
        <v>0.24435001524812083</v>
      </c>
      <c r="AG93" s="814">
        <f t="shared" si="49"/>
        <v>2</v>
      </c>
      <c r="AH93" s="175">
        <f t="shared" si="42"/>
        <v>8</v>
      </c>
      <c r="AI93" s="224">
        <f t="shared" si="43"/>
        <v>2.2443500152481208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10">
        <f>'2026'!Wh/'2026'!Env_an*'2027'!Env_an</f>
        <v>45.329418738352871</v>
      </c>
      <c r="C94" s="843"/>
      <c r="D94" s="392">
        <f t="shared" si="25"/>
        <v>48.576058904596337</v>
      </c>
      <c r="E94" s="384">
        <f t="shared" si="47"/>
        <v>50.230254255830147</v>
      </c>
      <c r="F94" s="384">
        <f t="shared" si="26"/>
        <v>50.235243854781949</v>
      </c>
      <c r="G94" s="110">
        <f t="shared" si="48"/>
        <v>0.97209446342432793</v>
      </c>
      <c r="H94" s="413" t="b">
        <f>Wh_hp&gt;='2026'!Maxi_hp</f>
        <v>0</v>
      </c>
      <c r="I94" s="389">
        <f>IF(H94,Wh_hp,'2026'!Maxi_hp)</f>
        <v>51.739394586450686</v>
      </c>
      <c r="J94" s="85">
        <f>IF(H94,An,'2026'!An_max)</f>
        <v>2020</v>
      </c>
      <c r="K94" s="196">
        <f t="shared" si="27"/>
        <v>46467</v>
      </c>
      <c r="L94" s="147">
        <f>IF(t&lt;Tvie,1-EXP((T0-t)*PertePVj)+'2026'!Pspv,1-EXP((T0-t)*PertePVj)+Pspv)</f>
        <v>6.6836220135105789E-2</v>
      </c>
      <c r="M94" s="847"/>
      <c r="N94" s="847"/>
      <c r="O94" s="48">
        <f>IF(t&lt;Tnet,'2026'!Resal+('2026'!Salim-'2026'!Resal)*(1-EXP(('2026'!Tnet-t)/('2026'!Tau_j))),Resal+(Salim-Resal)*(1-EXP((Tnet-t)/(Tau_j))))*Salcycl</f>
        <v>3.2932251204796772E-2</v>
      </c>
      <c r="P94" s="168">
        <f>(INDEX(Models!$BJ94:$BT94,,T94)*(1-R94)+INDEX(Models!$BJ94:$BT94,,T94+1)*R94-ERP_i)*Q94*Ramure*Pc/MaxiM</f>
        <v>1.0344803768479206E-4</v>
      </c>
      <c r="Q94" s="304">
        <f t="shared" si="28"/>
        <v>0.5</v>
      </c>
      <c r="R94" s="176">
        <f t="shared" si="29"/>
        <v>0.12976217373755336</v>
      </c>
      <c r="S94" s="814">
        <f t="shared" si="30"/>
        <v>0</v>
      </c>
      <c r="T94" s="175">
        <f t="shared" si="31"/>
        <v>6</v>
      </c>
      <c r="U94" s="250">
        <f t="shared" si="32"/>
        <v>0.12976217373755336</v>
      </c>
      <c r="V94" s="382">
        <f t="shared" si="33"/>
        <v>46.630480385813378</v>
      </c>
      <c r="W94" s="401">
        <f t="shared" si="34"/>
        <v>45.329418738352871</v>
      </c>
      <c r="X94" s="157">
        <f t="shared" si="35"/>
        <v>46467</v>
      </c>
      <c r="Y94" s="384">
        <f t="shared" si="36"/>
        <v>43.621127438913341</v>
      </c>
      <c r="Z94" s="384">
        <f t="shared" si="37"/>
        <v>46.745414235032698</v>
      </c>
      <c r="AA94" s="385">
        <f t="shared" si="38"/>
        <v>50.208278792965238</v>
      </c>
      <c r="AB94" s="196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6.8969991427344599E-2</v>
      </c>
      <c r="AD94" s="230">
        <f>(INDEX(Models!$BJ94:$BT94,,AH94)*(1-AF94)+INDEX(Models!$BJ94:$BT94,,AH94+1)*AF94-ERP_i)*AE94*Ramure*Pc/MaxiM</f>
        <v>5.5905950717334454E-4</v>
      </c>
      <c r="AE94" s="304">
        <f t="shared" si="40"/>
        <v>0.5</v>
      </c>
      <c r="AF94" s="176">
        <f t="shared" si="41"/>
        <v>0.24475471356194101</v>
      </c>
      <c r="AG94" s="814">
        <f t="shared" si="49"/>
        <v>2</v>
      </c>
      <c r="AH94" s="175">
        <f t="shared" si="42"/>
        <v>8</v>
      </c>
      <c r="AI94" s="224">
        <f t="shared" si="43"/>
        <v>2.244754713561941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10">
        <f>'2026'!Wh/'2026'!Env_an*'2027'!Env_an</f>
        <v>42.533249973207198</v>
      </c>
      <c r="C95" s="843"/>
      <c r="D95" s="392">
        <f t="shared" si="25"/>
        <v>45.580616501294031</v>
      </c>
      <c r="E95" s="384">
        <f t="shared" si="47"/>
        <v>47.136349233292187</v>
      </c>
      <c r="F95" s="384">
        <f t="shared" si="26"/>
        <v>47.140572169921676</v>
      </c>
      <c r="G95" s="110">
        <f t="shared" si="48"/>
        <v>0.90656523510640774</v>
      </c>
      <c r="H95" s="413" t="b">
        <f>Wh_hp&gt;='2026'!Maxi_hp</f>
        <v>0</v>
      </c>
      <c r="I95" s="389">
        <f>IF(H95,Wh_hp,'2026'!Maxi_hp)</f>
        <v>50.590016829396532</v>
      </c>
      <c r="J95" s="85">
        <f>IF(H95,An,'2026'!An_max)</f>
        <v>2019</v>
      </c>
      <c r="K95" s="196">
        <f t="shared" si="27"/>
        <v>46468</v>
      </c>
      <c r="L95" s="147">
        <f>IF(t&lt;Tvie,1-EXP((T0-t)*PertePVj)+'2026'!Pspv,1-EXP((T0-t)*PertePVj)+Pspv)</f>
        <v>6.6856632533706856E-2</v>
      </c>
      <c r="M95" s="847"/>
      <c r="N95" s="847"/>
      <c r="O95" s="48">
        <f>IF(t&lt;Tnet,'2026'!Resal+('2026'!Salim-'2026'!Resal)*(1-EXP(('2026'!Tnet-t)/('2026'!Tau_j))),Resal+(Salim-Resal)*(1-EXP((Tnet-t)/(Tau_j))))*Salcycl</f>
        <v>3.3004947504490928E-2</v>
      </c>
      <c r="P95" s="168">
        <f>(INDEX(Models!$BJ95:$BT95,,T95)*(1-R95)+INDEX(Models!$BJ95:$BT95,,T95+1)*R95-ERP_i)*Q95*Ramure*Pc/MaxiM</f>
        <v>1.0337875155990845E-4</v>
      </c>
      <c r="Q95" s="304">
        <f t="shared" si="28"/>
        <v>0.5</v>
      </c>
      <c r="R95" s="176">
        <f t="shared" si="29"/>
        <v>0.13018265227425818</v>
      </c>
      <c r="S95" s="814">
        <f t="shared" si="30"/>
        <v>0</v>
      </c>
      <c r="T95" s="175">
        <f t="shared" si="31"/>
        <v>6</v>
      </c>
      <c r="U95" s="250">
        <f t="shared" si="32"/>
        <v>0.13018265227425818</v>
      </c>
      <c r="V95" s="382">
        <f t="shared" si="33"/>
        <v>46.916274134248262</v>
      </c>
      <c r="W95" s="401">
        <f t="shared" si="34"/>
        <v>42.533249973207198</v>
      </c>
      <c r="X95" s="157">
        <f t="shared" si="35"/>
        <v>46468</v>
      </c>
      <c r="Y95" s="384">
        <f t="shared" si="36"/>
        <v>40.933485257209448</v>
      </c>
      <c r="Z95" s="384">
        <f t="shared" si="37"/>
        <v>43.86623394040042</v>
      </c>
      <c r="AA95" s="385">
        <f t="shared" si="38"/>
        <v>47.117677938861583</v>
      </c>
      <c r="AB95" s="196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6.9006881083574015E-2</v>
      </c>
      <c r="AD95" s="230">
        <f>(INDEX(Models!$BJ95:$BT95,,AH95)*(1-AF95)+INDEX(Models!$BJ95:$BT95,,AH95+1)*AF95-ERP_i)*AE95*Ramure*Pc/MaxiM</f>
        <v>5.6045762287505816E-4</v>
      </c>
      <c r="AE95" s="304">
        <f t="shared" si="40"/>
        <v>0.5</v>
      </c>
      <c r="AF95" s="176">
        <f t="shared" si="41"/>
        <v>0.24517519209864558</v>
      </c>
      <c r="AG95" s="814">
        <f t="shared" si="49"/>
        <v>2</v>
      </c>
      <c r="AH95" s="175">
        <f t="shared" si="42"/>
        <v>8</v>
      </c>
      <c r="AI95" s="224">
        <f t="shared" si="43"/>
        <v>2.2451751920986456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10">
        <f>'2026'!Wh/'2026'!Env_an*'2027'!Env_an</f>
        <v>47.300353414774186</v>
      </c>
      <c r="C96" s="843"/>
      <c r="D96" s="392">
        <f t="shared" si="25"/>
        <v>50.690375941592812</v>
      </c>
      <c r="E96" s="384">
        <f t="shared" si="47"/>
        <v>52.424460147478634</v>
      </c>
      <c r="F96" s="384">
        <f t="shared" si="26"/>
        <v>52.42986850975435</v>
      </c>
      <c r="G96" s="110">
        <f t="shared" si="48"/>
        <v>1.0020910044790494</v>
      </c>
      <c r="H96" s="413" t="b">
        <f>Wh_hp&gt;='2026'!Maxi_hp</f>
        <v>1</v>
      </c>
      <c r="I96" s="389">
        <f>IF(H96,Wh_hp,'2026'!Maxi_hp)</f>
        <v>52.42986850975435</v>
      </c>
      <c r="J96" s="85">
        <f>IF(H96,An,'2026'!An_max)</f>
        <v>2027</v>
      </c>
      <c r="K96" s="196">
        <f t="shared" si="27"/>
        <v>46469</v>
      </c>
      <c r="L96" s="147">
        <f>IF(t&lt;Tvie,1-EXP((T0-t)*PertePVj)+'2026'!Pspv,1-EXP((T0-t)*PertePVj)+Pspv)</f>
        <v>6.6877044485223885E-2</v>
      </c>
      <c r="M96" s="847"/>
      <c r="N96" s="847"/>
      <c r="O96" s="48">
        <f>IF(t&lt;Tnet,'2026'!Resal+('2026'!Salim-'2026'!Resal)*(1-EXP(('2026'!Tnet-t)/('2026'!Tau_j))),Resal+(Salim-Resal)*(1-EXP((Tnet-t)/(Tau_j))))*Salcycl</f>
        <v>3.3077769442118404E-2</v>
      </c>
      <c r="P96" s="168">
        <f>(INDEX(Models!$BJ96:$BT96,,T96)*(1-R96)+INDEX(Models!$BJ96:$BT96,,T96+1)*R96-ERP_i)*Q96*Ramure*Pc/MaxiM</f>
        <v>1.0315422161908025E-4</v>
      </c>
      <c r="Q96" s="304">
        <f t="shared" si="28"/>
        <v>0.5</v>
      </c>
      <c r="R96" s="176">
        <f t="shared" si="29"/>
        <v>0.13061947609563496</v>
      </c>
      <c r="S96" s="814">
        <f t="shared" si="30"/>
        <v>0</v>
      </c>
      <c r="T96" s="175">
        <f t="shared" si="31"/>
        <v>6</v>
      </c>
      <c r="U96" s="250">
        <f t="shared" si="32"/>
        <v>0.13061947609563496</v>
      </c>
      <c r="V96" s="382">
        <f t="shared" si="33"/>
        <v>47.201654543704755</v>
      </c>
      <c r="W96" s="401">
        <f t="shared" si="34"/>
        <v>47.300353414774186</v>
      </c>
      <c r="X96" s="157">
        <f t="shared" si="35"/>
        <v>46469</v>
      </c>
      <c r="Y96" s="384">
        <f t="shared" si="36"/>
        <v>45.52005634913386</v>
      </c>
      <c r="Z96" s="384">
        <f t="shared" si="37"/>
        <v>48.782484751992627</v>
      </c>
      <c r="AA96" s="385">
        <f t="shared" si="38"/>
        <v>52.400427197273565</v>
      </c>
      <c r="AB96" s="196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6.9044140263596676E-2</v>
      </c>
      <c r="AD96" s="230">
        <f>(INDEX(Models!$BJ96:$BT96,,AH96)*(1-AF96)+INDEX(Models!$BJ96:$BT96,,AH96+1)*AF96-ERP_i)*AE96*Ramure*Pc/MaxiM</f>
        <v>5.6153702684388061E-4</v>
      </c>
      <c r="AE96" s="304">
        <f t="shared" si="40"/>
        <v>0.5</v>
      </c>
      <c r="AF96" s="176">
        <f t="shared" si="41"/>
        <v>0.24561201592002257</v>
      </c>
      <c r="AG96" s="814">
        <f t="shared" si="49"/>
        <v>2</v>
      </c>
      <c r="AH96" s="175">
        <f t="shared" si="42"/>
        <v>8</v>
      </c>
      <c r="AI96" s="224">
        <f t="shared" si="43"/>
        <v>2.2456120159200226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10">
        <f>'2026'!Wh/'2026'!Env_an*'2027'!Env_an</f>
        <v>46.434535834200268</v>
      </c>
      <c r="C97" s="843"/>
      <c r="D97" s="392">
        <f t="shared" si="25"/>
        <v>49.763593650309517</v>
      </c>
      <c r="E97" s="384">
        <f t="shared" si="47"/>
        <v>51.469857037322214</v>
      </c>
      <c r="F97" s="384">
        <f t="shared" si="26"/>
        <v>51.474980277515222</v>
      </c>
      <c r="G97" s="110">
        <f t="shared" si="48"/>
        <v>0.97785953656258207</v>
      </c>
      <c r="H97" s="413" t="b">
        <f>Wh_hp&gt;='2026'!Maxi_hp</f>
        <v>0</v>
      </c>
      <c r="I97" s="389">
        <f>IF(H97,Wh_hp,'2026'!Maxi_hp)</f>
        <v>51.706853506641295</v>
      </c>
      <c r="J97" s="85">
        <f>IF(H97,An,'2026'!An_max)</f>
        <v>2021</v>
      </c>
      <c r="K97" s="196">
        <f t="shared" si="27"/>
        <v>46470</v>
      </c>
      <c r="L97" s="147">
        <f>IF(t&lt;Tvie,1-EXP((T0-t)*PertePVj)+'2026'!Pspv,1-EXP((T0-t)*PertePVj)+Pspv)</f>
        <v>6.6897455989666871E-2</v>
      </c>
      <c r="M97" s="847"/>
      <c r="N97" s="847"/>
      <c r="O97" s="48">
        <f>IF(t&lt;Tnet,'2026'!Resal+('2026'!Salim-'2026'!Resal)*(1-EXP(('2026'!Tnet-t)/('2026'!Tau_j))),Resal+(Salim-Resal)*(1-EXP((Tnet-t)/(Tau_j))))*Salcycl</f>
        <v>3.3150731034194227E-2</v>
      </c>
      <c r="P97" s="168">
        <f>(INDEX(Models!$BJ97:$BT97,,T97)*(1-R97)+INDEX(Models!$BJ97:$BT97,,T97+1)*R97-ERP_i)*Q97*Ramure*Pc/MaxiM</f>
        <v>1.0277910264973349E-4</v>
      </c>
      <c r="Q97" s="304">
        <f t="shared" si="28"/>
        <v>0.5</v>
      </c>
      <c r="R97" s="176">
        <f t="shared" si="29"/>
        <v>0.13107322636717084</v>
      </c>
      <c r="S97" s="814">
        <f t="shared" si="30"/>
        <v>0</v>
      </c>
      <c r="T97" s="175">
        <f t="shared" si="31"/>
        <v>6</v>
      </c>
      <c r="U97" s="250">
        <f t="shared" si="32"/>
        <v>0.13107322636717084</v>
      </c>
      <c r="V97" s="382">
        <f t="shared" si="33"/>
        <v>47.485741207334321</v>
      </c>
      <c r="W97" s="401">
        <f t="shared" si="34"/>
        <v>46.434535834200268</v>
      </c>
      <c r="X97" s="157">
        <f t="shared" si="35"/>
        <v>46470</v>
      </c>
      <c r="Y97" s="384">
        <f t="shared" si="36"/>
        <v>44.688989308718732</v>
      </c>
      <c r="Z97" s="384">
        <f t="shared" si="37"/>
        <v>47.892902656392124</v>
      </c>
      <c r="AA97" s="385">
        <f t="shared" si="38"/>
        <v>51.446950392428761</v>
      </c>
      <c r="AB97" s="196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6.9081796081729943E-2</v>
      </c>
      <c r="AD97" s="230">
        <f>(INDEX(Models!$BJ97:$BT97,,AH97)*(1-AF97)+INDEX(Models!$BJ97:$BT97,,AH97+1)*AF97-ERP_i)*AE97*Ramure*Pc/MaxiM</f>
        <v>5.6231726954572526E-4</v>
      </c>
      <c r="AE97" s="304">
        <f t="shared" si="40"/>
        <v>0.5</v>
      </c>
      <c r="AF97" s="176">
        <f t="shared" si="41"/>
        <v>0.2460657661915584</v>
      </c>
      <c r="AG97" s="814">
        <f t="shared" si="49"/>
        <v>2</v>
      </c>
      <c r="AH97" s="175">
        <f t="shared" si="42"/>
        <v>8</v>
      </c>
      <c r="AI97" s="224">
        <f t="shared" si="43"/>
        <v>2.2460657661915584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10">
        <f>'2026'!Wh/'2026'!Env_an*'2027'!Env_an</f>
        <v>39.854842599257239</v>
      </c>
      <c r="C98" s="843"/>
      <c r="D98" s="392">
        <f t="shared" si="25"/>
        <v>42.713113017315386</v>
      </c>
      <c r="E98" s="384">
        <f t="shared" si="47"/>
        <v>44.180974943955334</v>
      </c>
      <c r="F98" s="384">
        <f t="shared" si="26"/>
        <v>44.184423931925103</v>
      </c>
      <c r="G98" s="110">
        <f t="shared" si="48"/>
        <v>0.8343277240012279</v>
      </c>
      <c r="H98" s="413" t="b">
        <f>Wh_hp&gt;='2026'!Maxi_hp</f>
        <v>0</v>
      </c>
      <c r="I98" s="389">
        <f>IF(H98,Wh_hp,'2026'!Maxi_hp)</f>
        <v>50.650647588143606</v>
      </c>
      <c r="J98" s="85">
        <f>IF(H98,An,'2026'!An_max)</f>
        <v>2020</v>
      </c>
      <c r="K98" s="196">
        <f t="shared" si="27"/>
        <v>46471</v>
      </c>
      <c r="L98" s="147">
        <f>IF(t&lt;Tvie,1-EXP((T0-t)*PertePVj)+'2026'!Pspv,1-EXP((T0-t)*PertePVj)+Pspv)</f>
        <v>6.6917867047045582E-2</v>
      </c>
      <c r="M98" s="847"/>
      <c r="N98" s="847"/>
      <c r="O98" s="48">
        <f>IF(t&lt;Tnet,'2026'!Resal+('2026'!Salim-'2026'!Resal)*(1-EXP(('2026'!Tnet-t)/('2026'!Tau_j))),Resal+(Salim-Resal)*(1-EXP((Tnet-t)/(Tau_j))))*Salcycl</f>
        <v>3.3223846429418225E-2</v>
      </c>
      <c r="P98" s="168">
        <f>(INDEX(Models!$BJ98:$BT98,,T98)*(1-R98)+INDEX(Models!$BJ98:$BT98,,T98+1)*R98-ERP_i)*Q98*Ramure*Pc/MaxiM</f>
        <v>1.0225779002180925E-4</v>
      </c>
      <c r="Q98" s="304">
        <f t="shared" si="28"/>
        <v>0.5</v>
      </c>
      <c r="R98" s="176">
        <f t="shared" si="29"/>
        <v>0.1315445004683192</v>
      </c>
      <c r="S98" s="814">
        <f t="shared" si="30"/>
        <v>0</v>
      </c>
      <c r="T98" s="175">
        <f t="shared" si="31"/>
        <v>6</v>
      </c>
      <c r="U98" s="250">
        <f t="shared" si="32"/>
        <v>0.1315445004683192</v>
      </c>
      <c r="V98" s="382">
        <f t="shared" si="33"/>
        <v>47.767654046401823</v>
      </c>
      <c r="W98" s="401">
        <f t="shared" si="34"/>
        <v>39.854842599257239</v>
      </c>
      <c r="X98" s="157">
        <f t="shared" si="35"/>
        <v>46471</v>
      </c>
      <c r="Y98" s="384">
        <f t="shared" si="36"/>
        <v>38.361554943647832</v>
      </c>
      <c r="Z98" s="384">
        <f t="shared" si="37"/>
        <v>41.112731225753741</v>
      </c>
      <c r="AA98" s="385">
        <f t="shared" si="38"/>
        <v>44.165441021919953</v>
      </c>
      <c r="AB98" s="196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6.9119875756501817E-2</v>
      </c>
      <c r="AD98" s="230">
        <f>(INDEX(Models!$BJ98:$BT98,,AH98)*(1-AF98)+INDEX(Models!$BJ98:$BT98,,AH98+1)*AF98-ERP_i)*AE98*Ramure*Pc/MaxiM</f>
        <v>5.6281739522548772E-4</v>
      </c>
      <c r="AE98" s="304">
        <f t="shared" si="40"/>
        <v>0.5</v>
      </c>
      <c r="AF98" s="176">
        <f t="shared" si="41"/>
        <v>0.24653704029270651</v>
      </c>
      <c r="AG98" s="814">
        <f t="shared" si="49"/>
        <v>2</v>
      </c>
      <c r="AH98" s="175">
        <f t="shared" si="42"/>
        <v>8</v>
      </c>
      <c r="AI98" s="224">
        <f t="shared" si="43"/>
        <v>2.2465370402927065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10">
        <f>'2026'!Wh/'2026'!Env_an*'2027'!Env_an</f>
        <v>44.220353530317567</v>
      </c>
      <c r="C99" s="843"/>
      <c r="D99" s="392">
        <f t="shared" si="25"/>
        <v>47.39274205707838</v>
      </c>
      <c r="E99" s="384">
        <f t="shared" si="47"/>
        <v>49.02513845932112</v>
      </c>
      <c r="F99" s="384">
        <f t="shared" si="26"/>
        <v>49.029552916047614</v>
      </c>
      <c r="G99" s="110">
        <f t="shared" si="48"/>
        <v>0.92035486764100172</v>
      </c>
      <c r="H99" s="413" t="b">
        <f>Wh_hp&gt;='2026'!Maxi_hp</f>
        <v>0</v>
      </c>
      <c r="I99" s="389">
        <f>IF(H99,Wh_hp,'2026'!Maxi_hp)</f>
        <v>54.179948097742042</v>
      </c>
      <c r="J99" s="85">
        <f>IF(H99,An,'2026'!An_max)</f>
        <v>2019</v>
      </c>
      <c r="K99" s="196">
        <f t="shared" si="27"/>
        <v>46472</v>
      </c>
      <c r="L99" s="147">
        <f>IF(t&lt;Tvie,1-EXP((T0-t)*PertePVj)+'2026'!Pspv,1-EXP((T0-t)*PertePVj)+Pspv)</f>
        <v>6.6938277657369677E-2</v>
      </c>
      <c r="M99" s="847"/>
      <c r="N99" s="847"/>
      <c r="O99" s="48">
        <f>IF(t&lt;Tnet,'2026'!Resal+('2026'!Salim-'2026'!Resal)*(1-EXP(('2026'!Tnet-t)/('2026'!Tau_j))),Resal+(Salim-Resal)*(1-EXP((Tnet-t)/(Tau_j))))*Salcycl</f>
        <v>3.3297129871386839E-2</v>
      </c>
      <c r="P99" s="168">
        <f>(INDEX(Models!$BJ99:$BT99,,T99)*(1-R99)+INDEX(Models!$BJ99:$BT99,,T99+1)*R99-ERP_i)*Q99*Ramure*Pc/MaxiM</f>
        <v>1.0159439046453485E-4</v>
      </c>
      <c r="Q99" s="304">
        <f t="shared" si="28"/>
        <v>0.5</v>
      </c>
      <c r="R99" s="176">
        <f t="shared" si="29"/>
        <v>0.13203391206916137</v>
      </c>
      <c r="S99" s="814">
        <f t="shared" si="30"/>
        <v>0</v>
      </c>
      <c r="T99" s="175">
        <f t="shared" si="31"/>
        <v>6</v>
      </c>
      <c r="U99" s="250">
        <f t="shared" si="32"/>
        <v>0.13203391206916137</v>
      </c>
      <c r="V99" s="382">
        <f t="shared" si="33"/>
        <v>48.046513308825126</v>
      </c>
      <c r="W99" s="401">
        <f t="shared" si="34"/>
        <v>44.220353530317567</v>
      </c>
      <c r="X99" s="157">
        <f t="shared" si="35"/>
        <v>46472</v>
      </c>
      <c r="Y99" s="384">
        <f t="shared" si="36"/>
        <v>42.562518706093996</v>
      </c>
      <c r="Z99" s="384">
        <f t="shared" si="37"/>
        <v>45.615973399093726</v>
      </c>
      <c r="AA99" s="385">
        <f t="shared" si="38"/>
        <v>49.005087137547157</v>
      </c>
      <c r="AB99" s="196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6.9158406533201169E-2</v>
      </c>
      <c r="AD99" s="230">
        <f>(INDEX(Models!$BJ99:$BT99,,AH99)*(1-AF99)+INDEX(Models!$BJ99:$BT99,,AH99+1)*AF99-ERP_i)*AE99*Ramure*Pc/MaxiM</f>
        <v>5.6305588841297396E-4</v>
      </c>
      <c r="AE99" s="304">
        <f t="shared" si="40"/>
        <v>0.5</v>
      </c>
      <c r="AF99" s="176">
        <f t="shared" si="41"/>
        <v>0.24702645189354877</v>
      </c>
      <c r="AG99" s="814">
        <f t="shared" si="49"/>
        <v>2</v>
      </c>
      <c r="AH99" s="175">
        <f t="shared" si="42"/>
        <v>8</v>
      </c>
      <c r="AI99" s="224">
        <f t="shared" si="43"/>
        <v>2.2470264518935488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10">
        <f>'2026'!Wh/'2026'!Env_an*'2027'!Env_an</f>
        <v>44.184926522648418</v>
      </c>
      <c r="C100" s="843"/>
      <c r="D100" s="392">
        <f t="shared" si="25"/>
        <v>47.35580937937624</v>
      </c>
      <c r="E100" s="384">
        <f t="shared" si="47"/>
        <v>48.99065677793201</v>
      </c>
      <c r="F100" s="384">
        <f t="shared" si="26"/>
        <v>48.994991148246186</v>
      </c>
      <c r="G100" s="110">
        <f t="shared" si="48"/>
        <v>0.91438463319053243</v>
      </c>
      <c r="H100" s="413" t="b">
        <f>Wh_hp&gt;='2026'!Maxi_hp</f>
        <v>0</v>
      </c>
      <c r="I100" s="389">
        <f>IF(H100,Wh_hp,'2026'!Maxi_hp)</f>
        <v>53.631049698889107</v>
      </c>
      <c r="J100" s="85">
        <f>IF(H100,An,'2026'!An_max)</f>
        <v>2019</v>
      </c>
      <c r="K100" s="196">
        <f t="shared" si="27"/>
        <v>46473</v>
      </c>
      <c r="L100" s="147">
        <f>IF(t&lt;Tvie,1-EXP((T0-t)*PertePVj)+'2026'!Pspv,1-EXP((T0-t)*PertePVj)+Pspv)</f>
        <v>6.6958687820649038E-2</v>
      </c>
      <c r="M100" s="847"/>
      <c r="N100" s="847"/>
      <c r="O100" s="48">
        <f>IF(t&lt;Tnet,'2026'!Resal+('2026'!Salim-'2026'!Resal)*(1-EXP(('2026'!Tnet-t)/('2026'!Tau_j))),Resal+(Salim-Resal)*(1-EXP((Tnet-t)/(Tau_j))))*Salcycl</f>
        <v>3.3370595662073128E-2</v>
      </c>
      <c r="P100" s="168">
        <f>(INDEX(Models!$BJ100:$BT100,,T100)*(1-R100)+INDEX(Models!$BJ100:$BT100,,T100+1)*R100-ERP_i)*Q100*Ramure*Pc/MaxiM</f>
        <v>1.0079153453119165E-4</v>
      </c>
      <c r="Q100" s="304">
        <f t="shared" si="28"/>
        <v>0.5</v>
      </c>
      <c r="R100" s="176">
        <f t="shared" si="29"/>
        <v>0.13254209116994012</v>
      </c>
      <c r="S100" s="814">
        <f t="shared" si="30"/>
        <v>0</v>
      </c>
      <c r="T100" s="175">
        <f t="shared" si="31"/>
        <v>6</v>
      </c>
      <c r="U100" s="250">
        <f t="shared" si="32"/>
        <v>0.13254209116994012</v>
      </c>
      <c r="V100" s="382">
        <f t="shared" si="33"/>
        <v>48.321439631921798</v>
      </c>
      <c r="W100" s="401">
        <f t="shared" si="34"/>
        <v>44.184926522648418</v>
      </c>
      <c r="X100" s="157">
        <f t="shared" si="35"/>
        <v>46473</v>
      </c>
      <c r="Y100" s="384">
        <f t="shared" si="36"/>
        <v>42.530007269753717</v>
      </c>
      <c r="Z100" s="384">
        <f t="shared" si="37"/>
        <v>45.582126658908884</v>
      </c>
      <c r="AA100" s="385">
        <f t="shared" si="38"/>
        <v>48.970777932166413</v>
      </c>
      <c r="AB100" s="196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6.9197415608782772E-2</v>
      </c>
      <c r="AD100" s="230">
        <f>(INDEX(Models!$BJ100:$BT100,,AH100)*(1-AF100)+INDEX(Models!$BJ100:$BT100,,AH100+1)*AF100-ERP_i)*AE100*Ramure*Pc/MaxiM</f>
        <v>5.6305461410006453E-4</v>
      </c>
      <c r="AE100" s="304">
        <f t="shared" si="40"/>
        <v>0.5</v>
      </c>
      <c r="AF100" s="176">
        <f t="shared" si="41"/>
        <v>0.24753463099432782</v>
      </c>
      <c r="AG100" s="814">
        <f t="shared" si="49"/>
        <v>2</v>
      </c>
      <c r="AH100" s="175">
        <f t="shared" si="42"/>
        <v>8</v>
      </c>
      <c r="AI100" s="224">
        <f t="shared" si="43"/>
        <v>2.2475346309943278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10">
        <f>'2026'!Wh/'2026'!Env_an*'2027'!Env_an</f>
        <v>34.119397007454019</v>
      </c>
      <c r="C101" s="843"/>
      <c r="D101" s="392">
        <f t="shared" si="25"/>
        <v>36.568738082267309</v>
      </c>
      <c r="E101" s="384">
        <f t="shared" si="47"/>
        <v>37.83407050210463</v>
      </c>
      <c r="F101" s="384">
        <f t="shared" si="26"/>
        <v>37.836242197405646</v>
      </c>
      <c r="G101" s="110">
        <f t="shared" si="48"/>
        <v>0.70213742117236855</v>
      </c>
      <c r="H101" s="413" t="b">
        <f>Wh_hp&gt;='2026'!Maxi_hp</f>
        <v>0</v>
      </c>
      <c r="I101" s="389">
        <f>IF(H101,Wh_hp,'2026'!Maxi_hp)</f>
        <v>52.658123194281352</v>
      </c>
      <c r="J101" s="85">
        <f>IF(H101,An,'2026'!An_max)</f>
        <v>2019</v>
      </c>
      <c r="K101" s="196">
        <f t="shared" si="27"/>
        <v>46474</v>
      </c>
      <c r="L101" s="147">
        <f>IF(t&lt;Tvie,1-EXP((T0-t)*PertePVj)+'2026'!Pspv,1-EXP((T0-t)*PertePVj)+Pspv)</f>
        <v>6.6979097536893434E-2</v>
      </c>
      <c r="M101" s="847"/>
      <c r="N101" s="847"/>
      <c r="O101" s="48">
        <f>IF(t&lt;Tnet,'2026'!Resal+('2026'!Salim-'2026'!Resal)*(1-EXP(('2026'!Tnet-t)/('2026'!Tau_j))),Resal+(Salim-Resal)*(1-EXP((Tnet-t)/(Tau_j))))*Salcycl</f>
        <v>3.3444258126202331E-2</v>
      </c>
      <c r="P101" s="168">
        <f>(INDEX(Models!$BJ101:$BT101,,T101)*(1-R101)+INDEX(Models!$BJ101:$BT101,,T101+1)*R101-ERP_i)*Q101*Ramure*Pc/MaxiM</f>
        <v>9.9903847055744484E-5</v>
      </c>
      <c r="Q101" s="304">
        <f t="shared" si="28"/>
        <v>0.5</v>
      </c>
      <c r="R101" s="176">
        <f t="shared" si="29"/>
        <v>0.13306968409973866</v>
      </c>
      <c r="S101" s="814">
        <f t="shared" si="30"/>
        <v>0</v>
      </c>
      <c r="T101" s="175">
        <f t="shared" si="31"/>
        <v>6</v>
      </c>
      <c r="U101" s="250">
        <f t="shared" si="32"/>
        <v>0.13306968409973866</v>
      </c>
      <c r="V101" s="382">
        <f t="shared" si="33"/>
        <v>48.591551447180315</v>
      </c>
      <c r="W101" s="401">
        <f t="shared" si="34"/>
        <v>34.119397007454019</v>
      </c>
      <c r="X101" s="157">
        <f t="shared" si="35"/>
        <v>46474</v>
      </c>
      <c r="Y101" s="384">
        <f t="shared" si="36"/>
        <v>32.847179643961269</v>
      </c>
      <c r="Z101" s="384">
        <f t="shared" si="37"/>
        <v>35.205191606369304</v>
      </c>
      <c r="AA101" s="385">
        <f t="shared" si="38"/>
        <v>37.824009936937543</v>
      </c>
      <c r="AB101" s="196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6.9236930059358798E-2</v>
      </c>
      <c r="AD101" s="230">
        <f>(INDEX(Models!$BJ101:$BT101,,AH101)*(1-AF101)+INDEX(Models!$BJ101:$BT101,,AH101+1)*AF101-ERP_i)*AE101*Ramure*Pc/MaxiM</f>
        <v>5.6271700656234302E-4</v>
      </c>
      <c r="AE101" s="304">
        <f t="shared" si="40"/>
        <v>0.5</v>
      </c>
      <c r="AF101" s="176">
        <f t="shared" si="41"/>
        <v>0.24806222392412636</v>
      </c>
      <c r="AG101" s="814">
        <f t="shared" si="49"/>
        <v>2</v>
      </c>
      <c r="AH101" s="175">
        <f t="shared" si="42"/>
        <v>8</v>
      </c>
      <c r="AI101" s="224">
        <f t="shared" si="43"/>
        <v>2.2480622239241264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10">
        <f>'2026'!Wh/'2026'!Env_an*'2027'!Env_an</f>
        <v>26.336074771962558</v>
      </c>
      <c r="C102" s="843"/>
      <c r="D102" s="392">
        <f t="shared" si="25"/>
        <v>28.22728922876319</v>
      </c>
      <c r="E102" s="384">
        <f t="shared" si="47"/>
        <v>29.206227401669011</v>
      </c>
      <c r="F102" s="384">
        <f t="shared" si="26"/>
        <v>29.207214217843354</v>
      </c>
      <c r="G102" s="110">
        <f t="shared" si="48"/>
        <v>0.53902028743951269</v>
      </c>
      <c r="H102" s="413" t="b">
        <f>Wh_hp&gt;='2026'!Maxi_hp</f>
        <v>0</v>
      </c>
      <c r="I102" s="389">
        <f>IF(H102,Wh_hp,'2026'!Maxi_hp)</f>
        <v>54.496222253055954</v>
      </c>
      <c r="J102" s="85">
        <f>IF(H102,An,'2026'!An_max)</f>
        <v>2021</v>
      </c>
      <c r="K102" s="196">
        <f t="shared" si="27"/>
        <v>46475</v>
      </c>
      <c r="L102" s="147">
        <f>IF(t&lt;Tvie,1-EXP((T0-t)*PertePVj)+'2026'!Pspv,1-EXP((T0-t)*PertePVj)+Pspv)</f>
        <v>6.6999506806112746E-2</v>
      </c>
      <c r="M102" s="847"/>
      <c r="N102" s="847"/>
      <c r="O102" s="48">
        <f>IF(t&lt;Tnet,'2026'!Resal+('2026'!Salim-'2026'!Resal)*(1-EXP(('2026'!Tnet-t)/('2026'!Tau_j))),Resal+(Salim-Resal)*(1-EXP((Tnet-t)/(Tau_j))))*Salcycl</f>
        <v>3.3518131576619745E-2</v>
      </c>
      <c r="P102" s="168">
        <f>(INDEX(Models!$BJ102:$BT102,,T102)*(1-R102)+INDEX(Models!$BJ102:$BT102,,T102+1)*R102-ERP_i)*Q102*Ramure*Pc/MaxiM</f>
        <v>9.8934005558257019E-5</v>
      </c>
      <c r="Q102" s="304">
        <f t="shared" si="28"/>
        <v>0.5</v>
      </c>
      <c r="R102" s="176">
        <f t="shared" si="29"/>
        <v>0.13361735347037049</v>
      </c>
      <c r="S102" s="814">
        <f t="shared" si="30"/>
        <v>0</v>
      </c>
      <c r="T102" s="175">
        <f t="shared" si="31"/>
        <v>6</v>
      </c>
      <c r="U102" s="250">
        <f t="shared" si="32"/>
        <v>0.13361735347037049</v>
      </c>
      <c r="V102" s="382">
        <f t="shared" si="33"/>
        <v>48.855969996025067</v>
      </c>
      <c r="W102" s="401">
        <f t="shared" si="34"/>
        <v>26.336074771962558</v>
      </c>
      <c r="X102" s="157">
        <f t="shared" si="35"/>
        <v>46475</v>
      </c>
      <c r="Y102" s="384">
        <f t="shared" si="36"/>
        <v>25.357655446135446</v>
      </c>
      <c r="Z102" s="384">
        <f t="shared" si="37"/>
        <v>27.178608833667422</v>
      </c>
      <c r="AA102" s="385">
        <f t="shared" si="38"/>
        <v>29.201607949225473</v>
      </c>
      <c r="AB102" s="196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6.9276976770442117E-2</v>
      </c>
      <c r="AD102" s="230">
        <f>(INDEX(Models!$BJ102:$BT102,,AH102)*(1-AF102)+INDEX(Models!$BJ102:$BT102,,AH102+1)*AF102-ERP_i)*AE102*Ramure*Pc/MaxiM</f>
        <v>5.6206072115988547E-4</v>
      </c>
      <c r="AE102" s="304">
        <f t="shared" si="40"/>
        <v>0.5</v>
      </c>
      <c r="AF102" s="176">
        <f t="shared" si="41"/>
        <v>0.2486098932947578</v>
      </c>
      <c r="AG102" s="814">
        <f t="shared" si="49"/>
        <v>2</v>
      </c>
      <c r="AH102" s="175">
        <f t="shared" si="42"/>
        <v>8</v>
      </c>
      <c r="AI102" s="224">
        <f t="shared" si="43"/>
        <v>2.2486098932947578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10">
        <f>'2026'!Wh/'2026'!Env_an*'2027'!Env_an</f>
        <v>6.6851160452449223</v>
      </c>
      <c r="C103" s="843"/>
      <c r="D103" s="392">
        <f t="shared" si="25"/>
        <v>7.1653362780482315</v>
      </c>
      <c r="E103" s="384">
        <f t="shared" si="47"/>
        <v>7.4144025974973085</v>
      </c>
      <c r="F103" s="384">
        <f t="shared" si="26"/>
        <v>7.4144025974973085</v>
      </c>
      <c r="G103" s="110">
        <f t="shared" si="48"/>
        <v>0.13610144972706312</v>
      </c>
      <c r="H103" s="413" t="b">
        <f>Wh_hp&gt;='2026'!Maxi_hp</f>
        <v>0</v>
      </c>
      <c r="I103" s="389">
        <f>IF(H103,Wh_hp,'2026'!Maxi_hp)</f>
        <v>54.590031723801168</v>
      </c>
      <c r="J103" s="85">
        <f>IF(H103,An,'2026'!An_max)</f>
        <v>2019</v>
      </c>
      <c r="K103" s="196">
        <f t="shared" si="27"/>
        <v>46476</v>
      </c>
      <c r="L103" s="147">
        <f>IF(t&lt;Tvie,1-EXP((T0-t)*PertePVj)+'2026'!Pspv,1-EXP((T0-t)*PertePVj)+Pspv)</f>
        <v>6.7019915628316634E-2</v>
      </c>
      <c r="M103" s="847"/>
      <c r="N103" s="847"/>
      <c r="O103" s="48">
        <f>IF(t&lt;Tnet,'2026'!Resal+('2026'!Salim-'2026'!Resal)*(1-EXP(('2026'!Tnet-t)/('2026'!Tau_j))),Resal+(Salim-Resal)*(1-EXP((Tnet-t)/(Tau_j))))*Salcycl</f>
        <v>3.3592230280717103E-2</v>
      </c>
      <c r="P103" s="168">
        <f>(INDEX(Models!$BJ103:$BT103,,T103)*(1-R103)+INDEX(Models!$BJ103:$BT103,,T103+1)*R103-ERP_i)*Q103*Ramure*Pc/MaxiM</f>
        <v>9.7884399919799167E-5</v>
      </c>
      <c r="Q103" s="304">
        <f t="shared" si="28"/>
        <v>0.5</v>
      </c>
      <c r="R103" s="176">
        <f t="shared" si="29"/>
        <v>0.13418577808134149</v>
      </c>
      <c r="S103" s="814">
        <f t="shared" si="30"/>
        <v>0</v>
      </c>
      <c r="T103" s="175">
        <f t="shared" si="31"/>
        <v>6</v>
      </c>
      <c r="U103" s="250">
        <f t="shared" si="32"/>
        <v>0.13418577808134149</v>
      </c>
      <c r="V103" s="382">
        <f t="shared" si="33"/>
        <v>49.113816862916686</v>
      </c>
      <c r="W103" s="401">
        <f t="shared" si="34"/>
        <v>6.6851160452449223</v>
      </c>
      <c r="X103" s="157">
        <f t="shared" si="35"/>
        <v>46476</v>
      </c>
      <c r="Y103" s="384">
        <f t="shared" si="36"/>
        <v>6.4379862808145916</v>
      </c>
      <c r="Z103" s="384">
        <f t="shared" si="37"/>
        <v>6.9004541347206372</v>
      </c>
      <c r="AA103" s="385">
        <f t="shared" si="38"/>
        <v>7.4144025974973085</v>
      </c>
      <c r="AB103" s="196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6.9317582370041722E-2</v>
      </c>
      <c r="AD103" s="230">
        <f>(INDEX(Models!$BJ103:$BT103,,AH103)*(1-AF103)+INDEX(Models!$BJ103:$BT103,,AH103+1)*AF103-ERP_i)*AE103*Ramure*Pc/MaxiM</f>
        <v>5.6110251461183563E-4</v>
      </c>
      <c r="AE103" s="304">
        <f t="shared" si="40"/>
        <v>0.5</v>
      </c>
      <c r="AF103" s="176">
        <f t="shared" si="41"/>
        <v>0.24917831790572897</v>
      </c>
      <c r="AG103" s="814">
        <f t="shared" si="49"/>
        <v>2</v>
      </c>
      <c r="AH103" s="175">
        <f t="shared" si="42"/>
        <v>8</v>
      </c>
      <c r="AI103" s="224">
        <f t="shared" si="43"/>
        <v>2.249178317905729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10">
        <f>'2026'!Wh/'2026'!Env_an*'2027'!Env_an</f>
        <v>26.600072487029021</v>
      </c>
      <c r="C104" s="843"/>
      <c r="D104" s="392">
        <f t="shared" si="25"/>
        <v>28.511492159205854</v>
      </c>
      <c r="E104" s="384">
        <f t="shared" si="47"/>
        <v>29.50481813800323</v>
      </c>
      <c r="F104" s="384">
        <f t="shared" si="26"/>
        <v>29.505792282833685</v>
      </c>
      <c r="G104" s="110">
        <f t="shared" si="48"/>
        <v>0.53881900978365449</v>
      </c>
      <c r="H104" s="413" t="b">
        <f>Wh_hp&gt;='2026'!Maxi_hp</f>
        <v>0</v>
      </c>
      <c r="I104" s="389">
        <f>IF(H104,Wh_hp,'2026'!Maxi_hp)</f>
        <v>49.035449054954384</v>
      </c>
      <c r="J104" s="85">
        <f>IF(H104,An,'2026'!An_max)</f>
        <v>2021</v>
      </c>
      <c r="K104" s="196">
        <f t="shared" si="27"/>
        <v>46477</v>
      </c>
      <c r="L104" s="147">
        <f>IF(t&lt;Tvie,1-EXP((T0-t)*PertePVj)+'2026'!Pspv,1-EXP((T0-t)*PertePVj)+Pspv)</f>
        <v>6.7040324003514867E-2</v>
      </c>
      <c r="M104" s="847"/>
      <c r="N104" s="847"/>
      <c r="O104" s="48">
        <f>IF(t&lt;Tnet,'2026'!Resal+('2026'!Salim-'2026'!Resal)*(1-EXP(('2026'!Tnet-t)/('2026'!Tau_j))),Resal+(Salim-Resal)*(1-EXP((Tnet-t)/(Tau_j))))*Salcycl</f>
        <v>3.3666568427952397E-2</v>
      </c>
      <c r="P104" s="168">
        <f>(INDEX(Models!$BJ104:$BT104,,T104)*(1-R104)+INDEX(Models!$BJ104:$BT104,,T104+1)*R104-ERP_i)*Q104*Ramure*Pc/MaxiM</f>
        <v>9.6757120996416996E-5</v>
      </c>
      <c r="Q104" s="304">
        <f t="shared" si="28"/>
        <v>0.5</v>
      </c>
      <c r="R104" s="176">
        <f t="shared" si="29"/>
        <v>0.13477565277154005</v>
      </c>
      <c r="S104" s="814">
        <f t="shared" si="30"/>
        <v>0</v>
      </c>
      <c r="T104" s="175">
        <f t="shared" si="31"/>
        <v>6</v>
      </c>
      <c r="U104" s="250">
        <f t="shared" si="32"/>
        <v>0.13477565277154005</v>
      </c>
      <c r="V104" s="382">
        <f t="shared" si="33"/>
        <v>49.364213981044344</v>
      </c>
      <c r="W104" s="401">
        <f t="shared" si="34"/>
        <v>26.600072487029021</v>
      </c>
      <c r="X104" s="157">
        <f t="shared" si="35"/>
        <v>46477</v>
      </c>
      <c r="Y104" s="384">
        <f t="shared" si="36"/>
        <v>25.613531910648785</v>
      </c>
      <c r="Z104" s="384">
        <f t="shared" si="37"/>
        <v>27.454061059274853</v>
      </c>
      <c r="AA104" s="385">
        <f t="shared" si="38"/>
        <v>29.500155664318022</v>
      </c>
      <c r="AB104" s="196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6.9358773164645685E-2</v>
      </c>
      <c r="AD104" s="230">
        <f>(INDEX(Models!$BJ104:$BT104,,AH104)*(1-AF104)+INDEX(Models!$BJ104:$BT104,,AH104+1)*AF104-ERP_i)*AE104*Ramure*Pc/MaxiM</f>
        <v>5.5985820863612204E-4</v>
      </c>
      <c r="AE104" s="304">
        <f t="shared" si="40"/>
        <v>0.5</v>
      </c>
      <c r="AF104" s="176">
        <f t="shared" si="41"/>
        <v>0.24976819259592764</v>
      </c>
      <c r="AG104" s="814">
        <f t="shared" si="49"/>
        <v>2</v>
      </c>
      <c r="AH104" s="175">
        <f t="shared" si="42"/>
        <v>8</v>
      </c>
      <c r="AI104" s="224">
        <f t="shared" si="43"/>
        <v>2.2497681925959276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10">
        <f>'2026'!Wh/'2026'!Env_an*'2027'!Env_an</f>
        <v>29.01010546988536</v>
      </c>
      <c r="C105" s="843"/>
      <c r="D105" s="392">
        <f t="shared" si="25"/>
        <v>31.095384729547138</v>
      </c>
      <c r="E105" s="384">
        <f t="shared" si="47"/>
        <v>32.181216300919914</v>
      </c>
      <c r="F105" s="384">
        <f t="shared" si="26"/>
        <v>32.182467483565148</v>
      </c>
      <c r="G105" s="110">
        <f t="shared" si="48"/>
        <v>0.58477392576044951</v>
      </c>
      <c r="H105" s="413" t="b">
        <f>Wh_hp&gt;='2026'!Maxi_hp</f>
        <v>0</v>
      </c>
      <c r="I105" s="389">
        <f>IF(H105,Wh_hp,'2026'!Maxi_hp)</f>
        <v>50.125309607744178</v>
      </c>
      <c r="J105" s="85">
        <f>IF(H105,An,'2026'!An_max)</f>
        <v>2021</v>
      </c>
      <c r="K105" s="196">
        <f t="shared" si="27"/>
        <v>46478</v>
      </c>
      <c r="L105" s="147">
        <f>IF(t&lt;Tvie,1-EXP((T0-t)*PertePVj)+'2026'!Pspv,1-EXP((T0-t)*PertePVj)+Pspv)</f>
        <v>6.7060731931717327E-2</v>
      </c>
      <c r="M105" s="847"/>
      <c r="N105" s="847"/>
      <c r="O105" s="48">
        <f>IF(t&lt;Tnet,'2026'!Resal+('2026'!Salim-'2026'!Resal)*(1-EXP(('2026'!Tnet-t)/('2026'!Tau_j))),Resal+(Salim-Resal)*(1-EXP((Tnet-t)/(Tau_j))))*Salcycl</f>
        <v>3.3741160098468122E-2</v>
      </c>
      <c r="P105" s="168">
        <f>(INDEX(Models!$BJ105:$BT105,,T105)*(1-R105)+INDEX(Models!$BJ105:$BT105,,T105+1)*R105-ERP_i)*Q105*Ramure*Pc/MaxiM</f>
        <v>9.555394990991044E-5</v>
      </c>
      <c r="Q105" s="304">
        <f t="shared" si="28"/>
        <v>0.5</v>
      </c>
      <c r="R105" s="176">
        <f t="shared" si="29"/>
        <v>0.13538768821311117</v>
      </c>
      <c r="S105" s="814">
        <f t="shared" si="30"/>
        <v>0</v>
      </c>
      <c r="T105" s="175">
        <f t="shared" si="31"/>
        <v>6</v>
      </c>
      <c r="U105" s="250">
        <f t="shared" si="32"/>
        <v>0.13538768821311117</v>
      </c>
      <c r="V105" s="382">
        <f t="shared" si="33"/>
        <v>49.606283635765237</v>
      </c>
      <c r="W105" s="401">
        <f t="shared" si="34"/>
        <v>29.01010546988536</v>
      </c>
      <c r="X105" s="157">
        <f t="shared" si="35"/>
        <v>46478</v>
      </c>
      <c r="Y105" s="384">
        <f t="shared" si="36"/>
        <v>27.934237528832419</v>
      </c>
      <c r="Z105" s="384">
        <f t="shared" si="37"/>
        <v>29.942182181560707</v>
      </c>
      <c r="AA105" s="385">
        <f t="shared" si="38"/>
        <v>32.175156549309548</v>
      </c>
      <c r="AB105" s="196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6.9400575078064672E-2</v>
      </c>
      <c r="AD105" s="230">
        <f>(INDEX(Models!$BJ105:$BT105,,AH105)*(1-AF105)+INDEX(Models!$BJ105:$BT105,,AH105+1)*AF105-ERP_i)*AE105*Ramure*Pc/MaxiM</f>
        <v>5.5834265949699529E-4</v>
      </c>
      <c r="AE105" s="304">
        <f t="shared" si="40"/>
        <v>0.5</v>
      </c>
      <c r="AF105" s="176">
        <f t="shared" si="41"/>
        <v>0.25038022803749849</v>
      </c>
      <c r="AG105" s="814">
        <f t="shared" si="49"/>
        <v>2</v>
      </c>
      <c r="AH105" s="175">
        <f t="shared" si="42"/>
        <v>8</v>
      </c>
      <c r="AI105" s="224">
        <f t="shared" si="43"/>
        <v>2.2503802280374985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10">
        <f>'2026'!Wh/'2026'!Env_an*'2027'!Env_an</f>
        <v>19.122446286861535</v>
      </c>
      <c r="C106" s="843"/>
      <c r="D106" s="392">
        <f t="shared" si="25"/>
        <v>20.497437767340436</v>
      </c>
      <c r="E106" s="384">
        <f t="shared" si="47"/>
        <v>21.214839176969235</v>
      </c>
      <c r="F106" s="384">
        <f t="shared" si="26"/>
        <v>21.215078281534499</v>
      </c>
      <c r="G106" s="110">
        <f t="shared" si="48"/>
        <v>0.38365139810447452</v>
      </c>
      <c r="H106" s="413" t="b">
        <f>Wh_hp&gt;='2026'!Maxi_hp</f>
        <v>0</v>
      </c>
      <c r="I106" s="389">
        <f>IF(H106,Wh_hp,'2026'!Maxi_hp)</f>
        <v>43.183256148076218</v>
      </c>
      <c r="J106" s="85">
        <f>IF(H106,An,'2026'!An_max)</f>
        <v>2020</v>
      </c>
      <c r="K106" s="196">
        <f t="shared" si="27"/>
        <v>46479</v>
      </c>
      <c r="L106" s="147">
        <f>IF(t&lt;Tvie,1-EXP((T0-t)*PertePVj)+'2026'!Pspv,1-EXP((T0-t)*PertePVj)+Pspv)</f>
        <v>6.7081139412933893E-2</v>
      </c>
      <c r="M106" s="847"/>
      <c r="N106" s="847"/>
      <c r="O106" s="48">
        <f>IF(t&lt;Tnet,'2026'!Resal+('2026'!Salim-'2026'!Resal)*(1-EXP(('2026'!Tnet-t)/('2026'!Tau_j))),Resal+(Salim-Resal)*(1-EXP((Tnet-t)/(Tau_j))))*Salcycl</f>
        <v>3.381601923278342E-2</v>
      </c>
      <c r="P106" s="168">
        <f>(INDEX(Models!$BJ106:$BT106,,T106)*(1-R106)+INDEX(Models!$BJ106:$BT106,,T106+1)*R106-ERP_i)*Q106*Ramure*Pc/MaxiM</f>
        <v>9.4276347764455542E-5</v>
      </c>
      <c r="Q106" s="304">
        <f t="shared" si="28"/>
        <v>0.5</v>
      </c>
      <c r="R106" s="176">
        <f t="shared" si="29"/>
        <v>0.13602261064277479</v>
      </c>
      <c r="S106" s="814">
        <f t="shared" si="30"/>
        <v>0</v>
      </c>
      <c r="T106" s="175">
        <f t="shared" si="31"/>
        <v>6</v>
      </c>
      <c r="U106" s="250">
        <f t="shared" si="32"/>
        <v>0.13602261064277479</v>
      </c>
      <c r="V106" s="382">
        <f t="shared" si="33"/>
        <v>49.839148478543102</v>
      </c>
      <c r="W106" s="401">
        <f t="shared" si="34"/>
        <v>19.122446286861535</v>
      </c>
      <c r="X106" s="157">
        <f t="shared" si="35"/>
        <v>46479</v>
      </c>
      <c r="Y106" s="384">
        <f t="shared" si="36"/>
        <v>18.416308798308307</v>
      </c>
      <c r="Z106" s="384">
        <f t="shared" si="37"/>
        <v>19.740525758820347</v>
      </c>
      <c r="AA106" s="385">
        <f t="shared" si="38"/>
        <v>21.213666704112445</v>
      </c>
      <c r="AB106" s="196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6.944301359304926E-2</v>
      </c>
      <c r="AD106" s="230">
        <f>(INDEX(Models!$BJ106:$BT106,,AH106)*(1-AF106)+INDEX(Models!$BJ106:$BT106,,AH106+1)*AF106-ERP_i)*AE106*Ramure*Pc/MaxiM</f>
        <v>5.5656973253481908E-4</v>
      </c>
      <c r="AE106" s="304">
        <f t="shared" si="40"/>
        <v>0.5</v>
      </c>
      <c r="AF106" s="176">
        <f t="shared" si="41"/>
        <v>0.2510151504671625</v>
      </c>
      <c r="AG106" s="814">
        <f t="shared" si="49"/>
        <v>2</v>
      </c>
      <c r="AH106" s="175">
        <f t="shared" si="42"/>
        <v>8</v>
      </c>
      <c r="AI106" s="224">
        <f t="shared" si="43"/>
        <v>2.2510151504671625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10">
        <f>'2026'!Wh/'2026'!Env_an*'2027'!Env_an</f>
        <v>24.063778107110153</v>
      </c>
      <c r="C107" s="843"/>
      <c r="D107" s="392">
        <f t="shared" si="25"/>
        <v>25.794638221841076</v>
      </c>
      <c r="E107" s="384">
        <f t="shared" si="47"/>
        <v>26.699515772185887</v>
      </c>
      <c r="F107" s="384">
        <f t="shared" si="26"/>
        <v>26.700156073561327</v>
      </c>
      <c r="G107" s="110">
        <f t="shared" si="48"/>
        <v>0.4806239133997427</v>
      </c>
      <c r="H107" s="413" t="b">
        <f>Wh_hp&gt;='2026'!Maxi_hp</f>
        <v>0</v>
      </c>
      <c r="I107" s="389">
        <f>IF(H107,Wh_hp,'2026'!Maxi_hp)</f>
        <v>51.063430423468454</v>
      </c>
      <c r="J107" s="85">
        <f>IF(H107,An,'2026'!An_max)</f>
        <v>2021</v>
      </c>
      <c r="K107" s="196">
        <f t="shared" si="27"/>
        <v>46480</v>
      </c>
      <c r="L107" s="147">
        <f>IF(t&lt;Tvie,1-EXP((T0-t)*PertePVj)+'2026'!Pspv,1-EXP((T0-t)*PertePVj)+Pspv)</f>
        <v>6.7101546447174115E-2</v>
      </c>
      <c r="M107" s="847"/>
      <c r="N107" s="847"/>
      <c r="O107" s="48">
        <f>IF(t&lt;Tnet,'2026'!Resal+('2026'!Salim-'2026'!Resal)*(1-EXP(('2026'!Tnet-t)/('2026'!Tau_j))),Resal+(Salim-Resal)*(1-EXP((Tnet-t)/(Tau_j))))*Salcycl</f>
        <v>3.3891159602507166E-2</v>
      </c>
      <c r="P107" s="168">
        <f>(INDEX(Models!$BJ107:$BT107,,T107)*(1-R107)+INDEX(Models!$BJ107:$BT107,,T107+1)*R107-ERP_i)*Q107*Ramure*Pc/MaxiM</f>
        <v>9.2920975209751153E-5</v>
      </c>
      <c r="Q107" s="304">
        <f t="shared" si="28"/>
        <v>0.5</v>
      </c>
      <c r="R107" s="176">
        <f t="shared" si="29"/>
        <v>0.13668116152566295</v>
      </c>
      <c r="S107" s="814">
        <f t="shared" si="30"/>
        <v>0</v>
      </c>
      <c r="T107" s="175">
        <f t="shared" si="31"/>
        <v>6</v>
      </c>
      <c r="U107" s="250">
        <f t="shared" si="32"/>
        <v>0.13668116152566295</v>
      </c>
      <c r="V107" s="382">
        <f t="shared" si="33"/>
        <v>50.06434021415857</v>
      </c>
      <c r="W107" s="401">
        <f t="shared" si="34"/>
        <v>24.063778107110153</v>
      </c>
      <c r="X107" s="157">
        <f t="shared" si="35"/>
        <v>46480</v>
      </c>
      <c r="Y107" s="384">
        <f t="shared" si="36"/>
        <v>23.174420032699</v>
      </c>
      <c r="Z107" s="384">
        <f t="shared" si="37"/>
        <v>24.841310374609531</v>
      </c>
      <c r="AA107" s="385">
        <f t="shared" si="38"/>
        <v>26.69633493946754</v>
      </c>
      <c r="AB107" s="196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6.9486113695538157E-2</v>
      </c>
      <c r="AD107" s="230">
        <f>(INDEX(Models!$BJ107:$BT107,,AH107)*(1-AF107)+INDEX(Models!$BJ107:$BT107,,AH107+1)*AF107-ERP_i)*AE107*Ramure*Pc/MaxiM</f>
        <v>5.5452560313148491E-4</v>
      </c>
      <c r="AE107" s="304">
        <f t="shared" si="40"/>
        <v>0.5</v>
      </c>
      <c r="AF107" s="176">
        <f t="shared" si="41"/>
        <v>0.25167370135005029</v>
      </c>
      <c r="AG107" s="814">
        <f t="shared" si="49"/>
        <v>2</v>
      </c>
      <c r="AH107" s="175">
        <f t="shared" si="42"/>
        <v>8</v>
      </c>
      <c r="AI107" s="224">
        <f t="shared" si="43"/>
        <v>2.2516737013500503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10">
        <f>'2026'!Wh/'2026'!Env_an*'2027'!Env_an</f>
        <v>42.663862209187471</v>
      </c>
      <c r="C108" s="843"/>
      <c r="D108" s="392">
        <f t="shared" si="25"/>
        <v>45.733590095686864</v>
      </c>
      <c r="E108" s="384">
        <f t="shared" si="47"/>
        <v>47.34162384929752</v>
      </c>
      <c r="F108" s="384">
        <f t="shared" si="26"/>
        <v>47.345014618301484</v>
      </c>
      <c r="G108" s="110">
        <f t="shared" si="48"/>
        <v>0.84844265336247171</v>
      </c>
      <c r="H108" s="413" t="b">
        <f>Wh_hp&gt;='2026'!Maxi_hp</f>
        <v>0</v>
      </c>
      <c r="I108" s="389">
        <f>IF(H108,Wh_hp,'2026'!Maxi_hp)</f>
        <v>56.358160230802568</v>
      </c>
      <c r="J108" s="85">
        <f>IF(H108,An,'2026'!An_max)</f>
        <v>2020</v>
      </c>
      <c r="K108" s="196">
        <f t="shared" si="27"/>
        <v>46481</v>
      </c>
      <c r="L108" s="147">
        <f>IF(t&lt;Tvie,1-EXP((T0-t)*PertePVj)+'2026'!Pspv,1-EXP((T0-t)*PertePVj)+Pspv)</f>
        <v>6.7121953034447984E-2</v>
      </c>
      <c r="M108" s="847"/>
      <c r="N108" s="847"/>
      <c r="O108" s="48">
        <f>IF(t&lt;Tnet,'2026'!Resal+('2026'!Salim-'2026'!Resal)*(1-EXP(('2026'!Tnet-t)/('2026'!Tau_j))),Resal+(Salim-Resal)*(1-EXP((Tnet-t)/(Tau_j))))*Salcycl</f>
        <v>3.3966594781993736E-2</v>
      </c>
      <c r="P108" s="168">
        <f>(INDEX(Models!$BJ108:$BT108,,T108)*(1-R108)+INDEX(Models!$BJ108:$BT108,,T108+1)*R108-ERP_i)*Q108*Ramure*Pc/MaxiM</f>
        <v>9.1406582178044215E-5</v>
      </c>
      <c r="Q108" s="304">
        <f t="shared" si="28"/>
        <v>0.5</v>
      </c>
      <c r="R108" s="176">
        <f t="shared" si="29"/>
        <v>0.13736409714657455</v>
      </c>
      <c r="S108" s="814">
        <f t="shared" si="30"/>
        <v>0</v>
      </c>
      <c r="T108" s="175">
        <f t="shared" si="31"/>
        <v>6</v>
      </c>
      <c r="U108" s="250">
        <f t="shared" si="32"/>
        <v>0.13736409714657455</v>
      </c>
      <c r="V108" s="382">
        <f t="shared" si="33"/>
        <v>50.283914575352824</v>
      </c>
      <c r="W108" s="401">
        <f t="shared" si="34"/>
        <v>42.663862209187471</v>
      </c>
      <c r="X108" s="157">
        <f t="shared" si="35"/>
        <v>46481</v>
      </c>
      <c r="Y108" s="384">
        <f t="shared" si="36"/>
        <v>41.078424360792241</v>
      </c>
      <c r="Z108" s="384">
        <f t="shared" si="37"/>
        <v>44.034077652927259</v>
      </c>
      <c r="AA108" s="385">
        <f t="shared" si="38"/>
        <v>47.324548789340348</v>
      </c>
      <c r="AB108" s="196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6.9529899821343E-2</v>
      </c>
      <c r="AD108" s="230">
        <f>(INDEX(Models!$BJ108:$BT108,,AH108)*(1-AF108)+INDEX(Models!$BJ108:$BT108,,AH108+1)*AF108-ERP_i)*AE108*Ramure*Pc/MaxiM</f>
        <v>5.5170714212316493E-4</v>
      </c>
      <c r="AE108" s="304">
        <f t="shared" si="40"/>
        <v>0.5</v>
      </c>
      <c r="AF108" s="176">
        <f t="shared" si="41"/>
        <v>0.252356636970962</v>
      </c>
      <c r="AG108" s="814">
        <f t="shared" si="49"/>
        <v>2</v>
      </c>
      <c r="AH108" s="175">
        <f t="shared" si="42"/>
        <v>8</v>
      </c>
      <c r="AI108" s="224">
        <f t="shared" si="43"/>
        <v>2.252356636970962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10">
        <f>'2026'!Wh/'2026'!Env_an*'2027'!Env_an</f>
        <v>50.59401257451961</v>
      </c>
      <c r="C109" s="843"/>
      <c r="D109" s="392">
        <f t="shared" si="25"/>
        <v>54.235512858920877</v>
      </c>
      <c r="E109" s="384">
        <f t="shared" si="47"/>
        <v>56.146884070893741</v>
      </c>
      <c r="F109" s="384">
        <f t="shared" si="26"/>
        <v>56.151929184528953</v>
      </c>
      <c r="G109" s="110">
        <f t="shared" si="48"/>
        <v>1.0019058973129336</v>
      </c>
      <c r="H109" s="413" t="b">
        <f>Wh_hp&gt;='2026'!Maxi_hp</f>
        <v>0</v>
      </c>
      <c r="I109" s="389">
        <f>IF(H109,Wh_hp,'2026'!Maxi_hp)</f>
        <v>58.338550286510831</v>
      </c>
      <c r="J109" s="85">
        <f>IF(H109,An,'2026'!An_max)</f>
        <v>2020</v>
      </c>
      <c r="K109" s="196">
        <f t="shared" si="27"/>
        <v>46482</v>
      </c>
      <c r="L109" s="147">
        <f>IF(t&lt;Tvie,1-EXP((T0-t)*PertePVj)+'2026'!Pspv,1-EXP((T0-t)*PertePVj)+Pspv)</f>
        <v>6.714235917476527E-2</v>
      </c>
      <c r="M109" s="847"/>
      <c r="N109" s="847"/>
      <c r="O109" s="48">
        <f>IF(t&lt;Tnet,'2026'!Resal+('2026'!Salim-'2026'!Resal)*(1-EXP(('2026'!Tnet-t)/('2026'!Tau_j))),Resal+(Salim-Resal)*(1-EXP((Tnet-t)/(Tau_j))))*Salcycl</f>
        <v>3.4042338120838136E-2</v>
      </c>
      <c r="P109" s="168">
        <f>(INDEX(Models!$BJ109:$BT109,,T109)*(1-R109)+INDEX(Models!$BJ109:$BT109,,T109+1)*R109-ERP_i)*Q109*Ramure*Pc/MaxiM</f>
        <v>8.9847556592995213E-5</v>
      </c>
      <c r="Q109" s="304">
        <f t="shared" si="28"/>
        <v>0.5</v>
      </c>
      <c r="R109" s="176">
        <f t="shared" si="29"/>
        <v>0.13807218812338579</v>
      </c>
      <c r="S109" s="814">
        <f t="shared" si="30"/>
        <v>0</v>
      </c>
      <c r="T109" s="175">
        <f t="shared" si="31"/>
        <v>6</v>
      </c>
      <c r="U109" s="250">
        <f t="shared" si="32"/>
        <v>0.13807218812338579</v>
      </c>
      <c r="V109" s="382">
        <f t="shared" si="33"/>
        <v>50.497769012250011</v>
      </c>
      <c r="W109" s="401">
        <f t="shared" si="34"/>
        <v>50.59401257451961</v>
      </c>
      <c r="X109" s="157">
        <f t="shared" si="35"/>
        <v>46482</v>
      </c>
      <c r="Y109" s="384">
        <f t="shared" si="36"/>
        <v>48.710591175828185</v>
      </c>
      <c r="Z109" s="384">
        <f t="shared" si="37"/>
        <v>52.216532345425492</v>
      </c>
      <c r="AA109" s="385">
        <f t="shared" si="38"/>
        <v>56.121125762230747</v>
      </c>
      <c r="AB109" s="196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6.957439580502911E-2</v>
      </c>
      <c r="AD109" s="230">
        <f>(INDEX(Models!$BJ109:$BT109,,AH109)*(1-AF109)+INDEX(Models!$BJ109:$BT109,,AH109+1)*AF109-ERP_i)*AE109*Ramure*Pc/MaxiM</f>
        <v>5.4857282279619868E-4</v>
      </c>
      <c r="AE109" s="304">
        <f t="shared" si="40"/>
        <v>0.5</v>
      </c>
      <c r="AF109" s="176">
        <f t="shared" si="41"/>
        <v>0.25306472794777335</v>
      </c>
      <c r="AG109" s="814">
        <f t="shared" si="49"/>
        <v>2</v>
      </c>
      <c r="AH109" s="175">
        <f t="shared" si="42"/>
        <v>8</v>
      </c>
      <c r="AI109" s="224">
        <f t="shared" si="43"/>
        <v>2.2530647279477733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10">
        <f>'2026'!Wh/'2026'!Env_an*'2027'!Env_an</f>
        <v>11.305076682102865</v>
      </c>
      <c r="C110" s="843"/>
      <c r="D110" s="392">
        <f t="shared" si="25"/>
        <v>12.119023830030539</v>
      </c>
      <c r="E110" s="384">
        <f t="shared" si="47"/>
        <v>12.547111223696705</v>
      </c>
      <c r="F110" s="384">
        <f t="shared" si="26"/>
        <v>12.547111223696705</v>
      </c>
      <c r="G110" s="110">
        <f t="shared" si="48"/>
        <v>0.22293460666534237</v>
      </c>
      <c r="H110" s="413" t="b">
        <f>Wh_hp&gt;='2026'!Maxi_hp</f>
        <v>0</v>
      </c>
      <c r="I110" s="389">
        <f>IF(H110,Wh_hp,'2026'!Maxi_hp)</f>
        <v>58.925500878405153</v>
      </c>
      <c r="J110" s="85">
        <f>IF(H110,An,'2026'!An_max)</f>
        <v>2020</v>
      </c>
      <c r="K110" s="196">
        <f t="shared" si="27"/>
        <v>46483</v>
      </c>
      <c r="L110" s="147">
        <f>IF(t&lt;Tvie,1-EXP((T0-t)*PertePVj)+'2026'!Pspv,1-EXP((T0-t)*PertePVj)+Pspv)</f>
        <v>6.7162764868135633E-2</v>
      </c>
      <c r="M110" s="847"/>
      <c r="N110" s="847"/>
      <c r="O110" s="48">
        <f>IF(t&lt;Tnet,'2026'!Resal+('2026'!Salim-'2026'!Resal)*(1-EXP(('2026'!Tnet-t)/('2026'!Tau_j))),Resal+(Salim-Resal)*(1-EXP((Tnet-t)/(Tau_j))))*Salcycl</f>
        <v>3.4118402717086944E-2</v>
      </c>
      <c r="P110" s="168">
        <f>(INDEX(Models!$BJ110:$BT110,,T110)*(1-R110)+INDEX(Models!$BJ110:$BT110,,T110+1)*R110-ERP_i)*Q110*Ramure*Pc/MaxiM</f>
        <v>8.8243590497435944E-5</v>
      </c>
      <c r="Q110" s="304">
        <f t="shared" si="28"/>
        <v>0.5</v>
      </c>
      <c r="R110" s="176">
        <f t="shared" si="29"/>
        <v>0.13880621883720989</v>
      </c>
      <c r="S110" s="814">
        <f t="shared" si="30"/>
        <v>0</v>
      </c>
      <c r="T110" s="175">
        <f t="shared" si="31"/>
        <v>6</v>
      </c>
      <c r="U110" s="250">
        <f t="shared" si="32"/>
        <v>0.13880621883720989</v>
      </c>
      <c r="V110" s="382">
        <f t="shared" si="33"/>
        <v>50.705806741412168</v>
      </c>
      <c r="W110" s="401">
        <f t="shared" si="34"/>
        <v>11.305076682102865</v>
      </c>
      <c r="X110" s="157">
        <f t="shared" si="35"/>
        <v>46483</v>
      </c>
      <c r="Y110" s="384">
        <f t="shared" si="36"/>
        <v>10.889555732711244</v>
      </c>
      <c r="Z110" s="384">
        <f t="shared" si="37"/>
        <v>11.673586047593732</v>
      </c>
      <c r="AA110" s="385">
        <f t="shared" si="38"/>
        <v>12.547111223696705</v>
      </c>
      <c r="AB110" s="196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6.9619624830711407E-2</v>
      </c>
      <c r="AD110" s="230">
        <f>(INDEX(Models!$BJ110:$BT110,,AH110)*(1-AF110)+INDEX(Models!$BJ110:$BT110,,AH110+1)*AF110-ERP_i)*AE110*Ramure*Pc/MaxiM</f>
        <v>5.4512468327428244E-4</v>
      </c>
      <c r="AE110" s="304">
        <f t="shared" si="40"/>
        <v>0.5</v>
      </c>
      <c r="AF110" s="176">
        <f t="shared" si="41"/>
        <v>0.25379875866159729</v>
      </c>
      <c r="AG110" s="814">
        <f t="shared" si="49"/>
        <v>2</v>
      </c>
      <c r="AH110" s="175">
        <f t="shared" si="42"/>
        <v>8</v>
      </c>
      <c r="AI110" s="224">
        <f t="shared" si="43"/>
        <v>2.2537987586615973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10">
        <f>'2026'!Wh/'2026'!Env_an*'2027'!Env_an</f>
        <v>38.654915801097822</v>
      </c>
      <c r="C111" s="843"/>
      <c r="D111" s="392">
        <f t="shared" si="25"/>
        <v>41.438913367209977</v>
      </c>
      <c r="E111" s="384">
        <f t="shared" si="47"/>
        <v>42.906078189362916</v>
      </c>
      <c r="F111" s="384">
        <f t="shared" si="26"/>
        <v>42.908516228677598</v>
      </c>
      <c r="G111" s="110">
        <f t="shared" si="48"/>
        <v>0.75928767889961091</v>
      </c>
      <c r="H111" s="413" t="b">
        <f>Wh_hp&gt;='2026'!Maxi_hp</f>
        <v>0</v>
      </c>
      <c r="I111" s="389">
        <f>IF(H111,Wh_hp,'2026'!Maxi_hp)</f>
        <v>56.811227959193118</v>
      </c>
      <c r="J111" s="85">
        <f>IF(H111,An,'2026'!An_max)</f>
        <v>2021</v>
      </c>
      <c r="K111" s="196">
        <f t="shared" si="27"/>
        <v>46484</v>
      </c>
      <c r="L111" s="147">
        <f>IF(t&lt;Tvie,1-EXP((T0-t)*PertePVj)+'2026'!Pspv,1-EXP((T0-t)*PertePVj)+Pspv)</f>
        <v>6.7183170114568952E-2</v>
      </c>
      <c r="M111" s="847"/>
      <c r="N111" s="847"/>
      <c r="O111" s="48">
        <f>IF(t&lt;Tnet,'2026'!Resal+('2026'!Salim-'2026'!Resal)*(1-EXP(('2026'!Tnet-t)/('2026'!Tau_j))),Resal+(Salim-Resal)*(1-EXP((Tnet-t)/(Tau_j))))*Salcycl</f>
        <v>3.4194801391022212E-2</v>
      </c>
      <c r="P111" s="168">
        <f>(INDEX(Models!$BJ111:$BT111,,T111)*(1-R111)+INDEX(Models!$BJ111:$BT111,,T111+1)*R111-ERP_i)*Q111*Ramure*Pc/MaxiM</f>
        <v>8.6594253763176777E-5</v>
      </c>
      <c r="Q111" s="304">
        <f t="shared" si="28"/>
        <v>0.5</v>
      </c>
      <c r="R111" s="176">
        <f t="shared" si="29"/>
        <v>0.13956698677377932</v>
      </c>
      <c r="S111" s="814">
        <f t="shared" si="30"/>
        <v>0</v>
      </c>
      <c r="T111" s="175">
        <f t="shared" si="31"/>
        <v>6</v>
      </c>
      <c r="U111" s="250">
        <f t="shared" si="32"/>
        <v>0.13956698677377932</v>
      </c>
      <c r="V111" s="382">
        <f t="shared" si="33"/>
        <v>50.907931036238068</v>
      </c>
      <c r="W111" s="401">
        <f t="shared" si="34"/>
        <v>38.654915801097822</v>
      </c>
      <c r="X111" s="157">
        <f t="shared" si="35"/>
        <v>46484</v>
      </c>
      <c r="Y111" s="384">
        <f t="shared" si="36"/>
        <v>37.224137846022423</v>
      </c>
      <c r="Z111" s="384">
        <f t="shared" si="37"/>
        <v>39.905088173199346</v>
      </c>
      <c r="AA111" s="385">
        <f t="shared" si="38"/>
        <v>42.893274263242532</v>
      </c>
      <c r="AB111" s="196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6.9665609384451183E-2</v>
      </c>
      <c r="AD111" s="230">
        <f>(INDEX(Models!$BJ111:$BT111,,AH111)*(1-AF111)+INDEX(Models!$BJ111:$BT111,,AH111+1)*AF111-ERP_i)*AE111*Ramure*Pc/MaxiM</f>
        <v>5.4136396192906234E-4</v>
      </c>
      <c r="AE111" s="304">
        <f t="shared" si="40"/>
        <v>0.5</v>
      </c>
      <c r="AF111" s="176">
        <f t="shared" si="41"/>
        <v>0.25455952659816683</v>
      </c>
      <c r="AG111" s="814">
        <f t="shared" si="49"/>
        <v>2</v>
      </c>
      <c r="AH111" s="175">
        <f t="shared" si="42"/>
        <v>8</v>
      </c>
      <c r="AI111" s="224">
        <f t="shared" si="43"/>
        <v>2.2545595265981668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10">
        <f>'2026'!Wh/'2026'!Env_an*'2027'!Env_an</f>
        <v>30.67423823900835</v>
      </c>
      <c r="C112" s="843"/>
      <c r="D112" s="392">
        <f t="shared" si="25"/>
        <v>32.884172166700552</v>
      </c>
      <c r="E112" s="384">
        <f t="shared" si="47"/>
        <v>34.051158017502665</v>
      </c>
      <c r="F112" s="384">
        <f t="shared" si="26"/>
        <v>34.052397978162048</v>
      </c>
      <c r="G112" s="110">
        <f t="shared" si="48"/>
        <v>0.60020201503416382</v>
      </c>
      <c r="H112" s="413" t="b">
        <f>Wh_hp&gt;='2026'!Maxi_hp</f>
        <v>0</v>
      </c>
      <c r="I112" s="389">
        <f>IF(H112,Wh_hp,'2026'!Maxi_hp)</f>
        <v>54.816109955651925</v>
      </c>
      <c r="J112" s="85">
        <f>IF(H112,An,'2026'!An_max)</f>
        <v>2021</v>
      </c>
      <c r="K112" s="196">
        <f t="shared" si="27"/>
        <v>46485</v>
      </c>
      <c r="L112" s="147">
        <f>IF(t&lt;Tvie,1-EXP((T0-t)*PertePVj)+'2026'!Pspv,1-EXP((T0-t)*PertePVj)+Pspv)</f>
        <v>6.7203574914074998E-2</v>
      </c>
      <c r="M112" s="847"/>
      <c r="N112" s="847"/>
      <c r="O112" s="48">
        <f>IF(t&lt;Tnet,'2026'!Resal+('2026'!Salim-'2026'!Resal)*(1-EXP(('2026'!Tnet-t)/('2026'!Tau_j))),Resal+(Salim-Resal)*(1-EXP((Tnet-t)/(Tau_j))))*Salcycl</f>
        <v>3.4271546659360885E-2</v>
      </c>
      <c r="P112" s="168">
        <f>(INDEX(Models!$BJ112:$BT112,,T112)*(1-R112)+INDEX(Models!$BJ112:$BT112,,T112+1)*R112-ERP_i)*Q112*Ramure*Pc/MaxiM</f>
        <v>8.4898993469822426E-5</v>
      </c>
      <c r="Q112" s="304">
        <f t="shared" si="28"/>
        <v>0.5</v>
      </c>
      <c r="R112" s="176">
        <f t="shared" si="29"/>
        <v>0.14035530177042546</v>
      </c>
      <c r="S112" s="814">
        <f t="shared" si="30"/>
        <v>0</v>
      </c>
      <c r="T112" s="175">
        <f t="shared" si="31"/>
        <v>6</v>
      </c>
      <c r="U112" s="250">
        <f t="shared" si="32"/>
        <v>0.14035530177042546</v>
      </c>
      <c r="V112" s="382">
        <f t="shared" si="33"/>
        <v>51.1040452302056</v>
      </c>
      <c r="W112" s="401">
        <f t="shared" si="34"/>
        <v>30.67423823900835</v>
      </c>
      <c r="X112" s="157">
        <f t="shared" si="35"/>
        <v>46485</v>
      </c>
      <c r="Y112" s="384">
        <f t="shared" si="36"/>
        <v>29.542804909620845</v>
      </c>
      <c r="Z112" s="384">
        <f t="shared" si="37"/>
        <v>31.671224412014116</v>
      </c>
      <c r="AA112" s="385">
        <f t="shared" si="38"/>
        <v>34.0445507731162</v>
      </c>
      <c r="AB112" s="196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6.9712371207911947E-2</v>
      </c>
      <c r="AD112" s="230">
        <f>(INDEX(Models!$BJ112:$BT112,,AH112)*(1-AF112)+INDEX(Models!$BJ112:$BT112,,AH112+1)*AF112-ERP_i)*AE112*Ramure*Pc/MaxiM</f>
        <v>5.3729108653905247E-4</v>
      </c>
      <c r="AE112" s="304">
        <f t="shared" si="40"/>
        <v>0.5</v>
      </c>
      <c r="AF112" s="176">
        <f t="shared" si="41"/>
        <v>0.25534784159481294</v>
      </c>
      <c r="AG112" s="814">
        <f t="shared" si="49"/>
        <v>2</v>
      </c>
      <c r="AH112" s="175">
        <f t="shared" si="42"/>
        <v>8</v>
      </c>
      <c r="AI112" s="224">
        <f t="shared" si="43"/>
        <v>2.2553478415948129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10">
        <f>'2026'!Wh/'2026'!Env_an*'2027'!Env_an</f>
        <v>34.751160771456192</v>
      </c>
      <c r="C113" s="843"/>
      <c r="D113" s="392">
        <f t="shared" si="25"/>
        <v>37.255632648162717</v>
      </c>
      <c r="E113" s="384">
        <f t="shared" si="47"/>
        <v>38.580832176689405</v>
      </c>
      <c r="F113" s="384">
        <f t="shared" si="26"/>
        <v>38.582562379183237</v>
      </c>
      <c r="G113" s="110">
        <f t="shared" si="48"/>
        <v>0.67746312579462775</v>
      </c>
      <c r="H113" s="413" t="b">
        <f>Wh_hp&gt;='2026'!Maxi_hp</f>
        <v>0</v>
      </c>
      <c r="I113" s="389">
        <f>IF(H113,Wh_hp,'2026'!Maxi_hp)</f>
        <v>51.284257833174017</v>
      </c>
      <c r="J113" s="85">
        <f>IF(H113,An,'2026'!An_max)</f>
        <v>2020</v>
      </c>
      <c r="K113" s="196">
        <f t="shared" si="27"/>
        <v>46486</v>
      </c>
      <c r="L113" s="147">
        <f>IF(t&lt;Tvie,1-EXP((T0-t)*PertePVj)+'2026'!Pspv,1-EXP((T0-t)*PertePVj)+Pspv)</f>
        <v>6.7223979266663542E-2</v>
      </c>
      <c r="M113" s="847"/>
      <c r="N113" s="847"/>
      <c r="O113" s="48">
        <f>IF(t&lt;Tnet,'2026'!Resal+('2026'!Salim-'2026'!Resal)*(1-EXP(('2026'!Tnet-t)/('2026'!Tau_j))),Resal+(Salim-Resal)*(1-EXP((Tnet-t)/(Tau_j))))*Salcycl</f>
        <v>3.4348650709700702E-2</v>
      </c>
      <c r="P113" s="168">
        <f>(INDEX(Models!$BJ113:$BT113,,T113)*(1-R113)+INDEX(Models!$BJ113:$BT113,,T113+1)*R113-ERP_i)*Q113*Ramure*Pc/MaxiM</f>
        <v>8.3157133356466701E-5</v>
      </c>
      <c r="Q113" s="304">
        <f t="shared" si="28"/>
        <v>0.5</v>
      </c>
      <c r="R113" s="176">
        <f t="shared" si="29"/>
        <v>0.14117198516296509</v>
      </c>
      <c r="S113" s="814">
        <f t="shared" si="30"/>
        <v>0</v>
      </c>
      <c r="T113" s="175">
        <f t="shared" si="31"/>
        <v>6</v>
      </c>
      <c r="U113" s="250">
        <f t="shared" si="32"/>
        <v>0.14117198516296509</v>
      </c>
      <c r="V113" s="382">
        <f t="shared" si="33"/>
        <v>51.294052721459273</v>
      </c>
      <c r="W113" s="401">
        <f t="shared" si="34"/>
        <v>34.751160771456192</v>
      </c>
      <c r="X113" s="157">
        <f t="shared" si="35"/>
        <v>46486</v>
      </c>
      <c r="Y113" s="384">
        <f t="shared" si="36"/>
        <v>33.468685583722063</v>
      </c>
      <c r="Z113" s="384">
        <f t="shared" si="37"/>
        <v>35.880731107784499</v>
      </c>
      <c r="AA113" s="385">
        <f t="shared" si="38"/>
        <v>38.57147451852002</v>
      </c>
      <c r="AB113" s="196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6.9759931252915089E-2</v>
      </c>
      <c r="AD113" s="230">
        <f>(INDEX(Models!$BJ113:$BT113,,AH113)*(1-AF113)+INDEX(Models!$BJ113:$BT113,,AH113+1)*AF113-ERP_i)*AE113*Ramure*Pc/MaxiM</f>
        <v>5.3290566340918704E-4</v>
      </c>
      <c r="AE113" s="304">
        <f t="shared" si="40"/>
        <v>0.5</v>
      </c>
      <c r="AF113" s="176">
        <f t="shared" si="41"/>
        <v>0.25616452498735276</v>
      </c>
      <c r="AG113" s="814">
        <f t="shared" si="49"/>
        <v>2</v>
      </c>
      <c r="AH113" s="175">
        <f t="shared" si="42"/>
        <v>8</v>
      </c>
      <c r="AI113" s="224">
        <f t="shared" si="43"/>
        <v>2.2561645249873528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10">
        <f>'2026'!Wh/'2026'!Env_an*'2027'!Env_an</f>
        <v>51.721122638820589</v>
      </c>
      <c r="C114" s="843"/>
      <c r="D114" s="392">
        <f t="shared" si="25"/>
        <v>55.449810974847296</v>
      </c>
      <c r="E114" s="384">
        <f t="shared" si="47"/>
        <v>57.426792948788481</v>
      </c>
      <c r="F114" s="384">
        <f t="shared" si="26"/>
        <v>57.431465085598639</v>
      </c>
      <c r="G114" s="110">
        <f t="shared" si="48"/>
        <v>1.0047256205209432</v>
      </c>
      <c r="H114" s="413" t="b">
        <f>Wh_hp&gt;='2026'!Maxi_hp</f>
        <v>1</v>
      </c>
      <c r="I114" s="389">
        <f>IF(H114,Wh_hp,'2026'!Maxi_hp)</f>
        <v>57.431465085598639</v>
      </c>
      <c r="J114" s="85">
        <f>IF(H114,An,'2026'!An_max)</f>
        <v>2027</v>
      </c>
      <c r="K114" s="196">
        <f t="shared" si="27"/>
        <v>46487</v>
      </c>
      <c r="L114" s="147">
        <f>IF(t&lt;Tvie,1-EXP((T0-t)*PertePVj)+'2026'!Pspv,1-EXP((T0-t)*PertePVj)+Pspv)</f>
        <v>6.7244383172344463E-2</v>
      </c>
      <c r="M114" s="847"/>
      <c r="N114" s="847"/>
      <c r="O114" s="48">
        <f>IF(t&lt;Tnet,'2026'!Resal+('2026'!Salim-'2026'!Resal)*(1-EXP(('2026'!Tnet-t)/('2026'!Tau_j))),Resal+(Salim-Resal)*(1-EXP((Tnet-t)/(Tau_j))))*Salcycl</f>
        <v>3.4426125375035366E-2</v>
      </c>
      <c r="P114" s="168">
        <f>(INDEX(Models!$BJ114:$BT114,,T114)*(1-R114)+INDEX(Models!$BJ114:$BT114,,T114+1)*R114-ERP_i)*Q114*Ramure*Pc/MaxiM</f>
        <v>8.1351517033312107E-5</v>
      </c>
      <c r="Q114" s="304">
        <f t="shared" si="28"/>
        <v>0.5</v>
      </c>
      <c r="R114" s="176">
        <f t="shared" si="29"/>
        <v>0.14201786882677059</v>
      </c>
      <c r="S114" s="814">
        <f t="shared" si="30"/>
        <v>0</v>
      </c>
      <c r="T114" s="175">
        <f t="shared" si="31"/>
        <v>6</v>
      </c>
      <c r="U114" s="250">
        <f t="shared" si="32"/>
        <v>0.14201786882677059</v>
      </c>
      <c r="V114" s="382">
        <f t="shared" si="33"/>
        <v>51.477857817543821</v>
      </c>
      <c r="W114" s="401">
        <f t="shared" si="34"/>
        <v>51.721122638820589</v>
      </c>
      <c r="X114" s="157">
        <f t="shared" si="35"/>
        <v>46487</v>
      </c>
      <c r="Y114" s="384">
        <f t="shared" si="36"/>
        <v>49.803643093803977</v>
      </c>
      <c r="Z114" s="384">
        <f t="shared" si="37"/>
        <v>53.394096154776797</v>
      </c>
      <c r="AA114" s="385">
        <f t="shared" si="38"/>
        <v>57.401175164135012</v>
      </c>
      <c r="AB114" s="196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6.9808309636522778E-2</v>
      </c>
      <c r="AD114" s="230">
        <f>(INDEX(Models!$BJ114:$BT114,,AH114)*(1-AF114)+INDEX(Models!$BJ114:$BT114,,AH114+1)*AF114-ERP_i)*AE114*Ramure*Pc/MaxiM</f>
        <v>5.2740986876242556E-4</v>
      </c>
      <c r="AE114" s="304">
        <f t="shared" si="40"/>
        <v>0.5</v>
      </c>
      <c r="AF114" s="176">
        <f t="shared" si="41"/>
        <v>0.25701040865115798</v>
      </c>
      <c r="AG114" s="814">
        <f t="shared" si="49"/>
        <v>2</v>
      </c>
      <c r="AH114" s="175">
        <f t="shared" si="42"/>
        <v>8</v>
      </c>
      <c r="AI114" s="224">
        <f t="shared" si="43"/>
        <v>2.257010408651158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10">
        <f>'2026'!Wh/'2026'!Env_an*'2027'!Env_an</f>
        <v>39.251232398706591</v>
      </c>
      <c r="C115" s="843"/>
      <c r="D115" s="392">
        <f t="shared" si="25"/>
        <v>42.08185971336728</v>
      </c>
      <c r="E115" s="384">
        <f t="shared" si="47"/>
        <v>43.585741353188503</v>
      </c>
      <c r="F115" s="384">
        <f t="shared" si="26"/>
        <v>43.588017293047351</v>
      </c>
      <c r="G115" s="110">
        <f t="shared" si="48"/>
        <v>0.75984678098528369</v>
      </c>
      <c r="H115" s="413" t="b">
        <f>Wh_hp&gt;='2026'!Maxi_hp</f>
        <v>0</v>
      </c>
      <c r="I115" s="389">
        <f>IF(H115,Wh_hp,'2026'!Maxi_hp)</f>
        <v>57.80661489847374</v>
      </c>
      <c r="J115" s="85">
        <f>IF(H115,An,'2026'!An_max)</f>
        <v>2020</v>
      </c>
      <c r="K115" s="196">
        <f t="shared" si="27"/>
        <v>46488</v>
      </c>
      <c r="L115" s="147">
        <f>IF(t&lt;Tvie,1-EXP((T0-t)*PertePVj)+'2026'!Pspv,1-EXP((T0-t)*PertePVj)+Pspv)</f>
        <v>6.7264786631127421E-2</v>
      </c>
      <c r="M115" s="847"/>
      <c r="N115" s="847"/>
      <c r="O115" s="48">
        <f>IF(t&lt;Tnet,'2026'!Resal+('2026'!Salim-'2026'!Resal)*(1-EXP(('2026'!Tnet-t)/('2026'!Tau_j))),Resal+(Salim-Resal)*(1-EXP((Tnet-t)/(Tau_j))))*Salcycl</f>
        <v>3.4503982108158041E-2</v>
      </c>
      <c r="P115" s="168">
        <f>(INDEX(Models!$BJ115:$BT115,,T115)*(1-R115)+INDEX(Models!$BJ115:$BT115,,T115+1)*R115-ERP_i)*Q115*Ramure*Pc/MaxiM</f>
        <v>7.9480206925648794E-5</v>
      </c>
      <c r="Q115" s="304">
        <f t="shared" si="28"/>
        <v>0.5</v>
      </c>
      <c r="R115" s="176">
        <f t="shared" si="29"/>
        <v>0.14289379410630887</v>
      </c>
      <c r="S115" s="814">
        <f t="shared" si="30"/>
        <v>0</v>
      </c>
      <c r="T115" s="175">
        <f t="shared" si="31"/>
        <v>6</v>
      </c>
      <c r="U115" s="250">
        <f t="shared" si="32"/>
        <v>0.14289379410630887</v>
      </c>
      <c r="V115" s="382">
        <f t="shared" si="33"/>
        <v>51.65536411345029</v>
      </c>
      <c r="W115" s="401">
        <f t="shared" si="34"/>
        <v>39.251232398706591</v>
      </c>
      <c r="X115" s="157">
        <f t="shared" si="35"/>
        <v>46488</v>
      </c>
      <c r="Y115" s="384">
        <f t="shared" si="36"/>
        <v>37.803007211414929</v>
      </c>
      <c r="Z115" s="384">
        <f t="shared" si="37"/>
        <v>40.529194855716057</v>
      </c>
      <c r="AA115" s="385">
        <f t="shared" si="38"/>
        <v>43.573104089991773</v>
      </c>
      <c r="AB115" s="196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6.9857525596274062E-2</v>
      </c>
      <c r="AD115" s="230">
        <f>(INDEX(Models!$BJ115:$BT115,,AH115)*(1-AF115)+INDEX(Models!$BJ115:$BT115,,AH115+1)*AF115-ERP_i)*AE115*Ramure*Pc/MaxiM</f>
        <v>5.2079779708228964E-4</v>
      </c>
      <c r="AE115" s="304">
        <f t="shared" si="40"/>
        <v>0.5</v>
      </c>
      <c r="AF115" s="176">
        <f t="shared" si="41"/>
        <v>0.25788633393069649</v>
      </c>
      <c r="AG115" s="814">
        <f t="shared" si="49"/>
        <v>2</v>
      </c>
      <c r="AH115" s="175">
        <f t="shared" si="42"/>
        <v>8</v>
      </c>
      <c r="AI115" s="224">
        <f t="shared" si="43"/>
        <v>2.2578863339306965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10">
        <f>'2026'!Wh/'2026'!Env_an*'2027'!Env_an</f>
        <v>34.993285440825005</v>
      </c>
      <c r="C116" s="843"/>
      <c r="D116" s="392">
        <f t="shared" si="25"/>
        <v>37.517668908282943</v>
      </c>
      <c r="E116" s="384">
        <f t="shared" si="47"/>
        <v>38.861589407337469</v>
      </c>
      <c r="F116" s="384">
        <f t="shared" si="26"/>
        <v>38.863204638087637</v>
      </c>
      <c r="G116" s="110">
        <f t="shared" si="48"/>
        <v>0.67517665772565438</v>
      </c>
      <c r="H116" s="413" t="b">
        <f>Wh_hp&gt;='2026'!Maxi_hp</f>
        <v>0</v>
      </c>
      <c r="I116" s="389">
        <f>IF(H116,Wh_hp,'2026'!Maxi_hp)</f>
        <v>57.16977965777064</v>
      </c>
      <c r="J116" s="85">
        <f>IF(H116,An,'2026'!An_max)</f>
        <v>2019</v>
      </c>
      <c r="K116" s="196">
        <f t="shared" si="27"/>
        <v>46489</v>
      </c>
      <c r="L116" s="147">
        <f>IF(t&lt;Tvie,1-EXP((T0-t)*PertePVj)+'2026'!Pspv,1-EXP((T0-t)*PertePVj)+Pspv)</f>
        <v>6.7285189643022297E-2</v>
      </c>
      <c r="M116" s="847"/>
      <c r="N116" s="847"/>
      <c r="O116" s="48">
        <f>IF(t&lt;Tnet,'2026'!Resal+('2026'!Salim-'2026'!Resal)*(1-EXP(('2026'!Tnet-t)/('2026'!Tau_j))),Resal+(Salim-Resal)*(1-EXP((Tnet-t)/(Tau_j))))*Salcycl</f>
        <v>3.4582231955772223E-2</v>
      </c>
      <c r="P116" s="168">
        <f>(INDEX(Models!$BJ116:$BT116,,T116)*(1-R116)+INDEX(Models!$BJ116:$BT116,,T116+1)*R116-ERP_i)*Q116*Ramure*Pc/MaxiM</f>
        <v>7.7540763562157519E-5</v>
      </c>
      <c r="Q116" s="304">
        <f t="shared" si="28"/>
        <v>0.5</v>
      </c>
      <c r="R116" s="176">
        <f t="shared" si="29"/>
        <v>0.14380061062748584</v>
      </c>
      <c r="S116" s="814">
        <f t="shared" si="30"/>
        <v>0</v>
      </c>
      <c r="T116" s="175">
        <f t="shared" si="31"/>
        <v>6</v>
      </c>
      <c r="U116" s="250">
        <f t="shared" si="32"/>
        <v>0.14380061062748584</v>
      </c>
      <c r="V116" s="382">
        <f t="shared" si="33"/>
        <v>51.826475295573992</v>
      </c>
      <c r="W116" s="401">
        <f t="shared" si="34"/>
        <v>34.993285440825005</v>
      </c>
      <c r="X116" s="157">
        <f t="shared" si="35"/>
        <v>46489</v>
      </c>
      <c r="Y116" s="384">
        <f t="shared" si="36"/>
        <v>33.704984378203264</v>
      </c>
      <c r="Z116" s="384">
        <f t="shared" si="37"/>
        <v>36.136430990415349</v>
      </c>
      <c r="AA116" s="385">
        <f t="shared" si="38"/>
        <v>38.85251711674568</v>
      </c>
      <c r="AB116" s="196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6.9907597445203432E-2</v>
      </c>
      <c r="AD116" s="230">
        <f>(INDEX(Models!$BJ116:$BT116,,AH116)*(1-AF116)+INDEX(Models!$BJ116:$BT116,,AH116+1)*AF116-ERP_i)*AE116*Ramure*Pc/MaxiM</f>
        <v>5.1306512419700581E-4</v>
      </c>
      <c r="AE116" s="304">
        <f t="shared" si="40"/>
        <v>0.5</v>
      </c>
      <c r="AF116" s="176">
        <f t="shared" si="41"/>
        <v>0.25879315045187345</v>
      </c>
      <c r="AG116" s="814">
        <f t="shared" si="49"/>
        <v>2</v>
      </c>
      <c r="AH116" s="175">
        <f t="shared" si="42"/>
        <v>8</v>
      </c>
      <c r="AI116" s="224">
        <f t="shared" si="43"/>
        <v>2.2587931504518735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10">
        <f>'2026'!Wh/'2026'!Env_an*'2027'!Env_an</f>
        <v>6.8877046452273811</v>
      </c>
      <c r="C117" s="843"/>
      <c r="D117" s="392">
        <f t="shared" si="25"/>
        <v>7.3847388680427191</v>
      </c>
      <c r="E117" s="384">
        <f t="shared" si="47"/>
        <v>7.6498908594556232</v>
      </c>
      <c r="F117" s="384">
        <f t="shared" si="26"/>
        <v>7.6498908594556232</v>
      </c>
      <c r="G117" s="110">
        <f t="shared" si="48"/>
        <v>0.13246853900586933</v>
      </c>
      <c r="H117" s="413" t="b">
        <f>Wh_hp&gt;='2026'!Maxi_hp</f>
        <v>0</v>
      </c>
      <c r="I117" s="389">
        <f>IF(H117,Wh_hp,'2026'!Maxi_hp)</f>
        <v>58.311942637393507</v>
      </c>
      <c r="J117" s="85">
        <f>IF(H117,An,'2026'!An_max)</f>
        <v>2019</v>
      </c>
      <c r="K117" s="196">
        <f t="shared" si="27"/>
        <v>46490</v>
      </c>
      <c r="L117" s="147">
        <f>IF(t&lt;Tvie,1-EXP((T0-t)*PertePVj)+'2026'!Pspv,1-EXP((T0-t)*PertePVj)+Pspv)</f>
        <v>6.7305592208038861E-2</v>
      </c>
      <c r="M117" s="847"/>
      <c r="N117" s="847"/>
      <c r="O117" s="48">
        <f>IF(t&lt;Tnet,'2026'!Resal+('2026'!Salim-'2026'!Resal)*(1-EXP(('2026'!Tnet-t)/('2026'!Tau_j))),Resal+(Salim-Resal)*(1-EXP((Tnet-t)/(Tau_j))))*Salcycl</f>
        <v>3.466088553213327E-2</v>
      </c>
      <c r="P117" s="168">
        <f>(INDEX(Models!$BJ117:$BT117,,T117)*(1-R117)+INDEX(Models!$BJ117:$BT117,,T117+1)*R117-ERP_i)*Q117*Ramure*Pc/MaxiM</f>
        <v>7.5530497163516752E-5</v>
      </c>
      <c r="Q117" s="304">
        <f t="shared" si="28"/>
        <v>0.5</v>
      </c>
      <c r="R117" s="176">
        <f t="shared" si="29"/>
        <v>0.14473917498723879</v>
      </c>
      <c r="S117" s="814">
        <f t="shared" si="30"/>
        <v>0</v>
      </c>
      <c r="T117" s="175">
        <f t="shared" si="31"/>
        <v>6</v>
      </c>
      <c r="U117" s="250">
        <f t="shared" si="32"/>
        <v>0.14473917498723879</v>
      </c>
      <c r="V117" s="382">
        <f t="shared" si="33"/>
        <v>51.991095132151038</v>
      </c>
      <c r="W117" s="401">
        <f t="shared" si="34"/>
        <v>6.8877046452273811</v>
      </c>
      <c r="X117" s="157">
        <f t="shared" si="35"/>
        <v>46490</v>
      </c>
      <c r="Y117" s="384">
        <f t="shared" si="36"/>
        <v>6.6358554946019241</v>
      </c>
      <c r="Z117" s="384">
        <f t="shared" si="37"/>
        <v>7.1147156444429562</v>
      </c>
      <c r="AA117" s="385">
        <f t="shared" si="38"/>
        <v>7.6498908594556232</v>
      </c>
      <c r="AB117" s="196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6.995854252628525E-2</v>
      </c>
      <c r="AD117" s="230">
        <f>(INDEX(Models!$BJ117:$BT117,,AH117)*(1-AF117)+INDEX(Models!$BJ117:$BT117,,AH117+1)*AF117-ERP_i)*AE117*Ramure*Pc/MaxiM</f>
        <v>5.0420521948862213E-4</v>
      </c>
      <c r="AE117" s="304">
        <f t="shared" si="40"/>
        <v>0.5</v>
      </c>
      <c r="AF117" s="176">
        <f t="shared" si="41"/>
        <v>0.25973171481162627</v>
      </c>
      <c r="AG117" s="814">
        <f t="shared" si="49"/>
        <v>2</v>
      </c>
      <c r="AH117" s="175">
        <f t="shared" si="42"/>
        <v>8</v>
      </c>
      <c r="AI117" s="224">
        <f t="shared" si="43"/>
        <v>2.2597317148116263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10">
        <f>'2026'!Wh/'2026'!Env_an*'2027'!Env_an</f>
        <v>38.388318301297865</v>
      </c>
      <c r="C118" s="843"/>
      <c r="D118" s="392">
        <f t="shared" si="25"/>
        <v>41.159416975027746</v>
      </c>
      <c r="E118" s="384">
        <f t="shared" si="47"/>
        <v>42.640754792049137</v>
      </c>
      <c r="F118" s="384">
        <f t="shared" si="26"/>
        <v>42.642706115931496</v>
      </c>
      <c r="G118" s="110">
        <f t="shared" si="48"/>
        <v>0.73610542048153005</v>
      </c>
      <c r="H118" s="413" t="b">
        <f>Wh_hp&gt;='2026'!Maxi_hp</f>
        <v>0</v>
      </c>
      <c r="I118" s="389">
        <f>IF(H118,Wh_hp,'2026'!Maxi_hp)</f>
        <v>57.317133350603086</v>
      </c>
      <c r="J118" s="85">
        <f>IF(H118,An,'2026'!An_max)</f>
        <v>2021</v>
      </c>
      <c r="K118" s="196">
        <f t="shared" si="27"/>
        <v>46491</v>
      </c>
      <c r="L118" s="147">
        <f>IF(t&lt;Tvie,1-EXP((T0-t)*PertePVj)+'2026'!Pspv,1-EXP((T0-t)*PertePVj)+Pspv)</f>
        <v>6.7325994326186883E-2</v>
      </c>
      <c r="M118" s="847"/>
      <c r="N118" s="847"/>
      <c r="O118" s="48">
        <f>IF(t&lt;Tnet,'2026'!Resal+('2026'!Salim-'2026'!Resal)*(1-EXP(('2026'!Tnet-t)/('2026'!Tau_j))),Resal+(Salim-Resal)*(1-EXP((Tnet-t)/(Tau_j))))*Salcycl</f>
        <v>3.4739952992051654E-2</v>
      </c>
      <c r="P118" s="168">
        <f>(INDEX(Models!$BJ118:$BT118,,T118)*(1-R118)+INDEX(Models!$BJ118:$BT118,,T118+1)*R118-ERP_i)*Q118*Ramure*Pc/MaxiM</f>
        <v>7.3446458809136965E-5</v>
      </c>
      <c r="Q118" s="304">
        <f t="shared" si="28"/>
        <v>0.5</v>
      </c>
      <c r="R118" s="176">
        <f t="shared" si="29"/>
        <v>0.14571034931497692</v>
      </c>
      <c r="S118" s="814">
        <f t="shared" si="30"/>
        <v>0</v>
      </c>
      <c r="T118" s="175">
        <f t="shared" si="31"/>
        <v>6</v>
      </c>
      <c r="U118" s="250">
        <f t="shared" si="32"/>
        <v>0.14571034931497692</v>
      </c>
      <c r="V118" s="382">
        <f t="shared" si="33"/>
        <v>52.149127478560523</v>
      </c>
      <c r="W118" s="401">
        <f t="shared" si="34"/>
        <v>38.388318301297865</v>
      </c>
      <c r="X118" s="157">
        <f t="shared" si="35"/>
        <v>46491</v>
      </c>
      <c r="Y118" s="384">
        <f t="shared" si="36"/>
        <v>36.975919980562971</v>
      </c>
      <c r="Z118" s="384">
        <f t="shared" si="37"/>
        <v>39.645063286447666</v>
      </c>
      <c r="AA118" s="385">
        <f t="shared" si="38"/>
        <v>42.629575979174952</v>
      </c>
      <c r="AB118" s="196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7.0010377165967017E-2</v>
      </c>
      <c r="AD118" s="230">
        <f>(INDEX(Models!$BJ118:$BT118,,AH118)*(1-AF118)+INDEX(Models!$BJ118:$BT118,,AH118+1)*AF118-ERP_i)*AE118*Ramure*Pc/MaxiM</f>
        <v>4.9420911472816307E-4</v>
      </c>
      <c r="AE118" s="304">
        <f t="shared" si="40"/>
        <v>0.5</v>
      </c>
      <c r="AF118" s="176">
        <f t="shared" si="41"/>
        <v>0.26070288913936457</v>
      </c>
      <c r="AG118" s="814">
        <f t="shared" si="49"/>
        <v>2</v>
      </c>
      <c r="AH118" s="175">
        <f t="shared" si="42"/>
        <v>8</v>
      </c>
      <c r="AI118" s="224">
        <f t="shared" si="43"/>
        <v>2.2607028891393646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10">
        <f>'2026'!Wh/'2026'!Env_an*'2027'!Env_an</f>
        <v>42.28165931774587</v>
      </c>
      <c r="C119" s="843"/>
      <c r="D119" s="392">
        <f t="shared" si="25"/>
        <v>45.334794329097399</v>
      </c>
      <c r="E119" s="384">
        <f t="shared" si="47"/>
        <v>46.970273123947067</v>
      </c>
      <c r="F119" s="384">
        <f t="shared" si="26"/>
        <v>46.972705248288769</v>
      </c>
      <c r="G119" s="110">
        <f t="shared" si="48"/>
        <v>0.80842159484455678</v>
      </c>
      <c r="H119" s="413" t="b">
        <f>Wh_hp&gt;='2026'!Maxi_hp</f>
        <v>0</v>
      </c>
      <c r="I119" s="389">
        <f>IF(H119,Wh_hp,'2026'!Maxi_hp)</f>
        <v>57.589029120758397</v>
      </c>
      <c r="J119" s="85">
        <f>IF(H119,An,'2026'!An_max)</f>
        <v>2021</v>
      </c>
      <c r="K119" s="196">
        <f t="shared" si="27"/>
        <v>46492</v>
      </c>
      <c r="L119" s="147">
        <f>IF(t&lt;Tvie,1-EXP((T0-t)*PertePVj)+'2026'!Pspv,1-EXP((T0-t)*PertePVj)+Pspv)</f>
        <v>6.7346395997476133E-2</v>
      </c>
      <c r="M119" s="847"/>
      <c r="N119" s="847"/>
      <c r="O119" s="48">
        <f>IF(t&lt;Tnet,'2026'!Resal+('2026'!Salim-'2026'!Resal)*(1-EXP(('2026'!Tnet-t)/('2026'!Tau_j))),Resal+(Salim-Resal)*(1-EXP((Tnet-t)/(Tau_j))))*Salcycl</f>
        <v>3.4819444003101774E-2</v>
      </c>
      <c r="P119" s="168">
        <f>(INDEX(Models!$BJ119:$BT119,,T119)*(1-R119)+INDEX(Models!$BJ119:$BT119,,T119+1)*R119-ERP_i)*Q119*Ramure*Pc/MaxiM</f>
        <v>7.1285431185223749E-5</v>
      </c>
      <c r="Q119" s="304">
        <f t="shared" si="28"/>
        <v>0.5</v>
      </c>
      <c r="R119" s="176">
        <f t="shared" si="29"/>
        <v>0.14671499970069582</v>
      </c>
      <c r="S119" s="814">
        <f t="shared" si="30"/>
        <v>0</v>
      </c>
      <c r="T119" s="175">
        <f t="shared" si="31"/>
        <v>6</v>
      </c>
      <c r="U119" s="250">
        <f t="shared" si="32"/>
        <v>0.14671499970069582</v>
      </c>
      <c r="V119" s="382">
        <f t="shared" si="33"/>
        <v>52.300476276924378</v>
      </c>
      <c r="W119" s="401">
        <f t="shared" si="34"/>
        <v>42.28165931774587</v>
      </c>
      <c r="X119" s="157">
        <f t="shared" si="35"/>
        <v>46492</v>
      </c>
      <c r="Y119" s="384">
        <f t="shared" si="36"/>
        <v>40.725554983936277</v>
      </c>
      <c r="Z119" s="384">
        <f t="shared" si="37"/>
        <v>43.666324570194952</v>
      </c>
      <c r="AA119" s="385">
        <f t="shared" si="38"/>
        <v>46.956223966284043</v>
      </c>
      <c r="AB119" s="196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7.0063116626484651E-2</v>
      </c>
      <c r="AD119" s="230">
        <f>(INDEX(Models!$BJ119:$BT119,,AH119)*(1-AF119)+INDEX(Models!$BJ119:$BT119,,AH119+1)*AF119-ERP_i)*AE119*Ramure*Pc/MaxiM</f>
        <v>4.8306547245472126E-4</v>
      </c>
      <c r="AE119" s="304">
        <f t="shared" si="40"/>
        <v>0.5</v>
      </c>
      <c r="AF119" s="176">
        <f t="shared" si="41"/>
        <v>0.26170753952508319</v>
      </c>
      <c r="AG119" s="814">
        <f t="shared" si="49"/>
        <v>2</v>
      </c>
      <c r="AH119" s="175">
        <f t="shared" si="42"/>
        <v>8</v>
      </c>
      <c r="AI119" s="224">
        <f t="shared" si="43"/>
        <v>2.2617075395250832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10">
        <f>'2026'!Wh/'2026'!Env_an*'2027'!Env_an</f>
        <v>43.468445755990409</v>
      </c>
      <c r="C120" s="843"/>
      <c r="D120" s="392">
        <f t="shared" si="25"/>
        <v>46.608297481269879</v>
      </c>
      <c r="E120" s="384">
        <f t="shared" si="47"/>
        <v>48.293717693470242</v>
      </c>
      <c r="F120" s="384">
        <f t="shared" si="26"/>
        <v>48.29623689740805</v>
      </c>
      <c r="G120" s="110">
        <f t="shared" si="48"/>
        <v>0.82882398897994114</v>
      </c>
      <c r="H120" s="413" t="b">
        <f>Wh_hp&gt;='2026'!Maxi_hp</f>
        <v>0</v>
      </c>
      <c r="I120" s="389">
        <f>IF(H120,Wh_hp,'2026'!Maxi_hp)</f>
        <v>51.189407245873092</v>
      </c>
      <c r="J120" s="85">
        <f>IF(H120,An,'2026'!An_max)</f>
        <v>2020</v>
      </c>
      <c r="K120" s="196">
        <f t="shared" si="27"/>
        <v>46493</v>
      </c>
      <c r="L120" s="147">
        <f>IF(t&lt;Tvie,1-EXP((T0-t)*PertePVj)+'2026'!Pspv,1-EXP((T0-t)*PertePVj)+Pspv)</f>
        <v>6.7366797221916491E-2</v>
      </c>
      <c r="M120" s="847"/>
      <c r="N120" s="847"/>
      <c r="O120" s="48">
        <f>IF(t&lt;Tnet,'2026'!Resal+('2026'!Salim-'2026'!Resal)*(1-EXP(('2026'!Tnet-t)/('2026'!Tau_j))),Resal+(Salim-Resal)*(1-EXP((Tnet-t)/(Tau_j))))*Salcycl</f>
        <v>3.4899367716895613E-2</v>
      </c>
      <c r="P120" s="168">
        <f>(INDEX(Models!$BJ120:$BT120,,T120)*(1-R120)+INDEX(Models!$BJ120:$BT120,,T120+1)*R120-ERP_i)*Q120*Ramure*Pc/MaxiM</f>
        <v>6.9043918882932047E-5</v>
      </c>
      <c r="Q120" s="304">
        <f t="shared" si="28"/>
        <v>0.5</v>
      </c>
      <c r="R120" s="176">
        <f t="shared" si="29"/>
        <v>0.14775399448488127</v>
      </c>
      <c r="S120" s="814">
        <f t="shared" si="30"/>
        <v>0</v>
      </c>
      <c r="T120" s="175">
        <f t="shared" si="31"/>
        <v>6</v>
      </c>
      <c r="U120" s="250">
        <f t="shared" si="32"/>
        <v>0.14775399448488127</v>
      </c>
      <c r="V120" s="382">
        <f t="shared" si="33"/>
        <v>52.445045562081674</v>
      </c>
      <c r="W120" s="401">
        <f t="shared" si="34"/>
        <v>43.468445755990409</v>
      </c>
      <c r="X120" s="157">
        <f t="shared" si="35"/>
        <v>46493</v>
      </c>
      <c r="Y120" s="384">
        <f t="shared" si="36"/>
        <v>41.869530791958873</v>
      </c>
      <c r="Z120" s="384">
        <f t="shared" si="37"/>
        <v>44.893888258792316</v>
      </c>
      <c r="AA120" s="385">
        <f t="shared" si="38"/>
        <v>48.279060267518119</v>
      </c>
      <c r="AB120" s="196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7.0116775056687036E-2</v>
      </c>
      <c r="AD120" s="230">
        <f>(INDEX(Models!$BJ120:$BT120,,AH120)*(1-AF120)+INDEX(Models!$BJ120:$BT120,,AH120+1)*AF120-ERP_i)*AE120*Ramure*Pc/MaxiM</f>
        <v>4.7076055376208195E-4</v>
      </c>
      <c r="AE120" s="304">
        <f t="shared" si="40"/>
        <v>0.5</v>
      </c>
      <c r="AF120" s="176">
        <f t="shared" si="41"/>
        <v>0.26274653430926875</v>
      </c>
      <c r="AG120" s="814">
        <f t="shared" si="49"/>
        <v>2</v>
      </c>
      <c r="AH120" s="175">
        <f t="shared" si="42"/>
        <v>8</v>
      </c>
      <c r="AI120" s="224">
        <f t="shared" si="43"/>
        <v>2.2627465343092688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10">
        <f>'2026'!Wh/'2026'!Env_an*'2027'!Env_an</f>
        <v>51.462942039327132</v>
      </c>
      <c r="C121" s="843"/>
      <c r="D121" s="392">
        <f t="shared" si="25"/>
        <v>55.181466444528297</v>
      </c>
      <c r="E121" s="384">
        <f t="shared" si="47"/>
        <v>57.181665832953009</v>
      </c>
      <c r="F121" s="384">
        <f t="shared" si="26"/>
        <v>57.185365165471154</v>
      </c>
      <c r="G121" s="110">
        <f t="shared" si="48"/>
        <v>0.97871329384356009</v>
      </c>
      <c r="H121" s="413" t="b">
        <f>Wh_hp&gt;='2026'!Maxi_hp</f>
        <v>0</v>
      </c>
      <c r="I121" s="389">
        <f>IF(H121,Wh_hp,'2026'!Maxi_hp)</f>
        <v>57.185478888145539</v>
      </c>
      <c r="J121" s="85">
        <f>IF(H121,An,'2026'!An_max)</f>
        <v>2025</v>
      </c>
      <c r="K121" s="196">
        <f t="shared" si="27"/>
        <v>46494</v>
      </c>
      <c r="L121" s="147">
        <f>IF(t&lt;Tvie,1-EXP((T0-t)*PertePVj)+'2026'!Pspv,1-EXP((T0-t)*PertePVj)+Pspv)</f>
        <v>6.7387197999517617E-2</v>
      </c>
      <c r="M121" s="847"/>
      <c r="N121" s="847"/>
      <c r="O121" s="48">
        <f>IF(t&lt;Tnet,'2026'!Resal+('2026'!Salim-'2026'!Resal)*(1-EXP(('2026'!Tnet-t)/('2026'!Tau_j))),Resal+(Salim-Resal)*(1-EXP((Tnet-t)/(Tau_j))))*Salcycl</f>
        <v>3.4979732739300884E-2</v>
      </c>
      <c r="P121" s="168">
        <f>(INDEX(Models!$BJ121:$BT121,,T121)*(1-R121)+INDEX(Models!$BJ121:$BT121,,T121+1)*R121-ERP_i)*Q121*Ramure*Pc/MaxiM</f>
        <v>6.6718901171166031E-5</v>
      </c>
      <c r="Q121" s="304">
        <f t="shared" si="28"/>
        <v>0.5</v>
      </c>
      <c r="R121" s="176">
        <f t="shared" si="29"/>
        <v>0.14882820240568734</v>
      </c>
      <c r="S121" s="814">
        <f t="shared" si="30"/>
        <v>0</v>
      </c>
      <c r="T121" s="175">
        <f t="shared" si="31"/>
        <v>6</v>
      </c>
      <c r="U121" s="250">
        <f t="shared" si="32"/>
        <v>0.14882820240568734</v>
      </c>
      <c r="V121" s="382">
        <f t="shared" si="33"/>
        <v>52.582138153418889</v>
      </c>
      <c r="W121" s="401">
        <f t="shared" si="34"/>
        <v>51.462942039327132</v>
      </c>
      <c r="X121" s="157">
        <f t="shared" si="35"/>
        <v>46494</v>
      </c>
      <c r="Y121" s="384">
        <f t="shared" si="36"/>
        <v>49.567451246218944</v>
      </c>
      <c r="Z121" s="384">
        <f t="shared" si="37"/>
        <v>53.149014403292853</v>
      </c>
      <c r="AA121" s="385">
        <f t="shared" si="38"/>
        <v>57.160010380308975</v>
      </c>
      <c r="AB121" s="196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7.01713654411419E-2</v>
      </c>
      <c r="AD121" s="230">
        <f>(INDEX(Models!$BJ121:$BT121,,AH121)*(1-AF121)+INDEX(Models!$BJ121:$BT121,,AH121+1)*AF121-ERP_i)*AE121*Ramure*Pc/MaxiM</f>
        <v>4.5728341454972306E-4</v>
      </c>
      <c r="AE121" s="304">
        <f t="shared" si="40"/>
        <v>0.5</v>
      </c>
      <c r="AF121" s="176">
        <f t="shared" si="41"/>
        <v>0.26382074223007468</v>
      </c>
      <c r="AG121" s="814">
        <f t="shared" si="49"/>
        <v>2</v>
      </c>
      <c r="AH121" s="175">
        <f t="shared" si="42"/>
        <v>8</v>
      </c>
      <c r="AI121" s="224">
        <f t="shared" si="43"/>
        <v>2.2638207422300747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10">
        <f>'2026'!Wh/'2026'!Env_an*'2027'!Env_an</f>
        <v>38.7071286985379</v>
      </c>
      <c r="C122" s="843"/>
      <c r="D122" s="392">
        <f t="shared" si="25"/>
        <v>41.504872470799434</v>
      </c>
      <c r="E122" s="384">
        <f t="shared" si="47"/>
        <v>43.012929304570044</v>
      </c>
      <c r="F122" s="384">
        <f t="shared" si="26"/>
        <v>43.014651589509377</v>
      </c>
      <c r="G122" s="110">
        <f t="shared" si="48"/>
        <v>0.73430419996302188</v>
      </c>
      <c r="H122" s="413" t="b">
        <f>Wh_hp&gt;='2026'!Maxi_hp</f>
        <v>0</v>
      </c>
      <c r="I122" s="389">
        <f>IF(H122,Wh_hp,'2026'!Maxi_hp)</f>
        <v>43.01568281475236</v>
      </c>
      <c r="J122" s="85">
        <f>IF(H122,An,'2026'!An_max)</f>
        <v>2025</v>
      </c>
      <c r="K122" s="196">
        <f t="shared" si="27"/>
        <v>46495</v>
      </c>
      <c r="L122" s="147">
        <f>IF(t&lt;Tvie,1-EXP((T0-t)*PertePVj)+'2026'!Pspv,1-EXP((T0-t)*PertePVj)+Pspv)</f>
        <v>6.7407598330289392E-2</v>
      </c>
      <c r="M122" s="847"/>
      <c r="N122" s="847"/>
      <c r="O122" s="48">
        <f>IF(t&lt;Tnet,'2026'!Resal+('2026'!Salim-'2026'!Resal)*(1-EXP(('2026'!Tnet-t)/('2026'!Tau_j))),Resal+(Salim-Resal)*(1-EXP((Tnet-t)/(Tau_j))))*Salcycl</f>
        <v>3.5060547099506269E-2</v>
      </c>
      <c r="P122" s="168">
        <f>(INDEX(Models!$BJ122:$BT122,,T122)*(1-R122)+INDEX(Models!$BJ122:$BT122,,T122+1)*R122-ERP_i)*Q122*Ramure*Pc/MaxiM</f>
        <v>6.4531924914228793E-5</v>
      </c>
      <c r="Q122" s="304">
        <f t="shared" si="28"/>
        <v>0.5</v>
      </c>
      <c r="R122" s="176">
        <f t="shared" si="29"/>
        <v>0.14993849059932107</v>
      </c>
      <c r="S122" s="814">
        <f t="shared" si="30"/>
        <v>0</v>
      </c>
      <c r="T122" s="175">
        <f t="shared" si="31"/>
        <v>6</v>
      </c>
      <c r="U122" s="250">
        <f t="shared" si="32"/>
        <v>0.14993849059932107</v>
      </c>
      <c r="V122" s="382">
        <f t="shared" si="33"/>
        <v>52.711370343382065</v>
      </c>
      <c r="W122" s="401">
        <f t="shared" si="34"/>
        <v>38.7071286985379</v>
      </c>
      <c r="X122" s="157">
        <f t="shared" si="35"/>
        <v>46495</v>
      </c>
      <c r="Y122" s="384">
        <f t="shared" si="36"/>
        <v>37.287710061044912</v>
      </c>
      <c r="Z122" s="384">
        <f t="shared" si="37"/>
        <v>39.982858528854742</v>
      </c>
      <c r="AA122" s="385">
        <f t="shared" si="38"/>
        <v>43.002812739354617</v>
      </c>
      <c r="AB122" s="196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7.0226899547343374E-2</v>
      </c>
      <c r="AD122" s="230">
        <f>(INDEX(Models!$BJ122:$BT122,,AH122)*(1-AF122)+INDEX(Models!$BJ122:$BT122,,AH122+1)*AF122-ERP_i)*AE122*Ramure*Pc/MaxiM</f>
        <v>4.4358733668939349E-4</v>
      </c>
      <c r="AE122" s="304">
        <f t="shared" si="40"/>
        <v>0.5</v>
      </c>
      <c r="AF122" s="176">
        <f t="shared" si="41"/>
        <v>0.26493103042370869</v>
      </c>
      <c r="AG122" s="814">
        <f t="shared" si="49"/>
        <v>2</v>
      </c>
      <c r="AH122" s="175">
        <f t="shared" si="42"/>
        <v>8</v>
      </c>
      <c r="AI122" s="224">
        <f t="shared" si="43"/>
        <v>2.2649310304237087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10">
        <f>'2026'!Wh/'2026'!Env_an*'2027'!Env_an</f>
        <v>10.301638143003927</v>
      </c>
      <c r="C123" s="843"/>
      <c r="D123" s="392">
        <f t="shared" si="25"/>
        <v>11.04648018949484</v>
      </c>
      <c r="E123" s="384">
        <f t="shared" si="47"/>
        <v>11.448812269064755</v>
      </c>
      <c r="F123" s="384">
        <f t="shared" si="26"/>
        <v>11.448812269064755</v>
      </c>
      <c r="G123" s="110">
        <f t="shared" si="48"/>
        <v>0.19497224027811977</v>
      </c>
      <c r="H123" s="413" t="b">
        <f>Wh_hp&gt;='2026'!Maxi_hp</f>
        <v>0</v>
      </c>
      <c r="I123" s="389">
        <f>IF(H123,Wh_hp,'2026'!Maxi_hp)</f>
        <v>57.532999013855843</v>
      </c>
      <c r="J123" s="85">
        <f>IF(H123,An,'2026'!An_max)</f>
        <v>2021</v>
      </c>
      <c r="K123" s="196">
        <f t="shared" si="27"/>
        <v>46496</v>
      </c>
      <c r="L123" s="147">
        <f>IF(t&lt;Tvie,1-EXP((T0-t)*PertePVj)+'2026'!Pspv,1-EXP((T0-t)*PertePVj)+Pspv)</f>
        <v>6.7427998214241586E-2</v>
      </c>
      <c r="M123" s="847"/>
      <c r="N123" s="847"/>
      <c r="O123" s="48">
        <f>IF(t&lt;Tnet,'2026'!Resal+('2026'!Salim-'2026'!Resal)*(1-EXP(('2026'!Tnet-t)/('2026'!Tau_j))),Resal+(Salim-Resal)*(1-EXP((Tnet-t)/(Tau_j))))*Salcycl</f>
        <v>3.514181821786308E-2</v>
      </c>
      <c r="P123" s="168">
        <f>(INDEX(Models!$BJ123:$BT123,,T123)*(1-R123)+INDEX(Models!$BJ123:$BT123,,T123+1)*R123-ERP_i)*Q123*Ramure*Pc/MaxiM</f>
        <v>6.2557716077989118E-5</v>
      </c>
      <c r="Q123" s="304">
        <f t="shared" si="28"/>
        <v>0.5</v>
      </c>
      <c r="R123" s="176">
        <f t="shared" si="29"/>
        <v>0.15108572245010321</v>
      </c>
      <c r="S123" s="814">
        <f t="shared" si="30"/>
        <v>0</v>
      </c>
      <c r="T123" s="175">
        <f t="shared" si="31"/>
        <v>6</v>
      </c>
      <c r="U123" s="250">
        <f t="shared" si="32"/>
        <v>0.15108572245010321</v>
      </c>
      <c r="V123" s="382">
        <f t="shared" si="33"/>
        <v>52.833129892521633</v>
      </c>
      <c r="W123" s="401">
        <f t="shared" si="34"/>
        <v>10.301638143003927</v>
      </c>
      <c r="X123" s="157">
        <f t="shared" si="35"/>
        <v>46496</v>
      </c>
      <c r="Y123" s="384">
        <f t="shared" si="36"/>
        <v>9.9264371640641382</v>
      </c>
      <c r="Z123" s="384">
        <f t="shared" si="37"/>
        <v>10.644150955696993</v>
      </c>
      <c r="AA123" s="385">
        <f t="shared" si="38"/>
        <v>11.448812269064755</v>
      </c>
      <c r="AB123" s="196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7.0283387870896857E-2</v>
      </c>
      <c r="AD123" s="230">
        <f>(INDEX(Models!$BJ123:$BT123,,AH123)*(1-AF123)+INDEX(Models!$BJ123:$BT123,,AH123+1)*AF123-ERP_i)*AE123*Ramure*Pc/MaxiM</f>
        <v>4.3013791222361135E-4</v>
      </c>
      <c r="AE123" s="304">
        <f t="shared" si="40"/>
        <v>0.5</v>
      </c>
      <c r="AF123" s="176">
        <f t="shared" si="41"/>
        <v>0.26607826227449083</v>
      </c>
      <c r="AG123" s="814">
        <f t="shared" si="49"/>
        <v>2</v>
      </c>
      <c r="AH123" s="175">
        <f t="shared" si="42"/>
        <v>8</v>
      </c>
      <c r="AI123" s="224">
        <f t="shared" si="43"/>
        <v>2.2660782622744908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10">
        <f>'2026'!Wh/'2026'!Env_an*'2027'!Env_an</f>
        <v>9.6886854500512545</v>
      </c>
      <c r="C124" s="843"/>
      <c r="D124" s="392">
        <f t="shared" si="25"/>
        <v>10.389436279612257</v>
      </c>
      <c r="E124" s="384">
        <f t="shared" si="47"/>
        <v>10.768749911489946</v>
      </c>
      <c r="F124" s="384">
        <f t="shared" si="26"/>
        <v>10.768749911489946</v>
      </c>
      <c r="G124" s="110">
        <f t="shared" si="48"/>
        <v>0.18297445562064582</v>
      </c>
      <c r="H124" s="413" t="b">
        <f>Wh_hp&gt;='2026'!Maxi_hp</f>
        <v>0</v>
      </c>
      <c r="I124" s="389">
        <f>IF(H124,Wh_hp,'2026'!Maxi_hp)</f>
        <v>50.447436278195291</v>
      </c>
      <c r="J124" s="85">
        <f>IF(H124,An,'2026'!An_max)</f>
        <v>2019</v>
      </c>
      <c r="K124" s="196">
        <f t="shared" si="27"/>
        <v>46497</v>
      </c>
      <c r="L124" s="147">
        <f>IF(t&lt;Tvie,1-EXP((T0-t)*PertePVj)+'2026'!Pspv,1-EXP((T0-t)*PertePVj)+Pspv)</f>
        <v>6.7448397651383857E-2</v>
      </c>
      <c r="M124" s="847"/>
      <c r="N124" s="847"/>
      <c r="O124" s="48">
        <f>IF(t&lt;Tnet,'2026'!Resal+('2026'!Salim-'2026'!Resal)*(1-EXP(('2026'!Tnet-t)/('2026'!Tau_j))),Resal+(Salim-Resal)*(1-EXP((Tnet-t)/(Tau_j))))*Salcycl</f>
        <v>3.5223552872462281E-2</v>
      </c>
      <c r="P124" s="168">
        <f>(INDEX(Models!$BJ124:$BT124,,T124)*(1-R124)+INDEX(Models!$BJ124:$BT124,,T124+1)*R124-ERP_i)*Q124*Ramure*Pc/MaxiM</f>
        <v>6.0794491567343065E-5</v>
      </c>
      <c r="Q124" s="304">
        <f t="shared" si="28"/>
        <v>0.5</v>
      </c>
      <c r="R124" s="176">
        <f t="shared" si="29"/>
        <v>0.15227075528730472</v>
      </c>
      <c r="S124" s="814">
        <f t="shared" si="30"/>
        <v>0</v>
      </c>
      <c r="T124" s="175">
        <f t="shared" si="31"/>
        <v>6</v>
      </c>
      <c r="U124" s="250">
        <f t="shared" si="32"/>
        <v>0.15227075528730472</v>
      </c>
      <c r="V124" s="382">
        <f t="shared" si="33"/>
        <v>52.947808471316534</v>
      </c>
      <c r="W124" s="401">
        <f t="shared" si="34"/>
        <v>9.6886854500512545</v>
      </c>
      <c r="X124" s="157">
        <f t="shared" si="35"/>
        <v>46497</v>
      </c>
      <c r="Y124" s="384">
        <f t="shared" si="36"/>
        <v>9.3360230837919875</v>
      </c>
      <c r="Z124" s="384">
        <f t="shared" si="37"/>
        <v>10.011267001503578</v>
      </c>
      <c r="AA124" s="385">
        <f t="shared" si="38"/>
        <v>10.768749911489946</v>
      </c>
      <c r="AB124" s="196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7.0340839578617725E-2</v>
      </c>
      <c r="AD124" s="230">
        <f>(INDEX(Models!$BJ124:$BT124,,AH124)*(1-AF124)+INDEX(Models!$BJ124:$BT124,,AH124+1)*AF124-ERP_i)*AE124*Ramure*Pc/MaxiM</f>
        <v>4.1691863802730222E-4</v>
      </c>
      <c r="AE124" s="304">
        <f t="shared" si="40"/>
        <v>0.5</v>
      </c>
      <c r="AF124" s="176">
        <f t="shared" si="41"/>
        <v>0.26726329511169222</v>
      </c>
      <c r="AG124" s="814">
        <f t="shared" si="49"/>
        <v>2</v>
      </c>
      <c r="AH124" s="175">
        <f t="shared" si="42"/>
        <v>8</v>
      </c>
      <c r="AI124" s="224">
        <f t="shared" si="43"/>
        <v>2.2672632951116922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10">
        <f>'2026'!Wh/'2026'!Env_an*'2027'!Env_an</f>
        <v>9.1476763706655095</v>
      </c>
      <c r="C125" s="843"/>
      <c r="D125" s="392">
        <f t="shared" si="25"/>
        <v>9.8095123656157366</v>
      </c>
      <c r="E125" s="384">
        <f t="shared" si="47"/>
        <v>10.168519651140722</v>
      </c>
      <c r="F125" s="384">
        <f t="shared" si="26"/>
        <v>10.168519651140722</v>
      </c>
      <c r="G125" s="110">
        <f t="shared" si="48"/>
        <v>0.17240593605970278</v>
      </c>
      <c r="H125" s="413" t="b">
        <f>Wh_hp&gt;='2026'!Maxi_hp</f>
        <v>0</v>
      </c>
      <c r="I125" s="389">
        <f>IF(H125,Wh_hp,'2026'!Maxi_hp)</f>
        <v>56.950308189704678</v>
      </c>
      <c r="J125" s="85">
        <f>IF(H125,An,'2026'!An_max)</f>
        <v>2021</v>
      </c>
      <c r="K125" s="196">
        <f t="shared" si="27"/>
        <v>46498</v>
      </c>
      <c r="L125" s="147">
        <f>IF(t&lt;Tvie,1-EXP((T0-t)*PertePVj)+'2026'!Pspv,1-EXP((T0-t)*PertePVj)+Pspv)</f>
        <v>6.7468796641726198E-2</v>
      </c>
      <c r="M125" s="847"/>
      <c r="N125" s="847"/>
      <c r="O125" s="48">
        <f>IF(t&lt;Tnet,'2026'!Resal+('2026'!Salim-'2026'!Resal)*(1-EXP(('2026'!Tnet-t)/('2026'!Tau_j))),Resal+(Salim-Resal)*(1-EXP((Tnet-t)/(Tau_j))))*Salcycl</f>
        <v>3.5305757164437492E-2</v>
      </c>
      <c r="P125" s="168">
        <f>(INDEX(Models!$BJ125:$BT125,,T125)*(1-R125)+INDEX(Models!$BJ125:$BT125,,T125+1)*R125-ERP_i)*Q125*Ramure*Pc/MaxiM</f>
        <v>5.9241012728617542E-5</v>
      </c>
      <c r="Q125" s="304">
        <f t="shared" si="28"/>
        <v>0.5</v>
      </c>
      <c r="R125" s="176">
        <f t="shared" si="29"/>
        <v>0.15349443792658857</v>
      </c>
      <c r="S125" s="814">
        <f t="shared" si="30"/>
        <v>0</v>
      </c>
      <c r="T125" s="175">
        <f t="shared" si="31"/>
        <v>6</v>
      </c>
      <c r="U125" s="250">
        <f t="shared" si="32"/>
        <v>0.15349443792658857</v>
      </c>
      <c r="V125" s="382">
        <f t="shared" si="33"/>
        <v>53.055797625701352</v>
      </c>
      <c r="W125" s="401">
        <f t="shared" si="34"/>
        <v>9.1476763706655095</v>
      </c>
      <c r="X125" s="157">
        <f t="shared" si="35"/>
        <v>46498</v>
      </c>
      <c r="Y125" s="384">
        <f t="shared" si="36"/>
        <v>8.8149035450323865</v>
      </c>
      <c r="Z125" s="384">
        <f t="shared" si="37"/>
        <v>9.4526633674967169</v>
      </c>
      <c r="AA125" s="385">
        <f t="shared" si="38"/>
        <v>10.168519651140722</v>
      </c>
      <c r="AB125" s="196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7.0399262449544281E-2</v>
      </c>
      <c r="AD125" s="230">
        <f>(INDEX(Models!$BJ125:$BT125,,AH125)*(1-AF125)+INDEX(Models!$BJ125:$BT125,,AH125+1)*AF125-ERP_i)*AE125*Ramure*Pc/MaxiM</f>
        <v>4.0391477002907155E-4</v>
      </c>
      <c r="AE125" s="304">
        <f t="shared" si="40"/>
        <v>0.5</v>
      </c>
      <c r="AF125" s="176">
        <f t="shared" si="41"/>
        <v>0.26848697775097596</v>
      </c>
      <c r="AG125" s="814">
        <f t="shared" si="49"/>
        <v>2</v>
      </c>
      <c r="AH125" s="175">
        <f t="shared" si="42"/>
        <v>8</v>
      </c>
      <c r="AI125" s="224">
        <f t="shared" si="43"/>
        <v>2.268486977750976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10">
        <f>'2026'!Wh/'2026'!Env_an*'2027'!Env_an</f>
        <v>29.046108510422702</v>
      </c>
      <c r="C126" s="843"/>
      <c r="D126" s="392">
        <f t="shared" si="25"/>
        <v>31.148280921199408</v>
      </c>
      <c r="E126" s="384">
        <f t="shared" si="47"/>
        <v>32.29100925101941</v>
      </c>
      <c r="F126" s="384">
        <f t="shared" si="26"/>
        <v>32.291667382985572</v>
      </c>
      <c r="G126" s="110">
        <f t="shared" si="48"/>
        <v>0.54639561561308225</v>
      </c>
      <c r="H126" s="413" t="b">
        <f>Wh_hp&gt;='2026'!Maxi_hp</f>
        <v>0</v>
      </c>
      <c r="I126" s="389">
        <f>IF(H126,Wh_hp,'2026'!Maxi_hp)</f>
        <v>61.518685977469168</v>
      </c>
      <c r="J126" s="85">
        <f>IF(H126,An,'2026'!An_max)</f>
        <v>2021</v>
      </c>
      <c r="K126" s="196">
        <f t="shared" si="27"/>
        <v>46499</v>
      </c>
      <c r="L126" s="147">
        <f>IF(t&lt;Tvie,1-EXP((T0-t)*PertePVj)+'2026'!Pspv,1-EXP((T0-t)*PertePVj)+Pspv)</f>
        <v>6.7489195185278267E-2</v>
      </c>
      <c r="M126" s="847"/>
      <c r="N126" s="847"/>
      <c r="O126" s="48">
        <f>IF(t&lt;Tnet,'2026'!Resal+('2026'!Salim-'2026'!Resal)*(1-EXP(('2026'!Tnet-t)/('2026'!Tau_j))),Resal+(Salim-Resal)*(1-EXP((Tnet-t)/(Tau_j))))*Salcycl</f>
        <v>3.5388436482019392E-2</v>
      </c>
      <c r="P126" s="168">
        <f>(INDEX(Models!$BJ126:$BT126,,T126)*(1-R126)+INDEX(Models!$BJ126:$BT126,,T126+1)*R126-ERP_i)*Q126*Ramure*Pc/MaxiM</f>
        <v>5.7896385137060498E-5</v>
      </c>
      <c r="Q126" s="304">
        <f t="shared" si="28"/>
        <v>0.5</v>
      </c>
      <c r="R126" s="176">
        <f t="shared" si="29"/>
        <v>0.15475760805471803</v>
      </c>
      <c r="S126" s="814">
        <f t="shared" si="30"/>
        <v>0</v>
      </c>
      <c r="T126" s="175">
        <f t="shared" si="31"/>
        <v>6</v>
      </c>
      <c r="U126" s="250">
        <f t="shared" si="32"/>
        <v>0.15475760805471803</v>
      </c>
      <c r="V126" s="382">
        <f t="shared" si="33"/>
        <v>53.157488783328567</v>
      </c>
      <c r="W126" s="401">
        <f t="shared" si="34"/>
        <v>29.046108510422702</v>
      </c>
      <c r="X126" s="157">
        <f t="shared" si="35"/>
        <v>46499</v>
      </c>
      <c r="Y126" s="384">
        <f t="shared" si="36"/>
        <v>27.986800557422914</v>
      </c>
      <c r="Z126" s="384">
        <f t="shared" si="37"/>
        <v>30.012307002687805</v>
      </c>
      <c r="AA126" s="385">
        <f t="shared" si="38"/>
        <v>32.287221452186195</v>
      </c>
      <c r="AB126" s="196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7.0458662813933565E-2</v>
      </c>
      <c r="AD126" s="230">
        <f>(INDEX(Models!$BJ126:$BT126,,AH126)*(1-AF126)+INDEX(Models!$BJ126:$BT126,,AH126+1)*AF126-ERP_i)*AE126*Ramure*Pc/MaxiM</f>
        <v>3.9111201869462814E-4</v>
      </c>
      <c r="AE126" s="304">
        <f t="shared" si="40"/>
        <v>0.5</v>
      </c>
      <c r="AF126" s="176">
        <f t="shared" si="41"/>
        <v>0.26975014787910556</v>
      </c>
      <c r="AG126" s="814">
        <f t="shared" si="49"/>
        <v>2</v>
      </c>
      <c r="AH126" s="175">
        <f t="shared" si="42"/>
        <v>8</v>
      </c>
      <c r="AI126" s="224">
        <f t="shared" si="43"/>
        <v>2.2697501478791056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10">
        <f>'2026'!Wh/'2026'!Env_an*'2027'!Env_an</f>
        <v>8.0646327199628871</v>
      </c>
      <c r="C127" s="843"/>
      <c r="D127" s="392">
        <f t="shared" si="25"/>
        <v>8.6484886727657155</v>
      </c>
      <c r="E127" s="384">
        <f t="shared" si="47"/>
        <v>8.9665463786116639</v>
      </c>
      <c r="F127" s="384">
        <f t="shared" si="26"/>
        <v>8.9665463786116639</v>
      </c>
      <c r="G127" s="110">
        <f t="shared" si="48"/>
        <v>0.15143059718903307</v>
      </c>
      <c r="H127" s="413" t="b">
        <f>Wh_hp&gt;='2026'!Maxi_hp</f>
        <v>0</v>
      </c>
      <c r="I127" s="389">
        <f>IF(H127,Wh_hp,'2026'!Maxi_hp)</f>
        <v>60.576716442775776</v>
      </c>
      <c r="J127" s="85">
        <f>IF(H127,An,'2026'!An_max)</f>
        <v>2021</v>
      </c>
      <c r="K127" s="196">
        <f t="shared" si="27"/>
        <v>46500</v>
      </c>
      <c r="L127" s="147">
        <f>IF(t&lt;Tvie,1-EXP((T0-t)*PertePVj)+'2026'!Pspv,1-EXP((T0-t)*PertePVj)+Pspv)</f>
        <v>6.7509593282049835E-2</v>
      </c>
      <c r="M127" s="847"/>
      <c r="N127" s="847"/>
      <c r="O127" s="48">
        <f>IF(t&lt;Tnet,'2026'!Resal+('2026'!Salim-'2026'!Resal)*(1-EXP(('2026'!Tnet-t)/('2026'!Tau_j))),Resal+(Salim-Resal)*(1-EXP((Tnet-t)/(Tau_j))))*Salcycl</f>
        <v>3.547159546340245E-2</v>
      </c>
      <c r="P127" s="168">
        <f>(INDEX(Models!$BJ127:$BT127,,T127)*(1-R127)+INDEX(Models!$BJ127:$BT127,,T127+1)*R127-ERP_i)*Q127*Ramure*Pc/MaxiM</f>
        <v>5.6759880570018422E-5</v>
      </c>
      <c r="Q127" s="304">
        <f t="shared" si="28"/>
        <v>0.5</v>
      </c>
      <c r="R127" s="176">
        <f t="shared" si="29"/>
        <v>0.15606108945713806</v>
      </c>
      <c r="S127" s="814">
        <f t="shared" si="30"/>
        <v>0</v>
      </c>
      <c r="T127" s="175">
        <f t="shared" si="31"/>
        <v>6</v>
      </c>
      <c r="U127" s="250">
        <f t="shared" si="32"/>
        <v>0.15606108945713806</v>
      </c>
      <c r="V127" s="382">
        <f t="shared" si="33"/>
        <v>53.253273262247198</v>
      </c>
      <c r="W127" s="401">
        <f t="shared" si="34"/>
        <v>8.0646327199628871</v>
      </c>
      <c r="X127" s="157">
        <f t="shared" si="35"/>
        <v>46500</v>
      </c>
      <c r="Y127" s="384">
        <f t="shared" si="36"/>
        <v>7.7715933331398324</v>
      </c>
      <c r="Z127" s="384">
        <f t="shared" si="37"/>
        <v>8.3342340866467506</v>
      </c>
      <c r="AA127" s="385">
        <f t="shared" si="38"/>
        <v>8.9665463786116639</v>
      </c>
      <c r="AB127" s="196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7.05190454903796E-2</v>
      </c>
      <c r="AD127" s="230">
        <f>(INDEX(Models!$BJ127:$BT127,,AH127)*(1-AF127)+INDEX(Models!$BJ127:$BT127,,AH127+1)*AF127-ERP_i)*AE127*Ramure*Pc/MaxiM</f>
        <v>3.7849542628551423E-4</v>
      </c>
      <c r="AE127" s="304">
        <f t="shared" si="40"/>
        <v>0.5</v>
      </c>
      <c r="AF127" s="176">
        <f t="shared" si="41"/>
        <v>0.27105362928152577</v>
      </c>
      <c r="AG127" s="814">
        <f t="shared" si="49"/>
        <v>2</v>
      </c>
      <c r="AH127" s="175">
        <f t="shared" si="42"/>
        <v>8</v>
      </c>
      <c r="AI127" s="224">
        <f t="shared" si="43"/>
        <v>2.2710536292815258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10">
        <f>'2026'!Wh/'2026'!Env_an*'2027'!Env_an</f>
        <v>36.344361604688984</v>
      </c>
      <c r="C128" s="843"/>
      <c r="D128" s="392">
        <f t="shared" si="25"/>
        <v>38.976440262155997</v>
      </c>
      <c r="E128" s="384">
        <f t="shared" si="47"/>
        <v>40.413346410480834</v>
      </c>
      <c r="F128" s="384">
        <f t="shared" si="26"/>
        <v>40.41457943674213</v>
      </c>
      <c r="G128" s="110">
        <f t="shared" si="48"/>
        <v>0.68130910949726486</v>
      </c>
      <c r="H128" s="413" t="b">
        <f>Wh_hp&gt;='2026'!Maxi_hp</f>
        <v>0</v>
      </c>
      <c r="I128" s="389">
        <f>IF(H128,Wh_hp,'2026'!Maxi_hp)</f>
        <v>57.276493751473431</v>
      </c>
      <c r="J128" s="85">
        <f>IF(H128,An,'2026'!An_max)</f>
        <v>2021</v>
      </c>
      <c r="K128" s="196">
        <f t="shared" si="27"/>
        <v>46501</v>
      </c>
      <c r="L128" s="147">
        <f>IF(t&lt;Tvie,1-EXP((T0-t)*PertePVj)+'2026'!Pspv,1-EXP((T0-t)*PertePVj)+Pspv)</f>
        <v>6.7529990932050782E-2</v>
      </c>
      <c r="M128" s="847"/>
      <c r="N128" s="847"/>
      <c r="O128" s="48">
        <f>IF(t&lt;Tnet,'2026'!Resal+('2026'!Salim-'2026'!Resal)*(1-EXP(('2026'!Tnet-t)/('2026'!Tau_j))),Resal+(Salim-Resal)*(1-EXP((Tnet-t)/(Tau_j))))*Salcycl</f>
        <v>3.5555237958522223E-2</v>
      </c>
      <c r="P128" s="168">
        <f>(INDEX(Models!$BJ128:$BT128,,T128)*(1-R128)+INDEX(Models!$BJ128:$BT128,,T128+1)*R128-ERP_i)*Q128*Ramure*Pc/MaxiM</f>
        <v>5.6006100620233878E-5</v>
      </c>
      <c r="Q128" s="304">
        <f t="shared" si="28"/>
        <v>0.5</v>
      </c>
      <c r="R128" s="176">
        <f t="shared" si="29"/>
        <v>0.15740568908908698</v>
      </c>
      <c r="S128" s="814">
        <f t="shared" si="30"/>
        <v>0</v>
      </c>
      <c r="T128" s="175">
        <f t="shared" si="31"/>
        <v>6</v>
      </c>
      <c r="U128" s="250">
        <f t="shared" si="32"/>
        <v>0.15740568908908698</v>
      </c>
      <c r="V128" s="382">
        <f t="shared" si="33"/>
        <v>53.343532928024302</v>
      </c>
      <c r="W128" s="401">
        <f t="shared" si="34"/>
        <v>36.344361604688984</v>
      </c>
      <c r="X128" s="157">
        <f t="shared" si="35"/>
        <v>46501</v>
      </c>
      <c r="Y128" s="384">
        <f t="shared" si="36"/>
        <v>35.018523492608814</v>
      </c>
      <c r="Z128" s="384">
        <f t="shared" si="37"/>
        <v>37.554584224764071</v>
      </c>
      <c r="AA128" s="385">
        <f t="shared" si="38"/>
        <v>40.40649108238329</v>
      </c>
      <c r="AB128" s="196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7.0580413721265001E-2</v>
      </c>
      <c r="AD128" s="230">
        <f>(INDEX(Models!$BJ128:$BT128,,AH128)*(1-AF128)+INDEX(Models!$BJ128:$BT128,,AH128+1)*AF128-ERP_i)*AE128*Ramure*Pc/MaxiM</f>
        <v>3.6738648826364721E-4</v>
      </c>
      <c r="AE128" s="304">
        <f t="shared" si="40"/>
        <v>0.5</v>
      </c>
      <c r="AF128" s="176">
        <f t="shared" si="41"/>
        <v>0.27239822891347432</v>
      </c>
      <c r="AG128" s="814">
        <f t="shared" si="49"/>
        <v>2</v>
      </c>
      <c r="AH128" s="175">
        <f t="shared" si="42"/>
        <v>8</v>
      </c>
      <c r="AI128" s="224">
        <f t="shared" si="43"/>
        <v>2.2723982289134743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10">
        <f>'2026'!Wh/'2026'!Env_an*'2027'!Env_an</f>
        <v>45.719052247738851</v>
      </c>
      <c r="C129" s="843"/>
      <c r="D129" s="392">
        <f t="shared" si="25"/>
        <v>49.031123683251977</v>
      </c>
      <c r="E129" s="384">
        <f t="shared" si="47"/>
        <v>50.843141045905206</v>
      </c>
      <c r="F129" s="384">
        <f t="shared" si="26"/>
        <v>50.845387803832097</v>
      </c>
      <c r="G129" s="110">
        <f t="shared" si="48"/>
        <v>0.8556929911874751</v>
      </c>
      <c r="H129" s="413" t="b">
        <f>Wh_hp&gt;='2026'!Maxi_hp</f>
        <v>0</v>
      </c>
      <c r="I129" s="389">
        <f>IF(H129,Wh_hp,'2026'!Maxi_hp)</f>
        <v>55.011025243549312</v>
      </c>
      <c r="J129" s="85">
        <f>IF(H129,An,'2026'!An_max)</f>
        <v>2020</v>
      </c>
      <c r="K129" s="196">
        <f t="shared" si="27"/>
        <v>46502</v>
      </c>
      <c r="L129" s="147">
        <f>IF(t&lt;Tvie,1-EXP((T0-t)*PertePVj)+'2026'!Pspv,1-EXP((T0-t)*PertePVj)+Pspv)</f>
        <v>6.7550388135290879E-2</v>
      </c>
      <c r="M129" s="847"/>
      <c r="N129" s="847"/>
      <c r="O129" s="48">
        <f>IF(t&lt;Tnet,'2026'!Resal+('2026'!Salim-'2026'!Resal)*(1-EXP(('2026'!Tnet-t)/('2026'!Tau_j))),Resal+(Salim-Resal)*(1-EXP((Tnet-t)/(Tau_j))))*Salcycl</f>
        <v>3.5639366989879635E-2</v>
      </c>
      <c r="P129" s="168">
        <f>(INDEX(Models!$BJ129:$BT129,,T129)*(1-R129)+INDEX(Models!$BJ129:$BT129,,T129+1)*R129-ERP_i)*Q129*Ramure*Pc/MaxiM</f>
        <v>5.5662174130736519E-5</v>
      </c>
      <c r="Q129" s="304">
        <f t="shared" si="28"/>
        <v>0.5</v>
      </c>
      <c r="R129" s="176">
        <f t="shared" si="29"/>
        <v>0.15879219399206648</v>
      </c>
      <c r="S129" s="814">
        <f t="shared" si="30"/>
        <v>0</v>
      </c>
      <c r="T129" s="175">
        <f t="shared" si="31"/>
        <v>6</v>
      </c>
      <c r="U129" s="250">
        <f t="shared" si="32"/>
        <v>0.15879219399206648</v>
      </c>
      <c r="V129" s="382">
        <f t="shared" si="33"/>
        <v>53.428657367499937</v>
      </c>
      <c r="W129" s="401">
        <f t="shared" si="34"/>
        <v>45.719052247738851</v>
      </c>
      <c r="X129" s="157">
        <f t="shared" si="35"/>
        <v>46502</v>
      </c>
      <c r="Y129" s="384">
        <f t="shared" si="36"/>
        <v>44.048990896440905</v>
      </c>
      <c r="Z129" s="384">
        <f t="shared" si="37"/>
        <v>47.24007639228023</v>
      </c>
      <c r="AA129" s="385">
        <f t="shared" si="38"/>
        <v>50.830912830881601</v>
      </c>
      <c r="AB129" s="196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7.064276910682997E-2</v>
      </c>
      <c r="AD129" s="230">
        <f>(INDEX(Models!$BJ129:$BT129,,AH129)*(1-AF129)+INDEX(Models!$BJ129:$BT129,,AH129+1)*AF129-ERP_i)*AE129*Ramure*Pc/MaxiM</f>
        <v>3.5860937899288961E-4</v>
      </c>
      <c r="AE129" s="304">
        <f t="shared" si="40"/>
        <v>0.5</v>
      </c>
      <c r="AF129" s="176">
        <f t="shared" si="41"/>
        <v>0.27378473381645385</v>
      </c>
      <c r="AG129" s="814">
        <f t="shared" si="49"/>
        <v>2</v>
      </c>
      <c r="AH129" s="175">
        <f t="shared" si="42"/>
        <v>8</v>
      </c>
      <c r="AI129" s="224">
        <f t="shared" si="43"/>
        <v>2.2737847338164539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10">
        <f>'2026'!Wh/'2026'!Env_an*'2027'!Env_an</f>
        <v>51.749682653391218</v>
      </c>
      <c r="C130" s="843"/>
      <c r="D130" s="392">
        <f t="shared" si="25"/>
        <v>55.499851157479036</v>
      </c>
      <c r="E130" s="384">
        <f t="shared" si="47"/>
        <v>57.55598011108539</v>
      </c>
      <c r="F130" s="384">
        <f t="shared" si="26"/>
        <v>57.559037452602233</v>
      </c>
      <c r="G130" s="110">
        <f t="shared" si="48"/>
        <v>0.96711789084322508</v>
      </c>
      <c r="H130" s="413" t="b">
        <f>Wh_hp&gt;='2026'!Maxi_hp</f>
        <v>0</v>
      </c>
      <c r="I130" s="389">
        <f>IF(H130,Wh_hp,'2026'!Maxi_hp)</f>
        <v>57.559182694409039</v>
      </c>
      <c r="J130" s="85">
        <f>IF(H130,An,'2026'!An_max)</f>
        <v>2025</v>
      </c>
      <c r="K130" s="196">
        <f t="shared" si="27"/>
        <v>46503</v>
      </c>
      <c r="L130" s="147">
        <f>IF(t&lt;Tvie,1-EXP((T0-t)*PertePVj)+'2026'!Pspv,1-EXP((T0-t)*PertePVj)+Pspv)</f>
        <v>6.7570784891779895E-2</v>
      </c>
      <c r="M130" s="847"/>
      <c r="N130" s="847"/>
      <c r="O130" s="48">
        <f>IF(t&lt;Tnet,'2026'!Resal+('2026'!Salim-'2026'!Resal)*(1-EXP(('2026'!Tnet-t)/('2026'!Tau_j))),Resal+(Salim-Resal)*(1-EXP((Tnet-t)/(Tau_j))))*Salcycl</f>
        <v>3.5723984712586643E-2</v>
      </c>
      <c r="P130" s="168">
        <f>(INDEX(Models!$BJ130:$BT130,,T130)*(1-R130)+INDEX(Models!$BJ130:$BT130,,T130+1)*R130-ERP_i)*Q130*Ramure*Pc/MaxiM</f>
        <v>5.5734516125969842E-5</v>
      </c>
      <c r="Q130" s="304">
        <f t="shared" si="28"/>
        <v>0.5</v>
      </c>
      <c r="R130" s="176">
        <f t="shared" si="29"/>
        <v>0.16022136805878184</v>
      </c>
      <c r="S130" s="814">
        <f t="shared" si="30"/>
        <v>0</v>
      </c>
      <c r="T130" s="175">
        <f t="shared" si="31"/>
        <v>6</v>
      </c>
      <c r="U130" s="250">
        <f t="shared" si="32"/>
        <v>0.16022136805878184</v>
      </c>
      <c r="V130" s="382">
        <f t="shared" si="33"/>
        <v>53.509037172064069</v>
      </c>
      <c r="W130" s="401">
        <f t="shared" si="34"/>
        <v>51.749682653391218</v>
      </c>
      <c r="X130" s="157">
        <f t="shared" si="35"/>
        <v>46503</v>
      </c>
      <c r="Y130" s="384">
        <f t="shared" si="36"/>
        <v>49.858210433572935</v>
      </c>
      <c r="Z130" s="384">
        <f t="shared" si="37"/>
        <v>53.471308733914206</v>
      </c>
      <c r="AA130" s="385">
        <f t="shared" si="38"/>
        <v>57.539718487143674</v>
      </c>
      <c r="AB130" s="196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7.0706111538214961E-2</v>
      </c>
      <c r="AD130" s="230">
        <f>(INDEX(Models!$BJ130:$BT130,,AH130)*(1-AF130)+INDEX(Models!$BJ130:$BT130,,AH130+1)*AF130-ERP_i)*AE130*Ramure*Pc/MaxiM</f>
        <v>3.5217956056067475E-4</v>
      </c>
      <c r="AE130" s="304">
        <f t="shared" si="40"/>
        <v>0.5</v>
      </c>
      <c r="AF130" s="176">
        <f t="shared" si="41"/>
        <v>0.27521390788316946</v>
      </c>
      <c r="AG130" s="814">
        <f t="shared" si="49"/>
        <v>2</v>
      </c>
      <c r="AH130" s="175">
        <f t="shared" si="42"/>
        <v>8</v>
      </c>
      <c r="AI130" s="224">
        <f t="shared" si="43"/>
        <v>2.2752139078831695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10">
        <f>'2026'!Wh/'2026'!Env_an*'2027'!Env_an</f>
        <v>37.163385729411502</v>
      </c>
      <c r="C131" s="843"/>
      <c r="D131" s="392">
        <f t="shared" si="25"/>
        <v>39.857394074523292</v>
      </c>
      <c r="E131" s="384">
        <f t="shared" si="47"/>
        <v>41.337658091645473</v>
      </c>
      <c r="F131" s="384">
        <f t="shared" si="26"/>
        <v>41.338964928749654</v>
      </c>
      <c r="G131" s="110">
        <f t="shared" si="48"/>
        <v>0.69352295003430198</v>
      </c>
      <c r="H131" s="413" t="b">
        <f>Wh_hp&gt;='2026'!Maxi_hp</f>
        <v>0</v>
      </c>
      <c r="I131" s="389">
        <f>IF(H131,Wh_hp,'2026'!Maxi_hp)</f>
        <v>41.339943480637821</v>
      </c>
      <c r="J131" s="85">
        <f>IF(H131,An,'2026'!An_max)</f>
        <v>2025</v>
      </c>
      <c r="K131" s="196">
        <f t="shared" si="27"/>
        <v>46504</v>
      </c>
      <c r="L131" s="147">
        <f>IF(t&lt;Tvie,1-EXP((T0-t)*PertePVj)+'2026'!Pspv,1-EXP((T0-t)*PertePVj)+Pspv)</f>
        <v>6.7591181201527489E-2</v>
      </c>
      <c r="M131" s="847"/>
      <c r="N131" s="847"/>
      <c r="O131" s="48">
        <f>IF(t&lt;Tnet,'2026'!Resal+('2026'!Salim-'2026'!Resal)*(1-EXP(('2026'!Tnet-t)/('2026'!Tau_j))),Resal+(Salim-Resal)*(1-EXP((Tnet-t)/(Tau_j))))*Salcycl</f>
        <v>3.5809092373845705E-2</v>
      </c>
      <c r="P131" s="168">
        <f>(INDEX(Models!$BJ131:$BT131,,T131)*(1-R131)+INDEX(Models!$BJ131:$BT131,,T131+1)*R131-ERP_i)*Q131*Ramure*Pc/MaxiM</f>
        <v>5.6230376405634135E-5</v>
      </c>
      <c r="Q131" s="304">
        <f t="shared" si="28"/>
        <v>0.5</v>
      </c>
      <c r="R131" s="176">
        <f t="shared" si="29"/>
        <v>0.16169394865106282</v>
      </c>
      <c r="S131" s="814">
        <f t="shared" si="30"/>
        <v>0</v>
      </c>
      <c r="T131" s="175">
        <f t="shared" si="31"/>
        <v>6</v>
      </c>
      <c r="U131" s="250">
        <f t="shared" si="32"/>
        <v>0.16169394865106282</v>
      </c>
      <c r="V131" s="382">
        <f t="shared" si="33"/>
        <v>53.58506279161027</v>
      </c>
      <c r="W131" s="401">
        <f t="shared" si="34"/>
        <v>37.163385729411502</v>
      </c>
      <c r="X131" s="157">
        <f t="shared" si="35"/>
        <v>46504</v>
      </c>
      <c r="Y131" s="384">
        <f t="shared" si="36"/>
        <v>35.809972166988786</v>
      </c>
      <c r="Z131" s="384">
        <f t="shared" si="37"/>
        <v>38.405870306047184</v>
      </c>
      <c r="AA131" s="385">
        <f t="shared" si="38"/>
        <v>41.33087443977282</v>
      </c>
      <c r="AB131" s="196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7.0770439129903703E-2</v>
      </c>
      <c r="AD131" s="230">
        <f>(INDEX(Models!$BJ131:$BT131,,AH131)*(1-AF131)+INDEX(Models!$BJ131:$BT131,,AH131+1)*AF131-ERP_i)*AE131*Ramure*Pc/MaxiM</f>
        <v>3.4811625643184683E-4</v>
      </c>
      <c r="AE131" s="304">
        <f t="shared" si="40"/>
        <v>0.5</v>
      </c>
      <c r="AF131" s="176">
        <f t="shared" si="41"/>
        <v>0.27668648847545052</v>
      </c>
      <c r="AG131" s="814">
        <f t="shared" si="49"/>
        <v>2</v>
      </c>
      <c r="AH131" s="175">
        <f t="shared" si="42"/>
        <v>8</v>
      </c>
      <c r="AI131" s="224">
        <f t="shared" si="43"/>
        <v>2.2766864884754505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10">
        <f>'2026'!Wh/'2026'!Env_an*'2027'!Env_an</f>
        <v>22.134993260836612</v>
      </c>
      <c r="C132" s="843"/>
      <c r="D132" s="392">
        <f t="shared" si="25"/>
        <v>23.740098778949431</v>
      </c>
      <c r="E132" s="384">
        <f t="shared" si="47"/>
        <v>24.623968501584052</v>
      </c>
      <c r="F132" s="384">
        <f t="shared" si="26"/>
        <v>24.624194754932073</v>
      </c>
      <c r="G132" s="110">
        <f t="shared" si="48"/>
        <v>0.41250685044642199</v>
      </c>
      <c r="H132" s="413" t="b">
        <f>Wh_hp&gt;='2026'!Maxi_hp</f>
        <v>0</v>
      </c>
      <c r="I132" s="389">
        <f>IF(H132,Wh_hp,'2026'!Maxi_hp)</f>
        <v>46.272317689396395</v>
      </c>
      <c r="J132" s="85">
        <f>IF(H132,An,'2026'!An_max)</f>
        <v>2019</v>
      </c>
      <c r="K132" s="196">
        <f t="shared" si="27"/>
        <v>46505</v>
      </c>
      <c r="L132" s="147">
        <f>IF(t&lt;Tvie,1-EXP((T0-t)*PertePVj)+'2026'!Pspv,1-EXP((T0-t)*PertePVj)+Pspv)</f>
        <v>6.7611577064543654E-2</v>
      </c>
      <c r="M132" s="847"/>
      <c r="N132" s="847"/>
      <c r="O132" s="48">
        <f>IF(t&lt;Tnet,'2026'!Resal+('2026'!Salim-'2026'!Resal)*(1-EXP(('2026'!Tnet-t)/('2026'!Tau_j))),Resal+(Salim-Resal)*(1-EXP((Tnet-t)/(Tau_j))))*Salcycl</f>
        <v>3.5894690272112798E-2</v>
      </c>
      <c r="P132" s="168">
        <f>(INDEX(Models!$BJ132:$BT132,,T132)*(1-R132)+INDEX(Models!$BJ132:$BT132,,T132+1)*R132-ERP_i)*Q132*Ramure*Pc/MaxiM</f>
        <v>5.7157821574576446E-5</v>
      </c>
      <c r="Q132" s="304">
        <f t="shared" si="28"/>
        <v>0.5</v>
      </c>
      <c r="R132" s="176">
        <f t="shared" si="29"/>
        <v>0.1632106430767892</v>
      </c>
      <c r="S132" s="814">
        <f t="shared" si="30"/>
        <v>0</v>
      </c>
      <c r="T132" s="175">
        <f t="shared" si="31"/>
        <v>6</v>
      </c>
      <c r="U132" s="250">
        <f t="shared" si="32"/>
        <v>0.1632106430767892</v>
      </c>
      <c r="V132" s="382">
        <f t="shared" si="33"/>
        <v>53.657124532755134</v>
      </c>
      <c r="W132" s="401">
        <f t="shared" si="34"/>
        <v>22.134993260836612</v>
      </c>
      <c r="X132" s="157">
        <f t="shared" si="35"/>
        <v>46505</v>
      </c>
      <c r="Y132" s="384">
        <f t="shared" si="36"/>
        <v>21.331785858000906</v>
      </c>
      <c r="Z132" s="384">
        <f t="shared" si="37"/>
        <v>22.878647281828787</v>
      </c>
      <c r="AA132" s="385">
        <f t="shared" si="38"/>
        <v>24.622823398906416</v>
      </c>
      <c r="AB132" s="196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7.0835748152061714E-2</v>
      </c>
      <c r="AD132" s="230">
        <f>(INDEX(Models!$BJ132:$BT132,,AH132)*(1-AF132)+INDEX(Models!$BJ132:$BT132,,AH132+1)*AF132-ERP_i)*AE132*Ramure*Pc/MaxiM</f>
        <v>3.4644226799273703E-4</v>
      </c>
      <c r="AE132" s="304">
        <f t="shared" si="40"/>
        <v>0.5</v>
      </c>
      <c r="AF132" s="176">
        <f t="shared" si="41"/>
        <v>0.27820318290117685</v>
      </c>
      <c r="AG132" s="814">
        <f t="shared" si="49"/>
        <v>2</v>
      </c>
      <c r="AH132" s="175">
        <f t="shared" si="42"/>
        <v>8</v>
      </c>
      <c r="AI132" s="224">
        <f t="shared" si="43"/>
        <v>2.2782031829011768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10">
        <f>'2026'!Wh/'2026'!Env_an*'2027'!Env_an</f>
        <v>41.69888984408329</v>
      </c>
      <c r="C133" s="843"/>
      <c r="D133" s="392">
        <f t="shared" si="25"/>
        <v>44.72363767667516</v>
      </c>
      <c r="E133" s="384">
        <f t="shared" si="47"/>
        <v>46.39288993711601</v>
      </c>
      <c r="F133" s="384">
        <f t="shared" si="26"/>
        <v>46.394736895235582</v>
      </c>
      <c r="G133" s="110">
        <f t="shared" si="48"/>
        <v>0.77613092499552183</v>
      </c>
      <c r="H133" s="413" t="b">
        <f>Wh_hp&gt;='2026'!Maxi_hp</f>
        <v>0</v>
      </c>
      <c r="I133" s="389">
        <f>IF(H133,Wh_hp,'2026'!Maxi_hp)</f>
        <v>53.368157207245993</v>
      </c>
      <c r="J133" s="85">
        <f>IF(H133,An,'2026'!An_max)</f>
        <v>2019</v>
      </c>
      <c r="K133" s="196">
        <f t="shared" si="27"/>
        <v>46506</v>
      </c>
      <c r="L133" s="147">
        <f>IF(t&lt;Tvie,1-EXP((T0-t)*PertePVj)+'2026'!Pspv,1-EXP((T0-t)*PertePVj)+Pspv)</f>
        <v>6.7631972480838048E-2</v>
      </c>
      <c r="M133" s="847"/>
      <c r="N133" s="847"/>
      <c r="O133" s="48">
        <f>IF(t&lt;Tnet,'2026'!Resal+('2026'!Salim-'2026'!Resal)*(1-EXP(('2026'!Tnet-t)/('2026'!Tau_j))),Resal+(Salim-Resal)*(1-EXP((Tnet-t)/(Tau_j))))*Salcycl</f>
        <v>3.5980777716229026E-2</v>
      </c>
      <c r="P133" s="168">
        <f>(INDEX(Models!$BJ133:$BT133,,T133)*(1-R133)+INDEX(Models!$BJ133:$BT133,,T133+1)*R133-ERP_i)*Q133*Ramure*Pc/MaxiM</f>
        <v>5.8525715416507739E-5</v>
      </c>
      <c r="Q133" s="304">
        <f t="shared" si="28"/>
        <v>0.5</v>
      </c>
      <c r="R133" s="176">
        <f t="shared" si="29"/>
        <v>0.16477212493346846</v>
      </c>
      <c r="S133" s="814">
        <f t="shared" si="30"/>
        <v>0</v>
      </c>
      <c r="T133" s="175">
        <f t="shared" si="31"/>
        <v>6</v>
      </c>
      <c r="U133" s="250">
        <f t="shared" si="32"/>
        <v>0.16477212493346846</v>
      </c>
      <c r="V133" s="382">
        <f t="shared" si="33"/>
        <v>53.725612562078226</v>
      </c>
      <c r="W133" s="401">
        <f t="shared" si="34"/>
        <v>41.69888984408329</v>
      </c>
      <c r="X133" s="157">
        <f t="shared" si="35"/>
        <v>46506</v>
      </c>
      <c r="Y133" s="384">
        <f t="shared" si="36"/>
        <v>40.180471115729411</v>
      </c>
      <c r="Z133" s="384">
        <f t="shared" si="37"/>
        <v>43.095076117787215</v>
      </c>
      <c r="AA133" s="385">
        <f t="shared" si="38"/>
        <v>46.383780448080913</v>
      </c>
      <c r="AB133" s="196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7.0902032963330031E-2</v>
      </c>
      <c r="AD133" s="230">
        <f>(INDEX(Models!$BJ133:$BT133,,AH133)*(1-AF133)+INDEX(Models!$BJ133:$BT133,,AH133+1)*AF133-ERP_i)*AE133*Ramure*Pc/MaxiM</f>
        <v>3.4718378362553641E-4</v>
      </c>
      <c r="AE133" s="304">
        <f t="shared" si="40"/>
        <v>0.5</v>
      </c>
      <c r="AF133" s="176">
        <f t="shared" si="41"/>
        <v>0.279764664757856</v>
      </c>
      <c r="AG133" s="814">
        <f t="shared" si="49"/>
        <v>2</v>
      </c>
      <c r="AH133" s="175">
        <f t="shared" si="42"/>
        <v>8</v>
      </c>
      <c r="AI133" s="224">
        <f t="shared" si="43"/>
        <v>2.279764664757856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10">
        <f>'2026'!Wh/'2026'!Env_an*'2027'!Env_an</f>
        <v>42.287243115962823</v>
      </c>
      <c r="C134" s="843"/>
      <c r="D134" s="392">
        <f t="shared" si="25"/>
        <v>45.355660956981204</v>
      </c>
      <c r="E134" s="384">
        <f t="shared" si="47"/>
        <v>47.052728318131031</v>
      </c>
      <c r="F134" s="384">
        <f t="shared" si="26"/>
        <v>47.054700282675931</v>
      </c>
      <c r="G134" s="110">
        <f t="shared" si="48"/>
        <v>0.7861264673761077</v>
      </c>
      <c r="H134" s="413" t="b">
        <f>Wh_hp&gt;='2026'!Maxi_hp</f>
        <v>0</v>
      </c>
      <c r="I134" s="389">
        <f>IF(H134,Wh_hp,'2026'!Maxi_hp)</f>
        <v>60.260535835391735</v>
      </c>
      <c r="J134" s="85">
        <f>IF(H134,An,'2026'!An_max)</f>
        <v>2019</v>
      </c>
      <c r="K134" s="196">
        <f t="shared" si="27"/>
        <v>46507</v>
      </c>
      <c r="L134" s="147">
        <f>IF(t&lt;Tvie,1-EXP((T0-t)*PertePVj)+'2026'!Pspv,1-EXP((T0-t)*PertePVj)+Pspv)</f>
        <v>6.7652367450420442E-2</v>
      </c>
      <c r="M134" s="847"/>
      <c r="N134" s="847"/>
      <c r="O134" s="48">
        <f>IF(t&lt;Tnet,'2026'!Resal+('2026'!Salim-'2026'!Resal)*(1-EXP(('2026'!Tnet-t)/('2026'!Tau_j))),Resal+(Salim-Resal)*(1-EXP((Tnet-t)/(Tau_j))))*Salcycl</f>
        <v>3.6067352984840338E-2</v>
      </c>
      <c r="P134" s="168">
        <f>(INDEX(Models!$BJ134:$BT134,,T134)*(1-R134)+INDEX(Models!$BJ134:$BT134,,T134+1)*R134-ERP_i)*Q134*Ramure*Pc/MaxiM</f>
        <v>6.034369720560825E-5</v>
      </c>
      <c r="Q134" s="304">
        <f t="shared" si="28"/>
        <v>0.5</v>
      </c>
      <c r="R134" s="176">
        <f t="shared" si="29"/>
        <v>0.16637903032783594</v>
      </c>
      <c r="S134" s="814">
        <f t="shared" si="30"/>
        <v>0</v>
      </c>
      <c r="T134" s="175">
        <f t="shared" si="31"/>
        <v>6</v>
      </c>
      <c r="U134" s="250">
        <f t="shared" si="32"/>
        <v>0.16637903032783594</v>
      </c>
      <c r="V134" s="382">
        <f t="shared" si="33"/>
        <v>53.790916907016118</v>
      </c>
      <c r="W134" s="401">
        <f t="shared" si="34"/>
        <v>42.287243115962823</v>
      </c>
      <c r="X134" s="157">
        <f t="shared" si="35"/>
        <v>46507</v>
      </c>
      <c r="Y134" s="384">
        <f t="shared" si="36"/>
        <v>40.747903347270324</v>
      </c>
      <c r="Z134" s="384">
        <f t="shared" si="37"/>
        <v>43.704624675070939</v>
      </c>
      <c r="AA134" s="385">
        <f t="shared" si="38"/>
        <v>47.043250577040844</v>
      </c>
      <c r="AB134" s="196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7.0969285944694122E-2</v>
      </c>
      <c r="AD134" s="230">
        <f>(INDEX(Models!$BJ134:$BT134,,AH134)*(1-AF134)+INDEX(Models!$BJ134:$BT134,,AH134+1)*AF134-ERP_i)*AE134*Ramure*Pc/MaxiM</f>
        <v>3.5037017867502505E-4</v>
      </c>
      <c r="AE134" s="304">
        <f t="shared" si="40"/>
        <v>0.5</v>
      </c>
      <c r="AF134" s="176">
        <f t="shared" si="41"/>
        <v>0.28137157015222325</v>
      </c>
      <c r="AG134" s="814">
        <f t="shared" si="49"/>
        <v>2</v>
      </c>
      <c r="AH134" s="175">
        <f t="shared" si="42"/>
        <v>8</v>
      </c>
      <c r="AI134" s="224">
        <f t="shared" si="43"/>
        <v>2.2813715701522232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10">
        <f>'2026'!Wh/'2026'!Env_an*'2027'!Env_an</f>
        <v>43.050329324467945</v>
      </c>
      <c r="C135" s="843"/>
      <c r="D135" s="392">
        <f t="shared" si="25"/>
        <v>46.175127754054849</v>
      </c>
      <c r="E135" s="384">
        <f t="shared" si="47"/>
        <v>47.907183879421702</v>
      </c>
      <c r="F135" s="384">
        <f t="shared" si="26"/>
        <v>47.909324477169008</v>
      </c>
      <c r="G135" s="110">
        <f t="shared" si="48"/>
        <v>0.79941076524650323</v>
      </c>
      <c r="H135" s="413" t="b">
        <f>Wh_hp&gt;='2026'!Maxi_hp</f>
        <v>0</v>
      </c>
      <c r="I135" s="389">
        <f>IF(H135,Wh_hp,'2026'!Maxi_hp)</f>
        <v>56.919945297038041</v>
      </c>
      <c r="J135" s="85">
        <f>IF(H135,An,'2026'!An_max)</f>
        <v>2019</v>
      </c>
      <c r="K135" s="196">
        <f t="shared" si="27"/>
        <v>46508</v>
      </c>
      <c r="L135" s="147">
        <f>IF(t&lt;Tvie,1-EXP((T0-t)*PertePVj)+'2026'!Pspv,1-EXP((T0-t)*PertePVj)+Pspv)</f>
        <v>6.7672761973300605E-2</v>
      </c>
      <c r="M135" s="847"/>
      <c r="N135" s="847"/>
      <c r="O135" s="48">
        <f>IF(t&lt;Tnet,'2026'!Resal+('2026'!Salim-'2026'!Resal)*(1-EXP(('2026'!Tnet-t)/('2026'!Tau_j))),Resal+(Salim-Resal)*(1-EXP((Tnet-t)/(Tau_j))))*Salcycl</f>
        <v>3.6154413286455918E-2</v>
      </c>
      <c r="P135" s="168">
        <f>(INDEX(Models!$BJ135:$BT135,,T135)*(1-R135)+INDEX(Models!$BJ135:$BT135,,T135+1)*R135-ERP_i)*Q135*Ramure*Pc/MaxiM</f>
        <v>6.2624270815384483E-5</v>
      </c>
      <c r="Q135" s="304">
        <f t="shared" si="28"/>
        <v>0.5</v>
      </c>
      <c r="R135" s="176">
        <f t="shared" si="29"/>
        <v>0.16803195398267193</v>
      </c>
      <c r="S135" s="814">
        <f t="shared" si="30"/>
        <v>0</v>
      </c>
      <c r="T135" s="175">
        <f t="shared" si="31"/>
        <v>6</v>
      </c>
      <c r="U135" s="250">
        <f t="shared" si="32"/>
        <v>0.16803195398267193</v>
      </c>
      <c r="V135" s="382">
        <f t="shared" si="33"/>
        <v>53.851610039442072</v>
      </c>
      <c r="W135" s="401">
        <f t="shared" si="34"/>
        <v>43.050329324467945</v>
      </c>
      <c r="X135" s="157">
        <f t="shared" si="35"/>
        <v>46508</v>
      </c>
      <c r="Y135" s="384">
        <f t="shared" si="36"/>
        <v>41.483583733749562</v>
      </c>
      <c r="Z135" s="384">
        <f t="shared" si="37"/>
        <v>44.494660288538718</v>
      </c>
      <c r="AA135" s="385">
        <f t="shared" si="38"/>
        <v>47.897154261541708</v>
      </c>
      <c r="AB135" s="196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7.1037497435102806E-2</v>
      </c>
      <c r="AD135" s="230">
        <f>(INDEX(Models!$BJ135:$BT135,,AH135)*(1-AF135)+INDEX(Models!$BJ135:$BT135,,AH135+1)*AF135-ERP_i)*AE135*Ramure*Pc/MaxiM</f>
        <v>3.5604581957716073E-4</v>
      </c>
      <c r="AE135" s="304">
        <f t="shared" si="40"/>
        <v>0.5</v>
      </c>
      <c r="AF135" s="176">
        <f t="shared" si="41"/>
        <v>0.28302449380705941</v>
      </c>
      <c r="AG135" s="814">
        <f t="shared" si="49"/>
        <v>2</v>
      </c>
      <c r="AH135" s="175">
        <f t="shared" si="42"/>
        <v>8</v>
      </c>
      <c r="AI135" s="224">
        <f t="shared" si="43"/>
        <v>2.2830244938070594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10">
        <f>'2026'!Wh/'2026'!Env_an*'2027'!Env_an</f>
        <v>26.078080635033288</v>
      </c>
      <c r="C136" s="843"/>
      <c r="D136" s="392">
        <f t="shared" si="25"/>
        <v>27.971564087775334</v>
      </c>
      <c r="E136" s="384">
        <f t="shared" si="47"/>
        <v>29.023429920799259</v>
      </c>
      <c r="F136" s="384">
        <f t="shared" si="26"/>
        <v>29.023928414328147</v>
      </c>
      <c r="G136" s="110">
        <f t="shared" si="48"/>
        <v>0.4837438365790202</v>
      </c>
      <c r="H136" s="413" t="b">
        <f>Wh_hp&gt;='2026'!Maxi_hp</f>
        <v>0</v>
      </c>
      <c r="I136" s="389">
        <f>IF(H136,Wh_hp,'2026'!Maxi_hp)</f>
        <v>40.444664400159141</v>
      </c>
      <c r="J136" s="85">
        <f>IF(H136,An,'2026'!An_max)</f>
        <v>2021</v>
      </c>
      <c r="K136" s="196">
        <f t="shared" si="27"/>
        <v>46509</v>
      </c>
      <c r="L136" s="147">
        <f>IF(t&lt;Tvie,1-EXP((T0-t)*PertePVj)+'2026'!Pspv,1-EXP((T0-t)*PertePVj)+Pspv)</f>
        <v>6.7693156049488529E-2</v>
      </c>
      <c r="M136" s="847"/>
      <c r="N136" s="847"/>
      <c r="O136" s="48">
        <f>IF(t&lt;Tnet,'2026'!Resal+('2026'!Salim-'2026'!Resal)*(1-EXP(('2026'!Tnet-t)/('2026'!Tau_j))),Resal+(Salim-Resal)*(1-EXP((Tnet-t)/(Tau_j))))*Salcycl</f>
        <v>3.6241954720524626E-2</v>
      </c>
      <c r="P136" s="168">
        <f>(INDEX(Models!$BJ136:$BT136,,T136)*(1-R136)+INDEX(Models!$BJ136:$BT136,,T136+1)*R136-ERP_i)*Q136*Ramure*Pc/MaxiM</f>
        <v>6.5423447388372009E-5</v>
      </c>
      <c r="Q136" s="304">
        <f t="shared" si="28"/>
        <v>0.5</v>
      </c>
      <c r="R136" s="176">
        <f t="shared" si="29"/>
        <v>0.16973144524393299</v>
      </c>
      <c r="S136" s="814">
        <f t="shared" si="30"/>
        <v>0</v>
      </c>
      <c r="T136" s="175">
        <f t="shared" si="31"/>
        <v>6</v>
      </c>
      <c r="U136" s="250">
        <f t="shared" si="32"/>
        <v>0.16973144524393299</v>
      </c>
      <c r="V136" s="382">
        <f t="shared" si="33"/>
        <v>53.906262822332998</v>
      </c>
      <c r="W136" s="401">
        <f t="shared" si="34"/>
        <v>26.078080635033288</v>
      </c>
      <c r="X136" s="157">
        <f t="shared" si="35"/>
        <v>46509</v>
      </c>
      <c r="Y136" s="384">
        <f t="shared" si="36"/>
        <v>25.132711693092602</v>
      </c>
      <c r="Z136" s="384">
        <f t="shared" si="37"/>
        <v>26.957553573881832</v>
      </c>
      <c r="AA136" s="385">
        <f t="shared" si="38"/>
        <v>29.021150531887198</v>
      </c>
      <c r="AB136" s="196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7.1106655669559926E-2</v>
      </c>
      <c r="AD136" s="230">
        <f>(INDEX(Models!$BJ136:$BT136,,AH136)*(1-AF136)+INDEX(Models!$BJ136:$BT136,,AH136+1)*AF136-ERP_i)*AE136*Ramure*Pc/MaxiM</f>
        <v>3.645757370858797E-4</v>
      </c>
      <c r="AE136" s="304">
        <f t="shared" si="40"/>
        <v>0.5</v>
      </c>
      <c r="AF136" s="176">
        <f t="shared" si="41"/>
        <v>0.28472398506832031</v>
      </c>
      <c r="AG136" s="814">
        <f t="shared" si="49"/>
        <v>2</v>
      </c>
      <c r="AH136" s="175">
        <f t="shared" si="42"/>
        <v>8</v>
      </c>
      <c r="AI136" s="224">
        <f t="shared" si="43"/>
        <v>2.2847239850683203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10">
        <f>'2026'!Wh/'2026'!Env_an*'2027'!Env_an</f>
        <v>10.555311807266522</v>
      </c>
      <c r="C137" s="843"/>
      <c r="D137" s="392">
        <f t="shared" si="25"/>
        <v>11.321962046785194</v>
      </c>
      <c r="E137" s="384">
        <f t="shared" si="47"/>
        <v>11.748795459688335</v>
      </c>
      <c r="F137" s="384">
        <f t="shared" si="26"/>
        <v>11.748795459688335</v>
      </c>
      <c r="G137" s="110">
        <f t="shared" si="48"/>
        <v>0.19561734850101442</v>
      </c>
      <c r="H137" s="413" t="b">
        <f>Wh_hp&gt;='2026'!Maxi_hp</f>
        <v>0</v>
      </c>
      <c r="I137" s="389">
        <f>IF(H137,Wh_hp,'2026'!Maxi_hp)</f>
        <v>59.833471224448644</v>
      </c>
      <c r="J137" s="85">
        <f>IF(H137,An,'2026'!An_max)</f>
        <v>2021</v>
      </c>
      <c r="K137" s="196">
        <f t="shared" si="27"/>
        <v>46510</v>
      </c>
      <c r="L137" s="147">
        <f>IF(t&lt;Tvie,1-EXP((T0-t)*PertePVj)+'2026'!Pspv,1-EXP((T0-t)*PertePVj)+Pspv)</f>
        <v>6.7713549678993762E-2</v>
      </c>
      <c r="M137" s="847"/>
      <c r="N137" s="847"/>
      <c r="O137" s="48">
        <f>IF(t&lt;Tnet,'2026'!Resal+('2026'!Salim-'2026'!Resal)*(1-EXP(('2026'!Tnet-t)/('2026'!Tau_j))),Resal+(Salim-Resal)*(1-EXP((Tnet-t)/(Tau_j))))*Salcycl</f>
        <v>3.6329972239934026E-2</v>
      </c>
      <c r="P137" s="168">
        <f>(INDEX(Models!$BJ137:$BT137,,T137)*(1-R137)+INDEX(Models!$BJ137:$BT137,,T137+1)*R137-ERP_i)*Q137*Ramure*Pc/MaxiM</f>
        <v>6.8509279949170566E-5</v>
      </c>
      <c r="Q137" s="304">
        <f t="shared" si="28"/>
        <v>0.5</v>
      </c>
      <c r="R137" s="176">
        <f t="shared" si="29"/>
        <v>0.17147800400327123</v>
      </c>
      <c r="S137" s="814">
        <f t="shared" si="30"/>
        <v>0</v>
      </c>
      <c r="T137" s="175">
        <f t="shared" si="31"/>
        <v>6</v>
      </c>
      <c r="U137" s="250">
        <f t="shared" si="32"/>
        <v>0.17147800400327123</v>
      </c>
      <c r="V137" s="382">
        <f t="shared" si="33"/>
        <v>53.955279280356031</v>
      </c>
      <c r="W137" s="401">
        <f t="shared" si="34"/>
        <v>10.555311807266522</v>
      </c>
      <c r="X137" s="157">
        <f t="shared" si="35"/>
        <v>46510</v>
      </c>
      <c r="Y137" s="384">
        <f t="shared" si="36"/>
        <v>10.173626625073682</v>
      </c>
      <c r="Z137" s="384">
        <f t="shared" si="37"/>
        <v>10.912554420983684</v>
      </c>
      <c r="AA137" s="385">
        <f t="shared" si="38"/>
        <v>11.748795459688335</v>
      </c>
      <c r="AB137" s="196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7.1176746720453571E-2</v>
      </c>
      <c r="AD137" s="230">
        <f>(INDEX(Models!$BJ137:$BT137,,AH137)*(1-AF137)+INDEX(Models!$BJ137:$BT137,,AH137+1)*AF137-ERP_i)*AE137*Ramure*Pc/MaxiM</f>
        <v>3.7498035950559496E-4</v>
      </c>
      <c r="AE137" s="304">
        <f t="shared" si="40"/>
        <v>0.5</v>
      </c>
      <c r="AF137" s="176">
        <f t="shared" si="41"/>
        <v>0.28647054382765891</v>
      </c>
      <c r="AG137" s="814">
        <f t="shared" si="49"/>
        <v>2</v>
      </c>
      <c r="AH137" s="175">
        <f t="shared" si="42"/>
        <v>8</v>
      </c>
      <c r="AI137" s="224">
        <f t="shared" si="43"/>
        <v>2.2864705438276589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10">
        <f>'2026'!Wh/'2026'!Env_an*'2027'!Env_an</f>
        <v>16.567182772899496</v>
      </c>
      <c r="C138" s="843"/>
      <c r="D138" s="392">
        <f t="shared" si="25"/>
        <v>17.770874146975434</v>
      </c>
      <c r="E138" s="384">
        <f t="shared" si="47"/>
        <v>18.442522404364098</v>
      </c>
      <c r="F138" s="384">
        <f t="shared" si="26"/>
        <v>18.442535293573933</v>
      </c>
      <c r="G138" s="110">
        <f t="shared" si="48"/>
        <v>0.30678323421977677</v>
      </c>
      <c r="H138" s="413" t="b">
        <f>Wh_hp&gt;='2026'!Maxi_hp</f>
        <v>0</v>
      </c>
      <c r="I138" s="389">
        <f>IF(H138,Wh_hp,'2026'!Maxi_hp)</f>
        <v>55.569460873367788</v>
      </c>
      <c r="J138" s="85">
        <f>IF(H138,An,'2026'!An_max)</f>
        <v>2020</v>
      </c>
      <c r="K138" s="196">
        <f t="shared" si="27"/>
        <v>46511</v>
      </c>
      <c r="L138" s="147">
        <f>IF(t&lt;Tvie,1-EXP((T0-t)*PertePVj)+'2026'!Pspv,1-EXP((T0-t)*PertePVj)+Pspv)</f>
        <v>6.7733942861826185E-2</v>
      </c>
      <c r="M138" s="847"/>
      <c r="N138" s="847"/>
      <c r="O138" s="48">
        <f>IF(t&lt;Tnet,'2026'!Resal+('2026'!Salim-'2026'!Resal)*(1-EXP(('2026'!Tnet-t)/('2026'!Tau_j))),Resal+(Salim-Resal)*(1-EXP((Tnet-t)/(Tau_j))))*Salcycl</f>
        <v>3.6418459615357876E-2</v>
      </c>
      <c r="P138" s="168">
        <f>(INDEX(Models!$BJ138:$BT138,,T138)*(1-R138)+INDEX(Models!$BJ138:$BT138,,T138+1)*R138-ERP_i)*Q138*Ramure*Pc/MaxiM</f>
        <v>7.1890370480613775E-5</v>
      </c>
      <c r="Q138" s="304">
        <f t="shared" si="28"/>
        <v>0.5</v>
      </c>
      <c r="R138" s="176">
        <f t="shared" si="29"/>
        <v>0.1732720765530455</v>
      </c>
      <c r="S138" s="814">
        <f t="shared" si="30"/>
        <v>0</v>
      </c>
      <c r="T138" s="175">
        <f t="shared" si="31"/>
        <v>6</v>
      </c>
      <c r="U138" s="250">
        <f t="shared" si="32"/>
        <v>0.1732720765530455</v>
      </c>
      <c r="V138" s="382">
        <f t="shared" si="33"/>
        <v>53.999050410474297</v>
      </c>
      <c r="W138" s="401">
        <f t="shared" si="34"/>
        <v>16.567182772899496</v>
      </c>
      <c r="X138" s="157">
        <f t="shared" si="35"/>
        <v>46511</v>
      </c>
      <c r="Y138" s="384">
        <f t="shared" si="36"/>
        <v>15.96830198483369</v>
      </c>
      <c r="Z138" s="384">
        <f t="shared" si="37"/>
        <v>17.128481577300398</v>
      </c>
      <c r="AA138" s="385">
        <f t="shared" si="38"/>
        <v>18.442465855925306</v>
      </c>
      <c r="AB138" s="196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7.124775444292028E-2</v>
      </c>
      <c r="AD138" s="230">
        <f>(INDEX(Models!$BJ138:$BT138,,AH138)*(1-AF138)+INDEX(Models!$BJ138:$BT138,,AH138+1)*AF138-ERP_i)*AE138*Ramure*Pc/MaxiM</f>
        <v>3.8729280920740135E-4</v>
      </c>
      <c r="AE138" s="304">
        <f t="shared" si="40"/>
        <v>0.5</v>
      </c>
      <c r="AF138" s="176">
        <f t="shared" si="41"/>
        <v>0.28826461637743295</v>
      </c>
      <c r="AG138" s="814">
        <f t="shared" si="49"/>
        <v>2</v>
      </c>
      <c r="AH138" s="175">
        <f t="shared" si="42"/>
        <v>8</v>
      </c>
      <c r="AI138" s="224">
        <f t="shared" si="43"/>
        <v>2.2882646163774329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10">
        <f>'2026'!Wh/'2026'!Env_an*'2027'!Env_an</f>
        <v>35.735548313050629</v>
      </c>
      <c r="C139" s="843"/>
      <c r="D139" s="392">
        <f t="shared" si="25"/>
        <v>38.332758925699537</v>
      </c>
      <c r="E139" s="384">
        <f t="shared" si="47"/>
        <v>39.785214022148118</v>
      </c>
      <c r="F139" s="384">
        <f t="shared" si="26"/>
        <v>39.786766039153612</v>
      </c>
      <c r="G139" s="110">
        <f t="shared" si="48"/>
        <v>0.6612802706776002</v>
      </c>
      <c r="H139" s="413" t="b">
        <f>Wh_hp&gt;='2026'!Maxi_hp</f>
        <v>0</v>
      </c>
      <c r="I139" s="389">
        <f>IF(H139,Wh_hp,'2026'!Maxi_hp)</f>
        <v>58.993355519975921</v>
      </c>
      <c r="J139" s="85">
        <f>IF(H139,An,'2026'!An_max)</f>
        <v>2020</v>
      </c>
      <c r="K139" s="196">
        <f t="shared" si="27"/>
        <v>46512</v>
      </c>
      <c r="L139" s="147">
        <f>IF(t&lt;Tvie,1-EXP((T0-t)*PertePVj)+'2026'!Pspv,1-EXP((T0-t)*PertePVj)+Pspv)</f>
        <v>6.7754335597995569E-2</v>
      </c>
      <c r="M139" s="847"/>
      <c r="N139" s="847"/>
      <c r="O139" s="48">
        <f>IF(t&lt;Tnet,'2026'!Resal+('2026'!Salim-'2026'!Resal)*(1-EXP(('2026'!Tnet-t)/('2026'!Tau_j))),Resal+(Salim-Resal)*(1-EXP((Tnet-t)/(Tau_j))))*Salcycl</f>
        <v>3.6507409401895272E-2</v>
      </c>
      <c r="P139" s="168">
        <f>(INDEX(Models!$BJ139:$BT139,,T139)*(1-R139)+INDEX(Models!$BJ139:$BT139,,T139+1)*R139-ERP_i)*Q139*Ramure*Pc/MaxiM</f>
        <v>7.5575766452282467E-5</v>
      </c>
      <c r="Q139" s="304">
        <f t="shared" si="28"/>
        <v>0.5</v>
      </c>
      <c r="R139" s="176">
        <f t="shared" si="29"/>
        <v>0.17511405139299133</v>
      </c>
      <c r="S139" s="814">
        <f t="shared" si="30"/>
        <v>0</v>
      </c>
      <c r="T139" s="175">
        <f t="shared" si="31"/>
        <v>6</v>
      </c>
      <c r="U139" s="250">
        <f t="shared" si="32"/>
        <v>0.17511405139299133</v>
      </c>
      <c r="V139" s="382">
        <f t="shared" si="33"/>
        <v>54.037967093133645</v>
      </c>
      <c r="W139" s="401">
        <f t="shared" si="34"/>
        <v>35.735548313050629</v>
      </c>
      <c r="X139" s="157">
        <f t="shared" si="35"/>
        <v>46512</v>
      </c>
      <c r="Y139" s="384">
        <f t="shared" si="36"/>
        <v>34.438580571078433</v>
      </c>
      <c r="Z139" s="384">
        <f t="shared" si="37"/>
        <v>36.94152934802792</v>
      </c>
      <c r="AA139" s="385">
        <f t="shared" si="38"/>
        <v>39.778519877933924</v>
      </c>
      <c r="AB139" s="196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7.1319660425066558E-2</v>
      </c>
      <c r="AD139" s="230">
        <f>(INDEX(Models!$BJ139:$BT139,,AH139)*(1-AF139)+INDEX(Models!$BJ139:$BT139,,AH139+1)*AF139-ERP_i)*AE139*Ramure*Pc/MaxiM</f>
        <v>4.0154840588763687E-4</v>
      </c>
      <c r="AE139" s="304">
        <f t="shared" si="40"/>
        <v>0.5</v>
      </c>
      <c r="AF139" s="176">
        <f t="shared" si="41"/>
        <v>0.29010659121737881</v>
      </c>
      <c r="AG139" s="814">
        <f t="shared" si="49"/>
        <v>2</v>
      </c>
      <c r="AH139" s="175">
        <f t="shared" si="42"/>
        <v>8</v>
      </c>
      <c r="AI139" s="224">
        <f t="shared" si="43"/>
        <v>2.2901065912173788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10">
        <f>'2026'!Wh/'2026'!Env_an*'2027'!Env_an</f>
        <v>34.803452931373599</v>
      </c>
      <c r="C140" s="843"/>
      <c r="D140" s="392">
        <f t="shared" si="25"/>
        <v>37.333736782855624</v>
      </c>
      <c r="E140" s="384">
        <f t="shared" si="47"/>
        <v>38.751934063622897</v>
      </c>
      <c r="F140" s="384">
        <f t="shared" si="26"/>
        <v>38.753447969590198</v>
      </c>
      <c r="G140" s="110">
        <f t="shared" si="48"/>
        <v>0.64361911173273656</v>
      </c>
      <c r="H140" s="413" t="b">
        <f>Wh_hp&gt;='2026'!Maxi_hp</f>
        <v>0</v>
      </c>
      <c r="I140" s="389">
        <f>IF(H140,Wh_hp,'2026'!Maxi_hp)</f>
        <v>62.888390720107274</v>
      </c>
      <c r="J140" s="85">
        <f>IF(H140,An,'2026'!An_max)</f>
        <v>2019</v>
      </c>
      <c r="K140" s="196">
        <f t="shared" si="27"/>
        <v>46513</v>
      </c>
      <c r="L140" s="147">
        <f>IF(t&lt;Tvie,1-EXP((T0-t)*PertePVj)+'2026'!Pspv,1-EXP((T0-t)*PertePVj)+Pspv)</f>
        <v>6.7774727887511682E-2</v>
      </c>
      <c r="M140" s="847"/>
      <c r="N140" s="847"/>
      <c r="O140" s="48">
        <f>IF(t&lt;Tnet,'2026'!Resal+('2026'!Salim-'2026'!Resal)*(1-EXP(('2026'!Tnet-t)/('2026'!Tau_j))),Resal+(Salim-Resal)*(1-EXP((Tnet-t)/(Tau_j))))*Salcycl</f>
        <v>3.6596812908457149E-2</v>
      </c>
      <c r="P140" s="168">
        <f>(INDEX(Models!$BJ140:$BT140,,T140)*(1-R140)+INDEX(Models!$BJ140:$BT140,,T140+1)*R140-ERP_i)*Q140*Ramure*Pc/MaxiM</f>
        <v>7.9574941295869491E-5</v>
      </c>
      <c r="Q140" s="304">
        <f t="shared" si="28"/>
        <v>0.5</v>
      </c>
      <c r="R140" s="176">
        <f t="shared" si="29"/>
        <v>0.17700425500979616</v>
      </c>
      <c r="S140" s="814">
        <f t="shared" si="30"/>
        <v>0</v>
      </c>
      <c r="T140" s="175">
        <f t="shared" si="31"/>
        <v>6</v>
      </c>
      <c r="U140" s="250">
        <f t="shared" si="32"/>
        <v>0.17700425500979616</v>
      </c>
      <c r="V140" s="382">
        <f t="shared" si="33"/>
        <v>54.072420098015918</v>
      </c>
      <c r="W140" s="401">
        <f t="shared" si="34"/>
        <v>34.803452931373599</v>
      </c>
      <c r="X140" s="157">
        <f t="shared" si="35"/>
        <v>46513</v>
      </c>
      <c r="Y140" s="384">
        <f t="shared" si="36"/>
        <v>33.540872158220921</v>
      </c>
      <c r="Z140" s="384">
        <f t="shared" si="37"/>
        <v>35.979363745648023</v>
      </c>
      <c r="AA140" s="385">
        <f t="shared" si="38"/>
        <v>38.745499658064219</v>
      </c>
      <c r="AB140" s="196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7.1392443943885775E-2</v>
      </c>
      <c r="AD140" s="230">
        <f>(INDEX(Models!$BJ140:$BT140,,AH140)*(1-AF140)+INDEX(Models!$BJ140:$BT140,,AH140+1)*AF140-ERP_i)*AE140*Ramure*Pc/MaxiM</f>
        <v>4.177844838072391E-4</v>
      </c>
      <c r="AE140" s="304">
        <f t="shared" si="40"/>
        <v>0.5</v>
      </c>
      <c r="AF140" s="176">
        <f t="shared" si="41"/>
        <v>0.2919967948341835</v>
      </c>
      <c r="AG140" s="814">
        <f t="shared" si="49"/>
        <v>2</v>
      </c>
      <c r="AH140" s="175">
        <f t="shared" si="42"/>
        <v>8</v>
      </c>
      <c r="AI140" s="224">
        <f t="shared" si="43"/>
        <v>2.2919967948341835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10">
        <f>'2026'!Wh/'2026'!Env_an*'2027'!Env_an</f>
        <v>45.947311197570606</v>
      </c>
      <c r="C141" s="843"/>
      <c r="D141" s="392">
        <f t="shared" si="25"/>
        <v>49.288855025390511</v>
      </c>
      <c r="E141" s="384">
        <f t="shared" si="47"/>
        <v>51.165963334533835</v>
      </c>
      <c r="F141" s="384">
        <f t="shared" si="26"/>
        <v>51.169331858395822</v>
      </c>
      <c r="G141" s="110">
        <f t="shared" si="48"/>
        <v>0.84924404936945452</v>
      </c>
      <c r="H141" s="413" t="b">
        <f>Wh_hp&gt;='2026'!Maxi_hp</f>
        <v>0</v>
      </c>
      <c r="I141" s="389">
        <f>IF(H141,Wh_hp,'2026'!Maxi_hp)</f>
        <v>58.152952169417603</v>
      </c>
      <c r="J141" s="85">
        <f>IF(H141,An,'2026'!An_max)</f>
        <v>2020</v>
      </c>
      <c r="K141" s="196">
        <f t="shared" si="27"/>
        <v>46514</v>
      </c>
      <c r="L141" s="147">
        <f>IF(t&lt;Tvie,1-EXP((T0-t)*PertePVj)+'2026'!Pspv,1-EXP((T0-t)*PertePVj)+Pspv)</f>
        <v>6.7795119730384296E-2</v>
      </c>
      <c r="M141" s="847"/>
      <c r="N141" s="847"/>
      <c r="O141" s="48">
        <f>IF(t&lt;Tnet,'2026'!Resal+('2026'!Salim-'2026'!Resal)*(1-EXP(('2026'!Tnet-t)/('2026'!Tau_j))),Resal+(Salim-Resal)*(1-EXP((Tnet-t)/(Tau_j))))*Salcycl</f>
        <v>3.6686660170363469E-2</v>
      </c>
      <c r="P141" s="168">
        <f>(INDEX(Models!$BJ141:$BT141,,T141)*(1-R141)+INDEX(Models!$BJ141:$BT141,,T141+1)*R141-ERP_i)*Q141*Ramure*Pc/MaxiM</f>
        <v>8.3897772168888048E-5</v>
      </c>
      <c r="Q141" s="304">
        <f t="shared" si="28"/>
        <v>0.5</v>
      </c>
      <c r="R141" s="176">
        <f t="shared" si="29"/>
        <v>0.17894294765288754</v>
      </c>
      <c r="S141" s="814">
        <f t="shared" si="30"/>
        <v>0</v>
      </c>
      <c r="T141" s="175">
        <f t="shared" si="31"/>
        <v>6</v>
      </c>
      <c r="U141" s="250">
        <f t="shared" si="32"/>
        <v>0.17894294765288754</v>
      </c>
      <c r="V141" s="382">
        <f t="shared" si="33"/>
        <v>54.102800076677809</v>
      </c>
      <c r="W141" s="401">
        <f t="shared" si="34"/>
        <v>45.947311197570606</v>
      </c>
      <c r="X141" s="157">
        <f t="shared" si="35"/>
        <v>46514</v>
      </c>
      <c r="Y141" s="384">
        <f t="shared" si="36"/>
        <v>44.276193352111122</v>
      </c>
      <c r="Z141" s="384">
        <f t="shared" si="37"/>
        <v>47.496204202777186</v>
      </c>
      <c r="AA141" s="385">
        <f t="shared" si="38"/>
        <v>51.151824697350065</v>
      </c>
      <c r="AB141" s="196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7.1466081927714017E-2</v>
      </c>
      <c r="AD141" s="230">
        <f>(INDEX(Models!$BJ141:$BT141,,AH141)*(1-AF141)+INDEX(Models!$BJ141:$BT141,,AH141+1)*AF141-ERP_i)*AE141*Ramure*Pc/MaxiM</f>
        <v>4.3604019710701713E-4</v>
      </c>
      <c r="AE141" s="304">
        <f t="shared" si="40"/>
        <v>0.5</v>
      </c>
      <c r="AF141" s="176">
        <f t="shared" si="41"/>
        <v>0.29393548747727527</v>
      </c>
      <c r="AG141" s="814">
        <f t="shared" si="49"/>
        <v>2</v>
      </c>
      <c r="AH141" s="175">
        <f t="shared" si="42"/>
        <v>8</v>
      </c>
      <c r="AI141" s="224">
        <f t="shared" si="43"/>
        <v>2.2939354874772753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10">
        <f>'2026'!Wh/'2026'!Env_an*'2027'!Env_an</f>
        <v>47.349138435936567</v>
      </c>
      <c r="C142" s="843"/>
      <c r="D142" s="392">
        <f t="shared" si="25"/>
        <v>50.79374201255159</v>
      </c>
      <c r="E142" s="384">
        <f t="shared" si="47"/>
        <v>52.733104218486162</v>
      </c>
      <c r="F142" s="384">
        <f t="shared" si="26"/>
        <v>52.736938250087285</v>
      </c>
      <c r="G142" s="110">
        <f t="shared" si="48"/>
        <v>0.87472431590158861</v>
      </c>
      <c r="H142" s="413" t="b">
        <f>Wh_hp&gt;='2026'!Maxi_hp</f>
        <v>0</v>
      </c>
      <c r="I142" s="389">
        <f>IF(H142,Wh_hp,'2026'!Maxi_hp)</f>
        <v>57.718187862260137</v>
      </c>
      <c r="J142" s="85">
        <f>IF(H142,An,'2026'!An_max)</f>
        <v>2021</v>
      </c>
      <c r="K142" s="196">
        <f t="shared" si="27"/>
        <v>46515</v>
      </c>
      <c r="L142" s="147">
        <f>IF(t&lt;Tvie,1-EXP((T0-t)*PertePVj)+'2026'!Pspv,1-EXP((T0-t)*PertePVj)+Pspv)</f>
        <v>6.7815511126623179E-2</v>
      </c>
      <c r="M142" s="847"/>
      <c r="N142" s="847"/>
      <c r="O142" s="48">
        <f>IF(t&lt;Tnet,'2026'!Resal+('2026'!Salim-'2026'!Resal)*(1-EXP(('2026'!Tnet-t)/('2026'!Tau_j))),Resal+(Salim-Resal)*(1-EXP((Tnet-t)/(Tau_j))))*Salcycl</f>
        <v>3.6776939925617105E-2</v>
      </c>
      <c r="P142" s="168">
        <f>(INDEX(Models!$BJ142:$BT142,,T142)*(1-R142)+INDEX(Models!$BJ142:$BT142,,T142+1)*R142-ERP_i)*Q142*Ramure*Pc/MaxiM</f>
        <v>8.8545963833388128E-5</v>
      </c>
      <c r="Q142" s="304">
        <f t="shared" si="28"/>
        <v>0.5</v>
      </c>
      <c r="R142" s="176">
        <f t="shared" si="29"/>
        <v>0.18093031913176733</v>
      </c>
      <c r="S142" s="814">
        <f t="shared" si="30"/>
        <v>0</v>
      </c>
      <c r="T142" s="175">
        <f t="shared" si="31"/>
        <v>6</v>
      </c>
      <c r="U142" s="250">
        <f t="shared" si="32"/>
        <v>0.18093031913176733</v>
      </c>
      <c r="V142" s="382">
        <f t="shared" si="33"/>
        <v>54.129498035390938</v>
      </c>
      <c r="W142" s="401">
        <f t="shared" si="34"/>
        <v>47.349138435936567</v>
      </c>
      <c r="X142" s="157">
        <f t="shared" si="35"/>
        <v>46515</v>
      </c>
      <c r="Y142" s="384">
        <f t="shared" si="36"/>
        <v>45.626482324817587</v>
      </c>
      <c r="Z142" s="384">
        <f t="shared" si="37"/>
        <v>48.945764351819477</v>
      </c>
      <c r="AA142" s="385">
        <f t="shared" si="38"/>
        <v>52.71718037357973</v>
      </c>
      <c r="AB142" s="196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7.1540548926064679E-2</v>
      </c>
      <c r="AD142" s="230">
        <f>(INDEX(Models!$BJ142:$BT142,,AH142)*(1-AF142)+INDEX(Models!$BJ142:$BT142,,AH142+1)*AF142-ERP_i)*AE142*Ramure*Pc/MaxiM</f>
        <v>4.563030252938321E-4</v>
      </c>
      <c r="AE142" s="304">
        <f t="shared" si="40"/>
        <v>0.5</v>
      </c>
      <c r="AF142" s="176">
        <f t="shared" si="41"/>
        <v>0.29592285895615467</v>
      </c>
      <c r="AG142" s="814">
        <f t="shared" si="49"/>
        <v>2</v>
      </c>
      <c r="AH142" s="175">
        <f t="shared" si="42"/>
        <v>8</v>
      </c>
      <c r="AI142" s="224">
        <f t="shared" si="43"/>
        <v>2.2959228589561547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10">
        <f>'2026'!Wh/'2026'!Env_an*'2027'!Env_an</f>
        <v>52.019803373248301</v>
      </c>
      <c r="C143" s="843"/>
      <c r="D143" s="392">
        <f t="shared" ref="D143:D206" si="50">Wh/(1-Ppv)</f>
        <v>55.805413970687816</v>
      </c>
      <c r="E143" s="384">
        <f t="shared" si="47"/>
        <v>57.941583384489192</v>
      </c>
      <c r="F143" s="384">
        <f t="shared" ref="F143:F206" si="51">Wh_sa/(1-Pvg*MEDIAN((-Sdif+Wh/Env_an)/Csdif,0,1))</f>
        <v>57.946687109931034</v>
      </c>
      <c r="G143" s="110">
        <f t="shared" si="48"/>
        <v>0.96060442580909555</v>
      </c>
      <c r="H143" s="413" t="b">
        <f>Wh_hp&gt;='2026'!Maxi_hp</f>
        <v>0</v>
      </c>
      <c r="I143" s="389">
        <f>IF(H143,Wh_hp,'2026'!Maxi_hp)</f>
        <v>57.946970080239403</v>
      </c>
      <c r="J143" s="85">
        <f>IF(H143,An,'2026'!An_max)</f>
        <v>2025</v>
      </c>
      <c r="K143" s="196">
        <f t="shared" ref="K143:K206" si="52">t</f>
        <v>46516</v>
      </c>
      <c r="L143" s="147">
        <f>IF(t&lt;Tvie,1-EXP((T0-t)*PertePVj)+'2026'!Pspv,1-EXP((T0-t)*PertePVj)+Pspv)</f>
        <v>6.7835902076238214E-2</v>
      </c>
      <c r="M143" s="847"/>
      <c r="N143" s="847"/>
      <c r="O143" s="48">
        <f>IF(t&lt;Tnet,'2026'!Resal+('2026'!Salim-'2026'!Resal)*(1-EXP(('2026'!Tnet-t)/('2026'!Tau_j))),Resal+(Salim-Resal)*(1-EXP((Tnet-t)/(Tau_j))))*Salcycl</f>
        <v>3.6867639595317359E-2</v>
      </c>
      <c r="P143" s="168">
        <f>(INDEX(Models!$BJ143:$BT143,,T143)*(1-R143)+INDEX(Models!$BJ143:$BT143,,T143+1)*R143-ERP_i)*Q143*Ramure*Pc/MaxiM</f>
        <v>9.33279949360216E-5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0.18296648466217455</v>
      </c>
      <c r="S143" s="814">
        <f t="shared" ref="S143:S206" si="55">INDEX(Echel_vg,T143)</f>
        <v>0</v>
      </c>
      <c r="T143" s="175">
        <f t="shared" ref="T143:T206" si="56">MIN(MATCH(Hp_vg,Echel_vg),10)</f>
        <v>6</v>
      </c>
      <c r="U143" s="250">
        <f t="shared" ref="U143:U206" si="57">IF(OR(t&lt;Ttai,Notai),Hdd+PousH*Croivg,Hdtf+PousH*(Croivg-Croi_tai))</f>
        <v>0.18296648466217455</v>
      </c>
      <c r="V143" s="382">
        <f t="shared" ref="V143:V206" si="58">MaxiM*(1-Ppv)*(1-Pvg)*(1-Psa)</f>
        <v>54.152915347356185</v>
      </c>
      <c r="W143" s="401">
        <f t="shared" ref="W143:W206" si="59">Wh*(A143&gt;Tmaj)</f>
        <v>52.019803373248301</v>
      </c>
      <c r="X143" s="157">
        <f t="shared" ref="X143:X206" si="60">t</f>
        <v>46516</v>
      </c>
      <c r="Y143" s="384">
        <f t="shared" ref="Y143:Y206" si="61">Wh_pvt_s*(1-Ppv)</f>
        <v>50.124852172041884</v>
      </c>
      <c r="Z143" s="384">
        <f t="shared" ref="Z143:Z206" si="62">Wh_sa_s*(1-Psa_s)</f>
        <v>53.772562452991416</v>
      </c>
      <c r="AA143" s="385">
        <f t="shared" ref="AA143:AA206" si="63">Wh_hp*(1-Pvg_s*MEDIAN((-Sdif+Wh/Env_an)/Csdif,0,1))</f>
        <v>57.920593050505595</v>
      </c>
      <c r="AB143" s="196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7.161581708766647E-2</v>
      </c>
      <c r="AD143" s="230">
        <f>(INDEX(Models!$BJ143:$BT143,,AH143)*(1-AF143)+INDEX(Models!$BJ143:$BT143,,AH143+1)*AF143-ERP_i)*AE143*Ramure*Pc/MaxiM</f>
        <v>4.7716247154524003E-4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0.2979590244865622</v>
      </c>
      <c r="AG143" s="814">
        <f t="shared" si="49"/>
        <v>2</v>
      </c>
      <c r="AH143" s="175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2.2979590244865622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10">
        <f>'2026'!Wh/'2026'!Env_an*'2027'!Env_an</f>
        <v>48.062124297349243</v>
      </c>
      <c r="C144" s="843"/>
      <c r="D144" s="392">
        <f t="shared" si="50"/>
        <v>51.560852596792202</v>
      </c>
      <c r="E144" s="384">
        <f t="shared" ref="E144:E169" si="72">Wh_pvt/(1-Psa)</f>
        <v>53.539609381714996</v>
      </c>
      <c r="F144" s="384">
        <f t="shared" si="51"/>
        <v>53.544022161183314</v>
      </c>
      <c r="G144" s="110">
        <f t="shared" ref="G144:G169" si="73">+Wh_hp/MaxiM</f>
        <v>0.88717572339872341</v>
      </c>
      <c r="H144" s="413" t="b">
        <f>Wh_hp&gt;='2026'!Maxi_hp</f>
        <v>0</v>
      </c>
      <c r="I144" s="389">
        <f>IF(H144,Wh_hp,'2026'!Maxi_hp)</f>
        <v>53.544808041153175</v>
      </c>
      <c r="J144" s="85">
        <f>IF(H144,An,'2026'!An_max)</f>
        <v>2025</v>
      </c>
      <c r="K144" s="196">
        <f t="shared" si="52"/>
        <v>46517</v>
      </c>
      <c r="L144" s="147">
        <f>IF(t&lt;Tvie,1-EXP((T0-t)*PertePVj)+'2026'!Pspv,1-EXP((T0-t)*PertePVj)+Pspv)</f>
        <v>6.7856292579239169E-2</v>
      </c>
      <c r="M144" s="847"/>
      <c r="N144" s="847"/>
      <c r="O144" s="48">
        <f>IF(t&lt;Tnet,'2026'!Resal+('2026'!Salim-'2026'!Resal)*(1-EXP(('2026'!Tnet-t)/('2026'!Tau_j))),Resal+(Salim-Resal)*(1-EXP((Tnet-t)/(Tau_j))))*Salcycl</f>
        <v>3.6958745268667999E-2</v>
      </c>
      <c r="P144" s="168">
        <f>(INDEX(Models!$BJ144:$BT144,,T144)*(1-R144)+INDEX(Models!$BJ144:$BT144,,T144+1)*R144-ERP_i)*Q144*Ramure*Pc/MaxiM</f>
        <v>9.8247337566543508E-5</v>
      </c>
      <c r="Q144" s="304">
        <f t="shared" si="53"/>
        <v>0.5</v>
      </c>
      <c r="R144" s="176">
        <f t="shared" si="54"/>
        <v>0.1850514807902055</v>
      </c>
      <c r="S144" s="814">
        <f t="shared" si="55"/>
        <v>0</v>
      </c>
      <c r="T144" s="175">
        <f t="shared" si="56"/>
        <v>6</v>
      </c>
      <c r="U144" s="250">
        <f t="shared" si="57"/>
        <v>0.1850514807902055</v>
      </c>
      <c r="V144" s="382">
        <f t="shared" si="58"/>
        <v>54.173442741250113</v>
      </c>
      <c r="W144" s="401">
        <f t="shared" si="59"/>
        <v>48.062124297349243</v>
      </c>
      <c r="X144" s="157">
        <f t="shared" si="60"/>
        <v>46517</v>
      </c>
      <c r="Y144" s="384">
        <f t="shared" si="61"/>
        <v>46.313151335219743</v>
      </c>
      <c r="Z144" s="384">
        <f t="shared" si="62"/>
        <v>49.684561475363182</v>
      </c>
      <c r="AA144" s="385">
        <f t="shared" si="63"/>
        <v>53.521626201803436</v>
      </c>
      <c r="AB144" s="196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7.1691856147505492E-2</v>
      </c>
      <c r="AD144" s="230">
        <f>(INDEX(Models!$BJ144:$BT144,,AH144)*(1-AF144)+INDEX(Models!$BJ144:$BT144,,AH144+1)*AF144-ERP_i)*AE144*Ramure*Pc/MaxiM</f>
        <v>4.9862980851857327E-4</v>
      </c>
      <c r="AE144" s="304">
        <f t="shared" si="65"/>
        <v>0.5</v>
      </c>
      <c r="AF144" s="176">
        <f t="shared" si="66"/>
        <v>0.3000440206145929</v>
      </c>
      <c r="AG144" s="814">
        <f t="shared" ref="AG144:AG207" si="74">INDEX(Echel_vg,AH144)</f>
        <v>2</v>
      </c>
      <c r="AH144" s="175">
        <f t="shared" si="67"/>
        <v>8</v>
      </c>
      <c r="AI144" s="224">
        <f t="shared" si="68"/>
        <v>2.3000440206145929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10">
        <f>'2026'!Wh/'2026'!Env_an*'2027'!Env_an</f>
        <v>52.298174370122773</v>
      </c>
      <c r="C145" s="843"/>
      <c r="D145" s="392">
        <f t="shared" si="50"/>
        <v>56.106497279779525</v>
      </c>
      <c r="E145" s="384">
        <f t="shared" si="72"/>
        <v>58.265238446524727</v>
      </c>
      <c r="F145" s="384">
        <f t="shared" si="51"/>
        <v>58.270957811982477</v>
      </c>
      <c r="G145" s="110">
        <f t="shared" si="73"/>
        <v>0.96505785627162699</v>
      </c>
      <c r="H145" s="413" t="b">
        <f>Wh_hp&gt;='2026'!Maxi_hp</f>
        <v>0</v>
      </c>
      <c r="I145" s="389">
        <f>IF(H145,Wh_hp,'2026'!Maxi_hp)</f>
        <v>58.271235456095248</v>
      </c>
      <c r="J145" s="85">
        <f>IF(H145,An,'2026'!An_max)</f>
        <v>2025</v>
      </c>
      <c r="K145" s="196">
        <f t="shared" si="52"/>
        <v>46518</v>
      </c>
      <c r="L145" s="147">
        <f>IF(t&lt;Tvie,1-EXP((T0-t)*PertePVj)+'2026'!Pspv,1-EXP((T0-t)*PertePVj)+Pspv)</f>
        <v>6.7876682635635704E-2</v>
      </c>
      <c r="M145" s="847"/>
      <c r="N145" s="847"/>
      <c r="O145" s="48">
        <f>IF(t&lt;Tnet,'2026'!Resal+('2026'!Salim-'2026'!Resal)*(1-EXP(('2026'!Tnet-t)/('2026'!Tau_j))),Resal+(Salim-Resal)*(1-EXP((Tnet-t)/(Tau_j))))*Salcycl</f>
        <v>3.7050241693020292E-2</v>
      </c>
      <c r="P145" s="168">
        <f>(INDEX(Models!$BJ145:$BT145,,T145)*(1-R145)+INDEX(Models!$BJ145:$BT145,,T145+1)*R145-ERP_i)*Q145*Ramure*Pc/MaxiM</f>
        <v>1.0330731009739249E-4</v>
      </c>
      <c r="Q145" s="304">
        <f t="shared" si="53"/>
        <v>0.5</v>
      </c>
      <c r="R145" s="176">
        <f t="shared" si="54"/>
        <v>0.18718526142522404</v>
      </c>
      <c r="S145" s="814">
        <f t="shared" si="55"/>
        <v>0</v>
      </c>
      <c r="T145" s="175">
        <f t="shared" si="56"/>
        <v>6</v>
      </c>
      <c r="U145" s="250">
        <f t="shared" si="57"/>
        <v>0.18718526142522404</v>
      </c>
      <c r="V145" s="382">
        <f t="shared" si="58"/>
        <v>54.191470852817893</v>
      </c>
      <c r="W145" s="401">
        <f t="shared" si="59"/>
        <v>52.298174370122773</v>
      </c>
      <c r="X145" s="157">
        <f t="shared" si="60"/>
        <v>46518</v>
      </c>
      <c r="Y145" s="384">
        <f t="shared" si="61"/>
        <v>50.392610707628805</v>
      </c>
      <c r="Z145" s="384">
        <f t="shared" si="62"/>
        <v>54.062171569870173</v>
      </c>
      <c r="AA145" s="385">
        <f t="shared" si="63"/>
        <v>58.242129620409187</v>
      </c>
      <c r="AB145" s="196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7.1768633423635542E-2</v>
      </c>
      <c r="AD145" s="230">
        <f>(INDEX(Models!$BJ145:$BT145,,AH145)*(1-AF145)+INDEX(Models!$BJ145:$BT145,,AH145+1)*AF145-ERP_i)*AE145*Ramure*Pc/MaxiM</f>
        <v>5.2071561931312047E-4</v>
      </c>
      <c r="AE145" s="304">
        <f t="shared" si="65"/>
        <v>0.5</v>
      </c>
      <c r="AF145" s="176">
        <f t="shared" si="66"/>
        <v>0.30217780124961147</v>
      </c>
      <c r="AG145" s="814">
        <f t="shared" si="74"/>
        <v>2</v>
      </c>
      <c r="AH145" s="175">
        <f t="shared" si="67"/>
        <v>8</v>
      </c>
      <c r="AI145" s="224">
        <f t="shared" si="68"/>
        <v>2.3021778012496115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10">
        <f>'2026'!Wh/'2026'!Env_an*'2027'!Env_an</f>
        <v>40.999629419549336</v>
      </c>
      <c r="C146" s="843"/>
      <c r="D146" s="392">
        <f t="shared" si="50"/>
        <v>43.986160968636284</v>
      </c>
      <c r="E146" s="384">
        <f t="shared" si="72"/>
        <v>45.682921154966955</v>
      </c>
      <c r="F146" s="384">
        <f t="shared" si="51"/>
        <v>45.686153042999116</v>
      </c>
      <c r="G146" s="110">
        <f t="shared" si="73"/>
        <v>0.75631902933025208</v>
      </c>
      <c r="H146" s="413" t="b">
        <f>Wh_hp&gt;='2026'!Maxi_hp</f>
        <v>0</v>
      </c>
      <c r="I146" s="389">
        <f>IF(H146,Wh_hp,'2026'!Maxi_hp)</f>
        <v>55.50428873596136</v>
      </c>
      <c r="J146" s="85">
        <f>IF(H146,An,'2026'!An_max)</f>
        <v>2019</v>
      </c>
      <c r="K146" s="196">
        <f t="shared" si="52"/>
        <v>46519</v>
      </c>
      <c r="L146" s="147">
        <f>IF(t&lt;Tvie,1-EXP((T0-t)*PertePVj)+'2026'!Pspv,1-EXP((T0-t)*PertePVj)+Pspv)</f>
        <v>6.7897072245437701E-2</v>
      </c>
      <c r="M146" s="847"/>
      <c r="N146" s="847"/>
      <c r="O146" s="48">
        <f>IF(t&lt;Tnet,'2026'!Resal+('2026'!Salim-'2026'!Resal)*(1-EXP(('2026'!Tnet-t)/('2026'!Tau_j))),Resal+(Salim-Resal)*(1-EXP((Tnet-t)/(Tau_j))))*Salcycl</f>
        <v>3.7142112269372363E-2</v>
      </c>
      <c r="P146" s="168">
        <f>(INDEX(Models!$BJ146:$BT146,,T146)*(1-R146)+INDEX(Models!$BJ146:$BT146,,T146+1)*R146-ERP_i)*Q146*Ramure*Pc/MaxiM</f>
        <v>1.0851105516827084E-4</v>
      </c>
      <c r="Q146" s="304">
        <f t="shared" si="53"/>
        <v>0.5</v>
      </c>
      <c r="R146" s="176">
        <f t="shared" si="54"/>
        <v>0.18936769401392128</v>
      </c>
      <c r="S146" s="814">
        <f t="shared" si="55"/>
        <v>0</v>
      </c>
      <c r="T146" s="175">
        <f t="shared" si="56"/>
        <v>6</v>
      </c>
      <c r="U146" s="250">
        <f t="shared" si="57"/>
        <v>0.18936769401392128</v>
      </c>
      <c r="V146" s="382">
        <f t="shared" si="58"/>
        <v>54.207390221977001</v>
      </c>
      <c r="W146" s="401">
        <f t="shared" si="59"/>
        <v>40.999629419549336</v>
      </c>
      <c r="X146" s="157">
        <f t="shared" si="60"/>
        <v>46519</v>
      </c>
      <c r="Y146" s="384">
        <f t="shared" si="61"/>
        <v>39.510685315560409</v>
      </c>
      <c r="Z146" s="384">
        <f t="shared" si="62"/>
        <v>42.388757871130956</v>
      </c>
      <c r="AA146" s="385">
        <f t="shared" si="63"/>
        <v>45.669967558714475</v>
      </c>
      <c r="AB146" s="196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7.1846113824475782E-2</v>
      </c>
      <c r="AD146" s="230">
        <f>(INDEX(Models!$BJ146:$BT146,,AH146)*(1-AF146)+INDEX(Models!$BJ146:$BT146,,AH146+1)*AF146-ERP_i)*AE146*Ramure*Pc/MaxiM</f>
        <v>5.4342971063964837E-4</v>
      </c>
      <c r="AE146" s="304">
        <f t="shared" si="65"/>
        <v>0.5</v>
      </c>
      <c r="AF146" s="176">
        <f t="shared" si="66"/>
        <v>0.30436023383830868</v>
      </c>
      <c r="AG146" s="814">
        <f t="shared" si="74"/>
        <v>2</v>
      </c>
      <c r="AH146" s="175">
        <f t="shared" si="67"/>
        <v>8</v>
      </c>
      <c r="AI146" s="224">
        <f t="shared" si="68"/>
        <v>2.3043602338383087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10">
        <f>'2026'!Wh/'2026'!Env_an*'2027'!Env_an</f>
        <v>43.007352054431273</v>
      </c>
      <c r="C147" s="843"/>
      <c r="D147" s="392">
        <f t="shared" si="50"/>
        <v>46.141141233509451</v>
      </c>
      <c r="E147" s="384">
        <f t="shared" si="72"/>
        <v>47.925620018643393</v>
      </c>
      <c r="F147" s="384">
        <f t="shared" si="51"/>
        <v>47.929464916916523</v>
      </c>
      <c r="G147" s="110">
        <f t="shared" si="73"/>
        <v>0.79315092156772338</v>
      </c>
      <c r="H147" s="413" t="b">
        <f>Wh_hp&gt;='2026'!Maxi_hp</f>
        <v>0</v>
      </c>
      <c r="I147" s="389">
        <f>IF(H147,Wh_hp,'2026'!Maxi_hp)</f>
        <v>62.466176005743364</v>
      </c>
      <c r="J147" s="85">
        <f>IF(H147,An,'2026'!An_max)</f>
        <v>2019</v>
      </c>
      <c r="K147" s="196">
        <f t="shared" si="52"/>
        <v>46520</v>
      </c>
      <c r="L147" s="147">
        <f>IF(t&lt;Tvie,1-EXP((T0-t)*PertePVj)+'2026'!Pspv,1-EXP((T0-t)*PertePVj)+Pspv)</f>
        <v>6.7917461408654928E-2</v>
      </c>
      <c r="M147" s="847"/>
      <c r="N147" s="847"/>
      <c r="O147" s="48">
        <f>IF(t&lt;Tnet,'2026'!Resal+('2026'!Salim-'2026'!Resal)*(1-EXP(('2026'!Tnet-t)/('2026'!Tau_j))),Resal+(Salim-Resal)*(1-EXP((Tnet-t)/(Tau_j))))*Salcycl</f>
        <v>3.7234339053720519E-2</v>
      </c>
      <c r="P147" s="168">
        <f>(INDEX(Models!$BJ147:$BT147,,T147)*(1-R147)+INDEX(Models!$BJ147:$BT147,,T147+1)*R147-ERP_i)*Q147*Ramure*Pc/MaxiM</f>
        <v>1.1386151653567494E-4</v>
      </c>
      <c r="Q147" s="304">
        <f t="shared" si="53"/>
        <v>0.5</v>
      </c>
      <c r="R147" s="176">
        <f t="shared" si="54"/>
        <v>0.19159855588919256</v>
      </c>
      <c r="S147" s="814">
        <f t="shared" si="55"/>
        <v>0</v>
      </c>
      <c r="T147" s="175">
        <f t="shared" si="56"/>
        <v>6</v>
      </c>
      <c r="U147" s="250">
        <f t="shared" si="57"/>
        <v>0.19159855588919256</v>
      </c>
      <c r="V147" s="382">
        <f t="shared" si="58"/>
        <v>54.221591292807268</v>
      </c>
      <c r="W147" s="401">
        <f t="shared" si="59"/>
        <v>43.007352054431273</v>
      </c>
      <c r="X147" s="157">
        <f t="shared" si="60"/>
        <v>46520</v>
      </c>
      <c r="Y147" s="384">
        <f t="shared" si="61"/>
        <v>41.444501104091408</v>
      </c>
      <c r="Z147" s="384">
        <f t="shared" si="62"/>
        <v>44.464411023863207</v>
      </c>
      <c r="AA147" s="385">
        <f t="shared" si="63"/>
        <v>47.910325742922154</v>
      </c>
      <c r="AB147" s="196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7.1924259867258727E-2</v>
      </c>
      <c r="AD147" s="230">
        <f>(INDEX(Models!$BJ147:$BT147,,AH147)*(1-AF147)+INDEX(Models!$BJ147:$BT147,,AH147+1)*AF147-ERP_i)*AE147*Ramure*Pc/MaxiM</f>
        <v>5.6678102291254353E-4</v>
      </c>
      <c r="AE147" s="304">
        <f t="shared" si="65"/>
        <v>0.5</v>
      </c>
      <c r="AF147" s="176">
        <f t="shared" si="66"/>
        <v>0.30659109571358023</v>
      </c>
      <c r="AG147" s="814">
        <f t="shared" si="74"/>
        <v>2</v>
      </c>
      <c r="AH147" s="175">
        <f t="shared" si="67"/>
        <v>8</v>
      </c>
      <c r="AI147" s="224">
        <f t="shared" si="68"/>
        <v>2.3065910957135802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10">
        <f>'2026'!Wh/'2026'!Env_an*'2027'!Env_an</f>
        <v>45.4136391945678</v>
      </c>
      <c r="C148" s="843"/>
      <c r="D148" s="392">
        <f t="shared" si="50"/>
        <v>48.723831560666589</v>
      </c>
      <c r="E148" s="384">
        <f t="shared" si="72"/>
        <v>50.613060342698745</v>
      </c>
      <c r="F148" s="384">
        <f t="shared" si="51"/>
        <v>50.617698352700067</v>
      </c>
      <c r="G148" s="110">
        <f t="shared" si="73"/>
        <v>0.83733434272800922</v>
      </c>
      <c r="H148" s="413" t="b">
        <f>Wh_hp&gt;='2026'!Maxi_hp</f>
        <v>0</v>
      </c>
      <c r="I148" s="389">
        <f>IF(H148,Wh_hp,'2026'!Maxi_hp)</f>
        <v>61.499322120098213</v>
      </c>
      <c r="J148" s="85">
        <f>IF(H148,An,'2026'!An_max)</f>
        <v>2019</v>
      </c>
      <c r="K148" s="196">
        <f t="shared" si="52"/>
        <v>46521</v>
      </c>
      <c r="L148" s="147">
        <f>IF(t&lt;Tvie,1-EXP((T0-t)*PertePVj)+'2026'!Pspv,1-EXP((T0-t)*PertePVj)+Pspv)</f>
        <v>6.7937850125297156E-2</v>
      </c>
      <c r="M148" s="847"/>
      <c r="N148" s="847"/>
      <c r="O148" s="48">
        <f>IF(t&lt;Tnet,'2026'!Resal+('2026'!Salim-'2026'!Resal)*(1-EXP(('2026'!Tnet-t)/('2026'!Tau_j))),Resal+(Salim-Resal)*(1-EXP((Tnet-t)/(Tau_j))))*Salcycl</f>
        <v>3.7326902764627794E-2</v>
      </c>
      <c r="P148" s="168">
        <f>(INDEX(Models!$BJ148:$BT148,,T148)*(1-R148)+INDEX(Models!$BJ148:$BT148,,T148+1)*R148-ERP_i)*Q148*Ramure*Pc/MaxiM</f>
        <v>1.1936141487065546E-4</v>
      </c>
      <c r="Q148" s="304">
        <f t="shared" si="53"/>
        <v>0.5</v>
      </c>
      <c r="R148" s="176">
        <f t="shared" si="54"/>
        <v>0.19387753082855397</v>
      </c>
      <c r="S148" s="814">
        <f t="shared" si="55"/>
        <v>0</v>
      </c>
      <c r="T148" s="175">
        <f t="shared" si="56"/>
        <v>6</v>
      </c>
      <c r="U148" s="250">
        <f t="shared" si="57"/>
        <v>0.19387753082855397</v>
      </c>
      <c r="V148" s="382">
        <f t="shared" si="58"/>
        <v>54.234464415082456</v>
      </c>
      <c r="W148" s="401">
        <f t="shared" si="59"/>
        <v>45.4136391945678</v>
      </c>
      <c r="X148" s="157">
        <f t="shared" si="60"/>
        <v>46521</v>
      </c>
      <c r="Y148" s="384">
        <f t="shared" si="61"/>
        <v>43.761965576879497</v>
      </c>
      <c r="Z148" s="384">
        <f t="shared" si="62"/>
        <v>46.951767736478111</v>
      </c>
      <c r="AA148" s="385">
        <f t="shared" si="63"/>
        <v>50.594742591568298</v>
      </c>
      <c r="AB148" s="196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7.2003031708225348E-2</v>
      </c>
      <c r="AD148" s="230">
        <f>(INDEX(Models!$BJ148:$BT148,,AH148)*(1-AF148)+INDEX(Models!$BJ148:$BT148,,AH148+1)*AF148-ERP_i)*AE148*Ramure*Pc/MaxiM</f>
        <v>5.9077753763772298E-4</v>
      </c>
      <c r="AE148" s="304">
        <f t="shared" si="65"/>
        <v>0.5</v>
      </c>
      <c r="AF148" s="176">
        <f t="shared" si="66"/>
        <v>0.30887007065294148</v>
      </c>
      <c r="AG148" s="814">
        <f t="shared" si="74"/>
        <v>2</v>
      </c>
      <c r="AH148" s="175">
        <f t="shared" si="67"/>
        <v>8</v>
      </c>
      <c r="AI148" s="224">
        <f t="shared" si="68"/>
        <v>2.3088700706529415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10">
        <f>'2026'!Wh/'2026'!Env_an*'2027'!Env_an</f>
        <v>49.102819100482741</v>
      </c>
      <c r="C149" s="843"/>
      <c r="D149" s="392">
        <f t="shared" si="50"/>
        <v>52.68306756549849</v>
      </c>
      <c r="E149" s="384">
        <f t="shared" si="72"/>
        <v>54.731093184732082</v>
      </c>
      <c r="F149" s="384">
        <f t="shared" si="51"/>
        <v>54.737009397665553</v>
      </c>
      <c r="G149" s="110">
        <f t="shared" si="73"/>
        <v>0.90518205197093227</v>
      </c>
      <c r="H149" s="413" t="b">
        <f>Wh_hp&gt;='2026'!Maxi_hp</f>
        <v>0</v>
      </c>
      <c r="I149" s="389">
        <f>IF(H149,Wh_hp,'2026'!Maxi_hp)</f>
        <v>61.883239006526935</v>
      </c>
      <c r="J149" s="85">
        <f>IF(H149,An,'2026'!An_max)</f>
        <v>2019</v>
      </c>
      <c r="K149" s="196">
        <f t="shared" si="52"/>
        <v>46522</v>
      </c>
      <c r="L149" s="147">
        <f>IF(t&lt;Tvie,1-EXP((T0-t)*PertePVj)+'2026'!Pspv,1-EXP((T0-t)*PertePVj)+Pspv)</f>
        <v>6.7958238395374154E-2</v>
      </c>
      <c r="M149" s="847"/>
      <c r="N149" s="847"/>
      <c r="O149" s="48">
        <f>IF(t&lt;Tnet,'2026'!Resal+('2026'!Salim-'2026'!Resal)*(1-EXP(('2026'!Tnet-t)/('2026'!Tau_j))),Resal+(Salim-Resal)*(1-EXP((Tnet-t)/(Tau_j))))*Salcycl</f>
        <v>3.7419782797338978E-2</v>
      </c>
      <c r="P149" s="168">
        <f>(INDEX(Models!$BJ149:$BT149,,T149)*(1-R149)+INDEX(Models!$BJ149:$BT149,,T149+1)*R149-ERP_i)*Q149*Ramure*Pc/MaxiM</f>
        <v>1.2501546249328263E-4</v>
      </c>
      <c r="Q149" s="304">
        <f t="shared" si="53"/>
        <v>0.5</v>
      </c>
      <c r="R149" s="176">
        <f t="shared" si="54"/>
        <v>0.19620420585757775</v>
      </c>
      <c r="S149" s="814">
        <f t="shared" si="55"/>
        <v>0</v>
      </c>
      <c r="T149" s="175">
        <f t="shared" si="56"/>
        <v>6</v>
      </c>
      <c r="U149" s="250">
        <f t="shared" si="57"/>
        <v>0.19620420585757775</v>
      </c>
      <c r="V149" s="382">
        <f t="shared" si="58"/>
        <v>54.245427797996349</v>
      </c>
      <c r="W149" s="401">
        <f t="shared" si="59"/>
        <v>49.102819100482741</v>
      </c>
      <c r="X149" s="157">
        <f t="shared" si="60"/>
        <v>46522</v>
      </c>
      <c r="Y149" s="384">
        <f t="shared" si="61"/>
        <v>47.314549773068094</v>
      </c>
      <c r="Z149" s="384">
        <f t="shared" si="62"/>
        <v>50.764409624317921</v>
      </c>
      <c r="AA149" s="385">
        <f t="shared" si="63"/>
        <v>54.707884539792403</v>
      </c>
      <c r="AB149" s="196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7.2082387185089386E-2</v>
      </c>
      <c r="AD149" s="230">
        <f>(INDEX(Models!$BJ149:$BT149,,AH149)*(1-AF149)+INDEX(Models!$BJ149:$BT149,,AH149+1)*AF149-ERP_i)*AE149*Ramure*Pc/MaxiM</f>
        <v>6.1543720924305348E-4</v>
      </c>
      <c r="AE149" s="304">
        <f t="shared" si="65"/>
        <v>0.5</v>
      </c>
      <c r="AF149" s="176">
        <f t="shared" si="66"/>
        <v>0.31119674568196531</v>
      </c>
      <c r="AG149" s="814">
        <f t="shared" si="74"/>
        <v>2</v>
      </c>
      <c r="AH149" s="175">
        <f t="shared" si="67"/>
        <v>8</v>
      </c>
      <c r="AI149" s="224">
        <f t="shared" si="68"/>
        <v>2.3111967456819653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10">
        <f>'2026'!Wh/'2026'!Env_an*'2027'!Env_an</f>
        <v>47.212645924597048</v>
      </c>
      <c r="C150" s="843"/>
      <c r="D150" s="392">
        <f t="shared" si="50"/>
        <v>50.656183702162039</v>
      </c>
      <c r="E150" s="384">
        <f t="shared" si="72"/>
        <v>52.630509764734882</v>
      </c>
      <c r="F150" s="384">
        <f t="shared" si="51"/>
        <v>52.636118973680567</v>
      </c>
      <c r="G150" s="110">
        <f t="shared" si="73"/>
        <v>0.87019966839015717</v>
      </c>
      <c r="H150" s="413" t="b">
        <f>Wh_hp&gt;='2026'!Maxi_hp</f>
        <v>0</v>
      </c>
      <c r="I150" s="389">
        <f>IF(H150,Wh_hp,'2026'!Maxi_hp)</f>
        <v>52.836978218882514</v>
      </c>
      <c r="J150" s="85">
        <f>IF(H150,An,'2026'!An_max)</f>
        <v>2019</v>
      </c>
      <c r="K150" s="196">
        <f t="shared" si="52"/>
        <v>46523</v>
      </c>
      <c r="L150" s="147">
        <f>IF(t&lt;Tvie,1-EXP((T0-t)*PertePVj)+'2026'!Pspv,1-EXP((T0-t)*PertePVj)+Pspv)</f>
        <v>6.7978626218895694E-2</v>
      </c>
      <c r="M150" s="847"/>
      <c r="N150" s="847"/>
      <c r="O150" s="48">
        <f>IF(t&lt;Tnet,'2026'!Resal+('2026'!Salim-'2026'!Resal)*(1-EXP(('2026'!Tnet-t)/('2026'!Tau_j))),Resal+(Salim-Resal)*(1-EXP((Tnet-t)/(Tau_j))))*Salcycl</f>
        <v>3.7512957244729916E-2</v>
      </c>
      <c r="P150" s="168">
        <f>(INDEX(Models!$BJ150:$BT150,,T150)*(1-R150)+INDEX(Models!$BJ150:$BT150,,T150+1)*R150-ERP_i)*Q150*Ramure*Pc/MaxiM</f>
        <v>1.3081958308064473E-4</v>
      </c>
      <c r="Q150" s="304">
        <f t="shared" si="53"/>
        <v>0.5</v>
      </c>
      <c r="R150" s="176">
        <f t="shared" si="54"/>
        <v>0.19857806833425343</v>
      </c>
      <c r="S150" s="814">
        <f t="shared" si="55"/>
        <v>0</v>
      </c>
      <c r="T150" s="175">
        <f t="shared" si="56"/>
        <v>6</v>
      </c>
      <c r="U150" s="250">
        <f t="shared" si="57"/>
        <v>0.19857806833425343</v>
      </c>
      <c r="V150" s="382">
        <f t="shared" si="58"/>
        <v>54.253641355166287</v>
      </c>
      <c r="W150" s="401">
        <f t="shared" si="59"/>
        <v>47.212645924597048</v>
      </c>
      <c r="X150" s="157">
        <f t="shared" si="60"/>
        <v>46523</v>
      </c>
      <c r="Y150" s="384">
        <f t="shared" si="61"/>
        <v>45.494094663863635</v>
      </c>
      <c r="Z150" s="384">
        <f t="shared" si="62"/>
        <v>48.812286867734898</v>
      </c>
      <c r="AA150" s="385">
        <f t="shared" si="63"/>
        <v>52.608646872245387</v>
      </c>
      <c r="AB150" s="196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7.2162281872209175E-2</v>
      </c>
      <c r="AD150" s="230">
        <f>(INDEX(Models!$BJ150:$BT150,,AH150)*(1-AF150)+INDEX(Models!$BJ150:$BT150,,AH150+1)*AF150-ERP_i)*AE150*Ramure*Pc/MaxiM</f>
        <v>6.4071224497035161E-4</v>
      </c>
      <c r="AE150" s="304">
        <f t="shared" si="65"/>
        <v>0.5</v>
      </c>
      <c r="AF150" s="176">
        <f t="shared" si="66"/>
        <v>0.31357060815864113</v>
      </c>
      <c r="AG150" s="814">
        <f t="shared" si="74"/>
        <v>2</v>
      </c>
      <c r="AH150" s="175">
        <f t="shared" si="67"/>
        <v>8</v>
      </c>
      <c r="AI150" s="224">
        <f t="shared" si="68"/>
        <v>2.3135706081586411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10">
        <f>'2026'!Wh/'2026'!Env_an*'2027'!Env_an</f>
        <v>50.722531034755526</v>
      </c>
      <c r="C151" s="843"/>
      <c r="D151" s="392">
        <f t="shared" si="50"/>
        <v>54.423258960759874</v>
      </c>
      <c r="E151" s="384">
        <f t="shared" si="72"/>
        <v>56.54989717947749</v>
      </c>
      <c r="F151" s="384">
        <f t="shared" si="51"/>
        <v>56.55691006877899</v>
      </c>
      <c r="G151" s="110">
        <f t="shared" si="73"/>
        <v>0.93480864913620454</v>
      </c>
      <c r="H151" s="413" t="b">
        <f>Wh_hp&gt;='2026'!Maxi_hp</f>
        <v>0</v>
      </c>
      <c r="I151" s="389">
        <f>IF(H151,Wh_hp,'2026'!Maxi_hp)</f>
        <v>56.920827652240035</v>
      </c>
      <c r="J151" s="85">
        <f>IF(H151,An,'2026'!An_max)</f>
        <v>2021</v>
      </c>
      <c r="K151" s="196">
        <f t="shared" si="52"/>
        <v>46524</v>
      </c>
      <c r="L151" s="147">
        <f>IF(t&lt;Tvie,1-EXP((T0-t)*PertePVj)+'2026'!Pspv,1-EXP((T0-t)*PertePVj)+Pspv)</f>
        <v>6.7999013595871544E-2</v>
      </c>
      <c r="M151" s="847"/>
      <c r="N151" s="847"/>
      <c r="O151" s="48">
        <f>IF(t&lt;Tnet,'2026'!Resal+('2026'!Salim-'2026'!Resal)*(1-EXP(('2026'!Tnet-t)/('2026'!Tau_j))),Resal+(Salim-Resal)*(1-EXP((Tnet-t)/(Tau_j))))*Salcycl</f>
        <v>3.7606402925333571E-2</v>
      </c>
      <c r="P151" s="168">
        <f>(INDEX(Models!$BJ151:$BT151,,T151)*(1-R151)+INDEX(Models!$BJ151:$BT151,,T151+1)*R151-ERP_i)*Q151*Ramure*Pc/MaxiM</f>
        <v>1.367282864507635E-4</v>
      </c>
      <c r="Q151" s="304">
        <f t="shared" si="53"/>
        <v>0.5</v>
      </c>
      <c r="R151" s="176">
        <f t="shared" si="54"/>
        <v>0.20099850335023772</v>
      </c>
      <c r="S151" s="814">
        <f t="shared" si="55"/>
        <v>0</v>
      </c>
      <c r="T151" s="175">
        <f t="shared" si="56"/>
        <v>6</v>
      </c>
      <c r="U151" s="250">
        <f t="shared" si="57"/>
        <v>0.20099850335023772</v>
      </c>
      <c r="V151" s="382">
        <f t="shared" si="58"/>
        <v>54.259109862081843</v>
      </c>
      <c r="W151" s="401">
        <f t="shared" si="59"/>
        <v>50.722531034755526</v>
      </c>
      <c r="X151" s="157">
        <f t="shared" si="60"/>
        <v>46524</v>
      </c>
      <c r="Y151" s="384">
        <f t="shared" si="61"/>
        <v>48.873557492430386</v>
      </c>
      <c r="Z151" s="384">
        <f t="shared" si="62"/>
        <v>52.439383869104766</v>
      </c>
      <c r="AA151" s="385">
        <f t="shared" si="63"/>
        <v>56.522737277638441</v>
      </c>
      <c r="AB151" s="196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7.224266914881225E-2</v>
      </c>
      <c r="AD151" s="230">
        <f>(INDEX(Models!$BJ151:$BT151,,AH151)*(1-AF151)+INDEX(Models!$BJ151:$BT151,,AH151+1)*AF151-ERP_i)*AE151*Ramure*Pc/MaxiM</f>
        <v>6.6625708392214469E-4</v>
      </c>
      <c r="AE151" s="304">
        <f t="shared" si="65"/>
        <v>0.5</v>
      </c>
      <c r="AF151" s="176">
        <f t="shared" si="66"/>
        <v>0.31599104317462512</v>
      </c>
      <c r="AG151" s="814">
        <f t="shared" si="74"/>
        <v>2</v>
      </c>
      <c r="AH151" s="175">
        <f t="shared" si="67"/>
        <v>8</v>
      </c>
      <c r="AI151" s="224">
        <f t="shared" si="68"/>
        <v>2.3159910431746251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10">
        <f>'2026'!Wh/'2026'!Env_an*'2027'!Env_an</f>
        <v>49.326819172605248</v>
      </c>
      <c r="C152" s="843"/>
      <c r="D152" s="392">
        <f t="shared" si="50"/>
        <v>52.926873371035057</v>
      </c>
      <c r="E152" s="384">
        <f t="shared" si="72"/>
        <v>55.000393452247224</v>
      </c>
      <c r="F152" s="384">
        <f t="shared" si="51"/>
        <v>55.007225192525134</v>
      </c>
      <c r="G152" s="110">
        <f t="shared" si="73"/>
        <v>0.90903493555143822</v>
      </c>
      <c r="H152" s="413" t="b">
        <f>Wh_hp&gt;='2026'!Maxi_hp</f>
        <v>0</v>
      </c>
      <c r="I152" s="389">
        <f>IF(H152,Wh_hp,'2026'!Maxi_hp)</f>
        <v>62.196197916934416</v>
      </c>
      <c r="J152" s="85">
        <f>IF(H152,An,'2026'!An_max)</f>
        <v>2020</v>
      </c>
      <c r="K152" s="196">
        <f t="shared" si="52"/>
        <v>46525</v>
      </c>
      <c r="L152" s="147">
        <f>IF(t&lt;Tvie,1-EXP((T0-t)*PertePVj)+'2026'!Pspv,1-EXP((T0-t)*PertePVj)+Pspv)</f>
        <v>6.8019400526311585E-2</v>
      </c>
      <c r="M152" s="847"/>
      <c r="N152" s="847"/>
      <c r="O152" s="48">
        <f>IF(t&lt;Tnet,'2026'!Resal+('2026'!Salim-'2026'!Resal)*(1-EXP(('2026'!Tnet-t)/('2026'!Tau_j))),Resal+(Salim-Resal)*(1-EXP((Tnet-t)/(Tau_j))))*Salcycl</f>
        <v>3.7700095418634574E-2</v>
      </c>
      <c r="P152" s="168">
        <f>(INDEX(Models!$BJ152:$BT152,,T152)*(1-R152)+INDEX(Models!$BJ152:$BT152,,T152+1)*R152-ERP_i)*Q152*Ramure*Pc/MaxiM</f>
        <v>1.4274319746734833E-4</v>
      </c>
      <c r="Q152" s="304">
        <f t="shared" si="53"/>
        <v>0.5</v>
      </c>
      <c r="R152" s="176">
        <f t="shared" si="54"/>
        <v>0.20346479148461197</v>
      </c>
      <c r="S152" s="814">
        <f t="shared" si="55"/>
        <v>0</v>
      </c>
      <c r="T152" s="175">
        <f t="shared" si="56"/>
        <v>6</v>
      </c>
      <c r="U152" s="250">
        <f t="shared" si="57"/>
        <v>0.20346479148461197</v>
      </c>
      <c r="V152" s="382">
        <f t="shared" si="58"/>
        <v>54.2618356149692</v>
      </c>
      <c r="W152" s="401">
        <f t="shared" si="59"/>
        <v>49.326819172605248</v>
      </c>
      <c r="X152" s="157">
        <f t="shared" si="60"/>
        <v>46525</v>
      </c>
      <c r="Y152" s="384">
        <f t="shared" si="61"/>
        <v>47.529317020957521</v>
      </c>
      <c r="Z152" s="384">
        <f t="shared" si="62"/>
        <v>50.998182846079047</v>
      </c>
      <c r="AA152" s="385">
        <f t="shared" si="63"/>
        <v>54.974102353029728</v>
      </c>
      <c r="AB152" s="196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7.2323500280520051E-2</v>
      </c>
      <c r="AD152" s="230">
        <f>(INDEX(Models!$BJ152:$BT152,,AH152)*(1-AF152)+INDEX(Models!$BJ152:$BT152,,AH152+1)*AF152-ERP_i)*AE152*Ramure*Pc/MaxiM</f>
        <v>6.9207256517977837E-4</v>
      </c>
      <c r="AE152" s="304">
        <f t="shared" si="65"/>
        <v>0.5</v>
      </c>
      <c r="AF152" s="176">
        <f t="shared" si="66"/>
        <v>0.31845733130899934</v>
      </c>
      <c r="AG152" s="814">
        <f t="shared" si="74"/>
        <v>2</v>
      </c>
      <c r="AH152" s="175">
        <f t="shared" si="67"/>
        <v>8</v>
      </c>
      <c r="AI152" s="224">
        <f t="shared" si="68"/>
        <v>2.3184573313089993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10">
        <f>'2026'!Wh/'2026'!Env_an*'2027'!Env_an</f>
        <v>50.762818150527373</v>
      </c>
      <c r="C153" s="843"/>
      <c r="D153" s="392">
        <f t="shared" si="50"/>
        <v>54.468868351877106</v>
      </c>
      <c r="E153" s="384">
        <f t="shared" si="72"/>
        <v>56.608323859394652</v>
      </c>
      <c r="F153" s="384">
        <f t="shared" si="51"/>
        <v>56.615975638140419</v>
      </c>
      <c r="G153" s="110">
        <f t="shared" si="73"/>
        <v>0.9355034716781826</v>
      </c>
      <c r="H153" s="413" t="b">
        <f>Wh_hp&gt;='2026'!Maxi_hp</f>
        <v>0</v>
      </c>
      <c r="I153" s="389">
        <f>IF(H153,Wh_hp,'2026'!Maxi_hp)</f>
        <v>60.966167385308943</v>
      </c>
      <c r="J153" s="85">
        <f>IF(H153,An,'2026'!An_max)</f>
        <v>2020</v>
      </c>
      <c r="K153" s="196">
        <f t="shared" si="52"/>
        <v>46526</v>
      </c>
      <c r="L153" s="147">
        <f>IF(t&lt;Tvie,1-EXP((T0-t)*PertePVj)+'2026'!Pspv,1-EXP((T0-t)*PertePVj)+Pspv)</f>
        <v>6.8039787010225478E-2</v>
      </c>
      <c r="M153" s="847"/>
      <c r="N153" s="847"/>
      <c r="O153" s="48">
        <f>IF(t&lt;Tnet,'2026'!Resal+('2026'!Salim-'2026'!Resal)*(1-EXP(('2026'!Tnet-t)/('2026'!Tau_j))),Resal+(Salim-Resal)*(1-EXP((Tnet-t)/(Tau_j))))*Salcycl</f>
        <v>3.7794009107769908E-2</v>
      </c>
      <c r="P153" s="168">
        <f>(INDEX(Models!$BJ153:$BT153,,T153)*(1-R153)+INDEX(Models!$BJ153:$BT153,,T153+1)*R153-ERP_i)*Q153*Ramure*Pc/MaxiM</f>
        <v>1.4886573714291258E-4</v>
      </c>
      <c r="Q153" s="304">
        <f t="shared" si="53"/>
        <v>0.5</v>
      </c>
      <c r="R153" s="176">
        <f t="shared" si="54"/>
        <v>0.20597610694498986</v>
      </c>
      <c r="S153" s="814">
        <f t="shared" si="55"/>
        <v>0</v>
      </c>
      <c r="T153" s="175">
        <f t="shared" si="56"/>
        <v>6</v>
      </c>
      <c r="U153" s="250">
        <f t="shared" si="57"/>
        <v>0.20597610694498986</v>
      </c>
      <c r="V153" s="382">
        <f t="shared" si="58"/>
        <v>54.261820997986078</v>
      </c>
      <c r="W153" s="401">
        <f t="shared" si="59"/>
        <v>50.762818150527373</v>
      </c>
      <c r="X153" s="157">
        <f t="shared" si="60"/>
        <v>46526</v>
      </c>
      <c r="Y153" s="384">
        <f t="shared" si="61"/>
        <v>48.911574392350687</v>
      </c>
      <c r="Z153" s="384">
        <f t="shared" si="62"/>
        <v>52.482470507447886</v>
      </c>
      <c r="AA153" s="385">
        <f t="shared" si="63"/>
        <v>56.579061897408003</v>
      </c>
      <c r="AB153" s="196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7.2404724514313443E-2</v>
      </c>
      <c r="AD153" s="230">
        <f>(INDEX(Models!$BJ153:$BT153,,AH153)*(1-AF153)+INDEX(Models!$BJ153:$BT153,,AH153+1)*AF153-ERP_i)*AE153*Ramure*Pc/MaxiM</f>
        <v>7.1815866707736556E-4</v>
      </c>
      <c r="AE153" s="304">
        <f t="shared" si="65"/>
        <v>0.5</v>
      </c>
      <c r="AF153" s="176">
        <f t="shared" si="66"/>
        <v>0.32096864676937731</v>
      </c>
      <c r="AG153" s="814">
        <f t="shared" si="74"/>
        <v>2</v>
      </c>
      <c r="AH153" s="175">
        <f t="shared" si="67"/>
        <v>8</v>
      </c>
      <c r="AI153" s="224">
        <f t="shared" si="68"/>
        <v>2.3209686467693773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10">
        <f>'2026'!Wh/'2026'!Env_an*'2027'!Env_an</f>
        <v>45.219585272122174</v>
      </c>
      <c r="C154" s="843"/>
      <c r="D154" s="392">
        <f t="shared" si="50"/>
        <v>48.52200106094719</v>
      </c>
      <c r="E154" s="384">
        <f t="shared" si="72"/>
        <v>50.432805092515828</v>
      </c>
      <c r="F154" s="384">
        <f t="shared" si="51"/>
        <v>50.438766163579963</v>
      </c>
      <c r="G154" s="110">
        <f t="shared" si="73"/>
        <v>0.83337066344066824</v>
      </c>
      <c r="H154" s="413" t="b">
        <f>Wh_hp&gt;='2026'!Maxi_hp</f>
        <v>0</v>
      </c>
      <c r="I154" s="389">
        <f>IF(H154,Wh_hp,'2026'!Maxi_hp)</f>
        <v>61.160542885736888</v>
      </c>
      <c r="J154" s="85">
        <f>IF(H154,An,'2026'!An_max)</f>
        <v>2021</v>
      </c>
      <c r="K154" s="196">
        <f t="shared" si="52"/>
        <v>46527</v>
      </c>
      <c r="L154" s="147">
        <f>IF(t&lt;Tvie,1-EXP((T0-t)*PertePVj)+'2026'!Pspv,1-EXP((T0-t)*PertePVj)+Pspv)</f>
        <v>6.8060173047623101E-2</v>
      </c>
      <c r="M154" s="847"/>
      <c r="N154" s="847"/>
      <c r="O154" s="48">
        <f>IF(t&lt;Tnet,'2026'!Resal+('2026'!Salim-'2026'!Resal)*(1-EXP(('2026'!Tnet-t)/('2026'!Tau_j))),Resal+(Salim-Resal)*(1-EXP((Tnet-t)/(Tau_j))))*Salcycl</f>
        <v>3.7888117229715683E-2</v>
      </c>
      <c r="P154" s="168">
        <f>(INDEX(Models!$BJ154:$BT154,,T154)*(1-R154)+INDEX(Models!$BJ154:$BT154,,T154+1)*R154-ERP_i)*Q154*Ramure*Pc/MaxiM</f>
        <v>1.5509711129844034E-4</v>
      </c>
      <c r="Q154" s="304">
        <f t="shared" si="53"/>
        <v>0.5</v>
      </c>
      <c r="R154" s="176">
        <f t="shared" si="54"/>
        <v>0.20853151612958626</v>
      </c>
      <c r="S154" s="814">
        <f t="shared" si="55"/>
        <v>0</v>
      </c>
      <c r="T154" s="175">
        <f t="shared" si="56"/>
        <v>6</v>
      </c>
      <c r="U154" s="250">
        <f t="shared" si="57"/>
        <v>0.20853151612958626</v>
      </c>
      <c r="V154" s="382">
        <f t="shared" si="58"/>
        <v>54.259068476003776</v>
      </c>
      <c r="W154" s="401">
        <f t="shared" si="59"/>
        <v>45.219585272122174</v>
      </c>
      <c r="X154" s="157">
        <f t="shared" si="60"/>
        <v>46527</v>
      </c>
      <c r="Y154" s="384">
        <f t="shared" si="61"/>
        <v>43.573877678219247</v>
      </c>
      <c r="Z154" s="384">
        <f t="shared" si="62"/>
        <v>46.756106368706483</v>
      </c>
      <c r="AA154" s="385">
        <f t="shared" si="63"/>
        <v>50.410151163934209</v>
      </c>
      <c r="AB154" s="196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7.2486289186968478E-2</v>
      </c>
      <c r="AD154" s="230">
        <f>(INDEX(Models!$BJ154:$BT154,,AH154)*(1-AF154)+INDEX(Models!$BJ154:$BT154,,AH154+1)*AF154-ERP_i)*AE154*Ramure*Pc/MaxiM</f>
        <v>7.445144902837969E-4</v>
      </c>
      <c r="AE154" s="304">
        <f t="shared" si="65"/>
        <v>0.5</v>
      </c>
      <c r="AF154" s="176">
        <f t="shared" si="66"/>
        <v>0.32352405595397382</v>
      </c>
      <c r="AG154" s="814">
        <f t="shared" si="74"/>
        <v>2</v>
      </c>
      <c r="AH154" s="175">
        <f t="shared" si="67"/>
        <v>8</v>
      </c>
      <c r="AI154" s="224">
        <f t="shared" si="68"/>
        <v>2.3235240559539738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10">
        <f>'2026'!Wh/'2026'!Env_an*'2027'!Env_an</f>
        <v>46.279114405411391</v>
      </c>
      <c r="C155" s="843"/>
      <c r="D155" s="392">
        <f t="shared" si="50"/>
        <v>49.659994578286735</v>
      </c>
      <c r="E155" s="384">
        <f t="shared" si="72"/>
        <v>51.620671141423706</v>
      </c>
      <c r="F155" s="384">
        <f t="shared" si="51"/>
        <v>51.627255666155413</v>
      </c>
      <c r="G155" s="110">
        <f t="shared" si="73"/>
        <v>0.85298601313999545</v>
      </c>
      <c r="H155" s="413" t="b">
        <f>Wh_hp&gt;='2026'!Maxi_hp</f>
        <v>0</v>
      </c>
      <c r="I155" s="389">
        <f>IF(H155,Wh_hp,'2026'!Maxi_hp)</f>
        <v>59.215074303893267</v>
      </c>
      <c r="J155" s="85">
        <f>IF(H155,An,'2026'!An_max)</f>
        <v>2020</v>
      </c>
      <c r="K155" s="196">
        <f t="shared" si="52"/>
        <v>46528</v>
      </c>
      <c r="L155" s="147">
        <f>IF(t&lt;Tvie,1-EXP((T0-t)*PertePVj)+'2026'!Pspv,1-EXP((T0-t)*PertePVj)+Pspv)</f>
        <v>6.8080558638514116E-2</v>
      </c>
      <c r="M155" s="847"/>
      <c r="N155" s="847"/>
      <c r="O155" s="48">
        <f>IF(t&lt;Tnet,'2026'!Resal+('2026'!Salim-'2026'!Resal)*(1-EXP(('2026'!Tnet-t)/('2026'!Tau_j))),Resal+(Salim-Resal)*(1-EXP((Tnet-t)/(Tau_j))))*Salcycl</f>
        <v>3.7982391932978928E-2</v>
      </c>
      <c r="P155" s="168">
        <f>(INDEX(Models!$BJ155:$BT155,,T155)*(1-R155)+INDEX(Models!$BJ155:$BT155,,T155+1)*R155-ERP_i)*Q155*Ramure*Pc/MaxiM</f>
        <v>1.6143829964673686E-4</v>
      </c>
      <c r="Q155" s="304">
        <f t="shared" si="53"/>
        <v>0.5</v>
      </c>
      <c r="R155" s="176">
        <f t="shared" si="54"/>
        <v>0.211129976642152</v>
      </c>
      <c r="S155" s="814">
        <f t="shared" si="55"/>
        <v>0</v>
      </c>
      <c r="T155" s="175">
        <f t="shared" si="56"/>
        <v>6</v>
      </c>
      <c r="U155" s="250">
        <f t="shared" si="57"/>
        <v>0.211129976642152</v>
      </c>
      <c r="V155" s="382">
        <f t="shared" si="58"/>
        <v>54.253580592492497</v>
      </c>
      <c r="W155" s="401">
        <f t="shared" si="59"/>
        <v>46.279114405411391</v>
      </c>
      <c r="X155" s="157">
        <f t="shared" si="60"/>
        <v>46528</v>
      </c>
      <c r="Y155" s="384">
        <f t="shared" si="61"/>
        <v>44.593828928730787</v>
      </c>
      <c r="Z155" s="384">
        <f t="shared" si="62"/>
        <v>47.851592047035226</v>
      </c>
      <c r="AA155" s="385">
        <f t="shared" si="63"/>
        <v>51.595803533355785</v>
      </c>
      <c r="AB155" s="196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7.2568139846877169E-2</v>
      </c>
      <c r="AD155" s="230">
        <f>(INDEX(Models!$BJ155:$BT155,,AH155)*(1-AF155)+INDEX(Models!$BJ155:$BT155,,AH155+1)*AF155-ERP_i)*AE155*Ramure*Pc/MaxiM</f>
        <v>7.7113824403849188E-4</v>
      </c>
      <c r="AE155" s="304">
        <f t="shared" si="65"/>
        <v>0.5</v>
      </c>
      <c r="AF155" s="176">
        <f t="shared" si="66"/>
        <v>0.32612251646653956</v>
      </c>
      <c r="AG155" s="814">
        <f t="shared" si="74"/>
        <v>2</v>
      </c>
      <c r="AH155" s="175">
        <f t="shared" si="67"/>
        <v>8</v>
      </c>
      <c r="AI155" s="224">
        <f t="shared" si="68"/>
        <v>2.3261225164665396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10">
        <f>'2026'!Wh/'2026'!Env_an*'2027'!Env_an</f>
        <v>33.477242452671049</v>
      </c>
      <c r="C156" s="843"/>
      <c r="D156" s="392">
        <f t="shared" si="50"/>
        <v>35.923678889178234</v>
      </c>
      <c r="E156" s="384">
        <f t="shared" si="72"/>
        <v>37.345683159904254</v>
      </c>
      <c r="F156" s="384">
        <f t="shared" si="51"/>
        <v>37.3485232687474</v>
      </c>
      <c r="G156" s="110">
        <f t="shared" si="73"/>
        <v>0.6170881245182035</v>
      </c>
      <c r="H156" s="413" t="b">
        <f>Wh_hp&gt;='2026'!Maxi_hp</f>
        <v>0</v>
      </c>
      <c r="I156" s="389">
        <f>IF(H156,Wh_hp,'2026'!Maxi_hp)</f>
        <v>59.915343833320051</v>
      </c>
      <c r="J156" s="85">
        <f>IF(H156,An,'2026'!An_max)</f>
        <v>2019</v>
      </c>
      <c r="K156" s="196">
        <f t="shared" si="52"/>
        <v>46529</v>
      </c>
      <c r="L156" s="147">
        <f>IF(t&lt;Tvie,1-EXP((T0-t)*PertePVj)+'2026'!Pspv,1-EXP((T0-t)*PertePVj)+Pspv)</f>
        <v>6.8100943782908402E-2</v>
      </c>
      <c r="M156" s="847"/>
      <c r="N156" s="847"/>
      <c r="O156" s="48">
        <f>IF(t&lt;Tnet,'2026'!Resal+('2026'!Salim-'2026'!Resal)*(1-EXP(('2026'!Tnet-t)/('2026'!Tau_j))),Resal+(Salim-Resal)*(1-EXP((Tnet-t)/(Tau_j))))*Salcycl</f>
        <v>3.8076804342750264E-2</v>
      </c>
      <c r="P156" s="168">
        <f>(INDEX(Models!$BJ156:$BT156,,T156)*(1-R156)+INDEX(Models!$BJ156:$BT156,,T156+1)*R156-ERP_i)*Q156*Ramure*Pc/MaxiM</f>
        <v>1.6784253054195932E-4</v>
      </c>
      <c r="Q156" s="304">
        <f t="shared" si="53"/>
        <v>0.5</v>
      </c>
      <c r="R156" s="176">
        <f t="shared" si="54"/>
        <v>0.21377033678948532</v>
      </c>
      <c r="S156" s="814">
        <f t="shared" si="55"/>
        <v>0</v>
      </c>
      <c r="T156" s="175">
        <f t="shared" si="56"/>
        <v>6</v>
      </c>
      <c r="U156" s="250">
        <f t="shared" si="57"/>
        <v>0.21377033678948532</v>
      </c>
      <c r="V156" s="382">
        <f t="shared" si="58"/>
        <v>54.245362546032801</v>
      </c>
      <c r="W156" s="401">
        <f t="shared" si="59"/>
        <v>33.477242452671049</v>
      </c>
      <c r="X156" s="157">
        <f t="shared" si="60"/>
        <v>46529</v>
      </c>
      <c r="Y156" s="384">
        <f t="shared" si="61"/>
        <v>32.26479268467164</v>
      </c>
      <c r="Z156" s="384">
        <f t="shared" si="62"/>
        <v>34.622626205509711</v>
      </c>
      <c r="AA156" s="385">
        <f t="shared" si="63"/>
        <v>37.33502392164781</v>
      </c>
      <c r="AB156" s="196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7.2650220389048226E-2</v>
      </c>
      <c r="AD156" s="230">
        <f>(INDEX(Models!$BJ156:$BT156,,AH156)*(1-AF156)+INDEX(Models!$BJ156:$BT156,,AH156+1)*AF156-ERP_i)*AE156*Ramure*Pc/MaxiM</f>
        <v>7.9777385410009349E-4</v>
      </c>
      <c r="AE156" s="304">
        <f t="shared" si="65"/>
        <v>0.5</v>
      </c>
      <c r="AF156" s="176">
        <f t="shared" si="66"/>
        <v>0.32876287661387282</v>
      </c>
      <c r="AG156" s="814">
        <f t="shared" si="74"/>
        <v>2</v>
      </c>
      <c r="AH156" s="175">
        <f t="shared" si="67"/>
        <v>8</v>
      </c>
      <c r="AI156" s="224">
        <f t="shared" si="68"/>
        <v>2.3287628766138728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10">
        <f>'2026'!Wh/'2026'!Env_an*'2027'!Env_an</f>
        <v>16.197448298079987</v>
      </c>
      <c r="C157" s="843"/>
      <c r="D157" s="392">
        <f t="shared" si="50"/>
        <v>17.381499108327361</v>
      </c>
      <c r="E157" s="384">
        <f t="shared" si="72"/>
        <v>18.071304748428894</v>
      </c>
      <c r="F157" s="384">
        <f t="shared" si="51"/>
        <v>18.071304748428894</v>
      </c>
      <c r="G157" s="110">
        <f t="shared" si="73"/>
        <v>0.29860420383762143</v>
      </c>
      <c r="H157" s="413" t="b">
        <f>Wh_hp&gt;='2026'!Maxi_hp</f>
        <v>0</v>
      </c>
      <c r="I157" s="389">
        <f>IF(H157,Wh_hp,'2026'!Maxi_hp)</f>
        <v>55.585260349029333</v>
      </c>
      <c r="J157" s="85">
        <f>IF(H157,An,'2026'!An_max)</f>
        <v>2020</v>
      </c>
      <c r="K157" s="196">
        <f t="shared" si="52"/>
        <v>46530</v>
      </c>
      <c r="L157" s="147">
        <f>IF(t&lt;Tvie,1-EXP((T0-t)*PertePVj)+'2026'!Pspv,1-EXP((T0-t)*PertePVj)+Pspv)</f>
        <v>6.8121328480815729E-2</v>
      </c>
      <c r="M157" s="847"/>
      <c r="N157" s="847"/>
      <c r="O157" s="48">
        <f>IF(t&lt;Tnet,'2026'!Resal+('2026'!Salim-'2026'!Resal)*(1-EXP(('2026'!Tnet-t)/('2026'!Tau_j))),Resal+(Salim-Resal)*(1-EXP((Tnet-t)/(Tau_j))))*Salcycl</f>
        <v>3.81713246334082E-2</v>
      </c>
      <c r="P157" s="168">
        <f>(INDEX(Models!$BJ157:$BT157,,T157)*(1-R157)+INDEX(Models!$BJ157:$BT157,,T157+1)*R157-ERP_i)*Q157*Ramure*Pc/MaxiM</f>
        <v>1.7431801572557511E-4</v>
      </c>
      <c r="Q157" s="304">
        <f t="shared" si="53"/>
        <v>0.5</v>
      </c>
      <c r="R157" s="176">
        <f t="shared" si="54"/>
        <v>0.21645133558854873</v>
      </c>
      <c r="S157" s="814">
        <f t="shared" si="55"/>
        <v>0</v>
      </c>
      <c r="T157" s="175">
        <f t="shared" si="56"/>
        <v>6</v>
      </c>
      <c r="U157" s="250">
        <f t="shared" si="57"/>
        <v>0.21645133558854873</v>
      </c>
      <c r="V157" s="382">
        <f t="shared" si="58"/>
        <v>54.234416605331369</v>
      </c>
      <c r="W157" s="401">
        <f t="shared" si="59"/>
        <v>16.197448298079987</v>
      </c>
      <c r="X157" s="157">
        <f t="shared" si="60"/>
        <v>46530</v>
      </c>
      <c r="Y157" s="384">
        <f t="shared" si="61"/>
        <v>15.615429450633735</v>
      </c>
      <c r="Z157" s="384">
        <f t="shared" si="62"/>
        <v>16.756934060071217</v>
      </c>
      <c r="AA157" s="385">
        <f t="shared" si="63"/>
        <v>18.071304748428894</v>
      </c>
      <c r="AB157" s="196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7.2732473202962666E-2</v>
      </c>
      <c r="AD157" s="230">
        <f>(INDEX(Models!$BJ157:$BT157,,AH157)*(1-AF157)+INDEX(Models!$BJ157:$BT157,,AH157+1)*AF157-ERP_i)*AE157*Ramure*Pc/MaxiM</f>
        <v>8.2446676565752928E-4</v>
      </c>
      <c r="AE157" s="304">
        <f t="shared" si="65"/>
        <v>0.5</v>
      </c>
      <c r="AF157" s="176">
        <f t="shared" si="66"/>
        <v>0.33144387541293607</v>
      </c>
      <c r="AG157" s="814">
        <f t="shared" si="74"/>
        <v>2</v>
      </c>
      <c r="AH157" s="175">
        <f t="shared" si="67"/>
        <v>8</v>
      </c>
      <c r="AI157" s="224">
        <f t="shared" si="68"/>
        <v>2.3314438754129361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10">
        <f>'2026'!Wh/'2026'!Env_an*'2027'!Env_an</f>
        <v>13.267760167207447</v>
      </c>
      <c r="C158" s="843"/>
      <c r="D158" s="392">
        <f t="shared" si="50"/>
        <v>14.237959085076179</v>
      </c>
      <c r="E158" s="384">
        <f t="shared" si="72"/>
        <v>14.804465613079808</v>
      </c>
      <c r="F158" s="384">
        <f t="shared" si="51"/>
        <v>14.804465613079808</v>
      </c>
      <c r="G158" s="110">
        <f t="shared" si="73"/>
        <v>0.24465470485447954</v>
      </c>
      <c r="H158" s="413" t="b">
        <f>Wh_hp&gt;='2026'!Maxi_hp</f>
        <v>0</v>
      </c>
      <c r="I158" s="389">
        <f>IF(H158,Wh_hp,'2026'!Maxi_hp)</f>
        <v>26.001334753599281</v>
      </c>
      <c r="J158" s="85">
        <f>IF(H158,An,'2026'!An_max)</f>
        <v>2021</v>
      </c>
      <c r="K158" s="196">
        <f t="shared" si="52"/>
        <v>46531</v>
      </c>
      <c r="L158" s="147">
        <f>IF(t&lt;Tvie,1-EXP((T0-t)*PertePVj)+'2026'!Pspv,1-EXP((T0-t)*PertePVj)+Pspv)</f>
        <v>6.8141712732245868E-2</v>
      </c>
      <c r="M158" s="847"/>
      <c r="N158" s="847"/>
      <c r="O158" s="48">
        <f>IF(t&lt;Tnet,'2026'!Resal+('2026'!Salim-'2026'!Resal)*(1-EXP(('2026'!Tnet-t)/('2026'!Tau_j))),Resal+(Salim-Resal)*(1-EXP((Tnet-t)/(Tau_j))))*Salcycl</f>
        <v>3.8265922108199422E-2</v>
      </c>
      <c r="P158" s="168">
        <f>(INDEX(Models!$BJ158:$BT158,,T158)*(1-R158)+INDEX(Models!$BJ158:$BT158,,T158+1)*R158-ERP_i)*Q158*Ramure*Pc/MaxiM</f>
        <v>1.8086277471962624E-4</v>
      </c>
      <c r="Q158" s="304">
        <f t="shared" si="53"/>
        <v>0.5</v>
      </c>
      <c r="R158" s="176">
        <f t="shared" si="54"/>
        <v>0.21917160330704644</v>
      </c>
      <c r="S158" s="814">
        <f t="shared" si="55"/>
        <v>0</v>
      </c>
      <c r="T158" s="175">
        <f t="shared" si="56"/>
        <v>6</v>
      </c>
      <c r="U158" s="250">
        <f t="shared" si="57"/>
        <v>0.21917160330704644</v>
      </c>
      <c r="V158" s="382">
        <f t="shared" si="58"/>
        <v>54.220745647133668</v>
      </c>
      <c r="W158" s="401">
        <f t="shared" si="59"/>
        <v>13.267760167207447</v>
      </c>
      <c r="X158" s="157">
        <f t="shared" si="60"/>
        <v>46531</v>
      </c>
      <c r="Y158" s="384">
        <f t="shared" si="61"/>
        <v>12.791134914644896</v>
      </c>
      <c r="Z158" s="384">
        <f t="shared" si="62"/>
        <v>13.726480828054893</v>
      </c>
      <c r="AA158" s="385">
        <f t="shared" si="63"/>
        <v>14.804465613079808</v>
      </c>
      <c r="AB158" s="196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7.2814839332836889E-2</v>
      </c>
      <c r="AD158" s="230">
        <f>(INDEX(Models!$BJ158:$BT158,,AH158)*(1-AF158)+INDEX(Models!$BJ158:$BT158,,AH158+1)*AF158-ERP_i)*AE158*Ramure*Pc/MaxiM</f>
        <v>8.5120351072949898E-4</v>
      </c>
      <c r="AE158" s="304">
        <f t="shared" si="65"/>
        <v>0.5</v>
      </c>
      <c r="AF158" s="176">
        <f t="shared" si="66"/>
        <v>0.33416414313143417</v>
      </c>
      <c r="AG158" s="814">
        <f t="shared" si="74"/>
        <v>2</v>
      </c>
      <c r="AH158" s="175">
        <f t="shared" si="67"/>
        <v>8</v>
      </c>
      <c r="AI158" s="224">
        <f t="shared" si="68"/>
        <v>2.3341641431314342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10">
        <f>'2026'!Wh/'2026'!Env_an*'2027'!Env_an</f>
        <v>37.874926844836601</v>
      </c>
      <c r="C159" s="843"/>
      <c r="D159" s="392">
        <f t="shared" si="50"/>
        <v>40.645402708013968</v>
      </c>
      <c r="E159" s="384">
        <f t="shared" si="72"/>
        <v>42.266780292861071</v>
      </c>
      <c r="F159" s="384">
        <f t="shared" si="51"/>
        <v>42.271294541612193</v>
      </c>
      <c r="G159" s="110">
        <f t="shared" si="73"/>
        <v>0.69868689254204785</v>
      </c>
      <c r="H159" s="413" t="b">
        <f>Wh_hp&gt;='2026'!Maxi_hp</f>
        <v>0</v>
      </c>
      <c r="I159" s="389">
        <f>IF(H159,Wh_hp,'2026'!Maxi_hp)</f>
        <v>56.074384360716962</v>
      </c>
      <c r="J159" s="85">
        <f>IF(H159,An,'2026'!An_max)</f>
        <v>2020</v>
      </c>
      <c r="K159" s="196">
        <f t="shared" si="52"/>
        <v>46532</v>
      </c>
      <c r="L159" s="147">
        <f>IF(t&lt;Tvie,1-EXP((T0-t)*PertePVj)+'2026'!Pspv,1-EXP((T0-t)*PertePVj)+Pspv)</f>
        <v>6.8162096537208589E-2</v>
      </c>
      <c r="M159" s="847"/>
      <c r="N159" s="847"/>
      <c r="O159" s="48">
        <f>IF(t&lt;Tnet,'2026'!Resal+('2026'!Salim-'2026'!Resal)*(1-EXP(('2026'!Tnet-t)/('2026'!Tau_j))),Resal+(Salim-Resal)*(1-EXP((Tnet-t)/(Tau_j))))*Salcycl</f>
        <v>3.8360565285853042E-2</v>
      </c>
      <c r="P159" s="168">
        <f>(INDEX(Models!$BJ159:$BT159,,T159)*(1-R159)+INDEX(Models!$BJ159:$BT159,,T159+1)*R159-ERP_i)*Q159*Ramure*Pc/MaxiM</f>
        <v>1.8747553708092871E-4</v>
      </c>
      <c r="Q159" s="304">
        <f t="shared" si="53"/>
        <v>0.5</v>
      </c>
      <c r="R159" s="176">
        <f t="shared" si="54"/>
        <v>0.22192966255767671</v>
      </c>
      <c r="S159" s="814">
        <f t="shared" si="55"/>
        <v>0</v>
      </c>
      <c r="T159" s="175">
        <f t="shared" si="56"/>
        <v>6</v>
      </c>
      <c r="U159" s="250">
        <f t="shared" si="57"/>
        <v>0.22192966255767671</v>
      </c>
      <c r="V159" s="382">
        <f t="shared" si="58"/>
        <v>54.204352551900435</v>
      </c>
      <c r="W159" s="401">
        <f t="shared" si="59"/>
        <v>37.874926844836601</v>
      </c>
      <c r="X159" s="157">
        <f t="shared" si="60"/>
        <v>46532</v>
      </c>
      <c r="Y159" s="384">
        <f t="shared" si="61"/>
        <v>36.500308072637445</v>
      </c>
      <c r="Z159" s="384">
        <f t="shared" si="62"/>
        <v>39.170233295940314</v>
      </c>
      <c r="AA159" s="385">
        <f t="shared" si="63"/>
        <v>42.250153676485731</v>
      </c>
      <c r="AB159" s="196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7.2897258649725155E-2</v>
      </c>
      <c r="AD159" s="230">
        <f>(INDEX(Models!$BJ159:$BT159,,AH159)*(1-AF159)+INDEX(Models!$BJ159:$BT159,,AH159+1)*AF159-ERP_i)*AE159*Ramure*Pc/MaxiM</f>
        <v>8.779744454615857E-4</v>
      </c>
      <c r="AE159" s="304">
        <f t="shared" si="65"/>
        <v>0.5</v>
      </c>
      <c r="AF159" s="176">
        <f t="shared" si="66"/>
        <v>0.33692220238206438</v>
      </c>
      <c r="AG159" s="814">
        <f t="shared" si="74"/>
        <v>2</v>
      </c>
      <c r="AH159" s="175">
        <f t="shared" si="67"/>
        <v>8</v>
      </c>
      <c r="AI159" s="224">
        <f t="shared" si="68"/>
        <v>2.3369222023820644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10">
        <f>'2026'!Wh/'2026'!Env_an*'2027'!Env_an</f>
        <v>20.339281490273496</v>
      </c>
      <c r="C160" s="843"/>
      <c r="D160" s="392">
        <f t="shared" si="50"/>
        <v>21.827537099750153</v>
      </c>
      <c r="E160" s="384">
        <f t="shared" si="72"/>
        <v>22.700489461354913</v>
      </c>
      <c r="F160" s="384">
        <f t="shared" si="51"/>
        <v>22.70096399624402</v>
      </c>
      <c r="G160" s="110">
        <f t="shared" si="73"/>
        <v>0.3753006818639561</v>
      </c>
      <c r="H160" s="413" t="b">
        <f>Wh_hp&gt;='2026'!Maxi_hp</f>
        <v>0</v>
      </c>
      <c r="I160" s="389">
        <f>IF(H160,Wh_hp,'2026'!Maxi_hp)</f>
        <v>59.949871504131856</v>
      </c>
      <c r="J160" s="85">
        <f>IF(H160,An,'2026'!An_max)</f>
        <v>2020</v>
      </c>
      <c r="K160" s="196">
        <f t="shared" si="52"/>
        <v>46533</v>
      </c>
      <c r="L160" s="147">
        <f>IF(t&lt;Tvie,1-EXP((T0-t)*PertePVj)+'2026'!Pspv,1-EXP((T0-t)*PertePVj)+Pspv)</f>
        <v>6.8182479895713549E-2</v>
      </c>
      <c r="M160" s="847"/>
      <c r="N160" s="847"/>
      <c r="O160" s="48">
        <f>IF(t&lt;Tnet,'2026'!Resal+('2026'!Salim-'2026'!Resal)*(1-EXP(('2026'!Tnet-t)/('2026'!Tau_j))),Resal+(Salim-Resal)*(1-EXP((Tnet-t)/(Tau_j))))*Salcycl</f>
        <v>3.8455221993819351E-2</v>
      </c>
      <c r="P160" s="168">
        <f>(INDEX(Models!$BJ160:$BT160,,T160)*(1-R160)+INDEX(Models!$BJ160:$BT160,,T160+1)*R160-ERP_i)*Q160*Ramure*Pc/MaxiM</f>
        <v>1.9415476819144715E-4</v>
      </c>
      <c r="Q160" s="304">
        <f t="shared" si="53"/>
        <v>0.5</v>
      </c>
      <c r="R160" s="176">
        <f t="shared" si="54"/>
        <v>0.22472392996217611</v>
      </c>
      <c r="S160" s="814">
        <f t="shared" si="55"/>
        <v>0</v>
      </c>
      <c r="T160" s="175">
        <f t="shared" si="56"/>
        <v>6</v>
      </c>
      <c r="U160" s="250">
        <f t="shared" si="57"/>
        <v>0.22472392996217611</v>
      </c>
      <c r="V160" s="382">
        <f t="shared" si="58"/>
        <v>54.185240255994749</v>
      </c>
      <c r="W160" s="401">
        <f t="shared" si="59"/>
        <v>20.339281490273496</v>
      </c>
      <c r="X160" s="157">
        <f t="shared" si="60"/>
        <v>46533</v>
      </c>
      <c r="Y160" s="384">
        <f t="shared" si="61"/>
        <v>19.607495435437901</v>
      </c>
      <c r="Z160" s="384">
        <f t="shared" si="62"/>
        <v>21.042205166139702</v>
      </c>
      <c r="AA160" s="385">
        <f t="shared" si="63"/>
        <v>22.698752644323356</v>
      </c>
      <c r="AB160" s="196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7.2979670034773139E-2</v>
      </c>
      <c r="AD160" s="230">
        <f>(INDEX(Models!$BJ160:$BT160,,AH160)*(1-AF160)+INDEX(Models!$BJ160:$BT160,,AH160+1)*AF160-ERP_i)*AE160*Ramure*Pc/MaxiM</f>
        <v>9.0476913163511647E-4</v>
      </c>
      <c r="AE160" s="304">
        <f t="shared" si="65"/>
        <v>0.5</v>
      </c>
      <c r="AF160" s="176">
        <f t="shared" si="66"/>
        <v>0.33971646978656356</v>
      </c>
      <c r="AG160" s="814">
        <f t="shared" si="74"/>
        <v>2</v>
      </c>
      <c r="AH160" s="175">
        <f t="shared" si="67"/>
        <v>8</v>
      </c>
      <c r="AI160" s="224">
        <f t="shared" si="68"/>
        <v>2.3397164697865636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10">
        <f>'2026'!Wh/'2026'!Env_an*'2027'!Env_an</f>
        <v>38.033616032940756</v>
      </c>
      <c r="C161" s="843"/>
      <c r="D161" s="392">
        <f t="shared" si="50"/>
        <v>40.817485389091125</v>
      </c>
      <c r="E161" s="384">
        <f t="shared" si="72"/>
        <v>42.454084375602989</v>
      </c>
      <c r="F161" s="384">
        <f t="shared" si="51"/>
        <v>42.458985458622521</v>
      </c>
      <c r="G161" s="110">
        <f t="shared" si="73"/>
        <v>0.70214123870341305</v>
      </c>
      <c r="H161" s="413" t="b">
        <f>Wh_hp&gt;='2026'!Maxi_hp</f>
        <v>0</v>
      </c>
      <c r="I161" s="389">
        <f>IF(H161,Wh_hp,'2026'!Maxi_hp)</f>
        <v>59.872524660282878</v>
      </c>
      <c r="J161" s="85">
        <f>IF(H161,An,'2026'!An_max)</f>
        <v>2021</v>
      </c>
      <c r="K161" s="196">
        <f t="shared" si="52"/>
        <v>46534</v>
      </c>
      <c r="L161" s="147">
        <f>IF(t&lt;Tvie,1-EXP((T0-t)*PertePVj)+'2026'!Pspv,1-EXP((T0-t)*PertePVj)+Pspv)</f>
        <v>6.8202862807770742E-2</v>
      </c>
      <c r="M161" s="847"/>
      <c r="N161" s="847"/>
      <c r="O161" s="48">
        <f>IF(t&lt;Tnet,'2026'!Resal+('2026'!Salim-'2026'!Resal)*(1-EXP(('2026'!Tnet-t)/('2026'!Tau_j))),Resal+(Salim-Resal)*(1-EXP((Tnet-t)/(Tau_j))))*Salcycl</f>
        <v>3.8549859467758706E-2</v>
      </c>
      <c r="P161" s="168">
        <f>(INDEX(Models!$BJ161:$BT161,,T161)*(1-R161)+INDEX(Models!$BJ161:$BT161,,T161+1)*R161-ERP_i)*Q161*Ramure*Pc/MaxiM</f>
        <v>2.008986685235027E-4</v>
      </c>
      <c r="Q161" s="304">
        <f t="shared" si="53"/>
        <v>0.5</v>
      </c>
      <c r="R161" s="176">
        <f t="shared" si="54"/>
        <v>0.22755271839676161</v>
      </c>
      <c r="S161" s="814">
        <f t="shared" si="55"/>
        <v>0</v>
      </c>
      <c r="T161" s="175">
        <f t="shared" si="56"/>
        <v>6</v>
      </c>
      <c r="U161" s="250">
        <f t="shared" si="57"/>
        <v>0.22755271839676161</v>
      </c>
      <c r="V161" s="382">
        <f t="shared" si="58"/>
        <v>54.163411742194086</v>
      </c>
      <c r="W161" s="401">
        <f t="shared" si="59"/>
        <v>38.033616032940756</v>
      </c>
      <c r="X161" s="157">
        <f t="shared" si="60"/>
        <v>46534</v>
      </c>
      <c r="Y161" s="384">
        <f t="shared" si="61"/>
        <v>36.652967632615415</v>
      </c>
      <c r="Z161" s="384">
        <f t="shared" si="62"/>
        <v>39.335780471553356</v>
      </c>
      <c r="AA161" s="385">
        <f t="shared" si="63"/>
        <v>42.436258911232962</v>
      </c>
      <c r="AB161" s="196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7.3062011572818025E-2</v>
      </c>
      <c r="AD161" s="230">
        <f>(INDEX(Models!$BJ161:$BT161,,AH161)*(1-AF161)+INDEX(Models!$BJ161:$BT161,,AH161+1)*AF161-ERP_i)*AE161*Ramure*Pc/MaxiM</f>
        <v>9.3157636638744007E-4</v>
      </c>
      <c r="AE161" s="304">
        <f t="shared" si="65"/>
        <v>0.5</v>
      </c>
      <c r="AF161" s="176">
        <f t="shared" si="66"/>
        <v>0.34254525822114923</v>
      </c>
      <c r="AG161" s="814">
        <f t="shared" si="74"/>
        <v>2</v>
      </c>
      <c r="AH161" s="175">
        <f t="shared" si="67"/>
        <v>8</v>
      </c>
      <c r="AI161" s="224">
        <f t="shared" si="68"/>
        <v>2.3425452582211492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10">
        <f>'2026'!Wh/'2026'!Env_an*'2027'!Env_an</f>
        <v>49.224467387318825</v>
      </c>
      <c r="C162" s="843"/>
      <c r="D162" s="392">
        <f t="shared" si="50"/>
        <v>52.828606356209903</v>
      </c>
      <c r="E162" s="384">
        <f t="shared" si="72"/>
        <v>54.952203741478499</v>
      </c>
      <c r="F162" s="384">
        <f t="shared" si="51"/>
        <v>54.962139277960816</v>
      </c>
      <c r="G162" s="110">
        <f t="shared" si="73"/>
        <v>0.90920149009070295</v>
      </c>
      <c r="H162" s="413" t="b">
        <f>Wh_hp&gt;='2026'!Maxi_hp</f>
        <v>0</v>
      </c>
      <c r="I162" s="389">
        <f>IF(H162,Wh_hp,'2026'!Maxi_hp)</f>
        <v>58.893102499621982</v>
      </c>
      <c r="J162" s="85">
        <f>IF(H162,An,'2026'!An_max)</f>
        <v>2020</v>
      </c>
      <c r="K162" s="196">
        <f t="shared" si="52"/>
        <v>46535</v>
      </c>
      <c r="L162" s="147">
        <f>IF(t&lt;Tvie,1-EXP((T0-t)*PertePVj)+'2026'!Pspv,1-EXP((T0-t)*PertePVj)+Pspv)</f>
        <v>6.8223245273389937E-2</v>
      </c>
      <c r="M162" s="847"/>
      <c r="N162" s="847"/>
      <c r="O162" s="48">
        <f>IF(t&lt;Tnet,'2026'!Resal+('2026'!Salim-'2026'!Resal)*(1-EXP(('2026'!Tnet-t)/('2026'!Tau_j))),Resal+(Salim-Resal)*(1-EXP((Tnet-t)/(Tau_j))))*Salcycl</f>
        <v>3.8644444456841343E-2</v>
      </c>
      <c r="P162" s="168">
        <f>(INDEX(Models!$BJ162:$BT162,,T162)*(1-R162)+INDEX(Models!$BJ162:$BT162,,T162+1)*R162-ERP_i)*Q162*Ramure*Pc/MaxiM</f>
        <v>2.0770517437672959E-4</v>
      </c>
      <c r="Q162" s="304">
        <f t="shared" si="53"/>
        <v>0.5</v>
      </c>
      <c r="R162" s="176">
        <f t="shared" si="54"/>
        <v>0.23041423982568704</v>
      </c>
      <c r="S162" s="814">
        <f t="shared" si="55"/>
        <v>0</v>
      </c>
      <c r="T162" s="175">
        <f t="shared" si="56"/>
        <v>6</v>
      </c>
      <c r="U162" s="250">
        <f t="shared" si="57"/>
        <v>0.23041423982568704</v>
      </c>
      <c r="V162" s="382">
        <f t="shared" si="58"/>
        <v>54.138870032486729</v>
      </c>
      <c r="W162" s="401">
        <f t="shared" si="59"/>
        <v>49.224467387318825</v>
      </c>
      <c r="X162" s="157">
        <f t="shared" si="60"/>
        <v>46535</v>
      </c>
      <c r="Y162" s="384">
        <f t="shared" si="61"/>
        <v>47.426957453735312</v>
      </c>
      <c r="Z162" s="384">
        <f t="shared" si="62"/>
        <v>50.899485540021573</v>
      </c>
      <c r="AA162" s="385">
        <f t="shared" si="63"/>
        <v>54.916295155980301</v>
      </c>
      <c r="AB162" s="196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7.3144220755418266E-2</v>
      </c>
      <c r="AD162" s="230">
        <f>(INDEX(Models!$BJ162:$BT162,,AH162)*(1-AF162)+INDEX(Models!$BJ162:$BT162,,AH162+1)*AF162-ERP_i)*AE162*Ramure*Pc/MaxiM</f>
        <v>9.5838421680192066E-4</v>
      </c>
      <c r="AE162" s="304">
        <f t="shared" si="65"/>
        <v>0.5</v>
      </c>
      <c r="AF162" s="176">
        <f t="shared" si="66"/>
        <v>0.34540677965007438</v>
      </c>
      <c r="AG162" s="814">
        <f t="shared" si="74"/>
        <v>2</v>
      </c>
      <c r="AH162" s="175">
        <f t="shared" si="67"/>
        <v>8</v>
      </c>
      <c r="AI162" s="224">
        <f t="shared" si="68"/>
        <v>2.3454067796500744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10">
        <f>'2026'!Wh/'2026'!Env_an*'2027'!Env_an</f>
        <v>53.733589471106434</v>
      </c>
      <c r="C163" s="843"/>
      <c r="D163" s="392">
        <f t="shared" si="50"/>
        <v>57.669140823766938</v>
      </c>
      <c r="E163" s="384">
        <f t="shared" si="72"/>
        <v>59.993214563175705</v>
      </c>
      <c r="F163" s="384">
        <f t="shared" si="51"/>
        <v>60.005962141926268</v>
      </c>
      <c r="G163" s="110">
        <f t="shared" si="73"/>
        <v>0.99302722023308965</v>
      </c>
      <c r="H163" s="413" t="b">
        <f>Wh_hp&gt;='2026'!Maxi_hp</f>
        <v>0</v>
      </c>
      <c r="I163" s="389">
        <f>IF(H163,Wh_hp,'2026'!Maxi_hp)</f>
        <v>60.006073151050671</v>
      </c>
      <c r="J163" s="85">
        <f>IF(H163,An,'2026'!An_max)</f>
        <v>2025</v>
      </c>
      <c r="K163" s="196">
        <f t="shared" si="52"/>
        <v>46536</v>
      </c>
      <c r="L163" s="147">
        <f>IF(t&lt;Tvie,1-EXP((T0-t)*PertePVj)+'2026'!Pspv,1-EXP((T0-t)*PertePVj)+Pspv)</f>
        <v>6.8243627292580683E-2</v>
      </c>
      <c r="M163" s="847"/>
      <c r="N163" s="847"/>
      <c r="O163" s="48">
        <f>IF(t&lt;Tnet,'2026'!Resal+('2026'!Salim-'2026'!Resal)*(1-EXP(('2026'!Tnet-t)/('2026'!Tau_j))),Resal+(Salim-Resal)*(1-EXP((Tnet-t)/(Tau_j))))*Salcycl</f>
        <v>3.8738943334356693E-2</v>
      </c>
      <c r="P163" s="168">
        <f>(INDEX(Models!$BJ163:$BT163,,T163)*(1-R163)+INDEX(Models!$BJ163:$BT163,,T163+1)*R163-ERP_i)*Q163*Ramure*Pc/MaxiM</f>
        <v>2.1457529442409903E-4</v>
      </c>
      <c r="Q163" s="304">
        <f t="shared" si="53"/>
        <v>0.5</v>
      </c>
      <c r="R163" s="176">
        <f t="shared" si="54"/>
        <v>0.23330660872442022</v>
      </c>
      <c r="S163" s="814">
        <f t="shared" si="55"/>
        <v>0</v>
      </c>
      <c r="T163" s="175">
        <f t="shared" si="56"/>
        <v>6</v>
      </c>
      <c r="U163" s="250">
        <f t="shared" si="57"/>
        <v>0.23330660872442022</v>
      </c>
      <c r="V163" s="382">
        <f t="shared" si="58"/>
        <v>54.110777163186945</v>
      </c>
      <c r="W163" s="401">
        <f t="shared" si="59"/>
        <v>53.733589471106434</v>
      </c>
      <c r="X163" s="157">
        <f t="shared" si="60"/>
        <v>46536</v>
      </c>
      <c r="Y163" s="384">
        <f t="shared" si="61"/>
        <v>51.766248880735724</v>
      </c>
      <c r="Z163" s="384">
        <f t="shared" si="62"/>
        <v>55.557708427920609</v>
      </c>
      <c r="AA163" s="385">
        <f t="shared" si="63"/>
        <v>59.947433243833892</v>
      </c>
      <c r="AB163" s="196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7.322623469228863E-2</v>
      </c>
      <c r="AD163" s="230">
        <f>(INDEX(Models!$BJ163:$BT163,,AH163)*(1-AF163)+INDEX(Models!$BJ163:$BT163,,AH163+1)*AF163-ERP_i)*AE163*Ramure*Pc/MaxiM</f>
        <v>9.8519536817407208E-4</v>
      </c>
      <c r="AE163" s="304">
        <f t="shared" si="65"/>
        <v>0.5</v>
      </c>
      <c r="AF163" s="176">
        <f t="shared" si="66"/>
        <v>0.34829914854880784</v>
      </c>
      <c r="AG163" s="814">
        <f t="shared" si="74"/>
        <v>2</v>
      </c>
      <c r="AH163" s="175">
        <f t="shared" si="67"/>
        <v>8</v>
      </c>
      <c r="AI163" s="224">
        <f t="shared" si="68"/>
        <v>2.3482991485488078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10">
        <f>'2026'!Wh/'2026'!Env_an*'2027'!Env_an</f>
        <v>45.863390584347414</v>
      </c>
      <c r="C164" s="843"/>
      <c r="D164" s="392">
        <f t="shared" si="50"/>
        <v>49.223590180836545</v>
      </c>
      <c r="E164" s="384">
        <f t="shared" si="72"/>
        <v>51.212335298777894</v>
      </c>
      <c r="F164" s="384">
        <f t="shared" si="51"/>
        <v>51.221215648620216</v>
      </c>
      <c r="G164" s="110">
        <f t="shared" si="73"/>
        <v>0.84804749405295499</v>
      </c>
      <c r="H164" s="413" t="b">
        <f>Wh_hp&gt;='2026'!Maxi_hp</f>
        <v>0</v>
      </c>
      <c r="I164" s="389">
        <f>IF(H164,Wh_hp,'2026'!Maxi_hp)</f>
        <v>59.235447555070827</v>
      </c>
      <c r="J164" s="85">
        <f>IF(H164,An,'2026'!An_max)</f>
        <v>2019</v>
      </c>
      <c r="K164" s="196">
        <f t="shared" si="52"/>
        <v>46537</v>
      </c>
      <c r="L164" s="147">
        <f>IF(t&lt;Tvie,1-EXP((T0-t)*PertePVj)+'2026'!Pspv,1-EXP((T0-t)*PertePVj)+Pspv)</f>
        <v>6.8264008865352971E-2</v>
      </c>
      <c r="M164" s="847"/>
      <c r="N164" s="847"/>
      <c r="O164" s="48">
        <f>IF(t&lt;Tnet,'2026'!Resal+('2026'!Salim-'2026'!Resal)*(1-EXP(('2026'!Tnet-t)/('2026'!Tau_j))),Resal+(Salim-Resal)*(1-EXP((Tnet-t)/(Tau_j))))*Salcycl</f>
        <v>3.8833322213072424E-2</v>
      </c>
      <c r="P164" s="168">
        <f>(INDEX(Models!$BJ164:$BT164,,T164)*(1-R164)+INDEX(Models!$BJ164:$BT164,,T164+1)*R164-ERP_i)*Q164*Ramure*Pc/MaxiM</f>
        <v>2.2142555329410842E-4</v>
      </c>
      <c r="Q164" s="304">
        <f t="shared" si="53"/>
        <v>0.5</v>
      </c>
      <c r="R164" s="176">
        <f t="shared" si="54"/>
        <v>0.23622784608847275</v>
      </c>
      <c r="S164" s="814">
        <f t="shared" si="55"/>
        <v>0</v>
      </c>
      <c r="T164" s="175">
        <f t="shared" si="56"/>
        <v>6</v>
      </c>
      <c r="U164" s="250">
        <f t="shared" si="57"/>
        <v>0.23622784608847275</v>
      </c>
      <c r="V164" s="382">
        <f t="shared" si="58"/>
        <v>54.078558863172184</v>
      </c>
      <c r="W164" s="401">
        <f t="shared" si="59"/>
        <v>45.863390584347414</v>
      </c>
      <c r="X164" s="157">
        <f t="shared" si="60"/>
        <v>46537</v>
      </c>
      <c r="Y164" s="384">
        <f t="shared" si="61"/>
        <v>44.191019437794054</v>
      </c>
      <c r="Z164" s="384">
        <f t="shared" si="62"/>
        <v>47.428692095471412</v>
      </c>
      <c r="AA164" s="385">
        <f t="shared" si="63"/>
        <v>51.180642112541655</v>
      </c>
      <c r="AB164" s="196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7.3307990330016559E-2</v>
      </c>
      <c r="AD164" s="230">
        <f>(INDEX(Models!$BJ164:$BT164,,AH164)*(1-AF164)+INDEX(Models!$BJ164:$BT164,,AH164+1)*AF164-ERP_i)*AE164*Ramure*Pc/MaxiM</f>
        <v>1.0116738456038847E-3</v>
      </c>
      <c r="AE164" s="304">
        <f t="shared" si="65"/>
        <v>0.5</v>
      </c>
      <c r="AF164" s="176">
        <f t="shared" si="66"/>
        <v>0.35122038591286042</v>
      </c>
      <c r="AG164" s="814">
        <f t="shared" si="74"/>
        <v>2</v>
      </c>
      <c r="AH164" s="175">
        <f t="shared" si="67"/>
        <v>8</v>
      </c>
      <c r="AI164" s="224">
        <f t="shared" si="68"/>
        <v>2.3512203859128604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10">
        <f>'2026'!Wh/'2026'!Env_an*'2027'!Env_an</f>
        <v>51.074847008973236</v>
      </c>
      <c r="C165" s="843"/>
      <c r="D165" s="392">
        <f t="shared" si="50"/>
        <v>54.818065148140164</v>
      </c>
      <c r="E165" s="384">
        <f t="shared" si="72"/>
        <v>57.038431369785691</v>
      </c>
      <c r="F165" s="384">
        <f t="shared" si="51"/>
        <v>57.050432127554743</v>
      </c>
      <c r="G165" s="110">
        <f t="shared" si="73"/>
        <v>0.94506789496929322</v>
      </c>
      <c r="H165" s="413" t="b">
        <f>Wh_hp&gt;='2026'!Maxi_hp</f>
        <v>0</v>
      </c>
      <c r="I165" s="389">
        <f>IF(H165,Wh_hp,'2026'!Maxi_hp)</f>
        <v>60.201047487090179</v>
      </c>
      <c r="J165" s="85">
        <f>IF(H165,An,'2026'!An_max)</f>
        <v>2019</v>
      </c>
      <c r="K165" s="196">
        <f t="shared" si="52"/>
        <v>46538</v>
      </c>
      <c r="L165" s="147">
        <f>IF(t&lt;Tvie,1-EXP((T0-t)*PertePVj)+'2026'!Pspv,1-EXP((T0-t)*PertePVj)+Pspv)</f>
        <v>6.828438999171646E-2</v>
      </c>
      <c r="M165" s="847"/>
      <c r="N165" s="847"/>
      <c r="O165" s="48">
        <f>IF(t&lt;Tnet,'2026'!Resal+('2026'!Salim-'2026'!Resal)*(1-EXP(('2026'!Tnet-t)/('2026'!Tau_j))),Resal+(Salim-Resal)*(1-EXP((Tnet-t)/(Tau_j))))*Salcycl</f>
        <v>3.8927547064726863E-2</v>
      </c>
      <c r="P165" s="168">
        <f>(INDEX(Models!$BJ165:$BT165,,T165)*(1-R165)+INDEX(Models!$BJ165:$BT165,,T165+1)*R165-ERP_i)*Q165*Ramure*Pc/MaxiM</f>
        <v>2.2826059639075868E-4</v>
      </c>
      <c r="Q165" s="304">
        <f t="shared" si="53"/>
        <v>0.5</v>
      </c>
      <c r="R165" s="176">
        <f t="shared" si="54"/>
        <v>0.23917588401824874</v>
      </c>
      <c r="S165" s="814">
        <f t="shared" si="55"/>
        <v>0</v>
      </c>
      <c r="T165" s="175">
        <f t="shared" si="56"/>
        <v>6</v>
      </c>
      <c r="U165" s="250">
        <f t="shared" si="57"/>
        <v>0.23917588401824874</v>
      </c>
      <c r="V165" s="382">
        <f t="shared" si="58"/>
        <v>54.04260634175958</v>
      </c>
      <c r="W165" s="401">
        <f t="shared" si="59"/>
        <v>51.074847008973236</v>
      </c>
      <c r="X165" s="157">
        <f t="shared" si="60"/>
        <v>46538</v>
      </c>
      <c r="Y165" s="384">
        <f t="shared" si="61"/>
        <v>49.206670795134919</v>
      </c>
      <c r="Z165" s="384">
        <f t="shared" si="62"/>
        <v>52.812972399053656</v>
      </c>
      <c r="AA165" s="385">
        <f t="shared" si="63"/>
        <v>56.995866230681685</v>
      </c>
      <c r="AB165" s="196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7.3389424676842938E-2</v>
      </c>
      <c r="AD165" s="230">
        <f>(INDEX(Models!$BJ165:$BT165,,AH165)*(1-AF165)+INDEX(Models!$BJ165:$BT165,,AH165+1)*AF165-ERP_i)*AE165*Ramure*Pc/MaxiM</f>
        <v>1.0378714746627192E-3</v>
      </c>
      <c r="AE165" s="304">
        <f t="shared" si="65"/>
        <v>0.5</v>
      </c>
      <c r="AF165" s="176">
        <f t="shared" si="66"/>
        <v>0.35416842384263614</v>
      </c>
      <c r="AG165" s="814">
        <f t="shared" si="74"/>
        <v>2</v>
      </c>
      <c r="AH165" s="175">
        <f t="shared" si="67"/>
        <v>8</v>
      </c>
      <c r="AI165" s="224">
        <f t="shared" si="68"/>
        <v>2.3541684238426361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10">
        <f>'2026'!Wh/'2026'!Env_an*'2027'!Env_an</f>
        <v>51.466280969626467</v>
      </c>
      <c r="C166" s="843"/>
      <c r="D166" s="392">
        <f t="shared" si="50"/>
        <v>55.239395190130708</v>
      </c>
      <c r="E166" s="384">
        <f t="shared" si="72"/>
        <v>57.482451490466424</v>
      </c>
      <c r="F166" s="384">
        <f t="shared" si="51"/>
        <v>57.495059993579126</v>
      </c>
      <c r="G166" s="110">
        <f t="shared" si="73"/>
        <v>0.95300580043381034</v>
      </c>
      <c r="H166" s="413" t="b">
        <f>Wh_hp&gt;='2026'!Maxi_hp</f>
        <v>0</v>
      </c>
      <c r="I166" s="389">
        <f>IF(H166,Wh_hp,'2026'!Maxi_hp)</f>
        <v>61.029409506694016</v>
      </c>
      <c r="J166" s="85">
        <f>IF(H166,An,'2026'!An_max)</f>
        <v>2019</v>
      </c>
      <c r="K166" s="196">
        <f t="shared" si="52"/>
        <v>46539</v>
      </c>
      <c r="L166" s="147">
        <f>IF(t&lt;Tvie,1-EXP((T0-t)*PertePVj)+'2026'!Pspv,1-EXP((T0-t)*PertePVj)+Pspv)</f>
        <v>6.8304770671681031E-2</v>
      </c>
      <c r="M166" s="847"/>
      <c r="N166" s="847"/>
      <c r="O166" s="48">
        <f>IF(t&lt;Tnet,'2026'!Resal+('2026'!Salim-'2026'!Resal)*(1-EXP(('2026'!Tnet-t)/('2026'!Tau_j))),Resal+(Salim-Resal)*(1-EXP((Tnet-t)/(Tau_j))))*Salcycl</f>
        <v>3.9021583842987817E-2</v>
      </c>
      <c r="P166" s="168">
        <f>(INDEX(Models!$BJ166:$BT166,,T166)*(1-R166)+INDEX(Models!$BJ166:$BT166,,T166+1)*R166-ERP_i)*Q166*Ramure*Pc/MaxiM</f>
        <v>2.350736755585748E-4</v>
      </c>
      <c r="Q166" s="304">
        <f t="shared" si="53"/>
        <v>0.5</v>
      </c>
      <c r="R166" s="176">
        <f t="shared" si="54"/>
        <v>0.24214857086449815</v>
      </c>
      <c r="S166" s="814">
        <f t="shared" si="55"/>
        <v>0</v>
      </c>
      <c r="T166" s="175">
        <f t="shared" si="56"/>
        <v>6</v>
      </c>
      <c r="U166" s="250">
        <f t="shared" si="57"/>
        <v>0.24214857086449815</v>
      </c>
      <c r="V166" s="382">
        <f t="shared" si="58"/>
        <v>54.003311217294403</v>
      </c>
      <c r="W166" s="401">
        <f t="shared" si="59"/>
        <v>51.466280969626467</v>
      </c>
      <c r="X166" s="157">
        <f t="shared" si="60"/>
        <v>46539</v>
      </c>
      <c r="Y166" s="384">
        <f t="shared" si="61"/>
        <v>49.582962518816828</v>
      </c>
      <c r="Z166" s="384">
        <f t="shared" si="62"/>
        <v>53.21800622995822</v>
      </c>
      <c r="AA166" s="385">
        <f t="shared" si="63"/>
        <v>57.438003642472296</v>
      </c>
      <c r="AB166" s="196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7.3470475032206939E-2</v>
      </c>
      <c r="AD166" s="230">
        <f>(INDEX(Models!$BJ166:$BT166,,AH166)*(1-AF166)+INDEX(Models!$BJ166:$BT166,,AH166+1)*AF166-ERP_i)*AE166*Ramure*Pc/MaxiM</f>
        <v>1.0637619746574325E-3</v>
      </c>
      <c r="AE166" s="304">
        <f t="shared" si="65"/>
        <v>0.5</v>
      </c>
      <c r="AF166" s="176">
        <f t="shared" si="66"/>
        <v>0.35714111068888554</v>
      </c>
      <c r="AG166" s="814">
        <f t="shared" si="74"/>
        <v>2</v>
      </c>
      <c r="AH166" s="175">
        <f t="shared" si="67"/>
        <v>8</v>
      </c>
      <c r="AI166" s="224">
        <f t="shared" si="68"/>
        <v>2.3571411106888855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10">
        <f>'2026'!Wh/'2026'!Env_an*'2027'!Env_an</f>
        <v>40.474257924169095</v>
      </c>
      <c r="C167" s="843"/>
      <c r="D167" s="392">
        <f t="shared" si="50"/>
        <v>43.442471333744457</v>
      </c>
      <c r="E167" s="384">
        <f t="shared" si="72"/>
        <v>45.210914266774061</v>
      </c>
      <c r="F167" s="384">
        <f t="shared" si="51"/>
        <v>45.217945748736518</v>
      </c>
      <c r="G167" s="110">
        <f t="shared" si="73"/>
        <v>0.74999932381743351</v>
      </c>
      <c r="H167" s="413" t="b">
        <f>Wh_hp&gt;='2026'!Maxi_hp</f>
        <v>0</v>
      </c>
      <c r="I167" s="389">
        <f>IF(H167,Wh_hp,'2026'!Maxi_hp)</f>
        <v>60.469553797129123</v>
      </c>
      <c r="J167" s="85">
        <f>IF(H167,An,'2026'!An_max)</f>
        <v>2019</v>
      </c>
      <c r="K167" s="196">
        <f t="shared" si="52"/>
        <v>46540</v>
      </c>
      <c r="L167" s="147">
        <f>IF(t&lt;Tvie,1-EXP((T0-t)*PertePVj)+'2026'!Pspv,1-EXP((T0-t)*PertePVj)+Pspv)</f>
        <v>6.8325150905256343E-2</v>
      </c>
      <c r="M167" s="847"/>
      <c r="N167" s="847"/>
      <c r="O167" s="48">
        <f>IF(t&lt;Tnet,'2026'!Resal+('2026'!Salim-'2026'!Resal)*(1-EXP(('2026'!Tnet-t)/('2026'!Tau_j))),Resal+(Salim-Resal)*(1-EXP((Tnet-t)/(Tau_j))))*Salcycl</f>
        <v>3.9115398609163909E-2</v>
      </c>
      <c r="P167" s="168">
        <f>(INDEX(Models!$BJ167:$BT167,,T167)*(1-R167)+INDEX(Models!$BJ167:$BT167,,T167+1)*R167-ERP_i)*Q167*Ramure*Pc/MaxiM</f>
        <v>2.418575785715682E-4</v>
      </c>
      <c r="Q167" s="304">
        <f t="shared" si="53"/>
        <v>0.5</v>
      </c>
      <c r="R167" s="176">
        <f t="shared" si="54"/>
        <v>0.24514367691314567</v>
      </c>
      <c r="S167" s="814">
        <f t="shared" si="55"/>
        <v>0</v>
      </c>
      <c r="T167" s="175">
        <f t="shared" si="56"/>
        <v>6</v>
      </c>
      <c r="U167" s="250">
        <f t="shared" si="57"/>
        <v>0.24514367691314567</v>
      </c>
      <c r="V167" s="382">
        <f t="shared" si="58"/>
        <v>53.961064921346917</v>
      </c>
      <c r="W167" s="401">
        <f t="shared" si="59"/>
        <v>40.474257924169095</v>
      </c>
      <c r="X167" s="157">
        <f t="shared" si="60"/>
        <v>46540</v>
      </c>
      <c r="Y167" s="384">
        <f t="shared" si="61"/>
        <v>39.002496282790958</v>
      </c>
      <c r="Z167" s="384">
        <f t="shared" si="62"/>
        <v>41.862776826794779</v>
      </c>
      <c r="AA167" s="385">
        <f t="shared" si="63"/>
        <v>45.186276207796837</v>
      </c>
      <c r="AB167" s="196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7.3551079219681084E-2</v>
      </c>
      <c r="AD167" s="230">
        <f>(INDEX(Models!$BJ167:$BT167,,AH167)*(1-AF167)+INDEX(Models!$BJ167:$BT167,,AH167+1)*AF167-ERP_i)*AE167*Ramure*Pc/MaxiM</f>
        <v>1.0893178034223432E-3</v>
      </c>
      <c r="AE167" s="304">
        <f t="shared" si="65"/>
        <v>0.5</v>
      </c>
      <c r="AF167" s="176">
        <f t="shared" si="66"/>
        <v>0.36013621673753304</v>
      </c>
      <c r="AG167" s="814">
        <f t="shared" si="74"/>
        <v>2</v>
      </c>
      <c r="AH167" s="175">
        <f t="shared" si="67"/>
        <v>8</v>
      </c>
      <c r="AI167" s="224">
        <f t="shared" si="68"/>
        <v>2.360136216737533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10">
        <f>'2026'!Wh/'2026'!Env_an*'2027'!Env_an</f>
        <v>50.268326943942476</v>
      </c>
      <c r="C168" s="843"/>
      <c r="D168" s="392">
        <f t="shared" si="50"/>
        <v>53.955976813275434</v>
      </c>
      <c r="E168" s="384">
        <f t="shared" si="72"/>
        <v>56.157868293464901</v>
      </c>
      <c r="F168" s="384">
        <f t="shared" si="51"/>
        <v>56.170482808286046</v>
      </c>
      <c r="G168" s="110">
        <f t="shared" si="73"/>
        <v>0.93231837646613047</v>
      </c>
      <c r="H168" s="413" t="b">
        <f>Wh_hp&gt;='2026'!Maxi_hp</f>
        <v>0</v>
      </c>
      <c r="I168" s="389">
        <f>IF(H168,Wh_hp,'2026'!Maxi_hp)</f>
        <v>57.408695514870161</v>
      </c>
      <c r="J168" s="85">
        <f>IF(H168,An,'2026'!An_max)</f>
        <v>2020</v>
      </c>
      <c r="K168" s="196">
        <f t="shared" si="52"/>
        <v>46541</v>
      </c>
      <c r="L168" s="147">
        <f>IF(t&lt;Tvie,1-EXP((T0-t)*PertePVj)+'2026'!Pspv,1-EXP((T0-t)*PertePVj)+Pspv)</f>
        <v>6.8345530692452278E-2</v>
      </c>
      <c r="M168" s="847"/>
      <c r="N168" s="847"/>
      <c r="O168" s="48">
        <f>IF(t&lt;Tnet,'2026'!Resal+('2026'!Salim-'2026'!Resal)*(1-EXP(('2026'!Tnet-t)/('2026'!Tau_j))),Resal+(Salim-Resal)*(1-EXP((Tnet-t)/(Tau_j))))*Salcycl</f>
        <v>3.9208957659913453E-2</v>
      </c>
      <c r="P168" s="168">
        <f>(INDEX(Models!$BJ168:$BT168,,T168)*(1-R168)+INDEX(Models!$BJ168:$BT168,,T168+1)*R168-ERP_i)*Q168*Ramure*Pc/MaxiM</f>
        <v>2.4860464600345627E-4</v>
      </c>
      <c r="Q168" s="304">
        <f t="shared" si="53"/>
        <v>0.5</v>
      </c>
      <c r="R168" s="176">
        <f t="shared" si="54"/>
        <v>0.24815890058250883</v>
      </c>
      <c r="S168" s="814">
        <f t="shared" si="55"/>
        <v>0</v>
      </c>
      <c r="T168" s="175">
        <f t="shared" si="56"/>
        <v>6</v>
      </c>
      <c r="U168" s="250">
        <f t="shared" si="57"/>
        <v>0.24815890058250883</v>
      </c>
      <c r="V168" s="382">
        <f t="shared" si="58"/>
        <v>53.916258691244288</v>
      </c>
      <c r="W168" s="401">
        <f t="shared" si="59"/>
        <v>50.268326943942476</v>
      </c>
      <c r="X168" s="157">
        <f t="shared" si="60"/>
        <v>46541</v>
      </c>
      <c r="Y168" s="384">
        <f t="shared" si="61"/>
        <v>48.429445614878503</v>
      </c>
      <c r="Z168" s="384">
        <f t="shared" si="62"/>
        <v>51.982196415451853</v>
      </c>
      <c r="AA168" s="385">
        <f t="shared" si="63"/>
        <v>56.113931145696348</v>
      </c>
      <c r="AB168" s="196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7.3631175821859685E-2</v>
      </c>
      <c r="AD168" s="230">
        <f>(INDEX(Models!$BJ168:$BT168,,AH168)*(1-AF168)+INDEX(Models!$BJ168:$BT168,,AH168+1)*AF168-ERP_i)*AE168*Ramure*Pc/MaxiM</f>
        <v>1.114510249371788E-3</v>
      </c>
      <c r="AE168" s="304">
        <f t="shared" si="65"/>
        <v>0.5</v>
      </c>
      <c r="AF168" s="176">
        <f t="shared" si="66"/>
        <v>0.36315144040689651</v>
      </c>
      <c r="AG168" s="814">
        <f t="shared" si="74"/>
        <v>2</v>
      </c>
      <c r="AH168" s="175">
        <f t="shared" si="67"/>
        <v>8</v>
      </c>
      <c r="AI168" s="224">
        <f t="shared" si="68"/>
        <v>2.3631514404068965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10">
        <f>'2026'!Wh/'2026'!Env_an*'2027'!Env_an</f>
        <v>27.724384855289443</v>
      </c>
      <c r="C169" s="843"/>
      <c r="D169" s="392">
        <f t="shared" si="50"/>
        <v>29.758877604274634</v>
      </c>
      <c r="E169" s="384">
        <f t="shared" si="72"/>
        <v>30.976315820605191</v>
      </c>
      <c r="F169" s="384">
        <f t="shared" si="51"/>
        <v>30.978741201464995</v>
      </c>
      <c r="G169" s="110">
        <f t="shared" si="73"/>
        <v>0.51456925002033482</v>
      </c>
      <c r="H169" s="413" t="b">
        <f>Wh_hp&gt;='2026'!Maxi_hp</f>
        <v>0</v>
      </c>
      <c r="I169" s="389">
        <f>IF(H169,Wh_hp,'2026'!Maxi_hp)</f>
        <v>56.649023658356676</v>
      </c>
      <c r="J169" s="85">
        <f>IF(H169,An,'2026'!An_max)</f>
        <v>2019</v>
      </c>
      <c r="K169" s="196">
        <f t="shared" si="52"/>
        <v>46542</v>
      </c>
      <c r="L169" s="147">
        <f>IF(t&lt;Tvie,1-EXP((T0-t)*PertePVj)+'2026'!Pspv,1-EXP((T0-t)*PertePVj)+Pspv)</f>
        <v>6.8365910033278604E-2</v>
      </c>
      <c r="M169" s="847"/>
      <c r="N169" s="847"/>
      <c r="O169" s="48">
        <f>IF(t&lt;Tnet,'2026'!Resal+('2026'!Salim-'2026'!Resal)*(1-EXP(('2026'!Tnet-t)/('2026'!Tau_j))),Resal+(Salim-Resal)*(1-EXP((Tnet-t)/(Tau_j))))*Salcycl</f>
        <v>3.9302227656160628E-2</v>
      </c>
      <c r="P169" s="168">
        <f>(INDEX(Models!$BJ169:$BT169,,T169)*(1-R169)+INDEX(Models!$BJ169:$BT169,,T169+1)*R169-ERP_i)*Q169*Ramure*Pc/MaxiM</f>
        <v>2.5530679078153624E-4</v>
      </c>
      <c r="Q169" s="304">
        <f t="shared" si="53"/>
        <v>0.5</v>
      </c>
      <c r="R169" s="176">
        <f t="shared" si="54"/>
        <v>0.25119187510030472</v>
      </c>
      <c r="S169" s="814">
        <f t="shared" si="55"/>
        <v>0</v>
      </c>
      <c r="T169" s="175">
        <f t="shared" si="56"/>
        <v>6</v>
      </c>
      <c r="U169" s="250">
        <f t="shared" si="57"/>
        <v>0.25119187510030472</v>
      </c>
      <c r="V169" s="382">
        <f t="shared" si="58"/>
        <v>53.869283556517082</v>
      </c>
      <c r="W169" s="401">
        <f t="shared" si="59"/>
        <v>27.724384855289443</v>
      </c>
      <c r="X169" s="157">
        <f t="shared" si="60"/>
        <v>46542</v>
      </c>
      <c r="Y169" s="384">
        <f t="shared" si="61"/>
        <v>26.724157587493202</v>
      </c>
      <c r="Z169" s="384">
        <f t="shared" si="62"/>
        <v>28.685250867588806</v>
      </c>
      <c r="AA169" s="385">
        <f t="shared" si="63"/>
        <v>30.967917911104273</v>
      </c>
      <c r="AB169" s="196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7.3710704415712827E-2</v>
      </c>
      <c r="AD169" s="230">
        <f>(INDEX(Models!$BJ169:$BT169,,AH169)*(1-AF169)+INDEX(Models!$BJ169:$BT169,,AH169+1)*AF169-ERP_i)*AE169*Ramure*Pc/MaxiM</f>
        <v>1.1393095300986772E-3</v>
      </c>
      <c r="AE169" s="304">
        <f t="shared" si="65"/>
        <v>0.5</v>
      </c>
      <c r="AF169" s="176">
        <f t="shared" si="66"/>
        <v>0.36618441492469245</v>
      </c>
      <c r="AG169" s="814">
        <f t="shared" si="74"/>
        <v>2</v>
      </c>
      <c r="AH169" s="175">
        <f t="shared" si="67"/>
        <v>8</v>
      </c>
      <c r="AI169" s="224">
        <f t="shared" si="68"/>
        <v>2.3661844149246924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10">
        <f>'2026'!Wh/'2026'!Env_an*'2027'!Env_an</f>
        <v>28.591710002189672</v>
      </c>
      <c r="C170" s="843"/>
      <c r="D170" s="392">
        <f t="shared" si="50"/>
        <v>30.690520826793765</v>
      </c>
      <c r="E170" s="384">
        <f t="shared" ref="E170:E232" si="75">Wh_pvt/(1-Psa)</f>
        <v>31.949163747779743</v>
      </c>
      <c r="F170" s="384">
        <f t="shared" si="51"/>
        <v>31.951927650228026</v>
      </c>
      <c r="G170" s="110">
        <f t="shared" ref="G170:G232" si="76">+Wh_hp/MaxiM</f>
        <v>0.53114848312171992</v>
      </c>
      <c r="H170" s="413" t="b">
        <f>Wh_hp&gt;='2026'!Maxi_hp</f>
        <v>0</v>
      </c>
      <c r="I170" s="389">
        <f>IF(H170,Wh_hp,'2026'!Maxi_hp)</f>
        <v>43.624994616930465</v>
      </c>
      <c r="J170" s="85">
        <f>IF(H170,An,'2026'!An_max)</f>
        <v>2021</v>
      </c>
      <c r="K170" s="196">
        <f t="shared" si="52"/>
        <v>46543</v>
      </c>
      <c r="L170" s="147">
        <f>IF(t&lt;Tvie,1-EXP((T0-t)*PertePVj)+'2026'!Pspv,1-EXP((T0-t)*PertePVj)+Pspv)</f>
        <v>6.8386288927744981E-2</v>
      </c>
      <c r="M170" s="847"/>
      <c r="N170" s="847"/>
      <c r="O170" s="48">
        <f>IF(t&lt;Tnet,'2026'!Resal+('2026'!Salim-'2026'!Resal)*(1-EXP(('2026'!Tnet-t)/('2026'!Tau_j))),Resal+(Salim-Resal)*(1-EXP((Tnet-t)/(Tau_j))))*Salcycl</f>
        <v>3.9395175752399647E-2</v>
      </c>
      <c r="P170" s="168">
        <f>(INDEX(Models!$BJ170:$BT170,,T170)*(1-R170)+INDEX(Models!$BJ170:$BT170,,T170+1)*R170-ERP_i)*Q170*Ramure*Pc/MaxiM</f>
        <v>2.6185304965247954E-4</v>
      </c>
      <c r="Q170" s="304">
        <f t="shared" si="53"/>
        <v>0.5</v>
      </c>
      <c r="R170" s="176">
        <f t="shared" si="54"/>
        <v>0.25424017562246787</v>
      </c>
      <c r="S170" s="814">
        <f t="shared" si="55"/>
        <v>0</v>
      </c>
      <c r="T170" s="175">
        <f t="shared" si="56"/>
        <v>6</v>
      </c>
      <c r="U170" s="250">
        <f t="shared" si="57"/>
        <v>0.25424017562246787</v>
      </c>
      <c r="V170" s="382">
        <f t="shared" si="58"/>
        <v>53.820535853238646</v>
      </c>
      <c r="W170" s="401">
        <f t="shared" si="59"/>
        <v>28.591710002189672</v>
      </c>
      <c r="X170" s="157">
        <f t="shared" si="60"/>
        <v>46543</v>
      </c>
      <c r="Y170" s="384">
        <f t="shared" si="61"/>
        <v>27.559774799319985</v>
      </c>
      <c r="Z170" s="384">
        <f t="shared" si="62"/>
        <v>29.58283510834082</v>
      </c>
      <c r="AA170" s="385">
        <f t="shared" si="63"/>
        <v>31.939649235001578</v>
      </c>
      <c r="AB170" s="196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7.3789605806879224E-2</v>
      </c>
      <c r="AD170" s="230">
        <f>(INDEX(Models!$BJ170:$BT170,,AH170)*(1-AF170)+INDEX(Models!$BJ170:$BT170,,AH170+1)*AF170-ERP_i)*AE170*Ramure*Pc/MaxiM</f>
        <v>1.1632611975655319E-3</v>
      </c>
      <c r="AE170" s="304">
        <f t="shared" si="65"/>
        <v>0.5</v>
      </c>
      <c r="AF170" s="176">
        <f t="shared" si="66"/>
        <v>0.36923271544685532</v>
      </c>
      <c r="AG170" s="814">
        <f t="shared" si="74"/>
        <v>2</v>
      </c>
      <c r="AH170" s="175">
        <f t="shared" si="67"/>
        <v>8</v>
      </c>
      <c r="AI170" s="224">
        <f t="shared" si="68"/>
        <v>2.3692327154468553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10">
        <f>'2026'!Wh/'2026'!Env_an*'2027'!Env_an</f>
        <v>40.553670377735315</v>
      </c>
      <c r="C171" s="843"/>
      <c r="D171" s="392">
        <f t="shared" si="50"/>
        <v>43.531516336106208</v>
      </c>
      <c r="E171" s="384">
        <f t="shared" si="75"/>
        <v>45.321147367033142</v>
      </c>
      <c r="F171" s="384">
        <f t="shared" si="51"/>
        <v>45.329038283169538</v>
      </c>
      <c r="G171" s="110">
        <f t="shared" si="76"/>
        <v>0.75412953568076679</v>
      </c>
      <c r="H171" s="413" t="b">
        <f>Wh_hp&gt;='2026'!Maxi_hp</f>
        <v>0</v>
      </c>
      <c r="I171" s="389">
        <f>IF(H171,Wh_hp,'2026'!Maxi_hp)</f>
        <v>58.308075737012821</v>
      </c>
      <c r="J171" s="85">
        <f>IF(H171,An,'2026'!An_max)</f>
        <v>2019</v>
      </c>
      <c r="K171" s="196">
        <f t="shared" si="52"/>
        <v>46544</v>
      </c>
      <c r="L171" s="147">
        <f>IF(t&lt;Tvie,1-EXP((T0-t)*PertePVj)+'2026'!Pspv,1-EXP((T0-t)*PertePVj)+Pspv)</f>
        <v>6.8406667375861291E-2</v>
      </c>
      <c r="M171" s="847"/>
      <c r="N171" s="847"/>
      <c r="O171" s="48">
        <f>IF(t&lt;Tnet,'2026'!Resal+('2026'!Salim-'2026'!Resal)*(1-EXP(('2026'!Tnet-t)/('2026'!Tau_j))),Resal+(Salim-Resal)*(1-EXP((Tnet-t)/(Tau_j))))*Salcycl</f>
        <v>3.9487769725545754E-2</v>
      </c>
      <c r="P171" s="168">
        <f>(INDEX(Models!$BJ171:$BT171,,T171)*(1-R171)+INDEX(Models!$BJ171:$BT171,,T171+1)*R171-ERP_i)*Q171*Ramure*Pc/MaxiM</f>
        <v>2.682880074330051E-4</v>
      </c>
      <c r="Q171" s="304">
        <f t="shared" si="53"/>
        <v>0.5</v>
      </c>
      <c r="R171" s="176">
        <f t="shared" si="54"/>
        <v>0.25730132675075185</v>
      </c>
      <c r="S171" s="814">
        <f t="shared" si="55"/>
        <v>0</v>
      </c>
      <c r="T171" s="175">
        <f t="shared" si="56"/>
        <v>6</v>
      </c>
      <c r="U171" s="250">
        <f t="shared" si="57"/>
        <v>0.25730132675075185</v>
      </c>
      <c r="V171" s="382">
        <f t="shared" si="58"/>
        <v>53.770403288482242</v>
      </c>
      <c r="W171" s="401">
        <f t="shared" si="59"/>
        <v>40.553670377735315</v>
      </c>
      <c r="X171" s="157">
        <f t="shared" si="60"/>
        <v>46544</v>
      </c>
      <c r="Y171" s="384">
        <f t="shared" si="61"/>
        <v>39.078810912032047</v>
      </c>
      <c r="Z171" s="384">
        <f t="shared" si="62"/>
        <v>41.948358305607165</v>
      </c>
      <c r="AA171" s="385">
        <f t="shared" si="63"/>
        <v>45.294137612228162</v>
      </c>
      <c r="AB171" s="196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7.3867822261345528E-2</v>
      </c>
      <c r="AD171" s="230">
        <f>(INDEX(Models!$BJ171:$BT171,,AH171)*(1-AF171)+INDEX(Models!$BJ171:$BT171,,AH171+1)*AF171-ERP_i)*AE171*Ramure*Pc/MaxiM</f>
        <v>1.1866089187977755E-3</v>
      </c>
      <c r="AE171" s="304">
        <f t="shared" si="65"/>
        <v>0.5</v>
      </c>
      <c r="AF171" s="176">
        <f t="shared" si="66"/>
        <v>0.37229386657513919</v>
      </c>
      <c r="AG171" s="814">
        <f t="shared" si="74"/>
        <v>2</v>
      </c>
      <c r="AH171" s="175">
        <f t="shared" si="67"/>
        <v>8</v>
      </c>
      <c r="AI171" s="224">
        <f t="shared" si="68"/>
        <v>2.3722938665751392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10">
        <f>'2026'!Wh/'2026'!Env_an*'2027'!Env_an</f>
        <v>27.231873659928265</v>
      </c>
      <c r="C172" s="843"/>
      <c r="D172" s="392">
        <f t="shared" si="50"/>
        <v>29.232142823389943</v>
      </c>
      <c r="E172" s="384">
        <f t="shared" si="75"/>
        <v>30.436831966117627</v>
      </c>
      <c r="F172" s="384">
        <f t="shared" si="51"/>
        <v>30.439302899364893</v>
      </c>
      <c r="G172" s="110">
        <f t="shared" si="76"/>
        <v>0.50683121172019019</v>
      </c>
      <c r="H172" s="413" t="b">
        <f>Wh_hp&gt;='2026'!Maxi_hp</f>
        <v>0</v>
      </c>
      <c r="I172" s="389">
        <f>IF(H172,Wh_hp,'2026'!Maxi_hp)</f>
        <v>53.888415995131361</v>
      </c>
      <c r="J172" s="85">
        <f>IF(H172,An,'2026'!An_max)</f>
        <v>2021</v>
      </c>
      <c r="K172" s="196">
        <f t="shared" si="52"/>
        <v>46545</v>
      </c>
      <c r="L172" s="147">
        <f>IF(t&lt;Tvie,1-EXP((T0-t)*PertePVj)+'2026'!Pspv,1-EXP((T0-t)*PertePVj)+Pspv)</f>
        <v>6.8427045377637302E-2</v>
      </c>
      <c r="M172" s="847"/>
      <c r="N172" s="847"/>
      <c r="O172" s="48">
        <f>IF(t&lt;Tnet,'2026'!Resal+('2026'!Salim-'2026'!Resal)*(1-EXP(('2026'!Tnet-t)/('2026'!Tau_j))),Resal+(Salim-Resal)*(1-EXP((Tnet-t)/(Tau_j))))*Salcycl</f>
        <v>3.9579978102476307E-2</v>
      </c>
      <c r="P172" s="168">
        <f>(INDEX(Models!$BJ172:$BT172,,T172)*(1-R172)+INDEX(Models!$BJ172:$BT172,,T172+1)*R172-ERP_i)*Q172*Ramure*Pc/MaxiM</f>
        <v>2.7460119282415402E-4</v>
      </c>
      <c r="Q172" s="304">
        <f t="shared" si="53"/>
        <v>0.5</v>
      </c>
      <c r="R172" s="176">
        <f t="shared" si="54"/>
        <v>0.26037281040144744</v>
      </c>
      <c r="S172" s="814">
        <f t="shared" si="55"/>
        <v>0</v>
      </c>
      <c r="T172" s="175">
        <f t="shared" si="56"/>
        <v>6</v>
      </c>
      <c r="U172" s="250">
        <f t="shared" si="57"/>
        <v>0.26037281040144744</v>
      </c>
      <c r="V172" s="382">
        <f t="shared" si="58"/>
        <v>53.719276290599659</v>
      </c>
      <c r="W172" s="401">
        <f t="shared" si="59"/>
        <v>27.231873659928265</v>
      </c>
      <c r="X172" s="157">
        <f t="shared" si="60"/>
        <v>46545</v>
      </c>
      <c r="Y172" s="384">
        <f t="shared" si="61"/>
        <v>26.250219027191481</v>
      </c>
      <c r="Z172" s="384">
        <f t="shared" si="62"/>
        <v>28.17838248409937</v>
      </c>
      <c r="AA172" s="385">
        <f t="shared" si="63"/>
        <v>30.428421145226661</v>
      </c>
      <c r="AB172" s="196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7.3945297732947182E-2</v>
      </c>
      <c r="AD172" s="230">
        <f>(INDEX(Models!$BJ172:$BT172,,AH172)*(1-AF172)+INDEX(Models!$BJ172:$BT172,,AH172+1)*AF172-ERP_i)*AE172*Ramure*Pc/MaxiM</f>
        <v>1.2093174389402432E-3</v>
      </c>
      <c r="AE172" s="304">
        <f t="shared" si="65"/>
        <v>0.5</v>
      </c>
      <c r="AF172" s="176">
        <f t="shared" si="66"/>
        <v>0.37536535022583495</v>
      </c>
      <c r="AG172" s="814">
        <f t="shared" si="74"/>
        <v>2</v>
      </c>
      <c r="AH172" s="175">
        <f t="shared" si="67"/>
        <v>8</v>
      </c>
      <c r="AI172" s="224">
        <f t="shared" si="68"/>
        <v>2.3753653502258349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10">
        <f>'2026'!Wh/'2026'!Env_an*'2027'!Env_an</f>
        <v>20.46289165227833</v>
      </c>
      <c r="C173" s="843"/>
      <c r="D173" s="392">
        <f t="shared" si="50"/>
        <v>21.966437704147317</v>
      </c>
      <c r="E173" s="384">
        <f t="shared" si="75"/>
        <v>22.87388522430032</v>
      </c>
      <c r="F173" s="384">
        <f t="shared" si="51"/>
        <v>22.87463109153278</v>
      </c>
      <c r="G173" s="110">
        <f t="shared" si="76"/>
        <v>0.38119524727772364</v>
      </c>
      <c r="H173" s="413" t="b">
        <f>Wh_hp&gt;='2026'!Maxi_hp</f>
        <v>0</v>
      </c>
      <c r="I173" s="389">
        <f>IF(H173,Wh_hp,'2026'!Maxi_hp)</f>
        <v>61.825772248847073</v>
      </c>
      <c r="J173" s="85">
        <f>IF(H173,An,'2026'!An_max)</f>
        <v>2019</v>
      </c>
      <c r="K173" s="196">
        <f t="shared" si="52"/>
        <v>46546</v>
      </c>
      <c r="L173" s="147">
        <f>IF(t&lt;Tvie,1-EXP((T0-t)*PertePVj)+'2026'!Pspv,1-EXP((T0-t)*PertePVj)+Pspv)</f>
        <v>6.8447422933082785E-2</v>
      </c>
      <c r="M173" s="847"/>
      <c r="N173" s="847"/>
      <c r="O173" s="48">
        <f>IF(t&lt;Tnet,'2026'!Resal+('2026'!Salim-'2026'!Resal)*(1-EXP(('2026'!Tnet-t)/('2026'!Tau_j))),Resal+(Salim-Resal)*(1-EXP((Tnet-t)/(Tau_j))))*Salcycl</f>
        <v>3.9671770285398061E-2</v>
      </c>
      <c r="P173" s="168">
        <f>(INDEX(Models!$BJ173:$BT173,,T173)*(1-R173)+INDEX(Models!$BJ173:$BT173,,T173+1)*R173-ERP_i)*Q173*Ramure*Pc/MaxiM</f>
        <v>2.8078183170234807E-4</v>
      </c>
      <c r="Q173" s="304">
        <f t="shared" si="53"/>
        <v>0.5</v>
      </c>
      <c r="R173" s="176">
        <f t="shared" si="54"/>
        <v>0.26345207397340731</v>
      </c>
      <c r="S173" s="814">
        <f t="shared" si="55"/>
        <v>0</v>
      </c>
      <c r="T173" s="175">
        <f t="shared" si="56"/>
        <v>6</v>
      </c>
      <c r="U173" s="250">
        <f t="shared" si="57"/>
        <v>0.26345207397340731</v>
      </c>
      <c r="V173" s="382">
        <f t="shared" si="58"/>
        <v>53.667545051634583</v>
      </c>
      <c r="W173" s="401">
        <f t="shared" si="59"/>
        <v>20.46289165227833</v>
      </c>
      <c r="X173" s="157">
        <f t="shared" si="60"/>
        <v>46546</v>
      </c>
      <c r="Y173" s="384">
        <f t="shared" si="61"/>
        <v>19.728771503863221</v>
      </c>
      <c r="Z173" s="384">
        <f t="shared" si="62"/>
        <v>21.17837681903168</v>
      </c>
      <c r="AA173" s="385">
        <f t="shared" si="63"/>
        <v>22.871360137939277</v>
      </c>
      <c r="AB173" s="196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7.4021978085127366E-2</v>
      </c>
      <c r="AD173" s="230">
        <f>(INDEX(Models!$BJ173:$BT173,,AH173)*(1-AF173)+INDEX(Models!$BJ173:$BT173,,AH173+1)*AF173-ERP_i)*AE173*Ramure*Pc/MaxiM</f>
        <v>1.2313509716321207E-3</v>
      </c>
      <c r="AE173" s="304">
        <f t="shared" si="65"/>
        <v>0.5</v>
      </c>
      <c r="AF173" s="176">
        <f t="shared" si="66"/>
        <v>0.37844461379779482</v>
      </c>
      <c r="AG173" s="814">
        <f t="shared" si="74"/>
        <v>2</v>
      </c>
      <c r="AH173" s="175">
        <f t="shared" si="67"/>
        <v>8</v>
      </c>
      <c r="AI173" s="224">
        <f t="shared" si="68"/>
        <v>2.3784446137977948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10">
        <f>'2026'!Wh/'2026'!Env_an*'2027'!Env_an</f>
        <v>41.361177612363932</v>
      </c>
      <c r="C174" s="843"/>
      <c r="D174" s="392">
        <f t="shared" si="50"/>
        <v>44.401232307630373</v>
      </c>
      <c r="E174" s="384">
        <f t="shared" si="75"/>
        <v>46.239873804726919</v>
      </c>
      <c r="F174" s="384">
        <f t="shared" si="51"/>
        <v>46.248807599647371</v>
      </c>
      <c r="G174" s="110">
        <f t="shared" si="76"/>
        <v>0.77136698514329227</v>
      </c>
      <c r="H174" s="413" t="b">
        <f>Wh_hp&gt;='2026'!Maxi_hp</f>
        <v>0</v>
      </c>
      <c r="I174" s="389">
        <f>IF(H174,Wh_hp,'2026'!Maxi_hp)</f>
        <v>57.898701564439953</v>
      </c>
      <c r="J174" s="85">
        <f>IF(H174,An,'2026'!An_max)</f>
        <v>2021</v>
      </c>
      <c r="K174" s="196">
        <f t="shared" si="52"/>
        <v>46547</v>
      </c>
      <c r="L174" s="147">
        <f>IF(t&lt;Tvie,1-EXP((T0-t)*PertePVj)+'2026'!Pspv,1-EXP((T0-t)*PertePVj)+Pspv)</f>
        <v>6.8467800042207511E-2</v>
      </c>
      <c r="M174" s="847"/>
      <c r="N174" s="847"/>
      <c r="O174" s="48">
        <f>IF(t&lt;Tnet,'2026'!Resal+('2026'!Salim-'2026'!Resal)*(1-EXP(('2026'!Tnet-t)/('2026'!Tau_j))),Resal+(Salim-Resal)*(1-EXP((Tnet-t)/(Tau_j))))*Salcycl</f>
        <v>3.9763116674176265E-2</v>
      </c>
      <c r="P174" s="168">
        <f>(INDEX(Models!$BJ174:$BT174,,T174)*(1-R174)+INDEX(Models!$BJ174:$BT174,,T174+1)*R174-ERP_i)*Q174*Ramure*Pc/MaxiM</f>
        <v>2.8681888697537318E-4</v>
      </c>
      <c r="Q174" s="304">
        <f t="shared" si="53"/>
        <v>0.5</v>
      </c>
      <c r="R174" s="176">
        <f t="shared" si="54"/>
        <v>0.26653653875999084</v>
      </c>
      <c r="S174" s="814">
        <f t="shared" si="55"/>
        <v>0</v>
      </c>
      <c r="T174" s="175">
        <f t="shared" si="56"/>
        <v>6</v>
      </c>
      <c r="U174" s="250">
        <f t="shared" si="57"/>
        <v>0.26653653875999084</v>
      </c>
      <c r="V174" s="382">
        <f t="shared" si="58"/>
        <v>53.615599519115811</v>
      </c>
      <c r="W174" s="401">
        <f t="shared" si="59"/>
        <v>41.361177612363932</v>
      </c>
      <c r="X174" s="157">
        <f t="shared" si="60"/>
        <v>46547</v>
      </c>
      <c r="Y174" s="384">
        <f t="shared" si="61"/>
        <v>39.856299391088356</v>
      </c>
      <c r="Z174" s="384">
        <f t="shared" si="62"/>
        <v>42.785745240899068</v>
      </c>
      <c r="AA174" s="385">
        <f t="shared" si="63"/>
        <v>46.20978950403132</v>
      </c>
      <c r="AB174" s="196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7.4097811305406158E-2</v>
      </c>
      <c r="AD174" s="230">
        <f>(INDEX(Models!$BJ174:$BT174,,AH174)*(1-AF174)+INDEX(Models!$BJ174:$BT174,,AH174+1)*AF174-ERP_i)*AE174*Ramure*Pc/MaxiM</f>
        <v>1.2526733438749751E-3</v>
      </c>
      <c r="AE174" s="304">
        <f t="shared" si="65"/>
        <v>0.5</v>
      </c>
      <c r="AF174" s="176">
        <f t="shared" si="66"/>
        <v>0.38152907858437857</v>
      </c>
      <c r="AG174" s="814">
        <f t="shared" si="74"/>
        <v>2</v>
      </c>
      <c r="AH174" s="175">
        <f t="shared" si="67"/>
        <v>8</v>
      </c>
      <c r="AI174" s="224">
        <f t="shared" si="68"/>
        <v>2.3815290785843786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10">
        <f>'2026'!Wh/'2026'!Env_an*'2027'!Env_an</f>
        <v>52.401392487852213</v>
      </c>
      <c r="C175" s="843"/>
      <c r="D175" s="392">
        <f t="shared" si="50"/>
        <v>56.254135672155009</v>
      </c>
      <c r="E175" s="384">
        <f t="shared" si="75"/>
        <v>58.58914687460468</v>
      </c>
      <c r="F175" s="384">
        <f t="shared" si="51"/>
        <v>58.605769027969835</v>
      </c>
      <c r="G175" s="110">
        <f t="shared" si="76"/>
        <v>0.97828921926931423</v>
      </c>
      <c r="H175" s="413" t="b">
        <f>Wh_hp&gt;='2026'!Maxi_hp</f>
        <v>0</v>
      </c>
      <c r="I175" s="389">
        <f>IF(H175,Wh_hp,'2026'!Maxi_hp)</f>
        <v>58.606207773537029</v>
      </c>
      <c r="J175" s="85">
        <f>IF(H175,An,'2026'!An_max)</f>
        <v>2025</v>
      </c>
      <c r="K175" s="196">
        <f t="shared" si="52"/>
        <v>46548</v>
      </c>
      <c r="L175" s="147">
        <f>IF(t&lt;Tvie,1-EXP((T0-t)*PertePVj)+'2026'!Pspv,1-EXP((T0-t)*PertePVj)+Pspv)</f>
        <v>6.8488176705021248E-2</v>
      </c>
      <c r="M175" s="847"/>
      <c r="N175" s="847"/>
      <c r="O175" s="48">
        <f>IF(t&lt;Tnet,'2026'!Resal+('2026'!Salim-'2026'!Resal)*(1-EXP(('2026'!Tnet-t)/('2026'!Tau_j))),Resal+(Salim-Resal)*(1-EXP((Tnet-t)/(Tau_j))))*Salcycl</f>
        <v>3.9853988784768854E-2</v>
      </c>
      <c r="P175" s="168">
        <f>(INDEX(Models!$BJ175:$BT175,,T175)*(1-R175)+INDEX(Models!$BJ175:$BT175,,T175+1)*R175-ERP_i)*Q175*Ramure*Pc/MaxiM</f>
        <v>2.9270110079471771E-4</v>
      </c>
      <c r="Q175" s="304">
        <f t="shared" si="53"/>
        <v>0.5</v>
      </c>
      <c r="R175" s="176">
        <f t="shared" si="54"/>
        <v>0.26962360854659778</v>
      </c>
      <c r="S175" s="814">
        <f t="shared" si="55"/>
        <v>0</v>
      </c>
      <c r="T175" s="175">
        <f t="shared" si="56"/>
        <v>6</v>
      </c>
      <c r="U175" s="250">
        <f t="shared" si="57"/>
        <v>0.26962360854659778</v>
      </c>
      <c r="V175" s="382">
        <f t="shared" si="58"/>
        <v>53.563829389977805</v>
      </c>
      <c r="W175" s="401">
        <f t="shared" si="59"/>
        <v>52.401392487852213</v>
      </c>
      <c r="X175" s="157">
        <f t="shared" si="60"/>
        <v>46548</v>
      </c>
      <c r="Y175" s="384">
        <f t="shared" si="61"/>
        <v>50.480372278457175</v>
      </c>
      <c r="Z175" s="384">
        <f t="shared" si="62"/>
        <v>54.191874988656721</v>
      </c>
      <c r="AA175" s="385">
        <f t="shared" si="63"/>
        <v>58.533462754175822</v>
      </c>
      <c r="AB175" s="196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7.4172747711040959E-2</v>
      </c>
      <c r="AD175" s="230">
        <f>(INDEX(Models!$BJ175:$BT175,,AH175)*(1-AF175)+INDEX(Models!$BJ175:$BT175,,AH175+1)*AF175-ERP_i)*AE175*Ramure*Pc/MaxiM</f>
        <v>1.273248144746227E-3</v>
      </c>
      <c r="AE175" s="304">
        <f t="shared" si="65"/>
        <v>0.5</v>
      </c>
      <c r="AF175" s="176">
        <f t="shared" si="66"/>
        <v>0.38461614837098512</v>
      </c>
      <c r="AG175" s="814">
        <f t="shared" si="74"/>
        <v>2</v>
      </c>
      <c r="AH175" s="175">
        <f t="shared" si="67"/>
        <v>8</v>
      </c>
      <c r="AI175" s="224">
        <f t="shared" si="68"/>
        <v>2.3846161483709851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10">
        <f>'2026'!Wh/'2026'!Env_an*'2027'!Env_an</f>
        <v>50.034255177407587</v>
      </c>
      <c r="C176" s="843"/>
      <c r="D176" s="392">
        <f t="shared" si="50"/>
        <v>53.714132678657698</v>
      </c>
      <c r="E176" s="384">
        <f t="shared" si="75"/>
        <v>55.948978793576984</v>
      </c>
      <c r="F176" s="384">
        <f t="shared" si="51"/>
        <v>55.964128646970984</v>
      </c>
      <c r="G176" s="110">
        <f t="shared" si="76"/>
        <v>0.93497317992787854</v>
      </c>
      <c r="H176" s="413" t="b">
        <f>Wh_hp&gt;='2026'!Maxi_hp</f>
        <v>0</v>
      </c>
      <c r="I176" s="389">
        <f>IF(H176,Wh_hp,'2026'!Maxi_hp)</f>
        <v>55.965402983534126</v>
      </c>
      <c r="J176" s="85">
        <f>IF(H176,An,'2026'!An_max)</f>
        <v>2025</v>
      </c>
      <c r="K176" s="196">
        <f t="shared" si="52"/>
        <v>46549</v>
      </c>
      <c r="L176" s="147">
        <f>IF(t&lt;Tvie,1-EXP((T0-t)*PertePVj)+'2026'!Pspv,1-EXP((T0-t)*PertePVj)+Pspv)</f>
        <v>6.8508552921533766E-2</v>
      </c>
      <c r="M176" s="847"/>
      <c r="N176" s="847"/>
      <c r="O176" s="48">
        <f>IF(t&lt;Tnet,'2026'!Resal+('2026'!Salim-'2026'!Resal)*(1-EXP(('2026'!Tnet-t)/('2026'!Tau_j))),Resal+(Salim-Resal)*(1-EXP((Tnet-t)/(Tau_j))))*Salcycl</f>
        <v>3.9944359362924599E-2</v>
      </c>
      <c r="P176" s="168">
        <f>(INDEX(Models!$BJ176:$BT176,,T176)*(1-R176)+INDEX(Models!$BJ176:$BT176,,T176+1)*R176-ERP_i)*Q176*Ramure*Pc/MaxiM</f>
        <v>2.984170389261546E-4</v>
      </c>
      <c r="Q176" s="304">
        <f t="shared" si="53"/>
        <v>0.5</v>
      </c>
      <c r="R176" s="176">
        <f t="shared" si="54"/>
        <v>0.27271067833320473</v>
      </c>
      <c r="S176" s="814">
        <f t="shared" si="55"/>
        <v>0</v>
      </c>
      <c r="T176" s="175">
        <f t="shared" si="56"/>
        <v>6</v>
      </c>
      <c r="U176" s="250">
        <f t="shared" si="57"/>
        <v>0.27271067833320473</v>
      </c>
      <c r="V176" s="382">
        <f t="shared" si="58"/>
        <v>53.512624105071851</v>
      </c>
      <c r="W176" s="401">
        <f t="shared" si="59"/>
        <v>50.034255177407587</v>
      </c>
      <c r="X176" s="157">
        <f t="shared" si="60"/>
        <v>46549</v>
      </c>
      <c r="Y176" s="384">
        <f t="shared" si="61"/>
        <v>48.20300960716478</v>
      </c>
      <c r="Z176" s="384">
        <f t="shared" si="62"/>
        <v>51.748204192694317</v>
      </c>
      <c r="AA176" s="385">
        <f t="shared" si="63"/>
        <v>55.898484441487383</v>
      </c>
      <c r="AB176" s="196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7.4246740144402995E-2</v>
      </c>
      <c r="AD176" s="230">
        <f>(INDEX(Models!$BJ176:$BT176,,AH176)*(1-AF176)+INDEX(Models!$BJ176:$BT176,,AH176+1)*AF176-ERP_i)*AE176*Ramure*Pc/MaxiM</f>
        <v>1.2930388772495413E-3</v>
      </c>
      <c r="AE176" s="304">
        <f t="shared" si="65"/>
        <v>0.5</v>
      </c>
      <c r="AF176" s="176">
        <f t="shared" si="66"/>
        <v>0.38770321815759212</v>
      </c>
      <c r="AG176" s="814">
        <f t="shared" si="74"/>
        <v>2</v>
      </c>
      <c r="AH176" s="175">
        <f t="shared" si="67"/>
        <v>8</v>
      </c>
      <c r="AI176" s="224">
        <f t="shared" si="68"/>
        <v>2.3877032181575921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10">
        <f>'2026'!Wh/'2026'!Env_an*'2027'!Env_an</f>
        <v>39.840515921471273</v>
      </c>
      <c r="C177" s="843"/>
      <c r="D177" s="392">
        <f t="shared" si="50"/>
        <v>42.77160842527887</v>
      </c>
      <c r="E177" s="384">
        <f t="shared" si="75"/>
        <v>44.555346176213092</v>
      </c>
      <c r="F177" s="384">
        <f t="shared" si="51"/>
        <v>44.563961625403273</v>
      </c>
      <c r="G177" s="110">
        <f t="shared" si="76"/>
        <v>0.74513769536538266</v>
      </c>
      <c r="H177" s="413" t="b">
        <f>Wh_hp&gt;='2026'!Maxi_hp</f>
        <v>0</v>
      </c>
      <c r="I177" s="389">
        <f>IF(H177,Wh_hp,'2026'!Maxi_hp)</f>
        <v>57.291729611874956</v>
      </c>
      <c r="J177" s="85">
        <f>IF(H177,An,'2026'!An_max)</f>
        <v>2019</v>
      </c>
      <c r="K177" s="196">
        <f t="shared" si="52"/>
        <v>46550</v>
      </c>
      <c r="L177" s="147">
        <f>IF(t&lt;Tvie,1-EXP((T0-t)*PertePVj)+'2026'!Pspv,1-EXP((T0-t)*PertePVj)+Pspv)</f>
        <v>6.8528928691754837E-2</v>
      </c>
      <c r="M177" s="847"/>
      <c r="N177" s="847"/>
      <c r="O177" s="48">
        <f>IF(t&lt;Tnet,'2026'!Resal+('2026'!Salim-'2026'!Resal)*(1-EXP(('2026'!Tnet-t)/('2026'!Tau_j))),Resal+(Salim-Resal)*(1-EXP((Tnet-t)/(Tau_j))))*Salcycl</f>
        <v>4.0034202492326462E-2</v>
      </c>
      <c r="P177" s="168">
        <f>(INDEX(Models!$BJ177:$BT177,,T177)*(1-R177)+INDEX(Models!$BJ177:$BT177,,T177+1)*R177-ERP_i)*Q177*Ramure*Pc/MaxiM</f>
        <v>3.0396064352926182E-4</v>
      </c>
      <c r="Q177" s="304">
        <f t="shared" si="53"/>
        <v>0.5</v>
      </c>
      <c r="R177" s="176">
        <f t="shared" si="54"/>
        <v>0.27579514311978826</v>
      </c>
      <c r="S177" s="814">
        <f t="shared" si="55"/>
        <v>0</v>
      </c>
      <c r="T177" s="175">
        <f t="shared" si="56"/>
        <v>6</v>
      </c>
      <c r="U177" s="250">
        <f t="shared" si="57"/>
        <v>0.27579514311978826</v>
      </c>
      <c r="V177" s="382">
        <f t="shared" si="58"/>
        <v>53.461404038861467</v>
      </c>
      <c r="W177" s="401">
        <f t="shared" si="59"/>
        <v>39.840515921471273</v>
      </c>
      <c r="X177" s="157">
        <f t="shared" si="60"/>
        <v>46550</v>
      </c>
      <c r="Y177" s="384">
        <f t="shared" si="61"/>
        <v>38.392960118047839</v>
      </c>
      <c r="Z177" s="384">
        <f t="shared" si="62"/>
        <v>41.217555005895321</v>
      </c>
      <c r="AA177" s="385">
        <f t="shared" si="63"/>
        <v>44.526773414156636</v>
      </c>
      <c r="AB177" s="196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7.4319744156651504E-2</v>
      </c>
      <c r="AD177" s="230">
        <f>(INDEX(Models!$BJ177:$BT177,,AH177)*(1-AF177)+INDEX(Models!$BJ177:$BT177,,AH177+1)*AF177-ERP_i)*AE177*Ramure*Pc/MaxiM</f>
        <v>1.3120328810145624E-3</v>
      </c>
      <c r="AE177" s="304">
        <f t="shared" si="65"/>
        <v>0.5</v>
      </c>
      <c r="AF177" s="176">
        <f t="shared" si="66"/>
        <v>0.39078768294417587</v>
      </c>
      <c r="AG177" s="814">
        <f t="shared" si="74"/>
        <v>2</v>
      </c>
      <c r="AH177" s="175">
        <f t="shared" si="67"/>
        <v>8</v>
      </c>
      <c r="AI177" s="224">
        <f t="shared" si="68"/>
        <v>2.3907876829441759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10">
        <f>'2026'!Wh/'2026'!Env_an*'2027'!Env_an</f>
        <v>47.872911396899767</v>
      </c>
      <c r="C178" s="843"/>
      <c r="D178" s="392">
        <f t="shared" si="50"/>
        <v>51.396076682631403</v>
      </c>
      <c r="E178" s="384">
        <f t="shared" si="75"/>
        <v>53.544467798834667</v>
      </c>
      <c r="F178" s="384">
        <f t="shared" si="51"/>
        <v>53.558576265270666</v>
      </c>
      <c r="G178" s="110">
        <f t="shared" si="76"/>
        <v>0.89629867787780027</v>
      </c>
      <c r="H178" s="413" t="b">
        <f>Wh_hp&gt;='2026'!Maxi_hp</f>
        <v>0</v>
      </c>
      <c r="I178" s="389">
        <f>IF(H178,Wh_hp,'2026'!Maxi_hp)</f>
        <v>61.075275136442549</v>
      </c>
      <c r="J178" s="85">
        <f>IF(H178,An,'2026'!An_max)</f>
        <v>2019</v>
      </c>
      <c r="K178" s="196">
        <f t="shared" si="52"/>
        <v>46551</v>
      </c>
      <c r="L178" s="147">
        <f>IF(t&lt;Tvie,1-EXP((T0-t)*PertePVj)+'2026'!Pspv,1-EXP((T0-t)*PertePVj)+Pspv)</f>
        <v>6.8549304015694229E-2</v>
      </c>
      <c r="M178" s="847"/>
      <c r="N178" s="847"/>
      <c r="O178" s="48">
        <f>IF(t&lt;Tnet,'2026'!Resal+('2026'!Salim-'2026'!Resal)*(1-EXP(('2026'!Tnet-t)/('2026'!Tau_j))),Resal+(Salim-Resal)*(1-EXP((Tnet-t)/(Tau_j))))*Salcycl</f>
        <v>4.0123493696393099E-2</v>
      </c>
      <c r="P178" s="168">
        <f>(INDEX(Models!$BJ178:$BT178,,T178)*(1-R178)+INDEX(Models!$BJ178:$BT178,,T178+1)*R178-ERP_i)*Q178*Ramure*Pc/MaxiM</f>
        <v>3.0921110288636543E-4</v>
      </c>
      <c r="Q178" s="304">
        <f t="shared" si="53"/>
        <v>0.5</v>
      </c>
      <c r="R178" s="176">
        <f t="shared" si="54"/>
        <v>0.27887440669174812</v>
      </c>
      <c r="S178" s="814">
        <f t="shared" si="55"/>
        <v>0</v>
      </c>
      <c r="T178" s="175">
        <f t="shared" si="56"/>
        <v>6</v>
      </c>
      <c r="U178" s="250">
        <f t="shared" si="57"/>
        <v>0.27887440669174812</v>
      </c>
      <c r="V178" s="382">
        <f t="shared" si="58"/>
        <v>53.409337653468313</v>
      </c>
      <c r="W178" s="401">
        <f t="shared" si="59"/>
        <v>47.872911396899767</v>
      </c>
      <c r="X178" s="157">
        <f t="shared" si="60"/>
        <v>46551</v>
      </c>
      <c r="Y178" s="384">
        <f t="shared" si="61"/>
        <v>46.123670717848576</v>
      </c>
      <c r="Z178" s="384">
        <f t="shared" si="62"/>
        <v>49.518102156880801</v>
      </c>
      <c r="AA178" s="385">
        <f t="shared" si="63"/>
        <v>53.497903086418752</v>
      </c>
      <c r="AB178" s="196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7.4391718178357671E-2</v>
      </c>
      <c r="AD178" s="230">
        <f>(INDEX(Models!$BJ178:$BT178,,AH178)*(1-AF178)+INDEX(Models!$BJ178:$BT178,,AH178+1)*AF178-ERP_i)*AE178*Ramure*Pc/MaxiM</f>
        <v>1.3297561881395481E-3</v>
      </c>
      <c r="AE178" s="304">
        <f t="shared" si="65"/>
        <v>0.5</v>
      </c>
      <c r="AF178" s="176">
        <f t="shared" si="66"/>
        <v>0.39386694651613574</v>
      </c>
      <c r="AG178" s="814">
        <f t="shared" si="74"/>
        <v>2</v>
      </c>
      <c r="AH178" s="175">
        <f t="shared" si="67"/>
        <v>8</v>
      </c>
      <c r="AI178" s="224">
        <f t="shared" si="68"/>
        <v>2.3938669465161357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10">
        <f>'2026'!Wh/'2026'!Env_an*'2027'!Env_an</f>
        <v>43.775739870847787</v>
      </c>
      <c r="C179" s="843"/>
      <c r="D179" s="392">
        <f t="shared" si="50"/>
        <v>46.998405440395757</v>
      </c>
      <c r="E179" s="384">
        <f t="shared" si="75"/>
        <v>48.967496702589976</v>
      </c>
      <c r="F179" s="384">
        <f t="shared" si="51"/>
        <v>48.97894029942816</v>
      </c>
      <c r="G179" s="110">
        <f t="shared" si="76"/>
        <v>0.82037379433440816</v>
      </c>
      <c r="H179" s="413" t="b">
        <f>Wh_hp&gt;='2026'!Maxi_hp</f>
        <v>0</v>
      </c>
      <c r="I179" s="389">
        <f>IF(H179,Wh_hp,'2026'!Maxi_hp)</f>
        <v>52.838885669161783</v>
      </c>
      <c r="J179" s="85">
        <f>IF(H179,An,'2026'!An_max)</f>
        <v>2021</v>
      </c>
      <c r="K179" s="196">
        <f t="shared" si="52"/>
        <v>46552</v>
      </c>
      <c r="L179" s="147">
        <f>IF(t&lt;Tvie,1-EXP((T0-t)*PertePVj)+'2026'!Pspv,1-EXP((T0-t)*PertePVj)+Pspv)</f>
        <v>6.8569678893361824E-2</v>
      </c>
      <c r="M179" s="847"/>
      <c r="N179" s="847"/>
      <c r="O179" s="48">
        <f>IF(t&lt;Tnet,'2026'!Resal+('2026'!Salim-'2026'!Resal)*(1-EXP(('2026'!Tnet-t)/('2026'!Tau_j))),Resal+(Salim-Resal)*(1-EXP((Tnet-t)/(Tau_j))))*Salcycl</f>
        <v>4.0212210032988437E-2</v>
      </c>
      <c r="P179" s="168">
        <f>(INDEX(Models!$BJ179:$BT179,,T179)*(1-R179)+INDEX(Models!$BJ179:$BT179,,T179+1)*R179-ERP_i)*Q179*Ramure*Pc/MaxiM</f>
        <v>3.1425383145302987E-4</v>
      </c>
      <c r="Q179" s="304">
        <f t="shared" si="53"/>
        <v>0.5</v>
      </c>
      <c r="R179" s="176">
        <f t="shared" si="54"/>
        <v>0.28194589034244372</v>
      </c>
      <c r="S179" s="814">
        <f t="shared" si="55"/>
        <v>0</v>
      </c>
      <c r="T179" s="175">
        <f t="shared" si="56"/>
        <v>6</v>
      </c>
      <c r="U179" s="250">
        <f t="shared" si="57"/>
        <v>0.28194589034244372</v>
      </c>
      <c r="V179" s="382">
        <f t="shared" si="58"/>
        <v>53.356421863888535</v>
      </c>
      <c r="W179" s="401">
        <f t="shared" si="59"/>
        <v>43.775739870847787</v>
      </c>
      <c r="X179" s="157">
        <f t="shared" si="60"/>
        <v>46552</v>
      </c>
      <c r="Y179" s="384">
        <f t="shared" si="61"/>
        <v>42.181178635824807</v>
      </c>
      <c r="Z179" s="384">
        <f t="shared" si="62"/>
        <v>45.286456410082387</v>
      </c>
      <c r="AA179" s="385">
        <f t="shared" si="63"/>
        <v>48.929905553830359</v>
      </c>
      <c r="AB179" s="196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7.4462623675813577E-2</v>
      </c>
      <c r="AD179" s="230">
        <f>(INDEX(Models!$BJ179:$BT179,,AH179)*(1-AF179)+INDEX(Models!$BJ179:$BT179,,AH179+1)*AF179-ERP_i)*AE179*Ramure*Pc/MaxiM</f>
        <v>1.3465483707899074E-3</v>
      </c>
      <c r="AE179" s="304">
        <f t="shared" si="65"/>
        <v>0.5</v>
      </c>
      <c r="AF179" s="176">
        <f t="shared" si="66"/>
        <v>0.39693843016683106</v>
      </c>
      <c r="AG179" s="814">
        <f t="shared" si="74"/>
        <v>2</v>
      </c>
      <c r="AH179" s="175">
        <f t="shared" si="67"/>
        <v>8</v>
      </c>
      <c r="AI179" s="224">
        <f t="shared" si="68"/>
        <v>2.3969384301668311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10">
        <f>'2026'!Wh/'2026'!Env_an*'2027'!Env_an</f>
        <v>49.196729576609087</v>
      </c>
      <c r="C180" s="843"/>
      <c r="D180" s="392">
        <f t="shared" si="50"/>
        <v>52.819630874913955</v>
      </c>
      <c r="E180" s="384">
        <f t="shared" si="75"/>
        <v>55.037667028575953</v>
      </c>
      <c r="F180" s="384">
        <f t="shared" si="51"/>
        <v>55.053300348330296</v>
      </c>
      <c r="G180" s="110">
        <f t="shared" si="76"/>
        <v>0.92293711042760729</v>
      </c>
      <c r="H180" s="413" t="b">
        <f>Wh_hp&gt;='2026'!Maxi_hp</f>
        <v>0</v>
      </c>
      <c r="I180" s="389">
        <f>IF(H180,Wh_hp,'2026'!Maxi_hp)</f>
        <v>55.054864369458969</v>
      </c>
      <c r="J180" s="85">
        <f>IF(H180,An,'2026'!An_max)</f>
        <v>2025</v>
      </c>
      <c r="K180" s="196">
        <f t="shared" si="52"/>
        <v>46553</v>
      </c>
      <c r="L180" s="147">
        <f>IF(t&lt;Tvie,1-EXP((T0-t)*PertePVj)+'2026'!Pspv,1-EXP((T0-t)*PertePVj)+Pspv)</f>
        <v>6.859005332476717E-2</v>
      </c>
      <c r="M180" s="847"/>
      <c r="N180" s="847"/>
      <c r="O180" s="48">
        <f>IF(t&lt;Tnet,'2026'!Resal+('2026'!Salim-'2026'!Resal)*(1-EXP(('2026'!Tnet-t)/('2026'!Tau_j))),Resal+(Salim-Resal)*(1-EXP((Tnet-t)/(Tau_j))))*Salcycl</f>
        <v>4.0300330181335282E-2</v>
      </c>
      <c r="P180" s="168">
        <f>(INDEX(Models!$BJ180:$BT180,,T180)*(1-R180)+INDEX(Models!$BJ180:$BT180,,T180+1)*R180-ERP_i)*Q180*Ramure*Pc/MaxiM</f>
        <v>3.1907963587784083E-4</v>
      </c>
      <c r="Q180" s="304">
        <f t="shared" si="53"/>
        <v>0.5</v>
      </c>
      <c r="R180" s="176">
        <f t="shared" si="54"/>
        <v>0.28500704147072775</v>
      </c>
      <c r="S180" s="814">
        <f t="shared" si="55"/>
        <v>0</v>
      </c>
      <c r="T180" s="175">
        <f t="shared" si="56"/>
        <v>6</v>
      </c>
      <c r="U180" s="250">
        <f t="shared" si="57"/>
        <v>0.28500704147072775</v>
      </c>
      <c r="V180" s="382">
        <f t="shared" si="58"/>
        <v>53.302658547981295</v>
      </c>
      <c r="W180" s="401">
        <f t="shared" si="59"/>
        <v>49.196729576609087</v>
      </c>
      <c r="X180" s="157">
        <f t="shared" si="60"/>
        <v>46553</v>
      </c>
      <c r="Y180" s="384">
        <f t="shared" si="61"/>
        <v>47.397840201264927</v>
      </c>
      <c r="Z180" s="384">
        <f t="shared" si="62"/>
        <v>50.888269306610454</v>
      </c>
      <c r="AA180" s="385">
        <f t="shared" si="63"/>
        <v>54.98655025559232</v>
      </c>
      <c r="AB180" s="196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7.4532425291856844E-2</v>
      </c>
      <c r="AD180" s="230">
        <f>(INDEX(Models!$BJ180:$BT180,,AH180)*(1-AF180)+INDEX(Models!$BJ180:$BT180,,AH180+1)*AF180-ERP_i)*AE180*Ramure*Pc/MaxiM</f>
        <v>1.3623846771082782E-3</v>
      </c>
      <c r="AE180" s="304">
        <f t="shared" si="65"/>
        <v>0.5</v>
      </c>
      <c r="AF180" s="176">
        <f t="shared" si="66"/>
        <v>0.39999958129511537</v>
      </c>
      <c r="AG180" s="814">
        <f t="shared" si="74"/>
        <v>2</v>
      </c>
      <c r="AH180" s="175">
        <f t="shared" si="67"/>
        <v>8</v>
      </c>
      <c r="AI180" s="224">
        <f t="shared" si="68"/>
        <v>2.3999995812951154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10">
        <f>'2026'!Wh/'2026'!Env_an*'2027'!Env_an</f>
        <v>46.69845259935331</v>
      </c>
      <c r="C181" s="843"/>
      <c r="D181" s="392">
        <f t="shared" si="50"/>
        <v>50.138474778579294</v>
      </c>
      <c r="E181" s="384">
        <f t="shared" si="75"/>
        <v>52.248686065297051</v>
      </c>
      <c r="F181" s="384">
        <f t="shared" si="51"/>
        <v>52.262629924315583</v>
      </c>
      <c r="G181" s="110">
        <f t="shared" si="76"/>
        <v>0.87694847679887022</v>
      </c>
      <c r="H181" s="413" t="b">
        <f>Wh_hp&gt;='2026'!Maxi_hp</f>
        <v>0</v>
      </c>
      <c r="I181" s="389">
        <f>IF(H181,Wh_hp,'2026'!Maxi_hp)</f>
        <v>60.496565061953568</v>
      </c>
      <c r="J181" s="85">
        <f>IF(H181,An,'2026'!An_max)</f>
        <v>2019</v>
      </c>
      <c r="K181" s="196">
        <f t="shared" si="52"/>
        <v>46554</v>
      </c>
      <c r="L181" s="147">
        <f>IF(t&lt;Tvie,1-EXP((T0-t)*PertePVj)+'2026'!Pspv,1-EXP((T0-t)*PertePVj)+Pspv)</f>
        <v>6.8610427309920258E-2</v>
      </c>
      <c r="M181" s="847"/>
      <c r="N181" s="847"/>
      <c r="O181" s="48">
        <f>IF(t&lt;Tnet,'2026'!Resal+('2026'!Salim-'2026'!Resal)*(1-EXP(('2026'!Tnet-t)/('2026'!Tau_j))),Resal+(Salim-Resal)*(1-EXP((Tnet-t)/(Tau_j))))*Salcycl</f>
        <v>4.038783452048058E-2</v>
      </c>
      <c r="P181" s="168">
        <f>(INDEX(Models!$BJ181:$BT181,,T181)*(1-R181)+INDEX(Models!$BJ181:$BT181,,T181+1)*R181-ERP_i)*Q181*Ramure*Pc/MaxiM</f>
        <v>3.2367948656095901E-4</v>
      </c>
      <c r="Q181" s="304">
        <f t="shared" si="53"/>
        <v>0.5</v>
      </c>
      <c r="R181" s="176">
        <f t="shared" si="54"/>
        <v>0.28805534199289085</v>
      </c>
      <c r="S181" s="814">
        <f t="shared" si="55"/>
        <v>0</v>
      </c>
      <c r="T181" s="175">
        <f t="shared" si="56"/>
        <v>6</v>
      </c>
      <c r="U181" s="250">
        <f t="shared" si="57"/>
        <v>0.28805534199289085</v>
      </c>
      <c r="V181" s="382">
        <f t="shared" si="58"/>
        <v>53.248049470559131</v>
      </c>
      <c r="W181" s="401">
        <f t="shared" si="59"/>
        <v>46.69845259935331</v>
      </c>
      <c r="X181" s="157">
        <f t="shared" si="60"/>
        <v>46554</v>
      </c>
      <c r="Y181" s="384">
        <f t="shared" si="61"/>
        <v>44.994383705271119</v>
      </c>
      <c r="Z181" s="384">
        <f t="shared" si="62"/>
        <v>48.308876354838709</v>
      </c>
      <c r="AA181" s="385">
        <f t="shared" si="63"/>
        <v>52.203299445731631</v>
      </c>
      <c r="AB181" s="196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7.460109097014829E-2</v>
      </c>
      <c r="AD181" s="230">
        <f>(INDEX(Models!$BJ181:$BT181,,AH181)*(1-AF181)+INDEX(Models!$BJ181:$BT181,,AH181+1)*AF181-ERP_i)*AE181*Ramure*Pc/MaxiM</f>
        <v>1.3772413232193085E-3</v>
      </c>
      <c r="AE181" s="304">
        <f t="shared" si="65"/>
        <v>0.5</v>
      </c>
      <c r="AF181" s="176">
        <f t="shared" si="66"/>
        <v>0.40304788181727824</v>
      </c>
      <c r="AG181" s="814">
        <f t="shared" si="74"/>
        <v>2</v>
      </c>
      <c r="AH181" s="175">
        <f t="shared" si="67"/>
        <v>8</v>
      </c>
      <c r="AI181" s="224">
        <f t="shared" si="68"/>
        <v>2.4030478818172782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10">
        <f>'2026'!Wh/'2026'!Env_an*'2027'!Env_an</f>
        <v>47.217630387583689</v>
      </c>
      <c r="C182" s="843"/>
      <c r="D182" s="392">
        <f t="shared" si="50"/>
        <v>50.69700654758271</v>
      </c>
      <c r="E182" s="384">
        <f t="shared" si="75"/>
        <v>52.835508164568083</v>
      </c>
      <c r="F182" s="384">
        <f t="shared" si="51"/>
        <v>52.850063292245956</v>
      </c>
      <c r="G182" s="110">
        <f t="shared" si="76"/>
        <v>0.88762623849553146</v>
      </c>
      <c r="H182" s="413" t="b">
        <f>Wh_hp&gt;='2026'!Maxi_hp</f>
        <v>0</v>
      </c>
      <c r="I182" s="389">
        <f>IF(H182,Wh_hp,'2026'!Maxi_hp)</f>
        <v>59.643028752560177</v>
      </c>
      <c r="J182" s="85">
        <f>IF(H182,An,'2026'!An_max)</f>
        <v>2019</v>
      </c>
      <c r="K182" s="196">
        <f t="shared" si="52"/>
        <v>46555</v>
      </c>
      <c r="L182" s="147">
        <f>IF(t&lt;Tvie,1-EXP((T0-t)*PertePVj)+'2026'!Pspv,1-EXP((T0-t)*PertePVj)+Pspv)</f>
        <v>6.8630800848830747E-2</v>
      </c>
      <c r="M182" s="847"/>
      <c r="N182" s="847"/>
      <c r="O182" s="48">
        <f>IF(t&lt;Tnet,'2026'!Resal+('2026'!Salim-'2026'!Resal)*(1-EXP(('2026'!Tnet-t)/('2026'!Tau_j))),Resal+(Salim-Resal)*(1-EXP((Tnet-t)/(Tau_j))))*Salcycl</f>
        <v>4.0474705198718479E-2</v>
      </c>
      <c r="P182" s="168">
        <f>(INDEX(Models!$BJ182:$BT182,,T182)*(1-R182)+INDEX(Models!$BJ182:$BT182,,T182+1)*R182-ERP_i)*Q182*Ramure*Pc/MaxiM</f>
        <v>3.2804454880240998E-4</v>
      </c>
      <c r="Q182" s="304">
        <f t="shared" si="53"/>
        <v>0.5</v>
      </c>
      <c r="R182" s="176">
        <f t="shared" si="54"/>
        <v>0.29108831651068678</v>
      </c>
      <c r="S182" s="814">
        <f t="shared" si="55"/>
        <v>0</v>
      </c>
      <c r="T182" s="175">
        <f t="shared" si="56"/>
        <v>6</v>
      </c>
      <c r="U182" s="250">
        <f t="shared" si="57"/>
        <v>0.29108831651068678</v>
      </c>
      <c r="V182" s="382">
        <f t="shared" si="58"/>
        <v>53.192596276578179</v>
      </c>
      <c r="W182" s="401">
        <f t="shared" si="59"/>
        <v>47.217630387583689</v>
      </c>
      <c r="X182" s="157">
        <f t="shared" si="60"/>
        <v>46555</v>
      </c>
      <c r="Y182" s="384">
        <f t="shared" si="61"/>
        <v>45.494321312087052</v>
      </c>
      <c r="Z182" s="384">
        <f t="shared" si="62"/>
        <v>48.846710148402636</v>
      </c>
      <c r="AA182" s="385">
        <f t="shared" si="63"/>
        <v>52.788341268184077</v>
      </c>
      <c r="AB182" s="196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7.4668592061957667E-2</v>
      </c>
      <c r="AD182" s="230">
        <f>(INDEX(Models!$BJ182:$BT182,,AH182)*(1-AF182)+INDEX(Models!$BJ182:$BT182,,AH182+1)*AF182-ERP_i)*AE182*Ramure*Pc/MaxiM</f>
        <v>1.3910955632035671E-3</v>
      </c>
      <c r="AE182" s="304">
        <f t="shared" si="65"/>
        <v>0.5</v>
      </c>
      <c r="AF182" s="176">
        <f t="shared" si="66"/>
        <v>0.40608085633507418</v>
      </c>
      <c r="AG182" s="814">
        <f t="shared" si="74"/>
        <v>2</v>
      </c>
      <c r="AH182" s="175">
        <f t="shared" si="67"/>
        <v>8</v>
      </c>
      <c r="AI182" s="224">
        <f t="shared" si="68"/>
        <v>2.4060808563350742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10">
        <f>'2026'!Wh/'2026'!Env_an*'2027'!Env_an</f>
        <v>49.666594718069632</v>
      </c>
      <c r="C183" s="843"/>
      <c r="D183" s="392">
        <f t="shared" si="50"/>
        <v>53.327596844955302</v>
      </c>
      <c r="E183" s="384">
        <f t="shared" si="75"/>
        <v>55.582056537867459</v>
      </c>
      <c r="F183" s="384">
        <f t="shared" si="51"/>
        <v>55.598801823651129</v>
      </c>
      <c r="G183" s="110">
        <f t="shared" si="76"/>
        <v>0.93467281037335859</v>
      </c>
      <c r="H183" s="413" t="b">
        <f>Wh_hp&gt;='2026'!Maxi_hp</f>
        <v>0</v>
      </c>
      <c r="I183" s="389">
        <f>IF(H183,Wh_hp,'2026'!Maxi_hp)</f>
        <v>57.817123290426146</v>
      </c>
      <c r="J183" s="85">
        <f>IF(H183,An,'2026'!An_max)</f>
        <v>2019</v>
      </c>
      <c r="K183" s="196">
        <f t="shared" si="52"/>
        <v>46556</v>
      </c>
      <c r="L183" s="147">
        <f>IF(t&lt;Tvie,1-EXP((T0-t)*PertePVj)+'2026'!Pspv,1-EXP((T0-t)*PertePVj)+Pspv)</f>
        <v>6.865117394150852E-2</v>
      </c>
      <c r="M183" s="847"/>
      <c r="N183" s="847"/>
      <c r="O183" s="48">
        <f>IF(t&lt;Tnet,'2026'!Resal+('2026'!Salim-'2026'!Resal)*(1-EXP(('2026'!Tnet-t)/('2026'!Tau_j))),Resal+(Salim-Resal)*(1-EXP((Tnet-t)/(Tau_j))))*Salcycl</f>
        <v>4.0560926193441815E-2</v>
      </c>
      <c r="P183" s="168">
        <f>(INDEX(Models!$BJ183:$BT183,,T183)*(1-R183)+INDEX(Models!$BJ183:$BT183,,T183+1)*R183-ERP_i)*Q183*Ramure*Pc/MaxiM</f>
        <v>3.3216621226287552E-4</v>
      </c>
      <c r="Q183" s="304">
        <f t="shared" si="53"/>
        <v>0.5</v>
      </c>
      <c r="R183" s="176">
        <f t="shared" si="54"/>
        <v>0.29410354018004992</v>
      </c>
      <c r="S183" s="814">
        <f t="shared" si="55"/>
        <v>0</v>
      </c>
      <c r="T183" s="175">
        <f t="shared" si="56"/>
        <v>6</v>
      </c>
      <c r="U183" s="250">
        <f t="shared" si="57"/>
        <v>0.29410354018004992</v>
      </c>
      <c r="V183" s="382">
        <f t="shared" si="58"/>
        <v>53.136300487301853</v>
      </c>
      <c r="W183" s="401">
        <f t="shared" si="59"/>
        <v>49.666594718069632</v>
      </c>
      <c r="X183" s="157">
        <f t="shared" si="60"/>
        <v>46556</v>
      </c>
      <c r="Y183" s="384">
        <f t="shared" si="61"/>
        <v>47.850974933357691</v>
      </c>
      <c r="Z183" s="384">
        <f t="shared" si="62"/>
        <v>51.37814489536116</v>
      </c>
      <c r="AA183" s="385">
        <f t="shared" si="63"/>
        <v>55.528026600127156</v>
      </c>
      <c r="AB183" s="196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7.4734903414638759E-2</v>
      </c>
      <c r="AD183" s="230">
        <f>(INDEX(Models!$BJ183:$BT183,,AH183)*(1-AF183)+INDEX(Models!$BJ183:$BT183,,AH183+1)*AF183-ERP_i)*AE183*Ramure*Pc/MaxiM</f>
        <v>1.4039257510280077E-3</v>
      </c>
      <c r="AE183" s="304">
        <f t="shared" si="65"/>
        <v>0.5</v>
      </c>
      <c r="AF183" s="176">
        <f t="shared" si="66"/>
        <v>0.40909608000443765</v>
      </c>
      <c r="AG183" s="814">
        <f t="shared" si="74"/>
        <v>2</v>
      </c>
      <c r="AH183" s="175">
        <f t="shared" si="67"/>
        <v>8</v>
      </c>
      <c r="AI183" s="224">
        <f t="shared" si="68"/>
        <v>2.4090960800044376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10">
        <f>'2026'!Wh/'2026'!Env_an*'2027'!Env_an</f>
        <v>50.902802270332089</v>
      </c>
      <c r="C184" s="843"/>
      <c r="D184" s="392">
        <f t="shared" si="50"/>
        <v>54.656122750081771</v>
      </c>
      <c r="E184" s="384">
        <f t="shared" si="75"/>
        <v>56.971827175410709</v>
      </c>
      <c r="F184" s="384">
        <f t="shared" si="51"/>
        <v>56.989849479297739</v>
      </c>
      <c r="G184" s="110">
        <f t="shared" si="76"/>
        <v>0.95897883033056219</v>
      </c>
      <c r="H184" s="413" t="b">
        <f>Wh_hp&gt;='2026'!Maxi_hp</f>
        <v>0</v>
      </c>
      <c r="I184" s="389">
        <f>IF(H184,Wh_hp,'2026'!Maxi_hp)</f>
        <v>56.990743351659056</v>
      </c>
      <c r="J184" s="85">
        <f>IF(H184,An,'2026'!An_max)</f>
        <v>2025</v>
      </c>
      <c r="K184" s="196">
        <f t="shared" si="52"/>
        <v>46557</v>
      </c>
      <c r="L184" s="147">
        <f>IF(t&lt;Tvie,1-EXP((T0-t)*PertePVj)+'2026'!Pspv,1-EXP((T0-t)*PertePVj)+Pspv)</f>
        <v>6.8671546587963234E-2</v>
      </c>
      <c r="M184" s="847"/>
      <c r="N184" s="847"/>
      <c r="O184" s="48">
        <f>IF(t&lt;Tnet,'2026'!Resal+('2026'!Salim-'2026'!Resal)*(1-EXP(('2026'!Tnet-t)/('2026'!Tau_j))),Resal+(Salim-Resal)*(1-EXP((Tnet-t)/(Tau_j))))*Salcycl</f>
        <v>4.0646483360962105E-2</v>
      </c>
      <c r="P184" s="168">
        <f>(INDEX(Models!$BJ184:$BT184,,T184)*(1-R184)+INDEX(Models!$BJ184:$BT184,,T184+1)*R184-ERP_i)*Q184*Ramure*Pc/MaxiM</f>
        <v>3.3591309620199626E-4</v>
      </c>
      <c r="Q184" s="304">
        <f t="shared" si="53"/>
        <v>0.5</v>
      </c>
      <c r="R184" s="176">
        <f t="shared" si="54"/>
        <v>0.29709864622869742</v>
      </c>
      <c r="S184" s="814">
        <f t="shared" si="55"/>
        <v>0</v>
      </c>
      <c r="T184" s="175">
        <f t="shared" si="56"/>
        <v>6</v>
      </c>
      <c r="U184" s="250">
        <f t="shared" si="57"/>
        <v>0.29709864622869742</v>
      </c>
      <c r="V184" s="382">
        <f t="shared" si="58"/>
        <v>53.079170029080039</v>
      </c>
      <c r="W184" s="401">
        <f t="shared" si="59"/>
        <v>50.902802270332089</v>
      </c>
      <c r="X184" s="157">
        <f t="shared" si="60"/>
        <v>46557</v>
      </c>
      <c r="Y184" s="384">
        <f t="shared" si="61"/>
        <v>49.040737764960028</v>
      </c>
      <c r="Z184" s="384">
        <f t="shared" si="62"/>
        <v>52.656758832282243</v>
      </c>
      <c r="AA184" s="385">
        <f t="shared" si="63"/>
        <v>56.913920263866586</v>
      </c>
      <c r="AB184" s="196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7.4800003441111027E-2</v>
      </c>
      <c r="AD184" s="230">
        <f>(INDEX(Models!$BJ184:$BT184,,AH184)*(1-AF184)+INDEX(Models!$BJ184:$BT184,,AH184+1)*AF184-ERP_i)*AE184*Ramure*Pc/MaxiM</f>
        <v>1.4152251569804271E-3</v>
      </c>
      <c r="AE184" s="304">
        <f t="shared" si="65"/>
        <v>0.5</v>
      </c>
      <c r="AF184" s="176">
        <f t="shared" si="66"/>
        <v>0.41209118605308515</v>
      </c>
      <c r="AG184" s="814">
        <f t="shared" si="74"/>
        <v>2</v>
      </c>
      <c r="AH184" s="175">
        <f t="shared" si="67"/>
        <v>8</v>
      </c>
      <c r="AI184" s="224">
        <f t="shared" si="68"/>
        <v>2.4120911860530851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10">
        <f>'2026'!Wh/'2026'!Env_an*'2027'!Env_an</f>
        <v>29.242083335666784</v>
      </c>
      <c r="C185" s="843"/>
      <c r="D185" s="392">
        <f t="shared" si="50"/>
        <v>31.398936534103409</v>
      </c>
      <c r="E185" s="384">
        <f t="shared" si="75"/>
        <v>32.732162161174912</v>
      </c>
      <c r="F185" s="384">
        <f t="shared" si="51"/>
        <v>32.736154228675936</v>
      </c>
      <c r="G185" s="110">
        <f t="shared" si="76"/>
        <v>0.55139687483745725</v>
      </c>
      <c r="H185" s="413" t="b">
        <f>Wh_hp&gt;='2026'!Maxi_hp</f>
        <v>0</v>
      </c>
      <c r="I185" s="389">
        <f>IF(H185,Wh_hp,'2026'!Maxi_hp)</f>
        <v>58.21085404536079</v>
      </c>
      <c r="J185" s="85">
        <f>IF(H185,An,'2026'!An_max)</f>
        <v>2020</v>
      </c>
      <c r="K185" s="196">
        <f t="shared" si="52"/>
        <v>46558</v>
      </c>
      <c r="L185" s="147">
        <f>IF(t&lt;Tvie,1-EXP((T0-t)*PertePVj)+'2026'!Pspv,1-EXP((T0-t)*PertePVj)+Pspv)</f>
        <v>6.8691918788204659E-2</v>
      </c>
      <c r="M185" s="847"/>
      <c r="N185" s="847"/>
      <c r="O185" s="48">
        <f>IF(t&lt;Tnet,'2026'!Resal+('2026'!Salim-'2026'!Resal)*(1-EXP(('2026'!Tnet-t)/('2026'!Tau_j))),Resal+(Salim-Resal)*(1-EXP((Tnet-t)/(Tau_j))))*Salcycl</f>
        <v>4.0731364475912961E-2</v>
      </c>
      <c r="P185" s="168">
        <f>(INDEX(Models!$BJ185:$BT185,,T185)*(1-R185)+INDEX(Models!$BJ185:$BT185,,T185+1)*R185-ERP_i)*Q185*Ramure*Pc/MaxiM</f>
        <v>3.3939171375471346E-4</v>
      </c>
      <c r="Q185" s="304">
        <f t="shared" si="53"/>
        <v>0.5</v>
      </c>
      <c r="R185" s="176">
        <f t="shared" si="54"/>
        <v>0.30007133307494682</v>
      </c>
      <c r="S185" s="814">
        <f t="shared" si="55"/>
        <v>0</v>
      </c>
      <c r="T185" s="175">
        <f t="shared" si="56"/>
        <v>6</v>
      </c>
      <c r="U185" s="250">
        <f t="shared" si="57"/>
        <v>0.30007133307494682</v>
      </c>
      <c r="V185" s="382">
        <f t="shared" si="58"/>
        <v>53.021200065621024</v>
      </c>
      <c r="W185" s="401">
        <f t="shared" si="59"/>
        <v>29.242083335666784</v>
      </c>
      <c r="X185" s="157">
        <f t="shared" si="60"/>
        <v>46558</v>
      </c>
      <c r="Y185" s="384">
        <f t="shared" si="61"/>
        <v>28.19059091147053</v>
      </c>
      <c r="Z185" s="384">
        <f t="shared" si="62"/>
        <v>30.269887570168642</v>
      </c>
      <c r="AA185" s="385">
        <f t="shared" si="63"/>
        <v>32.71938769335727</v>
      </c>
      <c r="AB185" s="196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7.4863874169806832E-2</v>
      </c>
      <c r="AD185" s="230">
        <f>(INDEX(Models!$BJ185:$BT185,,AH185)*(1-AF185)+INDEX(Models!$BJ185:$BT185,,AH185+1)*AF185-ERP_i)*AE185*Ramure*Pc/MaxiM</f>
        <v>1.4254325995431939E-3</v>
      </c>
      <c r="AE185" s="304">
        <f t="shared" si="65"/>
        <v>0.5</v>
      </c>
      <c r="AF185" s="176">
        <f t="shared" si="66"/>
        <v>0.41506387289933411</v>
      </c>
      <c r="AG185" s="814">
        <f t="shared" si="74"/>
        <v>2</v>
      </c>
      <c r="AH185" s="175">
        <f t="shared" si="67"/>
        <v>8</v>
      </c>
      <c r="AI185" s="224">
        <f t="shared" si="68"/>
        <v>2.4150638728993341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10">
        <f>'2026'!Wh/'2026'!Env_an*'2027'!Env_an</f>
        <v>17.896869932709411</v>
      </c>
      <c r="C186" s="843"/>
      <c r="D186" s="392">
        <f t="shared" si="50"/>
        <v>19.217337189094735</v>
      </c>
      <c r="E186" s="384">
        <f t="shared" si="75"/>
        <v>20.035080191946584</v>
      </c>
      <c r="F186" s="384">
        <f t="shared" si="51"/>
        <v>20.035451992496942</v>
      </c>
      <c r="G186" s="110">
        <f t="shared" si="76"/>
        <v>0.33780707387812436</v>
      </c>
      <c r="H186" s="413" t="b">
        <f>Wh_hp&gt;='2026'!Maxi_hp</f>
        <v>0</v>
      </c>
      <c r="I186" s="389">
        <f>IF(H186,Wh_hp,'2026'!Maxi_hp)</f>
        <v>52.532940622341521</v>
      </c>
      <c r="J186" s="85">
        <f>IF(H186,An,'2026'!An_max)</f>
        <v>2020</v>
      </c>
      <c r="K186" s="196">
        <f t="shared" si="52"/>
        <v>46559</v>
      </c>
      <c r="L186" s="147">
        <f>IF(t&lt;Tvie,1-EXP((T0-t)*PertePVj)+'2026'!Pspv,1-EXP((T0-t)*PertePVj)+Pspv)</f>
        <v>6.8712290542242677E-2</v>
      </c>
      <c r="M186" s="847"/>
      <c r="N186" s="847"/>
      <c r="O186" s="48">
        <f>IF(t&lt;Tnet,'2026'!Resal+('2026'!Salim-'2026'!Resal)*(1-EXP(('2026'!Tnet-t)/('2026'!Tau_j))),Resal+(Salim-Resal)*(1-EXP((Tnet-t)/(Tau_j))))*Salcycl</f>
        <v>4.081555925993012E-2</v>
      </c>
      <c r="P186" s="168">
        <f>(INDEX(Models!$BJ186:$BT186,,T186)*(1-R186)+INDEX(Models!$BJ186:$BT186,,T186+1)*R186-ERP_i)*Q186*Ramure*Pc/MaxiM</f>
        <v>3.4259407044839922E-4</v>
      </c>
      <c r="Q186" s="304">
        <f t="shared" si="53"/>
        <v>0.5</v>
      </c>
      <c r="R186" s="176">
        <f t="shared" si="54"/>
        <v>0.30301937100472282</v>
      </c>
      <c r="S186" s="814">
        <f t="shared" si="55"/>
        <v>0</v>
      </c>
      <c r="T186" s="175">
        <f t="shared" si="56"/>
        <v>6</v>
      </c>
      <c r="U186" s="250">
        <f t="shared" si="57"/>
        <v>0.30301937100472282</v>
      </c>
      <c r="V186" s="382">
        <f t="shared" si="58"/>
        <v>52.962391736724356</v>
      </c>
      <c r="W186" s="401">
        <f t="shared" si="59"/>
        <v>17.896869932709411</v>
      </c>
      <c r="X186" s="157">
        <f t="shared" si="60"/>
        <v>46559</v>
      </c>
      <c r="Y186" s="384">
        <f t="shared" si="61"/>
        <v>17.259392605793138</v>
      </c>
      <c r="Z186" s="384">
        <f t="shared" si="62"/>
        <v>18.532825495831389</v>
      </c>
      <c r="AA186" s="385">
        <f t="shared" si="63"/>
        <v>20.033895167647142</v>
      </c>
      <c r="AB186" s="196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7.4926501274691706E-2</v>
      </c>
      <c r="AD186" s="230">
        <f>(INDEX(Models!$BJ186:$BT186,,AH186)*(1-AF186)+INDEX(Models!$BJ186:$BT186,,AH186+1)*AF186-ERP_i)*AE186*Ramure*Pc/MaxiM</f>
        <v>1.4345297815075123E-3</v>
      </c>
      <c r="AE186" s="304">
        <f t="shared" si="65"/>
        <v>0.5</v>
      </c>
      <c r="AF186" s="176">
        <f t="shared" si="66"/>
        <v>0.41801191082911027</v>
      </c>
      <c r="AG186" s="814">
        <f t="shared" si="74"/>
        <v>2</v>
      </c>
      <c r="AH186" s="175">
        <f t="shared" si="67"/>
        <v>8</v>
      </c>
      <c r="AI186" s="224">
        <f t="shared" si="68"/>
        <v>2.4180119108291103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10">
        <f>'2026'!Wh/'2026'!Env_an*'2027'!Env_an</f>
        <v>42.734966895474166</v>
      </c>
      <c r="C187" s="843"/>
      <c r="D187" s="392">
        <f t="shared" si="50"/>
        <v>45.889042968448663</v>
      </c>
      <c r="E187" s="384">
        <f t="shared" si="75"/>
        <v>47.84589507305833</v>
      </c>
      <c r="F187" s="384">
        <f t="shared" si="51"/>
        <v>47.857890454130349</v>
      </c>
      <c r="G187" s="110">
        <f t="shared" si="76"/>
        <v>0.80772577888338193</v>
      </c>
      <c r="H187" s="413" t="b">
        <f>Wh_hp&gt;='2026'!Maxi_hp</f>
        <v>0</v>
      </c>
      <c r="I187" s="389">
        <f>IF(H187,Wh_hp,'2026'!Maxi_hp)</f>
        <v>59.462179190219061</v>
      </c>
      <c r="J187" s="85">
        <f>IF(H187,An,'2026'!An_max)</f>
        <v>2020</v>
      </c>
      <c r="K187" s="196">
        <f t="shared" si="52"/>
        <v>46560</v>
      </c>
      <c r="L187" s="147">
        <f>IF(t&lt;Tvie,1-EXP((T0-t)*PertePVj)+'2026'!Pspv,1-EXP((T0-t)*PertePVj)+Pspv)</f>
        <v>6.8732661850087057E-2</v>
      </c>
      <c r="M187" s="847"/>
      <c r="N187" s="847"/>
      <c r="O187" s="48">
        <f>IF(t&lt;Tnet,'2026'!Resal+('2026'!Salim-'2026'!Resal)*(1-EXP(('2026'!Tnet-t)/('2026'!Tau_j))),Resal+(Salim-Resal)*(1-EXP((Tnet-t)/(Tau_j))))*Salcycl</f>
        <v>4.0899059399383222E-2</v>
      </c>
      <c r="P187" s="168">
        <f>(INDEX(Models!$BJ187:$BT187,,T187)*(1-R187)+INDEX(Models!$BJ187:$BT187,,T187+1)*R187-ERP_i)*Q187*Ramure*Pc/MaxiM</f>
        <v>3.4551249833566209E-4</v>
      </c>
      <c r="Q187" s="304">
        <f t="shared" si="53"/>
        <v>0.5</v>
      </c>
      <c r="R187" s="176">
        <f t="shared" si="54"/>
        <v>0.30594060836877535</v>
      </c>
      <c r="S187" s="814">
        <f t="shared" si="55"/>
        <v>0</v>
      </c>
      <c r="T187" s="175">
        <f t="shared" si="56"/>
        <v>6</v>
      </c>
      <c r="U187" s="250">
        <f t="shared" si="57"/>
        <v>0.30594060836877535</v>
      </c>
      <c r="V187" s="382">
        <f t="shared" si="58"/>
        <v>52.902746046518587</v>
      </c>
      <c r="W187" s="401">
        <f t="shared" si="59"/>
        <v>42.734966895474166</v>
      </c>
      <c r="X187" s="157">
        <f t="shared" si="60"/>
        <v>46560</v>
      </c>
      <c r="Y187" s="384">
        <f t="shared" si="61"/>
        <v>41.183253155633224</v>
      </c>
      <c r="Z187" s="384">
        <f t="shared" si="62"/>
        <v>44.222804202979205</v>
      </c>
      <c r="AA187" s="385">
        <f t="shared" si="63"/>
        <v>47.807810258963592</v>
      </c>
      <c r="AB187" s="196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7.49878740851182E-2</v>
      </c>
      <c r="AD187" s="230">
        <f>(INDEX(Models!$BJ187:$BT187,,AH187)*(1-AF187)+INDEX(Models!$BJ187:$BT187,,AH187+1)*AF187-ERP_i)*AE187*Ramure*Pc/MaxiM</f>
        <v>1.4424996792779896E-3</v>
      </c>
      <c r="AE187" s="304">
        <f t="shared" si="65"/>
        <v>0.5</v>
      </c>
      <c r="AF187" s="176">
        <f t="shared" si="66"/>
        <v>0.42093314819316285</v>
      </c>
      <c r="AG187" s="814">
        <f t="shared" si="74"/>
        <v>2</v>
      </c>
      <c r="AH187" s="175">
        <f t="shared" si="67"/>
        <v>8</v>
      </c>
      <c r="AI187" s="224">
        <f t="shared" si="68"/>
        <v>2.4209331481931629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10">
        <f>'2026'!Wh/'2026'!Env_an*'2027'!Env_an</f>
        <v>38.366565626249155</v>
      </c>
      <c r="C188" s="843"/>
      <c r="D188" s="392">
        <f t="shared" si="50"/>
        <v>41.199130814858698</v>
      </c>
      <c r="E188" s="384">
        <f t="shared" si="75"/>
        <v>42.959699127957983</v>
      </c>
      <c r="F188" s="384">
        <f t="shared" si="51"/>
        <v>42.96880398970891</v>
      </c>
      <c r="G188" s="110">
        <f t="shared" si="76"/>
        <v>0.72595938292510376</v>
      </c>
      <c r="H188" s="413" t="b">
        <f>Wh_hp&gt;='2026'!Maxi_hp</f>
        <v>0</v>
      </c>
      <c r="I188" s="389">
        <f>IF(H188,Wh_hp,'2026'!Maxi_hp)</f>
        <v>53.377678678761548</v>
      </c>
      <c r="J188" s="85">
        <f>IF(H188,An,'2026'!An_max)</f>
        <v>2019</v>
      </c>
      <c r="K188" s="196">
        <f t="shared" si="52"/>
        <v>46561</v>
      </c>
      <c r="L188" s="147">
        <f>IF(t&lt;Tvie,1-EXP((T0-t)*PertePVj)+'2026'!Pspv,1-EXP((T0-t)*PertePVj)+Pspv)</f>
        <v>6.8753032711747458E-2</v>
      </c>
      <c r="M188" s="847"/>
      <c r="N188" s="847"/>
      <c r="O188" s="48">
        <f>IF(t&lt;Tnet,'2026'!Resal+('2026'!Salim-'2026'!Resal)*(1-EXP(('2026'!Tnet-t)/('2026'!Tau_j))),Resal+(Salim-Resal)*(1-EXP((Tnet-t)/(Tau_j))))*Salcycl</f>
        <v>4.0981858552019398E-2</v>
      </c>
      <c r="P188" s="168">
        <f>(INDEX(Models!$BJ188:$BT188,,T188)*(1-R188)+INDEX(Models!$BJ188:$BT188,,T188+1)*R188-ERP_i)*Q188*Ramure*Pc/MaxiM</f>
        <v>3.4813611342943314E-4</v>
      </c>
      <c r="Q188" s="304">
        <f t="shared" si="53"/>
        <v>0.5</v>
      </c>
      <c r="R188" s="176">
        <f t="shared" si="54"/>
        <v>0.30883297726750858</v>
      </c>
      <c r="S188" s="814">
        <f t="shared" si="55"/>
        <v>0</v>
      </c>
      <c r="T188" s="175">
        <f t="shared" si="56"/>
        <v>6</v>
      </c>
      <c r="U188" s="250">
        <f t="shared" si="57"/>
        <v>0.30883297726750858</v>
      </c>
      <c r="V188" s="382">
        <f t="shared" si="58"/>
        <v>52.842264051532297</v>
      </c>
      <c r="W188" s="401">
        <f t="shared" si="59"/>
        <v>38.366565626249155</v>
      </c>
      <c r="X188" s="157">
        <f t="shared" si="60"/>
        <v>46561</v>
      </c>
      <c r="Y188" s="384">
        <f t="shared" si="61"/>
        <v>36.978906630146369</v>
      </c>
      <c r="Z188" s="384">
        <f t="shared" si="62"/>
        <v>39.709022342190508</v>
      </c>
      <c r="AA188" s="385">
        <f t="shared" si="63"/>
        <v>42.930899898514426</v>
      </c>
      <c r="AB188" s="196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7.5047985575429493E-2</v>
      </c>
      <c r="AD188" s="230">
        <f>(INDEX(Models!$BJ188:$BT188,,AH188)*(1-AF188)+INDEX(Models!$BJ188:$BT188,,AH188+1)*AF188-ERP_i)*AE188*Ramure*Pc/MaxiM</f>
        <v>1.4493117361364313E-3</v>
      </c>
      <c r="AE188" s="304">
        <f t="shared" si="65"/>
        <v>0.5</v>
      </c>
      <c r="AF188" s="176">
        <f t="shared" si="66"/>
        <v>0.42382551709189586</v>
      </c>
      <c r="AG188" s="814">
        <f t="shared" si="74"/>
        <v>2</v>
      </c>
      <c r="AH188" s="175">
        <f t="shared" si="67"/>
        <v>8</v>
      </c>
      <c r="AI188" s="224">
        <f t="shared" si="68"/>
        <v>2.4238255170918959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10">
        <f>'2026'!Wh/'2026'!Env_an*'2027'!Env_an</f>
        <v>41.619153147046283</v>
      </c>
      <c r="C189" s="843"/>
      <c r="D189" s="392">
        <f t="shared" si="50"/>
        <v>44.692831247315326</v>
      </c>
      <c r="E189" s="384">
        <f t="shared" si="75"/>
        <v>46.606685979205643</v>
      </c>
      <c r="F189" s="384">
        <f t="shared" si="51"/>
        <v>46.618087829216854</v>
      </c>
      <c r="G189" s="110">
        <f t="shared" si="76"/>
        <v>0.7884425780276979</v>
      </c>
      <c r="H189" s="413" t="b">
        <f>Wh_hp&gt;='2026'!Maxi_hp</f>
        <v>0</v>
      </c>
      <c r="I189" s="389">
        <f>IF(H189,Wh_hp,'2026'!Maxi_hp)</f>
        <v>58.686977834802818</v>
      </c>
      <c r="J189" s="85">
        <f>IF(H189,An,'2026'!An_max)</f>
        <v>2020</v>
      </c>
      <c r="K189" s="196">
        <f t="shared" si="52"/>
        <v>46562</v>
      </c>
      <c r="L189" s="147">
        <f>IF(t&lt;Tvie,1-EXP((T0-t)*PertePVj)+'2026'!Pspv,1-EXP((T0-t)*PertePVj)+Pspv)</f>
        <v>6.8773403127233651E-2</v>
      </c>
      <c r="M189" s="847"/>
      <c r="N189" s="847"/>
      <c r="O189" s="48">
        <f>IF(t&lt;Tnet,'2026'!Resal+('2026'!Salim-'2026'!Resal)*(1-EXP(('2026'!Tnet-t)/('2026'!Tau_j))),Resal+(Salim-Resal)*(1-EXP((Tnet-t)/(Tau_j))))*Salcycl</f>
        <v>4.1063952342464689E-2</v>
      </c>
      <c r="P189" s="168">
        <f>(INDEX(Models!$BJ189:$BT189,,T189)*(1-R189)+INDEX(Models!$BJ189:$BT189,,T189+1)*R189-ERP_i)*Q189*Ramure*Pc/MaxiM</f>
        <v>3.5045410528718001E-4</v>
      </c>
      <c r="Q189" s="304">
        <f t="shared" si="53"/>
        <v>0.5</v>
      </c>
      <c r="R189" s="176">
        <f t="shared" si="54"/>
        <v>0.31169449869643395</v>
      </c>
      <c r="S189" s="814">
        <f t="shared" si="55"/>
        <v>0</v>
      </c>
      <c r="T189" s="175">
        <f t="shared" si="56"/>
        <v>6</v>
      </c>
      <c r="U189" s="250">
        <f t="shared" si="57"/>
        <v>0.31169449869643395</v>
      </c>
      <c r="V189" s="382">
        <f t="shared" si="58"/>
        <v>52.780946687151086</v>
      </c>
      <c r="W189" s="401">
        <f t="shared" si="59"/>
        <v>41.619153147046283</v>
      </c>
      <c r="X189" s="157">
        <f t="shared" si="60"/>
        <v>46562</v>
      </c>
      <c r="Y189" s="384">
        <f t="shared" si="61"/>
        <v>40.110695775181334</v>
      </c>
      <c r="Z189" s="384">
        <f t="shared" si="62"/>
        <v>43.072970542165116</v>
      </c>
      <c r="AA189" s="385">
        <f t="shared" si="63"/>
        <v>46.570752220907032</v>
      </c>
      <c r="AB189" s="196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7.5106832334386406E-2</v>
      </c>
      <c r="AD189" s="230">
        <f>(INDEX(Models!$BJ189:$BT189,,AH189)*(1-AF189)+INDEX(Models!$BJ189:$BT189,,AH189+1)*AF189-ERP_i)*AE189*Ramure*Pc/MaxiM</f>
        <v>1.454935667644841E-3</v>
      </c>
      <c r="AE189" s="304">
        <f t="shared" si="65"/>
        <v>0.5</v>
      </c>
      <c r="AF189" s="176">
        <f t="shared" si="66"/>
        <v>0.42668703852082146</v>
      </c>
      <c r="AG189" s="814">
        <f t="shared" si="74"/>
        <v>2</v>
      </c>
      <c r="AH189" s="175">
        <f t="shared" si="67"/>
        <v>8</v>
      </c>
      <c r="AI189" s="224">
        <f t="shared" si="68"/>
        <v>2.4266870385208215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10">
        <f>'2026'!Wh/'2026'!Env_an*'2027'!Env_an</f>
        <v>29.258086790031321</v>
      </c>
      <c r="C190" s="843"/>
      <c r="D190" s="392">
        <f t="shared" si="50"/>
        <v>31.419556640341337</v>
      </c>
      <c r="E190" s="384">
        <f t="shared" si="75"/>
        <v>32.767798809220587</v>
      </c>
      <c r="F190" s="384">
        <f t="shared" si="51"/>
        <v>32.772006337914824</v>
      </c>
      <c r="G190" s="110">
        <f t="shared" si="76"/>
        <v>0.55485961468515521</v>
      </c>
      <c r="H190" s="413" t="b">
        <f>Wh_hp&gt;='2026'!Maxi_hp</f>
        <v>0</v>
      </c>
      <c r="I190" s="389">
        <f>IF(H190,Wh_hp,'2026'!Maxi_hp)</f>
        <v>55.730397600386027</v>
      </c>
      <c r="J190" s="85">
        <f>IF(H190,An,'2026'!An_max)</f>
        <v>2020</v>
      </c>
      <c r="K190" s="196">
        <f t="shared" si="52"/>
        <v>46563</v>
      </c>
      <c r="L190" s="147">
        <f>IF(t&lt;Tvie,1-EXP((T0-t)*PertePVj)+'2026'!Pspv,1-EXP((T0-t)*PertePVj)+Pspv)</f>
        <v>6.8793773096555516E-2</v>
      </c>
      <c r="M190" s="847"/>
      <c r="N190" s="847"/>
      <c r="O190" s="48">
        <f>IF(t&lt;Tnet,'2026'!Resal+('2026'!Salim-'2026'!Resal)*(1-EXP(('2026'!Tnet-t)/('2026'!Tau_j))),Resal+(Salim-Resal)*(1-EXP((Tnet-t)/(Tau_j))))*Salcycl</f>
        <v>4.1145338346616898E-2</v>
      </c>
      <c r="P190" s="168">
        <f>(INDEX(Models!$BJ190:$BT190,,T190)*(1-R190)+INDEX(Models!$BJ190:$BT190,,T190+1)*R190-ERP_i)*Q190*Ramure*Pc/MaxiM</f>
        <v>3.5245947421952255E-4</v>
      </c>
      <c r="Q190" s="304">
        <f t="shared" si="53"/>
        <v>0.5</v>
      </c>
      <c r="R190" s="176">
        <f t="shared" si="54"/>
        <v>0.31452328713101951</v>
      </c>
      <c r="S190" s="814">
        <f t="shared" si="55"/>
        <v>0</v>
      </c>
      <c r="T190" s="175">
        <f t="shared" si="56"/>
        <v>6</v>
      </c>
      <c r="U190" s="250">
        <f t="shared" si="57"/>
        <v>0.31452328713101951</v>
      </c>
      <c r="V190" s="382">
        <f t="shared" si="58"/>
        <v>52.718794570981984</v>
      </c>
      <c r="W190" s="401">
        <f t="shared" si="59"/>
        <v>29.258086790031321</v>
      </c>
      <c r="X190" s="157">
        <f t="shared" si="60"/>
        <v>46563</v>
      </c>
      <c r="Y190" s="384">
        <f t="shared" si="61"/>
        <v>28.208663218602503</v>
      </c>
      <c r="Z190" s="384">
        <f t="shared" si="62"/>
        <v>30.29260587357243</v>
      </c>
      <c r="AA190" s="385">
        <f t="shared" si="63"/>
        <v>32.754585084088191</v>
      </c>
      <c r="AB190" s="196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7.5164414514649544E-2</v>
      </c>
      <c r="AD190" s="230">
        <f>(INDEX(Models!$BJ190:$BT190,,AH190)*(1-AF190)+INDEX(Models!$BJ190:$BT190,,AH190+1)*AF190-ERP_i)*AE190*Ramure*Pc/MaxiM</f>
        <v>1.4593568838613279E-3</v>
      </c>
      <c r="AE190" s="304">
        <f t="shared" si="65"/>
        <v>0.5</v>
      </c>
      <c r="AF190" s="176">
        <f t="shared" si="66"/>
        <v>0.42951582695540713</v>
      </c>
      <c r="AG190" s="814">
        <f t="shared" si="74"/>
        <v>2</v>
      </c>
      <c r="AH190" s="175">
        <f t="shared" si="67"/>
        <v>8</v>
      </c>
      <c r="AI190" s="224">
        <f t="shared" si="68"/>
        <v>2.4295158269554071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10">
        <f>'2026'!Wh/'2026'!Env_an*'2027'!Env_an</f>
        <v>10.610015578316304</v>
      </c>
      <c r="C191" s="843"/>
      <c r="D191" s="392">
        <f t="shared" si="50"/>
        <v>11.394090120919213</v>
      </c>
      <c r="E191" s="384">
        <f t="shared" si="75"/>
        <v>11.884020959930725</v>
      </c>
      <c r="F191" s="384">
        <f t="shared" si="51"/>
        <v>11.884020959930725</v>
      </c>
      <c r="G191" s="110">
        <f t="shared" si="76"/>
        <v>0.20142697745757687</v>
      </c>
      <c r="H191" s="413" t="b">
        <f>Wh_hp&gt;='2026'!Maxi_hp</f>
        <v>0</v>
      </c>
      <c r="I191" s="389">
        <f>IF(H191,Wh_hp,'2026'!Maxi_hp)</f>
        <v>57.645147266339038</v>
      </c>
      <c r="J191" s="85">
        <f>IF(H191,An,'2026'!An_max)</f>
        <v>2019</v>
      </c>
      <c r="K191" s="196">
        <f t="shared" si="52"/>
        <v>46564</v>
      </c>
      <c r="L191" s="147">
        <f>IF(t&lt;Tvie,1-EXP((T0-t)*PertePVj)+'2026'!Pspv,1-EXP((T0-t)*PertePVj)+Pspv)</f>
        <v>6.8814142619722712E-2</v>
      </c>
      <c r="M191" s="847"/>
      <c r="N191" s="847"/>
      <c r="O191" s="48">
        <f>IF(t&lt;Tnet,'2026'!Resal+('2026'!Salim-'2026'!Resal)*(1-EXP(('2026'!Tnet-t)/('2026'!Tau_j))),Resal+(Salim-Resal)*(1-EXP((Tnet-t)/(Tau_j))))*Salcycl</f>
        <v>4.1226016065051385E-2</v>
      </c>
      <c r="P191" s="168">
        <f>(INDEX(Models!$BJ191:$BT191,,T191)*(1-R191)+INDEX(Models!$BJ191:$BT191,,T191+1)*R191-ERP_i)*Q191*Ramure*Pc/MaxiM</f>
        <v>3.5414704167222293E-4</v>
      </c>
      <c r="Q191" s="304">
        <f t="shared" si="53"/>
        <v>0.5</v>
      </c>
      <c r="R191" s="176">
        <f t="shared" si="54"/>
        <v>0.31731755453551885</v>
      </c>
      <c r="S191" s="814">
        <f t="shared" si="55"/>
        <v>0</v>
      </c>
      <c r="T191" s="175">
        <f t="shared" si="56"/>
        <v>6</v>
      </c>
      <c r="U191" s="250">
        <f t="shared" si="57"/>
        <v>0.31731755453551885</v>
      </c>
      <c r="V191" s="382">
        <f t="shared" si="58"/>
        <v>52.655598602332006</v>
      </c>
      <c r="W191" s="401">
        <f t="shared" si="59"/>
        <v>10.610015578316304</v>
      </c>
      <c r="X191" s="157">
        <f t="shared" si="60"/>
        <v>46564</v>
      </c>
      <c r="Y191" s="384">
        <f t="shared" si="61"/>
        <v>10.233822114980667</v>
      </c>
      <c r="Z191" s="384">
        <f t="shared" si="62"/>
        <v>10.990096159505335</v>
      </c>
      <c r="AA191" s="385">
        <f t="shared" si="63"/>
        <v>11.884020959930725</v>
      </c>
      <c r="AB191" s="196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7.5220735762704397E-2</v>
      </c>
      <c r="AD191" s="230">
        <f>(INDEX(Models!$BJ191:$BT191,,AH191)*(1-AF191)+INDEX(Models!$BJ191:$BT191,,AH191+1)*AF191-ERP_i)*AE191*Ramure*Pc/MaxiM</f>
        <v>1.4625680237876865E-3</v>
      </c>
      <c r="AE191" s="304">
        <f t="shared" si="65"/>
        <v>0.5</v>
      </c>
      <c r="AF191" s="176">
        <f t="shared" si="66"/>
        <v>0.43231009435990631</v>
      </c>
      <c r="AG191" s="814">
        <f t="shared" si="74"/>
        <v>2</v>
      </c>
      <c r="AH191" s="175">
        <f t="shared" si="67"/>
        <v>8</v>
      </c>
      <c r="AI191" s="224">
        <f t="shared" si="68"/>
        <v>2.4323100943599063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10">
        <f>'2026'!Wh/'2026'!Env_an*'2027'!Env_an</f>
        <v>15.825991349994505</v>
      </c>
      <c r="C192" s="843"/>
      <c r="D192" s="392">
        <f t="shared" si="50"/>
        <v>16.995895518885916</v>
      </c>
      <c r="E192" s="384">
        <f t="shared" si="75"/>
        <v>17.728175295133152</v>
      </c>
      <c r="F192" s="384">
        <f t="shared" si="51"/>
        <v>17.728183616916159</v>
      </c>
      <c r="G192" s="110">
        <f t="shared" si="76"/>
        <v>0.30081778331425818</v>
      </c>
      <c r="H192" s="413" t="b">
        <f>Wh_hp&gt;='2026'!Maxi_hp</f>
        <v>0</v>
      </c>
      <c r="I192" s="389">
        <f>IF(H192,Wh_hp,'2026'!Maxi_hp)</f>
        <v>57.559954834573851</v>
      </c>
      <c r="J192" s="85">
        <f>IF(H192,An,'2026'!An_max)</f>
        <v>2019</v>
      </c>
      <c r="K192" s="196">
        <f t="shared" si="52"/>
        <v>46565</v>
      </c>
      <c r="L192" s="147">
        <f>IF(t&lt;Tvie,1-EXP((T0-t)*PertePVj)+'2026'!Pspv,1-EXP((T0-t)*PertePVj)+Pspv)</f>
        <v>6.8834511696745121E-2</v>
      </c>
      <c r="M192" s="847"/>
      <c r="N192" s="847"/>
      <c r="O192" s="48">
        <f>IF(t&lt;Tnet,'2026'!Resal+('2026'!Salim-'2026'!Resal)*(1-EXP(('2026'!Tnet-t)/('2026'!Tau_j))),Resal+(Salim-Resal)*(1-EXP((Tnet-t)/(Tau_j))))*Salcycl</f>
        <v>4.1305986885647877E-2</v>
      </c>
      <c r="P192" s="168">
        <f>(INDEX(Models!$BJ192:$BT192,,T192)*(1-R192)+INDEX(Models!$BJ192:$BT192,,T192+1)*R192-ERP_i)*Q192*Ramure*Pc/MaxiM</f>
        <v>3.5538770620517629E-4</v>
      </c>
      <c r="Q192" s="304">
        <f t="shared" si="53"/>
        <v>0.5</v>
      </c>
      <c r="R192" s="176">
        <f t="shared" si="54"/>
        <v>0.32007561378614913</v>
      </c>
      <c r="S192" s="814">
        <f t="shared" si="55"/>
        <v>0</v>
      </c>
      <c r="T192" s="175">
        <f t="shared" si="56"/>
        <v>6</v>
      </c>
      <c r="U192" s="250">
        <f t="shared" si="57"/>
        <v>0.32007561378614913</v>
      </c>
      <c r="V192" s="382">
        <f t="shared" si="58"/>
        <v>52.591220635854718</v>
      </c>
      <c r="W192" s="401">
        <f t="shared" si="59"/>
        <v>15.825991349994505</v>
      </c>
      <c r="X192" s="157">
        <f t="shared" si="60"/>
        <v>46565</v>
      </c>
      <c r="Y192" s="384">
        <f t="shared" si="61"/>
        <v>15.265199854734265</v>
      </c>
      <c r="Z192" s="384">
        <f t="shared" si="62"/>
        <v>16.393648654816566</v>
      </c>
      <c r="AA192" s="385">
        <f t="shared" si="63"/>
        <v>17.728149333932876</v>
      </c>
      <c r="AB192" s="196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7.5275803129770905E-2</v>
      </c>
      <c r="AD192" s="230">
        <f>(INDEX(Models!$BJ192:$BT192,,AH192)*(1-AF192)+INDEX(Models!$BJ192:$BT192,,AH192+1)*AF192-ERP_i)*AE192*Ramure*Pc/MaxiM</f>
        <v>1.4640793662858008E-3</v>
      </c>
      <c r="AE192" s="304">
        <f t="shared" si="65"/>
        <v>0.5</v>
      </c>
      <c r="AF192" s="176">
        <f t="shared" si="66"/>
        <v>0.43506815361053652</v>
      </c>
      <c r="AG192" s="814">
        <f t="shared" si="74"/>
        <v>2</v>
      </c>
      <c r="AH192" s="175">
        <f t="shared" si="67"/>
        <v>8</v>
      </c>
      <c r="AI192" s="224">
        <f t="shared" si="68"/>
        <v>2.4350681536105365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10">
        <f>'2026'!Wh/'2026'!Env_an*'2027'!Env_an</f>
        <v>52.355571002965483</v>
      </c>
      <c r="C193" s="843"/>
      <c r="D193" s="392">
        <f t="shared" si="50"/>
        <v>56.227079857742588</v>
      </c>
      <c r="E193" s="384">
        <f t="shared" si="75"/>
        <v>58.654511725859102</v>
      </c>
      <c r="F193" s="384">
        <f t="shared" si="51"/>
        <v>58.675321236078958</v>
      </c>
      <c r="G193" s="110">
        <f t="shared" si="76"/>
        <v>0.99675842303577911</v>
      </c>
      <c r="H193" s="413" t="b">
        <f>Wh_hp&gt;='2026'!Maxi_hp</f>
        <v>0</v>
      </c>
      <c r="I193" s="389">
        <f>IF(H193,Wh_hp,'2026'!Maxi_hp)</f>
        <v>58.675396060881987</v>
      </c>
      <c r="J193" s="85">
        <f>IF(H193,An,'2026'!An_max)</f>
        <v>2025</v>
      </c>
      <c r="K193" s="196">
        <f t="shared" si="52"/>
        <v>46566</v>
      </c>
      <c r="L193" s="147">
        <f>IF(t&lt;Tvie,1-EXP((T0-t)*PertePVj)+'2026'!Pspv,1-EXP((T0-t)*PertePVj)+Pspv)</f>
        <v>6.8854880327632512E-2</v>
      </c>
      <c r="M193" s="847"/>
      <c r="N193" s="847"/>
      <c r="O193" s="48">
        <f>IF(t&lt;Tnet,'2026'!Resal+('2026'!Salim-'2026'!Resal)*(1-EXP(('2026'!Tnet-t)/('2026'!Tau_j))),Resal+(Salim-Resal)*(1-EXP((Tnet-t)/(Tau_j))))*Salcycl</f>
        <v>4.1385254035732226E-2</v>
      </c>
      <c r="P193" s="168">
        <f>(INDEX(Models!$BJ193:$BT193,,T193)*(1-R193)+INDEX(Models!$BJ193:$BT193,,T193+1)*R193-ERP_i)*Q193*Ramure*Pc/MaxiM</f>
        <v>3.5630438743460143E-4</v>
      </c>
      <c r="Q193" s="304">
        <f t="shared" si="53"/>
        <v>0.5</v>
      </c>
      <c r="R193" s="176">
        <f t="shared" si="54"/>
        <v>0.32279588150464689</v>
      </c>
      <c r="S193" s="814">
        <f t="shared" si="55"/>
        <v>0</v>
      </c>
      <c r="T193" s="175">
        <f t="shared" si="56"/>
        <v>6</v>
      </c>
      <c r="U193" s="250">
        <f t="shared" si="57"/>
        <v>0.32279588150464689</v>
      </c>
      <c r="V193" s="382">
        <f t="shared" si="58"/>
        <v>52.525750894480993</v>
      </c>
      <c r="W193" s="401">
        <f t="shared" si="59"/>
        <v>52.355571002965483</v>
      </c>
      <c r="X193" s="157">
        <f t="shared" si="60"/>
        <v>46566</v>
      </c>
      <c r="Y193" s="384">
        <f t="shared" si="61"/>
        <v>50.44594940341748</v>
      </c>
      <c r="Z193" s="384">
        <f t="shared" si="62"/>
        <v>54.176248511260397</v>
      </c>
      <c r="AA193" s="385">
        <f t="shared" si="63"/>
        <v>58.589795986870996</v>
      </c>
      <c r="AB193" s="196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7.5329626964388108E-2</v>
      </c>
      <c r="AD193" s="230">
        <f>(INDEX(Models!$BJ193:$BT193,,AH193)*(1-AF193)+INDEX(Models!$BJ193:$BT193,,AH193+1)*AF193-ERP_i)*AE193*Ramure*Pc/MaxiM</f>
        <v>1.4643795652700122E-3</v>
      </c>
      <c r="AE193" s="304">
        <f t="shared" si="65"/>
        <v>0.5</v>
      </c>
      <c r="AF193" s="176">
        <f t="shared" si="66"/>
        <v>0.43778842132903417</v>
      </c>
      <c r="AG193" s="814">
        <f t="shared" si="74"/>
        <v>2</v>
      </c>
      <c r="AH193" s="175">
        <f t="shared" si="67"/>
        <v>8</v>
      </c>
      <c r="AI193" s="224">
        <f t="shared" si="68"/>
        <v>2.4377884213290342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10">
        <f>'2026'!Wh/'2026'!Env_an*'2027'!Env_an</f>
        <v>50.244784847768777</v>
      </c>
      <c r="C194" s="843"/>
      <c r="D194" s="392">
        <f t="shared" si="50"/>
        <v>53.961388919686136</v>
      </c>
      <c r="E194" s="384">
        <f t="shared" si="75"/>
        <v>56.295620538582568</v>
      </c>
      <c r="F194" s="384">
        <f t="shared" si="51"/>
        <v>56.314506675737427</v>
      </c>
      <c r="G194" s="110">
        <f t="shared" si="76"/>
        <v>0.95776566361031557</v>
      </c>
      <c r="H194" s="413" t="b">
        <f>Wh_hp&gt;='2026'!Maxi_hp</f>
        <v>0</v>
      </c>
      <c r="I194" s="389">
        <f>IF(H194,Wh_hp,'2026'!Maxi_hp)</f>
        <v>56.315441024057172</v>
      </c>
      <c r="J194" s="85">
        <f>IF(H194,An,'2026'!An_max)</f>
        <v>2025</v>
      </c>
      <c r="K194" s="196">
        <f t="shared" si="52"/>
        <v>46567</v>
      </c>
      <c r="L194" s="147">
        <f>IF(t&lt;Tvie,1-EXP((T0-t)*PertePVj)+'2026'!Pspv,1-EXP((T0-t)*PertePVj)+Pspv)</f>
        <v>6.8875248512394543E-2</v>
      </c>
      <c r="M194" s="847"/>
      <c r="N194" s="847"/>
      <c r="O194" s="48">
        <f>IF(t&lt;Tnet,'2026'!Resal+('2026'!Salim-'2026'!Resal)*(1-EXP(('2026'!Tnet-t)/('2026'!Tau_j))),Resal+(Salim-Resal)*(1-EXP((Tnet-t)/(Tau_j))))*Salcycl</f>
        <v>4.1463822524110044E-2</v>
      </c>
      <c r="P194" s="168">
        <f>(INDEX(Models!$BJ194:$BT194,,T194)*(1-R194)+INDEX(Models!$BJ194:$BT194,,T194+1)*R194-ERP_i)*Q194*Ramure*Pc/MaxiM</f>
        <v>3.5689139893924353E-4</v>
      </c>
      <c r="Q194" s="304">
        <f t="shared" si="53"/>
        <v>0.5</v>
      </c>
      <c r="R194" s="176">
        <f t="shared" si="54"/>
        <v>0.32547688030371025</v>
      </c>
      <c r="S194" s="814">
        <f t="shared" si="55"/>
        <v>0</v>
      </c>
      <c r="T194" s="175">
        <f t="shared" si="56"/>
        <v>6</v>
      </c>
      <c r="U194" s="250">
        <f t="shared" si="57"/>
        <v>0.32547688030371025</v>
      </c>
      <c r="V194" s="382">
        <f t="shared" si="58"/>
        <v>52.459286235980777</v>
      </c>
      <c r="W194" s="401">
        <f t="shared" si="59"/>
        <v>50.244784847768777</v>
      </c>
      <c r="X194" s="157">
        <f t="shared" si="60"/>
        <v>46567</v>
      </c>
      <c r="Y194" s="384">
        <f t="shared" si="61"/>
        <v>48.41642753087271</v>
      </c>
      <c r="Z194" s="384">
        <f t="shared" si="62"/>
        <v>51.997788108973069</v>
      </c>
      <c r="AA194" s="385">
        <f t="shared" si="63"/>
        <v>56.237062792865849</v>
      </c>
      <c r="AB194" s="196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7.5382220787508267E-2</v>
      </c>
      <c r="AD194" s="230">
        <f>(INDEX(Models!$BJ194:$BT194,,AH194)*(1-AF194)+INDEX(Models!$BJ194:$BT194,,AH194+1)*AF194-ERP_i)*AE194*Ramure*Pc/MaxiM</f>
        <v>1.4634573216689008E-3</v>
      </c>
      <c r="AE194" s="304">
        <f t="shared" si="65"/>
        <v>0.5</v>
      </c>
      <c r="AF194" s="176">
        <f t="shared" si="66"/>
        <v>0.44046942012809787</v>
      </c>
      <c r="AG194" s="814">
        <f t="shared" si="74"/>
        <v>2</v>
      </c>
      <c r="AH194" s="175">
        <f t="shared" si="67"/>
        <v>8</v>
      </c>
      <c r="AI194" s="224">
        <f t="shared" si="68"/>
        <v>2.4404694201280979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10">
        <f>'2026'!Wh/'2026'!Env_an*'2027'!Env_an</f>
        <v>12.133689837614241</v>
      </c>
      <c r="C195" s="843"/>
      <c r="D195" s="392">
        <f t="shared" si="50"/>
        <v>13.031503287268041</v>
      </c>
      <c r="E195" s="384">
        <f t="shared" si="75"/>
        <v>13.596317413778321</v>
      </c>
      <c r="F195" s="384">
        <f t="shared" si="51"/>
        <v>13.596317413778321</v>
      </c>
      <c r="G195" s="110">
        <f t="shared" si="76"/>
        <v>0.23151195055850066</v>
      </c>
      <c r="H195" s="413" t="b">
        <f>Wh_hp&gt;='2026'!Maxi_hp</f>
        <v>0</v>
      </c>
      <c r="I195" s="389">
        <f>IF(H195,Wh_hp,'2026'!Maxi_hp)</f>
        <v>52.079984666293029</v>
      </c>
      <c r="J195" s="85">
        <f>IF(H195,An,'2026'!An_max)</f>
        <v>2019</v>
      </c>
      <c r="K195" s="196">
        <f t="shared" si="52"/>
        <v>46568</v>
      </c>
      <c r="L195" s="147">
        <f>IF(t&lt;Tvie,1-EXP((T0-t)*PertePVj)+'2026'!Pspv,1-EXP((T0-t)*PertePVj)+Pspv)</f>
        <v>6.8895616251041097E-2</v>
      </c>
      <c r="M195" s="847"/>
      <c r="N195" s="847"/>
      <c r="O195" s="48">
        <f>IF(t&lt;Tnet,'2026'!Resal+('2026'!Salim-'2026'!Resal)*(1-EXP(('2026'!Tnet-t)/('2026'!Tau_j))),Resal+(Salim-Resal)*(1-EXP((Tnet-t)/(Tau_j))))*Salcycl</f>
        <v>4.1541699073449546E-2</v>
      </c>
      <c r="P195" s="168">
        <f>(INDEX(Models!$BJ195:$BT195,,T195)*(1-R195)+INDEX(Models!$BJ195:$BT195,,T195+1)*R195-ERP_i)*Q195*Ramure*Pc/MaxiM</f>
        <v>3.5714345789790138E-4</v>
      </c>
      <c r="Q195" s="304">
        <f t="shared" si="53"/>
        <v>0.5</v>
      </c>
      <c r="R195" s="176">
        <f t="shared" si="54"/>
        <v>0.32811724045104362</v>
      </c>
      <c r="S195" s="814">
        <f t="shared" si="55"/>
        <v>0</v>
      </c>
      <c r="T195" s="175">
        <f t="shared" si="56"/>
        <v>6</v>
      </c>
      <c r="U195" s="250">
        <f t="shared" si="57"/>
        <v>0.32811724045104362</v>
      </c>
      <c r="V195" s="382">
        <f t="shared" si="58"/>
        <v>52.391923356041232</v>
      </c>
      <c r="W195" s="401">
        <f t="shared" si="59"/>
        <v>12.133689837614241</v>
      </c>
      <c r="X195" s="157">
        <f t="shared" si="60"/>
        <v>46568</v>
      </c>
      <c r="Y195" s="384">
        <f t="shared" si="61"/>
        <v>11.704632227680548</v>
      </c>
      <c r="Z195" s="384">
        <f t="shared" si="62"/>
        <v>12.570698228864005</v>
      </c>
      <c r="AA195" s="385">
        <f t="shared" si="63"/>
        <v>13.596317413778321</v>
      </c>
      <c r="AB195" s="196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7.5433601151070992E-2</v>
      </c>
      <c r="AD195" s="230">
        <f>(INDEX(Models!$BJ195:$BT195,,AH195)*(1-AF195)+INDEX(Models!$BJ195:$BT195,,AH195+1)*AF195-ERP_i)*AE195*Ramure*Pc/MaxiM</f>
        <v>1.461302577663662E-3</v>
      </c>
      <c r="AE195" s="304">
        <f t="shared" si="65"/>
        <v>0.5</v>
      </c>
      <c r="AF195" s="176">
        <f t="shared" si="66"/>
        <v>0.44310978027543113</v>
      </c>
      <c r="AG195" s="814">
        <f t="shared" si="74"/>
        <v>2</v>
      </c>
      <c r="AH195" s="175">
        <f t="shared" si="67"/>
        <v>8</v>
      </c>
      <c r="AI195" s="224">
        <f t="shared" si="68"/>
        <v>2.4431097802754311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10">
        <f>'2026'!Wh/'2026'!Env_an*'2027'!Env_an</f>
        <v>47.606210499681623</v>
      </c>
      <c r="C196" s="843"/>
      <c r="D196" s="392">
        <f t="shared" si="50"/>
        <v>51.129876206944814</v>
      </c>
      <c r="E196" s="384">
        <f t="shared" si="75"/>
        <v>53.350254697704287</v>
      </c>
      <c r="F196" s="384">
        <f t="shared" si="51"/>
        <v>53.366855340787133</v>
      </c>
      <c r="G196" s="110">
        <f t="shared" si="76"/>
        <v>0.90979741415099202</v>
      </c>
      <c r="H196" s="413" t="b">
        <f>Wh_hp&gt;='2026'!Maxi_hp</f>
        <v>0</v>
      </c>
      <c r="I196" s="389">
        <f>IF(H196,Wh_hp,'2026'!Maxi_hp)</f>
        <v>57.002748716265671</v>
      </c>
      <c r="J196" s="85">
        <f>IF(H196,An,'2026'!An_max)</f>
        <v>2020</v>
      </c>
      <c r="K196" s="196">
        <f t="shared" si="52"/>
        <v>46569</v>
      </c>
      <c r="L196" s="147">
        <f>IF(t&lt;Tvie,1-EXP((T0-t)*PertePVj)+'2026'!Pspv,1-EXP((T0-t)*PertePVj)+Pspv)</f>
        <v>6.8915983543581943E-2</v>
      </c>
      <c r="M196" s="847"/>
      <c r="N196" s="847"/>
      <c r="O196" s="48">
        <f>IF(t&lt;Tnet,'2026'!Resal+('2026'!Salim-'2026'!Resal)*(1-EXP(('2026'!Tnet-t)/('2026'!Tau_j))),Resal+(Salim-Resal)*(1-EXP((Tnet-t)/(Tau_j))))*Salcycl</f>
        <v>4.1618892043546678E-2</v>
      </c>
      <c r="P196" s="168">
        <f>(INDEX(Models!$BJ196:$BT196,,T196)*(1-R196)+INDEX(Models!$BJ196:$BT196,,T196+1)*R196-ERP_i)*Q196*Ramure*Pc/MaxiM</f>
        <v>3.5705568547133513E-4</v>
      </c>
      <c r="Q196" s="304">
        <f t="shared" si="53"/>
        <v>0.5</v>
      </c>
      <c r="R196" s="176">
        <f t="shared" si="54"/>
        <v>0.33071570096360936</v>
      </c>
      <c r="S196" s="814">
        <f t="shared" si="55"/>
        <v>0</v>
      </c>
      <c r="T196" s="175">
        <f t="shared" si="56"/>
        <v>6</v>
      </c>
      <c r="U196" s="250">
        <f t="shared" si="57"/>
        <v>0.33071570096360936</v>
      </c>
      <c r="V196" s="382">
        <f t="shared" si="58"/>
        <v>52.323758794094203</v>
      </c>
      <c r="W196" s="401">
        <f t="shared" si="59"/>
        <v>47.606210499681623</v>
      </c>
      <c r="X196" s="157">
        <f t="shared" si="60"/>
        <v>46569</v>
      </c>
      <c r="Y196" s="384">
        <f t="shared" si="61"/>
        <v>45.879962666238207</v>
      </c>
      <c r="Z196" s="384">
        <f t="shared" si="62"/>
        <v>49.275856802752607</v>
      </c>
      <c r="AA196" s="385">
        <f t="shared" si="63"/>
        <v>53.299072677698696</v>
      </c>
      <c r="AB196" s="196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7.5483787481155862E-2</v>
      </c>
      <c r="AD196" s="230">
        <f>(INDEX(Models!$BJ196:$BT196,,AH196)*(1-AF196)+INDEX(Models!$BJ196:$BT196,,AH196+1)*AF196-ERP_i)*AE196*Ramure*Pc/MaxiM</f>
        <v>1.4579064865945387E-3</v>
      </c>
      <c r="AE196" s="304">
        <f t="shared" si="65"/>
        <v>0.5</v>
      </c>
      <c r="AF196" s="176">
        <f t="shared" si="66"/>
        <v>0.44570824078799687</v>
      </c>
      <c r="AG196" s="814">
        <f t="shared" si="74"/>
        <v>2</v>
      </c>
      <c r="AH196" s="175">
        <f t="shared" si="67"/>
        <v>8</v>
      </c>
      <c r="AI196" s="224">
        <f t="shared" si="68"/>
        <v>2.4457082407879969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10">
        <f>'2026'!Wh/'2026'!Env_an*'2027'!Env_an</f>
        <v>45.63069381955922</v>
      </c>
      <c r="C197" s="843"/>
      <c r="D197" s="392">
        <f t="shared" si="50"/>
        <v>49.009209884495142</v>
      </c>
      <c r="E197" s="384">
        <f t="shared" si="75"/>
        <v>51.141579060302412</v>
      </c>
      <c r="F197" s="384">
        <f t="shared" si="51"/>
        <v>51.15651884084965</v>
      </c>
      <c r="G197" s="110">
        <f t="shared" si="76"/>
        <v>0.87317659491007049</v>
      </c>
      <c r="H197" s="413" t="b">
        <f>Wh_hp&gt;='2026'!Maxi_hp</f>
        <v>0</v>
      </c>
      <c r="I197" s="389">
        <f>IF(H197,Wh_hp,'2026'!Maxi_hp)</f>
        <v>53.87379302070552</v>
      </c>
      <c r="J197" s="85">
        <f>IF(H197,An,'2026'!An_max)</f>
        <v>2021</v>
      </c>
      <c r="K197" s="196">
        <f t="shared" si="52"/>
        <v>46570</v>
      </c>
      <c r="L197" s="147">
        <f>IF(t&lt;Tvie,1-EXP((T0-t)*PertePVj)+'2026'!Pspv,1-EXP((T0-t)*PertePVj)+Pspv)</f>
        <v>6.893635039002674E-2</v>
      </c>
      <c r="M197" s="847"/>
      <c r="N197" s="847"/>
      <c r="O197" s="48">
        <f>IF(t&lt;Tnet,'2026'!Resal+('2026'!Salim-'2026'!Resal)*(1-EXP(('2026'!Tnet-t)/('2026'!Tau_j))),Resal+(Salim-Resal)*(1-EXP((Tnet-t)/(Tau_j))))*Salcycl</f>
        <v>4.1695411346077807E-2</v>
      </c>
      <c r="P197" s="168">
        <f>(INDEX(Models!$BJ197:$BT197,,T197)*(1-R197)+INDEX(Models!$BJ197:$BT197,,T197+1)*R197-ERP_i)*Q197*Ramure*Pc/MaxiM</f>
        <v>3.5662360437879704E-4</v>
      </c>
      <c r="Q197" s="304">
        <f t="shared" si="53"/>
        <v>0.5</v>
      </c>
      <c r="R197" s="176">
        <f t="shared" si="54"/>
        <v>0.33327111014820571</v>
      </c>
      <c r="S197" s="814">
        <f t="shared" si="55"/>
        <v>0</v>
      </c>
      <c r="T197" s="175">
        <f t="shared" si="56"/>
        <v>6</v>
      </c>
      <c r="U197" s="250">
        <f t="shared" si="57"/>
        <v>0.33327111014820571</v>
      </c>
      <c r="V197" s="382">
        <f t="shared" si="58"/>
        <v>52.254888939339288</v>
      </c>
      <c r="W197" s="401">
        <f t="shared" si="59"/>
        <v>45.63069381955922</v>
      </c>
      <c r="X197" s="157">
        <f t="shared" si="60"/>
        <v>46570</v>
      </c>
      <c r="Y197" s="384">
        <f t="shared" si="61"/>
        <v>43.979947550685658</v>
      </c>
      <c r="Z197" s="384">
        <f t="shared" si="62"/>
        <v>47.236241656635457</v>
      </c>
      <c r="AA197" s="385">
        <f t="shared" si="63"/>
        <v>51.095638389410986</v>
      </c>
      <c r="AB197" s="196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7.55328019069305E-2</v>
      </c>
      <c r="AD197" s="230">
        <f>(INDEX(Models!$BJ197:$BT197,,AH197)*(1-AF197)+INDEX(Models!$BJ197:$BT197,,AH197+1)*AF197-ERP_i)*AE197*Ramure*Pc/MaxiM</f>
        <v>1.4532613755341014E-3</v>
      </c>
      <c r="AE197" s="304">
        <f t="shared" si="65"/>
        <v>0.5</v>
      </c>
      <c r="AF197" s="176">
        <f t="shared" si="66"/>
        <v>0.44826364997259338</v>
      </c>
      <c r="AG197" s="814">
        <f t="shared" si="74"/>
        <v>2</v>
      </c>
      <c r="AH197" s="175">
        <f t="shared" si="67"/>
        <v>8</v>
      </c>
      <c r="AI197" s="224">
        <f t="shared" si="68"/>
        <v>2.4482636499725934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10">
        <f>'2026'!Wh/'2026'!Env_an*'2027'!Env_an</f>
        <v>41.435261734341751</v>
      </c>
      <c r="C198" s="843"/>
      <c r="D198" s="392">
        <f t="shared" si="50"/>
        <v>44.504119713425865</v>
      </c>
      <c r="E198" s="384">
        <f t="shared" si="75"/>
        <v>46.444150799844188</v>
      </c>
      <c r="F198" s="384">
        <f t="shared" si="51"/>
        <v>46.455813284483483</v>
      </c>
      <c r="G198" s="110">
        <f t="shared" si="76"/>
        <v>0.79391765364387468</v>
      </c>
      <c r="H198" s="413" t="b">
        <f>Wh_hp&gt;='2026'!Maxi_hp</f>
        <v>0</v>
      </c>
      <c r="I198" s="389">
        <f>IF(H198,Wh_hp,'2026'!Maxi_hp)</f>
        <v>50.483737643611768</v>
      </c>
      <c r="J198" s="85">
        <f>IF(H198,An,'2026'!An_max)</f>
        <v>2019</v>
      </c>
      <c r="K198" s="196">
        <f t="shared" si="52"/>
        <v>46571</v>
      </c>
      <c r="L198" s="147">
        <f>IF(t&lt;Tvie,1-EXP((T0-t)*PertePVj)+'2026'!Pspv,1-EXP((T0-t)*PertePVj)+Pspv)</f>
        <v>6.8956716790385369E-2</v>
      </c>
      <c r="M198" s="847"/>
      <c r="N198" s="847"/>
      <c r="O198" s="48">
        <f>IF(t&lt;Tnet,'2026'!Resal+('2026'!Salim-'2026'!Resal)*(1-EXP(('2026'!Tnet-t)/('2026'!Tau_j))),Resal+(Salim-Resal)*(1-EXP((Tnet-t)/(Tau_j))))*Salcycl</f>
        <v>4.1771268351510682E-2</v>
      </c>
      <c r="P198" s="168">
        <f>(INDEX(Models!$BJ198:$BT198,,T198)*(1-R198)+INDEX(Models!$BJ198:$BT198,,T198+1)*R198-ERP_i)*Q198*Ramure*Pc/MaxiM</f>
        <v>3.5573075091100304E-4</v>
      </c>
      <c r="Q198" s="304">
        <f t="shared" si="53"/>
        <v>0.5</v>
      </c>
      <c r="R198" s="176">
        <f t="shared" si="54"/>
        <v>0.33578242560858362</v>
      </c>
      <c r="S198" s="814">
        <f t="shared" si="55"/>
        <v>0</v>
      </c>
      <c r="T198" s="175">
        <f t="shared" si="56"/>
        <v>6</v>
      </c>
      <c r="U198" s="250">
        <f t="shared" si="57"/>
        <v>0.33578242560858362</v>
      </c>
      <c r="V198" s="382">
        <f t="shared" si="58"/>
        <v>52.185415905644902</v>
      </c>
      <c r="W198" s="401">
        <f t="shared" si="59"/>
        <v>41.435261734341751</v>
      </c>
      <c r="X198" s="157">
        <f t="shared" si="60"/>
        <v>46571</v>
      </c>
      <c r="Y198" s="384">
        <f t="shared" si="61"/>
        <v>39.942501179946383</v>
      </c>
      <c r="Z198" s="384">
        <f t="shared" si="62"/>
        <v>42.900799458271536</v>
      </c>
      <c r="AA198" s="385">
        <f t="shared" si="63"/>
        <v>46.408375531722733</v>
      </c>
      <c r="AB198" s="196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7.5580669076718093E-2</v>
      </c>
      <c r="AD198" s="230">
        <f>(INDEX(Models!$BJ198:$BT198,,AH198)*(1-AF198)+INDEX(Models!$BJ198:$BT198,,AH198+1)*AF198-ERP_i)*AE198*Ramure*Pc/MaxiM</f>
        <v>1.446953023565209E-3</v>
      </c>
      <c r="AE198" s="304">
        <f t="shared" si="65"/>
        <v>0.5</v>
      </c>
      <c r="AF198" s="176">
        <f t="shared" si="66"/>
        <v>0.45077496543297091</v>
      </c>
      <c r="AG198" s="814">
        <f t="shared" si="74"/>
        <v>2</v>
      </c>
      <c r="AH198" s="175">
        <f t="shared" si="67"/>
        <v>8</v>
      </c>
      <c r="AI198" s="224">
        <f t="shared" si="68"/>
        <v>2.4507749654329709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10">
        <f>'2026'!Wh/'2026'!Env_an*'2027'!Env_an</f>
        <v>42.452327006239543</v>
      </c>
      <c r="C199" s="843"/>
      <c r="D199" s="392">
        <f t="shared" si="50"/>
        <v>45.597510243238212</v>
      </c>
      <c r="E199" s="384">
        <f t="shared" si="75"/>
        <v>47.588939654301626</v>
      </c>
      <c r="F199" s="384">
        <f t="shared" si="51"/>
        <v>47.601344825920606</v>
      </c>
      <c r="G199" s="110">
        <f t="shared" si="76"/>
        <v>0.8145061950493615</v>
      </c>
      <c r="H199" s="413" t="b">
        <f>Wh_hp&gt;='2026'!Maxi_hp</f>
        <v>0</v>
      </c>
      <c r="I199" s="389">
        <f>IF(H199,Wh_hp,'2026'!Maxi_hp)</f>
        <v>48.796596745729502</v>
      </c>
      <c r="J199" s="85">
        <f>IF(H199,An,'2026'!An_max)</f>
        <v>2020</v>
      </c>
      <c r="K199" s="196">
        <f t="shared" si="52"/>
        <v>46572</v>
      </c>
      <c r="L199" s="147">
        <f>IF(t&lt;Tvie,1-EXP((T0-t)*PertePVj)+'2026'!Pspv,1-EXP((T0-t)*PertePVj)+Pspv)</f>
        <v>6.8977082744667489E-2</v>
      </c>
      <c r="M199" s="847"/>
      <c r="N199" s="847"/>
      <c r="O199" s="48">
        <f>IF(t&lt;Tnet,'2026'!Resal+('2026'!Salim-'2026'!Resal)*(1-EXP(('2026'!Tnet-t)/('2026'!Tau_j))),Resal+(Salim-Resal)*(1-EXP((Tnet-t)/(Tau_j))))*Salcycl</f>
        <v>4.1846475788905484E-2</v>
      </c>
      <c r="P199" s="168">
        <f>(INDEX(Models!$BJ199:$BT199,,T199)*(1-R199)+INDEX(Models!$BJ199:$BT199,,T199+1)*R199-ERP_i)*Q199*Ramure*Pc/MaxiM</f>
        <v>3.5450829983623441E-4</v>
      </c>
      <c r="Q199" s="304">
        <f t="shared" si="53"/>
        <v>0.5</v>
      </c>
      <c r="R199" s="176">
        <f t="shared" si="54"/>
        <v>0.33824871374295784</v>
      </c>
      <c r="S199" s="814">
        <f t="shared" si="55"/>
        <v>0</v>
      </c>
      <c r="T199" s="175">
        <f t="shared" si="56"/>
        <v>6</v>
      </c>
      <c r="U199" s="250">
        <f t="shared" si="57"/>
        <v>0.33824871374295784</v>
      </c>
      <c r="V199" s="382">
        <f t="shared" si="58"/>
        <v>52.115428749532327</v>
      </c>
      <c r="W199" s="401">
        <f t="shared" si="59"/>
        <v>42.452327006239543</v>
      </c>
      <c r="X199" s="157">
        <f t="shared" si="60"/>
        <v>46572</v>
      </c>
      <c r="Y199" s="384">
        <f t="shared" si="61"/>
        <v>40.922941045775104</v>
      </c>
      <c r="Z199" s="384">
        <f t="shared" si="62"/>
        <v>43.954816027962515</v>
      </c>
      <c r="AA199" s="385">
        <f t="shared" si="63"/>
        <v>47.5509732622969</v>
      </c>
      <c r="AB199" s="196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7.5627415962603944E-2</v>
      </c>
      <c r="AD199" s="230">
        <f>(INDEX(Models!$BJ199:$BT199,,AH199)*(1-AF199)+INDEX(Models!$BJ199:$BT199,,AH199+1)*AF199-ERP_i)*AE199*Ramure*Pc/MaxiM</f>
        <v>1.4394913612487659E-3</v>
      </c>
      <c r="AE199" s="304">
        <f t="shared" si="65"/>
        <v>0.5</v>
      </c>
      <c r="AF199" s="176">
        <f t="shared" si="66"/>
        <v>0.45324125356734557</v>
      </c>
      <c r="AG199" s="814">
        <f t="shared" si="74"/>
        <v>2</v>
      </c>
      <c r="AH199" s="175">
        <f t="shared" si="67"/>
        <v>8</v>
      </c>
      <c r="AI199" s="224">
        <f t="shared" si="68"/>
        <v>2.4532412535673456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10">
        <f>'2026'!Wh/'2026'!Env_an*'2027'!Env_an</f>
        <v>49.91475162743339</v>
      </c>
      <c r="C200" s="843"/>
      <c r="D200" s="392">
        <f t="shared" si="50"/>
        <v>53.613979396472644</v>
      </c>
      <c r="E200" s="384">
        <f t="shared" si="75"/>
        <v>55.959876025220282</v>
      </c>
      <c r="F200" s="384">
        <f t="shared" si="51"/>
        <v>55.978478516603396</v>
      </c>
      <c r="G200" s="110">
        <f t="shared" si="76"/>
        <v>0.95904887408062145</v>
      </c>
      <c r="H200" s="413" t="b">
        <f>Wh_hp&gt;='2026'!Maxi_hp</f>
        <v>0</v>
      </c>
      <c r="I200" s="389">
        <f>IF(H200,Wh_hp,'2026'!Maxi_hp)</f>
        <v>57.87508432107736</v>
      </c>
      <c r="J200" s="85">
        <f>IF(H200,An,'2026'!An_max)</f>
        <v>2021</v>
      </c>
      <c r="K200" s="196">
        <f t="shared" si="52"/>
        <v>46573</v>
      </c>
      <c r="L200" s="147">
        <f>IF(t&lt;Tvie,1-EXP((T0-t)*PertePVj)+'2026'!Pspv,1-EXP((T0-t)*PertePVj)+Pspv)</f>
        <v>6.8997448252882981E-2</v>
      </c>
      <c r="M200" s="847"/>
      <c r="N200" s="847"/>
      <c r="O200" s="48">
        <f>IF(t&lt;Tnet,'2026'!Resal+('2026'!Salim-'2026'!Resal)*(1-EXP(('2026'!Tnet-t)/('2026'!Tau_j))),Resal+(Salim-Resal)*(1-EXP((Tnet-t)/(Tau_j))))*Salcycl</f>
        <v>4.1921047639390425E-2</v>
      </c>
      <c r="P200" s="168">
        <f>(INDEX(Models!$BJ200:$BT200,,T200)*(1-R200)+INDEX(Models!$BJ200:$BT200,,T200+1)*R200-ERP_i)*Q200*Ramure*Pc/MaxiM</f>
        <v>3.5295341788382095E-4</v>
      </c>
      <c r="Q200" s="304">
        <f t="shared" si="53"/>
        <v>0.5</v>
      </c>
      <c r="R200" s="176">
        <f t="shared" si="54"/>
        <v>0.34066914875894216</v>
      </c>
      <c r="S200" s="814">
        <f t="shared" si="55"/>
        <v>0</v>
      </c>
      <c r="T200" s="175">
        <f t="shared" si="56"/>
        <v>6</v>
      </c>
      <c r="U200" s="250">
        <f t="shared" si="57"/>
        <v>0.34066914875894216</v>
      </c>
      <c r="V200" s="382">
        <f t="shared" si="58"/>
        <v>52.045023434563511</v>
      </c>
      <c r="W200" s="401">
        <f t="shared" si="59"/>
        <v>49.91475162743339</v>
      </c>
      <c r="X200" s="157">
        <f t="shared" si="60"/>
        <v>46573</v>
      </c>
      <c r="Y200" s="384">
        <f t="shared" si="61"/>
        <v>48.107422485088229</v>
      </c>
      <c r="Z200" s="384">
        <f t="shared" si="62"/>
        <v>51.672707442970982</v>
      </c>
      <c r="AA200" s="385">
        <f t="shared" si="63"/>
        <v>55.903064011664384</v>
      </c>
      <c r="AB200" s="196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7.5673071655083538E-2</v>
      </c>
      <c r="AD200" s="230">
        <f>(INDEX(Models!$BJ200:$BT200,,AH200)*(1-AF200)+INDEX(Models!$BJ200:$BT200,,AH200+1)*AF200-ERP_i)*AE200*Ramure*Pc/MaxiM</f>
        <v>1.4308732485372525E-3</v>
      </c>
      <c r="AE200" s="304">
        <f t="shared" si="65"/>
        <v>0.5</v>
      </c>
      <c r="AF200" s="176">
        <f t="shared" si="66"/>
        <v>0.45566168858332956</v>
      </c>
      <c r="AG200" s="814">
        <f t="shared" si="74"/>
        <v>2</v>
      </c>
      <c r="AH200" s="175">
        <f t="shared" si="67"/>
        <v>8</v>
      </c>
      <c r="AI200" s="224">
        <f t="shared" si="68"/>
        <v>2.4556616885833296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10">
        <f>'2026'!Wh/'2026'!Env_an*'2027'!Env_an</f>
        <v>38.473739635460717</v>
      </c>
      <c r="C201" s="843"/>
      <c r="D201" s="392">
        <f t="shared" si="50"/>
        <v>41.325967548807803</v>
      </c>
      <c r="E201" s="384">
        <f t="shared" si="75"/>
        <v>43.137527994855738</v>
      </c>
      <c r="F201" s="384">
        <f t="shared" si="51"/>
        <v>43.147054506045592</v>
      </c>
      <c r="G201" s="110">
        <f t="shared" si="76"/>
        <v>0.74014906567403649</v>
      </c>
      <c r="H201" s="413" t="b">
        <f>Wh_hp&gt;='2026'!Maxi_hp</f>
        <v>0</v>
      </c>
      <c r="I201" s="389">
        <f>IF(H201,Wh_hp,'2026'!Maxi_hp)</f>
        <v>56.501784231476087</v>
      </c>
      <c r="J201" s="85">
        <f>IF(H201,An,'2026'!An_max)</f>
        <v>2020</v>
      </c>
      <c r="K201" s="196">
        <f t="shared" si="52"/>
        <v>46574</v>
      </c>
      <c r="L201" s="147">
        <f>IF(t&lt;Tvie,1-EXP((T0-t)*PertePVj)+'2026'!Pspv,1-EXP((T0-t)*PertePVj)+Pspv)</f>
        <v>6.9017813315041615E-2</v>
      </c>
      <c r="M201" s="847"/>
      <c r="N201" s="847"/>
      <c r="O201" s="48">
        <f>IF(t&lt;Tnet,'2026'!Resal+('2026'!Salim-'2026'!Resal)*(1-EXP(('2026'!Tnet-t)/('2026'!Tau_j))),Resal+(Salim-Resal)*(1-EXP((Tnet-t)/(Tau_j))))*Salcycl</f>
        <v>4.1994999024143588E-2</v>
      </c>
      <c r="P201" s="168">
        <f>(INDEX(Models!$BJ201:$BT201,,T201)*(1-R201)+INDEX(Models!$BJ201:$BT201,,T201+1)*R201-ERP_i)*Q201*Ramure*Pc/MaxiM</f>
        <v>3.5106361712009909E-4</v>
      </c>
      <c r="Q201" s="304">
        <f t="shared" si="53"/>
        <v>0.5</v>
      </c>
      <c r="R201" s="176">
        <f t="shared" si="54"/>
        <v>0.34304301123561787</v>
      </c>
      <c r="S201" s="814">
        <f t="shared" si="55"/>
        <v>0</v>
      </c>
      <c r="T201" s="175">
        <f t="shared" si="56"/>
        <v>6</v>
      </c>
      <c r="U201" s="250">
        <f t="shared" si="57"/>
        <v>0.34304301123561787</v>
      </c>
      <c r="V201" s="382">
        <f t="shared" si="58"/>
        <v>51.974295806824678</v>
      </c>
      <c r="W201" s="401">
        <f t="shared" si="59"/>
        <v>38.473739635460717</v>
      </c>
      <c r="X201" s="157">
        <f t="shared" si="60"/>
        <v>46574</v>
      </c>
      <c r="Y201" s="384">
        <f t="shared" si="61"/>
        <v>37.094442493433334</v>
      </c>
      <c r="Z201" s="384">
        <f t="shared" si="62"/>
        <v>39.844417029631074</v>
      </c>
      <c r="AA201" s="385">
        <f t="shared" si="63"/>
        <v>43.108491435449913</v>
      </c>
      <c r="AB201" s="196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7.5717667149323056E-2</v>
      </c>
      <c r="AD201" s="230">
        <f>(INDEX(Models!$BJ201:$BT201,,AH201)*(1-AF201)+INDEX(Models!$BJ201:$BT201,,AH201+1)*AF201-ERP_i)*AE201*Ramure*Pc/MaxiM</f>
        <v>1.4210964308734911E-3</v>
      </c>
      <c r="AE201" s="304">
        <f t="shared" si="65"/>
        <v>0.5</v>
      </c>
      <c r="AF201" s="176">
        <f t="shared" si="66"/>
        <v>0.45803555106000537</v>
      </c>
      <c r="AG201" s="814">
        <f t="shared" si="74"/>
        <v>2</v>
      </c>
      <c r="AH201" s="175">
        <f t="shared" si="67"/>
        <v>8</v>
      </c>
      <c r="AI201" s="224">
        <f t="shared" si="68"/>
        <v>2.4580355510600054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10">
        <f>'2026'!Wh/'2026'!Env_an*'2027'!Env_an</f>
        <v>47.345859544563147</v>
      </c>
      <c r="C202" s="843"/>
      <c r="D202" s="392">
        <f t="shared" si="50"/>
        <v>50.856929277022282</v>
      </c>
      <c r="E202" s="384">
        <f t="shared" si="75"/>
        <v>53.09035260430074</v>
      </c>
      <c r="F202" s="384">
        <f t="shared" si="51"/>
        <v>53.10655430446873</v>
      </c>
      <c r="G202" s="110">
        <f t="shared" si="76"/>
        <v>0.91215296948676716</v>
      </c>
      <c r="H202" s="413" t="b">
        <f>Wh_hp&gt;='2026'!Maxi_hp</f>
        <v>0</v>
      </c>
      <c r="I202" s="389">
        <f>IF(H202,Wh_hp,'2026'!Maxi_hp)</f>
        <v>53.10830706585228</v>
      </c>
      <c r="J202" s="85">
        <f>IF(H202,An,'2026'!An_max)</f>
        <v>2025</v>
      </c>
      <c r="K202" s="196">
        <f t="shared" si="52"/>
        <v>46575</v>
      </c>
      <c r="L202" s="147">
        <f>IF(t&lt;Tvie,1-EXP((T0-t)*PertePVj)+'2026'!Pspv,1-EXP((T0-t)*PertePVj)+Pspv)</f>
        <v>6.903817793115305E-2</v>
      </c>
      <c r="M202" s="847"/>
      <c r="N202" s="847"/>
      <c r="O202" s="48">
        <f>IF(t&lt;Tnet,'2026'!Resal+('2026'!Salim-'2026'!Resal)*(1-EXP(('2026'!Tnet-t)/('2026'!Tau_j))),Resal+(Salim-Resal)*(1-EXP((Tnet-t)/(Tau_j))))*Salcycl</f>
        <v>4.2068346087750987E-2</v>
      </c>
      <c r="P202" s="168">
        <f>(INDEX(Models!$BJ202:$BT202,,T202)*(1-R202)+INDEX(Models!$BJ202:$BT202,,T202+1)*R202-ERP_i)*Q202*Ramure*Pc/MaxiM</f>
        <v>3.4883674081648351E-4</v>
      </c>
      <c r="Q202" s="304">
        <f t="shared" si="53"/>
        <v>0.5</v>
      </c>
      <c r="R202" s="176">
        <f t="shared" si="54"/>
        <v>0.3453696862646416</v>
      </c>
      <c r="S202" s="814">
        <f t="shared" si="55"/>
        <v>0</v>
      </c>
      <c r="T202" s="175">
        <f t="shared" si="56"/>
        <v>6</v>
      </c>
      <c r="U202" s="250">
        <f t="shared" si="57"/>
        <v>0.3453696862646416</v>
      </c>
      <c r="V202" s="382">
        <f t="shared" si="58"/>
        <v>51.903341603089942</v>
      </c>
      <c r="W202" s="401">
        <f t="shared" si="59"/>
        <v>47.345859544563147</v>
      </c>
      <c r="X202" s="157">
        <f t="shared" si="60"/>
        <v>46575</v>
      </c>
      <c r="Y202" s="384">
        <f t="shared" si="61"/>
        <v>45.638172141619677</v>
      </c>
      <c r="Z202" s="384">
        <f t="shared" si="62"/>
        <v>49.022603354667559</v>
      </c>
      <c r="AA202" s="385">
        <f t="shared" si="63"/>
        <v>53.041059537553132</v>
      </c>
      <c r="AB202" s="196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7.5761235124658488E-2</v>
      </c>
      <c r="AD202" s="230">
        <f>(INDEX(Models!$BJ202:$BT202,,AH202)*(1-AF202)+INDEX(Models!$BJ202:$BT202,,AH202+1)*AF202-ERP_i)*AE202*Ramure*Pc/MaxiM</f>
        <v>1.4101594767509781E-3</v>
      </c>
      <c r="AE202" s="304">
        <f t="shared" si="65"/>
        <v>0.5</v>
      </c>
      <c r="AF202" s="176">
        <f t="shared" si="66"/>
        <v>0.46036222608902921</v>
      </c>
      <c r="AG202" s="814">
        <f t="shared" si="74"/>
        <v>2</v>
      </c>
      <c r="AH202" s="175">
        <f t="shared" si="67"/>
        <v>8</v>
      </c>
      <c r="AI202" s="224">
        <f t="shared" si="68"/>
        <v>2.4603622260890292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10">
        <f>'2026'!Wh/'2026'!Env_an*'2027'!Env_an</f>
        <v>51.593637388595717</v>
      </c>
      <c r="C203" s="843"/>
      <c r="D203" s="392">
        <f t="shared" si="50"/>
        <v>55.420925720772679</v>
      </c>
      <c r="E203" s="384">
        <f t="shared" si="75"/>
        <v>57.859175355430494</v>
      </c>
      <c r="F203" s="384">
        <f t="shared" si="51"/>
        <v>57.879085392296197</v>
      </c>
      <c r="G203" s="110">
        <f t="shared" si="76"/>
        <v>0.99539405336892484</v>
      </c>
      <c r="H203" s="413" t="b">
        <f>Wh_hp&gt;='2026'!Maxi_hp</f>
        <v>0</v>
      </c>
      <c r="I203" s="389">
        <f>IF(H203,Wh_hp,'2026'!Maxi_hp)</f>
        <v>58.837681305863043</v>
      </c>
      <c r="J203" s="85">
        <f>IF(H203,An,'2026'!An_max)</f>
        <v>2020</v>
      </c>
      <c r="K203" s="196">
        <f t="shared" si="52"/>
        <v>46576</v>
      </c>
      <c r="L203" s="147">
        <f>IF(t&lt;Tvie,1-EXP((T0-t)*PertePVj)+'2026'!Pspv,1-EXP((T0-t)*PertePVj)+Pspv)</f>
        <v>6.9058542101227166E-2</v>
      </c>
      <c r="M203" s="847"/>
      <c r="N203" s="847"/>
      <c r="O203" s="48">
        <f>IF(t&lt;Tnet,'2026'!Resal+('2026'!Salim-'2026'!Resal)*(1-EXP(('2026'!Tnet-t)/('2026'!Tau_j))),Resal+(Salim-Resal)*(1-EXP((Tnet-t)/(Tau_j))))*Salcycl</f>
        <v>4.2141105877841846E-2</v>
      </c>
      <c r="P203" s="168">
        <f>(INDEX(Models!$BJ203:$BT203,,T203)*(1-R203)+INDEX(Models!$BJ203:$BT203,,T203+1)*R203-ERP_i)*Q203*Ramure*Pc/MaxiM</f>
        <v>3.4627094783030115E-4</v>
      </c>
      <c r="Q203" s="304">
        <f t="shared" si="53"/>
        <v>0.5</v>
      </c>
      <c r="R203" s="176">
        <f t="shared" si="54"/>
        <v>0.34764866120400306</v>
      </c>
      <c r="S203" s="814">
        <f t="shared" si="55"/>
        <v>0</v>
      </c>
      <c r="T203" s="175">
        <f t="shared" si="56"/>
        <v>6</v>
      </c>
      <c r="U203" s="250">
        <f t="shared" si="57"/>
        <v>0.34764866120400306</v>
      </c>
      <c r="V203" s="382">
        <f t="shared" si="58"/>
        <v>51.832256460238916</v>
      </c>
      <c r="W203" s="401">
        <f t="shared" si="59"/>
        <v>51.593637388595717</v>
      </c>
      <c r="X203" s="157">
        <f t="shared" si="60"/>
        <v>46576</v>
      </c>
      <c r="Y203" s="384">
        <f t="shared" si="61"/>
        <v>49.728414003757528</v>
      </c>
      <c r="Z203" s="384">
        <f t="shared" si="62"/>
        <v>53.417337451056795</v>
      </c>
      <c r="AA203" s="385">
        <f t="shared" si="63"/>
        <v>57.798699034687971</v>
      </c>
      <c r="AB203" s="196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7.5803809718998874E-2</v>
      </c>
      <c r="AD203" s="230">
        <f>(INDEX(Models!$BJ203:$BT203,,AH203)*(1-AF203)+INDEX(Models!$BJ203:$BT203,,AH203+1)*AF203-ERP_i)*AE203*Ramure*Pc/MaxiM</f>
        <v>1.3980617127622727E-3</v>
      </c>
      <c r="AE203" s="304">
        <f t="shared" si="65"/>
        <v>0.5</v>
      </c>
      <c r="AF203" s="176">
        <f t="shared" si="66"/>
        <v>0.46264120102839046</v>
      </c>
      <c r="AG203" s="814">
        <f t="shared" si="74"/>
        <v>2</v>
      </c>
      <c r="AH203" s="175">
        <f t="shared" si="67"/>
        <v>8</v>
      </c>
      <c r="AI203" s="224">
        <f t="shared" si="68"/>
        <v>2.4626412010283905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10">
        <f>'2026'!Wh/'2026'!Env_an*'2027'!Env_an</f>
        <v>50.813926611733443</v>
      </c>
      <c r="C204" s="843"/>
      <c r="D204" s="392">
        <f t="shared" si="50"/>
        <v>54.584568906756438</v>
      </c>
      <c r="E204" s="384">
        <f t="shared" si="75"/>
        <v>56.990318085898174</v>
      </c>
      <c r="F204" s="384">
        <f t="shared" si="51"/>
        <v>57.009381358644802</v>
      </c>
      <c r="G204" s="110">
        <f t="shared" si="76"/>
        <v>0.98169156123122958</v>
      </c>
      <c r="H204" s="413" t="b">
        <f>Wh_hp&gt;='2026'!Maxi_hp</f>
        <v>0</v>
      </c>
      <c r="I204" s="389">
        <f>IF(H204,Wh_hp,'2026'!Maxi_hp)</f>
        <v>58.42671028153908</v>
      </c>
      <c r="J204" s="85">
        <f>IF(H204,An,'2026'!An_max)</f>
        <v>2021</v>
      </c>
      <c r="K204" s="196">
        <f t="shared" si="52"/>
        <v>46577</v>
      </c>
      <c r="L204" s="147">
        <f>IF(t&lt;Tvie,1-EXP((T0-t)*PertePVj)+'2026'!Pspv,1-EXP((T0-t)*PertePVj)+Pspv)</f>
        <v>6.9078905825273734E-2</v>
      </c>
      <c r="M204" s="847"/>
      <c r="N204" s="847"/>
      <c r="O204" s="48">
        <f>IF(t&lt;Tnet,'2026'!Resal+('2026'!Salim-'2026'!Resal)*(1-EXP(('2026'!Tnet-t)/('2026'!Tau_j))),Resal+(Salim-Resal)*(1-EXP((Tnet-t)/(Tau_j))))*Salcycl</f>
        <v>4.2213296221924698E-2</v>
      </c>
      <c r="P204" s="168">
        <f>(INDEX(Models!$BJ204:$BT204,,T204)*(1-R204)+INDEX(Models!$BJ204:$BT204,,T204+1)*R204-ERP_i)*Q204*Ramure*Pc/MaxiM</f>
        <v>3.4336469575713943E-4</v>
      </c>
      <c r="Q204" s="304">
        <f t="shared" si="53"/>
        <v>0.5</v>
      </c>
      <c r="R204" s="176">
        <f t="shared" si="54"/>
        <v>0.34987952307927428</v>
      </c>
      <c r="S204" s="814">
        <f t="shared" si="55"/>
        <v>0</v>
      </c>
      <c r="T204" s="175">
        <f t="shared" si="56"/>
        <v>6</v>
      </c>
      <c r="U204" s="250">
        <f t="shared" si="57"/>
        <v>0.34987952307927428</v>
      </c>
      <c r="V204" s="382">
        <f t="shared" si="58"/>
        <v>51.761135923241689</v>
      </c>
      <c r="W204" s="401">
        <f t="shared" si="59"/>
        <v>50.813926611733443</v>
      </c>
      <c r="X204" s="157">
        <f t="shared" si="60"/>
        <v>46577</v>
      </c>
      <c r="Y204" s="384">
        <f t="shared" si="61"/>
        <v>48.979881650833974</v>
      </c>
      <c r="Z204" s="384">
        <f t="shared" si="62"/>
        <v>52.61442882466347</v>
      </c>
      <c r="AA204" s="385">
        <f t="shared" si="63"/>
        <v>56.932498439090345</v>
      </c>
      <c r="AB204" s="196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7.5845426299824034E-2</v>
      </c>
      <c r="AD204" s="230">
        <f>(INDEX(Models!$BJ204:$BT204,,AH204)*(1-AF204)+INDEX(Models!$BJ204:$BT204,,AH204+1)*AF204-ERP_i)*AE204*Ramure*Pc/MaxiM</f>
        <v>1.384803156971464E-3</v>
      </c>
      <c r="AE204" s="304">
        <f t="shared" si="65"/>
        <v>0.5</v>
      </c>
      <c r="AF204" s="176">
        <f t="shared" si="66"/>
        <v>0.46487206290366156</v>
      </c>
      <c r="AG204" s="814">
        <f t="shared" si="74"/>
        <v>2</v>
      </c>
      <c r="AH204" s="175">
        <f t="shared" si="67"/>
        <v>8</v>
      </c>
      <c r="AI204" s="224">
        <f t="shared" si="68"/>
        <v>2.4648720629036616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10">
        <f>'2026'!Wh/'2026'!Env_an*'2027'!Env_an</f>
        <v>50.617810269420339</v>
      </c>
      <c r="C205" s="843"/>
      <c r="D205" s="392">
        <f t="shared" si="50"/>
        <v>54.375089189867033</v>
      </c>
      <c r="E205" s="384">
        <f t="shared" si="75"/>
        <v>56.77585245468245</v>
      </c>
      <c r="F205" s="384">
        <f t="shared" si="51"/>
        <v>56.794597018015779</v>
      </c>
      <c r="G205" s="110">
        <f t="shared" si="76"/>
        <v>0.97925058251475416</v>
      </c>
      <c r="H205" s="413" t="b">
        <f>Wh_hp&gt;='2026'!Maxi_hp</f>
        <v>0</v>
      </c>
      <c r="I205" s="389">
        <f>IF(H205,Wh_hp,'2026'!Maxi_hp)</f>
        <v>57.577022545392943</v>
      </c>
      <c r="J205" s="85">
        <f>IF(H205,An,'2026'!An_max)</f>
        <v>2019</v>
      </c>
      <c r="K205" s="196">
        <f t="shared" si="52"/>
        <v>46578</v>
      </c>
      <c r="L205" s="147">
        <f>IF(t&lt;Tvie,1-EXP((T0-t)*PertePVj)+'2026'!Pspv,1-EXP((T0-t)*PertePVj)+Pspv)</f>
        <v>6.9099269103302413E-2</v>
      </c>
      <c r="M205" s="847"/>
      <c r="N205" s="847"/>
      <c r="O205" s="48">
        <f>IF(t&lt;Tnet,'2026'!Resal+('2026'!Salim-'2026'!Resal)*(1-EXP(('2026'!Tnet-t)/('2026'!Tau_j))),Resal+(Salim-Resal)*(1-EXP((Tnet-t)/(Tau_j))))*Salcycl</f>
        <v>4.2284935602361393E-2</v>
      </c>
      <c r="P205" s="168">
        <f>(INDEX(Models!$BJ205:$BT205,,T205)*(1-R205)+INDEX(Models!$BJ205:$BT205,,T205+1)*R205-ERP_i)*Q205*Ramure*Pc/MaxiM</f>
        <v>3.401183115380911E-4</v>
      </c>
      <c r="Q205" s="304">
        <f t="shared" si="53"/>
        <v>0.5</v>
      </c>
      <c r="R205" s="176">
        <f t="shared" si="54"/>
        <v>0.35206195566797149</v>
      </c>
      <c r="S205" s="814">
        <f t="shared" si="55"/>
        <v>0</v>
      </c>
      <c r="T205" s="175">
        <f t="shared" si="56"/>
        <v>6</v>
      </c>
      <c r="U205" s="250">
        <f t="shared" si="57"/>
        <v>0.35206195566797149</v>
      </c>
      <c r="V205" s="382">
        <f t="shared" si="58"/>
        <v>51.689833970175151</v>
      </c>
      <c r="W205" s="401">
        <f t="shared" si="59"/>
        <v>50.617810269420339</v>
      </c>
      <c r="X205" s="157">
        <f t="shared" si="60"/>
        <v>46578</v>
      </c>
      <c r="Y205" s="384">
        <f t="shared" si="61"/>
        <v>48.793051776078634</v>
      </c>
      <c r="Z205" s="384">
        <f t="shared" si="62"/>
        <v>52.414881798490306</v>
      </c>
      <c r="AA205" s="385">
        <f t="shared" si="63"/>
        <v>56.719072186700558</v>
      </c>
      <c r="AB205" s="196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7.5886121233476267E-2</v>
      </c>
      <c r="AD205" s="230">
        <f>(INDEX(Models!$BJ205:$BT205,,AH205)*(1-AF205)+INDEX(Models!$BJ205:$BT205,,AH205+1)*AF205-ERP_i)*AE205*Ramure*Pc/MaxiM</f>
        <v>1.3703908514347068E-3</v>
      </c>
      <c r="AE205" s="304">
        <f t="shared" si="65"/>
        <v>0.5</v>
      </c>
      <c r="AF205" s="176">
        <f t="shared" si="66"/>
        <v>0.46705449549235922</v>
      </c>
      <c r="AG205" s="814">
        <f t="shared" si="74"/>
        <v>2</v>
      </c>
      <c r="AH205" s="175">
        <f t="shared" si="67"/>
        <v>8</v>
      </c>
      <c r="AI205" s="224">
        <f t="shared" si="68"/>
        <v>2.4670544954923592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10">
        <f>'2026'!Wh/'2026'!Env_an*'2027'!Env_an</f>
        <v>49.432256299213087</v>
      </c>
      <c r="C206" s="843"/>
      <c r="D206" s="392">
        <f t="shared" si="50"/>
        <v>53.102695034791594</v>
      </c>
      <c r="E206" s="384">
        <f t="shared" si="75"/>
        <v>55.451396783030646</v>
      </c>
      <c r="F206" s="384">
        <f t="shared" si="51"/>
        <v>55.468930673069401</v>
      </c>
      <c r="G206" s="110">
        <f t="shared" si="76"/>
        <v>0.95763322520804439</v>
      </c>
      <c r="H206" s="413" t="b">
        <f>Wh_hp&gt;='2026'!Maxi_hp</f>
        <v>0</v>
      </c>
      <c r="I206" s="389">
        <f>IF(H206,Wh_hp,'2026'!Maxi_hp)</f>
        <v>58.243264696264866</v>
      </c>
      <c r="J206" s="85">
        <f>IF(H206,An,'2026'!An_max)</f>
        <v>2019</v>
      </c>
      <c r="K206" s="196">
        <f t="shared" si="52"/>
        <v>46579</v>
      </c>
      <c r="L206" s="147">
        <f>IF(t&lt;Tvie,1-EXP((T0-t)*PertePVj)+'2026'!Pspv,1-EXP((T0-t)*PertePVj)+Pspv)</f>
        <v>6.9119631935323084E-2</v>
      </c>
      <c r="M206" s="847"/>
      <c r="N206" s="847"/>
      <c r="O206" s="48">
        <f>IF(t&lt;Tnet,'2026'!Resal+('2026'!Salim-'2026'!Resal)*(1-EXP(('2026'!Tnet-t)/('2026'!Tau_j))),Resal+(Salim-Resal)*(1-EXP((Tnet-t)/(Tau_j))))*Salcycl</f>
        <v>4.2356043030422112E-2</v>
      </c>
      <c r="P206" s="168">
        <f>(INDEX(Models!$BJ206:$BT206,,T206)*(1-R206)+INDEX(Models!$BJ206:$BT206,,T206+1)*R206-ERP_i)*Q206*Ramure*Pc/MaxiM</f>
        <v>3.3645725842471448E-4</v>
      </c>
      <c r="Q206" s="304">
        <f t="shared" si="53"/>
        <v>0.5</v>
      </c>
      <c r="R206" s="176">
        <f t="shared" si="54"/>
        <v>0.35419573630299006</v>
      </c>
      <c r="S206" s="814">
        <f t="shared" si="55"/>
        <v>0</v>
      </c>
      <c r="T206" s="175">
        <f t="shared" si="56"/>
        <v>6</v>
      </c>
      <c r="U206" s="250">
        <f t="shared" si="57"/>
        <v>0.35419573630299006</v>
      </c>
      <c r="V206" s="382">
        <f t="shared" si="58"/>
        <v>51.61814410588422</v>
      </c>
      <c r="W206" s="401">
        <f t="shared" si="59"/>
        <v>49.432256299213087</v>
      </c>
      <c r="X206" s="157">
        <f t="shared" si="60"/>
        <v>46579</v>
      </c>
      <c r="Y206" s="384">
        <f t="shared" si="61"/>
        <v>47.653788496131973</v>
      </c>
      <c r="Z206" s="384">
        <f t="shared" si="62"/>
        <v>51.192172626011406</v>
      </c>
      <c r="AA206" s="385">
        <f t="shared" si="63"/>
        <v>55.398343465761968</v>
      </c>
      <c r="AB206" s="196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7.5925931654438783E-2</v>
      </c>
      <c r="AD206" s="230">
        <f>(INDEX(Models!$BJ206:$BT206,,AH206)*(1-AF206)+INDEX(Models!$BJ206:$BT206,,AH206+1)*AF206-ERP_i)*AE206*Ramure*Pc/MaxiM</f>
        <v>1.3544956765450178E-3</v>
      </c>
      <c r="AE206" s="304">
        <f t="shared" si="65"/>
        <v>0.5</v>
      </c>
      <c r="AF206" s="176">
        <f t="shared" si="66"/>
        <v>0.46918827612737779</v>
      </c>
      <c r="AG206" s="814">
        <f t="shared" si="74"/>
        <v>2</v>
      </c>
      <c r="AH206" s="175">
        <f t="shared" si="67"/>
        <v>8</v>
      </c>
      <c r="AI206" s="224">
        <f t="shared" si="68"/>
        <v>2.4691882761273778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10">
        <f>'2026'!Wh/'2026'!Env_an*'2027'!Env_an</f>
        <v>49.049539336620789</v>
      </c>
      <c r="C207" s="843"/>
      <c r="D207" s="392">
        <f t="shared" ref="D207:D270" si="77">Wh/(1-Ppv)</f>
        <v>52.692713230128135</v>
      </c>
      <c r="E207" s="384">
        <f t="shared" si="75"/>
        <v>55.027338182936795</v>
      </c>
      <c r="F207" s="384">
        <f t="shared" ref="F207:F270" si="78">Wh_sa/(1-Pvg*MEDIAN((-Sdif+Wh/Env_an)/Csdif,0,1))</f>
        <v>55.044374859668274</v>
      </c>
      <c r="G207" s="110">
        <f t="shared" si="76"/>
        <v>0.95154531888538452</v>
      </c>
      <c r="H207" s="413" t="b">
        <f>Wh_hp&gt;='2026'!Maxi_hp</f>
        <v>0</v>
      </c>
      <c r="I207" s="389">
        <f>IF(H207,Wh_hp,'2026'!Maxi_hp)</f>
        <v>59.300969895752004</v>
      </c>
      <c r="J207" s="85">
        <f>IF(H207,An,'2026'!An_max)</f>
        <v>2019</v>
      </c>
      <c r="K207" s="196">
        <f t="shared" ref="K207:K270" si="79">t</f>
        <v>46580</v>
      </c>
      <c r="L207" s="147">
        <f>IF(t&lt;Tvie,1-EXP((T0-t)*PertePVj)+'2026'!Pspv,1-EXP((T0-t)*PertePVj)+Pspv)</f>
        <v>6.9139994321345516E-2</v>
      </c>
      <c r="M207" s="847"/>
      <c r="N207" s="847"/>
      <c r="O207" s="48">
        <f>IF(t&lt;Tnet,'2026'!Resal+('2026'!Salim-'2026'!Resal)*(1-EXP(('2026'!Tnet-t)/('2026'!Tau_j))),Resal+(Salim-Resal)*(1-EXP((Tnet-t)/(Tau_j))))*Salcycl</f>
        <v>4.2426637920360076E-2</v>
      </c>
      <c r="P207" s="168">
        <f>(INDEX(Models!$BJ207:$BT207,,T207)*(1-R207)+INDEX(Models!$BJ207:$BT207,,T207+1)*R207-ERP_i)*Q207*Ramure*Pc/MaxiM</f>
        <v>3.3251462627747959E-4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0.35628073243102099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0.35628073243102099</v>
      </c>
      <c r="V207" s="382">
        <f t="shared" ref="V207:V270" si="85">MaxiM*(1-Ppv)*(1-Pvg)*(1-Psa)</f>
        <v>51.546058344734007</v>
      </c>
      <c r="W207" s="401">
        <f t="shared" ref="W207:W270" si="86">Wh*(A207&gt;Tmaj)</f>
        <v>49.049539336620789</v>
      </c>
      <c r="X207" s="157">
        <f t="shared" ref="X207:X270" si="87">t</f>
        <v>46580</v>
      </c>
      <c r="Y207" s="384">
        <f t="shared" ref="Y207:Y270" si="88">Wh_pvt_s*(1-Ppv)</f>
        <v>47.287321982180877</v>
      </c>
      <c r="Z207" s="384">
        <f t="shared" ref="Z207:Z270" si="89">Wh_sa_s*(1-Psa_s)</f>
        <v>50.799606486160613</v>
      </c>
      <c r="AA207" s="385">
        <f t="shared" ref="AA207:AA270" si="90">Wh_hp*(1-Pvg_s*MEDIAN((-Sdif+Wh/Env_an)/Csdif,0,1))</f>
        <v>54.97584044618074</v>
      </c>
      <c r="AB207" s="196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7.596489523627202E-2</v>
      </c>
      <c r="AD207" s="230">
        <f>(INDEX(Models!$BJ207:$BT207,,AH207)*(1-AF207)+INDEX(Models!$BJ207:$BT207,,AH207+1)*AF207-ERP_i)*AE207*Ramure*Pc/MaxiM</f>
        <v>1.3376255972413797E-3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0.47127327225540849</v>
      </c>
      <c r="AG207" s="814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2.4712732722554085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10">
        <f>'2026'!Wh/'2026'!Env_an*'2027'!Env_an</f>
        <v>49.054308827053731</v>
      </c>
      <c r="C208" s="843"/>
      <c r="D208" s="392">
        <f t="shared" si="77"/>
        <v>52.698989731498976</v>
      </c>
      <c r="E208" s="384">
        <f t="shared" si="75"/>
        <v>55.037921990512551</v>
      </c>
      <c r="F208" s="384">
        <f t="shared" si="78"/>
        <v>55.054782435327738</v>
      </c>
      <c r="G208" s="110">
        <f t="shared" si="76"/>
        <v>0.9529788185861825</v>
      </c>
      <c r="H208" s="413" t="b">
        <f>Wh_hp&gt;='2026'!Maxi_hp</f>
        <v>0</v>
      </c>
      <c r="I208" s="389">
        <f>IF(H208,Wh_hp,'2026'!Maxi_hp)</f>
        <v>55.055686034454325</v>
      </c>
      <c r="J208" s="85">
        <f>IF(H208,An,'2026'!An_max)</f>
        <v>2025</v>
      </c>
      <c r="K208" s="196">
        <f t="shared" si="79"/>
        <v>46581</v>
      </c>
      <c r="L208" s="147">
        <f>IF(t&lt;Tvie,1-EXP((T0-t)*PertePVj)+'2026'!Pspv,1-EXP((T0-t)*PertePVj)+Pspv)</f>
        <v>6.9160356261379369E-2</v>
      </c>
      <c r="M208" s="847"/>
      <c r="N208" s="847"/>
      <c r="O208" s="48">
        <f>IF(t&lt;Tnet,'2026'!Resal+('2026'!Salim-'2026'!Resal)*(1-EXP(('2026'!Tnet-t)/('2026'!Tau_j))),Resal+(Salim-Resal)*(1-EXP((Tnet-t)/(Tau_j))))*Salcycl</f>
        <v>4.249673996443324E-2</v>
      </c>
      <c r="P208" s="168">
        <f>(INDEX(Models!$BJ208:$BT208,,T208)*(1-R208)+INDEX(Models!$BJ208:$BT208,,T208+1)*R208-ERP_i)*Q208*Ramure*Pc/MaxiM</f>
        <v>3.2829097830760579E-4</v>
      </c>
      <c r="Q208" s="304">
        <f t="shared" si="80"/>
        <v>0.5</v>
      </c>
      <c r="R208" s="176">
        <f t="shared" si="81"/>
        <v>0.35831689796142829</v>
      </c>
      <c r="S208" s="814">
        <f t="shared" si="82"/>
        <v>0</v>
      </c>
      <c r="T208" s="175">
        <f t="shared" si="83"/>
        <v>6</v>
      </c>
      <c r="U208" s="250">
        <f t="shared" si="84"/>
        <v>0.35831689796142829</v>
      </c>
      <c r="V208" s="382">
        <f t="shared" si="85"/>
        <v>51.473575551547796</v>
      </c>
      <c r="W208" s="401">
        <f t="shared" si="86"/>
        <v>49.054308827053731</v>
      </c>
      <c r="X208" s="157">
        <f t="shared" si="87"/>
        <v>46581</v>
      </c>
      <c r="Y208" s="384">
        <f t="shared" si="88"/>
        <v>47.293933826763059</v>
      </c>
      <c r="Z208" s="384">
        <f t="shared" si="89"/>
        <v>50.807820815207108</v>
      </c>
      <c r="AA208" s="385">
        <f t="shared" si="90"/>
        <v>54.987000566753885</v>
      </c>
      <c r="AB208" s="196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7.6003049965841951E-2</v>
      </c>
      <c r="AD208" s="230">
        <f>(INDEX(Models!$BJ208:$BT208,,AH208)*(1-AF208)+INDEX(Models!$BJ208:$BT208,,AH208+1)*AF208-ERP_i)*AE208*Ramure*Pc/MaxiM</f>
        <v>1.3197858176070448E-3</v>
      </c>
      <c r="AE208" s="304">
        <f t="shared" si="92"/>
        <v>0.5</v>
      </c>
      <c r="AF208" s="176">
        <f t="shared" si="93"/>
        <v>0.47330943778581558</v>
      </c>
      <c r="AG208" s="814">
        <f t="shared" ref="AG208:AG271" si="99">INDEX(Echel_vg,AH208)</f>
        <v>2</v>
      </c>
      <c r="AH208" s="175">
        <f t="shared" si="94"/>
        <v>8</v>
      </c>
      <c r="AI208" s="224">
        <f t="shared" si="95"/>
        <v>2.4733094377858156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10">
        <f>'2026'!Wh/'2026'!Env_an*'2027'!Env_an</f>
        <v>48.482117658776126</v>
      </c>
      <c r="C209" s="843"/>
      <c r="D209" s="392">
        <f t="shared" si="77"/>
        <v>52.085424725911331</v>
      </c>
      <c r="E209" s="384">
        <f t="shared" si="75"/>
        <v>54.401081223815204</v>
      </c>
      <c r="F209" s="384">
        <f t="shared" si="78"/>
        <v>54.417271604524551</v>
      </c>
      <c r="G209" s="110">
        <f t="shared" si="76"/>
        <v>0.94319433488173143</v>
      </c>
      <c r="H209" s="413" t="b">
        <f>Wh_hp&gt;='2026'!Maxi_hp</f>
        <v>0</v>
      </c>
      <c r="I209" s="389">
        <f>IF(H209,Wh_hp,'2026'!Maxi_hp)</f>
        <v>58.425013192463943</v>
      </c>
      <c r="J209" s="85">
        <f>IF(H209,An,'2026'!An_max)</f>
        <v>2019</v>
      </c>
      <c r="K209" s="196">
        <f t="shared" si="79"/>
        <v>46582</v>
      </c>
      <c r="L209" s="147">
        <f>IF(t&lt;Tvie,1-EXP((T0-t)*PertePVj)+'2026'!Pspv,1-EXP((T0-t)*PertePVj)+Pspv)</f>
        <v>6.9180717755434523E-2</v>
      </c>
      <c r="M209" s="847"/>
      <c r="N209" s="847"/>
      <c r="O209" s="48">
        <f>IF(t&lt;Tnet,'2026'!Resal+('2026'!Salim-'2026'!Resal)*(1-EXP(('2026'!Tnet-t)/('2026'!Tau_j))),Resal+(Salim-Resal)*(1-EXP((Tnet-t)/(Tau_j))))*Salcycl</f>
        <v>4.2566369009778955E-2</v>
      </c>
      <c r="P209" s="168">
        <f>(INDEX(Models!$BJ209:$BT209,,T209)*(1-R209)+INDEX(Models!$BJ209:$BT209,,T209+1)*R209-ERP_i)*Q209*Ramure*Pc/MaxiM</f>
        <v>3.2378699091434408E-4</v>
      </c>
      <c r="Q209" s="304">
        <f t="shared" si="80"/>
        <v>0.5</v>
      </c>
      <c r="R209" s="176">
        <f t="shared" si="81"/>
        <v>0.36030426944030802</v>
      </c>
      <c r="S209" s="814">
        <f t="shared" si="82"/>
        <v>0</v>
      </c>
      <c r="T209" s="175">
        <f t="shared" si="83"/>
        <v>6</v>
      </c>
      <c r="U209" s="250">
        <f t="shared" si="84"/>
        <v>0.36030426944030802</v>
      </c>
      <c r="V209" s="382">
        <f t="shared" si="85"/>
        <v>51.400694580940765</v>
      </c>
      <c r="W209" s="401">
        <f t="shared" si="86"/>
        <v>48.482117658776126</v>
      </c>
      <c r="X209" s="157">
        <f t="shared" si="87"/>
        <v>46582</v>
      </c>
      <c r="Y209" s="384">
        <f t="shared" si="88"/>
        <v>46.745048204475921</v>
      </c>
      <c r="Z209" s="384">
        <f t="shared" si="89"/>
        <v>50.219252110630457</v>
      </c>
      <c r="AA209" s="385">
        <f t="shared" si="90"/>
        <v>54.352218380965319</v>
      </c>
      <c r="AB209" s="196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7.6040433922422296E-2</v>
      </c>
      <c r="AD209" s="230">
        <f>(INDEX(Models!$BJ209:$BT209,,AH209)*(1-AF209)+INDEX(Models!$BJ209:$BT209,,AH209+1)*AF209-ERP_i)*AE209*Ramure*Pc/MaxiM</f>
        <v>1.3009816065265563E-3</v>
      </c>
      <c r="AE209" s="304">
        <f t="shared" si="92"/>
        <v>0.5</v>
      </c>
      <c r="AF209" s="176">
        <f t="shared" si="93"/>
        <v>0.47529680926469542</v>
      </c>
      <c r="AG209" s="814">
        <f t="shared" si="99"/>
        <v>2</v>
      </c>
      <c r="AH209" s="175">
        <f t="shared" si="94"/>
        <v>8</v>
      </c>
      <c r="AI209" s="224">
        <f t="shared" si="95"/>
        <v>2.4752968092646954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10">
        <f>'2026'!Wh/'2026'!Env_an*'2027'!Env_an</f>
        <v>46.981949291895553</v>
      </c>
      <c r="C210" s="843"/>
      <c r="D210" s="392">
        <f t="shared" si="77"/>
        <v>50.474864357925362</v>
      </c>
      <c r="E210" s="384">
        <f t="shared" si="75"/>
        <v>52.722726534334861</v>
      </c>
      <c r="F210" s="384">
        <f t="shared" si="78"/>
        <v>52.73751526641361</v>
      </c>
      <c r="G210" s="110">
        <f t="shared" si="76"/>
        <v>0.91530299709948582</v>
      </c>
      <c r="H210" s="413" t="b">
        <f>Wh_hp&gt;='2026'!Maxi_hp</f>
        <v>0</v>
      </c>
      <c r="I210" s="389">
        <f>IF(H210,Wh_hp,'2026'!Maxi_hp)</f>
        <v>59.682824722317406</v>
      </c>
      <c r="J210" s="85">
        <f>IF(H210,An,'2026'!An_max)</f>
        <v>2019</v>
      </c>
      <c r="K210" s="196">
        <f t="shared" si="79"/>
        <v>46583</v>
      </c>
      <c r="L210" s="147">
        <f>IF(t&lt;Tvie,1-EXP((T0-t)*PertePVj)+'2026'!Pspv,1-EXP((T0-t)*PertePVj)+Pspv)</f>
        <v>6.9201078803520638E-2</v>
      </c>
      <c r="M210" s="847"/>
      <c r="N210" s="847"/>
      <c r="O210" s="48">
        <f>IF(t&lt;Tnet,'2026'!Resal+('2026'!Salim-'2026'!Resal)*(1-EXP(('2026'!Tnet-t)/('2026'!Tau_j))),Resal+(Salim-Resal)*(1-EXP((Tnet-t)/(Tau_j))))*Salcycl</f>
        <v>4.2635544938018591E-2</v>
      </c>
      <c r="P210" s="168">
        <f>(INDEX(Models!$BJ210:$BT210,,T210)*(1-R210)+INDEX(Models!$BJ210:$BT210,,T210+1)*R210-ERP_i)*Q210*Ramure*Pc/MaxiM</f>
        <v>3.190034307278593E-4</v>
      </c>
      <c r="Q210" s="304">
        <f t="shared" si="80"/>
        <v>0.5</v>
      </c>
      <c r="R210" s="176">
        <f t="shared" si="81"/>
        <v>0.36224296208339946</v>
      </c>
      <c r="S210" s="814">
        <f t="shared" si="82"/>
        <v>0</v>
      </c>
      <c r="T210" s="175">
        <f t="shared" si="83"/>
        <v>6</v>
      </c>
      <c r="U210" s="250">
        <f t="shared" si="84"/>
        <v>0.36224296208339946</v>
      </c>
      <c r="V210" s="382">
        <f t="shared" si="85"/>
        <v>51.327414284739973</v>
      </c>
      <c r="W210" s="401">
        <f t="shared" si="86"/>
        <v>46.981949291895553</v>
      </c>
      <c r="X210" s="157">
        <f t="shared" si="87"/>
        <v>46583</v>
      </c>
      <c r="Y210" s="384">
        <f t="shared" si="88"/>
        <v>45.302468735925899</v>
      </c>
      <c r="Z210" s="384">
        <f t="shared" si="89"/>
        <v>48.670521316991454</v>
      </c>
      <c r="AA210" s="385">
        <f t="shared" si="90"/>
        <v>52.678119061826692</v>
      </c>
      <c r="AB210" s="196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7.6077085063186181E-2</v>
      </c>
      <c r="AD210" s="230">
        <f>(INDEX(Models!$BJ210:$BT210,,AH210)*(1-AF210)+INDEX(Models!$BJ210:$BT210,,AH210+1)*AF210-ERP_i)*AE210*Ramure*Pc/MaxiM</f>
        <v>1.2812182230736283E-3</v>
      </c>
      <c r="AE210" s="304">
        <f t="shared" si="92"/>
        <v>0.5</v>
      </c>
      <c r="AF210" s="176">
        <f t="shared" si="93"/>
        <v>0.47723550190778674</v>
      </c>
      <c r="AG210" s="814">
        <f t="shared" si="99"/>
        <v>2</v>
      </c>
      <c r="AH210" s="175">
        <f t="shared" si="94"/>
        <v>8</v>
      </c>
      <c r="AI210" s="224">
        <f t="shared" si="95"/>
        <v>2.4772355019077867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10">
        <f>'2026'!Wh/'2026'!Env_an*'2027'!Env_an</f>
        <v>48.433888039901355</v>
      </c>
      <c r="C211" s="843"/>
      <c r="D211" s="392">
        <f t="shared" si="77"/>
        <v>52.035887041675842</v>
      </c>
      <c r="E211" s="384">
        <f t="shared" si="75"/>
        <v>54.357171315868051</v>
      </c>
      <c r="F211" s="384">
        <f t="shared" si="78"/>
        <v>54.37289957639917</v>
      </c>
      <c r="G211" s="110">
        <f t="shared" si="76"/>
        <v>0.94495930894057112</v>
      </c>
      <c r="H211" s="413" t="b">
        <f>Wh_hp&gt;='2026'!Maxi_hp</f>
        <v>0</v>
      </c>
      <c r="I211" s="389">
        <f>IF(H211,Wh_hp,'2026'!Maxi_hp)</f>
        <v>58.694583788185525</v>
      </c>
      <c r="J211" s="85">
        <f>IF(H211,An,'2026'!An_max)</f>
        <v>2019</v>
      </c>
      <c r="K211" s="196">
        <f t="shared" si="79"/>
        <v>46584</v>
      </c>
      <c r="L211" s="147">
        <f>IF(t&lt;Tvie,1-EXP((T0-t)*PertePVj)+'2026'!Pspv,1-EXP((T0-t)*PertePVj)+Pspv)</f>
        <v>6.9221439405647595E-2</v>
      </c>
      <c r="M211" s="847"/>
      <c r="N211" s="847"/>
      <c r="O211" s="48">
        <f>IF(t&lt;Tnet,'2026'!Resal+('2026'!Salim-'2026'!Resal)*(1-EXP(('2026'!Tnet-t)/('2026'!Tau_j))),Resal+(Salim-Resal)*(1-EXP((Tnet-t)/(Tau_j))))*Salcycl</f>
        <v>4.2704287548432016E-2</v>
      </c>
      <c r="P211" s="168">
        <f>(INDEX(Models!$BJ211:$BT211,,T211)*(1-R211)+INDEX(Models!$BJ211:$BT211,,T211+1)*R211-ERP_i)*Q211*Ramure*Pc/MaxiM</f>
        <v>3.1394113225729917E-4</v>
      </c>
      <c r="Q211" s="304">
        <f t="shared" si="80"/>
        <v>0.5</v>
      </c>
      <c r="R211" s="176">
        <f t="shared" si="81"/>
        <v>0.36413316570020426</v>
      </c>
      <c r="S211" s="814">
        <f t="shared" si="82"/>
        <v>0</v>
      </c>
      <c r="T211" s="175">
        <f t="shared" si="83"/>
        <v>6</v>
      </c>
      <c r="U211" s="250">
        <f t="shared" si="84"/>
        <v>0.36413316570020426</v>
      </c>
      <c r="V211" s="382">
        <f t="shared" si="85"/>
        <v>51.253733519980301</v>
      </c>
      <c r="W211" s="401">
        <f t="shared" si="86"/>
        <v>48.433888039901355</v>
      </c>
      <c r="X211" s="157">
        <f t="shared" si="87"/>
        <v>46584</v>
      </c>
      <c r="Y211" s="384">
        <f t="shared" si="88"/>
        <v>46.702809350473139</v>
      </c>
      <c r="Z211" s="384">
        <f t="shared" si="89"/>
        <v>50.176069075603621</v>
      </c>
      <c r="AA211" s="385">
        <f t="shared" si="90"/>
        <v>54.309749247690192</v>
      </c>
      <c r="AB211" s="196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7.6113041016523914E-2</v>
      </c>
      <c r="AD211" s="230">
        <f>(INDEX(Models!$BJ211:$BT211,,AH211)*(1-AF211)+INDEX(Models!$BJ211:$BT211,,AH211+1)*AF211-ERP_i)*AE211*Ramure*Pc/MaxiM</f>
        <v>1.2605008454747736E-3</v>
      </c>
      <c r="AE211" s="304">
        <f t="shared" si="92"/>
        <v>0.5</v>
      </c>
      <c r="AF211" s="176">
        <f t="shared" si="93"/>
        <v>0.47912570552459188</v>
      </c>
      <c r="AG211" s="814">
        <f t="shared" si="99"/>
        <v>2</v>
      </c>
      <c r="AH211" s="175">
        <f t="shared" si="94"/>
        <v>8</v>
      </c>
      <c r="AI211" s="224">
        <f t="shared" si="95"/>
        <v>2.4791257055245919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10">
        <f>'2026'!Wh/'2026'!Env_an*'2027'!Env_an</f>
        <v>48.112610458755348</v>
      </c>
      <c r="C212" s="843"/>
      <c r="D212" s="392">
        <f t="shared" si="77"/>
        <v>51.691846965307725</v>
      </c>
      <c r="E212" s="384">
        <f t="shared" si="75"/>
        <v>54.001638328981684</v>
      </c>
      <c r="F212" s="384">
        <f t="shared" si="78"/>
        <v>54.016880097005085</v>
      </c>
      <c r="G212" s="110">
        <f t="shared" si="76"/>
        <v>0.94004818701149617</v>
      </c>
      <c r="H212" s="413" t="b">
        <f>Wh_hp&gt;='2026'!Maxi_hp</f>
        <v>0</v>
      </c>
      <c r="I212" s="389">
        <f>IF(H212,Wh_hp,'2026'!Maxi_hp)</f>
        <v>57.888056189789317</v>
      </c>
      <c r="J212" s="85">
        <f>IF(H212,An,'2026'!An_max)</f>
        <v>2021</v>
      </c>
      <c r="K212" s="196">
        <f t="shared" si="79"/>
        <v>46585</v>
      </c>
      <c r="L212" s="147">
        <f>IF(t&lt;Tvie,1-EXP((T0-t)*PertePVj)+'2026'!Pspv,1-EXP((T0-t)*PertePVj)+Pspv)</f>
        <v>6.9241799561825051E-2</v>
      </c>
      <c r="M212" s="847"/>
      <c r="N212" s="847"/>
      <c r="O212" s="48">
        <f>IF(t&lt;Tnet,'2026'!Resal+('2026'!Salim-'2026'!Resal)*(1-EXP(('2026'!Tnet-t)/('2026'!Tau_j))),Resal+(Salim-Resal)*(1-EXP((Tnet-t)/(Tau_j))))*Salcycl</f>
        <v>4.2772616445496583E-2</v>
      </c>
      <c r="P212" s="168">
        <f>(INDEX(Models!$BJ212:$BT212,,T212)*(1-R212)+INDEX(Models!$BJ212:$BT212,,T212+1)*R212-ERP_i)*Q212*Ramure*Pc/MaxiM</f>
        <v>3.0858468154268854E-4</v>
      </c>
      <c r="Q212" s="304">
        <f t="shared" si="80"/>
        <v>0.5</v>
      </c>
      <c r="R212" s="176">
        <f t="shared" si="81"/>
        <v>0.36597514054015012</v>
      </c>
      <c r="S212" s="814">
        <f t="shared" si="82"/>
        <v>0</v>
      </c>
      <c r="T212" s="175">
        <f t="shared" si="83"/>
        <v>6</v>
      </c>
      <c r="U212" s="250">
        <f t="shared" si="84"/>
        <v>0.36597514054015012</v>
      </c>
      <c r="V212" s="382">
        <f t="shared" si="85"/>
        <v>51.179651989730125</v>
      </c>
      <c r="W212" s="401">
        <f t="shared" si="86"/>
        <v>48.112610458755348</v>
      </c>
      <c r="X212" s="157">
        <f t="shared" si="87"/>
        <v>46585</v>
      </c>
      <c r="Y212" s="384">
        <f t="shared" si="88"/>
        <v>46.395559274299586</v>
      </c>
      <c r="Z212" s="384">
        <f t="shared" si="89"/>
        <v>49.847059367790536</v>
      </c>
      <c r="AA212" s="385">
        <f t="shared" si="90"/>
        <v>53.955695990852639</v>
      </c>
      <c r="AB212" s="196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7.6148338884529598E-2</v>
      </c>
      <c r="AD212" s="230">
        <f>(INDEX(Models!$BJ212:$BT212,,AH212)*(1-AF212)+INDEX(Models!$BJ212:$BT212,,AH212+1)*AF212-ERP_i)*AE212*Ramure*Pc/MaxiM</f>
        <v>1.2387327955352546E-3</v>
      </c>
      <c r="AE212" s="304">
        <f t="shared" si="92"/>
        <v>0.5</v>
      </c>
      <c r="AF212" s="176">
        <f t="shared" si="93"/>
        <v>0.48096768036453774</v>
      </c>
      <c r="AG212" s="814">
        <f t="shared" si="99"/>
        <v>2</v>
      </c>
      <c r="AH212" s="175">
        <f t="shared" si="94"/>
        <v>8</v>
      </c>
      <c r="AI212" s="224">
        <f t="shared" si="95"/>
        <v>2.4809676803645377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10">
        <f>'2026'!Wh/'2026'!Env_an*'2027'!Env_an</f>
        <v>48.836632958299788</v>
      </c>
      <c r="C213" s="843"/>
      <c r="D213" s="392">
        <f t="shared" si="77"/>
        <v>52.470879361802126</v>
      </c>
      <c r="E213" s="384">
        <f t="shared" si="75"/>
        <v>54.819371435833609</v>
      </c>
      <c r="F213" s="384">
        <f t="shared" si="78"/>
        <v>54.834935642487338</v>
      </c>
      <c r="G213" s="110">
        <f t="shared" si="76"/>
        <v>0.9555921913814247</v>
      </c>
      <c r="H213" s="413" t="b">
        <f>Wh_hp&gt;='2026'!Maxi_hp</f>
        <v>0</v>
      </c>
      <c r="I213" s="389">
        <f>IF(H213,Wh_hp,'2026'!Maxi_hp)</f>
        <v>54.835713530083801</v>
      </c>
      <c r="J213" s="85">
        <f>IF(H213,An,'2026'!An_max)</f>
        <v>2025</v>
      </c>
      <c r="K213" s="196">
        <f t="shared" si="79"/>
        <v>46586</v>
      </c>
      <c r="L213" s="147">
        <f>IF(t&lt;Tvie,1-EXP((T0-t)*PertePVj)+'2026'!Pspv,1-EXP((T0-t)*PertePVj)+Pspv)</f>
        <v>6.926215927206289E-2</v>
      </c>
      <c r="M213" s="847"/>
      <c r="N213" s="847"/>
      <c r="O213" s="48">
        <f>IF(t&lt;Tnet,'2026'!Resal+('2026'!Salim-'2026'!Resal)*(1-EXP(('2026'!Tnet-t)/('2026'!Tau_j))),Resal+(Salim-Resal)*(1-EXP((Tnet-t)/(Tau_j))))*Salcycl</f>
        <v>4.2840550931533501E-2</v>
      </c>
      <c r="P213" s="168">
        <f>(INDEX(Models!$BJ213:$BT213,,T213)*(1-R213)+INDEX(Models!$BJ213:$BT213,,T213+1)*R213-ERP_i)*Q213*Ramure*Pc/MaxiM</f>
        <v>3.0305520633910985E-4</v>
      </c>
      <c r="Q213" s="304">
        <f t="shared" si="80"/>
        <v>0.5</v>
      </c>
      <c r="R213" s="176">
        <f t="shared" si="81"/>
        <v>0.36776921308992433</v>
      </c>
      <c r="S213" s="814">
        <f t="shared" si="82"/>
        <v>0</v>
      </c>
      <c r="T213" s="175">
        <f t="shared" si="83"/>
        <v>6</v>
      </c>
      <c r="U213" s="250">
        <f t="shared" si="84"/>
        <v>0.36776921308992433</v>
      </c>
      <c r="V213" s="382">
        <f t="shared" si="85"/>
        <v>51.105162432578744</v>
      </c>
      <c r="W213" s="401">
        <f t="shared" si="86"/>
        <v>48.836632958299788</v>
      </c>
      <c r="X213" s="157">
        <f t="shared" si="87"/>
        <v>46586</v>
      </c>
      <c r="Y213" s="384">
        <f t="shared" si="88"/>
        <v>47.095088505626265</v>
      </c>
      <c r="Z213" s="384">
        <f t="shared" si="89"/>
        <v>50.599735440855014</v>
      </c>
      <c r="AA213" s="385">
        <f t="shared" si="90"/>
        <v>54.772467128775062</v>
      </c>
      <c r="AB213" s="196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7.6183015055896169E-2</v>
      </c>
      <c r="AD213" s="230">
        <f>(INDEX(Models!$BJ213:$BT213,,AH213)*(1-AF213)+INDEX(Models!$BJ213:$BT213,,AH213+1)*AF213-ERP_i)*AE213*Ramure*Pc/MaxiM</f>
        <v>1.2163426465576666E-3</v>
      </c>
      <c r="AE213" s="304">
        <f t="shared" si="92"/>
        <v>0.5</v>
      </c>
      <c r="AF213" s="176">
        <f t="shared" si="93"/>
        <v>0.48276175291431178</v>
      </c>
      <c r="AG213" s="814">
        <f t="shared" si="99"/>
        <v>2</v>
      </c>
      <c r="AH213" s="175">
        <f t="shared" si="94"/>
        <v>8</v>
      </c>
      <c r="AI213" s="224">
        <f t="shared" si="95"/>
        <v>2.4827617529143118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10">
        <f>'2026'!Wh/'2026'!Env_an*'2027'!Env_an</f>
        <v>38.6014726067664</v>
      </c>
      <c r="C214" s="843"/>
      <c r="D214" s="392">
        <f t="shared" si="77"/>
        <v>41.474962462360153</v>
      </c>
      <c r="E214" s="384">
        <f t="shared" si="75"/>
        <v>43.334357851731127</v>
      </c>
      <c r="F214" s="384">
        <f t="shared" si="78"/>
        <v>43.342761729139667</v>
      </c>
      <c r="G214" s="110">
        <f t="shared" si="76"/>
        <v>0.75636446402884583</v>
      </c>
      <c r="H214" s="413" t="b">
        <f>Wh_hp&gt;='2026'!Maxi_hp</f>
        <v>0</v>
      </c>
      <c r="I214" s="389">
        <f>IF(H214,Wh_hp,'2026'!Maxi_hp)</f>
        <v>57.925852793246442</v>
      </c>
      <c r="J214" s="85">
        <f>IF(H214,An,'2026'!An_max)</f>
        <v>2020</v>
      </c>
      <c r="K214" s="196">
        <f t="shared" si="79"/>
        <v>46587</v>
      </c>
      <c r="L214" s="147">
        <f>IF(t&lt;Tvie,1-EXP((T0-t)*PertePVj)+'2026'!Pspv,1-EXP((T0-t)*PertePVj)+Pspv)</f>
        <v>6.928251853637088E-2</v>
      </c>
      <c r="M214" s="847"/>
      <c r="N214" s="847"/>
      <c r="O214" s="48">
        <f>IF(t&lt;Tnet,'2026'!Resal+('2026'!Salim-'2026'!Resal)*(1-EXP(('2026'!Tnet-t)/('2026'!Tau_j))),Resal+(Salim-Resal)*(1-EXP((Tnet-t)/(Tau_j))))*Salcycl</f>
        <v>4.2908109905145306E-2</v>
      </c>
      <c r="P214" s="168">
        <f>(INDEX(Models!$BJ214:$BT214,,T214)*(1-R214)+INDEX(Models!$BJ214:$BT214,,T214+1)*R214-ERP_i)*Q214*Ramure*Pc/MaxiM</f>
        <v>2.9735473790166452E-4</v>
      </c>
      <c r="Q214" s="304">
        <f t="shared" si="80"/>
        <v>0.5</v>
      </c>
      <c r="R214" s="176">
        <f t="shared" si="81"/>
        <v>0.3695157718492626</v>
      </c>
      <c r="S214" s="814">
        <f t="shared" si="82"/>
        <v>0</v>
      </c>
      <c r="T214" s="175">
        <f t="shared" si="83"/>
        <v>6</v>
      </c>
      <c r="U214" s="250">
        <f t="shared" si="84"/>
        <v>0.3695157718492626</v>
      </c>
      <c r="V214" s="382">
        <f t="shared" si="85"/>
        <v>51.030263728169579</v>
      </c>
      <c r="W214" s="401">
        <f t="shared" si="86"/>
        <v>38.6014726067664</v>
      </c>
      <c r="X214" s="157">
        <f t="shared" si="87"/>
        <v>46587</v>
      </c>
      <c r="Y214" s="384">
        <f t="shared" si="88"/>
        <v>37.236281054547106</v>
      </c>
      <c r="Z214" s="384">
        <f t="shared" si="89"/>
        <v>40.008146184156786</v>
      </c>
      <c r="AA214" s="385">
        <f t="shared" si="90"/>
        <v>43.309035490931983</v>
      </c>
      <c r="AB214" s="196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7.6217105030342555E-2</v>
      </c>
      <c r="AD214" s="230">
        <f>(INDEX(Models!$BJ214:$BT214,,AH214)*(1-AF214)+INDEX(Models!$BJ214:$BT214,,AH214+1)*AF214-ERP_i)*AE214*Ramure*Pc/MaxiM</f>
        <v>1.1933368652498667E-3</v>
      </c>
      <c r="AE214" s="304">
        <f t="shared" si="92"/>
        <v>0.5</v>
      </c>
      <c r="AF214" s="176">
        <f t="shared" si="93"/>
        <v>0.48450831167364994</v>
      </c>
      <c r="AG214" s="814">
        <f t="shared" si="99"/>
        <v>2</v>
      </c>
      <c r="AH214" s="175">
        <f t="shared" si="94"/>
        <v>8</v>
      </c>
      <c r="AI214" s="224">
        <f t="shared" si="95"/>
        <v>2.4845083116736499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10">
        <f>'2026'!Wh/'2026'!Env_an*'2027'!Env_an</f>
        <v>37.628923608665218</v>
      </c>
      <c r="C215" s="843"/>
      <c r="D215" s="392">
        <f t="shared" si="77"/>
        <v>40.430901410456421</v>
      </c>
      <c r="E215" s="384">
        <f t="shared" si="75"/>
        <v>42.246456029328094</v>
      </c>
      <c r="F215" s="384">
        <f t="shared" si="78"/>
        <v>42.254170963873939</v>
      </c>
      <c r="G215" s="110">
        <f t="shared" si="76"/>
        <v>0.73839384565261446</v>
      </c>
      <c r="H215" s="413" t="b">
        <f>Wh_hp&gt;='2026'!Maxi_hp</f>
        <v>0</v>
      </c>
      <c r="I215" s="389">
        <f>IF(H215,Wh_hp,'2026'!Maxi_hp)</f>
        <v>57.010821173837634</v>
      </c>
      <c r="J215" s="85">
        <f>IF(H215,An,'2026'!An_max)</f>
        <v>2020</v>
      </c>
      <c r="K215" s="196">
        <f t="shared" si="79"/>
        <v>46588</v>
      </c>
      <c r="L215" s="147">
        <f>IF(t&lt;Tvie,1-EXP((T0-t)*PertePVj)+'2026'!Pspv,1-EXP((T0-t)*PertePVj)+Pspv)</f>
        <v>6.930287735475868E-2</v>
      </c>
      <c r="M215" s="847"/>
      <c r="N215" s="847"/>
      <c r="O215" s="48">
        <f>IF(t&lt;Tnet,'2026'!Resal+('2026'!Salim-'2026'!Resal)*(1-EXP(('2026'!Tnet-t)/('2026'!Tau_j))),Resal+(Salim-Resal)*(1-EXP((Tnet-t)/(Tau_j))))*Salcycl</f>
        <v>4.2975311766063562E-2</v>
      </c>
      <c r="P215" s="168">
        <f>(INDEX(Models!$BJ215:$BT215,,T215)*(1-R215)+INDEX(Models!$BJ215:$BT215,,T215+1)*R215-ERP_i)*Q215*Ramure*Pc/MaxiM</f>
        <v>2.9148524519113082E-4</v>
      </c>
      <c r="Q215" s="304">
        <f t="shared" si="80"/>
        <v>0.5</v>
      </c>
      <c r="R215" s="176">
        <f t="shared" si="81"/>
        <v>0.37121526311052366</v>
      </c>
      <c r="S215" s="814">
        <f t="shared" si="82"/>
        <v>0</v>
      </c>
      <c r="T215" s="175">
        <f t="shared" si="83"/>
        <v>6</v>
      </c>
      <c r="U215" s="250">
        <f t="shared" si="84"/>
        <v>0.37121526311052366</v>
      </c>
      <c r="V215" s="382">
        <f t="shared" si="85"/>
        <v>50.954954790479896</v>
      </c>
      <c r="W215" s="401">
        <f t="shared" si="86"/>
        <v>37.628923608665218</v>
      </c>
      <c r="X215" s="157">
        <f t="shared" si="87"/>
        <v>46588</v>
      </c>
      <c r="Y215" s="384">
        <f t="shared" si="88"/>
        <v>36.300597999052755</v>
      </c>
      <c r="Z215" s="384">
        <f t="shared" si="89"/>
        <v>39.003664152177294</v>
      </c>
      <c r="AA215" s="385">
        <f t="shared" si="90"/>
        <v>42.223211163727385</v>
      </c>
      <c r="AB215" s="196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7.6250643255572723E-2</v>
      </c>
      <c r="AD215" s="230">
        <f>(INDEX(Models!$BJ215:$BT215,,AH215)*(1-AF215)+INDEX(Models!$BJ215:$BT215,,AH215+1)*AF215-ERP_i)*AE215*Ramure*Pc/MaxiM</f>
        <v>1.1697215165156804E-3</v>
      </c>
      <c r="AE215" s="304">
        <f t="shared" si="92"/>
        <v>0.5</v>
      </c>
      <c r="AF215" s="176">
        <f t="shared" si="93"/>
        <v>0.48620780293491128</v>
      </c>
      <c r="AG215" s="814">
        <f t="shared" si="99"/>
        <v>2</v>
      </c>
      <c r="AH215" s="175">
        <f t="shared" si="94"/>
        <v>8</v>
      </c>
      <c r="AI215" s="224">
        <f t="shared" si="95"/>
        <v>2.4862078029349113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10">
        <f>'2026'!Wh/'2026'!Env_an*'2027'!Env_an</f>
        <v>47.706322582079466</v>
      </c>
      <c r="C216" s="843"/>
      <c r="D216" s="392">
        <f t="shared" si="77"/>
        <v>51.259819105248056</v>
      </c>
      <c r="E216" s="384">
        <f t="shared" si="75"/>
        <v>53.565389957698663</v>
      </c>
      <c r="F216" s="384">
        <f t="shared" si="78"/>
        <v>53.579321575941549</v>
      </c>
      <c r="G216" s="110">
        <f t="shared" si="76"/>
        <v>0.93761451978740418</v>
      </c>
      <c r="H216" s="413" t="b">
        <f>Wh_hp&gt;='2026'!Maxi_hp</f>
        <v>0</v>
      </c>
      <c r="I216" s="389">
        <f>IF(H216,Wh_hp,'2026'!Maxi_hp)</f>
        <v>53.580322966747843</v>
      </c>
      <c r="J216" s="85">
        <f>IF(H216,An,'2026'!An_max)</f>
        <v>2025</v>
      </c>
      <c r="K216" s="196">
        <f t="shared" si="79"/>
        <v>46589</v>
      </c>
      <c r="L216" s="147">
        <f>IF(t&lt;Tvie,1-EXP((T0-t)*PertePVj)+'2026'!Pspv,1-EXP((T0-t)*PertePVj)+Pspv)</f>
        <v>6.932323572723606E-2</v>
      </c>
      <c r="M216" s="847"/>
      <c r="N216" s="847"/>
      <c r="O216" s="48">
        <f>IF(t&lt;Tnet,'2026'!Resal+('2026'!Salim-'2026'!Resal)*(1-EXP(('2026'!Tnet-t)/('2026'!Tau_j))),Resal+(Salim-Resal)*(1-EXP((Tnet-t)/(Tau_j))))*Salcycl</f>
        <v>4.3042174326955333E-2</v>
      </c>
      <c r="P216" s="168">
        <f>(INDEX(Models!$BJ216:$BT216,,T216)*(1-R216)+INDEX(Models!$BJ216:$BT216,,T216+1)*R216-ERP_i)*Q216*Ramure*Pc/MaxiM</f>
        <v>2.8544862281654676E-4</v>
      </c>
      <c r="Q216" s="304">
        <f t="shared" si="80"/>
        <v>0.5</v>
      </c>
      <c r="R216" s="176">
        <f t="shared" si="81"/>
        <v>0.37286818676535965</v>
      </c>
      <c r="S216" s="814">
        <f t="shared" si="82"/>
        <v>0</v>
      </c>
      <c r="T216" s="175">
        <f t="shared" si="83"/>
        <v>6</v>
      </c>
      <c r="U216" s="250">
        <f t="shared" si="84"/>
        <v>0.37286818676535965</v>
      </c>
      <c r="V216" s="382">
        <f t="shared" si="85"/>
        <v>50.87923457367652</v>
      </c>
      <c r="W216" s="401">
        <f t="shared" si="86"/>
        <v>47.706322582079466</v>
      </c>
      <c r="X216" s="157">
        <f t="shared" si="87"/>
        <v>46589</v>
      </c>
      <c r="Y216" s="384">
        <f t="shared" si="88"/>
        <v>46.013079944563593</v>
      </c>
      <c r="Z216" s="384">
        <f t="shared" si="89"/>
        <v>49.440452056970045</v>
      </c>
      <c r="AA216" s="385">
        <f t="shared" si="90"/>
        <v>53.523414142855927</v>
      </c>
      <c r="AB216" s="196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7.6283662977632699E-2</v>
      </c>
      <c r="AD216" s="230">
        <f>(INDEX(Models!$BJ216:$BT216,,AH216)*(1-AF216)+INDEX(Models!$BJ216:$BT216,,AH216+1)*AF216-ERP_i)*AE216*Ramure*Pc/MaxiM</f>
        <v>1.1455022310594407E-3</v>
      </c>
      <c r="AE216" s="304">
        <f t="shared" si="92"/>
        <v>0.5</v>
      </c>
      <c r="AF216" s="176">
        <f t="shared" si="93"/>
        <v>0.487860726589747</v>
      </c>
      <c r="AG216" s="814">
        <f t="shared" si="99"/>
        <v>2</v>
      </c>
      <c r="AH216" s="175">
        <f t="shared" si="94"/>
        <v>8</v>
      </c>
      <c r="AI216" s="224">
        <f t="shared" si="95"/>
        <v>2.487860726589747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10">
        <f>'2026'!Wh/'2026'!Env_an*'2027'!Env_an</f>
        <v>37.25516215482407</v>
      </c>
      <c r="C217" s="843"/>
      <c r="D217" s="392">
        <f t="shared" si="77"/>
        <v>40.03105969161065</v>
      </c>
      <c r="E217" s="384">
        <f t="shared" si="75"/>
        <v>41.834490822462357</v>
      </c>
      <c r="F217" s="384">
        <f t="shared" si="78"/>
        <v>41.841723728862689</v>
      </c>
      <c r="G217" s="110">
        <f t="shared" si="76"/>
        <v>0.73324652677833502</v>
      </c>
      <c r="H217" s="413" t="b">
        <f>Wh_hp&gt;='2026'!Maxi_hp</f>
        <v>0</v>
      </c>
      <c r="I217" s="389">
        <f>IF(H217,Wh_hp,'2026'!Maxi_hp)</f>
        <v>54.375496718092663</v>
      </c>
      <c r="J217" s="85">
        <f>IF(H217,An,'2026'!An_max)</f>
        <v>2021</v>
      </c>
      <c r="K217" s="196">
        <f t="shared" si="79"/>
        <v>46590</v>
      </c>
      <c r="L217" s="147">
        <f>IF(t&lt;Tvie,1-EXP((T0-t)*PertePVj)+'2026'!Pspv,1-EXP((T0-t)*PertePVj)+Pspv)</f>
        <v>6.9343593653812902E-2</v>
      </c>
      <c r="M217" s="847"/>
      <c r="N217" s="847"/>
      <c r="O217" s="48">
        <f>IF(t&lt;Tnet,'2026'!Resal+('2026'!Salim-'2026'!Resal)*(1-EXP(('2026'!Tnet-t)/('2026'!Tau_j))),Resal+(Salim-Resal)*(1-EXP((Tnet-t)/(Tau_j))))*Salcycl</f>
        <v>4.3108714732662208E-2</v>
      </c>
      <c r="P217" s="168">
        <f>(INDEX(Models!$BJ217:$BT217,,T217)*(1-R217)+INDEX(Models!$BJ217:$BT217,,T217+1)*R217-ERP_i)*Q217*Ramure*Pc/MaxiM</f>
        <v>2.7924668040244232E-4</v>
      </c>
      <c r="Q217" s="304">
        <f t="shared" si="80"/>
        <v>0.5</v>
      </c>
      <c r="R217" s="176">
        <f t="shared" si="81"/>
        <v>0.37447509215972713</v>
      </c>
      <c r="S217" s="814">
        <f t="shared" si="82"/>
        <v>0</v>
      </c>
      <c r="T217" s="175">
        <f t="shared" si="83"/>
        <v>6</v>
      </c>
      <c r="U217" s="250">
        <f t="shared" si="84"/>
        <v>0.37447509215972713</v>
      </c>
      <c r="V217" s="382">
        <f t="shared" si="85"/>
        <v>50.803102075725235</v>
      </c>
      <c r="W217" s="401">
        <f t="shared" si="86"/>
        <v>37.25516215482407</v>
      </c>
      <c r="X217" s="157">
        <f t="shared" si="87"/>
        <v>46590</v>
      </c>
      <c r="Y217" s="384">
        <f t="shared" si="88"/>
        <v>35.943542208290332</v>
      </c>
      <c r="Z217" s="384">
        <f t="shared" si="89"/>
        <v>38.621710400519177</v>
      </c>
      <c r="AA217" s="385">
        <f t="shared" si="90"/>
        <v>41.812696333610219</v>
      </c>
      <c r="AB217" s="196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7.6316196105392975E-2</v>
      </c>
      <c r="AD217" s="230">
        <f>(INDEX(Models!$BJ217:$BT217,,AH217)*(1-AF217)+INDEX(Models!$BJ217:$BT217,,AH217+1)*AF217-ERP_i)*AE217*Ramure*Pc/MaxiM</f>
        <v>1.1206841781615739E-3</v>
      </c>
      <c r="AE217" s="304">
        <f t="shared" si="92"/>
        <v>0.5</v>
      </c>
      <c r="AF217" s="176">
        <f t="shared" si="93"/>
        <v>0.48946763198411469</v>
      </c>
      <c r="AG217" s="814">
        <f t="shared" si="99"/>
        <v>2</v>
      </c>
      <c r="AH217" s="175">
        <f t="shared" si="94"/>
        <v>8</v>
      </c>
      <c r="AI217" s="224">
        <f t="shared" si="95"/>
        <v>2.4894676319841147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10">
        <f>'2026'!Wh/'2026'!Env_an*'2027'!Env_an</f>
        <v>43.791774531695211</v>
      </c>
      <c r="C218" s="843"/>
      <c r="D218" s="392">
        <f t="shared" si="77"/>
        <v>47.055747072209272</v>
      </c>
      <c r="E218" s="384">
        <f t="shared" si="75"/>
        <v>49.179050069890664</v>
      </c>
      <c r="F218" s="384">
        <f t="shared" si="78"/>
        <v>49.189851561141928</v>
      </c>
      <c r="G218" s="110">
        <f t="shared" si="76"/>
        <v>0.8632448832747992</v>
      </c>
      <c r="H218" s="413" t="b">
        <f>Wh_hp&gt;='2026'!Maxi_hp</f>
        <v>0</v>
      </c>
      <c r="I218" s="389">
        <f>IF(H218,Wh_hp,'2026'!Maxi_hp)</f>
        <v>55.212338097424414</v>
      </c>
      <c r="J218" s="85">
        <f>IF(H218,An,'2026'!An_max)</f>
        <v>2019</v>
      </c>
      <c r="K218" s="196">
        <f t="shared" si="79"/>
        <v>46591</v>
      </c>
      <c r="L218" s="147">
        <f>IF(t&lt;Tvie,1-EXP((T0-t)*PertePVj)+'2026'!Pspv,1-EXP((T0-t)*PertePVj)+Pspv)</f>
        <v>6.9363951134498864E-2</v>
      </c>
      <c r="M218" s="847"/>
      <c r="N218" s="847"/>
      <c r="O218" s="48">
        <f>IF(t&lt;Tnet,'2026'!Resal+('2026'!Salim-'2026'!Resal)*(1-EXP(('2026'!Tnet-t)/('2026'!Tau_j))),Resal+(Salim-Resal)*(1-EXP((Tnet-t)/(Tau_j))))*Salcycl</f>
        <v>4.3174949387266806E-2</v>
      </c>
      <c r="P218" s="168">
        <f>(INDEX(Models!$BJ218:$BT218,,T218)*(1-R218)+INDEX(Models!$BJ218:$BT218,,T218+1)*R218-ERP_i)*Q218*Ramure*Pc/MaxiM</f>
        <v>2.7288113338152365E-4</v>
      </c>
      <c r="Q218" s="304">
        <f t="shared" si="80"/>
        <v>0.5</v>
      </c>
      <c r="R218" s="176">
        <f t="shared" si="81"/>
        <v>0.37603657401640639</v>
      </c>
      <c r="S218" s="814">
        <f t="shared" si="82"/>
        <v>0</v>
      </c>
      <c r="T218" s="175">
        <f t="shared" si="83"/>
        <v>6</v>
      </c>
      <c r="U218" s="250">
        <f t="shared" si="84"/>
        <v>0.37603657401640639</v>
      </c>
      <c r="V218" s="382">
        <f t="shared" si="85"/>
        <v>50.726556343220082</v>
      </c>
      <c r="W218" s="401">
        <f t="shared" si="86"/>
        <v>43.791774531695211</v>
      </c>
      <c r="X218" s="157">
        <f t="shared" si="87"/>
        <v>46591</v>
      </c>
      <c r="Y218" s="384">
        <f t="shared" si="88"/>
        <v>42.245522728755368</v>
      </c>
      <c r="Z218" s="384">
        <f t="shared" si="89"/>
        <v>45.394247063881835</v>
      </c>
      <c r="AA218" s="385">
        <f t="shared" si="90"/>
        <v>49.146497257934691</v>
      </c>
      <c r="AB218" s="196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7.6348273089737989E-2</v>
      </c>
      <c r="AD218" s="230">
        <f>(INDEX(Models!$BJ218:$BT218,,AH218)*(1-AF218)+INDEX(Models!$BJ218:$BT218,,AH218+1)*AF218-ERP_i)*AE218*Ramure*Pc/MaxiM</f>
        <v>1.0952720435498167E-3</v>
      </c>
      <c r="AE218" s="304">
        <f t="shared" si="92"/>
        <v>0.5</v>
      </c>
      <c r="AF218" s="176">
        <f t="shared" si="93"/>
        <v>0.49102911384079384</v>
      </c>
      <c r="AG218" s="814">
        <f t="shared" si="99"/>
        <v>2</v>
      </c>
      <c r="AH218" s="175">
        <f t="shared" si="94"/>
        <v>8</v>
      </c>
      <c r="AI218" s="224">
        <f t="shared" si="95"/>
        <v>2.4910291138407938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10">
        <f>'2026'!Wh/'2026'!Env_an*'2027'!Env_an</f>
        <v>48.021356908459197</v>
      </c>
      <c r="C219" s="843"/>
      <c r="D219" s="392">
        <f t="shared" si="77"/>
        <v>51.601705548282929</v>
      </c>
      <c r="E219" s="384">
        <f t="shared" si="75"/>
        <v>53.933853588337243</v>
      </c>
      <c r="F219" s="384">
        <f t="shared" si="78"/>
        <v>53.947157012639174</v>
      </c>
      <c r="G219" s="110">
        <f t="shared" si="76"/>
        <v>0.94807890178631848</v>
      </c>
      <c r="H219" s="413" t="b">
        <f>Wh_hp&gt;='2026'!Maxi_hp</f>
        <v>0</v>
      </c>
      <c r="I219" s="389">
        <f>IF(H219,Wh_hp,'2026'!Maxi_hp)</f>
        <v>55.317819769739138</v>
      </c>
      <c r="J219" s="85">
        <f>IF(H219,An,'2026'!An_max)</f>
        <v>2019</v>
      </c>
      <c r="K219" s="196">
        <f t="shared" si="79"/>
        <v>46592</v>
      </c>
      <c r="L219" s="147">
        <f>IF(t&lt;Tvie,1-EXP((T0-t)*PertePVj)+'2026'!Pspv,1-EXP((T0-t)*PertePVj)+Pspv)</f>
        <v>6.9384308169303716E-2</v>
      </c>
      <c r="M219" s="847"/>
      <c r="N219" s="847"/>
      <c r="O219" s="48">
        <f>IF(t&lt;Tnet,'2026'!Resal+('2026'!Salim-'2026'!Resal)*(1-EXP(('2026'!Tnet-t)/('2026'!Tau_j))),Resal+(Salim-Resal)*(1-EXP((Tnet-t)/(Tau_j))))*Salcycl</f>
        <v>4.3240893889299657E-2</v>
      </c>
      <c r="P219" s="168">
        <f>(INDEX(Models!$BJ219:$BT219,,T219)*(1-R219)+INDEX(Models!$BJ219:$BT219,,T219+1)*R219-ERP_i)*Q219*Ramure*Pc/MaxiM</f>
        <v>2.6634986855827259E-4</v>
      </c>
      <c r="Q219" s="304">
        <f t="shared" si="80"/>
        <v>0.5</v>
      </c>
      <c r="R219" s="176">
        <f t="shared" si="81"/>
        <v>0.37755326844213272</v>
      </c>
      <c r="S219" s="814">
        <f t="shared" si="82"/>
        <v>0</v>
      </c>
      <c r="T219" s="175">
        <f t="shared" si="83"/>
        <v>6</v>
      </c>
      <c r="U219" s="250">
        <f t="shared" si="84"/>
        <v>0.37755326844213272</v>
      </c>
      <c r="V219" s="382">
        <f t="shared" si="85"/>
        <v>50.650223539273171</v>
      </c>
      <c r="W219" s="401">
        <f t="shared" si="86"/>
        <v>48.021356908459197</v>
      </c>
      <c r="X219" s="157">
        <f t="shared" si="87"/>
        <v>46592</v>
      </c>
      <c r="Y219" s="384">
        <f t="shared" si="88"/>
        <v>46.323583210912226</v>
      </c>
      <c r="Z219" s="384">
        <f t="shared" si="89"/>
        <v>49.777350218310865</v>
      </c>
      <c r="AA219" s="385">
        <f t="shared" si="90"/>
        <v>53.893750740215388</v>
      </c>
      <c r="AB219" s="196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7.637992281789506E-2</v>
      </c>
      <c r="AD219" s="230">
        <f>(INDEX(Models!$BJ219:$BT219,,AH219)*(1-AF219)+INDEX(Models!$BJ219:$BT219,,AH219+1)*AF219-ERP_i)*AE219*Ramure*Pc/MaxiM</f>
        <v>1.0692550517385775E-3</v>
      </c>
      <c r="AE219" s="304">
        <f t="shared" si="92"/>
        <v>0.5</v>
      </c>
      <c r="AF219" s="176">
        <f t="shared" si="93"/>
        <v>0.49254580826652017</v>
      </c>
      <c r="AG219" s="814">
        <f t="shared" si="99"/>
        <v>2</v>
      </c>
      <c r="AH219" s="175">
        <f t="shared" si="94"/>
        <v>8</v>
      </c>
      <c r="AI219" s="224">
        <f t="shared" si="95"/>
        <v>2.4925458082665202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10">
        <f>'2026'!Wh/'2026'!Env_an*'2027'!Env_an</f>
        <v>27.812483766236547</v>
      </c>
      <c r="C220" s="843"/>
      <c r="D220" s="392">
        <f t="shared" si="77"/>
        <v>29.886764647290054</v>
      </c>
      <c r="E220" s="384">
        <f t="shared" si="75"/>
        <v>31.239646359692664</v>
      </c>
      <c r="F220" s="384">
        <f t="shared" si="78"/>
        <v>31.242542554923759</v>
      </c>
      <c r="G220" s="110">
        <f t="shared" si="76"/>
        <v>0.5498387487385219</v>
      </c>
      <c r="H220" s="413" t="b">
        <f>Wh_hp&gt;='2026'!Maxi_hp</f>
        <v>0</v>
      </c>
      <c r="I220" s="389">
        <f>IF(H220,Wh_hp,'2026'!Maxi_hp)</f>
        <v>56.522396659484173</v>
      </c>
      <c r="J220" s="85">
        <f>IF(H220,An,'2026'!An_max)</f>
        <v>2020</v>
      </c>
      <c r="K220" s="196">
        <f t="shared" si="79"/>
        <v>46593</v>
      </c>
      <c r="L220" s="147">
        <f>IF(t&lt;Tvie,1-EXP((T0-t)*PertePVj)+'2026'!Pspv,1-EXP((T0-t)*PertePVj)+Pspv)</f>
        <v>6.9404664758237339E-2</v>
      </c>
      <c r="M220" s="847"/>
      <c r="N220" s="847"/>
      <c r="O220" s="48">
        <f>IF(t&lt;Tnet,'2026'!Resal+('2026'!Salim-'2026'!Resal)*(1-EXP(('2026'!Tnet-t)/('2026'!Tau_j))),Resal+(Salim-Resal)*(1-EXP((Tnet-t)/(Tau_j))))*Salcycl</f>
        <v>4.3306562975315294E-2</v>
      </c>
      <c r="P220" s="168">
        <f>(INDEX(Models!$BJ220:$BT220,,T220)*(1-R220)+INDEX(Models!$BJ220:$BT220,,T220+1)*R220-ERP_i)*Q220*Ramure*Pc/MaxiM</f>
        <v>2.5963315096232619E-4</v>
      </c>
      <c r="Q220" s="304">
        <f t="shared" si="80"/>
        <v>0.5</v>
      </c>
      <c r="R220" s="176">
        <f t="shared" si="81"/>
        <v>0.37902584903441372</v>
      </c>
      <c r="S220" s="814">
        <f t="shared" si="82"/>
        <v>0</v>
      </c>
      <c r="T220" s="175">
        <f t="shared" si="83"/>
        <v>6</v>
      </c>
      <c r="U220" s="250">
        <f t="shared" si="84"/>
        <v>0.37902584903441372</v>
      </c>
      <c r="V220" s="382">
        <f t="shared" si="85"/>
        <v>50.574537688227963</v>
      </c>
      <c r="W220" s="401">
        <f t="shared" si="86"/>
        <v>27.812483766236547</v>
      </c>
      <c r="X220" s="157">
        <f t="shared" si="87"/>
        <v>46593</v>
      </c>
      <c r="Y220" s="384">
        <f t="shared" si="88"/>
        <v>26.842577928119965</v>
      </c>
      <c r="Z220" s="384">
        <f t="shared" si="89"/>
        <v>28.844522330585761</v>
      </c>
      <c r="AA220" s="385">
        <f t="shared" si="90"/>
        <v>31.230913012868658</v>
      </c>
      <c r="AB220" s="196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7.6411172523185217E-2</v>
      </c>
      <c r="AD220" s="230">
        <f>(INDEX(Models!$BJ220:$BT220,,AH220)*(1-AF220)+INDEX(Models!$BJ220:$BT220,,AH220+1)*AF220-ERP_i)*AE220*Ramure*Pc/MaxiM</f>
        <v>1.0425452730523808E-3</v>
      </c>
      <c r="AE220" s="304">
        <f t="shared" si="92"/>
        <v>0.5</v>
      </c>
      <c r="AF220" s="176">
        <f t="shared" si="93"/>
        <v>0.49401838885880123</v>
      </c>
      <c r="AG220" s="814">
        <f t="shared" si="99"/>
        <v>2</v>
      </c>
      <c r="AH220" s="175">
        <f t="shared" si="94"/>
        <v>8</v>
      </c>
      <c r="AI220" s="224">
        <f t="shared" si="95"/>
        <v>2.4940183888588012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10">
        <f>'2026'!Wh/'2026'!Env_an*'2027'!Env_an</f>
        <v>48.252847481495046</v>
      </c>
      <c r="C221" s="843"/>
      <c r="D221" s="392">
        <f t="shared" si="77"/>
        <v>51.852723923686831</v>
      </c>
      <c r="E221" s="384">
        <f t="shared" si="75"/>
        <v>54.203642714995432</v>
      </c>
      <c r="F221" s="384">
        <f t="shared" si="78"/>
        <v>54.21647838146616</v>
      </c>
      <c r="G221" s="110">
        <f t="shared" si="76"/>
        <v>0.95550163076602346</v>
      </c>
      <c r="H221" s="413" t="b">
        <f>Wh_hp&gt;='2026'!Maxi_hp</f>
        <v>0</v>
      </c>
      <c r="I221" s="389">
        <f>IF(H221,Wh_hp,'2026'!Maxi_hp)</f>
        <v>56.237487014663813</v>
      </c>
      <c r="J221" s="85">
        <f>IF(H221,An,'2026'!An_max)</f>
        <v>2020</v>
      </c>
      <c r="K221" s="196">
        <f t="shared" si="79"/>
        <v>46594</v>
      </c>
      <c r="L221" s="147">
        <f>IF(t&lt;Tvie,1-EXP((T0-t)*PertePVj)+'2026'!Pspv,1-EXP((T0-t)*PertePVj)+Pspv)</f>
        <v>6.9425020901309392E-2</v>
      </c>
      <c r="M221" s="847"/>
      <c r="N221" s="847"/>
      <c r="O221" s="48">
        <f>IF(t&lt;Tnet,'2026'!Resal+('2026'!Salim-'2026'!Resal)*(1-EXP(('2026'!Tnet-t)/('2026'!Tau_j))),Resal+(Salim-Resal)*(1-EXP((Tnet-t)/(Tau_j))))*Salcycl</f>
        <v>4.3371970471981207E-2</v>
      </c>
      <c r="P221" s="168">
        <f>(INDEX(Models!$BJ221:$BT221,,T221)*(1-R221)+INDEX(Models!$BJ221:$BT221,,T221+1)*R221-ERP_i)*Q221*Ramure*Pc/MaxiM</f>
        <v>2.52814052127215E-4</v>
      </c>
      <c r="Q221" s="304">
        <f t="shared" si="80"/>
        <v>0.5</v>
      </c>
      <c r="R221" s="176">
        <f t="shared" si="81"/>
        <v>0.38045502310112911</v>
      </c>
      <c r="S221" s="814">
        <f t="shared" si="82"/>
        <v>0</v>
      </c>
      <c r="T221" s="175">
        <f t="shared" si="83"/>
        <v>6</v>
      </c>
      <c r="U221" s="250">
        <f t="shared" si="84"/>
        <v>0.38045502310112911</v>
      </c>
      <c r="V221" s="382">
        <f t="shared" si="85"/>
        <v>50.499204326339793</v>
      </c>
      <c r="W221" s="401">
        <f t="shared" si="86"/>
        <v>48.252847481495046</v>
      </c>
      <c r="X221" s="157">
        <f t="shared" si="87"/>
        <v>46594</v>
      </c>
      <c r="Y221" s="384">
        <f t="shared" si="88"/>
        <v>46.551494773012159</v>
      </c>
      <c r="Z221" s="384">
        <f t="shared" si="89"/>
        <v>50.024442756992734</v>
      </c>
      <c r="AA221" s="385">
        <f t="shared" si="90"/>
        <v>54.164920168758904</v>
      </c>
      <c r="AB221" s="196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7.6442047710324229E-2</v>
      </c>
      <c r="AD221" s="230">
        <f>(INDEX(Models!$BJ221:$BT221,,AH221)*(1-AF221)+INDEX(Models!$BJ221:$BT221,,AH221+1)*AF221-ERP_i)*AE221*Ramure*Pc/MaxiM</f>
        <v>1.0155016651983055E-3</v>
      </c>
      <c r="AE221" s="304">
        <f t="shared" si="92"/>
        <v>0.5</v>
      </c>
      <c r="AF221" s="176">
        <f t="shared" si="93"/>
        <v>0.49544756292551639</v>
      </c>
      <c r="AG221" s="814">
        <f t="shared" si="99"/>
        <v>2</v>
      </c>
      <c r="AH221" s="175">
        <f t="shared" si="94"/>
        <v>8</v>
      </c>
      <c r="AI221" s="224">
        <f t="shared" si="95"/>
        <v>2.4954475629255164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10">
        <f>'2026'!Wh/'2026'!Env_an*'2027'!Env_an</f>
        <v>50.981331003513638</v>
      </c>
      <c r="C222" s="843"/>
      <c r="D222" s="392">
        <f t="shared" si="77"/>
        <v>54.785962824149763</v>
      </c>
      <c r="E222" s="384">
        <f t="shared" si="75"/>
        <v>57.273771018919319</v>
      </c>
      <c r="F222" s="384">
        <f t="shared" si="78"/>
        <v>57.287857875556973</v>
      </c>
      <c r="G222" s="110">
        <f t="shared" si="76"/>
        <v>1.0110542313078024</v>
      </c>
      <c r="H222" s="413" t="b">
        <f>Wh_hp&gt;='2026'!Maxi_hp</f>
        <v>1</v>
      </c>
      <c r="I222" s="389">
        <f>IF(H222,Wh_hp,'2026'!Maxi_hp)</f>
        <v>57.287857875556973</v>
      </c>
      <c r="J222" s="85">
        <f>IF(H222,An,'2026'!An_max)</f>
        <v>2027</v>
      </c>
      <c r="K222" s="196">
        <f t="shared" si="79"/>
        <v>46595</v>
      </c>
      <c r="L222" s="147">
        <f>IF(t&lt;Tvie,1-EXP((T0-t)*PertePVj)+'2026'!Pspv,1-EXP((T0-t)*PertePVj)+Pspv)</f>
        <v>6.9445376598529646E-2</v>
      </c>
      <c r="M222" s="847"/>
      <c r="N222" s="847"/>
      <c r="O222" s="48">
        <f>IF(t&lt;Tnet,'2026'!Resal+('2026'!Salim-'2026'!Resal)*(1-EXP(('2026'!Tnet-t)/('2026'!Tau_j))),Resal+(Salim-Resal)*(1-EXP((Tnet-t)/(Tau_j))))*Salcycl</f>
        <v>4.3437129256737095E-2</v>
      </c>
      <c r="P222" s="168">
        <f>(INDEX(Models!$BJ222:$BT222,,T222)*(1-R222)+INDEX(Models!$BJ222:$BT222,,T222+1)*R222-ERP_i)*Q222*Ramure*Pc/MaxiM</f>
        <v>2.4589602683790376E-4</v>
      </c>
      <c r="Q222" s="304">
        <f t="shared" si="80"/>
        <v>0.5</v>
      </c>
      <c r="R222" s="176">
        <f t="shared" si="81"/>
        <v>0.38184152800410859</v>
      </c>
      <c r="S222" s="814">
        <f t="shared" si="82"/>
        <v>0</v>
      </c>
      <c r="T222" s="175">
        <f t="shared" si="83"/>
        <v>6</v>
      </c>
      <c r="U222" s="250">
        <f t="shared" si="84"/>
        <v>0.38184152800410859</v>
      </c>
      <c r="V222" s="382">
        <f t="shared" si="85"/>
        <v>50.423933182663298</v>
      </c>
      <c r="W222" s="401">
        <f t="shared" si="86"/>
        <v>50.981331003513638</v>
      </c>
      <c r="X222" s="157">
        <f t="shared" si="87"/>
        <v>46595</v>
      </c>
      <c r="Y222" s="384">
        <f t="shared" si="88"/>
        <v>49.184119272033051</v>
      </c>
      <c r="Z222" s="384">
        <f t="shared" si="89"/>
        <v>52.854628879548841</v>
      </c>
      <c r="AA222" s="385">
        <f t="shared" si="90"/>
        <v>57.231249752397716</v>
      </c>
      <c r="AB222" s="196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7.6472572096252717E-2</v>
      </c>
      <c r="AD222" s="230">
        <f>(INDEX(Models!$BJ222:$BT222,,AH222)*(1-AF222)+INDEX(Models!$BJ222:$BT222,,AH222+1)*AF222-ERP_i)*AE222*Ramure*Pc/MaxiM</f>
        <v>9.8813475068702892E-4</v>
      </c>
      <c r="AE222" s="304">
        <f t="shared" si="92"/>
        <v>0.5</v>
      </c>
      <c r="AF222" s="176">
        <f t="shared" si="93"/>
        <v>0.49683406782849593</v>
      </c>
      <c r="AG222" s="814">
        <f t="shared" si="99"/>
        <v>2</v>
      </c>
      <c r="AH222" s="175">
        <f t="shared" si="94"/>
        <v>8</v>
      </c>
      <c r="AI222" s="224">
        <f t="shared" si="95"/>
        <v>2.4968340678284959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10">
        <f>'2026'!Wh/'2026'!Env_an*'2027'!Env_an</f>
        <v>42.916368228329112</v>
      </c>
      <c r="C223" s="843"/>
      <c r="D223" s="392">
        <f t="shared" si="77"/>
        <v>46.120137320302149</v>
      </c>
      <c r="E223" s="384">
        <f t="shared" si="75"/>
        <v>48.217706456626608</v>
      </c>
      <c r="F223" s="384">
        <f t="shared" si="78"/>
        <v>48.226797590160466</v>
      </c>
      <c r="G223" s="110">
        <f t="shared" si="76"/>
        <v>0.85234440076176987</v>
      </c>
      <c r="H223" s="413" t="b">
        <f>Wh_hp&gt;='2026'!Maxi_hp</f>
        <v>0</v>
      </c>
      <c r="I223" s="389">
        <f>IF(H223,Wh_hp,'2026'!Maxi_hp)</f>
        <v>58.386184765777948</v>
      </c>
      <c r="J223" s="85">
        <f>IF(H223,An,'2026'!An_max)</f>
        <v>2019</v>
      </c>
      <c r="K223" s="196">
        <f t="shared" si="79"/>
        <v>46596</v>
      </c>
      <c r="L223" s="147">
        <f>IF(t&lt;Tvie,1-EXP((T0-t)*PertePVj)+'2026'!Pspv,1-EXP((T0-t)*PertePVj)+Pspv)</f>
        <v>6.9465731849907869E-2</v>
      </c>
      <c r="M223" s="847"/>
      <c r="N223" s="847"/>
      <c r="O223" s="48">
        <f>IF(t&lt;Tnet,'2026'!Resal+('2026'!Salim-'2026'!Resal)*(1-EXP(('2026'!Tnet-t)/('2026'!Tau_j))),Resal+(Salim-Resal)*(1-EXP((Tnet-t)/(Tau_j))))*Salcycl</f>
        <v>4.3502051226996678E-2</v>
      </c>
      <c r="P223" s="168">
        <f>(INDEX(Models!$BJ223:$BT223,,T223)*(1-R223)+INDEX(Models!$BJ223:$BT223,,T223+1)*R223-ERP_i)*Q223*Ramure*Pc/MaxiM</f>
        <v>2.3888227709463366E-4</v>
      </c>
      <c r="Q223" s="304">
        <f t="shared" si="80"/>
        <v>0.5</v>
      </c>
      <c r="R223" s="176">
        <f t="shared" si="81"/>
        <v>0.38318612763605753</v>
      </c>
      <c r="S223" s="814">
        <f t="shared" si="82"/>
        <v>0</v>
      </c>
      <c r="T223" s="175">
        <f t="shared" si="83"/>
        <v>6</v>
      </c>
      <c r="U223" s="250">
        <f t="shared" si="84"/>
        <v>0.38318612763605753</v>
      </c>
      <c r="V223" s="382">
        <f t="shared" si="85"/>
        <v>50.348434151868702</v>
      </c>
      <c r="W223" s="401">
        <f t="shared" si="86"/>
        <v>42.916368228329112</v>
      </c>
      <c r="X223" s="157">
        <f t="shared" si="87"/>
        <v>46596</v>
      </c>
      <c r="Y223" s="384">
        <f t="shared" si="88"/>
        <v>41.412086208754459</v>
      </c>
      <c r="Z223" s="384">
        <f t="shared" si="89"/>
        <v>44.503558467633809</v>
      </c>
      <c r="AA223" s="385">
        <f t="shared" si="90"/>
        <v>48.190245627866517</v>
      </c>
      <c r="AB223" s="196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7.6502767566323515E-2</v>
      </c>
      <c r="AD223" s="230">
        <f>(INDEX(Models!$BJ223:$BT223,,AH223)*(1-AF223)+INDEX(Models!$BJ223:$BT223,,AH223+1)*AF223-ERP_i)*AE223*Ramure*Pc/MaxiM</f>
        <v>9.6045404597105023E-4</v>
      </c>
      <c r="AE223" s="304">
        <f t="shared" si="92"/>
        <v>0.5</v>
      </c>
      <c r="AF223" s="176">
        <f t="shared" si="93"/>
        <v>0.49817866746044492</v>
      </c>
      <c r="AG223" s="814">
        <f t="shared" si="99"/>
        <v>2</v>
      </c>
      <c r="AH223" s="175">
        <f t="shared" si="94"/>
        <v>8</v>
      </c>
      <c r="AI223" s="224">
        <f t="shared" si="95"/>
        <v>2.4981786674604449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10">
        <f>'2026'!Wh/'2026'!Env_an*'2027'!Env_an</f>
        <v>25.122171176163004</v>
      </c>
      <c r="C224" s="843"/>
      <c r="D224" s="392">
        <f t="shared" si="77"/>
        <v>26.998168233580074</v>
      </c>
      <c r="E224" s="384">
        <f t="shared" si="75"/>
        <v>28.227969026314533</v>
      </c>
      <c r="F224" s="384">
        <f t="shared" si="78"/>
        <v>28.229835842419082</v>
      </c>
      <c r="G224" s="110">
        <f t="shared" si="76"/>
        <v>0.49963798941505089</v>
      </c>
      <c r="H224" s="413" t="b">
        <f>Wh_hp&gt;='2026'!Maxi_hp</f>
        <v>0</v>
      </c>
      <c r="I224" s="389">
        <f>IF(H224,Wh_hp,'2026'!Maxi_hp)</f>
        <v>57.892402465153239</v>
      </c>
      <c r="J224" s="85">
        <f>IF(H224,An,'2026'!An_max)</f>
        <v>2019</v>
      </c>
      <c r="K224" s="196">
        <f t="shared" si="79"/>
        <v>46597</v>
      </c>
      <c r="L224" s="147">
        <f>IF(t&lt;Tvie,1-EXP((T0-t)*PertePVj)+'2026'!Pspv,1-EXP((T0-t)*PertePVj)+Pspv)</f>
        <v>6.9486086655453944E-2</v>
      </c>
      <c r="M224" s="847"/>
      <c r="N224" s="847"/>
      <c r="O224" s="48">
        <f>IF(t&lt;Tnet,'2026'!Resal+('2026'!Salim-'2026'!Resal)*(1-EXP(('2026'!Tnet-t)/('2026'!Tau_j))),Resal+(Salim-Resal)*(1-EXP((Tnet-t)/(Tau_j))))*Salcycl</f>
        <v>4.3566747277780385E-2</v>
      </c>
      <c r="P224" s="168">
        <f>(INDEX(Models!$BJ224:$BT224,,T224)*(1-R224)+INDEX(Models!$BJ224:$BT224,,T224+1)*R224-ERP_i)*Q224*Ramure*Pc/MaxiM</f>
        <v>2.3177574737091107E-4</v>
      </c>
      <c r="Q224" s="304">
        <f t="shared" si="80"/>
        <v>0.5</v>
      </c>
      <c r="R224" s="176">
        <f t="shared" si="81"/>
        <v>0.38448960903847756</v>
      </c>
      <c r="S224" s="814">
        <f t="shared" si="82"/>
        <v>0</v>
      </c>
      <c r="T224" s="175">
        <f t="shared" si="83"/>
        <v>6</v>
      </c>
      <c r="U224" s="250">
        <f t="shared" si="84"/>
        <v>0.38448960903847756</v>
      </c>
      <c r="V224" s="382">
        <f t="shared" si="85"/>
        <v>50.272417293823217</v>
      </c>
      <c r="W224" s="401">
        <f t="shared" si="86"/>
        <v>25.122171176163004</v>
      </c>
      <c r="X224" s="157">
        <f t="shared" si="87"/>
        <v>46597</v>
      </c>
      <c r="Y224" s="384">
        <f t="shared" si="88"/>
        <v>24.251421999289182</v>
      </c>
      <c r="Z224" s="384">
        <f t="shared" si="89"/>
        <v>26.062395899188974</v>
      </c>
      <c r="AA224" s="385">
        <f t="shared" si="90"/>
        <v>28.222325365575184</v>
      </c>
      <c r="AB224" s="196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7.6532654145530926E-2</v>
      </c>
      <c r="AD224" s="230">
        <f>(INDEX(Models!$BJ224:$BT224,,AH224)*(1-AF224)+INDEX(Models!$BJ224:$BT224,,AH224+1)*AF224-ERP_i)*AE224*Ramure*Pc/MaxiM</f>
        <v>9.3246805583322356E-4</v>
      </c>
      <c r="AE224" s="304">
        <f t="shared" si="92"/>
        <v>0.5</v>
      </c>
      <c r="AF224" s="176">
        <f t="shared" si="93"/>
        <v>0.49948214886286513</v>
      </c>
      <c r="AG224" s="814">
        <f t="shared" si="99"/>
        <v>2</v>
      </c>
      <c r="AH224" s="175">
        <f t="shared" si="94"/>
        <v>8</v>
      </c>
      <c r="AI224" s="224">
        <f t="shared" si="95"/>
        <v>2.4994821488628651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10">
        <f>'2026'!Wh/'2026'!Env_an*'2027'!Env_an</f>
        <v>43.352551541114195</v>
      </c>
      <c r="C225" s="843"/>
      <c r="D225" s="392">
        <f t="shared" si="77"/>
        <v>46.590920616809264</v>
      </c>
      <c r="E225" s="384">
        <f t="shared" si="75"/>
        <v>48.716480447882027</v>
      </c>
      <c r="F225" s="384">
        <f t="shared" si="78"/>
        <v>48.725292003990027</v>
      </c>
      <c r="G225" s="110">
        <f t="shared" si="76"/>
        <v>0.86363468611630145</v>
      </c>
      <c r="H225" s="413" t="b">
        <f>Wh_hp&gt;='2026'!Maxi_hp</f>
        <v>0</v>
      </c>
      <c r="I225" s="389">
        <f>IF(H225,Wh_hp,'2026'!Maxi_hp)</f>
        <v>50.981621896708326</v>
      </c>
      <c r="J225" s="85">
        <f>IF(H225,An,'2026'!An_max)</f>
        <v>2020</v>
      </c>
      <c r="K225" s="196">
        <f t="shared" si="79"/>
        <v>46598</v>
      </c>
      <c r="L225" s="147">
        <f>IF(t&lt;Tvie,1-EXP((T0-t)*PertePVj)+'2026'!Pspv,1-EXP((T0-t)*PertePVj)+Pspv)</f>
        <v>6.9506441015177417E-2</v>
      </c>
      <c r="M225" s="847"/>
      <c r="N225" s="847"/>
      <c r="O225" s="48">
        <f>IF(t&lt;Tnet,'2026'!Resal+('2026'!Salim-'2026'!Resal)*(1-EXP(('2026'!Tnet-t)/('2026'!Tau_j))),Resal+(Salim-Resal)*(1-EXP((Tnet-t)/(Tau_j))))*Salcycl</f>
        <v>4.3631227287585651E-2</v>
      </c>
      <c r="P225" s="168">
        <f>(INDEX(Models!$BJ225:$BT225,,T225)*(1-R225)+INDEX(Models!$BJ225:$BT225,,T225+1)*R225-ERP_i)*Q225*Ramure*Pc/MaxiM</f>
        <v>2.245791211190688E-4</v>
      </c>
      <c r="Q225" s="304">
        <f t="shared" si="80"/>
        <v>0.5</v>
      </c>
      <c r="R225" s="176">
        <f t="shared" si="81"/>
        <v>0.385752779166607</v>
      </c>
      <c r="S225" s="814">
        <f t="shared" si="82"/>
        <v>0</v>
      </c>
      <c r="T225" s="175">
        <f t="shared" si="83"/>
        <v>6</v>
      </c>
      <c r="U225" s="250">
        <f t="shared" si="84"/>
        <v>0.385752779166607</v>
      </c>
      <c r="V225" s="382">
        <f t="shared" si="85"/>
        <v>50.195592834167968</v>
      </c>
      <c r="W225" s="401">
        <f t="shared" si="86"/>
        <v>43.352551541114195</v>
      </c>
      <c r="X225" s="157">
        <f t="shared" si="87"/>
        <v>46598</v>
      </c>
      <c r="Y225" s="384">
        <f t="shared" si="88"/>
        <v>41.836864167201881</v>
      </c>
      <c r="Z225" s="384">
        <f t="shared" si="89"/>
        <v>44.962013721885732</v>
      </c>
      <c r="AA225" s="385">
        <f t="shared" si="90"/>
        <v>48.689815551857755</v>
      </c>
      <c r="AB225" s="196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7.6562249984325217E-2</v>
      </c>
      <c r="AD225" s="230">
        <f>(INDEX(Models!$BJ225:$BT225,,AH225)*(1-AF225)+INDEX(Models!$BJ225:$BT225,,AH225+1)*AF225-ERP_i)*AE225*Ramure*Pc/MaxiM</f>
        <v>9.0418427149987417E-4</v>
      </c>
      <c r="AE225" s="304">
        <f t="shared" si="92"/>
        <v>0.5</v>
      </c>
      <c r="AF225" s="176">
        <f t="shared" si="93"/>
        <v>0.50074531899099473</v>
      </c>
      <c r="AG225" s="814">
        <f t="shared" si="99"/>
        <v>2</v>
      </c>
      <c r="AH225" s="175">
        <f t="shared" si="94"/>
        <v>8</v>
      </c>
      <c r="AI225" s="224">
        <f t="shared" si="95"/>
        <v>2.5007453189909947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10">
        <f>'2026'!Wh/'2026'!Env_an*'2027'!Env_an</f>
        <v>49.584246228798655</v>
      </c>
      <c r="C226" s="843"/>
      <c r="D226" s="392">
        <f t="shared" si="77"/>
        <v>53.28927900188144</v>
      </c>
      <c r="E226" s="384">
        <f t="shared" si="75"/>
        <v>55.724174682995773</v>
      </c>
      <c r="F226" s="384">
        <f t="shared" si="78"/>
        <v>55.736106354968499</v>
      </c>
      <c r="G226" s="110">
        <f t="shared" si="76"/>
        <v>0.98935336301494214</v>
      </c>
      <c r="H226" s="413" t="b">
        <f>Wh_hp&gt;='2026'!Maxi_hp</f>
        <v>0</v>
      </c>
      <c r="I226" s="389">
        <f>IF(H226,Wh_hp,'2026'!Maxi_hp)</f>
        <v>55.736240369027314</v>
      </c>
      <c r="J226" s="85">
        <f>IF(H226,An,'2026'!An_max)</f>
        <v>2025</v>
      </c>
      <c r="K226" s="196">
        <f t="shared" si="79"/>
        <v>46599</v>
      </c>
      <c r="L226" s="147">
        <f>IF(t&lt;Tvie,1-EXP((T0-t)*PertePVj)+'2026'!Pspv,1-EXP((T0-t)*PertePVj)+Pspv)</f>
        <v>6.9526794929088281E-2</v>
      </c>
      <c r="M226" s="847"/>
      <c r="N226" s="847"/>
      <c r="O226" s="48">
        <f>IF(t&lt;Tnet,'2026'!Resal+('2026'!Salim-'2026'!Resal)*(1-EXP(('2026'!Tnet-t)/('2026'!Tau_j))),Resal+(Salim-Resal)*(1-EXP((Tnet-t)/(Tau_j))))*Salcycl</f>
        <v>4.3695500112222271E-2</v>
      </c>
      <c r="P226" s="168">
        <f>(INDEX(Models!$BJ226:$BT226,,T226)*(1-R226)+INDEX(Models!$BJ226:$BT226,,T226+1)*R226-ERP_i)*Q226*Ramure*Pc/MaxiM</f>
        <v>2.1737958721470429E-4</v>
      </c>
      <c r="Q226" s="304">
        <f t="shared" si="80"/>
        <v>0.5</v>
      </c>
      <c r="R226" s="176">
        <f t="shared" si="81"/>
        <v>0.38697646180589085</v>
      </c>
      <c r="S226" s="814">
        <f t="shared" si="82"/>
        <v>0</v>
      </c>
      <c r="T226" s="175">
        <f t="shared" si="83"/>
        <v>6</v>
      </c>
      <c r="U226" s="250">
        <f t="shared" si="84"/>
        <v>0.38697646180589085</v>
      </c>
      <c r="V226" s="382">
        <f t="shared" si="85"/>
        <v>50.117666913272124</v>
      </c>
      <c r="W226" s="401">
        <f t="shared" si="86"/>
        <v>49.584246228798655</v>
      </c>
      <c r="X226" s="157">
        <f t="shared" si="87"/>
        <v>46599</v>
      </c>
      <c r="Y226" s="384">
        <f t="shared" si="88"/>
        <v>47.847520945958379</v>
      </c>
      <c r="Z226" s="384">
        <f t="shared" si="89"/>
        <v>51.422782177066459</v>
      </c>
      <c r="AA226" s="385">
        <f t="shared" si="90"/>
        <v>55.688014731156827</v>
      </c>
      <c r="AB226" s="196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7.6591571358424093E-2</v>
      </c>
      <c r="AD226" s="230">
        <f>(INDEX(Models!$BJ226:$BT226,,AH226)*(1-AF226)+INDEX(Models!$BJ226:$BT226,,AH226+1)*AF226-ERP_i)*AE226*Ramure*Pc/MaxiM</f>
        <v>8.7616700799067286E-4</v>
      </c>
      <c r="AE226" s="304">
        <f t="shared" si="92"/>
        <v>0.5</v>
      </c>
      <c r="AF226" s="176">
        <f t="shared" si="93"/>
        <v>0.50196900163027847</v>
      </c>
      <c r="AG226" s="814">
        <f t="shared" si="99"/>
        <v>2</v>
      </c>
      <c r="AH226" s="175">
        <f t="shared" si="94"/>
        <v>8</v>
      </c>
      <c r="AI226" s="224">
        <f t="shared" si="95"/>
        <v>2.5019690016302785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10">
        <f>'2026'!Wh/'2026'!Env_an*'2027'!Env_an</f>
        <v>49.382112626581652</v>
      </c>
      <c r="C227" s="843"/>
      <c r="D227" s="392">
        <f t="shared" si="77"/>
        <v>53.073202518016593</v>
      </c>
      <c r="E227" s="384">
        <f t="shared" si="75"/>
        <v>55.501943917034943</v>
      </c>
      <c r="F227" s="384">
        <f t="shared" si="78"/>
        <v>55.513394054762848</v>
      </c>
      <c r="G227" s="110">
        <f t="shared" si="76"/>
        <v>0.98688143979068377</v>
      </c>
      <c r="H227" s="413" t="b">
        <f>Wh_hp&gt;='2026'!Maxi_hp</f>
        <v>0</v>
      </c>
      <c r="I227" s="389">
        <f>IF(H227,Wh_hp,'2026'!Maxi_hp)</f>
        <v>55.51355298771945</v>
      </c>
      <c r="J227" s="85">
        <f>IF(H227,An,'2026'!An_max)</f>
        <v>2025</v>
      </c>
      <c r="K227" s="196">
        <f t="shared" si="79"/>
        <v>46600</v>
      </c>
      <c r="L227" s="147">
        <f>IF(t&lt;Tvie,1-EXP((T0-t)*PertePVj)+'2026'!Pspv,1-EXP((T0-t)*PertePVj)+Pspv)</f>
        <v>6.9547148397196085E-2</v>
      </c>
      <c r="M227" s="847"/>
      <c r="N227" s="847"/>
      <c r="O227" s="48">
        <f>IF(t&lt;Tnet,'2026'!Resal+('2026'!Salim-'2026'!Resal)*(1-EXP(('2026'!Tnet-t)/('2026'!Tau_j))),Resal+(Salim-Resal)*(1-EXP((Tnet-t)/(Tau_j))))*Salcycl</f>
        <v>4.3759573586266892E-2</v>
      </c>
      <c r="P227" s="168">
        <f>(INDEX(Models!$BJ227:$BT227,,T227)*(1-R227)+INDEX(Models!$BJ227:$BT227,,T227+1)*R227-ERP_i)*Q227*Ramure*Pc/MaxiM</f>
        <v>2.1019710521489243E-4</v>
      </c>
      <c r="Q227" s="304">
        <f t="shared" si="80"/>
        <v>0.5</v>
      </c>
      <c r="R227" s="176">
        <f t="shared" si="81"/>
        <v>0.38816149464309241</v>
      </c>
      <c r="S227" s="814">
        <f t="shared" si="82"/>
        <v>0</v>
      </c>
      <c r="T227" s="175">
        <f t="shared" si="83"/>
        <v>6</v>
      </c>
      <c r="U227" s="250">
        <f t="shared" si="84"/>
        <v>0.38816149464309241</v>
      </c>
      <c r="V227" s="382">
        <f t="shared" si="85"/>
        <v>50.038349211937337</v>
      </c>
      <c r="W227" s="401">
        <f t="shared" si="86"/>
        <v>49.382112626581652</v>
      </c>
      <c r="X227" s="157">
        <f t="shared" si="87"/>
        <v>46600</v>
      </c>
      <c r="Y227" s="384">
        <f t="shared" si="88"/>
        <v>47.655228848374996</v>
      </c>
      <c r="Z227" s="384">
        <f t="shared" si="89"/>
        <v>51.217241976617949</v>
      </c>
      <c r="AA227" s="385">
        <f t="shared" si="90"/>
        <v>55.467171770770392</v>
      </c>
      <c r="AB227" s="196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7.662063268190715E-2</v>
      </c>
      <c r="AD227" s="230">
        <f>(INDEX(Models!$BJ227:$BT227,,AH227)*(1-AF227)+INDEX(Models!$BJ227:$BT227,,AH227+1)*AF227-ERP_i)*AE227*Ramure*Pc/MaxiM</f>
        <v>8.485304301587037E-4</v>
      </c>
      <c r="AE227" s="304">
        <f t="shared" si="92"/>
        <v>0.5</v>
      </c>
      <c r="AF227" s="176">
        <f t="shared" si="93"/>
        <v>0.50315403446747986</v>
      </c>
      <c r="AG227" s="814">
        <f t="shared" si="99"/>
        <v>2</v>
      </c>
      <c r="AH227" s="175">
        <f t="shared" si="94"/>
        <v>8</v>
      </c>
      <c r="AI227" s="224">
        <f t="shared" si="95"/>
        <v>2.5031540344674799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10">
        <f>'2026'!Wh/'2026'!Env_an*'2027'!Env_an</f>
        <v>49.579160713005393</v>
      </c>
      <c r="C228" s="843"/>
      <c r="D228" s="392">
        <f t="shared" si="77"/>
        <v>53.286144657076846</v>
      </c>
      <c r="E228" s="384">
        <f t="shared" si="75"/>
        <v>55.728353628440388</v>
      </c>
      <c r="F228" s="384">
        <f t="shared" si="78"/>
        <v>55.739548283793631</v>
      </c>
      <c r="G228" s="110">
        <f t="shared" si="76"/>
        <v>0.99242756875216143</v>
      </c>
      <c r="H228" s="413" t="b">
        <f>Wh_hp&gt;='2026'!Maxi_hp</f>
        <v>0</v>
      </c>
      <c r="I228" s="389">
        <f>IF(H228,Wh_hp,'2026'!Maxi_hp)</f>
        <v>55.739637208128379</v>
      </c>
      <c r="J228" s="85">
        <f>IF(H228,An,'2026'!An_max)</f>
        <v>2025</v>
      </c>
      <c r="K228" s="196">
        <f t="shared" si="79"/>
        <v>46601</v>
      </c>
      <c r="L228" s="147">
        <f>IF(t&lt;Tvie,1-EXP((T0-t)*PertePVj)+'2026'!Pspv,1-EXP((T0-t)*PertePVj)+Pspv)</f>
        <v>6.9567501419510819E-2</v>
      </c>
      <c r="M228" s="847"/>
      <c r="N228" s="847"/>
      <c r="O228" s="48">
        <f>IF(t&lt;Tnet,'2026'!Resal+('2026'!Salim-'2026'!Resal)*(1-EXP(('2026'!Tnet-t)/('2026'!Tau_j))),Resal+(Salim-Resal)*(1-EXP((Tnet-t)/(Tau_j))))*Salcycl</f>
        <v>4.3823454531719451E-2</v>
      </c>
      <c r="P228" s="168">
        <f>(INDEX(Models!$BJ228:$BT228,,T228)*(1-R228)+INDEX(Models!$BJ228:$BT228,,T228+1)*R228-ERP_i)*Q228*Ramure*Pc/MaxiM</f>
        <v>2.0303438995861257E-4</v>
      </c>
      <c r="Q228" s="304">
        <f t="shared" si="80"/>
        <v>0.5</v>
      </c>
      <c r="R228" s="176">
        <f t="shared" si="81"/>
        <v>0.38930872649387449</v>
      </c>
      <c r="S228" s="814">
        <f t="shared" si="82"/>
        <v>0</v>
      </c>
      <c r="T228" s="175">
        <f t="shared" si="83"/>
        <v>6</v>
      </c>
      <c r="U228" s="250">
        <f t="shared" si="84"/>
        <v>0.38930872649387449</v>
      </c>
      <c r="V228" s="382">
        <f t="shared" si="85"/>
        <v>49.95735042939836</v>
      </c>
      <c r="W228" s="401">
        <f t="shared" si="86"/>
        <v>49.579160713005393</v>
      </c>
      <c r="X228" s="157">
        <f t="shared" si="87"/>
        <v>46601</v>
      </c>
      <c r="Y228" s="384">
        <f t="shared" si="88"/>
        <v>47.847799008659656</v>
      </c>
      <c r="Z228" s="384">
        <f t="shared" si="89"/>
        <v>51.425330780748169</v>
      </c>
      <c r="AA228" s="385">
        <f t="shared" si="90"/>
        <v>55.694265398599747</v>
      </c>
      <c r="AB228" s="196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7.6649446532764759E-2</v>
      </c>
      <c r="AD228" s="230">
        <f>(INDEX(Models!$BJ228:$BT228,,AH228)*(1-AF228)+INDEX(Models!$BJ228:$BT228,,AH228+1)*AF228-ERP_i)*AE228*Ramure*Pc/MaxiM</f>
        <v>8.2128325355228585E-4</v>
      </c>
      <c r="AE228" s="304">
        <f t="shared" si="92"/>
        <v>0.5</v>
      </c>
      <c r="AF228" s="176">
        <f t="shared" si="93"/>
        <v>0.504301266318262</v>
      </c>
      <c r="AG228" s="814">
        <f t="shared" si="99"/>
        <v>2</v>
      </c>
      <c r="AH228" s="175">
        <f t="shared" si="94"/>
        <v>8</v>
      </c>
      <c r="AI228" s="224">
        <f t="shared" si="95"/>
        <v>2.504301266318262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10">
        <f>'2026'!Wh/'2026'!Env_an*'2027'!Env_an</f>
        <v>47.505134401631508</v>
      </c>
      <c r="C229" s="843"/>
      <c r="D229" s="392">
        <f t="shared" si="77"/>
        <v>51.058162348441037</v>
      </c>
      <c r="E229" s="384">
        <f t="shared" si="75"/>
        <v>53.401815782454293</v>
      </c>
      <c r="F229" s="384">
        <f t="shared" si="78"/>
        <v>53.411568728939827</v>
      </c>
      <c r="G229" s="110">
        <f t="shared" si="76"/>
        <v>0.95248304634362779</v>
      </c>
      <c r="H229" s="413" t="b">
        <f>Wh_hp&gt;='2026'!Maxi_hp</f>
        <v>0</v>
      </c>
      <c r="I229" s="389">
        <f>IF(H229,Wh_hp,'2026'!Maxi_hp)</f>
        <v>56.092480847378184</v>
      </c>
      <c r="J229" s="85">
        <f>IF(H229,An,'2026'!An_max)</f>
        <v>2019</v>
      </c>
      <c r="K229" s="196">
        <f t="shared" si="79"/>
        <v>46602</v>
      </c>
      <c r="L229" s="147">
        <f>IF(t&lt;Tvie,1-EXP((T0-t)*PertePVj)+'2026'!Pspv,1-EXP((T0-t)*PertePVj)+Pspv)</f>
        <v>6.9587853996042032E-2</v>
      </c>
      <c r="M229" s="847"/>
      <c r="N229" s="847"/>
      <c r="O229" s="48">
        <f>IF(t&lt;Tnet,'2026'!Resal+('2026'!Salim-'2026'!Resal)*(1-EXP(('2026'!Tnet-t)/('2026'!Tau_j))),Resal+(Salim-Resal)*(1-EXP((Tnet-t)/(Tau_j))))*Salcycl</f>
        <v>4.3887148773381006E-2</v>
      </c>
      <c r="P229" s="168">
        <f>(INDEX(Models!$BJ229:$BT229,,T229)*(1-R229)+INDEX(Models!$BJ229:$BT229,,T229+1)*R229-ERP_i)*Q229*Ramure*Pc/MaxiM</f>
        <v>1.9589388811475935E-4</v>
      </c>
      <c r="Q229" s="304">
        <f t="shared" si="80"/>
        <v>0.5</v>
      </c>
      <c r="R229" s="176">
        <f t="shared" si="81"/>
        <v>0.39041901468750823</v>
      </c>
      <c r="S229" s="814">
        <f t="shared" si="82"/>
        <v>0</v>
      </c>
      <c r="T229" s="175">
        <f t="shared" si="83"/>
        <v>6</v>
      </c>
      <c r="U229" s="250">
        <f t="shared" si="84"/>
        <v>0.39041901468750823</v>
      </c>
      <c r="V229" s="382">
        <f t="shared" si="85"/>
        <v>49.874381423801118</v>
      </c>
      <c r="W229" s="401">
        <f t="shared" si="86"/>
        <v>47.505134401631508</v>
      </c>
      <c r="X229" s="157">
        <f t="shared" si="87"/>
        <v>46602</v>
      </c>
      <c r="Y229" s="384">
        <f t="shared" si="88"/>
        <v>45.850297113741561</v>
      </c>
      <c r="Z229" s="384">
        <f t="shared" si="89"/>
        <v>49.279555636353997</v>
      </c>
      <c r="AA229" s="385">
        <f t="shared" si="90"/>
        <v>53.372016372116498</v>
      </c>
      <c r="AB229" s="196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7.6678023689967748E-2</v>
      </c>
      <c r="AD229" s="230">
        <f>(INDEX(Models!$BJ229:$BT229,,AH229)*(1-AF229)+INDEX(Models!$BJ229:$BT229,,AH229+1)*AF229-ERP_i)*AE229*Ramure*Pc/MaxiM</f>
        <v>7.9443324883624294E-4</v>
      </c>
      <c r="AE229" s="304">
        <f t="shared" si="92"/>
        <v>0.5</v>
      </c>
      <c r="AF229" s="176">
        <f t="shared" si="93"/>
        <v>0.50541155451189557</v>
      </c>
      <c r="AG229" s="814">
        <f t="shared" si="99"/>
        <v>2</v>
      </c>
      <c r="AH229" s="175">
        <f t="shared" si="94"/>
        <v>8</v>
      </c>
      <c r="AI229" s="224">
        <f t="shared" si="95"/>
        <v>2.5054115545118956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10">
        <f>'2026'!Wh/'2026'!Env_an*'2027'!Env_an</f>
        <v>44.578768636704346</v>
      </c>
      <c r="C230" s="843"/>
      <c r="D230" s="392">
        <f t="shared" si="77"/>
        <v>47.913974446317852</v>
      </c>
      <c r="E230" s="384">
        <f t="shared" si="75"/>
        <v>50.116633629467152</v>
      </c>
      <c r="F230" s="384">
        <f t="shared" si="78"/>
        <v>50.124681436794212</v>
      </c>
      <c r="G230" s="110">
        <f t="shared" si="76"/>
        <v>0.89532573775353663</v>
      </c>
      <c r="H230" s="413" t="b">
        <f>Wh_hp&gt;='2026'!Maxi_hp</f>
        <v>0</v>
      </c>
      <c r="I230" s="389">
        <f>IF(H230,Wh_hp,'2026'!Maxi_hp)</f>
        <v>52.936123470546605</v>
      </c>
      <c r="J230" s="85">
        <f>IF(H230,An,'2026'!An_max)</f>
        <v>2018</v>
      </c>
      <c r="K230" s="196">
        <f t="shared" si="79"/>
        <v>46603</v>
      </c>
      <c r="L230" s="147">
        <f>IF(t&lt;Tvie,1-EXP((T0-t)*PertePVj)+'2026'!Pspv,1-EXP((T0-t)*PertePVj)+Pspv)</f>
        <v>6.9608206126799604E-2</v>
      </c>
      <c r="M230" s="847"/>
      <c r="N230" s="847"/>
      <c r="O230" s="48">
        <f>IF(t&lt;Tnet,'2026'!Resal+('2026'!Salim-'2026'!Resal)*(1-EXP(('2026'!Tnet-t)/('2026'!Tau_j))),Resal+(Salim-Resal)*(1-EXP((Tnet-t)/(Tau_j))))*Salcycl</f>
        <v>4.3950661160413601E-2</v>
      </c>
      <c r="P230" s="168">
        <f>(INDEX(Models!$BJ230:$BT230,,T230)*(1-R230)+INDEX(Models!$BJ230:$BT230,,T230+1)*R230-ERP_i)*Q230*Ramure*Pc/MaxiM</f>
        <v>1.8877778664730751E-4</v>
      </c>
      <c r="Q230" s="304">
        <f t="shared" si="80"/>
        <v>0.5</v>
      </c>
      <c r="R230" s="176">
        <f t="shared" si="81"/>
        <v>0.39149322260831432</v>
      </c>
      <c r="S230" s="814">
        <f t="shared" si="82"/>
        <v>0</v>
      </c>
      <c r="T230" s="175">
        <f t="shared" si="83"/>
        <v>6</v>
      </c>
      <c r="U230" s="250">
        <f t="shared" si="84"/>
        <v>0.39149322260831432</v>
      </c>
      <c r="V230" s="382">
        <f t="shared" si="85"/>
        <v>49.789153212798915</v>
      </c>
      <c r="W230" s="401">
        <f t="shared" si="86"/>
        <v>44.578768636704346</v>
      </c>
      <c r="X230" s="157">
        <f t="shared" si="87"/>
        <v>46603</v>
      </c>
      <c r="Y230" s="384">
        <f t="shared" si="88"/>
        <v>43.030220529676399</v>
      </c>
      <c r="Z230" s="384">
        <f t="shared" si="89"/>
        <v>46.249570141351469</v>
      </c>
      <c r="AA230" s="385">
        <f t="shared" si="90"/>
        <v>50.09194128274828</v>
      </c>
      <c r="AB230" s="196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7.6706373181031531E-2</v>
      </c>
      <c r="AD230" s="230">
        <f>(INDEX(Models!$BJ230:$BT230,,AH230)*(1-AF230)+INDEX(Models!$BJ230:$BT230,,AH230+1)*AF230-ERP_i)*AE230*Ramure*Pc/MaxiM</f>
        <v>7.679872994103506E-4</v>
      </c>
      <c r="AE230" s="304">
        <f t="shared" si="92"/>
        <v>0.5</v>
      </c>
      <c r="AF230" s="176">
        <f t="shared" si="93"/>
        <v>0.50648576243270194</v>
      </c>
      <c r="AG230" s="814">
        <f t="shared" si="99"/>
        <v>2</v>
      </c>
      <c r="AH230" s="175">
        <f t="shared" si="94"/>
        <v>8</v>
      </c>
      <c r="AI230" s="224">
        <f t="shared" si="95"/>
        <v>2.5064857624327019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10">
        <f>'2026'!Wh/'2026'!Env_an*'2027'!Env_an</f>
        <v>41.476269589925877</v>
      </c>
      <c r="C231" s="843"/>
      <c r="D231" s="392">
        <f t="shared" si="77"/>
        <v>44.580333949605006</v>
      </c>
      <c r="E231" s="384">
        <f t="shared" si="75"/>
        <v>46.632831175474372</v>
      </c>
      <c r="F231" s="384">
        <f t="shared" si="78"/>
        <v>46.639301643508063</v>
      </c>
      <c r="G231" s="110">
        <f t="shared" si="76"/>
        <v>0.83447361641042328</v>
      </c>
      <c r="H231" s="413" t="b">
        <f>Wh_hp&gt;='2026'!Maxi_hp</f>
        <v>0</v>
      </c>
      <c r="I231" s="389">
        <f>IF(H231,Wh_hp,'2026'!Maxi_hp)</f>
        <v>56.311096677498618</v>
      </c>
      <c r="J231" s="85">
        <f>IF(H231,An,'2026'!An_max)</f>
        <v>2020</v>
      </c>
      <c r="K231" s="196">
        <f t="shared" si="79"/>
        <v>46604</v>
      </c>
      <c r="L231" s="147">
        <f>IF(t&lt;Tvie,1-EXP((T0-t)*PertePVj)+'2026'!Pspv,1-EXP((T0-t)*PertePVj)+Pspv)</f>
        <v>6.9628557811793307E-2</v>
      </c>
      <c r="M231" s="847"/>
      <c r="N231" s="847"/>
      <c r="O231" s="48">
        <f>IF(t&lt;Tnet,'2026'!Resal+('2026'!Salim-'2026'!Resal)*(1-EXP(('2026'!Tnet-t)/('2026'!Tau_j))),Resal+(Salim-Resal)*(1-EXP((Tnet-t)/(Tau_j))))*Salcycl</f>
        <v>4.4013995593491652E-2</v>
      </c>
      <c r="P231" s="168">
        <f>(INDEX(Models!$BJ231:$BT231,,T231)*(1-R231)+INDEX(Models!$BJ231:$BT231,,T231+1)*R231-ERP_i)*Q231*Ramure*Pc/MaxiM</f>
        <v>1.8168802151628617E-4</v>
      </c>
      <c r="Q231" s="304">
        <f t="shared" si="80"/>
        <v>0.5</v>
      </c>
      <c r="R231" s="176">
        <f t="shared" si="81"/>
        <v>0.39253221739249972</v>
      </c>
      <c r="S231" s="814">
        <f t="shared" si="82"/>
        <v>0</v>
      </c>
      <c r="T231" s="175">
        <f t="shared" si="83"/>
        <v>6</v>
      </c>
      <c r="U231" s="250">
        <f t="shared" si="84"/>
        <v>0.39253221739249972</v>
      </c>
      <c r="V231" s="382">
        <f t="shared" si="85"/>
        <v>49.701376969211424</v>
      </c>
      <c r="W231" s="401">
        <f t="shared" si="86"/>
        <v>41.476269589925877</v>
      </c>
      <c r="X231" s="157">
        <f t="shared" si="87"/>
        <v>46604</v>
      </c>
      <c r="Y231" s="384">
        <f t="shared" si="88"/>
        <v>40.03952348091488</v>
      </c>
      <c r="Z231" s="384">
        <f t="shared" si="89"/>
        <v>43.036062442698245</v>
      </c>
      <c r="AA231" s="385">
        <f t="shared" si="90"/>
        <v>46.612878475069493</v>
      </c>
      <c r="AB231" s="196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7.6734502338967905E-2</v>
      </c>
      <c r="AD231" s="230">
        <f>(INDEX(Models!$BJ231:$BT231,,AH231)*(1-AF231)+INDEX(Models!$BJ231:$BT231,,AH231+1)*AF231-ERP_i)*AE231*Ramure*Pc/MaxiM</f>
        <v>7.4195145865761267E-4</v>
      </c>
      <c r="AE231" s="304">
        <f t="shared" si="92"/>
        <v>0.5</v>
      </c>
      <c r="AF231" s="176">
        <f t="shared" si="93"/>
        <v>0.50752475721688706</v>
      </c>
      <c r="AG231" s="814">
        <f t="shared" si="99"/>
        <v>2</v>
      </c>
      <c r="AH231" s="175">
        <f t="shared" si="94"/>
        <v>8</v>
      </c>
      <c r="AI231" s="224">
        <f t="shared" si="95"/>
        <v>2.5075247572168871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10">
        <f>'2026'!Wh/'2026'!Env_an*'2027'!Env_an</f>
        <v>45.449867761575021</v>
      </c>
      <c r="C232" s="843"/>
      <c r="D232" s="392">
        <f t="shared" si="77"/>
        <v>48.852382937731299</v>
      </c>
      <c r="E232" s="384">
        <f t="shared" si="75"/>
        <v>51.10494345455222</v>
      </c>
      <c r="F232" s="384">
        <f t="shared" si="78"/>
        <v>51.11279966329716</v>
      </c>
      <c r="G232" s="110">
        <f t="shared" si="76"/>
        <v>0.91610999282651318</v>
      </c>
      <c r="H232" s="413" t="b">
        <f>Wh_hp&gt;='2026'!Maxi_hp</f>
        <v>0</v>
      </c>
      <c r="I232" s="389">
        <f>IF(H232,Wh_hp,'2026'!Maxi_hp)</f>
        <v>56.389246381378285</v>
      </c>
      <c r="J232" s="85">
        <f>IF(H232,An,'2026'!An_max)</f>
        <v>2020</v>
      </c>
      <c r="K232" s="196">
        <f t="shared" si="79"/>
        <v>46605</v>
      </c>
      <c r="L232" s="147">
        <f>IF(t&lt;Tvie,1-EXP((T0-t)*PertePVj)+'2026'!Pspv,1-EXP((T0-t)*PertePVj)+Pspv)</f>
        <v>6.9648909051032909E-2</v>
      </c>
      <c r="M232" s="847"/>
      <c r="N232" s="847"/>
      <c r="O232" s="48">
        <f>IF(t&lt;Tnet,'2026'!Resal+('2026'!Salim-'2026'!Resal)*(1-EXP(('2026'!Tnet-t)/('2026'!Tau_j))),Resal+(Salim-Resal)*(1-EXP((Tnet-t)/(Tau_j))))*Salcycl</f>
        <v>4.4077155056910122E-2</v>
      </c>
      <c r="P232" s="168">
        <f>(INDEX(Models!$BJ232:$BT232,,T232)*(1-R232)+INDEX(Models!$BJ232:$BT232,,T232+1)*R232-ERP_i)*Q232*Ramure*Pc/MaxiM</f>
        <v>1.7462628644586013E-4</v>
      </c>
      <c r="Q232" s="304">
        <f t="shared" si="80"/>
        <v>0.5</v>
      </c>
      <c r="R232" s="176">
        <f t="shared" si="81"/>
        <v>0.39353686777821867</v>
      </c>
      <c r="S232" s="814">
        <f t="shared" si="82"/>
        <v>0</v>
      </c>
      <c r="T232" s="175">
        <f t="shared" si="83"/>
        <v>6</v>
      </c>
      <c r="U232" s="250">
        <f t="shared" si="84"/>
        <v>0.39353686777821867</v>
      </c>
      <c r="V232" s="382">
        <f t="shared" si="85"/>
        <v>49.610764020436825</v>
      </c>
      <c r="W232" s="401">
        <f t="shared" si="86"/>
        <v>45.449867761575021</v>
      </c>
      <c r="X232" s="157">
        <f t="shared" si="87"/>
        <v>46605</v>
      </c>
      <c r="Y232" s="384">
        <f t="shared" si="88"/>
        <v>43.874896588518979</v>
      </c>
      <c r="Z232" s="384">
        <f t="shared" si="89"/>
        <v>47.159504637938525</v>
      </c>
      <c r="AA232" s="385">
        <f t="shared" si="90"/>
        <v>51.08057286611551</v>
      </c>
      <c r="AB232" s="196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7.67624168674515E-2</v>
      </c>
      <c r="AD232" s="230">
        <f>(INDEX(Models!$BJ232:$BT232,,AH232)*(1-AF232)+INDEX(Models!$BJ232:$BT232,,AH232+1)*AF232-ERP_i)*AE232*Ramure*Pc/MaxiM</f>
        <v>7.1633100628906916E-4</v>
      </c>
      <c r="AE232" s="304">
        <f t="shared" si="92"/>
        <v>0.5</v>
      </c>
      <c r="AF232" s="176">
        <f t="shared" si="93"/>
        <v>0.50852940760260612</v>
      </c>
      <c r="AG232" s="814">
        <f t="shared" si="99"/>
        <v>2</v>
      </c>
      <c r="AH232" s="175">
        <f t="shared" si="94"/>
        <v>8</v>
      </c>
      <c r="AI232" s="224">
        <f t="shared" si="95"/>
        <v>2.5085294076026061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10">
        <f>'2026'!Wh/'2026'!Env_an*'2027'!Env_an</f>
        <v>48.308664973920052</v>
      </c>
      <c r="C233" s="843"/>
      <c r="D233" s="392">
        <f t="shared" si="77"/>
        <v>51.926334247374186</v>
      </c>
      <c r="E233" s="384">
        <f t="shared" ref="E233:E296" si="100">Wh_pvt/(1-Psa)</f>
        <v>54.324212690843169</v>
      </c>
      <c r="F233" s="384">
        <f t="shared" si="78"/>
        <v>54.333000821205005</v>
      </c>
      <c r="G233" s="110">
        <f t="shared" ref="G233:G296" si="101">+Wh_hp/MaxiM</f>
        <v>0.97557712199602542</v>
      </c>
      <c r="H233" s="413" t="b">
        <f>Wh_hp&gt;='2026'!Maxi_hp</f>
        <v>0</v>
      </c>
      <c r="I233" s="389">
        <f>IF(H233,Wh_hp,'2026'!Maxi_hp)</f>
        <v>54.87487901548878</v>
      </c>
      <c r="J233" s="85">
        <f>IF(H233,An,'2026'!An_max)</f>
        <v>2020</v>
      </c>
      <c r="K233" s="196">
        <f t="shared" si="79"/>
        <v>46606</v>
      </c>
      <c r="L233" s="147">
        <f>IF(t&lt;Tvie,1-EXP((T0-t)*PertePVj)+'2026'!Pspv,1-EXP((T0-t)*PertePVj)+Pspv)</f>
        <v>6.966925984452807E-2</v>
      </c>
      <c r="M233" s="847"/>
      <c r="N233" s="847"/>
      <c r="O233" s="48">
        <f>IF(t&lt;Tnet,'2026'!Resal+('2026'!Salim-'2026'!Resal)*(1-EXP(('2026'!Tnet-t)/('2026'!Tau_j))),Resal+(Salim-Resal)*(1-EXP((Tnet-t)/(Tau_j))))*Salcycl</f>
        <v>4.4140141654978232E-2</v>
      </c>
      <c r="P233" s="168">
        <f>(INDEX(Models!$BJ233:$BT233,,T233)*(1-R233)+INDEX(Models!$BJ233:$BT233,,T233+1)*R233-ERP_i)*Q233*Ramure*Pc/MaxiM</f>
        <v>1.6759159639040237E-4</v>
      </c>
      <c r="Q233" s="304">
        <f t="shared" si="80"/>
        <v>0.5</v>
      </c>
      <c r="R233" s="176">
        <f t="shared" si="81"/>
        <v>0.3945080421059568</v>
      </c>
      <c r="S233" s="814">
        <f t="shared" si="82"/>
        <v>0</v>
      </c>
      <c r="T233" s="175">
        <f t="shared" si="83"/>
        <v>6</v>
      </c>
      <c r="U233" s="250">
        <f t="shared" si="84"/>
        <v>0.3945080421059568</v>
      </c>
      <c r="V233" s="382">
        <f t="shared" si="85"/>
        <v>49.517748451228009</v>
      </c>
      <c r="W233" s="401">
        <f t="shared" si="86"/>
        <v>48.308664973920052</v>
      </c>
      <c r="X233" s="157">
        <f t="shared" si="87"/>
        <v>46606</v>
      </c>
      <c r="Y233" s="384">
        <f t="shared" si="88"/>
        <v>46.634972984509879</v>
      </c>
      <c r="Z233" s="384">
        <f t="shared" si="89"/>
        <v>50.127305238475181</v>
      </c>
      <c r="AA233" s="385">
        <f t="shared" si="90"/>
        <v>54.296760004395438</v>
      </c>
      <c r="AB233" s="196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7.6790120912974033E-2</v>
      </c>
      <c r="AD233" s="230">
        <f>(INDEX(Models!$BJ233:$BT233,,AH233)*(1-AF233)+INDEX(Models!$BJ233:$BT233,,AH233+1)*AF233-ERP_i)*AE233*Ramure*Pc/MaxiM</f>
        <v>6.911204196493844E-4</v>
      </c>
      <c r="AE233" s="304">
        <f t="shared" si="92"/>
        <v>0.5</v>
      </c>
      <c r="AF233" s="176">
        <f t="shared" si="93"/>
        <v>0.50950058193034442</v>
      </c>
      <c r="AG233" s="814">
        <f t="shared" si="99"/>
        <v>2</v>
      </c>
      <c r="AH233" s="175">
        <f t="shared" si="94"/>
        <v>8</v>
      </c>
      <c r="AI233" s="224">
        <f t="shared" si="95"/>
        <v>2.5095005819303444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10">
        <f>'2026'!Wh/'2026'!Env_an*'2027'!Env_an</f>
        <v>49.084862057373996</v>
      </c>
      <c r="C234" s="843"/>
      <c r="D234" s="392">
        <f t="shared" si="77"/>
        <v>52.761812181329603</v>
      </c>
      <c r="E234" s="384">
        <f t="shared" si="100"/>
        <v>55.201899345193226</v>
      </c>
      <c r="F234" s="384">
        <f t="shared" si="78"/>
        <v>55.21070343772378</v>
      </c>
      <c r="G234" s="110">
        <f t="shared" si="101"/>
        <v>0.99315804199534286</v>
      </c>
      <c r="H234" s="413" t="b">
        <f>Wh_hp&gt;='2026'!Maxi_hp</f>
        <v>0</v>
      </c>
      <c r="I234" s="389">
        <f>IF(H234,Wh_hp,'2026'!Maxi_hp)</f>
        <v>55.210766457934838</v>
      </c>
      <c r="J234" s="85">
        <f>IF(H234,An,'2026'!An_max)</f>
        <v>2025</v>
      </c>
      <c r="K234" s="196">
        <f t="shared" si="79"/>
        <v>46607</v>
      </c>
      <c r="L234" s="147">
        <f>IF(t&lt;Tvie,1-EXP((T0-t)*PertePVj)+'2026'!Pspv,1-EXP((T0-t)*PertePVj)+Pspv)</f>
        <v>6.968961019228867E-2</v>
      </c>
      <c r="M234" s="847"/>
      <c r="N234" s="847"/>
      <c r="O234" s="48">
        <f>IF(t&lt;Tnet,'2026'!Resal+('2026'!Salim-'2026'!Resal)*(1-EXP(('2026'!Tnet-t)/('2026'!Tau_j))),Resal+(Salim-Resal)*(1-EXP((Tnet-t)/(Tau_j))))*Salcycl</f>
        <v>4.4202956651999713E-2</v>
      </c>
      <c r="P234" s="168">
        <f>(INDEX(Models!$BJ234:$BT234,,T234)*(1-R234)+INDEX(Models!$BJ234:$BT234,,T234+1)*R234-ERP_i)*Q234*Ramure*Pc/MaxiM</f>
        <v>1.6103716345128229E-4</v>
      </c>
      <c r="Q234" s="304">
        <f t="shared" si="80"/>
        <v>0.5</v>
      </c>
      <c r="R234" s="176">
        <f t="shared" si="81"/>
        <v>0.39544660646570973</v>
      </c>
      <c r="S234" s="814">
        <f t="shared" si="82"/>
        <v>0</v>
      </c>
      <c r="T234" s="175">
        <f t="shared" si="83"/>
        <v>6</v>
      </c>
      <c r="U234" s="250">
        <f t="shared" si="84"/>
        <v>0.39544660646570973</v>
      </c>
      <c r="V234" s="382">
        <f t="shared" si="85"/>
        <v>49.422934444401633</v>
      </c>
      <c r="W234" s="401">
        <f t="shared" si="86"/>
        <v>49.084862057373996</v>
      </c>
      <c r="X234" s="157">
        <f t="shared" si="87"/>
        <v>46607</v>
      </c>
      <c r="Y234" s="384">
        <f t="shared" si="88"/>
        <v>47.386107375662789</v>
      </c>
      <c r="Z234" s="384">
        <f t="shared" si="89"/>
        <v>50.9358036788745</v>
      </c>
      <c r="AA234" s="385">
        <f t="shared" si="90"/>
        <v>55.174150443844745</v>
      </c>
      <c r="AB234" s="196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7.6817617142722658E-2</v>
      </c>
      <c r="AD234" s="230">
        <f>(INDEX(Models!$BJ234:$BT234,,AH234)*(1-AF234)+INDEX(Models!$BJ234:$BT234,,AH234+1)*AF234-ERP_i)*AE234*Ramure*Pc/MaxiM</f>
        <v>6.6859706772780475E-4</v>
      </c>
      <c r="AE234" s="304">
        <f t="shared" si="92"/>
        <v>0.5</v>
      </c>
      <c r="AF234" s="176">
        <f t="shared" si="93"/>
        <v>0.51043914629009723</v>
      </c>
      <c r="AG234" s="814">
        <f t="shared" si="99"/>
        <v>2</v>
      </c>
      <c r="AH234" s="175">
        <f t="shared" si="94"/>
        <v>8</v>
      </c>
      <c r="AI234" s="224">
        <f t="shared" si="95"/>
        <v>2.5104391462900972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10">
        <f>'2026'!Wh/'2026'!Env_an*'2027'!Env_an</f>
        <v>47.443573713891261</v>
      </c>
      <c r="C235" s="843"/>
      <c r="D235" s="392">
        <f t="shared" si="77"/>
        <v>50.998690385529322</v>
      </c>
      <c r="E235" s="384">
        <f t="shared" si="100"/>
        <v>53.360735381102231</v>
      </c>
      <c r="F235" s="384">
        <f t="shared" si="78"/>
        <v>53.368555829103038</v>
      </c>
      <c r="G235" s="110">
        <f t="shared" si="101"/>
        <v>0.96182264300934761</v>
      </c>
      <c r="H235" s="413" t="b">
        <f>Wh_hp&gt;='2026'!Maxi_hp</f>
        <v>0</v>
      </c>
      <c r="I235" s="389">
        <f>IF(H235,Wh_hp,'2026'!Maxi_hp)</f>
        <v>55.479223820400136</v>
      </c>
      <c r="J235" s="85">
        <f>IF(H235,An,'2026'!An_max)</f>
        <v>2021</v>
      </c>
      <c r="K235" s="196">
        <f t="shared" si="79"/>
        <v>46608</v>
      </c>
      <c r="L235" s="147">
        <f>IF(t&lt;Tvie,1-EXP((T0-t)*PertePVj)+'2026'!Pspv,1-EXP((T0-t)*PertePVj)+Pspv)</f>
        <v>6.970996009432448E-2</v>
      </c>
      <c r="M235" s="847"/>
      <c r="N235" s="847"/>
      <c r="O235" s="48">
        <f>IF(t&lt;Tnet,'2026'!Resal+('2026'!Salim-'2026'!Resal)*(1-EXP(('2026'!Tnet-t)/('2026'!Tau_j))),Resal+(Salim-Resal)*(1-EXP((Tnet-t)/(Tau_j))))*Salcycl</f>
        <v>4.4265600515120199E-2</v>
      </c>
      <c r="P235" s="168">
        <f>(INDEX(Models!$BJ235:$BT235,,T235)*(1-R235)+INDEX(Models!$BJ235:$BT235,,T235+1)*R235-ERP_i)*Q235*Ramure*Pc/MaxiM</f>
        <v>1.5498771144060184E-4</v>
      </c>
      <c r="Q235" s="304">
        <f t="shared" si="80"/>
        <v>0.5</v>
      </c>
      <c r="R235" s="176">
        <f t="shared" si="81"/>
        <v>0.39635342298688669</v>
      </c>
      <c r="S235" s="814">
        <f t="shared" si="82"/>
        <v>0</v>
      </c>
      <c r="T235" s="175">
        <f t="shared" si="83"/>
        <v>6</v>
      </c>
      <c r="U235" s="250">
        <f t="shared" si="84"/>
        <v>0.39635342298688669</v>
      </c>
      <c r="V235" s="382">
        <f t="shared" si="85"/>
        <v>49.326321281957426</v>
      </c>
      <c r="W235" s="401">
        <f t="shared" si="86"/>
        <v>47.443573713891261</v>
      </c>
      <c r="X235" s="157">
        <f t="shared" si="87"/>
        <v>46608</v>
      </c>
      <c r="Y235" s="384">
        <f t="shared" si="88"/>
        <v>45.804904266102604</v>
      </c>
      <c r="Z235" s="384">
        <f t="shared" si="89"/>
        <v>49.23722957492577</v>
      </c>
      <c r="AA235" s="385">
        <f t="shared" si="90"/>
        <v>53.335815334870333</v>
      </c>
      <c r="AB235" s="196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7.684490682689453E-2</v>
      </c>
      <c r="AD235" s="230">
        <f>(INDEX(Models!$BJ235:$BT235,,AH235)*(1-AF235)+INDEX(Models!$BJ235:$BT235,,AH235+1)*AF235-ERP_i)*AE235*Ramure*Pc/MaxiM</f>
        <v>6.4885979320355904E-4</v>
      </c>
      <c r="AE235" s="304">
        <f t="shared" si="92"/>
        <v>0.5</v>
      </c>
      <c r="AF235" s="176">
        <f t="shared" si="93"/>
        <v>0.5113459628112742</v>
      </c>
      <c r="AG235" s="814">
        <f t="shared" si="99"/>
        <v>2</v>
      </c>
      <c r="AH235" s="175">
        <f t="shared" si="94"/>
        <v>8</v>
      </c>
      <c r="AI235" s="224">
        <f t="shared" si="95"/>
        <v>2.5113459628112742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10">
        <f>'2026'!Wh/'2026'!Env_an*'2027'!Env_an</f>
        <v>45.490553197077091</v>
      </c>
      <c r="C236" s="843"/>
      <c r="D236" s="392">
        <f t="shared" si="77"/>
        <v>48.900392718485172</v>
      </c>
      <c r="E236" s="384">
        <f t="shared" si="100"/>
        <v>51.168598066816749</v>
      </c>
      <c r="F236" s="384">
        <f t="shared" si="78"/>
        <v>51.175416666335529</v>
      </c>
      <c r="G236" s="110">
        <f t="shared" si="101"/>
        <v>0.9240655644930198</v>
      </c>
      <c r="H236" s="413" t="b">
        <f>Wh_hp&gt;='2026'!Maxi_hp</f>
        <v>0</v>
      </c>
      <c r="I236" s="389">
        <f>IF(H236,Wh_hp,'2026'!Maxi_hp)</f>
        <v>51.455396116933656</v>
      </c>
      <c r="J236" s="85">
        <f>IF(H236,An,'2026'!An_max)</f>
        <v>2021</v>
      </c>
      <c r="K236" s="196">
        <f t="shared" si="79"/>
        <v>46609</v>
      </c>
      <c r="L236" s="147">
        <f>IF(t&lt;Tvie,1-EXP((T0-t)*PertePVj)+'2026'!Pspv,1-EXP((T0-t)*PertePVj)+Pspv)</f>
        <v>6.9730309550645048E-2</v>
      </c>
      <c r="M236" s="847"/>
      <c r="N236" s="847"/>
      <c r="O236" s="48">
        <f>IF(t&lt;Tnet,'2026'!Resal+('2026'!Salim-'2026'!Resal)*(1-EXP(('2026'!Tnet-t)/('2026'!Tau_j))),Resal+(Salim-Resal)*(1-EXP((Tnet-t)/(Tau_j))))*Salcycl</f>
        <v>4.4328072959312327E-2</v>
      </c>
      <c r="P236" s="168">
        <f>(INDEX(Models!$BJ236:$BT236,,T236)*(1-R236)+INDEX(Models!$BJ236:$BT236,,T236+1)*R236-ERP_i)*Q236*Ramure*Pc/MaxiM</f>
        <v>1.4944837332596996E-4</v>
      </c>
      <c r="Q236" s="304">
        <f t="shared" si="80"/>
        <v>0.5</v>
      </c>
      <c r="R236" s="176">
        <f t="shared" si="81"/>
        <v>0.39722934826642498</v>
      </c>
      <c r="S236" s="814">
        <f t="shared" si="82"/>
        <v>0</v>
      </c>
      <c r="T236" s="175">
        <f t="shared" si="83"/>
        <v>6</v>
      </c>
      <c r="U236" s="250">
        <f t="shared" si="84"/>
        <v>0.39722934826642498</v>
      </c>
      <c r="V236" s="382">
        <f t="shared" si="85"/>
        <v>49.227909260265172</v>
      </c>
      <c r="W236" s="401">
        <f t="shared" si="86"/>
        <v>45.490553197077091</v>
      </c>
      <c r="X236" s="157">
        <f t="shared" si="87"/>
        <v>46609</v>
      </c>
      <c r="Y236" s="384">
        <f t="shared" si="88"/>
        <v>43.922539492249491</v>
      </c>
      <c r="Z236" s="384">
        <f t="shared" si="89"/>
        <v>47.214845268185904</v>
      </c>
      <c r="AA236" s="385">
        <f t="shared" si="90"/>
        <v>51.146585037872022</v>
      </c>
      <c r="AB236" s="196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7.6871989924152687E-2</v>
      </c>
      <c r="AD236" s="230">
        <f>(INDEX(Models!$BJ236:$BT236,,AH236)*(1-AF236)+INDEX(Models!$BJ236:$BT236,,AH236+1)*AF236-ERP_i)*AE236*Ramure*Pc/MaxiM</f>
        <v>6.3192448278290801E-4</v>
      </c>
      <c r="AE236" s="304">
        <f t="shared" si="92"/>
        <v>0.5</v>
      </c>
      <c r="AF236" s="176">
        <f t="shared" si="93"/>
        <v>0.5122218880908127</v>
      </c>
      <c r="AG236" s="814">
        <f t="shared" si="99"/>
        <v>2</v>
      </c>
      <c r="AH236" s="175">
        <f t="shared" si="94"/>
        <v>8</v>
      </c>
      <c r="AI236" s="224">
        <f t="shared" si="95"/>
        <v>2.5122218880908127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10">
        <f>'2026'!Wh/'2026'!Env_an*'2027'!Env_an</f>
        <v>41.862558520293703</v>
      </c>
      <c r="C237" s="843"/>
      <c r="D237" s="392">
        <f t="shared" si="77"/>
        <v>45.001438491263379</v>
      </c>
      <c r="E237" s="384">
        <f t="shared" si="100"/>
        <v>47.091863894512429</v>
      </c>
      <c r="F237" s="384">
        <f t="shared" si="78"/>
        <v>47.097228880249666</v>
      </c>
      <c r="G237" s="110">
        <f t="shared" si="101"/>
        <v>0.85209122729036413</v>
      </c>
      <c r="H237" s="413" t="b">
        <f>Wh_hp&gt;='2026'!Maxi_hp</f>
        <v>0</v>
      </c>
      <c r="I237" s="389">
        <f>IF(H237,Wh_hp,'2026'!Maxi_hp)</f>
        <v>54.32605328693775</v>
      </c>
      <c r="J237" s="85">
        <f>IF(H237,An,'2026'!An_max)</f>
        <v>2018</v>
      </c>
      <c r="K237" s="196">
        <f t="shared" si="79"/>
        <v>46610</v>
      </c>
      <c r="L237" s="147">
        <f>IF(t&lt;Tvie,1-EXP((T0-t)*PertePVj)+'2026'!Pspv,1-EXP((T0-t)*PertePVj)+Pspv)</f>
        <v>6.9750658561260476E-2</v>
      </c>
      <c r="M237" s="847"/>
      <c r="N237" s="847"/>
      <c r="O237" s="48">
        <f>IF(t&lt;Tnet,'2026'!Resal+('2026'!Salim-'2026'!Resal)*(1-EXP(('2026'!Tnet-t)/('2026'!Tau_j))),Resal+(Salim-Resal)*(1-EXP((Tnet-t)/(Tau_j))))*Salcycl</f>
        <v>4.4390372993765616E-2</v>
      </c>
      <c r="P237" s="168">
        <f>(INDEX(Models!$BJ237:$BT237,,T237)*(1-R237)+INDEX(Models!$BJ237:$BT237,,T237+1)*R237-ERP_i)*Q237*Ramure*Pc/MaxiM</f>
        <v>1.4442419550801317E-4</v>
      </c>
      <c r="Q237" s="304">
        <f t="shared" si="80"/>
        <v>0.5</v>
      </c>
      <c r="R237" s="176">
        <f t="shared" si="81"/>
        <v>0.39807523193023048</v>
      </c>
      <c r="S237" s="814">
        <f t="shared" si="82"/>
        <v>0</v>
      </c>
      <c r="T237" s="175">
        <f t="shared" si="83"/>
        <v>6</v>
      </c>
      <c r="U237" s="250">
        <f t="shared" si="84"/>
        <v>0.39807523193023048</v>
      </c>
      <c r="V237" s="382">
        <f t="shared" si="85"/>
        <v>49.127698721171853</v>
      </c>
      <c r="W237" s="401">
        <f t="shared" si="86"/>
        <v>41.862558520293703</v>
      </c>
      <c r="X237" s="157">
        <f t="shared" si="87"/>
        <v>46610</v>
      </c>
      <c r="Y237" s="384">
        <f t="shared" si="88"/>
        <v>40.423352849417896</v>
      </c>
      <c r="Z237" s="384">
        <f t="shared" si="89"/>
        <v>43.45432030825031</v>
      </c>
      <c r="AA237" s="385">
        <f t="shared" si="90"/>
        <v>47.074278937164102</v>
      </c>
      <c r="AB237" s="196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7.6898865168934391E-2</v>
      </c>
      <c r="AD237" s="230">
        <f>(INDEX(Models!$BJ237:$BT237,,AH237)*(1-AF237)+INDEX(Models!$BJ237:$BT237,,AH237+1)*AF237-ERP_i)*AE237*Ramure*Pc/MaxiM</f>
        <v>6.1780724673375967E-4</v>
      </c>
      <c r="AE237" s="304">
        <f t="shared" si="92"/>
        <v>0.5</v>
      </c>
      <c r="AF237" s="176">
        <f t="shared" si="93"/>
        <v>0.51306777175461793</v>
      </c>
      <c r="AG237" s="814">
        <f t="shared" si="99"/>
        <v>2</v>
      </c>
      <c r="AH237" s="175">
        <f t="shared" si="94"/>
        <v>8</v>
      </c>
      <c r="AI237" s="224">
        <f t="shared" si="95"/>
        <v>2.5130677717546179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10">
        <f>'2026'!Wh/'2026'!Env_an*'2027'!Env_an</f>
        <v>43.934692214492969</v>
      </c>
      <c r="C238" s="843"/>
      <c r="D238" s="392">
        <f t="shared" si="77"/>
        <v>47.229975147046893</v>
      </c>
      <c r="E238" s="384">
        <f t="shared" si="100"/>
        <v>49.427134806051313</v>
      </c>
      <c r="F238" s="384">
        <f t="shared" si="78"/>
        <v>49.433025408528124</v>
      </c>
      <c r="G238" s="110">
        <f t="shared" si="101"/>
        <v>0.89613792510782453</v>
      </c>
      <c r="H238" s="413" t="b">
        <f>Wh_hp&gt;='2026'!Maxi_hp</f>
        <v>0</v>
      </c>
      <c r="I238" s="389">
        <f>IF(H238,Wh_hp,'2026'!Maxi_hp)</f>
        <v>51.451294762618211</v>
      </c>
      <c r="J238" s="85">
        <f>IF(H238,An,'2026'!An_max)</f>
        <v>2018</v>
      </c>
      <c r="K238" s="196">
        <f t="shared" si="79"/>
        <v>46611</v>
      </c>
      <c r="L238" s="147">
        <f>IF(t&lt;Tvie,1-EXP((T0-t)*PertePVj)+'2026'!Pspv,1-EXP((T0-t)*PertePVj)+Pspv)</f>
        <v>6.9771007126180201E-2</v>
      </c>
      <c r="M238" s="847"/>
      <c r="N238" s="847"/>
      <c r="O238" s="48">
        <f>IF(t&lt;Tnet,'2026'!Resal+('2026'!Salim-'2026'!Resal)*(1-EXP(('2026'!Tnet-t)/('2026'!Tau_j))),Resal+(Salim-Resal)*(1-EXP((Tnet-t)/(Tau_j))))*Salcycl</f>
        <v>4.4452498968955555E-2</v>
      </c>
      <c r="P238" s="168">
        <f>(INDEX(Models!$BJ238:$BT238,,T238)*(1-R238)+INDEX(Models!$BJ238:$BT238,,T238+1)*R238-ERP_i)*Q238*Ramure*Pc/MaxiM</f>
        <v>1.3992014940939903E-4</v>
      </c>
      <c r="Q238" s="304">
        <f t="shared" si="80"/>
        <v>0.5</v>
      </c>
      <c r="R238" s="176">
        <f t="shared" si="81"/>
        <v>0.39889191532277013</v>
      </c>
      <c r="S238" s="814">
        <f t="shared" si="82"/>
        <v>0</v>
      </c>
      <c r="T238" s="175">
        <f t="shared" si="83"/>
        <v>6</v>
      </c>
      <c r="U238" s="250">
        <f t="shared" si="84"/>
        <v>0.39889191532277013</v>
      </c>
      <c r="V238" s="382">
        <f t="shared" si="85"/>
        <v>49.025690051862185</v>
      </c>
      <c r="W238" s="401">
        <f t="shared" si="86"/>
        <v>43.934692214492969</v>
      </c>
      <c r="X238" s="157">
        <f t="shared" si="87"/>
        <v>46611</v>
      </c>
      <c r="Y238" s="384">
        <f t="shared" si="88"/>
        <v>42.424761543391952</v>
      </c>
      <c r="Z238" s="384">
        <f t="shared" si="89"/>
        <v>45.606793454508711</v>
      </c>
      <c r="AA238" s="385">
        <f t="shared" si="90"/>
        <v>49.407490884653775</v>
      </c>
      <c r="AB238" s="196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7.6925530159346292E-2</v>
      </c>
      <c r="AD238" s="230">
        <f>(INDEX(Models!$BJ238:$BT238,,AH238)*(1-AF238)+INDEX(Models!$BJ238:$BT238,,AH238+1)*AF238-ERP_i)*AE238*Ramure*Pc/MaxiM</f>
        <v>6.0652444459824797E-4</v>
      </c>
      <c r="AE238" s="304">
        <f t="shared" si="92"/>
        <v>0.5</v>
      </c>
      <c r="AF238" s="176">
        <f t="shared" si="93"/>
        <v>0.51388445514715775</v>
      </c>
      <c r="AG238" s="814">
        <f t="shared" si="99"/>
        <v>2</v>
      </c>
      <c r="AH238" s="175">
        <f t="shared" si="94"/>
        <v>8</v>
      </c>
      <c r="AI238" s="224">
        <f t="shared" si="95"/>
        <v>2.5138844551471577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10">
        <f>'2026'!Wh/'2026'!Env_an*'2027'!Env_an</f>
        <v>30.60490246684498</v>
      </c>
      <c r="C239" s="843"/>
      <c r="D239" s="392">
        <f t="shared" si="77"/>
        <v>32.901115937187818</v>
      </c>
      <c r="E239" s="384">
        <f t="shared" si="100"/>
        <v>34.43392303504303</v>
      </c>
      <c r="F239" s="384">
        <f t="shared" si="78"/>
        <v>34.436100414462572</v>
      </c>
      <c r="G239" s="110">
        <f t="shared" si="101"/>
        <v>0.62554167370237057</v>
      </c>
      <c r="H239" s="413" t="b">
        <f>Wh_hp&gt;='2026'!Maxi_hp</f>
        <v>0</v>
      </c>
      <c r="I239" s="389">
        <f>IF(H239,Wh_hp,'2026'!Maxi_hp)</f>
        <v>51.299776685989691</v>
      </c>
      <c r="J239" s="85">
        <f>IF(H239,An,'2026'!An_max)</f>
        <v>2019</v>
      </c>
      <c r="K239" s="196">
        <f t="shared" si="79"/>
        <v>46612</v>
      </c>
      <c r="L239" s="147">
        <f>IF(t&lt;Tvie,1-EXP((T0-t)*PertePVj)+'2026'!Pspv,1-EXP((T0-t)*PertePVj)+Pspv)</f>
        <v>6.9791355245414216E-2</v>
      </c>
      <c r="M239" s="847"/>
      <c r="N239" s="847"/>
      <c r="O239" s="48">
        <f>IF(t&lt;Tnet,'2026'!Resal+('2026'!Salim-'2026'!Resal)*(1-EXP(('2026'!Tnet-t)/('2026'!Tau_j))),Resal+(Salim-Resal)*(1-EXP((Tnet-t)/(Tau_j))))*Salcycl</f>
        <v>4.4514448623681181E-2</v>
      </c>
      <c r="P239" s="168">
        <f>(INDEX(Models!$BJ239:$BT239,,T239)*(1-R239)+INDEX(Models!$BJ239:$BT239,,T239+1)*R239-ERP_i)*Q239*Ramure*Pc/MaxiM</f>
        <v>1.3594114178246082E-4</v>
      </c>
      <c r="Q239" s="304">
        <f t="shared" si="80"/>
        <v>0.5</v>
      </c>
      <c r="R239" s="176">
        <f t="shared" si="81"/>
        <v>0.3996802303194163</v>
      </c>
      <c r="S239" s="814">
        <f t="shared" si="82"/>
        <v>0</v>
      </c>
      <c r="T239" s="175">
        <f t="shared" si="83"/>
        <v>6</v>
      </c>
      <c r="U239" s="250">
        <f t="shared" si="84"/>
        <v>0.3996802303194163</v>
      </c>
      <c r="V239" s="382">
        <f t="shared" si="85"/>
        <v>48.921883675762857</v>
      </c>
      <c r="W239" s="401">
        <f t="shared" si="86"/>
        <v>30.60490246684498</v>
      </c>
      <c r="X239" s="157">
        <f t="shared" si="87"/>
        <v>46612</v>
      </c>
      <c r="Y239" s="384">
        <f t="shared" si="88"/>
        <v>29.559548687489475</v>
      </c>
      <c r="Z239" s="384">
        <f t="shared" si="89"/>
        <v>31.777331735385115</v>
      </c>
      <c r="AA239" s="385">
        <f t="shared" si="90"/>
        <v>34.426520718945227</v>
      </c>
      <c r="AB239" s="196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7.6951981444417047E-2</v>
      </c>
      <c r="AD239" s="230">
        <f>(INDEX(Models!$BJ239:$BT239,,AH239)*(1-AF239)+INDEX(Models!$BJ239:$BT239,,AH239+1)*AF239-ERP_i)*AE239*Ramure*Pc/MaxiM</f>
        <v>5.9809270486683552E-4</v>
      </c>
      <c r="AE239" s="304">
        <f t="shared" si="92"/>
        <v>0.5</v>
      </c>
      <c r="AF239" s="176">
        <f t="shared" si="93"/>
        <v>0.51467277014380386</v>
      </c>
      <c r="AG239" s="814">
        <f t="shared" si="99"/>
        <v>2</v>
      </c>
      <c r="AH239" s="175">
        <f t="shared" si="94"/>
        <v>8</v>
      </c>
      <c r="AI239" s="224">
        <f t="shared" si="95"/>
        <v>2.5146727701438039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10">
        <f>'2026'!Wh/'2026'!Env_an*'2027'!Env_an</f>
        <v>31.819710175417182</v>
      </c>
      <c r="C240" s="843"/>
      <c r="D240" s="392">
        <f t="shared" si="77"/>
        <v>34.207816068283002</v>
      </c>
      <c r="E240" s="384">
        <f t="shared" si="100"/>
        <v>35.803814760799902</v>
      </c>
      <c r="F240" s="384">
        <f t="shared" si="78"/>
        <v>35.806208060271317</v>
      </c>
      <c r="G240" s="110">
        <f t="shared" si="101"/>
        <v>0.65178299090341807</v>
      </c>
      <c r="H240" s="413" t="b">
        <f>Wh_hp&gt;='2026'!Maxi_hp</f>
        <v>0</v>
      </c>
      <c r="I240" s="389">
        <f>IF(H240,Wh_hp,'2026'!Maxi_hp)</f>
        <v>56.168421438709679</v>
      </c>
      <c r="J240" s="85">
        <f>IF(H240,An,'2026'!An_max)</f>
        <v>2019</v>
      </c>
      <c r="K240" s="196">
        <f t="shared" si="79"/>
        <v>46613</v>
      </c>
      <c r="L240" s="147">
        <f>IF(t&lt;Tvie,1-EXP((T0-t)*PertePVj)+'2026'!Pspv,1-EXP((T0-t)*PertePVj)+Pspv)</f>
        <v>6.9811702918972179E-2</v>
      </c>
      <c r="M240" s="847"/>
      <c r="N240" s="847"/>
      <c r="O240" s="48">
        <f>IF(t&lt;Tnet,'2026'!Resal+('2026'!Salim-'2026'!Resal)*(1-EXP(('2026'!Tnet-t)/('2026'!Tau_j))),Resal+(Salim-Resal)*(1-EXP((Tnet-t)/(Tau_j))))*Salcycl</f>
        <v>4.4576219131384119E-2</v>
      </c>
      <c r="P240" s="168">
        <f>(INDEX(Models!$BJ240:$BT240,,T240)*(1-R240)+INDEX(Models!$BJ240:$BT240,,T240+1)*R240-ERP_i)*Q240*Ramure*Pc/MaxiM</f>
        <v>1.3298684648510779E-4</v>
      </c>
      <c r="Q240" s="304">
        <f t="shared" si="80"/>
        <v>0.5</v>
      </c>
      <c r="R240" s="176">
        <f t="shared" si="81"/>
        <v>0.40044099825598567</v>
      </c>
      <c r="S240" s="814">
        <f t="shared" si="82"/>
        <v>0</v>
      </c>
      <c r="T240" s="175">
        <f t="shared" si="83"/>
        <v>6</v>
      </c>
      <c r="U240" s="250">
        <f t="shared" si="84"/>
        <v>0.40044099825598567</v>
      </c>
      <c r="V240" s="382">
        <f t="shared" si="85"/>
        <v>48.816255895646023</v>
      </c>
      <c r="W240" s="401">
        <f t="shared" si="86"/>
        <v>31.819710175417182</v>
      </c>
      <c r="X240" s="157">
        <f t="shared" si="87"/>
        <v>46613</v>
      </c>
      <c r="Y240" s="384">
        <f t="shared" si="88"/>
        <v>30.733459442528172</v>
      </c>
      <c r="Z240" s="384">
        <f t="shared" si="89"/>
        <v>33.040040966943074</v>
      </c>
      <c r="AA240" s="385">
        <f t="shared" si="90"/>
        <v>35.795515869612956</v>
      </c>
      <c r="AB240" s="196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7.6978214609529444E-2</v>
      </c>
      <c r="AD240" s="230">
        <f>(INDEX(Models!$BJ240:$BT240,,AH240)*(1-AF240)+INDEX(Models!$BJ240:$BT240,,AH240+1)*AF240-ERP_i)*AE240*Ramure*Pc/MaxiM</f>
        <v>5.9412569745424814E-4</v>
      </c>
      <c r="AE240" s="304">
        <f t="shared" si="92"/>
        <v>0.5</v>
      </c>
      <c r="AF240" s="176">
        <f t="shared" si="93"/>
        <v>0.51543353808037295</v>
      </c>
      <c r="AG240" s="814">
        <f t="shared" si="99"/>
        <v>2</v>
      </c>
      <c r="AH240" s="175">
        <f t="shared" si="94"/>
        <v>8</v>
      </c>
      <c r="AI240" s="224">
        <f t="shared" si="95"/>
        <v>2.515433538080373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10">
        <f>'2026'!Wh/'2026'!Env_an*'2027'!Env_an</f>
        <v>36.4857404713348</v>
      </c>
      <c r="C241" s="843"/>
      <c r="D241" s="392">
        <f t="shared" si="77"/>
        <v>39.224895328951639</v>
      </c>
      <c r="E241" s="384">
        <f t="shared" si="100"/>
        <v>41.057617333313125</v>
      </c>
      <c r="F241" s="384">
        <f t="shared" si="78"/>
        <v>41.061067437440364</v>
      </c>
      <c r="G241" s="110">
        <f t="shared" si="101"/>
        <v>0.74902314535291981</v>
      </c>
      <c r="H241" s="413" t="b">
        <f>Wh_hp&gt;='2026'!Maxi_hp</f>
        <v>0</v>
      </c>
      <c r="I241" s="389">
        <f>IF(H241,Wh_hp,'2026'!Maxi_hp)</f>
        <v>54.459997130630313</v>
      </c>
      <c r="J241" s="85">
        <f>IF(H241,An,'2026'!An_max)</f>
        <v>2018</v>
      </c>
      <c r="K241" s="196">
        <f t="shared" si="79"/>
        <v>46614</v>
      </c>
      <c r="L241" s="147">
        <f>IF(t&lt;Tvie,1-EXP((T0-t)*PertePVj)+'2026'!Pspv,1-EXP((T0-t)*PertePVj)+Pspv)</f>
        <v>6.9832050146863861E-2</v>
      </c>
      <c r="M241" s="847"/>
      <c r="N241" s="847"/>
      <c r="O241" s="48">
        <f>IF(t&lt;Tnet,'2026'!Resal+('2026'!Salim-'2026'!Resal)*(1-EXP(('2026'!Tnet-t)/('2026'!Tau_j))),Resal+(Salim-Resal)*(1-EXP((Tnet-t)/(Tau_j))))*Salcycl</f>
        <v>4.4637807145093689E-2</v>
      </c>
      <c r="P241" s="168">
        <f>(INDEX(Models!$BJ241:$BT241,,T241)*(1-R241)+INDEX(Models!$BJ241:$BT241,,T241+1)*R241-ERP_i)*Q241*Ramure*Pc/MaxiM</f>
        <v>1.3097767007329953E-4</v>
      </c>
      <c r="Q241" s="304">
        <f t="shared" si="80"/>
        <v>0.5</v>
      </c>
      <c r="R241" s="176">
        <f t="shared" si="81"/>
        <v>0.40117502896980978</v>
      </c>
      <c r="S241" s="814">
        <f t="shared" si="82"/>
        <v>0</v>
      </c>
      <c r="T241" s="175">
        <f t="shared" si="83"/>
        <v>6</v>
      </c>
      <c r="U241" s="250">
        <f t="shared" si="84"/>
        <v>0.40117502896980978</v>
      </c>
      <c r="V241" s="382">
        <f t="shared" si="85"/>
        <v>48.70881147603211</v>
      </c>
      <c r="W241" s="401">
        <f t="shared" si="86"/>
        <v>36.4857404713348</v>
      </c>
      <c r="X241" s="157">
        <f t="shared" si="87"/>
        <v>46614</v>
      </c>
      <c r="Y241" s="384">
        <f t="shared" si="88"/>
        <v>35.239178588568137</v>
      </c>
      <c r="Z241" s="384">
        <f t="shared" si="89"/>
        <v>37.884748226524081</v>
      </c>
      <c r="AA241" s="385">
        <f t="shared" si="90"/>
        <v>41.045418870103312</v>
      </c>
      <c r="AB241" s="196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7.7004224358918572E-2</v>
      </c>
      <c r="AD241" s="230">
        <f>(INDEX(Models!$BJ241:$BT241,,AH241)*(1-AF241)+INDEX(Models!$BJ241:$BT241,,AH241+1)*AF241-ERP_i)*AE241*Ramure*Pc/MaxiM</f>
        <v>5.9407276250266199E-4</v>
      </c>
      <c r="AE241" s="304">
        <f t="shared" si="92"/>
        <v>0.5</v>
      </c>
      <c r="AF241" s="176">
        <f t="shared" si="93"/>
        <v>0.51616756879419734</v>
      </c>
      <c r="AG241" s="814">
        <f t="shared" si="99"/>
        <v>2</v>
      </c>
      <c r="AH241" s="175">
        <f t="shared" si="94"/>
        <v>8</v>
      </c>
      <c r="AI241" s="224">
        <f t="shared" si="95"/>
        <v>2.5161675687941973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10">
        <f>'2026'!Wh/'2026'!Env_an*'2027'!Env_an</f>
        <v>30.649203678871924</v>
      </c>
      <c r="C242" s="843"/>
      <c r="D242" s="392">
        <f t="shared" si="77"/>
        <v>32.950903252003194</v>
      </c>
      <c r="E242" s="384">
        <f t="shared" si="100"/>
        <v>34.492699636524819</v>
      </c>
      <c r="F242" s="384">
        <f t="shared" si="78"/>
        <v>34.494816547601857</v>
      </c>
      <c r="G242" s="110">
        <f t="shared" si="101"/>
        <v>0.63060464311883824</v>
      </c>
      <c r="H242" s="413" t="b">
        <f>Wh_hp&gt;='2026'!Maxi_hp</f>
        <v>0</v>
      </c>
      <c r="I242" s="389">
        <f>IF(H242,Wh_hp,'2026'!Maxi_hp)</f>
        <v>55.604090749056766</v>
      </c>
      <c r="J242" s="85">
        <f>IF(H242,An,'2026'!An_max)</f>
        <v>2019</v>
      </c>
      <c r="K242" s="196">
        <f t="shared" si="79"/>
        <v>46615</v>
      </c>
      <c r="L242" s="147">
        <f>IF(t&lt;Tvie,1-EXP((T0-t)*PertePVj)+'2026'!Pspv,1-EXP((T0-t)*PertePVj)+Pspv)</f>
        <v>6.9852396929099031E-2</v>
      </c>
      <c r="M242" s="847"/>
      <c r="N242" s="847"/>
      <c r="O242" s="48">
        <f>IF(t&lt;Tnet,'2026'!Resal+('2026'!Salim-'2026'!Resal)*(1-EXP(('2026'!Tnet-t)/('2026'!Tau_j))),Resal+(Salim-Resal)*(1-EXP((Tnet-t)/(Tau_j))))*Salcycl</f>
        <v>4.4699208840382983E-2</v>
      </c>
      <c r="P242" s="168">
        <f>(INDEX(Models!$BJ242:$BT242,,T242)*(1-R242)+INDEX(Models!$BJ242:$BT242,,T242+1)*R242-ERP_i)*Q242*Ramure*Pc/MaxiM</f>
        <v>1.2992151482004935E-4</v>
      </c>
      <c r="Q242" s="304">
        <f t="shared" si="80"/>
        <v>0.5</v>
      </c>
      <c r="R242" s="176">
        <f t="shared" si="81"/>
        <v>0.40188311994662101</v>
      </c>
      <c r="S242" s="814">
        <f t="shared" si="82"/>
        <v>0</v>
      </c>
      <c r="T242" s="175">
        <f t="shared" si="83"/>
        <v>6</v>
      </c>
      <c r="U242" s="250">
        <f t="shared" si="84"/>
        <v>0.40188311994662101</v>
      </c>
      <c r="V242" s="382">
        <f t="shared" si="85"/>
        <v>48.599550928116763</v>
      </c>
      <c r="W242" s="401">
        <f t="shared" si="86"/>
        <v>30.649203678871924</v>
      </c>
      <c r="X242" s="157">
        <f t="shared" si="87"/>
        <v>46615</v>
      </c>
      <c r="Y242" s="384">
        <f t="shared" si="88"/>
        <v>29.605378042132553</v>
      </c>
      <c r="Z242" s="384">
        <f t="shared" si="89"/>
        <v>31.828688204312741</v>
      </c>
      <c r="AA242" s="385">
        <f t="shared" si="90"/>
        <v>34.485073580662522</v>
      </c>
      <c r="AB242" s="196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7.7030004594200591E-2</v>
      </c>
      <c r="AD242" s="230">
        <f>(INDEX(Models!$BJ242:$BT242,,AH242)*(1-AF242)+INDEX(Models!$BJ242:$BT242,,AH242+1)*AF242-ERP_i)*AE242*Ramure*Pc/MaxiM</f>
        <v>5.9795663470707311E-4</v>
      </c>
      <c r="AE242" s="304">
        <f t="shared" si="92"/>
        <v>0.5</v>
      </c>
      <c r="AF242" s="176">
        <f t="shared" si="93"/>
        <v>0.51687565977100869</v>
      </c>
      <c r="AG242" s="814">
        <f t="shared" si="99"/>
        <v>2</v>
      </c>
      <c r="AH242" s="175">
        <f t="shared" si="94"/>
        <v>8</v>
      </c>
      <c r="AI242" s="224">
        <f t="shared" si="95"/>
        <v>2.5168756597710087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10">
        <f>'2026'!Wh/'2026'!Env_an*'2027'!Env_an</f>
        <v>21.068626025784095</v>
      </c>
      <c r="C243" s="843"/>
      <c r="D243" s="392">
        <f t="shared" si="77"/>
        <v>22.651337086665198</v>
      </c>
      <c r="E243" s="384">
        <f t="shared" si="100"/>
        <v>23.712728785396767</v>
      </c>
      <c r="F243" s="384">
        <f t="shared" si="78"/>
        <v>23.713320353442057</v>
      </c>
      <c r="G243" s="110">
        <f t="shared" si="101"/>
        <v>0.43446234164810132</v>
      </c>
      <c r="H243" s="413" t="b">
        <f>Wh_hp&gt;='2026'!Maxi_hp</f>
        <v>0</v>
      </c>
      <c r="I243" s="389">
        <f>IF(H243,Wh_hp,'2026'!Maxi_hp)</f>
        <v>54.149035020517147</v>
      </c>
      <c r="J243" s="85">
        <f>IF(H243,An,'2026'!An_max)</f>
        <v>2019</v>
      </c>
      <c r="K243" s="196">
        <f t="shared" si="79"/>
        <v>46616</v>
      </c>
      <c r="L243" s="147">
        <f>IF(t&lt;Tvie,1-EXP((T0-t)*PertePVj)+'2026'!Pspv,1-EXP((T0-t)*PertePVj)+Pspv)</f>
        <v>6.9872743265687459E-2</v>
      </c>
      <c r="M243" s="847"/>
      <c r="N243" s="847"/>
      <c r="O243" s="48">
        <f>IF(t&lt;Tnet,'2026'!Resal+('2026'!Salim-'2026'!Resal)*(1-EXP(('2026'!Tnet-t)/('2026'!Tau_j))),Resal+(Salim-Resal)*(1-EXP((Tnet-t)/(Tau_j))))*Salcycl</f>
        <v>4.4760419955767239E-2</v>
      </c>
      <c r="P243" s="168">
        <f>(INDEX(Models!$BJ243:$BT243,,T243)*(1-R243)+INDEX(Models!$BJ243:$BT243,,T243+1)*R243-ERP_i)*Q243*Ramure*Pc/MaxiM</f>
        <v>1.2982625855137442E-4</v>
      </c>
      <c r="Q243" s="304">
        <f t="shared" si="80"/>
        <v>0.5</v>
      </c>
      <c r="R243" s="176">
        <f t="shared" si="81"/>
        <v>0.40256605556753261</v>
      </c>
      <c r="S243" s="814">
        <f t="shared" si="82"/>
        <v>0</v>
      </c>
      <c r="T243" s="175">
        <f t="shared" si="83"/>
        <v>6</v>
      </c>
      <c r="U243" s="250">
        <f t="shared" si="84"/>
        <v>0.40256605556753261</v>
      </c>
      <c r="V243" s="382">
        <f t="shared" si="85"/>
        <v>48.488474793053157</v>
      </c>
      <c r="W243" s="401">
        <f t="shared" si="86"/>
        <v>21.068626025784095</v>
      </c>
      <c r="X243" s="157">
        <f t="shared" si="87"/>
        <v>46616</v>
      </c>
      <c r="Y243" s="384">
        <f t="shared" si="88"/>
        <v>20.354467496281693</v>
      </c>
      <c r="Z243" s="384">
        <f t="shared" si="89"/>
        <v>21.883529752419538</v>
      </c>
      <c r="AA243" s="385">
        <f t="shared" si="90"/>
        <v>23.710559954685067</v>
      </c>
      <c r="AB243" s="196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7.7055548487985751E-2</v>
      </c>
      <c r="AD243" s="230">
        <f>(INDEX(Models!$BJ243:$BT243,,AH243)*(1-AF243)+INDEX(Models!$BJ243:$BT243,,AH243+1)*AF243-ERP_i)*AE243*Ramure*Pc/MaxiM</f>
        <v>6.0580054244662178E-4</v>
      </c>
      <c r="AE243" s="304">
        <f t="shared" si="92"/>
        <v>0.5</v>
      </c>
      <c r="AF243" s="176">
        <f t="shared" si="93"/>
        <v>0.51755859539191995</v>
      </c>
      <c r="AG243" s="814">
        <f t="shared" si="99"/>
        <v>2</v>
      </c>
      <c r="AH243" s="175">
        <f t="shared" si="94"/>
        <v>8</v>
      </c>
      <c r="AI243" s="224">
        <f t="shared" si="95"/>
        <v>2.51755859539192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10">
        <f>'2026'!Wh/'2026'!Env_an*'2027'!Env_an</f>
        <v>36.661458270280328</v>
      </c>
      <c r="C244" s="843"/>
      <c r="D244" s="392">
        <f t="shared" si="77"/>
        <v>39.416391645814222</v>
      </c>
      <c r="E244" s="384">
        <f t="shared" si="100"/>
        <v>41.265992689090815</v>
      </c>
      <c r="F244" s="384">
        <f t="shared" si="78"/>
        <v>41.269520699246385</v>
      </c>
      <c r="G244" s="110">
        <f t="shared" si="101"/>
        <v>0.75781619162985159</v>
      </c>
      <c r="H244" s="413" t="b">
        <f>Wh_hp&gt;='2026'!Maxi_hp</f>
        <v>0</v>
      </c>
      <c r="I244" s="389">
        <f>IF(H244,Wh_hp,'2026'!Maxi_hp)</f>
        <v>52.532669315171944</v>
      </c>
      <c r="J244" s="85">
        <f>IF(H244,An,'2026'!An_max)</f>
        <v>2021</v>
      </c>
      <c r="K244" s="196">
        <f t="shared" si="79"/>
        <v>46617</v>
      </c>
      <c r="L244" s="147">
        <f>IF(t&lt;Tvie,1-EXP((T0-t)*PertePVj)+'2026'!Pspv,1-EXP((T0-t)*PertePVj)+Pspv)</f>
        <v>6.9893089156638916E-2</v>
      </c>
      <c r="M244" s="847"/>
      <c r="N244" s="847"/>
      <c r="O244" s="48">
        <f>IF(t&lt;Tnet,'2026'!Resal+('2026'!Salim-'2026'!Resal)*(1-EXP(('2026'!Tnet-t)/('2026'!Tau_j))),Resal+(Salim-Resal)*(1-EXP((Tnet-t)/(Tau_j))))*Salcycl</f>
        <v>4.4821435830030537E-2</v>
      </c>
      <c r="P244" s="168">
        <f>(INDEX(Models!$BJ244:$BT244,,T244)*(1-R244)+INDEX(Models!$BJ244:$BT244,,T244+1)*R244-ERP_i)*Q244*Ramure*Pc/MaxiM</f>
        <v>1.3069975926028354E-4</v>
      </c>
      <c r="Q244" s="304">
        <f t="shared" si="80"/>
        <v>0.5</v>
      </c>
      <c r="R244" s="176">
        <f t="shared" si="81"/>
        <v>0.4032246064504208</v>
      </c>
      <c r="S244" s="814">
        <f t="shared" si="82"/>
        <v>0</v>
      </c>
      <c r="T244" s="175">
        <f t="shared" si="83"/>
        <v>6</v>
      </c>
      <c r="U244" s="250">
        <f t="shared" si="84"/>
        <v>0.4032246064504208</v>
      </c>
      <c r="V244" s="382">
        <f t="shared" si="85"/>
        <v>48.375583644341098</v>
      </c>
      <c r="W244" s="401">
        <f t="shared" si="86"/>
        <v>36.661458270280328</v>
      </c>
      <c r="X244" s="157">
        <f t="shared" si="87"/>
        <v>46617</v>
      </c>
      <c r="Y244" s="384">
        <f t="shared" si="88"/>
        <v>35.412001632336825</v>
      </c>
      <c r="Z244" s="384">
        <f t="shared" si="89"/>
        <v>38.073044312967745</v>
      </c>
      <c r="AA244" s="385">
        <f t="shared" si="90"/>
        <v>41.252848912304486</v>
      </c>
      <c r="AB244" s="196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7.7080848551730016E-2</v>
      </c>
      <c r="AD244" s="230">
        <f>(INDEX(Models!$BJ244:$BT244,,AH244)*(1-AF244)+INDEX(Models!$BJ244:$BT244,,AH244+1)*AF244-ERP_i)*AE244*Ramure*Pc/MaxiM</f>
        <v>6.176281937010507E-4</v>
      </c>
      <c r="AE244" s="304">
        <f t="shared" si="92"/>
        <v>0.5</v>
      </c>
      <c r="AF244" s="176">
        <f t="shared" si="93"/>
        <v>0.51821714627480819</v>
      </c>
      <c r="AG244" s="814">
        <f t="shared" si="99"/>
        <v>2</v>
      </c>
      <c r="AH244" s="175">
        <f t="shared" si="94"/>
        <v>8</v>
      </c>
      <c r="AI244" s="224">
        <f t="shared" si="95"/>
        <v>2.5182171462748082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10">
        <f>'2026'!Wh/'2026'!Env_an*'2027'!Env_an</f>
        <v>37.960393454542135</v>
      </c>
      <c r="C245" s="843"/>
      <c r="D245" s="392">
        <f t="shared" si="77"/>
        <v>40.813828375530541</v>
      </c>
      <c r="E245" s="384">
        <f t="shared" si="100"/>
        <v>42.731724373140821</v>
      </c>
      <c r="F245" s="384">
        <f t="shared" si="78"/>
        <v>42.735661812977142</v>
      </c>
      <c r="G245" s="110">
        <f t="shared" si="101"/>
        <v>0.78653478028924484</v>
      </c>
      <c r="H245" s="413" t="b">
        <f>Wh_hp&gt;='2026'!Maxi_hp</f>
        <v>0</v>
      </c>
      <c r="I245" s="389">
        <f>IF(H245,Wh_hp,'2026'!Maxi_hp)</f>
        <v>51.308352268844715</v>
      </c>
      <c r="J245" s="85">
        <f>IF(H245,An,'2026'!An_max)</f>
        <v>2018</v>
      </c>
      <c r="K245" s="196">
        <f t="shared" si="79"/>
        <v>46618</v>
      </c>
      <c r="L245" s="147">
        <f>IF(t&lt;Tvie,1-EXP((T0-t)*PertePVj)+'2026'!Pspv,1-EXP((T0-t)*PertePVj)+Pspv)</f>
        <v>6.991343460196317E-2</v>
      </c>
      <c r="M245" s="847"/>
      <c r="N245" s="847"/>
      <c r="O245" s="48">
        <f>IF(t&lt;Tnet,'2026'!Resal+('2026'!Salim-'2026'!Resal)*(1-EXP(('2026'!Tnet-t)/('2026'!Tau_j))),Resal+(Salim-Resal)*(1-EXP((Tnet-t)/(Tau_j))))*Salcycl</f>
        <v>4.4882251436026262E-2</v>
      </c>
      <c r="P245" s="168">
        <f>(INDEX(Models!$BJ245:$BT245,,T245)*(1-R245)+INDEX(Models!$BJ245:$BT245,,T245+1)*R245-ERP_i)*Q245*Ramure*Pc/MaxiM</f>
        <v>1.3254985830714954E-4</v>
      </c>
      <c r="Q245" s="304">
        <f t="shared" si="80"/>
        <v>0.5</v>
      </c>
      <c r="R245" s="176">
        <f t="shared" si="81"/>
        <v>0.40385952888008436</v>
      </c>
      <c r="S245" s="814">
        <f t="shared" si="82"/>
        <v>0</v>
      </c>
      <c r="T245" s="175">
        <f t="shared" si="83"/>
        <v>6</v>
      </c>
      <c r="U245" s="250">
        <f t="shared" si="84"/>
        <v>0.40385952888008436</v>
      </c>
      <c r="V245" s="382">
        <f t="shared" si="85"/>
        <v>48.260878083598321</v>
      </c>
      <c r="W245" s="401">
        <f t="shared" si="86"/>
        <v>37.960393454542135</v>
      </c>
      <c r="X245" s="157">
        <f t="shared" si="87"/>
        <v>46618</v>
      </c>
      <c r="Y245" s="384">
        <f t="shared" si="88"/>
        <v>36.666917949736565</v>
      </c>
      <c r="Z245" s="384">
        <f t="shared" si="89"/>
        <v>39.423123947656109</v>
      </c>
      <c r="AA245" s="385">
        <f t="shared" si="90"/>
        <v>42.716844550817044</v>
      </c>
      <c r="AB245" s="196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7.7105896697089588E-2</v>
      </c>
      <c r="AD245" s="230">
        <f>(INDEX(Models!$BJ245:$BT245,,AH245)*(1-AF245)+INDEX(Models!$BJ245:$BT245,,AH245+1)*AF245-ERP_i)*AE245*Ramure*Pc/MaxiM</f>
        <v>6.334637573488115E-4</v>
      </c>
      <c r="AE245" s="304">
        <f t="shared" si="92"/>
        <v>0.5</v>
      </c>
      <c r="AF245" s="176">
        <f t="shared" si="93"/>
        <v>0.51885206870447176</v>
      </c>
      <c r="AG245" s="814">
        <f t="shared" si="99"/>
        <v>2</v>
      </c>
      <c r="AH245" s="175">
        <f t="shared" si="94"/>
        <v>8</v>
      </c>
      <c r="AI245" s="224">
        <f t="shared" si="95"/>
        <v>2.5188520687044718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10">
        <f>'2026'!Wh/'2026'!Env_an*'2027'!Env_an</f>
        <v>45.208960385118999</v>
      </c>
      <c r="C246" s="843"/>
      <c r="D246" s="392">
        <f t="shared" si="77"/>
        <v>48.60832421777112</v>
      </c>
      <c r="E246" s="384">
        <f t="shared" si="100"/>
        <v>50.895723673206348</v>
      </c>
      <c r="F246" s="384">
        <f t="shared" si="78"/>
        <v>50.90201476798179</v>
      </c>
      <c r="G246" s="110">
        <f t="shared" si="101"/>
        <v>0.9390181610494559</v>
      </c>
      <c r="H246" s="413" t="b">
        <f>Wh_hp&gt;='2026'!Maxi_hp</f>
        <v>0</v>
      </c>
      <c r="I246" s="389">
        <f>IF(H246,Wh_hp,'2026'!Maxi_hp)</f>
        <v>52.975167716922265</v>
      </c>
      <c r="J246" s="85">
        <f>IF(H246,An,'2026'!An_max)</f>
        <v>2021</v>
      </c>
      <c r="K246" s="196">
        <f t="shared" si="79"/>
        <v>46619</v>
      </c>
      <c r="L246" s="147">
        <f>IF(t&lt;Tvie,1-EXP((T0-t)*PertePVj)+'2026'!Pspv,1-EXP((T0-t)*PertePVj)+Pspv)</f>
        <v>6.9933779601669882E-2</v>
      </c>
      <c r="M246" s="847"/>
      <c r="N246" s="847"/>
      <c r="O246" s="48">
        <f>IF(t&lt;Tnet,'2026'!Resal+('2026'!Salim-'2026'!Resal)*(1-EXP(('2026'!Tnet-t)/('2026'!Tau_j))),Resal+(Salim-Resal)*(1-EXP((Tnet-t)/(Tau_j))))*Salcycl</f>
        <v>4.4942861410563167E-2</v>
      </c>
      <c r="P246" s="168">
        <f>(INDEX(Models!$BJ246:$BT246,,T246)*(1-R246)+INDEX(Models!$BJ246:$BT246,,T246+1)*R246-ERP_i)*Q246*Ramure*Pc/MaxiM</f>
        <v>1.3538438227050296E-4</v>
      </c>
      <c r="Q246" s="304">
        <f t="shared" si="80"/>
        <v>0.5</v>
      </c>
      <c r="R246" s="176">
        <f t="shared" si="81"/>
        <v>0.40447156432165554</v>
      </c>
      <c r="S246" s="814">
        <f t="shared" si="82"/>
        <v>0</v>
      </c>
      <c r="T246" s="175">
        <f t="shared" si="83"/>
        <v>6</v>
      </c>
      <c r="U246" s="250">
        <f t="shared" si="84"/>
        <v>0.40447156432165554</v>
      </c>
      <c r="V246" s="382">
        <f t="shared" si="85"/>
        <v>48.144358740485238</v>
      </c>
      <c r="W246" s="401">
        <f t="shared" si="86"/>
        <v>45.208960385118999</v>
      </c>
      <c r="X246" s="157">
        <f t="shared" si="87"/>
        <v>46619</v>
      </c>
      <c r="Y246" s="384">
        <f t="shared" si="88"/>
        <v>43.664646503949541</v>
      </c>
      <c r="Z246" s="384">
        <f t="shared" si="89"/>
        <v>46.947889888150961</v>
      </c>
      <c r="AA246" s="385">
        <f t="shared" si="90"/>
        <v>50.871655486822945</v>
      </c>
      <c r="AB246" s="196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7.7130684290161164E-2</v>
      </c>
      <c r="AD246" s="230">
        <f>(INDEX(Models!$BJ246:$BT246,,AH246)*(1-AF246)+INDEX(Models!$BJ246:$BT246,,AH246+1)*AF246-ERP_i)*AE246*Ramure*Pc/MaxiM</f>
        <v>6.5333184009768233E-4</v>
      </c>
      <c r="AE246" s="304">
        <f t="shared" si="92"/>
        <v>0.5</v>
      </c>
      <c r="AF246" s="176">
        <f t="shared" si="93"/>
        <v>0.51946410414604305</v>
      </c>
      <c r="AG246" s="814">
        <f t="shared" si="99"/>
        <v>2</v>
      </c>
      <c r="AH246" s="175">
        <f t="shared" si="94"/>
        <v>8</v>
      </c>
      <c r="AI246" s="224">
        <f t="shared" si="95"/>
        <v>2.519464104146043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10">
        <f>'2026'!Wh/'2026'!Env_an*'2027'!Env_an</f>
        <v>30.477856866502382</v>
      </c>
      <c r="C247" s="843"/>
      <c r="D247" s="392">
        <f t="shared" si="77"/>
        <v>32.770272583421438</v>
      </c>
      <c r="E247" s="384">
        <f t="shared" si="100"/>
        <v>34.314538692737976</v>
      </c>
      <c r="F247" s="384">
        <f t="shared" si="78"/>
        <v>34.316822139049776</v>
      </c>
      <c r="G247" s="110">
        <f t="shared" si="101"/>
        <v>0.63454860862952123</v>
      </c>
      <c r="H247" s="413" t="b">
        <f>Wh_hp&gt;='2026'!Maxi_hp</f>
        <v>0</v>
      </c>
      <c r="I247" s="389">
        <f>IF(H247,Wh_hp,'2026'!Maxi_hp)</f>
        <v>53.054891406226311</v>
      </c>
      <c r="J247" s="85">
        <f>IF(H247,An,'2026'!An_max)</f>
        <v>2020</v>
      </c>
      <c r="K247" s="196">
        <f t="shared" si="79"/>
        <v>46620</v>
      </c>
      <c r="L247" s="147">
        <f>IF(t&lt;Tvie,1-EXP((T0-t)*PertePVj)+'2026'!Pspv,1-EXP((T0-t)*PertePVj)+Pspv)</f>
        <v>6.9954124155768932E-2</v>
      </c>
      <c r="M247" s="847"/>
      <c r="N247" s="847"/>
      <c r="O247" s="48">
        <f>IF(t&lt;Tnet,'2026'!Resal+('2026'!Salim-'2026'!Resal)*(1-EXP(('2026'!Tnet-t)/('2026'!Tau_j))),Resal+(Salim-Resal)*(1-EXP((Tnet-t)/(Tau_j))))*Salcycl</f>
        <v>4.5003260080059095E-2</v>
      </c>
      <c r="P247" s="168">
        <f>(INDEX(Models!$BJ247:$BT247,,T247)*(1-R247)+INDEX(Models!$BJ247:$BT247,,T247+1)*R247-ERP_i)*Q247*Ramure*Pc/MaxiM</f>
        <v>1.3920751789344278E-4</v>
      </c>
      <c r="Q247" s="304">
        <f t="shared" si="80"/>
        <v>0.5</v>
      </c>
      <c r="R247" s="176">
        <f t="shared" si="81"/>
        <v>0.4050614390118541</v>
      </c>
      <c r="S247" s="814">
        <f t="shared" si="82"/>
        <v>0</v>
      </c>
      <c r="T247" s="175">
        <f t="shared" si="83"/>
        <v>6</v>
      </c>
      <c r="U247" s="250">
        <f t="shared" si="84"/>
        <v>0.4050614390118541</v>
      </c>
      <c r="V247" s="382">
        <f t="shared" si="85"/>
        <v>48.027277278481932</v>
      </c>
      <c r="W247" s="401">
        <f t="shared" si="86"/>
        <v>30.477856866502382</v>
      </c>
      <c r="X247" s="157">
        <f t="shared" si="87"/>
        <v>46620</v>
      </c>
      <c r="Y247" s="384">
        <f t="shared" si="88"/>
        <v>29.44418195415404</v>
      </c>
      <c r="Z247" s="384">
        <f t="shared" si="89"/>
        <v>31.658849008310106</v>
      </c>
      <c r="AA247" s="385">
        <f t="shared" si="90"/>
        <v>34.305713250720025</v>
      </c>
      <c r="AB247" s="196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7.7155202198116724E-2</v>
      </c>
      <c r="AD247" s="230">
        <f>(INDEX(Models!$BJ247:$BT247,,AH247)*(1-AF247)+INDEX(Models!$BJ247:$BT247,,AH247+1)*AF247-ERP_i)*AE247*Ramure*Pc/MaxiM</f>
        <v>6.7723982076951393E-4</v>
      </c>
      <c r="AE247" s="304">
        <f t="shared" si="92"/>
        <v>0.5</v>
      </c>
      <c r="AF247" s="176">
        <f t="shared" si="93"/>
        <v>0.52005397883624171</v>
      </c>
      <c r="AG247" s="814">
        <f t="shared" si="99"/>
        <v>2</v>
      </c>
      <c r="AH247" s="175">
        <f t="shared" si="94"/>
        <v>8</v>
      </c>
      <c r="AI247" s="224">
        <f t="shared" si="95"/>
        <v>2.5200539788362417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10">
        <f>'2026'!Wh/'2026'!Env_an*'2027'!Env_an</f>
        <v>23.746479399632406</v>
      </c>
      <c r="C248" s="843"/>
      <c r="D248" s="392">
        <f t="shared" si="77"/>
        <v>25.533147843063787</v>
      </c>
      <c r="E248" s="384">
        <f t="shared" si="100"/>
        <v>26.73805669633391</v>
      </c>
      <c r="F248" s="384">
        <f t="shared" si="78"/>
        <v>26.73913161065051</v>
      </c>
      <c r="G248" s="110">
        <f t="shared" si="101"/>
        <v>0.49559102519605081</v>
      </c>
      <c r="H248" s="413" t="b">
        <f>Wh_hp&gt;='2026'!Maxi_hp</f>
        <v>0</v>
      </c>
      <c r="I248" s="389">
        <f>IF(H248,Wh_hp,'2026'!Maxi_hp)</f>
        <v>55.9528605164124</v>
      </c>
      <c r="J248" s="85">
        <f>IF(H248,An,'2026'!An_max)</f>
        <v>2019</v>
      </c>
      <c r="K248" s="196">
        <f t="shared" si="79"/>
        <v>46621</v>
      </c>
      <c r="L248" s="147">
        <f>IF(t&lt;Tvie,1-EXP((T0-t)*PertePVj)+'2026'!Pspv,1-EXP((T0-t)*PertePVj)+Pspv)</f>
        <v>6.9974468264269979E-2</v>
      </c>
      <c r="M248" s="847"/>
      <c r="N248" s="847"/>
      <c r="O248" s="48">
        <f>IF(t&lt;Tnet,'2026'!Resal+('2026'!Salim-'2026'!Resal)*(1-EXP(('2026'!Tnet-t)/('2026'!Tau_j))),Resal+(Salim-Resal)*(1-EXP((Tnet-t)/(Tau_j))))*Salcycl</f>
        <v>4.5063441481718834E-2</v>
      </c>
      <c r="P248" s="168">
        <f>(INDEX(Models!$BJ248:$BT248,,T248)*(1-R248)+INDEX(Models!$BJ248:$BT248,,T248+1)*R248-ERP_i)*Q248*Ramure*Pc/MaxiM</f>
        <v>1.438340213993693E-4</v>
      </c>
      <c r="Q248" s="304">
        <f t="shared" si="80"/>
        <v>0.5</v>
      </c>
      <c r="R248" s="176">
        <f t="shared" si="81"/>
        <v>0.4056298636228251</v>
      </c>
      <c r="S248" s="814">
        <f t="shared" si="82"/>
        <v>0</v>
      </c>
      <c r="T248" s="175">
        <f t="shared" si="83"/>
        <v>6</v>
      </c>
      <c r="U248" s="250">
        <f t="shared" si="84"/>
        <v>0.4056298636228251</v>
      </c>
      <c r="V248" s="382">
        <f t="shared" si="85"/>
        <v>47.910509172840541</v>
      </c>
      <c r="W248" s="401">
        <f t="shared" si="86"/>
        <v>23.746479399632406</v>
      </c>
      <c r="X248" s="157">
        <f t="shared" si="87"/>
        <v>46621</v>
      </c>
      <c r="Y248" s="384">
        <f t="shared" si="88"/>
        <v>22.944257380801545</v>
      </c>
      <c r="Z248" s="384">
        <f t="shared" si="89"/>
        <v>24.67056720258002</v>
      </c>
      <c r="AA248" s="385">
        <f t="shared" si="90"/>
        <v>26.733872536078138</v>
      </c>
      <c r="AB248" s="196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7.7179440827872092E-2</v>
      </c>
      <c r="AD248" s="230">
        <f>(INDEX(Models!$BJ248:$BT248,,AH248)*(1-AF248)+INDEX(Models!$BJ248:$BT248,,AH248+1)*AF248-ERP_i)*AE248*Ramure*Pc/MaxiM</f>
        <v>7.0371548029573108E-4</v>
      </c>
      <c r="AE248" s="304">
        <f t="shared" si="92"/>
        <v>0.5</v>
      </c>
      <c r="AF248" s="176">
        <f t="shared" si="93"/>
        <v>0.52062240344721245</v>
      </c>
      <c r="AG248" s="814">
        <f t="shared" si="99"/>
        <v>2</v>
      </c>
      <c r="AH248" s="175">
        <f t="shared" si="94"/>
        <v>8</v>
      </c>
      <c r="AI248" s="224">
        <f t="shared" si="95"/>
        <v>2.5206224034472124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10">
        <f>'2026'!Wh/'2026'!Env_an*'2027'!Env_an</f>
        <v>42.477668099648845</v>
      </c>
      <c r="C249" s="843"/>
      <c r="D249" s="392">
        <f t="shared" si="77"/>
        <v>45.674657135700784</v>
      </c>
      <c r="E249" s="384">
        <f t="shared" si="100"/>
        <v>47.833046810496413</v>
      </c>
      <c r="F249" s="384">
        <f t="shared" si="78"/>
        <v>47.839033994328901</v>
      </c>
      <c r="G249" s="110">
        <f t="shared" si="101"/>
        <v>0.88875398643628567</v>
      </c>
      <c r="H249" s="413" t="b">
        <f>Wh_hp&gt;='2026'!Maxi_hp</f>
        <v>0</v>
      </c>
      <c r="I249" s="389">
        <f>IF(H249,Wh_hp,'2026'!Maxi_hp)</f>
        <v>53.332836013800012</v>
      </c>
      <c r="J249" s="85">
        <f>IF(H249,An,'2026'!An_max)</f>
        <v>2019</v>
      </c>
      <c r="K249" s="196">
        <f t="shared" si="79"/>
        <v>46622</v>
      </c>
      <c r="L249" s="147">
        <f>IF(t&lt;Tvie,1-EXP((T0-t)*PertePVj)+'2026'!Pspv,1-EXP((T0-t)*PertePVj)+Pspv)</f>
        <v>6.9994811927182904E-2</v>
      </c>
      <c r="M249" s="847"/>
      <c r="N249" s="847"/>
      <c r="O249" s="48">
        <f>IF(t&lt;Tnet,'2026'!Resal+('2026'!Salim-'2026'!Resal)*(1-EXP(('2026'!Tnet-t)/('2026'!Tau_j))),Resal+(Salim-Resal)*(1-EXP((Tnet-t)/(Tau_j))))*Salcycl</f>
        <v>4.5123399380070289E-2</v>
      </c>
      <c r="P249" s="168">
        <f>(INDEX(Models!$BJ249:$BT249,,T249)*(1-R249)+INDEX(Models!$BJ249:$BT249,,T249+1)*R249-ERP_i)*Q249*Ramure*Pc/MaxiM</f>
        <v>1.4879518205676464E-4</v>
      </c>
      <c r="Q249" s="304">
        <f t="shared" si="80"/>
        <v>0.5</v>
      </c>
      <c r="R249" s="176">
        <f t="shared" si="81"/>
        <v>0.40617753299345688</v>
      </c>
      <c r="S249" s="814">
        <f t="shared" si="82"/>
        <v>0</v>
      </c>
      <c r="T249" s="175">
        <f t="shared" si="83"/>
        <v>6</v>
      </c>
      <c r="U249" s="250">
        <f t="shared" si="84"/>
        <v>0.40617753299345688</v>
      </c>
      <c r="V249" s="382">
        <f t="shared" si="85"/>
        <v>47.793500050979539</v>
      </c>
      <c r="W249" s="401">
        <f t="shared" si="86"/>
        <v>42.477668099648845</v>
      </c>
      <c r="X249" s="157">
        <f t="shared" si="87"/>
        <v>46622</v>
      </c>
      <c r="Y249" s="384">
        <f t="shared" si="88"/>
        <v>41.030505373249788</v>
      </c>
      <c r="Z249" s="384">
        <f t="shared" si="89"/>
        <v>44.118576863290791</v>
      </c>
      <c r="AA249" s="385">
        <f t="shared" si="90"/>
        <v>47.809643417281379</v>
      </c>
      <c r="AB249" s="196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7.72033901565643E-2</v>
      </c>
      <c r="AD249" s="230">
        <f>(INDEX(Models!$BJ249:$BT249,,AH249)*(1-AF249)+INDEX(Models!$BJ249:$BT249,,AH249+1)*AF249-ERP_i)*AE249*Ramure*Pc/MaxiM</f>
        <v>7.3042291415975386E-4</v>
      </c>
      <c r="AE249" s="304">
        <f t="shared" si="92"/>
        <v>0.5</v>
      </c>
      <c r="AF249" s="176">
        <f t="shared" si="93"/>
        <v>0.52117007281784433</v>
      </c>
      <c r="AG249" s="814">
        <f t="shared" si="99"/>
        <v>2</v>
      </c>
      <c r="AH249" s="175">
        <f t="shared" si="94"/>
        <v>8</v>
      </c>
      <c r="AI249" s="224">
        <f t="shared" si="95"/>
        <v>2.5211700728178443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10">
        <f>'2026'!Wh/'2026'!Env_an*'2027'!Env_an</f>
        <v>43.888637225037535</v>
      </c>
      <c r="C250" s="843"/>
      <c r="D250" s="392">
        <f t="shared" si="77"/>
        <v>47.192852085517288</v>
      </c>
      <c r="E250" s="384">
        <f t="shared" si="100"/>
        <v>49.426076804673237</v>
      </c>
      <c r="F250" s="384">
        <f t="shared" si="78"/>
        <v>49.432829724206897</v>
      </c>
      <c r="G250" s="110">
        <f t="shared" si="101"/>
        <v>0.92055060534720712</v>
      </c>
      <c r="H250" s="413" t="b">
        <f>Wh_hp&gt;='2026'!Maxi_hp</f>
        <v>0</v>
      </c>
      <c r="I250" s="389">
        <f>IF(H250,Wh_hp,'2026'!Maxi_hp)</f>
        <v>53.598539486969429</v>
      </c>
      <c r="J250" s="85">
        <f>IF(H250,An,'2026'!An_max)</f>
        <v>2019</v>
      </c>
      <c r="K250" s="196">
        <f t="shared" si="79"/>
        <v>46623</v>
      </c>
      <c r="L250" s="147">
        <f>IF(t&lt;Tvie,1-EXP((T0-t)*PertePVj)+'2026'!Pspv,1-EXP((T0-t)*PertePVj)+Pspv)</f>
        <v>7.0015155144517366E-2</v>
      </c>
      <c r="M250" s="847"/>
      <c r="N250" s="847"/>
      <c r="O250" s="48">
        <f>IF(t&lt;Tnet,'2026'!Resal+('2026'!Salim-'2026'!Resal)*(1-EXP(('2026'!Tnet-t)/('2026'!Tau_j))),Resal+(Salim-Resal)*(1-EXP((Tnet-t)/(Tau_j))))*Salcycl</f>
        <v>4.5183127278772807E-2</v>
      </c>
      <c r="P250" s="168">
        <f>(INDEX(Models!$BJ250:$BT250,,T250)*(1-R250)+INDEX(Models!$BJ250:$BT250,,T250+1)*R250-ERP_i)*Q250*Ramure*Pc/MaxiM</f>
        <v>1.5409397998754546E-4</v>
      </c>
      <c r="Q250" s="304">
        <f t="shared" si="80"/>
        <v>0.5</v>
      </c>
      <c r="R250" s="176">
        <f t="shared" si="81"/>
        <v>0.40670512592325542</v>
      </c>
      <c r="S250" s="814">
        <f t="shared" si="82"/>
        <v>0</v>
      </c>
      <c r="T250" s="175">
        <f t="shared" si="83"/>
        <v>6</v>
      </c>
      <c r="U250" s="250">
        <f t="shared" si="84"/>
        <v>0.40670512592325542</v>
      </c>
      <c r="V250" s="382">
        <f t="shared" si="85"/>
        <v>47.675673047201002</v>
      </c>
      <c r="W250" s="401">
        <f t="shared" si="86"/>
        <v>43.888637225037535</v>
      </c>
      <c r="X250" s="157">
        <f t="shared" si="87"/>
        <v>46623</v>
      </c>
      <c r="Y250" s="384">
        <f t="shared" si="88"/>
        <v>42.393034887471188</v>
      </c>
      <c r="Z250" s="384">
        <f t="shared" si="89"/>
        <v>45.584651321988979</v>
      </c>
      <c r="AA250" s="385">
        <f t="shared" si="90"/>
        <v>49.399639224175303</v>
      </c>
      <c r="AB250" s="196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7.7227039753750643E-2</v>
      </c>
      <c r="AD250" s="230">
        <f>(INDEX(Models!$BJ250:$BT250,,AH250)*(1-AF250)+INDEX(Models!$BJ250:$BT250,,AH250+1)*AF250-ERP_i)*AE250*Ramure*Pc/MaxiM</f>
        <v>7.5736964170114397E-4</v>
      </c>
      <c r="AE250" s="304">
        <f t="shared" si="92"/>
        <v>0.5</v>
      </c>
      <c r="AF250" s="176">
        <f t="shared" si="93"/>
        <v>0.52169766574764287</v>
      </c>
      <c r="AG250" s="814">
        <f t="shared" si="99"/>
        <v>2</v>
      </c>
      <c r="AH250" s="175">
        <f t="shared" si="94"/>
        <v>8</v>
      </c>
      <c r="AI250" s="224">
        <f t="shared" si="95"/>
        <v>2.5216976657476429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10">
        <f>'2026'!Wh/'2026'!Env_an*'2027'!Env_an</f>
        <v>31.317418210481467</v>
      </c>
      <c r="C251" s="843"/>
      <c r="D251" s="392">
        <f t="shared" si="77"/>
        <v>33.675928640620548</v>
      </c>
      <c r="E251" s="384">
        <f t="shared" si="100"/>
        <v>35.271713307062967</v>
      </c>
      <c r="F251" s="384">
        <f t="shared" si="78"/>
        <v>35.274599251023908</v>
      </c>
      <c r="G251" s="110">
        <f t="shared" si="101"/>
        <v>0.65848011718749877</v>
      </c>
      <c r="H251" s="413" t="b">
        <f>Wh_hp&gt;='2026'!Maxi_hp</f>
        <v>0</v>
      </c>
      <c r="I251" s="389">
        <f>IF(H251,Wh_hp,'2026'!Maxi_hp)</f>
        <v>49.950195766823477</v>
      </c>
      <c r="J251" s="85">
        <f>IF(H251,An,'2026'!An_max)</f>
        <v>2020</v>
      </c>
      <c r="K251" s="196">
        <f t="shared" si="79"/>
        <v>46624</v>
      </c>
      <c r="L251" s="147">
        <f>IF(t&lt;Tvie,1-EXP((T0-t)*PertePVj)+'2026'!Pspv,1-EXP((T0-t)*PertePVj)+Pspv)</f>
        <v>7.0035497916283135E-2</v>
      </c>
      <c r="M251" s="847"/>
      <c r="N251" s="847"/>
      <c r="O251" s="48">
        <f>IF(t&lt;Tnet,'2026'!Resal+('2026'!Salim-'2026'!Resal)*(1-EXP(('2026'!Tnet-t)/('2026'!Tau_j))),Resal+(Salim-Resal)*(1-EXP((Tnet-t)/(Tau_j))))*Salcycl</f>
        <v>4.5242618427692692E-2</v>
      </c>
      <c r="P251" s="168">
        <f>(INDEX(Models!$BJ251:$BT251,,T251)*(1-R251)+INDEX(Models!$BJ251:$BT251,,T251+1)*R251-ERP_i)*Q251*Ramure*Pc/MaxiM</f>
        <v>1.59733720332917E-4</v>
      </c>
      <c r="Q251" s="304">
        <f t="shared" si="80"/>
        <v>0.5</v>
      </c>
      <c r="R251" s="176">
        <f t="shared" si="81"/>
        <v>0.40721330502403419</v>
      </c>
      <c r="S251" s="814">
        <f t="shared" si="82"/>
        <v>0</v>
      </c>
      <c r="T251" s="175">
        <f t="shared" si="83"/>
        <v>6</v>
      </c>
      <c r="U251" s="250">
        <f t="shared" si="84"/>
        <v>0.40721330502403419</v>
      </c>
      <c r="V251" s="382">
        <f t="shared" si="85"/>
        <v>47.556451498275244</v>
      </c>
      <c r="W251" s="401">
        <f t="shared" si="86"/>
        <v>31.317418210481467</v>
      </c>
      <c r="X251" s="157">
        <f t="shared" si="87"/>
        <v>46624</v>
      </c>
      <c r="Y251" s="384">
        <f t="shared" si="88"/>
        <v>30.257830206062536</v>
      </c>
      <c r="Z251" s="384">
        <f t="shared" si="89"/>
        <v>32.536543210268341</v>
      </c>
      <c r="AA251" s="385">
        <f t="shared" si="90"/>
        <v>35.260424347606815</v>
      </c>
      <c r="AB251" s="196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7.7250378795380242E-2</v>
      </c>
      <c r="AD251" s="230">
        <f>(INDEX(Models!$BJ251:$BT251,,AH251)*(1-AF251)+INDEX(Models!$BJ251:$BT251,,AH251+1)*AF251-ERP_i)*AE251*Ramure*Pc/MaxiM</f>
        <v>7.8456480403481558E-4</v>
      </c>
      <c r="AE251" s="304">
        <f t="shared" si="92"/>
        <v>0.5</v>
      </c>
      <c r="AF251" s="176">
        <f t="shared" si="93"/>
        <v>0.52220584484842192</v>
      </c>
      <c r="AG251" s="814">
        <f t="shared" si="99"/>
        <v>2</v>
      </c>
      <c r="AH251" s="175">
        <f t="shared" si="94"/>
        <v>8</v>
      </c>
      <c r="AI251" s="224">
        <f t="shared" si="95"/>
        <v>2.5222058448484219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10">
        <f>'2026'!Wh/'2026'!Env_an*'2027'!Env_an</f>
        <v>39.344626647236133</v>
      </c>
      <c r="C252" s="843"/>
      <c r="D252" s="392">
        <f t="shared" si="77"/>
        <v>42.308590504504643</v>
      </c>
      <c r="E252" s="384">
        <f t="shared" si="100"/>
        <v>44.316196910848447</v>
      </c>
      <c r="F252" s="384">
        <f t="shared" si="78"/>
        <v>44.321752163618015</v>
      </c>
      <c r="G252" s="110">
        <f t="shared" si="101"/>
        <v>0.82940493279787997</v>
      </c>
      <c r="H252" s="413" t="b">
        <f>Wh_hp&gt;='2026'!Maxi_hp</f>
        <v>0</v>
      </c>
      <c r="I252" s="389">
        <f>IF(H252,Wh_hp,'2026'!Maxi_hp)</f>
        <v>53.423762617483668</v>
      </c>
      <c r="J252" s="85">
        <f>IF(H252,An,'2026'!An_max)</f>
        <v>2018</v>
      </c>
      <c r="K252" s="196">
        <f t="shared" si="79"/>
        <v>46625</v>
      </c>
      <c r="L252" s="147">
        <f>IF(t&lt;Tvie,1-EXP((T0-t)*PertePVj)+'2026'!Pspv,1-EXP((T0-t)*PertePVj)+Pspv)</f>
        <v>7.0055840242490092E-2</v>
      </c>
      <c r="M252" s="847"/>
      <c r="N252" s="847"/>
      <c r="O252" s="48">
        <f>IF(t&lt;Tnet,'2026'!Resal+('2026'!Salim-'2026'!Resal)*(1-EXP(('2026'!Tnet-t)/('2026'!Tau_j))),Resal+(Salim-Resal)*(1-EXP((Tnet-t)/(Tau_j))))*Salcycl</f>
        <v>4.5301865825321912E-2</v>
      </c>
      <c r="P252" s="168">
        <f>(INDEX(Models!$BJ252:$BT252,,T252)*(1-R252)+INDEX(Models!$BJ252:$BT252,,T252+1)*R252-ERP_i)*Q252*Ramure*Pc/MaxiM</f>
        <v>1.6571792348521114E-4</v>
      </c>
      <c r="Q252" s="304">
        <f t="shared" si="80"/>
        <v>0.5</v>
      </c>
      <c r="R252" s="176">
        <f t="shared" si="81"/>
        <v>0.40770271662487639</v>
      </c>
      <c r="S252" s="814">
        <f t="shared" si="82"/>
        <v>0</v>
      </c>
      <c r="T252" s="175">
        <f t="shared" si="83"/>
        <v>6</v>
      </c>
      <c r="U252" s="250">
        <f t="shared" si="84"/>
        <v>0.40770271662487639</v>
      </c>
      <c r="V252" s="382">
        <f t="shared" si="85"/>
        <v>47.435258950535051</v>
      </c>
      <c r="W252" s="401">
        <f t="shared" si="86"/>
        <v>39.344626647236133</v>
      </c>
      <c r="X252" s="157">
        <f t="shared" si="87"/>
        <v>46625</v>
      </c>
      <c r="Y252" s="384">
        <f t="shared" si="88"/>
        <v>38.008438269443225</v>
      </c>
      <c r="Z252" s="384">
        <f t="shared" si="89"/>
        <v>40.871742534900399</v>
      </c>
      <c r="AA252" s="385">
        <f t="shared" si="90"/>
        <v>44.294531403788334</v>
      </c>
      <c r="AB252" s="196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7.7273396069727829E-2</v>
      </c>
      <c r="AD252" s="230">
        <f>(INDEX(Models!$BJ252:$BT252,,AH252)*(1-AF252)+INDEX(Models!$BJ252:$BT252,,AH252+1)*AF252-ERP_i)*AE252*Ramure*Pc/MaxiM</f>
        <v>8.1201845924532099E-4</v>
      </c>
      <c r="AE252" s="304">
        <f t="shared" si="92"/>
        <v>0.5</v>
      </c>
      <c r="AF252" s="176">
        <f t="shared" si="93"/>
        <v>0.52269525644926373</v>
      </c>
      <c r="AG252" s="814">
        <f t="shared" si="99"/>
        <v>2</v>
      </c>
      <c r="AH252" s="175">
        <f t="shared" si="94"/>
        <v>8</v>
      </c>
      <c r="AI252" s="224">
        <f t="shared" si="95"/>
        <v>2.5226952564492637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10">
        <f>'2026'!Wh/'2026'!Env_an*'2027'!Env_an</f>
        <v>46.356908122865981</v>
      </c>
      <c r="C253" s="843"/>
      <c r="D253" s="392">
        <f t="shared" si="77"/>
        <v>49.850221310284716</v>
      </c>
      <c r="E253" s="384">
        <f t="shared" si="100"/>
        <v>52.218916381365048</v>
      </c>
      <c r="F253" s="384">
        <f t="shared" si="78"/>
        <v>52.22764316060767</v>
      </c>
      <c r="G253" s="110">
        <f t="shared" si="101"/>
        <v>0.97981800247684547</v>
      </c>
      <c r="H253" s="413" t="b">
        <f>Wh_hp&gt;='2026'!Maxi_hp</f>
        <v>0</v>
      </c>
      <c r="I253" s="389">
        <f>IF(H253,Wh_hp,'2026'!Maxi_hp)</f>
        <v>52.471560857407106</v>
      </c>
      <c r="J253" s="85">
        <f>IF(H253,An,'2026'!An_max)</f>
        <v>2018</v>
      </c>
      <c r="K253" s="196">
        <f t="shared" si="79"/>
        <v>46626</v>
      </c>
      <c r="L253" s="147">
        <f>IF(t&lt;Tvie,1-EXP((T0-t)*PertePVj)+'2026'!Pspv,1-EXP((T0-t)*PertePVj)+Pspv)</f>
        <v>7.0076182123147784E-2</v>
      </c>
      <c r="M253" s="847"/>
      <c r="N253" s="847"/>
      <c r="O253" s="48">
        <f>IF(t&lt;Tnet,'2026'!Resal+('2026'!Salim-'2026'!Resal)*(1-EXP(('2026'!Tnet-t)/('2026'!Tau_j))),Resal+(Salim-Resal)*(1-EXP((Tnet-t)/(Tau_j))))*Salcycl</f>
        <v>4.5360862216697211E-2</v>
      </c>
      <c r="P253" s="168">
        <f>(INDEX(Models!$BJ253:$BT253,,T253)*(1-R253)+INDEX(Models!$BJ253:$BT253,,T253+1)*R253-ERP_i)*Q253*Ramure*Pc/MaxiM</f>
        <v>1.7205045914278492E-4</v>
      </c>
      <c r="Q253" s="304">
        <f t="shared" si="80"/>
        <v>0.5</v>
      </c>
      <c r="R253" s="176">
        <f t="shared" si="81"/>
        <v>0.40817399072602473</v>
      </c>
      <c r="S253" s="814">
        <f t="shared" si="82"/>
        <v>0</v>
      </c>
      <c r="T253" s="175">
        <f t="shared" si="83"/>
        <v>6</v>
      </c>
      <c r="U253" s="250">
        <f t="shared" si="84"/>
        <v>0.40817399072602473</v>
      </c>
      <c r="V253" s="382">
        <f t="shared" si="85"/>
        <v>47.311519150548961</v>
      </c>
      <c r="W253" s="401">
        <f t="shared" si="86"/>
        <v>46.356908122865981</v>
      </c>
      <c r="X253" s="157">
        <f t="shared" si="87"/>
        <v>46626</v>
      </c>
      <c r="Y253" s="384">
        <f t="shared" si="88"/>
        <v>44.77708706197555</v>
      </c>
      <c r="Z253" s="384">
        <f t="shared" si="89"/>
        <v>48.15134982154558</v>
      </c>
      <c r="AA253" s="385">
        <f t="shared" si="90"/>
        <v>52.185049588033593</v>
      </c>
      <c r="AB253" s="196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7.7296079975613718E-2</v>
      </c>
      <c r="AD253" s="230">
        <f>(INDEX(Models!$BJ253:$BT253,,AH253)*(1-AF253)+INDEX(Models!$BJ253:$BT253,,AH253+1)*AF253-ERP_i)*AE253*Ramure*Pc/MaxiM</f>
        <v>8.3974207598943142E-4</v>
      </c>
      <c r="AE253" s="304">
        <f t="shared" si="92"/>
        <v>0.5</v>
      </c>
      <c r="AF253" s="176">
        <f t="shared" si="93"/>
        <v>0.52316653055041229</v>
      </c>
      <c r="AG253" s="814">
        <f t="shared" si="99"/>
        <v>2</v>
      </c>
      <c r="AH253" s="175">
        <f t="shared" si="94"/>
        <v>8</v>
      </c>
      <c r="AI253" s="224">
        <f t="shared" si="95"/>
        <v>2.5231665305504123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10">
        <f>'2026'!Wh/'2026'!Env_an*'2027'!Env_an</f>
        <v>45.495787172560547</v>
      </c>
      <c r="C254" s="843"/>
      <c r="D254" s="392">
        <f t="shared" si="77"/>
        <v>48.925279155477206</v>
      </c>
      <c r="E254" s="384">
        <f t="shared" si="100"/>
        <v>51.253178003590975</v>
      </c>
      <c r="F254" s="384">
        <f t="shared" si="78"/>
        <v>51.261864695904876</v>
      </c>
      <c r="G254" s="110">
        <f t="shared" si="101"/>
        <v>0.96419829632580512</v>
      </c>
      <c r="H254" s="413" t="b">
        <f>Wh_hp&gt;='2026'!Maxi_hp</f>
        <v>0</v>
      </c>
      <c r="I254" s="389">
        <f>IF(H254,Wh_hp,'2026'!Maxi_hp)</f>
        <v>53.825007614477727</v>
      </c>
      <c r="J254" s="85">
        <f>IF(H254,An,'2026'!An_max)</f>
        <v>2021</v>
      </c>
      <c r="K254" s="196">
        <f t="shared" si="79"/>
        <v>46627</v>
      </c>
      <c r="L254" s="147">
        <f>IF(t&lt;Tvie,1-EXP((T0-t)*PertePVj)+'2026'!Pspv,1-EXP((T0-t)*PertePVj)+Pspv)</f>
        <v>7.0096523558266205E-2</v>
      </c>
      <c r="M254" s="847"/>
      <c r="N254" s="847"/>
      <c r="O254" s="48">
        <f>IF(t&lt;Tnet,'2026'!Resal+('2026'!Salim-'2026'!Resal)*(1-EXP(('2026'!Tnet-t)/('2026'!Tau_j))),Resal+(Salim-Resal)*(1-EXP((Tnet-t)/(Tau_j))))*Salcycl</f>
        <v>4.5419600087055444E-2</v>
      </c>
      <c r="P254" s="168">
        <f>(INDEX(Models!$BJ254:$BT254,,T254)*(1-R254)+INDEX(Models!$BJ254:$BT254,,T254+1)*R254-ERP_i)*Q254*Ramure*Pc/MaxiM</f>
        <v>1.7858894162626077E-4</v>
      </c>
      <c r="Q254" s="304">
        <f t="shared" si="80"/>
        <v>0.5</v>
      </c>
      <c r="R254" s="176">
        <f t="shared" si="81"/>
        <v>0.40862774099756061</v>
      </c>
      <c r="S254" s="814">
        <f t="shared" si="82"/>
        <v>0</v>
      </c>
      <c r="T254" s="175">
        <f t="shared" si="83"/>
        <v>6</v>
      </c>
      <c r="U254" s="250">
        <f t="shared" si="84"/>
        <v>0.40862774099756061</v>
      </c>
      <c r="V254" s="382">
        <f t="shared" si="85"/>
        <v>47.184662968152686</v>
      </c>
      <c r="W254" s="401">
        <f t="shared" si="86"/>
        <v>45.495787172560547</v>
      </c>
      <c r="X254" s="157">
        <f t="shared" si="87"/>
        <v>46627</v>
      </c>
      <c r="Y254" s="384">
        <f t="shared" si="88"/>
        <v>43.946749853994341</v>
      </c>
      <c r="Z254" s="384">
        <f t="shared" si="89"/>
        <v>47.259474738341808</v>
      </c>
      <c r="AA254" s="385">
        <f t="shared" si="90"/>
        <v>51.219701017762716</v>
      </c>
      <c r="AB254" s="196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7.7318418513366988E-2</v>
      </c>
      <c r="AD254" s="230">
        <f>(INDEX(Models!$BJ254:$BT254,,AH254)*(1-AF254)+INDEX(Models!$BJ254:$BT254,,AH254+1)*AF254-ERP_i)*AE254*Ramure*Pc/MaxiM</f>
        <v>8.6683934256846415E-4</v>
      </c>
      <c r="AE254" s="304">
        <f t="shared" si="92"/>
        <v>0.5</v>
      </c>
      <c r="AF254" s="176">
        <f t="shared" si="93"/>
        <v>0.52362028082194811</v>
      </c>
      <c r="AG254" s="814">
        <f t="shared" si="99"/>
        <v>2</v>
      </c>
      <c r="AH254" s="175">
        <f t="shared" si="94"/>
        <v>8</v>
      </c>
      <c r="AI254" s="224">
        <f t="shared" si="95"/>
        <v>2.5236202808219481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10">
        <f>'2026'!Wh/'2026'!Env_an*'2027'!Env_an</f>
        <v>30.674918663049411</v>
      </c>
      <c r="C255" s="843"/>
      <c r="D255" s="392">
        <f t="shared" si="77"/>
        <v>32.98792879831516</v>
      </c>
      <c r="E255" s="384">
        <f t="shared" si="100"/>
        <v>34.559634324369789</v>
      </c>
      <c r="F255" s="384">
        <f t="shared" si="78"/>
        <v>34.562845737173539</v>
      </c>
      <c r="G255" s="110">
        <f t="shared" si="101"/>
        <v>0.65184699917689692</v>
      </c>
      <c r="H255" s="413" t="b">
        <f>Wh_hp&gt;='2026'!Maxi_hp</f>
        <v>0</v>
      </c>
      <c r="I255" s="389">
        <f>IF(H255,Wh_hp,'2026'!Maxi_hp)</f>
        <v>53.392910497519651</v>
      </c>
      <c r="J255" s="85">
        <f>IF(H255,An,'2026'!An_max)</f>
        <v>2021</v>
      </c>
      <c r="K255" s="196">
        <f t="shared" si="79"/>
        <v>46628</v>
      </c>
      <c r="L255" s="147">
        <f>IF(t&lt;Tvie,1-EXP((T0-t)*PertePVj)+'2026'!Pspv,1-EXP((T0-t)*PertePVj)+Pspv)</f>
        <v>7.0116864547854901E-2</v>
      </c>
      <c r="M255" s="847"/>
      <c r="N255" s="847"/>
      <c r="O255" s="48">
        <f>IF(t&lt;Tnet,'2026'!Resal+('2026'!Salim-'2026'!Resal)*(1-EXP(('2026'!Tnet-t)/('2026'!Tau_j))),Resal+(Salim-Resal)*(1-EXP((Tnet-t)/(Tau_j))))*Salcycl</f>
        <v>4.5478071651537694E-2</v>
      </c>
      <c r="P255" s="168">
        <f>(INDEX(Models!$BJ255:$BT255,,T255)*(1-R255)+INDEX(Models!$BJ255:$BT255,,T255+1)*R255-ERP_i)*Q255*Ramure*Pc/MaxiM</f>
        <v>1.8482336549737805E-4</v>
      </c>
      <c r="Q255" s="304">
        <f t="shared" si="80"/>
        <v>0.5</v>
      </c>
      <c r="R255" s="176">
        <f t="shared" si="81"/>
        <v>0.40906456481893738</v>
      </c>
      <c r="S255" s="814">
        <f t="shared" si="82"/>
        <v>0</v>
      </c>
      <c r="T255" s="175">
        <f t="shared" si="83"/>
        <v>6</v>
      </c>
      <c r="U255" s="250">
        <f t="shared" si="84"/>
        <v>0.40906456481893738</v>
      </c>
      <c r="V255" s="382">
        <f t="shared" si="85"/>
        <v>47.0541387219453</v>
      </c>
      <c r="W255" s="401">
        <f t="shared" si="86"/>
        <v>30.674918663049411</v>
      </c>
      <c r="X255" s="157">
        <f t="shared" si="87"/>
        <v>46628</v>
      </c>
      <c r="Y255" s="384">
        <f t="shared" si="88"/>
        <v>29.640439998500444</v>
      </c>
      <c r="Z255" s="384">
        <f t="shared" si="89"/>
        <v>31.875446352823808</v>
      </c>
      <c r="AA255" s="385">
        <f t="shared" si="90"/>
        <v>34.547352379548883</v>
      </c>
      <c r="AB255" s="196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7.7340399269113735E-2</v>
      </c>
      <c r="AD255" s="230">
        <f>(INDEX(Models!$BJ255:$BT255,,AH255)*(1-AF255)+INDEX(Models!$BJ255:$BT255,,AH255+1)*AF255-ERP_i)*AE255*Ramure*Pc/MaxiM</f>
        <v>8.916743732538051E-4</v>
      </c>
      <c r="AE255" s="304">
        <f t="shared" si="92"/>
        <v>0.5</v>
      </c>
      <c r="AF255" s="176">
        <f t="shared" si="93"/>
        <v>0.52405710464332511</v>
      </c>
      <c r="AG255" s="814">
        <f t="shared" si="99"/>
        <v>2</v>
      </c>
      <c r="AH255" s="175">
        <f t="shared" si="94"/>
        <v>8</v>
      </c>
      <c r="AI255" s="224">
        <f t="shared" si="95"/>
        <v>2.5240571046433251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10">
        <f>'2026'!Wh/'2026'!Env_an*'2027'!Env_an</f>
        <v>44.541420962105995</v>
      </c>
      <c r="C256" s="843"/>
      <c r="D256" s="392">
        <f t="shared" si="77"/>
        <v>47.901067991981812</v>
      </c>
      <c r="E256" s="384">
        <f t="shared" si="100"/>
        <v>50.18636793441302</v>
      </c>
      <c r="F256" s="384">
        <f t="shared" si="78"/>
        <v>50.195249628189117</v>
      </c>
      <c r="G256" s="110">
        <f t="shared" si="101"/>
        <v>0.94930526569956253</v>
      </c>
      <c r="H256" s="413" t="b">
        <f>Wh_hp&gt;='2026'!Maxi_hp</f>
        <v>0</v>
      </c>
      <c r="I256" s="389">
        <f>IF(H256,Wh_hp,'2026'!Maxi_hp)</f>
        <v>51.895427977541566</v>
      </c>
      <c r="J256" s="85">
        <f>IF(H256,An,'2026'!An_max)</f>
        <v>2021</v>
      </c>
      <c r="K256" s="196">
        <f t="shared" si="79"/>
        <v>46629</v>
      </c>
      <c r="L256" s="147">
        <f>IF(t&lt;Tvie,1-EXP((T0-t)*PertePVj)+'2026'!Pspv,1-EXP((T0-t)*PertePVj)+Pspv)</f>
        <v>7.0137205091923754E-2</v>
      </c>
      <c r="M256" s="847"/>
      <c r="N256" s="847"/>
      <c r="O256" s="48">
        <f>IF(t&lt;Tnet,'2026'!Resal+('2026'!Salim-'2026'!Resal)*(1-EXP(('2026'!Tnet-t)/('2026'!Tau_j))),Resal+(Salim-Resal)*(1-EXP((Tnet-t)/(Tau_j))))*Salcycl</f>
        <v>4.5536268841327575E-2</v>
      </c>
      <c r="P256" s="168">
        <f>(INDEX(Models!$BJ256:$BT256,,T256)*(1-R256)+INDEX(Models!$BJ256:$BT256,,T256+1)*R256-ERP_i)*Q256*Ramure*Pc/MaxiM</f>
        <v>1.9075394185525326E-4</v>
      </c>
      <c r="Q256" s="304">
        <f t="shared" si="80"/>
        <v>0.5</v>
      </c>
      <c r="R256" s="176">
        <f t="shared" si="81"/>
        <v>0.40948504335564223</v>
      </c>
      <c r="S256" s="814">
        <f t="shared" si="82"/>
        <v>0</v>
      </c>
      <c r="T256" s="175">
        <f t="shared" si="83"/>
        <v>6</v>
      </c>
      <c r="U256" s="250">
        <f t="shared" si="84"/>
        <v>0.40948504335564223</v>
      </c>
      <c r="V256" s="382">
        <f t="shared" si="85"/>
        <v>46.919370722802249</v>
      </c>
      <c r="W256" s="401">
        <f t="shared" si="86"/>
        <v>44.541420962105995</v>
      </c>
      <c r="X256" s="157">
        <f t="shared" si="87"/>
        <v>46629</v>
      </c>
      <c r="Y256" s="384">
        <f t="shared" si="88"/>
        <v>43.027326503101968</v>
      </c>
      <c r="Z256" s="384">
        <f t="shared" si="89"/>
        <v>46.272769207155484</v>
      </c>
      <c r="AA256" s="385">
        <f t="shared" si="90"/>
        <v>50.152681418112216</v>
      </c>
      <c r="AB256" s="196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7.7362009393091666E-2</v>
      </c>
      <c r="AD256" s="230">
        <f>(INDEX(Models!$BJ256:$BT256,,AH256)*(1-AF256)+INDEX(Models!$BJ256:$BT256,,AH256+1)*AF256-ERP_i)*AE256*Ramure*Pc/MaxiM</f>
        <v>9.142460970391306E-4</v>
      </c>
      <c r="AE256" s="304">
        <f t="shared" si="92"/>
        <v>0.5</v>
      </c>
      <c r="AF256" s="176">
        <f t="shared" si="93"/>
        <v>0.52447758318002968</v>
      </c>
      <c r="AG256" s="814">
        <f t="shared" si="99"/>
        <v>2</v>
      </c>
      <c r="AH256" s="175">
        <f t="shared" si="94"/>
        <v>8</v>
      </c>
      <c r="AI256" s="224">
        <f t="shared" si="95"/>
        <v>2.5244775831800297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10">
        <f>'2026'!Wh/'2026'!Env_an*'2027'!Env_an</f>
        <v>20.963688230649055</v>
      </c>
      <c r="C257" s="843"/>
      <c r="D257" s="392">
        <f t="shared" si="77"/>
        <v>22.545419519421234</v>
      </c>
      <c r="E257" s="384">
        <f t="shared" si="100"/>
        <v>23.622466590847779</v>
      </c>
      <c r="F257" s="384">
        <f t="shared" si="78"/>
        <v>23.623448349079087</v>
      </c>
      <c r="G257" s="110">
        <f t="shared" si="101"/>
        <v>0.44806625615311907</v>
      </c>
      <c r="H257" s="413" t="b">
        <f>Wh_hp&gt;='2026'!Maxi_hp</f>
        <v>0</v>
      </c>
      <c r="I257" s="389">
        <f>IF(H257,Wh_hp,'2026'!Maxi_hp)</f>
        <v>51.83189151482037</v>
      </c>
      <c r="J257" s="85">
        <f>IF(H257,An,'2026'!An_max)</f>
        <v>2021</v>
      </c>
      <c r="K257" s="196">
        <f t="shared" si="79"/>
        <v>46630</v>
      </c>
      <c r="L257" s="147">
        <f>IF(t&lt;Tvie,1-EXP((T0-t)*PertePVj)+'2026'!Pspv,1-EXP((T0-t)*PertePVj)+Pspv)</f>
        <v>7.0157545190482423E-2</v>
      </c>
      <c r="M257" s="847"/>
      <c r="N257" s="847"/>
      <c r="O257" s="48">
        <f>IF(t&lt;Tnet,'2026'!Resal+('2026'!Salim-'2026'!Resal)*(1-EXP(('2026'!Tnet-t)/('2026'!Tau_j))),Resal+(Salim-Resal)*(1-EXP((Tnet-t)/(Tau_j))))*Salcycl</f>
        <v>4.5594183286678205E-2</v>
      </c>
      <c r="P257" s="168">
        <f>(INDEX(Models!$BJ257:$BT257,,T257)*(1-R257)+INDEX(Models!$BJ257:$BT257,,T257+1)*R257-ERP_i)*Q257*Ramure*Pc/MaxiM</f>
        <v>1.9638112293908922E-4</v>
      </c>
      <c r="Q257" s="304">
        <f t="shared" si="80"/>
        <v>0.5</v>
      </c>
      <c r="R257" s="176">
        <f t="shared" si="81"/>
        <v>0.40988974166946235</v>
      </c>
      <c r="S257" s="814">
        <f t="shared" si="82"/>
        <v>0</v>
      </c>
      <c r="T257" s="175">
        <f t="shared" si="83"/>
        <v>6</v>
      </c>
      <c r="U257" s="250">
        <f t="shared" si="84"/>
        <v>0.40988974166946235</v>
      </c>
      <c r="V257" s="382">
        <f t="shared" si="85"/>
        <v>46.779783475137471</v>
      </c>
      <c r="W257" s="401">
        <f t="shared" si="86"/>
        <v>20.963688230649055</v>
      </c>
      <c r="X257" s="157">
        <f t="shared" si="87"/>
        <v>46630</v>
      </c>
      <c r="Y257" s="384">
        <f t="shared" si="88"/>
        <v>20.262270346308647</v>
      </c>
      <c r="Z257" s="384">
        <f t="shared" si="89"/>
        <v>21.791078952680714</v>
      </c>
      <c r="AA257" s="385">
        <f t="shared" si="90"/>
        <v>23.618776281622882</v>
      </c>
      <c r="AB257" s="196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7.738323557280341E-2</v>
      </c>
      <c r="AD257" s="230">
        <f>(INDEX(Models!$BJ257:$BT257,,AH257)*(1-AF257)+INDEX(Models!$BJ257:$BT257,,AH257+1)*AF257-ERP_i)*AE257*Ramure*Pc/MaxiM</f>
        <v>9.3455376714880539E-4</v>
      </c>
      <c r="AE257" s="304">
        <f t="shared" si="92"/>
        <v>0.5</v>
      </c>
      <c r="AF257" s="176">
        <f t="shared" si="93"/>
        <v>0.52488228149384986</v>
      </c>
      <c r="AG257" s="814">
        <f t="shared" si="99"/>
        <v>2</v>
      </c>
      <c r="AH257" s="175">
        <f t="shared" si="94"/>
        <v>8</v>
      </c>
      <c r="AI257" s="224">
        <f t="shared" si="95"/>
        <v>2.5248822814938499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10">
        <f>'2026'!Wh/'2026'!Env_an*'2027'!Env_an</f>
        <v>40.4124076773357</v>
      </c>
      <c r="C258" s="843"/>
      <c r="D258" s="392">
        <f t="shared" si="77"/>
        <v>43.462515053791329</v>
      </c>
      <c r="E258" s="384">
        <f t="shared" si="100"/>
        <v>45.541569985234219</v>
      </c>
      <c r="F258" s="384">
        <f t="shared" si="78"/>
        <v>45.549006231499007</v>
      </c>
      <c r="G258" s="110">
        <f t="shared" si="101"/>
        <v>0.86653855545328684</v>
      </c>
      <c r="H258" s="413" t="b">
        <f>Wh_hp&gt;='2026'!Maxi_hp</f>
        <v>0</v>
      </c>
      <c r="I258" s="389">
        <f>IF(H258,Wh_hp,'2026'!Maxi_hp)</f>
        <v>53.126958868503813</v>
      </c>
      <c r="J258" s="85">
        <f>IF(H258,An,'2026'!An_max)</f>
        <v>2018</v>
      </c>
      <c r="K258" s="196">
        <f t="shared" si="79"/>
        <v>46631</v>
      </c>
      <c r="L258" s="147">
        <f>IF(t&lt;Tvie,1-EXP((T0-t)*PertePVj)+'2026'!Pspv,1-EXP((T0-t)*PertePVj)+Pspv)</f>
        <v>7.0177884843540789E-2</v>
      </c>
      <c r="M258" s="847"/>
      <c r="N258" s="847"/>
      <c r="O258" s="48">
        <f>IF(t&lt;Tnet,'2026'!Resal+('2026'!Salim-'2026'!Resal)*(1-EXP(('2026'!Tnet-t)/('2026'!Tau_j))),Resal+(Salim-Resal)*(1-EXP((Tnet-t)/(Tau_j))))*Salcycl</f>
        <v>4.5651806297344846E-2</v>
      </c>
      <c r="P258" s="168">
        <f>(INDEX(Models!$BJ258:$BT258,,T258)*(1-R258)+INDEX(Models!$BJ258:$BT258,,T258+1)*R258-ERP_i)*Q258*Ramure*Pc/MaxiM</f>
        <v>2.0170556619615194E-4</v>
      </c>
      <c r="Q258" s="304">
        <f t="shared" si="80"/>
        <v>0.5</v>
      </c>
      <c r="R258" s="176">
        <f t="shared" si="81"/>
        <v>0.41027920885903524</v>
      </c>
      <c r="S258" s="814">
        <f t="shared" si="82"/>
        <v>0</v>
      </c>
      <c r="T258" s="175">
        <f t="shared" si="83"/>
        <v>6</v>
      </c>
      <c r="U258" s="250">
        <f t="shared" si="84"/>
        <v>0.41027920885903524</v>
      </c>
      <c r="V258" s="382">
        <f t="shared" si="85"/>
        <v>46.634801667461595</v>
      </c>
      <c r="W258" s="401">
        <f t="shared" si="86"/>
        <v>40.4124076773357</v>
      </c>
      <c r="X258" s="157">
        <f t="shared" si="87"/>
        <v>46631</v>
      </c>
      <c r="Y258" s="384">
        <f t="shared" si="88"/>
        <v>39.04409272923111</v>
      </c>
      <c r="Z258" s="384">
        <f t="shared" si="89"/>
        <v>41.990927181443993</v>
      </c>
      <c r="AA258" s="385">
        <f t="shared" si="90"/>
        <v>45.513887004084324</v>
      </c>
      <c r="AB258" s="196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7.7404064001920708E-2</v>
      </c>
      <c r="AD258" s="230">
        <f>(INDEX(Models!$BJ258:$BT258,,AH258)*(1-AF258)+INDEX(Models!$BJ258:$BT258,,AH258+1)*AF258-ERP_i)*AE258*Ramure*Pc/MaxiM</f>
        <v>9.5259669970777132E-4</v>
      </c>
      <c r="AE258" s="304">
        <f t="shared" si="92"/>
        <v>0.5</v>
      </c>
      <c r="AF258" s="176">
        <f t="shared" si="93"/>
        <v>0.52527174868342286</v>
      </c>
      <c r="AG258" s="814">
        <f t="shared" si="99"/>
        <v>2</v>
      </c>
      <c r="AH258" s="175">
        <f t="shared" si="94"/>
        <v>8</v>
      </c>
      <c r="AI258" s="224">
        <f t="shared" si="95"/>
        <v>2.5252717486834229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10">
        <f>'2026'!Wh/'2026'!Env_an*'2027'!Env_an</f>
        <v>37.069430958036577</v>
      </c>
      <c r="C259" s="843"/>
      <c r="D259" s="392">
        <f t="shared" si="77"/>
        <v>39.868100832788883</v>
      </c>
      <c r="E259" s="384">
        <f t="shared" si="100"/>
        <v>41.777724211453943</v>
      </c>
      <c r="F259" s="384">
        <f t="shared" si="78"/>
        <v>41.783862907179063</v>
      </c>
      <c r="G259" s="110">
        <f t="shared" si="101"/>
        <v>0.79742132521337161</v>
      </c>
      <c r="H259" s="413" t="b">
        <f>Wh_hp&gt;='2026'!Maxi_hp</f>
        <v>0</v>
      </c>
      <c r="I259" s="389">
        <f>IF(H259,Wh_hp,'2026'!Maxi_hp)</f>
        <v>50.943890407811566</v>
      </c>
      <c r="J259" s="85">
        <f>IF(H259,An,'2026'!An_max)</f>
        <v>2018</v>
      </c>
      <c r="K259" s="196">
        <f t="shared" si="79"/>
        <v>46632</v>
      </c>
      <c r="L259" s="147">
        <f>IF(t&lt;Tvie,1-EXP((T0-t)*PertePVj)+'2026'!Pspv,1-EXP((T0-t)*PertePVj)+Pspv)</f>
        <v>7.0198224051108621E-2</v>
      </c>
      <c r="M259" s="847"/>
      <c r="N259" s="847"/>
      <c r="O259" s="48">
        <f>IF(t&lt;Tnet,'2026'!Resal+('2026'!Salim-'2026'!Resal)*(1-EXP(('2026'!Tnet-t)/('2026'!Tau_j))),Resal+(Salim-Resal)*(1-EXP((Tnet-t)/(Tau_j))))*Salcycl</f>
        <v>4.5709128840998717E-2</v>
      </c>
      <c r="P259" s="168">
        <f>(INDEX(Models!$BJ259:$BT259,,T259)*(1-R259)+INDEX(Models!$BJ259:$BT259,,T259+1)*R259-ERP_i)*Q259*Ramure*Pc/MaxiM</f>
        <v>2.0672809840746728E-4</v>
      </c>
      <c r="Q259" s="304">
        <f t="shared" si="80"/>
        <v>0.5</v>
      </c>
      <c r="R259" s="176">
        <f t="shared" si="81"/>
        <v>0.41065397822755917</v>
      </c>
      <c r="S259" s="814">
        <f t="shared" si="82"/>
        <v>0</v>
      </c>
      <c r="T259" s="175">
        <f t="shared" si="83"/>
        <v>6</v>
      </c>
      <c r="U259" s="250">
        <f t="shared" si="84"/>
        <v>0.41065397822755917</v>
      </c>
      <c r="V259" s="382">
        <f t="shared" si="85"/>
        <v>46.483850180592917</v>
      </c>
      <c r="W259" s="401">
        <f t="shared" si="86"/>
        <v>37.069430958036577</v>
      </c>
      <c r="X259" s="157">
        <f t="shared" si="87"/>
        <v>46632</v>
      </c>
      <c r="Y259" s="384">
        <f t="shared" si="88"/>
        <v>35.818047154162223</v>
      </c>
      <c r="Z259" s="384">
        <f t="shared" si="89"/>
        <v>38.522239987774597</v>
      </c>
      <c r="AA259" s="385">
        <f t="shared" si="90"/>
        <v>41.755107486723084</v>
      </c>
      <c r="AB259" s="196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7.7424480345942029E-2</v>
      </c>
      <c r="AD259" s="230">
        <f>(INDEX(Models!$BJ259:$BT259,,AH259)*(1-AF259)+INDEX(Models!$BJ259:$BT259,,AH259+1)*AF259-ERP_i)*AE259*Ramure*Pc/MaxiM</f>
        <v>9.6837400906604201E-4</v>
      </c>
      <c r="AE259" s="304">
        <f t="shared" si="92"/>
        <v>0.5</v>
      </c>
      <c r="AF259" s="176">
        <f t="shared" si="93"/>
        <v>0.52564651805194673</v>
      </c>
      <c r="AG259" s="814">
        <f t="shared" si="99"/>
        <v>2</v>
      </c>
      <c r="AH259" s="175">
        <f t="shared" si="94"/>
        <v>8</v>
      </c>
      <c r="AI259" s="224">
        <f t="shared" si="95"/>
        <v>2.5256465180519467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10">
        <f>'2026'!Wh/'2026'!Env_an*'2027'!Env_an</f>
        <v>30.952091233252382</v>
      </c>
      <c r="C260" s="843"/>
      <c r="D260" s="392">
        <f t="shared" si="77"/>
        <v>33.289642054914168</v>
      </c>
      <c r="E260" s="384">
        <f t="shared" si="100"/>
        <v>34.886251162738958</v>
      </c>
      <c r="F260" s="384">
        <f t="shared" si="78"/>
        <v>34.890131008314953</v>
      </c>
      <c r="G260" s="110">
        <f t="shared" si="101"/>
        <v>0.66806440140319301</v>
      </c>
      <c r="H260" s="413" t="b">
        <f>Wh_hp&gt;='2026'!Maxi_hp</f>
        <v>0</v>
      </c>
      <c r="I260" s="389">
        <f>IF(H260,Wh_hp,'2026'!Maxi_hp)</f>
        <v>53.385719153898613</v>
      </c>
      <c r="J260" s="85">
        <f>IF(H260,An,'2026'!An_max)</f>
        <v>2019</v>
      </c>
      <c r="K260" s="196">
        <f t="shared" si="79"/>
        <v>46633</v>
      </c>
      <c r="L260" s="147">
        <f>IF(t&lt;Tvie,1-EXP((T0-t)*PertePVj)+'2026'!Pspv,1-EXP((T0-t)*PertePVj)+Pspv)</f>
        <v>7.0218562813195468E-2</v>
      </c>
      <c r="M260" s="847"/>
      <c r="N260" s="847"/>
      <c r="O260" s="48">
        <f>IF(t&lt;Tnet,'2026'!Resal+('2026'!Salim-'2026'!Resal)*(1-EXP(('2026'!Tnet-t)/('2026'!Tau_j))),Resal+(Salim-Resal)*(1-EXP((Tnet-t)/(Tau_j))))*Salcycl</f>
        <v>4.5766141520246856E-2</v>
      </c>
      <c r="P260" s="168">
        <f>(INDEX(Models!$BJ260:$BT260,,T260)*(1-R260)+INDEX(Models!$BJ260:$BT260,,T260+1)*R260-ERP_i)*Q260*Ramure*Pc/MaxiM</f>
        <v>2.1144968005153492E-4</v>
      </c>
      <c r="Q260" s="304">
        <f t="shared" si="80"/>
        <v>0.5</v>
      </c>
      <c r="R260" s="176">
        <f t="shared" si="81"/>
        <v>0.41101456747473447</v>
      </c>
      <c r="S260" s="814">
        <f t="shared" si="82"/>
        <v>0</v>
      </c>
      <c r="T260" s="175">
        <f t="shared" si="83"/>
        <v>6</v>
      </c>
      <c r="U260" s="250">
        <f t="shared" si="84"/>
        <v>0.41101456747473447</v>
      </c>
      <c r="V260" s="382">
        <f t="shared" si="85"/>
        <v>46.32635407876294</v>
      </c>
      <c r="W260" s="401">
        <f t="shared" si="86"/>
        <v>30.952091233252382</v>
      </c>
      <c r="X260" s="157">
        <f t="shared" si="87"/>
        <v>46633</v>
      </c>
      <c r="Y260" s="384">
        <f t="shared" si="88"/>
        <v>29.912428356479268</v>
      </c>
      <c r="Z260" s="384">
        <f t="shared" si="89"/>
        <v>32.171462195442274</v>
      </c>
      <c r="AA260" s="385">
        <f t="shared" si="90"/>
        <v>34.872114619679124</v>
      </c>
      <c r="AB260" s="196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7.7444469705683222E-2</v>
      </c>
      <c r="AD260" s="230">
        <f>(INDEX(Models!$BJ260:$BT260,,AH260)*(1-AF260)+INDEX(Models!$BJ260:$BT260,,AH260+1)*AF260-ERP_i)*AE260*Ramure*Pc/MaxiM</f>
        <v>9.8188434001030976E-4</v>
      </c>
      <c r="AE260" s="304">
        <f t="shared" si="92"/>
        <v>0.5</v>
      </c>
      <c r="AF260" s="176">
        <f t="shared" si="93"/>
        <v>0.52600710729912192</v>
      </c>
      <c r="AG260" s="814">
        <f t="shared" si="99"/>
        <v>2</v>
      </c>
      <c r="AH260" s="175">
        <f t="shared" si="94"/>
        <v>8</v>
      </c>
      <c r="AI260" s="224">
        <f t="shared" si="95"/>
        <v>2.5260071072991219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10">
        <f>'2026'!Wh/'2026'!Env_an*'2027'!Env_an</f>
        <v>44.893374342793244</v>
      </c>
      <c r="C261" s="843"/>
      <c r="D261" s="392">
        <f t="shared" si="77"/>
        <v>48.284849083647416</v>
      </c>
      <c r="E261" s="384">
        <f t="shared" si="100"/>
        <v>50.603651849938657</v>
      </c>
      <c r="F261" s="384">
        <f t="shared" si="78"/>
        <v>50.614148434389946</v>
      </c>
      <c r="G261" s="110">
        <f t="shared" si="101"/>
        <v>0.97248923616007255</v>
      </c>
      <c r="H261" s="413" t="b">
        <f>Wh_hp&gt;='2026'!Maxi_hp</f>
        <v>0</v>
      </c>
      <c r="I261" s="389">
        <f>IF(H261,Wh_hp,'2026'!Maxi_hp)</f>
        <v>53.038083158550982</v>
      </c>
      <c r="J261" s="85">
        <f>IF(H261,An,'2026'!An_max)</f>
        <v>2019</v>
      </c>
      <c r="K261" s="196">
        <f t="shared" si="79"/>
        <v>46634</v>
      </c>
      <c r="L261" s="147">
        <f>IF(t&lt;Tvie,1-EXP((T0-t)*PertePVj)+'2026'!Pspv,1-EXP((T0-t)*PertePVj)+Pspv)</f>
        <v>7.0238901129811321E-2</v>
      </c>
      <c r="M261" s="847"/>
      <c r="N261" s="847"/>
      <c r="O261" s="48">
        <f>IF(t&lt;Tnet,'2026'!Resal+('2026'!Salim-'2026'!Resal)*(1-EXP(('2026'!Tnet-t)/('2026'!Tau_j))),Resal+(Salim-Resal)*(1-EXP((Tnet-t)/(Tau_j))))*Salcycl</f>
        <v>4.5822834548927036E-2</v>
      </c>
      <c r="P261" s="168">
        <f>(INDEX(Models!$BJ261:$BT261,,T261)*(1-R261)+INDEX(Models!$BJ261:$BT261,,T261+1)*R261-ERP_i)*Q261*Ramure*Pc/MaxiM</f>
        <v>2.1586560273259071E-4</v>
      </c>
      <c r="Q261" s="304">
        <f t="shared" si="80"/>
        <v>0.5</v>
      </c>
      <c r="R261" s="176">
        <f t="shared" si="81"/>
        <v>0.41136147891019303</v>
      </c>
      <c r="S261" s="814">
        <f t="shared" si="82"/>
        <v>0</v>
      </c>
      <c r="T261" s="175">
        <f t="shared" si="83"/>
        <v>6</v>
      </c>
      <c r="U261" s="250">
        <f t="shared" si="84"/>
        <v>0.41136147891019303</v>
      </c>
      <c r="V261" s="382">
        <f t="shared" si="85"/>
        <v>46.162972138339732</v>
      </c>
      <c r="W261" s="401">
        <f t="shared" si="86"/>
        <v>44.893374342793244</v>
      </c>
      <c r="X261" s="157">
        <f t="shared" si="87"/>
        <v>46634</v>
      </c>
      <c r="Y261" s="384">
        <f t="shared" si="88"/>
        <v>43.372261812840314</v>
      </c>
      <c r="Z261" s="384">
        <f t="shared" si="89"/>
        <v>46.648823945790681</v>
      </c>
      <c r="AA261" s="385">
        <f t="shared" si="90"/>
        <v>50.565858442553711</v>
      </c>
      <c r="AB261" s="196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7.7464016579745262E-2</v>
      </c>
      <c r="AD261" s="230">
        <f>(INDEX(Models!$BJ261:$BT261,,AH261)*(1-AF261)+INDEX(Models!$BJ261:$BT261,,AH261+1)*AF261-ERP_i)*AE261*Ramure*Pc/MaxiM</f>
        <v>9.9309906399128048E-4</v>
      </c>
      <c r="AE261" s="304">
        <f t="shared" si="92"/>
        <v>0.5</v>
      </c>
      <c r="AF261" s="176">
        <f t="shared" si="93"/>
        <v>0.52635401873458054</v>
      </c>
      <c r="AG261" s="814">
        <f t="shared" si="99"/>
        <v>2</v>
      </c>
      <c r="AH261" s="175">
        <f t="shared" si="94"/>
        <v>8</v>
      </c>
      <c r="AI261" s="224">
        <f t="shared" si="95"/>
        <v>2.5263540187345805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10">
        <f>'2026'!Wh/'2026'!Env_an*'2027'!Env_an</f>
        <v>37.952847428258551</v>
      </c>
      <c r="C262" s="843"/>
      <c r="D262" s="392">
        <f t="shared" si="77"/>
        <v>40.820892253317027</v>
      </c>
      <c r="E262" s="384">
        <f t="shared" si="100"/>
        <v>42.783777647577317</v>
      </c>
      <c r="F262" s="384">
        <f t="shared" si="78"/>
        <v>42.790840777080291</v>
      </c>
      <c r="G262" s="110">
        <f t="shared" si="101"/>
        <v>0.82510965954635429</v>
      </c>
      <c r="H262" s="413" t="b">
        <f>Wh_hp&gt;='2026'!Maxi_hp</f>
        <v>0</v>
      </c>
      <c r="I262" s="389">
        <f>IF(H262,Wh_hp,'2026'!Maxi_hp)</f>
        <v>52.253818490500642</v>
      </c>
      <c r="J262" s="85">
        <f>IF(H262,An,'2026'!An_max)</f>
        <v>2020</v>
      </c>
      <c r="K262" s="196">
        <f t="shared" si="79"/>
        <v>46635</v>
      </c>
      <c r="L262" s="147">
        <f>IF(t&lt;Tvie,1-EXP((T0-t)*PertePVj)+'2026'!Pspv,1-EXP((T0-t)*PertePVj)+Pspv)</f>
        <v>7.025923900096584E-2</v>
      </c>
      <c r="M262" s="847"/>
      <c r="N262" s="847"/>
      <c r="O262" s="48">
        <f>IF(t&lt;Tnet,'2026'!Resal+('2026'!Salim-'2026'!Resal)*(1-EXP(('2026'!Tnet-t)/('2026'!Tau_j))),Resal+(Salim-Resal)*(1-EXP((Tnet-t)/(Tau_j))))*Salcycl</f>
        <v>4.5879197728381116E-2</v>
      </c>
      <c r="P262" s="168">
        <f>(INDEX(Models!$BJ262:$BT262,,T262)*(1-R262)+INDEX(Models!$BJ262:$BT262,,T262+1)*R262-ERP_i)*Q262*Ramure*Pc/MaxiM</f>
        <v>2.2001732140345743E-4</v>
      </c>
      <c r="Q262" s="304">
        <f t="shared" si="80"/>
        <v>0.5</v>
      </c>
      <c r="R262" s="176">
        <f t="shared" si="81"/>
        <v>0.41169519968585616</v>
      </c>
      <c r="S262" s="814">
        <f t="shared" si="82"/>
        <v>0</v>
      </c>
      <c r="T262" s="175">
        <f t="shared" si="83"/>
        <v>6</v>
      </c>
      <c r="U262" s="250">
        <f t="shared" si="84"/>
        <v>0.41169519968585616</v>
      </c>
      <c r="V262" s="382">
        <f t="shared" si="85"/>
        <v>45.994809202687208</v>
      </c>
      <c r="W262" s="401">
        <f t="shared" si="86"/>
        <v>37.952847428258551</v>
      </c>
      <c r="X262" s="157">
        <f t="shared" si="87"/>
        <v>46635</v>
      </c>
      <c r="Y262" s="384">
        <f t="shared" si="88"/>
        <v>36.674181805820133</v>
      </c>
      <c r="Z262" s="384">
        <f t="shared" si="89"/>
        <v>39.445599616835807</v>
      </c>
      <c r="AA262" s="385">
        <f t="shared" si="90"/>
        <v>42.758674473322358</v>
      </c>
      <c r="AB262" s="196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7.7483104827153079E-2</v>
      </c>
      <c r="AD262" s="230">
        <f>(INDEX(Models!$BJ262:$BT262,,AH262)*(1-AF262)+INDEX(Models!$BJ262:$BT262,,AH262+1)*AF262-ERP_i)*AE262*Ramure*Pc/MaxiM</f>
        <v>1.001984175611114E-3</v>
      </c>
      <c r="AE262" s="304">
        <f t="shared" si="92"/>
        <v>0.5</v>
      </c>
      <c r="AF262" s="176">
        <f t="shared" si="93"/>
        <v>0.52668773951024361</v>
      </c>
      <c r="AG262" s="814">
        <f t="shared" si="99"/>
        <v>2</v>
      </c>
      <c r="AH262" s="175">
        <f t="shared" si="94"/>
        <v>8</v>
      </c>
      <c r="AI262" s="224">
        <f t="shared" si="95"/>
        <v>2.5266877395102436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10">
        <f>'2026'!Wh/'2026'!Env_an*'2027'!Env_an</f>
        <v>43.043291154798752</v>
      </c>
      <c r="C263" s="843"/>
      <c r="D263" s="392">
        <f t="shared" si="77"/>
        <v>46.297026572100179</v>
      </c>
      <c r="E263" s="384">
        <f t="shared" si="100"/>
        <v>48.526082885793613</v>
      </c>
      <c r="F263" s="384">
        <f t="shared" si="78"/>
        <v>48.536017672747455</v>
      </c>
      <c r="G263" s="110">
        <f t="shared" si="101"/>
        <v>0.93934133870899383</v>
      </c>
      <c r="H263" s="413" t="b">
        <f>Wh_hp&gt;='2026'!Maxi_hp</f>
        <v>0</v>
      </c>
      <c r="I263" s="389">
        <f>IF(H263,Wh_hp,'2026'!Maxi_hp)</f>
        <v>54.048993300295933</v>
      </c>
      <c r="J263" s="85">
        <f>IF(H263,An,'2026'!An_max)</f>
        <v>2019</v>
      </c>
      <c r="K263" s="196">
        <f t="shared" si="79"/>
        <v>46636</v>
      </c>
      <c r="L263" s="147">
        <f>IF(t&lt;Tvie,1-EXP((T0-t)*PertePVj)+'2026'!Pspv,1-EXP((T0-t)*PertePVj)+Pspv)</f>
        <v>7.0279576426668683E-2</v>
      </c>
      <c r="M263" s="847"/>
      <c r="N263" s="847"/>
      <c r="O263" s="48">
        <f>IF(t&lt;Tnet,'2026'!Resal+('2026'!Salim-'2026'!Resal)*(1-EXP(('2026'!Tnet-t)/('2026'!Tau_j))),Resal+(Salim-Resal)*(1-EXP((Tnet-t)/(Tau_j))))*Salcycl</f>
        <v>4.5935220424437088E-2</v>
      </c>
      <c r="P263" s="168">
        <f>(INDEX(Models!$BJ263:$BT263,,T263)*(1-R263)+INDEX(Models!$BJ263:$BT263,,T263+1)*R263-ERP_i)*Q263*Ramure*Pc/MaxiM</f>
        <v>2.241027996216222E-4</v>
      </c>
      <c r="Q263" s="304">
        <f t="shared" si="80"/>
        <v>0.5</v>
      </c>
      <c r="R263" s="176">
        <f t="shared" si="81"/>
        <v>0.41201620204483513</v>
      </c>
      <c r="S263" s="814">
        <f t="shared" si="82"/>
        <v>0</v>
      </c>
      <c r="T263" s="175">
        <f t="shared" si="83"/>
        <v>6</v>
      </c>
      <c r="U263" s="250">
        <f t="shared" si="84"/>
        <v>0.41201620204483513</v>
      </c>
      <c r="V263" s="382">
        <f t="shared" si="85"/>
        <v>45.821953718443119</v>
      </c>
      <c r="W263" s="401">
        <f t="shared" si="86"/>
        <v>43.043291154798752</v>
      </c>
      <c r="X263" s="157">
        <f t="shared" si="87"/>
        <v>46636</v>
      </c>
      <c r="Y263" s="384">
        <f t="shared" si="88"/>
        <v>41.589263752684914</v>
      </c>
      <c r="Z263" s="384">
        <f t="shared" si="89"/>
        <v>44.733086095752071</v>
      </c>
      <c r="AA263" s="385">
        <f t="shared" si="90"/>
        <v>48.491240526644098</v>
      </c>
      <c r="AB263" s="196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7.7501717631394948E-2</v>
      </c>
      <c r="AD263" s="230">
        <f>(INDEX(Models!$BJ263:$BT263,,AH263)*(1-AF263)+INDEX(Models!$BJ263:$BT263,,AH263+1)*AF263-ERP_i)*AE263*Ramure*Pc/MaxiM</f>
        <v>1.0100552580994088E-3</v>
      </c>
      <c r="AE263" s="304">
        <f t="shared" si="92"/>
        <v>0.5</v>
      </c>
      <c r="AF263" s="176">
        <f t="shared" si="93"/>
        <v>0.52700874186922242</v>
      </c>
      <c r="AG263" s="814">
        <f t="shared" si="99"/>
        <v>2</v>
      </c>
      <c r="AH263" s="175">
        <f t="shared" si="94"/>
        <v>8</v>
      </c>
      <c r="AI263" s="224">
        <f t="shared" si="95"/>
        <v>2.5270087418692224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10">
        <f>'2026'!Wh/'2026'!Env_an*'2027'!Env_an</f>
        <v>33.490654176939024</v>
      </c>
      <c r="C264" s="843"/>
      <c r="D264" s="392">
        <f t="shared" si="77"/>
        <v>36.023073096257427</v>
      </c>
      <c r="E264" s="384">
        <f t="shared" si="100"/>
        <v>37.75967417609683</v>
      </c>
      <c r="F264" s="384">
        <f t="shared" si="78"/>
        <v>37.765012141884164</v>
      </c>
      <c r="G264" s="110">
        <f t="shared" si="101"/>
        <v>0.73366441092018819</v>
      </c>
      <c r="H264" s="413" t="b">
        <f>Wh_hp&gt;='2026'!Maxi_hp</f>
        <v>0</v>
      </c>
      <c r="I264" s="389">
        <f>IF(H264,Wh_hp,'2026'!Maxi_hp)</f>
        <v>52.847504684614634</v>
      </c>
      <c r="J264" s="85">
        <f>IF(H264,An,'2026'!An_max)</f>
        <v>2019</v>
      </c>
      <c r="K264" s="196">
        <f t="shared" si="79"/>
        <v>46637</v>
      </c>
      <c r="L264" s="147">
        <f>IF(t&lt;Tvie,1-EXP((T0-t)*PertePVj)+'2026'!Pspv,1-EXP((T0-t)*PertePVj)+Pspv)</f>
        <v>7.0299913406929843E-2</v>
      </c>
      <c r="M264" s="847"/>
      <c r="N264" s="847"/>
      <c r="O264" s="48">
        <f>IF(t&lt;Tnet,'2026'!Resal+('2026'!Salim-'2026'!Resal)*(1-EXP(('2026'!Tnet-t)/('2026'!Tau_j))),Resal+(Salim-Resal)*(1-EXP((Tnet-t)/(Tau_j))))*Salcycl</f>
        <v>4.5990891545847352E-2</v>
      </c>
      <c r="P264" s="168">
        <f>(INDEX(Models!$BJ264:$BT264,,T264)*(1-R264)+INDEX(Models!$BJ264:$BT264,,T264+1)*R264-ERP_i)*Q264*Ramure*Pc/MaxiM</f>
        <v>2.281217257938364E-4</v>
      </c>
      <c r="Q264" s="304">
        <f t="shared" si="80"/>
        <v>0.5</v>
      </c>
      <c r="R264" s="176">
        <f t="shared" si="81"/>
        <v>0.41232494358465771</v>
      </c>
      <c r="S264" s="814">
        <f t="shared" si="82"/>
        <v>0</v>
      </c>
      <c r="T264" s="175">
        <f t="shared" si="83"/>
        <v>6</v>
      </c>
      <c r="U264" s="250">
        <f t="shared" si="84"/>
        <v>0.41232494358465771</v>
      </c>
      <c r="V264" s="382">
        <f t="shared" si="85"/>
        <v>45.644503291358077</v>
      </c>
      <c r="W264" s="401">
        <f t="shared" si="86"/>
        <v>33.490654176939024</v>
      </c>
      <c r="X264" s="157">
        <f t="shared" si="87"/>
        <v>46637</v>
      </c>
      <c r="Y264" s="384">
        <f t="shared" si="88"/>
        <v>32.367987611643422</v>
      </c>
      <c r="Z264" s="384">
        <f t="shared" si="89"/>
        <v>34.815515324148713</v>
      </c>
      <c r="AA264" s="385">
        <f t="shared" si="90"/>
        <v>37.741207603374846</v>
      </c>
      <c r="AB264" s="196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7.7519837467111677E-2</v>
      </c>
      <c r="AD264" s="230">
        <f>(INDEX(Models!$BJ264:$BT264,,AH264)*(1-AF264)+INDEX(Models!$BJ264:$BT264,,AH264+1)*AF264-ERP_i)*AE264*Ramure*Pc/MaxiM</f>
        <v>1.0173037113424288E-3</v>
      </c>
      <c r="AE264" s="304">
        <f t="shared" si="92"/>
        <v>0.5</v>
      </c>
      <c r="AF264" s="176">
        <f t="shared" si="93"/>
        <v>0.52731748340904527</v>
      </c>
      <c r="AG264" s="814">
        <f t="shared" si="99"/>
        <v>2</v>
      </c>
      <c r="AH264" s="175">
        <f t="shared" si="94"/>
        <v>8</v>
      </c>
      <c r="AI264" s="224">
        <f t="shared" si="95"/>
        <v>2.5273174834090453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10">
        <f>'2026'!Wh/'2026'!Env_an*'2027'!Env_an</f>
        <v>36.675082358805803</v>
      </c>
      <c r="C265" s="843"/>
      <c r="D265" s="392">
        <f t="shared" si="77"/>
        <v>39.449156934426334</v>
      </c>
      <c r="E265" s="384">
        <f t="shared" si="100"/>
        <v>41.353320165799431</v>
      </c>
      <c r="F265" s="384">
        <f t="shared" si="78"/>
        <v>41.360268334897931</v>
      </c>
      <c r="G265" s="110">
        <f t="shared" si="101"/>
        <v>0.80665794820676506</v>
      </c>
      <c r="H265" s="413" t="b">
        <f>Wh_hp&gt;='2026'!Maxi_hp</f>
        <v>0</v>
      </c>
      <c r="I265" s="389">
        <f>IF(H265,Wh_hp,'2026'!Maxi_hp)</f>
        <v>46.460443083143332</v>
      </c>
      <c r="J265" s="85">
        <f>IF(H265,An,'2026'!An_max)</f>
        <v>2018</v>
      </c>
      <c r="K265" s="196">
        <f t="shared" si="79"/>
        <v>46638</v>
      </c>
      <c r="L265" s="147">
        <f>IF(t&lt;Tvie,1-EXP((T0-t)*PertePVj)+'2026'!Pspv,1-EXP((T0-t)*PertePVj)+Pspv)</f>
        <v>7.0320249941758867E-2</v>
      </c>
      <c r="M265" s="847"/>
      <c r="N265" s="847"/>
      <c r="O265" s="48">
        <f>IF(t&lt;Tnet,'2026'!Resal+('2026'!Salim-'2026'!Resal)*(1-EXP(('2026'!Tnet-t)/('2026'!Tau_j))),Resal+(Salim-Resal)*(1-EXP((Tnet-t)/(Tau_j))))*Salcycl</f>
        <v>4.6046199524939324E-2</v>
      </c>
      <c r="P265" s="168">
        <f>(INDEX(Models!$BJ265:$BT265,,T265)*(1-R265)+INDEX(Models!$BJ265:$BT265,,T265+1)*R265-ERP_i)*Q265*Ramure*Pc/MaxiM</f>
        <v>2.3207368278339925E-4</v>
      </c>
      <c r="Q265" s="304">
        <f t="shared" si="80"/>
        <v>0.5</v>
      </c>
      <c r="R265" s="176">
        <f t="shared" si="81"/>
        <v>0.4126218675327652</v>
      </c>
      <c r="S265" s="814">
        <f t="shared" si="82"/>
        <v>0</v>
      </c>
      <c r="T265" s="175">
        <f t="shared" si="83"/>
        <v>6</v>
      </c>
      <c r="U265" s="250">
        <f t="shared" si="84"/>
        <v>0.4126218675327652</v>
      </c>
      <c r="V265" s="382">
        <f t="shared" si="85"/>
        <v>45.462555500998981</v>
      </c>
      <c r="W265" s="401">
        <f t="shared" si="86"/>
        <v>36.675082358805803</v>
      </c>
      <c r="X265" s="157">
        <f t="shared" si="87"/>
        <v>46638</v>
      </c>
      <c r="Y265" s="384">
        <f t="shared" si="88"/>
        <v>35.444064256406485</v>
      </c>
      <c r="Z265" s="384">
        <f t="shared" si="89"/>
        <v>38.125025584547842</v>
      </c>
      <c r="AA265" s="385">
        <f t="shared" si="90"/>
        <v>41.329618662731541</v>
      </c>
      <c r="AB265" s="196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7.7537446070689242E-2</v>
      </c>
      <c r="AD265" s="230">
        <f>(INDEX(Models!$BJ265:$BT265,,AH265)*(1-AF265)+INDEX(Models!$BJ265:$BT265,,AH265+1)*AF265-ERP_i)*AE265*Ramure*Pc/MaxiM</f>
        <v>1.0237203779761225E-3</v>
      </c>
      <c r="AE265" s="304">
        <f t="shared" si="92"/>
        <v>0.5</v>
      </c>
      <c r="AF265" s="176">
        <f t="shared" si="93"/>
        <v>0.5276144073571527</v>
      </c>
      <c r="AG265" s="814">
        <f t="shared" si="99"/>
        <v>2</v>
      </c>
      <c r="AH265" s="175">
        <f t="shared" si="94"/>
        <v>8</v>
      </c>
      <c r="AI265" s="224">
        <f t="shared" si="95"/>
        <v>2.5276144073571527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10">
        <f>'2026'!Wh/'2026'!Env_an*'2027'!Env_an</f>
        <v>20.417448930780491</v>
      </c>
      <c r="C266" s="843"/>
      <c r="D266" s="392">
        <f t="shared" si="77"/>
        <v>21.962289225487218</v>
      </c>
      <c r="E266" s="384">
        <f t="shared" si="100"/>
        <v>23.023708245372102</v>
      </c>
      <c r="F266" s="384">
        <f t="shared" si="78"/>
        <v>23.024879837681411</v>
      </c>
      <c r="G266" s="110">
        <f t="shared" si="101"/>
        <v>0.45086969377147118</v>
      </c>
      <c r="H266" s="413" t="b">
        <f>Wh_hp&gt;='2026'!Maxi_hp</f>
        <v>0</v>
      </c>
      <c r="I266" s="389">
        <f>IF(H266,Wh_hp,'2026'!Maxi_hp)</f>
        <v>49.540166553764124</v>
      </c>
      <c r="J266" s="85">
        <f>IF(H266,An,'2026'!An_max)</f>
        <v>2020</v>
      </c>
      <c r="K266" s="196">
        <f t="shared" si="79"/>
        <v>46639</v>
      </c>
      <c r="L266" s="147">
        <f>IF(t&lt;Tvie,1-EXP((T0-t)*PertePVj)+'2026'!Pspv,1-EXP((T0-t)*PertePVj)+Pspv)</f>
        <v>7.0340586031165636E-2</v>
      </c>
      <c r="M266" s="847"/>
      <c r="N266" s="847"/>
      <c r="O266" s="48">
        <f>IF(t&lt;Tnet,'2026'!Resal+('2026'!Salim-'2026'!Resal)*(1-EXP(('2026'!Tnet-t)/('2026'!Tau_j))),Resal+(Salim-Resal)*(1-EXP((Tnet-t)/(Tau_j))))*Salcycl</f>
        <v>4.6101132301232819E-2</v>
      </c>
      <c r="P266" s="168">
        <f>(INDEX(Models!$BJ266:$BT266,,T266)*(1-R266)+INDEX(Models!$BJ266:$BT266,,T266+1)*R266-ERP_i)*Q266*Ramure*Pc/MaxiM</f>
        <v>2.3595814703999135E-4</v>
      </c>
      <c r="Q266" s="304">
        <f t="shared" si="80"/>
        <v>0.5</v>
      </c>
      <c r="R266" s="176">
        <f t="shared" si="81"/>
        <v>0.41290740303237833</v>
      </c>
      <c r="S266" s="814">
        <f t="shared" si="82"/>
        <v>0</v>
      </c>
      <c r="T266" s="175">
        <f t="shared" si="83"/>
        <v>6</v>
      </c>
      <c r="U266" s="250">
        <f t="shared" si="84"/>
        <v>0.41290740303237833</v>
      </c>
      <c r="V266" s="382">
        <f t="shared" si="85"/>
        <v>45.276207901127322</v>
      </c>
      <c r="W266" s="401">
        <f t="shared" si="86"/>
        <v>20.417448930780491</v>
      </c>
      <c r="X266" s="157">
        <f t="shared" si="87"/>
        <v>46639</v>
      </c>
      <c r="Y266" s="384">
        <f t="shared" si="88"/>
        <v>19.740835977289752</v>
      </c>
      <c r="Z266" s="384">
        <f t="shared" si="89"/>
        <v>21.234481876554781</v>
      </c>
      <c r="AA266" s="385">
        <f t="shared" si="90"/>
        <v>23.019769123059724</v>
      </c>
      <c r="AB266" s="196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7.7554524415996764E-2</v>
      </c>
      <c r="AD266" s="230">
        <f>(INDEX(Models!$BJ266:$BT266,,AH266)*(1-AF266)+INDEX(Models!$BJ266:$BT266,,AH266+1)*AF266-ERP_i)*AE266*Ramure*Pc/MaxiM</f>
        <v>1.0292955515362257E-3</v>
      </c>
      <c r="AE266" s="304">
        <f t="shared" si="92"/>
        <v>0.5</v>
      </c>
      <c r="AF266" s="176">
        <f t="shared" si="93"/>
        <v>0.52789994285676567</v>
      </c>
      <c r="AG266" s="814">
        <f t="shared" si="99"/>
        <v>2</v>
      </c>
      <c r="AH266" s="175">
        <f t="shared" si="94"/>
        <v>8</v>
      </c>
      <c r="AI266" s="224">
        <f t="shared" si="95"/>
        <v>2.5278999428567657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10">
        <f>'2026'!Wh/'2026'!Env_an*'2027'!Env_an</f>
        <v>43.133918242578709</v>
      </c>
      <c r="C267" s="843"/>
      <c r="D267" s="392">
        <f t="shared" si="77"/>
        <v>46.398563967753724</v>
      </c>
      <c r="E267" s="384">
        <f t="shared" si="100"/>
        <v>48.643749156929616</v>
      </c>
      <c r="F267" s="384">
        <f t="shared" si="78"/>
        <v>48.654693885070415</v>
      </c>
      <c r="G267" s="110">
        <f t="shared" si="101"/>
        <v>0.95669834032683698</v>
      </c>
      <c r="H267" s="413" t="b">
        <f>Wh_hp&gt;='2026'!Maxi_hp</f>
        <v>0</v>
      </c>
      <c r="I267" s="389">
        <f>IF(H267,Wh_hp,'2026'!Maxi_hp)</f>
        <v>48.655215644026455</v>
      </c>
      <c r="J267" s="85">
        <f>IF(H267,An,'2026'!An_max)</f>
        <v>2025</v>
      </c>
      <c r="K267" s="196">
        <f t="shared" si="79"/>
        <v>46640</v>
      </c>
      <c r="L267" s="147">
        <f>IF(t&lt;Tvie,1-EXP((T0-t)*PertePVj)+'2026'!Pspv,1-EXP((T0-t)*PertePVj)+Pspv)</f>
        <v>7.036092167515981E-2</v>
      </c>
      <c r="M267" s="847"/>
      <c r="N267" s="847"/>
      <c r="O267" s="48">
        <f>IF(t&lt;Tnet,'2026'!Resal+('2026'!Salim-'2026'!Resal)*(1-EXP(('2026'!Tnet-t)/('2026'!Tau_j))),Resal+(Salim-Resal)*(1-EXP((Tnet-t)/(Tau_j))))*Salcycl</f>
        <v>4.6155677308767788E-2</v>
      </c>
      <c r="P267" s="168">
        <f>(INDEX(Models!$BJ267:$BT267,,T267)*(1-R267)+INDEX(Models!$BJ267:$BT267,,T267+1)*R267-ERP_i)*Q267*Ramure*Pc/MaxiM</f>
        <v>2.397744877768552E-4</v>
      </c>
      <c r="Q267" s="304">
        <f t="shared" si="80"/>
        <v>0.5</v>
      </c>
      <c r="R267" s="176">
        <f t="shared" si="81"/>
        <v>0.41318196543697722</v>
      </c>
      <c r="S267" s="814">
        <f t="shared" si="82"/>
        <v>0</v>
      </c>
      <c r="T267" s="175">
        <f t="shared" si="83"/>
        <v>6</v>
      </c>
      <c r="U267" s="250">
        <f t="shared" si="84"/>
        <v>0.41318196543697722</v>
      </c>
      <c r="V267" s="382">
        <f t="shared" si="85"/>
        <v>45.085558021278445</v>
      </c>
      <c r="W267" s="401">
        <f t="shared" si="86"/>
        <v>43.133918242578709</v>
      </c>
      <c r="X267" s="157">
        <f t="shared" si="87"/>
        <v>46640</v>
      </c>
      <c r="Y267" s="384">
        <f t="shared" si="88"/>
        <v>41.682190695673278</v>
      </c>
      <c r="Z267" s="384">
        <f t="shared" si="89"/>
        <v>44.836960566225713</v>
      </c>
      <c r="AA267" s="385">
        <f t="shared" si="90"/>
        <v>48.607495132600747</v>
      </c>
      <c r="AB267" s="196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7.75710526964834E-2</v>
      </c>
      <c r="AD267" s="230">
        <f>(INDEX(Models!$BJ267:$BT267,,AH267)*(1-AF267)+INDEX(Models!$BJ267:$BT267,,AH267+1)*AF267-ERP_i)*AE267*Ramure*Pc/MaxiM</f>
        <v>1.0340189862671132E-3</v>
      </c>
      <c r="AE267" s="304">
        <f t="shared" si="92"/>
        <v>0.5</v>
      </c>
      <c r="AF267" s="176">
        <f t="shared" si="93"/>
        <v>0.52817450526136467</v>
      </c>
      <c r="AG267" s="814">
        <f t="shared" si="99"/>
        <v>2</v>
      </c>
      <c r="AH267" s="175">
        <f t="shared" si="94"/>
        <v>8</v>
      </c>
      <c r="AI267" s="224">
        <f t="shared" si="95"/>
        <v>2.5281745052613647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10">
        <f>'2026'!Wh/'2026'!Env_an*'2027'!Env_an</f>
        <v>43.642283722989625</v>
      </c>
      <c r="C268" s="843"/>
      <c r="D268" s="392">
        <f t="shared" si="77"/>
        <v>46.946432659289329</v>
      </c>
      <c r="E268" s="384">
        <f t="shared" si="100"/>
        <v>49.220922710211845</v>
      </c>
      <c r="F268" s="384">
        <f t="shared" si="78"/>
        <v>49.232420196982552</v>
      </c>
      <c r="G268" s="110">
        <f t="shared" si="101"/>
        <v>0.97218008381653886</v>
      </c>
      <c r="H268" s="413" t="b">
        <f>Wh_hp&gt;='2026'!Maxi_hp</f>
        <v>0</v>
      </c>
      <c r="I268" s="389">
        <f>IF(H268,Wh_hp,'2026'!Maxi_hp)</f>
        <v>49.232763508160232</v>
      </c>
      <c r="J268" s="85">
        <f>IF(H268,An,'2026'!An_max)</f>
        <v>2025</v>
      </c>
      <c r="K268" s="196">
        <f t="shared" si="79"/>
        <v>46641</v>
      </c>
      <c r="L268" s="147">
        <f>IF(t&lt;Tvie,1-EXP((T0-t)*PertePVj)+'2026'!Pspv,1-EXP((T0-t)*PertePVj)+Pspv)</f>
        <v>7.0381256873751158E-2</v>
      </c>
      <c r="M268" s="847"/>
      <c r="N268" s="847"/>
      <c r="O268" s="48">
        <f>IF(t&lt;Tnet,'2026'!Resal+('2026'!Salim-'2026'!Resal)*(1-EXP(('2026'!Tnet-t)/('2026'!Tau_j))),Resal+(Salim-Resal)*(1-EXP((Tnet-t)/(Tau_j))))*Salcycl</f>
        <v>4.6209821467865848E-2</v>
      </c>
      <c r="P268" s="168">
        <f>(INDEX(Models!$BJ268:$BT268,,T268)*(1-R268)+INDEX(Models!$BJ268:$BT268,,T268+1)*R268-ERP_i)*Q268*Ramure*Pc/MaxiM</f>
        <v>2.4319691528567288E-4</v>
      </c>
      <c r="Q268" s="304">
        <f t="shared" si="80"/>
        <v>0.5</v>
      </c>
      <c r="R268" s="176">
        <f t="shared" si="81"/>
        <v>0.41344595661177924</v>
      </c>
      <c r="S268" s="814">
        <f t="shared" si="82"/>
        <v>0</v>
      </c>
      <c r="T268" s="175">
        <f t="shared" si="83"/>
        <v>6</v>
      </c>
      <c r="U268" s="250">
        <f t="shared" si="84"/>
        <v>0.41344595661177924</v>
      </c>
      <c r="V268" s="382">
        <f t="shared" si="85"/>
        <v>44.890717961811667</v>
      </c>
      <c r="W268" s="401">
        <f t="shared" si="86"/>
        <v>43.642283722989625</v>
      </c>
      <c r="X268" s="157">
        <f t="shared" si="87"/>
        <v>46641</v>
      </c>
      <c r="Y268" s="384">
        <f t="shared" si="88"/>
        <v>42.174380292899855</v>
      </c>
      <c r="Z268" s="384">
        <f t="shared" si="89"/>
        <v>45.36739454184206</v>
      </c>
      <c r="AA268" s="385">
        <f t="shared" si="90"/>
        <v>49.18338645396269</v>
      </c>
      <c r="AB268" s="196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7.7587010314804791E-2</v>
      </c>
      <c r="AD268" s="230">
        <f>(INDEX(Models!$BJ268:$BT268,,AH268)*(1-AF268)+INDEX(Models!$BJ268:$BT268,,AH268+1)*AF268-ERP_i)*AE268*Ramure*Pc/MaxiM</f>
        <v>1.0371705821590174E-3</v>
      </c>
      <c r="AE268" s="304">
        <f t="shared" si="92"/>
        <v>0.5</v>
      </c>
      <c r="AF268" s="176">
        <f t="shared" si="93"/>
        <v>0.5284384964361668</v>
      </c>
      <c r="AG268" s="814">
        <f t="shared" si="99"/>
        <v>2</v>
      </c>
      <c r="AH268" s="175">
        <f t="shared" si="94"/>
        <v>8</v>
      </c>
      <c r="AI268" s="224">
        <f t="shared" si="95"/>
        <v>2.5284384964361668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10">
        <f>'2026'!Wh/'2026'!Env_an*'2027'!Env_an</f>
        <v>30.565695576229629</v>
      </c>
      <c r="C269" s="843"/>
      <c r="D269" s="392">
        <f t="shared" si="77"/>
        <v>32.880537768695845</v>
      </c>
      <c r="E269" s="384">
        <f t="shared" si="100"/>
        <v>34.475496673579478</v>
      </c>
      <c r="F269" s="384">
        <f t="shared" si="78"/>
        <v>34.480155852035217</v>
      </c>
      <c r="G269" s="110">
        <f t="shared" si="101"/>
        <v>0.68384602051270216</v>
      </c>
      <c r="H269" s="413" t="b">
        <f>Wh_hp&gt;='2026'!Maxi_hp</f>
        <v>0</v>
      </c>
      <c r="I269" s="389">
        <f>IF(H269,Wh_hp,'2026'!Maxi_hp)</f>
        <v>50.900576803696573</v>
      </c>
      <c r="J269" s="85">
        <f>IF(H269,An,'2026'!An_max)</f>
        <v>2019</v>
      </c>
      <c r="K269" s="196">
        <f t="shared" si="79"/>
        <v>46642</v>
      </c>
      <c r="L269" s="147">
        <f>IF(t&lt;Tvie,1-EXP((T0-t)*PertePVj)+'2026'!Pspv,1-EXP((T0-t)*PertePVj)+Pspv)</f>
        <v>7.0401591626949561E-2</v>
      </c>
      <c r="M269" s="847"/>
      <c r="N269" s="847"/>
      <c r="O269" s="48">
        <f>IF(t&lt;Tnet,'2026'!Resal+('2026'!Salim-'2026'!Resal)*(1-EXP(('2026'!Tnet-t)/('2026'!Tau_j))),Resal+(Salim-Resal)*(1-EXP((Tnet-t)/(Tau_j))))*Salcycl</f>
        <v>4.6263551182017963E-2</v>
      </c>
      <c r="P269" s="168">
        <f>(INDEX(Models!$BJ269:$BT269,,T269)*(1-R269)+INDEX(Models!$BJ269:$BT269,,T269+1)*R269-ERP_i)*Q269*Ramure*Pc/MaxiM</f>
        <v>2.4637409094312515E-4</v>
      </c>
      <c r="Q269" s="304">
        <f t="shared" si="80"/>
        <v>0.5</v>
      </c>
      <c r="R269" s="176">
        <f t="shared" si="81"/>
        <v>0.41369976524073143</v>
      </c>
      <c r="S269" s="814">
        <f t="shared" si="82"/>
        <v>0</v>
      </c>
      <c r="T269" s="175">
        <f t="shared" si="83"/>
        <v>6</v>
      </c>
      <c r="U269" s="250">
        <f t="shared" si="84"/>
        <v>0.41369976524073143</v>
      </c>
      <c r="V269" s="382">
        <f t="shared" si="85"/>
        <v>44.691778318668383</v>
      </c>
      <c r="W269" s="401">
        <f t="shared" si="86"/>
        <v>30.565695576229629</v>
      </c>
      <c r="X269" s="157">
        <f t="shared" si="87"/>
        <v>46642</v>
      </c>
      <c r="Y269" s="384">
        <f t="shared" si="88"/>
        <v>29.548473640041106</v>
      </c>
      <c r="Z269" s="384">
        <f t="shared" si="89"/>
        <v>31.786278218522103</v>
      </c>
      <c r="AA269" s="385">
        <f t="shared" si="90"/>
        <v>34.460494462878621</v>
      </c>
      <c r="AB269" s="196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7.7602375881089716E-2</v>
      </c>
      <c r="AD269" s="230">
        <f>(INDEX(Models!$BJ269:$BT269,,AH269)*(1-AF269)+INDEX(Models!$BJ269:$BT269,,AH269+1)*AF269-ERP_i)*AE269*Ramure*Pc/MaxiM</f>
        <v>1.0396804771808548E-3</v>
      </c>
      <c r="AE269" s="304">
        <f t="shared" si="92"/>
        <v>0.5</v>
      </c>
      <c r="AF269" s="176">
        <f t="shared" si="93"/>
        <v>0.52869230506511888</v>
      </c>
      <c r="AG269" s="814">
        <f t="shared" si="99"/>
        <v>2</v>
      </c>
      <c r="AH269" s="175">
        <f t="shared" si="94"/>
        <v>8</v>
      </c>
      <c r="AI269" s="224">
        <f t="shared" si="95"/>
        <v>2.5286923050651189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10">
        <f>'2026'!Wh/'2026'!Env_an*'2027'!Env_an</f>
        <v>10.838370841466915</v>
      </c>
      <c r="C270" s="843"/>
      <c r="D270" s="392">
        <f t="shared" si="77"/>
        <v>11.65945189957902</v>
      </c>
      <c r="E270" s="384">
        <f t="shared" si="100"/>
        <v>12.225708222058788</v>
      </c>
      <c r="F270" s="384">
        <f t="shared" si="78"/>
        <v>12.225708222058788</v>
      </c>
      <c r="G270" s="110">
        <f t="shared" si="101"/>
        <v>0.24355927574301561</v>
      </c>
      <c r="H270" s="413" t="b">
        <f>Wh_hp&gt;='2026'!Maxi_hp</f>
        <v>0</v>
      </c>
      <c r="I270" s="389">
        <f>IF(H270,Wh_hp,'2026'!Maxi_hp)</f>
        <v>48.380443853441712</v>
      </c>
      <c r="J270" s="85">
        <f>IF(H270,An,'2026'!An_max)</f>
        <v>2020</v>
      </c>
      <c r="K270" s="196">
        <f t="shared" si="79"/>
        <v>46643</v>
      </c>
      <c r="L270" s="147">
        <f>IF(t&lt;Tvie,1-EXP((T0-t)*PertePVj)+'2026'!Pspv,1-EXP((T0-t)*PertePVj)+Pspv)</f>
        <v>7.0421925934764679E-2</v>
      </c>
      <c r="M270" s="847"/>
      <c r="N270" s="847"/>
      <c r="O270" s="48">
        <f>IF(t&lt;Tnet,'2026'!Resal+('2026'!Salim-'2026'!Resal)*(1-EXP(('2026'!Tnet-t)/('2026'!Tau_j))),Resal+(Salim-Resal)*(1-EXP((Tnet-t)/(Tau_j))))*Salcycl</f>
        <v>4.6316852340551933E-2</v>
      </c>
      <c r="P270" s="168">
        <f>(INDEX(Models!$BJ270:$BT270,,T270)*(1-R270)+INDEX(Models!$BJ270:$BT270,,T270+1)*R270-ERP_i)*Q270*Ramure*Pc/MaxiM</f>
        <v>2.4930306541094579E-4</v>
      </c>
      <c r="Q270" s="304">
        <f t="shared" si="80"/>
        <v>0.5</v>
      </c>
      <c r="R270" s="176">
        <f t="shared" si="81"/>
        <v>0.41394376713765751</v>
      </c>
      <c r="S270" s="814">
        <f t="shared" si="82"/>
        <v>0</v>
      </c>
      <c r="T270" s="175">
        <f t="shared" si="83"/>
        <v>6</v>
      </c>
      <c r="U270" s="250">
        <f t="shared" si="84"/>
        <v>0.41394376713765751</v>
      </c>
      <c r="V270" s="382">
        <f t="shared" si="85"/>
        <v>44.488836523824332</v>
      </c>
      <c r="W270" s="401">
        <f t="shared" si="86"/>
        <v>10.838370841466915</v>
      </c>
      <c r="X270" s="157">
        <f t="shared" si="87"/>
        <v>46643</v>
      </c>
      <c r="Y270" s="384">
        <f t="shared" si="88"/>
        <v>10.482651033032148</v>
      </c>
      <c r="Z270" s="384">
        <f t="shared" si="89"/>
        <v>11.276783871621852</v>
      </c>
      <c r="AA270" s="385">
        <f t="shared" si="90"/>
        <v>12.225708222058788</v>
      </c>
      <c r="AB270" s="196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7.761712722088332E-2</v>
      </c>
      <c r="AD270" s="230">
        <f>(INDEX(Models!$BJ270:$BT270,,AH270)*(1-AF270)+INDEX(Models!$BJ270:$BT270,,AH270+1)*AF270-ERP_i)*AE270*Ramure*Pc/MaxiM</f>
        <v>1.0415394904787184E-3</v>
      </c>
      <c r="AE270" s="304">
        <f t="shared" si="92"/>
        <v>0.5</v>
      </c>
      <c r="AF270" s="176">
        <f t="shared" si="93"/>
        <v>0.52893630696204497</v>
      </c>
      <c r="AG270" s="814">
        <f t="shared" si="99"/>
        <v>2</v>
      </c>
      <c r="AH270" s="175">
        <f t="shared" si="94"/>
        <v>8</v>
      </c>
      <c r="AI270" s="224">
        <f t="shared" si="95"/>
        <v>2.528936306962045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10">
        <f>'2026'!Wh/'2026'!Env_an*'2027'!Env_an</f>
        <v>35.967591904452576</v>
      </c>
      <c r="C271" s="843"/>
      <c r="D271" s="392">
        <f t="shared" ref="D271:D334" si="102">Wh/(1-Ppv)</f>
        <v>38.693230499706054</v>
      </c>
      <c r="E271" s="384">
        <f t="shared" si="100"/>
        <v>40.574666009194971</v>
      </c>
      <c r="F271" s="384">
        <f t="shared" ref="F271:F334" si="103">Wh_sa/(1-Pvg*MEDIAN((-Sdif+Wh/Env_an)/Csdif,0,1))</f>
        <v>40.582149041378521</v>
      </c>
      <c r="G271" s="110">
        <f t="shared" si="101"/>
        <v>0.81218482916987722</v>
      </c>
      <c r="H271" s="413" t="b">
        <f>Wh_hp&gt;='2026'!Maxi_hp</f>
        <v>0</v>
      </c>
      <c r="I271" s="389">
        <f>IF(H271,Wh_hp,'2026'!Maxi_hp)</f>
        <v>48.09542285224876</v>
      </c>
      <c r="J271" s="85">
        <f>IF(H271,An,'2026'!An_max)</f>
        <v>2020</v>
      </c>
      <c r="K271" s="196">
        <f t="shared" ref="K271:K334" si="104">t</f>
        <v>46644</v>
      </c>
      <c r="L271" s="147">
        <f>IF(t&lt;Tvie,1-EXP((T0-t)*PertePVj)+'2026'!Pspv,1-EXP((T0-t)*PertePVj)+Pspv)</f>
        <v>7.0442259797206169E-2</v>
      </c>
      <c r="M271" s="847"/>
      <c r="N271" s="847"/>
      <c r="O271" s="48">
        <f>IF(t&lt;Tnet,'2026'!Resal+('2026'!Salim-'2026'!Resal)*(1-EXP(('2026'!Tnet-t)/('2026'!Tau_j))),Resal+(Salim-Resal)*(1-EXP((Tnet-t)/(Tau_j))))*Salcycl</f>
        <v>4.6369710327684499E-2</v>
      </c>
      <c r="P271" s="168">
        <f>(INDEX(Models!$BJ271:$BT271,,T271)*(1-R271)+INDEX(Models!$BJ271:$BT271,,T271+1)*R271-ERP_i)*Q271*Ramure*Pc/MaxiM</f>
        <v>2.519807390729296E-4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0.41417832556031886</v>
      </c>
      <c r="S271" s="814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0.41417832556031886</v>
      </c>
      <c r="V271" s="382">
        <f t="shared" ref="V271:V334" si="110">MaxiM*(1-Ppv)*(1-Pvg)*(1-Psa)</f>
        <v>44.281989970525174</v>
      </c>
      <c r="W271" s="401">
        <f t="shared" ref="W271:W334" si="111">Wh*(A271&gt;Tmaj)</f>
        <v>35.967591904452576</v>
      </c>
      <c r="X271" s="157">
        <f t="shared" ref="X271:X334" si="112">t</f>
        <v>46644</v>
      </c>
      <c r="Y271" s="384">
        <f t="shared" ref="Y271:Y334" si="113">Wh_pvt_s*(1-Ppv)</f>
        <v>34.768382326866401</v>
      </c>
      <c r="Z271" s="384">
        <f t="shared" ref="Z271:Z334" si="114">Wh_sa_s*(1-Psa_s)</f>
        <v>37.403144337522569</v>
      </c>
      <c r="AA271" s="385">
        <f t="shared" ref="AA271:AA334" si="115">Wh_hp*(1-Pvg_s*MEDIAN((-Sdif+Wh/Env_an)/Csdif,0,1))</f>
        <v>40.551183014957445</v>
      </c>
      <c r="AB271" s="196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7.7631241393714925E-2</v>
      </c>
      <c r="AD271" s="230">
        <f>(INDEX(Models!$BJ271:$BT271,,AH271)*(1-AF271)+INDEX(Models!$BJ271:$BT271,,AH271+1)*AF271-ERP_i)*AE271*Ramure*Pc/MaxiM</f>
        <v>1.0427380281597786E-3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0.52917086538470626</v>
      </c>
      <c r="AG271" s="814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2.5291708653847063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10">
        <f>'2026'!Wh/'2026'!Env_an*'2027'!Env_an</f>
        <v>39.508798671147076</v>
      </c>
      <c r="C272" s="843"/>
      <c r="D272" s="392">
        <f t="shared" si="102"/>
        <v>42.503721079677796</v>
      </c>
      <c r="E272" s="384">
        <f t="shared" si="100"/>
        <v>44.572888619926033</v>
      </c>
      <c r="F272" s="384">
        <f t="shared" si="103"/>
        <v>44.582553177686208</v>
      </c>
      <c r="G272" s="110">
        <f t="shared" si="101"/>
        <v>0.89644007642776857</v>
      </c>
      <c r="H272" s="413" t="b">
        <f>Wh_hp&gt;='2026'!Maxi_hp</f>
        <v>0</v>
      </c>
      <c r="I272" s="389">
        <f>IF(H272,Wh_hp,'2026'!Maxi_hp)</f>
        <v>48.958278323972046</v>
      </c>
      <c r="J272" s="85">
        <f>IF(H272,An,'2026'!An_max)</f>
        <v>2020</v>
      </c>
      <c r="K272" s="196">
        <f t="shared" si="104"/>
        <v>46645</v>
      </c>
      <c r="L272" s="147">
        <f>IF(t&lt;Tvie,1-EXP((T0-t)*PertePVj)+'2026'!Pspv,1-EXP((T0-t)*PertePVj)+Pspv)</f>
        <v>7.0462593214283914E-2</v>
      </c>
      <c r="M272" s="847"/>
      <c r="N272" s="847"/>
      <c r="O272" s="48">
        <f>IF(t&lt;Tnet,'2026'!Resal+('2026'!Salim-'2026'!Resal)*(1-EXP(('2026'!Tnet-t)/('2026'!Tau_j))),Resal+(Salim-Resal)*(1-EXP((Tnet-t)/(Tau_j))))*Salcycl</f>
        <v>4.6422110038505104E-2</v>
      </c>
      <c r="P272" s="168">
        <f>(INDEX(Models!$BJ272:$BT272,,T272)*(1-R272)+INDEX(Models!$BJ272:$BT272,,T272+1)*R272-ERP_i)*Q272*Ramure*Pc/MaxiM</f>
        <v>2.544038666150963E-4</v>
      </c>
      <c r="Q272" s="304">
        <f t="shared" si="105"/>
        <v>0.5</v>
      </c>
      <c r="R272" s="176">
        <f t="shared" si="106"/>
        <v>0.41440379152625767</v>
      </c>
      <c r="S272" s="814">
        <f t="shared" si="107"/>
        <v>0</v>
      </c>
      <c r="T272" s="175">
        <f t="shared" si="108"/>
        <v>6</v>
      </c>
      <c r="U272" s="250">
        <f t="shared" si="109"/>
        <v>0.41440379152625767</v>
      </c>
      <c r="V272" s="382">
        <f t="shared" si="110"/>
        <v>44.071336022650669</v>
      </c>
      <c r="W272" s="401">
        <f t="shared" si="111"/>
        <v>39.508798671147076</v>
      </c>
      <c r="X272" s="157">
        <f t="shared" si="112"/>
        <v>46645</v>
      </c>
      <c r="Y272" s="384">
        <f t="shared" si="113"/>
        <v>38.189485742208582</v>
      </c>
      <c r="Z272" s="384">
        <f t="shared" si="114"/>
        <v>41.0843990391581</v>
      </c>
      <c r="AA272" s="385">
        <f t="shared" si="115"/>
        <v>44.542920503748512</v>
      </c>
      <c r="AB272" s="196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7.7644694723134774E-2</v>
      </c>
      <c r="AD272" s="230">
        <f>(INDEX(Models!$BJ272:$BT272,,AH272)*(1-AF272)+INDEX(Models!$BJ272:$BT272,,AH272+1)*AF272-ERP_i)*AE272*Ramure*Pc/MaxiM</f>
        <v>1.0432661011759259E-3</v>
      </c>
      <c r="AE272" s="304">
        <f t="shared" si="117"/>
        <v>0.5</v>
      </c>
      <c r="AF272" s="176">
        <f t="shared" si="118"/>
        <v>0.52939633135064534</v>
      </c>
      <c r="AG272" s="814">
        <f t="shared" ref="AG272:AG335" si="124">INDEX(Echel_vg,AH272)</f>
        <v>2</v>
      </c>
      <c r="AH272" s="175">
        <f t="shared" si="119"/>
        <v>8</v>
      </c>
      <c r="AI272" s="224">
        <f t="shared" si="120"/>
        <v>2.5293963313506453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10">
        <f>'2026'!Wh/'2026'!Env_an*'2027'!Env_an</f>
        <v>26.305751363998723</v>
      </c>
      <c r="C273" s="843"/>
      <c r="D273" s="392">
        <f t="shared" si="102"/>
        <v>28.300449884218938</v>
      </c>
      <c r="E273" s="384">
        <f t="shared" si="100"/>
        <v>29.679789486384049</v>
      </c>
      <c r="F273" s="384">
        <f t="shared" si="103"/>
        <v>29.683051288678833</v>
      </c>
      <c r="G273" s="110">
        <f t="shared" si="101"/>
        <v>0.5997197520516736</v>
      </c>
      <c r="H273" s="413" t="b">
        <f>Wh_hp&gt;='2026'!Maxi_hp</f>
        <v>0</v>
      </c>
      <c r="I273" s="389">
        <f>IF(H273,Wh_hp,'2026'!Maxi_hp)</f>
        <v>47.140487034967791</v>
      </c>
      <c r="J273" s="85">
        <f>IF(H273,An,'2026'!An_max)</f>
        <v>2018</v>
      </c>
      <c r="K273" s="196">
        <f t="shared" si="104"/>
        <v>46646</v>
      </c>
      <c r="L273" s="147">
        <f>IF(t&lt;Tvie,1-EXP((T0-t)*PertePVj)+'2026'!Pspv,1-EXP((T0-t)*PertePVj)+Pspv)</f>
        <v>7.0482926186007683E-2</v>
      </c>
      <c r="M273" s="847"/>
      <c r="N273" s="847"/>
      <c r="O273" s="48">
        <f>IF(t&lt;Tnet,'2026'!Resal+('2026'!Salim-'2026'!Resal)*(1-EXP(('2026'!Tnet-t)/('2026'!Tau_j))),Resal+(Salim-Resal)*(1-EXP((Tnet-t)/(Tau_j))))*Salcycl</f>
        <v>4.6474035902373811E-2</v>
      </c>
      <c r="P273" s="168">
        <f>(INDEX(Models!$BJ273:$BT273,,T273)*(1-R273)+INDEX(Models!$BJ273:$BT273,,T273+1)*R273-ERP_i)*Q273*Ramure*Pc/MaxiM</f>
        <v>2.5656906258683058E-4</v>
      </c>
      <c r="Q273" s="304">
        <f t="shared" si="105"/>
        <v>0.5</v>
      </c>
      <c r="R273" s="176">
        <f t="shared" si="106"/>
        <v>0.41462050412939505</v>
      </c>
      <c r="S273" s="814">
        <f t="shared" si="107"/>
        <v>0</v>
      </c>
      <c r="T273" s="175">
        <f t="shared" si="108"/>
        <v>6</v>
      </c>
      <c r="U273" s="250">
        <f t="shared" si="109"/>
        <v>0.41462050412939505</v>
      </c>
      <c r="V273" s="382">
        <f t="shared" si="110"/>
        <v>43.856972004944353</v>
      </c>
      <c r="W273" s="401">
        <f t="shared" si="111"/>
        <v>26.305751363998723</v>
      </c>
      <c r="X273" s="157">
        <f t="shared" si="112"/>
        <v>46646</v>
      </c>
      <c r="Y273" s="384">
        <f t="shared" si="113"/>
        <v>25.43689413403122</v>
      </c>
      <c r="Z273" s="384">
        <f t="shared" si="114"/>
        <v>27.365709410434622</v>
      </c>
      <c r="AA273" s="385">
        <f t="shared" si="115"/>
        <v>29.66979002688705</v>
      </c>
      <c r="AB273" s="196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7.7657462838949975E-2</v>
      </c>
      <c r="AD273" s="230">
        <f>(INDEX(Models!$BJ273:$BT273,,AH273)*(1-AF273)+INDEX(Models!$BJ273:$BT273,,AH273+1)*AF273-ERP_i)*AE273*Ramure*Pc/MaxiM</f>
        <v>1.0431133462873415E-3</v>
      </c>
      <c r="AE273" s="304">
        <f t="shared" si="117"/>
        <v>0.5</v>
      </c>
      <c r="AF273" s="176">
        <f t="shared" si="118"/>
        <v>0.52961304395378273</v>
      </c>
      <c r="AG273" s="814">
        <f t="shared" si="124"/>
        <v>2</v>
      </c>
      <c r="AH273" s="175">
        <f t="shared" si="119"/>
        <v>8</v>
      </c>
      <c r="AI273" s="224">
        <f t="shared" si="120"/>
        <v>2.5296130439537827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10">
        <f>'2026'!Wh/'2026'!Env_an*'2027'!Env_an</f>
        <v>45.492984016491093</v>
      </c>
      <c r="C274" s="843"/>
      <c r="D274" s="392">
        <f t="shared" si="102"/>
        <v>48.94367241510777</v>
      </c>
      <c r="E274" s="384">
        <f t="shared" si="100"/>
        <v>51.331913935199026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Wh_hp&gt;='2026'!Maxi_hp</f>
        <v>1</v>
      </c>
      <c r="I274" s="389">
        <f>IF(H274,Wh_hp,'2026'!Maxi_hp)</f>
        <v>51.345185269403622</v>
      </c>
      <c r="J274" s="85">
        <f>IF(H274,An,'2026'!An_max)</f>
        <v>2027</v>
      </c>
      <c r="K274" s="196">
        <f t="shared" si="104"/>
        <v>46647</v>
      </c>
      <c r="L274" s="147">
        <f>IF(t&lt;Tvie,1-EXP((T0-t)*PertePVj)+'2026'!Pspv,1-EXP((T0-t)*PertePVj)+Pspv)</f>
        <v>7.0503258712387246E-2</v>
      </c>
      <c r="M274" s="847"/>
      <c r="N274" s="847"/>
      <c r="O274" s="48">
        <f>IF(t&lt;Tnet,'2026'!Resal+('2026'!Salim-'2026'!Resal)*(1-EXP(('2026'!Tnet-t)/('2026'!Tau_j))),Resal+(Salim-Resal)*(1-EXP((Tnet-t)/(Tau_j))))*Salcycl</f>
        <v>4.6525471914141983E-2</v>
      </c>
      <c r="P274" s="168">
        <f>(INDEX(Models!$BJ274:$BT274,,T274)*(1-R274)+INDEX(Models!$BJ274:$BT274,,T274+1)*R274-ERP_i)*Q274*Ramure*Pc/MaxiM</f>
        <v>2.5847280781949271E-4</v>
      </c>
      <c r="Q274" s="304">
        <f t="shared" si="105"/>
        <v>0.5</v>
      </c>
      <c r="R274" s="176">
        <f t="shared" si="106"/>
        <v>0.41482879085645408</v>
      </c>
      <c r="S274" s="814">
        <f t="shared" si="107"/>
        <v>0</v>
      </c>
      <c r="T274" s="175">
        <f t="shared" si="108"/>
        <v>6</v>
      </c>
      <c r="U274" s="250">
        <f t="shared" si="109"/>
        <v>0.41482879085645408</v>
      </c>
      <c r="V274" s="382">
        <f t="shared" si="110"/>
        <v>43.638995206469559</v>
      </c>
      <c r="W274" s="401">
        <f t="shared" si="111"/>
        <v>45.492984016491093</v>
      </c>
      <c r="X274" s="157">
        <f t="shared" si="112"/>
        <v>46647</v>
      </c>
      <c r="Y274" s="384">
        <f t="shared" si="113"/>
        <v>43.97251133986201</v>
      </c>
      <c r="Z274" s="384">
        <f t="shared" si="114"/>
        <v>47.307870363211592</v>
      </c>
      <c r="AA274" s="385">
        <f t="shared" si="115"/>
        <v>51.291669771956933</v>
      </c>
      <c r="AB274" s="196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7.7669520732261882E-2</v>
      </c>
      <c r="AD274" s="230">
        <f>(INDEX(Models!$BJ274:$BT274,,AH274)*(1-AF274)+INDEX(Models!$BJ274:$BT274,,AH274+1)*AF274-ERP_i)*AE274*Ramure*Pc/MaxiM</f>
        <v>1.0422690494912338E-3</v>
      </c>
      <c r="AE274" s="304">
        <f t="shared" si="117"/>
        <v>0.5</v>
      </c>
      <c r="AF274" s="176">
        <f t="shared" si="118"/>
        <v>0.52982133068084147</v>
      </c>
      <c r="AG274" s="814">
        <f t="shared" si="124"/>
        <v>2</v>
      </c>
      <c r="AH274" s="175">
        <f t="shared" si="119"/>
        <v>8</v>
      </c>
      <c r="AI274" s="224">
        <f t="shared" si="120"/>
        <v>2.5298213306808415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10">
        <f>'2026'!Wh/'2026'!Env_an*'2027'!Env_an</f>
        <v>43.986027297245386</v>
      </c>
      <c r="C275" s="843"/>
      <c r="D275" s="392">
        <f t="shared" si="102"/>
        <v>47.32344668628366</v>
      </c>
      <c r="E275" s="384">
        <f t="shared" si="100"/>
        <v>49.635279396639177</v>
      </c>
      <c r="F275" s="384">
        <f t="shared" si="103"/>
        <v>49.648193903240482</v>
      </c>
      <c r="G275" s="110">
        <f t="shared" si="101"/>
        <v>1.0131290871697447</v>
      </c>
      <c r="H275" s="413" t="b">
        <f>Wh_hp&gt;='2026'!Maxi_hp</f>
        <v>1</v>
      </c>
      <c r="I275" s="389">
        <f>IF(H275,Wh_hp,'2026'!Maxi_hp)</f>
        <v>49.648193903240482</v>
      </c>
      <c r="J275" s="85">
        <f>IF(H275,An,'2026'!An_max)</f>
        <v>2027</v>
      </c>
      <c r="K275" s="196">
        <f t="shared" si="104"/>
        <v>46648</v>
      </c>
      <c r="L275" s="147">
        <f>IF(t&lt;Tvie,1-EXP((T0-t)*PertePVj)+'2026'!Pspv,1-EXP((T0-t)*PertePVj)+Pspv)</f>
        <v>7.052359079343215E-2</v>
      </c>
      <c r="M275" s="847"/>
      <c r="N275" s="847"/>
      <c r="O275" s="48">
        <f>IF(t&lt;Tnet,'2026'!Resal+('2026'!Salim-'2026'!Resal)*(1-EXP(('2026'!Tnet-t)/('2026'!Tau_j))),Resal+(Salim-Resal)*(1-EXP((Tnet-t)/(Tau_j))))*Salcycl</f>
        <v>4.6576401673525246E-2</v>
      </c>
      <c r="P275" s="168">
        <f>(INDEX(Models!$BJ275:$BT275,,T275)*(1-R275)+INDEX(Models!$BJ275:$BT275,,T275+1)*R275-ERP_i)*Q275*Ramure*Pc/MaxiM</f>
        <v>2.6012037067199394E-4</v>
      </c>
      <c r="Q275" s="304">
        <f t="shared" si="105"/>
        <v>0.5</v>
      </c>
      <c r="R275" s="176">
        <f t="shared" si="106"/>
        <v>0.41502896790236876</v>
      </c>
      <c r="S275" s="814">
        <f t="shared" si="107"/>
        <v>0</v>
      </c>
      <c r="T275" s="175">
        <f t="shared" si="108"/>
        <v>6</v>
      </c>
      <c r="U275" s="250">
        <f t="shared" si="109"/>
        <v>0.41502896790236876</v>
      </c>
      <c r="V275" s="382">
        <f t="shared" si="110"/>
        <v>43.416014656260423</v>
      </c>
      <c r="W275" s="401">
        <f t="shared" si="111"/>
        <v>43.986027297245386</v>
      </c>
      <c r="X275" s="157">
        <f t="shared" si="112"/>
        <v>46648</v>
      </c>
      <c r="Y275" s="384">
        <f t="shared" si="113"/>
        <v>42.517803893789207</v>
      </c>
      <c r="Z275" s="384">
        <f t="shared" si="114"/>
        <v>45.743822514101062</v>
      </c>
      <c r="AA275" s="385">
        <f t="shared" si="115"/>
        <v>49.596522156332838</v>
      </c>
      <c r="AB275" s="196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7.7680842823771232E-2</v>
      </c>
      <c r="AD275" s="230">
        <f>(INDEX(Models!$BJ275:$BT275,,AH275)*(1-AF275)+INDEX(Models!$BJ275:$BT275,,AH275+1)*AF275-ERP_i)*AE275*Ramure*Pc/MaxiM</f>
        <v>1.0407578372004054E-3</v>
      </c>
      <c r="AE275" s="304">
        <f t="shared" si="117"/>
        <v>0.5</v>
      </c>
      <c r="AF275" s="176">
        <f t="shared" si="118"/>
        <v>0.53002150772675627</v>
      </c>
      <c r="AG275" s="814">
        <f t="shared" si="124"/>
        <v>2</v>
      </c>
      <c r="AH275" s="175">
        <f t="shared" si="119"/>
        <v>8</v>
      </c>
      <c r="AI275" s="224">
        <f t="shared" si="120"/>
        <v>2.5300215077267563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10">
        <f>'2026'!Wh/'2026'!Env_an*'2027'!Env_an</f>
        <v>42.853578964266653</v>
      </c>
      <c r="C276" s="843"/>
      <c r="D276" s="392">
        <f t="shared" si="102"/>
        <v>46.106082899866934</v>
      </c>
      <c r="E276" s="384">
        <f t="shared" si="100"/>
        <v>48.361002079447019</v>
      </c>
      <c r="F276" s="384">
        <f t="shared" si="103"/>
        <v>48.373508615381304</v>
      </c>
      <c r="G276" s="110">
        <f t="shared" si="101"/>
        <v>0.99227756861159111</v>
      </c>
      <c r="H276" s="413" t="b">
        <f>Wh_hp&gt;='2026'!Maxi_hp</f>
        <v>0</v>
      </c>
      <c r="I276" s="389">
        <f>IF(H276,Wh_hp,'2026'!Maxi_hp)</f>
        <v>48.37360794157091</v>
      </c>
      <c r="J276" s="85">
        <f>IF(H276,An,'2026'!An_max)</f>
        <v>2025</v>
      </c>
      <c r="K276" s="196">
        <f t="shared" si="104"/>
        <v>46649</v>
      </c>
      <c r="L276" s="147">
        <f>IF(t&lt;Tvie,1-EXP((T0-t)*PertePVj)+'2026'!Pspv,1-EXP((T0-t)*PertePVj)+Pspv)</f>
        <v>7.0543922429152389E-2</v>
      </c>
      <c r="M276" s="847"/>
      <c r="N276" s="847"/>
      <c r="O276" s="48">
        <f>IF(t&lt;Tnet,'2026'!Resal+('2026'!Salim-'2026'!Resal)*(1-EXP(('2026'!Tnet-t)/('2026'!Tau_j))),Resal+(Salim-Resal)*(1-EXP((Tnet-t)/(Tau_j))))*Salcycl</f>
        <v>4.662680843287173E-2</v>
      </c>
      <c r="P276" s="168">
        <f>(INDEX(Models!$BJ276:$BT276,,T276)*(1-R276)+INDEX(Models!$BJ276:$BT276,,T276+1)*R276-ERP_i)*Q276*Ramure*Pc/MaxiM</f>
        <v>2.6142398578540393E-4</v>
      </c>
      <c r="Q276" s="304">
        <f t="shared" si="105"/>
        <v>0.5</v>
      </c>
      <c r="R276" s="176">
        <f t="shared" si="106"/>
        <v>0.41522134048392573</v>
      </c>
      <c r="S276" s="814">
        <f t="shared" si="107"/>
        <v>0</v>
      </c>
      <c r="T276" s="175">
        <f t="shared" si="108"/>
        <v>6</v>
      </c>
      <c r="U276" s="250">
        <f t="shared" si="109"/>
        <v>0.41522134048392573</v>
      </c>
      <c r="V276" s="382">
        <f t="shared" si="110"/>
        <v>43.18696375106903</v>
      </c>
      <c r="W276" s="401">
        <f t="shared" si="111"/>
        <v>42.853578964266653</v>
      </c>
      <c r="X276" s="157">
        <f t="shared" si="112"/>
        <v>46649</v>
      </c>
      <c r="Y276" s="384">
        <f t="shared" si="113"/>
        <v>41.425359733366768</v>
      </c>
      <c r="Z276" s="384">
        <f t="shared" si="114"/>
        <v>44.569464585817535</v>
      </c>
      <c r="AA276" s="385">
        <f t="shared" si="115"/>
        <v>48.323809116597104</v>
      </c>
      <c r="AB276" s="196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7.7691403045670002E-2</v>
      </c>
      <c r="AD276" s="230">
        <f>(INDEX(Models!$BJ276:$BT276,,AH276)*(1-AF276)+INDEX(Models!$BJ276:$BT276,,AH276+1)*AF276-ERP_i)*AE276*Ramure*Pc/MaxiM</f>
        <v>1.0388680872127406E-3</v>
      </c>
      <c r="AE276" s="304">
        <f t="shared" si="117"/>
        <v>0.5</v>
      </c>
      <c r="AF276" s="176">
        <f t="shared" si="118"/>
        <v>0.53021388030831318</v>
      </c>
      <c r="AG276" s="814">
        <f t="shared" si="124"/>
        <v>2</v>
      </c>
      <c r="AH276" s="175">
        <f t="shared" si="119"/>
        <v>8</v>
      </c>
      <c r="AI276" s="224">
        <f t="shared" si="120"/>
        <v>2.5302138803083132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10">
        <f>'2026'!Wh/'2026'!Env_an*'2027'!Env_an</f>
        <v>44.146756874291484</v>
      </c>
      <c r="C277" s="843"/>
      <c r="D277" s="392">
        <f t="shared" si="102"/>
        <v>47.498449512206584</v>
      </c>
      <c r="E277" s="384">
        <f t="shared" si="100"/>
        <v>49.824071513044608</v>
      </c>
      <c r="F277" s="384">
        <f t="shared" si="103"/>
        <v>49.837145014855807</v>
      </c>
      <c r="G277" s="110">
        <f t="shared" si="101"/>
        <v>1.0278059854196937</v>
      </c>
      <c r="H277" s="413" t="b">
        <f>Wh_hp&gt;='2026'!Maxi_hp</f>
        <v>1</v>
      </c>
      <c r="I277" s="389">
        <f>IF(H277,Wh_hp,'2026'!Maxi_hp)</f>
        <v>49.837145014855807</v>
      </c>
      <c r="J277" s="85">
        <f>IF(H277,An,'2026'!An_max)</f>
        <v>2027</v>
      </c>
      <c r="K277" s="196">
        <f t="shared" si="104"/>
        <v>46650</v>
      </c>
      <c r="L277" s="147">
        <f>IF(t&lt;Tvie,1-EXP((T0-t)*PertePVj)+'2026'!Pspv,1-EXP((T0-t)*PertePVj)+Pspv)</f>
        <v>7.0564253619557621E-2</v>
      </c>
      <c r="M277" s="847"/>
      <c r="N277" s="847"/>
      <c r="O277" s="48">
        <f>IF(t&lt;Tnet,'2026'!Resal+('2026'!Salim-'2026'!Resal)*(1-EXP(('2026'!Tnet-t)/('2026'!Tau_j))),Resal+(Salim-Resal)*(1-EXP((Tnet-t)/(Tau_j))))*Salcycl</f>
        <v>4.6676675153477752E-2</v>
      </c>
      <c r="P277" s="168">
        <f>(INDEX(Models!$BJ277:$BT277,,T277)*(1-R277)+INDEX(Models!$BJ277:$BT277,,T277+1)*R277-ERP_i)*Q277*Ramure*Pc/MaxiM</f>
        <v>2.6232445312224874E-4</v>
      </c>
      <c r="Q277" s="304">
        <f t="shared" si="105"/>
        <v>0.5</v>
      </c>
      <c r="R277" s="176">
        <f t="shared" si="106"/>
        <v>0.415406203150961</v>
      </c>
      <c r="S277" s="814">
        <f t="shared" si="107"/>
        <v>0</v>
      </c>
      <c r="T277" s="175">
        <f t="shared" si="108"/>
        <v>6</v>
      </c>
      <c r="U277" s="250">
        <f t="shared" si="109"/>
        <v>0.415406203150961</v>
      </c>
      <c r="V277" s="382">
        <f t="shared" si="110"/>
        <v>42.952422442125226</v>
      </c>
      <c r="W277" s="401">
        <f t="shared" si="111"/>
        <v>44.146756874291484</v>
      </c>
      <c r="X277" s="157">
        <f t="shared" si="112"/>
        <v>46650</v>
      </c>
      <c r="Y277" s="384">
        <f t="shared" si="113"/>
        <v>42.676988979752061</v>
      </c>
      <c r="Z277" s="384">
        <f t="shared" si="114"/>
        <v>45.917094480120475</v>
      </c>
      <c r="AA277" s="385">
        <f t="shared" si="115"/>
        <v>49.785485172875774</v>
      </c>
      <c r="AB277" s="196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7.7701174937286413E-2</v>
      </c>
      <c r="AD277" s="230">
        <f>(INDEX(Models!$BJ277:$BT277,,AH277)*(1-AF277)+INDEX(Models!$BJ277:$BT277,,AH277+1)*AF277-ERP_i)*AE277*Ramure*Pc/MaxiM</f>
        <v>1.0365730614110174E-3</v>
      </c>
      <c r="AE277" s="304">
        <f t="shared" si="117"/>
        <v>0.5</v>
      </c>
      <c r="AF277" s="176">
        <f t="shared" si="118"/>
        <v>0.53039874297534872</v>
      </c>
      <c r="AG277" s="814">
        <f t="shared" si="124"/>
        <v>2</v>
      </c>
      <c r="AH277" s="175">
        <f t="shared" si="119"/>
        <v>8</v>
      </c>
      <c r="AI277" s="224">
        <f t="shared" si="120"/>
        <v>2.5303987429753487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10">
        <f>'2026'!Wh/'2026'!Env_an*'2027'!Env_an</f>
        <v>43.07201338703284</v>
      </c>
      <c r="C278" s="843"/>
      <c r="D278" s="392">
        <f t="shared" si="102"/>
        <v>46.343123497245941</v>
      </c>
      <c r="E278" s="384">
        <f t="shared" si="100"/>
        <v>48.614692886983072</v>
      </c>
      <c r="F278" s="384">
        <f t="shared" si="103"/>
        <v>48.627472839036507</v>
      </c>
      <c r="G278" s="110">
        <f t="shared" si="101"/>
        <v>1.0084059985964877</v>
      </c>
      <c r="H278" s="413" t="b">
        <f>Wh_hp&gt;='2026'!Maxi_hp</f>
        <v>1</v>
      </c>
      <c r="I278" s="389">
        <f>IF(H278,Wh_hp,'2026'!Maxi_hp)</f>
        <v>48.627472839036507</v>
      </c>
      <c r="J278" s="85">
        <f>IF(H278,An,'2026'!An_max)</f>
        <v>2027</v>
      </c>
      <c r="K278" s="196">
        <f t="shared" si="104"/>
        <v>46651</v>
      </c>
      <c r="L278" s="147">
        <f>IF(t&lt;Tvie,1-EXP((T0-t)*PertePVj)+'2026'!Pspv,1-EXP((T0-t)*PertePVj)+Pspv)</f>
        <v>7.0584584364657615E-2</v>
      </c>
      <c r="M278" s="847"/>
      <c r="N278" s="847"/>
      <c r="O278" s="48">
        <f>IF(t&lt;Tnet,'2026'!Resal+('2026'!Salim-'2026'!Resal)*(1-EXP(('2026'!Tnet-t)/('2026'!Tau_j))),Resal+(Salim-Resal)*(1-EXP((Tnet-t)/(Tau_j))))*Salcycl</f>
        <v>4.6725984570507452E-2</v>
      </c>
      <c r="P278" s="168">
        <f>(INDEX(Models!$BJ278:$BT278,,T278)*(1-R278)+INDEX(Models!$BJ278:$BT278,,T278+1)*R278-ERP_i)*Q278*Ramure*Pc/MaxiM</f>
        <v>2.6281341199327845E-4</v>
      </c>
      <c r="Q278" s="304">
        <f t="shared" si="105"/>
        <v>0.5</v>
      </c>
      <c r="R278" s="176">
        <f t="shared" si="106"/>
        <v>0.4155838400945136</v>
      </c>
      <c r="S278" s="814">
        <f t="shared" si="107"/>
        <v>0</v>
      </c>
      <c r="T278" s="175">
        <f t="shared" si="108"/>
        <v>6</v>
      </c>
      <c r="U278" s="250">
        <f t="shared" si="109"/>
        <v>0.4155838400945136</v>
      </c>
      <c r="V278" s="382">
        <f t="shared" si="110"/>
        <v>42.712968235989287</v>
      </c>
      <c r="W278" s="401">
        <f t="shared" si="111"/>
        <v>43.07201338703284</v>
      </c>
      <c r="X278" s="157">
        <f t="shared" si="112"/>
        <v>46651</v>
      </c>
      <c r="Y278" s="384">
        <f t="shared" si="113"/>
        <v>41.639909844050734</v>
      </c>
      <c r="Z278" s="384">
        <f t="shared" si="114"/>
        <v>44.802258649417773</v>
      </c>
      <c r="AA278" s="385">
        <f t="shared" si="115"/>
        <v>48.577199199472872</v>
      </c>
      <c r="AB278" s="196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7.7710131754488987E-2</v>
      </c>
      <c r="AD278" s="230">
        <f>(INDEX(Models!$BJ278:$BT278,,AH278)*(1-AF278)+INDEX(Models!$BJ278:$BT278,,AH278+1)*AF278-ERP_i)*AE278*Ramure*Pc/MaxiM</f>
        <v>1.0338526069419013E-3</v>
      </c>
      <c r="AE278" s="304">
        <f t="shared" si="117"/>
        <v>0.5</v>
      </c>
      <c r="AF278" s="176">
        <f t="shared" si="118"/>
        <v>0.53057637991890116</v>
      </c>
      <c r="AG278" s="814">
        <f t="shared" si="124"/>
        <v>2</v>
      </c>
      <c r="AH278" s="175">
        <f t="shared" si="119"/>
        <v>8</v>
      </c>
      <c r="AI278" s="224">
        <f t="shared" si="120"/>
        <v>2.5305763799189012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10">
        <f>'2026'!Wh/'2026'!Env_an*'2027'!Env_an</f>
        <v>41.950987246282757</v>
      </c>
      <c r="C279" s="843"/>
      <c r="D279" s="392">
        <f t="shared" si="102"/>
        <v>45.137948229129343</v>
      </c>
      <c r="E279" s="384">
        <f t="shared" si="100"/>
        <v>47.352865205583704</v>
      </c>
      <c r="F279" s="384">
        <f t="shared" si="103"/>
        <v>47.365099609039447</v>
      </c>
      <c r="G279" s="110">
        <f t="shared" si="101"/>
        <v>0.98779388986871308</v>
      </c>
      <c r="H279" s="413" t="b">
        <f>Wh_hp&gt;='2026'!Maxi_hp</f>
        <v>0</v>
      </c>
      <c r="I279" s="389">
        <f>IF(H279,Wh_hp,'2026'!Maxi_hp)</f>
        <v>47.365253614947505</v>
      </c>
      <c r="J279" s="85">
        <f>IF(H279,An,'2026'!An_max)</f>
        <v>2025</v>
      </c>
      <c r="K279" s="196">
        <f t="shared" si="104"/>
        <v>46652</v>
      </c>
      <c r="L279" s="147">
        <f>IF(t&lt;Tvie,1-EXP((T0-t)*PertePVj)+'2026'!Pspv,1-EXP((T0-t)*PertePVj)+Pspv)</f>
        <v>7.0604914664462143E-2</v>
      </c>
      <c r="M279" s="847"/>
      <c r="N279" s="847"/>
      <c r="O279" s="48">
        <f>IF(t&lt;Tnet,'2026'!Resal+('2026'!Salim-'2026'!Resal)*(1-EXP(('2026'!Tnet-t)/('2026'!Tau_j))),Resal+(Salim-Resal)*(1-EXP((Tnet-t)/(Tau_j))))*Salcycl</f>
        <v>4.677471926647405E-2</v>
      </c>
      <c r="P279" s="168">
        <f>(INDEX(Models!$BJ279:$BT279,,T279)*(1-R279)+INDEX(Models!$BJ279:$BT279,,T279+1)*R279-ERP_i)*Q279*Ramure*Pc/MaxiM</f>
        <v>2.6288221842827328E-4</v>
      </c>
      <c r="Q279" s="304">
        <f t="shared" si="105"/>
        <v>0.5</v>
      </c>
      <c r="R279" s="176">
        <f t="shared" si="106"/>
        <v>0.41575452545139968</v>
      </c>
      <c r="S279" s="814">
        <f t="shared" si="107"/>
        <v>0</v>
      </c>
      <c r="T279" s="175">
        <f t="shared" si="108"/>
        <v>6</v>
      </c>
      <c r="U279" s="250">
        <f t="shared" si="109"/>
        <v>0.41575452545139968</v>
      </c>
      <c r="V279" s="382">
        <f t="shared" si="110"/>
        <v>42.469178435630035</v>
      </c>
      <c r="W279" s="401">
        <f t="shared" si="111"/>
        <v>41.950987246282757</v>
      </c>
      <c r="X279" s="157">
        <f t="shared" si="112"/>
        <v>46652</v>
      </c>
      <c r="Y279" s="384">
        <f t="shared" si="113"/>
        <v>40.558548233753697</v>
      </c>
      <c r="Z279" s="384">
        <f t="shared" si="114"/>
        <v>43.639727467582766</v>
      </c>
      <c r="AA279" s="385">
        <f t="shared" si="115"/>
        <v>47.317132000452979</v>
      </c>
      <c r="AB279" s="196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7.7718246592693094E-2</v>
      </c>
      <c r="AD279" s="230">
        <f>(INDEX(Models!$BJ279:$BT279,,AH279)*(1-AF279)+INDEX(Models!$BJ279:$BT279,,AH279+1)*AF279-ERP_i)*AE279*Ramure*Pc/MaxiM</f>
        <v>1.0306862450240109E-3</v>
      </c>
      <c r="AE279" s="304">
        <f t="shared" si="117"/>
        <v>0.5</v>
      </c>
      <c r="AF279" s="176">
        <f t="shared" si="118"/>
        <v>0.5307470652757873</v>
      </c>
      <c r="AG279" s="814">
        <f t="shared" si="124"/>
        <v>2</v>
      </c>
      <c r="AH279" s="175">
        <f t="shared" si="119"/>
        <v>8</v>
      </c>
      <c r="AI279" s="224">
        <f t="shared" si="120"/>
        <v>2.5307470652757873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10">
        <f>'2026'!Wh/'2026'!Env_an*'2027'!Env_an</f>
        <v>26.506019238123969</v>
      </c>
      <c r="C280" s="843"/>
      <c r="D280" s="392">
        <f t="shared" si="102"/>
        <v>28.520270301946358</v>
      </c>
      <c r="E280" s="384">
        <f t="shared" si="100"/>
        <v>29.92126978035007</v>
      </c>
      <c r="F280" s="384">
        <f t="shared" si="103"/>
        <v>29.924948441044162</v>
      </c>
      <c r="G280" s="110">
        <f t="shared" si="101"/>
        <v>0.62769529879969643</v>
      </c>
      <c r="H280" s="413" t="b">
        <f>Wh_hp&gt;='2026'!Maxi_hp</f>
        <v>0</v>
      </c>
      <c r="I280" s="389">
        <f>IF(H280,Wh_hp,'2026'!Maxi_hp)</f>
        <v>44.179127561148483</v>
      </c>
      <c r="J280" s="85">
        <f>IF(H280,An,'2026'!An_max)</f>
        <v>2018</v>
      </c>
      <c r="K280" s="196">
        <f t="shared" si="104"/>
        <v>46653</v>
      </c>
      <c r="L280" s="147">
        <f>IF(t&lt;Tvie,1-EXP((T0-t)*PertePVj)+'2026'!Pspv,1-EXP((T0-t)*PertePVj)+Pspv)</f>
        <v>7.0625244518980862E-2</v>
      </c>
      <c r="M280" s="847"/>
      <c r="N280" s="847"/>
      <c r="O280" s="48">
        <f>IF(t&lt;Tnet,'2026'!Resal+('2026'!Salim-'2026'!Resal)*(1-EXP(('2026'!Tnet-t)/('2026'!Tau_j))),Resal+(Salim-Resal)*(1-EXP((Tnet-t)/(Tau_j))))*Salcycl</f>
        <v>4.6822861753139225E-2</v>
      </c>
      <c r="P280" s="168">
        <f>(INDEX(Models!$BJ280:$BT280,,T280)*(1-R280)+INDEX(Models!$BJ280:$BT280,,T280+1)*R280-ERP_i)*Q280*Ramure*Pc/MaxiM</f>
        <v>2.6252339340372292E-4</v>
      </c>
      <c r="Q280" s="304">
        <f t="shared" si="105"/>
        <v>0.5</v>
      </c>
      <c r="R280" s="176">
        <f t="shared" si="106"/>
        <v>0.4159185236047388</v>
      </c>
      <c r="S280" s="814">
        <f t="shared" si="107"/>
        <v>0</v>
      </c>
      <c r="T280" s="175">
        <f t="shared" si="108"/>
        <v>6</v>
      </c>
      <c r="U280" s="250">
        <f t="shared" si="109"/>
        <v>0.4159185236047388</v>
      </c>
      <c r="V280" s="382">
        <f t="shared" si="110"/>
        <v>42.221630075960888</v>
      </c>
      <c r="W280" s="401">
        <f t="shared" si="111"/>
        <v>26.506019238123969</v>
      </c>
      <c r="X280" s="157">
        <f t="shared" si="112"/>
        <v>46653</v>
      </c>
      <c r="Y280" s="384">
        <f t="shared" si="113"/>
        <v>25.637493933703237</v>
      </c>
      <c r="Z280" s="384">
        <f t="shared" si="114"/>
        <v>27.585743837461958</v>
      </c>
      <c r="AA280" s="385">
        <f t="shared" si="115"/>
        <v>29.910556579223535</v>
      </c>
      <c r="AB280" s="196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7.7725492523146048E-2</v>
      </c>
      <c r="AD280" s="230">
        <f>(INDEX(Models!$BJ280:$BT280,,AH280)*(1-AF280)+INDEX(Models!$BJ280:$BT280,,AH280+1)*AF280-ERP_i)*AE280*Ramure*Pc/MaxiM</f>
        <v>1.0270586816056243E-3</v>
      </c>
      <c r="AE280" s="304">
        <f t="shared" si="117"/>
        <v>0.5</v>
      </c>
      <c r="AF280" s="176">
        <f t="shared" si="118"/>
        <v>0.53091106342912653</v>
      </c>
      <c r="AG280" s="814">
        <f t="shared" si="124"/>
        <v>2</v>
      </c>
      <c r="AH280" s="175">
        <f t="shared" si="119"/>
        <v>8</v>
      </c>
      <c r="AI280" s="224">
        <f t="shared" si="120"/>
        <v>2.5309110634291265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10">
        <f>'2026'!Wh/'2026'!Env_an*'2027'!Env_an</f>
        <v>16.616178420261527</v>
      </c>
      <c r="C281" s="843"/>
      <c r="D281" s="392">
        <f t="shared" si="102"/>
        <v>17.879269688847661</v>
      </c>
      <c r="E281" s="384">
        <f t="shared" si="100"/>
        <v>18.758487394401786</v>
      </c>
      <c r="F281" s="384">
        <f t="shared" si="103"/>
        <v>18.759160021251446</v>
      </c>
      <c r="G281" s="110">
        <f t="shared" si="101"/>
        <v>0.39580817047710798</v>
      </c>
      <c r="H281" s="413" t="b">
        <f>Wh_hp&gt;='2026'!Maxi_hp</f>
        <v>0</v>
      </c>
      <c r="I281" s="389">
        <f>IF(H281,Wh_hp,'2026'!Maxi_hp)</f>
        <v>40.512868531707113</v>
      </c>
      <c r="J281" s="85">
        <f>IF(H281,An,'2026'!An_max)</f>
        <v>2021</v>
      </c>
      <c r="K281" s="196">
        <f t="shared" si="104"/>
        <v>46654</v>
      </c>
      <c r="L281" s="147">
        <f>IF(t&lt;Tvie,1-EXP((T0-t)*PertePVj)+'2026'!Pspv,1-EXP((T0-t)*PertePVj)+Pspv)</f>
        <v>7.0645573928223543E-2</v>
      </c>
      <c r="M281" s="847"/>
      <c r="N281" s="847"/>
      <c r="O281" s="48">
        <f>IF(t&lt;Tnet,'2026'!Resal+('2026'!Salim-'2026'!Resal)*(1-EXP(('2026'!Tnet-t)/('2026'!Tau_j))),Resal+(Salim-Resal)*(1-EXP((Tnet-t)/(Tau_j))))*Salcycl</f>
        <v>4.687039456158467E-2</v>
      </c>
      <c r="P281" s="168">
        <f>(INDEX(Models!$BJ281:$BT281,,T281)*(1-R281)+INDEX(Models!$BJ281:$BT281,,T281+1)*R281-ERP_i)*Q281*Ramure*Pc/MaxiM</f>
        <v>2.6172856887374685E-4</v>
      </c>
      <c r="Q281" s="304">
        <f t="shared" si="105"/>
        <v>0.5</v>
      </c>
      <c r="R281" s="176">
        <f t="shared" si="106"/>
        <v>0.41607608948002045</v>
      </c>
      <c r="S281" s="814">
        <f t="shared" si="107"/>
        <v>0</v>
      </c>
      <c r="T281" s="175">
        <f t="shared" si="108"/>
        <v>6</v>
      </c>
      <c r="U281" s="250">
        <f t="shared" si="109"/>
        <v>0.41607608948002045</v>
      </c>
      <c r="V281" s="382">
        <f t="shared" si="110"/>
        <v>41.9709000078117</v>
      </c>
      <c r="W281" s="401">
        <f t="shared" si="111"/>
        <v>16.616178420261527</v>
      </c>
      <c r="X281" s="157">
        <f t="shared" si="112"/>
        <v>46654</v>
      </c>
      <c r="Y281" s="384">
        <f t="shared" si="113"/>
        <v>16.076485281220613</v>
      </c>
      <c r="Z281" s="384">
        <f t="shared" si="114"/>
        <v>17.2985513709481</v>
      </c>
      <c r="AA281" s="385">
        <f t="shared" si="115"/>
        <v>18.756531096528935</v>
      </c>
      <c r="AB281" s="196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7.7731842742000831E-2</v>
      </c>
      <c r="AD281" s="230">
        <f>(INDEX(Models!$BJ281:$BT281,,AH281)*(1-AF281)+INDEX(Models!$BJ281:$BT281,,AH281+1)*AF281-ERP_i)*AE281*Ramure*Pc/MaxiM</f>
        <v>1.0229515899465558E-3</v>
      </c>
      <c r="AE281" s="304">
        <f t="shared" si="117"/>
        <v>0.5</v>
      </c>
      <c r="AF281" s="176">
        <f t="shared" si="118"/>
        <v>0.53106862930440801</v>
      </c>
      <c r="AG281" s="814">
        <f t="shared" si="124"/>
        <v>2</v>
      </c>
      <c r="AH281" s="175">
        <f t="shared" si="119"/>
        <v>8</v>
      </c>
      <c r="AI281" s="224">
        <f t="shared" si="120"/>
        <v>2.531068629304408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10">
        <f>'2026'!Wh/'2026'!Env_an*'2027'!Env_an</f>
        <v>29.414491834850992</v>
      </c>
      <c r="C282" s="843"/>
      <c r="D282" s="392">
        <f t="shared" si="102"/>
        <v>31.651148845600787</v>
      </c>
      <c r="E282" s="384">
        <f t="shared" si="100"/>
        <v>33.209236571910793</v>
      </c>
      <c r="F282" s="384">
        <f t="shared" si="103"/>
        <v>33.214247470140528</v>
      </c>
      <c r="G282" s="110">
        <f t="shared" si="101"/>
        <v>0.70500919509008353</v>
      </c>
      <c r="H282" s="413" t="b">
        <f>Wh_hp&gt;='2026'!Maxi_hp</f>
        <v>0</v>
      </c>
      <c r="I282" s="389">
        <f>IF(H282,Wh_hp,'2026'!Maxi_hp)</f>
        <v>46.527927467994083</v>
      </c>
      <c r="J282" s="85">
        <f>IF(H282,An,'2026'!An_max)</f>
        <v>2018</v>
      </c>
      <c r="K282" s="196">
        <f t="shared" si="104"/>
        <v>46655</v>
      </c>
      <c r="L282" s="147">
        <f>IF(t&lt;Tvie,1-EXP((T0-t)*PertePVj)+'2026'!Pspv,1-EXP((T0-t)*PertePVj)+Pspv)</f>
        <v>7.0665902892200066E-2</v>
      </c>
      <c r="M282" s="847"/>
      <c r="N282" s="847"/>
      <c r="O282" s="48">
        <f>IF(t&lt;Tnet,'2026'!Resal+('2026'!Salim-'2026'!Resal)*(1-EXP(('2026'!Tnet-t)/('2026'!Tau_j))),Resal+(Salim-Resal)*(1-EXP((Tnet-t)/(Tau_j))))*Salcycl</f>
        <v>4.6917300340107118E-2</v>
      </c>
      <c r="P282" s="168">
        <f>(INDEX(Models!$BJ282:$BT282,,T282)*(1-R282)+INDEX(Models!$BJ282:$BT282,,T282+1)*R282-ERP_i)*Q282*Ramure*Pc/MaxiM</f>
        <v>2.6070014639569135E-4</v>
      </c>
      <c r="Q282" s="304">
        <f t="shared" si="105"/>
        <v>0.5</v>
      </c>
      <c r="R282" s="176">
        <f t="shared" si="106"/>
        <v>0.41622746883635142</v>
      </c>
      <c r="S282" s="814">
        <f t="shared" si="107"/>
        <v>0</v>
      </c>
      <c r="T282" s="175">
        <f t="shared" si="108"/>
        <v>6</v>
      </c>
      <c r="U282" s="250">
        <f t="shared" si="109"/>
        <v>0.41622746883635142</v>
      </c>
      <c r="V282" s="382">
        <f t="shared" si="110"/>
        <v>41.717556075081554</v>
      </c>
      <c r="W282" s="401">
        <f t="shared" si="111"/>
        <v>29.414491834850992</v>
      </c>
      <c r="X282" s="157">
        <f t="shared" si="112"/>
        <v>46655</v>
      </c>
      <c r="Y282" s="384">
        <f t="shared" si="113"/>
        <v>28.450819965303282</v>
      </c>
      <c r="Z282" s="384">
        <f t="shared" si="114"/>
        <v>30.614200053399173</v>
      </c>
      <c r="AA282" s="385">
        <f t="shared" si="115"/>
        <v>33.194662520604943</v>
      </c>
      <c r="AB282" s="196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7.7737270731521951E-2</v>
      </c>
      <c r="AD282" s="230">
        <f>(INDEX(Models!$BJ282:$BT282,,AH282)*(1-AF282)+INDEX(Models!$BJ282:$BT282,,AH282+1)*AF282-ERP_i)*AE282*Ramure*Pc/MaxiM</f>
        <v>1.0189389161380841E-3</v>
      </c>
      <c r="AE282" s="304">
        <f t="shared" si="117"/>
        <v>0.5</v>
      </c>
      <c r="AF282" s="176">
        <f t="shared" si="118"/>
        <v>0.53122000866073904</v>
      </c>
      <c r="AG282" s="814">
        <f t="shared" si="124"/>
        <v>2</v>
      </c>
      <c r="AH282" s="175">
        <f t="shared" si="119"/>
        <v>8</v>
      </c>
      <c r="AI282" s="224">
        <f t="shared" si="120"/>
        <v>2.531220008660739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10">
        <f>'2026'!Wh/'2026'!Env_an*'2027'!Env_an</f>
        <v>31.722573630529464</v>
      </c>
      <c r="C283" s="843"/>
      <c r="D283" s="392">
        <f t="shared" si="102"/>
        <v>34.135482226516352</v>
      </c>
      <c r="E283" s="384">
        <f t="shared" si="100"/>
        <v>35.817604515416498</v>
      </c>
      <c r="F283" s="384">
        <f t="shared" si="103"/>
        <v>35.823787732169109</v>
      </c>
      <c r="G283" s="110">
        <f t="shared" si="101"/>
        <v>0.76503026741290281</v>
      </c>
      <c r="H283" s="413" t="b">
        <f>Wh_hp&gt;='2026'!Maxi_hp</f>
        <v>0</v>
      </c>
      <c r="I283" s="389">
        <f>IF(H283,Wh_hp,'2026'!Maxi_hp)</f>
        <v>45.350079953012298</v>
      </c>
      <c r="J283" s="85">
        <f>IF(H283,An,'2026'!An_max)</f>
        <v>2018</v>
      </c>
      <c r="K283" s="196">
        <f t="shared" si="104"/>
        <v>46656</v>
      </c>
      <c r="L283" s="147">
        <f>IF(t&lt;Tvie,1-EXP((T0-t)*PertePVj)+'2026'!Pspv,1-EXP((T0-t)*PertePVj)+Pspv)</f>
        <v>7.0686231410920092E-2</v>
      </c>
      <c r="M283" s="847"/>
      <c r="N283" s="847"/>
      <c r="O283" s="48">
        <f>IF(t&lt;Tnet,'2026'!Resal+('2026'!Salim-'2026'!Resal)*(1-EXP(('2026'!Tnet-t)/('2026'!Tau_j))),Resal+(Salim-Resal)*(1-EXP((Tnet-t)/(Tau_j))))*Salcycl</f>
        <v>4.6963561959486463E-2</v>
      </c>
      <c r="P283" s="168">
        <f>(INDEX(Models!$BJ283:$BT283,,T283)*(1-R283)+INDEX(Models!$BJ283:$BT283,,T283+1)*R283-ERP_i)*Q283*Ramure*Pc/MaxiM</f>
        <v>2.5977508320120429E-4</v>
      </c>
      <c r="Q283" s="304">
        <f t="shared" si="105"/>
        <v>0.5</v>
      </c>
      <c r="R283" s="176">
        <f t="shared" si="106"/>
        <v>0.4163728985525782</v>
      </c>
      <c r="S283" s="814">
        <f t="shared" si="107"/>
        <v>0</v>
      </c>
      <c r="T283" s="175">
        <f t="shared" si="108"/>
        <v>6</v>
      </c>
      <c r="U283" s="250">
        <f t="shared" si="109"/>
        <v>0.4163728985525782</v>
      </c>
      <c r="V283" s="382">
        <f t="shared" si="110"/>
        <v>41.462160536277231</v>
      </c>
      <c r="W283" s="401">
        <f t="shared" si="111"/>
        <v>31.722573630529464</v>
      </c>
      <c r="X283" s="157">
        <f t="shared" si="112"/>
        <v>46656</v>
      </c>
      <c r="Y283" s="384">
        <f t="shared" si="113"/>
        <v>30.68267523568926</v>
      </c>
      <c r="Z283" s="384">
        <f t="shared" si="114"/>
        <v>33.016486221088584</v>
      </c>
      <c r="AA283" s="385">
        <f t="shared" si="115"/>
        <v>35.799610615113131</v>
      </c>
      <c r="AB283" s="196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7.7741750432604673E-2</v>
      </c>
      <c r="AD283" s="230">
        <f>(INDEX(Models!$BJ283:$BT283,,AH283)*(1-AF283)+INDEX(Models!$BJ283:$BT283,,AH283+1)*AF283-ERP_i)*AE283*Ramure*Pc/MaxiM</f>
        <v>1.0157516461206128E-3</v>
      </c>
      <c r="AE283" s="304">
        <f t="shared" si="117"/>
        <v>0.5</v>
      </c>
      <c r="AF283" s="176">
        <f t="shared" si="118"/>
        <v>0.53136543837696593</v>
      </c>
      <c r="AG283" s="814">
        <f t="shared" si="124"/>
        <v>2</v>
      </c>
      <c r="AH283" s="175">
        <f t="shared" si="119"/>
        <v>8</v>
      </c>
      <c r="AI283" s="224">
        <f t="shared" si="120"/>
        <v>2.5313654383769659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10">
        <f>'2026'!Wh/'2026'!Env_an*'2027'!Env_an</f>
        <v>14.338467966123421</v>
      </c>
      <c r="C284" s="843"/>
      <c r="D284" s="392">
        <f t="shared" si="102"/>
        <v>15.429429866811397</v>
      </c>
      <c r="E284" s="384">
        <f t="shared" si="100"/>
        <v>16.19053327869636</v>
      </c>
      <c r="F284" s="384">
        <f t="shared" si="103"/>
        <v>16.190820631174077</v>
      </c>
      <c r="G284" s="110">
        <f t="shared" si="101"/>
        <v>0.34789245501319005</v>
      </c>
      <c r="H284" s="413" t="b">
        <f>Wh_hp&gt;='2026'!Maxi_hp</f>
        <v>0</v>
      </c>
      <c r="I284" s="389">
        <f>IF(H284,Wh_hp,'2026'!Maxi_hp)</f>
        <v>44.445052403607114</v>
      </c>
      <c r="J284" s="85">
        <f>IF(H284,An,'2026'!An_max)</f>
        <v>2018</v>
      </c>
      <c r="K284" s="196">
        <f t="shared" si="104"/>
        <v>46657</v>
      </c>
      <c r="L284" s="147">
        <f>IF(t&lt;Tvie,1-EXP((T0-t)*PertePVj)+'2026'!Pspv,1-EXP((T0-t)*PertePVj)+Pspv)</f>
        <v>7.0706559484393389E-2</v>
      </c>
      <c r="M284" s="847"/>
      <c r="N284" s="847"/>
      <c r="O284" s="48">
        <f>IF(t&lt;Tnet,'2026'!Resal+('2026'!Salim-'2026'!Resal)*(1-EXP(('2026'!Tnet-t)/('2026'!Tau_j))),Resal+(Salim-Resal)*(1-EXP((Tnet-t)/(Tau_j))))*Salcycl</f>
        <v>4.7009162625077261E-2</v>
      </c>
      <c r="P284" s="168">
        <f>(INDEX(Models!$BJ284:$BT284,,T284)*(1-R284)+INDEX(Models!$BJ284:$BT284,,T284+1)*R284-ERP_i)*Q284*Ramure*Pc/MaxiM</f>
        <v>2.5895038733077805E-4</v>
      </c>
      <c r="Q284" s="304">
        <f t="shared" si="105"/>
        <v>0.5</v>
      </c>
      <c r="R284" s="176">
        <f t="shared" si="106"/>
        <v>0.41651260690801972</v>
      </c>
      <c r="S284" s="814">
        <f t="shared" si="107"/>
        <v>0</v>
      </c>
      <c r="T284" s="175">
        <f t="shared" si="108"/>
        <v>6</v>
      </c>
      <c r="U284" s="250">
        <f t="shared" si="109"/>
        <v>0.41651260690801972</v>
      </c>
      <c r="V284" s="382">
        <f t="shared" si="110"/>
        <v>41.205289805839087</v>
      </c>
      <c r="W284" s="401">
        <f t="shared" si="111"/>
        <v>14.338467966123421</v>
      </c>
      <c r="X284" s="157">
        <f t="shared" si="112"/>
        <v>46657</v>
      </c>
      <c r="Y284" s="384">
        <f t="shared" si="113"/>
        <v>13.875302686563073</v>
      </c>
      <c r="Z284" s="384">
        <f t="shared" si="114"/>
        <v>14.931024024945811</v>
      </c>
      <c r="AA284" s="385">
        <f t="shared" si="115"/>
        <v>16.189696099702591</v>
      </c>
      <c r="AB284" s="196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7.7745256427630027E-2</v>
      </c>
      <c r="AD284" s="230">
        <f>(INDEX(Models!$BJ284:$BT284,,AH284)*(1-AF284)+INDEX(Models!$BJ284:$BT284,,AH284+1)*AF284-ERP_i)*AE284*Ramure*Pc/MaxiM</f>
        <v>1.0133821097440356E-3</v>
      </c>
      <c r="AE284" s="304">
        <f t="shared" si="117"/>
        <v>0.5</v>
      </c>
      <c r="AF284" s="176">
        <f t="shared" si="118"/>
        <v>0.53150514673240723</v>
      </c>
      <c r="AG284" s="814">
        <f t="shared" si="124"/>
        <v>2</v>
      </c>
      <c r="AH284" s="175">
        <f t="shared" si="119"/>
        <v>8</v>
      </c>
      <c r="AI284" s="224">
        <f t="shared" si="120"/>
        <v>2.5315051467324072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10">
        <f>'2026'!Wh/'2026'!Env_an*'2027'!Env_an</f>
        <v>16.475881931775188</v>
      </c>
      <c r="C285" s="843"/>
      <c r="D285" s="392">
        <f t="shared" si="102"/>
        <v>17.729859718616542</v>
      </c>
      <c r="E285" s="384">
        <f t="shared" si="100"/>
        <v>18.605315850617036</v>
      </c>
      <c r="F285" s="384">
        <f t="shared" si="103"/>
        <v>18.606018446025704</v>
      </c>
      <c r="G285" s="110">
        <f t="shared" si="101"/>
        <v>0.40227709668779649</v>
      </c>
      <c r="H285" s="413" t="b">
        <f>Wh_hp&gt;='2026'!Maxi_hp</f>
        <v>0</v>
      </c>
      <c r="I285" s="389">
        <f>IF(H285,Wh_hp,'2026'!Maxi_hp)</f>
        <v>42.089507508036213</v>
      </c>
      <c r="J285" s="85">
        <f>IF(H285,An,'2026'!An_max)</f>
        <v>2018</v>
      </c>
      <c r="K285" s="196">
        <f t="shared" si="104"/>
        <v>46658</v>
      </c>
      <c r="L285" s="147">
        <f>IF(t&lt;Tvie,1-EXP((T0-t)*PertePVj)+'2026'!Pspv,1-EXP((T0-t)*PertePVj)+Pspv)</f>
        <v>7.0726887112629727E-2</v>
      </c>
      <c r="M285" s="847"/>
      <c r="N285" s="847"/>
      <c r="O285" s="48">
        <f>IF(t&lt;Tnet,'2026'!Resal+('2026'!Salim-'2026'!Resal)*(1-EXP(('2026'!Tnet-t)/('2026'!Tau_j))),Resal+(Salim-Resal)*(1-EXP((Tnet-t)/(Tau_j))))*Salcycl</f>
        <v>4.7054085995076524E-2</v>
      </c>
      <c r="P285" s="168">
        <f>(INDEX(Models!$BJ285:$BT285,,T285)*(1-R285)+INDEX(Models!$BJ285:$BT285,,T285+1)*R285-ERP_i)*Q285*Ramure*Pc/MaxiM</f>
        <v>2.5822303984800399E-4</v>
      </c>
      <c r="Q285" s="304">
        <f t="shared" si="105"/>
        <v>0.5</v>
      </c>
      <c r="R285" s="176">
        <f t="shared" si="106"/>
        <v>0.41664681385759172</v>
      </c>
      <c r="S285" s="814">
        <f t="shared" si="107"/>
        <v>0</v>
      </c>
      <c r="T285" s="175">
        <f t="shared" si="108"/>
        <v>6</v>
      </c>
      <c r="U285" s="250">
        <f t="shared" si="109"/>
        <v>0.41664681385759172</v>
      </c>
      <c r="V285" s="382">
        <f t="shared" si="110"/>
        <v>40.947520094211463</v>
      </c>
      <c r="W285" s="401">
        <f t="shared" si="111"/>
        <v>16.475881931775188</v>
      </c>
      <c r="X285" s="157">
        <f t="shared" si="112"/>
        <v>46658</v>
      </c>
      <c r="Y285" s="384">
        <f t="shared" si="113"/>
        <v>15.943448753748074</v>
      </c>
      <c r="Z285" s="384">
        <f t="shared" si="114"/>
        <v>17.156903102694688</v>
      </c>
      <c r="AA285" s="385">
        <f t="shared" si="115"/>
        <v>18.603265392527728</v>
      </c>
      <c r="AB285" s="196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7.7747764132526501E-2</v>
      </c>
      <c r="AD285" s="230">
        <f>(INDEX(Models!$BJ285:$BT285,,AH285)*(1-AF285)+INDEX(Models!$BJ285:$BT285,,AH285+1)*AF285-ERP_i)*AE285*Ramure*Pc/MaxiM</f>
        <v>1.0118225003177639E-3</v>
      </c>
      <c r="AE285" s="304">
        <f t="shared" si="117"/>
        <v>0.5</v>
      </c>
      <c r="AF285" s="176">
        <f t="shared" si="118"/>
        <v>0.53163935368197901</v>
      </c>
      <c r="AG285" s="814">
        <f t="shared" si="124"/>
        <v>2</v>
      </c>
      <c r="AH285" s="175">
        <f t="shared" si="119"/>
        <v>8</v>
      </c>
      <c r="AI285" s="224">
        <f t="shared" si="120"/>
        <v>2.531639353681979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10">
        <f>'2026'!Wh/'2026'!Env_an*'2027'!Env_an</f>
        <v>22.596871156053279</v>
      </c>
      <c r="C286" s="843"/>
      <c r="D286" s="392">
        <f t="shared" si="102"/>
        <v>24.317248765550005</v>
      </c>
      <c r="E286" s="384">
        <f t="shared" si="100"/>
        <v>25.519158147813371</v>
      </c>
      <c r="F286" s="384">
        <f t="shared" si="103"/>
        <v>25.521556284005513</v>
      </c>
      <c r="G286" s="110">
        <f t="shared" si="101"/>
        <v>0.55525906456977625</v>
      </c>
      <c r="H286" s="413" t="b">
        <f>Wh_hp&gt;='2026'!Maxi_hp</f>
        <v>0</v>
      </c>
      <c r="I286" s="389">
        <f>IF(H286,Wh_hp,'2026'!Maxi_hp)</f>
        <v>45.134596389109774</v>
      </c>
      <c r="J286" s="85">
        <f>IF(H286,An,'2026'!An_max)</f>
        <v>2019</v>
      </c>
      <c r="K286" s="196">
        <f t="shared" si="104"/>
        <v>46659</v>
      </c>
      <c r="L286" s="147">
        <f>IF(t&lt;Tvie,1-EXP((T0-t)*PertePVj)+'2026'!Pspv,1-EXP((T0-t)*PertePVj)+Pspv)</f>
        <v>7.0747214295638877E-2</v>
      </c>
      <c r="M286" s="847"/>
      <c r="N286" s="847"/>
      <c r="O286" s="48">
        <f>IF(t&lt;Tnet,'2026'!Resal+('2026'!Salim-'2026'!Resal)*(1-EXP(('2026'!Tnet-t)/('2026'!Tau_j))),Resal+(Salim-Resal)*(1-EXP((Tnet-t)/(Tau_j))))*Salcycl</f>
        <v>4.7098316304229282E-2</v>
      </c>
      <c r="P286" s="168">
        <f>(INDEX(Models!$BJ286:$BT286,,T286)*(1-R286)+INDEX(Models!$BJ286:$BT286,,T286+1)*R286-ERP_i)*Q286*Ramure*Pc/MaxiM</f>
        <v>2.5758998025402201E-4</v>
      </c>
      <c r="Q286" s="304">
        <f t="shared" si="105"/>
        <v>0.5</v>
      </c>
      <c r="R286" s="176">
        <f t="shared" si="106"/>
        <v>0.41677573130113788</v>
      </c>
      <c r="S286" s="814">
        <f t="shared" si="107"/>
        <v>0</v>
      </c>
      <c r="T286" s="175">
        <f t="shared" si="108"/>
        <v>6</v>
      </c>
      <c r="U286" s="250">
        <f t="shared" si="109"/>
        <v>0.41677573130113788</v>
      </c>
      <c r="V286" s="382">
        <f t="shared" si="110"/>
        <v>40.689427405018883</v>
      </c>
      <c r="W286" s="401">
        <f t="shared" si="111"/>
        <v>22.596871156053279</v>
      </c>
      <c r="X286" s="157">
        <f t="shared" si="112"/>
        <v>46659</v>
      </c>
      <c r="Y286" s="384">
        <f t="shared" si="113"/>
        <v>21.864010925486905</v>
      </c>
      <c r="Z286" s="384">
        <f t="shared" si="114"/>
        <v>23.528593362154172</v>
      </c>
      <c r="AA286" s="385">
        <f t="shared" si="115"/>
        <v>25.512143375401589</v>
      </c>
      <c r="AB286" s="196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7.7749249996765246E-2</v>
      </c>
      <c r="AD286" s="230">
        <f>(INDEX(Models!$BJ286:$BT286,,AH286)*(1-AF286)+INDEX(Models!$BJ286:$BT286,,AH286+1)*AF286-ERP_i)*AE286*Ramure*Pc/MaxiM</f>
        <v>1.0110647382586804E-3</v>
      </c>
      <c r="AE286" s="304">
        <f t="shared" si="117"/>
        <v>0.5</v>
      </c>
      <c r="AF286" s="176">
        <f t="shared" si="118"/>
        <v>0.53176827112552516</v>
      </c>
      <c r="AG286" s="814">
        <f t="shared" si="124"/>
        <v>2</v>
      </c>
      <c r="AH286" s="175">
        <f t="shared" si="119"/>
        <v>8</v>
      </c>
      <c r="AI286" s="224">
        <f t="shared" si="120"/>
        <v>2.5317682711255252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10">
        <f>'2026'!Wh/'2026'!Env_an*'2027'!Env_an</f>
        <v>27.61337376889816</v>
      </c>
      <c r="C287" s="843"/>
      <c r="D287" s="392">
        <f t="shared" si="102"/>
        <v>29.716325019046277</v>
      </c>
      <c r="E287" s="384">
        <f t="shared" si="100"/>
        <v>31.186514656096932</v>
      </c>
      <c r="F287" s="384">
        <f t="shared" si="103"/>
        <v>31.190901010913098</v>
      </c>
      <c r="G287" s="110">
        <f t="shared" si="101"/>
        <v>0.68288583957349058</v>
      </c>
      <c r="H287" s="413" t="b">
        <f>Wh_hp&gt;='2026'!Maxi_hp</f>
        <v>0</v>
      </c>
      <c r="I287" s="389">
        <f>IF(H287,Wh_hp,'2026'!Maxi_hp)</f>
        <v>39.258046137495292</v>
      </c>
      <c r="J287" s="85">
        <f>IF(H287,An,'2026'!An_max)</f>
        <v>2018</v>
      </c>
      <c r="K287" s="196">
        <f t="shared" si="104"/>
        <v>46660</v>
      </c>
      <c r="L287" s="147">
        <f>IF(t&lt;Tvie,1-EXP((T0-t)*PertePVj)+'2026'!Pspv,1-EXP((T0-t)*PertePVj)+Pspv)</f>
        <v>7.0767541033430498E-2</v>
      </c>
      <c r="M287" s="847"/>
      <c r="N287" s="847"/>
      <c r="O287" s="48">
        <f>IF(t&lt;Tnet,'2026'!Resal+('2026'!Salim-'2026'!Resal)*(1-EXP(('2026'!Tnet-t)/('2026'!Tau_j))),Resal+(Salim-Resal)*(1-EXP((Tnet-t)/(Tau_j))))*Salcycl</f>
        <v>4.7141838492145663E-2</v>
      </c>
      <c r="P287" s="168">
        <f>(INDEX(Models!$BJ287:$BT287,,T287)*(1-R287)+INDEX(Models!$BJ287:$BT287,,T287+1)*R287-ERP_i)*Q287*Ramure*Pc/MaxiM</f>
        <v>2.5704809230435454E-4</v>
      </c>
      <c r="Q287" s="304">
        <f t="shared" si="105"/>
        <v>0.5</v>
      </c>
      <c r="R287" s="176">
        <f t="shared" si="106"/>
        <v>0.41689956334682327</v>
      </c>
      <c r="S287" s="814">
        <f t="shared" si="107"/>
        <v>0</v>
      </c>
      <c r="T287" s="175">
        <f t="shared" si="108"/>
        <v>6</v>
      </c>
      <c r="U287" s="250">
        <f t="shared" si="109"/>
        <v>0.41689956334682327</v>
      </c>
      <c r="V287" s="382">
        <f t="shared" si="110"/>
        <v>40.43158753823807</v>
      </c>
      <c r="W287" s="401">
        <f t="shared" si="111"/>
        <v>27.61337376889816</v>
      </c>
      <c r="X287" s="157">
        <f t="shared" si="112"/>
        <v>46660</v>
      </c>
      <c r="Y287" s="384">
        <f t="shared" si="113"/>
        <v>26.715345654401517</v>
      </c>
      <c r="Z287" s="384">
        <f t="shared" si="114"/>
        <v>28.749905792262734</v>
      </c>
      <c r="AA287" s="385">
        <f t="shared" si="115"/>
        <v>31.173647255880027</v>
      </c>
      <c r="AB287" s="196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7.7749691709882454E-2</v>
      </c>
      <c r="AD287" s="230">
        <f>(INDEX(Models!$BJ287:$BT287,,AH287)*(1-AF287)+INDEX(Models!$BJ287:$BT287,,AH287+1)*AF287-ERP_i)*AE287*Ramure*Pc/MaxiM</f>
        <v>1.0111003332405981E-3</v>
      </c>
      <c r="AE287" s="304">
        <f t="shared" si="117"/>
        <v>0.5</v>
      </c>
      <c r="AF287" s="176">
        <f t="shared" si="118"/>
        <v>0.53189210317121072</v>
      </c>
      <c r="AG287" s="814">
        <f t="shared" si="124"/>
        <v>2</v>
      </c>
      <c r="AH287" s="175">
        <f t="shared" si="119"/>
        <v>8</v>
      </c>
      <c r="AI287" s="224">
        <f t="shared" si="120"/>
        <v>2.5318921031712107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10">
        <f>'2026'!Wh/'2026'!Env_an*'2027'!Env_an</f>
        <v>35.697753218697301</v>
      </c>
      <c r="C288" s="843"/>
      <c r="D288" s="392">
        <f t="shared" si="102"/>
        <v>38.417226770350261</v>
      </c>
      <c r="E288" s="384">
        <f t="shared" si="100"/>
        <v>40.319697095595707</v>
      </c>
      <c r="F288" s="384">
        <f t="shared" si="103"/>
        <v>40.328397806720197</v>
      </c>
      <c r="G288" s="110">
        <f t="shared" si="101"/>
        <v>0.88852946841830849</v>
      </c>
      <c r="H288" s="413" t="b">
        <f>Wh_hp&gt;='2026'!Maxi_hp</f>
        <v>0</v>
      </c>
      <c r="I288" s="389">
        <f>IF(H288,Wh_hp,'2026'!Maxi_hp)</f>
        <v>44.088165069651787</v>
      </c>
      <c r="J288" s="85">
        <f>IF(H288,An,'2026'!An_max)</f>
        <v>2020</v>
      </c>
      <c r="K288" s="196">
        <f t="shared" si="104"/>
        <v>46661</v>
      </c>
      <c r="L288" s="147">
        <f>IF(t&lt;Tvie,1-EXP((T0-t)*PertePVj)+'2026'!Pspv,1-EXP((T0-t)*PertePVj)+Pspv)</f>
        <v>7.0787867326014359E-2</v>
      </c>
      <c r="M288" s="847"/>
      <c r="N288" s="847"/>
      <c r="O288" s="48">
        <f>IF(t&lt;Tnet,'2026'!Resal+('2026'!Salim-'2026'!Resal)*(1-EXP(('2026'!Tnet-t)/('2026'!Tau_j))),Resal+(Salim-Resal)*(1-EXP((Tnet-t)/(Tau_j))))*Salcycl</f>
        <v>4.7184638335322715E-2</v>
      </c>
      <c r="P288" s="168">
        <f>(INDEX(Models!$BJ288:$BT288,,T288)*(1-R288)+INDEX(Models!$BJ288:$BT288,,T288+1)*R288-ERP_i)*Q288*Ramure*Pc/MaxiM</f>
        <v>2.5659419035076506E-4</v>
      </c>
      <c r="Q288" s="304">
        <f t="shared" si="105"/>
        <v>0.5</v>
      </c>
      <c r="R288" s="176">
        <f t="shared" si="106"/>
        <v>0.41701850656847222</v>
      </c>
      <c r="S288" s="814">
        <f t="shared" si="107"/>
        <v>0</v>
      </c>
      <c r="T288" s="175">
        <f t="shared" si="108"/>
        <v>6</v>
      </c>
      <c r="U288" s="250">
        <f t="shared" si="109"/>
        <v>0.41701850656847222</v>
      </c>
      <c r="V288" s="382">
        <f t="shared" si="110"/>
        <v>40.174576086040318</v>
      </c>
      <c r="W288" s="401">
        <f t="shared" si="111"/>
        <v>35.697753218697301</v>
      </c>
      <c r="X288" s="157">
        <f t="shared" si="112"/>
        <v>46661</v>
      </c>
      <c r="Y288" s="384">
        <f t="shared" si="113"/>
        <v>34.530691405504705</v>
      </c>
      <c r="Z288" s="384">
        <f t="shared" si="114"/>
        <v>37.161257576497668</v>
      </c>
      <c r="AA288" s="385">
        <f t="shared" si="115"/>
        <v>40.294085160262092</v>
      </c>
      <c r="AB288" s="196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7.7749068412998834E-2</v>
      </c>
      <c r="AD288" s="230">
        <f>(INDEX(Models!$BJ288:$BT288,,AH288)*(1-AF288)+INDEX(Models!$BJ288:$BT288,,AH288+1)*AF288-ERP_i)*AE288*Ramure*Pc/MaxiM</f>
        <v>1.0119202454526223E-3</v>
      </c>
      <c r="AE288" s="304">
        <f t="shared" si="117"/>
        <v>0.5</v>
      </c>
      <c r="AF288" s="176">
        <f t="shared" si="118"/>
        <v>0.53201104639285957</v>
      </c>
      <c r="AG288" s="814">
        <f t="shared" si="124"/>
        <v>2</v>
      </c>
      <c r="AH288" s="175">
        <f t="shared" si="119"/>
        <v>8</v>
      </c>
      <c r="AI288" s="224">
        <f t="shared" si="120"/>
        <v>2.5320110463928596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10">
        <f>'2026'!Wh/'2026'!Env_an*'2027'!Env_an</f>
        <v>38.371290966357456</v>
      </c>
      <c r="C289" s="843"/>
      <c r="D289" s="392">
        <f t="shared" si="102"/>
        <v>41.295339330857963</v>
      </c>
      <c r="E289" s="384">
        <f t="shared" si="100"/>
        <v>43.342250924498948</v>
      </c>
      <c r="F289" s="384">
        <f t="shared" si="103"/>
        <v>43.352744272218686</v>
      </c>
      <c r="G289" s="110">
        <f t="shared" si="101"/>
        <v>0.96123551709322019</v>
      </c>
      <c r="H289" s="413" t="b">
        <f>Wh_hp&gt;='2026'!Maxi_hp</f>
        <v>0</v>
      </c>
      <c r="I289" s="389">
        <f>IF(H289,Wh_hp,'2026'!Maxi_hp)</f>
        <v>43.353177194084154</v>
      </c>
      <c r="J289" s="85">
        <f>IF(H289,An,'2026'!An_max)</f>
        <v>2025</v>
      </c>
      <c r="K289" s="196">
        <f t="shared" si="104"/>
        <v>46662</v>
      </c>
      <c r="L289" s="147">
        <f>IF(t&lt;Tvie,1-EXP((T0-t)*PertePVj)+'2026'!Pspv,1-EXP((T0-t)*PertePVj)+Pspv)</f>
        <v>7.080819317340023E-2</v>
      </c>
      <c r="M289" s="847"/>
      <c r="N289" s="847"/>
      <c r="O289" s="48">
        <f>IF(t&lt;Tnet,'2026'!Resal+('2026'!Salim-'2026'!Resal)*(1-EXP(('2026'!Tnet-t)/('2026'!Tau_j))),Resal+(Salim-Resal)*(1-EXP((Tnet-t)/(Tau_j))))*Salcycl</f>
        <v>4.7226702581890712E-2</v>
      </c>
      <c r="P289" s="168">
        <f>(INDEX(Models!$BJ289:$BT289,,T289)*(1-R289)+INDEX(Models!$BJ289:$BT289,,T289+1)*R289-ERP_i)*Q289*Ramure*Pc/MaxiM</f>
        <v>2.5623023814892119E-4</v>
      </c>
      <c r="Q289" s="304">
        <f t="shared" si="105"/>
        <v>0.5</v>
      </c>
      <c r="R289" s="176">
        <f t="shared" si="106"/>
        <v>0.41713275025676605</v>
      </c>
      <c r="S289" s="814">
        <f t="shared" si="107"/>
        <v>0</v>
      </c>
      <c r="T289" s="175">
        <f t="shared" si="108"/>
        <v>6</v>
      </c>
      <c r="U289" s="250">
        <f t="shared" si="109"/>
        <v>0.41713275025676605</v>
      </c>
      <c r="V289" s="382">
        <f t="shared" si="110"/>
        <v>39.91815312202543</v>
      </c>
      <c r="W289" s="401">
        <f t="shared" si="111"/>
        <v>38.371290966357456</v>
      </c>
      <c r="X289" s="157">
        <f t="shared" si="112"/>
        <v>46662</v>
      </c>
      <c r="Y289" s="384">
        <f t="shared" si="113"/>
        <v>37.11554718068161</v>
      </c>
      <c r="Z289" s="384">
        <f t="shared" si="114"/>
        <v>39.943902763671154</v>
      </c>
      <c r="AA289" s="385">
        <f t="shared" si="115"/>
        <v>43.311237149990205</v>
      </c>
      <c r="AB289" s="196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7.7747360913697897E-2</v>
      </c>
      <c r="AD289" s="230">
        <f>(INDEX(Models!$BJ289:$BT289,,AH289)*(1-AF289)+INDEX(Models!$BJ289:$BT289,,AH289+1)*AF289-ERP_i)*AE289*Ramure*Pc/MaxiM</f>
        <v>1.0135354414561356E-3</v>
      </c>
      <c r="AE289" s="304">
        <f t="shared" si="117"/>
        <v>0.5</v>
      </c>
      <c r="AF289" s="176">
        <f t="shared" si="118"/>
        <v>0.5321252900811535</v>
      </c>
      <c r="AG289" s="814">
        <f t="shared" si="124"/>
        <v>2</v>
      </c>
      <c r="AH289" s="175">
        <f t="shared" si="119"/>
        <v>8</v>
      </c>
      <c r="AI289" s="224">
        <f t="shared" si="120"/>
        <v>2.5321252900811535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10">
        <f>'2026'!Wh/'2026'!Env_an*'2027'!Env_an</f>
        <v>35.530604715448007</v>
      </c>
      <c r="C290" s="843"/>
      <c r="D290" s="392">
        <f t="shared" si="102"/>
        <v>38.239017690233318</v>
      </c>
      <c r="E290" s="384">
        <f t="shared" si="100"/>
        <v>40.136175184998663</v>
      </c>
      <c r="F290" s="384">
        <f t="shared" si="103"/>
        <v>40.144924211961673</v>
      </c>
      <c r="G290" s="110">
        <f t="shared" si="101"/>
        <v>0.89581207039441713</v>
      </c>
      <c r="H290" s="413" t="b">
        <f>Wh_hp&gt;='2026'!Maxi_hp</f>
        <v>0</v>
      </c>
      <c r="I290" s="389">
        <f>IF(H290,Wh_hp,'2026'!Maxi_hp)</f>
        <v>41.859424132175342</v>
      </c>
      <c r="J290" s="85">
        <f>IF(H290,An,'2026'!An_max)</f>
        <v>2018</v>
      </c>
      <c r="K290" s="196">
        <f t="shared" si="104"/>
        <v>46663</v>
      </c>
      <c r="L290" s="147">
        <f>IF(t&lt;Tvie,1-EXP((T0-t)*PertePVj)+'2026'!Pspv,1-EXP((T0-t)*PertePVj)+Pspv)</f>
        <v>7.0828518575597993E-2</v>
      </c>
      <c r="M290" s="847"/>
      <c r="N290" s="847"/>
      <c r="O290" s="48">
        <f>IF(t&lt;Tnet,'2026'!Resal+('2026'!Salim-'2026'!Resal)*(1-EXP(('2026'!Tnet-t)/('2026'!Tau_j))),Resal+(Salim-Resal)*(1-EXP((Tnet-t)/(Tau_j))))*Salcycl</f>
        <v>4.7268019088037815E-2</v>
      </c>
      <c r="P290" s="168">
        <f>(INDEX(Models!$BJ290:$BT290,,T290)*(1-R290)+INDEX(Models!$BJ290:$BT290,,T290+1)*R290-ERP_i)*Q290*Ramure*Pc/MaxiM</f>
        <v>2.5603124896835401E-4</v>
      </c>
      <c r="Q290" s="304">
        <f t="shared" si="105"/>
        <v>0.5</v>
      </c>
      <c r="R290" s="176">
        <f t="shared" si="106"/>
        <v>0.41724247666423886</v>
      </c>
      <c r="S290" s="814">
        <f t="shared" si="107"/>
        <v>0</v>
      </c>
      <c r="T290" s="175">
        <f t="shared" si="108"/>
        <v>6</v>
      </c>
      <c r="U290" s="250">
        <f t="shared" si="109"/>
        <v>0.41724247666423886</v>
      </c>
      <c r="V290" s="382">
        <f t="shared" si="110"/>
        <v>39.661500497492057</v>
      </c>
      <c r="W290" s="401">
        <f t="shared" si="111"/>
        <v>35.530604715448007</v>
      </c>
      <c r="X290" s="157">
        <f t="shared" si="112"/>
        <v>46663</v>
      </c>
      <c r="Y290" s="384">
        <f t="shared" si="113"/>
        <v>34.371785186360029</v>
      </c>
      <c r="Z290" s="384">
        <f t="shared" si="114"/>
        <v>36.991864121430787</v>
      </c>
      <c r="AA290" s="385">
        <f t="shared" si="115"/>
        <v>40.110214797583026</v>
      </c>
      <c r="AB290" s="196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7.774455190252802E-2</v>
      </c>
      <c r="AD290" s="230">
        <f>(INDEX(Models!$BJ290:$BT290,,AH290)*(1-AF290)+INDEX(Models!$BJ290:$BT290,,AH290+1)*AF290-ERP_i)*AE290*Ramure*Pc/MaxiM</f>
        <v>1.0157352071147134E-3</v>
      </c>
      <c r="AE290" s="304">
        <f t="shared" si="117"/>
        <v>0.5</v>
      </c>
      <c r="AF290" s="176">
        <f t="shared" si="118"/>
        <v>0.53223501648862648</v>
      </c>
      <c r="AG290" s="814">
        <f t="shared" si="124"/>
        <v>2</v>
      </c>
      <c r="AH290" s="175">
        <f t="shared" si="119"/>
        <v>8</v>
      </c>
      <c r="AI290" s="224">
        <f t="shared" si="120"/>
        <v>2.5322350164886265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10">
        <f>'2026'!Wh/'2026'!Env_an*'2027'!Env_an</f>
        <v>39.71843556719265</v>
      </c>
      <c r="C291" s="843"/>
      <c r="D291" s="392">
        <f t="shared" si="102"/>
        <v>42.747011926672386</v>
      </c>
      <c r="E291" s="384">
        <f t="shared" si="100"/>
        <v>44.869735249682982</v>
      </c>
      <c r="F291" s="384">
        <f t="shared" si="103"/>
        <v>44.881229188425145</v>
      </c>
      <c r="G291" s="110">
        <f t="shared" si="101"/>
        <v>1.0079714315717954</v>
      </c>
      <c r="H291" s="413" t="b">
        <f>Wh_hp&gt;='2026'!Maxi_hp</f>
        <v>0</v>
      </c>
      <c r="I291" s="389">
        <f>IF(H291,Wh_hp,'2026'!Maxi_hp)</f>
        <v>44.881229188425152</v>
      </c>
      <c r="J291" s="85">
        <f>IF(H291,An,'2026'!An_max)</f>
        <v>2022</v>
      </c>
      <c r="K291" s="196">
        <f t="shared" si="104"/>
        <v>46664</v>
      </c>
      <c r="L291" s="147">
        <f>IF(t&lt;Tvie,1-EXP((T0-t)*PertePVj)+'2026'!Pspv,1-EXP((T0-t)*PertePVj)+Pspv)</f>
        <v>7.0848843532617195E-2</v>
      </c>
      <c r="M291" s="847"/>
      <c r="N291" s="847"/>
      <c r="O291" s="48">
        <f>IF(t&lt;Tnet,'2026'!Resal+('2026'!Salim-'2026'!Resal)*(1-EXP(('2026'!Tnet-t)/('2026'!Tau_j))),Resal+(Salim-Resal)*(1-EXP((Tnet-t)/(Tau_j))))*Salcycl</f>
        <v>4.7308576955010971E-2</v>
      </c>
      <c r="P291" s="168">
        <f>(INDEX(Models!$BJ291:$BT291,,T291)*(1-R291)+INDEX(Models!$BJ291:$BT291,,T291+1)*R291-ERP_i)*Q291*Ramure*Pc/MaxiM</f>
        <v>2.5609679035099058E-4</v>
      </c>
      <c r="Q291" s="304">
        <f t="shared" si="105"/>
        <v>0.5</v>
      </c>
      <c r="R291" s="176">
        <f t="shared" si="106"/>
        <v>0.41734786124403717</v>
      </c>
      <c r="S291" s="814">
        <f t="shared" si="107"/>
        <v>0</v>
      </c>
      <c r="T291" s="175">
        <f t="shared" si="108"/>
        <v>6</v>
      </c>
      <c r="U291" s="250">
        <f t="shared" si="109"/>
        <v>0.41734786124403717</v>
      </c>
      <c r="V291" s="382">
        <f t="shared" si="110"/>
        <v>39.404326673482316</v>
      </c>
      <c r="W291" s="401">
        <f t="shared" si="111"/>
        <v>39.71843556719265</v>
      </c>
      <c r="X291" s="157">
        <f t="shared" si="112"/>
        <v>46664</v>
      </c>
      <c r="Y291" s="384">
        <f t="shared" si="113"/>
        <v>38.42038833261018</v>
      </c>
      <c r="Z291" s="384">
        <f t="shared" si="114"/>
        <v>41.349987098637271</v>
      </c>
      <c r="AA291" s="385">
        <f t="shared" si="115"/>
        <v>44.835529214397035</v>
      </c>
      <c r="AB291" s="196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7.7740626169313334E-2</v>
      </c>
      <c r="AD291" s="230">
        <f>(INDEX(Models!$BJ291:$BT291,,AH291)*(1-AF291)+INDEX(Models!$BJ291:$BT291,,AH291+1)*AF291-ERP_i)*AE291*Ramure*Pc/MaxiM</f>
        <v>1.0182424780802914E-3</v>
      </c>
      <c r="AE291" s="304">
        <f t="shared" si="117"/>
        <v>0.5</v>
      </c>
      <c r="AF291" s="176">
        <f t="shared" si="118"/>
        <v>0.53234040106842473</v>
      </c>
      <c r="AG291" s="814">
        <f t="shared" si="124"/>
        <v>2</v>
      </c>
      <c r="AH291" s="175">
        <f t="shared" si="119"/>
        <v>8</v>
      </c>
      <c r="AI291" s="224">
        <f t="shared" si="120"/>
        <v>2.5323404010684247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10">
        <f>'2026'!Wh/'2026'!Env_an*'2027'!Env_an</f>
        <v>40.288505117355378</v>
      </c>
      <c r="C292" s="843"/>
      <c r="D292" s="392">
        <f t="shared" si="102"/>
        <v>43.361498436727764</v>
      </c>
      <c r="E292" s="384">
        <f t="shared" si="100"/>
        <v>45.516636847568861</v>
      </c>
      <c r="F292" s="384">
        <f t="shared" si="103"/>
        <v>45.528311712611469</v>
      </c>
      <c r="G292" s="110">
        <f t="shared" si="101"/>
        <v>1.0291767006339698</v>
      </c>
      <c r="H292" s="413" t="b">
        <f>Wh_hp&gt;='2026'!Maxi_hp</f>
        <v>1</v>
      </c>
      <c r="I292" s="389">
        <f>IF(H292,Wh_hp,'2026'!Maxi_hp)</f>
        <v>45.528311712611469</v>
      </c>
      <c r="J292" s="85">
        <f>IF(H292,An,'2026'!An_max)</f>
        <v>2027</v>
      </c>
      <c r="K292" s="196">
        <f t="shared" si="104"/>
        <v>46665</v>
      </c>
      <c r="L292" s="147">
        <f>IF(t&lt;Tvie,1-EXP((T0-t)*PertePVj)+'2026'!Pspv,1-EXP((T0-t)*PertePVj)+Pspv)</f>
        <v>7.0869168044467717E-2</v>
      </c>
      <c r="M292" s="847"/>
      <c r="N292" s="847"/>
      <c r="O292" s="48">
        <f>IF(t&lt;Tnet,'2026'!Resal+('2026'!Salim-'2026'!Resal)*(1-EXP(('2026'!Tnet-t)/('2026'!Tau_j))),Resal+(Salim-Resal)*(1-EXP((Tnet-t)/(Tau_j))))*Salcycl</f>
        <v>4.7348366665543935E-2</v>
      </c>
      <c r="P292" s="168">
        <f>(INDEX(Models!$BJ292:$BT292,,T292)*(1-R292)+INDEX(Models!$BJ292:$BT292,,T292+1)*R292-ERP_i)*Q292*Ramure*Pc/MaxiM</f>
        <v>2.5643088011487701E-4</v>
      </c>
      <c r="Q292" s="304">
        <f t="shared" si="105"/>
        <v>0.5</v>
      </c>
      <c r="R292" s="176">
        <f t="shared" si="106"/>
        <v>0.41744907288242616</v>
      </c>
      <c r="S292" s="814">
        <f t="shared" si="107"/>
        <v>0</v>
      </c>
      <c r="T292" s="175">
        <f t="shared" si="108"/>
        <v>6</v>
      </c>
      <c r="U292" s="250">
        <f t="shared" si="109"/>
        <v>0.41744907288242616</v>
      </c>
      <c r="V292" s="382">
        <f t="shared" si="110"/>
        <v>39.146343958756326</v>
      </c>
      <c r="W292" s="401">
        <f t="shared" si="111"/>
        <v>40.288505117355378</v>
      </c>
      <c r="X292" s="157">
        <f t="shared" si="112"/>
        <v>46665</v>
      </c>
      <c r="Y292" s="384">
        <f t="shared" si="113"/>
        <v>38.973571612496727</v>
      </c>
      <c r="Z292" s="384">
        <f t="shared" si="114"/>
        <v>41.946268783772297</v>
      </c>
      <c r="AA292" s="385">
        <f t="shared" si="115"/>
        <v>45.481824362400019</v>
      </c>
      <c r="AB292" s="196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7.7735570817396113E-2</v>
      </c>
      <c r="AD292" s="230">
        <f>(INDEX(Models!$BJ292:$BT292,,AH292)*(1-AF292)+INDEX(Models!$BJ292:$BT292,,AH292+1)*AF292-ERP_i)*AE292*Ramure*Pc/MaxiM</f>
        <v>1.0210646620259255E-3</v>
      </c>
      <c r="AE292" s="304">
        <f t="shared" si="117"/>
        <v>0.5</v>
      </c>
      <c r="AF292" s="176">
        <f t="shared" si="118"/>
        <v>0.53244161270681367</v>
      </c>
      <c r="AG292" s="814">
        <f t="shared" si="124"/>
        <v>2</v>
      </c>
      <c r="AH292" s="175">
        <f t="shared" si="119"/>
        <v>8</v>
      </c>
      <c r="AI292" s="224">
        <f t="shared" si="120"/>
        <v>2.5324416127068137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10">
        <f>'2026'!Wh/'2026'!Env_an*'2027'!Env_an</f>
        <v>14.42289262235202</v>
      </c>
      <c r="C293" s="843"/>
      <c r="D293" s="392">
        <f t="shared" si="102"/>
        <v>15.523333876746534</v>
      </c>
      <c r="E293" s="384">
        <f t="shared" si="100"/>
        <v>16.295536668732712</v>
      </c>
      <c r="F293" s="384">
        <f t="shared" si="103"/>
        <v>16.295960860945204</v>
      </c>
      <c r="G293" s="110">
        <f t="shared" si="101"/>
        <v>0.37080419181852126</v>
      </c>
      <c r="H293" s="413" t="b">
        <f>Wh_hp&gt;='2026'!Maxi_hp</f>
        <v>0</v>
      </c>
      <c r="I293" s="389">
        <f>IF(H293,Wh_hp,'2026'!Maxi_hp)</f>
        <v>40.753647143943134</v>
      </c>
      <c r="J293" s="85">
        <f>IF(H293,An,'2026'!An_max)</f>
        <v>2018</v>
      </c>
      <c r="K293" s="196">
        <f t="shared" si="104"/>
        <v>46666</v>
      </c>
      <c r="L293" s="147">
        <f>IF(t&lt;Tvie,1-EXP((T0-t)*PertePVj)+'2026'!Pspv,1-EXP((T0-t)*PertePVj)+Pspv)</f>
        <v>7.0889492111159219E-2</v>
      </c>
      <c r="M293" s="847"/>
      <c r="N293" s="847"/>
      <c r="O293" s="48">
        <f>IF(t&lt;Tnet,'2026'!Resal+('2026'!Salim-'2026'!Resal)*(1-EXP(('2026'!Tnet-t)/('2026'!Tau_j))),Resal+(Salim-Resal)*(1-EXP((Tnet-t)/(Tau_j))))*Salcycl</f>
        <v>4.7387380218526585E-2</v>
      </c>
      <c r="P293" s="168">
        <f>(INDEX(Models!$BJ293:$BT293,,T293)*(1-R293)+INDEX(Models!$BJ293:$BT293,,T293+1)*R293-ERP_i)*Q293*Ramure*Pc/MaxiM</f>
        <v>2.5703754517849127E-4</v>
      </c>
      <c r="Q293" s="304">
        <f t="shared" si="105"/>
        <v>0.5</v>
      </c>
      <c r="R293" s="176">
        <f t="shared" si="106"/>
        <v>0.41754627412504963</v>
      </c>
      <c r="S293" s="814">
        <f t="shared" si="107"/>
        <v>0</v>
      </c>
      <c r="T293" s="175">
        <f t="shared" si="108"/>
        <v>6</v>
      </c>
      <c r="U293" s="250">
        <f t="shared" si="109"/>
        <v>0.41754627412504963</v>
      </c>
      <c r="V293" s="382">
        <f t="shared" si="110"/>
        <v>38.88726466461064</v>
      </c>
      <c r="W293" s="401">
        <f t="shared" si="111"/>
        <v>14.42289262235202</v>
      </c>
      <c r="X293" s="157">
        <f t="shared" si="112"/>
        <v>46666</v>
      </c>
      <c r="Y293" s="384">
        <f t="shared" si="113"/>
        <v>13.962419175219491</v>
      </c>
      <c r="Z293" s="384">
        <f t="shared" si="114"/>
        <v>15.027727118214836</v>
      </c>
      <c r="AA293" s="385">
        <f t="shared" si="115"/>
        <v>16.294270595397567</v>
      </c>
      <c r="AB293" s="196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7.772937547388438E-2</v>
      </c>
      <c r="AD293" s="230">
        <f>(INDEX(Models!$BJ293:$BT293,,AH293)*(1-AF293)+INDEX(Models!$BJ293:$BT293,,AH293+1)*AF293-ERP_i)*AE293*Ramure*Pc/MaxiM</f>
        <v>1.0242095311302707E-3</v>
      </c>
      <c r="AE293" s="304">
        <f t="shared" si="117"/>
        <v>0.5</v>
      </c>
      <c r="AF293" s="176">
        <f t="shared" si="118"/>
        <v>0.53253881394943736</v>
      </c>
      <c r="AG293" s="814">
        <f t="shared" si="124"/>
        <v>2</v>
      </c>
      <c r="AH293" s="175">
        <f t="shared" si="119"/>
        <v>8</v>
      </c>
      <c r="AI293" s="224">
        <f t="shared" si="120"/>
        <v>2.5325388139494374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10">
        <f>'2026'!Wh/'2026'!Env_an*'2027'!Env_an</f>
        <v>27.75882496102172</v>
      </c>
      <c r="C294" s="843"/>
      <c r="D294" s="392">
        <f t="shared" si="102"/>
        <v>29.877427865533804</v>
      </c>
      <c r="E294" s="384">
        <f t="shared" si="100"/>
        <v>31.364928785326374</v>
      </c>
      <c r="F294" s="384">
        <f t="shared" si="103"/>
        <v>31.36976763410383</v>
      </c>
      <c r="G294" s="110">
        <f t="shared" si="101"/>
        <v>0.71856705709005975</v>
      </c>
      <c r="H294" s="413" t="b">
        <f>Wh_hp&gt;='2026'!Maxi_hp</f>
        <v>0</v>
      </c>
      <c r="I294" s="389">
        <f>IF(H294,Wh_hp,'2026'!Maxi_hp)</f>
        <v>44.062156348589909</v>
      </c>
      <c r="J294" s="85">
        <f>IF(H294,An,'2026'!An_max)</f>
        <v>2021</v>
      </c>
      <c r="K294" s="196">
        <f t="shared" si="104"/>
        <v>46667</v>
      </c>
      <c r="L294" s="147">
        <f>IF(t&lt;Tvie,1-EXP((T0-t)*PertePVj)+'2026'!Pspv,1-EXP((T0-t)*PertePVj)+Pspv)</f>
        <v>7.090981573270147E-2</v>
      </c>
      <c r="M294" s="847"/>
      <c r="N294" s="847"/>
      <c r="O294" s="48">
        <f>IF(t&lt;Tnet,'2026'!Resal+('2026'!Salim-'2026'!Resal)*(1-EXP(('2026'!Tnet-t)/('2026'!Tau_j))),Resal+(Salim-Resal)*(1-EXP((Tnet-t)/(Tau_j))))*Salcycl</f>
        <v>4.7425611260704569E-2</v>
      </c>
      <c r="P294" s="168">
        <f>(INDEX(Models!$BJ294:$BT294,,T294)*(1-R294)+INDEX(Models!$BJ294:$BT294,,T294+1)*R294-ERP_i)*Q294*Ramure*Pc/MaxiM</f>
        <v>2.5792084227080927E-4</v>
      </c>
      <c r="Q294" s="304">
        <f t="shared" si="105"/>
        <v>0.5</v>
      </c>
      <c r="R294" s="176">
        <f t="shared" si="106"/>
        <v>0.41763962139696337</v>
      </c>
      <c r="S294" s="814">
        <f t="shared" si="107"/>
        <v>0</v>
      </c>
      <c r="T294" s="175">
        <f t="shared" si="108"/>
        <v>6</v>
      </c>
      <c r="U294" s="250">
        <f t="shared" si="109"/>
        <v>0.41763962139696337</v>
      </c>
      <c r="V294" s="382">
        <f t="shared" si="110"/>
        <v>38.626801100046535</v>
      </c>
      <c r="W294" s="401">
        <f t="shared" si="111"/>
        <v>27.75882496102172</v>
      </c>
      <c r="X294" s="157">
        <f t="shared" si="112"/>
        <v>46667</v>
      </c>
      <c r="Y294" s="384">
        <f t="shared" si="113"/>
        <v>26.863586914484749</v>
      </c>
      <c r="Z294" s="384">
        <f t="shared" si="114"/>
        <v>28.913863658639318</v>
      </c>
      <c r="AA294" s="385">
        <f t="shared" si="115"/>
        <v>31.350487247164736</v>
      </c>
      <c r="AB294" s="196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7.772203249395368E-2</v>
      </c>
      <c r="AD294" s="230">
        <f>(INDEX(Models!$BJ294:$BT294,,AH294)*(1-AF294)+INDEX(Models!$BJ294:$BT294,,AH294+1)*AF294-ERP_i)*AE294*Ramure*Pc/MaxiM</f>
        <v>1.0276852754328354E-3</v>
      </c>
      <c r="AE294" s="304">
        <f t="shared" si="117"/>
        <v>0.5</v>
      </c>
      <c r="AF294" s="176">
        <f t="shared" si="118"/>
        <v>0.53263216122135093</v>
      </c>
      <c r="AG294" s="814">
        <f t="shared" si="124"/>
        <v>2</v>
      </c>
      <c r="AH294" s="175">
        <f t="shared" si="119"/>
        <v>8</v>
      </c>
      <c r="AI294" s="224">
        <f t="shared" si="120"/>
        <v>2.5326321612213509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10">
        <f>'2026'!Wh/'2026'!Env_an*'2027'!Env_an</f>
        <v>15.532233440413323</v>
      </c>
      <c r="C295" s="843"/>
      <c r="D295" s="392">
        <f t="shared" si="102"/>
        <v>16.7180468239231</v>
      </c>
      <c r="E295" s="384">
        <f t="shared" si="100"/>
        <v>17.551074439094073</v>
      </c>
      <c r="F295" s="384">
        <f t="shared" si="103"/>
        <v>17.551755624390193</v>
      </c>
      <c r="G295" s="110">
        <f t="shared" si="101"/>
        <v>0.40476859942477855</v>
      </c>
      <c r="H295" s="413" t="b">
        <f>Wh_hp&gt;='2026'!Maxi_hp</f>
        <v>0</v>
      </c>
      <c r="I295" s="389">
        <f>IF(H295,Wh_hp,'2026'!Maxi_hp)</f>
        <v>43.274258019273653</v>
      </c>
      <c r="J295" s="85">
        <f>IF(H295,An,'2026'!An_max)</f>
        <v>2021</v>
      </c>
      <c r="K295" s="196">
        <f t="shared" si="104"/>
        <v>46668</v>
      </c>
      <c r="L295" s="147">
        <f>IF(t&lt;Tvie,1-EXP((T0-t)*PertePVj)+'2026'!Pspv,1-EXP((T0-t)*PertePVj)+Pspv)</f>
        <v>7.0930138909104351E-2</v>
      </c>
      <c r="M295" s="847"/>
      <c r="N295" s="847"/>
      <c r="O295" s="48">
        <f>IF(t&lt;Tnet,'2026'!Resal+('2026'!Salim-'2026'!Resal)*(1-EXP(('2026'!Tnet-t)/('2026'!Tau_j))),Resal+(Salim-Resal)*(1-EXP((Tnet-t)/(Tau_j))))*Salcycl</f>
        <v>4.7463055214183918E-2</v>
      </c>
      <c r="P295" s="168">
        <f>(INDEX(Models!$BJ295:$BT295,,T295)*(1-R295)+INDEX(Models!$BJ295:$BT295,,T295+1)*R295-ERP_i)*Q295*Ramure*Pc/MaxiM</f>
        <v>2.5908488125336523E-4</v>
      </c>
      <c r="Q295" s="304">
        <f t="shared" si="105"/>
        <v>0.5</v>
      </c>
      <c r="R295" s="176">
        <f t="shared" si="106"/>
        <v>0.41772926521648007</v>
      </c>
      <c r="S295" s="814">
        <f t="shared" si="107"/>
        <v>0</v>
      </c>
      <c r="T295" s="175">
        <f t="shared" si="108"/>
        <v>6</v>
      </c>
      <c r="U295" s="250">
        <f t="shared" si="109"/>
        <v>0.41772926521648007</v>
      </c>
      <c r="V295" s="382">
        <f t="shared" si="110"/>
        <v>38.364665565178903</v>
      </c>
      <c r="W295" s="401">
        <f t="shared" si="111"/>
        <v>15.532233440413323</v>
      </c>
      <c r="X295" s="157">
        <f t="shared" si="112"/>
        <v>46668</v>
      </c>
      <c r="Y295" s="384">
        <f t="shared" si="113"/>
        <v>15.037223652265494</v>
      </c>
      <c r="Z295" s="384">
        <f t="shared" si="114"/>
        <v>16.18524535346468</v>
      </c>
      <c r="AA295" s="385">
        <f t="shared" si="115"/>
        <v>17.549043605797863</v>
      </c>
      <c r="AB295" s="196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7.7713537157239193E-2</v>
      </c>
      <c r="AD295" s="230">
        <f>(INDEX(Models!$BJ295:$BT295,,AH295)*(1-AF295)+INDEX(Models!$BJ295:$BT295,,AH295+1)*AF295-ERP_i)*AE295*Ramure*Pc/MaxiM</f>
        <v>1.0315005607940198E-3</v>
      </c>
      <c r="AE295" s="304">
        <f t="shared" si="117"/>
        <v>0.5</v>
      </c>
      <c r="AF295" s="176">
        <f t="shared" si="118"/>
        <v>0.53272180504086775</v>
      </c>
      <c r="AG295" s="814">
        <f t="shared" si="124"/>
        <v>2</v>
      </c>
      <c r="AH295" s="175">
        <f t="shared" si="119"/>
        <v>8</v>
      </c>
      <c r="AI295" s="224">
        <f t="shared" si="120"/>
        <v>2.5327218050408677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10">
        <f>'2026'!Wh/'2026'!Env_an*'2027'!Env_an</f>
        <v>37.208177272082011</v>
      </c>
      <c r="C296" s="843"/>
      <c r="D296" s="392">
        <f t="shared" si="102"/>
        <v>40.049723653895434</v>
      </c>
      <c r="E296" s="384">
        <f t="shared" si="100"/>
        <v>42.046941139098998</v>
      </c>
      <c r="F296" s="384">
        <f t="shared" si="103"/>
        <v>42.057523186902301</v>
      </c>
      <c r="G296" s="110">
        <f t="shared" si="101"/>
        <v>0.97656924213590768</v>
      </c>
      <c r="H296" s="413" t="b">
        <f>Wh_hp&gt;='2026'!Maxi_hp</f>
        <v>0</v>
      </c>
      <c r="I296" s="389">
        <f>IF(H296,Wh_hp,'2026'!Maxi_hp)</f>
        <v>42.057780556139107</v>
      </c>
      <c r="J296" s="85">
        <f>IF(H296,An,'2026'!An_max)</f>
        <v>2025</v>
      </c>
      <c r="K296" s="196">
        <f t="shared" si="104"/>
        <v>46669</v>
      </c>
      <c r="L296" s="147">
        <f>IF(t&lt;Tvie,1-EXP((T0-t)*PertePVj)+'2026'!Pspv,1-EXP((T0-t)*PertePVj)+Pspv)</f>
        <v>7.095046164037741E-2</v>
      </c>
      <c r="M296" s="847"/>
      <c r="N296" s="847"/>
      <c r="O296" s="48">
        <f>IF(t&lt;Tnet,'2026'!Resal+('2026'!Salim-'2026'!Resal)*(1-EXP(('2026'!Tnet-t)/('2026'!Tau_j))),Resal+(Salim-Resal)*(1-EXP((Tnet-t)/(Tau_j))))*Salcycl</f>
        <v>4.7499709398512446E-2</v>
      </c>
      <c r="P296" s="168">
        <f>(INDEX(Models!$BJ296:$BT296,,T296)*(1-R296)+INDEX(Models!$BJ296:$BT296,,T296+1)*R296-ERP_i)*Q296*Ramure*Pc/MaxiM</f>
        <v>2.6031929187453616E-4</v>
      </c>
      <c r="Q296" s="304">
        <f t="shared" si="105"/>
        <v>0.5</v>
      </c>
      <c r="R296" s="176">
        <f t="shared" si="106"/>
        <v>0.41781535040287759</v>
      </c>
      <c r="S296" s="814">
        <f t="shared" si="107"/>
        <v>0</v>
      </c>
      <c r="T296" s="175">
        <f t="shared" si="108"/>
        <v>6</v>
      </c>
      <c r="U296" s="250">
        <f t="shared" si="109"/>
        <v>0.41781535040287759</v>
      </c>
      <c r="V296" s="382">
        <f t="shared" si="110"/>
        <v>38.100578523150233</v>
      </c>
      <c r="W296" s="401">
        <f t="shared" si="111"/>
        <v>37.208177272082011</v>
      </c>
      <c r="X296" s="157">
        <f t="shared" si="112"/>
        <v>46669</v>
      </c>
      <c r="Y296" s="384">
        <f t="shared" si="113"/>
        <v>36.001312191408708</v>
      </c>
      <c r="Z296" s="384">
        <f t="shared" si="114"/>
        <v>38.750691653078555</v>
      </c>
      <c r="AA296" s="385">
        <f t="shared" si="115"/>
        <v>42.015455928713372</v>
      </c>
      <c r="AB296" s="196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7.7703887854366424E-2</v>
      </c>
      <c r="AD296" s="230">
        <f>(INDEX(Models!$BJ296:$BT296,,AH296)*(1-AF296)+INDEX(Models!$BJ296:$BT296,,AH296+1)*AF296-ERP_i)*AE296*Ramure*Pc/MaxiM</f>
        <v>1.0348581925161218E-3</v>
      </c>
      <c r="AE296" s="304">
        <f t="shared" si="117"/>
        <v>0.5</v>
      </c>
      <c r="AF296" s="176">
        <f t="shared" si="118"/>
        <v>0.53280789022726527</v>
      </c>
      <c r="AG296" s="814">
        <f t="shared" si="124"/>
        <v>2</v>
      </c>
      <c r="AH296" s="175">
        <f t="shared" si="119"/>
        <v>8</v>
      </c>
      <c r="AI296" s="224">
        <f t="shared" si="120"/>
        <v>2.5328078902272653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10">
        <f>'2026'!Wh/'2026'!Env_an*'2027'!Env_an</f>
        <v>30.031091333509547</v>
      </c>
      <c r="C297" s="843"/>
      <c r="D297" s="392">
        <f t="shared" si="102"/>
        <v>32.325238877239606</v>
      </c>
      <c r="E297" s="384">
        <f t="shared" ref="E297:E360" si="125">Wh_pvt/(1-Psa)</f>
        <v>33.938526170488352</v>
      </c>
      <c r="F297" s="384">
        <f t="shared" si="103"/>
        <v>33.944785042758447</v>
      </c>
      <c r="G297" s="110">
        <f t="shared" ref="G297:G360" si="126">+Wh_hp/MaxiM</f>
        <v>0.79369273939473428</v>
      </c>
      <c r="H297" s="413" t="b">
        <f>Wh_hp&gt;='2026'!Maxi_hp</f>
        <v>0</v>
      </c>
      <c r="I297" s="389">
        <f>IF(H297,Wh_hp,'2026'!Maxi_hp)</f>
        <v>33.946620655214758</v>
      </c>
      <c r="J297" s="85">
        <f>IF(H297,An,'2026'!An_max)</f>
        <v>2025</v>
      </c>
      <c r="K297" s="196">
        <f t="shared" si="104"/>
        <v>46670</v>
      </c>
      <c r="L297" s="147">
        <f>IF(t&lt;Tvie,1-EXP((T0-t)*PertePVj)+'2026'!Pspv,1-EXP((T0-t)*PertePVj)+Pspv)</f>
        <v>7.0970783926530639E-2</v>
      </c>
      <c r="M297" s="847"/>
      <c r="N297" s="847"/>
      <c r="O297" s="48">
        <f>IF(t&lt;Tnet,'2026'!Resal+('2026'!Salim-'2026'!Resal)*(1-EXP(('2026'!Tnet-t)/('2026'!Tau_j))),Resal+(Salim-Resal)*(1-EXP((Tnet-t)/(Tau_j))))*Salcycl</f>
        <v>4.7535573146119656E-2</v>
      </c>
      <c r="P297" s="168">
        <f>(INDEX(Models!$BJ297:$BT297,,T297)*(1-R297)+INDEX(Models!$BJ297:$BT297,,T297+1)*R297-ERP_i)*Q297*Ramure*Pc/MaxiM</f>
        <v>2.6140298355985914E-4</v>
      </c>
      <c r="Q297" s="304">
        <f t="shared" si="105"/>
        <v>0.5</v>
      </c>
      <c r="R297" s="176">
        <f t="shared" si="106"/>
        <v>0.41789801627803225</v>
      </c>
      <c r="S297" s="814">
        <f t="shared" si="107"/>
        <v>0</v>
      </c>
      <c r="T297" s="175">
        <f t="shared" si="108"/>
        <v>6</v>
      </c>
      <c r="U297" s="250">
        <f t="shared" si="109"/>
        <v>0.41789801627803225</v>
      </c>
      <c r="V297" s="382">
        <f t="shared" si="110"/>
        <v>37.834260602024557</v>
      </c>
      <c r="W297" s="401">
        <f t="shared" si="111"/>
        <v>30.031091333509547</v>
      </c>
      <c r="X297" s="157">
        <f t="shared" si="112"/>
        <v>46670</v>
      </c>
      <c r="Y297" s="384">
        <f t="shared" si="113"/>
        <v>29.064313690983166</v>
      </c>
      <c r="Z297" s="384">
        <f t="shared" si="114"/>
        <v>31.28460675738825</v>
      </c>
      <c r="AA297" s="385">
        <f t="shared" si="115"/>
        <v>33.919952557424907</v>
      </c>
      <c r="AB297" s="196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7.7693086261696284E-2</v>
      </c>
      <c r="AD297" s="230">
        <f>(INDEX(Models!$BJ297:$BT297,,AH297)*(1-AF297)+INDEX(Models!$BJ297:$BT297,,AH297+1)*AF297-ERP_i)*AE297*Ramure*Pc/MaxiM</f>
        <v>1.0371334443764406E-3</v>
      </c>
      <c r="AE297" s="304">
        <f t="shared" si="117"/>
        <v>0.5</v>
      </c>
      <c r="AF297" s="176">
        <f t="shared" si="118"/>
        <v>0.53289055610241975</v>
      </c>
      <c r="AG297" s="814">
        <f t="shared" si="124"/>
        <v>2</v>
      </c>
      <c r="AH297" s="175">
        <f t="shared" si="119"/>
        <v>8</v>
      </c>
      <c r="AI297" s="224">
        <f t="shared" si="120"/>
        <v>2.5328905561024198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10">
        <f>'2026'!Wh/'2026'!Env_an*'2027'!Env_an</f>
        <v>23.699540290126993</v>
      </c>
      <c r="C298" s="843"/>
      <c r="D298" s="392">
        <f t="shared" si="102"/>
        <v>25.51056339423771</v>
      </c>
      <c r="E298" s="384">
        <f t="shared" si="125"/>
        <v>26.784730372132504</v>
      </c>
      <c r="F298" s="384">
        <f t="shared" si="103"/>
        <v>26.788052233805448</v>
      </c>
      <c r="G298" s="110">
        <f t="shared" si="126"/>
        <v>0.6307997907989088</v>
      </c>
      <c r="H298" s="413" t="b">
        <f>Wh_hp&gt;='2026'!Maxi_hp</f>
        <v>0</v>
      </c>
      <c r="I298" s="389">
        <f>IF(H298,Wh_hp,'2026'!Maxi_hp)</f>
        <v>43.136286710165194</v>
      </c>
      <c r="J298" s="85">
        <f>IF(H298,An,'2026'!An_max)</f>
        <v>2019</v>
      </c>
      <c r="K298" s="196">
        <f t="shared" si="104"/>
        <v>46671</v>
      </c>
      <c r="L298" s="147">
        <f>IF(t&lt;Tvie,1-EXP((T0-t)*PertePVj)+'2026'!Pspv,1-EXP((T0-t)*PertePVj)+Pspv)</f>
        <v>7.0991105767573476E-2</v>
      </c>
      <c r="M298" s="847"/>
      <c r="N298" s="847"/>
      <c r="O298" s="48">
        <f>IF(t&lt;Tnet,'2026'!Resal+('2026'!Salim-'2026'!Resal)*(1-EXP(('2026'!Tnet-t)/('2026'!Tau_j))),Resal+(Salim-Resal)*(1-EXP((Tnet-t)/(Tau_j))))*Salcycl</f>
        <v>4.7570647909917753E-2</v>
      </c>
      <c r="P298" s="168">
        <f>(INDEX(Models!$BJ298:$BT298,,T298)*(1-R298)+INDEX(Models!$BJ298:$BT298,,T298+1)*R298-ERP_i)*Q298*Ramure*Pc/MaxiM</f>
        <v>2.6233645543145958E-4</v>
      </c>
      <c r="Q298" s="304">
        <f t="shared" si="105"/>
        <v>0.5</v>
      </c>
      <c r="R298" s="176">
        <f t="shared" si="106"/>
        <v>0.41797739686205204</v>
      </c>
      <c r="S298" s="814">
        <f t="shared" si="107"/>
        <v>0</v>
      </c>
      <c r="T298" s="175">
        <f t="shared" si="108"/>
        <v>6</v>
      </c>
      <c r="U298" s="250">
        <f t="shared" si="109"/>
        <v>0.41797739686205204</v>
      </c>
      <c r="V298" s="382">
        <f t="shared" si="110"/>
        <v>37.565423840447522</v>
      </c>
      <c r="W298" s="401">
        <f t="shared" si="111"/>
        <v>23.699540290126993</v>
      </c>
      <c r="X298" s="157">
        <f t="shared" si="112"/>
        <v>46671</v>
      </c>
      <c r="Y298" s="384">
        <f t="shared" si="113"/>
        <v>22.941874012999254</v>
      </c>
      <c r="Z298" s="384">
        <f t="shared" si="114"/>
        <v>24.694999321782038</v>
      </c>
      <c r="AA298" s="385">
        <f t="shared" si="115"/>
        <v>26.774904348057319</v>
      </c>
      <c r="AB298" s="196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7.7681137502408695E-2</v>
      </c>
      <c r="AD298" s="230">
        <f>(INDEX(Models!$BJ298:$BT298,,AH298)*(1-AF298)+INDEX(Models!$BJ298:$BT298,,AH298+1)*AF298-ERP_i)*AE298*Ramure*Pc/MaxiM</f>
        <v>1.0383243142470073E-3</v>
      </c>
      <c r="AE298" s="304">
        <f t="shared" si="117"/>
        <v>0.5</v>
      </c>
      <c r="AF298" s="176">
        <f t="shared" si="118"/>
        <v>0.53296993668643955</v>
      </c>
      <c r="AG298" s="814">
        <f t="shared" si="124"/>
        <v>2</v>
      </c>
      <c r="AH298" s="175">
        <f t="shared" si="119"/>
        <v>8</v>
      </c>
      <c r="AI298" s="224">
        <f t="shared" si="120"/>
        <v>2.5329699366864395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10">
        <f>'2026'!Wh/'2026'!Env_an*'2027'!Env_an</f>
        <v>26.632517975235835</v>
      </c>
      <c r="C299" s="843"/>
      <c r="D299" s="392">
        <f t="shared" si="102"/>
        <v>28.668294480650797</v>
      </c>
      <c r="E299" s="384">
        <f t="shared" si="125"/>
        <v>30.101263231290442</v>
      </c>
      <c r="F299" s="384">
        <f t="shared" si="103"/>
        <v>30.105949671062021</v>
      </c>
      <c r="G299" s="110">
        <f t="shared" si="126"/>
        <v>0.71405085643058419</v>
      </c>
      <c r="H299" s="413" t="b">
        <f>Wh_hp&gt;='2026'!Maxi_hp</f>
        <v>0</v>
      </c>
      <c r="I299" s="389">
        <f>IF(H299,Wh_hp,'2026'!Maxi_hp)</f>
        <v>41.118712487030926</v>
      </c>
      <c r="J299" s="85">
        <f>IF(H299,An,'2026'!An_max)</f>
        <v>2021</v>
      </c>
      <c r="K299" s="196">
        <f t="shared" si="104"/>
        <v>46672</v>
      </c>
      <c r="L299" s="147">
        <f>IF(t&lt;Tvie,1-EXP((T0-t)*PertePVj)+'2026'!Pspv,1-EXP((T0-t)*PertePVj)+Pspv)</f>
        <v>7.1011427163516022E-2</v>
      </c>
      <c r="M299" s="847"/>
      <c r="N299" s="847"/>
      <c r="O299" s="48">
        <f>IF(t&lt;Tnet,'2026'!Resal+('2026'!Salim-'2026'!Resal)*(1-EXP(('2026'!Tnet-t)/('2026'!Tau_j))),Resal+(Salim-Resal)*(1-EXP((Tnet-t)/(Tau_j))))*Salcycl</f>
        <v>4.7604937361899927E-2</v>
      </c>
      <c r="P299" s="168">
        <f>(INDEX(Models!$BJ299:$BT299,,T299)*(1-R299)+INDEX(Models!$BJ299:$BT299,,T299+1)*R299-ERP_i)*Q299*Ramure*Pc/MaxiM</f>
        <v>2.6312042843990886E-4</v>
      </c>
      <c r="Q299" s="304">
        <f t="shared" si="105"/>
        <v>0.5</v>
      </c>
      <c r="R299" s="176">
        <f t="shared" si="106"/>
        <v>0.41805362106299293</v>
      </c>
      <c r="S299" s="814">
        <f t="shared" si="107"/>
        <v>0</v>
      </c>
      <c r="T299" s="175">
        <f t="shared" si="108"/>
        <v>6</v>
      </c>
      <c r="U299" s="250">
        <f t="shared" si="109"/>
        <v>0.41805362106299293</v>
      </c>
      <c r="V299" s="382">
        <f t="shared" si="110"/>
        <v>37.29378023803406</v>
      </c>
      <c r="W299" s="401">
        <f t="shared" si="111"/>
        <v>26.632517975235835</v>
      </c>
      <c r="X299" s="157">
        <f t="shared" si="112"/>
        <v>46672</v>
      </c>
      <c r="Y299" s="384">
        <f t="shared" si="113"/>
        <v>25.780009136233659</v>
      </c>
      <c r="Z299" s="384">
        <f t="shared" si="114"/>
        <v>27.750620287523525</v>
      </c>
      <c r="AA299" s="385">
        <f t="shared" si="115"/>
        <v>30.087454192942758</v>
      </c>
      <c r="AB299" s="196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7.7668050292116611E-2</v>
      </c>
      <c r="AD299" s="230">
        <f>(INDEX(Models!$BJ299:$BT299,,AH299)*(1-AF299)+INDEX(Models!$BJ299:$BT299,,AH299+1)*AF299-ERP_i)*AE299*Ramure*Pc/MaxiM</f>
        <v>1.0384296745803961E-3</v>
      </c>
      <c r="AE299" s="304">
        <f t="shared" si="117"/>
        <v>0.5</v>
      </c>
      <c r="AF299" s="176">
        <f t="shared" si="118"/>
        <v>0.53304616088738044</v>
      </c>
      <c r="AG299" s="814">
        <f t="shared" si="124"/>
        <v>2</v>
      </c>
      <c r="AH299" s="175">
        <f t="shared" si="119"/>
        <v>8</v>
      </c>
      <c r="AI299" s="224">
        <f t="shared" si="120"/>
        <v>2.5330461608873804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10">
        <f>'2026'!Wh/'2026'!Env_an*'2027'!Env_an</f>
        <v>21.560761063669666</v>
      </c>
      <c r="C300" s="843"/>
      <c r="D300" s="392">
        <f t="shared" si="102"/>
        <v>23.209362666490854</v>
      </c>
      <c r="E300" s="384">
        <f t="shared" si="125"/>
        <v>24.370327219864183</v>
      </c>
      <c r="F300" s="384">
        <f t="shared" si="103"/>
        <v>24.372920876705425</v>
      </c>
      <c r="G300" s="110">
        <f t="shared" si="126"/>
        <v>0.58233188392791158</v>
      </c>
      <c r="H300" s="413" t="b">
        <f>Wh_hp&gt;='2026'!Maxi_hp</f>
        <v>0</v>
      </c>
      <c r="I300" s="389">
        <f>IF(H300,Wh_hp,'2026'!Maxi_hp)</f>
        <v>39.212191078905711</v>
      </c>
      <c r="J300" s="85">
        <f>IF(H300,An,'2026'!An_max)</f>
        <v>2021</v>
      </c>
      <c r="K300" s="196">
        <f t="shared" si="104"/>
        <v>46673</v>
      </c>
      <c r="L300" s="147">
        <f>IF(t&lt;Tvie,1-EXP((T0-t)*PertePVj)+'2026'!Pspv,1-EXP((T0-t)*PertePVj)+Pspv)</f>
        <v>7.1031748114367715E-2</v>
      </c>
      <c r="M300" s="847"/>
      <c r="N300" s="847"/>
      <c r="O300" s="48">
        <f>IF(t&lt;Tnet,'2026'!Resal+('2026'!Salim-'2026'!Resal)*(1-EXP(('2026'!Tnet-t)/('2026'!Tau_j))),Resal+(Salim-Resal)*(1-EXP((Tnet-t)/(Tau_j))))*Salcycl</f>
        <v>4.7638447481617364E-2</v>
      </c>
      <c r="P300" s="168">
        <f>(INDEX(Models!$BJ300:$BT300,,T300)*(1-R300)+INDEX(Models!$BJ300:$BT300,,T300+1)*R300-ERP_i)*Q300*Ramure*Pc/MaxiM</f>
        <v>2.6375584711756117E-4</v>
      </c>
      <c r="Q300" s="304">
        <f t="shared" si="105"/>
        <v>0.5</v>
      </c>
      <c r="R300" s="176">
        <f t="shared" si="106"/>
        <v>0.41812681286074943</v>
      </c>
      <c r="S300" s="814">
        <f t="shared" si="107"/>
        <v>0</v>
      </c>
      <c r="T300" s="175">
        <f t="shared" si="108"/>
        <v>6</v>
      </c>
      <c r="U300" s="250">
        <f t="shared" si="109"/>
        <v>0.41812681286074943</v>
      </c>
      <c r="V300" s="382">
        <f t="shared" si="110"/>
        <v>37.019041753028674</v>
      </c>
      <c r="W300" s="401">
        <f t="shared" si="111"/>
        <v>21.560761063669666</v>
      </c>
      <c r="X300" s="157">
        <f t="shared" si="112"/>
        <v>46673</v>
      </c>
      <c r="Y300" s="384">
        <f t="shared" si="113"/>
        <v>20.874715949545472</v>
      </c>
      <c r="Z300" s="384">
        <f t="shared" si="114"/>
        <v>22.470860448862158</v>
      </c>
      <c r="AA300" s="385">
        <f t="shared" si="115"/>
        <v>24.362719065706635</v>
      </c>
      <c r="AB300" s="196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7.7653837067287318E-2</v>
      </c>
      <c r="AD300" s="230">
        <f>(INDEX(Models!$BJ300:$BT300,,AH300)*(1-AF300)+INDEX(Models!$BJ300:$BT300,,AH300+1)*AF300-ERP_i)*AE300*Ramure*Pc/MaxiM</f>
        <v>1.0374492335809271E-3</v>
      </c>
      <c r="AE300" s="304">
        <f t="shared" si="117"/>
        <v>0.5</v>
      </c>
      <c r="AF300" s="176">
        <f t="shared" si="118"/>
        <v>0.53311935268513677</v>
      </c>
      <c r="AG300" s="814">
        <f t="shared" si="124"/>
        <v>2</v>
      </c>
      <c r="AH300" s="175">
        <f t="shared" si="119"/>
        <v>8</v>
      </c>
      <c r="AI300" s="224">
        <f t="shared" si="120"/>
        <v>2.5331193526851368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10">
        <f>'2026'!Wh/'2026'!Env_an*'2027'!Env_an</f>
        <v>16.947389060320138</v>
      </c>
      <c r="C301" s="843"/>
      <c r="D301" s="392">
        <f t="shared" si="102"/>
        <v>18.243637224259107</v>
      </c>
      <c r="E301" s="384">
        <f t="shared" si="125"/>
        <v>19.156867846691515</v>
      </c>
      <c r="F301" s="384">
        <f t="shared" si="103"/>
        <v>19.158034131034309</v>
      </c>
      <c r="G301" s="110">
        <f t="shared" si="126"/>
        <v>0.46117359541883096</v>
      </c>
      <c r="H301" s="413" t="b">
        <f>Wh_hp&gt;='2026'!Maxi_hp</f>
        <v>0</v>
      </c>
      <c r="I301" s="389">
        <f>IF(H301,Wh_hp,'2026'!Maxi_hp)</f>
        <v>43.45780557148769</v>
      </c>
      <c r="J301" s="85">
        <f>IF(H301,An,'2026'!An_max)</f>
        <v>2021</v>
      </c>
      <c r="K301" s="196">
        <f t="shared" si="104"/>
        <v>46674</v>
      </c>
      <c r="L301" s="147">
        <f>IF(t&lt;Tvie,1-EXP((T0-t)*PertePVj)+'2026'!Pspv,1-EXP((T0-t)*PertePVj)+Pspv)</f>
        <v>7.1052068620138437E-2</v>
      </c>
      <c r="M301" s="847"/>
      <c r="N301" s="847"/>
      <c r="O301" s="48">
        <f>IF(t&lt;Tnet,'2026'!Resal+('2026'!Salim-'2026'!Resal)*(1-EXP(('2026'!Tnet-t)/('2026'!Tau_j))),Resal+(Salim-Resal)*(1-EXP((Tnet-t)/(Tau_j))))*Salcycl</f>
        <v>4.7671186633473021E-2</v>
      </c>
      <c r="P301" s="168">
        <f>(INDEX(Models!$BJ301:$BT301,,T301)*(1-R301)+INDEX(Models!$BJ301:$BT301,,T301+1)*R301-ERP_i)*Q301*Ramure*Pc/MaxiM</f>
        <v>2.6424388019439626E-4</v>
      </c>
      <c r="Q301" s="304">
        <f t="shared" si="105"/>
        <v>0.5</v>
      </c>
      <c r="R301" s="176">
        <f t="shared" si="106"/>
        <v>0.41819709148521789</v>
      </c>
      <c r="S301" s="814">
        <f t="shared" si="107"/>
        <v>0</v>
      </c>
      <c r="T301" s="175">
        <f t="shared" si="108"/>
        <v>6</v>
      </c>
      <c r="U301" s="250">
        <f t="shared" si="109"/>
        <v>0.41819709148521789</v>
      </c>
      <c r="V301" s="382">
        <f t="shared" si="110"/>
        <v>36.740920299398041</v>
      </c>
      <c r="W301" s="401">
        <f t="shared" si="111"/>
        <v>16.947389060320138</v>
      </c>
      <c r="X301" s="157">
        <f t="shared" si="112"/>
        <v>46674</v>
      </c>
      <c r="Y301" s="384">
        <f t="shared" si="113"/>
        <v>16.411182257357275</v>
      </c>
      <c r="Z301" s="384">
        <f t="shared" si="114"/>
        <v>17.666417786172435</v>
      </c>
      <c r="AA301" s="385">
        <f t="shared" si="115"/>
        <v>19.15346429370447</v>
      </c>
      <c r="AB301" s="196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7.7638514094852826E-2</v>
      </c>
      <c r="AD301" s="230">
        <f>(INDEX(Models!$BJ301:$BT301,,AH301)*(1-AF301)+INDEX(Models!$BJ301:$BT301,,AH301+1)*AF301-ERP_i)*AE301*Ramure*Pc/MaxiM</f>
        <v>1.0353834854725718E-3</v>
      </c>
      <c r="AE301" s="304">
        <f t="shared" si="117"/>
        <v>0.5</v>
      </c>
      <c r="AF301" s="176">
        <f t="shared" si="118"/>
        <v>0.53318963130960562</v>
      </c>
      <c r="AG301" s="814">
        <f t="shared" si="124"/>
        <v>2</v>
      </c>
      <c r="AH301" s="175">
        <f t="shared" si="119"/>
        <v>8</v>
      </c>
      <c r="AI301" s="224">
        <f t="shared" si="120"/>
        <v>2.5331896313096056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10">
        <f>'2026'!Wh/'2026'!Env_an*'2027'!Env_an</f>
        <v>36.172001722022848</v>
      </c>
      <c r="C302" s="843"/>
      <c r="D302" s="392">
        <f t="shared" si="102"/>
        <v>38.939526913895158</v>
      </c>
      <c r="E302" s="384">
        <f t="shared" si="125"/>
        <v>40.890114834552726</v>
      </c>
      <c r="F302" s="384">
        <f t="shared" si="103"/>
        <v>40.900814864851284</v>
      </c>
      <c r="G302" s="110">
        <f t="shared" si="126"/>
        <v>0.99212176089280668</v>
      </c>
      <c r="H302" s="413" t="b">
        <f>Wh_hp&gt;='2026'!Maxi_hp</f>
        <v>0</v>
      </c>
      <c r="I302" s="389">
        <f>IF(H302,Wh_hp,'2026'!Maxi_hp)</f>
        <v>40.900899985726952</v>
      </c>
      <c r="J302" s="85">
        <f>IF(H302,An,'2026'!An_max)</f>
        <v>2025</v>
      </c>
      <c r="K302" s="196">
        <f t="shared" si="104"/>
        <v>46675</v>
      </c>
      <c r="L302" s="147">
        <f>IF(t&lt;Tvie,1-EXP((T0-t)*PertePVj)+'2026'!Pspv,1-EXP((T0-t)*PertePVj)+Pspv)</f>
        <v>7.1072388680837956E-2</v>
      </c>
      <c r="M302" s="847"/>
      <c r="N302" s="847"/>
      <c r="O302" s="48">
        <f>IF(t&lt;Tnet,'2026'!Resal+('2026'!Salim-'2026'!Resal)*(1-EXP(('2026'!Tnet-t)/('2026'!Tau_j))),Resal+(Salim-Resal)*(1-EXP((Tnet-t)/(Tau_j))))*Salcycl</f>
        <v>4.7703165631838518E-2</v>
      </c>
      <c r="P302" s="168">
        <f>(INDEX(Models!$BJ302:$BT302,,T302)*(1-R302)+INDEX(Models!$BJ302:$BT302,,T302+1)*R302-ERP_i)*Q302*Ramure*Pc/MaxiM</f>
        <v>2.645859199495141E-4</v>
      </c>
      <c r="Q302" s="304">
        <f t="shared" si="105"/>
        <v>0.5</v>
      </c>
      <c r="R302" s="176">
        <f t="shared" si="106"/>
        <v>0.41826457158883751</v>
      </c>
      <c r="S302" s="814">
        <f t="shared" si="107"/>
        <v>0</v>
      </c>
      <c r="T302" s="175">
        <f t="shared" si="108"/>
        <v>6</v>
      </c>
      <c r="U302" s="250">
        <f t="shared" si="109"/>
        <v>0.41826457158883751</v>
      </c>
      <c r="V302" s="382">
        <f t="shared" si="110"/>
        <v>36.459127746701284</v>
      </c>
      <c r="W302" s="401">
        <f t="shared" si="111"/>
        <v>36.172001722022848</v>
      </c>
      <c r="X302" s="157">
        <f t="shared" si="112"/>
        <v>46675</v>
      </c>
      <c r="Y302" s="384">
        <f t="shared" si="113"/>
        <v>35.008962806174623</v>
      </c>
      <c r="Z302" s="384">
        <f t="shared" si="114"/>
        <v>37.687503718894412</v>
      </c>
      <c r="AA302" s="385">
        <f t="shared" si="115"/>
        <v>40.859070650648</v>
      </c>
      <c r="AB302" s="196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7.7622101561511864E-2</v>
      </c>
      <c r="AD302" s="230">
        <f>(INDEX(Models!$BJ302:$BT302,,AH302)*(1-AF302)+INDEX(Models!$BJ302:$BT302,,AH302+1)*AF302-ERP_i)*AE302*Ramure*Pc/MaxiM</f>
        <v>1.0322336488181928E-3</v>
      </c>
      <c r="AE302" s="304">
        <f t="shared" si="117"/>
        <v>0.5</v>
      </c>
      <c r="AF302" s="176">
        <f t="shared" si="118"/>
        <v>0.53325711141322518</v>
      </c>
      <c r="AG302" s="814">
        <f t="shared" si="124"/>
        <v>2</v>
      </c>
      <c r="AH302" s="175">
        <f t="shared" si="119"/>
        <v>8</v>
      </c>
      <c r="AI302" s="224">
        <f t="shared" si="120"/>
        <v>2.5332571114132252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10">
        <f>'2026'!Wh/'2026'!Env_an*'2027'!Env_an</f>
        <v>32.545289814923173</v>
      </c>
      <c r="C303" s="843"/>
      <c r="D303" s="392">
        <f t="shared" si="102"/>
        <v>35.036101132588094</v>
      </c>
      <c r="E303" s="384">
        <f t="shared" si="125"/>
        <v>36.79236239489304</v>
      </c>
      <c r="F303" s="384">
        <f t="shared" si="103"/>
        <v>36.800711353908603</v>
      </c>
      <c r="G303" s="110">
        <f t="shared" si="126"/>
        <v>0.89970766570198912</v>
      </c>
      <c r="H303" s="413" t="b">
        <f>Wh_hp&gt;='2026'!Maxi_hp</f>
        <v>0</v>
      </c>
      <c r="I303" s="389">
        <f>IF(H303,Wh_hp,'2026'!Maxi_hp)</f>
        <v>39.25450354106809</v>
      </c>
      <c r="J303" s="85">
        <f>IF(H303,An,'2026'!An_max)</f>
        <v>2021</v>
      </c>
      <c r="K303" s="196">
        <f t="shared" si="104"/>
        <v>46676</v>
      </c>
      <c r="L303" s="147">
        <f>IF(t&lt;Tvie,1-EXP((T0-t)*PertePVj)+'2026'!Pspv,1-EXP((T0-t)*PertePVj)+Pspv)</f>
        <v>7.1092708296476043E-2</v>
      </c>
      <c r="M303" s="847"/>
      <c r="N303" s="847"/>
      <c r="O303" s="48">
        <f>IF(t&lt;Tnet,'2026'!Resal+('2026'!Salim-'2026'!Resal)*(1-EXP(('2026'!Tnet-t)/('2026'!Tau_j))),Resal+(Salim-Resal)*(1-EXP((Tnet-t)/(Tau_j))))*Salcycl</f>
        <v>4.773439779307901E-2</v>
      </c>
      <c r="P303" s="168">
        <f>(INDEX(Models!$BJ303:$BT303,,T303)*(1-R303)+INDEX(Models!$BJ303:$BT303,,T303+1)*R303-ERP_i)*Q303*Ramure*Pc/MaxiM</f>
        <v>2.6479503593374802E-4</v>
      </c>
      <c r="Q303" s="304">
        <f t="shared" si="105"/>
        <v>0.5</v>
      </c>
      <c r="R303" s="176">
        <f t="shared" si="106"/>
        <v>0.41832936341361732</v>
      </c>
      <c r="S303" s="814">
        <f t="shared" si="107"/>
        <v>0</v>
      </c>
      <c r="T303" s="175">
        <f t="shared" si="108"/>
        <v>6</v>
      </c>
      <c r="U303" s="250">
        <f t="shared" si="109"/>
        <v>0.41832936341361732</v>
      </c>
      <c r="V303" s="382">
        <f t="shared" si="110"/>
        <v>36.171810553500244</v>
      </c>
      <c r="W303" s="401">
        <f t="shared" si="111"/>
        <v>32.545289814923173</v>
      </c>
      <c r="X303" s="157">
        <f t="shared" si="112"/>
        <v>46676</v>
      </c>
      <c r="Y303" s="384">
        <f t="shared" si="113"/>
        <v>31.503804695803758</v>
      </c>
      <c r="Z303" s="384">
        <f t="shared" si="114"/>
        <v>33.914907307949861</v>
      </c>
      <c r="AA303" s="385">
        <f t="shared" si="115"/>
        <v>36.768297171909751</v>
      </c>
      <c r="AB303" s="196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7.7604623641364071E-2</v>
      </c>
      <c r="AD303" s="230">
        <f>(INDEX(Models!$BJ303:$BT303,,AH303)*(1-AF303)+INDEX(Models!$BJ303:$BT303,,AH303+1)*AF303-ERP_i)*AE303*Ramure*Pc/MaxiM</f>
        <v>1.0280460679168563E-3</v>
      </c>
      <c r="AE303" s="304">
        <f t="shared" si="117"/>
        <v>0.5</v>
      </c>
      <c r="AF303" s="176">
        <f t="shared" si="118"/>
        <v>0.53332190323800477</v>
      </c>
      <c r="AG303" s="814">
        <f t="shared" si="124"/>
        <v>2</v>
      </c>
      <c r="AH303" s="175">
        <f t="shared" si="119"/>
        <v>8</v>
      </c>
      <c r="AI303" s="224">
        <f t="shared" si="120"/>
        <v>2.5333219032380048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10">
        <f>'2026'!Wh/'2026'!Env_an*'2027'!Env_an</f>
        <v>19.497664745526851</v>
      </c>
      <c r="C304" s="843"/>
      <c r="D304" s="392">
        <f t="shared" si="102"/>
        <v>20.990352240983203</v>
      </c>
      <c r="E304" s="384">
        <f t="shared" si="125"/>
        <v>22.043245642131168</v>
      </c>
      <c r="F304" s="384">
        <f t="shared" si="103"/>
        <v>22.04527527618497</v>
      </c>
      <c r="G304" s="110">
        <f t="shared" si="126"/>
        <v>0.54334939584210518</v>
      </c>
      <c r="H304" s="413" t="b">
        <f>Wh_hp&gt;='2026'!Maxi_hp</f>
        <v>0</v>
      </c>
      <c r="I304" s="389">
        <f>IF(H304,Wh_hp,'2026'!Maxi_hp)</f>
        <v>36.49082251593331</v>
      </c>
      <c r="J304" s="85">
        <f>IF(H304,An,'2026'!An_max)</f>
        <v>2021</v>
      </c>
      <c r="K304" s="196">
        <f t="shared" si="104"/>
        <v>46677</v>
      </c>
      <c r="L304" s="147">
        <f>IF(t&lt;Tvie,1-EXP((T0-t)*PertePVj)+'2026'!Pspv,1-EXP((T0-t)*PertePVj)+Pspv)</f>
        <v>7.1113027467062245E-2</v>
      </c>
      <c r="M304" s="847"/>
      <c r="N304" s="847"/>
      <c r="O304" s="48">
        <f>IF(t&lt;Tnet,'2026'!Resal+('2026'!Salim-'2026'!Resal)*(1-EXP(('2026'!Tnet-t)/('2026'!Tau_j))),Resal+(Salim-Resal)*(1-EXP((Tnet-t)/(Tau_j))))*Salcycl</f>
        <v>4.7764898973659958E-2</v>
      </c>
      <c r="P304" s="168">
        <f>(INDEX(Models!$BJ304:$BT304,,T304)*(1-R304)+INDEX(Models!$BJ304:$BT304,,T304+1)*R304-ERP_i)*Q304*Ramure*Pc/MaxiM</f>
        <v>2.6472962272328207E-4</v>
      </c>
      <c r="Q304" s="304">
        <f t="shared" si="105"/>
        <v>0.5</v>
      </c>
      <c r="R304" s="176">
        <f t="shared" si="106"/>
        <v>0.41839157295276419</v>
      </c>
      <c r="S304" s="814">
        <f t="shared" si="107"/>
        <v>0</v>
      </c>
      <c r="T304" s="175">
        <f t="shared" si="108"/>
        <v>6</v>
      </c>
      <c r="U304" s="250">
        <f t="shared" si="109"/>
        <v>0.41839157295276419</v>
      </c>
      <c r="V304" s="382">
        <f t="shared" si="110"/>
        <v>35.878015250322306</v>
      </c>
      <c r="W304" s="401">
        <f t="shared" si="111"/>
        <v>19.497664745526851</v>
      </c>
      <c r="X304" s="157">
        <f t="shared" si="112"/>
        <v>46677</v>
      </c>
      <c r="Y304" s="384">
        <f t="shared" si="113"/>
        <v>18.882065917915455</v>
      </c>
      <c r="Z304" s="384">
        <f t="shared" si="114"/>
        <v>20.327624863148685</v>
      </c>
      <c r="AA304" s="385">
        <f t="shared" si="115"/>
        <v>22.037422735458602</v>
      </c>
      <c r="AB304" s="196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7.7586108540669871E-2</v>
      </c>
      <c r="AD304" s="230">
        <f>(INDEX(Models!$BJ304:$BT304,,AH304)*(1-AF304)+INDEX(Models!$BJ304:$BT304,,AH304+1)*AF304-ERP_i)*AE304*Ramure*Pc/MaxiM</f>
        <v>1.0242241156803598E-3</v>
      </c>
      <c r="AE304" s="304">
        <f t="shared" si="117"/>
        <v>0.5</v>
      </c>
      <c r="AF304" s="176">
        <f t="shared" si="118"/>
        <v>0.53338411277715192</v>
      </c>
      <c r="AG304" s="814">
        <f t="shared" si="124"/>
        <v>2</v>
      </c>
      <c r="AH304" s="175">
        <f t="shared" si="119"/>
        <v>8</v>
      </c>
      <c r="AI304" s="224">
        <f t="shared" si="120"/>
        <v>2.5333841127771519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10">
        <f>'2026'!Wh/'2026'!Env_an*'2027'!Env_an</f>
        <v>33.024364864126653</v>
      </c>
      <c r="C305" s="843"/>
      <c r="D305" s="392">
        <f t="shared" si="102"/>
        <v>35.553396958283393</v>
      </c>
      <c r="E305" s="384">
        <f t="shared" si="125"/>
        <v>37.33795274512137</v>
      </c>
      <c r="F305" s="384">
        <f t="shared" si="103"/>
        <v>37.346811374690674</v>
      </c>
      <c r="G305" s="110">
        <f t="shared" si="126"/>
        <v>0.9281783315819585</v>
      </c>
      <c r="H305" s="413" t="b">
        <f>Wh_hp&gt;='2026'!Maxi_hp</f>
        <v>0</v>
      </c>
      <c r="I305" s="389">
        <f>IF(H305,Wh_hp,'2026'!Maxi_hp)</f>
        <v>40.595682285029085</v>
      </c>
      <c r="J305" s="85">
        <f>IF(H305,An,'2026'!An_max)</f>
        <v>2020</v>
      </c>
      <c r="K305" s="196">
        <f t="shared" si="104"/>
        <v>46678</v>
      </c>
      <c r="L305" s="147">
        <f>IF(t&lt;Tvie,1-EXP((T0-t)*PertePVj)+'2026'!Pspv,1-EXP((T0-t)*PertePVj)+Pspv)</f>
        <v>7.1133346192606667E-2</v>
      </c>
      <c r="M305" s="847"/>
      <c r="N305" s="847"/>
      <c r="O305" s="48">
        <f>IF(t&lt;Tnet,'2026'!Resal+('2026'!Salim-'2026'!Resal)*(1-EXP(('2026'!Tnet-t)/('2026'!Tau_j))),Resal+(Salim-Resal)*(1-EXP((Tnet-t)/(Tau_j))))*Salcycl</f>
        <v>4.7794687593608137E-2</v>
      </c>
      <c r="P305" s="168">
        <f>(INDEX(Models!$BJ305:$BT305,,T305)*(1-R305)+INDEX(Models!$BJ305:$BT305,,T305+1)*R305-ERP_i)*Q305*Ramure*Pc/MaxiM</f>
        <v>2.6430823924172576E-4</v>
      </c>
      <c r="Q305" s="304">
        <f t="shared" si="105"/>
        <v>0.5</v>
      </c>
      <c r="R305" s="176">
        <f t="shared" si="106"/>
        <v>0.41845130210702847</v>
      </c>
      <c r="S305" s="814">
        <f t="shared" si="107"/>
        <v>0</v>
      </c>
      <c r="T305" s="175">
        <f t="shared" si="108"/>
        <v>6</v>
      </c>
      <c r="U305" s="250">
        <f t="shared" si="109"/>
        <v>0.41845130210702847</v>
      </c>
      <c r="V305" s="382">
        <f t="shared" si="110"/>
        <v>35.578798023554029</v>
      </c>
      <c r="W305" s="401">
        <f t="shared" si="111"/>
        <v>33.024364864126653</v>
      </c>
      <c r="X305" s="157">
        <f t="shared" si="112"/>
        <v>46678</v>
      </c>
      <c r="Y305" s="384">
        <f t="shared" si="113"/>
        <v>31.970086433205246</v>
      </c>
      <c r="Z305" s="384">
        <f t="shared" si="114"/>
        <v>34.418381047657306</v>
      </c>
      <c r="AA305" s="385">
        <f t="shared" si="115"/>
        <v>37.312591477346899</v>
      </c>
      <c r="AB305" s="196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7.7566588518696633E-2</v>
      </c>
      <c r="AD305" s="230">
        <f>(INDEX(Models!$BJ305:$BT305,,AH305)*(1-AF305)+INDEX(Models!$BJ305:$BT305,,AH305+1)*AF305-ERP_i)*AE305*Ramure*Pc/MaxiM</f>
        <v>1.0209932296200259E-3</v>
      </c>
      <c r="AE305" s="304">
        <f t="shared" si="117"/>
        <v>0.5</v>
      </c>
      <c r="AF305" s="176">
        <f t="shared" si="118"/>
        <v>0.53344384193141581</v>
      </c>
      <c r="AG305" s="814">
        <f t="shared" si="124"/>
        <v>2</v>
      </c>
      <c r="AH305" s="175">
        <f t="shared" si="119"/>
        <v>8</v>
      </c>
      <c r="AI305" s="224">
        <f t="shared" si="120"/>
        <v>2.5334438419314158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10">
        <f>'2026'!Wh/'2026'!Env_an*'2027'!Env_an</f>
        <v>14.854293011169272</v>
      </c>
      <c r="C306" s="843"/>
      <c r="D306" s="392">
        <f t="shared" si="102"/>
        <v>15.992196387084075</v>
      </c>
      <c r="E306" s="384">
        <f t="shared" si="125"/>
        <v>16.795416782298812</v>
      </c>
      <c r="F306" s="384">
        <f t="shared" si="103"/>
        <v>16.796182488292562</v>
      </c>
      <c r="G306" s="110">
        <f t="shared" si="126"/>
        <v>0.42100542388441115</v>
      </c>
      <c r="H306" s="413" t="b">
        <f>Wh_hp&gt;='2026'!Maxi_hp</f>
        <v>0</v>
      </c>
      <c r="I306" s="389">
        <f>IF(H306,Wh_hp,'2026'!Maxi_hp)</f>
        <v>39.260964769799557</v>
      </c>
      <c r="J306" s="85">
        <f>IF(H306,An,'2026'!An_max)</f>
        <v>2020</v>
      </c>
      <c r="K306" s="196">
        <f t="shared" si="104"/>
        <v>46679</v>
      </c>
      <c r="L306" s="147">
        <f>IF(t&lt;Tvie,1-EXP((T0-t)*PertePVj)+'2026'!Pspv,1-EXP((T0-t)*PertePVj)+Pspv)</f>
        <v>7.1153664473118744E-2</v>
      </c>
      <c r="M306" s="847"/>
      <c r="N306" s="847"/>
      <c r="O306" s="48">
        <f>IF(t&lt;Tnet,'2026'!Resal+('2026'!Salim-'2026'!Resal)*(1-EXP(('2026'!Tnet-t)/('2026'!Tau_j))),Resal+(Salim-Resal)*(1-EXP((Tnet-t)/(Tau_j))))*Salcycl</f>
        <v>4.7823784644705866E-2</v>
      </c>
      <c r="P306" s="168">
        <f>(INDEX(Models!$BJ306:$BT306,,T306)*(1-R306)+INDEX(Models!$BJ306:$BT306,,T306+1)*R306-ERP_i)*Q306*Ramure*Pc/MaxiM</f>
        <v>2.6352110565740612E-4</v>
      </c>
      <c r="Q306" s="304">
        <f t="shared" si="105"/>
        <v>0.5</v>
      </c>
      <c r="R306" s="176">
        <f t="shared" si="106"/>
        <v>0.41850864883588657</v>
      </c>
      <c r="S306" s="814">
        <f t="shared" si="107"/>
        <v>0</v>
      </c>
      <c r="T306" s="175">
        <f t="shared" si="108"/>
        <v>6</v>
      </c>
      <c r="U306" s="250">
        <f t="shared" si="109"/>
        <v>0.41850864883588657</v>
      </c>
      <c r="V306" s="382">
        <f t="shared" si="110"/>
        <v>35.275212100095125</v>
      </c>
      <c r="W306" s="401">
        <f t="shared" si="111"/>
        <v>14.854293011169272</v>
      </c>
      <c r="X306" s="157">
        <f t="shared" si="112"/>
        <v>46679</v>
      </c>
      <c r="Y306" s="384">
        <f t="shared" si="113"/>
        <v>14.388734947652956</v>
      </c>
      <c r="Z306" s="384">
        <f t="shared" si="114"/>
        <v>15.49097455338622</v>
      </c>
      <c r="AA306" s="385">
        <f t="shared" si="115"/>
        <v>16.793223543674873</v>
      </c>
      <c r="AB306" s="196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7.7546099883791728E-2</v>
      </c>
      <c r="AD306" s="230">
        <f>(INDEX(Models!$BJ306:$BT306,,AH306)*(1-AF306)+INDEX(Models!$BJ306:$BT306,,AH306+1)*AF306-ERP_i)*AE306*Ramure*Pc/MaxiM</f>
        <v>1.0183338821920472E-3</v>
      </c>
      <c r="AE306" s="304">
        <f t="shared" si="117"/>
        <v>0.5</v>
      </c>
      <c r="AF306" s="176">
        <f t="shared" si="118"/>
        <v>0.53350118866027429</v>
      </c>
      <c r="AG306" s="814">
        <f t="shared" si="124"/>
        <v>2</v>
      </c>
      <c r="AH306" s="175">
        <f t="shared" si="119"/>
        <v>8</v>
      </c>
      <c r="AI306" s="224">
        <f t="shared" si="120"/>
        <v>2.5335011886602743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10">
        <f>'2026'!Wh/'2026'!Env_an*'2027'!Env_an</f>
        <v>8.6957490518518163</v>
      </c>
      <c r="C307" s="843"/>
      <c r="D307" s="392">
        <f t="shared" si="102"/>
        <v>9.3620859948187132</v>
      </c>
      <c r="E307" s="384">
        <f t="shared" si="125"/>
        <v>9.8325975540323487</v>
      </c>
      <c r="F307" s="384">
        <f t="shared" si="103"/>
        <v>9.8325975540323487</v>
      </c>
      <c r="G307" s="110">
        <f t="shared" si="126"/>
        <v>0.24860988577793647</v>
      </c>
      <c r="H307" s="413" t="b">
        <f>Wh_hp&gt;='2026'!Maxi_hp</f>
        <v>0</v>
      </c>
      <c r="I307" s="389">
        <f>IF(H307,Wh_hp,'2026'!Maxi_hp)</f>
        <v>33.080208038674293</v>
      </c>
      <c r="J307" s="85">
        <f>IF(H307,An,'2026'!An_max)</f>
        <v>2020</v>
      </c>
      <c r="K307" s="196">
        <f t="shared" si="104"/>
        <v>46680</v>
      </c>
      <c r="L307" s="147">
        <f>IF(t&lt;Tvie,1-EXP((T0-t)*PertePVj)+'2026'!Pspv,1-EXP((T0-t)*PertePVj)+Pspv)</f>
        <v>7.1173982308608358E-2</v>
      </c>
      <c r="M307" s="847"/>
      <c r="N307" s="847"/>
      <c r="O307" s="48">
        <f>IF(t&lt;Tnet,'2026'!Resal+('2026'!Salim-'2026'!Resal)*(1-EXP(('2026'!Tnet-t)/('2026'!Tau_j))),Resal+(Salim-Resal)*(1-EXP((Tnet-t)/(Tau_j))))*Salcycl</f>
        <v>4.7852213682912197E-2</v>
      </c>
      <c r="P307" s="168">
        <f>(INDEX(Models!$BJ307:$BT307,,T307)*(1-R307)+INDEX(Models!$BJ307:$BT307,,T307+1)*R307-ERP_i)*Q307*Ramure*Pc/MaxiM</f>
        <v>2.6235830795712288E-4</v>
      </c>
      <c r="Q307" s="304">
        <f t="shared" si="105"/>
        <v>0.5</v>
      </c>
      <c r="R307" s="176">
        <f t="shared" si="106"/>
        <v>0.41856370730368259</v>
      </c>
      <c r="S307" s="814">
        <f t="shared" si="107"/>
        <v>0</v>
      </c>
      <c r="T307" s="175">
        <f t="shared" si="108"/>
        <v>6</v>
      </c>
      <c r="U307" s="250">
        <f t="shared" si="109"/>
        <v>0.41856370730368259</v>
      </c>
      <c r="V307" s="382">
        <f t="shared" si="110"/>
        <v>34.968310381709195</v>
      </c>
      <c r="W307" s="401">
        <f t="shared" si="111"/>
        <v>8.6957490518518163</v>
      </c>
      <c r="X307" s="157">
        <f t="shared" si="112"/>
        <v>46680</v>
      </c>
      <c r="Y307" s="384">
        <f t="shared" si="113"/>
        <v>8.4247571424810328</v>
      </c>
      <c r="Z307" s="384">
        <f t="shared" si="114"/>
        <v>9.0703285459432639</v>
      </c>
      <c r="AA307" s="385">
        <f t="shared" si="115"/>
        <v>9.8325975540323487</v>
      </c>
      <c r="AB307" s="196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7.7524682964012701E-2</v>
      </c>
      <c r="AD307" s="230">
        <f>(INDEX(Models!$BJ307:$BT307,,AH307)*(1-AF307)+INDEX(Models!$BJ307:$BT307,,AH307+1)*AF307-ERP_i)*AE307*Ramure*Pc/MaxiM</f>
        <v>1.0162266735888196E-3</v>
      </c>
      <c r="AE307" s="304">
        <f t="shared" si="117"/>
        <v>0.5</v>
      </c>
      <c r="AF307" s="176">
        <f t="shared" si="118"/>
        <v>0.53355624712806993</v>
      </c>
      <c r="AG307" s="814">
        <f t="shared" si="124"/>
        <v>2</v>
      </c>
      <c r="AH307" s="175">
        <f t="shared" si="119"/>
        <v>8</v>
      </c>
      <c r="AI307" s="224">
        <f t="shared" si="120"/>
        <v>2.5335562471280699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10">
        <f>'2026'!Wh/'2026'!Env_an*'2027'!Env_an</f>
        <v>14.756533871632316</v>
      </c>
      <c r="C308" s="843"/>
      <c r="D308" s="392">
        <f t="shared" si="102"/>
        <v>15.887643526360238</v>
      </c>
      <c r="E308" s="384">
        <f t="shared" si="125"/>
        <v>16.686597844585467</v>
      </c>
      <c r="F308" s="384">
        <f t="shared" si="103"/>
        <v>16.687379764464353</v>
      </c>
      <c r="G308" s="110">
        <f t="shared" si="126"/>
        <v>0.42567052139619466</v>
      </c>
      <c r="H308" s="413" t="b">
        <f>Wh_hp&gt;='2026'!Maxi_hp</f>
        <v>0</v>
      </c>
      <c r="I308" s="389">
        <f>IF(H308,Wh_hp,'2026'!Maxi_hp)</f>
        <v>24.658725492939233</v>
      </c>
      <c r="J308" s="85">
        <f>IF(H308,An,'2026'!An_max)</f>
        <v>2019</v>
      </c>
      <c r="K308" s="196">
        <f t="shared" si="104"/>
        <v>46681</v>
      </c>
      <c r="L308" s="147">
        <f>IF(t&lt;Tvie,1-EXP((T0-t)*PertePVj)+'2026'!Pspv,1-EXP((T0-t)*PertePVj)+Pspv)</f>
        <v>7.1194299699085167E-2</v>
      </c>
      <c r="M308" s="847"/>
      <c r="N308" s="847"/>
      <c r="O308" s="48">
        <f>IF(t&lt;Tnet,'2026'!Resal+('2026'!Salim-'2026'!Resal)*(1-EXP(('2026'!Tnet-t)/('2026'!Tau_j))),Resal+(Salim-Resal)*(1-EXP((Tnet-t)/(Tau_j))))*Salcycl</f>
        <v>4.788000080462642E-2</v>
      </c>
      <c r="P308" s="168">
        <f>(INDEX(Models!$BJ308:$BT308,,T308)*(1-R308)+INDEX(Models!$BJ308:$BT308,,T308+1)*R308-ERP_i)*Q308*Ramure*Pc/MaxiM</f>
        <v>2.6080987236364858E-4</v>
      </c>
      <c r="Q308" s="304">
        <f t="shared" si="105"/>
        <v>0.5</v>
      </c>
      <c r="R308" s="176">
        <f t="shared" si="106"/>
        <v>0.41861656802085379</v>
      </c>
      <c r="S308" s="814">
        <f t="shared" si="107"/>
        <v>0</v>
      </c>
      <c r="T308" s="175">
        <f t="shared" si="108"/>
        <v>6</v>
      </c>
      <c r="U308" s="250">
        <f t="shared" si="109"/>
        <v>0.41861656802085379</v>
      </c>
      <c r="V308" s="382">
        <f t="shared" si="110"/>
        <v>34.659145462769857</v>
      </c>
      <c r="W308" s="401">
        <f t="shared" si="111"/>
        <v>14.756533871632316</v>
      </c>
      <c r="X308" s="157">
        <f t="shared" si="112"/>
        <v>46681</v>
      </c>
      <c r="Y308" s="384">
        <f t="shared" si="113"/>
        <v>14.295491759062815</v>
      </c>
      <c r="Z308" s="384">
        <f t="shared" si="114"/>
        <v>15.391261869335381</v>
      </c>
      <c r="AA308" s="385">
        <f t="shared" si="115"/>
        <v>16.684337791103545</v>
      </c>
      <c r="AB308" s="196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7.750238205184623E-2</v>
      </c>
      <c r="AD308" s="230">
        <f>(INDEX(Models!$BJ308:$BT308,,AH308)*(1-AF308)+INDEX(Models!$BJ308:$BT308,,AH308+1)*AF308-ERP_i)*AE308*Ramure*Pc/MaxiM</f>
        <v>1.0146521470949872E-3</v>
      </c>
      <c r="AE308" s="304">
        <f t="shared" si="117"/>
        <v>0.5</v>
      </c>
      <c r="AF308" s="176">
        <f t="shared" si="118"/>
        <v>0.5336091078452414</v>
      </c>
      <c r="AG308" s="814">
        <f t="shared" si="124"/>
        <v>2</v>
      </c>
      <c r="AH308" s="175">
        <f t="shared" si="119"/>
        <v>8</v>
      </c>
      <c r="AI308" s="224">
        <f t="shared" si="120"/>
        <v>2.5336091078452414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10">
        <f>'2026'!Wh/'2026'!Env_an*'2027'!Env_an</f>
        <v>32.515037219845631</v>
      </c>
      <c r="C309" s="843"/>
      <c r="D309" s="392">
        <f t="shared" si="102"/>
        <v>35.008127606808287</v>
      </c>
      <c r="E309" s="384">
        <f t="shared" si="125"/>
        <v>36.769658034489176</v>
      </c>
      <c r="F309" s="384">
        <f t="shared" si="103"/>
        <v>36.778452622231107</v>
      </c>
      <c r="G309" s="110">
        <f t="shared" si="126"/>
        <v>0.94659562713329082</v>
      </c>
      <c r="H309" s="413" t="b">
        <f>Wh_hp&gt;='2026'!Maxi_hp</f>
        <v>0</v>
      </c>
      <c r="I309" s="389">
        <f>IF(H309,Wh_hp,'2026'!Maxi_hp)</f>
        <v>36.778958247256632</v>
      </c>
      <c r="J309" s="85">
        <f>IF(H309,An,'2026'!An_max)</f>
        <v>2025</v>
      </c>
      <c r="K309" s="196">
        <f t="shared" si="104"/>
        <v>46682</v>
      </c>
      <c r="L309" s="147">
        <f>IF(t&lt;Tvie,1-EXP((T0-t)*PertePVj)+'2026'!Pspv,1-EXP((T0-t)*PertePVj)+Pspv)</f>
        <v>7.1214616644559053E-2</v>
      </c>
      <c r="M309" s="847"/>
      <c r="N309" s="847"/>
      <c r="O309" s="48">
        <f>IF(t&lt;Tnet,'2026'!Resal+('2026'!Salim-'2026'!Resal)*(1-EXP(('2026'!Tnet-t)/('2026'!Tau_j))),Resal+(Salim-Resal)*(1-EXP((Tnet-t)/(Tau_j))))*Salcycl</f>
        <v>4.7907174606535784E-2</v>
      </c>
      <c r="P309" s="168">
        <f>(INDEX(Models!$BJ309:$BT309,,T309)*(1-R309)+INDEX(Models!$BJ309:$BT309,,T309+1)*R309-ERP_i)*Q309*Ramure*Pc/MaxiM</f>
        <v>2.5886584590576741E-4</v>
      </c>
      <c r="Q309" s="304">
        <f t="shared" si="105"/>
        <v>0.5</v>
      </c>
      <c r="R309" s="176">
        <f t="shared" si="106"/>
        <v>0.41866731798036133</v>
      </c>
      <c r="S309" s="814">
        <f t="shared" si="107"/>
        <v>0</v>
      </c>
      <c r="T309" s="175">
        <f t="shared" si="108"/>
        <v>6</v>
      </c>
      <c r="U309" s="250">
        <f t="shared" si="109"/>
        <v>0.41866731798036133</v>
      </c>
      <c r="V309" s="382">
        <f t="shared" si="110"/>
        <v>34.348769640550358</v>
      </c>
      <c r="W309" s="401">
        <f t="shared" si="111"/>
        <v>32.515037219845631</v>
      </c>
      <c r="X309" s="157">
        <f t="shared" si="112"/>
        <v>46682</v>
      </c>
      <c r="Y309" s="384">
        <f t="shared" si="113"/>
        <v>31.483148322394815</v>
      </c>
      <c r="Z309" s="384">
        <f t="shared" si="114"/>
        <v>33.897118631060962</v>
      </c>
      <c r="AA309" s="385">
        <f t="shared" si="115"/>
        <v>36.744017366764005</v>
      </c>
      <c r="AB309" s="196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7.7479245322754034E-2</v>
      </c>
      <c r="AD309" s="230">
        <f>(INDEX(Models!$BJ309:$BT309,,AH309)*(1-AF309)+INDEX(Models!$BJ309:$BT309,,AH309+1)*AF309-ERP_i)*AE309*Ramure*Pc/MaxiM</f>
        <v>1.0135906078887484E-3</v>
      </c>
      <c r="AE309" s="304">
        <f t="shared" si="117"/>
        <v>0.5</v>
      </c>
      <c r="AF309" s="176">
        <f t="shared" si="118"/>
        <v>0.53365985780474867</v>
      </c>
      <c r="AG309" s="814">
        <f t="shared" si="124"/>
        <v>2</v>
      </c>
      <c r="AH309" s="175">
        <f t="shared" si="119"/>
        <v>8</v>
      </c>
      <c r="AI309" s="224">
        <f t="shared" si="120"/>
        <v>2.5336598578047487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10">
        <f>'2026'!Wh/'2026'!Env_an*'2027'!Env_an</f>
        <v>18.19312775339089</v>
      </c>
      <c r="C310" s="843"/>
      <c r="D310" s="392">
        <f t="shared" si="102"/>
        <v>19.588514256891191</v>
      </c>
      <c r="E310" s="384">
        <f t="shared" si="125"/>
        <v>20.574738983489361</v>
      </c>
      <c r="F310" s="384">
        <f t="shared" si="103"/>
        <v>20.5765103317406</v>
      </c>
      <c r="G310" s="110">
        <f t="shared" si="126"/>
        <v>0.5343998259336098</v>
      </c>
      <c r="H310" s="413" t="b">
        <f>Wh_hp&gt;='2026'!Maxi_hp</f>
        <v>0</v>
      </c>
      <c r="I310" s="389">
        <f>IF(H310,Wh_hp,'2026'!Maxi_hp)</f>
        <v>38.121231488419959</v>
      </c>
      <c r="J310" s="85">
        <f>IF(H310,An,'2026'!An_max)</f>
        <v>2018</v>
      </c>
      <c r="K310" s="196">
        <f t="shared" si="104"/>
        <v>46683</v>
      </c>
      <c r="L310" s="147">
        <f>IF(t&lt;Tvie,1-EXP((T0-t)*PertePVj)+'2026'!Pspv,1-EXP((T0-t)*PertePVj)+Pspv)</f>
        <v>7.1234933145039675E-2</v>
      </c>
      <c r="M310" s="847"/>
      <c r="N310" s="847"/>
      <c r="O310" s="48">
        <f>IF(t&lt;Tnet,'2026'!Resal+('2026'!Salim-'2026'!Resal)*(1-EXP(('2026'!Tnet-t)/('2026'!Tau_j))),Resal+(Salim-Resal)*(1-EXP((Tnet-t)/(Tau_j))))*Salcycl</f>
        <v>4.7933766128920877E-2</v>
      </c>
      <c r="P310" s="168">
        <f>(INDEX(Models!$BJ310:$BT310,,T310)*(1-R310)+INDEX(Models!$BJ310:$BT310,,T310+1)*R310-ERP_i)*Q310*Ramure*Pc/MaxiM</f>
        <v>2.5698262712537491E-4</v>
      </c>
      <c r="Q310" s="304">
        <f t="shared" si="105"/>
        <v>0.5</v>
      </c>
      <c r="R310" s="176">
        <f t="shared" si="106"/>
        <v>0.4187160407894544</v>
      </c>
      <c r="S310" s="814">
        <f t="shared" si="107"/>
        <v>0</v>
      </c>
      <c r="T310" s="175">
        <f t="shared" si="108"/>
        <v>6</v>
      </c>
      <c r="U310" s="250">
        <f t="shared" si="109"/>
        <v>0.4187160407894544</v>
      </c>
      <c r="V310" s="382">
        <f t="shared" si="110"/>
        <v>34.038219059464765</v>
      </c>
      <c r="W310" s="401">
        <f t="shared" si="111"/>
        <v>18.19312775339089</v>
      </c>
      <c r="X310" s="157">
        <f t="shared" si="112"/>
        <v>46683</v>
      </c>
      <c r="Y310" s="384">
        <f t="shared" si="113"/>
        <v>17.624513355656745</v>
      </c>
      <c r="Z310" s="384">
        <f t="shared" si="114"/>
        <v>18.976287959815203</v>
      </c>
      <c r="AA310" s="385">
        <f t="shared" si="115"/>
        <v>20.569505703569266</v>
      </c>
      <c r="AB310" s="196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7.7455324727497221E-2</v>
      </c>
      <c r="AD310" s="230">
        <f>(INDEX(Models!$BJ310:$BT310,,AH310)*(1-AF310)+INDEX(Models!$BJ310:$BT310,,AH310+1)*AF310-ERP_i)*AE310*Ramure*Pc/MaxiM</f>
        <v>1.0162133551362574E-3</v>
      </c>
      <c r="AE310" s="304">
        <f t="shared" si="117"/>
        <v>0.5</v>
      </c>
      <c r="AF310" s="176">
        <f t="shared" si="118"/>
        <v>0.53370858061384174</v>
      </c>
      <c r="AG310" s="814">
        <f t="shared" si="124"/>
        <v>2</v>
      </c>
      <c r="AH310" s="175">
        <f t="shared" si="119"/>
        <v>8</v>
      </c>
      <c r="AI310" s="224">
        <f t="shared" si="120"/>
        <v>2.5337085806138417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10">
        <f>'2026'!Wh/'2026'!Env_an*'2027'!Env_an</f>
        <v>24.96938152043823</v>
      </c>
      <c r="C311" s="843"/>
      <c r="D311" s="392">
        <f t="shared" si="102"/>
        <v>26.885084948199808</v>
      </c>
      <c r="E311" s="384">
        <f t="shared" si="125"/>
        <v>28.239443246420343</v>
      </c>
      <c r="F311" s="384">
        <f t="shared" si="103"/>
        <v>28.243980279770774</v>
      </c>
      <c r="G311" s="110">
        <f t="shared" si="126"/>
        <v>0.74023414090048645</v>
      </c>
      <c r="H311" s="413" t="b">
        <f>Wh_hp&gt;='2026'!Maxi_hp</f>
        <v>0</v>
      </c>
      <c r="I311" s="389">
        <f>IF(H311,Wh_hp,'2026'!Maxi_hp)</f>
        <v>39.472897554741962</v>
      </c>
      <c r="J311" s="85">
        <f>IF(H311,An,'2026'!An_max)</f>
        <v>2021</v>
      </c>
      <c r="K311" s="196">
        <f t="shared" si="104"/>
        <v>46684</v>
      </c>
      <c r="L311" s="147">
        <f>IF(t&lt;Tvie,1-EXP((T0-t)*PertePVj)+'2026'!Pspv,1-EXP((T0-t)*PertePVj)+Pspv)</f>
        <v>7.1255249200536802E-2</v>
      </c>
      <c r="M311" s="847"/>
      <c r="N311" s="847"/>
      <c r="O311" s="48">
        <f>IF(t&lt;Tnet,'2026'!Resal+('2026'!Salim-'2026'!Resal)*(1-EXP(('2026'!Tnet-t)/('2026'!Tau_j))),Resal+(Salim-Resal)*(1-EXP((Tnet-t)/(Tau_j))))*Salcycl</f>
        <v>4.7959808782427588E-2</v>
      </c>
      <c r="P311" s="168">
        <f>(INDEX(Models!$BJ311:$BT311,,T311)*(1-R311)+INDEX(Models!$BJ311:$BT311,,T311+1)*R311-ERP_i)*Q311*Ramure*Pc/MaxiM</f>
        <v>2.5538253443360643E-4</v>
      </c>
      <c r="Q311" s="304">
        <f t="shared" si="105"/>
        <v>0.5</v>
      </c>
      <c r="R311" s="176">
        <f t="shared" si="106"/>
        <v>0.41876281679688998</v>
      </c>
      <c r="S311" s="814">
        <f t="shared" si="107"/>
        <v>0</v>
      </c>
      <c r="T311" s="175">
        <f t="shared" si="108"/>
        <v>6</v>
      </c>
      <c r="U311" s="250">
        <f t="shared" si="109"/>
        <v>0.41876281679688998</v>
      </c>
      <c r="V311" s="382">
        <f t="shared" si="110"/>
        <v>33.728538077268176</v>
      </c>
      <c r="W311" s="401">
        <f t="shared" si="111"/>
        <v>24.96938152043823</v>
      </c>
      <c r="X311" s="157">
        <f t="shared" si="112"/>
        <v>46684</v>
      </c>
      <c r="Y311" s="384">
        <f t="shared" si="113"/>
        <v>24.184751533167699</v>
      </c>
      <c r="Z311" s="384">
        <f t="shared" si="114"/>
        <v>26.04025649926901</v>
      </c>
      <c r="AA311" s="385">
        <f t="shared" si="115"/>
        <v>28.225799208637532</v>
      </c>
      <c r="AB311" s="196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7.7430675858408043E-2</v>
      </c>
      <c r="AD311" s="230">
        <f>(INDEX(Models!$BJ311:$BT311,,AH311)*(1-AF311)+INDEX(Models!$BJ311:$BT311,,AH311+1)*AF311-ERP_i)*AE311*Ramure*Pc/MaxiM</f>
        <v>1.0233841512943826E-3</v>
      </c>
      <c r="AE311" s="304">
        <f t="shared" si="117"/>
        <v>0.5</v>
      </c>
      <c r="AF311" s="176">
        <f t="shared" si="118"/>
        <v>0.5337553566212776</v>
      </c>
      <c r="AG311" s="814">
        <f t="shared" si="124"/>
        <v>2</v>
      </c>
      <c r="AH311" s="175">
        <f t="shared" si="119"/>
        <v>8</v>
      </c>
      <c r="AI311" s="224">
        <f t="shared" si="120"/>
        <v>2.5337553566212776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10">
        <f>'2026'!Wh/'2026'!Env_an*'2027'!Env_an</f>
        <v>21.255146187223783</v>
      </c>
      <c r="C312" s="843"/>
      <c r="D312" s="392">
        <f t="shared" si="102"/>
        <v>22.886386297028604</v>
      </c>
      <c r="E312" s="384">
        <f t="shared" si="125"/>
        <v>24.039951501547083</v>
      </c>
      <c r="F312" s="384">
        <f t="shared" si="103"/>
        <v>24.042883428706716</v>
      </c>
      <c r="G312" s="110">
        <f t="shared" si="126"/>
        <v>0.63590193157091524</v>
      </c>
      <c r="H312" s="413" t="b">
        <f>Wh_hp&gt;='2026'!Maxi_hp</f>
        <v>0</v>
      </c>
      <c r="I312" s="389">
        <f>IF(H312,Wh_hp,'2026'!Maxi_hp)</f>
        <v>37.235103928768822</v>
      </c>
      <c r="J312" s="85">
        <f>IF(H312,An,'2026'!An_max)</f>
        <v>2018</v>
      </c>
      <c r="K312" s="196">
        <f t="shared" si="104"/>
        <v>46685</v>
      </c>
      <c r="L312" s="147">
        <f>IF(t&lt;Tvie,1-EXP((T0-t)*PertePVj)+'2026'!Pspv,1-EXP((T0-t)*PertePVj)+Pspv)</f>
        <v>7.1275564811060094E-2</v>
      </c>
      <c r="M312" s="847"/>
      <c r="N312" s="847"/>
      <c r="O312" s="48">
        <f>IF(t&lt;Tnet,'2026'!Resal+('2026'!Salim-'2026'!Resal)*(1-EXP(('2026'!Tnet-t)/('2026'!Tau_j))),Resal+(Salim-Resal)*(1-EXP((Tnet-t)/(Tau_j))))*Salcycl</f>
        <v>4.7985338258450375E-2</v>
      </c>
      <c r="P312" s="168">
        <f>(INDEX(Models!$BJ312:$BT312,,T312)*(1-R312)+INDEX(Models!$BJ312:$BT312,,T312+1)*R312-ERP_i)*Q312*Ramure*Pc/MaxiM</f>
        <v>2.5406423122579212E-4</v>
      </c>
      <c r="Q312" s="304">
        <f t="shared" si="105"/>
        <v>0.5</v>
      </c>
      <c r="R312" s="176">
        <f t="shared" si="106"/>
        <v>0.41880772321573495</v>
      </c>
      <c r="S312" s="814">
        <f t="shared" si="107"/>
        <v>0</v>
      </c>
      <c r="T312" s="175">
        <f t="shared" si="108"/>
        <v>6</v>
      </c>
      <c r="U312" s="250">
        <f t="shared" si="109"/>
        <v>0.41880772321573495</v>
      </c>
      <c r="V312" s="382">
        <f t="shared" si="110"/>
        <v>33.420778569334104</v>
      </c>
      <c r="W312" s="401">
        <f t="shared" si="111"/>
        <v>21.255146187223783</v>
      </c>
      <c r="X312" s="157">
        <f t="shared" si="112"/>
        <v>46685</v>
      </c>
      <c r="Y312" s="384">
        <f t="shared" si="113"/>
        <v>20.590577297549547</v>
      </c>
      <c r="Z312" s="384">
        <f t="shared" si="114"/>
        <v>22.1708146328255</v>
      </c>
      <c r="AA312" s="385">
        <f t="shared" si="115"/>
        <v>24.030937985632601</v>
      </c>
      <c r="AB312" s="196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7.740535778999609E-2</v>
      </c>
      <c r="AD312" s="230">
        <f>(INDEX(Models!$BJ312:$BT312,,AH312)*(1-AF312)+INDEX(Models!$BJ312:$BT312,,AH312+1)*AF312-ERP_i)*AE312*Ramure*Pc/MaxiM</f>
        <v>1.0351245600709439E-3</v>
      </c>
      <c r="AE312" s="304">
        <f t="shared" si="117"/>
        <v>0.5</v>
      </c>
      <c r="AF312" s="176">
        <f t="shared" si="118"/>
        <v>0.5338002630401224</v>
      </c>
      <c r="AG312" s="814">
        <f t="shared" si="124"/>
        <v>2</v>
      </c>
      <c r="AH312" s="175">
        <f t="shared" si="119"/>
        <v>8</v>
      </c>
      <c r="AI312" s="224">
        <f t="shared" si="120"/>
        <v>2.5338002630401224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10">
        <f>'2026'!Wh/'2026'!Env_an*'2027'!Env_an</f>
        <v>17.005973326663856</v>
      </c>
      <c r="C313" s="843"/>
      <c r="D313" s="392">
        <f t="shared" si="102"/>
        <v>18.311508434177856</v>
      </c>
      <c r="E313" s="384">
        <f t="shared" si="125"/>
        <v>19.234987744028132</v>
      </c>
      <c r="F313" s="384">
        <f t="shared" si="103"/>
        <v>19.23647245914389</v>
      </c>
      <c r="G313" s="110">
        <f t="shared" si="126"/>
        <v>0.51343721193976555</v>
      </c>
      <c r="H313" s="413" t="b">
        <f>Wh_hp&gt;='2026'!Maxi_hp</f>
        <v>0</v>
      </c>
      <c r="I313" s="389">
        <f>IF(H313,Wh_hp,'2026'!Maxi_hp)</f>
        <v>37.759644135743372</v>
      </c>
      <c r="J313" s="85">
        <f>IF(H313,An,'2026'!An_max)</f>
        <v>2019</v>
      </c>
      <c r="K313" s="196">
        <f t="shared" si="104"/>
        <v>46686</v>
      </c>
      <c r="L313" s="147">
        <f>IF(t&lt;Tvie,1-EXP((T0-t)*PertePVj)+'2026'!Pspv,1-EXP((T0-t)*PertePVj)+Pspv)</f>
        <v>7.1295879976619431E-2</v>
      </c>
      <c r="M313" s="847"/>
      <c r="N313" s="847"/>
      <c r="O313" s="48">
        <f>IF(t&lt;Tnet,'2026'!Resal+('2026'!Salim-'2026'!Resal)*(1-EXP(('2026'!Tnet-t)/('2026'!Tau_j))),Resal+(Salim-Resal)*(1-EXP((Tnet-t)/(Tau_j))))*Salcycl</f>
        <v>4.8010392423410229E-2</v>
      </c>
      <c r="P313" s="168">
        <f>(INDEX(Models!$BJ313:$BT313,,T313)*(1-R313)+INDEX(Models!$BJ313:$BT313,,T313+1)*R313-ERP_i)*Q313*Ramure*Pc/MaxiM</f>
        <v>2.5302409608423732E-4</v>
      </c>
      <c r="Q313" s="304">
        <f t="shared" si="105"/>
        <v>0.5</v>
      </c>
      <c r="R313" s="176">
        <f t="shared" si="106"/>
        <v>0.41885083424187264</v>
      </c>
      <c r="S313" s="814">
        <f t="shared" si="107"/>
        <v>0</v>
      </c>
      <c r="T313" s="175">
        <f t="shared" si="108"/>
        <v>6</v>
      </c>
      <c r="U313" s="250">
        <f t="shared" si="109"/>
        <v>0.41885083424187264</v>
      </c>
      <c r="V313" s="382">
        <f t="shared" si="110"/>
        <v>33.11599225667306</v>
      </c>
      <c r="W313" s="401">
        <f t="shared" si="111"/>
        <v>17.005973326663856</v>
      </c>
      <c r="X313" s="157">
        <f t="shared" si="112"/>
        <v>46686</v>
      </c>
      <c r="Y313" s="384">
        <f t="shared" si="113"/>
        <v>16.477321842164557</v>
      </c>
      <c r="Z313" s="384">
        <f t="shared" si="114"/>
        <v>17.742272793782515</v>
      </c>
      <c r="AA313" s="385">
        <f t="shared" si="115"/>
        <v>19.230302712028752</v>
      </c>
      <c r="AB313" s="196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7.7379432894494074E-2</v>
      </c>
      <c r="AD313" s="230">
        <f>(INDEX(Models!$BJ313:$BT313,,AH313)*(1-AF313)+INDEX(Models!$BJ313:$BT313,,AH313+1)*AF313-ERP_i)*AE313*Ramure*Pc/MaxiM</f>
        <v>1.0514439236913268E-3</v>
      </c>
      <c r="AE313" s="304">
        <f t="shared" si="117"/>
        <v>0.5</v>
      </c>
      <c r="AF313" s="176">
        <f t="shared" si="118"/>
        <v>0.53384337406626026</v>
      </c>
      <c r="AG313" s="814">
        <f t="shared" si="124"/>
        <v>2</v>
      </c>
      <c r="AH313" s="175">
        <f t="shared" si="119"/>
        <v>8</v>
      </c>
      <c r="AI313" s="224">
        <f t="shared" si="120"/>
        <v>2.5338433740662603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10">
        <f>'2026'!Wh/'2026'!Env_an*'2027'!Env_an</f>
        <v>13.322303835774676</v>
      </c>
      <c r="C314" s="843"/>
      <c r="D314" s="392">
        <f t="shared" si="102"/>
        <v>14.345360347304918</v>
      </c>
      <c r="E314" s="384">
        <f t="shared" si="125"/>
        <v>15.069210019318044</v>
      </c>
      <c r="F314" s="384">
        <f t="shared" si="103"/>
        <v>15.069785559232647</v>
      </c>
      <c r="G314" s="110">
        <f t="shared" si="126"/>
        <v>0.40589237386121674</v>
      </c>
      <c r="H314" s="413" t="b">
        <f>Wh_hp&gt;='2026'!Maxi_hp</f>
        <v>0</v>
      </c>
      <c r="I314" s="389">
        <f>IF(H314,Wh_hp,'2026'!Maxi_hp)</f>
        <v>36.161643424321802</v>
      </c>
      <c r="J314" s="85">
        <f>IF(H314,An,'2026'!An_max)</f>
        <v>2021</v>
      </c>
      <c r="K314" s="196">
        <f t="shared" si="104"/>
        <v>46687</v>
      </c>
      <c r="L314" s="147">
        <f>IF(t&lt;Tvie,1-EXP((T0-t)*PertePVj)+'2026'!Pspv,1-EXP((T0-t)*PertePVj)+Pspv)</f>
        <v>7.1316194697224583E-2</v>
      </c>
      <c r="M314" s="847"/>
      <c r="N314" s="847"/>
      <c r="O314" s="48">
        <f>IF(t&lt;Tnet,'2026'!Resal+('2026'!Salim-'2026'!Resal)*(1-EXP(('2026'!Tnet-t)/('2026'!Tau_j))),Resal+(Salim-Resal)*(1-EXP((Tnet-t)/(Tau_j))))*Salcycl</f>
        <v>4.8035011197347662E-2</v>
      </c>
      <c r="P314" s="168">
        <f>(INDEX(Models!$BJ314:$BT314,,T314)*(1-R314)+INDEX(Models!$BJ314:$BT314,,T314+1)*R314-ERP_i)*Q314*Ramure*Pc/MaxiM</f>
        <v>2.5225828299164606E-4</v>
      </c>
      <c r="Q314" s="304">
        <f t="shared" si="105"/>
        <v>0.5</v>
      </c>
      <c r="R314" s="176">
        <f t="shared" si="106"/>
        <v>0.41889222116833902</v>
      </c>
      <c r="S314" s="814">
        <f t="shared" si="107"/>
        <v>0</v>
      </c>
      <c r="T314" s="175">
        <f t="shared" si="108"/>
        <v>6</v>
      </c>
      <c r="U314" s="250">
        <f t="shared" si="109"/>
        <v>0.41889222116833902</v>
      </c>
      <c r="V314" s="382">
        <f t="shared" si="110"/>
        <v>32.8152306468997</v>
      </c>
      <c r="W314" s="401">
        <f t="shared" si="111"/>
        <v>13.322303835774676</v>
      </c>
      <c r="X314" s="157">
        <f t="shared" si="112"/>
        <v>46687</v>
      </c>
      <c r="Y314" s="384">
        <f t="shared" si="113"/>
        <v>12.910409567412795</v>
      </c>
      <c r="Z314" s="384">
        <f t="shared" si="114"/>
        <v>13.901835580306757</v>
      </c>
      <c r="AA314" s="385">
        <f t="shared" si="115"/>
        <v>15.067338947135088</v>
      </c>
      <c r="AB314" s="196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7.7352966633165182E-2</v>
      </c>
      <c r="AD314" s="230">
        <f>(INDEX(Models!$BJ314:$BT314,,AH314)*(1-AF314)+INDEX(Models!$BJ314:$BT314,,AH314+1)*AF314-ERP_i)*AE314*Ramure*Pc/MaxiM</f>
        <v>1.0723464198003096E-3</v>
      </c>
      <c r="AE314" s="304">
        <f t="shared" si="117"/>
        <v>0.5</v>
      </c>
      <c r="AF314" s="176">
        <f t="shared" si="118"/>
        <v>0.53388476099272664</v>
      </c>
      <c r="AG314" s="814">
        <f t="shared" si="124"/>
        <v>2</v>
      </c>
      <c r="AH314" s="175">
        <f t="shared" si="119"/>
        <v>8</v>
      </c>
      <c r="AI314" s="224">
        <f t="shared" si="120"/>
        <v>2.5338847609927266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10">
        <f>'2026'!Wh/'2026'!Env_an*'2027'!Env_an</f>
        <v>17.553015116661118</v>
      </c>
      <c r="C315" s="843"/>
      <c r="D315" s="392">
        <f t="shared" si="102"/>
        <v>18.901373087518749</v>
      </c>
      <c r="E315" s="384">
        <f t="shared" si="125"/>
        <v>19.855618974003949</v>
      </c>
      <c r="F315" s="384">
        <f t="shared" si="103"/>
        <v>19.857331375675376</v>
      </c>
      <c r="G315" s="110">
        <f t="shared" si="126"/>
        <v>0.53967880971029447</v>
      </c>
      <c r="H315" s="413" t="b">
        <f>Wh_hp&gt;='2026'!Maxi_hp</f>
        <v>0</v>
      </c>
      <c r="I315" s="389">
        <f>IF(H315,Wh_hp,'2026'!Maxi_hp)</f>
        <v>36.883267903412836</v>
      </c>
      <c r="J315" s="85">
        <f>IF(H315,An,'2026'!An_max)</f>
        <v>2021</v>
      </c>
      <c r="K315" s="196">
        <f t="shared" si="104"/>
        <v>46688</v>
      </c>
      <c r="L315" s="147">
        <f>IF(t&lt;Tvie,1-EXP((T0-t)*PertePVj)+'2026'!Pspv,1-EXP((T0-t)*PertePVj)+Pspv)</f>
        <v>7.1336508972885099E-2</v>
      </c>
      <c r="M315" s="847"/>
      <c r="N315" s="847"/>
      <c r="O315" s="48">
        <f>IF(t&lt;Tnet,'2026'!Resal+('2026'!Salim-'2026'!Resal)*(1-EXP(('2026'!Tnet-t)/('2026'!Tau_j))),Resal+(Salim-Resal)*(1-EXP((Tnet-t)/(Tau_j))))*Salcycl</f>
        <v>4.8059236417386561E-2</v>
      </c>
      <c r="P315" s="168">
        <f>(INDEX(Models!$BJ315:$BT315,,T315)*(1-R315)+INDEX(Models!$BJ315:$BT315,,T315+1)*R315-ERP_i)*Q315*Ramure*Pc/MaxiM</f>
        <v>2.5176263906045868E-4</v>
      </c>
      <c r="Q315" s="304">
        <f t="shared" si="105"/>
        <v>0.5</v>
      </c>
      <c r="R315" s="176">
        <f t="shared" si="106"/>
        <v>0.41893195249560827</v>
      </c>
      <c r="S315" s="814">
        <f t="shared" si="107"/>
        <v>0</v>
      </c>
      <c r="T315" s="175">
        <f t="shared" si="108"/>
        <v>6</v>
      </c>
      <c r="U315" s="250">
        <f t="shared" si="109"/>
        <v>0.41893195249560827</v>
      </c>
      <c r="V315" s="382">
        <f t="shared" si="110"/>
        <v>32.519545042926261</v>
      </c>
      <c r="W315" s="401">
        <f t="shared" si="111"/>
        <v>17.553015116661118</v>
      </c>
      <c r="X315" s="157">
        <f t="shared" si="112"/>
        <v>46688</v>
      </c>
      <c r="Y315" s="384">
        <f t="shared" si="113"/>
        <v>17.008428348988925</v>
      </c>
      <c r="Z315" s="384">
        <f t="shared" si="114"/>
        <v>18.314953170149249</v>
      </c>
      <c r="AA315" s="385">
        <f t="shared" si="115"/>
        <v>19.849864321022341</v>
      </c>
      <c r="AB315" s="196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7.7326027324404356E-2</v>
      </c>
      <c r="AD315" s="230">
        <f>(INDEX(Models!$BJ315:$BT315,,AH315)*(1-AF315)+INDEX(Models!$BJ315:$BT315,,AH315+1)*AF315-ERP_i)*AE315*Ramure*Pc/MaxiM</f>
        <v>1.0978296837864875E-3</v>
      </c>
      <c r="AE315" s="304">
        <f t="shared" si="117"/>
        <v>0.5</v>
      </c>
      <c r="AF315" s="176">
        <f t="shared" si="118"/>
        <v>0.53392449231999572</v>
      </c>
      <c r="AG315" s="814">
        <f t="shared" si="124"/>
        <v>2</v>
      </c>
      <c r="AH315" s="175">
        <f t="shared" si="119"/>
        <v>8</v>
      </c>
      <c r="AI315" s="224">
        <f t="shared" si="120"/>
        <v>2.5339244923199957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10">
        <f>'2026'!Wh/'2026'!Env_an*'2027'!Env_an</f>
        <v>25.917103917088447</v>
      </c>
      <c r="C316" s="843"/>
      <c r="D316" s="392">
        <f t="shared" si="102"/>
        <v>27.908570862850922</v>
      </c>
      <c r="E316" s="384">
        <f t="shared" si="125"/>
        <v>29.318285246838879</v>
      </c>
      <c r="F316" s="384">
        <f t="shared" si="103"/>
        <v>29.323597223954998</v>
      </c>
      <c r="G316" s="110">
        <f t="shared" si="126"/>
        <v>0.80407354297025202</v>
      </c>
      <c r="H316" s="413" t="b">
        <f>Wh_hp&gt;='2026'!Maxi_hp</f>
        <v>0</v>
      </c>
      <c r="I316" s="389">
        <f>IF(H316,Wh_hp,'2026'!Maxi_hp)</f>
        <v>30.389582180422003</v>
      </c>
      <c r="J316" s="85">
        <f>IF(H316,An,'2026'!An_max)</f>
        <v>2019</v>
      </c>
      <c r="K316" s="196">
        <f t="shared" si="104"/>
        <v>46689</v>
      </c>
      <c r="L316" s="147">
        <f>IF(t&lt;Tvie,1-EXP((T0-t)*PertePVj)+'2026'!Pspv,1-EXP((T0-t)*PertePVj)+Pspv)</f>
        <v>7.135682280361097E-2</v>
      </c>
      <c r="M316" s="847"/>
      <c r="N316" s="847"/>
      <c r="O316" s="48">
        <f>IF(t&lt;Tnet,'2026'!Resal+('2026'!Salim-'2026'!Resal)*(1-EXP(('2026'!Tnet-t)/('2026'!Tau_j))),Resal+(Salim-Resal)*(1-EXP((Tnet-t)/(Tau_j))))*Salcycl</f>
        <v>4.8083111686757177E-2</v>
      </c>
      <c r="P316" s="168">
        <f>(INDEX(Models!$BJ316:$BT316,,T316)*(1-R316)+INDEX(Models!$BJ316:$BT316,,T316+1)*R316-ERP_i)*Q316*Ramure*Pc/MaxiM</f>
        <v>2.5153262224771722E-4</v>
      </c>
      <c r="Q316" s="304">
        <f t="shared" si="105"/>
        <v>0.5</v>
      </c>
      <c r="R316" s="176">
        <f t="shared" si="106"/>
        <v>0.41897009403794994</v>
      </c>
      <c r="S316" s="814">
        <f t="shared" si="107"/>
        <v>0</v>
      </c>
      <c r="T316" s="175">
        <f t="shared" si="108"/>
        <v>6</v>
      </c>
      <c r="U316" s="250">
        <f t="shared" si="109"/>
        <v>0.41897009403794994</v>
      </c>
      <c r="V316" s="382">
        <f t="shared" si="110"/>
        <v>32.22998655537819</v>
      </c>
      <c r="W316" s="401">
        <f t="shared" si="111"/>
        <v>25.917103917088447</v>
      </c>
      <c r="X316" s="157">
        <f t="shared" si="112"/>
        <v>46689</v>
      </c>
      <c r="Y316" s="384">
        <f t="shared" si="113"/>
        <v>25.105816051149461</v>
      </c>
      <c r="Z316" s="384">
        <f t="shared" si="114"/>
        <v>27.034943741195544</v>
      </c>
      <c r="AA316" s="385">
        <f t="shared" si="115"/>
        <v>29.299778083949711</v>
      </c>
      <c r="AB316" s="196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7.7298685889871446E-2</v>
      </c>
      <c r="AD316" s="230">
        <f>(INDEX(Models!$BJ316:$BT316,,AH316)*(1-AF316)+INDEX(Models!$BJ316:$BT316,,AH316+1)*AF316-ERP_i)*AE316*Ramure*Pc/MaxiM</f>
        <v>1.1278833877194641E-3</v>
      </c>
      <c r="AE316" s="304">
        <f t="shared" si="117"/>
        <v>0.5</v>
      </c>
      <c r="AF316" s="176">
        <f t="shared" si="118"/>
        <v>0.53396263386233755</v>
      </c>
      <c r="AG316" s="814">
        <f t="shared" si="124"/>
        <v>2</v>
      </c>
      <c r="AH316" s="175">
        <f t="shared" si="119"/>
        <v>8</v>
      </c>
      <c r="AI316" s="224">
        <f t="shared" si="120"/>
        <v>2.5339626338623376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10">
        <f>'2026'!Wh/'2026'!Env_an*'2027'!Env_an</f>
        <v>21.763131699780228</v>
      </c>
      <c r="C317" s="843"/>
      <c r="D317" s="392">
        <f t="shared" si="102"/>
        <v>23.435920595876333</v>
      </c>
      <c r="E317" s="384">
        <f t="shared" si="125"/>
        <v>24.620322632679102</v>
      </c>
      <c r="F317" s="384">
        <f t="shared" si="103"/>
        <v>24.623696826994081</v>
      </c>
      <c r="G317" s="110">
        <f t="shared" si="126"/>
        <v>0.68119133283354238</v>
      </c>
      <c r="H317" s="413" t="b">
        <f>Wh_hp&gt;='2026'!Maxi_hp</f>
        <v>0</v>
      </c>
      <c r="I317" s="389">
        <f>IF(H317,Wh_hp,'2026'!Maxi_hp)</f>
        <v>32.225870251285528</v>
      </c>
      <c r="J317" s="85">
        <f>IF(H317,An,'2026'!An_max)</f>
        <v>2018</v>
      </c>
      <c r="K317" s="196">
        <f t="shared" si="104"/>
        <v>46690</v>
      </c>
      <c r="L317" s="147">
        <f>IF(t&lt;Tvie,1-EXP((T0-t)*PertePVj)+'2026'!Pspv,1-EXP((T0-t)*PertePVj)+Pspv)</f>
        <v>7.1377136189411744E-2</v>
      </c>
      <c r="M317" s="847"/>
      <c r="N317" s="847"/>
      <c r="O317" s="48">
        <f>IF(t&lt;Tnet,'2026'!Resal+('2026'!Salim-'2026'!Resal)*(1-EXP(('2026'!Tnet-t)/('2026'!Tau_j))),Resal+(Salim-Resal)*(1-EXP((Tnet-t)/(Tau_j))))*Salcycl</f>
        <v>4.8106682210195192E-2</v>
      </c>
      <c r="P317" s="168">
        <f>(INDEX(Models!$BJ317:$BT317,,T317)*(1-R317)+INDEX(Models!$BJ317:$BT317,,T317+1)*R317-ERP_i)*Q317*Ramure*Pc/MaxiM</f>
        <v>2.5158395474361489E-4</v>
      </c>
      <c r="Q317" s="304">
        <f t="shared" si="105"/>
        <v>0.5</v>
      </c>
      <c r="R317" s="176">
        <f t="shared" si="106"/>
        <v>0.41900670902597559</v>
      </c>
      <c r="S317" s="814">
        <f t="shared" si="107"/>
        <v>0</v>
      </c>
      <c r="T317" s="175">
        <f t="shared" si="108"/>
        <v>6</v>
      </c>
      <c r="U317" s="250">
        <f t="shared" si="109"/>
        <v>0.41900670902597559</v>
      </c>
      <c r="V317" s="382">
        <f t="shared" si="110"/>
        <v>31.944972380764781</v>
      </c>
      <c r="W317" s="401">
        <f t="shared" si="111"/>
        <v>21.763131699780228</v>
      </c>
      <c r="X317" s="157">
        <f t="shared" si="112"/>
        <v>46690</v>
      </c>
      <c r="Y317" s="384">
        <f t="shared" si="113"/>
        <v>21.085878375936389</v>
      </c>
      <c r="Z317" s="384">
        <f t="shared" si="114"/>
        <v>22.706611260259997</v>
      </c>
      <c r="AA317" s="385">
        <f t="shared" si="115"/>
        <v>24.608104485343482</v>
      </c>
      <c r="AB317" s="196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7.7271015580091085E-2</v>
      </c>
      <c r="AD317" s="230">
        <f>(INDEX(Models!$BJ317:$BT317,,AH317)*(1-AF317)+INDEX(Models!$BJ317:$BT317,,AH317+1)*AF317-ERP_i)*AE317*Ramure*Pc/MaxiM</f>
        <v>1.1625836007005143E-3</v>
      </c>
      <c r="AE317" s="304">
        <f t="shared" si="117"/>
        <v>0.5</v>
      </c>
      <c r="AF317" s="176">
        <f t="shared" si="118"/>
        <v>0.5339992488503631</v>
      </c>
      <c r="AG317" s="814">
        <f t="shared" si="124"/>
        <v>2</v>
      </c>
      <c r="AH317" s="175">
        <f t="shared" si="119"/>
        <v>8</v>
      </c>
      <c r="AI317" s="224">
        <f t="shared" si="120"/>
        <v>2.5339992488503631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10">
        <f>'2026'!Wh/'2026'!Env_an*'2027'!Env_an</f>
        <v>20.917446111064571</v>
      </c>
      <c r="C318" s="843"/>
      <c r="D318" s="392">
        <f t="shared" si="102"/>
        <v>22.525725447850519</v>
      </c>
      <c r="E318" s="384">
        <f t="shared" si="125"/>
        <v>23.664707702160225</v>
      </c>
      <c r="F318" s="384">
        <f t="shared" si="103"/>
        <v>23.667788628198938</v>
      </c>
      <c r="G318" s="110">
        <f t="shared" si="126"/>
        <v>0.66056329201644692</v>
      </c>
      <c r="H318" s="413" t="b">
        <f>Wh_hp&gt;='2026'!Maxi_hp</f>
        <v>0</v>
      </c>
      <c r="I318" s="389">
        <f>IF(H318,Wh_hp,'2026'!Maxi_hp)</f>
        <v>35.005693815920047</v>
      </c>
      <c r="J318" s="85">
        <f>IF(H318,An,'2026'!An_max)</f>
        <v>2020</v>
      </c>
      <c r="K318" s="196">
        <f t="shared" si="104"/>
        <v>46691</v>
      </c>
      <c r="L318" s="147">
        <f>IF(t&lt;Tvie,1-EXP((T0-t)*PertePVj)+'2026'!Pspv,1-EXP((T0-t)*PertePVj)+Pspv)</f>
        <v>7.1397449130297191E-2</v>
      </c>
      <c r="M318" s="847"/>
      <c r="N318" s="847"/>
      <c r="O318" s="48">
        <f>IF(t&lt;Tnet,'2026'!Resal+('2026'!Salim-'2026'!Resal)*(1-EXP(('2026'!Tnet-t)/('2026'!Tau_j))),Resal+(Salim-Resal)*(1-EXP((Tnet-t)/(Tau_j))))*Salcycl</f>
        <v>4.8129994616655819E-2</v>
      </c>
      <c r="P318" s="168">
        <f>(INDEX(Models!$BJ318:$BT318,,T318)*(1-R318)+INDEX(Models!$BJ318:$BT318,,T318+1)*R318-ERP_i)*Q318*Ramure*Pc/MaxiM</f>
        <v>2.5266358198151108E-4</v>
      </c>
      <c r="Q318" s="304">
        <f t="shared" si="105"/>
        <v>0.5</v>
      </c>
      <c r="R318" s="176">
        <f t="shared" si="106"/>
        <v>0.41904185820549211</v>
      </c>
      <c r="S318" s="814">
        <f t="shared" si="107"/>
        <v>0</v>
      </c>
      <c r="T318" s="175">
        <f t="shared" si="108"/>
        <v>6</v>
      </c>
      <c r="U318" s="250">
        <f t="shared" si="109"/>
        <v>0.41904185820549211</v>
      </c>
      <c r="V318" s="382">
        <f t="shared" si="110"/>
        <v>31.662194761509312</v>
      </c>
      <c r="W318" s="401">
        <f t="shared" si="111"/>
        <v>20.917446111064571</v>
      </c>
      <c r="X318" s="157">
        <f t="shared" si="112"/>
        <v>46691</v>
      </c>
      <c r="Y318" s="384">
        <f t="shared" si="113"/>
        <v>20.267760033372006</v>
      </c>
      <c r="Z318" s="384">
        <f t="shared" si="114"/>
        <v>21.826086967335808</v>
      </c>
      <c r="AA318" s="385">
        <f t="shared" si="115"/>
        <v>23.653127677039034</v>
      </c>
      <c r="AB318" s="196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7.7243091681139658E-2</v>
      </c>
      <c r="AD318" s="230">
        <f>(INDEX(Models!$BJ318:$BT318,,AH318)*(1-AF318)+INDEX(Models!$BJ318:$BT318,,AH318+1)*AF318-ERP_i)*AE318*Ramure*Pc/MaxiM</f>
        <v>1.2023295557153412E-3</v>
      </c>
      <c r="AE318" s="304">
        <f t="shared" si="117"/>
        <v>0.5</v>
      </c>
      <c r="AF318" s="176">
        <f t="shared" si="118"/>
        <v>0.5340343980298794</v>
      </c>
      <c r="AG318" s="814">
        <f t="shared" si="124"/>
        <v>2</v>
      </c>
      <c r="AH318" s="175">
        <f t="shared" si="119"/>
        <v>8</v>
      </c>
      <c r="AI318" s="224">
        <f t="shared" si="120"/>
        <v>2.5340343980298794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10">
        <f>'2026'!Wh/'2026'!Env_an*'2027'!Env_an</f>
        <v>19.875142544481598</v>
      </c>
      <c r="C319" s="843"/>
      <c r="D319" s="392">
        <f t="shared" si="102"/>
        <v>21.403750495260418</v>
      </c>
      <c r="E319" s="384">
        <f t="shared" si="125"/>
        <v>22.486547387650088</v>
      </c>
      <c r="F319" s="384">
        <f t="shared" si="103"/>
        <v>22.489277555276807</v>
      </c>
      <c r="G319" s="110">
        <f t="shared" si="126"/>
        <v>0.633251912210546</v>
      </c>
      <c r="H319" s="413" t="b">
        <f>Wh_hp&gt;='2026'!Maxi_hp</f>
        <v>0</v>
      </c>
      <c r="I319" s="389">
        <f>IF(H319,Wh_hp,'2026'!Maxi_hp)</f>
        <v>32.902406059457448</v>
      </c>
      <c r="J319" s="85">
        <f>IF(H319,An,'2026'!An_max)</f>
        <v>2020</v>
      </c>
      <c r="K319" s="196">
        <f t="shared" si="104"/>
        <v>46692</v>
      </c>
      <c r="L319" s="147">
        <f>IF(t&lt;Tvie,1-EXP((T0-t)*PertePVj)+'2026'!Pspv,1-EXP((T0-t)*PertePVj)+Pspv)</f>
        <v>7.1417761626277193E-2</v>
      </c>
      <c r="M319" s="847"/>
      <c r="N319" s="847"/>
      <c r="O319" s="48">
        <f>IF(t&lt;Tnet,'2026'!Resal+('2026'!Salim-'2026'!Resal)*(1-EXP(('2026'!Tnet-t)/('2026'!Tau_j))),Resal+(Salim-Resal)*(1-EXP((Tnet-t)/(Tau_j))))*Salcycl</f>
        <v>4.8153096770398647E-2</v>
      </c>
      <c r="P319" s="168">
        <f>(INDEX(Models!$BJ319:$BT319,,T319)*(1-R319)+INDEX(Models!$BJ319:$BT319,,T319+1)*R319-ERP_i)*Q319*Ramure*Pc/MaxiM</f>
        <v>2.5493471761148912E-4</v>
      </c>
      <c r="Q319" s="304">
        <f t="shared" si="105"/>
        <v>0.5</v>
      </c>
      <c r="R319" s="176">
        <f t="shared" si="106"/>
        <v>0.4190755999327771</v>
      </c>
      <c r="S319" s="814">
        <f t="shared" si="107"/>
        <v>0</v>
      </c>
      <c r="T319" s="175">
        <f t="shared" si="108"/>
        <v>6</v>
      </c>
      <c r="U319" s="250">
        <f t="shared" si="109"/>
        <v>0.4190755999327771</v>
      </c>
      <c r="V319" s="382">
        <f t="shared" si="110"/>
        <v>31.381647319821329</v>
      </c>
      <c r="W319" s="401">
        <f t="shared" si="111"/>
        <v>19.875142544481598</v>
      </c>
      <c r="X319" s="157">
        <f t="shared" si="112"/>
        <v>46692</v>
      </c>
      <c r="Y319" s="384">
        <f t="shared" si="113"/>
        <v>19.259220531561809</v>
      </c>
      <c r="Z319" s="384">
        <f t="shared" si="114"/>
        <v>20.740457587570859</v>
      </c>
      <c r="AA319" s="385">
        <f t="shared" si="115"/>
        <v>22.475936854063896</v>
      </c>
      <c r="AB319" s="196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7.7214991204215003E-2</v>
      </c>
      <c r="AD319" s="230">
        <f>(INDEX(Models!$BJ319:$BT319,,AH319)*(1-AF319)+INDEX(Models!$BJ319:$BT319,,AH319+1)*AF319-ERP_i)*AE319*Ramure*Pc/MaxiM</f>
        <v>1.2457139492702489E-3</v>
      </c>
      <c r="AE319" s="304">
        <f t="shared" si="117"/>
        <v>0.5</v>
      </c>
      <c r="AF319" s="176">
        <f t="shared" si="118"/>
        <v>0.5340681397571645</v>
      </c>
      <c r="AG319" s="814">
        <f t="shared" si="124"/>
        <v>2</v>
      </c>
      <c r="AH319" s="175">
        <f t="shared" si="119"/>
        <v>8</v>
      </c>
      <c r="AI319" s="224">
        <f t="shared" si="120"/>
        <v>2.5340681397571645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10">
        <f>'2026'!Wh/'2026'!Env_an*'2027'!Env_an</f>
        <v>28.678572497917393</v>
      </c>
      <c r="C320" s="843"/>
      <c r="D320" s="392">
        <f t="shared" si="102"/>
        <v>30.884932587633063</v>
      </c>
      <c r="E320" s="384">
        <f t="shared" si="125"/>
        <v>32.448156178833912</v>
      </c>
      <c r="F320" s="384">
        <f t="shared" si="103"/>
        <v>32.455608895781957</v>
      </c>
      <c r="G320" s="110">
        <f t="shared" si="126"/>
        <v>0.92201536662290973</v>
      </c>
      <c r="H320" s="413" t="b">
        <f>Wh_hp&gt;='2026'!Maxi_hp</f>
        <v>0</v>
      </c>
      <c r="I320" s="389">
        <f>IF(H320,Wh_hp,'2026'!Maxi_hp)</f>
        <v>32.456277702775147</v>
      </c>
      <c r="J320" s="85">
        <f>IF(H320,An,'2026'!An_max)</f>
        <v>2025</v>
      </c>
      <c r="K320" s="196">
        <f t="shared" si="104"/>
        <v>46693</v>
      </c>
      <c r="L320" s="147">
        <f>IF(t&lt;Tvie,1-EXP((T0-t)*PertePVj)+'2026'!Pspv,1-EXP((T0-t)*PertePVj)+Pspv)</f>
        <v>7.1438073677361297E-2</v>
      </c>
      <c r="M320" s="847"/>
      <c r="N320" s="847"/>
      <c r="O320" s="48">
        <f>IF(t&lt;Tnet,'2026'!Resal+('2026'!Salim-'2026'!Resal)*(1-EXP(('2026'!Tnet-t)/('2026'!Tau_j))),Resal+(Salim-Resal)*(1-EXP((Tnet-t)/(Tau_j))))*Salcycl</f>
        <v>4.8176037571606226E-2</v>
      </c>
      <c r="P320" s="168">
        <f>(INDEX(Models!$BJ320:$BT320,,T320)*(1-R320)+INDEX(Models!$BJ320:$BT320,,T320+1)*R320-ERP_i)*Q320*Ramure*Pc/MaxiM</f>
        <v>2.5840639741004295E-4</v>
      </c>
      <c r="Q320" s="304">
        <f t="shared" si="105"/>
        <v>0.5</v>
      </c>
      <c r="R320" s="176">
        <f t="shared" si="106"/>
        <v>0.41910799026638956</v>
      </c>
      <c r="S320" s="814">
        <f t="shared" si="107"/>
        <v>0</v>
      </c>
      <c r="T320" s="175">
        <f t="shared" si="108"/>
        <v>6</v>
      </c>
      <c r="U320" s="250">
        <f t="shared" si="109"/>
        <v>0.41910799026638956</v>
      </c>
      <c r="V320" s="382">
        <f t="shared" si="110"/>
        <v>31.103328668351963</v>
      </c>
      <c r="W320" s="401">
        <f t="shared" si="111"/>
        <v>28.678572497917393</v>
      </c>
      <c r="X320" s="157">
        <f t="shared" si="112"/>
        <v>46693</v>
      </c>
      <c r="Y320" s="384">
        <f t="shared" si="113"/>
        <v>27.778912272290292</v>
      </c>
      <c r="Z320" s="384">
        <f t="shared" si="114"/>
        <v>29.916057814584804</v>
      </c>
      <c r="AA320" s="385">
        <f t="shared" si="115"/>
        <v>32.418324286425353</v>
      </c>
      <c r="AB320" s="196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7.7186792560044057E-2</v>
      </c>
      <c r="AD320" s="230">
        <f>(INDEX(Models!$BJ320:$BT320,,AH320)*(1-AF320)+INDEX(Models!$BJ320:$BT320,,AH320+1)*AF320-ERP_i)*AE320*Ramure*Pc/MaxiM</f>
        <v>1.2927609688985118E-3</v>
      </c>
      <c r="AE320" s="304">
        <f t="shared" si="117"/>
        <v>0.5</v>
      </c>
      <c r="AF320" s="176">
        <f t="shared" si="118"/>
        <v>0.53410053009077707</v>
      </c>
      <c r="AG320" s="814">
        <f t="shared" si="124"/>
        <v>2</v>
      </c>
      <c r="AH320" s="175">
        <f t="shared" si="119"/>
        <v>8</v>
      </c>
      <c r="AI320" s="224">
        <f t="shared" si="120"/>
        <v>2.5341005300907771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10">
        <f>'2026'!Wh/'2026'!Env_an*'2027'!Env_an</f>
        <v>9.2542344772438412</v>
      </c>
      <c r="C321" s="843"/>
      <c r="D321" s="392">
        <f t="shared" si="102"/>
        <v>9.9664186618818515</v>
      </c>
      <c r="E321" s="384">
        <f t="shared" si="125"/>
        <v>10.471114515095907</v>
      </c>
      <c r="F321" s="384">
        <f t="shared" si="103"/>
        <v>10.47111528913946</v>
      </c>
      <c r="G321" s="110">
        <f t="shared" si="126"/>
        <v>0.30011772876192111</v>
      </c>
      <c r="H321" s="413" t="b">
        <f>Wh_hp&gt;='2026'!Maxi_hp</f>
        <v>0</v>
      </c>
      <c r="I321" s="389">
        <f>IF(H321,Wh_hp,'2026'!Maxi_hp)</f>
        <v>31.704368019491852</v>
      </c>
      <c r="J321" s="85">
        <f>IF(H321,An,'2026'!An_max)</f>
        <v>2020</v>
      </c>
      <c r="K321" s="196">
        <f t="shared" si="104"/>
        <v>46694</v>
      </c>
      <c r="L321" s="147">
        <f>IF(t&lt;Tvie,1-EXP((T0-t)*PertePVj)+'2026'!Pspv,1-EXP((T0-t)*PertePVj)+Pspv)</f>
        <v>7.1458385283559384E-2</v>
      </c>
      <c r="M321" s="847"/>
      <c r="N321" s="847"/>
      <c r="O321" s="48">
        <f>IF(t&lt;Tnet,'2026'!Resal+('2026'!Salim-'2026'!Resal)*(1-EXP(('2026'!Tnet-t)/('2026'!Tau_j))),Resal+(Salim-Resal)*(1-EXP((Tnet-t)/(Tau_j))))*Salcycl</f>
        <v>4.8198866747799426E-2</v>
      </c>
      <c r="P321" s="168">
        <f>(INDEX(Models!$BJ321:$BT321,,T321)*(1-R321)+INDEX(Models!$BJ321:$BT321,,T321+1)*R321-ERP_i)*Q321*Ramure*Pc/MaxiM</f>
        <v>2.6308749424100832E-4</v>
      </c>
      <c r="Q321" s="304">
        <f t="shared" si="105"/>
        <v>0.5</v>
      </c>
      <c r="R321" s="176">
        <f t="shared" si="106"/>
        <v>0.41913908305562553</v>
      </c>
      <c r="S321" s="814">
        <f t="shared" si="107"/>
        <v>0</v>
      </c>
      <c r="T321" s="175">
        <f t="shared" si="108"/>
        <v>6</v>
      </c>
      <c r="U321" s="250">
        <f t="shared" si="109"/>
        <v>0.41913908305562553</v>
      </c>
      <c r="V321" s="382">
        <f t="shared" si="110"/>
        <v>30.827237450983926</v>
      </c>
      <c r="W321" s="401">
        <f t="shared" si="111"/>
        <v>9.2542344772438412</v>
      </c>
      <c r="X321" s="157">
        <f t="shared" si="112"/>
        <v>46694</v>
      </c>
      <c r="Y321" s="384">
        <f t="shared" si="113"/>
        <v>8.9726604006986417</v>
      </c>
      <c r="Z321" s="384">
        <f t="shared" si="114"/>
        <v>9.6631753046832767</v>
      </c>
      <c r="AA321" s="385">
        <f t="shared" si="115"/>
        <v>10.471111336369974</v>
      </c>
      <c r="AB321" s="196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7.7158575220229189E-2</v>
      </c>
      <c r="AD321" s="230">
        <f>(INDEX(Models!$BJ321:$BT321,,AH321)*(1-AF321)+INDEX(Models!$BJ321:$BT321,,AH321+1)*AF321-ERP_i)*AE321*Ramure*Pc/MaxiM</f>
        <v>1.3434957466668587E-3</v>
      </c>
      <c r="AE321" s="304">
        <f t="shared" si="117"/>
        <v>0.5</v>
      </c>
      <c r="AF321" s="176">
        <f t="shared" si="118"/>
        <v>0.53413162288001281</v>
      </c>
      <c r="AG321" s="814">
        <f t="shared" si="124"/>
        <v>2</v>
      </c>
      <c r="AH321" s="175">
        <f t="shared" si="119"/>
        <v>8</v>
      </c>
      <c r="AI321" s="224">
        <f t="shared" si="120"/>
        <v>2.5341316228800128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10">
        <f>'2026'!Wh/'2026'!Env_an*'2027'!Env_an</f>
        <v>13.660023265504726</v>
      </c>
      <c r="C322" s="843"/>
      <c r="D322" s="392">
        <f t="shared" si="102"/>
        <v>14.711588429046573</v>
      </c>
      <c r="E322" s="384">
        <f t="shared" si="125"/>
        <v>15.456947714336737</v>
      </c>
      <c r="F322" s="384">
        <f t="shared" si="103"/>
        <v>15.457821402140622</v>
      </c>
      <c r="G322" s="110">
        <f t="shared" si="126"/>
        <v>0.44699225523188246</v>
      </c>
      <c r="H322" s="413" t="b">
        <f>Wh_hp&gt;='2026'!Maxi_hp</f>
        <v>0</v>
      </c>
      <c r="I322" s="389">
        <f>IF(H322,Wh_hp,'2026'!Maxi_hp)</f>
        <v>22.319752291324583</v>
      </c>
      <c r="J322" s="85">
        <f>IF(H322,An,'2026'!An_max)</f>
        <v>2018</v>
      </c>
      <c r="K322" s="196">
        <f t="shared" si="104"/>
        <v>46695</v>
      </c>
      <c r="L322" s="147">
        <f>IF(t&lt;Tvie,1-EXP((T0-t)*PertePVj)+'2026'!Pspv,1-EXP((T0-t)*PertePVj)+Pspv)</f>
        <v>7.1478696444881223E-2</v>
      </c>
      <c r="M322" s="847"/>
      <c r="N322" s="847"/>
      <c r="O322" s="48">
        <f>IF(t&lt;Tnet,'2026'!Resal+('2026'!Salim-'2026'!Resal)*(1-EXP(('2026'!Tnet-t)/('2026'!Tau_j))),Resal+(Salim-Resal)*(1-EXP((Tnet-t)/(Tau_j))))*Salcycl</f>
        <v>4.822163463740145E-2</v>
      </c>
      <c r="P322" s="168">
        <f>(INDEX(Models!$BJ322:$BT322,,T322)*(1-R322)+INDEX(Models!$BJ322:$BT322,,T322+1)*R322-ERP_i)*Q322*Ramure*Pc/MaxiM</f>
        <v>2.6898681677597121E-4</v>
      </c>
      <c r="Q322" s="304">
        <f t="shared" si="105"/>
        <v>0.5</v>
      </c>
      <c r="R322" s="176">
        <f t="shared" si="106"/>
        <v>0.41916893002572891</v>
      </c>
      <c r="S322" s="814">
        <f t="shared" si="107"/>
        <v>0</v>
      </c>
      <c r="T322" s="175">
        <f t="shared" si="108"/>
        <v>6</v>
      </c>
      <c r="U322" s="250">
        <f t="shared" si="109"/>
        <v>0.41916893002572891</v>
      </c>
      <c r="V322" s="382">
        <f t="shared" si="110"/>
        <v>30.553372346649912</v>
      </c>
      <c r="W322" s="401">
        <f t="shared" si="111"/>
        <v>13.660023265504726</v>
      </c>
      <c r="X322" s="157">
        <f t="shared" si="112"/>
        <v>46695</v>
      </c>
      <c r="Y322" s="384">
        <f t="shared" si="113"/>
        <v>13.241979134519909</v>
      </c>
      <c r="Z322" s="384">
        <f t="shared" si="114"/>
        <v>14.261362753680579</v>
      </c>
      <c r="AA322" s="385">
        <f t="shared" si="115"/>
        <v>15.45328078092078</v>
      </c>
      <c r="AB322" s="196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7.7130419367762368E-2</v>
      </c>
      <c r="AD322" s="230">
        <f>(INDEX(Models!$BJ322:$BT322,,AH322)*(1-AF322)+INDEX(Models!$BJ322:$BT322,,AH322+1)*AF322-ERP_i)*AE322*Ramure*Pc/MaxiM</f>
        <v>1.3979447151250424E-3</v>
      </c>
      <c r="AE322" s="304">
        <f t="shared" si="117"/>
        <v>0.5</v>
      </c>
      <c r="AF322" s="176">
        <f t="shared" si="118"/>
        <v>0.53416146985011626</v>
      </c>
      <c r="AG322" s="814">
        <f t="shared" si="124"/>
        <v>2</v>
      </c>
      <c r="AH322" s="175">
        <f t="shared" si="119"/>
        <v>8</v>
      </c>
      <c r="AI322" s="224">
        <f t="shared" si="120"/>
        <v>2.5341614698501163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10">
        <f>'2026'!Wh/'2026'!Env_an*'2027'!Env_an</f>
        <v>29.093242911868021</v>
      </c>
      <c r="C323" s="843"/>
      <c r="D323" s="392">
        <f t="shared" si="102"/>
        <v>31.333561446092357</v>
      </c>
      <c r="E323" s="384">
        <f t="shared" si="125"/>
        <v>32.921856390051353</v>
      </c>
      <c r="F323" s="384">
        <f t="shared" si="103"/>
        <v>32.930439117862072</v>
      </c>
      <c r="G323" s="110">
        <f t="shared" si="126"/>
        <v>0.96073739528977298</v>
      </c>
      <c r="H323" s="413" t="b">
        <f>Wh_hp&gt;='2026'!Maxi_hp</f>
        <v>0</v>
      </c>
      <c r="I323" s="389">
        <f>IF(H323,Wh_hp,'2026'!Maxi_hp)</f>
        <v>32.930809058994697</v>
      </c>
      <c r="J323" s="85">
        <f>IF(H323,An,'2026'!An_max)</f>
        <v>2025</v>
      </c>
      <c r="K323" s="196">
        <f t="shared" si="104"/>
        <v>46696</v>
      </c>
      <c r="L323" s="147">
        <f>IF(t&lt;Tvie,1-EXP((T0-t)*PertePVj)+'2026'!Pspv,1-EXP((T0-t)*PertePVj)+Pspv)</f>
        <v>7.1499007161336475E-2</v>
      </c>
      <c r="M323" s="847"/>
      <c r="N323" s="847"/>
      <c r="O323" s="48">
        <f>IF(t&lt;Tnet,'2026'!Resal+('2026'!Salim-'2026'!Resal)*(1-EXP(('2026'!Tnet-t)/('2026'!Tau_j))),Resal+(Salim-Resal)*(1-EXP((Tnet-t)/(Tau_j))))*Salcycl</f>
        <v>4.8244391966880712E-2</v>
      </c>
      <c r="P323" s="168">
        <f>(INDEX(Models!$BJ323:$BT323,,T323)*(1-R323)+INDEX(Models!$BJ323:$BT323,,T323+1)*R323-ERP_i)*Q323*Ramure*Pc/MaxiM</f>
        <v>2.7611321458003557E-4</v>
      </c>
      <c r="Q323" s="304">
        <f t="shared" si="105"/>
        <v>0.5</v>
      </c>
      <c r="R323" s="176">
        <f t="shared" si="106"/>
        <v>0.41919758085996256</v>
      </c>
      <c r="S323" s="814">
        <f t="shared" si="107"/>
        <v>0</v>
      </c>
      <c r="T323" s="175">
        <f t="shared" si="108"/>
        <v>6</v>
      </c>
      <c r="U323" s="250">
        <f t="shared" si="109"/>
        <v>0.41919758085996256</v>
      </c>
      <c r="V323" s="382">
        <f t="shared" si="110"/>
        <v>30.281732073470593</v>
      </c>
      <c r="W323" s="401">
        <f t="shared" si="111"/>
        <v>29.093242911868021</v>
      </c>
      <c r="X323" s="157">
        <f t="shared" si="112"/>
        <v>46696</v>
      </c>
      <c r="Y323" s="384">
        <f t="shared" si="113"/>
        <v>28.179680385591276</v>
      </c>
      <c r="Z323" s="384">
        <f t="shared" si="114"/>
        <v>30.349650245864392</v>
      </c>
      <c r="AA323" s="385">
        <f t="shared" si="115"/>
        <v>32.885176457298058</v>
      </c>
      <c r="AB323" s="196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7.7102405539045474E-2</v>
      </c>
      <c r="AD323" s="230">
        <f>(INDEX(Models!$BJ323:$BT323,,AH323)*(1-AF323)+INDEX(Models!$BJ323:$BT323,,AH323+1)*AF323-ERP_i)*AE323*Ramure*Pc/MaxiM</f>
        <v>1.4561359726649186E-3</v>
      </c>
      <c r="AE323" s="304">
        <f t="shared" si="117"/>
        <v>0.5</v>
      </c>
      <c r="AF323" s="176">
        <f t="shared" si="118"/>
        <v>0.53419012068435023</v>
      </c>
      <c r="AG323" s="814">
        <f t="shared" si="124"/>
        <v>2</v>
      </c>
      <c r="AH323" s="175">
        <f t="shared" si="119"/>
        <v>8</v>
      </c>
      <c r="AI323" s="224">
        <f t="shared" si="120"/>
        <v>2.5341901206843502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10">
        <f>'2026'!Wh/'2026'!Env_an*'2027'!Env_an</f>
        <v>29.951849949174097</v>
      </c>
      <c r="C324" s="843"/>
      <c r="D324" s="392">
        <f t="shared" si="102"/>
        <v>32.258990963994179</v>
      </c>
      <c r="E324" s="384">
        <f t="shared" si="125"/>
        <v>33.89500772933819</v>
      </c>
      <c r="F324" s="384">
        <f t="shared" si="103"/>
        <v>33.904613823892745</v>
      </c>
      <c r="G324" s="110">
        <f t="shared" si="126"/>
        <v>0.99798416571951043</v>
      </c>
      <c r="H324" s="413" t="b">
        <f>Wh_hp&gt;='2026'!Maxi_hp</f>
        <v>0</v>
      </c>
      <c r="I324" s="389">
        <f>IF(H324,Wh_hp,'2026'!Maxi_hp)</f>
        <v>33.904634030741668</v>
      </c>
      <c r="J324" s="85">
        <f>IF(H324,An,'2026'!An_max)</f>
        <v>2025</v>
      </c>
      <c r="K324" s="196">
        <f t="shared" si="104"/>
        <v>46697</v>
      </c>
      <c r="L324" s="147">
        <f>IF(t&lt;Tvie,1-EXP((T0-t)*PertePVj)+'2026'!Pspv,1-EXP((T0-t)*PertePVj)+Pspv)</f>
        <v>7.1519317432934909E-2</v>
      </c>
      <c r="M324" s="847"/>
      <c r="N324" s="847"/>
      <c r="O324" s="48">
        <f>IF(t&lt;Tnet,'2026'!Resal+('2026'!Salim-'2026'!Resal)*(1-EXP(('2026'!Tnet-t)/('2026'!Tau_j))),Resal+(Salim-Resal)*(1-EXP((Tnet-t)/(Tau_j))))*Salcycl</f>
        <v>4.8267189622970316E-2</v>
      </c>
      <c r="P324" s="168">
        <f>(INDEX(Models!$BJ324:$BT324,,T324)*(1-R324)+INDEX(Models!$BJ324:$BT324,,T324+1)*R324-ERP_i)*Q324*Ramure*Pc/MaxiM</f>
        <v>2.8414499886596906E-4</v>
      </c>
      <c r="Q324" s="304">
        <f t="shared" si="105"/>
        <v>0.5</v>
      </c>
      <c r="R324" s="176">
        <f t="shared" si="106"/>
        <v>0.41922508327864411</v>
      </c>
      <c r="S324" s="814">
        <f t="shared" si="107"/>
        <v>0</v>
      </c>
      <c r="T324" s="175">
        <f t="shared" si="108"/>
        <v>6</v>
      </c>
      <c r="U324" s="250">
        <f t="shared" si="109"/>
        <v>0.41922508327864411</v>
      </c>
      <c r="V324" s="382">
        <f t="shared" si="110"/>
        <v>30.012325317660796</v>
      </c>
      <c r="W324" s="401">
        <f t="shared" si="111"/>
        <v>29.951849949174097</v>
      </c>
      <c r="X324" s="157">
        <f t="shared" si="112"/>
        <v>46697</v>
      </c>
      <c r="Y324" s="384">
        <f t="shared" si="113"/>
        <v>29.009616713811656</v>
      </c>
      <c r="Z324" s="384">
        <f t="shared" si="114"/>
        <v>31.244179075008663</v>
      </c>
      <c r="AA324" s="385">
        <f t="shared" si="115"/>
        <v>33.853418226167832</v>
      </c>
      <c r="AB324" s="196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7.707461425984731E-2</v>
      </c>
      <c r="AD324" s="230">
        <f>(INDEX(Models!$BJ324:$BT324,,AH324)*(1-AF324)+INDEX(Models!$BJ324:$BT324,,AH324+1)*AF324-ERP_i)*AE324*Ramure*Pc/MaxiM</f>
        <v>1.5143483103227586E-3</v>
      </c>
      <c r="AE324" s="304">
        <f t="shared" si="117"/>
        <v>0.5</v>
      </c>
      <c r="AF324" s="176">
        <f t="shared" si="118"/>
        <v>0.53421762310303178</v>
      </c>
      <c r="AG324" s="814">
        <f t="shared" si="124"/>
        <v>2</v>
      </c>
      <c r="AH324" s="175">
        <f t="shared" si="119"/>
        <v>8</v>
      </c>
      <c r="AI324" s="224">
        <f t="shared" si="120"/>
        <v>2.5342176231030318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10">
        <f>'2026'!Wh/'2026'!Env_an*'2027'!Env_an</f>
        <v>28.921297126013421</v>
      </c>
      <c r="C325" s="843"/>
      <c r="D325" s="392">
        <f t="shared" si="102"/>
        <v>31.14973775418478</v>
      </c>
      <c r="E325" s="384">
        <f t="shared" si="125"/>
        <v>32.730285823353128</v>
      </c>
      <c r="F325" s="384">
        <f t="shared" si="103"/>
        <v>32.739486581387922</v>
      </c>
      <c r="G325" s="110">
        <f t="shared" si="126"/>
        <v>0.97229119963898314</v>
      </c>
      <c r="H325" s="413" t="b">
        <f>Wh_hp&gt;='2026'!Maxi_hp</f>
        <v>0</v>
      </c>
      <c r="I325" s="389">
        <f>IF(H325,Wh_hp,'2026'!Maxi_hp)</f>
        <v>32.739763800036776</v>
      </c>
      <c r="J325" s="85">
        <f>IF(H325,An,'2026'!An_max)</f>
        <v>2025</v>
      </c>
      <c r="K325" s="196">
        <f t="shared" si="104"/>
        <v>46698</v>
      </c>
      <c r="L325" s="147">
        <f>IF(t&lt;Tvie,1-EXP((T0-t)*PertePVj)+'2026'!Pspv,1-EXP((T0-t)*PertePVj)+Pspv)</f>
        <v>7.1539627259686295E-2</v>
      </c>
      <c r="M325" s="847"/>
      <c r="N325" s="847"/>
      <c r="O325" s="48">
        <f>IF(t&lt;Tnet,'2026'!Resal+('2026'!Salim-'2026'!Resal)*(1-EXP(('2026'!Tnet-t)/('2026'!Tau_j))),Resal+(Salim-Resal)*(1-EXP((Tnet-t)/(Tau_j))))*Salcycl</f>
        <v>4.8290078421515677E-2</v>
      </c>
      <c r="P325" s="168">
        <f>(INDEX(Models!$BJ325:$BT325,,T325)*(1-R325)+INDEX(Models!$BJ325:$BT325,,T325+1)*R325-ERP_i)*Q325*Ramure*Pc/MaxiM</f>
        <v>2.9260725145924336E-4</v>
      </c>
      <c r="Q325" s="304">
        <f t="shared" si="105"/>
        <v>0.5</v>
      </c>
      <c r="R325" s="176">
        <f t="shared" si="106"/>
        <v>0.41925148311524674</v>
      </c>
      <c r="S325" s="814">
        <f t="shared" si="107"/>
        <v>0</v>
      </c>
      <c r="T325" s="175">
        <f t="shared" si="108"/>
        <v>6</v>
      </c>
      <c r="U325" s="250">
        <f t="shared" si="109"/>
        <v>0.41925148311524674</v>
      </c>
      <c r="V325" s="382">
        <f t="shared" si="110"/>
        <v>29.745165024566262</v>
      </c>
      <c r="W325" s="401">
        <f t="shared" si="111"/>
        <v>28.921297126013421</v>
      </c>
      <c r="X325" s="157">
        <f t="shared" si="112"/>
        <v>46698</v>
      </c>
      <c r="Y325" s="384">
        <f t="shared" si="113"/>
        <v>28.013005156330625</v>
      </c>
      <c r="Z325" s="384">
        <f t="shared" si="114"/>
        <v>30.17146017083245</v>
      </c>
      <c r="AA325" s="385">
        <f t="shared" si="115"/>
        <v>32.690141620704594</v>
      </c>
      <c r="AB325" s="196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7.7047125677697101E-2</v>
      </c>
      <c r="AD325" s="230">
        <f>(INDEX(Models!$BJ325:$BT325,,AH325)*(1-AF325)+INDEX(Models!$BJ325:$BT325,,AH325+1)*AF325-ERP_i)*AE325*Ramure*Pc/MaxiM</f>
        <v>1.5692938847334445E-3</v>
      </c>
      <c r="AE325" s="304">
        <f t="shared" si="117"/>
        <v>0.5</v>
      </c>
      <c r="AF325" s="176">
        <f t="shared" si="118"/>
        <v>0.53424402293963436</v>
      </c>
      <c r="AG325" s="814">
        <f t="shared" si="124"/>
        <v>2</v>
      </c>
      <c r="AH325" s="175">
        <f t="shared" si="119"/>
        <v>8</v>
      </c>
      <c r="AI325" s="224">
        <f t="shared" si="120"/>
        <v>2.5342440229396344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10">
        <f>'2026'!Wh/'2026'!Env_an*'2027'!Env_an</f>
        <v>17.534460009541338</v>
      </c>
      <c r="C326" s="843"/>
      <c r="D326" s="392">
        <f t="shared" si="102"/>
        <v>18.885936423418453</v>
      </c>
      <c r="E326" s="384">
        <f t="shared" si="125"/>
        <v>19.844695350467759</v>
      </c>
      <c r="F326" s="384">
        <f t="shared" si="103"/>
        <v>19.847215370966147</v>
      </c>
      <c r="G326" s="110">
        <f t="shared" si="126"/>
        <v>0.59468286519612146</v>
      </c>
      <c r="H326" s="413" t="b">
        <f>Wh_hp&gt;='2026'!Maxi_hp</f>
        <v>0</v>
      </c>
      <c r="I326" s="389">
        <f>IF(H326,Wh_hp,'2026'!Maxi_hp)</f>
        <v>25.868696727513875</v>
      </c>
      <c r="J326" s="85">
        <f>IF(H326,An,'2026'!An_max)</f>
        <v>2021</v>
      </c>
      <c r="K326" s="196">
        <f t="shared" si="104"/>
        <v>46699</v>
      </c>
      <c r="L326" s="147">
        <f>IF(t&lt;Tvie,1-EXP((T0-t)*PertePVj)+'2026'!Pspv,1-EXP((T0-t)*PertePVj)+Pspv)</f>
        <v>7.1559936641600291E-2</v>
      </c>
      <c r="M326" s="847"/>
      <c r="N326" s="847"/>
      <c r="O326" s="48">
        <f>IF(t&lt;Tnet,'2026'!Resal+('2026'!Salim-'2026'!Resal)*(1-EXP(('2026'!Tnet-t)/('2026'!Tau_j))),Resal+(Salim-Resal)*(1-EXP((Tnet-t)/(Tau_j))))*Salcycl</f>
        <v>4.831310887454407E-2</v>
      </c>
      <c r="P326" s="168">
        <f>(INDEX(Models!$BJ326:$BT326,,T326)*(1-R326)+INDEX(Models!$BJ326:$BT326,,T326+1)*R326-ERP_i)*Q326*Ramure*Pc/MaxiM</f>
        <v>3.0150509944728204E-4</v>
      </c>
      <c r="Q326" s="304">
        <f t="shared" si="105"/>
        <v>0.5</v>
      </c>
      <c r="R326" s="176">
        <f t="shared" si="106"/>
        <v>0.41927682438966635</v>
      </c>
      <c r="S326" s="814">
        <f t="shared" si="107"/>
        <v>0</v>
      </c>
      <c r="T326" s="175">
        <f t="shared" si="108"/>
        <v>6</v>
      </c>
      <c r="U326" s="250">
        <f t="shared" si="109"/>
        <v>0.41927682438966635</v>
      </c>
      <c r="V326" s="382">
        <f t="shared" si="110"/>
        <v>29.480249533833103</v>
      </c>
      <c r="W326" s="401">
        <f t="shared" si="111"/>
        <v>17.534460009541338</v>
      </c>
      <c r="X326" s="157">
        <f t="shared" si="112"/>
        <v>46699</v>
      </c>
      <c r="Y326" s="384">
        <f t="shared" si="113"/>
        <v>16.996095911118502</v>
      </c>
      <c r="Z326" s="384">
        <f t="shared" si="114"/>
        <v>18.306077669289039</v>
      </c>
      <c r="AA326" s="385">
        <f t="shared" si="115"/>
        <v>19.833667089169715</v>
      </c>
      <c r="AB326" s="196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7.7020019193264885E-2</v>
      </c>
      <c r="AD326" s="230">
        <f>(INDEX(Models!$BJ326:$BT326,,AH326)*(1-AF326)+INDEX(Models!$BJ326:$BT326,,AH326+1)*AF326-ERP_i)*AE326*Ramure*Pc/MaxiM</f>
        <v>1.6209693742529976E-3</v>
      </c>
      <c r="AE326" s="304">
        <f t="shared" si="117"/>
        <v>0.5</v>
      </c>
      <c r="AF326" s="176">
        <f t="shared" si="118"/>
        <v>0.53426936421405369</v>
      </c>
      <c r="AG326" s="814">
        <f t="shared" si="124"/>
        <v>2</v>
      </c>
      <c r="AH326" s="175">
        <f t="shared" si="119"/>
        <v>8</v>
      </c>
      <c r="AI326" s="224">
        <f t="shared" si="120"/>
        <v>2.5342693642140537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10">
        <f>'2026'!Wh/'2026'!Env_an*'2027'!Env_an</f>
        <v>8.736139389253184</v>
      </c>
      <c r="C327" s="843"/>
      <c r="D327" s="392">
        <f t="shared" si="102"/>
        <v>9.4096871028971645</v>
      </c>
      <c r="E327" s="384">
        <f t="shared" si="125"/>
        <v>9.8876182930902186</v>
      </c>
      <c r="F327" s="384">
        <f t="shared" si="103"/>
        <v>9.8876182930902186</v>
      </c>
      <c r="G327" s="110">
        <f t="shared" si="126"/>
        <v>0.29890992465266353</v>
      </c>
      <c r="H327" s="413" t="b">
        <f>Wh_hp&gt;='2026'!Maxi_hp</f>
        <v>0</v>
      </c>
      <c r="I327" s="389">
        <f>IF(H327,Wh_hp,'2026'!Maxi_hp)</f>
        <v>23.871171034928089</v>
      </c>
      <c r="J327" s="85">
        <f>IF(H327,An,'2026'!An_max)</f>
        <v>2020</v>
      </c>
      <c r="K327" s="196">
        <f t="shared" si="104"/>
        <v>46700</v>
      </c>
      <c r="L327" s="147">
        <f>IF(t&lt;Tvie,1-EXP((T0-t)*PertePVj)+'2026'!Pspv,1-EXP((T0-t)*PertePVj)+Pspv)</f>
        <v>7.1580245578686669E-2</v>
      </c>
      <c r="M327" s="847"/>
      <c r="N327" s="847"/>
      <c r="O327" s="48">
        <f>IF(t&lt;Tnet,'2026'!Resal+('2026'!Salim-'2026'!Resal)*(1-EXP(('2026'!Tnet-t)/('2026'!Tau_j))),Resal+(Salim-Resal)*(1-EXP((Tnet-t)/(Tau_j))))*Salcycl</f>
        <v>4.8336330957177785E-2</v>
      </c>
      <c r="P327" s="168">
        <f>(INDEX(Models!$BJ327:$BT327,,T327)*(1-R327)+INDEX(Models!$BJ327:$BT327,,T327+1)*R327-ERP_i)*Q327*Ramure*Pc/MaxiM</f>
        <v>3.1084408375941488E-4</v>
      </c>
      <c r="Q327" s="304">
        <f t="shared" si="105"/>
        <v>0.5</v>
      </c>
      <c r="R327" s="176">
        <f t="shared" si="106"/>
        <v>0.41930114937874807</v>
      </c>
      <c r="S327" s="814">
        <f t="shared" si="107"/>
        <v>0</v>
      </c>
      <c r="T327" s="175">
        <f t="shared" si="108"/>
        <v>6</v>
      </c>
      <c r="U327" s="250">
        <f t="shared" si="109"/>
        <v>0.41930114937874807</v>
      </c>
      <c r="V327" s="382">
        <f t="shared" si="110"/>
        <v>29.21757724223265</v>
      </c>
      <c r="W327" s="401">
        <f t="shared" si="111"/>
        <v>8.736139389253184</v>
      </c>
      <c r="X327" s="157">
        <f t="shared" si="112"/>
        <v>46700</v>
      </c>
      <c r="Y327" s="384">
        <f t="shared" si="113"/>
        <v>8.4730717502030064</v>
      </c>
      <c r="Z327" s="384">
        <f t="shared" si="114"/>
        <v>9.1263372088461168</v>
      </c>
      <c r="AA327" s="385">
        <f t="shared" si="115"/>
        <v>9.8876182930902186</v>
      </c>
      <c r="AB327" s="196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7.699337309330706E-2</v>
      </c>
      <c r="AD327" s="230">
        <f>(INDEX(Models!$BJ327:$BT327,,AH327)*(1-AF327)+INDEX(Models!$BJ327:$BT327,,AH327+1)*AF327-ERP_i)*AE327*Ramure*Pc/MaxiM</f>
        <v>1.6693737394599232E-3</v>
      </c>
      <c r="AE327" s="304">
        <f t="shared" si="117"/>
        <v>0.5</v>
      </c>
      <c r="AF327" s="176">
        <f t="shared" si="118"/>
        <v>0.53429368920313536</v>
      </c>
      <c r="AG327" s="814">
        <f t="shared" si="124"/>
        <v>2</v>
      </c>
      <c r="AH327" s="175">
        <f t="shared" si="119"/>
        <v>8</v>
      </c>
      <c r="AI327" s="224">
        <f t="shared" si="120"/>
        <v>2.5342936892031354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10">
        <f>'2026'!Wh/'2026'!Env_an*'2027'!Env_an</f>
        <v>23.490762045075201</v>
      </c>
      <c r="C328" s="843"/>
      <c r="D328" s="392">
        <f t="shared" si="102"/>
        <v>25.302430056459279</v>
      </c>
      <c r="E328" s="384">
        <f t="shared" si="125"/>
        <v>26.588231448853971</v>
      </c>
      <c r="F328" s="384">
        <f t="shared" si="103"/>
        <v>26.594458890152456</v>
      </c>
      <c r="G328" s="110">
        <f t="shared" si="126"/>
        <v>0.8111548664392163</v>
      </c>
      <c r="H328" s="413" t="b">
        <f>Wh_hp&gt;='2026'!Maxi_hp</f>
        <v>0</v>
      </c>
      <c r="I328" s="389">
        <f>IF(H328,Wh_hp,'2026'!Maxi_hp)</f>
        <v>26.596155478556742</v>
      </c>
      <c r="J328" s="85">
        <f>IF(H328,An,'2026'!An_max)</f>
        <v>2025</v>
      </c>
      <c r="K328" s="196">
        <f t="shared" si="104"/>
        <v>46701</v>
      </c>
      <c r="L328" s="147">
        <f>IF(t&lt;Tvie,1-EXP((T0-t)*PertePVj)+'2026'!Pspv,1-EXP((T0-t)*PertePVj)+Pspv)</f>
        <v>7.1600554070955308E-2</v>
      </c>
      <c r="M328" s="847"/>
      <c r="N328" s="847"/>
      <c r="O328" s="48">
        <f>IF(t&lt;Tnet,'2026'!Resal+('2026'!Salim-'2026'!Resal)*(1-EXP(('2026'!Tnet-t)/('2026'!Tau_j))),Resal+(Salim-Resal)*(1-EXP((Tnet-t)/(Tau_j))))*Salcycl</f>
        <v>4.8359793876027478E-2</v>
      </c>
      <c r="P328" s="168">
        <f>(INDEX(Models!$BJ328:$BT328,,T328)*(1-R328)+INDEX(Models!$BJ328:$BT328,,T328+1)*R328-ERP_i)*Q328*Ramure*Pc/MaxiM</f>
        <v>3.2063019380673663E-4</v>
      </c>
      <c r="Q328" s="304">
        <f t="shared" si="105"/>
        <v>0.5</v>
      </c>
      <c r="R328" s="176">
        <f t="shared" si="106"/>
        <v>0.41932449868416916</v>
      </c>
      <c r="S328" s="814">
        <f t="shared" si="107"/>
        <v>0</v>
      </c>
      <c r="T328" s="175">
        <f t="shared" si="108"/>
        <v>6</v>
      </c>
      <c r="U328" s="250">
        <f t="shared" si="109"/>
        <v>0.41932449868416916</v>
      </c>
      <c r="V328" s="382">
        <f t="shared" si="110"/>
        <v>28.957146611030549</v>
      </c>
      <c r="W328" s="401">
        <f t="shared" si="111"/>
        <v>23.490762045075201</v>
      </c>
      <c r="X328" s="157">
        <f t="shared" si="112"/>
        <v>46701</v>
      </c>
      <c r="Y328" s="384">
        <f t="shared" si="113"/>
        <v>22.761401290447896</v>
      </c>
      <c r="Z328" s="384">
        <f t="shared" si="114"/>
        <v>24.516819123767007</v>
      </c>
      <c r="AA328" s="385">
        <f t="shared" si="115"/>
        <v>26.561158854450596</v>
      </c>
      <c r="AB328" s="196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7.6967264187761134E-2</v>
      </c>
      <c r="AD328" s="230">
        <f>(INDEX(Models!$BJ328:$BT328,,AH328)*(1-AF328)+INDEX(Models!$BJ328:$BT328,,AH328+1)*AF328-ERP_i)*AE328*Ramure*Pc/MaxiM</f>
        <v>1.7145078354181831E-3</v>
      </c>
      <c r="AE328" s="304">
        <f t="shared" si="117"/>
        <v>0.5</v>
      </c>
      <c r="AF328" s="176">
        <f t="shared" si="118"/>
        <v>0.5343170385085565</v>
      </c>
      <c r="AG328" s="814">
        <f t="shared" si="124"/>
        <v>2</v>
      </c>
      <c r="AH328" s="175">
        <f t="shared" si="119"/>
        <v>8</v>
      </c>
      <c r="AI328" s="224">
        <f t="shared" si="120"/>
        <v>2.5343170385085565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10">
        <f>'2026'!Wh/'2026'!Env_an*'2027'!Env_an</f>
        <v>27.392661963797856</v>
      </c>
      <c r="C329" s="843"/>
      <c r="D329" s="392">
        <f t="shared" si="102"/>
        <v>29.505899956243759</v>
      </c>
      <c r="E329" s="384">
        <f t="shared" si="125"/>
        <v>31.006084255143165</v>
      </c>
      <c r="F329" s="384">
        <f t="shared" si="103"/>
        <v>31.015679118563671</v>
      </c>
      <c r="G329" s="110">
        <f t="shared" si="126"/>
        <v>0.95446232536595099</v>
      </c>
      <c r="H329" s="413" t="b">
        <f>Wh_hp&gt;='2026'!Maxi_hp</f>
        <v>0</v>
      </c>
      <c r="I329" s="389">
        <f>IF(H329,Wh_hp,'2026'!Maxi_hp)</f>
        <v>31.016172555384017</v>
      </c>
      <c r="J329" s="85">
        <f>IF(H329,An,'2026'!An_max)</f>
        <v>2025</v>
      </c>
      <c r="K329" s="196">
        <f t="shared" si="104"/>
        <v>46702</v>
      </c>
      <c r="L329" s="147">
        <f>IF(t&lt;Tvie,1-EXP((T0-t)*PertePVj)+'2026'!Pspv,1-EXP((T0-t)*PertePVj)+Pspv)</f>
        <v>7.1620862118415757E-2</v>
      </c>
      <c r="M329" s="847"/>
      <c r="N329" s="847"/>
      <c r="O329" s="48">
        <f>IF(t&lt;Tnet,'2026'!Resal+('2026'!Salim-'2026'!Resal)*(1-EXP(('2026'!Tnet-t)/('2026'!Tau_j))),Resal+(Salim-Resal)*(1-EXP((Tnet-t)/(Tau_j))))*Salcycl</f>
        <v>4.8383545840702605E-2</v>
      </c>
      <c r="P329" s="168">
        <f>(INDEX(Models!$BJ329:$BT329,,T329)*(1-R329)+INDEX(Models!$BJ329:$BT329,,T329+1)*R329-ERP_i)*Q329*Ramure*Pc/MaxiM</f>
        <v>3.3086989988581714E-4</v>
      </c>
      <c r="Q329" s="304">
        <f t="shared" si="105"/>
        <v>0.5</v>
      </c>
      <c r="R329" s="176">
        <f t="shared" si="106"/>
        <v>0.41934691129776747</v>
      </c>
      <c r="S329" s="814">
        <f t="shared" si="107"/>
        <v>0</v>
      </c>
      <c r="T329" s="175">
        <f t="shared" si="108"/>
        <v>6</v>
      </c>
      <c r="U329" s="250">
        <f t="shared" si="109"/>
        <v>0.41934691129776747</v>
      </c>
      <c r="V329" s="382">
        <f t="shared" si="110"/>
        <v>28.698956166357121</v>
      </c>
      <c r="W329" s="401">
        <f t="shared" si="111"/>
        <v>27.392661963797856</v>
      </c>
      <c r="X329" s="157">
        <f t="shared" si="112"/>
        <v>46702</v>
      </c>
      <c r="Y329" s="384">
        <f t="shared" si="113"/>
        <v>26.53517751963475</v>
      </c>
      <c r="Z329" s="384">
        <f t="shared" si="114"/>
        <v>28.582263901560594</v>
      </c>
      <c r="AA329" s="385">
        <f t="shared" si="115"/>
        <v>30.96474620318449</v>
      </c>
      <c r="AB329" s="196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7.6941767453558962E-2</v>
      </c>
      <c r="AD329" s="230">
        <f>(INDEX(Models!$BJ329:$BT329,,AH329)*(1-AF329)+INDEX(Models!$BJ329:$BT329,,AH329+1)*AF329-ERP_i)*AE329*Ramure*Pc/MaxiM</f>
        <v>1.7563739965683845E-3</v>
      </c>
      <c r="AE329" s="304">
        <f t="shared" si="117"/>
        <v>0.5</v>
      </c>
      <c r="AF329" s="176">
        <f t="shared" si="118"/>
        <v>0.53433945112215486</v>
      </c>
      <c r="AG329" s="814">
        <f t="shared" si="124"/>
        <v>2</v>
      </c>
      <c r="AH329" s="175">
        <f t="shared" si="119"/>
        <v>8</v>
      </c>
      <c r="AI329" s="224">
        <f t="shared" si="120"/>
        <v>2.5343394511221549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10">
        <f>'2026'!Wh/'2026'!Env_an*'2027'!Env_an</f>
        <v>27.262311316067247</v>
      </c>
      <c r="C330" s="843"/>
      <c r="D330" s="392">
        <f t="shared" si="102"/>
        <v>29.366135622231745</v>
      </c>
      <c r="E330" s="384">
        <f t="shared" si="125"/>
        <v>30.859994958488436</v>
      </c>
      <c r="F330" s="384">
        <f t="shared" si="103"/>
        <v>30.869913914315642</v>
      </c>
      <c r="G330" s="110">
        <f t="shared" si="126"/>
        <v>0.95846973262975832</v>
      </c>
      <c r="H330" s="413" t="b">
        <f>Wh_hp&gt;='2026'!Maxi_hp</f>
        <v>0</v>
      </c>
      <c r="I330" s="389">
        <f>IF(H330,Wh_hp,'2026'!Maxi_hp)</f>
        <v>30.870377185624601</v>
      </c>
      <c r="J330" s="85">
        <f>IF(H330,An,'2026'!An_max)</f>
        <v>2025</v>
      </c>
      <c r="K330" s="196">
        <f t="shared" si="104"/>
        <v>46703</v>
      </c>
      <c r="L330" s="147">
        <f>IF(t&lt;Tvie,1-EXP((T0-t)*PertePVj)+'2026'!Pspv,1-EXP((T0-t)*PertePVj)+Pspv)</f>
        <v>7.1641169721077896E-2</v>
      </c>
      <c r="M330" s="847"/>
      <c r="N330" s="847"/>
      <c r="O330" s="48">
        <f>IF(t&lt;Tnet,'2026'!Resal+('2026'!Salim-'2026'!Resal)*(1-EXP(('2026'!Tnet-t)/('2026'!Tau_j))),Resal+(Salim-Resal)*(1-EXP((Tnet-t)/(Tau_j))))*Salcycl</f>
        <v>4.8407633840062733E-2</v>
      </c>
      <c r="P330" s="168">
        <f>(INDEX(Models!$BJ330:$BT330,,T330)*(1-R330)+INDEX(Models!$BJ330:$BT330,,T330+1)*R330-ERP_i)*Q330*Ramure*Pc/MaxiM</f>
        <v>3.4157018270475435E-4</v>
      </c>
      <c r="Q330" s="304">
        <f t="shared" si="105"/>
        <v>0.5</v>
      </c>
      <c r="R330" s="176">
        <f t="shared" si="106"/>
        <v>0.41936842466440538</v>
      </c>
      <c r="S330" s="814">
        <f t="shared" si="107"/>
        <v>0</v>
      </c>
      <c r="T330" s="175">
        <f t="shared" si="108"/>
        <v>6</v>
      </c>
      <c r="U330" s="250">
        <f t="shared" si="109"/>
        <v>0.41936842466440538</v>
      </c>
      <c r="V330" s="382">
        <f t="shared" si="110"/>
        <v>28.443004508189905</v>
      </c>
      <c r="W330" s="401">
        <f t="shared" si="111"/>
        <v>27.262311316067247</v>
      </c>
      <c r="X330" s="157">
        <f t="shared" si="112"/>
        <v>46703</v>
      </c>
      <c r="Y330" s="384">
        <f t="shared" si="113"/>
        <v>26.409375101046042</v>
      </c>
      <c r="Z330" s="384">
        <f t="shared" si="114"/>
        <v>28.447378577862441</v>
      </c>
      <c r="AA330" s="385">
        <f t="shared" si="115"/>
        <v>30.81778909616466</v>
      </c>
      <c r="AB330" s="196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7.6916955687688207E-2</v>
      </c>
      <c r="AD330" s="230">
        <f>(INDEX(Models!$BJ330:$BT330,,AH330)*(1-AF330)+INDEX(Models!$BJ330:$BT330,,AH330+1)*AF330-ERP_i)*AE330*Ramure*Pc/MaxiM</f>
        <v>1.794975597174126E-3</v>
      </c>
      <c r="AE330" s="304">
        <f t="shared" si="117"/>
        <v>0.5</v>
      </c>
      <c r="AF330" s="176">
        <f t="shared" si="118"/>
        <v>0.53436096448879278</v>
      </c>
      <c r="AG330" s="814">
        <f t="shared" si="124"/>
        <v>2</v>
      </c>
      <c r="AH330" s="175">
        <f t="shared" si="119"/>
        <v>8</v>
      </c>
      <c r="AI330" s="224">
        <f t="shared" si="120"/>
        <v>2.5343609644887928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10">
        <f>'2026'!Wh/'2026'!Env_an*'2027'!Env_an</f>
        <v>23.903386838316781</v>
      </c>
      <c r="C331" s="843"/>
      <c r="D331" s="392">
        <f t="shared" si="102"/>
        <v>25.748567190720745</v>
      </c>
      <c r="E331" s="384">
        <f t="shared" si="125"/>
        <v>27.059096133226962</v>
      </c>
      <c r="F331" s="384">
        <f t="shared" si="103"/>
        <v>27.066570554460771</v>
      </c>
      <c r="G331" s="110">
        <f t="shared" si="126"/>
        <v>0.84792608127422775</v>
      </c>
      <c r="H331" s="413" t="b">
        <f>Wh_hp&gt;='2026'!Maxi_hp</f>
        <v>0</v>
      </c>
      <c r="I331" s="389">
        <f>IF(H331,Wh_hp,'2026'!Maxi_hp)</f>
        <v>31.04926746236552</v>
      </c>
      <c r="J331" s="85">
        <f>IF(H331,An,'2026'!An_max)</f>
        <v>2020</v>
      </c>
      <c r="K331" s="196">
        <f t="shared" si="104"/>
        <v>46704</v>
      </c>
      <c r="L331" s="147">
        <f>IF(t&lt;Tvie,1-EXP((T0-t)*PertePVj)+'2026'!Pspv,1-EXP((T0-t)*PertePVj)+Pspv)</f>
        <v>7.1661476878951497E-2</v>
      </c>
      <c r="M331" s="847"/>
      <c r="N331" s="847"/>
      <c r="O331" s="48">
        <f>IF(t&lt;Tnet,'2026'!Resal+('2026'!Salim-'2026'!Resal)*(1-EXP(('2026'!Tnet-t)/('2026'!Tau_j))),Resal+(Salim-Resal)*(1-EXP((Tnet-t)/(Tau_j))))*Salcycl</f>
        <v>4.8432103424805979E-2</v>
      </c>
      <c r="P331" s="168">
        <f>(INDEX(Models!$BJ331:$BT331,,T331)*(1-R331)+INDEX(Models!$BJ331:$BT331,,T331+1)*R331-ERP_i)*Q331*Ramure*Pc/MaxiM</f>
        <v>3.5275153009593297E-4</v>
      </c>
      <c r="Q331" s="304">
        <f t="shared" si="105"/>
        <v>0.5</v>
      </c>
      <c r="R331" s="176">
        <f t="shared" si="106"/>
        <v>0.41938907474245579</v>
      </c>
      <c r="S331" s="814">
        <f t="shared" si="107"/>
        <v>0</v>
      </c>
      <c r="T331" s="175">
        <f t="shared" si="108"/>
        <v>6</v>
      </c>
      <c r="U331" s="250">
        <f t="shared" si="109"/>
        <v>0.41938907474245579</v>
      </c>
      <c r="V331" s="382">
        <f t="shared" si="110"/>
        <v>28.18825344989234</v>
      </c>
      <c r="W331" s="401">
        <f t="shared" si="111"/>
        <v>23.903386838316781</v>
      </c>
      <c r="X331" s="157">
        <f t="shared" si="112"/>
        <v>46704</v>
      </c>
      <c r="Y331" s="384">
        <f t="shared" si="113"/>
        <v>23.161620817122774</v>
      </c>
      <c r="Z331" s="384">
        <f t="shared" si="114"/>
        <v>24.949541832276921</v>
      </c>
      <c r="AA331" s="385">
        <f t="shared" si="115"/>
        <v>27.027786710661434</v>
      </c>
      <c r="AB331" s="196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7.689289917197413E-2</v>
      </c>
      <c r="AD331" s="230">
        <f>(INDEX(Models!$BJ331:$BT331,,AH331)*(1-AF331)+INDEX(Models!$BJ331:$BT331,,AH331+1)*AF331-ERP_i)*AE331*Ramure*Pc/MaxiM</f>
        <v>1.8303838939841388E-3</v>
      </c>
      <c r="AE331" s="304">
        <f t="shared" si="117"/>
        <v>0.5</v>
      </c>
      <c r="AF331" s="176">
        <f t="shared" si="118"/>
        <v>0.53438161456684341</v>
      </c>
      <c r="AG331" s="814">
        <f t="shared" si="124"/>
        <v>2</v>
      </c>
      <c r="AH331" s="175">
        <f t="shared" si="119"/>
        <v>8</v>
      </c>
      <c r="AI331" s="224">
        <f t="shared" si="120"/>
        <v>2.5343816145668434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10">
        <f>'2026'!Wh/'2026'!Env_an*'2027'!Env_an</f>
        <v>11.222698951254886</v>
      </c>
      <c r="C332" s="843"/>
      <c r="D332" s="392">
        <f t="shared" si="102"/>
        <v>12.089280112028973</v>
      </c>
      <c r="E332" s="384">
        <f t="shared" si="125"/>
        <v>12.704922523675277</v>
      </c>
      <c r="F332" s="384">
        <f t="shared" si="103"/>
        <v>12.705593793205942</v>
      </c>
      <c r="G332" s="110">
        <f t="shared" si="126"/>
        <v>0.40163271117476917</v>
      </c>
      <c r="H332" s="413" t="b">
        <f>Wh_hp&gt;='2026'!Maxi_hp</f>
        <v>0</v>
      </c>
      <c r="I332" s="389">
        <f>IF(H332,Wh_hp,'2026'!Maxi_hp)</f>
        <v>19.84263142805246</v>
      </c>
      <c r="J332" s="85">
        <f>IF(H332,An,'2026'!An_max)</f>
        <v>2020</v>
      </c>
      <c r="K332" s="196">
        <f t="shared" si="104"/>
        <v>46705</v>
      </c>
      <c r="L332" s="147">
        <f>IF(t&lt;Tvie,1-EXP((T0-t)*PertePVj)+'2026'!Pspv,1-EXP((T0-t)*PertePVj)+Pspv)</f>
        <v>7.1681783592046106E-2</v>
      </c>
      <c r="M332" s="847"/>
      <c r="N332" s="847"/>
      <c r="O332" s="48">
        <f>IF(t&lt;Tnet,'2026'!Resal+('2026'!Salim-'2026'!Resal)*(1-EXP(('2026'!Tnet-t)/('2026'!Tau_j))),Resal+(Salim-Resal)*(1-EXP((Tnet-t)/(Tau_j))))*Salcycl</f>
        <v>4.8456998497949905E-2</v>
      </c>
      <c r="P332" s="168">
        <f>(INDEX(Models!$BJ332:$BT332,,T332)*(1-R332)+INDEX(Models!$BJ332:$BT332,,T332+1)*R332-ERP_i)*Q332*Ramure*Pc/MaxiM</f>
        <v>3.6344069155578858E-4</v>
      </c>
      <c r="Q332" s="304">
        <f t="shared" si="105"/>
        <v>0.5</v>
      </c>
      <c r="R332" s="176">
        <f t="shared" si="106"/>
        <v>0.41940889606199283</v>
      </c>
      <c r="S332" s="814">
        <f t="shared" si="107"/>
        <v>0</v>
      </c>
      <c r="T332" s="175">
        <f t="shared" si="108"/>
        <v>6</v>
      </c>
      <c r="U332" s="250">
        <f t="shared" si="109"/>
        <v>0.41940889606199283</v>
      </c>
      <c r="V332" s="382">
        <f t="shared" si="110"/>
        <v>27.934011831699436</v>
      </c>
      <c r="W332" s="401">
        <f t="shared" si="111"/>
        <v>11.222698951254886</v>
      </c>
      <c r="X332" s="157">
        <f t="shared" si="112"/>
        <v>46705</v>
      </c>
      <c r="Y332" s="384">
        <f t="shared" si="113"/>
        <v>10.885226822171838</v>
      </c>
      <c r="Z332" s="384">
        <f t="shared" si="114"/>
        <v>11.725749457218743</v>
      </c>
      <c r="AA332" s="385">
        <f t="shared" si="115"/>
        <v>12.7021602661227</v>
      </c>
      <c r="AB332" s="196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7.6869665351971123E-2</v>
      </c>
      <c r="AD332" s="230">
        <f>(INDEX(Models!$BJ332:$BT332,,AH332)*(1-AF332)+INDEX(Models!$BJ332:$BT332,,AH332+1)*AF332-ERP_i)*AE332*Ramure*Pc/MaxiM</f>
        <v>1.8589901680357598E-3</v>
      </c>
      <c r="AE332" s="304">
        <f t="shared" si="117"/>
        <v>0.5</v>
      </c>
      <c r="AF332" s="176">
        <f t="shared" si="118"/>
        <v>0.53440143588638023</v>
      </c>
      <c r="AG332" s="814">
        <f t="shared" si="124"/>
        <v>2</v>
      </c>
      <c r="AH332" s="175">
        <f t="shared" si="119"/>
        <v>8</v>
      </c>
      <c r="AI332" s="224">
        <f t="shared" si="120"/>
        <v>2.5344014358863802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10">
        <f>'2026'!Wh/'2026'!Env_an*'2027'!Env_an</f>
        <v>12.155261324217815</v>
      </c>
      <c r="C333" s="843"/>
      <c r="D333" s="392">
        <f t="shared" si="102"/>
        <v>13.094138413377987</v>
      </c>
      <c r="E333" s="384">
        <f t="shared" si="125"/>
        <v>13.761319683697934</v>
      </c>
      <c r="F333" s="384">
        <f t="shared" si="103"/>
        <v>13.762339618067564</v>
      </c>
      <c r="G333" s="110">
        <f t="shared" si="126"/>
        <v>0.43899162094273209</v>
      </c>
      <c r="H333" s="413" t="b">
        <f>Wh_hp&gt;='2026'!Maxi_hp</f>
        <v>0</v>
      </c>
      <c r="I333" s="389">
        <f>IF(H333,Wh_hp,'2026'!Maxi_hp)</f>
        <v>29.001692225643055</v>
      </c>
      <c r="J333" s="85">
        <f>IF(H333,An,'2026'!An_max)</f>
        <v>2020</v>
      </c>
      <c r="K333" s="196">
        <f t="shared" si="104"/>
        <v>46706</v>
      </c>
      <c r="L333" s="147">
        <f>IF(t&lt;Tvie,1-EXP((T0-t)*PertePVj)+'2026'!Pspv,1-EXP((T0-t)*PertePVj)+Pspv)</f>
        <v>7.1702089860371604E-2</v>
      </c>
      <c r="M333" s="847"/>
      <c r="N333" s="847"/>
      <c r="O333" s="48">
        <f>IF(t&lt;Tnet,'2026'!Resal+('2026'!Salim-'2026'!Resal)*(1-EXP(('2026'!Tnet-t)/('2026'!Tau_j))),Resal+(Salim-Resal)*(1-EXP((Tnet-t)/(Tau_j))))*Salcycl</f>
        <v>4.8482361114705393E-2</v>
      </c>
      <c r="P333" s="168">
        <f>(INDEX(Models!$BJ333:$BT333,,T333)*(1-R333)+INDEX(Models!$BJ333:$BT333,,T333+1)*R333-ERP_i)*Q333*Ramure*Pc/MaxiM</f>
        <v>3.7288901456722481E-4</v>
      </c>
      <c r="Q333" s="304">
        <f t="shared" si="105"/>
        <v>0.5</v>
      </c>
      <c r="R333" s="176">
        <f t="shared" si="106"/>
        <v>0.41942792178076987</v>
      </c>
      <c r="S333" s="814">
        <f t="shared" si="107"/>
        <v>0</v>
      </c>
      <c r="T333" s="175">
        <f t="shared" si="108"/>
        <v>6</v>
      </c>
      <c r="U333" s="250">
        <f t="shared" si="109"/>
        <v>0.41942792178076987</v>
      </c>
      <c r="V333" s="382">
        <f t="shared" si="110"/>
        <v>27.680777365342973</v>
      </c>
      <c r="W333" s="401">
        <f t="shared" si="111"/>
        <v>12.155261324217815</v>
      </c>
      <c r="X333" s="157">
        <f t="shared" si="112"/>
        <v>46706</v>
      </c>
      <c r="Y333" s="384">
        <f t="shared" si="113"/>
        <v>11.789376527615323</v>
      </c>
      <c r="Z333" s="384">
        <f t="shared" si="114"/>
        <v>12.699992533476719</v>
      </c>
      <c r="AA333" s="385">
        <f t="shared" si="115"/>
        <v>13.757196169635378</v>
      </c>
      <c r="AB333" s="196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7.6847318532252906E-2</v>
      </c>
      <c r="AD333" s="230">
        <f>(INDEX(Models!$BJ333:$BT333,,AH333)*(1-AF333)+INDEX(Models!$BJ333:$BT333,,AH333+1)*AF333-ERP_i)*AE333*Ramure*Pc/MaxiM</f>
        <v>1.8804498352688426E-3</v>
      </c>
      <c r="AE333" s="304">
        <f t="shared" si="117"/>
        <v>0.5</v>
      </c>
      <c r="AF333" s="176">
        <f t="shared" si="118"/>
        <v>0.53442046160515755</v>
      </c>
      <c r="AG333" s="814">
        <f t="shared" si="124"/>
        <v>2</v>
      </c>
      <c r="AH333" s="175">
        <f t="shared" si="119"/>
        <v>8</v>
      </c>
      <c r="AI333" s="224">
        <f t="shared" si="120"/>
        <v>2.5344204616051575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10">
        <f>'2026'!Wh/'2026'!Env_an*'2027'!Env_an</f>
        <v>27.002915077482129</v>
      </c>
      <c r="C334" s="843"/>
      <c r="D334" s="392">
        <f t="shared" si="102"/>
        <v>29.089266995057343</v>
      </c>
      <c r="E334" s="384">
        <f t="shared" si="125"/>
        <v>30.572273930012752</v>
      </c>
      <c r="F334" s="384">
        <f t="shared" si="103"/>
        <v>30.583670352666068</v>
      </c>
      <c r="G334" s="110">
        <f t="shared" si="126"/>
        <v>0.98445660994148454</v>
      </c>
      <c r="H334" s="413" t="b">
        <f>Wh_hp&gt;='2026'!Maxi_hp</f>
        <v>0</v>
      </c>
      <c r="I334" s="389">
        <f>IF(H334,Wh_hp,'2026'!Maxi_hp)</f>
        <v>30.583862584989568</v>
      </c>
      <c r="J334" s="85">
        <f>IF(H334,An,'2026'!An_max)</f>
        <v>2025</v>
      </c>
      <c r="K334" s="196">
        <f t="shared" si="104"/>
        <v>46707</v>
      </c>
      <c r="L334" s="147">
        <f>IF(t&lt;Tvie,1-EXP((T0-t)*PertePVj)+'2026'!Pspv,1-EXP((T0-t)*PertePVj)+Pspv)</f>
        <v>7.1722395683937762E-2</v>
      </c>
      <c r="M334" s="847"/>
      <c r="N334" s="847"/>
      <c r="O334" s="48">
        <f>IF(t&lt;Tnet,'2026'!Resal+('2026'!Salim-'2026'!Resal)*(1-EXP(('2026'!Tnet-t)/('2026'!Tau_j))),Resal+(Salim-Resal)*(1-EXP((Tnet-t)/(Tau_j))))*Salcycl</f>
        <v>4.8508231293176503E-2</v>
      </c>
      <c r="P334" s="168">
        <f>(INDEX(Models!$BJ334:$BT334,,T334)*(1-R334)+INDEX(Models!$BJ334:$BT334,,T334+1)*R334-ERP_i)*Q334*Ramure*Pc/MaxiM</f>
        <v>3.8108844132360171E-4</v>
      </c>
      <c r="Q334" s="304">
        <f t="shared" si="105"/>
        <v>0.5</v>
      </c>
      <c r="R334" s="176">
        <f t="shared" si="106"/>
        <v>0.41944618373806364</v>
      </c>
      <c r="S334" s="814">
        <f t="shared" si="107"/>
        <v>0</v>
      </c>
      <c r="T334" s="175">
        <f t="shared" si="108"/>
        <v>6</v>
      </c>
      <c r="U334" s="250">
        <f t="shared" si="109"/>
        <v>0.41944618373806364</v>
      </c>
      <c r="V334" s="382">
        <f t="shared" si="110"/>
        <v>27.429026676442639</v>
      </c>
      <c r="W334" s="401">
        <f t="shared" si="111"/>
        <v>27.002915077482129</v>
      </c>
      <c r="X334" s="157">
        <f t="shared" si="112"/>
        <v>46707</v>
      </c>
      <c r="Y334" s="384">
        <f t="shared" si="113"/>
        <v>26.160481523368144</v>
      </c>
      <c r="Z334" s="384">
        <f t="shared" si="114"/>
        <v>28.181743695780213</v>
      </c>
      <c r="AA334" s="385">
        <f t="shared" si="115"/>
        <v>30.527009254064339</v>
      </c>
      <c r="AB334" s="196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7.6825919590268424E-2</v>
      </c>
      <c r="AD334" s="230">
        <f>(INDEX(Models!$BJ334:$BT334,,AH334)*(1-AF334)+INDEX(Models!$BJ334:$BT334,,AH334+1)*AF334-ERP_i)*AE334*Ramure*Pc/MaxiM</f>
        <v>1.8947076996596768E-3</v>
      </c>
      <c r="AE334" s="304">
        <f t="shared" si="117"/>
        <v>0.5</v>
      </c>
      <c r="AF334" s="176">
        <f t="shared" si="118"/>
        <v>0.53443872356245103</v>
      </c>
      <c r="AG334" s="814">
        <f t="shared" si="124"/>
        <v>2</v>
      </c>
      <c r="AH334" s="175">
        <f t="shared" si="119"/>
        <v>8</v>
      </c>
      <c r="AI334" s="224">
        <f t="shared" si="120"/>
        <v>2.534438723562451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10">
        <f>'2026'!Wh/'2026'!Env_an*'2027'!Env_an</f>
        <v>13.912485035957287</v>
      </c>
      <c r="C335" s="843"/>
      <c r="D335" s="392">
        <f t="shared" ref="D335:D379" si="127">Wh/(1-Ppv)</f>
        <v>14.987746449056289</v>
      </c>
      <c r="E335" s="384">
        <f t="shared" si="125"/>
        <v>15.75227768329724</v>
      </c>
      <c r="F335" s="384">
        <f t="shared" ref="F335:F379" si="128">Wh_sa/(1-Pvg*MEDIAN((-Sdif+Wh/Env_an)/Csdif,0,1))</f>
        <v>15.754128013468836</v>
      </c>
      <c r="G335" s="110">
        <f t="shared" si="126"/>
        <v>0.51174065196046969</v>
      </c>
      <c r="H335" s="413" t="b">
        <f>Wh_hp&gt;='2026'!Maxi_hp</f>
        <v>0</v>
      </c>
      <c r="I335" s="389">
        <f>IF(H335,Wh_hp,'2026'!Maxi_hp)</f>
        <v>29.428386616561589</v>
      </c>
      <c r="J335" s="85">
        <f>IF(H335,An,'2026'!An_max)</f>
        <v>2018</v>
      </c>
      <c r="K335" s="196">
        <f t="shared" ref="K335:K379" si="129">t</f>
        <v>46708</v>
      </c>
      <c r="L335" s="147">
        <f>IF(t&lt;Tvie,1-EXP((T0-t)*PertePVj)+'2026'!Pspv,1-EXP((T0-t)*PertePVj)+Pspv)</f>
        <v>7.1742701062754238E-2</v>
      </c>
      <c r="M335" s="847"/>
      <c r="N335" s="847"/>
      <c r="O335" s="48">
        <f>IF(t&lt;Tnet,'2026'!Resal+('2026'!Salim-'2026'!Resal)*(1-EXP(('2026'!Tnet-t)/('2026'!Tau_j))),Resal+(Salim-Resal)*(1-EXP((Tnet-t)/(Tau_j))))*Salcycl</f>
        <v>4.8534646837238987E-2</v>
      </c>
      <c r="P335" s="168">
        <f>(INDEX(Models!$BJ335:$BT335,,T335)*(1-R335)+INDEX(Models!$BJ335:$BT335,,T335+1)*R335-ERP_i)*Q335*Ramure*Pc/MaxiM</f>
        <v>3.8802940111121767E-4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0.41946371250646014</v>
      </c>
      <c r="S335" s="814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0.41946371250646014</v>
      </c>
      <c r="V335" s="382">
        <f t="shared" ref="V335:V379" si="135">MaxiM*(1-Ppv)*(1-Pvg)*(1-Psa)</f>
        <v>27.179236426770171</v>
      </c>
      <c r="W335" s="401">
        <f t="shared" ref="W335:W379" si="136">Wh*(A335&gt;Tmaj)</f>
        <v>13.912485035957287</v>
      </c>
      <c r="X335" s="157">
        <f t="shared" ref="X335:X379" si="137">t</f>
        <v>46708</v>
      </c>
      <c r="Y335" s="384">
        <f t="shared" ref="Y335:Y379" si="138">Wh_pvt_s*(1-Ppv)</f>
        <v>13.492917988441896</v>
      </c>
      <c r="Z335" s="384">
        <f t="shared" ref="Z335:Z379" si="139">Wh_sa_s*(1-Psa_s)</f>
        <v>14.535752106543981</v>
      </c>
      <c r="AA335" s="385">
        <f t="shared" ref="AA335:AA379" si="140">Wh_hp*(1-Pvg_s*MEDIAN((-Sdif+Wh/Env_an)/Csdif,0,1))</f>
        <v>15.745059693663588</v>
      </c>
      <c r="AB335" s="196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7.680552571079037E-2</v>
      </c>
      <c r="AD335" s="230">
        <f>(INDEX(Models!$BJ335:$BT335,,AH335)*(1-AF335)+INDEX(Models!$BJ335:$BT335,,AH335+1)*AF335-ERP_i)*AE335*Ramure*Pc/MaxiM</f>
        <v>1.901700981333386E-3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0.53445625233084781</v>
      </c>
      <c r="AG335" s="814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2.5344562523308478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10">
        <f>'2026'!Wh/'2026'!Env_an*'2027'!Env_an</f>
        <v>12.414480275044898</v>
      </c>
      <c r="C336" s="843"/>
      <c r="D336" s="392">
        <f t="shared" si="127"/>
        <v>13.374257172735041</v>
      </c>
      <c r="E336" s="384">
        <f t="shared" si="125"/>
        <v>14.056882484048197</v>
      </c>
      <c r="F336" s="384">
        <f t="shared" si="128"/>
        <v>14.058155138511299</v>
      </c>
      <c r="G336" s="110">
        <f t="shared" si="126"/>
        <v>0.46081872753972264</v>
      </c>
      <c r="H336" s="413" t="b">
        <f>Wh_hp&gt;='2026'!Maxi_hp</f>
        <v>0</v>
      </c>
      <c r="I336" s="389">
        <f>IF(H336,Wh_hp,'2026'!Maxi_hp)</f>
        <v>28.461608184939823</v>
      </c>
      <c r="J336" s="85">
        <f>IF(H336,An,'2026'!An_max)</f>
        <v>2020</v>
      </c>
      <c r="K336" s="196">
        <f t="shared" si="129"/>
        <v>46709</v>
      </c>
      <c r="L336" s="147">
        <f>IF(t&lt;Tvie,1-EXP((T0-t)*PertePVj)+'2026'!Pspv,1-EXP((T0-t)*PertePVj)+Pspv)</f>
        <v>7.1763005996830803E-2</v>
      </c>
      <c r="M336" s="847"/>
      <c r="N336" s="847"/>
      <c r="O336" s="48">
        <f>IF(t&lt;Tnet,'2026'!Resal+('2026'!Salim-'2026'!Resal)*(1-EXP(('2026'!Tnet-t)/('2026'!Tau_j))),Resal+(Salim-Resal)*(1-EXP((Tnet-t)/(Tau_j))))*Salcycl</f>
        <v>4.8561643172858666E-2</v>
      </c>
      <c r="P336" s="168">
        <f>(INDEX(Models!$BJ336:$BT336,,T336)*(1-R336)+INDEX(Models!$BJ336:$BT336,,T336+1)*R336-ERP_i)*Q336*Ramure*Pc/MaxiM</f>
        <v>3.9370082344789529E-4</v>
      </c>
      <c r="Q336" s="304">
        <f t="shared" si="130"/>
        <v>0.5</v>
      </c>
      <c r="R336" s="176">
        <f t="shared" si="131"/>
        <v>0.4194805374416582</v>
      </c>
      <c r="S336" s="814">
        <f t="shared" si="132"/>
        <v>0</v>
      </c>
      <c r="T336" s="175">
        <f t="shared" si="133"/>
        <v>6</v>
      </c>
      <c r="U336" s="250">
        <f t="shared" si="134"/>
        <v>0.4194805374416582</v>
      </c>
      <c r="V336" s="382">
        <f t="shared" si="135"/>
        <v>26.931883314654076</v>
      </c>
      <c r="W336" s="401">
        <f t="shared" si="136"/>
        <v>12.414480275044898</v>
      </c>
      <c r="X336" s="157">
        <f t="shared" si="137"/>
        <v>46709</v>
      </c>
      <c r="Y336" s="384">
        <f t="shared" si="138"/>
        <v>12.042026585321752</v>
      </c>
      <c r="Z336" s="384">
        <f t="shared" si="139"/>
        <v>12.97300868540975</v>
      </c>
      <c r="AA336" s="385">
        <f t="shared" si="140"/>
        <v>14.052008913749614</v>
      </c>
      <c r="AB336" s="196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7.6786190142825894E-2</v>
      </c>
      <c r="AD336" s="230">
        <f>(INDEX(Models!$BJ336:$BT336,,AH336)*(1-AF336)+INDEX(Models!$BJ336:$BT336,,AH336+1)*AF336-ERP_i)*AE336*Ramure*Pc/MaxiM</f>
        <v>1.9013595755380487E-3</v>
      </c>
      <c r="AE336" s="304">
        <f t="shared" si="142"/>
        <v>0.5</v>
      </c>
      <c r="AF336" s="176">
        <f t="shared" si="143"/>
        <v>0.53447307726604576</v>
      </c>
      <c r="AG336" s="814">
        <f t="shared" ref="AG336:AG379" si="149">INDEX(Echel_vg,AH336)</f>
        <v>2</v>
      </c>
      <c r="AH336" s="175">
        <f t="shared" si="144"/>
        <v>8</v>
      </c>
      <c r="AI336" s="224">
        <f t="shared" si="145"/>
        <v>2.5344730772660458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10">
        <f>'2026'!Wh/'2026'!Env_an*'2027'!Env_an</f>
        <v>8.2562356292322576</v>
      </c>
      <c r="C337" s="843"/>
      <c r="D337" s="392">
        <f t="shared" si="127"/>
        <v>8.8947287012870593</v>
      </c>
      <c r="E337" s="384">
        <f t="shared" si="125"/>
        <v>9.3489890998126146</v>
      </c>
      <c r="F337" s="384">
        <f t="shared" si="128"/>
        <v>9.3490389064917316</v>
      </c>
      <c r="G337" s="110">
        <f t="shared" si="126"/>
        <v>0.30924628250864139</v>
      </c>
      <c r="H337" s="413" t="b">
        <f>Wh_hp&gt;='2026'!Maxi_hp</f>
        <v>0</v>
      </c>
      <c r="I337" s="389">
        <f>IF(H337,Wh_hp,'2026'!Maxi_hp)</f>
        <v>29.760900399703338</v>
      </c>
      <c r="J337" s="85">
        <f>IF(H337,An,'2026'!An_max)</f>
        <v>2021</v>
      </c>
      <c r="K337" s="196">
        <f t="shared" si="129"/>
        <v>46710</v>
      </c>
      <c r="L337" s="147">
        <f>IF(t&lt;Tvie,1-EXP((T0-t)*PertePVj)+'2026'!Pspv,1-EXP((T0-t)*PertePVj)+Pspv)</f>
        <v>7.1783310486177226E-2</v>
      </c>
      <c r="M337" s="847"/>
      <c r="N337" s="847"/>
      <c r="O337" s="48">
        <f>IF(t&lt;Tnet,'2026'!Resal+('2026'!Salim-'2026'!Resal)*(1-EXP(('2026'!Tnet-t)/('2026'!Tau_j))),Resal+(Salim-Resal)*(1-EXP((Tnet-t)/(Tau_j))))*Salcycl</f>
        <v>4.8589253199007303E-2</v>
      </c>
      <c r="P337" s="168">
        <f>(INDEX(Models!$BJ337:$BT337,,T337)*(1-R337)+INDEX(Models!$BJ337:$BT337,,T337+1)*R337-ERP_i)*Q337*Ramure*Pc/MaxiM</f>
        <v>3.9809016905424866E-4</v>
      </c>
      <c r="Q337" s="304">
        <f t="shared" si="130"/>
        <v>0.5</v>
      </c>
      <c r="R337" s="176">
        <f t="shared" si="131"/>
        <v>0.4194966867303605</v>
      </c>
      <c r="S337" s="814">
        <f t="shared" si="132"/>
        <v>0</v>
      </c>
      <c r="T337" s="175">
        <f t="shared" si="133"/>
        <v>6</v>
      </c>
      <c r="U337" s="250">
        <f t="shared" si="134"/>
        <v>0.4194966867303605</v>
      </c>
      <c r="V337" s="382">
        <f t="shared" si="135"/>
        <v>26.687444077185592</v>
      </c>
      <c r="W337" s="401">
        <f t="shared" si="136"/>
        <v>8.2562356292322576</v>
      </c>
      <c r="X337" s="157">
        <f t="shared" si="137"/>
        <v>46710</v>
      </c>
      <c r="Y337" s="384">
        <f t="shared" si="138"/>
        <v>8.0115436127689303</v>
      </c>
      <c r="Z337" s="384">
        <f t="shared" si="139"/>
        <v>8.6311135139847366</v>
      </c>
      <c r="AA337" s="385">
        <f t="shared" si="140"/>
        <v>9.3488019896945609</v>
      </c>
      <c r="AB337" s="196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7.6767961980684862E-2</v>
      </c>
      <c r="AD337" s="230">
        <f>(INDEX(Models!$BJ337:$BT337,,AH337)*(1-AF337)+INDEX(Models!$BJ337:$BT337,,AH337+1)*AF337-ERP_i)*AE337*Ramure*Pc/MaxiM</f>
        <v>1.8936064300772708E-3</v>
      </c>
      <c r="AE337" s="304">
        <f t="shared" si="142"/>
        <v>0.5</v>
      </c>
      <c r="AF337" s="176">
        <f t="shared" si="143"/>
        <v>0.53448922655474806</v>
      </c>
      <c r="AG337" s="814">
        <f t="shared" si="149"/>
        <v>2</v>
      </c>
      <c r="AH337" s="175">
        <f t="shared" si="144"/>
        <v>8</v>
      </c>
      <c r="AI337" s="224">
        <f t="shared" si="145"/>
        <v>2.5344892265547481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10">
        <f>'2026'!Wh/'2026'!Env_an*'2027'!Env_an</f>
        <v>16.978477263182864</v>
      </c>
      <c r="C338" s="843"/>
      <c r="D338" s="392">
        <f t="shared" si="127"/>
        <v>18.291901939049634</v>
      </c>
      <c r="E338" s="384">
        <f t="shared" si="125"/>
        <v>19.226653923738738</v>
      </c>
      <c r="F338" s="384">
        <f t="shared" si="128"/>
        <v>19.230421513994287</v>
      </c>
      <c r="G338" s="110">
        <f t="shared" si="126"/>
        <v>0.64186408684767193</v>
      </c>
      <c r="H338" s="413" t="b">
        <f>Wh_hp&gt;='2026'!Maxi_hp</f>
        <v>0</v>
      </c>
      <c r="I338" s="389">
        <f>IF(H338,Wh_hp,'2026'!Maxi_hp)</f>
        <v>30.755738511673645</v>
      </c>
      <c r="J338" s="85">
        <f>IF(H338,An,'2026'!An_max)</f>
        <v>2019</v>
      </c>
      <c r="K338" s="196">
        <f t="shared" si="129"/>
        <v>46711</v>
      </c>
      <c r="L338" s="147">
        <f>IF(t&lt;Tvie,1-EXP((T0-t)*PertePVj)+'2026'!Pspv,1-EXP((T0-t)*PertePVj)+Pspv)</f>
        <v>7.1803614530803167E-2</v>
      </c>
      <c r="M338" s="847"/>
      <c r="N338" s="847"/>
      <c r="O338" s="48">
        <f>IF(t&lt;Tnet,'2026'!Resal+('2026'!Salim-'2026'!Resal)*(1-EXP(('2026'!Tnet-t)/('2026'!Tau_j))),Resal+(Salim-Resal)*(1-EXP((Tnet-t)/(Tau_j))))*Salcycl</f>
        <v>4.8617507154221147E-2</v>
      </c>
      <c r="P338" s="168">
        <f>(INDEX(Models!$BJ338:$BT338,,T338)*(1-R338)+INDEX(Models!$BJ338:$BT338,,T338+1)*R338-ERP_i)*Q338*Ramure*Pc/MaxiM</f>
        <v>4.010071862967977E-4</v>
      </c>
      <c r="Q338" s="304">
        <f t="shared" si="130"/>
        <v>0.5</v>
      </c>
      <c r="R338" s="176">
        <f t="shared" si="131"/>
        <v>0.4195121874363239</v>
      </c>
      <c r="S338" s="814">
        <f t="shared" si="132"/>
        <v>0</v>
      </c>
      <c r="T338" s="175">
        <f t="shared" si="133"/>
        <v>6</v>
      </c>
      <c r="U338" s="250">
        <f t="shared" si="134"/>
        <v>0.4195121874363239</v>
      </c>
      <c r="V338" s="382">
        <f t="shared" si="135"/>
        <v>26.446400150110328</v>
      </c>
      <c r="W338" s="401">
        <f t="shared" si="136"/>
        <v>16.978477263182864</v>
      </c>
      <c r="X338" s="157">
        <f t="shared" si="137"/>
        <v>46711</v>
      </c>
      <c r="Y338" s="384">
        <f t="shared" si="138"/>
        <v>16.464506345184724</v>
      </c>
      <c r="Z338" s="384">
        <f t="shared" si="139"/>
        <v>17.73817114883725</v>
      </c>
      <c r="AA338" s="385">
        <f t="shared" si="140"/>
        <v>19.212768124329397</v>
      </c>
      <c r="AB338" s="196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7.675088597071264E-2</v>
      </c>
      <c r="AD338" s="230">
        <f>(INDEX(Models!$BJ338:$BT338,,AH338)*(1-AF338)+INDEX(Models!$BJ338:$BT338,,AH338+1)*AF338-ERP_i)*AE338*Ramure*Pc/MaxiM</f>
        <v>1.8789559474228835E-3</v>
      </c>
      <c r="AE338" s="304">
        <f t="shared" si="142"/>
        <v>0.5</v>
      </c>
      <c r="AF338" s="176">
        <f t="shared" si="143"/>
        <v>0.5345047272607113</v>
      </c>
      <c r="AG338" s="814">
        <f t="shared" si="149"/>
        <v>2</v>
      </c>
      <c r="AH338" s="175">
        <f t="shared" si="144"/>
        <v>8</v>
      </c>
      <c r="AI338" s="224">
        <f t="shared" si="145"/>
        <v>2.5345047272607113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10">
        <f>'2026'!Wh/'2026'!Env_an*'2027'!Env_an</f>
        <v>2.9061280164314449</v>
      </c>
      <c r="C339" s="843"/>
      <c r="D339" s="392">
        <f t="shared" si="127"/>
        <v>3.1310093776373842</v>
      </c>
      <c r="E339" s="384">
        <f t="shared" si="125"/>
        <v>3.2911101451632256</v>
      </c>
      <c r="F339" s="384">
        <f t="shared" si="128"/>
        <v>3.2911101451632256</v>
      </c>
      <c r="G339" s="110">
        <f t="shared" si="126"/>
        <v>0.11083723869494426</v>
      </c>
      <c r="H339" s="413" t="b">
        <f>Wh_hp&gt;='2026'!Maxi_hp</f>
        <v>0</v>
      </c>
      <c r="I339" s="389">
        <f>IF(H339,Wh_hp,'2026'!Maxi_hp)</f>
        <v>29.244111126722764</v>
      </c>
      <c r="J339" s="85">
        <f>IF(H339,An,'2026'!An_max)</f>
        <v>2019</v>
      </c>
      <c r="K339" s="196">
        <f t="shared" si="129"/>
        <v>46712</v>
      </c>
      <c r="L339" s="147">
        <f>IF(t&lt;Tvie,1-EXP((T0-t)*PertePVj)+'2026'!Pspv,1-EXP((T0-t)*PertePVj)+Pspv)</f>
        <v>7.1823918130718395E-2</v>
      </c>
      <c r="M339" s="847"/>
      <c r="N339" s="847"/>
      <c r="O339" s="48">
        <f>IF(t&lt;Tnet,'2026'!Resal+('2026'!Salim-'2026'!Resal)*(1-EXP(('2026'!Tnet-t)/('2026'!Tau_j))),Resal+(Salim-Resal)*(1-EXP((Tnet-t)/(Tau_j))))*Salcycl</f>
        <v>4.8646432499724598E-2</v>
      </c>
      <c r="P339" s="168">
        <f>(INDEX(Models!$BJ339:$BT339,,T339)*(1-R339)+INDEX(Models!$BJ339:$BT339,,T339+1)*R339-ERP_i)*Q339*Ramure*Pc/MaxiM</f>
        <v>4.0277715095078101E-4</v>
      </c>
      <c r="Q339" s="304">
        <f t="shared" si="130"/>
        <v>0.5</v>
      </c>
      <c r="R339" s="176">
        <f t="shared" si="131"/>
        <v>0.41952706554463498</v>
      </c>
      <c r="S339" s="814">
        <f t="shared" si="132"/>
        <v>0</v>
      </c>
      <c r="T339" s="175">
        <f t="shared" si="133"/>
        <v>6</v>
      </c>
      <c r="U339" s="250">
        <f t="shared" si="134"/>
        <v>0.41952706554463498</v>
      </c>
      <c r="V339" s="382">
        <f t="shared" si="135"/>
        <v>26.209219290133714</v>
      </c>
      <c r="W339" s="401">
        <f t="shared" si="136"/>
        <v>2.9061280164314449</v>
      </c>
      <c r="X339" s="157">
        <f t="shared" si="137"/>
        <v>46712</v>
      </c>
      <c r="Y339" s="384">
        <f t="shared" si="138"/>
        <v>2.8203250273457878</v>
      </c>
      <c r="Z339" s="384">
        <f t="shared" si="139"/>
        <v>3.0385668004564943</v>
      </c>
      <c r="AA339" s="385">
        <f t="shared" si="140"/>
        <v>3.2911101451632256</v>
      </c>
      <c r="AB339" s="196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7.6735002344993267E-2</v>
      </c>
      <c r="AD339" s="230">
        <f>(INDEX(Models!$BJ339:$BT339,,AH339)*(1-AF339)+INDEX(Models!$BJ339:$BT339,,AH339+1)*AF339-ERP_i)*AE339*Ramure*Pc/MaxiM</f>
        <v>1.8612028355490446E-3</v>
      </c>
      <c r="AE339" s="304">
        <f t="shared" si="142"/>
        <v>0.5</v>
      </c>
      <c r="AF339" s="176">
        <f t="shared" si="143"/>
        <v>0.53451960536902243</v>
      </c>
      <c r="AG339" s="814">
        <f t="shared" si="149"/>
        <v>2</v>
      </c>
      <c r="AH339" s="175">
        <f t="shared" si="144"/>
        <v>8</v>
      </c>
      <c r="AI339" s="224">
        <f t="shared" si="145"/>
        <v>2.5345196053690224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10">
        <f>'2026'!Wh/'2026'!Env_an*'2027'!Env_an</f>
        <v>9.0781802707372474</v>
      </c>
      <c r="C340" s="843"/>
      <c r="D340" s="392">
        <f t="shared" si="127"/>
        <v>9.7808799761122014</v>
      </c>
      <c r="E340" s="384">
        <f t="shared" si="125"/>
        <v>10.281334781265622</v>
      </c>
      <c r="F340" s="384">
        <f t="shared" si="128"/>
        <v>10.281627936860026</v>
      </c>
      <c r="G340" s="110">
        <f t="shared" si="126"/>
        <v>0.34934727496078782</v>
      </c>
      <c r="H340" s="413" t="b">
        <f>Wh_hp&gt;='2026'!Maxi_hp</f>
        <v>0</v>
      </c>
      <c r="I340" s="389">
        <f>IF(H340,Wh_hp,'2026'!Maxi_hp)</f>
        <v>30.738398160711071</v>
      </c>
      <c r="J340" s="85">
        <f>IF(H340,An,'2026'!An_max)</f>
        <v>2020</v>
      </c>
      <c r="K340" s="196">
        <f t="shared" si="129"/>
        <v>46713</v>
      </c>
      <c r="L340" s="147">
        <f>IF(t&lt;Tvie,1-EXP((T0-t)*PertePVj)+'2026'!Pspv,1-EXP((T0-t)*PertePVj)+Pspv)</f>
        <v>7.1844221285932791E-2</v>
      </c>
      <c r="M340" s="847"/>
      <c r="N340" s="847"/>
      <c r="O340" s="48">
        <f>IF(t&lt;Tnet,'2026'!Resal+('2026'!Salim-'2026'!Resal)*(1-EXP(('2026'!Tnet-t)/('2026'!Tau_j))),Resal+(Salim-Resal)*(1-EXP((Tnet-t)/(Tau_j))))*Salcycl</f>
        <v>4.8676053819912107E-2</v>
      </c>
      <c r="P340" s="168">
        <f>(INDEX(Models!$BJ340:$BT340,,T340)*(1-R340)+INDEX(Models!$BJ340:$BT340,,T340+1)*R340-ERP_i)*Q340*Ramure*Pc/MaxiM</f>
        <v>4.0338493458932397E-4</v>
      </c>
      <c r="Q340" s="304">
        <f t="shared" si="130"/>
        <v>0.5</v>
      </c>
      <c r="R340" s="176">
        <f t="shared" si="131"/>
        <v>0.41954134600427612</v>
      </c>
      <c r="S340" s="814">
        <f t="shared" si="132"/>
        <v>0</v>
      </c>
      <c r="T340" s="175">
        <f t="shared" si="133"/>
        <v>6</v>
      </c>
      <c r="U340" s="250">
        <f t="shared" si="134"/>
        <v>0.41954134600427612</v>
      </c>
      <c r="V340" s="382">
        <f t="shared" si="135"/>
        <v>25.976378421097053</v>
      </c>
      <c r="W340" s="401">
        <f t="shared" si="136"/>
        <v>9.0781802707372474</v>
      </c>
      <c r="X340" s="157">
        <f t="shared" si="137"/>
        <v>46713</v>
      </c>
      <c r="Y340" s="384">
        <f t="shared" si="138"/>
        <v>8.8096676772023006</v>
      </c>
      <c r="Z340" s="384">
        <f t="shared" si="139"/>
        <v>9.4915830717639214</v>
      </c>
      <c r="AA340" s="385">
        <f t="shared" si="140"/>
        <v>10.280290524832203</v>
      </c>
      <c r="AB340" s="196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7.6720346683116336E-2</v>
      </c>
      <c r="AD340" s="230">
        <f>(INDEX(Models!$BJ340:$BT340,,AH340)*(1-AF340)+INDEX(Models!$BJ340:$BT340,,AH340+1)*AF340-ERP_i)*AE340*Ramure*Pc/MaxiM</f>
        <v>1.8402918916165447E-3</v>
      </c>
      <c r="AE340" s="304">
        <f t="shared" si="142"/>
        <v>0.5</v>
      </c>
      <c r="AF340" s="176">
        <f t="shared" si="143"/>
        <v>0.53453388582866346</v>
      </c>
      <c r="AG340" s="814">
        <f t="shared" si="149"/>
        <v>2</v>
      </c>
      <c r="AH340" s="175">
        <f t="shared" si="144"/>
        <v>8</v>
      </c>
      <c r="AI340" s="224">
        <f t="shared" si="145"/>
        <v>2.5345338858286635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10">
        <f>'2026'!Wh/'2026'!Env_an*'2027'!Env_an</f>
        <v>14.861825943919243</v>
      </c>
      <c r="C341" s="843"/>
      <c r="D341" s="392">
        <f t="shared" si="127"/>
        <v>16.012561019553672</v>
      </c>
      <c r="E341" s="384">
        <f t="shared" si="125"/>
        <v>16.832406837767639</v>
      </c>
      <c r="F341" s="384">
        <f t="shared" si="128"/>
        <v>16.835092215429196</v>
      </c>
      <c r="G341" s="110">
        <f t="shared" si="126"/>
        <v>0.57705471763327953</v>
      </c>
      <c r="H341" s="413" t="b">
        <f>Wh_hp&gt;='2026'!Maxi_hp</f>
        <v>0</v>
      </c>
      <c r="I341" s="389">
        <f>IF(H341,Wh_hp,'2026'!Maxi_hp)</f>
        <v>30.216505837462773</v>
      </c>
      <c r="J341" s="85">
        <f>IF(H341,An,'2026'!An_max)</f>
        <v>2020</v>
      </c>
      <c r="K341" s="196">
        <f t="shared" si="129"/>
        <v>46714</v>
      </c>
      <c r="L341" s="147">
        <f>IF(t&lt;Tvie,1-EXP((T0-t)*PertePVj)+'2026'!Pspv,1-EXP((T0-t)*PertePVj)+Pspv)</f>
        <v>7.1864523996455903E-2</v>
      </c>
      <c r="M341" s="847"/>
      <c r="N341" s="847"/>
      <c r="O341" s="48">
        <f>IF(t&lt;Tnet,'2026'!Resal+('2026'!Salim-'2026'!Resal)*(1-EXP(('2026'!Tnet-t)/('2026'!Tau_j))),Resal+(Salim-Resal)*(1-EXP((Tnet-t)/(Tau_j))))*Salcycl</f>
        <v>4.8706392740843166E-2</v>
      </c>
      <c r="P341" s="168">
        <f>(INDEX(Models!$BJ341:$BT341,,T341)*(1-R341)+INDEX(Models!$BJ341:$BT341,,T341+1)*R341-ERP_i)*Q341*Ramure*Pc/MaxiM</f>
        <v>4.0281186101160646E-4</v>
      </c>
      <c r="Q341" s="304">
        <f t="shared" si="130"/>
        <v>0.5</v>
      </c>
      <c r="R341" s="176">
        <f t="shared" si="131"/>
        <v>0.41955505276904598</v>
      </c>
      <c r="S341" s="814">
        <f t="shared" si="132"/>
        <v>0</v>
      </c>
      <c r="T341" s="175">
        <f t="shared" si="133"/>
        <v>6</v>
      </c>
      <c r="U341" s="250">
        <f t="shared" si="134"/>
        <v>0.41955505276904598</v>
      </c>
      <c r="V341" s="382">
        <f t="shared" si="135"/>
        <v>25.748354555986062</v>
      </c>
      <c r="W341" s="401">
        <f t="shared" si="136"/>
        <v>14.861825943919243</v>
      </c>
      <c r="X341" s="157">
        <f t="shared" si="137"/>
        <v>46714</v>
      </c>
      <c r="Y341" s="384">
        <f t="shared" si="138"/>
        <v>14.416305896267994</v>
      </c>
      <c r="Z341" s="384">
        <f t="shared" si="139"/>
        <v>15.532544837466105</v>
      </c>
      <c r="AA341" s="385">
        <f t="shared" si="140"/>
        <v>16.822984678753873</v>
      </c>
      <c r="AB341" s="196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7.6706949802878496E-2</v>
      </c>
      <c r="AD341" s="230">
        <f>(INDEX(Models!$BJ341:$BT341,,AH341)*(1-AF341)+INDEX(Models!$BJ341:$BT341,,AH341+1)*AF341-ERP_i)*AE341*Ramure*Pc/MaxiM</f>
        <v>1.816153999592094E-3</v>
      </c>
      <c r="AE341" s="304">
        <f t="shared" si="142"/>
        <v>0.5</v>
      </c>
      <c r="AF341" s="176">
        <f t="shared" si="143"/>
        <v>0.53454759259343332</v>
      </c>
      <c r="AG341" s="814">
        <f t="shared" si="149"/>
        <v>2</v>
      </c>
      <c r="AH341" s="175">
        <f t="shared" si="144"/>
        <v>8</v>
      </c>
      <c r="AI341" s="224">
        <f t="shared" si="145"/>
        <v>2.5345475925934333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10">
        <f>'2026'!Wh/'2026'!Env_an*'2027'!Env_an</f>
        <v>13.297049817013313</v>
      </c>
      <c r="C342" s="843"/>
      <c r="D342" s="392">
        <f t="shared" si="127"/>
        <v>14.326939364069956</v>
      </c>
      <c r="E342" s="384">
        <f t="shared" si="125"/>
        <v>15.06097305435638</v>
      </c>
      <c r="F342" s="384">
        <f t="shared" si="128"/>
        <v>15.062879618202897</v>
      </c>
      <c r="G342" s="110">
        <f t="shared" si="126"/>
        <v>0.52078646170327736</v>
      </c>
      <c r="H342" s="413" t="b">
        <f>Wh_hp&gt;='2026'!Maxi_hp</f>
        <v>0</v>
      </c>
      <c r="I342" s="389">
        <f>IF(H342,Wh_hp,'2026'!Maxi_hp)</f>
        <v>28.331820487180057</v>
      </c>
      <c r="J342" s="85">
        <f>IF(H342,An,'2026'!An_max)</f>
        <v>2020</v>
      </c>
      <c r="K342" s="196">
        <f t="shared" si="129"/>
        <v>46715</v>
      </c>
      <c r="L342" s="147">
        <f>IF(t&lt;Tvie,1-EXP((T0-t)*PertePVj)+'2026'!Pspv,1-EXP((T0-t)*PertePVj)+Pspv)</f>
        <v>7.1884826262297613E-2</v>
      </c>
      <c r="M342" s="847"/>
      <c r="N342" s="847"/>
      <c r="O342" s="48">
        <f>IF(t&lt;Tnet,'2026'!Resal+('2026'!Salim-'2026'!Resal)*(1-EXP(('2026'!Tnet-t)/('2026'!Tau_j))),Resal+(Salim-Resal)*(1-EXP((Tnet-t)/(Tau_j))))*Salcycl</f>
        <v>4.8737467867264024E-2</v>
      </c>
      <c r="P342" s="168">
        <f>(INDEX(Models!$BJ342:$BT342,,T342)*(1-R342)+INDEX(Models!$BJ342:$BT342,,T342+1)*R342-ERP_i)*Q342*Ramure*Pc/MaxiM</f>
        <v>4.0104006514583721E-4</v>
      </c>
      <c r="Q342" s="304">
        <f t="shared" si="130"/>
        <v>0.5</v>
      </c>
      <c r="R342" s="176">
        <f t="shared" si="131"/>
        <v>0.41956820883689477</v>
      </c>
      <c r="S342" s="814">
        <f t="shared" si="132"/>
        <v>0</v>
      </c>
      <c r="T342" s="175">
        <f t="shared" si="133"/>
        <v>6</v>
      </c>
      <c r="U342" s="250">
        <f t="shared" si="134"/>
        <v>0.41956820883689477</v>
      </c>
      <c r="V342" s="382">
        <f t="shared" si="135"/>
        <v>25.5256246833125</v>
      </c>
      <c r="W342" s="401">
        <f t="shared" si="136"/>
        <v>13.297049817013313</v>
      </c>
      <c r="X342" s="157">
        <f t="shared" si="137"/>
        <v>46715</v>
      </c>
      <c r="Y342" s="384">
        <f t="shared" si="138"/>
        <v>12.900599523194597</v>
      </c>
      <c r="Z342" s="384">
        <f t="shared" si="139"/>
        <v>13.899783009948372</v>
      </c>
      <c r="AA342" s="385">
        <f t="shared" si="140"/>
        <v>15.054375928139178</v>
      </c>
      <c r="AB342" s="196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7.6694837680562872E-2</v>
      </c>
      <c r="AD342" s="230">
        <f>(INDEX(Models!$BJ342:$BT342,,AH342)*(1-AF342)+INDEX(Models!$BJ342:$BT342,,AH342+1)*AF342-ERP_i)*AE342*Ramure*Pc/MaxiM</f>
        <v>1.7887260494114277E-3</v>
      </c>
      <c r="AE342" s="304">
        <f t="shared" si="142"/>
        <v>0.5</v>
      </c>
      <c r="AF342" s="176">
        <f t="shared" si="143"/>
        <v>0.53456074866128223</v>
      </c>
      <c r="AG342" s="814">
        <f t="shared" si="149"/>
        <v>2</v>
      </c>
      <c r="AH342" s="175">
        <f t="shared" si="144"/>
        <v>8</v>
      </c>
      <c r="AI342" s="224">
        <f t="shared" si="145"/>
        <v>2.5345607486612822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10">
        <f>'2026'!Wh/'2026'!Env_an*'2027'!Env_an</f>
        <v>4.3700508043816804</v>
      </c>
      <c r="C343" s="843"/>
      <c r="D343" s="392">
        <f t="shared" si="127"/>
        <v>4.7086250949296247</v>
      </c>
      <c r="E343" s="384">
        <f t="shared" si="125"/>
        <v>4.9500348011109399</v>
      </c>
      <c r="F343" s="384">
        <f t="shared" si="128"/>
        <v>4.9500348011109399</v>
      </c>
      <c r="G343" s="110">
        <f t="shared" si="126"/>
        <v>0.17260140599599325</v>
      </c>
      <c r="H343" s="413" t="b">
        <f>Wh_hp&gt;='2026'!Maxi_hp</f>
        <v>0</v>
      </c>
      <c r="I343" s="389">
        <f>IF(H343,Wh_hp,'2026'!Maxi_hp)</f>
        <v>25.716385889252038</v>
      </c>
      <c r="J343" s="85">
        <f>IF(H343,An,'2026'!An_max)</f>
        <v>2020</v>
      </c>
      <c r="K343" s="196">
        <f t="shared" si="129"/>
        <v>46716</v>
      </c>
      <c r="L343" s="147">
        <f>IF(t&lt;Tvie,1-EXP((T0-t)*PertePVj)+'2026'!Pspv,1-EXP((T0-t)*PertePVj)+Pspv)</f>
        <v>7.1905128083467468E-2</v>
      </c>
      <c r="M343" s="847"/>
      <c r="N343" s="847"/>
      <c r="O343" s="48">
        <f>IF(t&lt;Tnet,'2026'!Resal+('2026'!Salim-'2026'!Resal)*(1-EXP(('2026'!Tnet-t)/('2026'!Tau_j))),Resal+(Salim-Resal)*(1-EXP((Tnet-t)/(Tau_j))))*Salcycl</f>
        <v>4.8769294738521041E-2</v>
      </c>
      <c r="P343" s="168">
        <f>(INDEX(Models!$BJ343:$BT343,,T343)*(1-R343)+INDEX(Models!$BJ343:$BT343,,T343+1)*R343-ERP_i)*Q343*Ramure*Pc/MaxiM</f>
        <v>3.9805307468794327E-4</v>
      </c>
      <c r="Q343" s="304">
        <f t="shared" si="130"/>
        <v>0.5</v>
      </c>
      <c r="R343" s="176">
        <f t="shared" si="131"/>
        <v>0.41958083628773318</v>
      </c>
      <c r="S343" s="814">
        <f t="shared" si="132"/>
        <v>0</v>
      </c>
      <c r="T343" s="175">
        <f t="shared" si="133"/>
        <v>6</v>
      </c>
      <c r="U343" s="250">
        <f t="shared" si="134"/>
        <v>0.41958083628773318</v>
      </c>
      <c r="V343" s="382">
        <f t="shared" si="135"/>
        <v>25.308665749361619</v>
      </c>
      <c r="W343" s="401">
        <f t="shared" si="136"/>
        <v>4.3700508043816804</v>
      </c>
      <c r="X343" s="157">
        <f t="shared" si="137"/>
        <v>46716</v>
      </c>
      <c r="Y343" s="384">
        <f t="shared" si="138"/>
        <v>4.2418076592307603</v>
      </c>
      <c r="Z343" s="384">
        <f t="shared" si="139"/>
        <v>4.5704461769854969</v>
      </c>
      <c r="AA343" s="385">
        <f t="shared" si="140"/>
        <v>4.9500348011109399</v>
      </c>
      <c r="AB343" s="196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7.668403140120375E-2</v>
      </c>
      <c r="AD343" s="230">
        <f>(INDEX(Models!$BJ343:$BT343,,AH343)*(1-AF343)+INDEX(Models!$BJ343:$BT343,,AH343+1)*AF343-ERP_i)*AE343*Ramure*Pc/MaxiM</f>
        <v>1.7579528517982629E-3</v>
      </c>
      <c r="AE343" s="304">
        <f t="shared" si="142"/>
        <v>0.5</v>
      </c>
      <c r="AF343" s="176">
        <f t="shared" si="143"/>
        <v>0.53457337611212052</v>
      </c>
      <c r="AG343" s="814">
        <f t="shared" si="149"/>
        <v>2</v>
      </c>
      <c r="AH343" s="175">
        <f t="shared" si="144"/>
        <v>8</v>
      </c>
      <c r="AI343" s="224">
        <f t="shared" si="145"/>
        <v>2.5345733761121205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10">
        <f>'2026'!Wh/'2026'!Env_an*'2027'!Env_an</f>
        <v>10.201082712754518</v>
      </c>
      <c r="C344" s="843"/>
      <c r="D344" s="392">
        <f t="shared" si="127"/>
        <v>10.991662778583354</v>
      </c>
      <c r="E344" s="384">
        <f t="shared" si="125"/>
        <v>11.555597739876966</v>
      </c>
      <c r="F344" s="384">
        <f t="shared" si="128"/>
        <v>11.556289861255149</v>
      </c>
      <c r="G344" s="110">
        <f t="shared" si="126"/>
        <v>0.40631501848085</v>
      </c>
      <c r="H344" s="413" t="b">
        <f>Wh_hp&gt;='2026'!Maxi_hp</f>
        <v>0</v>
      </c>
      <c r="I344" s="389">
        <f>IF(H344,Wh_hp,'2026'!Maxi_hp)</f>
        <v>27.213789763808492</v>
      </c>
      <c r="J344" s="85">
        <f>IF(H344,An,'2026'!An_max)</f>
        <v>2020</v>
      </c>
      <c r="K344" s="196">
        <f t="shared" si="129"/>
        <v>46717</v>
      </c>
      <c r="L344" s="147">
        <f>IF(t&lt;Tvie,1-EXP((T0-t)*PertePVj)+'2026'!Pspv,1-EXP((T0-t)*PertePVj)+Pspv)</f>
        <v>7.192542945997546E-2</v>
      </c>
      <c r="M344" s="847"/>
      <c r="N344" s="847"/>
      <c r="O344" s="48">
        <f>IF(t&lt;Tnet,'2026'!Resal+('2026'!Salim-'2026'!Resal)*(1-EXP(('2026'!Tnet-t)/('2026'!Tau_j))),Resal+(Salim-Resal)*(1-EXP((Tnet-t)/(Tau_j))))*Salcycl</f>
        <v>4.8801885803582426E-2</v>
      </c>
      <c r="P344" s="168">
        <f>(INDEX(Models!$BJ344:$BT344,,T344)*(1-R344)+INDEX(Models!$BJ344:$BT344,,T344+1)*R344-ERP_i)*Q344*Ramure*Pc/MaxiM</f>
        <v>3.9383392146669365E-4</v>
      </c>
      <c r="Q344" s="304">
        <f t="shared" si="130"/>
        <v>0.5</v>
      </c>
      <c r="R344" s="176">
        <f t="shared" si="131"/>
        <v>0.41959295631977217</v>
      </c>
      <c r="S344" s="814">
        <f t="shared" si="132"/>
        <v>0</v>
      </c>
      <c r="T344" s="175">
        <f t="shared" si="133"/>
        <v>6</v>
      </c>
      <c r="U344" s="250">
        <f t="shared" si="134"/>
        <v>0.41959295631977217</v>
      </c>
      <c r="V344" s="382">
        <f t="shared" si="135"/>
        <v>25.097954711789029</v>
      </c>
      <c r="W344" s="401">
        <f t="shared" si="136"/>
        <v>10.201082712754518</v>
      </c>
      <c r="X344" s="157">
        <f t="shared" si="137"/>
        <v>46717</v>
      </c>
      <c r="Y344" s="384">
        <f t="shared" si="138"/>
        <v>9.900160758803219</v>
      </c>
      <c r="Z344" s="384">
        <f t="shared" si="139"/>
        <v>10.66741948660715</v>
      </c>
      <c r="AA344" s="385">
        <f t="shared" si="140"/>
        <v>11.553260503707952</v>
      </c>
      <c r="AB344" s="196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7.6674547139008634E-2</v>
      </c>
      <c r="AD344" s="230">
        <f>(INDEX(Models!$BJ344:$BT344,,AH344)*(1-AF344)+INDEX(Models!$BJ344:$BT344,,AH344+1)*AF344-ERP_i)*AE344*Ramure*Pc/MaxiM</f>
        <v>1.7237782272666281E-3</v>
      </c>
      <c r="AE344" s="304">
        <f t="shared" si="142"/>
        <v>0.5</v>
      </c>
      <c r="AF344" s="176">
        <f t="shared" si="143"/>
        <v>0.53458549614415984</v>
      </c>
      <c r="AG344" s="814">
        <f t="shared" si="149"/>
        <v>2</v>
      </c>
      <c r="AH344" s="175">
        <f t="shared" si="144"/>
        <v>8</v>
      </c>
      <c r="AI344" s="224">
        <f t="shared" si="145"/>
        <v>2.5345854961441598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10">
        <f>'2026'!Wh/'2026'!Env_an*'2027'!Env_an</f>
        <v>14.03326660081748</v>
      </c>
      <c r="C345" s="843"/>
      <c r="D345" s="392">
        <f t="shared" si="127"/>
        <v>15.121170237967254</v>
      </c>
      <c r="E345" s="384">
        <f t="shared" si="125"/>
        <v>15.897530101455514</v>
      </c>
      <c r="F345" s="384">
        <f t="shared" si="128"/>
        <v>15.899857625472993</v>
      </c>
      <c r="G345" s="110">
        <f t="shared" si="126"/>
        <v>0.56367315691544817</v>
      </c>
      <c r="H345" s="413" t="b">
        <f>Wh_hp&gt;='2026'!Maxi_hp</f>
        <v>0</v>
      </c>
      <c r="I345" s="389">
        <f>IF(H345,Wh_hp,'2026'!Maxi_hp)</f>
        <v>25.74929122512259</v>
      </c>
      <c r="J345" s="85">
        <f>IF(H345,An,'2026'!An_max)</f>
        <v>2018</v>
      </c>
      <c r="K345" s="196">
        <f t="shared" si="129"/>
        <v>46718</v>
      </c>
      <c r="L345" s="147">
        <f>IF(t&lt;Tvie,1-EXP((T0-t)*PertePVj)+'2026'!Pspv,1-EXP((T0-t)*PertePVj)+Pspv)</f>
        <v>7.1945730391831136E-2</v>
      </c>
      <c r="M345" s="847"/>
      <c r="N345" s="847"/>
      <c r="O345" s="48">
        <f>IF(t&lt;Tnet,'2026'!Resal+('2026'!Salim-'2026'!Resal)*(1-EXP(('2026'!Tnet-t)/('2026'!Tau_j))),Resal+(Salim-Resal)*(1-EXP((Tnet-t)/(Tau_j))))*Salcycl</f>
        <v>4.8835250415231353E-2</v>
      </c>
      <c r="P345" s="168">
        <f>(INDEX(Models!$BJ345:$BT345,,T345)*(1-R345)+INDEX(Models!$BJ345:$BT345,,T345+1)*R345-ERP_i)*Q345*Ramure*Pc/MaxiM</f>
        <v>3.8842601792070061E-4</v>
      </c>
      <c r="Q345" s="304">
        <f t="shared" si="130"/>
        <v>0.5</v>
      </c>
      <c r="R345" s="176">
        <f t="shared" si="131"/>
        <v>0.41960458928444855</v>
      </c>
      <c r="S345" s="814">
        <f t="shared" si="132"/>
        <v>0</v>
      </c>
      <c r="T345" s="175">
        <f t="shared" si="133"/>
        <v>6</v>
      </c>
      <c r="U345" s="250">
        <f t="shared" si="134"/>
        <v>0.41960458928444855</v>
      </c>
      <c r="V345" s="382">
        <f t="shared" si="135"/>
        <v>24.890079163581657</v>
      </c>
      <c r="W345" s="401">
        <f t="shared" si="136"/>
        <v>14.03326660081748</v>
      </c>
      <c r="X345" s="157">
        <f t="shared" si="137"/>
        <v>46718</v>
      </c>
      <c r="Y345" s="384">
        <f t="shared" si="138"/>
        <v>13.61598746158759</v>
      </c>
      <c r="Z345" s="384">
        <f t="shared" si="139"/>
        <v>14.671542287431485</v>
      </c>
      <c r="AA345" s="385">
        <f t="shared" si="140"/>
        <v>15.889752334952266</v>
      </c>
      <c r="AB345" s="196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7.6666396167869466E-2</v>
      </c>
      <c r="AD345" s="230">
        <f>(INDEX(Models!$BJ345:$BT345,,AH345)*(1-AF345)+INDEX(Models!$BJ345:$BT345,,AH345+1)*AF345-ERP_i)*AE345*Ramure*Pc/MaxiM</f>
        <v>1.6864091315159735E-3</v>
      </c>
      <c r="AE345" s="304">
        <f t="shared" si="142"/>
        <v>0.5</v>
      </c>
      <c r="AF345" s="176">
        <f t="shared" si="143"/>
        <v>0.53459712910883628</v>
      </c>
      <c r="AG345" s="814">
        <f t="shared" si="149"/>
        <v>2</v>
      </c>
      <c r="AH345" s="175">
        <f t="shared" si="144"/>
        <v>8</v>
      </c>
      <c r="AI345" s="224">
        <f t="shared" si="145"/>
        <v>2.5345971291088363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10">
        <f>'2026'!Wh/'2026'!Env_an*'2027'!Env_an</f>
        <v>9.9158604052323405</v>
      </c>
      <c r="C346" s="843"/>
      <c r="D346" s="392">
        <f t="shared" si="127"/>
        <v>10.684803288639054</v>
      </c>
      <c r="E346" s="384">
        <f t="shared" si="125"/>
        <v>11.23379190061832</v>
      </c>
      <c r="F346" s="384">
        <f t="shared" si="128"/>
        <v>11.234415904646701</v>
      </c>
      <c r="G346" s="110">
        <f t="shared" si="126"/>
        <v>0.40161126395342273</v>
      </c>
      <c r="H346" s="413" t="b">
        <f>Wh_hp&gt;='2026'!Maxi_hp</f>
        <v>0</v>
      </c>
      <c r="I346" s="389">
        <f>IF(H346,Wh_hp,'2026'!Maxi_hp)</f>
        <v>19.489438693359329</v>
      </c>
      <c r="J346" s="85">
        <f>IF(H346,An,'2026'!An_max)</f>
        <v>2018</v>
      </c>
      <c r="K346" s="196">
        <f t="shared" si="129"/>
        <v>46719</v>
      </c>
      <c r="L346" s="147">
        <f>IF(t&lt;Tvie,1-EXP((T0-t)*PertePVj)+'2026'!Pspv,1-EXP((T0-t)*PertePVj)+Pspv)</f>
        <v>7.1966030879044379E-2</v>
      </c>
      <c r="M346" s="847"/>
      <c r="N346" s="847"/>
      <c r="O346" s="48">
        <f>IF(t&lt;Tnet,'2026'!Resal+('2026'!Salim-'2026'!Resal)*(1-EXP(('2026'!Tnet-t)/('2026'!Tau_j))),Resal+(Salim-Resal)*(1-EXP((Tnet-t)/(Tau_j))))*Salcycl</f>
        <v>4.8869394843342996E-2</v>
      </c>
      <c r="P346" s="168">
        <f>(INDEX(Models!$BJ346:$BT346,,T346)*(1-R346)+INDEX(Models!$BJ346:$BT346,,T346+1)*R346-ERP_i)*Q346*Ramure*Pc/MaxiM</f>
        <v>3.8214889342742971E-4</v>
      </c>
      <c r="Q346" s="304">
        <f t="shared" si="130"/>
        <v>0.5</v>
      </c>
      <c r="R346" s="176">
        <f t="shared" si="131"/>
        <v>0.41961575471998935</v>
      </c>
      <c r="S346" s="814">
        <f t="shared" si="132"/>
        <v>0</v>
      </c>
      <c r="T346" s="175">
        <f t="shared" si="133"/>
        <v>6</v>
      </c>
      <c r="U346" s="250">
        <f t="shared" si="134"/>
        <v>0.41961575471998935</v>
      </c>
      <c r="V346" s="382">
        <f t="shared" si="135"/>
        <v>24.682130572992993</v>
      </c>
      <c r="W346" s="401">
        <f t="shared" si="136"/>
        <v>9.9158604052323405</v>
      </c>
      <c r="X346" s="157">
        <f t="shared" si="137"/>
        <v>46719</v>
      </c>
      <c r="Y346" s="384">
        <f t="shared" si="138"/>
        <v>9.6243671515718709</v>
      </c>
      <c r="Z346" s="384">
        <f t="shared" si="139"/>
        <v>10.370705676526239</v>
      </c>
      <c r="AA346" s="385">
        <f t="shared" si="140"/>
        <v>11.231725057135845</v>
      </c>
      <c r="AB346" s="196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7.6659584901659902E-2</v>
      </c>
      <c r="AD346" s="230">
        <f>(INDEX(Models!$BJ346:$BT346,,AH346)*(1-AF346)+INDEX(Models!$BJ346:$BT346,,AH346+1)*AF346-ERP_i)*AE346*Ramure*Pc/MaxiM</f>
        <v>1.647913077295265E-3</v>
      </c>
      <c r="AE346" s="304">
        <f t="shared" si="142"/>
        <v>0.5</v>
      </c>
      <c r="AF346" s="176">
        <f t="shared" si="143"/>
        <v>0.53460829454437686</v>
      </c>
      <c r="AG346" s="814">
        <f t="shared" si="149"/>
        <v>2</v>
      </c>
      <c r="AH346" s="175">
        <f t="shared" si="144"/>
        <v>8</v>
      </c>
      <c r="AI346" s="224">
        <f t="shared" si="145"/>
        <v>2.5346082945443769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10">
        <f>'2026'!Wh/'2026'!Env_an*'2027'!Env_an</f>
        <v>12.101081964996411</v>
      </c>
      <c r="C347" s="843"/>
      <c r="D347" s="392">
        <f t="shared" si="127"/>
        <v>13.039766943319039</v>
      </c>
      <c r="E347" s="384">
        <f t="shared" si="125"/>
        <v>13.710257810180238</v>
      </c>
      <c r="F347" s="384">
        <f t="shared" si="128"/>
        <v>13.711689766577647</v>
      </c>
      <c r="G347" s="110">
        <f t="shared" si="126"/>
        <v>0.49428533917687889</v>
      </c>
      <c r="H347" s="413" t="b">
        <f>Wh_hp&gt;='2026'!Maxi_hp</f>
        <v>0</v>
      </c>
      <c r="I347" s="389">
        <f>IF(H347,Wh_hp,'2026'!Maxi_hp)</f>
        <v>27.334557288633277</v>
      </c>
      <c r="J347" s="85">
        <f>IF(H347,An,'2026'!An_max)</f>
        <v>2018</v>
      </c>
      <c r="K347" s="196">
        <f t="shared" si="129"/>
        <v>46720</v>
      </c>
      <c r="L347" s="147">
        <f>IF(t&lt;Tvie,1-EXP((T0-t)*PertePVj)+'2026'!Pspv,1-EXP((T0-t)*PertePVj)+Pspv)</f>
        <v>7.1986330921624736E-2</v>
      </c>
      <c r="M347" s="847"/>
      <c r="N347" s="847"/>
      <c r="O347" s="48">
        <f>IF(t&lt;Tnet,'2026'!Resal+('2026'!Salim-'2026'!Resal)*(1-EXP(('2026'!Tnet-t)/('2026'!Tau_j))),Resal+(Salim-Resal)*(1-EXP((Tnet-t)/(Tau_j))))*Salcycl</f>
        <v>4.8904322307005921E-2</v>
      </c>
      <c r="P347" s="168">
        <f>(INDEX(Models!$BJ347:$BT347,,T347)*(1-R347)+INDEX(Models!$BJ347:$BT347,,T347+1)*R347-ERP_i)*Q347*Ramure*Pc/MaxiM</f>
        <v>3.7600771373822454E-4</v>
      </c>
      <c r="Q347" s="304">
        <f t="shared" si="130"/>
        <v>0.5</v>
      </c>
      <c r="R347" s="176">
        <f t="shared" si="131"/>
        <v>0.41962647138366688</v>
      </c>
      <c r="S347" s="814">
        <f t="shared" si="132"/>
        <v>0</v>
      </c>
      <c r="T347" s="175">
        <f t="shared" si="133"/>
        <v>6</v>
      </c>
      <c r="U347" s="250">
        <f t="shared" si="134"/>
        <v>0.41962647138366688</v>
      </c>
      <c r="V347" s="382">
        <f t="shared" si="135"/>
        <v>24.475326937920855</v>
      </c>
      <c r="W347" s="401">
        <f t="shared" si="136"/>
        <v>12.101081964996411</v>
      </c>
      <c r="X347" s="157">
        <f t="shared" si="137"/>
        <v>46720</v>
      </c>
      <c r="Y347" s="384">
        <f t="shared" si="138"/>
        <v>11.743979472292907</v>
      </c>
      <c r="Z347" s="384">
        <f t="shared" si="139"/>
        <v>12.654963890732379</v>
      </c>
      <c r="AA347" s="385">
        <f t="shared" si="140"/>
        <v>13.70555075386074</v>
      </c>
      <c r="AB347" s="196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7.6654114963779857E-2</v>
      </c>
      <c r="AD347" s="230">
        <f>(INDEX(Models!$BJ347:$BT347,,AH347)*(1-AF347)+INDEX(Models!$BJ347:$BT347,,AH347+1)*AF347-ERP_i)*AE347*Ramure*Pc/MaxiM</f>
        <v>1.6120016925575667E-3</v>
      </c>
      <c r="AE347" s="304">
        <f t="shared" si="142"/>
        <v>0.5</v>
      </c>
      <c r="AF347" s="176">
        <f t="shared" si="143"/>
        <v>0.53461901120805422</v>
      </c>
      <c r="AG347" s="814">
        <f t="shared" si="149"/>
        <v>2</v>
      </c>
      <c r="AH347" s="175">
        <f t="shared" si="144"/>
        <v>8</v>
      </c>
      <c r="AI347" s="224">
        <f t="shared" si="145"/>
        <v>2.5346190112080542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10">
        <f>'2026'!Wh/'2026'!Env_an*'2027'!Env_an</f>
        <v>3.7733720951437393</v>
      </c>
      <c r="C348" s="843"/>
      <c r="D348" s="392">
        <f t="shared" si="127"/>
        <v>4.0661627757711729</v>
      </c>
      <c r="E348" s="384">
        <f t="shared" si="125"/>
        <v>4.2754010440631731</v>
      </c>
      <c r="F348" s="384">
        <f t="shared" si="128"/>
        <v>4.2754010440631731</v>
      </c>
      <c r="G348" s="110">
        <f t="shared" si="126"/>
        <v>0.15541138487265957</v>
      </c>
      <c r="H348" s="413" t="b">
        <f>Wh_hp&gt;='2026'!Maxi_hp</f>
        <v>0</v>
      </c>
      <c r="I348" s="389">
        <f>IF(H348,Wh_hp,'2026'!Maxi_hp)</f>
        <v>26.225428056883853</v>
      </c>
      <c r="J348" s="85">
        <f>IF(H348,An,'2026'!An_max)</f>
        <v>2020</v>
      </c>
      <c r="K348" s="196">
        <f t="shared" si="129"/>
        <v>46721</v>
      </c>
      <c r="L348" s="147">
        <f>IF(t&lt;Tvie,1-EXP((T0-t)*PertePVj)+'2026'!Pspv,1-EXP((T0-t)*PertePVj)+Pspv)</f>
        <v>7.2006630519582199E-2</v>
      </c>
      <c r="M348" s="847"/>
      <c r="N348" s="847"/>
      <c r="O348" s="48">
        <f>IF(t&lt;Tnet,'2026'!Resal+('2026'!Salim-'2026'!Resal)*(1-EXP(('2026'!Tnet-t)/('2026'!Tau_j))),Resal+(Salim-Resal)*(1-EXP((Tnet-t)/(Tau_j))))*Salcycl</f>
        <v>4.8940033025100367E-2</v>
      </c>
      <c r="P348" s="168">
        <f>(INDEX(Models!$BJ348:$BT348,,T348)*(1-R348)+INDEX(Models!$BJ348:$BT348,,T348+1)*R348-ERP_i)*Q348*Ramure*Pc/MaxiM</f>
        <v>3.6998234346967348E-4</v>
      </c>
      <c r="Q348" s="304">
        <f t="shared" si="130"/>
        <v>0.5</v>
      </c>
      <c r="R348" s="176">
        <f t="shared" si="131"/>
        <v>0.41963675728279232</v>
      </c>
      <c r="S348" s="814">
        <f t="shared" si="132"/>
        <v>0</v>
      </c>
      <c r="T348" s="175">
        <f t="shared" si="133"/>
        <v>6</v>
      </c>
      <c r="U348" s="250">
        <f t="shared" si="134"/>
        <v>0.41963675728279232</v>
      </c>
      <c r="V348" s="382">
        <f t="shared" si="135"/>
        <v>24.270911794421384</v>
      </c>
      <c r="W348" s="401">
        <f t="shared" si="136"/>
        <v>3.7733720951437393</v>
      </c>
      <c r="X348" s="157">
        <f t="shared" si="137"/>
        <v>46721</v>
      </c>
      <c r="Y348" s="384">
        <f t="shared" si="138"/>
        <v>3.6634316532157776</v>
      </c>
      <c r="Z348" s="384">
        <f t="shared" si="139"/>
        <v>3.9476916254982815</v>
      </c>
      <c r="AA348" s="385">
        <f t="shared" si="140"/>
        <v>4.2754010440631731</v>
      </c>
      <c r="AB348" s="196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7.6649983285181938E-2</v>
      </c>
      <c r="AD348" s="230">
        <f>(INDEX(Models!$BJ348:$BT348,,AH348)*(1-AF348)+INDEX(Models!$BJ348:$BT348,,AH348+1)*AF348-ERP_i)*AE348*Ramure*Pc/MaxiM</f>
        <v>1.5786045037182589E-3</v>
      </c>
      <c r="AE348" s="304">
        <f t="shared" si="142"/>
        <v>0.5</v>
      </c>
      <c r="AF348" s="176">
        <f t="shared" si="143"/>
        <v>0.53462929710717999</v>
      </c>
      <c r="AG348" s="814">
        <f t="shared" si="149"/>
        <v>2</v>
      </c>
      <c r="AH348" s="175">
        <f t="shared" si="144"/>
        <v>8</v>
      </c>
      <c r="AI348" s="224">
        <f t="shared" si="145"/>
        <v>2.53462929710718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10">
        <f>'2026'!Wh/'2026'!Env_an*'2027'!Env_an</f>
        <v>3.33850271061003</v>
      </c>
      <c r="C349" s="843"/>
      <c r="D349" s="392">
        <f t="shared" si="127"/>
        <v>3.5976288723910277</v>
      </c>
      <c r="E349" s="384">
        <f t="shared" si="125"/>
        <v>3.7829022776598622</v>
      </c>
      <c r="F349" s="384">
        <f t="shared" si="128"/>
        <v>3.7829022776598622</v>
      </c>
      <c r="G349" s="110">
        <f t="shared" si="126"/>
        <v>0.13864850473226112</v>
      </c>
      <c r="H349" s="413" t="b">
        <f>Wh_hp&gt;='2026'!Maxi_hp</f>
        <v>0</v>
      </c>
      <c r="I349" s="389">
        <f>IF(H349,Wh_hp,'2026'!Maxi_hp)</f>
        <v>26.861538170544915</v>
      </c>
      <c r="J349" s="85">
        <f>IF(H349,An,'2026'!An_max)</f>
        <v>2020</v>
      </c>
      <c r="K349" s="196">
        <f t="shared" si="129"/>
        <v>46722</v>
      </c>
      <c r="L349" s="147">
        <f>IF(t&lt;Tvie,1-EXP((T0-t)*PertePVj)+'2026'!Pspv,1-EXP((T0-t)*PertePVj)+Pspv)</f>
        <v>7.2026929672926315E-2</v>
      </c>
      <c r="M349" s="847"/>
      <c r="N349" s="847"/>
      <c r="O349" s="48">
        <f>IF(t&lt;Tnet,'2026'!Resal+('2026'!Salim-'2026'!Resal)*(1-EXP(('2026'!Tnet-t)/('2026'!Tau_j))),Resal+(Salim-Resal)*(1-EXP((Tnet-t)/(Tau_j))))*Salcycl</f>
        <v>4.8976524284800246E-2</v>
      </c>
      <c r="P349" s="168">
        <f>(INDEX(Models!$BJ349:$BT349,,T349)*(1-R349)+INDEX(Models!$BJ349:$BT349,,T349+1)*R349-ERP_i)*Q349*Ramure*Pc/MaxiM</f>
        <v>3.6405293716148179E-4</v>
      </c>
      <c r="Q349" s="304">
        <f t="shared" si="130"/>
        <v>0.5</v>
      </c>
      <c r="R349" s="176">
        <f t="shared" si="131"/>
        <v>0.41964662970449762</v>
      </c>
      <c r="S349" s="814">
        <f t="shared" si="132"/>
        <v>0</v>
      </c>
      <c r="T349" s="175">
        <f t="shared" si="133"/>
        <v>6</v>
      </c>
      <c r="U349" s="250">
        <f t="shared" si="134"/>
        <v>0.41964662970449762</v>
      </c>
      <c r="V349" s="382">
        <f t="shared" si="135"/>
        <v>24.070128454230499</v>
      </c>
      <c r="W349" s="401">
        <f t="shared" si="136"/>
        <v>3.33850271061003</v>
      </c>
      <c r="X349" s="157">
        <f t="shared" si="137"/>
        <v>46722</v>
      </c>
      <c r="Y349" s="384">
        <f t="shared" si="138"/>
        <v>3.2413667629568126</v>
      </c>
      <c r="Z349" s="384">
        <f t="shared" si="139"/>
        <v>3.4929534774261923</v>
      </c>
      <c r="AA349" s="385">
        <f t="shared" si="140"/>
        <v>3.7829022776598622</v>
      </c>
      <c r="AB349" s="196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7.6647182229892252E-2</v>
      </c>
      <c r="AD349" s="230">
        <f>(INDEX(Models!$BJ349:$BT349,,AH349)*(1-AF349)+INDEX(Models!$BJ349:$BT349,,AH349+1)*AF349-ERP_i)*AE349*Ramure*Pc/MaxiM</f>
        <v>1.5476559646797308E-3</v>
      </c>
      <c r="AE349" s="304">
        <f t="shared" si="142"/>
        <v>0.5</v>
      </c>
      <c r="AF349" s="176">
        <f t="shared" si="143"/>
        <v>0.53463916952888502</v>
      </c>
      <c r="AG349" s="814">
        <f t="shared" si="149"/>
        <v>2</v>
      </c>
      <c r="AH349" s="175">
        <f t="shared" si="144"/>
        <v>8</v>
      </c>
      <c r="AI349" s="224">
        <f t="shared" si="145"/>
        <v>2.534639169528885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10">
        <f>'2026'!Wh/'2026'!Env_an*'2027'!Env_an</f>
        <v>4.8323027236099234</v>
      </c>
      <c r="C350" s="843"/>
      <c r="D350" s="392">
        <f t="shared" si="127"/>
        <v>5.2074877853777766</v>
      </c>
      <c r="E350" s="384">
        <f t="shared" si="125"/>
        <v>5.4758814938708271</v>
      </c>
      <c r="F350" s="384">
        <f t="shared" si="128"/>
        <v>5.4758814938708271</v>
      </c>
      <c r="G350" s="110">
        <f t="shared" si="126"/>
        <v>0.20233422474624338</v>
      </c>
      <c r="H350" s="413" t="b">
        <f>Wh_hp&gt;='2026'!Maxi_hp</f>
        <v>0</v>
      </c>
      <c r="I350" s="389">
        <f>IF(H350,Wh_hp,'2026'!Maxi_hp)</f>
        <v>9.5659847348518507</v>
      </c>
      <c r="J350" s="85">
        <f>IF(H350,An,'2026'!An_max)</f>
        <v>2021</v>
      </c>
      <c r="K350" s="196">
        <f t="shared" si="129"/>
        <v>46723</v>
      </c>
      <c r="L350" s="147">
        <f>IF(t&lt;Tvie,1-EXP((T0-t)*PertePVj)+'2026'!Pspv,1-EXP((T0-t)*PertePVj)+Pspv)</f>
        <v>7.2047228381666856E-2</v>
      </c>
      <c r="M350" s="847"/>
      <c r="N350" s="847"/>
      <c r="O350" s="48">
        <f>IF(t&lt;Tnet,'2026'!Resal+('2026'!Salim-'2026'!Resal)*(1-EXP(('2026'!Tnet-t)/('2026'!Tau_j))),Resal+(Salim-Resal)*(1-EXP((Tnet-t)/(Tau_j))))*Salcycl</f>
        <v>4.9013790527326878E-2</v>
      </c>
      <c r="P350" s="168">
        <f>(INDEX(Models!$BJ350:$BT350,,T350)*(1-R350)+INDEX(Models!$BJ350:$BT350,,T350+1)*R350-ERP_i)*Q350*Ramure*Pc/MaxiM</f>
        <v>3.5819996397205855E-4</v>
      </c>
      <c r="Q350" s="304">
        <f t="shared" si="130"/>
        <v>0.5</v>
      </c>
      <c r="R350" s="176">
        <f t="shared" si="131"/>
        <v>0.41965610524435076</v>
      </c>
      <c r="S350" s="814">
        <f t="shared" si="132"/>
        <v>0</v>
      </c>
      <c r="T350" s="175">
        <f t="shared" si="133"/>
        <v>6</v>
      </c>
      <c r="U350" s="250">
        <f t="shared" si="134"/>
        <v>0.41965610524435076</v>
      </c>
      <c r="V350" s="382">
        <f t="shared" si="135"/>
        <v>23.87421998926116</v>
      </c>
      <c r="W350" s="401">
        <f t="shared" si="136"/>
        <v>4.8323027236099234</v>
      </c>
      <c r="X350" s="157">
        <f t="shared" si="137"/>
        <v>46723</v>
      </c>
      <c r="Y350" s="384">
        <f t="shared" si="138"/>
        <v>4.6918950617007402</v>
      </c>
      <c r="Z350" s="384">
        <f t="shared" si="139"/>
        <v>5.0561787250423951</v>
      </c>
      <c r="AA350" s="385">
        <f t="shared" si="140"/>
        <v>5.4758814938708271</v>
      </c>
      <c r="AB350" s="196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7.6645699746827459E-2</v>
      </c>
      <c r="AD350" s="230">
        <f>(INDEX(Models!$BJ350:$BT350,,AH350)*(1-AF350)+INDEX(Models!$BJ350:$BT350,,AH350+1)*AF350-ERP_i)*AE350*Ramure*Pc/MaxiM</f>
        <v>1.519094687123467E-3</v>
      </c>
      <c r="AE350" s="304">
        <f t="shared" si="142"/>
        <v>0.5</v>
      </c>
      <c r="AF350" s="176">
        <f t="shared" si="143"/>
        <v>0.53464864506873822</v>
      </c>
      <c r="AG350" s="814">
        <f t="shared" si="149"/>
        <v>2</v>
      </c>
      <c r="AH350" s="175">
        <f t="shared" si="144"/>
        <v>8</v>
      </c>
      <c r="AI350" s="224">
        <f t="shared" si="145"/>
        <v>2.5346486450687382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10">
        <f>'2026'!Wh/'2026'!Env_an*'2027'!Env_an</f>
        <v>9.5239267014303657</v>
      </c>
      <c r="C351" s="843"/>
      <c r="D351" s="392">
        <f t="shared" si="127"/>
        <v>10.263598887755638</v>
      </c>
      <c r="E351" s="384">
        <f t="shared" si="125"/>
        <v>10.793016003241251</v>
      </c>
      <c r="F351" s="384">
        <f t="shared" si="128"/>
        <v>10.793570895932449</v>
      </c>
      <c r="G351" s="110">
        <f t="shared" si="126"/>
        <v>0.40199659526174314</v>
      </c>
      <c r="H351" s="413" t="b">
        <f>Wh_hp&gt;='2026'!Maxi_hp</f>
        <v>0</v>
      </c>
      <c r="I351" s="389">
        <f>IF(H351,Wh_hp,'2026'!Maxi_hp)</f>
        <v>16.831353899278419</v>
      </c>
      <c r="J351" s="85">
        <f>IF(H351,An,'2026'!An_max)</f>
        <v>2021</v>
      </c>
      <c r="K351" s="196">
        <f t="shared" si="129"/>
        <v>46724</v>
      </c>
      <c r="L351" s="147">
        <f>IF(t&lt;Tvie,1-EXP((T0-t)*PertePVj)+'2026'!Pspv,1-EXP((T0-t)*PertePVj)+Pspv)</f>
        <v>7.206752664581359E-2</v>
      </c>
      <c r="M351" s="847"/>
      <c r="N351" s="847"/>
      <c r="O351" s="48">
        <f>IF(t&lt;Tnet,'2026'!Resal+('2026'!Salim-'2026'!Resal)*(1-EXP(('2026'!Tnet-t)/('2026'!Tau_j))),Resal+(Salim-Resal)*(1-EXP((Tnet-t)/(Tau_j))))*Salcycl</f>
        <v>4.9051823450148149E-2</v>
      </c>
      <c r="P351" s="168">
        <f>(INDEX(Models!$BJ351:$BT351,,T351)*(1-R351)+INDEX(Models!$BJ351:$BT351,,T351+1)*R351-ERP_i)*Q351*Ramure*Pc/MaxiM</f>
        <v>3.5240425245929209E-4</v>
      </c>
      <c r="Q351" s="304">
        <f t="shared" si="130"/>
        <v>0.5</v>
      </c>
      <c r="R351" s="176">
        <f t="shared" si="131"/>
        <v>0.41966519983384831</v>
      </c>
      <c r="S351" s="814">
        <f t="shared" si="132"/>
        <v>0</v>
      </c>
      <c r="T351" s="175">
        <f t="shared" si="133"/>
        <v>6</v>
      </c>
      <c r="U351" s="250">
        <f t="shared" si="134"/>
        <v>0.41966519983384831</v>
      </c>
      <c r="V351" s="382">
        <f t="shared" si="135"/>
        <v>23.68442920872754</v>
      </c>
      <c r="W351" s="401">
        <f t="shared" si="136"/>
        <v>9.5239267014303657</v>
      </c>
      <c r="X351" s="157">
        <f t="shared" si="137"/>
        <v>46724</v>
      </c>
      <c r="Y351" s="384">
        <f t="shared" si="138"/>
        <v>9.2460319685145702</v>
      </c>
      <c r="Z351" s="384">
        <f t="shared" si="139"/>
        <v>9.9641215648947483</v>
      </c>
      <c r="AA351" s="385">
        <f t="shared" si="140"/>
        <v>10.791220247289026</v>
      </c>
      <c r="AB351" s="196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7.664551954650925E-2</v>
      </c>
      <c r="AD351" s="230">
        <f>(INDEX(Models!$BJ351:$BT351,,AH351)*(1-AF351)+INDEX(Models!$BJ351:$BT351,,AH351+1)*AF351-ERP_i)*AE351*Ramure*Pc/MaxiM</f>
        <v>1.4928626581663135E-3</v>
      </c>
      <c r="AE351" s="304">
        <f t="shared" si="142"/>
        <v>0.5</v>
      </c>
      <c r="AF351" s="176">
        <f t="shared" si="143"/>
        <v>0.53465773965823571</v>
      </c>
      <c r="AG351" s="814">
        <f t="shared" si="149"/>
        <v>2</v>
      </c>
      <c r="AH351" s="175">
        <f t="shared" si="144"/>
        <v>8</v>
      </c>
      <c r="AI351" s="224">
        <f t="shared" si="145"/>
        <v>2.5346577396582357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10">
        <f>'2026'!Wh/'2026'!Env_an*'2027'!Env_an</f>
        <v>17.285237243891171</v>
      </c>
      <c r="C352" s="843"/>
      <c r="D352" s="392">
        <f t="shared" si="127"/>
        <v>18.628096170774079</v>
      </c>
      <c r="E352" s="384">
        <f t="shared" si="125"/>
        <v>19.589769969982399</v>
      </c>
      <c r="F352" s="384">
        <f t="shared" si="128"/>
        <v>19.593997638955202</v>
      </c>
      <c r="G352" s="110">
        <f t="shared" si="126"/>
        <v>0.7353831757346837</v>
      </c>
      <c r="H352" s="413" t="b">
        <f>Wh_hp&gt;='2026'!Maxi_hp</f>
        <v>0</v>
      </c>
      <c r="I352" s="389">
        <f>IF(H352,Wh_hp,'2026'!Maxi_hp)</f>
        <v>19.595824242477793</v>
      </c>
      <c r="J352" s="85">
        <f>IF(H352,An,'2026'!An_max)</f>
        <v>2025</v>
      </c>
      <c r="K352" s="196">
        <f t="shared" si="129"/>
        <v>46725</v>
      </c>
      <c r="L352" s="147">
        <f>IF(t&lt;Tvie,1-EXP((T0-t)*PertePVj)+'2026'!Pspv,1-EXP((T0-t)*PertePVj)+Pspv)</f>
        <v>7.2087824465376177E-2</v>
      </c>
      <c r="M352" s="847"/>
      <c r="N352" s="847"/>
      <c r="O352" s="48">
        <f>IF(t&lt;Tnet,'2026'!Resal+('2026'!Salim-'2026'!Resal)*(1-EXP(('2026'!Tnet-t)/('2026'!Tau_j))),Resal+(Salim-Resal)*(1-EXP((Tnet-t)/(Tau_j))))*Salcycl</f>
        <v>4.909061212469084E-2</v>
      </c>
      <c r="P352" s="168">
        <f>(INDEX(Models!$BJ352:$BT352,,T352)*(1-R352)+INDEX(Models!$BJ352:$BT352,,T352+1)*R352-ERP_i)*Q352*Ramure*Pc/MaxiM</f>
        <v>3.468232148665801E-4</v>
      </c>
      <c r="Q352" s="304">
        <f t="shared" si="130"/>
        <v>0.5</v>
      </c>
      <c r="R352" s="176">
        <f t="shared" si="131"/>
        <v>0.4196739287668293</v>
      </c>
      <c r="S352" s="814">
        <f t="shared" si="132"/>
        <v>0</v>
      </c>
      <c r="T352" s="175">
        <f t="shared" si="133"/>
        <v>6</v>
      </c>
      <c r="U352" s="250">
        <f t="shared" si="134"/>
        <v>0.4196739287668293</v>
      </c>
      <c r="V352" s="382">
        <f t="shared" si="135"/>
        <v>23.501994506456775</v>
      </c>
      <c r="W352" s="401">
        <f t="shared" si="136"/>
        <v>17.285237243891171</v>
      </c>
      <c r="X352" s="157">
        <f t="shared" si="137"/>
        <v>46725</v>
      </c>
      <c r="Y352" s="384">
        <f t="shared" si="138"/>
        <v>16.772611825587749</v>
      </c>
      <c r="Z352" s="384">
        <f t="shared" si="139"/>
        <v>18.075645807669328</v>
      </c>
      <c r="AA352" s="385">
        <f t="shared" si="140"/>
        <v>19.576086712477935</v>
      </c>
      <c r="AB352" s="196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7.6646621301090442E-2</v>
      </c>
      <c r="AD352" s="230">
        <f>(INDEX(Models!$BJ352:$BT352,,AH352)*(1-AF352)+INDEX(Models!$BJ352:$BT352,,AH352+1)*AF352-ERP_i)*AE352*Ramure*Pc/MaxiM</f>
        <v>1.4693499283049017E-3</v>
      </c>
      <c r="AE352" s="304">
        <f t="shared" si="142"/>
        <v>0.5</v>
      </c>
      <c r="AF352" s="176">
        <f t="shared" si="143"/>
        <v>0.53466646859121703</v>
      </c>
      <c r="AG352" s="814">
        <f t="shared" si="149"/>
        <v>2</v>
      </c>
      <c r="AH352" s="175">
        <f t="shared" si="144"/>
        <v>8</v>
      </c>
      <c r="AI352" s="224">
        <f t="shared" si="145"/>
        <v>2.534666468591217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10">
        <f>'2026'!Wh/'2026'!Env_an*'2027'!Env_an</f>
        <v>24.369763725702114</v>
      </c>
      <c r="C353" s="843"/>
      <c r="D353" s="392">
        <f t="shared" si="127"/>
        <v>26.263581241854038</v>
      </c>
      <c r="E353" s="384">
        <f t="shared" si="125"/>
        <v>27.620584512233364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Wh_hp&gt;='2026'!Maxi_hp</f>
        <v>1</v>
      </c>
      <c r="I353" s="389">
        <f>IF(H353,Wh_hp,'2026'!Maxi_hp)</f>
        <v>27.630023642459491</v>
      </c>
      <c r="J353" s="85">
        <f>IF(H353,An,'2026'!An_max)</f>
        <v>2027</v>
      </c>
      <c r="K353" s="196">
        <f t="shared" si="129"/>
        <v>46726</v>
      </c>
      <c r="L353" s="147">
        <f>IF(t&lt;Tvie,1-EXP((T0-t)*PertePVj)+'2026'!Pspv,1-EXP((T0-t)*PertePVj)+Pspv)</f>
        <v>7.2108121840364497E-2</v>
      </c>
      <c r="M353" s="847"/>
      <c r="N353" s="847"/>
      <c r="O353" s="48">
        <f>IF(t&lt;Tnet,'2026'!Resal+('2026'!Salim-'2026'!Resal)*(1-EXP(('2026'!Tnet-t)/('2026'!Tau_j))),Resal+(Salim-Resal)*(1-EXP((Tnet-t)/(Tau_j))))*Salcycl</f>
        <v>4.9130143128517031E-2</v>
      </c>
      <c r="P353" s="168">
        <f>(INDEX(Models!$BJ353:$BT353,,T353)*(1-R353)+INDEX(Models!$BJ353:$BT353,,T353+1)*R353-ERP_i)*Q353*Ramure*Pc/MaxiM</f>
        <v>3.4162584687842299E-4</v>
      </c>
      <c r="Q353" s="304">
        <f t="shared" si="130"/>
        <v>0.5</v>
      </c>
      <c r="R353" s="176">
        <f t="shared" si="131"/>
        <v>0.41968230672485068</v>
      </c>
      <c r="S353" s="814">
        <f t="shared" si="132"/>
        <v>0</v>
      </c>
      <c r="T353" s="175">
        <f t="shared" si="133"/>
        <v>6</v>
      </c>
      <c r="U353" s="250">
        <f t="shared" si="134"/>
        <v>0.41968230672485068</v>
      </c>
      <c r="V353" s="382">
        <f t="shared" si="135"/>
        <v>23.328153854053969</v>
      </c>
      <c r="W353" s="401">
        <f t="shared" si="136"/>
        <v>24.369763725702114</v>
      </c>
      <c r="X353" s="157">
        <f t="shared" si="137"/>
        <v>46726</v>
      </c>
      <c r="Y353" s="384">
        <f t="shared" si="138"/>
        <v>23.638297880064776</v>
      </c>
      <c r="Z353" s="384">
        <f t="shared" si="139"/>
        <v>25.47527188938065</v>
      </c>
      <c r="AA353" s="385">
        <f t="shared" si="140"/>
        <v>27.590018705206827</v>
      </c>
      <c r="AB353" s="196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7.6648980865934649E-2</v>
      </c>
      <c r="AD353" s="230">
        <f>(INDEX(Models!$BJ353:$BT353,,AH353)*(1-AF353)+INDEX(Models!$BJ353:$BT353,,AH353+1)*AF353-ERP_i)*AE353*Ramure*Pc/MaxiM</f>
        <v>1.4478792262481979E-3</v>
      </c>
      <c r="AE353" s="304">
        <f t="shared" si="142"/>
        <v>0.5</v>
      </c>
      <c r="AF353" s="176">
        <f t="shared" si="143"/>
        <v>0.53467484654923814</v>
      </c>
      <c r="AG353" s="814">
        <f t="shared" si="149"/>
        <v>2</v>
      </c>
      <c r="AH353" s="175">
        <f t="shared" si="144"/>
        <v>8</v>
      </c>
      <c r="AI353" s="224">
        <f t="shared" si="145"/>
        <v>2.5346748465492381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10">
        <f>'2026'!Wh/'2026'!Env_an*'2027'!Env_an</f>
        <v>13.622949997183252</v>
      </c>
      <c r="C354" s="843"/>
      <c r="D354" s="392">
        <f t="shared" si="127"/>
        <v>14.681934734045896</v>
      </c>
      <c r="E354" s="384">
        <f t="shared" si="125"/>
        <v>15.441183935284275</v>
      </c>
      <c r="F354" s="384">
        <f t="shared" si="128"/>
        <v>15.443324671742806</v>
      </c>
      <c r="G354" s="110">
        <f t="shared" si="126"/>
        <v>0.58798834668995403</v>
      </c>
      <c r="H354" s="413" t="b">
        <f>Wh_hp&gt;='2026'!Maxi_hp</f>
        <v>0</v>
      </c>
      <c r="I354" s="389">
        <f>IF(H354,Wh_hp,'2026'!Maxi_hp)</f>
        <v>23.185833675036029</v>
      </c>
      <c r="J354" s="85">
        <f>IF(H354,An,'2026'!An_max)</f>
        <v>2020</v>
      </c>
      <c r="K354" s="196">
        <f t="shared" si="129"/>
        <v>46727</v>
      </c>
      <c r="L354" s="147">
        <f>IF(t&lt;Tvie,1-EXP((T0-t)*PertePVj)+'2026'!Pspv,1-EXP((T0-t)*PertePVj)+Pspv)</f>
        <v>7.2128418770788211E-2</v>
      </c>
      <c r="M354" s="847"/>
      <c r="N354" s="847"/>
      <c r="O354" s="48">
        <f>IF(t&lt;Tnet,'2026'!Resal+('2026'!Salim-'2026'!Resal)*(1-EXP(('2026'!Tnet-t)/('2026'!Tau_j))),Resal+(Salim-Resal)*(1-EXP((Tnet-t)/(Tau_j))))*Salcycl</f>
        <v>4.9170400690806929E-2</v>
      </c>
      <c r="P354" s="168">
        <f>(INDEX(Models!$BJ354:$BT354,,T354)*(1-R354)+INDEX(Models!$BJ354:$BT354,,T354+1)*R354-ERP_i)*Q354*Ramure*Pc/MaxiM</f>
        <v>3.367982135321173E-4</v>
      </c>
      <c r="Q354" s="304">
        <f t="shared" si="130"/>
        <v>0.5</v>
      </c>
      <c r="R354" s="176">
        <f t="shared" si="131"/>
        <v>0.41969034780156445</v>
      </c>
      <c r="S354" s="814">
        <f t="shared" si="132"/>
        <v>0</v>
      </c>
      <c r="T354" s="175">
        <f t="shared" si="133"/>
        <v>6</v>
      </c>
      <c r="U354" s="250">
        <f t="shared" si="134"/>
        <v>0.41969034780156445</v>
      </c>
      <c r="V354" s="382">
        <f t="shared" si="135"/>
        <v>23.16414927692303</v>
      </c>
      <c r="W354" s="401">
        <f t="shared" si="136"/>
        <v>13.622949997183252</v>
      </c>
      <c r="X354" s="157">
        <f t="shared" si="137"/>
        <v>46727</v>
      </c>
      <c r="Y354" s="384">
        <f t="shared" si="138"/>
        <v>13.223256561804943</v>
      </c>
      <c r="Z354" s="384">
        <f t="shared" si="139"/>
        <v>14.251170991019292</v>
      </c>
      <c r="AA354" s="385">
        <f t="shared" si="140"/>
        <v>15.434245589504679</v>
      </c>
      <c r="AB354" s="196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7.6652570520834545E-2</v>
      </c>
      <c r="AD354" s="230">
        <f>(INDEX(Models!$BJ354:$BT354,,AH354)*(1-AF354)+INDEX(Models!$BJ354:$BT354,,AH354+1)*AF354-ERP_i)*AE354*Ramure*Pc/MaxiM</f>
        <v>1.4283956654855923E-3</v>
      </c>
      <c r="AE354" s="304">
        <f t="shared" si="142"/>
        <v>0.5</v>
      </c>
      <c r="AF354" s="176">
        <f t="shared" si="143"/>
        <v>0.53468288762595195</v>
      </c>
      <c r="AG354" s="814">
        <f t="shared" si="149"/>
        <v>2</v>
      </c>
      <c r="AH354" s="175">
        <f t="shared" si="144"/>
        <v>8</v>
      </c>
      <c r="AI354" s="224">
        <f t="shared" si="145"/>
        <v>2.534682887625952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10">
        <f>'2026'!Wh/'2026'!Env_an*'2027'!Env_an</f>
        <v>19.251390739069695</v>
      </c>
      <c r="C355" s="843"/>
      <c r="D355" s="392">
        <f t="shared" si="127"/>
        <v>20.748358121199249</v>
      </c>
      <c r="E355" s="384">
        <f t="shared" si="125"/>
        <v>21.822261434128428</v>
      </c>
      <c r="F355" s="384">
        <f t="shared" si="128"/>
        <v>21.82782220761322</v>
      </c>
      <c r="G355" s="110">
        <f t="shared" si="126"/>
        <v>0.8365438664799506</v>
      </c>
      <c r="H355" s="413" t="b">
        <f>Wh_hp&gt;='2026'!Maxi_hp</f>
        <v>0</v>
      </c>
      <c r="I355" s="389">
        <f>IF(H355,Wh_hp,'2026'!Maxi_hp)</f>
        <v>22.326722541325999</v>
      </c>
      <c r="J355" s="85">
        <f>IF(H355,An,'2026'!An_max)</f>
        <v>2018</v>
      </c>
      <c r="K355" s="196">
        <f t="shared" si="129"/>
        <v>46728</v>
      </c>
      <c r="L355" s="147">
        <f>IF(t&lt;Tvie,1-EXP((T0-t)*PertePVj)+'2026'!Pspv,1-EXP((T0-t)*PertePVj)+Pspv)</f>
        <v>7.2148715256657087E-2</v>
      </c>
      <c r="M355" s="847"/>
      <c r="N355" s="847"/>
      <c r="O355" s="48">
        <f>IF(t&lt;Tnet,'2026'!Resal+('2026'!Salim-'2026'!Resal)*(1-EXP(('2026'!Tnet-t)/('2026'!Tau_j))),Resal+(Salim-Resal)*(1-EXP((Tnet-t)/(Tau_j))))*Salcycl</f>
        <v>4.9211366849893579E-2</v>
      </c>
      <c r="P355" s="168">
        <f>(INDEX(Models!$BJ355:$BT355,,T355)*(1-R355)+INDEX(Models!$BJ355:$BT355,,T355+1)*R355-ERP_i)*Q355*Ramure*Pc/MaxiM</f>
        <v>3.3232656868389352E-4</v>
      </c>
      <c r="Q355" s="304">
        <f t="shared" si="130"/>
        <v>0.5</v>
      </c>
      <c r="R355" s="176">
        <f t="shared" si="131"/>
        <v>0.41969806552613548</v>
      </c>
      <c r="S355" s="814">
        <f t="shared" si="132"/>
        <v>0</v>
      </c>
      <c r="T355" s="175">
        <f t="shared" si="133"/>
        <v>6</v>
      </c>
      <c r="U355" s="250">
        <f t="shared" si="134"/>
        <v>0.41969806552613548</v>
      </c>
      <c r="V355" s="382">
        <f t="shared" si="135"/>
        <v>23.011222474741899</v>
      </c>
      <c r="W355" s="401">
        <f t="shared" si="136"/>
        <v>19.251390739069695</v>
      </c>
      <c r="X355" s="157">
        <f t="shared" si="137"/>
        <v>46728</v>
      </c>
      <c r="Y355" s="384">
        <f t="shared" si="138"/>
        <v>18.680208365915576</v>
      </c>
      <c r="Z355" s="384">
        <f t="shared" si="139"/>
        <v>20.132761222702616</v>
      </c>
      <c r="AA355" s="385">
        <f t="shared" si="140"/>
        <v>21.804214745121634</v>
      </c>
      <c r="AB355" s="196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7.6657359228815211E-2</v>
      </c>
      <c r="AD355" s="230">
        <f>(INDEX(Models!$BJ355:$BT355,,AH355)*(1-AF355)+INDEX(Models!$BJ355:$BT355,,AH355+1)*AF355-ERP_i)*AE355*Ramure*Pc/MaxiM</f>
        <v>1.4108445572578029E-3</v>
      </c>
      <c r="AE355" s="304">
        <f t="shared" si="142"/>
        <v>0.5</v>
      </c>
      <c r="AF355" s="176">
        <f t="shared" si="143"/>
        <v>0.53469060535052293</v>
      </c>
      <c r="AG355" s="814">
        <f t="shared" si="149"/>
        <v>2</v>
      </c>
      <c r="AH355" s="175">
        <f t="shared" si="144"/>
        <v>8</v>
      </c>
      <c r="AI355" s="224">
        <f t="shared" si="145"/>
        <v>2.5346906053505229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10">
        <f>'2026'!Wh/'2026'!Env_an*'2027'!Env_an</f>
        <v>3.5480861092823073</v>
      </c>
      <c r="C356" s="843"/>
      <c r="D356" s="392">
        <f t="shared" si="127"/>
        <v>3.8240651072086633</v>
      </c>
      <c r="E356" s="384">
        <f t="shared" si="125"/>
        <v>4.0221690882790382</v>
      </c>
      <c r="F356" s="384">
        <f t="shared" si="128"/>
        <v>4.0221690882790382</v>
      </c>
      <c r="G356" s="110">
        <f t="shared" si="126"/>
        <v>0.15508641408518684</v>
      </c>
      <c r="H356" s="413" t="b">
        <f>Wh_hp&gt;='2026'!Maxi_hp</f>
        <v>0</v>
      </c>
      <c r="I356" s="389">
        <f>IF(H356,Wh_hp,'2026'!Maxi_hp)</f>
        <v>18.567301939285336</v>
      </c>
      <c r="J356" s="85">
        <f>IF(H356,An,'2026'!An_max)</f>
        <v>2019</v>
      </c>
      <c r="K356" s="196">
        <f t="shared" si="129"/>
        <v>46729</v>
      </c>
      <c r="L356" s="147">
        <f>IF(t&lt;Tvie,1-EXP((T0-t)*PertePVj)+'2026'!Pspv,1-EXP((T0-t)*PertePVj)+Pspv)</f>
        <v>7.2169011297980784E-2</v>
      </c>
      <c r="M356" s="847"/>
      <c r="N356" s="847"/>
      <c r="O356" s="48">
        <f>IF(t&lt;Tnet,'2026'!Resal+('2026'!Salim-'2026'!Resal)*(1-EXP(('2026'!Tnet-t)/('2026'!Tau_j))),Resal+(Salim-Resal)*(1-EXP((Tnet-t)/(Tau_j))))*Salcycl</f>
        <v>4.9253021621509532E-2</v>
      </c>
      <c r="P356" s="168">
        <f>(INDEX(Models!$BJ356:$BT356,,T356)*(1-R356)+INDEX(Models!$BJ356:$BT356,,T356+1)*R356-ERP_i)*Q356*Ramure*Pc/MaxiM</f>
        <v>3.2819724687765077E-4</v>
      </c>
      <c r="Q356" s="304">
        <f t="shared" si="130"/>
        <v>0.5</v>
      </c>
      <c r="R356" s="176">
        <f t="shared" si="131"/>
        <v>0.4197054728857359</v>
      </c>
      <c r="S356" s="814">
        <f t="shared" si="132"/>
        <v>0</v>
      </c>
      <c r="T356" s="175">
        <f t="shared" si="133"/>
        <v>6</v>
      </c>
      <c r="U356" s="250">
        <f t="shared" si="134"/>
        <v>0.4197054728857359</v>
      </c>
      <c r="V356" s="382">
        <f t="shared" si="135"/>
        <v>22.870614799574131</v>
      </c>
      <c r="W356" s="401">
        <f t="shared" si="136"/>
        <v>3.5480861092823073</v>
      </c>
      <c r="X356" s="157">
        <f t="shared" si="137"/>
        <v>46729</v>
      </c>
      <c r="Y356" s="384">
        <f t="shared" si="138"/>
        <v>3.4457938317520833</v>
      </c>
      <c r="Z356" s="384">
        <f t="shared" si="139"/>
        <v>3.7138162808859678</v>
      </c>
      <c r="AA356" s="385">
        <f t="shared" si="140"/>
        <v>4.0221690882790382</v>
      </c>
      <c r="AB356" s="196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7.666331291034939E-2</v>
      </c>
      <c r="AD356" s="230">
        <f>(INDEX(Models!$BJ356:$BT356,,AH356)*(1-AF356)+INDEX(Models!$BJ356:$BT356,,AH356+1)*AF356-ERP_i)*AE356*Ramure*Pc/MaxiM</f>
        <v>1.3951706683782998E-3</v>
      </c>
      <c r="AE356" s="304">
        <f t="shared" si="142"/>
        <v>0.5</v>
      </c>
      <c r="AF356" s="176">
        <f t="shared" si="143"/>
        <v>0.53469801271012329</v>
      </c>
      <c r="AG356" s="814">
        <f t="shared" si="149"/>
        <v>2</v>
      </c>
      <c r="AH356" s="175">
        <f t="shared" si="144"/>
        <v>8</v>
      </c>
      <c r="AI356" s="224">
        <f t="shared" si="145"/>
        <v>2.5346980127101233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10">
        <f>'2026'!Wh/'2026'!Env_an*'2027'!Env_an</f>
        <v>8.0115230125616304</v>
      </c>
      <c r="C357" s="843"/>
      <c r="D357" s="392">
        <f t="shared" si="127"/>
        <v>8.6348681601721697</v>
      </c>
      <c r="E357" s="384">
        <f t="shared" si="125"/>
        <v>9.0825979426896968</v>
      </c>
      <c r="F357" s="384">
        <f t="shared" si="128"/>
        <v>9.0828178917832645</v>
      </c>
      <c r="G357" s="110">
        <f t="shared" si="126"/>
        <v>0.35214871814330223</v>
      </c>
      <c r="H357" s="413" t="b">
        <f>Wh_hp&gt;='2026'!Maxi_hp</f>
        <v>0</v>
      </c>
      <c r="I357" s="389">
        <f>IF(H357,Wh_hp,'2026'!Maxi_hp)</f>
        <v>10.545859216009614</v>
      </c>
      <c r="J357" s="85">
        <f>IF(H357,An,'2026'!An_max)</f>
        <v>2020</v>
      </c>
      <c r="K357" s="196">
        <f t="shared" si="129"/>
        <v>46730</v>
      </c>
      <c r="L357" s="147">
        <f>IF(t&lt;Tvie,1-EXP((T0-t)*PertePVj)+'2026'!Pspv,1-EXP((T0-t)*PertePVj)+Pspv)</f>
        <v>7.2189306894769073E-2</v>
      </c>
      <c r="M357" s="847"/>
      <c r="N357" s="847"/>
      <c r="O357" s="48">
        <f>IF(t&lt;Tnet,'2026'!Resal+('2026'!Salim-'2026'!Resal)*(1-EXP(('2026'!Tnet-t)/('2026'!Tau_j))),Resal+(Salim-Resal)*(1-EXP((Tnet-t)/(Tau_j))))*Salcycl</f>
        <v>4.929534317633108E-2</v>
      </c>
      <c r="P357" s="168">
        <f>(INDEX(Models!$BJ357:$BT357,,T357)*(1-R357)+INDEX(Models!$BJ357:$BT357,,T357+1)*R357-ERP_i)*Q357*Ramure*Pc/MaxiM</f>
        <v>3.2439656002083024E-4</v>
      </c>
      <c r="Q357" s="304">
        <f t="shared" si="130"/>
        <v>0.5</v>
      </c>
      <c r="R357" s="176">
        <f t="shared" si="131"/>
        <v>0.41971258234715197</v>
      </c>
      <c r="S357" s="814">
        <f t="shared" si="132"/>
        <v>0</v>
      </c>
      <c r="T357" s="175">
        <f t="shared" si="133"/>
        <v>6</v>
      </c>
      <c r="U357" s="250">
        <f t="shared" si="134"/>
        <v>0.41971258234715197</v>
      </c>
      <c r="V357" s="382">
        <f t="shared" si="135"/>
        <v>22.74356724259043</v>
      </c>
      <c r="W357" s="401">
        <f t="shared" si="136"/>
        <v>8.0115230125616304</v>
      </c>
      <c r="X357" s="157">
        <f t="shared" si="137"/>
        <v>46730</v>
      </c>
      <c r="Y357" s="384">
        <f t="shared" si="138"/>
        <v>7.7802214187092531</v>
      </c>
      <c r="Z357" s="384">
        <f t="shared" si="139"/>
        <v>8.3855698975295514</v>
      </c>
      <c r="AA357" s="385">
        <f t="shared" si="140"/>
        <v>9.0818813234997346</v>
      </c>
      <c r="AB357" s="196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7.6670394730709454E-2</v>
      </c>
      <c r="AD357" s="230">
        <f>(INDEX(Models!$BJ357:$BT357,,AH357)*(1-AF357)+INDEX(Models!$BJ357:$BT357,,AH357+1)*AF357-ERP_i)*AE357*Ramure*Pc/MaxiM</f>
        <v>1.3813174879399165E-3</v>
      </c>
      <c r="AE357" s="304">
        <f t="shared" si="142"/>
        <v>0.5</v>
      </c>
      <c r="AF357" s="176">
        <f t="shared" si="143"/>
        <v>0.53470512217153932</v>
      </c>
      <c r="AG357" s="814">
        <f t="shared" si="149"/>
        <v>2</v>
      </c>
      <c r="AH357" s="175">
        <f t="shared" si="144"/>
        <v>8</v>
      </c>
      <c r="AI357" s="224">
        <f t="shared" si="145"/>
        <v>2.5347051221715393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10">
        <f>'2026'!Wh/'2026'!Env_an*'2027'!Env_an</f>
        <v>14.81580814982652</v>
      </c>
      <c r="C358" s="843"/>
      <c r="D358" s="392">
        <f t="shared" si="127"/>
        <v>15.96891731420739</v>
      </c>
      <c r="E358" s="384">
        <f t="shared" si="125"/>
        <v>16.797686757565423</v>
      </c>
      <c r="F358" s="384">
        <f t="shared" si="128"/>
        <v>16.800418362009925</v>
      </c>
      <c r="G358" s="110">
        <f t="shared" si="126"/>
        <v>0.65455580385732326</v>
      </c>
      <c r="H358" s="413" t="b">
        <f>Wh_hp&gt;='2026'!Maxi_hp</f>
        <v>0</v>
      </c>
      <c r="I358" s="389">
        <f>IF(H358,Wh_hp,'2026'!Maxi_hp)</f>
        <v>22.599335595679641</v>
      </c>
      <c r="J358" s="85">
        <f>IF(H358,An,'2026'!An_max)</f>
        <v>2019</v>
      </c>
      <c r="K358" s="196">
        <f t="shared" si="129"/>
        <v>46731</v>
      </c>
      <c r="L358" s="147">
        <f>IF(t&lt;Tvie,1-EXP((T0-t)*PertePVj)+'2026'!Pspv,1-EXP((T0-t)*PertePVj)+Pspv)</f>
        <v>7.2209602047031723E-2</v>
      </c>
      <c r="M358" s="847"/>
      <c r="N358" s="847"/>
      <c r="O358" s="48">
        <f>IF(t&lt;Tnet,'2026'!Resal+('2026'!Salim-'2026'!Resal)*(1-EXP(('2026'!Tnet-t)/('2026'!Tau_j))),Resal+(Salim-Resal)*(1-EXP((Tnet-t)/(Tau_j))))*Salcycl</f>
        <v>4.9338308025345542E-2</v>
      </c>
      <c r="P358" s="168">
        <f>(INDEX(Models!$BJ358:$BT358,,T358)*(1-R358)+INDEX(Models!$BJ358:$BT358,,T358+1)*R358-ERP_i)*Q358*Ramure*Pc/MaxiM</f>
        <v>3.2091070038142353E-4</v>
      </c>
      <c r="Q358" s="304">
        <f t="shared" si="130"/>
        <v>0.5</v>
      </c>
      <c r="R358" s="176">
        <f t="shared" si="131"/>
        <v>0.4197194058775387</v>
      </c>
      <c r="S358" s="814">
        <f t="shared" si="132"/>
        <v>0</v>
      </c>
      <c r="T358" s="175">
        <f t="shared" si="133"/>
        <v>6</v>
      </c>
      <c r="U358" s="250">
        <f t="shared" si="134"/>
        <v>0.4197194058775387</v>
      </c>
      <c r="V358" s="382">
        <f t="shared" si="135"/>
        <v>22.631320436705554</v>
      </c>
      <c r="W358" s="401">
        <f t="shared" si="136"/>
        <v>14.81580814982652</v>
      </c>
      <c r="X358" s="157">
        <f t="shared" si="137"/>
        <v>46731</v>
      </c>
      <c r="Y358" s="384">
        <f t="shared" si="138"/>
        <v>14.382073414309701</v>
      </c>
      <c r="Z358" s="384">
        <f t="shared" si="139"/>
        <v>15.501425155985244</v>
      </c>
      <c r="AA358" s="385">
        <f t="shared" si="140"/>
        <v>16.788763452317003</v>
      </c>
      <c r="AB358" s="196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7.6678565398102388E-2</v>
      </c>
      <c r="AD358" s="230">
        <f>(INDEX(Models!$BJ358:$BT358,,AH358)*(1-AF358)+INDEX(Models!$BJ358:$BT358,,AH358+1)*AF358-ERP_i)*AE358*Ramure*Pc/MaxiM</f>
        <v>1.3692265144637579E-3</v>
      </c>
      <c r="AE358" s="304">
        <f t="shared" si="142"/>
        <v>0.5</v>
      </c>
      <c r="AF358" s="176">
        <f t="shared" si="143"/>
        <v>0.53471194570192626</v>
      </c>
      <c r="AG358" s="814">
        <f t="shared" si="149"/>
        <v>2</v>
      </c>
      <c r="AH358" s="175">
        <f t="shared" si="144"/>
        <v>8</v>
      </c>
      <c r="AI358" s="224">
        <f t="shared" si="145"/>
        <v>2.5347119457019263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10">
        <f>'2026'!Wh/'2026'!Env_an*'2027'!Env_an</f>
        <v>15.896240233997869</v>
      </c>
      <c r="C359" s="843"/>
      <c r="D359" s="392">
        <f t="shared" si="127"/>
        <v>17.133813838573637</v>
      </c>
      <c r="E359" s="384">
        <f t="shared" si="125"/>
        <v>18.023866450861007</v>
      </c>
      <c r="F359" s="384">
        <f t="shared" si="128"/>
        <v>18.027184986903261</v>
      </c>
      <c r="G359" s="110">
        <f t="shared" si="126"/>
        <v>0.70541228909611753</v>
      </c>
      <c r="H359" s="413" t="b">
        <f>Wh_hp&gt;='2026'!Maxi_hp</f>
        <v>0</v>
      </c>
      <c r="I359" s="389">
        <f>IF(H359,Wh_hp,'2026'!Maxi_hp)</f>
        <v>18.967198725102847</v>
      </c>
      <c r="J359" s="85">
        <f>IF(H359,An,'2026'!An_max)</f>
        <v>2018</v>
      </c>
      <c r="K359" s="196">
        <f t="shared" si="129"/>
        <v>46732</v>
      </c>
      <c r="L359" s="147">
        <f>IF(t&lt;Tvie,1-EXP((T0-t)*PertePVj)+'2026'!Pspv,1-EXP((T0-t)*PertePVj)+Pspv)</f>
        <v>7.2229896754778505E-2</v>
      </c>
      <c r="M359" s="847"/>
      <c r="N359" s="847"/>
      <c r="O359" s="48">
        <f>IF(t&lt;Tnet,'2026'!Resal+('2026'!Salim-'2026'!Resal)*(1-EXP(('2026'!Tnet-t)/('2026'!Tau_j))),Resal+(Salim-Resal)*(1-EXP((Tnet-t)/(Tau_j))))*Salcycl</f>
        <v>4.9381891211519272E-2</v>
      </c>
      <c r="P359" s="168">
        <f>(INDEX(Models!$BJ359:$BT359,,T359)*(1-R359)+INDEX(Models!$BJ359:$BT359,,T359+1)*R359-ERP_i)*Q359*Ramure*Pc/MaxiM</f>
        <v>3.1777425525404652E-4</v>
      </c>
      <c r="Q359" s="304">
        <f t="shared" si="130"/>
        <v>0.5</v>
      </c>
      <c r="R359" s="176">
        <f t="shared" si="131"/>
        <v>0.4197259549643535</v>
      </c>
      <c r="S359" s="814">
        <f t="shared" si="132"/>
        <v>0</v>
      </c>
      <c r="T359" s="175">
        <f t="shared" si="133"/>
        <v>6</v>
      </c>
      <c r="U359" s="250">
        <f t="shared" si="134"/>
        <v>0.4197259549643535</v>
      </c>
      <c r="V359" s="382">
        <f t="shared" si="135"/>
        <v>22.531666846997997</v>
      </c>
      <c r="W359" s="401">
        <f t="shared" si="136"/>
        <v>15.896240233997869</v>
      </c>
      <c r="X359" s="157">
        <f t="shared" si="137"/>
        <v>46732</v>
      </c>
      <c r="Y359" s="384">
        <f t="shared" si="138"/>
        <v>15.430316039089814</v>
      </c>
      <c r="Z359" s="384">
        <f t="shared" si="139"/>
        <v>16.63161594140244</v>
      </c>
      <c r="AA359" s="385">
        <f t="shared" si="140"/>
        <v>18.012992402408205</v>
      </c>
      <c r="AB359" s="196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7.6687783470173798E-2</v>
      </c>
      <c r="AD359" s="230">
        <f>(INDEX(Models!$BJ359:$BT359,,AH359)*(1-AF359)+INDEX(Models!$BJ359:$BT359,,AH359+1)*AF359-ERP_i)*AE359*Ramure*Pc/MaxiM</f>
        <v>1.3590444432785567E-3</v>
      </c>
      <c r="AE359" s="304">
        <f t="shared" si="142"/>
        <v>0.5</v>
      </c>
      <c r="AF359" s="176">
        <f t="shared" si="143"/>
        <v>0.53471849478874089</v>
      </c>
      <c r="AG359" s="814">
        <f t="shared" si="149"/>
        <v>2</v>
      </c>
      <c r="AH359" s="175">
        <f t="shared" si="144"/>
        <v>8</v>
      </c>
      <c r="AI359" s="224">
        <f t="shared" si="145"/>
        <v>2.5347184947887409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10">
        <f>'2026'!Wh/'2026'!Env_an*'2027'!Env_an</f>
        <v>5.1097965733215904</v>
      </c>
      <c r="C360" s="843"/>
      <c r="D360" s="392">
        <f t="shared" si="127"/>
        <v>5.5077312049555323</v>
      </c>
      <c r="E360" s="384">
        <f t="shared" si="125"/>
        <v>5.794111337255087</v>
      </c>
      <c r="F360" s="384">
        <f t="shared" si="128"/>
        <v>5.794111337255087</v>
      </c>
      <c r="G360" s="110">
        <f t="shared" si="126"/>
        <v>0.22762055165427522</v>
      </c>
      <c r="H360" s="413" t="b">
        <f>Wh_hp&gt;='2026'!Maxi_hp</f>
        <v>0</v>
      </c>
      <c r="I360" s="389">
        <f>IF(H360,Wh_hp,'2026'!Maxi_hp)</f>
        <v>25.182974084445021</v>
      </c>
      <c r="J360" s="85">
        <f>IF(H360,An,'2026'!An_max)</f>
        <v>2021</v>
      </c>
      <c r="K360" s="196">
        <f t="shared" si="129"/>
        <v>46733</v>
      </c>
      <c r="L360" s="147">
        <f>IF(t&lt;Tvie,1-EXP((T0-t)*PertePVj)+'2026'!Pspv,1-EXP((T0-t)*PertePVj)+Pspv)</f>
        <v>7.2250191018019078E-2</v>
      </c>
      <c r="M360" s="847"/>
      <c r="N360" s="847"/>
      <c r="O360" s="48">
        <f>IF(t&lt;Tnet,'2026'!Resal+('2026'!Salim-'2026'!Resal)*(1-EXP(('2026'!Tnet-t)/('2026'!Tau_j))),Resal+(Salim-Resal)*(1-EXP((Tnet-t)/(Tau_j))))*Salcycl</f>
        <v>4.9426066506209836E-2</v>
      </c>
      <c r="P360" s="168">
        <f>(INDEX(Models!$BJ360:$BT360,,T360)*(1-R360)+INDEX(Models!$BJ360:$BT360,,T360+1)*R360-ERP_i)*Q360*Ramure*Pc/MaxiM</f>
        <v>3.1503064931990877E-4</v>
      </c>
      <c r="Q360" s="304">
        <f t="shared" si="130"/>
        <v>0.5</v>
      </c>
      <c r="R360" s="176">
        <f t="shared" si="131"/>
        <v>0.41973224063450232</v>
      </c>
      <c r="S360" s="814">
        <f t="shared" si="132"/>
        <v>0</v>
      </c>
      <c r="T360" s="175">
        <f t="shared" si="133"/>
        <v>6</v>
      </c>
      <c r="U360" s="250">
        <f t="shared" si="134"/>
        <v>0.41973224063450232</v>
      </c>
      <c r="V360" s="382">
        <f t="shared" si="135"/>
        <v>22.441676701266623</v>
      </c>
      <c r="W360" s="401">
        <f t="shared" si="136"/>
        <v>5.1097965733215904</v>
      </c>
      <c r="X360" s="157">
        <f t="shared" si="137"/>
        <v>46733</v>
      </c>
      <c r="Y360" s="384">
        <f t="shared" si="138"/>
        <v>4.9631966547265831</v>
      </c>
      <c r="Z360" s="384">
        <f t="shared" si="139"/>
        <v>5.3497145530783721</v>
      </c>
      <c r="AA360" s="385">
        <f t="shared" si="140"/>
        <v>5.794111337255087</v>
      </c>
      <c r="AB360" s="196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7.6698005666429717E-2</v>
      </c>
      <c r="AD360" s="230">
        <f>(INDEX(Models!$BJ360:$BT360,,AH360)*(1-AF360)+INDEX(Models!$BJ360:$BT360,,AH360+1)*AF360-ERP_i)*AE360*Ramure*Pc/MaxiM</f>
        <v>1.3509560522612803E-3</v>
      </c>
      <c r="AE360" s="304">
        <f t="shared" si="142"/>
        <v>0.5</v>
      </c>
      <c r="AF360" s="176">
        <f t="shared" si="143"/>
        <v>0.53472478045888971</v>
      </c>
      <c r="AG360" s="814">
        <f t="shared" si="149"/>
        <v>2</v>
      </c>
      <c r="AH360" s="175">
        <f t="shared" si="144"/>
        <v>8</v>
      </c>
      <c r="AI360" s="224">
        <f t="shared" si="145"/>
        <v>2.5347247804588897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10">
        <f>'2026'!Wh/'2026'!Env_an*'2027'!Env_an</f>
        <v>4.7829185145684159</v>
      </c>
      <c r="C361" s="843"/>
      <c r="D361" s="392">
        <f t="shared" si="127"/>
        <v>5.1555097001811427</v>
      </c>
      <c r="E361" s="384">
        <f t="shared" ref="E361:E379" si="150">Wh_pvt/(1-Psa)</f>
        <v>5.4238309943827758</v>
      </c>
      <c r="F361" s="384">
        <f t="shared" si="128"/>
        <v>5.4238309943827758</v>
      </c>
      <c r="G361" s="110">
        <f t="shared" ref="G361:G379" si="151">+Wh_hp/MaxiM</f>
        <v>0.21382382766072819</v>
      </c>
      <c r="H361" s="413" t="b">
        <f>Wh_hp&gt;='2026'!Maxi_hp</f>
        <v>0</v>
      </c>
      <c r="I361" s="389">
        <f>IF(H361,Wh_hp,'2026'!Maxi_hp)</f>
        <v>25.628630345535896</v>
      </c>
      <c r="J361" s="85">
        <f>IF(H361,An,'2026'!An_max)</f>
        <v>2021</v>
      </c>
      <c r="K361" s="196">
        <f t="shared" si="129"/>
        <v>46734</v>
      </c>
      <c r="L361" s="147">
        <f>IF(t&lt;Tvie,1-EXP((T0-t)*PertePVj)+'2026'!Pspv,1-EXP((T0-t)*PertePVj)+Pspv)</f>
        <v>7.227048483676321E-2</v>
      </c>
      <c r="M361" s="847"/>
      <c r="N361" s="847"/>
      <c r="O361" s="48">
        <f>IF(t&lt;Tnet,'2026'!Resal+('2026'!Salim-'2026'!Resal)*(1-EXP(('2026'!Tnet-t)/('2026'!Tau_j))),Resal+(Salim-Resal)*(1-EXP((Tnet-t)/(Tau_j))))*Salcycl</f>
        <v>4.9470806608746067E-2</v>
      </c>
      <c r="P361" s="168">
        <f>(INDEX(Models!$BJ361:$BT361,,T361)*(1-R361)+INDEX(Models!$BJ361:$BT361,,T361+1)*R361-ERP_i)*Q361*Ramure*Pc/MaxiM</f>
        <v>3.125228902398729E-4</v>
      </c>
      <c r="Q361" s="304">
        <f t="shared" si="130"/>
        <v>0.5</v>
      </c>
      <c r="R361" s="176">
        <f t="shared" si="131"/>
        <v>0.41973827347272785</v>
      </c>
      <c r="S361" s="814">
        <f t="shared" si="132"/>
        <v>0</v>
      </c>
      <c r="T361" s="175">
        <f t="shared" si="133"/>
        <v>6</v>
      </c>
      <c r="U361" s="250">
        <f t="shared" si="134"/>
        <v>0.41973827347272785</v>
      </c>
      <c r="V361" s="382">
        <f t="shared" si="135"/>
        <v>22.361510386190876</v>
      </c>
      <c r="W361" s="401">
        <f t="shared" si="136"/>
        <v>4.7829185145684159</v>
      </c>
      <c r="X361" s="157">
        <f t="shared" si="137"/>
        <v>46734</v>
      </c>
      <c r="Y361" s="384">
        <f t="shared" si="138"/>
        <v>4.6458591210573532</v>
      </c>
      <c r="Z361" s="384">
        <f t="shared" si="139"/>
        <v>5.0077733273796952</v>
      </c>
      <c r="AA361" s="385">
        <f t="shared" si="140"/>
        <v>5.4238309943827758</v>
      </c>
      <c r="AB361" s="196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7.670918718410899E-2</v>
      </c>
      <c r="AD361" s="230">
        <f>(INDEX(Models!$BJ361:$BT361,,AH361)*(1-AF361)+INDEX(Models!$BJ361:$BT361,,AH361+1)*AF361-ERP_i)*AE361*Ramure*Pc/MaxiM</f>
        <v>1.343453202918801E-3</v>
      </c>
      <c r="AE361" s="304">
        <f t="shared" si="142"/>
        <v>0.5</v>
      </c>
      <c r="AF361" s="176">
        <f t="shared" si="143"/>
        <v>0.53473081329711558</v>
      </c>
      <c r="AG361" s="814">
        <f t="shared" si="149"/>
        <v>2</v>
      </c>
      <c r="AH361" s="175">
        <f t="shared" si="144"/>
        <v>8</v>
      </c>
      <c r="AI361" s="224">
        <f t="shared" si="145"/>
        <v>2.5347308132971156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10">
        <f>'2026'!Wh/'2026'!Env_an*'2027'!Env_an</f>
        <v>15.529554844123105</v>
      </c>
      <c r="C362" s="843"/>
      <c r="D362" s="392">
        <f t="shared" si="127"/>
        <v>16.739679286766346</v>
      </c>
      <c r="E362" s="384">
        <f t="shared" si="150"/>
        <v>17.611743863823918</v>
      </c>
      <c r="F362" s="384">
        <f t="shared" si="128"/>
        <v>17.614840665987469</v>
      </c>
      <c r="G362" s="110">
        <f t="shared" si="151"/>
        <v>0.69656993688349034</v>
      </c>
      <c r="H362" s="413" t="b">
        <f>Wh_hp&gt;='2026'!Maxi_hp</f>
        <v>0</v>
      </c>
      <c r="I362" s="389">
        <f>IF(H362,Wh_hp,'2026'!Maxi_hp)</f>
        <v>25.793549080224839</v>
      </c>
      <c r="J362" s="85">
        <f>IF(H362,An,'2026'!An_max)</f>
        <v>2021</v>
      </c>
      <c r="K362" s="196">
        <f t="shared" si="129"/>
        <v>46735</v>
      </c>
      <c r="L362" s="147">
        <f>IF(t&lt;Tvie,1-EXP((T0-t)*PertePVj)+'2026'!Pspv,1-EXP((T0-t)*PertePVj)+Pspv)</f>
        <v>7.2290778211020562E-2</v>
      </c>
      <c r="M362" s="847"/>
      <c r="N362" s="847"/>
      <c r="O362" s="48">
        <f>IF(t&lt;Tnet,'2026'!Resal+('2026'!Salim-'2026'!Resal)*(1-EXP(('2026'!Tnet-t)/('2026'!Tau_j))),Resal+(Salim-Resal)*(1-EXP((Tnet-t)/(Tau_j))))*Salcycl</f>
        <v>4.9516083347593345E-2</v>
      </c>
      <c r="P362" s="168">
        <f>(INDEX(Models!$BJ362:$BT362,,T362)*(1-R362)+INDEX(Models!$BJ362:$BT362,,T362+1)*R362-ERP_i)*Q362*Ramure*Pc/MaxiM</f>
        <v>3.1024901939640957E-4</v>
      </c>
      <c r="Q362" s="304">
        <f t="shared" si="130"/>
        <v>0.5</v>
      </c>
      <c r="R362" s="176">
        <f t="shared" si="131"/>
        <v>0.41974406363926947</v>
      </c>
      <c r="S362" s="814">
        <f t="shared" si="132"/>
        <v>0</v>
      </c>
      <c r="T362" s="175">
        <f t="shared" si="133"/>
        <v>6</v>
      </c>
      <c r="U362" s="250">
        <f t="shared" si="134"/>
        <v>0.41974406363926947</v>
      </c>
      <c r="V362" s="382">
        <f t="shared" si="135"/>
        <v>22.291324705788025</v>
      </c>
      <c r="W362" s="401">
        <f t="shared" si="136"/>
        <v>15.529554844123105</v>
      </c>
      <c r="X362" s="157">
        <f t="shared" si="137"/>
        <v>46735</v>
      </c>
      <c r="Y362" s="384">
        <f t="shared" si="138"/>
        <v>15.076286331998329</v>
      </c>
      <c r="Z362" s="384">
        <f t="shared" si="139"/>
        <v>16.251090296295065</v>
      </c>
      <c r="AA362" s="385">
        <f t="shared" si="140"/>
        <v>17.601499936836916</v>
      </c>
      <c r="AB362" s="196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7.6721282015044495E-2</v>
      </c>
      <c r="AD362" s="230">
        <f>(INDEX(Models!$BJ362:$BT362,,AH362)*(1-AF362)+INDEX(Models!$BJ362:$BT362,,AH362+1)*AF362-ERP_i)*AE362*Ramure*Pc/MaxiM</f>
        <v>1.3365232644524517E-3</v>
      </c>
      <c r="AE362" s="304">
        <f t="shared" si="142"/>
        <v>0.5</v>
      </c>
      <c r="AF362" s="176">
        <f t="shared" si="143"/>
        <v>0.53473660346365692</v>
      </c>
      <c r="AG362" s="814">
        <f t="shared" si="149"/>
        <v>2</v>
      </c>
      <c r="AH362" s="175">
        <f t="shared" si="144"/>
        <v>8</v>
      </c>
      <c r="AI362" s="224">
        <f t="shared" si="145"/>
        <v>2.5347366034636569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10">
        <f>'2026'!Wh/'2026'!Env_an*'2027'!Env_an</f>
        <v>5.6675491051213269</v>
      </c>
      <c r="C363" s="843"/>
      <c r="D363" s="392">
        <f t="shared" si="127"/>
        <v>6.1093206233374442</v>
      </c>
      <c r="E363" s="384">
        <f t="shared" si="150"/>
        <v>6.4278993202010186</v>
      </c>
      <c r="F363" s="384">
        <f t="shared" si="128"/>
        <v>6.4278993202010186</v>
      </c>
      <c r="G363" s="110">
        <f t="shared" si="151"/>
        <v>0.25485726638153083</v>
      </c>
      <c r="H363" s="413" t="b">
        <f>Wh_hp&gt;='2026'!Maxi_hp</f>
        <v>0</v>
      </c>
      <c r="I363" s="389">
        <f>IF(H363,Wh_hp,'2026'!Maxi_hp)</f>
        <v>25.480565606345994</v>
      </c>
      <c r="J363" s="85">
        <f>IF(H363,An,'2026'!An_max)</f>
        <v>2019</v>
      </c>
      <c r="K363" s="196">
        <f t="shared" si="129"/>
        <v>46736</v>
      </c>
      <c r="L363" s="147">
        <f>IF(t&lt;Tvie,1-EXP((T0-t)*PertePVj)+'2026'!Pspv,1-EXP((T0-t)*PertePVj)+Pspv)</f>
        <v>7.2311071140801014E-2</v>
      </c>
      <c r="M363" s="847"/>
      <c r="N363" s="847"/>
      <c r="O363" s="48">
        <f>IF(t&lt;Tnet,'2026'!Resal+('2026'!Salim-'2026'!Resal)*(1-EXP(('2026'!Tnet-t)/('2026'!Tau_j))),Resal+(Salim-Resal)*(1-EXP((Tnet-t)/(Tau_j))))*Salcycl</f>
        <v>4.9561867881529317E-2</v>
      </c>
      <c r="P363" s="168">
        <f>(INDEX(Models!$BJ363:$BT363,,T363)*(1-R363)+INDEX(Models!$BJ363:$BT363,,T363+1)*R363-ERP_i)*Q363*Ramure*Pc/MaxiM</f>
        <v>3.0820684496166839E-4</v>
      </c>
      <c r="Q363" s="304">
        <f t="shared" si="130"/>
        <v>0.5</v>
      </c>
      <c r="R363" s="176">
        <f t="shared" si="131"/>
        <v>0.41974962088682338</v>
      </c>
      <c r="S363" s="814">
        <f t="shared" si="132"/>
        <v>0</v>
      </c>
      <c r="T363" s="175">
        <f t="shared" si="133"/>
        <v>6</v>
      </c>
      <c r="U363" s="250">
        <f t="shared" si="134"/>
        <v>0.41974962088682338</v>
      </c>
      <c r="V363" s="382">
        <f t="shared" si="135"/>
        <v>22.231276385155347</v>
      </c>
      <c r="W363" s="401">
        <f t="shared" si="136"/>
        <v>5.6675491051213269</v>
      </c>
      <c r="X363" s="157">
        <f t="shared" si="137"/>
        <v>46736</v>
      </c>
      <c r="Y363" s="384">
        <f t="shared" si="138"/>
        <v>5.5055177570912077</v>
      </c>
      <c r="Z363" s="384">
        <f t="shared" si="139"/>
        <v>5.9346593301069932</v>
      </c>
      <c r="AA363" s="385">
        <f t="shared" si="140"/>
        <v>6.4278993202010186</v>
      </c>
      <c r="AB363" s="196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7.6734243261078319E-2</v>
      </c>
      <c r="AD363" s="230">
        <f>(INDEX(Models!$BJ363:$BT363,,AH363)*(1-AF363)+INDEX(Models!$BJ363:$BT363,,AH363+1)*AF363-ERP_i)*AE363*Ramure*Pc/MaxiM</f>
        <v>1.3301530984515943E-3</v>
      </c>
      <c r="AE363" s="304">
        <f t="shared" si="142"/>
        <v>0.5</v>
      </c>
      <c r="AF363" s="176">
        <f t="shared" si="143"/>
        <v>0.53474216071121106</v>
      </c>
      <c r="AG363" s="814">
        <f t="shared" si="149"/>
        <v>2</v>
      </c>
      <c r="AH363" s="175">
        <f t="shared" si="144"/>
        <v>8</v>
      </c>
      <c r="AI363" s="224">
        <f t="shared" si="145"/>
        <v>2.5347421607112111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10">
        <f>'2026'!Wh/'2026'!Env_an*'2027'!Env_an</f>
        <v>4.6905652811787242</v>
      </c>
      <c r="C364" s="843"/>
      <c r="D364" s="392">
        <f t="shared" si="127"/>
        <v>5.0562939149408166</v>
      </c>
      <c r="E364" s="384">
        <f t="shared" si="150"/>
        <v>5.3202200895564973</v>
      </c>
      <c r="F364" s="384">
        <f t="shared" si="128"/>
        <v>5.3202200895564973</v>
      </c>
      <c r="G364" s="110">
        <f t="shared" si="151"/>
        <v>0.21139794224269307</v>
      </c>
      <c r="H364" s="413" t="b">
        <f>Wh_hp&gt;='2026'!Maxi_hp</f>
        <v>0</v>
      </c>
      <c r="I364" s="389">
        <f>IF(H364,Wh_hp,'2026'!Maxi_hp)</f>
        <v>25.377084616872267</v>
      </c>
      <c r="J364" s="85">
        <f>IF(H364,An,'2026'!An_max)</f>
        <v>2021</v>
      </c>
      <c r="K364" s="196">
        <f t="shared" si="129"/>
        <v>46737</v>
      </c>
      <c r="L364" s="147">
        <f>IF(t&lt;Tvie,1-EXP((T0-t)*PertePVj)+'2026'!Pspv,1-EXP((T0-t)*PertePVj)+Pspv)</f>
        <v>7.2331363626114115E-2</v>
      </c>
      <c r="M364" s="847"/>
      <c r="N364" s="847"/>
      <c r="O364" s="48">
        <f>IF(t&lt;Tnet,'2026'!Resal+('2026'!Salim-'2026'!Resal)*(1-EXP(('2026'!Tnet-t)/('2026'!Tau_j))),Resal+(Salim-Resal)*(1-EXP((Tnet-t)/(Tau_j))))*Salcycl</f>
        <v>4.960813089927673E-2</v>
      </c>
      <c r="P364" s="168">
        <f>(INDEX(Models!$BJ364:$BT364,,T364)*(1-R364)+INDEX(Models!$BJ364:$BT364,,T364+1)*R364-ERP_i)*Q364*Ramure*Pc/MaxiM</f>
        <v>3.0639393086342862E-4</v>
      </c>
      <c r="Q364" s="304">
        <f t="shared" si="130"/>
        <v>0.5</v>
      </c>
      <c r="R364" s="176">
        <f t="shared" si="131"/>
        <v>0.41975495457683049</v>
      </c>
      <c r="S364" s="814">
        <f t="shared" si="132"/>
        <v>0</v>
      </c>
      <c r="T364" s="175">
        <f t="shared" si="133"/>
        <v>6</v>
      </c>
      <c r="U364" s="250">
        <f t="shared" si="134"/>
        <v>0.41975495457683049</v>
      </c>
      <c r="V364" s="382">
        <f t="shared" si="135"/>
        <v>22.181522065436909</v>
      </c>
      <c r="W364" s="401">
        <f t="shared" si="136"/>
        <v>4.6905652811787242</v>
      </c>
      <c r="X364" s="157">
        <f t="shared" si="137"/>
        <v>46737</v>
      </c>
      <c r="Y364" s="384">
        <f t="shared" si="138"/>
        <v>4.5566190197977559</v>
      </c>
      <c r="Z364" s="384">
        <f t="shared" si="139"/>
        <v>4.9119037133872281</v>
      </c>
      <c r="AA364" s="385">
        <f t="shared" si="140"/>
        <v>5.3202200895564973</v>
      </c>
      <c r="AB364" s="196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7.6748023445644187E-2</v>
      </c>
      <c r="AD364" s="230">
        <f>(INDEX(Models!$BJ364:$BT364,,AH364)*(1-AF364)+INDEX(Models!$BJ364:$BT364,,AH364+1)*AF364-ERP_i)*AE364*Ramure*Pc/MaxiM</f>
        <v>1.3243290917885539E-3</v>
      </c>
      <c r="AE364" s="304">
        <f t="shared" si="142"/>
        <v>0.5</v>
      </c>
      <c r="AF364" s="176">
        <f t="shared" si="143"/>
        <v>0.53474749440121805</v>
      </c>
      <c r="AG364" s="814">
        <f t="shared" si="149"/>
        <v>2</v>
      </c>
      <c r="AH364" s="175">
        <f t="shared" si="144"/>
        <v>8</v>
      </c>
      <c r="AI364" s="224">
        <f t="shared" si="145"/>
        <v>2.534747494401218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10">
        <f>'2026'!Wh/'2026'!Env_an*'2027'!Env_an</f>
        <v>2.7721399424581796</v>
      </c>
      <c r="C365" s="843"/>
      <c r="D365" s="392">
        <f t="shared" si="127"/>
        <v>2.9883521696482092</v>
      </c>
      <c r="E365" s="384">
        <f t="shared" si="150"/>
        <v>3.1444913956349643</v>
      </c>
      <c r="F365" s="384">
        <f t="shared" si="128"/>
        <v>3.1444913956349643</v>
      </c>
      <c r="G365" s="110">
        <f t="shared" si="151"/>
        <v>0.12515886777305935</v>
      </c>
      <c r="H365" s="413" t="b">
        <f>Wh_hp&gt;='2026'!Maxi_hp</f>
        <v>0</v>
      </c>
      <c r="I365" s="389">
        <f>IF(H365,Wh_hp,'2026'!Maxi_hp)</f>
        <v>25.511567876955379</v>
      </c>
      <c r="J365" s="85">
        <f>IF(H365,An,'2026'!An_max)</f>
        <v>2021</v>
      </c>
      <c r="K365" s="196">
        <f t="shared" si="129"/>
        <v>46738</v>
      </c>
      <c r="L365" s="147">
        <f>IF(t&lt;Tvie,1-EXP((T0-t)*PertePVj)+'2026'!Pspv,1-EXP((T0-t)*PertePVj)+Pspv)</f>
        <v>7.2351655666969855E-2</v>
      </c>
      <c r="M365" s="847"/>
      <c r="N365" s="847"/>
      <c r="O365" s="48">
        <f>IF(t&lt;Tnet,'2026'!Resal+('2026'!Salim-'2026'!Resal)*(1-EXP(('2026'!Tnet-t)/('2026'!Tau_j))),Resal+(Salim-Resal)*(1-EXP((Tnet-t)/(Tau_j))))*Salcycl</f>
        <v>4.9654842816075205E-2</v>
      </c>
      <c r="P365" s="168">
        <f>(INDEX(Models!$BJ365:$BT365,,T365)*(1-R365)+INDEX(Models!$BJ365:$BT365,,T365+1)*R365-ERP_i)*Q365*Ramure*Pc/MaxiM</f>
        <v>3.0480758575883514E-4</v>
      </c>
      <c r="Q365" s="304">
        <f t="shared" si="130"/>
        <v>0.5</v>
      </c>
      <c r="R365" s="176">
        <f t="shared" si="131"/>
        <v>0.41976007369511797</v>
      </c>
      <c r="S365" s="814">
        <f t="shared" si="132"/>
        <v>0</v>
      </c>
      <c r="T365" s="175">
        <f t="shared" si="133"/>
        <v>6</v>
      </c>
      <c r="U365" s="250">
        <f t="shared" si="134"/>
        <v>0.41976007369511797</v>
      </c>
      <c r="V365" s="382">
        <f t="shared" si="135"/>
        <v>22.142218306096403</v>
      </c>
      <c r="W365" s="401">
        <f t="shared" si="136"/>
        <v>2.7721399424581796</v>
      </c>
      <c r="X365" s="157">
        <f t="shared" si="137"/>
        <v>46738</v>
      </c>
      <c r="Y365" s="384">
        <f t="shared" si="138"/>
        <v>2.6930671697216022</v>
      </c>
      <c r="Z365" s="384">
        <f t="shared" si="139"/>
        <v>2.9031121396092079</v>
      </c>
      <c r="AA365" s="385">
        <f t="shared" si="140"/>
        <v>3.1444913956349643</v>
      </c>
      <c r="AB365" s="196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7.6762574819199014E-2</v>
      </c>
      <c r="AD365" s="230">
        <f>(INDEX(Models!$BJ365:$BT365,,AH365)*(1-AF365)+INDEX(Models!$BJ365:$BT365,,AH365+1)*AF365-ERP_i)*AE365*Ramure*Pc/MaxiM</f>
        <v>1.3190371889614575E-3</v>
      </c>
      <c r="AE365" s="304">
        <f t="shared" si="142"/>
        <v>0.5</v>
      </c>
      <c r="AF365" s="176">
        <f t="shared" si="143"/>
        <v>0.53475261351950554</v>
      </c>
      <c r="AG365" s="814">
        <f t="shared" si="149"/>
        <v>2</v>
      </c>
      <c r="AH365" s="175">
        <f t="shared" si="144"/>
        <v>8</v>
      </c>
      <c r="AI365" s="224">
        <f t="shared" si="145"/>
        <v>2.5347526135195055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10">
        <f>'2026'!Wh/'2026'!Env_an*'2027'!Env_an</f>
        <v>18.368399802334519</v>
      </c>
      <c r="C366" s="843"/>
      <c r="D366" s="392">
        <f t="shared" si="127"/>
        <v>19.801470803028618</v>
      </c>
      <c r="E366" s="384">
        <f t="shared" si="150"/>
        <v>20.837116631361244</v>
      </c>
      <c r="F366" s="384">
        <f t="shared" si="128"/>
        <v>20.841913148349079</v>
      </c>
      <c r="G366" s="110">
        <f t="shared" si="151"/>
        <v>0.83058019026909347</v>
      </c>
      <c r="H366" s="413" t="b">
        <f>Wh_hp&gt;='2026'!Maxi_hp</f>
        <v>0</v>
      </c>
      <c r="I366" s="389">
        <f>IF(H366,Wh_hp,'2026'!Maxi_hp)</f>
        <v>25.730204802155043</v>
      </c>
      <c r="J366" s="85">
        <f>IF(H366,An,'2026'!An_max)</f>
        <v>2021</v>
      </c>
      <c r="K366" s="196">
        <f t="shared" si="129"/>
        <v>46739</v>
      </c>
      <c r="L366" s="147">
        <f>IF(t&lt;Tvie,1-EXP((T0-t)*PertePVj)+'2026'!Pspv,1-EXP((T0-t)*PertePVj)+Pspv)</f>
        <v>7.2371947263377673E-2</v>
      </c>
      <c r="M366" s="847"/>
      <c r="N366" s="847"/>
      <c r="O366" s="48">
        <f>IF(t&lt;Tnet,'2026'!Resal+('2026'!Salim-'2026'!Resal)*(1-EXP(('2026'!Tnet-t)/('2026'!Tau_j))),Resal+(Salim-Resal)*(1-EXP((Tnet-t)/(Tau_j))))*Salcycl</f>
        <v>4.9701973965721839E-2</v>
      </c>
      <c r="P366" s="168">
        <f>(INDEX(Models!$BJ366:$BT366,,T366)*(1-R366)+INDEX(Models!$BJ366:$BT366,,T366+1)*R366-ERP_i)*Q366*Ramure*Pc/MaxiM</f>
        <v>3.0358860472446227E-4</v>
      </c>
      <c r="Q366" s="304">
        <f t="shared" si="130"/>
        <v>0.5</v>
      </c>
      <c r="R366" s="176">
        <f t="shared" si="131"/>
        <v>0.41976498686691954</v>
      </c>
      <c r="S366" s="814">
        <f t="shared" si="132"/>
        <v>0</v>
      </c>
      <c r="T366" s="175">
        <f t="shared" si="133"/>
        <v>6</v>
      </c>
      <c r="U366" s="250">
        <f t="shared" si="134"/>
        <v>0.41976498686691954</v>
      </c>
      <c r="V366" s="382">
        <f t="shared" si="135"/>
        <v>22.11351840263745</v>
      </c>
      <c r="W366" s="401">
        <f t="shared" si="136"/>
        <v>18.368399802334519</v>
      </c>
      <c r="X366" s="157">
        <f t="shared" si="137"/>
        <v>46739</v>
      </c>
      <c r="Y366" s="384">
        <f t="shared" si="138"/>
        <v>17.831365795023405</v>
      </c>
      <c r="Z366" s="384">
        <f t="shared" si="139"/>
        <v>19.222538324944548</v>
      </c>
      <c r="AA366" s="385">
        <f t="shared" si="140"/>
        <v>20.821140738215345</v>
      </c>
      <c r="AB366" s="196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7.6777849656272878E-2</v>
      </c>
      <c r="AD366" s="230">
        <f>(INDEX(Models!$BJ366:$BT366,,AH366)*(1-AF366)+INDEX(Models!$BJ366:$BT366,,AH366+1)*AF366-ERP_i)*AE366*Ramure*Pc/MaxiM</f>
        <v>1.3147596527358445E-3</v>
      </c>
      <c r="AE366" s="304">
        <f t="shared" si="142"/>
        <v>0.5</v>
      </c>
      <c r="AF366" s="176">
        <f t="shared" si="143"/>
        <v>0.53475752669130694</v>
      </c>
      <c r="AG366" s="814">
        <f t="shared" si="149"/>
        <v>2</v>
      </c>
      <c r="AH366" s="175">
        <f t="shared" si="144"/>
        <v>8</v>
      </c>
      <c r="AI366" s="224">
        <f t="shared" si="145"/>
        <v>2.5347575266913069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10">
        <f>'2026'!Wh/'2026'!Env_an*'2027'!Env_an</f>
        <v>17.268122723137143</v>
      </c>
      <c r="C367" s="843"/>
      <c r="D367" s="392">
        <f t="shared" si="127"/>
        <v>18.61575920153755</v>
      </c>
      <c r="E367" s="384">
        <f t="shared" si="150"/>
        <v>19.590370222805994</v>
      </c>
      <c r="F367" s="384">
        <f t="shared" si="128"/>
        <v>19.594448250835747</v>
      </c>
      <c r="G367" s="110">
        <f t="shared" si="151"/>
        <v>0.78144541060006378</v>
      </c>
      <c r="H367" s="413" t="b">
        <f>Wh_hp&gt;='2026'!Maxi_hp</f>
        <v>0</v>
      </c>
      <c r="I367" s="389">
        <f>IF(H367,Wh_hp,'2026'!Maxi_hp)</f>
        <v>25.266435662050515</v>
      </c>
      <c r="J367" s="85">
        <f>IF(H367,An,'2026'!An_max)</f>
        <v>2021</v>
      </c>
      <c r="K367" s="196">
        <f t="shared" si="129"/>
        <v>46740</v>
      </c>
      <c r="L367" s="147">
        <f>IF(t&lt;Tvie,1-EXP((T0-t)*PertePVj)+'2026'!Pspv,1-EXP((T0-t)*PertePVj)+Pspv)</f>
        <v>7.239223841534756E-2</v>
      </c>
      <c r="M367" s="847"/>
      <c r="N367" s="847"/>
      <c r="O367" s="48">
        <f>IF(t&lt;Tnet,'2026'!Resal+('2026'!Salim-'2026'!Resal)*(1-EXP(('2026'!Tnet-t)/('2026'!Tau_j))),Resal+(Salim-Resal)*(1-EXP((Tnet-t)/(Tau_j))))*Salcycl</f>
        <v>4.974949478667115E-2</v>
      </c>
      <c r="P367" s="168">
        <f>(INDEX(Models!$BJ367:$BT367,,T367)*(1-R367)+INDEX(Models!$BJ367:$BT367,,T367+1)*R367-ERP_i)*Q367*Ramure*Pc/MaxiM</f>
        <v>3.0255307789128804E-4</v>
      </c>
      <c r="Q367" s="304">
        <f t="shared" si="130"/>
        <v>0.5</v>
      </c>
      <c r="R367" s="176">
        <f t="shared" si="131"/>
        <v>0.41976970237129924</v>
      </c>
      <c r="S367" s="814">
        <f t="shared" si="132"/>
        <v>0</v>
      </c>
      <c r="T367" s="175">
        <f t="shared" si="133"/>
        <v>6</v>
      </c>
      <c r="U367" s="250">
        <f t="shared" si="134"/>
        <v>0.41976970237129924</v>
      </c>
      <c r="V367" s="382">
        <f t="shared" si="135"/>
        <v>22.095582743495765</v>
      </c>
      <c r="W367" s="401">
        <f t="shared" si="136"/>
        <v>17.268122723137143</v>
      </c>
      <c r="X367" s="157">
        <f t="shared" si="137"/>
        <v>46740</v>
      </c>
      <c r="Y367" s="384">
        <f t="shared" si="138"/>
        <v>16.765028146320859</v>
      </c>
      <c r="Z367" s="384">
        <f t="shared" si="139"/>
        <v>18.073402186373254</v>
      </c>
      <c r="AA367" s="385">
        <f t="shared" si="140"/>
        <v>19.576777319069286</v>
      </c>
      <c r="AB367" s="196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7.6793800542014151E-2</v>
      </c>
      <c r="AD367" s="230">
        <f>(INDEX(Models!$BJ367:$BT367,,AH367)*(1-AF367)+INDEX(Models!$BJ367:$BT367,,AH367+1)*AF367-ERP_i)*AE367*Ramure*Pc/MaxiM</f>
        <v>1.3110245334617054E-3</v>
      </c>
      <c r="AE367" s="304">
        <f t="shared" si="142"/>
        <v>0.5</v>
      </c>
      <c r="AF367" s="176">
        <f t="shared" si="143"/>
        <v>0.5347622421956868</v>
      </c>
      <c r="AG367" s="814">
        <f t="shared" si="149"/>
        <v>2</v>
      </c>
      <c r="AH367" s="175">
        <f t="shared" si="144"/>
        <v>8</v>
      </c>
      <c r="AI367" s="224">
        <f t="shared" si="145"/>
        <v>2.5347622421956868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10">
        <f>'2026'!Wh/'2026'!Env_an*'2027'!Env_an</f>
        <v>3.4272552051462521</v>
      </c>
      <c r="C368" s="843"/>
      <c r="D368" s="392">
        <f t="shared" si="127"/>
        <v>3.694805409462353</v>
      </c>
      <c r="E368" s="384">
        <f t="shared" si="150"/>
        <v>3.8884394929493333</v>
      </c>
      <c r="F368" s="384">
        <f t="shared" si="128"/>
        <v>3.8884394929493333</v>
      </c>
      <c r="G368" s="110">
        <f t="shared" si="151"/>
        <v>0.15511287422408052</v>
      </c>
      <c r="H368" s="413" t="b">
        <f>Wh_hp&gt;='2026'!Maxi_hp</f>
        <v>0</v>
      </c>
      <c r="I368" s="389">
        <f>IF(H368,Wh_hp,'2026'!Maxi_hp)</f>
        <v>25.824781167990668</v>
      </c>
      <c r="J368" s="85">
        <f>IF(H368,An,'2026'!An_max)</f>
        <v>2021</v>
      </c>
      <c r="K368" s="196">
        <f t="shared" si="129"/>
        <v>46741</v>
      </c>
      <c r="L368" s="147">
        <f>IF(t&lt;Tvie,1-EXP((T0-t)*PertePVj)+'2026'!Pspv,1-EXP((T0-t)*PertePVj)+Pspv)</f>
        <v>7.2412529122889063E-2</v>
      </c>
      <c r="M368" s="847"/>
      <c r="N368" s="847"/>
      <c r="O368" s="48">
        <f>IF(t&lt;Tnet,'2026'!Resal+('2026'!Salim-'2026'!Resal)*(1-EXP(('2026'!Tnet-t)/('2026'!Tau_j))),Resal+(Salim-Resal)*(1-EXP((Tnet-t)/(Tau_j))))*Salcycl</f>
        <v>4.9797376000857152E-2</v>
      </c>
      <c r="P368" s="168">
        <f>(INDEX(Models!$BJ368:$BT368,,T368)*(1-R368)+INDEX(Models!$BJ368:$BT368,,T368+1)*R368-ERP_i)*Q368*Ramure*Pc/MaxiM</f>
        <v>3.0169743835673478E-4</v>
      </c>
      <c r="Q368" s="304">
        <f t="shared" si="130"/>
        <v>0.5</v>
      </c>
      <c r="R368" s="176">
        <f t="shared" si="131"/>
        <v>0.41977422815500226</v>
      </c>
      <c r="S368" s="814">
        <f t="shared" si="132"/>
        <v>0</v>
      </c>
      <c r="T368" s="175">
        <f t="shared" si="133"/>
        <v>6</v>
      </c>
      <c r="U368" s="250">
        <f t="shared" si="134"/>
        <v>0.41977422815500226</v>
      </c>
      <c r="V368" s="382">
        <f t="shared" si="135"/>
        <v>22.088567619994247</v>
      </c>
      <c r="W368" s="401">
        <f t="shared" si="136"/>
        <v>3.4272552051462521</v>
      </c>
      <c r="X368" s="157">
        <f t="shared" si="137"/>
        <v>46741</v>
      </c>
      <c r="Y368" s="384">
        <f t="shared" si="138"/>
        <v>3.3298228697272578</v>
      </c>
      <c r="Z368" s="384">
        <f t="shared" si="139"/>
        <v>3.5897669753760626</v>
      </c>
      <c r="AA368" s="385">
        <f t="shared" si="140"/>
        <v>3.8884394929493333</v>
      </c>
      <c r="AB368" s="196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7.6810380646229692E-2</v>
      </c>
      <c r="AD368" s="230">
        <f>(INDEX(Models!$BJ368:$BT368,,AH368)*(1-AF368)+INDEX(Models!$BJ368:$BT368,,AH368+1)*AF368-ERP_i)*AE368*Ramure*Pc/MaxiM</f>
        <v>1.3078160053893795E-3</v>
      </c>
      <c r="AE368" s="304">
        <f t="shared" si="142"/>
        <v>0.5</v>
      </c>
      <c r="AF368" s="176">
        <f t="shared" si="143"/>
        <v>0.53476676797938971</v>
      </c>
      <c r="AG368" s="814">
        <f t="shared" si="149"/>
        <v>2</v>
      </c>
      <c r="AH368" s="175">
        <f t="shared" si="144"/>
        <v>8</v>
      </c>
      <c r="AI368" s="224">
        <f t="shared" si="145"/>
        <v>2.5347667679793897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10">
        <f>'2026'!Wh/'2026'!Env_an*'2027'!Env_an</f>
        <v>20.41341452379304</v>
      </c>
      <c r="C369" s="843"/>
      <c r="D369" s="392">
        <f t="shared" si="127"/>
        <v>22.007478218753615</v>
      </c>
      <c r="E369" s="384">
        <f t="shared" si="150"/>
        <v>23.16200183777315</v>
      </c>
      <c r="F369" s="384">
        <f t="shared" si="128"/>
        <v>23.168218625110207</v>
      </c>
      <c r="G369" s="110">
        <f t="shared" si="151"/>
        <v>0.9239618745388557</v>
      </c>
      <c r="H369" s="413" t="b">
        <f>Wh_hp&gt;='2026'!Maxi_hp</f>
        <v>0</v>
      </c>
      <c r="I369" s="389">
        <f>IF(H369,Wh_hp,'2026'!Maxi_hp)</f>
        <v>23.168758077897557</v>
      </c>
      <c r="J369" s="85">
        <f>IF(H369,An,'2026'!An_max)</f>
        <v>2025</v>
      </c>
      <c r="K369" s="196">
        <f t="shared" si="129"/>
        <v>46742</v>
      </c>
      <c r="L369" s="147">
        <f>IF(t&lt;Tvie,1-EXP((T0-t)*PertePVj)+'2026'!Pspv,1-EXP((T0-t)*PertePVj)+Pspv)</f>
        <v>7.2432819386012065E-2</v>
      </c>
      <c r="M369" s="847"/>
      <c r="N369" s="847"/>
      <c r="O369" s="48">
        <f>IF(t&lt;Tnet,'2026'!Resal+('2026'!Salim-'2026'!Resal)*(1-EXP(('2026'!Tnet-t)/('2026'!Tau_j))),Resal+(Salim-Resal)*(1-EXP((Tnet-t)/(Tau_j))))*Salcycl</f>
        <v>4.9845588783984561E-2</v>
      </c>
      <c r="P369" s="168">
        <f>(INDEX(Models!$BJ369:$BT369,,T369)*(1-R369)+INDEX(Models!$BJ369:$BT369,,T369+1)*R369-ERP_i)*Q369*Ramure*Pc/MaxiM</f>
        <v>3.0101790485491896E-4</v>
      </c>
      <c r="Q369" s="304">
        <f t="shared" si="130"/>
        <v>0.5</v>
      </c>
      <c r="R369" s="176">
        <f t="shared" si="131"/>
        <v>0.4197785718457544</v>
      </c>
      <c r="S369" s="814">
        <f t="shared" si="132"/>
        <v>0</v>
      </c>
      <c r="T369" s="175">
        <f t="shared" si="133"/>
        <v>6</v>
      </c>
      <c r="U369" s="250">
        <f t="shared" si="134"/>
        <v>0.4197785718457544</v>
      </c>
      <c r="V369" s="382">
        <f t="shared" si="135"/>
        <v>22.092629238987481</v>
      </c>
      <c r="W369" s="401">
        <f t="shared" si="136"/>
        <v>20.41341452379304</v>
      </c>
      <c r="X369" s="157">
        <f t="shared" si="137"/>
        <v>46742</v>
      </c>
      <c r="Y369" s="384">
        <f t="shared" si="138"/>
        <v>19.815968382398633</v>
      </c>
      <c r="Z369" s="384">
        <f t="shared" si="139"/>
        <v>21.363378088993809</v>
      </c>
      <c r="AA369" s="385">
        <f t="shared" si="140"/>
        <v>23.141264613945367</v>
      </c>
      <c r="AB369" s="196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7.6827543983061811E-2</v>
      </c>
      <c r="AD369" s="230">
        <f>(INDEX(Models!$BJ369:$BT369,,AH369)*(1-AF369)+INDEX(Models!$BJ369:$BT369,,AH369+1)*AF369-ERP_i)*AE369*Ramure*Pc/MaxiM</f>
        <v>1.3051178250720458E-3</v>
      </c>
      <c r="AE369" s="304">
        <f t="shared" si="142"/>
        <v>0.5</v>
      </c>
      <c r="AF369" s="176">
        <f t="shared" si="143"/>
        <v>0.53477111167014169</v>
      </c>
      <c r="AG369" s="814">
        <f t="shared" si="149"/>
        <v>2</v>
      </c>
      <c r="AH369" s="175">
        <f t="shared" si="144"/>
        <v>8</v>
      </c>
      <c r="AI369" s="224">
        <f t="shared" si="145"/>
        <v>2.5347711116701417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10">
        <f>'2026'!Wh/'2026'!Env_an*'2027'!Env_an</f>
        <v>17.825641140595515</v>
      </c>
      <c r="C370" s="843"/>
      <c r="D370" s="392">
        <f t="shared" si="127"/>
        <v>19.218048507835441</v>
      </c>
      <c r="E370" s="384">
        <f t="shared" si="150"/>
        <v>20.227270041663338</v>
      </c>
      <c r="F370" s="384">
        <f t="shared" si="128"/>
        <v>20.231667503265236</v>
      </c>
      <c r="G370" s="110">
        <f t="shared" si="151"/>
        <v>0.80623394377422553</v>
      </c>
      <c r="H370" s="413" t="b">
        <f>Wh_hp&gt;='2026'!Maxi_hp</f>
        <v>0</v>
      </c>
      <c r="I370" s="389">
        <f>IF(H370,Wh_hp,'2026'!Maxi_hp)</f>
        <v>25.028510849440355</v>
      </c>
      <c r="J370" s="85">
        <f>IF(H370,An,'2026'!An_max)</f>
        <v>2021</v>
      </c>
      <c r="K370" s="196">
        <f t="shared" si="129"/>
        <v>46743</v>
      </c>
      <c r="L370" s="147">
        <f>IF(t&lt;Tvie,1-EXP((T0-t)*PertePVj)+'2026'!Pspv,1-EXP((T0-t)*PertePVj)+Pspv)</f>
        <v>7.2453109204726224E-2</v>
      </c>
      <c r="M370" s="847"/>
      <c r="N370" s="847"/>
      <c r="O370" s="48">
        <f>IF(t&lt;Tnet,'2026'!Resal+('2026'!Salim-'2026'!Resal)*(1-EXP(('2026'!Tnet-t)/('2026'!Tau_j))),Resal+(Salim-Resal)*(1-EXP((Tnet-t)/(Tau_j))))*Salcycl</f>
        <v>4.989410492612914E-2</v>
      </c>
      <c r="P370" s="168">
        <f>(INDEX(Models!$BJ370:$BT370,,T370)*(1-R370)+INDEX(Models!$BJ370:$BT370,,T370+1)*R370-ERP_i)*Q370*Ramure*Pc/MaxiM</f>
        <v>3.005104828478924E-4</v>
      </c>
      <c r="Q370" s="304">
        <f t="shared" si="130"/>
        <v>0.5</v>
      </c>
      <c r="R370" s="176">
        <f t="shared" si="131"/>
        <v>0.41978274076503275</v>
      </c>
      <c r="S370" s="814">
        <f t="shared" si="132"/>
        <v>0</v>
      </c>
      <c r="T370" s="175">
        <f t="shared" si="133"/>
        <v>6</v>
      </c>
      <c r="U370" s="250">
        <f t="shared" si="134"/>
        <v>0.41978274076503275</v>
      </c>
      <c r="V370" s="382">
        <f t="shared" si="135"/>
        <v>22.107923714701315</v>
      </c>
      <c r="W370" s="401">
        <f t="shared" si="136"/>
        <v>17.825641140595515</v>
      </c>
      <c r="X370" s="157">
        <f t="shared" si="137"/>
        <v>46743</v>
      </c>
      <c r="Y370" s="384">
        <f t="shared" si="138"/>
        <v>17.307430648246708</v>
      </c>
      <c r="Z370" s="384">
        <f t="shared" si="139"/>
        <v>18.659359241027058</v>
      </c>
      <c r="AA370" s="385">
        <f t="shared" si="140"/>
        <v>20.212601574324516</v>
      </c>
      <c r="AB370" s="196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7.68452456545968E-2</v>
      </c>
      <c r="AD370" s="230">
        <f>(INDEX(Models!$BJ370:$BT370,,AH370)*(1-AF370)+INDEX(Models!$BJ370:$BT370,,AH370+1)*AF370-ERP_i)*AE370*Ramure*Pc/MaxiM</f>
        <v>1.3029133692598466E-3</v>
      </c>
      <c r="AE370" s="304">
        <f t="shared" si="142"/>
        <v>0.5</v>
      </c>
      <c r="AF370" s="176">
        <f t="shared" si="143"/>
        <v>0.53477528058942037</v>
      </c>
      <c r="AG370" s="814">
        <f t="shared" si="149"/>
        <v>2</v>
      </c>
      <c r="AH370" s="175">
        <f t="shared" si="144"/>
        <v>8</v>
      </c>
      <c r="AI370" s="224">
        <f t="shared" si="145"/>
        <v>2.5347752805894204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10">
        <f>'2026'!Wh/'2026'!Env_an*'2027'!Env_an</f>
        <v>18.617947079112561</v>
      </c>
      <c r="C371" s="843"/>
      <c r="D371" s="392">
        <f t="shared" si="127"/>
        <v>20.072682606180898</v>
      </c>
      <c r="E371" s="384">
        <f t="shared" si="150"/>
        <v>21.127869622160969</v>
      </c>
      <c r="F371" s="384">
        <f t="shared" si="128"/>
        <v>21.132773300362807</v>
      </c>
      <c r="G371" s="110">
        <f t="shared" si="151"/>
        <v>0.84106658363142783</v>
      </c>
      <c r="H371" s="413" t="b">
        <f>Wh_hp&gt;='2026'!Maxi_hp</f>
        <v>0</v>
      </c>
      <c r="I371" s="389">
        <f>IF(H371,Wh_hp,'2026'!Maxi_hp)</f>
        <v>21.278593952413768</v>
      </c>
      <c r="J371" s="85">
        <f>IF(H371,An,'2026'!An_max)</f>
        <v>2020</v>
      </c>
      <c r="K371" s="196">
        <f t="shared" si="129"/>
        <v>46744</v>
      </c>
      <c r="L371" s="147">
        <f>IF(t&lt;Tvie,1-EXP((T0-t)*PertePVj)+'2026'!Pspv,1-EXP((T0-t)*PertePVj)+Pspv)</f>
        <v>7.2473398579041309E-2</v>
      </c>
      <c r="M371" s="847"/>
      <c r="N371" s="847"/>
      <c r="O371" s="48">
        <f>IF(t&lt;Tnet,'2026'!Resal+('2026'!Salim-'2026'!Resal)*(1-EXP(('2026'!Tnet-t)/('2026'!Tau_j))),Resal+(Salim-Resal)*(1-EXP((Tnet-t)/(Tau_j))))*Salcycl</f>
        <v>4.9942896981590962E-2</v>
      </c>
      <c r="P371" s="168">
        <f>(INDEX(Models!$BJ371:$BT371,,T371)*(1-R371)+INDEX(Models!$BJ371:$BT371,,T371+1)*R371-ERP_i)*Q371*Ramure*Pc/MaxiM</f>
        <v>3.0016965854388162E-4</v>
      </c>
      <c r="Q371" s="304">
        <f t="shared" si="130"/>
        <v>0.5</v>
      </c>
      <c r="R371" s="176">
        <f t="shared" si="131"/>
        <v>0.41978274076503275</v>
      </c>
      <c r="S371" s="814">
        <f t="shared" si="132"/>
        <v>0</v>
      </c>
      <c r="T371" s="175">
        <f t="shared" si="133"/>
        <v>6</v>
      </c>
      <c r="U371" s="250">
        <f t="shared" si="134"/>
        <v>0.41978274076503275</v>
      </c>
      <c r="V371" s="382">
        <f t="shared" si="135"/>
        <v>22.134607103209266</v>
      </c>
      <c r="W371" s="401">
        <f t="shared" si="136"/>
        <v>18.617947079112561</v>
      </c>
      <c r="X371" s="157">
        <f t="shared" si="137"/>
        <v>46744</v>
      </c>
      <c r="Y371" s="384">
        <f t="shared" si="138"/>
        <v>18.076392350021067</v>
      </c>
      <c r="Z371" s="384">
        <f t="shared" si="139"/>
        <v>19.488812851651122</v>
      </c>
      <c r="AA371" s="385">
        <f t="shared" si="140"/>
        <v>21.111516692066662</v>
      </c>
      <c r="AB371" s="196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7.6863442076869973E-2</v>
      </c>
      <c r="AD371" s="230">
        <f>(INDEX(Models!$BJ371:$BT371,,AH371)*(1-AF371)+INDEX(Models!$BJ371:$BT371,,AH371+1)*AF371-ERP_i)*AE371*Ramure*Pc/MaxiM</f>
        <v>1.3011842521929327E-3</v>
      </c>
      <c r="AE371" s="304">
        <f t="shared" si="142"/>
        <v>0.5</v>
      </c>
      <c r="AF371" s="176">
        <f t="shared" si="143"/>
        <v>0.53477528058942037</v>
      </c>
      <c r="AG371" s="814">
        <f t="shared" si="149"/>
        <v>2</v>
      </c>
      <c r="AH371" s="175">
        <f t="shared" si="144"/>
        <v>8</v>
      </c>
      <c r="AI371" s="224">
        <f t="shared" si="145"/>
        <v>2.5347752805894204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10">
        <f>'2026'!Wh/'2026'!Env_an*'2027'!Env_an</f>
        <v>21.260535226190065</v>
      </c>
      <c r="C372" s="843"/>
      <c r="D372" s="392">
        <f t="shared" si="127"/>
        <v>22.922253940342436</v>
      </c>
      <c r="E372" s="384">
        <f t="shared" si="150"/>
        <v>24.128483606662346</v>
      </c>
      <c r="F372" s="384">
        <f t="shared" si="128"/>
        <v>24.135298421988079</v>
      </c>
      <c r="G372" s="110">
        <f t="shared" si="151"/>
        <v>0.95883814245460819</v>
      </c>
      <c r="H372" s="413" t="b">
        <f>Wh_hp&gt;='2026'!Maxi_hp</f>
        <v>0</v>
      </c>
      <c r="I372" s="389">
        <f>IF(H372,Wh_hp,'2026'!Maxi_hp)</f>
        <v>24.135601514029915</v>
      </c>
      <c r="J372" s="85">
        <f>IF(H372,An,'2026'!An_max)</f>
        <v>2025</v>
      </c>
      <c r="K372" s="196">
        <f t="shared" si="129"/>
        <v>46745</v>
      </c>
      <c r="L372" s="147">
        <f>IF(t&lt;Tvie,1-EXP((T0-t)*PertePVj)+'2026'!Pspv,1-EXP((T0-t)*PertePVj)+Pspv)</f>
        <v>7.2493687508966981E-2</v>
      </c>
      <c r="M372" s="847"/>
      <c r="N372" s="847"/>
      <c r="O372" s="48">
        <f>IF(t&lt;Tnet,'2026'!Resal+('2026'!Salim-'2026'!Resal)*(1-EXP(('2026'!Tnet-t)/('2026'!Tau_j))),Resal+(Salim-Resal)*(1-EXP((Tnet-t)/(Tau_j))))*Salcycl</f>
        <v>4.9991938407055424E-2</v>
      </c>
      <c r="P372" s="168">
        <f>(INDEX(Models!$BJ372:$BT372,,T372)*(1-R372)+INDEX(Models!$BJ372:$BT372,,T372+1)*R372-ERP_i)*Q372*Ramure*Pc/MaxiM</f>
        <v>2.9999193284035655E-4</v>
      </c>
      <c r="Q372" s="304">
        <f t="shared" si="130"/>
        <v>0.5</v>
      </c>
      <c r="R372" s="176">
        <f t="shared" si="131"/>
        <v>0.41978274076503275</v>
      </c>
      <c r="S372" s="814">
        <f t="shared" si="132"/>
        <v>0</v>
      </c>
      <c r="T372" s="175">
        <f t="shared" si="133"/>
        <v>6</v>
      </c>
      <c r="U372" s="250">
        <f t="shared" si="134"/>
        <v>0.41978274076503275</v>
      </c>
      <c r="V372" s="382">
        <f t="shared" si="135"/>
        <v>22.172835320563465</v>
      </c>
      <c r="W372" s="401">
        <f t="shared" si="136"/>
        <v>21.260535226190065</v>
      </c>
      <c r="X372" s="157">
        <f t="shared" si="137"/>
        <v>46745</v>
      </c>
      <c r="Y372" s="384">
        <f t="shared" si="138"/>
        <v>20.639303456161649</v>
      </c>
      <c r="Z372" s="384">
        <f t="shared" si="139"/>
        <v>22.252466833061245</v>
      </c>
      <c r="AA372" s="385">
        <f t="shared" si="140"/>
        <v>24.105768743748719</v>
      </c>
      <c r="AB372" s="196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7.6882091186910792E-2</v>
      </c>
      <c r="AD372" s="230">
        <f>(INDEX(Models!$BJ372:$BT372,,AH372)*(1-AF372)+INDEX(Models!$BJ372:$BT372,,AH372+1)*AF372-ERP_i)*AE372*Ramure*Pc/MaxiM</f>
        <v>1.299912738313932E-3</v>
      </c>
      <c r="AE372" s="304">
        <f t="shared" si="142"/>
        <v>0.5</v>
      </c>
      <c r="AF372" s="176">
        <f t="shared" si="143"/>
        <v>0.53477528058942037</v>
      </c>
      <c r="AG372" s="814">
        <f t="shared" si="149"/>
        <v>2</v>
      </c>
      <c r="AH372" s="175">
        <f t="shared" si="144"/>
        <v>8</v>
      </c>
      <c r="AI372" s="224">
        <f t="shared" si="145"/>
        <v>2.5347752805894204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10">
        <f>'2026'!Wh/'2026'!Env_an*'2027'!Env_an</f>
        <v>10.383980283639044</v>
      </c>
      <c r="C373" s="843"/>
      <c r="D373" s="392">
        <f t="shared" si="127"/>
        <v>11.195834777967084</v>
      </c>
      <c r="E373" s="384">
        <f t="shared" si="150"/>
        <v>11.785600408589687</v>
      </c>
      <c r="F373" s="384">
        <f t="shared" si="128"/>
        <v>11.786445134094224</v>
      </c>
      <c r="G373" s="110">
        <f t="shared" si="151"/>
        <v>0.46714372948100569</v>
      </c>
      <c r="H373" s="413" t="b">
        <f>Wh_hp&gt;='2026'!Maxi_hp</f>
        <v>0</v>
      </c>
      <c r="I373" s="389">
        <f>IF(H373,Wh_hp,'2026'!Maxi_hp)</f>
        <v>16.698245889929026</v>
      </c>
      <c r="J373" s="85">
        <f>IF(H373,An,'2026'!An_max)</f>
        <v>2018</v>
      </c>
      <c r="K373" s="196">
        <f t="shared" si="129"/>
        <v>46746</v>
      </c>
      <c r="L373" s="147">
        <f>IF(t&lt;Tvie,1-EXP((T0-t)*PertePVj)+'2026'!Pspv,1-EXP((T0-t)*PertePVj)+Pspv)</f>
        <v>7.2513975994513008E-2</v>
      </c>
      <c r="M373" s="847"/>
      <c r="N373" s="847"/>
      <c r="O373" s="48">
        <f>IF(t&lt;Tnet,'2026'!Resal+('2026'!Salim-'2026'!Resal)*(1-EXP(('2026'!Tnet-t)/('2026'!Tau_j))),Resal+(Salim-Resal)*(1-EXP((Tnet-t)/(Tau_j))))*Salcycl</f>
        <v>5.0041203687235483E-2</v>
      </c>
      <c r="P373" s="168">
        <f>(INDEX(Models!$BJ373:$BT373,,T373)*(1-R373)+INDEX(Models!$BJ373:$BT373,,T373+1)*R373-ERP_i)*Q373*Ramure*Pc/MaxiM</f>
        <v>2.9996019474147928E-4</v>
      </c>
      <c r="Q373" s="304">
        <f t="shared" si="130"/>
        <v>0.5</v>
      </c>
      <c r="R373" s="176">
        <f t="shared" si="131"/>
        <v>0.41978274076503275</v>
      </c>
      <c r="S373" s="814">
        <f t="shared" si="132"/>
        <v>0</v>
      </c>
      <c r="T373" s="175">
        <f t="shared" si="133"/>
        <v>6</v>
      </c>
      <c r="U373" s="250">
        <f t="shared" si="134"/>
        <v>0.41978274076503275</v>
      </c>
      <c r="V373" s="382">
        <f t="shared" si="135"/>
        <v>22.223587495089866</v>
      </c>
      <c r="W373" s="401">
        <f t="shared" si="136"/>
        <v>10.383980283639044</v>
      </c>
      <c r="X373" s="157">
        <f t="shared" si="137"/>
        <v>46746</v>
      </c>
      <c r="Y373" s="384">
        <f t="shared" si="138"/>
        <v>10.08796592002972</v>
      </c>
      <c r="Z373" s="384">
        <f t="shared" si="139"/>
        <v>10.876677016073334</v>
      </c>
      <c r="AA373" s="385">
        <f t="shared" si="140"/>
        <v>11.782786910695505</v>
      </c>
      <c r="AB373" s="196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7.6901152629661323E-2</v>
      </c>
      <c r="AD373" s="230">
        <f>(INDEX(Models!$BJ373:$BT373,,AH373)*(1-AF373)+INDEX(Models!$BJ373:$BT373,,AH373+1)*AF373-ERP_i)*AE373*Ramure*Pc/MaxiM</f>
        <v>1.2990271954545871E-3</v>
      </c>
      <c r="AE373" s="304">
        <f t="shared" si="142"/>
        <v>0.5</v>
      </c>
      <c r="AF373" s="176">
        <f t="shared" si="143"/>
        <v>0.53477528058942037</v>
      </c>
      <c r="AG373" s="814">
        <f t="shared" si="149"/>
        <v>2</v>
      </c>
      <c r="AH373" s="175">
        <f t="shared" si="144"/>
        <v>8</v>
      </c>
      <c r="AI373" s="224">
        <f t="shared" si="145"/>
        <v>2.5347752805894204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10">
        <f>'2026'!Wh/'2026'!Env_an*'2027'!Env_an</f>
        <v>19.102278538464518</v>
      </c>
      <c r="C374" s="843"/>
      <c r="D374" s="392">
        <f t="shared" si="127"/>
        <v>20.596209431503549</v>
      </c>
      <c r="E374" s="384">
        <f t="shared" si="150"/>
        <v>21.682289822163657</v>
      </c>
      <c r="F374" s="384">
        <f t="shared" si="128"/>
        <v>21.687468852437657</v>
      </c>
      <c r="G374" s="110">
        <f t="shared" si="151"/>
        <v>0.85703658424893525</v>
      </c>
      <c r="H374" s="413" t="b">
        <f>Wh_hp&gt;='2026'!Maxi_hp</f>
        <v>0</v>
      </c>
      <c r="I374" s="389">
        <f>IF(H374,Wh_hp,'2026'!Maxi_hp)</f>
        <v>24.848198087219174</v>
      </c>
      <c r="J374" s="85">
        <f>IF(H374,An,'2026'!An_max)</f>
        <v>2018</v>
      </c>
      <c r="K374" s="196">
        <f t="shared" si="129"/>
        <v>46747</v>
      </c>
      <c r="L374" s="147">
        <f>IF(t&lt;Tvie,1-EXP((T0-t)*PertePVj)+'2026'!Pspv,1-EXP((T0-t)*PertePVj)+Pspv)</f>
        <v>7.2534264035689161E-2</v>
      </c>
      <c r="M374" s="847"/>
      <c r="N374" s="847"/>
      <c r="O374" s="48">
        <f>IF(t&lt;Tnet,'2026'!Resal+('2026'!Salim-'2026'!Resal)*(1-EXP(('2026'!Tnet-t)/('2026'!Tau_j))),Resal+(Salim-Resal)*(1-EXP((Tnet-t)/(Tau_j))))*Salcycl</f>
        <v>5.0090668447292715E-2</v>
      </c>
      <c r="P374" s="168">
        <f>(INDEX(Models!$BJ374:$BT374,,T374)*(1-R374)+INDEX(Models!$BJ374:$BT374,,T374+1)*R374-ERP_i)*Q374*Ramure*Pc/MaxiM</f>
        <v>3.0006335323812987E-4</v>
      </c>
      <c r="Q374" s="304">
        <f t="shared" si="130"/>
        <v>0.5</v>
      </c>
      <c r="R374" s="176">
        <f t="shared" si="131"/>
        <v>0.41978274076503275</v>
      </c>
      <c r="S374" s="814">
        <f t="shared" si="132"/>
        <v>0</v>
      </c>
      <c r="T374" s="175">
        <f t="shared" si="133"/>
        <v>6</v>
      </c>
      <c r="U374" s="250">
        <f t="shared" si="134"/>
        <v>0.41978274076503275</v>
      </c>
      <c r="V374" s="382">
        <f t="shared" si="135"/>
        <v>22.287389354895904</v>
      </c>
      <c r="W374" s="401">
        <f t="shared" si="136"/>
        <v>19.102278538464518</v>
      </c>
      <c r="X374" s="157">
        <f t="shared" si="137"/>
        <v>46747</v>
      </c>
      <c r="Y374" s="384">
        <f t="shared" si="138"/>
        <v>18.547986928191719</v>
      </c>
      <c r="Z374" s="384">
        <f t="shared" si="139"/>
        <v>19.998568366417206</v>
      </c>
      <c r="AA374" s="385">
        <f t="shared" si="140"/>
        <v>21.665057312280624</v>
      </c>
      <c r="AB374" s="196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7.6920587923798509E-2</v>
      </c>
      <c r="AD374" s="230">
        <f>(INDEX(Models!$BJ374:$BT374,,AH374)*(1-AF374)+INDEX(Models!$BJ374:$BT374,,AH374+1)*AF374-ERP_i)*AE374*Ramure*Pc/MaxiM</f>
        <v>1.298482830754791E-3</v>
      </c>
      <c r="AE374" s="304">
        <f t="shared" si="142"/>
        <v>0.5</v>
      </c>
      <c r="AF374" s="176">
        <f t="shared" si="143"/>
        <v>0.53477528058942037</v>
      </c>
      <c r="AG374" s="814">
        <f t="shared" si="149"/>
        <v>2</v>
      </c>
      <c r="AH374" s="175">
        <f t="shared" si="144"/>
        <v>8</v>
      </c>
      <c r="AI374" s="224">
        <f t="shared" si="145"/>
        <v>2.5347752805894204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10">
        <f>'2026'!Wh/'2026'!Env_an*'2027'!Env_an</f>
        <v>6.1096382413572785</v>
      </c>
      <c r="C375" s="843"/>
      <c r="D375" s="392">
        <f t="shared" si="127"/>
        <v>6.5875984966140777</v>
      </c>
      <c r="E375" s="384">
        <f t="shared" si="150"/>
        <v>6.935338516684852</v>
      </c>
      <c r="F375" s="384">
        <f t="shared" si="128"/>
        <v>6.935338516684852</v>
      </c>
      <c r="G375" s="110">
        <f t="shared" si="151"/>
        <v>0.27311218233121287</v>
      </c>
      <c r="H375" s="413" t="b">
        <f>Wh_hp&gt;='2026'!Maxi_hp</f>
        <v>0</v>
      </c>
      <c r="I375" s="389">
        <f>IF(H375,Wh_hp,'2026'!Maxi_hp)</f>
        <v>25.062175747198527</v>
      </c>
      <c r="J375" s="85">
        <f>IF(H375,An,'2026'!An_max)</f>
        <v>2018</v>
      </c>
      <c r="K375" s="196">
        <f t="shared" si="129"/>
        <v>46748</v>
      </c>
      <c r="L375" s="147">
        <f>IF(t&lt;Tvie,1-EXP((T0-t)*PertePVj)+'2026'!Pspv,1-EXP((T0-t)*PertePVj)+Pspv)</f>
        <v>7.2554551632505099E-2</v>
      </c>
      <c r="M375" s="847"/>
      <c r="N375" s="847"/>
      <c r="O375" s="48">
        <f>IF(t&lt;Tnet,'2026'!Resal+('2026'!Salim-'2026'!Resal)*(1-EXP(('2026'!Tnet-t)/('2026'!Tau_j))),Resal+(Salim-Resal)*(1-EXP((Tnet-t)/(Tau_j))))*Salcycl</f>
        <v>5.0140309551464653E-2</v>
      </c>
      <c r="P375" s="168">
        <f>(INDEX(Models!$BJ375:$BT375,,T375)*(1-R375)+INDEX(Models!$BJ375:$BT375,,T375+1)*R375-ERP_i)*Q375*Ramure*Pc/MaxiM</f>
        <v>3.0048135392764328E-4</v>
      </c>
      <c r="Q375" s="304">
        <f t="shared" si="130"/>
        <v>0.5</v>
      </c>
      <c r="R375" s="176">
        <f t="shared" si="131"/>
        <v>0.41978274076503275</v>
      </c>
      <c r="S375" s="814">
        <f t="shared" si="132"/>
        <v>0</v>
      </c>
      <c r="T375" s="175">
        <f t="shared" si="133"/>
        <v>6</v>
      </c>
      <c r="U375" s="250">
        <f t="shared" si="134"/>
        <v>0.41978274076503275</v>
      </c>
      <c r="V375" s="382">
        <f t="shared" si="135"/>
        <v>22.363712804210827</v>
      </c>
      <c r="W375" s="401">
        <f t="shared" si="136"/>
        <v>6.1096382413572785</v>
      </c>
      <c r="X375" s="157">
        <f t="shared" si="137"/>
        <v>46748</v>
      </c>
      <c r="Y375" s="384">
        <f t="shared" si="138"/>
        <v>5.9372563428118932</v>
      </c>
      <c r="Z375" s="384">
        <f t="shared" si="139"/>
        <v>6.401731070288557</v>
      </c>
      <c r="AA375" s="385">
        <f t="shared" si="140"/>
        <v>6.935338516684852</v>
      </c>
      <c r="AB375" s="196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7.6940360605694549E-2</v>
      </c>
      <c r="AD375" s="230">
        <f>(INDEX(Models!$BJ375:$BT375,,AH375)*(1-AF375)+INDEX(Models!$BJ375:$BT375,,AH375+1)*AF375-ERP_i)*AE375*Ramure*Pc/MaxiM</f>
        <v>1.2987437678864237E-3</v>
      </c>
      <c r="AE375" s="304">
        <f t="shared" si="142"/>
        <v>0.5</v>
      </c>
      <c r="AF375" s="176">
        <f t="shared" si="143"/>
        <v>0.53477528058942037</v>
      </c>
      <c r="AG375" s="814">
        <f t="shared" si="149"/>
        <v>2</v>
      </c>
      <c r="AH375" s="175">
        <f t="shared" si="144"/>
        <v>8</v>
      </c>
      <c r="AI375" s="224">
        <f t="shared" si="145"/>
        <v>2.5347752805894204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10">
        <f>'2026'!Wh/'2026'!Env_an*'2027'!Env_an</f>
        <v>18.658231289278806</v>
      </c>
      <c r="C376" s="843"/>
      <c r="D376" s="392">
        <f t="shared" si="127"/>
        <v>20.118314738015584</v>
      </c>
      <c r="E376" s="384">
        <f t="shared" si="150"/>
        <v>21.181412036127721</v>
      </c>
      <c r="F376" s="384">
        <f t="shared" si="128"/>
        <v>21.186250922818818</v>
      </c>
      <c r="G376" s="110">
        <f t="shared" si="151"/>
        <v>0.83096580410285303</v>
      </c>
      <c r="H376" s="413" t="b">
        <f>Wh_hp&gt;='2026'!Maxi_hp</f>
        <v>0</v>
      </c>
      <c r="I376" s="389">
        <f>IF(H376,Wh_hp,'2026'!Maxi_hp)</f>
        <v>21.187345678192241</v>
      </c>
      <c r="J376" s="85">
        <f>IF(H376,An,'2026'!An_max)</f>
        <v>2025</v>
      </c>
      <c r="K376" s="196">
        <f t="shared" si="129"/>
        <v>46749</v>
      </c>
      <c r="L376" s="147">
        <f>IF(t&lt;Tvie,1-EXP((T0-t)*PertePVj)+'2026'!Pspv,1-EXP((T0-t)*PertePVj)+Pspv)</f>
        <v>7.2574838784970591E-2</v>
      </c>
      <c r="M376" s="847"/>
      <c r="N376" s="847"/>
      <c r="O376" s="48">
        <f>IF(t&lt;Tnet,'2026'!Resal+('2026'!Salim-'2026'!Resal)*(1-EXP(('2026'!Tnet-t)/('2026'!Tau_j))),Resal+(Salim-Resal)*(1-EXP((Tnet-t)/(Tau_j))))*Salcycl</f>
        <v>5.0190105187457763E-2</v>
      </c>
      <c r="P376" s="168">
        <f>(INDEX(Models!$BJ376:$BT376,,T376)*(1-R376)+INDEX(Models!$BJ376:$BT376,,T376+1)*R376-ERP_i)*Q376*Ramure*Pc/MaxiM</f>
        <v>3.0107411644904959E-4</v>
      </c>
      <c r="Q376" s="304">
        <f t="shared" si="130"/>
        <v>0.5</v>
      </c>
      <c r="R376" s="176">
        <f t="shared" si="131"/>
        <v>0.41978274076503275</v>
      </c>
      <c r="S376" s="814">
        <f t="shared" si="132"/>
        <v>0</v>
      </c>
      <c r="T376" s="175">
        <f t="shared" si="133"/>
        <v>6</v>
      </c>
      <c r="U376" s="250">
        <f t="shared" si="134"/>
        <v>0.41978274076503275</v>
      </c>
      <c r="V376" s="382">
        <f t="shared" si="135"/>
        <v>22.45203697939565</v>
      </c>
      <c r="W376" s="401">
        <f t="shared" si="136"/>
        <v>18.658231289278806</v>
      </c>
      <c r="X376" s="157">
        <f t="shared" si="137"/>
        <v>46749</v>
      </c>
      <c r="Y376" s="384">
        <f t="shared" si="138"/>
        <v>18.118615658337543</v>
      </c>
      <c r="Z376" s="384">
        <f t="shared" si="139"/>
        <v>19.53647196136037</v>
      </c>
      <c r="AA376" s="385">
        <f t="shared" si="140"/>
        <v>21.165367911346078</v>
      </c>
      <c r="AB376" s="196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7.696043635095566E-2</v>
      </c>
      <c r="AD376" s="230">
        <f>(INDEX(Models!$BJ376:$BT376,,AH376)*(1-AF376)+INDEX(Models!$BJ376:$BT376,,AH376+1)*AF376-ERP_i)*AE376*Ramure*Pc/MaxiM</f>
        <v>1.2993348737677848E-3</v>
      </c>
      <c r="AE376" s="304">
        <f t="shared" si="142"/>
        <v>0.5</v>
      </c>
      <c r="AF376" s="176">
        <f t="shared" si="143"/>
        <v>0.53477528058942037</v>
      </c>
      <c r="AG376" s="814">
        <f t="shared" si="149"/>
        <v>2</v>
      </c>
      <c r="AH376" s="175">
        <f t="shared" si="144"/>
        <v>8</v>
      </c>
      <c r="AI376" s="224">
        <f t="shared" si="145"/>
        <v>2.5347752805894204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10">
        <f>'2026'!Wh/'2026'!Env_an*'2027'!Env_an</f>
        <v>10.222661578371481</v>
      </c>
      <c r="C377" s="843"/>
      <c r="D377" s="392">
        <f t="shared" si="127"/>
        <v>11.022868069144888</v>
      </c>
      <c r="E377" s="384">
        <f t="shared" si="150"/>
        <v>11.605951476808771</v>
      </c>
      <c r="F377" s="384">
        <f t="shared" si="128"/>
        <v>11.606718704346399</v>
      </c>
      <c r="G377" s="110">
        <f t="shared" si="151"/>
        <v>0.4531892933935221</v>
      </c>
      <c r="H377" s="413" t="b">
        <f>Wh_hp&gt;='2026'!Maxi_hp</f>
        <v>0</v>
      </c>
      <c r="I377" s="389">
        <f>IF(H377,Wh_hp,'2026'!Maxi_hp)</f>
        <v>24.833306177671162</v>
      </c>
      <c r="J377" s="85">
        <f>IF(H377,An,'2026'!An_max)</f>
        <v>2019</v>
      </c>
      <c r="K377" s="196">
        <f t="shared" si="129"/>
        <v>46750</v>
      </c>
      <c r="L377" s="147">
        <f>IF(t&lt;Tvie,1-EXP((T0-t)*PertePVj)+'2026'!Pspv,1-EXP((T0-t)*PertePVj)+Pspv)</f>
        <v>7.2595125493095408E-2</v>
      </c>
      <c r="M377" s="847"/>
      <c r="N377" s="847"/>
      <c r="O377" s="48">
        <f>IF(t&lt;Tnet,'2026'!Resal+('2026'!Salim-'2026'!Resal)*(1-EXP(('2026'!Tnet-t)/('2026'!Tau_j))),Resal+(Salim-Resal)*(1-EXP((Tnet-t)/(Tau_j))))*Salcycl</f>
        <v>5.0240034936300679E-2</v>
      </c>
      <c r="P377" s="168">
        <f>(INDEX(Models!$BJ377:$BT377,,T377)*(1-R377)+INDEX(Models!$BJ377:$BT377,,T377+1)*R377-ERP_i)*Q377*Ramure*Pc/MaxiM</f>
        <v>3.0184326090195064E-4</v>
      </c>
      <c r="Q377" s="304">
        <f t="shared" si="130"/>
        <v>0.5</v>
      </c>
      <c r="R377" s="176">
        <f t="shared" si="131"/>
        <v>0.41978274076503275</v>
      </c>
      <c r="S377" s="814">
        <f t="shared" si="132"/>
        <v>0</v>
      </c>
      <c r="T377" s="175">
        <f t="shared" si="133"/>
        <v>6</v>
      </c>
      <c r="U377" s="250">
        <f t="shared" si="134"/>
        <v>0.41978274076503275</v>
      </c>
      <c r="V377" s="382">
        <f t="shared" si="135"/>
        <v>22.551837973913585</v>
      </c>
      <c r="W377" s="401">
        <f t="shared" si="136"/>
        <v>10.222661578371481</v>
      </c>
      <c r="X377" s="157">
        <f t="shared" si="137"/>
        <v>46750</v>
      </c>
      <c r="Y377" s="384">
        <f t="shared" si="138"/>
        <v>9.9326673837874662</v>
      </c>
      <c r="Z377" s="384">
        <f t="shared" si="139"/>
        <v>10.710173794448302</v>
      </c>
      <c r="AA377" s="385">
        <f t="shared" si="140"/>
        <v>11.60341366467731</v>
      </c>
      <c r="AB377" s="196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7.6980783073189576E-2</v>
      </c>
      <c r="AD377" s="230">
        <f>(INDEX(Models!$BJ377:$BT377,,AH377)*(1-AF377)+INDEX(Models!$BJ377:$BT377,,AH377+1)*AF377-ERP_i)*AE377*Ramure*Pc/MaxiM</f>
        <v>1.3002713044081807E-3</v>
      </c>
      <c r="AE377" s="304">
        <f t="shared" si="142"/>
        <v>0.5</v>
      </c>
      <c r="AF377" s="176">
        <f t="shared" si="143"/>
        <v>0.53477528058942037</v>
      </c>
      <c r="AG377" s="814">
        <f t="shared" si="149"/>
        <v>2</v>
      </c>
      <c r="AH377" s="175">
        <f t="shared" si="144"/>
        <v>8</v>
      </c>
      <c r="AI377" s="224">
        <f t="shared" si="145"/>
        <v>2.5347752805894204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10">
        <f>'2026'!Wh/'2026'!Env_an*'2027'!Env_an</f>
        <v>14.440887252313308</v>
      </c>
      <c r="C378" s="843"/>
      <c r="D378" s="392">
        <f t="shared" si="127"/>
        <v>15.571627386725215</v>
      </c>
      <c r="E378" s="384">
        <f t="shared" si="150"/>
        <v>16.396193254353584</v>
      </c>
      <c r="F378" s="384">
        <f t="shared" si="128"/>
        <v>16.398585213124541</v>
      </c>
      <c r="G378" s="110">
        <f t="shared" si="151"/>
        <v>0.63711250553831866</v>
      </c>
      <c r="H378" s="413" t="b">
        <f>Wh_hp&gt;='2026'!Maxi_hp</f>
        <v>0</v>
      </c>
      <c r="I378" s="389">
        <f>IF(H378,Wh_hp,'2026'!Maxi_hp)</f>
        <v>25.966265464195352</v>
      </c>
      <c r="J378" s="85">
        <f>IF(H378,An,'2026'!An_max)</f>
        <v>2019</v>
      </c>
      <c r="K378" s="196">
        <f t="shared" si="129"/>
        <v>46751</v>
      </c>
      <c r="L378" s="147">
        <f>IF(t&lt;Tvie,1-EXP((T0-t)*PertePVj)+'2026'!Pspv,1-EXP((T0-t)*PertePVj)+Pspv)</f>
        <v>7.261541175688932E-2</v>
      </c>
      <c r="M378" s="847"/>
      <c r="N378" s="847"/>
      <c r="O378" s="48">
        <f>IF(t&lt;Tnet,'2026'!Resal+('2026'!Salim-'2026'!Resal)*(1-EXP(('2026'!Tnet-t)/('2026'!Tau_j))),Resal+(Salim-Resal)*(1-EXP((Tnet-t)/(Tau_j))))*Salcycl</f>
        <v>5.0290079827488378E-2</v>
      </c>
      <c r="P378" s="168">
        <f>(INDEX(Models!$BJ378:$BT378,,T378)*(1-R378)+INDEX(Models!$BJ378:$BT378,,T378+1)*R378-ERP_i)*Q378*Ramure*Pc/MaxiM</f>
        <v>3.0279009465316014E-4</v>
      </c>
      <c r="Q378" s="304">
        <f t="shared" si="130"/>
        <v>0.5</v>
      </c>
      <c r="R378" s="176">
        <f t="shared" si="131"/>
        <v>0.41978274076503275</v>
      </c>
      <c r="S378" s="814">
        <f t="shared" si="132"/>
        <v>0</v>
      </c>
      <c r="T378" s="175">
        <f t="shared" si="133"/>
        <v>6</v>
      </c>
      <c r="U378" s="250">
        <f t="shared" si="134"/>
        <v>0.41978274076503275</v>
      </c>
      <c r="V378" s="382">
        <f t="shared" si="135"/>
        <v>22.662591991575773</v>
      </c>
      <c r="W378" s="401">
        <f t="shared" si="136"/>
        <v>14.440887252313308</v>
      </c>
      <c r="X378" s="157">
        <f t="shared" si="137"/>
        <v>46751</v>
      </c>
      <c r="Y378" s="384">
        <f t="shared" si="138"/>
        <v>14.027972959822089</v>
      </c>
      <c r="Z378" s="384">
        <f t="shared" si="139"/>
        <v>15.126381371505717</v>
      </c>
      <c r="AA378" s="385">
        <f t="shared" si="140"/>
        <v>16.388303185121465</v>
      </c>
      <c r="AB378" s="196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7.7001370999861402E-2</v>
      </c>
      <c r="AD378" s="230">
        <f>(INDEX(Models!$BJ378:$BT378,,AH378)*(1-AF378)+INDEX(Models!$BJ378:$BT378,,AH378+1)*AF378-ERP_i)*AE378*Ramure*Pc/MaxiM</f>
        <v>1.3015676817172445E-3</v>
      </c>
      <c r="AE378" s="304">
        <f t="shared" si="142"/>
        <v>0.5</v>
      </c>
      <c r="AF378" s="176">
        <f t="shared" si="143"/>
        <v>0.53477528058942037</v>
      </c>
      <c r="AG378" s="814">
        <f t="shared" si="149"/>
        <v>2</v>
      </c>
      <c r="AH378" s="175">
        <f t="shared" si="144"/>
        <v>8</v>
      </c>
      <c r="AI378" s="224">
        <f t="shared" si="145"/>
        <v>2.5347752805894204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10">
        <f>'2026'!Wh/'2026'!Env_an*'2027'!Env_an</f>
        <v>11.633582887516203</v>
      </c>
      <c r="C379" s="843"/>
      <c r="D379" s="392">
        <f t="shared" si="127"/>
        <v>12.544781869554599</v>
      </c>
      <c r="E379" s="384">
        <f t="shared" si="150"/>
        <v>13.209764344221972</v>
      </c>
      <c r="F379" s="384">
        <f t="shared" si="128"/>
        <v>13.210972339110958</v>
      </c>
      <c r="G379" s="110">
        <f t="shared" si="151"/>
        <v>0.51049971361147994</v>
      </c>
      <c r="H379" s="413" t="b">
        <f>Wh_hp&gt;='2026'!Maxi_hp</f>
        <v>0</v>
      </c>
      <c r="I379" s="389">
        <f>IF(H379,Wh_hp,'2026'!Maxi_hp)</f>
        <v>25.625929752628863</v>
      </c>
      <c r="J379" s="85">
        <f>IF(H379,An,'2026'!An_max)</f>
        <v>2021</v>
      </c>
      <c r="K379" s="196">
        <f t="shared" si="129"/>
        <v>46752</v>
      </c>
      <c r="L379" s="147">
        <f>IF(t&lt;Tvie,1-EXP((T0-t)*PertePVj)+'2026'!Pspv,1-EXP((T0-t)*PertePVj)+Pspv)</f>
        <v>7.2635697576361874E-2</v>
      </c>
      <c r="M379" s="847"/>
      <c r="N379" s="847"/>
      <c r="O379" s="48">
        <f>IF(t&lt;Tnet,'2026'!Resal+('2026'!Salim-'2026'!Resal)*(1-EXP(('2026'!Tnet-t)/('2026'!Tau_j))),Resal+(Salim-Resal)*(1-EXP((Tnet-t)/(Tau_j))))*Salcycl</f>
        <v>5.0340222379382481E-2</v>
      </c>
      <c r="P379" s="168">
        <f>(INDEX(Models!$BJ379:$BT379,,T379)*(1-R379)+INDEX(Models!$BJ379:$BT379,,T379+1)*R379-ERP_i)*Q379*Ramure*Pc/MaxiM</f>
        <v>3.0391563586325027E-4</v>
      </c>
      <c r="Q379" s="305">
        <f t="shared" si="130"/>
        <v>0.5</v>
      </c>
      <c r="R379" s="176">
        <f t="shared" si="131"/>
        <v>0.41978274076503275</v>
      </c>
      <c r="S379" s="814">
        <f t="shared" si="132"/>
        <v>0</v>
      </c>
      <c r="T379" s="175">
        <f t="shared" si="133"/>
        <v>6</v>
      </c>
      <c r="U379" s="306">
        <f t="shared" si="134"/>
        <v>0.41978274076503275</v>
      </c>
      <c r="V379" s="382">
        <f t="shared" si="135"/>
        <v>22.783775355730487</v>
      </c>
      <c r="W379" s="401">
        <f t="shared" si="136"/>
        <v>11.633582887516203</v>
      </c>
      <c r="X379" s="157">
        <f t="shared" si="137"/>
        <v>46752</v>
      </c>
      <c r="Y379" s="384">
        <f t="shared" si="138"/>
        <v>11.303322107845974</v>
      </c>
      <c r="Z379" s="384">
        <f t="shared" si="139"/>
        <v>12.188653453993311</v>
      </c>
      <c r="AA379" s="385">
        <f t="shared" si="140"/>
        <v>13.205792266953043</v>
      </c>
      <c r="AB379" s="196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7.7022172725303276E-2</v>
      </c>
      <c r="AD379" s="230">
        <f>(INDEX(Models!$BJ379:$BT379,,AH379)*(1-AF379)+INDEX(Models!$BJ379:$BT379,,AH379+1)*AF379-ERP_i)*AE379*Ramure*Pc/MaxiM</f>
        <v>1.3032380666871898E-3</v>
      </c>
      <c r="AE379" s="305">
        <f t="shared" si="142"/>
        <v>0.5</v>
      </c>
      <c r="AF379" s="176">
        <f t="shared" si="143"/>
        <v>0.53477528058942037</v>
      </c>
      <c r="AG379" s="814">
        <f t="shared" si="149"/>
        <v>2</v>
      </c>
      <c r="AH379" s="175">
        <f t="shared" si="144"/>
        <v>8</v>
      </c>
      <c r="AI379" s="221">
        <f t="shared" si="145"/>
        <v>2.5347752805894204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6"/>
      <c r="B380" s="808"/>
      <c r="C380" s="844"/>
      <c r="D380" s="607"/>
      <c r="E380" s="386"/>
      <c r="F380" s="386"/>
      <c r="G380" s="608"/>
      <c r="H380" s="601" t="b">
        <f>Wh_hp&gt;='2026'!Maxi_hp</f>
        <v>0</v>
      </c>
      <c r="I380" s="602">
        <f>IF(H380,Wh_hp,'2026'!Maxi_hp)</f>
        <v>16.851168488797253</v>
      </c>
      <c r="J380" s="151">
        <f>IF(H380,An,'2026'!An_max)</f>
        <v>2024</v>
      </c>
      <c r="K380" s="233"/>
      <c r="L380" s="609"/>
      <c r="M380" s="848"/>
      <c r="N380" s="848"/>
      <c r="O380" s="610"/>
      <c r="P380" s="321"/>
      <c r="Q380" s="228"/>
      <c r="R380" s="228"/>
      <c r="S380" s="228"/>
      <c r="T380" s="228"/>
      <c r="U380" s="322"/>
      <c r="V380" s="396">
        <f>(V379+V15)/2</f>
        <v>23.225849227142991</v>
      </c>
      <c r="W380" s="807"/>
      <c r="X380" s="611"/>
      <c r="Y380" s="386"/>
      <c r="Z380" s="386"/>
      <c r="AA380" s="387"/>
      <c r="AB380" s="233"/>
      <c r="AC380" s="612"/>
      <c r="AD380" s="321"/>
      <c r="AE380" s="228"/>
      <c r="AF380" s="228"/>
      <c r="AG380" s="228"/>
      <c r="AH380" s="228"/>
      <c r="AI380" s="613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1.4629210940528263</v>
      </c>
      <c r="C381" s="374"/>
      <c r="D381" s="372">
        <f>MIN(D15:D380)</f>
        <v>1.5653015862879787</v>
      </c>
      <c r="E381" s="372">
        <f>MIN(E15:E380)</f>
        <v>1.610019518203395</v>
      </c>
      <c r="F381" s="373">
        <f>MIN(F15:F380)</f>
        <v>1.610019518203395</v>
      </c>
      <c r="G381" s="125">
        <f>+MIN(G15:G380)</f>
        <v>5.7888679851471871E-2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6.5222227024595431E-2</v>
      </c>
      <c r="M381" s="849"/>
      <c r="N381" s="849"/>
      <c r="O381" s="47">
        <f t="shared" si="152"/>
        <v>2.7094282511497012E-2</v>
      </c>
      <c r="P381" s="167">
        <f t="shared" si="152"/>
        <v>5.5662174130736519E-5</v>
      </c>
      <c r="Q381" s="309">
        <f t="shared" si="152"/>
        <v>0.5</v>
      </c>
      <c r="R381" s="310">
        <f t="shared" si="152"/>
        <v>0.11978350458673541</v>
      </c>
      <c r="S381" s="814">
        <f t="shared" si="152"/>
        <v>0</v>
      </c>
      <c r="T381" s="175">
        <f t="shared" si="152"/>
        <v>6</v>
      </c>
      <c r="U381" s="251">
        <f>MIN(U15:U380)</f>
        <v>0.11978350458673541</v>
      </c>
      <c r="V381" s="57">
        <f>MIN(V15:V380)</f>
        <v>22.088567619994247</v>
      </c>
      <c r="W381" s="58"/>
      <c r="X381" s="112" t="s">
        <v>7</v>
      </c>
      <c r="Y381" s="372">
        <f>MIN(Y15:Y380)</f>
        <v>1.4045785900073036</v>
      </c>
      <c r="Z381" s="372">
        <f>MIN(Z15:Z380)</f>
        <v>1.5028760634749405</v>
      </c>
      <c r="AA381" s="372">
        <f>MIN(AA15:AA380)</f>
        <v>1.610019518203395</v>
      </c>
      <c r="AB381" s="199" t="s">
        <v>7</v>
      </c>
      <c r="AC381" s="47">
        <f t="shared" ref="AC381:AH381" si="153">MIN(AC15:AC380)</f>
        <v>6.6248434370383927E-2</v>
      </c>
      <c r="AD381" s="167">
        <f t="shared" si="153"/>
        <v>3.4644226799273703E-4</v>
      </c>
      <c r="AE381" s="309">
        <f t="shared" si="153"/>
        <v>0.5</v>
      </c>
      <c r="AF381" s="310">
        <f t="shared" si="153"/>
        <v>0.23477604441112288</v>
      </c>
      <c r="AG381" s="814">
        <f t="shared" si="153"/>
        <v>2</v>
      </c>
      <c r="AH381" s="175">
        <f t="shared" si="153"/>
        <v>8</v>
      </c>
      <c r="AI381" s="225">
        <f>MIN(AI15:AI380)</f>
        <v>2.2347760444111229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28.998926614823816</v>
      </c>
      <c r="C382" s="374"/>
      <c r="D382" s="374">
        <f>AVERAGE(D15:D380)</f>
        <v>31.14255354851538</v>
      </c>
      <c r="E382" s="374">
        <f>AVERAGE(E15:E380)</f>
        <v>32.453819675175176</v>
      </c>
      <c r="F382" s="375">
        <f>AVERAGE(F15:F380)</f>
        <v>32.458737142409291</v>
      </c>
      <c r="G382" s="126">
        <f>AVERAGE(G15:G380)</f>
        <v>0.68041853136610175</v>
      </c>
      <c r="H382" s="94"/>
      <c r="I382" s="375">
        <f>AVERAGE(I15:I380)</f>
        <v>43.582204047055711</v>
      </c>
      <c r="J382" s="59">
        <f>AVERAGE(J15:J380)</f>
        <v>2020.9644808743169</v>
      </c>
      <c r="K382" s="199" t="s">
        <v>8</v>
      </c>
      <c r="L382" s="147">
        <f t="shared" ref="L382:V382" si="154">AVERAGE(L15:L380)</f>
        <v>6.8933874163511946E-2</v>
      </c>
      <c r="M382" s="847"/>
      <c r="N382" s="847"/>
      <c r="O382" s="48">
        <f t="shared" si="154"/>
        <v>4.0356178653372571E-2</v>
      </c>
      <c r="P382" s="168">
        <f t="shared" si="154"/>
        <v>2.148950322729753E-4</v>
      </c>
      <c r="Q382" s="311">
        <f t="shared" si="154"/>
        <v>0.5</v>
      </c>
      <c r="R382" s="176">
        <f t="shared" si="154"/>
        <v>0.28771366278622146</v>
      </c>
      <c r="S382" s="814">
        <f t="shared" si="154"/>
        <v>0</v>
      </c>
      <c r="T382" s="175">
        <f t="shared" si="154"/>
        <v>6</v>
      </c>
      <c r="U382" s="250">
        <f>AVERAGE(U15:U380)</f>
        <v>0.28771366278622146</v>
      </c>
      <c r="V382" s="59">
        <f t="shared" si="154"/>
        <v>41.426371110346786</v>
      </c>
      <c r="X382" s="112" t="s">
        <v>8</v>
      </c>
      <c r="Y382" s="374">
        <f>AVERAGE(Y15:Y380)</f>
        <v>27.972839090411249</v>
      </c>
      <c r="Z382" s="374">
        <f>AVERAGE(Z15:Z380)</f>
        <v>30.040766639301747</v>
      </c>
      <c r="AA382" s="374">
        <f>AVERAGE(AA15:AA380)</f>
        <v>32.436377182659378</v>
      </c>
      <c r="AB382" s="199" t="s">
        <v>8</v>
      </c>
      <c r="AC382" s="48">
        <f t="shared" ref="AC382:AH382" si="155">AVERAGE(AC15:AC380)</f>
        <v>7.3541168893498612E-2</v>
      </c>
      <c r="AD382" s="168">
        <f t="shared" si="155"/>
        <v>1.0093725252453044E-3</v>
      </c>
      <c r="AE382" s="311">
        <f t="shared" si="155"/>
        <v>0.5</v>
      </c>
      <c r="AF382" s="176">
        <f t="shared" si="155"/>
        <v>0.40270620261060952</v>
      </c>
      <c r="AG382" s="814">
        <f t="shared" si="155"/>
        <v>2</v>
      </c>
      <c r="AH382" s="175">
        <f t="shared" si="155"/>
        <v>8</v>
      </c>
      <c r="AI382" s="224">
        <f>AVERAGE(AI15:AI380)</f>
        <v>2.4027062026106103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53.733589471106434</v>
      </c>
      <c r="C383" s="376"/>
      <c r="D383" s="376">
        <f>MAX(D15:D380)</f>
        <v>57.669140823766938</v>
      </c>
      <c r="E383" s="376">
        <f>MAX(E15:E380)</f>
        <v>59.993214563175705</v>
      </c>
      <c r="F383" s="377">
        <f>MAX(F15:F380)</f>
        <v>60.005962141926268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2027</v>
      </c>
      <c r="K383" s="199" t="s">
        <v>9</v>
      </c>
      <c r="L383" s="148">
        <f t="shared" ref="L383:T383" si="156">MAX(L15:L380)</f>
        <v>7.2635697576361874E-2</v>
      </c>
      <c r="M383" s="850"/>
      <c r="N383" s="850"/>
      <c r="O383" s="49">
        <f t="shared" si="156"/>
        <v>5.0340222379382481E-2</v>
      </c>
      <c r="P383" s="169">
        <f t="shared" si="156"/>
        <v>4.0338493458932397E-4</v>
      </c>
      <c r="Q383" s="312">
        <f t="shared" si="156"/>
        <v>0.5</v>
      </c>
      <c r="R383" s="313">
        <f t="shared" si="156"/>
        <v>0.41978274076503275</v>
      </c>
      <c r="S383" s="815">
        <f t="shared" si="156"/>
        <v>0</v>
      </c>
      <c r="T383" s="232">
        <f t="shared" si="156"/>
        <v>6</v>
      </c>
      <c r="U383" s="252">
        <f>MAX(U15:U380)</f>
        <v>0.41978274076503275</v>
      </c>
      <c r="V383" s="60">
        <f>MAX(V15:V380)</f>
        <v>54.2618356149692</v>
      </c>
      <c r="X383" s="112" t="s">
        <v>9</v>
      </c>
      <c r="Y383" s="376">
        <f>MAX(Y15:Y380)</f>
        <v>51.766248880735724</v>
      </c>
      <c r="Z383" s="376">
        <f>MAX(Z15:Z380)</f>
        <v>55.557708427920609</v>
      </c>
      <c r="AA383" s="376">
        <f>MAX(AA15:AA380)</f>
        <v>59.947433243833892</v>
      </c>
      <c r="AB383" s="199" t="s">
        <v>9</v>
      </c>
      <c r="AC383" s="49">
        <f t="shared" ref="AC383:AH383" si="157">MAX(AC15:AC380)</f>
        <v>7.7749691709882454E-2</v>
      </c>
      <c r="AD383" s="169">
        <f t="shared" si="157"/>
        <v>1.901700981333386E-3</v>
      </c>
      <c r="AE383" s="312">
        <f t="shared" si="157"/>
        <v>0.5</v>
      </c>
      <c r="AF383" s="313">
        <f t="shared" si="157"/>
        <v>0.53477528058942037</v>
      </c>
      <c r="AG383" s="815">
        <f t="shared" si="157"/>
        <v>2</v>
      </c>
      <c r="AH383" s="232">
        <f t="shared" si="157"/>
        <v>8</v>
      </c>
      <c r="AI383" s="226">
        <f>MAX(AI15:AI380)</f>
        <v>2.5347752805894204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20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5" sqref="C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2" customWidth="1"/>
    <col min="14" max="14" width="9.140625" style="632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8.14062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39" width="7.42578125" style="1067" customWidth="1"/>
    <col min="40" max="49" width="6.85546875" style="1067" customWidth="1"/>
    <col min="50" max="51" width="6.85546875" style="632" customWidth="1"/>
    <col min="52" max="16384" width="11.42578125" style="15"/>
  </cols>
  <sheetData>
    <row r="1" spans="1:51" ht="21.75" thickBot="1" x14ac:dyDescent="0.4">
      <c r="A1" s="659" t="str">
        <f>"Calcul Masques  "&amp;Station</f>
        <v>Calcul Masques  Ayguesvives M.J.C.</v>
      </c>
      <c r="B1" s="1231" t="str">
        <f>Station</f>
        <v>Ayguesvives M.J.C.</v>
      </c>
      <c r="C1" s="1232"/>
      <c r="D1" s="1232"/>
      <c r="E1" s="1232"/>
      <c r="F1" s="1233"/>
      <c r="H1" s="22" t="s">
        <v>275</v>
      </c>
      <c r="I1" s="1242">
        <v>43631</v>
      </c>
      <c r="J1" s="1243"/>
      <c r="K1" s="891"/>
      <c r="M1" s="791" t="s">
        <v>165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51" s="6" customFormat="1" ht="12.75" customHeight="1" thickBot="1" x14ac:dyDescent="0.25">
      <c r="A2" s="572"/>
      <c r="C2" s="665"/>
      <c r="D2" s="666"/>
      <c r="E2" s="1024"/>
      <c r="F2" s="1024"/>
      <c r="G2" s="26"/>
      <c r="H2" s="25"/>
      <c r="L2" s="8"/>
      <c r="P2" s="1138"/>
      <c r="Q2" s="564"/>
      <c r="R2" s="564"/>
      <c r="S2" s="1139"/>
      <c r="T2" s="1139"/>
      <c r="U2" s="564"/>
      <c r="V2" s="1139"/>
      <c r="W2" s="564"/>
      <c r="X2" s="564"/>
      <c r="Y2" s="564"/>
      <c r="Z2" s="564"/>
      <c r="AA2" s="564"/>
      <c r="AB2" s="564"/>
      <c r="AC2" s="564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18"/>
      <c r="AY2" s="18"/>
    </row>
    <row r="3" spans="1:51" ht="16.5" thickBot="1" x14ac:dyDescent="0.3">
      <c r="A3" s="668" t="s">
        <v>306</v>
      </c>
      <c r="B3" s="669"/>
      <c r="C3" s="669"/>
      <c r="E3" s="1025"/>
      <c r="F3" s="1026" t="s">
        <v>184</v>
      </c>
      <c r="G3" s="20"/>
      <c r="H3" s="22" t="s">
        <v>15</v>
      </c>
      <c r="I3" s="892">
        <v>0.33</v>
      </c>
      <c r="J3" s="893">
        <f>DEGREES(ATAN(I3))</f>
        <v>18.262889942194128</v>
      </c>
      <c r="K3" s="893"/>
      <c r="L3" s="561" t="s">
        <v>298</v>
      </c>
      <c r="M3" s="894" t="s">
        <v>135</v>
      </c>
      <c r="P3" s="1140"/>
      <c r="Q3" s="1140"/>
      <c r="R3" s="1140"/>
      <c r="S3" s="1141"/>
      <c r="T3" s="1141"/>
      <c r="U3" s="1142"/>
      <c r="V3" s="1141"/>
      <c r="W3" s="1142"/>
      <c r="X3" s="1142"/>
      <c r="Y3" s="1142"/>
      <c r="Z3" s="1142"/>
      <c r="AA3" s="1142"/>
      <c r="AB3" s="1142"/>
      <c r="AC3" s="1142"/>
    </row>
    <row r="4" spans="1:51" s="25" customFormat="1" ht="12" thickBot="1" x14ac:dyDescent="0.25">
      <c r="A4" s="670" t="s">
        <v>139</v>
      </c>
      <c r="B4" s="895" t="s">
        <v>140</v>
      </c>
      <c r="C4" s="895" t="s">
        <v>141</v>
      </c>
      <c r="D4" s="895" t="s">
        <v>142</v>
      </c>
      <c r="E4" s="896" t="s">
        <v>163</v>
      </c>
      <c r="F4" s="671" t="s">
        <v>183</v>
      </c>
      <c r="I4" s="6"/>
      <c r="J4" s="897"/>
      <c r="K4" s="897"/>
      <c r="L4" s="6"/>
      <c r="O4" s="897" t="s">
        <v>276</v>
      </c>
      <c r="P4" s="1143"/>
      <c r="Q4" s="1144"/>
      <c r="R4" s="564"/>
      <c r="S4" s="1143"/>
      <c r="T4" s="1139"/>
      <c r="U4" s="564"/>
      <c r="V4" s="1139"/>
      <c r="W4" s="564"/>
      <c r="X4" s="1143"/>
      <c r="Y4" s="1143"/>
      <c r="Z4" s="1143"/>
      <c r="AA4" s="1143"/>
      <c r="AB4" s="1143"/>
      <c r="AC4" s="1143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  <c r="AX4" s="1103"/>
      <c r="AY4" s="1103"/>
    </row>
    <row r="5" spans="1:51" ht="16.5" thickBot="1" x14ac:dyDescent="0.3">
      <c r="A5" s="672" t="s">
        <v>143</v>
      </c>
      <c r="B5" s="898">
        <v>2</v>
      </c>
      <c r="C5" s="899">
        <v>15</v>
      </c>
      <c r="D5" s="170">
        <f>+C5*B5</f>
        <v>30</v>
      </c>
      <c r="E5" s="900">
        <v>0.3</v>
      </c>
      <c r="F5" s="673">
        <f>+D5*E5</f>
        <v>9</v>
      </c>
      <c r="G5" s="632"/>
      <c r="H5" s="22" t="s">
        <v>277</v>
      </c>
      <c r="I5" s="894">
        <v>31</v>
      </c>
      <c r="J5" s="893"/>
      <c r="K5" s="893"/>
      <c r="L5" s="22" t="s">
        <v>278</v>
      </c>
      <c r="M5" s="894">
        <v>31</v>
      </c>
      <c r="N5" s="901">
        <f>+IF($M$3="G",Azi_pvG,Azi_pvD)</f>
        <v>31</v>
      </c>
      <c r="O5" s="902">
        <f>90-$J$3</f>
        <v>71.737110057805864</v>
      </c>
      <c r="P5" s="1145"/>
      <c r="Q5" s="1141"/>
      <c r="R5" s="1146"/>
      <c r="S5" s="1141"/>
      <c r="T5" s="1141"/>
      <c r="U5" s="1142"/>
      <c r="V5" s="1141"/>
      <c r="W5" s="1142"/>
      <c r="X5" s="1142"/>
      <c r="Y5" s="1142"/>
      <c r="Z5" s="1142"/>
      <c r="AA5" s="1142"/>
      <c r="AB5" s="1142"/>
      <c r="AC5" s="1142"/>
      <c r="AD5" s="902"/>
      <c r="AE5" s="902"/>
    </row>
    <row r="6" spans="1:51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1"/>
      <c r="F6" s="598"/>
      <c r="G6" s="25"/>
      <c r="N6" s="18"/>
      <c r="P6" s="564"/>
      <c r="Q6" s="564"/>
      <c r="R6" s="1139"/>
      <c r="S6" s="1147"/>
      <c r="T6" s="1139"/>
      <c r="U6" s="564"/>
      <c r="V6" s="1139"/>
      <c r="W6" s="564"/>
      <c r="X6" s="564"/>
      <c r="Y6" s="564"/>
      <c r="Z6" s="564"/>
      <c r="AA6" s="564"/>
      <c r="AB6" s="564"/>
      <c r="AC6" s="564"/>
      <c r="AD6" s="902"/>
      <c r="AE6" s="902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18"/>
      <c r="AY6" s="18"/>
    </row>
    <row r="7" spans="1:51" s="6" customFormat="1" ht="19.5" thickBot="1" x14ac:dyDescent="0.35">
      <c r="A7" s="16" t="s">
        <v>158</v>
      </c>
      <c r="D7" s="674"/>
      <c r="F7" s="8"/>
      <c r="G7" s="26"/>
      <c r="H7" s="564"/>
      <c r="I7" s="564"/>
      <c r="M7" s="675" t="s">
        <v>144</v>
      </c>
      <c r="N7" s="26"/>
      <c r="O7" s="18"/>
      <c r="P7" s="18"/>
      <c r="S7" s="675" t="s">
        <v>144</v>
      </c>
      <c r="U7" s="26"/>
      <c r="V7" s="26"/>
      <c r="Y7" s="676"/>
      <c r="Z7" s="667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18"/>
      <c r="AY7" s="18"/>
    </row>
    <row r="8" spans="1:51" s="19" customFormat="1" ht="16.5" thickBot="1" x14ac:dyDescent="0.3">
      <c r="A8" s="668" t="s">
        <v>300</v>
      </c>
      <c r="D8" s="105"/>
      <c r="E8" s="903">
        <v>3.67</v>
      </c>
      <c r="F8" s="678" t="s">
        <v>231</v>
      </c>
      <c r="H8" s="29"/>
      <c r="I8" s="31"/>
      <c r="L8" s="677" t="s">
        <v>166</v>
      </c>
      <c r="M8" s="29"/>
      <c r="O8" s="29"/>
      <c r="P8" s="34"/>
      <c r="R8" s="677" t="s">
        <v>167</v>
      </c>
      <c r="S8" s="29"/>
      <c r="U8" s="29"/>
      <c r="V8" s="29"/>
      <c r="Y8" s="677" t="s">
        <v>168</v>
      </c>
      <c r="Z8" s="67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34"/>
      <c r="AY8" s="34"/>
    </row>
    <row r="9" spans="1:51" s="19" customFormat="1" ht="15.75" thickBot="1" x14ac:dyDescent="0.3">
      <c r="A9" s="679" t="s">
        <v>169</v>
      </c>
      <c r="B9" s="904" t="s">
        <v>170</v>
      </c>
      <c r="C9" s="904" t="s">
        <v>171</v>
      </c>
      <c r="D9" s="904" t="s">
        <v>174</v>
      </c>
      <c r="E9" s="905" t="s">
        <v>175</v>
      </c>
      <c r="F9" s="679" t="s">
        <v>172</v>
      </c>
      <c r="G9" s="679" t="s">
        <v>173</v>
      </c>
      <c r="H9" s="680" t="s">
        <v>147</v>
      </c>
      <c r="I9" s="681" t="s">
        <v>343</v>
      </c>
      <c r="L9" s="682" t="s">
        <v>149</v>
      </c>
      <c r="M9" s="690" t="s">
        <v>150</v>
      </c>
      <c r="N9" s="690" t="s">
        <v>151</v>
      </c>
      <c r="O9" s="690" t="s">
        <v>152</v>
      </c>
      <c r="P9" s="34"/>
      <c r="R9" s="682" t="s">
        <v>149</v>
      </c>
      <c r="S9" s="690" t="s">
        <v>150</v>
      </c>
      <c r="T9" s="690" t="s">
        <v>151</v>
      </c>
      <c r="U9" s="690" t="s">
        <v>152</v>
      </c>
      <c r="V9" s="559"/>
      <c r="W9" s="796" t="s">
        <v>349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34"/>
      <c r="AY9" s="34"/>
    </row>
    <row r="10" spans="1:51" s="19" customFormat="1" ht="15.75" thickBot="1" x14ac:dyDescent="0.3">
      <c r="A10" s="792" t="s">
        <v>344</v>
      </c>
      <c r="B10" s="906">
        <v>-2.25</v>
      </c>
      <c r="C10" s="907">
        <v>-7.7</v>
      </c>
      <c r="D10" s="1122">
        <f>Hrm*B10/(B10-C10)</f>
        <v>-1.5151376146788991</v>
      </c>
      <c r="E10" s="1123">
        <f>+D10*C10/B10</f>
        <v>-5.185137614678899</v>
      </c>
      <c r="F10" s="908">
        <f>DEGREES(ATAN2(H10,D10))</f>
        <v>-2.4697001378096624</v>
      </c>
      <c r="G10" s="908">
        <f>DEGREES(ATAN2(H10,E10))</f>
        <v>-8.3964733281645056</v>
      </c>
      <c r="H10" s="555">
        <f>SQRT(POWER(N10-T$10,2)+POWER(M10-S$10,2))</f>
        <v>35.12864500660416</v>
      </c>
      <c r="I10" s="684">
        <f>(F10-G10)/(B10-C10)</f>
        <v>1.0874813193311639</v>
      </c>
      <c r="J10" s="43"/>
      <c r="K10" s="43"/>
      <c r="L10" s="793" t="str">
        <f>A10</f>
        <v>Lampadaire escalier bas mairie</v>
      </c>
      <c r="M10" s="909">
        <v>6411.79</v>
      </c>
      <c r="N10" s="910">
        <v>434.71</v>
      </c>
      <c r="O10" s="911">
        <v>172.11</v>
      </c>
      <c r="P10" s="825"/>
      <c r="Q10" s="825"/>
      <c r="R10" s="794" t="s">
        <v>319</v>
      </c>
      <c r="S10" s="909">
        <v>6378.03</v>
      </c>
      <c r="T10" s="910">
        <v>444.42</v>
      </c>
      <c r="U10" s="911">
        <v>174.81</v>
      </c>
      <c r="V10" s="685" t="s">
        <v>176</v>
      </c>
      <c r="W10" s="912">
        <f>+U10-U11+2.4</f>
        <v>7.2700000000000049</v>
      </c>
      <c r="X10" s="825" t="s">
        <v>85</v>
      </c>
      <c r="Y10" s="622" t="s">
        <v>346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34"/>
      <c r="AY10" s="34"/>
    </row>
    <row r="11" spans="1:51" s="19" customFormat="1" x14ac:dyDescent="0.25">
      <c r="A11" s="792" t="s">
        <v>344</v>
      </c>
      <c r="B11" s="913">
        <v>3.95</v>
      </c>
      <c r="C11" s="914"/>
      <c r="D11" s="1125">
        <f>Hrm</f>
        <v>3.67</v>
      </c>
      <c r="E11" s="1126"/>
      <c r="F11" s="908">
        <f>DEGREES(ATAN2(H11,D11))</f>
        <v>3.6298277116025695</v>
      </c>
      <c r="G11" s="908">
        <f>DEGREES(ATAN2(H11,E11))</f>
        <v>0</v>
      </c>
      <c r="H11" s="555">
        <f>SQRT(POWER(N11-T$11,2)+POWER(M11-S$11,2))</f>
        <v>57.852365552326056</v>
      </c>
      <c r="I11" s="684">
        <f>(F11-G11)/(B11-C11)</f>
        <v>0.91894372445634664</v>
      </c>
      <c r="J11" s="117"/>
      <c r="K11" s="43"/>
      <c r="L11" s="793" t="str">
        <f>A11</f>
        <v>Lampadaire escalier bas mairie</v>
      </c>
      <c r="M11" s="909">
        <v>6411.79</v>
      </c>
      <c r="N11" s="910">
        <v>434.71</v>
      </c>
      <c r="O11" s="911">
        <v>172.11</v>
      </c>
      <c r="P11" s="825"/>
      <c r="Q11" s="825"/>
      <c r="R11" s="794" t="s">
        <v>350</v>
      </c>
      <c r="S11" s="1124">
        <v>6469.4</v>
      </c>
      <c r="T11" s="977">
        <v>440</v>
      </c>
      <c r="U11" s="1132">
        <v>169.94</v>
      </c>
      <c r="V11" s="686" t="s">
        <v>177</v>
      </c>
      <c r="W11" s="915">
        <v>2.4</v>
      </c>
      <c r="X11" s="826" t="s">
        <v>85</v>
      </c>
      <c r="Y11" s="623" t="s">
        <v>347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34"/>
      <c r="AY11" s="34"/>
    </row>
    <row r="12" spans="1:51" s="19" customFormat="1" ht="15.75" thickBot="1" x14ac:dyDescent="0.3">
      <c r="A12" s="792" t="s">
        <v>373</v>
      </c>
      <c r="B12" s="916">
        <v>5.45</v>
      </c>
      <c r="C12" s="917">
        <v>-4.97</v>
      </c>
      <c r="D12" s="1127">
        <f>6.22-Hobs3</f>
        <v>3.5600000000000089</v>
      </c>
      <c r="E12" s="1128">
        <f>-Hobs3</f>
        <v>-2.6599999999999908</v>
      </c>
      <c r="F12" s="908">
        <f>DEGREES(ATAN2(H12,D12))</f>
        <v>4.6799985623195841</v>
      </c>
      <c r="G12" s="908">
        <f>DEGREES(ATAN2(H12,E12))</f>
        <v>-3.5002894116917149</v>
      </c>
      <c r="H12" s="555">
        <f>SQRT(POWER(N12-T$12,2)+POWER(M12-S$12,2))</f>
        <v>43.487010704346716</v>
      </c>
      <c r="I12" s="684">
        <f>(F12-G12)/(B12-C12)</f>
        <v>0.78505642744830129</v>
      </c>
      <c r="J12" s="117"/>
      <c r="K12" s="43"/>
      <c r="L12" s="793" t="str">
        <f>A12</f>
        <v>Descente pluivial maison centre</v>
      </c>
      <c r="M12" s="918">
        <v>6468.78</v>
      </c>
      <c r="N12" s="919">
        <v>424.35</v>
      </c>
      <c r="O12" s="920">
        <v>170</v>
      </c>
      <c r="P12" s="826"/>
      <c r="Q12" s="826"/>
      <c r="R12" s="795" t="s">
        <v>351</v>
      </c>
      <c r="S12" s="918">
        <v>6444.02</v>
      </c>
      <c r="T12" s="919">
        <v>388.6</v>
      </c>
      <c r="U12" s="920">
        <v>170.2</v>
      </c>
      <c r="V12" s="686" t="s">
        <v>232</v>
      </c>
      <c r="W12" s="921">
        <f>+U12-U11+2.4</f>
        <v>2.6599999999999908</v>
      </c>
      <c r="X12" s="826" t="s">
        <v>85</v>
      </c>
      <c r="Y12" s="623" t="s">
        <v>348</v>
      </c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34"/>
      <c r="AY12" s="34"/>
    </row>
    <row r="13" spans="1:51" s="6" customFormat="1" ht="11.25" x14ac:dyDescent="0.2">
      <c r="A13" s="561"/>
      <c r="C13" s="1129" t="s">
        <v>345</v>
      </c>
      <c r="D13" s="10" t="e">
        <f>Hrm*B13/(B13-C13)</f>
        <v>#VALUE!</v>
      </c>
      <c r="E13" s="1130" t="e">
        <f>+D13*C13/B13</f>
        <v>#VALUE!</v>
      </c>
      <c r="F13" s="564"/>
      <c r="G13" s="1134"/>
      <c r="H13" s="1135"/>
      <c r="I13" s="1136"/>
      <c r="J13" s="564"/>
      <c r="K13" s="564"/>
      <c r="L13" s="564"/>
      <c r="O13" s="18"/>
      <c r="P13" s="1137"/>
      <c r="Q13" s="564"/>
      <c r="R13" s="564"/>
      <c r="U13" s="797"/>
      <c r="V13" s="26"/>
      <c r="Y13" s="26"/>
      <c r="Z13" s="667"/>
      <c r="AA13" s="798"/>
      <c r="AB13" s="799"/>
      <c r="AC13" s="800"/>
      <c r="AD13" s="799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18"/>
      <c r="AY13" s="18"/>
    </row>
    <row r="14" spans="1:51" s="19" customFormat="1" ht="15.75" x14ac:dyDescent="0.25">
      <c r="A14" s="668" t="s">
        <v>156</v>
      </c>
      <c r="B14" s="689"/>
      <c r="C14" s="28"/>
      <c r="D14" s="675" t="s">
        <v>301</v>
      </c>
      <c r="E14" s="71"/>
      <c r="F14" s="82"/>
      <c r="G14" s="896" t="s">
        <v>179</v>
      </c>
      <c r="K14" s="1014" t="s">
        <v>302</v>
      </c>
      <c r="L14" s="1013">
        <f>+CHOOSE(N14,L16,L17,L18,L19)</f>
        <v>5.5897336495305279</v>
      </c>
      <c r="M14" s="136" t="s">
        <v>280</v>
      </c>
      <c r="N14" s="922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34"/>
      <c r="AY14" s="34"/>
    </row>
    <row r="15" spans="1:51" s="19" customFormat="1" ht="13.5" thickBot="1" x14ac:dyDescent="0.25">
      <c r="A15" s="690" t="s">
        <v>149</v>
      </c>
      <c r="B15" s="691" t="s">
        <v>178</v>
      </c>
      <c r="C15" s="690" t="s">
        <v>145</v>
      </c>
      <c r="D15" s="690" t="s">
        <v>150</v>
      </c>
      <c r="E15" s="690" t="s">
        <v>151</v>
      </c>
      <c r="F15" s="1023" t="s">
        <v>281</v>
      </c>
      <c r="G15" s="1022" t="s">
        <v>180</v>
      </c>
      <c r="H15" s="690" t="s">
        <v>153</v>
      </c>
      <c r="I15" s="690" t="s">
        <v>155</v>
      </c>
      <c r="J15" s="690" t="s">
        <v>146</v>
      </c>
      <c r="K15" s="690" t="s">
        <v>147</v>
      </c>
      <c r="L15" s="690" t="s">
        <v>148</v>
      </c>
      <c r="M15" s="690" t="s">
        <v>154</v>
      </c>
      <c r="N15" s="69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  <c r="AX15" s="34"/>
      <c r="AY15" s="34"/>
    </row>
    <row r="16" spans="1:51" s="19" customFormat="1" ht="12.75" x14ac:dyDescent="0.2">
      <c r="A16" s="974" t="s">
        <v>293</v>
      </c>
      <c r="B16" s="923">
        <v>1</v>
      </c>
      <c r="C16" s="983">
        <v>-0.74</v>
      </c>
      <c r="D16" s="924">
        <v>6497.2508333333326</v>
      </c>
      <c r="E16" s="924">
        <v>434.60583333333329</v>
      </c>
      <c r="F16" s="993"/>
      <c r="G16" s="1107"/>
      <c r="H16" s="1107"/>
      <c r="I16" s="1107"/>
      <c r="J16" s="1108">
        <f>C16*CHOOSE(B16,Rata1,Rata2,Rata3)</f>
        <v>-0.80473617630506122</v>
      </c>
      <c r="K16" s="1109">
        <f>SQRT(+POWER(D16-CHOOSE(B16,$S$10,$S$11,$S$12),2)+POWER(E16-CHOOSE(B16,$T$10,$T$11,$T$12),2))</f>
        <v>119.62409860916588</v>
      </c>
      <c r="L16" s="998">
        <f>K16*TAN(RADIANS(J16))+CHOOSE(B16,Hobs1,Hobs2,Hobs3)</f>
        <v>5.5897336495305279</v>
      </c>
      <c r="M16" s="1110"/>
      <c r="N16" s="1009" t="str">
        <f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34"/>
      <c r="AY16" s="34"/>
    </row>
    <row r="17" spans="1:51" s="39" customFormat="1" ht="12.75" x14ac:dyDescent="0.2">
      <c r="A17" s="975" t="s">
        <v>294</v>
      </c>
      <c r="B17" s="925">
        <v>1</v>
      </c>
      <c r="C17" s="984"/>
      <c r="D17" s="926">
        <v>6493.0424999999996</v>
      </c>
      <c r="E17" s="926">
        <v>437.24749999999995</v>
      </c>
      <c r="F17" s="994"/>
      <c r="G17" s="1111"/>
      <c r="H17" s="1111"/>
      <c r="I17" s="1111"/>
      <c r="J17" s="1112">
        <f>C17*CHOOSE(B17,Rata1,Rata2,Rata3)</f>
        <v>0</v>
      </c>
      <c r="K17" s="1113">
        <f>SQRT(+POWER(D17-CHOOSE(B17,$S$10,$S$11,$S$12),2)+POWER(E17-CHOOSE(B17,$T$10,$T$11,$T$12),2))</f>
        <v>115.23593151660623</v>
      </c>
      <c r="L17" s="1079">
        <f>+L16</f>
        <v>5.5897336495305279</v>
      </c>
      <c r="M17" s="1114"/>
      <c r="N17" s="1010" t="str">
        <f>A17</f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51" s="28" customFormat="1" ht="12.75" x14ac:dyDescent="0.2">
      <c r="A18" s="975" t="s">
        <v>295</v>
      </c>
      <c r="B18" s="925">
        <v>1</v>
      </c>
      <c r="C18" s="984"/>
      <c r="D18" s="926">
        <v>6488.8341666666665</v>
      </c>
      <c r="E18" s="926">
        <v>439.88916666666665</v>
      </c>
      <c r="F18" s="995"/>
      <c r="G18" s="1115"/>
      <c r="H18" s="1115"/>
      <c r="I18" s="1115"/>
      <c r="J18" s="1112">
        <f>C18*CHOOSE(B18,Rata1,Rata2,Rata3)</f>
        <v>0</v>
      </c>
      <c r="K18" s="1113">
        <f>SQRT(+POWER(D18-CHOOSE(B18,$S$10,$S$11,$S$12),2)+POWER(E18-CHOOSE(B18,$T$10,$T$11,$T$12),2))</f>
        <v>110.89676190668921</v>
      </c>
      <c r="L18" s="1079">
        <f>+L16</f>
        <v>5.5897336495305279</v>
      </c>
      <c r="M18" s="1114"/>
      <c r="N18" s="1010" t="str">
        <f>A18</f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39"/>
      <c r="AY18" s="39"/>
    </row>
    <row r="19" spans="1:51" s="34" customFormat="1" ht="13.5" thickBot="1" x14ac:dyDescent="0.25">
      <c r="A19" s="976"/>
      <c r="B19" s="973"/>
      <c r="C19" s="1005"/>
      <c r="D19" s="977"/>
      <c r="E19" s="978"/>
      <c r="F19" s="996"/>
      <c r="G19" s="1116"/>
      <c r="H19" s="1116"/>
      <c r="I19" s="1116"/>
      <c r="J19" s="1117"/>
      <c r="K19" s="1118"/>
      <c r="L19" s="1001"/>
      <c r="M19" s="1119"/>
      <c r="N19" s="1011">
        <f>A19</f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51" s="34" customFormat="1" ht="12.75" x14ac:dyDescent="0.2">
      <c r="A20" s="1015" t="s">
        <v>157</v>
      </c>
      <c r="B20" s="1016"/>
      <c r="C20" s="1017"/>
      <c r="D20" s="1018"/>
      <c r="E20" s="1018"/>
      <c r="F20" s="1019"/>
      <c r="G20" s="1006">
        <f t="shared" ref="G20:G42" si="0">IF(AND(H20=H21,H20&gt;=Azi_pv_sel+90),"",P57-P56)</f>
        <v>30.731180158680019</v>
      </c>
      <c r="H20" s="987">
        <f>+Azi_pv_sel-180</f>
        <v>-149</v>
      </c>
      <c r="I20" s="988">
        <f>J3</f>
        <v>18.262889942194128</v>
      </c>
      <c r="J20" s="1003">
        <f t="shared" ref="J20:J43" si="1">IF(B20="",0,C20*CHOOSE(B20,Rata1,Rata2,Rata3))</f>
        <v>0</v>
      </c>
      <c r="K20" s="1000">
        <f>IF(B20="",0,SQRT(+POWER(D20-CHOOSE(B20,$S$10,$S$11,$S$12),2)+POWER(E20-CHOOSE(B20,$T$10,$T$11,$T$12),2)))</f>
        <v>0</v>
      </c>
      <c r="L20" s="999">
        <f t="shared" ref="L20:L43" si="2">IF(B20="",0,K20*TAN(RADIANS(J20))+CHOOSE(B20,Hobs1,Hobs2,Hobs3))</f>
        <v>0</v>
      </c>
      <c r="M20" s="1000">
        <f>IF(B20="",0,SQRT(POWER($E20-CHOOSE($N$14,E$16,E$17,E$18,E$19),2)+POWER($D20-CHOOSE($N$14,D$16,D$17,D$18,D$19),2)))</f>
        <v>0</v>
      </c>
      <c r="N20" s="1007" t="str">
        <f>A20</f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51" s="34" customFormat="1" ht="12.75" x14ac:dyDescent="0.2">
      <c r="A21" s="927" t="s">
        <v>368</v>
      </c>
      <c r="B21" s="925">
        <v>1</v>
      </c>
      <c r="C21" s="984">
        <v>2.25</v>
      </c>
      <c r="D21" s="926">
        <v>6578.73</v>
      </c>
      <c r="E21" s="926">
        <v>488.23</v>
      </c>
      <c r="F21" s="986"/>
      <c r="G21" s="1006">
        <f t="shared" si="0"/>
        <v>24.981289278401135</v>
      </c>
      <c r="H21" s="989">
        <f t="shared" ref="H21:H39" si="3">DEGREES(ATAN2(CHOOSE($N$14,E$16,E$17,E$18,E$19)-$E21,CHOOSE($N$14,D$16,D$17,D$18,D$19)-$D21))</f>
        <v>-118.26881984131998</v>
      </c>
      <c r="I21" s="990">
        <f t="shared" ref="I21:I39" si="4">DEGREES(ATAN2(M21,$L21-L$14))</f>
        <v>5.8503215043304388</v>
      </c>
      <c r="J21" s="1003">
        <f t="shared" si="1"/>
        <v>2.4468329684951189</v>
      </c>
      <c r="K21" s="1000">
        <f>IF(B21="",0,SQRT(+POWER(D21-CHOOSE(B21,$S$10,$S$11,$S$12),2)+POWER(E21-CHOOSE(B21,$T$10,$T$11,$T$12),2)))</f>
        <v>205.42591389598326</v>
      </c>
      <c r="L21" s="999">
        <f t="shared" si="2"/>
        <v>16.04811052913923</v>
      </c>
      <c r="M21" s="1000">
        <f>IF(B21="",0,SQRT(POWER($E21-CHOOSE($N$14,E$16,E$17,E$18,E$19),2)+POWER($D21-CHOOSE($N$14,D$16,D$17,D$18,D$19),2)))</f>
        <v>102.069079637545</v>
      </c>
      <c r="N21" s="1007" t="str">
        <f t="shared" ref="N21:N43" si="5">A21</f>
        <v>Arbre 0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51" s="34" customFormat="1" ht="12.75" x14ac:dyDescent="0.2">
      <c r="A22" s="927" t="s">
        <v>352</v>
      </c>
      <c r="B22" s="925">
        <v>1</v>
      </c>
      <c r="C22" s="984">
        <v>2.25</v>
      </c>
      <c r="D22" s="926">
        <v>6560.4</v>
      </c>
      <c r="E22" s="926">
        <v>444</v>
      </c>
      <c r="F22" s="986"/>
      <c r="G22" s="1006">
        <f t="shared" si="0"/>
        <v>11.739668896970414</v>
      </c>
      <c r="H22" s="989">
        <f t="shared" si="3"/>
        <v>-93.287530562918846</v>
      </c>
      <c r="I22" s="990">
        <f t="shared" si="4"/>
        <v>7.5281545102070151</v>
      </c>
      <c r="J22" s="1003">
        <f t="shared" si="1"/>
        <v>2.4468329684951189</v>
      </c>
      <c r="K22" s="1000">
        <f t="shared" ref="K22:K43" si="6">IF(B22="",0,SQRT(+POWER(D22-CHOOSE(B22,$S$10,$S$11,$S$12),2)+POWER(E22-CHOOSE(B22,$T$10,$T$11,$T$12),2)))</f>
        <v>182.37048363153497</v>
      </c>
      <c r="L22" s="999">
        <f t="shared" si="2"/>
        <v>15.062922675669753</v>
      </c>
      <c r="M22" s="1000">
        <f t="shared" ref="M22:M43" si="7">IF(B22="",0,SQRT(POWER($E22-CHOOSE($N$14,E$16,E$17,E$18,E$19),2)+POWER($D22-CHOOSE($N$14,D$16,D$17,D$18,D$19),2)))</f>
        <v>71.683801875938869</v>
      </c>
      <c r="N22" s="1007" t="str">
        <f t="shared" si="5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51" s="34" customFormat="1" ht="12.75" x14ac:dyDescent="0.2">
      <c r="A23" s="927" t="s">
        <v>353</v>
      </c>
      <c r="B23" s="925">
        <v>1</v>
      </c>
      <c r="C23" s="984">
        <v>3.3</v>
      </c>
      <c r="D23" s="926">
        <v>6542.8</v>
      </c>
      <c r="E23" s="926">
        <v>431.87</v>
      </c>
      <c r="F23" s="986" t="s">
        <v>135</v>
      </c>
      <c r="G23" s="1006">
        <f t="shared" si="0"/>
        <v>7.5010000000000048</v>
      </c>
      <c r="H23" s="989">
        <f t="shared" si="3"/>
        <v>-81.547861665948432</v>
      </c>
      <c r="I23" s="990">
        <f t="shared" si="4"/>
        <v>12.448624921472284</v>
      </c>
      <c r="J23" s="1003">
        <f t="shared" si="1"/>
        <v>3.5886883537928407</v>
      </c>
      <c r="K23" s="1000">
        <f t="shared" si="6"/>
        <v>165.24725534785787</v>
      </c>
      <c r="L23" s="999">
        <f t="shared" si="2"/>
        <v>17.633723339918312</v>
      </c>
      <c r="M23" s="1000">
        <f t="shared" si="7"/>
        <v>54.558392584357932</v>
      </c>
      <c r="N23" s="1007" t="str">
        <f t="shared" si="5"/>
        <v>Arbre 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51" s="34" customFormat="1" ht="12.75" x14ac:dyDescent="0.2">
      <c r="A24" s="927" t="s">
        <v>355</v>
      </c>
      <c r="B24" s="925">
        <v>1</v>
      </c>
      <c r="C24" s="984">
        <v>3.1</v>
      </c>
      <c r="D24" s="926">
        <v>6635.9</v>
      </c>
      <c r="E24" s="926">
        <v>399.82</v>
      </c>
      <c r="F24" s="986"/>
      <c r="G24" s="1006">
        <f t="shared" si="0"/>
        <v>14.542883121349966</v>
      </c>
      <c r="H24" s="989">
        <f t="shared" si="3"/>
        <v>-74.759277234945657</v>
      </c>
      <c r="I24" s="990">
        <f t="shared" si="4"/>
        <v>6.3994755512864687</v>
      </c>
      <c r="J24" s="1003">
        <f t="shared" si="1"/>
        <v>3.3711920899266081</v>
      </c>
      <c r="K24" s="1000">
        <f t="shared" si="6"/>
        <v>261.69848471093587</v>
      </c>
      <c r="L24" s="999">
        <f t="shared" si="2"/>
        <v>22.685714187119935</v>
      </c>
      <c r="M24" s="1000">
        <f t="shared" si="7"/>
        <v>152.42669533709906</v>
      </c>
      <c r="N24" s="1007" t="str">
        <f t="shared" si="5"/>
        <v>Arbre 4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51" s="34" customFormat="1" ht="12.75" x14ac:dyDescent="0.2">
      <c r="A25" s="927" t="s">
        <v>357</v>
      </c>
      <c r="B25" s="925">
        <v>1</v>
      </c>
      <c r="C25" s="984">
        <v>4.29</v>
      </c>
      <c r="D25" s="926">
        <v>6587.37</v>
      </c>
      <c r="E25" s="926">
        <v>370.53</v>
      </c>
      <c r="F25" s="986" t="s">
        <v>279</v>
      </c>
      <c r="G25" s="1006">
        <f t="shared" si="0"/>
        <v>7.5009999999999977</v>
      </c>
      <c r="H25" s="989">
        <f t="shared" si="3"/>
        <v>-54.858365854866356</v>
      </c>
      <c r="I25" s="990">
        <f t="shared" si="4"/>
        <v>9.3296165114188003</v>
      </c>
      <c r="J25" s="1003">
        <f t="shared" si="1"/>
        <v>4.6652948599306931</v>
      </c>
      <c r="K25" s="1000">
        <f t="shared" si="6"/>
        <v>221.99767498782518</v>
      </c>
      <c r="L25" s="999">
        <f t="shared" si="2"/>
        <v>25.386160860021128</v>
      </c>
      <c r="M25" s="1000">
        <f t="shared" si="7"/>
        <v>120.49898112178748</v>
      </c>
      <c r="N25" s="1007" t="str">
        <f t="shared" si="5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51" s="34" customFormat="1" ht="12.75" x14ac:dyDescent="0.2">
      <c r="A26" s="927" t="s">
        <v>356</v>
      </c>
      <c r="B26" s="925">
        <v>1</v>
      </c>
      <c r="C26" s="984">
        <v>2.04</v>
      </c>
      <c r="D26" s="926">
        <v>6529.45</v>
      </c>
      <c r="E26" s="926">
        <v>408.16</v>
      </c>
      <c r="F26" s="986"/>
      <c r="G26" s="1006">
        <f t="shared" si="0"/>
        <v>12.229015301152607</v>
      </c>
      <c r="H26" s="989">
        <f t="shared" si="3"/>
        <v>-52.002978544598463</v>
      </c>
      <c r="I26" s="990">
        <f t="shared" si="4"/>
        <v>8.5100201276338456</v>
      </c>
      <c r="J26" s="1003">
        <f t="shared" si="1"/>
        <v>2.2184618914355743</v>
      </c>
      <c r="K26" s="1000">
        <f t="shared" si="6"/>
        <v>155.70100834612478</v>
      </c>
      <c r="L26" s="999">
        <f t="shared" si="2"/>
        <v>13.301674163413828</v>
      </c>
      <c r="M26" s="1000">
        <f t="shared" si="7"/>
        <v>51.54013906386183</v>
      </c>
      <c r="N26" s="1007" t="str">
        <f t="shared" si="5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51" s="34" customFormat="1" ht="12.75" x14ac:dyDescent="0.2">
      <c r="A27" s="927" t="s">
        <v>367</v>
      </c>
      <c r="B27" s="925">
        <v>1</v>
      </c>
      <c r="C27" s="984">
        <v>1.1599999999999999</v>
      </c>
      <c r="D27" s="926">
        <v>6563.2</v>
      </c>
      <c r="E27" s="926">
        <v>350.55</v>
      </c>
      <c r="F27" s="986"/>
      <c r="G27" s="1006">
        <f t="shared" si="0"/>
        <v>11.573811652479041</v>
      </c>
      <c r="H27" s="989">
        <f t="shared" si="3"/>
        <v>-39.773963243445856</v>
      </c>
      <c r="I27" s="990">
        <f t="shared" si="4"/>
        <v>3.0786094481243071</v>
      </c>
      <c r="J27" s="1003">
        <f t="shared" si="1"/>
        <v>1.2614783304241499</v>
      </c>
      <c r="K27" s="1000">
        <f t="shared" si="6"/>
        <v>207.60420467803638</v>
      </c>
      <c r="L27" s="999">
        <f t="shared" si="2"/>
        <v>11.841550162468867</v>
      </c>
      <c r="M27" s="1000">
        <f t="shared" si="7"/>
        <v>116.24011299054877</v>
      </c>
      <c r="N27" s="1007" t="str">
        <f t="shared" si="5"/>
        <v>Creux 1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51" s="34" customFormat="1" ht="12.75" x14ac:dyDescent="0.2">
      <c r="A28" s="927" t="s">
        <v>358</v>
      </c>
      <c r="B28" s="925">
        <v>1</v>
      </c>
      <c r="C28" s="984">
        <v>2.4900000000000002</v>
      </c>
      <c r="D28" s="926">
        <v>6532.55</v>
      </c>
      <c r="E28" s="926">
        <v>358.36</v>
      </c>
      <c r="F28" s="986"/>
      <c r="G28" s="1006">
        <f t="shared" si="0"/>
        <v>46.997868231551521</v>
      </c>
      <c r="H28" s="989">
        <f t="shared" si="3"/>
        <v>-28.200151590966815</v>
      </c>
      <c r="I28" s="990">
        <f t="shared" si="4"/>
        <v>6.1973322104074784</v>
      </c>
      <c r="J28" s="1003">
        <f t="shared" si="1"/>
        <v>2.7078284851345984</v>
      </c>
      <c r="K28" s="1000">
        <f t="shared" si="6"/>
        <v>176.86931333614697</v>
      </c>
      <c r="L28" s="999">
        <f t="shared" si="2"/>
        <v>15.635165140069555</v>
      </c>
      <c r="M28" s="1000">
        <f t="shared" si="7"/>
        <v>92.509886506194093</v>
      </c>
      <c r="N28" s="1007" t="str">
        <f t="shared" si="5"/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51" s="34" customFormat="1" ht="12.75" x14ac:dyDescent="0.2">
      <c r="A29" s="927" t="s">
        <v>359</v>
      </c>
      <c r="B29" s="925">
        <v>2</v>
      </c>
      <c r="C29" s="984">
        <v>17.920000000000002</v>
      </c>
      <c r="D29" s="926">
        <v>6456.11</v>
      </c>
      <c r="E29" s="926">
        <v>343.75</v>
      </c>
      <c r="F29" s="986"/>
      <c r="G29" s="1006">
        <f t="shared" si="0"/>
        <v>9.3798965014262663</v>
      </c>
      <c r="H29" s="989">
        <f t="shared" si="3"/>
        <v>18.797716640584706</v>
      </c>
      <c r="I29" s="990">
        <f t="shared" si="4"/>
        <v>14.111798353635075</v>
      </c>
      <c r="J29" s="1003">
        <f t="shared" si="1"/>
        <v>16.467471542257734</v>
      </c>
      <c r="K29" s="1000">
        <f t="shared" si="6"/>
        <v>97.163195707016556</v>
      </c>
      <c r="L29" s="999">
        <f t="shared" si="2"/>
        <v>31.12105745336677</v>
      </c>
      <c r="M29" s="1000">
        <f t="shared" si="7"/>
        <v>101.55594739545734</v>
      </c>
      <c r="N29" s="1007" t="str">
        <f t="shared" si="5"/>
        <v>Arbre 8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51" s="34" customFormat="1" ht="12.75" x14ac:dyDescent="0.2">
      <c r="A30" s="927" t="s">
        <v>360</v>
      </c>
      <c r="B30" s="925">
        <v>2</v>
      </c>
      <c r="C30" s="984">
        <v>12</v>
      </c>
      <c r="D30" s="926">
        <v>6427.08</v>
      </c>
      <c r="E30" s="926">
        <v>324.61</v>
      </c>
      <c r="F30" s="986"/>
      <c r="G30" s="1006">
        <f t="shared" si="0"/>
        <v>12.729720530601281</v>
      </c>
      <c r="H30" s="989">
        <f t="shared" si="3"/>
        <v>28.177613142010973</v>
      </c>
      <c r="I30" s="990">
        <f t="shared" si="4"/>
        <v>9.0206763649251336</v>
      </c>
      <c r="J30" s="1003">
        <f t="shared" si="1"/>
        <v>11.02732469347616</v>
      </c>
      <c r="K30" s="1000">
        <f t="shared" si="6"/>
        <v>122.90579522544887</v>
      </c>
      <c r="L30" s="999">
        <f t="shared" si="2"/>
        <v>26.351301282555049</v>
      </c>
      <c r="M30" s="1000">
        <f t="shared" si="7"/>
        <v>130.77791620933385</v>
      </c>
      <c r="N30" s="1007" t="str">
        <f t="shared" si="5"/>
        <v>Arbre 9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51" s="34" customFormat="1" ht="12.75" x14ac:dyDescent="0.2">
      <c r="A31" s="927" t="s">
        <v>361</v>
      </c>
      <c r="B31" s="925">
        <v>2</v>
      </c>
      <c r="C31" s="985">
        <v>12.03</v>
      </c>
      <c r="D31" s="926">
        <v>6397.02</v>
      </c>
      <c r="E31" s="926">
        <v>341.61</v>
      </c>
      <c r="F31" s="986" t="s">
        <v>279</v>
      </c>
      <c r="G31" s="1006">
        <f t="shared" si="0"/>
        <v>7.5009999999999977</v>
      </c>
      <c r="H31" s="989">
        <f t="shared" si="3"/>
        <v>43.052143690168506</v>
      </c>
      <c r="I31" s="990">
        <f t="shared" si="4"/>
        <v>8.739077416849435</v>
      </c>
      <c r="J31" s="1003">
        <f t="shared" si="1"/>
        <v>11.05489300520985</v>
      </c>
      <c r="K31" s="1000">
        <f t="shared" si="6"/>
        <v>122.14522708644772</v>
      </c>
      <c r="L31" s="999">
        <f t="shared" si="2"/>
        <v>26.264094122896324</v>
      </c>
      <c r="M31" s="1000">
        <f t="shared" si="7"/>
        <v>134.49399912780041</v>
      </c>
      <c r="N31" s="1007" t="str">
        <f t="shared" si="5"/>
        <v>Arbre 10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51" s="34" customFormat="1" ht="12.75" x14ac:dyDescent="0.2">
      <c r="A32" s="927" t="s">
        <v>362</v>
      </c>
      <c r="B32" s="925">
        <v>2</v>
      </c>
      <c r="C32" s="984">
        <v>12.66</v>
      </c>
      <c r="D32" s="926">
        <v>6391.03</v>
      </c>
      <c r="E32" s="926">
        <v>353.08</v>
      </c>
      <c r="F32" s="986" t="s">
        <v>135</v>
      </c>
      <c r="G32" s="1006">
        <f t="shared" si="0"/>
        <v>7.5009999999999977</v>
      </c>
      <c r="H32" s="989">
        <f t="shared" si="3"/>
        <v>48.408333672612251</v>
      </c>
      <c r="I32" s="990">
        <f t="shared" si="4"/>
        <v>9.0827056845837504</v>
      </c>
      <c r="J32" s="1003">
        <f t="shared" si="1"/>
        <v>11.633827551617349</v>
      </c>
      <c r="K32" s="1000">
        <f t="shared" si="6"/>
        <v>117.03394080351214</v>
      </c>
      <c r="L32" s="999">
        <f t="shared" si="2"/>
        <v>26.495635221103953</v>
      </c>
      <c r="M32" s="1000">
        <f t="shared" si="7"/>
        <v>130.77265170792495</v>
      </c>
      <c r="N32" s="1007" t="str">
        <f t="shared" si="5"/>
        <v>Arbre 11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51" s="39" customFormat="1" ht="12.75" x14ac:dyDescent="0.2">
      <c r="A33" s="927" t="s">
        <v>370</v>
      </c>
      <c r="B33" s="925">
        <v>2</v>
      </c>
      <c r="C33" s="984">
        <v>8.08</v>
      </c>
      <c r="D33" s="926">
        <v>6298.99</v>
      </c>
      <c r="E33" s="926">
        <v>298.19</v>
      </c>
      <c r="F33" s="986"/>
      <c r="G33" s="1006">
        <f t="shared" si="0"/>
        <v>10.103328495313775</v>
      </c>
      <c r="H33" s="989">
        <f t="shared" si="3"/>
        <v>53.262440761451543</v>
      </c>
      <c r="I33" s="990">
        <f t="shared" si="4"/>
        <v>6.1921710708788238</v>
      </c>
      <c r="J33" s="1003">
        <f t="shared" si="1"/>
        <v>7.4250652936072807</v>
      </c>
      <c r="K33" s="1000">
        <f t="shared" si="6"/>
        <v>221.69719032951218</v>
      </c>
      <c r="L33" s="999">
        <f t="shared" si="2"/>
        <v>31.292065633376499</v>
      </c>
      <c r="M33" s="1000">
        <f t="shared" si="7"/>
        <v>236.89546524023822</v>
      </c>
      <c r="N33" s="1007" t="str">
        <f t="shared" si="5"/>
        <v>Creux 11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51" s="39" customFormat="1" ht="12.75" x14ac:dyDescent="0.2">
      <c r="A34" s="927" t="s">
        <v>363</v>
      </c>
      <c r="B34" s="925">
        <v>2</v>
      </c>
      <c r="C34" s="984">
        <v>14.75</v>
      </c>
      <c r="D34" s="926">
        <v>6397.75</v>
      </c>
      <c r="E34" s="926">
        <v>399.36</v>
      </c>
      <c r="F34" s="986"/>
      <c r="G34" s="1006">
        <f t="shared" si="0"/>
        <v>14.923603847539781</v>
      </c>
      <c r="H34" s="989">
        <f t="shared" si="3"/>
        <v>66.012662167926024</v>
      </c>
      <c r="I34" s="990">
        <f t="shared" si="4"/>
        <v>9.4921615609888601</v>
      </c>
      <c r="J34" s="1003">
        <f t="shared" si="1"/>
        <v>13.554419935731113</v>
      </c>
      <c r="K34" s="1000">
        <f t="shared" si="6"/>
        <v>82.373127292824975</v>
      </c>
      <c r="L34" s="999">
        <f t="shared" si="2"/>
        <v>22.258805158073123</v>
      </c>
      <c r="M34" s="1000">
        <f t="shared" si="7"/>
        <v>99.694226352660621</v>
      </c>
      <c r="N34" s="1007" t="str">
        <f t="shared" si="5"/>
        <v>Arbre 12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51" s="39" customFormat="1" ht="12.75" x14ac:dyDescent="0.2">
      <c r="A35" s="927" t="s">
        <v>364</v>
      </c>
      <c r="B35" s="925">
        <v>2</v>
      </c>
      <c r="C35" s="985">
        <v>14.5</v>
      </c>
      <c r="D35" s="926">
        <v>6357.7</v>
      </c>
      <c r="E35" s="926">
        <v>418.97</v>
      </c>
      <c r="F35" s="986" t="s">
        <v>135</v>
      </c>
      <c r="G35" s="1006">
        <f t="shared" si="0"/>
        <v>7.5010000000000048</v>
      </c>
      <c r="H35" s="989">
        <f t="shared" si="3"/>
        <v>80.936266015465804</v>
      </c>
      <c r="I35" s="990">
        <f t="shared" si="4"/>
        <v>10.132088009456579</v>
      </c>
      <c r="J35" s="1003">
        <f t="shared" si="1"/>
        <v>13.324684004617026</v>
      </c>
      <c r="K35" s="1000">
        <f t="shared" si="6"/>
        <v>113.66244278564471</v>
      </c>
      <c r="L35" s="999">
        <f t="shared" si="2"/>
        <v>29.320372244480108</v>
      </c>
      <c r="M35" s="1000">
        <f t="shared" si="7"/>
        <v>132.79224827296545</v>
      </c>
      <c r="N35" s="1007" t="str">
        <f t="shared" si="5"/>
        <v>Arbre 13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34"/>
      <c r="AY35" s="34"/>
    </row>
    <row r="36" spans="1:51" s="34" customFormat="1" ht="12.75" x14ac:dyDescent="0.2">
      <c r="A36" s="927" t="s">
        <v>365</v>
      </c>
      <c r="B36" s="925">
        <v>2</v>
      </c>
      <c r="C36" s="984">
        <v>11.04</v>
      </c>
      <c r="D36" s="926">
        <v>6311.12</v>
      </c>
      <c r="E36" s="926">
        <v>423.7</v>
      </c>
      <c r="F36" s="986"/>
      <c r="G36" s="1006">
        <f t="shared" si="0"/>
        <v>10.653188242367847</v>
      </c>
      <c r="H36" s="989">
        <f t="shared" si="3"/>
        <v>84.794912557200902</v>
      </c>
      <c r="I36" s="990">
        <f t="shared" si="4"/>
        <v>8.0639596650400467</v>
      </c>
      <c r="J36" s="1003">
        <f t="shared" si="1"/>
        <v>10.145138717998066</v>
      </c>
      <c r="K36" s="1000">
        <f t="shared" si="6"/>
        <v>159.11709021974954</v>
      </c>
      <c r="L36" s="999">
        <f t="shared" si="2"/>
        <v>30.872421766518613</v>
      </c>
      <c r="M36" s="1000">
        <f t="shared" si="7"/>
        <v>178.45003264608522</v>
      </c>
      <c r="N36" s="1007" t="str">
        <f t="shared" si="5"/>
        <v>Arbre 14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39"/>
      <c r="AY36" s="39"/>
    </row>
    <row r="37" spans="1:51" s="34" customFormat="1" ht="12.75" x14ac:dyDescent="0.2">
      <c r="A37" s="927" t="s">
        <v>366</v>
      </c>
      <c r="B37" s="925">
        <v>1</v>
      </c>
      <c r="C37" s="984">
        <v>4.13</v>
      </c>
      <c r="D37" s="926">
        <v>6436.33</v>
      </c>
      <c r="E37" s="926">
        <v>448.29</v>
      </c>
      <c r="F37" s="986"/>
      <c r="G37" s="1006">
        <f t="shared" si="0"/>
        <v>13.985390146659327</v>
      </c>
      <c r="H37" s="989">
        <f t="shared" si="3"/>
        <v>99.090454257833656</v>
      </c>
      <c r="I37" s="990">
        <f t="shared" si="4"/>
        <v>6.7249450736620826</v>
      </c>
      <c r="J37" s="1003">
        <f t="shared" si="1"/>
        <v>4.4912978488377071</v>
      </c>
      <c r="K37" s="1000">
        <f t="shared" si="6"/>
        <v>58.428305640331736</v>
      </c>
      <c r="L37" s="999">
        <f t="shared" si="2"/>
        <v>11.859478360665568</v>
      </c>
      <c r="M37" s="1000">
        <f t="shared" si="7"/>
        <v>53.171999379894956</v>
      </c>
      <c r="N37" s="1007" t="str">
        <f t="shared" si="5"/>
        <v>Arbre 15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51" s="34" customFormat="1" ht="12.75" x14ac:dyDescent="0.2">
      <c r="A38" s="927" t="s">
        <v>371</v>
      </c>
      <c r="B38" s="925">
        <v>3</v>
      </c>
      <c r="C38" s="984">
        <v>12.7</v>
      </c>
      <c r="D38" s="926">
        <v>6462.52</v>
      </c>
      <c r="E38" s="926">
        <v>451.1</v>
      </c>
      <c r="F38" s="986"/>
      <c r="G38" s="1006">
        <f t="shared" si="0"/>
        <v>45.141271036294341</v>
      </c>
      <c r="H38" s="989">
        <f t="shared" si="3"/>
        <v>113.07584440449298</v>
      </c>
      <c r="I38" s="990">
        <f t="shared" si="4"/>
        <v>16.602876539755652</v>
      </c>
      <c r="J38" s="1003">
        <f t="shared" si="1"/>
        <v>9.9702166285934251</v>
      </c>
      <c r="K38" s="1000">
        <f t="shared" si="6"/>
        <v>65.180518561913885</v>
      </c>
      <c r="L38" s="999">
        <f t="shared" si="2"/>
        <v>14.118151805681457</v>
      </c>
      <c r="M38" s="1000">
        <f t="shared" si="7"/>
        <v>28.602764750786935</v>
      </c>
      <c r="N38" s="1007" t="str">
        <f t="shared" si="5"/>
        <v>Arbre 16g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51" s="34" customFormat="1" ht="12.75" x14ac:dyDescent="0.2">
      <c r="A39" s="927" t="s">
        <v>372</v>
      </c>
      <c r="B39" s="925">
        <v>3</v>
      </c>
      <c r="C39" s="984">
        <v>12.9</v>
      </c>
      <c r="D39" s="926">
        <v>6478</v>
      </c>
      <c r="E39" s="926">
        <v>467</v>
      </c>
      <c r="F39" s="986"/>
      <c r="G39" s="1006">
        <f t="shared" si="0"/>
        <v>52.782884559212675</v>
      </c>
      <c r="H39" s="989">
        <f t="shared" si="3"/>
        <v>158.21711544078732</v>
      </c>
      <c r="I39" s="990">
        <f t="shared" si="4"/>
        <v>22.899912769272056</v>
      </c>
      <c r="J39" s="1003">
        <f t="shared" si="1"/>
        <v>10.127227914083086</v>
      </c>
      <c r="K39" s="1000">
        <f t="shared" si="6"/>
        <v>85.447061974066528</v>
      </c>
      <c r="L39" s="999">
        <f t="shared" si="2"/>
        <v>17.9223377506273</v>
      </c>
      <c r="M39" s="1000">
        <f t="shared" si="7"/>
        <v>29.195486832537778</v>
      </c>
      <c r="N39" s="1007" t="str">
        <f t="shared" si="5"/>
        <v>Arbre 16d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51" s="34" customFormat="1" ht="12.75" x14ac:dyDescent="0.2">
      <c r="A40" s="927" t="s">
        <v>157</v>
      </c>
      <c r="B40" s="925"/>
      <c r="C40" s="984"/>
      <c r="D40" s="926"/>
      <c r="E40" s="926"/>
      <c r="F40" s="986"/>
      <c r="G40" s="1006" t="str">
        <f t="shared" si="0"/>
        <v/>
      </c>
      <c r="H40" s="989">
        <f>+Azi_pv_sel+180</f>
        <v>211</v>
      </c>
      <c r="I40" s="990">
        <f>+$J$3</f>
        <v>18.262889942194128</v>
      </c>
      <c r="J40" s="1003">
        <f t="shared" si="1"/>
        <v>0</v>
      </c>
      <c r="K40" s="1000">
        <f t="shared" si="6"/>
        <v>0</v>
      </c>
      <c r="L40" s="999">
        <f t="shared" si="2"/>
        <v>0</v>
      </c>
      <c r="M40" s="1000">
        <f t="shared" si="7"/>
        <v>0</v>
      </c>
      <c r="N40" s="1007" t="str">
        <f t="shared" si="5"/>
        <v>Arrière PV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51" s="34" customFormat="1" ht="12.75" x14ac:dyDescent="0.2">
      <c r="A41" s="927"/>
      <c r="B41" s="925"/>
      <c r="C41" s="984"/>
      <c r="D41" s="926"/>
      <c r="E41" s="926"/>
      <c r="F41" s="986"/>
      <c r="G41" s="1006" t="str">
        <f t="shared" si="0"/>
        <v/>
      </c>
      <c r="H41" s="989">
        <f>+Azi_pv_sel+180</f>
        <v>211</v>
      </c>
      <c r="I41" s="990">
        <f>+$J$3</f>
        <v>18.262889942194128</v>
      </c>
      <c r="J41" s="1003">
        <f t="shared" si="1"/>
        <v>0</v>
      </c>
      <c r="K41" s="1000">
        <f t="shared" si="6"/>
        <v>0</v>
      </c>
      <c r="L41" s="999">
        <f t="shared" si="2"/>
        <v>0</v>
      </c>
      <c r="M41" s="1000">
        <f t="shared" si="7"/>
        <v>0</v>
      </c>
      <c r="N41" s="1007">
        <f t="shared" si="5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51" s="19" customFormat="1" ht="12.75" x14ac:dyDescent="0.2">
      <c r="A42" s="927"/>
      <c r="B42" s="925"/>
      <c r="C42" s="984"/>
      <c r="D42" s="926"/>
      <c r="E42" s="926"/>
      <c r="F42" s="986"/>
      <c r="G42" s="1006" t="str">
        <f t="shared" si="0"/>
        <v/>
      </c>
      <c r="H42" s="989">
        <f>+Azi_pv_sel+180</f>
        <v>211</v>
      </c>
      <c r="I42" s="990">
        <f>+$J$3</f>
        <v>18.262889942194128</v>
      </c>
      <c r="J42" s="1003">
        <f t="shared" si="1"/>
        <v>0</v>
      </c>
      <c r="K42" s="1000">
        <f t="shared" si="6"/>
        <v>0</v>
      </c>
      <c r="L42" s="999">
        <f t="shared" si="2"/>
        <v>0</v>
      </c>
      <c r="M42" s="1000">
        <f t="shared" si="7"/>
        <v>0</v>
      </c>
      <c r="N42" s="1007">
        <f t="shared" si="5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34"/>
      <c r="AY42" s="34"/>
    </row>
    <row r="43" spans="1:51" s="19" customFormat="1" ht="13.5" thickBot="1" x14ac:dyDescent="0.25">
      <c r="A43" s="971"/>
      <c r="B43" s="972"/>
      <c r="C43" s="1133"/>
      <c r="D43" s="982"/>
      <c r="E43" s="982"/>
      <c r="F43" s="997"/>
      <c r="G43" s="1131"/>
      <c r="H43" s="991">
        <f>+H42</f>
        <v>211</v>
      </c>
      <c r="I43" s="992">
        <f>+$J$3</f>
        <v>18.262889942194128</v>
      </c>
      <c r="J43" s="1004">
        <f t="shared" si="1"/>
        <v>0</v>
      </c>
      <c r="K43" s="1002">
        <f t="shared" si="6"/>
        <v>0</v>
      </c>
      <c r="L43" s="1001">
        <f t="shared" si="2"/>
        <v>0</v>
      </c>
      <c r="M43" s="1002">
        <f t="shared" si="7"/>
        <v>0</v>
      </c>
      <c r="N43" s="1008">
        <f t="shared" si="5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34"/>
      <c r="AY43" s="34"/>
    </row>
    <row r="44" spans="1:51" s="34" customFormat="1" ht="12.75" x14ac:dyDescent="0.2">
      <c r="A44" s="970" t="s">
        <v>181</v>
      </c>
      <c r="B44" s="928"/>
      <c r="C44" s="929"/>
      <c r="D44" s="624"/>
      <c r="E44" s="658"/>
      <c r="F44" s="980"/>
      <c r="G44" s="624"/>
      <c r="H44" s="930"/>
      <c r="I44" s="930"/>
      <c r="J44" s="929"/>
      <c r="K44" s="624"/>
      <c r="L44" s="928"/>
      <c r="M44" s="928"/>
      <c r="N44" s="101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51" s="39" customFormat="1" ht="12.75" x14ac:dyDescent="0.2">
      <c r="A45" s="927" t="s">
        <v>338</v>
      </c>
      <c r="B45" s="925"/>
      <c r="C45" s="984"/>
      <c r="D45" s="926">
        <v>6511.12</v>
      </c>
      <c r="E45" s="926">
        <v>413.08</v>
      </c>
      <c r="F45" s="986"/>
      <c r="G45" s="1006"/>
      <c r="H45" s="989"/>
      <c r="I45" s="990"/>
      <c r="J45" s="1003"/>
      <c r="K45" s="1000"/>
      <c r="L45" s="1079">
        <v>-1.2749437712559164</v>
      </c>
      <c r="M45" s="1000"/>
      <c r="N45" s="1007" t="str">
        <f>A45</f>
        <v>Rive 3 H-1,27</v>
      </c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51" s="39" customFormat="1" ht="12.75" x14ac:dyDescent="0.2">
      <c r="A46" s="1078" t="s">
        <v>331</v>
      </c>
      <c r="B46" s="925"/>
      <c r="C46" s="985"/>
      <c r="D46" s="926">
        <v>6459.6</v>
      </c>
      <c r="E46" s="926">
        <v>445.8</v>
      </c>
      <c r="F46" s="986"/>
      <c r="G46" s="1006"/>
      <c r="H46" s="989"/>
      <c r="I46" s="990"/>
      <c r="J46" s="1003"/>
      <c r="K46" s="1000"/>
      <c r="L46" s="1079">
        <v>-0.90162922257698908</v>
      </c>
      <c r="M46" s="1000"/>
      <c r="N46" s="1007" t="str">
        <f>A46</f>
        <v>Rive 6 (h -0,902)</v>
      </c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51" s="34" customFormat="1" ht="12.75" x14ac:dyDescent="0.2">
      <c r="A47" s="927" t="s">
        <v>328</v>
      </c>
      <c r="B47" s="925">
        <v>1</v>
      </c>
      <c r="C47" s="984">
        <v>-0.61</v>
      </c>
      <c r="D47" s="926">
        <v>6454.98</v>
      </c>
      <c r="E47" s="926">
        <v>438.1</v>
      </c>
      <c r="F47" s="986"/>
      <c r="G47" s="1006"/>
      <c r="H47" s="989"/>
      <c r="I47" s="990"/>
      <c r="J47" s="1003"/>
      <c r="K47" s="1000"/>
      <c r="L47" s="999"/>
      <c r="M47" s="1000"/>
      <c r="N47" s="1007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51" s="34" customFormat="1" ht="12.75" x14ac:dyDescent="0.2">
      <c r="A48" s="927" t="s">
        <v>354</v>
      </c>
      <c r="B48" s="925">
        <v>1</v>
      </c>
      <c r="C48" s="984">
        <v>2.95</v>
      </c>
      <c r="D48" s="926">
        <v>6637.12</v>
      </c>
      <c r="E48" s="926">
        <v>418.8</v>
      </c>
      <c r="F48" s="986"/>
      <c r="G48" s="1006"/>
      <c r="H48" s="989"/>
      <c r="I48" s="990"/>
      <c r="J48" s="1003"/>
      <c r="K48" s="1000"/>
      <c r="L48" s="999"/>
      <c r="M48" s="1000"/>
      <c r="N48" s="1007"/>
      <c r="O48" s="698"/>
      <c r="P48" s="69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7" t="s">
        <v>369</v>
      </c>
      <c r="B49" s="925">
        <v>2</v>
      </c>
      <c r="C49" s="984">
        <v>9.6999999999999993</v>
      </c>
      <c r="D49" s="926">
        <v>6281.52</v>
      </c>
      <c r="E49" s="926">
        <v>352.56</v>
      </c>
      <c r="F49" s="986"/>
      <c r="G49" s="1006"/>
      <c r="H49" s="989"/>
      <c r="I49" s="990"/>
      <c r="J49" s="1003"/>
      <c r="K49" s="1000"/>
      <c r="L49" s="999"/>
      <c r="M49" s="1000"/>
      <c r="N49" s="1007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7"/>
      <c r="B50" s="925"/>
      <c r="C50" s="984"/>
      <c r="D50" s="926"/>
      <c r="E50" s="926"/>
      <c r="F50" s="986"/>
      <c r="G50" s="1006"/>
      <c r="H50" s="989"/>
      <c r="I50" s="990"/>
      <c r="J50" s="1003"/>
      <c r="K50" s="1000"/>
      <c r="L50" s="999"/>
      <c r="M50" s="1000"/>
      <c r="N50" s="1007"/>
      <c r="O50" s="698"/>
      <c r="P50" s="69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7"/>
      <c r="B51" s="925"/>
      <c r="C51" s="984"/>
      <c r="D51" s="926"/>
      <c r="E51" s="926"/>
      <c r="F51" s="986"/>
      <c r="G51" s="1006"/>
      <c r="H51" s="989"/>
      <c r="I51" s="990"/>
      <c r="J51" s="1003"/>
      <c r="K51" s="1000"/>
      <c r="L51" s="999"/>
      <c r="M51" s="1000"/>
      <c r="N51" s="1007"/>
      <c r="O51" s="698"/>
      <c r="P51" s="69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9" t="s">
        <v>164</v>
      </c>
      <c r="C52" s="632"/>
      <c r="F52" s="15"/>
      <c r="K52" s="15"/>
      <c r="L52" s="632"/>
      <c r="M52" s="931"/>
      <c r="N52" s="41"/>
      <c r="O52" s="932"/>
      <c r="P52" s="21"/>
      <c r="R52" s="21"/>
      <c r="S52" s="341"/>
    </row>
    <row r="53" spans="1:51" s="36" customFormat="1" ht="15.75" x14ac:dyDescent="0.25">
      <c r="A53" s="696"/>
      <c r="B53" s="696" t="s">
        <v>192</v>
      </c>
      <c r="C53" s="1120">
        <v>1</v>
      </c>
      <c r="E53" s="694"/>
      <c r="G53" s="696" t="s">
        <v>375</v>
      </c>
      <c r="H53" s="1031">
        <f>I1</f>
        <v>43631</v>
      </c>
      <c r="L53" s="1027"/>
      <c r="P53" s="693" t="s">
        <v>283</v>
      </c>
      <c r="R53" s="694"/>
      <c r="V53" s="694"/>
      <c r="X53" s="694"/>
      <c r="Y53" s="700"/>
      <c r="Z53" s="694"/>
      <c r="AA53" s="693" t="s">
        <v>284</v>
      </c>
      <c r="AM53" s="82"/>
      <c r="AN53" s="1250" t="s">
        <v>330</v>
      </c>
      <c r="AO53" s="1251"/>
      <c r="AP53" s="1246" t="s">
        <v>333</v>
      </c>
      <c r="AQ53" s="1247"/>
      <c r="AR53" s="1246" t="s">
        <v>334</v>
      </c>
      <c r="AS53" s="1247"/>
      <c r="AT53" s="1246" t="s">
        <v>335</v>
      </c>
      <c r="AU53" s="1247"/>
      <c r="AV53" s="1246" t="s">
        <v>336</v>
      </c>
      <c r="AW53" s="1247"/>
      <c r="AX53" s="1254" t="s">
        <v>337</v>
      </c>
      <c r="AY53" s="1255"/>
    </row>
    <row r="54" spans="1:51" s="4" customFormat="1" x14ac:dyDescent="0.25">
      <c r="A54" s="718" t="str">
        <f>Station</f>
        <v>Ayguesvives M.J.C.</v>
      </c>
      <c r="B54" s="1241" t="s">
        <v>308</v>
      </c>
      <c r="C54" s="1238" t="str">
        <f>"Hauteur fonction de la croissance vue du champ PV "&amp;ZonePV</f>
        <v>Hauteur fonction de la croissance vue du champ PV 3</v>
      </c>
      <c r="D54" s="1239"/>
      <c r="E54" s="1239"/>
      <c r="F54" s="1239"/>
      <c r="G54" s="1239"/>
      <c r="H54" s="1239"/>
      <c r="I54" s="1239"/>
      <c r="J54" s="1239"/>
      <c r="K54" s="1239"/>
      <c r="L54" s="1239"/>
      <c r="M54" s="1240"/>
      <c r="O54" s="933" t="str">
        <f>Station</f>
        <v>Ayguesvives M.J.C.</v>
      </c>
      <c r="P54" s="934">
        <f>Azi_pv_sel</f>
        <v>31</v>
      </c>
      <c r="Q54" s="1238" t="str">
        <f>"Elevation vue du champ PV zone: "&amp;ZonePV</f>
        <v>Elevation vue du champ PV zone: 3</v>
      </c>
      <c r="R54" s="1239"/>
      <c r="S54" s="1239"/>
      <c r="T54" s="1239"/>
      <c r="U54" s="1239"/>
      <c r="V54" s="1239"/>
      <c r="W54" s="1239"/>
      <c r="X54" s="1239"/>
      <c r="Y54" s="1239"/>
      <c r="Z54" s="1240"/>
      <c r="AA54" s="935">
        <f>Ram_pv</f>
        <v>0.33</v>
      </c>
      <c r="AB54" s="2"/>
      <c r="AC54" s="2"/>
      <c r="AD54" s="28"/>
      <c r="AG54" s="936"/>
      <c r="AH54" s="937" t="s">
        <v>285</v>
      </c>
      <c r="AJ54" s="1244" t="s">
        <v>315</v>
      </c>
      <c r="AK54" s="1069"/>
      <c r="AL54" s="1069"/>
      <c r="AM54" s="1069"/>
      <c r="AN54" s="1256" t="s">
        <v>309</v>
      </c>
      <c r="AO54" s="1257"/>
      <c r="AP54" s="1248" t="s">
        <v>309</v>
      </c>
      <c r="AQ54" s="1249"/>
      <c r="AR54" s="1248" t="s">
        <v>309</v>
      </c>
      <c r="AS54" s="1249"/>
      <c r="AT54" s="1248" t="s">
        <v>309</v>
      </c>
      <c r="AU54" s="1249"/>
      <c r="AV54" s="1248" t="s">
        <v>309</v>
      </c>
      <c r="AW54" s="1249"/>
      <c r="AX54" s="1252" t="s">
        <v>309</v>
      </c>
      <c r="AY54" s="1253"/>
    </row>
    <row r="55" spans="1:51" s="19" customFormat="1" ht="13.5" thickBot="1" x14ac:dyDescent="0.25">
      <c r="A55" s="719" t="s">
        <v>307</v>
      </c>
      <c r="B55" s="1241"/>
      <c r="C55" s="701">
        <f>+D$55-$C$53</f>
        <v>-5</v>
      </c>
      <c r="D55" s="701">
        <f>+E$55-$C$53</f>
        <v>-4</v>
      </c>
      <c r="E55" s="701">
        <f>+F$55-$C$53</f>
        <v>-3</v>
      </c>
      <c r="F55" s="701">
        <f>+G$55-$C$53</f>
        <v>-2</v>
      </c>
      <c r="G55" s="701">
        <f>+H$55-$C$53</f>
        <v>-1</v>
      </c>
      <c r="H55" s="702">
        <v>0</v>
      </c>
      <c r="I55" s="701">
        <f>$C$53+H$55</f>
        <v>1</v>
      </c>
      <c r="J55" s="701">
        <f>$C$53+I$55</f>
        <v>2</v>
      </c>
      <c r="K55" s="701">
        <f>$C$53+J$55</f>
        <v>3</v>
      </c>
      <c r="L55" s="701">
        <f>$C$53+K$55</f>
        <v>4</v>
      </c>
      <c r="M55" s="701">
        <f>$C$53+L$55</f>
        <v>5</v>
      </c>
      <c r="N55" s="683" t="s">
        <v>154</v>
      </c>
      <c r="O55" s="683" t="str">
        <f>"zone "&amp;ZonePV</f>
        <v>zone 3</v>
      </c>
      <c r="P55" s="703" t="s">
        <v>153</v>
      </c>
      <c r="Q55" s="701">
        <f t="shared" ref="Q55:AA55" si="8">C55</f>
        <v>-5</v>
      </c>
      <c r="R55" s="701">
        <f t="shared" si="8"/>
        <v>-4</v>
      </c>
      <c r="S55" s="701">
        <f t="shared" si="8"/>
        <v>-3</v>
      </c>
      <c r="T55" s="701">
        <f t="shared" si="8"/>
        <v>-2</v>
      </c>
      <c r="U55" s="701">
        <f t="shared" si="8"/>
        <v>-1</v>
      </c>
      <c r="V55" s="702">
        <f t="shared" si="8"/>
        <v>0</v>
      </c>
      <c r="W55" s="701">
        <f t="shared" si="8"/>
        <v>1</v>
      </c>
      <c r="X55" s="701">
        <f t="shared" si="8"/>
        <v>2</v>
      </c>
      <c r="Y55" s="701">
        <f t="shared" si="8"/>
        <v>3</v>
      </c>
      <c r="Z55" s="701">
        <f t="shared" si="8"/>
        <v>4</v>
      </c>
      <c r="AA55" s="701">
        <f t="shared" si="8"/>
        <v>5</v>
      </c>
      <c r="AB55" s="124" t="s">
        <v>292</v>
      </c>
      <c r="AC55" s="939" t="s">
        <v>287</v>
      </c>
      <c r="AD55" s="938" t="s">
        <v>286</v>
      </c>
      <c r="AE55" s="939" t="s">
        <v>288</v>
      </c>
      <c r="AF55" s="940" t="s">
        <v>289</v>
      </c>
      <c r="AG55" s="941" t="s">
        <v>290</v>
      </c>
      <c r="AH55" s="942" t="s">
        <v>291</v>
      </c>
      <c r="AJ55" s="1245"/>
      <c r="AK55" s="82" t="s">
        <v>311</v>
      </c>
      <c r="AL55" s="82" t="s">
        <v>313</v>
      </c>
      <c r="AM55" s="82" t="s">
        <v>314</v>
      </c>
      <c r="AN55" s="1093" t="s">
        <v>312</v>
      </c>
      <c r="AO55" s="1094" t="s">
        <v>310</v>
      </c>
      <c r="AP55" s="1095" t="s">
        <v>312</v>
      </c>
      <c r="AQ55" s="1096" t="s">
        <v>310</v>
      </c>
      <c r="AR55" s="1095" t="s">
        <v>312</v>
      </c>
      <c r="AS55" s="1096" t="s">
        <v>310</v>
      </c>
      <c r="AT55" s="1095" t="s">
        <v>312</v>
      </c>
      <c r="AU55" s="1096" t="s">
        <v>310</v>
      </c>
      <c r="AV55" s="1095" t="s">
        <v>312</v>
      </c>
      <c r="AW55" s="1096" t="s">
        <v>310</v>
      </c>
      <c r="AX55" s="1104" t="s">
        <v>312</v>
      </c>
      <c r="AY55" s="1105" t="s">
        <v>310</v>
      </c>
    </row>
    <row r="56" spans="1:51" s="28" customFormat="1" ht="12.75" x14ac:dyDescent="0.2">
      <c r="A56" s="1028" t="str">
        <f t="shared" ref="A56:A79" si="9">A20</f>
        <v>Arrière PV</v>
      </c>
      <c r="B56" s="1032">
        <v>1</v>
      </c>
      <c r="C56" s="1080">
        <f t="shared" ref="C56:M56" si="10">$L20+C$55*Rapous</f>
        <v>-5</v>
      </c>
      <c r="D56" s="1080">
        <f t="shared" si="10"/>
        <v>-4</v>
      </c>
      <c r="E56" s="1080">
        <f t="shared" si="10"/>
        <v>-3</v>
      </c>
      <c r="F56" s="1080">
        <f t="shared" si="10"/>
        <v>-2</v>
      </c>
      <c r="G56" s="1081">
        <f t="shared" si="10"/>
        <v>-1</v>
      </c>
      <c r="H56" s="1082">
        <f t="shared" si="10"/>
        <v>0</v>
      </c>
      <c r="I56" s="1083">
        <f t="shared" si="10"/>
        <v>1</v>
      </c>
      <c r="J56" s="1080">
        <f t="shared" si="10"/>
        <v>2</v>
      </c>
      <c r="K56" s="1080">
        <f t="shared" si="10"/>
        <v>3</v>
      </c>
      <c r="L56" s="1080">
        <f t="shared" si="10"/>
        <v>4</v>
      </c>
      <c r="M56" s="1081">
        <f t="shared" si="10"/>
        <v>5</v>
      </c>
      <c r="N56" s="698">
        <f t="shared" ref="N56:N79" si="11">$M20</f>
        <v>0</v>
      </c>
      <c r="O56" s="943" t="str">
        <f t="shared" ref="O56:O79" si="12">N20</f>
        <v>Arrière PV</v>
      </c>
      <c r="P56" s="688">
        <f t="shared" ref="P56:P79" si="13">$H20+Azi_decal</f>
        <v>-149</v>
      </c>
      <c r="Q56" s="1084">
        <f t="shared" ref="Q56:Q79" si="14">MAX(IF($N56=0,$I20,DEGREES(ATAN2($N56,C56-H_pv))),Elev_F+0)</f>
        <v>18.262889942194128</v>
      </c>
      <c r="R56" s="698">
        <f t="shared" ref="R56:R79" si="15">MAX(IF($N56=0,$I20,DEGREES(ATAN2($N56,D56-H_pv))),Elev_F+0)</f>
        <v>18.262889942194128</v>
      </c>
      <c r="S56" s="698">
        <f t="shared" ref="S56:S79" si="16">MAX(IF($N56=0,$I20,DEGREES(ATAN2($N56,E56-H_pv))),Elev_F+0)</f>
        <v>18.262889942194128</v>
      </c>
      <c r="T56" s="698">
        <f t="shared" ref="T56:T79" si="17">MAX(IF($N56=0,$I20,DEGREES(ATAN2($N56,F56-H_pv))),Elev_F+0)</f>
        <v>18.262889942194128</v>
      </c>
      <c r="U56" s="959">
        <f t="shared" ref="U56:U79" si="18">MAX(IF($N56=0,$I20,DEGREES(ATAN2($N56,G56-H_pv))),Elev_F+0)</f>
        <v>18.262889942194128</v>
      </c>
      <c r="V56" s="1085">
        <f t="shared" ref="V56:V79" si="19">MAX(IF($N56=0,$I20,DEGREES(ATAN2($N56,H56-H_pv))),Elev_F+0)</f>
        <v>18.262889942194128</v>
      </c>
      <c r="W56" s="695">
        <f t="shared" ref="W56:W79" si="20">MAX(IF($N56=0,$I20,DEGREES(ATAN2($N56,I56-H_pv))),Elev_F+0)</f>
        <v>18.262889942194128</v>
      </c>
      <c r="X56" s="698">
        <f t="shared" ref="X56:X79" si="21">MAX(IF($N56=0,$I20,DEGREES(ATAN2($N56,J56-H_pv))),Elev_F+0)</f>
        <v>18.262889942194128</v>
      </c>
      <c r="Y56" s="698">
        <f t="shared" ref="Y56:Y79" si="22">MAX(IF($N56=0,$I20,DEGREES(ATAN2($N56,K56-H_pv))),Elev_F+0)</f>
        <v>18.262889942194128</v>
      </c>
      <c r="Z56" s="698">
        <f t="shared" ref="Z56:Z79" si="23">MAX(IF($N56=0,$I20,DEGREES(ATAN2($N56,L56-H_pv))),Elev_F+0)</f>
        <v>18.262889942194128</v>
      </c>
      <c r="AA56" s="959">
        <f t="shared" ref="AA56:AA79" si="24">MAX(IF($N56=0,$I20,DEGREES(ATAN2($N56,M56-H_pv))),Elev_F+0)</f>
        <v>18.262889942194128</v>
      </c>
      <c r="AB56" s="1056">
        <f t="shared" ref="AB56:AB78" si="25">(AA56+AA57)/2</f>
        <v>13.500765146980275</v>
      </c>
      <c r="AC56" s="1057">
        <f>INDEX($AH$56:$AH$82,MATCH(AB56,$AG$56:$AG$82)+1)</f>
        <v>7.5010000000000003</v>
      </c>
      <c r="AD56" s="1058" t="b">
        <f t="shared" ref="AD56:AD79" si="26">G20&lt;AC56</f>
        <v>0</v>
      </c>
      <c r="AE56" s="1057">
        <f t="shared" ref="AE56:AE79" si="27">H21-H20</f>
        <v>30.731180158680019</v>
      </c>
      <c r="AF56" s="1059">
        <f>+IF(F15="D",AC55-AE55,IF(F20="G",AE56-AC56,0))</f>
        <v>0</v>
      </c>
      <c r="AG56" s="944">
        <v>-10</v>
      </c>
      <c r="AH56" s="945">
        <v>7.5</v>
      </c>
      <c r="AJ56" s="1070">
        <f>AM56+(INDEX($AO$56:$AO$79,$AK56+1)-AM56)/(INDEX($AN$56:$AN$79,AK56+1)-AL56)*($H20-AL56)</f>
        <v>18.262889942194128</v>
      </c>
      <c r="AK56" s="82">
        <f>MATCH($H20,$AN$56:$AN$79)</f>
        <v>1</v>
      </c>
      <c r="AL56" s="1071">
        <f>INDEX($AN$56:$AN$79,$AK56)</f>
        <v>-149</v>
      </c>
      <c r="AM56" s="1071">
        <f>INDEX($AO$56:$AO$79,$AK56)</f>
        <v>18.262889942194128</v>
      </c>
      <c r="AN56" s="1097">
        <f t="shared" ref="AN56:AN67" si="28">IF(AND(AX56=0,AX57=0),MAX(AN55,$H$43+1),AX56)</f>
        <v>-149</v>
      </c>
      <c r="AO56" s="1098">
        <f>IF(AND(AY56=0,AY57=0),$I$43,AY56)</f>
        <v>18.262889942194128</v>
      </c>
      <c r="AP56" s="1075">
        <v>-149</v>
      </c>
      <c r="AQ56" s="1076">
        <v>18.262889942194128</v>
      </c>
      <c r="AR56" s="1075">
        <v>-149</v>
      </c>
      <c r="AS56" s="1076">
        <v>18.262889942194128</v>
      </c>
      <c r="AT56" s="1075">
        <v>-149</v>
      </c>
      <c r="AU56" s="1076">
        <v>18.262889942194128</v>
      </c>
      <c r="AV56" s="1075">
        <f>$H$20</f>
        <v>-149</v>
      </c>
      <c r="AW56" s="1076">
        <f>AW57</f>
        <v>1</v>
      </c>
      <c r="AX56" s="39">
        <f t="shared" ref="AX56:AX79" si="29">CHOOSE(ZonePV,AP56,AR56,AT56,AV56)</f>
        <v>-149</v>
      </c>
      <c r="AY56" s="39">
        <f t="shared" ref="AY56:AY79" si="30">CHOOSE(ZonePV,AQ56,AS56,AU56,AW56)</f>
        <v>18.262889942194128</v>
      </c>
    </row>
    <row r="57" spans="1:51" s="28" customFormat="1" ht="12.75" x14ac:dyDescent="0.2">
      <c r="A57" s="1028" t="str">
        <f t="shared" si="9"/>
        <v>Arbre 0</v>
      </c>
      <c r="B57" s="1033">
        <v>1</v>
      </c>
      <c r="C57" s="1080">
        <f t="shared" ref="C57:M57" si="31">$L21+C$55*Rapous</f>
        <v>11.04811052913923</v>
      </c>
      <c r="D57" s="1080">
        <f t="shared" si="31"/>
        <v>12.04811052913923</v>
      </c>
      <c r="E57" s="1080">
        <f t="shared" si="31"/>
        <v>13.04811052913923</v>
      </c>
      <c r="F57" s="1080">
        <f t="shared" si="31"/>
        <v>14.04811052913923</v>
      </c>
      <c r="G57" s="1081">
        <f t="shared" si="31"/>
        <v>15.04811052913923</v>
      </c>
      <c r="H57" s="1082">
        <f t="shared" si="31"/>
        <v>16.04811052913923</v>
      </c>
      <c r="I57" s="1083">
        <f t="shared" si="31"/>
        <v>17.04811052913923</v>
      </c>
      <c r="J57" s="1080">
        <f t="shared" si="31"/>
        <v>18.04811052913923</v>
      </c>
      <c r="K57" s="1080">
        <f t="shared" si="31"/>
        <v>19.04811052913923</v>
      </c>
      <c r="L57" s="1080">
        <f t="shared" si="31"/>
        <v>20.04811052913923</v>
      </c>
      <c r="M57" s="1081">
        <f t="shared" si="31"/>
        <v>21.04811052913923</v>
      </c>
      <c r="N57" s="698">
        <f t="shared" si="11"/>
        <v>102.069079637545</v>
      </c>
      <c r="O57" s="943" t="str">
        <f t="shared" si="12"/>
        <v>Arbre 0</v>
      </c>
      <c r="P57" s="688">
        <f t="shared" si="13"/>
        <v>-118.26881984131998</v>
      </c>
      <c r="Q57" s="695">
        <f t="shared" si="14"/>
        <v>8.7386403517664206</v>
      </c>
      <c r="R57" s="698">
        <f t="shared" si="15"/>
        <v>8.7386403517664206</v>
      </c>
      <c r="S57" s="698">
        <f t="shared" si="16"/>
        <v>8.7386403517664206</v>
      </c>
      <c r="T57" s="698">
        <f t="shared" si="17"/>
        <v>8.7386403517664206</v>
      </c>
      <c r="U57" s="959">
        <f t="shared" si="18"/>
        <v>8.7386403517664206</v>
      </c>
      <c r="V57" s="1085">
        <f t="shared" si="19"/>
        <v>8.7386403517664206</v>
      </c>
      <c r="W57" s="695">
        <f t="shared" si="20"/>
        <v>8.7386403517664206</v>
      </c>
      <c r="X57" s="698">
        <f t="shared" si="21"/>
        <v>8.7386403517664206</v>
      </c>
      <c r="Y57" s="698">
        <f t="shared" si="22"/>
        <v>8.7386403517664206</v>
      </c>
      <c r="Z57" s="698">
        <f t="shared" si="23"/>
        <v>8.7386403517664206</v>
      </c>
      <c r="AA57" s="959">
        <f t="shared" si="24"/>
        <v>8.7386403517664206</v>
      </c>
      <c r="AB57" s="1060">
        <f t="shared" si="25"/>
        <v>10.076692826986436</v>
      </c>
      <c r="AC57" s="1061">
        <f t="shared" ref="AC57:AC79" si="32">INDEX($AH$56:$AH$82,MATCH(AB57,$AG$56:$AG$82)+1)</f>
        <v>7.5010000000000003</v>
      </c>
      <c r="AD57" s="39" t="b">
        <f t="shared" si="26"/>
        <v>0</v>
      </c>
      <c r="AE57" s="1061">
        <f t="shared" si="27"/>
        <v>24.981289278401135</v>
      </c>
      <c r="AF57" s="1062">
        <f t="shared" ref="AF57:AF79" si="33">+IF(F20="D",AC56-AE56,IF(F21="G",AE57-AC57,0))</f>
        <v>0</v>
      </c>
      <c r="AG57" s="944">
        <v>22.98</v>
      </c>
      <c r="AH57" s="945">
        <v>7.5010000000000003</v>
      </c>
      <c r="AJ57" s="1070">
        <f t="shared" ref="AJ57:AJ79" si="34">AM57+(INDEX($AO$56:$AO$79,$AK57+1)-AM57)/(INDEX($AN$56:$AN$79,AK57+1)-AL57)*($H21-AL57)</f>
        <v>8.7386403517664206</v>
      </c>
      <c r="AK57" s="82">
        <f t="shared" ref="AK57:AK79" si="35">MATCH($H21,$AN$56:$AN$79)</f>
        <v>1</v>
      </c>
      <c r="AL57" s="1071">
        <f t="shared" ref="AL57:AL79" si="36">INDEX($AN$56:$AN$79,$AK57)</f>
        <v>-149</v>
      </c>
      <c r="AM57" s="1071">
        <f t="shared" ref="AM57:AM79" si="37">INDEX($AO$56:$AO$79,$AK57)</f>
        <v>18.262889942194128</v>
      </c>
      <c r="AN57" s="1097">
        <f t="shared" si="28"/>
        <v>-95.671123368049408</v>
      </c>
      <c r="AO57" s="1098">
        <f t="shared" ref="AO57:AO79" si="38">IF(AND(AY57=0,AY58=0),$I$43,AY57)</f>
        <v>1.7351312034408441</v>
      </c>
      <c r="AP57" s="1075">
        <v>-116.10832075705575</v>
      </c>
      <c r="AQ57" s="1076">
        <v>2.4066443739379522</v>
      </c>
      <c r="AR57" s="1075">
        <v>-104.21422747720668</v>
      </c>
      <c r="AS57" s="1076">
        <v>2.0480714055633715</v>
      </c>
      <c r="AT57" s="1075">
        <v>-95.671123368049408</v>
      </c>
      <c r="AU57" s="1076">
        <v>1.7351312034408441</v>
      </c>
      <c r="AV57" s="1075">
        <f>$H$43</f>
        <v>211</v>
      </c>
      <c r="AW57" s="1076">
        <v>1</v>
      </c>
      <c r="AX57" s="39">
        <f t="shared" si="29"/>
        <v>-95.671123368049408</v>
      </c>
      <c r="AY57" s="39">
        <f t="shared" si="30"/>
        <v>1.7351312034408441</v>
      </c>
    </row>
    <row r="58" spans="1:51" s="19" customFormat="1" ht="12.75" x14ac:dyDescent="0.2">
      <c r="A58" s="1028" t="str">
        <f t="shared" si="9"/>
        <v>Arbre 1</v>
      </c>
      <c r="B58" s="1033">
        <v>1</v>
      </c>
      <c r="C58" s="1080">
        <f t="shared" ref="C58:M58" si="39">$L22+C$55*Rapous</f>
        <v>10.062922675669753</v>
      </c>
      <c r="D58" s="1080">
        <f t="shared" si="39"/>
        <v>11.062922675669753</v>
      </c>
      <c r="E58" s="1080">
        <f t="shared" si="39"/>
        <v>12.062922675669753</v>
      </c>
      <c r="F58" s="1080">
        <f t="shared" si="39"/>
        <v>13.062922675669753</v>
      </c>
      <c r="G58" s="1081">
        <f t="shared" si="39"/>
        <v>14.062922675669753</v>
      </c>
      <c r="H58" s="1082">
        <f t="shared" si="39"/>
        <v>15.062922675669753</v>
      </c>
      <c r="I58" s="1083">
        <f t="shared" si="39"/>
        <v>16.062922675669753</v>
      </c>
      <c r="J58" s="1080">
        <f t="shared" si="39"/>
        <v>17.062922675669753</v>
      </c>
      <c r="K58" s="1080">
        <f t="shared" si="39"/>
        <v>18.062922675669753</v>
      </c>
      <c r="L58" s="1080">
        <f t="shared" si="39"/>
        <v>19.062922675669753</v>
      </c>
      <c r="M58" s="1081">
        <f t="shared" si="39"/>
        <v>20.062922675669753</v>
      </c>
      <c r="N58" s="698">
        <f t="shared" si="11"/>
        <v>71.683801875938869</v>
      </c>
      <c r="O58" s="943" t="str">
        <f t="shared" si="12"/>
        <v>Arbre 1</v>
      </c>
      <c r="P58" s="688">
        <f t="shared" si="13"/>
        <v>-93.287530562918846</v>
      </c>
      <c r="Q58" s="695">
        <f t="shared" si="14"/>
        <v>3.5707224298381393</v>
      </c>
      <c r="R58" s="698">
        <f t="shared" si="15"/>
        <v>4.36616608849247</v>
      </c>
      <c r="S58" s="698">
        <f t="shared" si="16"/>
        <v>5.159927080396681</v>
      </c>
      <c r="T58" s="698">
        <f t="shared" si="17"/>
        <v>5.9517071327857822</v>
      </c>
      <c r="U58" s="959">
        <f t="shared" si="18"/>
        <v>6.7412124839181695</v>
      </c>
      <c r="V58" s="1085">
        <f t="shared" si="19"/>
        <v>7.5281545102070151</v>
      </c>
      <c r="W58" s="695">
        <f t="shared" si="20"/>
        <v>8.3122503247913198</v>
      </c>
      <c r="X58" s="698">
        <f t="shared" si="21"/>
        <v>9.0932233446522392</v>
      </c>
      <c r="Y58" s="698">
        <f t="shared" si="22"/>
        <v>9.8708038236952174</v>
      </c>
      <c r="Z58" s="698">
        <f t="shared" si="23"/>
        <v>10.64472934955233</v>
      </c>
      <c r="AA58" s="959">
        <f t="shared" si="24"/>
        <v>11.414745302206452</v>
      </c>
      <c r="AB58" s="1060">
        <f t="shared" si="25"/>
        <v>14.381750030537592</v>
      </c>
      <c r="AC58" s="1061">
        <f t="shared" si="32"/>
        <v>7.5010000000000003</v>
      </c>
      <c r="AD58" s="39" t="b">
        <f t="shared" si="26"/>
        <v>0</v>
      </c>
      <c r="AE58" s="1061">
        <f t="shared" si="27"/>
        <v>11.739668896970414</v>
      </c>
      <c r="AF58" s="1062">
        <f t="shared" si="33"/>
        <v>0</v>
      </c>
      <c r="AG58" s="944">
        <v>23.38</v>
      </c>
      <c r="AH58" s="945">
        <v>7.5199999999999818</v>
      </c>
      <c r="AJ58" s="1070">
        <f t="shared" si="34"/>
        <v>1.8693881963247221</v>
      </c>
      <c r="AK58" s="82">
        <f t="shared" si="35"/>
        <v>2</v>
      </c>
      <c r="AL58" s="1071">
        <f t="shared" si="36"/>
        <v>-95.671123368049408</v>
      </c>
      <c r="AM58" s="1071">
        <f t="shared" si="37"/>
        <v>1.7351312034408441</v>
      </c>
      <c r="AN58" s="1097">
        <f t="shared" si="28"/>
        <v>-76.652518579610643</v>
      </c>
      <c r="AO58" s="1098">
        <f t="shared" si="38"/>
        <v>2.8063631194991112</v>
      </c>
      <c r="AP58" s="1075">
        <v>-89.537168586960632</v>
      </c>
      <c r="AQ58" s="1076">
        <v>4.5710483064702707</v>
      </c>
      <c r="AR58" s="1075">
        <v>-81.543644942025125</v>
      </c>
      <c r="AS58" s="1076">
        <v>3.4986749626842277</v>
      </c>
      <c r="AT58" s="1075">
        <v>-76.652518579610643</v>
      </c>
      <c r="AU58" s="1076">
        <v>2.8063631194991112</v>
      </c>
      <c r="AV58" s="1075"/>
      <c r="AW58" s="1076"/>
      <c r="AX58" s="39">
        <f t="shared" si="29"/>
        <v>-76.652518579610643</v>
      </c>
      <c r="AY58" s="39">
        <f t="shared" si="30"/>
        <v>2.8063631194991112</v>
      </c>
    </row>
    <row r="59" spans="1:51" s="19" customFormat="1" ht="12.75" x14ac:dyDescent="0.2">
      <c r="A59" s="1028" t="str">
        <f t="shared" si="9"/>
        <v>Arbre 2</v>
      </c>
      <c r="B59" s="1033">
        <v>1</v>
      </c>
      <c r="C59" s="1080">
        <f t="shared" ref="C59:M59" si="40">$L23+C$55*Rapous</f>
        <v>12.633723339918312</v>
      </c>
      <c r="D59" s="1080">
        <f t="shared" si="40"/>
        <v>13.633723339918312</v>
      </c>
      <c r="E59" s="1080">
        <f t="shared" si="40"/>
        <v>14.633723339918312</v>
      </c>
      <c r="F59" s="1080">
        <f t="shared" si="40"/>
        <v>15.633723339918312</v>
      </c>
      <c r="G59" s="1081">
        <f t="shared" si="40"/>
        <v>16.633723339918312</v>
      </c>
      <c r="H59" s="1082">
        <f t="shared" si="40"/>
        <v>17.633723339918312</v>
      </c>
      <c r="I59" s="1083">
        <f t="shared" si="40"/>
        <v>18.633723339918312</v>
      </c>
      <c r="J59" s="1080">
        <f t="shared" si="40"/>
        <v>19.633723339918312</v>
      </c>
      <c r="K59" s="1080">
        <f t="shared" si="40"/>
        <v>20.633723339918312</v>
      </c>
      <c r="L59" s="1080">
        <f t="shared" si="40"/>
        <v>21.633723339918312</v>
      </c>
      <c r="M59" s="1081">
        <f t="shared" si="40"/>
        <v>22.633723339918312</v>
      </c>
      <c r="N59" s="698">
        <f t="shared" si="11"/>
        <v>54.558392584357932</v>
      </c>
      <c r="O59" s="943" t="str">
        <f t="shared" si="12"/>
        <v>Arbre 2</v>
      </c>
      <c r="P59" s="688">
        <f t="shared" si="13"/>
        <v>-81.547861665948432</v>
      </c>
      <c r="Q59" s="695">
        <f t="shared" si="14"/>
        <v>7.3567148165347467</v>
      </c>
      <c r="R59" s="698">
        <f t="shared" si="15"/>
        <v>8.3871599499978</v>
      </c>
      <c r="S59" s="698">
        <f t="shared" si="16"/>
        <v>9.4121697821024224</v>
      </c>
      <c r="T59" s="698">
        <f t="shared" si="17"/>
        <v>10.431136679475404</v>
      </c>
      <c r="U59" s="959">
        <f t="shared" si="18"/>
        <v>11.443475424226667</v>
      </c>
      <c r="V59" s="1085">
        <f t="shared" si="19"/>
        <v>12.448624921472284</v>
      </c>
      <c r="W59" s="695">
        <f t="shared" si="20"/>
        <v>13.446049698253038</v>
      </c>
      <c r="X59" s="698">
        <f t="shared" si="21"/>
        <v>14.435241187971304</v>
      </c>
      <c r="Y59" s="698">
        <f t="shared" si="22"/>
        <v>15.415718797578382</v>
      </c>
      <c r="Z59" s="698">
        <f t="shared" si="23"/>
        <v>16.387030757723661</v>
      </c>
      <c r="AA59" s="959">
        <f t="shared" si="24"/>
        <v>17.348754758868733</v>
      </c>
      <c r="AB59" s="1060">
        <f t="shared" si="25"/>
        <v>12.798486732446118</v>
      </c>
      <c r="AC59" s="1061">
        <f t="shared" si="32"/>
        <v>7.5010000000000003</v>
      </c>
      <c r="AD59" s="39" t="b">
        <f t="shared" si="26"/>
        <v>0</v>
      </c>
      <c r="AE59" s="1061">
        <f t="shared" si="27"/>
        <v>6.788584431002775</v>
      </c>
      <c r="AF59" s="1062">
        <f t="shared" si="33"/>
        <v>0</v>
      </c>
      <c r="AG59" s="944">
        <v>24.23</v>
      </c>
      <c r="AH59" s="945">
        <v>7.6000000000000227</v>
      </c>
      <c r="AJ59" s="1070">
        <f t="shared" si="34"/>
        <v>2.5306306032354562</v>
      </c>
      <c r="AK59" s="82">
        <f t="shared" si="35"/>
        <v>2</v>
      </c>
      <c r="AL59" s="1071">
        <f t="shared" si="36"/>
        <v>-95.671123368049408</v>
      </c>
      <c r="AM59" s="1071">
        <f t="shared" si="37"/>
        <v>1.7351312034408441</v>
      </c>
      <c r="AN59" s="1097">
        <f t="shared" si="28"/>
        <v>-59.032766866664041</v>
      </c>
      <c r="AO59" s="1098">
        <f t="shared" si="38"/>
        <v>3.2912079332549764</v>
      </c>
      <c r="AP59" s="1075">
        <v>-59.872013217297898</v>
      </c>
      <c r="AQ59" s="1076">
        <v>5.6794882441726706</v>
      </c>
      <c r="AR59" s="1075">
        <v>-59.340246089157617</v>
      </c>
      <c r="AS59" s="1076">
        <v>4.1680950643776544</v>
      </c>
      <c r="AT59" s="1075">
        <v>-59.032766866664041</v>
      </c>
      <c r="AU59" s="1076">
        <v>3.2912079332549764</v>
      </c>
      <c r="AV59" s="1075"/>
      <c r="AW59" s="1076"/>
      <c r="AX59" s="39">
        <f t="shared" si="29"/>
        <v>-59.032766866664041</v>
      </c>
      <c r="AY59" s="39">
        <f t="shared" si="30"/>
        <v>3.2912079332549764</v>
      </c>
    </row>
    <row r="60" spans="1:51" s="19" customFormat="1" ht="12.75" x14ac:dyDescent="0.2">
      <c r="A60" s="1028" t="str">
        <f t="shared" si="9"/>
        <v>Arbre 4</v>
      </c>
      <c r="B60" s="1033">
        <v>1</v>
      </c>
      <c r="C60" s="1080">
        <f t="shared" ref="C60:M60" si="41">$L24+C$55*Rapous</f>
        <v>17.685714187119935</v>
      </c>
      <c r="D60" s="1080">
        <f t="shared" si="41"/>
        <v>18.685714187119935</v>
      </c>
      <c r="E60" s="1080">
        <f t="shared" si="41"/>
        <v>19.685714187119935</v>
      </c>
      <c r="F60" s="1080">
        <f t="shared" si="41"/>
        <v>20.685714187119935</v>
      </c>
      <c r="G60" s="1081">
        <f t="shared" si="41"/>
        <v>21.685714187119935</v>
      </c>
      <c r="H60" s="1082">
        <f t="shared" si="41"/>
        <v>22.685714187119935</v>
      </c>
      <c r="I60" s="1083">
        <f t="shared" si="41"/>
        <v>23.685714187119935</v>
      </c>
      <c r="J60" s="1080">
        <f t="shared" si="41"/>
        <v>24.685714187119935</v>
      </c>
      <c r="K60" s="1080">
        <f t="shared" si="41"/>
        <v>25.685714187119935</v>
      </c>
      <c r="L60" s="1080">
        <f t="shared" si="41"/>
        <v>26.685714187119935</v>
      </c>
      <c r="M60" s="1081">
        <f t="shared" si="41"/>
        <v>27.685714187119935</v>
      </c>
      <c r="N60" s="698">
        <f t="shared" si="11"/>
        <v>152.42669533709906</v>
      </c>
      <c r="O60" s="943" t="str">
        <f t="shared" si="12"/>
        <v>Arbre 4</v>
      </c>
      <c r="P60" s="688">
        <f t="shared" si="13"/>
        <v>-74.046861665948427</v>
      </c>
      <c r="Q60" s="695">
        <f t="shared" si="14"/>
        <v>4.5372584315783229</v>
      </c>
      <c r="R60" s="698">
        <f t="shared" si="15"/>
        <v>4.910598394697109</v>
      </c>
      <c r="S60" s="698">
        <f t="shared" si="16"/>
        <v>5.2835208148375132</v>
      </c>
      <c r="T60" s="698">
        <f t="shared" si="17"/>
        <v>5.655994851094194</v>
      </c>
      <c r="U60" s="959">
        <f t="shared" si="18"/>
        <v>6.0279898882509597</v>
      </c>
      <c r="V60" s="1085">
        <f t="shared" si="19"/>
        <v>6.3994755512864687</v>
      </c>
      <c r="W60" s="695">
        <f t="shared" si="20"/>
        <v>6.7704217195828988</v>
      </c>
      <c r="X60" s="698">
        <f t="shared" si="21"/>
        <v>7.140798540821832</v>
      </c>
      <c r="Y60" s="698">
        <f t="shared" si="22"/>
        <v>7.5105764445523944</v>
      </c>
      <c r="Z60" s="698">
        <f t="shared" si="23"/>
        <v>7.8797261554173312</v>
      </c>
      <c r="AA60" s="959">
        <f t="shared" si="24"/>
        <v>8.2482187060235059</v>
      </c>
      <c r="AB60" s="1060">
        <f t="shared" si="25"/>
        <v>9.9381468344665933</v>
      </c>
      <c r="AC60" s="1061">
        <f t="shared" si="32"/>
        <v>7.5010000000000003</v>
      </c>
      <c r="AD60" s="39" t="b">
        <f t="shared" si="26"/>
        <v>0</v>
      </c>
      <c r="AE60" s="1061">
        <f t="shared" si="27"/>
        <v>19.9009113800793</v>
      </c>
      <c r="AF60" s="1062">
        <f t="shared" si="33"/>
        <v>0.71241556899722536</v>
      </c>
      <c r="AG60" s="944">
        <v>25.31</v>
      </c>
      <c r="AH60" s="945">
        <v>7.7300000000000182</v>
      </c>
      <c r="AJ60" s="1070">
        <f t="shared" si="34"/>
        <v>2.8584596678559491</v>
      </c>
      <c r="AK60" s="82">
        <f t="shared" si="35"/>
        <v>3</v>
      </c>
      <c r="AL60" s="1071">
        <f t="shared" si="36"/>
        <v>-76.652518579610643</v>
      </c>
      <c r="AM60" s="1071">
        <f t="shared" si="37"/>
        <v>2.8063631194991112</v>
      </c>
      <c r="AN60" s="1097">
        <f t="shared" si="28"/>
        <v>-42.316279646581073</v>
      </c>
      <c r="AO60" s="1098">
        <f t="shared" si="38"/>
        <v>-2.406612247694035</v>
      </c>
      <c r="AP60" s="1075">
        <v>-26.878372691601697</v>
      </c>
      <c r="AQ60" s="1076">
        <v>-4.6121962546159709</v>
      </c>
      <c r="AR60" s="1075">
        <v>-37.041731141408142</v>
      </c>
      <c r="AS60" s="1076">
        <v>-3.1891825372542746</v>
      </c>
      <c r="AT60" s="1075">
        <v>-42.316279646581073</v>
      </c>
      <c r="AU60" s="1076">
        <v>-2.406612247694035</v>
      </c>
      <c r="AV60" s="1075"/>
      <c r="AW60" s="1076"/>
      <c r="AX60" s="39">
        <f t="shared" si="29"/>
        <v>-42.316279646581073</v>
      </c>
      <c r="AY60" s="39">
        <f t="shared" si="30"/>
        <v>-2.406612247694035</v>
      </c>
    </row>
    <row r="61" spans="1:51" s="19" customFormat="1" ht="12.75" x14ac:dyDescent="0.2">
      <c r="A61" s="1028" t="str">
        <f t="shared" si="9"/>
        <v>Arbre 6</v>
      </c>
      <c r="B61" s="1033">
        <v>1</v>
      </c>
      <c r="C61" s="1080">
        <f t="shared" ref="C61:M61" si="42">$L25+C$55*Rapous</f>
        <v>20.386160860021128</v>
      </c>
      <c r="D61" s="1080">
        <f t="shared" si="42"/>
        <v>21.386160860021128</v>
      </c>
      <c r="E61" s="1080">
        <f t="shared" si="42"/>
        <v>22.386160860021128</v>
      </c>
      <c r="F61" s="1080">
        <f t="shared" si="42"/>
        <v>23.386160860021128</v>
      </c>
      <c r="G61" s="1081">
        <f t="shared" si="42"/>
        <v>24.386160860021128</v>
      </c>
      <c r="H61" s="1082">
        <f t="shared" si="42"/>
        <v>25.386160860021128</v>
      </c>
      <c r="I61" s="1083">
        <f t="shared" si="42"/>
        <v>26.386160860021128</v>
      </c>
      <c r="J61" s="1080">
        <f t="shared" si="42"/>
        <v>27.386160860021128</v>
      </c>
      <c r="K61" s="1080">
        <f t="shared" si="42"/>
        <v>28.386160860021128</v>
      </c>
      <c r="L61" s="1080">
        <f t="shared" si="42"/>
        <v>29.386160860021128</v>
      </c>
      <c r="M61" s="1081">
        <f t="shared" si="42"/>
        <v>30.386160860021128</v>
      </c>
      <c r="N61" s="698">
        <f t="shared" si="11"/>
        <v>120.49898112178748</v>
      </c>
      <c r="O61" s="943" t="str">
        <f t="shared" si="12"/>
        <v>Arbre 6</v>
      </c>
      <c r="P61" s="688">
        <f t="shared" si="13"/>
        <v>-59.503978544598461</v>
      </c>
      <c r="Q61" s="695">
        <f t="shared" si="14"/>
        <v>7.0004743855215734</v>
      </c>
      <c r="R61" s="698">
        <f t="shared" si="15"/>
        <v>7.4684189081930183</v>
      </c>
      <c r="S61" s="698">
        <f t="shared" si="16"/>
        <v>7.9353635850784139</v>
      </c>
      <c r="T61" s="698">
        <f t="shared" si="17"/>
        <v>8.4012497967401547</v>
      </c>
      <c r="U61" s="959">
        <f t="shared" si="18"/>
        <v>8.8660197489157646</v>
      </c>
      <c r="V61" s="1085">
        <f t="shared" si="19"/>
        <v>9.3296165114188003</v>
      </c>
      <c r="W61" s="695">
        <f t="shared" si="20"/>
        <v>9.791984055418844</v>
      </c>
      <c r="X61" s="698">
        <f t="shared" si="21"/>
        <v>10.253067289049739</v>
      </c>
      <c r="Y61" s="698">
        <f t="shared" si="22"/>
        <v>10.712812091300634</v>
      </c>
      <c r="Z61" s="698">
        <f t="shared" si="23"/>
        <v>11.17116534415017</v>
      </c>
      <c r="AA61" s="959">
        <f t="shared" si="24"/>
        <v>11.628074962909679</v>
      </c>
      <c r="AB61" s="1060">
        <f t="shared" si="25"/>
        <v>12.741535339259709</v>
      </c>
      <c r="AC61" s="1061">
        <f t="shared" si="32"/>
        <v>7.5010000000000003</v>
      </c>
      <c r="AD61" s="39" t="b">
        <f t="shared" si="26"/>
        <v>0</v>
      </c>
      <c r="AE61" s="1061">
        <f t="shared" si="27"/>
        <v>2.8553873102678935</v>
      </c>
      <c r="AF61" s="1062">
        <f t="shared" si="33"/>
        <v>-4.6456126897321068</v>
      </c>
      <c r="AG61" s="944">
        <v>26.83</v>
      </c>
      <c r="AH61" s="945">
        <v>7.9000000000000057</v>
      </c>
      <c r="AJ61" s="1070">
        <f t="shared" si="34"/>
        <v>1.8683619719444058</v>
      </c>
      <c r="AK61" s="82">
        <f t="shared" si="35"/>
        <v>4</v>
      </c>
      <c r="AL61" s="1071">
        <f t="shared" si="36"/>
        <v>-59.032766866664041</v>
      </c>
      <c r="AM61" s="1071">
        <f t="shared" si="37"/>
        <v>3.2912079332549764</v>
      </c>
      <c r="AN61" s="1097">
        <f t="shared" si="28"/>
        <v>-39.735955056098319</v>
      </c>
      <c r="AO61" s="1098">
        <f t="shared" si="38"/>
        <v>0.67423406723011081</v>
      </c>
      <c r="AP61" s="1075">
        <v>-19.405145692105069</v>
      </c>
      <c r="AQ61" s="1076">
        <v>5.7430911474369788</v>
      </c>
      <c r="AR61" s="1075">
        <v>-36.796807858905808</v>
      </c>
      <c r="AS61" s="1076">
        <v>0.77881623798798216</v>
      </c>
      <c r="AT61" s="1075">
        <v>-39.735955056098319</v>
      </c>
      <c r="AU61" s="1076">
        <v>0.67423406723011081</v>
      </c>
      <c r="AV61" s="1075"/>
      <c r="AW61" s="1076"/>
      <c r="AX61" s="39">
        <f t="shared" si="29"/>
        <v>-39.735955056098319</v>
      </c>
      <c r="AY61" s="39">
        <f t="shared" si="30"/>
        <v>0.67423406723011081</v>
      </c>
    </row>
    <row r="62" spans="1:51" s="19" customFormat="1" ht="12.75" x14ac:dyDescent="0.2">
      <c r="A62" s="1028" t="str">
        <f t="shared" si="9"/>
        <v>Arbre 5</v>
      </c>
      <c r="B62" s="1033">
        <v>1</v>
      </c>
      <c r="C62" s="1080">
        <f t="shared" ref="C62:M62" si="43">$L26+C$55*Rapous</f>
        <v>8.3016741634138285</v>
      </c>
      <c r="D62" s="1080">
        <f t="shared" si="43"/>
        <v>9.3016741634138285</v>
      </c>
      <c r="E62" s="1080">
        <f t="shared" si="43"/>
        <v>10.301674163413828</v>
      </c>
      <c r="F62" s="1080">
        <f t="shared" si="43"/>
        <v>11.301674163413828</v>
      </c>
      <c r="G62" s="1081">
        <f t="shared" si="43"/>
        <v>12.301674163413828</v>
      </c>
      <c r="H62" s="1082">
        <f t="shared" si="43"/>
        <v>13.301674163413828</v>
      </c>
      <c r="I62" s="1083">
        <f t="shared" si="43"/>
        <v>14.301674163413828</v>
      </c>
      <c r="J62" s="1080">
        <f t="shared" si="43"/>
        <v>15.301674163413828</v>
      </c>
      <c r="K62" s="1080">
        <f t="shared" si="43"/>
        <v>16.301674163413828</v>
      </c>
      <c r="L62" s="1080">
        <f t="shared" si="43"/>
        <v>17.301674163413828</v>
      </c>
      <c r="M62" s="1081">
        <f t="shared" si="43"/>
        <v>18.301674163413828</v>
      </c>
      <c r="N62" s="698">
        <f t="shared" si="11"/>
        <v>51.54013906386183</v>
      </c>
      <c r="O62" s="943" t="str">
        <f t="shared" si="12"/>
        <v>Arbre 5</v>
      </c>
      <c r="P62" s="688">
        <f t="shared" si="13"/>
        <v>-52.002978544598463</v>
      </c>
      <c r="Q62" s="695">
        <f t="shared" si="14"/>
        <v>3.012013273459905</v>
      </c>
      <c r="R62" s="698">
        <f t="shared" si="15"/>
        <v>4.1193514934517932</v>
      </c>
      <c r="S62" s="698">
        <f t="shared" si="16"/>
        <v>5.2236160078467071</v>
      </c>
      <c r="T62" s="698">
        <f t="shared" si="17"/>
        <v>6.3240032468117446</v>
      </c>
      <c r="U62" s="959">
        <f t="shared" si="18"/>
        <v>7.419726697947195</v>
      </c>
      <c r="V62" s="1085">
        <f t="shared" si="19"/>
        <v>8.5100201276338456</v>
      </c>
      <c r="W62" s="695">
        <f t="shared" si="20"/>
        <v>9.5941405860110933</v>
      </c>
      <c r="X62" s="698">
        <f t="shared" si="21"/>
        <v>10.671371168592326</v>
      </c>
      <c r="Y62" s="698">
        <f t="shared" si="22"/>
        <v>11.741023512143105</v>
      </c>
      <c r="Z62" s="698">
        <f t="shared" si="23"/>
        <v>12.802440007325412</v>
      </c>
      <c r="AA62" s="959">
        <f t="shared" si="24"/>
        <v>13.854995715609737</v>
      </c>
      <c r="AB62" s="1060">
        <f t="shared" si="25"/>
        <v>9.6919450874088646</v>
      </c>
      <c r="AC62" s="1061">
        <f t="shared" si="32"/>
        <v>7.5010000000000003</v>
      </c>
      <c r="AD62" s="39" t="b">
        <f t="shared" si="26"/>
        <v>0</v>
      </c>
      <c r="AE62" s="1061">
        <f t="shared" si="27"/>
        <v>12.229015301152607</v>
      </c>
      <c r="AF62" s="1062">
        <f t="shared" si="33"/>
        <v>0</v>
      </c>
      <c r="AG62" s="944">
        <v>28.54</v>
      </c>
      <c r="AH62" s="945">
        <v>8.1200000000000045</v>
      </c>
      <c r="AJ62" s="1070">
        <f t="shared" si="34"/>
        <v>0.89510226572310225</v>
      </c>
      <c r="AK62" s="82">
        <f t="shared" si="35"/>
        <v>4</v>
      </c>
      <c r="AL62" s="1071">
        <f t="shared" si="36"/>
        <v>-59.032766866664041</v>
      </c>
      <c r="AM62" s="1071">
        <f t="shared" si="37"/>
        <v>3.2912079332549764</v>
      </c>
      <c r="AN62" s="1097">
        <f t="shared" si="28"/>
        <v>-29.951926894536374</v>
      </c>
      <c r="AO62" s="1098">
        <f t="shared" si="38"/>
        <v>4.3297278679466773</v>
      </c>
      <c r="AP62" s="1075">
        <v>9.1000412602659519</v>
      </c>
      <c r="AQ62" s="1076">
        <v>8.0578079656177284</v>
      </c>
      <c r="AR62" s="1075">
        <v>-25.424284653382582</v>
      </c>
      <c r="AS62" s="1076">
        <v>4.9579618929355211</v>
      </c>
      <c r="AT62" s="1075">
        <v>-29.951926894536374</v>
      </c>
      <c r="AU62" s="1076">
        <v>4.3297278679466773</v>
      </c>
      <c r="AV62" s="1075"/>
      <c r="AW62" s="1076"/>
      <c r="AX62" s="39">
        <f t="shared" si="29"/>
        <v>-29.951926894536374</v>
      </c>
      <c r="AY62" s="39">
        <f t="shared" si="30"/>
        <v>4.3297278679466773</v>
      </c>
    </row>
    <row r="63" spans="1:51" s="19" customFormat="1" ht="12.75" x14ac:dyDescent="0.2">
      <c r="A63" s="1028" t="str">
        <f t="shared" si="9"/>
        <v>Creux 1</v>
      </c>
      <c r="B63" s="1033">
        <v>1</v>
      </c>
      <c r="C63" s="1080">
        <f t="shared" ref="C63:M63" si="44">$L27+C$55*Rapous</f>
        <v>6.8415501624688666</v>
      </c>
      <c r="D63" s="1080">
        <f t="shared" si="44"/>
        <v>7.8415501624688666</v>
      </c>
      <c r="E63" s="1080">
        <f t="shared" si="44"/>
        <v>8.8415501624688666</v>
      </c>
      <c r="F63" s="1080">
        <f t="shared" si="44"/>
        <v>9.8415501624688666</v>
      </c>
      <c r="G63" s="1081">
        <f t="shared" si="44"/>
        <v>10.841550162468867</v>
      </c>
      <c r="H63" s="1082">
        <f t="shared" si="44"/>
        <v>11.841550162468867</v>
      </c>
      <c r="I63" s="1083">
        <f t="shared" si="44"/>
        <v>12.841550162468867</v>
      </c>
      <c r="J63" s="1080">
        <f t="shared" si="44"/>
        <v>13.841550162468867</v>
      </c>
      <c r="K63" s="1080">
        <f t="shared" si="44"/>
        <v>14.841550162468867</v>
      </c>
      <c r="L63" s="1080">
        <f t="shared" si="44"/>
        <v>15.841550162468867</v>
      </c>
      <c r="M63" s="1081">
        <f t="shared" si="44"/>
        <v>16.841550162468867</v>
      </c>
      <c r="N63" s="698">
        <f t="shared" si="11"/>
        <v>116.24011299054877</v>
      </c>
      <c r="O63" s="943" t="str">
        <f t="shared" si="12"/>
        <v>Creux 1</v>
      </c>
      <c r="P63" s="688">
        <f t="shared" si="13"/>
        <v>-39.773963243445856</v>
      </c>
      <c r="Q63" s="695">
        <f t="shared" si="14"/>
        <v>0.62885319369253168</v>
      </c>
      <c r="R63" s="698">
        <f t="shared" si="15"/>
        <v>1.1098014558686151</v>
      </c>
      <c r="S63" s="698">
        <f t="shared" si="16"/>
        <v>1.6024311786423358</v>
      </c>
      <c r="T63" s="698">
        <f t="shared" si="17"/>
        <v>2.0948240374306644</v>
      </c>
      <c r="U63" s="959">
        <f t="shared" si="18"/>
        <v>2.5869075351100363</v>
      </c>
      <c r="V63" s="1085">
        <f t="shared" si="19"/>
        <v>3.0786094481243071</v>
      </c>
      <c r="W63" s="695">
        <f t="shared" si="20"/>
        <v>3.5698578896413595</v>
      </c>
      <c r="X63" s="698">
        <f t="shared" si="21"/>
        <v>4.0605813719691692</v>
      </c>
      <c r="Y63" s="698">
        <f t="shared" si="22"/>
        <v>4.5507088680973009</v>
      </c>
      <c r="Z63" s="698">
        <f t="shared" si="23"/>
        <v>5.0401698722333563</v>
      </c>
      <c r="AA63" s="959">
        <f t="shared" si="24"/>
        <v>5.5288944592079927</v>
      </c>
      <c r="AB63" s="1060">
        <f t="shared" si="25"/>
        <v>7.3831842135728571</v>
      </c>
      <c r="AC63" s="1061">
        <f t="shared" si="32"/>
        <v>7.5010000000000003</v>
      </c>
      <c r="AD63" s="39" t="b">
        <f t="shared" si="26"/>
        <v>0</v>
      </c>
      <c r="AE63" s="1061">
        <f t="shared" si="27"/>
        <v>11.573811652479041</v>
      </c>
      <c r="AF63" s="1062">
        <f t="shared" si="33"/>
        <v>0</v>
      </c>
      <c r="AG63" s="944">
        <v>30.6</v>
      </c>
      <c r="AH63" s="945">
        <v>8.3700000000000045</v>
      </c>
      <c r="AJ63" s="1070">
        <f t="shared" si="34"/>
        <v>0.62885319369253168</v>
      </c>
      <c r="AK63" s="82">
        <f t="shared" si="35"/>
        <v>5</v>
      </c>
      <c r="AL63" s="1071">
        <f t="shared" si="36"/>
        <v>-42.316279646581073</v>
      </c>
      <c r="AM63" s="1071">
        <f t="shared" si="37"/>
        <v>-2.406612247694035</v>
      </c>
      <c r="AN63" s="1097">
        <f t="shared" si="28"/>
        <v>-13.616249159275643</v>
      </c>
      <c r="AO63" s="1098">
        <f t="shared" si="38"/>
        <v>6.1279455044377071</v>
      </c>
      <c r="AP63" s="1075">
        <v>51.041534881286118</v>
      </c>
      <c r="AQ63" s="1076">
        <v>9.7691254254259494</v>
      </c>
      <c r="AR63" s="1075">
        <v>-3.8392675833248053</v>
      </c>
      <c r="AS63" s="1076">
        <v>7.0972479794777525</v>
      </c>
      <c r="AT63" s="1075">
        <v>-13.616249159275643</v>
      </c>
      <c r="AU63" s="1076">
        <v>6.1279455044377071</v>
      </c>
      <c r="AV63" s="1075"/>
      <c r="AW63" s="1076"/>
      <c r="AX63" s="39">
        <f t="shared" si="29"/>
        <v>-13.616249159275643</v>
      </c>
      <c r="AY63" s="39">
        <f t="shared" si="30"/>
        <v>6.1279455044377071</v>
      </c>
    </row>
    <row r="64" spans="1:51" s="19" customFormat="1" ht="12.75" x14ac:dyDescent="0.2">
      <c r="A64" s="1028" t="str">
        <f t="shared" si="9"/>
        <v>Arbre 7</v>
      </c>
      <c r="B64" s="1033">
        <v>1</v>
      </c>
      <c r="C64" s="1080">
        <f t="shared" ref="C64:M64" si="45">$L28+C$55*Rapous</f>
        <v>10.635165140069555</v>
      </c>
      <c r="D64" s="1080">
        <f t="shared" si="45"/>
        <v>11.635165140069555</v>
      </c>
      <c r="E64" s="1080">
        <f t="shared" si="45"/>
        <v>12.635165140069555</v>
      </c>
      <c r="F64" s="1080">
        <f t="shared" si="45"/>
        <v>13.635165140069555</v>
      </c>
      <c r="G64" s="1081">
        <f t="shared" si="45"/>
        <v>14.635165140069555</v>
      </c>
      <c r="H64" s="1082">
        <f t="shared" si="45"/>
        <v>15.635165140069555</v>
      </c>
      <c r="I64" s="1083">
        <f t="shared" si="45"/>
        <v>16.635165140069553</v>
      </c>
      <c r="J64" s="1080">
        <f t="shared" si="45"/>
        <v>17.635165140069553</v>
      </c>
      <c r="K64" s="1080">
        <f t="shared" si="45"/>
        <v>18.635165140069553</v>
      </c>
      <c r="L64" s="1080">
        <f t="shared" si="45"/>
        <v>19.635165140069553</v>
      </c>
      <c r="M64" s="1081">
        <f t="shared" si="45"/>
        <v>20.635165140069553</v>
      </c>
      <c r="N64" s="698">
        <f t="shared" si="11"/>
        <v>92.509886506194093</v>
      </c>
      <c r="O64" s="943" t="str">
        <f t="shared" si="12"/>
        <v>Arbre 7</v>
      </c>
      <c r="P64" s="688">
        <f t="shared" si="13"/>
        <v>-28.200151590966815</v>
      </c>
      <c r="Q64" s="695">
        <f t="shared" si="14"/>
        <v>4.5225618168711677</v>
      </c>
      <c r="R64" s="698">
        <f t="shared" si="15"/>
        <v>4.5225618168711677</v>
      </c>
      <c r="S64" s="698">
        <f t="shared" si="16"/>
        <v>4.5225618168711677</v>
      </c>
      <c r="T64" s="698">
        <f t="shared" si="17"/>
        <v>4.970412922042371</v>
      </c>
      <c r="U64" s="959">
        <f t="shared" si="18"/>
        <v>5.5845147708565372</v>
      </c>
      <c r="V64" s="1085">
        <f t="shared" si="19"/>
        <v>6.1973322104074784</v>
      </c>
      <c r="W64" s="695">
        <f t="shared" si="20"/>
        <v>6.8087295270504757</v>
      </c>
      <c r="X64" s="698">
        <f t="shared" si="21"/>
        <v>7.418572928487527</v>
      </c>
      <c r="Y64" s="698">
        <f t="shared" si="22"/>
        <v>8.0267307093698896</v>
      </c>
      <c r="Z64" s="698">
        <f t="shared" si="23"/>
        <v>8.6330734100342159</v>
      </c>
      <c r="AA64" s="959">
        <f t="shared" si="24"/>
        <v>9.2374739679377225</v>
      </c>
      <c r="AB64" s="1060">
        <f t="shared" si="25"/>
        <v>12.985058888335036</v>
      </c>
      <c r="AC64" s="1061">
        <f t="shared" si="32"/>
        <v>7.5010000000000003</v>
      </c>
      <c r="AD64" s="39" t="b">
        <f t="shared" si="26"/>
        <v>0</v>
      </c>
      <c r="AE64" s="1061">
        <f t="shared" si="27"/>
        <v>46.997868231551521</v>
      </c>
      <c r="AF64" s="1062">
        <f t="shared" si="33"/>
        <v>0</v>
      </c>
      <c r="AG64" s="944">
        <v>32.76</v>
      </c>
      <c r="AH64" s="945">
        <v>8.660000000000025</v>
      </c>
      <c r="AJ64" s="1070">
        <f t="shared" si="34"/>
        <v>4.5225618168711677</v>
      </c>
      <c r="AK64" s="82">
        <f t="shared" si="35"/>
        <v>7</v>
      </c>
      <c r="AL64" s="1071">
        <f t="shared" si="36"/>
        <v>-29.951926894536374</v>
      </c>
      <c r="AM64" s="1071">
        <f t="shared" si="37"/>
        <v>4.3297278679466773</v>
      </c>
      <c r="AN64" s="1097">
        <f t="shared" si="28"/>
        <v>14.167084213456304</v>
      </c>
      <c r="AO64" s="1098">
        <f t="shared" si="38"/>
        <v>9.8235561326386271</v>
      </c>
      <c r="AP64" s="1075">
        <v>68.69936173055541</v>
      </c>
      <c r="AQ64" s="1076">
        <v>6.7637182168405303</v>
      </c>
      <c r="AR64" s="1075">
        <v>32.658423098207884</v>
      </c>
      <c r="AS64" s="1076">
        <v>10.315206512742574</v>
      </c>
      <c r="AT64" s="1075">
        <v>14.167084213456304</v>
      </c>
      <c r="AU64" s="1076">
        <v>9.8235561326386271</v>
      </c>
      <c r="AV64" s="1075"/>
      <c r="AW64" s="1076"/>
      <c r="AX64" s="39">
        <f t="shared" si="29"/>
        <v>14.167084213456304</v>
      </c>
      <c r="AY64" s="39">
        <f t="shared" si="30"/>
        <v>9.8235561326386271</v>
      </c>
    </row>
    <row r="65" spans="1:51" s="19" customFormat="1" ht="12.75" x14ac:dyDescent="0.2">
      <c r="A65" s="1028" t="str">
        <f t="shared" si="9"/>
        <v>Arbre 8</v>
      </c>
      <c r="B65" s="1033">
        <v>1</v>
      </c>
      <c r="C65" s="1080">
        <f t="shared" ref="C65:M65" si="46">$L29+C$55*Rapous</f>
        <v>26.12105745336677</v>
      </c>
      <c r="D65" s="1080">
        <f t="shared" si="46"/>
        <v>27.12105745336677</v>
      </c>
      <c r="E65" s="1080">
        <f t="shared" si="46"/>
        <v>28.12105745336677</v>
      </c>
      <c r="F65" s="1080">
        <f t="shared" si="46"/>
        <v>29.12105745336677</v>
      </c>
      <c r="G65" s="1081">
        <f t="shared" si="46"/>
        <v>30.12105745336677</v>
      </c>
      <c r="H65" s="1082">
        <f t="shared" si="46"/>
        <v>31.12105745336677</v>
      </c>
      <c r="I65" s="1083">
        <f t="shared" si="46"/>
        <v>32.121057453366774</v>
      </c>
      <c r="J65" s="1080">
        <f t="shared" si="46"/>
        <v>33.121057453366774</v>
      </c>
      <c r="K65" s="1080">
        <f t="shared" si="46"/>
        <v>34.121057453366774</v>
      </c>
      <c r="L65" s="1080">
        <f t="shared" si="46"/>
        <v>35.121057453366774</v>
      </c>
      <c r="M65" s="1081">
        <f t="shared" si="46"/>
        <v>36.121057453366774</v>
      </c>
      <c r="N65" s="698">
        <f t="shared" si="11"/>
        <v>101.55594739545734</v>
      </c>
      <c r="O65" s="943" t="str">
        <f t="shared" si="12"/>
        <v>Arbre 8</v>
      </c>
      <c r="P65" s="688">
        <f t="shared" si="13"/>
        <v>18.797716640584706</v>
      </c>
      <c r="Q65" s="695">
        <f t="shared" si="14"/>
        <v>11.429301065951801</v>
      </c>
      <c r="R65" s="698">
        <f t="shared" si="15"/>
        <v>11.970276240575672</v>
      </c>
      <c r="S65" s="698">
        <f t="shared" si="16"/>
        <v>12.509094270219299</v>
      </c>
      <c r="T65" s="698">
        <f t="shared" si="17"/>
        <v>13.045673311762014</v>
      </c>
      <c r="U65" s="959">
        <f t="shared" si="18"/>
        <v>13.579933771313311</v>
      </c>
      <c r="V65" s="1085">
        <f t="shared" si="19"/>
        <v>14.111798353635075</v>
      </c>
      <c r="W65" s="695">
        <f t="shared" si="20"/>
        <v>14.641192106323428</v>
      </c>
      <c r="X65" s="698">
        <f t="shared" si="21"/>
        <v>15.168042458767063</v>
      </c>
      <c r="Y65" s="698">
        <f t="shared" si="22"/>
        <v>15.692279255918018</v>
      </c>
      <c r="Z65" s="698">
        <f t="shared" si="23"/>
        <v>16.2138347869295</v>
      </c>
      <c r="AA65" s="959">
        <f t="shared" si="24"/>
        <v>16.732643808732352</v>
      </c>
      <c r="AB65" s="1060">
        <f t="shared" si="25"/>
        <v>13.938247863047112</v>
      </c>
      <c r="AC65" s="1061">
        <f t="shared" si="32"/>
        <v>7.5010000000000003</v>
      </c>
      <c r="AD65" s="39" t="b">
        <f t="shared" si="26"/>
        <v>0</v>
      </c>
      <c r="AE65" s="1061">
        <f t="shared" si="27"/>
        <v>9.3798965014262663</v>
      </c>
      <c r="AF65" s="1062">
        <f t="shared" si="33"/>
        <v>0</v>
      </c>
      <c r="AG65" s="944">
        <v>35.270000000000003</v>
      </c>
      <c r="AH65" s="945">
        <v>9</v>
      </c>
      <c r="AJ65" s="1070">
        <f t="shared" si="34"/>
        <v>9.556448040092107</v>
      </c>
      <c r="AK65" s="82">
        <f t="shared" si="35"/>
        <v>9</v>
      </c>
      <c r="AL65" s="1071">
        <f t="shared" si="36"/>
        <v>14.167084213456304</v>
      </c>
      <c r="AM65" s="1071">
        <f t="shared" si="37"/>
        <v>9.8235561326386271</v>
      </c>
      <c r="AN65" s="1097">
        <f t="shared" si="28"/>
        <v>40.269144441431024</v>
      </c>
      <c r="AO65" s="1098">
        <f t="shared" si="38"/>
        <v>8.3179148128519209</v>
      </c>
      <c r="AP65" s="1075">
        <v>94.153780559240531</v>
      </c>
      <c r="AQ65" s="1076">
        <v>0.80469039018251232</v>
      </c>
      <c r="AR65" s="1075">
        <v>55.996843898998989</v>
      </c>
      <c r="AS65" s="1076">
        <v>7.6914314522314458</v>
      </c>
      <c r="AT65" s="1075">
        <v>40.269144441431024</v>
      </c>
      <c r="AU65" s="1076">
        <v>8.3179148128519209</v>
      </c>
      <c r="AV65" s="1075"/>
      <c r="AW65" s="1076"/>
      <c r="AX65" s="39">
        <f t="shared" si="29"/>
        <v>40.269144441431024</v>
      </c>
      <c r="AY65" s="39">
        <f t="shared" si="30"/>
        <v>8.3179148128519209</v>
      </c>
    </row>
    <row r="66" spans="1:51" s="19" customFormat="1" ht="12.75" x14ac:dyDescent="0.2">
      <c r="A66" s="1028" t="str">
        <f t="shared" si="9"/>
        <v>Arbre 9</v>
      </c>
      <c r="B66" s="1033">
        <v>1</v>
      </c>
      <c r="C66" s="1080">
        <f t="shared" ref="C66:M66" si="47">$L30+C$55*Rapous</f>
        <v>21.351301282555049</v>
      </c>
      <c r="D66" s="1080">
        <f t="shared" si="47"/>
        <v>22.351301282555049</v>
      </c>
      <c r="E66" s="1080">
        <f t="shared" si="47"/>
        <v>23.351301282555049</v>
      </c>
      <c r="F66" s="1080">
        <f t="shared" si="47"/>
        <v>24.351301282555049</v>
      </c>
      <c r="G66" s="1081">
        <f t="shared" si="47"/>
        <v>25.351301282555049</v>
      </c>
      <c r="H66" s="1082">
        <f t="shared" si="47"/>
        <v>26.351301282555049</v>
      </c>
      <c r="I66" s="1083">
        <f t="shared" si="47"/>
        <v>27.351301282555049</v>
      </c>
      <c r="J66" s="1080">
        <f t="shared" si="47"/>
        <v>28.351301282555049</v>
      </c>
      <c r="K66" s="1080">
        <f t="shared" si="47"/>
        <v>29.351301282555049</v>
      </c>
      <c r="L66" s="1080">
        <f t="shared" si="47"/>
        <v>30.351301282555049</v>
      </c>
      <c r="M66" s="1081">
        <f t="shared" si="47"/>
        <v>31.351301282555049</v>
      </c>
      <c r="N66" s="698">
        <f t="shared" si="11"/>
        <v>130.77791620933385</v>
      </c>
      <c r="O66" s="943" t="str">
        <f t="shared" si="12"/>
        <v>Arbre 9</v>
      </c>
      <c r="P66" s="688">
        <f t="shared" si="13"/>
        <v>28.177613142010973</v>
      </c>
      <c r="Q66" s="695">
        <f t="shared" si="14"/>
        <v>9.0153888430585258</v>
      </c>
      <c r="R66" s="698">
        <f t="shared" si="15"/>
        <v>9.0153888430585258</v>
      </c>
      <c r="S66" s="698">
        <f t="shared" si="16"/>
        <v>9.0153888430585258</v>
      </c>
      <c r="T66" s="698">
        <f t="shared" si="17"/>
        <v>9.0153888430585258</v>
      </c>
      <c r="U66" s="959">
        <f t="shared" si="18"/>
        <v>9.0153888430585258</v>
      </c>
      <c r="V66" s="1085">
        <f t="shared" si="19"/>
        <v>9.0206763649251336</v>
      </c>
      <c r="W66" s="695">
        <f t="shared" si="20"/>
        <v>9.4475078036353768</v>
      </c>
      <c r="X66" s="698">
        <f t="shared" si="21"/>
        <v>9.8732836589655246</v>
      </c>
      <c r="Y66" s="698">
        <f t="shared" si="22"/>
        <v>10.297960996083347</v>
      </c>
      <c r="Z66" s="698">
        <f t="shared" si="23"/>
        <v>10.721497584122352</v>
      </c>
      <c r="AA66" s="959">
        <f t="shared" si="24"/>
        <v>11.143851917361872</v>
      </c>
      <c r="AB66" s="1060">
        <f t="shared" si="25"/>
        <v>10.975678358908294</v>
      </c>
      <c r="AC66" s="1061">
        <f t="shared" si="32"/>
        <v>7.5010000000000003</v>
      </c>
      <c r="AD66" s="39" t="b">
        <f t="shared" si="26"/>
        <v>0</v>
      </c>
      <c r="AE66" s="1061">
        <f t="shared" si="27"/>
        <v>14.874530548157534</v>
      </c>
      <c r="AF66" s="1062">
        <f t="shared" si="33"/>
        <v>0</v>
      </c>
      <c r="AG66" s="944">
        <v>37.65</v>
      </c>
      <c r="AH66" s="945">
        <v>9.3500000000000227</v>
      </c>
      <c r="AJ66" s="1070">
        <f t="shared" si="34"/>
        <v>9.0153888430585258</v>
      </c>
      <c r="AK66" s="82">
        <f t="shared" si="35"/>
        <v>9</v>
      </c>
      <c r="AL66" s="1071">
        <f t="shared" si="36"/>
        <v>14.167084213456304</v>
      </c>
      <c r="AM66" s="1071">
        <f t="shared" si="37"/>
        <v>9.8235561326386271</v>
      </c>
      <c r="AN66" s="1097">
        <f t="shared" si="28"/>
        <v>74.752642849253277</v>
      </c>
      <c r="AO66" s="1098">
        <f t="shared" si="38"/>
        <v>1.2623678424876605</v>
      </c>
      <c r="AP66" s="1075">
        <v>100.92787091053526</v>
      </c>
      <c r="AQ66" s="1076">
        <v>4.2153859439092853</v>
      </c>
      <c r="AR66" s="1075">
        <v>86.621234761914337</v>
      </c>
      <c r="AS66" s="1076">
        <v>0.99640638567603701</v>
      </c>
      <c r="AT66" s="1075">
        <v>74.752642849253277</v>
      </c>
      <c r="AU66" s="1076">
        <v>1.2623678424876605</v>
      </c>
      <c r="AV66" s="1075"/>
      <c r="AW66" s="1076"/>
      <c r="AX66" s="39">
        <f t="shared" si="29"/>
        <v>74.752642849253277</v>
      </c>
      <c r="AY66" s="39">
        <f t="shared" si="30"/>
        <v>1.2623678424876605</v>
      </c>
    </row>
    <row r="67" spans="1:51" s="19" customFormat="1" ht="12.75" x14ac:dyDescent="0.2">
      <c r="A67" s="1028" t="str">
        <f t="shared" si="9"/>
        <v>Arbre 10</v>
      </c>
      <c r="B67" s="1033">
        <v>1</v>
      </c>
      <c r="C67" s="1080">
        <f t="shared" ref="C67:M67" si="48">$L31+C$55*Rapous</f>
        <v>21.264094122896324</v>
      </c>
      <c r="D67" s="1080">
        <f t="shared" si="48"/>
        <v>22.264094122896324</v>
      </c>
      <c r="E67" s="1080">
        <f t="shared" si="48"/>
        <v>23.264094122896324</v>
      </c>
      <c r="F67" s="1080">
        <f t="shared" si="48"/>
        <v>24.264094122896324</v>
      </c>
      <c r="G67" s="1081">
        <f t="shared" si="48"/>
        <v>25.264094122896324</v>
      </c>
      <c r="H67" s="1082">
        <f t="shared" si="48"/>
        <v>26.264094122896324</v>
      </c>
      <c r="I67" s="1083">
        <f t="shared" si="48"/>
        <v>27.264094122896324</v>
      </c>
      <c r="J67" s="1080">
        <f t="shared" si="48"/>
        <v>28.264094122896324</v>
      </c>
      <c r="K67" s="1080">
        <f t="shared" si="48"/>
        <v>29.264094122896324</v>
      </c>
      <c r="L67" s="1080">
        <f t="shared" si="48"/>
        <v>30.264094122896324</v>
      </c>
      <c r="M67" s="1081">
        <f t="shared" si="48"/>
        <v>31.264094122896324</v>
      </c>
      <c r="N67" s="698">
        <f t="shared" si="11"/>
        <v>134.49399912780041</v>
      </c>
      <c r="O67" s="943" t="str">
        <f t="shared" si="12"/>
        <v>Arbre 10</v>
      </c>
      <c r="P67" s="688">
        <f t="shared" si="13"/>
        <v>40.907333672612253</v>
      </c>
      <c r="Q67" s="695">
        <f t="shared" si="14"/>
        <v>7.7484951534619793</v>
      </c>
      <c r="R67" s="698">
        <f t="shared" si="15"/>
        <v>7.7484951534619793</v>
      </c>
      <c r="S67" s="698">
        <f t="shared" si="16"/>
        <v>7.7484951534619793</v>
      </c>
      <c r="T67" s="698">
        <f t="shared" si="17"/>
        <v>7.9049218109722688</v>
      </c>
      <c r="U67" s="959">
        <f t="shared" si="18"/>
        <v>8.3224437346718396</v>
      </c>
      <c r="V67" s="1085">
        <f t="shared" si="19"/>
        <v>8.739077416849435</v>
      </c>
      <c r="W67" s="695">
        <f t="shared" si="20"/>
        <v>9.1547817735237746</v>
      </c>
      <c r="X67" s="698">
        <f t="shared" si="21"/>
        <v>9.5695162950763688</v>
      </c>
      <c r="Y67" s="698">
        <f t="shared" si="22"/>
        <v>9.9832410671263769</v>
      </c>
      <c r="Z67" s="698">
        <f t="shared" si="23"/>
        <v>10.395916790525702</v>
      </c>
      <c r="AA67" s="959">
        <f t="shared" si="24"/>
        <v>10.807504800454717</v>
      </c>
      <c r="AB67" s="1060">
        <f t="shared" si="25"/>
        <v>11.006328193016355</v>
      </c>
      <c r="AC67" s="1061">
        <f t="shared" si="32"/>
        <v>7.5010000000000003</v>
      </c>
      <c r="AD67" s="39" t="b">
        <f t="shared" si="26"/>
        <v>0</v>
      </c>
      <c r="AE67" s="1061">
        <f t="shared" ref="AE67:AE74" si="49">H32-H31</f>
        <v>5.3561899824437447</v>
      </c>
      <c r="AF67" s="1062">
        <f t="shared" si="33"/>
        <v>-2.1448100175562557</v>
      </c>
      <c r="AG67" s="944">
        <v>40.520000000000003</v>
      </c>
      <c r="AH67" s="945">
        <v>9.789999999999992</v>
      </c>
      <c r="AJ67" s="1070">
        <f t="shared" si="34"/>
        <v>7.7484951534619793</v>
      </c>
      <c r="AK67" s="82">
        <f t="shared" si="35"/>
        <v>10</v>
      </c>
      <c r="AL67" s="1071">
        <f t="shared" si="36"/>
        <v>40.269144441431024</v>
      </c>
      <c r="AM67" s="1071">
        <f t="shared" si="37"/>
        <v>8.3179148128519209</v>
      </c>
      <c r="AN67" s="1097">
        <f t="shared" si="28"/>
        <v>86.974776556260707</v>
      </c>
      <c r="AO67" s="1098">
        <f t="shared" si="38"/>
        <v>1.3286791690194342</v>
      </c>
      <c r="AP67" s="1075">
        <v>106.55801609186355</v>
      </c>
      <c r="AQ67" s="1076">
        <v>1.1350785918528059</v>
      </c>
      <c r="AR67" s="1075">
        <v>91.283060413207366</v>
      </c>
      <c r="AS67" s="1076">
        <v>1.183171821964967</v>
      </c>
      <c r="AT67" s="1075">
        <v>86.974776556260707</v>
      </c>
      <c r="AU67" s="1076">
        <v>1.3286791690194342</v>
      </c>
      <c r="AV67" s="1075"/>
      <c r="AW67" s="1076"/>
      <c r="AX67" s="39">
        <f t="shared" si="29"/>
        <v>86.974776556260707</v>
      </c>
      <c r="AY67" s="39">
        <f t="shared" si="30"/>
        <v>1.3286791690194342</v>
      </c>
    </row>
    <row r="68" spans="1:51" s="19" customFormat="1" ht="12.75" x14ac:dyDescent="0.2">
      <c r="A68" s="1028" t="str">
        <f>A32</f>
        <v>Arbre 11</v>
      </c>
      <c r="B68" s="1033">
        <v>1</v>
      </c>
      <c r="C68" s="1080">
        <f t="shared" ref="C68:M68" si="50">$L32+C$55*Rapous</f>
        <v>21.495635221103953</v>
      </c>
      <c r="D68" s="1080">
        <f t="shared" si="50"/>
        <v>22.495635221103953</v>
      </c>
      <c r="E68" s="1080">
        <f t="shared" si="50"/>
        <v>23.495635221103953</v>
      </c>
      <c r="F68" s="1080">
        <f t="shared" si="50"/>
        <v>24.495635221103953</v>
      </c>
      <c r="G68" s="1081">
        <f t="shared" si="50"/>
        <v>25.495635221103953</v>
      </c>
      <c r="H68" s="1082">
        <f t="shared" si="50"/>
        <v>26.495635221103953</v>
      </c>
      <c r="I68" s="1083">
        <f t="shared" si="50"/>
        <v>27.495635221103953</v>
      </c>
      <c r="J68" s="1080">
        <f t="shared" si="50"/>
        <v>28.495635221103953</v>
      </c>
      <c r="K68" s="1080">
        <f t="shared" si="50"/>
        <v>29.495635221103953</v>
      </c>
      <c r="L68" s="1080">
        <f t="shared" si="50"/>
        <v>30.495635221103953</v>
      </c>
      <c r="M68" s="1081">
        <f t="shared" si="50"/>
        <v>31.495635221103953</v>
      </c>
      <c r="N68" s="698">
        <f t="shared" si="11"/>
        <v>130.77265170792495</v>
      </c>
      <c r="O68" s="943" t="str">
        <f t="shared" si="12"/>
        <v>Arbre 11</v>
      </c>
      <c r="P68" s="688">
        <f t="shared" ref="P68:P74" si="51">$H32+Azi_decal</f>
        <v>48.408333672612251</v>
      </c>
      <c r="Q68" s="695">
        <f t="shared" si="14"/>
        <v>6.9348322871289101</v>
      </c>
      <c r="R68" s="698">
        <f t="shared" si="15"/>
        <v>7.3661743265498982</v>
      </c>
      <c r="S68" s="698">
        <f t="shared" si="16"/>
        <v>7.7966784129979265</v>
      </c>
      <c r="T68" s="698">
        <f t="shared" si="17"/>
        <v>8.226298523696741</v>
      </c>
      <c r="U68" s="959">
        <f t="shared" si="18"/>
        <v>8.6549892221994487</v>
      </c>
      <c r="V68" s="1085">
        <f t="shared" si="19"/>
        <v>9.0827056845837504</v>
      </c>
      <c r="W68" s="695">
        <f t="shared" si="20"/>
        <v>9.509403724667564</v>
      </c>
      <c r="X68" s="698">
        <f t="shared" si="21"/>
        <v>9.9350398182149977</v>
      </c>
      <c r="Y68" s="698">
        <f t="shared" si="22"/>
        <v>10.359571126105559</v>
      </c>
      <c r="Z68" s="698">
        <f t="shared" si="23"/>
        <v>10.782955516442353</v>
      </c>
      <c r="AA68" s="959">
        <f t="shared" si="24"/>
        <v>11.205151585577992</v>
      </c>
      <c r="AB68" s="1060">
        <f t="shared" si="25"/>
        <v>9.2948434040450287</v>
      </c>
      <c r="AC68" s="1061">
        <f t="shared" si="32"/>
        <v>7.5010000000000003</v>
      </c>
      <c r="AD68" s="39" t="b">
        <f t="shared" si="26"/>
        <v>0</v>
      </c>
      <c r="AE68" s="1061">
        <f t="shared" si="49"/>
        <v>4.8541070888392923</v>
      </c>
      <c r="AF68" s="1062">
        <f t="shared" si="33"/>
        <v>0</v>
      </c>
      <c r="AG68" s="944">
        <v>42.91</v>
      </c>
      <c r="AH68" s="945">
        <v>10.22999999999999</v>
      </c>
      <c r="AJ68" s="1070">
        <f t="shared" ref="AJ68:AJ74" si="52">AM68+(INDEX($AO$56:$AO$79,$AK68+1)-AM68)/(INDEX($AN$56:$AN$79,AK68+1)-AL68)*($H32-AL68)</f>
        <v>6.6525840148533195</v>
      </c>
      <c r="AK68" s="82">
        <f t="shared" ref="AK68:AK74" si="53">MATCH($H32,$AN$56:$AN$79)</f>
        <v>10</v>
      </c>
      <c r="AL68" s="1071">
        <f t="shared" si="36"/>
        <v>40.269144441431024</v>
      </c>
      <c r="AM68" s="1071">
        <f t="shared" si="37"/>
        <v>8.3179148128519209</v>
      </c>
      <c r="AN68" s="1097">
        <f>IF(AND(AX68=0,AX69=0),MAX(AN67,$H$43+1),AX68)</f>
        <v>94.385695889118736</v>
      </c>
      <c r="AO68" s="1098">
        <f t="shared" si="38"/>
        <v>5.4204208703917116</v>
      </c>
      <c r="AP68" s="1075">
        <v>121</v>
      </c>
      <c r="AQ68" s="1076">
        <v>0</v>
      </c>
      <c r="AR68" s="1075">
        <v>98.068203578920574</v>
      </c>
      <c r="AS68" s="1076">
        <v>4.7503084008511216</v>
      </c>
      <c r="AT68" s="1075">
        <v>94.385695889118736</v>
      </c>
      <c r="AU68" s="1076">
        <v>5.4204208703917116</v>
      </c>
      <c r="AV68" s="1075"/>
      <c r="AW68" s="1076"/>
      <c r="AX68" s="39">
        <f t="shared" si="29"/>
        <v>94.385695889118736</v>
      </c>
      <c r="AY68" s="39">
        <f t="shared" si="30"/>
        <v>5.4204208703917116</v>
      </c>
    </row>
    <row r="69" spans="1:51" s="19" customFormat="1" ht="12.75" x14ac:dyDescent="0.2">
      <c r="A69" s="1028" t="str">
        <f>A33</f>
        <v>Creux 11</v>
      </c>
      <c r="B69" s="1033">
        <v>1</v>
      </c>
      <c r="C69" s="1080">
        <f t="shared" ref="C69:M69" si="54">$L33+C$55*Rapous</f>
        <v>26.292065633376499</v>
      </c>
      <c r="D69" s="1080">
        <f t="shared" si="54"/>
        <v>27.292065633376499</v>
      </c>
      <c r="E69" s="1080">
        <f t="shared" si="54"/>
        <v>28.292065633376499</v>
      </c>
      <c r="F69" s="1080">
        <f t="shared" si="54"/>
        <v>29.292065633376499</v>
      </c>
      <c r="G69" s="1081">
        <f t="shared" si="54"/>
        <v>30.292065633376499</v>
      </c>
      <c r="H69" s="1082">
        <f t="shared" si="54"/>
        <v>31.292065633376499</v>
      </c>
      <c r="I69" s="1083">
        <f t="shared" si="54"/>
        <v>32.292065633376495</v>
      </c>
      <c r="J69" s="1080">
        <f t="shared" si="54"/>
        <v>33.292065633376495</v>
      </c>
      <c r="K69" s="1080">
        <f t="shared" si="54"/>
        <v>34.292065633376495</v>
      </c>
      <c r="L69" s="1080">
        <f t="shared" si="54"/>
        <v>35.292065633376495</v>
      </c>
      <c r="M69" s="1081">
        <f t="shared" si="54"/>
        <v>36.292065633376495</v>
      </c>
      <c r="N69" s="698">
        <f t="shared" si="11"/>
        <v>236.89546524023822</v>
      </c>
      <c r="O69" s="943" t="str">
        <f t="shared" si="12"/>
        <v>Creux 11</v>
      </c>
      <c r="P69" s="688">
        <f t="shared" si="51"/>
        <v>55.909333672612249</v>
      </c>
      <c r="Q69" s="695">
        <f t="shared" si="14"/>
        <v>5.6594022860321269</v>
      </c>
      <c r="R69" s="698">
        <f t="shared" si="15"/>
        <v>5.6594022860321269</v>
      </c>
      <c r="S69" s="698">
        <f t="shared" si="16"/>
        <v>5.6594022860321269</v>
      </c>
      <c r="T69" s="698">
        <f t="shared" si="17"/>
        <v>5.7136548086502774</v>
      </c>
      <c r="U69" s="959">
        <f t="shared" si="18"/>
        <v>5.9530171209703653</v>
      </c>
      <c r="V69" s="1085">
        <f t="shared" si="19"/>
        <v>6.1921710708788238</v>
      </c>
      <c r="W69" s="695">
        <f t="shared" si="20"/>
        <v>6.4311086081755855</v>
      </c>
      <c r="X69" s="698">
        <f t="shared" si="21"/>
        <v>6.6698217273303388</v>
      </c>
      <c r="Y69" s="698">
        <f t="shared" si="22"/>
        <v>6.9083024690058803</v>
      </c>
      <c r="Z69" s="698">
        <f t="shared" si="23"/>
        <v>7.146542921558118</v>
      </c>
      <c r="AA69" s="959">
        <f t="shared" si="24"/>
        <v>7.3845352225120671</v>
      </c>
      <c r="AB69" s="1060">
        <f t="shared" si="25"/>
        <v>9.8236703965647685</v>
      </c>
      <c r="AC69" s="1061">
        <f t="shared" si="32"/>
        <v>7.5010000000000003</v>
      </c>
      <c r="AD69" s="39" t="b">
        <f t="shared" si="26"/>
        <v>0</v>
      </c>
      <c r="AE69" s="1061">
        <f t="shared" si="49"/>
        <v>12.750221406474481</v>
      </c>
      <c r="AF69" s="1062">
        <f t="shared" si="33"/>
        <v>2.646892911160708</v>
      </c>
      <c r="AG69" s="944">
        <v>46.04</v>
      </c>
      <c r="AH69" s="945">
        <v>10.759999999999991</v>
      </c>
      <c r="AJ69" s="1070">
        <f t="shared" si="52"/>
        <v>5.6594022860321269</v>
      </c>
      <c r="AK69" s="82">
        <f t="shared" si="53"/>
        <v>10</v>
      </c>
      <c r="AL69" s="1071">
        <f t="shared" si="36"/>
        <v>40.269144441431024</v>
      </c>
      <c r="AM69" s="1071">
        <f t="shared" si="37"/>
        <v>8.3179148128519209</v>
      </c>
      <c r="AN69" s="1097">
        <f>IF(AND(AX69=0,AX70=0),MAX(AN68,$H$43+1),AX69)</f>
        <v>101.43049021637033</v>
      </c>
      <c r="AO69" s="1098">
        <f t="shared" si="38"/>
        <v>1.4954364327117695</v>
      </c>
      <c r="AP69" s="1075">
        <v>211</v>
      </c>
      <c r="AQ69" s="1076">
        <v>18.262889942194128</v>
      </c>
      <c r="AR69" s="1075">
        <v>114.93569761365501</v>
      </c>
      <c r="AS69" s="1076">
        <v>1.0355441832503001</v>
      </c>
      <c r="AT69" s="1075">
        <v>101.43049021637033</v>
      </c>
      <c r="AU69" s="1076">
        <v>1.4954364327117695</v>
      </c>
      <c r="AV69" s="1075"/>
      <c r="AW69" s="1076"/>
      <c r="AX69" s="39">
        <f t="shared" si="29"/>
        <v>101.43049021637033</v>
      </c>
      <c r="AY69" s="39">
        <f t="shared" si="30"/>
        <v>1.4954364327117695</v>
      </c>
    </row>
    <row r="70" spans="1:51" s="28" customFormat="1" ht="12.75" x14ac:dyDescent="0.2">
      <c r="A70" s="1029" t="str">
        <f t="shared" si="9"/>
        <v>Arbre 12</v>
      </c>
      <c r="B70" s="1033">
        <v>1</v>
      </c>
      <c r="C70" s="1080">
        <f t="shared" ref="C70:M70" si="55">$L34+C$55*Rapous</f>
        <v>17.258805158073123</v>
      </c>
      <c r="D70" s="1080">
        <f t="shared" si="55"/>
        <v>18.258805158073123</v>
      </c>
      <c r="E70" s="1080">
        <f t="shared" si="55"/>
        <v>19.258805158073123</v>
      </c>
      <c r="F70" s="1080">
        <f t="shared" si="55"/>
        <v>20.258805158073123</v>
      </c>
      <c r="G70" s="1081">
        <f t="shared" si="55"/>
        <v>21.258805158073123</v>
      </c>
      <c r="H70" s="1082">
        <f t="shared" si="55"/>
        <v>22.258805158073123</v>
      </c>
      <c r="I70" s="1083">
        <f t="shared" si="55"/>
        <v>23.258805158073123</v>
      </c>
      <c r="J70" s="1080">
        <f t="shared" si="55"/>
        <v>24.258805158073123</v>
      </c>
      <c r="K70" s="1080">
        <f t="shared" si="55"/>
        <v>25.258805158073123</v>
      </c>
      <c r="L70" s="1080">
        <f t="shared" si="55"/>
        <v>26.258805158073123</v>
      </c>
      <c r="M70" s="1081">
        <f t="shared" si="55"/>
        <v>27.258805158073123</v>
      </c>
      <c r="N70" s="698">
        <f t="shared" si="11"/>
        <v>99.694226352660621</v>
      </c>
      <c r="O70" s="943" t="str">
        <f t="shared" si="12"/>
        <v>Arbre 12</v>
      </c>
      <c r="P70" s="688">
        <f t="shared" si="51"/>
        <v>66.012662167926024</v>
      </c>
      <c r="Q70" s="695">
        <f t="shared" si="14"/>
        <v>6.6760144786549249</v>
      </c>
      <c r="R70" s="698">
        <f t="shared" si="15"/>
        <v>7.2422878798236123</v>
      </c>
      <c r="S70" s="698">
        <f t="shared" si="16"/>
        <v>7.807142449410251</v>
      </c>
      <c r="T70" s="698">
        <f t="shared" si="17"/>
        <v>8.3704741477911888</v>
      </c>
      <c r="U70" s="959">
        <f t="shared" si="18"/>
        <v>8.9321806728449644</v>
      </c>
      <c r="V70" s="1085">
        <f t="shared" si="19"/>
        <v>9.4921615609888601</v>
      </c>
      <c r="W70" s="695">
        <f t="shared" si="20"/>
        <v>10.050318283174601</v>
      </c>
      <c r="X70" s="698">
        <f t="shared" si="21"/>
        <v>10.606554335652088</v>
      </c>
      <c r="Y70" s="698">
        <f t="shared" si="22"/>
        <v>11.160775325335544</v>
      </c>
      <c r="Z70" s="698">
        <f t="shared" si="23"/>
        <v>11.712889049631936</v>
      </c>
      <c r="AA70" s="959">
        <f t="shared" si="24"/>
        <v>12.26280557061747</v>
      </c>
      <c r="AB70" s="1060">
        <f t="shared" si="25"/>
        <v>12.235511941330017</v>
      </c>
      <c r="AC70" s="1061">
        <f t="shared" si="32"/>
        <v>7.5010000000000003</v>
      </c>
      <c r="AD70" s="39" t="b">
        <f t="shared" si="26"/>
        <v>0</v>
      </c>
      <c r="AE70" s="1061">
        <f t="shared" si="49"/>
        <v>14.923603847539781</v>
      </c>
      <c r="AF70" s="1062">
        <f t="shared" si="33"/>
        <v>0</v>
      </c>
      <c r="AG70" s="944">
        <v>48.37</v>
      </c>
      <c r="AH70" s="945">
        <v>11.280000000000001</v>
      </c>
      <c r="AJ70" s="1070">
        <f t="shared" si="52"/>
        <v>3.0506244598380761</v>
      </c>
      <c r="AK70" s="82">
        <f t="shared" si="53"/>
        <v>10</v>
      </c>
      <c r="AL70" s="1071">
        <f t="shared" si="36"/>
        <v>40.269144441431024</v>
      </c>
      <c r="AM70" s="1071">
        <f t="shared" si="37"/>
        <v>8.3179148128519209</v>
      </c>
      <c r="AN70" s="1097">
        <f t="shared" ref="AN70:AN79" si="56">IF(AND(AX70=0,AX71=0),MAX(AN69,$H$43+1),AX70)</f>
        <v>114.00228291304641</v>
      </c>
      <c r="AO70" s="1098">
        <f t="shared" si="38"/>
        <v>1.1692506610293174</v>
      </c>
      <c r="AP70" s="1075"/>
      <c r="AQ70" s="1076"/>
      <c r="AR70" s="1075">
        <v>121</v>
      </c>
      <c r="AS70" s="1076">
        <v>0</v>
      </c>
      <c r="AT70" s="1075">
        <v>114.00228291304641</v>
      </c>
      <c r="AU70" s="1076">
        <v>1.1692506610293174</v>
      </c>
      <c r="AV70" s="1075"/>
      <c r="AW70" s="1076"/>
      <c r="AX70" s="39">
        <f t="shared" si="29"/>
        <v>114.00228291304641</v>
      </c>
      <c r="AY70" s="39">
        <f t="shared" si="30"/>
        <v>1.1692506610293174</v>
      </c>
    </row>
    <row r="71" spans="1:51" s="28" customFormat="1" ht="12.75" x14ac:dyDescent="0.2">
      <c r="A71" s="1029" t="str">
        <f>A35</f>
        <v>Arbre 13</v>
      </c>
      <c r="B71" s="1033">
        <v>1</v>
      </c>
      <c r="C71" s="1080">
        <f t="shared" ref="C71:M71" si="57">$L35+C$55*Rapous</f>
        <v>24.320372244480108</v>
      </c>
      <c r="D71" s="1080">
        <f t="shared" si="57"/>
        <v>25.320372244480108</v>
      </c>
      <c r="E71" s="1080">
        <f t="shared" si="57"/>
        <v>26.320372244480108</v>
      </c>
      <c r="F71" s="1080">
        <f t="shared" si="57"/>
        <v>27.320372244480108</v>
      </c>
      <c r="G71" s="1081">
        <f t="shared" si="57"/>
        <v>28.320372244480108</v>
      </c>
      <c r="H71" s="1082">
        <f t="shared" si="57"/>
        <v>29.320372244480108</v>
      </c>
      <c r="I71" s="1083">
        <f t="shared" si="57"/>
        <v>30.320372244480108</v>
      </c>
      <c r="J71" s="1080">
        <f t="shared" si="57"/>
        <v>31.320372244480108</v>
      </c>
      <c r="K71" s="1080">
        <f t="shared" si="57"/>
        <v>32.320372244480112</v>
      </c>
      <c r="L71" s="1080">
        <f t="shared" si="57"/>
        <v>33.320372244480112</v>
      </c>
      <c r="M71" s="1081">
        <f t="shared" si="57"/>
        <v>34.320372244480112</v>
      </c>
      <c r="N71" s="698">
        <f t="shared" si="11"/>
        <v>132.79224827296545</v>
      </c>
      <c r="O71" s="943" t="str">
        <f t="shared" si="12"/>
        <v>Arbre 13</v>
      </c>
      <c r="P71" s="688">
        <f t="shared" si="51"/>
        <v>80.936266015465804</v>
      </c>
      <c r="Q71" s="695">
        <f t="shared" si="14"/>
        <v>8.0287294773870617</v>
      </c>
      <c r="R71" s="698">
        <f t="shared" si="15"/>
        <v>8.4513340464803228</v>
      </c>
      <c r="S71" s="698">
        <f t="shared" si="16"/>
        <v>8.8730143741027341</v>
      </c>
      <c r="T71" s="698">
        <f t="shared" si="17"/>
        <v>9.2937279624196822</v>
      </c>
      <c r="U71" s="959">
        <f t="shared" si="18"/>
        <v>9.7134329251398004</v>
      </c>
      <c r="V71" s="1085">
        <f t="shared" si="19"/>
        <v>10.132088009456579</v>
      </c>
      <c r="W71" s="695">
        <f t="shared" si="20"/>
        <v>10.549652617033024</v>
      </c>
      <c r="X71" s="698">
        <f t="shared" si="21"/>
        <v>10.966086824008849</v>
      </c>
      <c r="Y71" s="698">
        <f t="shared" si="22"/>
        <v>11.381351400012351</v>
      </c>
      <c r="Z71" s="698">
        <f t="shared" si="23"/>
        <v>11.795407826161643</v>
      </c>
      <c r="AA71" s="959">
        <f t="shared" si="24"/>
        <v>12.208218312042565</v>
      </c>
      <c r="AB71" s="1060">
        <f t="shared" si="25"/>
        <v>10.919734363736605</v>
      </c>
      <c r="AC71" s="1061">
        <f t="shared" si="32"/>
        <v>7.5010000000000003</v>
      </c>
      <c r="AD71" s="39" t="b">
        <f t="shared" si="26"/>
        <v>0</v>
      </c>
      <c r="AE71" s="1061">
        <f t="shared" si="49"/>
        <v>3.8586465417350979</v>
      </c>
      <c r="AF71" s="1062">
        <f t="shared" si="33"/>
        <v>0</v>
      </c>
      <c r="AG71" s="944">
        <v>51.52</v>
      </c>
      <c r="AH71" s="945">
        <v>11.930000000000007</v>
      </c>
      <c r="AJ71" s="1070">
        <f t="shared" si="52"/>
        <v>1.2959171608598745</v>
      </c>
      <c r="AK71" s="82">
        <f t="shared" si="53"/>
        <v>11</v>
      </c>
      <c r="AL71" s="1071">
        <f t="shared" si="36"/>
        <v>74.752642849253277</v>
      </c>
      <c r="AM71" s="1071">
        <f t="shared" si="37"/>
        <v>1.2623678424876605</v>
      </c>
      <c r="AN71" s="1097">
        <f t="shared" si="56"/>
        <v>121</v>
      </c>
      <c r="AO71" s="1098">
        <f t="shared" si="38"/>
        <v>0</v>
      </c>
      <c r="AP71" s="1075"/>
      <c r="AQ71" s="1076"/>
      <c r="AR71" s="1075">
        <v>211</v>
      </c>
      <c r="AS71" s="1076">
        <v>18.262889942194128</v>
      </c>
      <c r="AT71" s="1075">
        <v>121</v>
      </c>
      <c r="AU71" s="1076">
        <v>0</v>
      </c>
      <c r="AV71" s="1075"/>
      <c r="AW71" s="1076"/>
      <c r="AX71" s="39">
        <f t="shared" si="29"/>
        <v>121</v>
      </c>
      <c r="AY71" s="39">
        <f t="shared" si="30"/>
        <v>0</v>
      </c>
    </row>
    <row r="72" spans="1:51" s="28" customFormat="1" ht="12.75" x14ac:dyDescent="0.2">
      <c r="A72" s="1029" t="str">
        <f>A36</f>
        <v>Arbre 14</v>
      </c>
      <c r="B72" s="1033">
        <v>1</v>
      </c>
      <c r="C72" s="1080">
        <f t="shared" ref="C72:M72" si="58">$L36+C$55*Rapous</f>
        <v>25.872421766518613</v>
      </c>
      <c r="D72" s="1080">
        <f t="shared" si="58"/>
        <v>26.872421766518613</v>
      </c>
      <c r="E72" s="1080">
        <f t="shared" si="58"/>
        <v>27.872421766518613</v>
      </c>
      <c r="F72" s="1080">
        <f t="shared" si="58"/>
        <v>28.872421766518613</v>
      </c>
      <c r="G72" s="1081">
        <f t="shared" si="58"/>
        <v>29.872421766518613</v>
      </c>
      <c r="H72" s="1082">
        <f t="shared" si="58"/>
        <v>30.872421766518613</v>
      </c>
      <c r="I72" s="1083">
        <f t="shared" si="58"/>
        <v>31.872421766518613</v>
      </c>
      <c r="J72" s="1080">
        <f t="shared" si="58"/>
        <v>32.872421766518613</v>
      </c>
      <c r="K72" s="1080">
        <f t="shared" si="58"/>
        <v>33.872421766518613</v>
      </c>
      <c r="L72" s="1080">
        <f t="shared" si="58"/>
        <v>34.872421766518613</v>
      </c>
      <c r="M72" s="1081">
        <f t="shared" si="58"/>
        <v>35.872421766518613</v>
      </c>
      <c r="N72" s="698">
        <f t="shared" si="11"/>
        <v>178.45003264608522</v>
      </c>
      <c r="O72" s="943" t="str">
        <f t="shared" si="12"/>
        <v>Arbre 14</v>
      </c>
      <c r="P72" s="688">
        <f t="shared" si="51"/>
        <v>88.437266015465809</v>
      </c>
      <c r="Q72" s="695">
        <f t="shared" si="14"/>
        <v>6.4844288849396099</v>
      </c>
      <c r="R72" s="698">
        <f t="shared" si="15"/>
        <v>6.8012061450798527</v>
      </c>
      <c r="S72" s="698">
        <f t="shared" si="16"/>
        <v>7.1175662012474268</v>
      </c>
      <c r="T72" s="698">
        <f t="shared" si="17"/>
        <v>7.4334906264384299</v>
      </c>
      <c r="U72" s="959">
        <f t="shared" si="18"/>
        <v>7.748961150306986</v>
      </c>
      <c r="V72" s="1085">
        <f t="shared" si="19"/>
        <v>8.0639596650400467</v>
      </c>
      <c r="W72" s="695">
        <f t="shared" si="20"/>
        <v>8.3784682310901104</v>
      </c>
      <c r="X72" s="698">
        <f t="shared" si="21"/>
        <v>8.6924690827618729</v>
      </c>
      <c r="Y72" s="698">
        <f t="shared" si="22"/>
        <v>9.0059446336489355</v>
      </c>
      <c r="Z72" s="698">
        <f t="shared" si="23"/>
        <v>9.3188774819170686</v>
      </c>
      <c r="AA72" s="959">
        <f t="shared" si="24"/>
        <v>9.6312504154306477</v>
      </c>
      <c r="AB72" s="1060">
        <f t="shared" si="25"/>
        <v>10.798966370137126</v>
      </c>
      <c r="AC72" s="1061">
        <f t="shared" si="32"/>
        <v>7.5010000000000003</v>
      </c>
      <c r="AD72" s="39" t="b">
        <f t="shared" si="26"/>
        <v>0</v>
      </c>
      <c r="AE72" s="1061">
        <f t="shared" si="49"/>
        <v>14.295541700632754</v>
      </c>
      <c r="AF72" s="1062">
        <f t="shared" si="33"/>
        <v>3.6423534582649024</v>
      </c>
      <c r="AG72" s="944">
        <v>53.73</v>
      </c>
      <c r="AH72" s="947">
        <v>12.530000000000001</v>
      </c>
      <c r="AJ72" s="1070">
        <f t="shared" si="52"/>
        <v>1.3168522919043821</v>
      </c>
      <c r="AK72" s="82">
        <f t="shared" si="53"/>
        <v>11</v>
      </c>
      <c r="AL72" s="1071">
        <f t="shared" si="36"/>
        <v>74.752642849253277</v>
      </c>
      <c r="AM72" s="1071">
        <f t="shared" si="37"/>
        <v>1.2623678424876605</v>
      </c>
      <c r="AN72" s="1097">
        <f t="shared" si="56"/>
        <v>211</v>
      </c>
      <c r="AO72" s="1098">
        <f t="shared" si="38"/>
        <v>18.262889942194128</v>
      </c>
      <c r="AP72" s="1075"/>
      <c r="AQ72" s="1076"/>
      <c r="AR72" s="1075"/>
      <c r="AS72" s="1076"/>
      <c r="AT72" s="1075">
        <v>211</v>
      </c>
      <c r="AU72" s="1076">
        <v>18.262889942194128</v>
      </c>
      <c r="AV72" s="1075"/>
      <c r="AW72" s="1076"/>
      <c r="AX72" s="39">
        <f t="shared" si="29"/>
        <v>211</v>
      </c>
      <c r="AY72" s="39">
        <f t="shared" si="30"/>
        <v>18.262889942194128</v>
      </c>
    </row>
    <row r="73" spans="1:51" s="28" customFormat="1" ht="12.75" x14ac:dyDescent="0.2">
      <c r="A73" s="1029" t="str">
        <f t="shared" si="9"/>
        <v>Arbre 15</v>
      </c>
      <c r="B73" s="1033">
        <v>1</v>
      </c>
      <c r="C73" s="1080">
        <f t="shared" ref="C73:M73" si="59">$L37+C$55*Rapous</f>
        <v>6.8594783606655678</v>
      </c>
      <c r="D73" s="1080">
        <f t="shared" si="59"/>
        <v>7.8594783606655678</v>
      </c>
      <c r="E73" s="1080">
        <f t="shared" si="59"/>
        <v>8.8594783606655678</v>
      </c>
      <c r="F73" s="1080">
        <f t="shared" si="59"/>
        <v>9.8594783606655678</v>
      </c>
      <c r="G73" s="1081">
        <f t="shared" si="59"/>
        <v>10.859478360665568</v>
      </c>
      <c r="H73" s="1082">
        <f t="shared" si="59"/>
        <v>11.859478360665568</v>
      </c>
      <c r="I73" s="1083">
        <f t="shared" si="59"/>
        <v>12.859478360665568</v>
      </c>
      <c r="J73" s="1080">
        <f t="shared" si="59"/>
        <v>13.859478360665568</v>
      </c>
      <c r="K73" s="1080">
        <f t="shared" si="59"/>
        <v>14.859478360665568</v>
      </c>
      <c r="L73" s="1080">
        <f t="shared" si="59"/>
        <v>15.859478360665568</v>
      </c>
      <c r="M73" s="1081">
        <f t="shared" si="59"/>
        <v>16.85947836066557</v>
      </c>
      <c r="N73" s="698">
        <f t="shared" si="11"/>
        <v>53.171999379894956</v>
      </c>
      <c r="O73" s="943" t="str">
        <f t="shared" si="12"/>
        <v>Arbre 15</v>
      </c>
      <c r="P73" s="688">
        <f t="shared" si="51"/>
        <v>99.090454257833656</v>
      </c>
      <c r="Q73" s="695">
        <f t="shared" si="14"/>
        <v>2.7991799196349891</v>
      </c>
      <c r="R73" s="698">
        <f t="shared" si="15"/>
        <v>2.7991799196349891</v>
      </c>
      <c r="S73" s="698">
        <f t="shared" si="16"/>
        <v>3.5189002585329843</v>
      </c>
      <c r="T73" s="698">
        <f t="shared" si="17"/>
        <v>4.5910357814436322</v>
      </c>
      <c r="U73" s="959">
        <f t="shared" si="18"/>
        <v>5.6599593299650222</v>
      </c>
      <c r="V73" s="1085">
        <f t="shared" si="19"/>
        <v>6.7249450736620826</v>
      </c>
      <c r="W73" s="695">
        <f t="shared" si="20"/>
        <v>7.7852833892403233</v>
      </c>
      <c r="X73" s="698">
        <f t="shared" si="21"/>
        <v>8.8402835497906658</v>
      </c>
      <c r="Y73" s="698">
        <f t="shared" si="22"/>
        <v>9.8892762259112814</v>
      </c>
      <c r="Z73" s="698">
        <f t="shared" si="23"/>
        <v>10.931615778268961</v>
      </c>
      <c r="AA73" s="959">
        <f t="shared" si="24"/>
        <v>11.966682324843603</v>
      </c>
      <c r="AB73" s="1060">
        <f t="shared" si="25"/>
        <v>18.639851387370005</v>
      </c>
      <c r="AC73" s="1061">
        <f t="shared" si="32"/>
        <v>7.5010000000000003</v>
      </c>
      <c r="AD73" s="39" t="b">
        <f t="shared" si="26"/>
        <v>0</v>
      </c>
      <c r="AE73" s="1061">
        <f t="shared" si="49"/>
        <v>13.985390146659327</v>
      </c>
      <c r="AF73" s="1062">
        <f t="shared" si="33"/>
        <v>0</v>
      </c>
      <c r="AG73" s="944">
        <v>56.67</v>
      </c>
      <c r="AH73" s="947">
        <v>13.370000000000005</v>
      </c>
      <c r="AJ73" s="1070">
        <f t="shared" si="52"/>
        <v>2.7991799196349891</v>
      </c>
      <c r="AK73" s="82">
        <f t="shared" si="53"/>
        <v>13</v>
      </c>
      <c r="AL73" s="1071">
        <f t="shared" si="36"/>
        <v>94.385695889118736</v>
      </c>
      <c r="AM73" s="1071">
        <f t="shared" si="37"/>
        <v>5.4204208703917116</v>
      </c>
      <c r="AN73" s="1097">
        <f t="shared" si="56"/>
        <v>212</v>
      </c>
      <c r="AO73" s="1098">
        <f t="shared" si="38"/>
        <v>18.262889942194128</v>
      </c>
      <c r="AP73" s="1075"/>
      <c r="AQ73" s="1076"/>
      <c r="AR73" s="1075"/>
      <c r="AS73" s="1076"/>
      <c r="AT73" s="1075"/>
      <c r="AU73" s="1076"/>
      <c r="AV73" s="1075"/>
      <c r="AW73" s="1076"/>
      <c r="AX73" s="39">
        <f t="shared" si="29"/>
        <v>0</v>
      </c>
      <c r="AY73" s="39">
        <f t="shared" si="30"/>
        <v>0</v>
      </c>
    </row>
    <row r="74" spans="1:51" s="28" customFormat="1" ht="12.75" x14ac:dyDescent="0.2">
      <c r="A74" s="1029" t="str">
        <f t="shared" si="9"/>
        <v>Arbre 16g</v>
      </c>
      <c r="B74" s="1033">
        <v>1</v>
      </c>
      <c r="C74" s="1080">
        <f t="shared" ref="C74:M74" si="60">$L38+C$55*Rapous</f>
        <v>9.1181518056814568</v>
      </c>
      <c r="D74" s="1080">
        <f t="shared" si="60"/>
        <v>10.118151805681457</v>
      </c>
      <c r="E74" s="1080">
        <f t="shared" si="60"/>
        <v>11.118151805681457</v>
      </c>
      <c r="F74" s="1080">
        <f t="shared" si="60"/>
        <v>12.118151805681457</v>
      </c>
      <c r="G74" s="1081">
        <f t="shared" si="60"/>
        <v>13.118151805681457</v>
      </c>
      <c r="H74" s="1082">
        <f t="shared" si="60"/>
        <v>14.118151805681457</v>
      </c>
      <c r="I74" s="1083">
        <f t="shared" si="60"/>
        <v>15.118151805681457</v>
      </c>
      <c r="J74" s="1080">
        <f t="shared" si="60"/>
        <v>16.118151805681457</v>
      </c>
      <c r="K74" s="1080">
        <f t="shared" si="60"/>
        <v>17.118151805681457</v>
      </c>
      <c r="L74" s="1080">
        <f t="shared" si="60"/>
        <v>18.118151805681457</v>
      </c>
      <c r="M74" s="1081">
        <f t="shared" si="60"/>
        <v>19.118151805681457</v>
      </c>
      <c r="N74" s="698">
        <f t="shared" si="11"/>
        <v>28.602764750786935</v>
      </c>
      <c r="O74" s="943" t="str">
        <f t="shared" si="12"/>
        <v>Arbre 16g</v>
      </c>
      <c r="P74" s="688">
        <f t="shared" si="51"/>
        <v>113.07584440449298</v>
      </c>
      <c r="Q74" s="695">
        <f t="shared" si="14"/>
        <v>7.0324409900303078</v>
      </c>
      <c r="R74" s="698">
        <f t="shared" si="15"/>
        <v>8.9964537373305724</v>
      </c>
      <c r="S74" s="698">
        <f t="shared" si="16"/>
        <v>10.939386049859674</v>
      </c>
      <c r="T74" s="698">
        <f t="shared" si="17"/>
        <v>12.857188080689543</v>
      </c>
      <c r="U74" s="959">
        <f t="shared" si="18"/>
        <v>14.746138381315948</v>
      </c>
      <c r="V74" s="1085">
        <f t="shared" si="19"/>
        <v>16.602876539755652</v>
      </c>
      <c r="W74" s="695">
        <f t="shared" si="20"/>
        <v>18.424425434405645</v>
      </c>
      <c r="X74" s="698">
        <f t="shared" si="21"/>
        <v>20.208203329433786</v>
      </c>
      <c r="Y74" s="698">
        <f t="shared" si="22"/>
        <v>21.952026465709157</v>
      </c>
      <c r="Z74" s="698">
        <f t="shared" si="23"/>
        <v>23.654103134505235</v>
      </c>
      <c r="AA74" s="959">
        <f t="shared" si="24"/>
        <v>25.313020449896406</v>
      </c>
      <c r="AB74" s="1060">
        <f>(AA74+AA75)/2</f>
        <v>28.004763627725875</v>
      </c>
      <c r="AC74" s="1061">
        <f t="shared" si="32"/>
        <v>8.1200000000000045</v>
      </c>
      <c r="AD74" s="39" t="b">
        <f t="shared" si="26"/>
        <v>0</v>
      </c>
      <c r="AE74" s="1061">
        <f t="shared" si="49"/>
        <v>45.141271036294341</v>
      </c>
      <c r="AF74" s="1062">
        <f t="shared" si="33"/>
        <v>0</v>
      </c>
      <c r="AG74" s="944">
        <v>58.66</v>
      </c>
      <c r="AH74" s="947">
        <v>13.969999999999999</v>
      </c>
      <c r="AJ74" s="1070">
        <f t="shared" si="52"/>
        <v>1.1932878900164561</v>
      </c>
      <c r="AK74" s="82">
        <f t="shared" si="53"/>
        <v>14</v>
      </c>
      <c r="AL74" s="1071">
        <f t="shared" si="36"/>
        <v>101.43049021637033</v>
      </c>
      <c r="AM74" s="1071">
        <f t="shared" si="37"/>
        <v>1.4954364327117695</v>
      </c>
      <c r="AN74" s="1097">
        <f t="shared" si="56"/>
        <v>212</v>
      </c>
      <c r="AO74" s="1098">
        <f t="shared" si="38"/>
        <v>18.262889942194128</v>
      </c>
      <c r="AP74" s="1075"/>
      <c r="AQ74" s="1076"/>
      <c r="AR74" s="1075"/>
      <c r="AS74" s="1076"/>
      <c r="AT74" s="1075"/>
      <c r="AU74" s="1076"/>
      <c r="AV74" s="1075"/>
      <c r="AW74" s="1076"/>
      <c r="AX74" s="39">
        <f t="shared" si="29"/>
        <v>0</v>
      </c>
      <c r="AY74" s="39">
        <f t="shared" si="30"/>
        <v>0</v>
      </c>
    </row>
    <row r="75" spans="1:51" s="28" customFormat="1" ht="12.75" x14ac:dyDescent="0.2">
      <c r="A75" s="1029" t="str">
        <f t="shared" si="9"/>
        <v>Arbre 16d</v>
      </c>
      <c r="B75" s="1033">
        <v>1</v>
      </c>
      <c r="C75" s="698">
        <f t="shared" ref="C75:M75" si="61">$L39+C$55*Rapous</f>
        <v>12.9223377506273</v>
      </c>
      <c r="D75" s="698">
        <f t="shared" si="61"/>
        <v>13.9223377506273</v>
      </c>
      <c r="E75" s="698">
        <f t="shared" si="61"/>
        <v>14.9223377506273</v>
      </c>
      <c r="F75" s="698">
        <f t="shared" si="61"/>
        <v>15.9223377506273</v>
      </c>
      <c r="G75" s="959">
        <f t="shared" si="61"/>
        <v>16.9223377506273</v>
      </c>
      <c r="H75" s="1082">
        <f t="shared" si="61"/>
        <v>17.9223377506273</v>
      </c>
      <c r="I75" s="1083">
        <f t="shared" si="61"/>
        <v>18.9223377506273</v>
      </c>
      <c r="J75" s="1086">
        <f t="shared" si="61"/>
        <v>19.9223377506273</v>
      </c>
      <c r="K75" s="1080">
        <f t="shared" si="61"/>
        <v>20.9223377506273</v>
      </c>
      <c r="L75" s="1086">
        <f t="shared" si="61"/>
        <v>21.9223377506273</v>
      </c>
      <c r="M75" s="1081">
        <f t="shared" si="61"/>
        <v>22.9223377506273</v>
      </c>
      <c r="N75" s="698">
        <f t="shared" si="11"/>
        <v>29.195486832537778</v>
      </c>
      <c r="O75" s="943" t="str">
        <f t="shared" si="12"/>
        <v>Arbre 16d</v>
      </c>
      <c r="P75" s="698">
        <f t="shared" si="13"/>
        <v>158.21711544078732</v>
      </c>
      <c r="Q75" s="695">
        <f t="shared" si="14"/>
        <v>14.098531828668172</v>
      </c>
      <c r="R75" s="698">
        <f t="shared" si="15"/>
        <v>15.929131310890588</v>
      </c>
      <c r="S75" s="698">
        <f t="shared" si="16"/>
        <v>17.726953926831712</v>
      </c>
      <c r="T75" s="698">
        <f t="shared" si="17"/>
        <v>19.48943176504379</v>
      </c>
      <c r="U75" s="959">
        <f t="shared" si="18"/>
        <v>21.214363663326118</v>
      </c>
      <c r="V75" s="1085">
        <f t="shared" si="19"/>
        <v>22.899912769272056</v>
      </c>
      <c r="W75" s="695">
        <f t="shared" si="20"/>
        <v>24.544597189019584</v>
      </c>
      <c r="X75" s="698">
        <f t="shared" si="21"/>
        <v>26.147274852494878</v>
      </c>
      <c r="Y75" s="698">
        <f t="shared" si="22"/>
        <v>27.70712378308766</v>
      </c>
      <c r="Z75" s="698">
        <f t="shared" si="23"/>
        <v>29.223618948864836</v>
      </c>
      <c r="AA75" s="959">
        <f t="shared" si="24"/>
        <v>30.696506805555344</v>
      </c>
      <c r="AB75" s="1060">
        <f>(AA75+AA76)/2</f>
        <v>24.479698373874736</v>
      </c>
      <c r="AC75" s="1061">
        <f t="shared" si="32"/>
        <v>7.7300000000000182</v>
      </c>
      <c r="AD75" s="39" t="b">
        <f t="shared" si="26"/>
        <v>0</v>
      </c>
      <c r="AE75" s="1061">
        <f t="shared" si="27"/>
        <v>52.782884559212675</v>
      </c>
      <c r="AF75" s="1062">
        <f t="shared" si="33"/>
        <v>0</v>
      </c>
      <c r="AG75" s="944">
        <v>61.27</v>
      </c>
      <c r="AH75" s="947">
        <v>15.02000000000001</v>
      </c>
      <c r="AJ75" s="1070">
        <f t="shared" si="34"/>
        <v>7.5521342584559186</v>
      </c>
      <c r="AK75" s="82">
        <f t="shared" si="35"/>
        <v>16</v>
      </c>
      <c r="AL75" s="1071">
        <f t="shared" si="36"/>
        <v>121</v>
      </c>
      <c r="AM75" s="1071">
        <f t="shared" si="37"/>
        <v>0</v>
      </c>
      <c r="AN75" s="1097">
        <f t="shared" si="56"/>
        <v>212</v>
      </c>
      <c r="AO75" s="1098">
        <f t="shared" si="38"/>
        <v>18.262889942194128</v>
      </c>
      <c r="AP75" s="1075"/>
      <c r="AQ75" s="1076"/>
      <c r="AR75" s="1075"/>
      <c r="AS75" s="1076"/>
      <c r="AT75" s="1075"/>
      <c r="AU75" s="1076"/>
      <c r="AV75" s="1075"/>
      <c r="AW75" s="1076"/>
      <c r="AX75" s="39">
        <f t="shared" si="29"/>
        <v>0</v>
      </c>
      <c r="AY75" s="39">
        <f t="shared" si="30"/>
        <v>0</v>
      </c>
    </row>
    <row r="76" spans="1:51" s="28" customFormat="1" ht="12.75" x14ac:dyDescent="0.2">
      <c r="A76" s="1029" t="str">
        <f t="shared" si="9"/>
        <v>Arrière PV</v>
      </c>
      <c r="B76" s="1033">
        <v>1</v>
      </c>
      <c r="C76" s="698">
        <f t="shared" ref="C76:M76" si="62">$L40+C$55*Rapous</f>
        <v>-5</v>
      </c>
      <c r="D76" s="698">
        <f t="shared" si="62"/>
        <v>-4</v>
      </c>
      <c r="E76" s="698">
        <f t="shared" si="62"/>
        <v>-3</v>
      </c>
      <c r="F76" s="698">
        <f t="shared" si="62"/>
        <v>-2</v>
      </c>
      <c r="G76" s="959">
        <f t="shared" si="62"/>
        <v>-1</v>
      </c>
      <c r="H76" s="1082">
        <f t="shared" si="62"/>
        <v>0</v>
      </c>
      <c r="I76" s="1083">
        <f t="shared" si="62"/>
        <v>1</v>
      </c>
      <c r="J76" s="1086">
        <f t="shared" si="62"/>
        <v>2</v>
      </c>
      <c r="K76" s="1080">
        <f t="shared" si="62"/>
        <v>3</v>
      </c>
      <c r="L76" s="1086">
        <f t="shared" si="62"/>
        <v>4</v>
      </c>
      <c r="M76" s="1081">
        <f t="shared" si="62"/>
        <v>5</v>
      </c>
      <c r="N76" s="698">
        <f t="shared" si="11"/>
        <v>0</v>
      </c>
      <c r="O76" s="943" t="str">
        <f t="shared" si="12"/>
        <v>Arrière PV</v>
      </c>
      <c r="P76" s="698">
        <f t="shared" si="13"/>
        <v>211</v>
      </c>
      <c r="Q76" s="695">
        <f t="shared" si="14"/>
        <v>18.262889942194128</v>
      </c>
      <c r="R76" s="698">
        <f t="shared" si="15"/>
        <v>18.262889942194128</v>
      </c>
      <c r="S76" s="698">
        <f t="shared" si="16"/>
        <v>18.262889942194128</v>
      </c>
      <c r="T76" s="698">
        <f t="shared" si="17"/>
        <v>18.262889942194128</v>
      </c>
      <c r="U76" s="959">
        <f t="shared" si="18"/>
        <v>18.262889942194128</v>
      </c>
      <c r="V76" s="1085">
        <f t="shared" si="19"/>
        <v>18.262889942194128</v>
      </c>
      <c r="W76" s="695">
        <f t="shared" si="20"/>
        <v>18.262889942194128</v>
      </c>
      <c r="X76" s="698">
        <f t="shared" si="21"/>
        <v>18.262889942194128</v>
      </c>
      <c r="Y76" s="698">
        <f t="shared" si="22"/>
        <v>18.262889942194128</v>
      </c>
      <c r="Z76" s="698">
        <f t="shared" si="23"/>
        <v>18.262889942194128</v>
      </c>
      <c r="AA76" s="959">
        <f t="shared" si="24"/>
        <v>18.262889942194128</v>
      </c>
      <c r="AB76" s="1060">
        <f t="shared" si="25"/>
        <v>18.262889942194128</v>
      </c>
      <c r="AC76" s="1061">
        <f t="shared" si="32"/>
        <v>7.5010000000000003</v>
      </c>
      <c r="AD76" s="39" t="b">
        <f t="shared" si="26"/>
        <v>0</v>
      </c>
      <c r="AE76" s="1061">
        <f t="shared" si="27"/>
        <v>0</v>
      </c>
      <c r="AF76" s="1062">
        <f t="shared" si="33"/>
        <v>0</v>
      </c>
      <c r="AG76" s="944">
        <v>62.95</v>
      </c>
      <c r="AH76" s="947">
        <v>15.569999999999993</v>
      </c>
      <c r="AJ76" s="1070">
        <f t="shared" si="34"/>
        <v>18.262889942194128</v>
      </c>
      <c r="AK76" s="82">
        <f t="shared" si="35"/>
        <v>17</v>
      </c>
      <c r="AL76" s="1071">
        <f t="shared" si="36"/>
        <v>211</v>
      </c>
      <c r="AM76" s="1071">
        <f t="shared" si="37"/>
        <v>18.262889942194128</v>
      </c>
      <c r="AN76" s="1097">
        <f t="shared" si="56"/>
        <v>212</v>
      </c>
      <c r="AO76" s="1098">
        <f t="shared" si="38"/>
        <v>18.262889942194128</v>
      </c>
      <c r="AP76" s="1075"/>
      <c r="AQ76" s="1076"/>
      <c r="AR76" s="1075"/>
      <c r="AS76" s="1076"/>
      <c r="AT76" s="1075"/>
      <c r="AU76" s="1076"/>
      <c r="AV76" s="1075"/>
      <c r="AW76" s="1076"/>
      <c r="AX76" s="39">
        <f t="shared" si="29"/>
        <v>0</v>
      </c>
      <c r="AY76" s="39">
        <f t="shared" si="30"/>
        <v>0</v>
      </c>
    </row>
    <row r="77" spans="1:51" s="28" customFormat="1" ht="12.75" x14ac:dyDescent="0.2">
      <c r="A77" s="1029">
        <f t="shared" si="9"/>
        <v>0</v>
      </c>
      <c r="B77" s="1033">
        <v>1</v>
      </c>
      <c r="C77" s="698">
        <f t="shared" ref="C77:M77" si="63">$L41+C$55*Rapous</f>
        <v>-5</v>
      </c>
      <c r="D77" s="698">
        <f t="shared" si="63"/>
        <v>-4</v>
      </c>
      <c r="E77" s="698">
        <f t="shared" si="63"/>
        <v>-3</v>
      </c>
      <c r="F77" s="698">
        <f t="shared" si="63"/>
        <v>-2</v>
      </c>
      <c r="G77" s="959">
        <f t="shared" si="63"/>
        <v>-1</v>
      </c>
      <c r="H77" s="1082">
        <f t="shared" si="63"/>
        <v>0</v>
      </c>
      <c r="I77" s="1083">
        <f t="shared" si="63"/>
        <v>1</v>
      </c>
      <c r="J77" s="1086">
        <f t="shared" si="63"/>
        <v>2</v>
      </c>
      <c r="K77" s="1080">
        <f t="shared" si="63"/>
        <v>3</v>
      </c>
      <c r="L77" s="1086">
        <f t="shared" si="63"/>
        <v>4</v>
      </c>
      <c r="M77" s="1081">
        <f t="shared" si="63"/>
        <v>5</v>
      </c>
      <c r="N77" s="698">
        <f t="shared" si="11"/>
        <v>0</v>
      </c>
      <c r="O77" s="943">
        <f t="shared" si="12"/>
        <v>0</v>
      </c>
      <c r="P77" s="698">
        <f t="shared" si="13"/>
        <v>211</v>
      </c>
      <c r="Q77" s="695">
        <f t="shared" si="14"/>
        <v>18.262889942194128</v>
      </c>
      <c r="R77" s="698">
        <f t="shared" si="15"/>
        <v>18.262889942194128</v>
      </c>
      <c r="S77" s="698">
        <f t="shared" si="16"/>
        <v>18.262889942194128</v>
      </c>
      <c r="T77" s="698">
        <f t="shared" si="17"/>
        <v>18.262889942194128</v>
      </c>
      <c r="U77" s="959">
        <f t="shared" si="18"/>
        <v>18.262889942194128</v>
      </c>
      <c r="V77" s="1085">
        <f t="shared" si="19"/>
        <v>18.262889942194128</v>
      </c>
      <c r="W77" s="695">
        <f t="shared" si="20"/>
        <v>18.262889942194128</v>
      </c>
      <c r="X77" s="698">
        <f t="shared" si="21"/>
        <v>18.262889942194128</v>
      </c>
      <c r="Y77" s="698">
        <f t="shared" si="22"/>
        <v>18.262889942194128</v>
      </c>
      <c r="Z77" s="698">
        <f t="shared" si="23"/>
        <v>18.262889942194128</v>
      </c>
      <c r="AA77" s="959">
        <f t="shared" si="24"/>
        <v>18.262889942194128</v>
      </c>
      <c r="AB77" s="1060">
        <f t="shared" si="25"/>
        <v>18.262889942194128</v>
      </c>
      <c r="AC77" s="1061">
        <f t="shared" si="32"/>
        <v>7.5010000000000003</v>
      </c>
      <c r="AD77" s="39" t="b">
        <f t="shared" si="26"/>
        <v>0</v>
      </c>
      <c r="AE77" s="1061">
        <f t="shared" si="27"/>
        <v>0</v>
      </c>
      <c r="AF77" s="1062">
        <f t="shared" si="33"/>
        <v>0</v>
      </c>
      <c r="AG77" s="944">
        <v>65.069999999999993</v>
      </c>
      <c r="AH77" s="947">
        <v>16.789999999999992</v>
      </c>
      <c r="AJ77" s="1070">
        <f t="shared" si="34"/>
        <v>18.262889942194128</v>
      </c>
      <c r="AK77" s="82">
        <f t="shared" si="35"/>
        <v>17</v>
      </c>
      <c r="AL77" s="1071">
        <f t="shared" si="36"/>
        <v>211</v>
      </c>
      <c r="AM77" s="1071">
        <f t="shared" si="37"/>
        <v>18.262889942194128</v>
      </c>
      <c r="AN77" s="1097">
        <f t="shared" si="56"/>
        <v>212</v>
      </c>
      <c r="AO77" s="1098">
        <f t="shared" si="38"/>
        <v>18.262889942194128</v>
      </c>
      <c r="AP77" s="1075"/>
      <c r="AQ77" s="1076"/>
      <c r="AR77" s="1075"/>
      <c r="AS77" s="1076"/>
      <c r="AT77" s="1075"/>
      <c r="AU77" s="1076"/>
      <c r="AV77" s="1075"/>
      <c r="AW77" s="1076"/>
      <c r="AX77" s="39">
        <f t="shared" si="29"/>
        <v>0</v>
      </c>
      <c r="AY77" s="39">
        <f t="shared" si="30"/>
        <v>0</v>
      </c>
    </row>
    <row r="78" spans="1:51" s="28" customFormat="1" ht="12.75" x14ac:dyDescent="0.2">
      <c r="A78" s="1029">
        <f t="shared" si="9"/>
        <v>0</v>
      </c>
      <c r="B78" s="1033">
        <v>1</v>
      </c>
      <c r="C78" s="698">
        <f t="shared" ref="C78:M78" si="64">$L42+C$55*Rapous</f>
        <v>-5</v>
      </c>
      <c r="D78" s="698">
        <f t="shared" si="64"/>
        <v>-4</v>
      </c>
      <c r="E78" s="698">
        <f t="shared" si="64"/>
        <v>-3</v>
      </c>
      <c r="F78" s="698">
        <f t="shared" si="64"/>
        <v>-2</v>
      </c>
      <c r="G78" s="959">
        <f t="shared" si="64"/>
        <v>-1</v>
      </c>
      <c r="H78" s="1082">
        <f t="shared" si="64"/>
        <v>0</v>
      </c>
      <c r="I78" s="1083">
        <f t="shared" si="64"/>
        <v>1</v>
      </c>
      <c r="J78" s="1086">
        <f t="shared" si="64"/>
        <v>2</v>
      </c>
      <c r="K78" s="1080">
        <f t="shared" si="64"/>
        <v>3</v>
      </c>
      <c r="L78" s="1086">
        <f t="shared" si="64"/>
        <v>4</v>
      </c>
      <c r="M78" s="1081">
        <f t="shared" si="64"/>
        <v>5</v>
      </c>
      <c r="N78" s="698">
        <f t="shared" si="11"/>
        <v>0</v>
      </c>
      <c r="O78" s="943">
        <f t="shared" si="12"/>
        <v>0</v>
      </c>
      <c r="P78" s="698">
        <f t="shared" si="13"/>
        <v>211</v>
      </c>
      <c r="Q78" s="695">
        <f t="shared" si="14"/>
        <v>18.262889942194128</v>
      </c>
      <c r="R78" s="698">
        <f t="shared" si="15"/>
        <v>18.262889942194128</v>
      </c>
      <c r="S78" s="698">
        <f t="shared" si="16"/>
        <v>18.262889942194128</v>
      </c>
      <c r="T78" s="698">
        <f t="shared" si="17"/>
        <v>18.262889942194128</v>
      </c>
      <c r="U78" s="959">
        <f t="shared" si="18"/>
        <v>18.262889942194128</v>
      </c>
      <c r="V78" s="1085">
        <f t="shared" si="19"/>
        <v>18.262889942194128</v>
      </c>
      <c r="W78" s="695">
        <f t="shared" si="20"/>
        <v>18.262889942194128</v>
      </c>
      <c r="X78" s="698">
        <f t="shared" si="21"/>
        <v>18.262889942194128</v>
      </c>
      <c r="Y78" s="698">
        <f t="shared" si="22"/>
        <v>18.262889942194128</v>
      </c>
      <c r="Z78" s="698">
        <f t="shared" si="23"/>
        <v>18.262889942194128</v>
      </c>
      <c r="AA78" s="959">
        <f t="shared" si="24"/>
        <v>18.262889942194128</v>
      </c>
      <c r="AB78" s="1060">
        <f t="shared" si="25"/>
        <v>18.262889942194128</v>
      </c>
      <c r="AC78" s="1061">
        <f t="shared" si="32"/>
        <v>7.5010000000000003</v>
      </c>
      <c r="AD78" s="39" t="b">
        <f t="shared" si="26"/>
        <v>0</v>
      </c>
      <c r="AE78" s="1061">
        <f t="shared" si="27"/>
        <v>0</v>
      </c>
      <c r="AF78" s="1062">
        <f t="shared" si="33"/>
        <v>0</v>
      </c>
      <c r="AG78" s="944">
        <v>66.36</v>
      </c>
      <c r="AH78" s="947">
        <v>17.259999999999991</v>
      </c>
      <c r="AJ78" s="1070">
        <f t="shared" si="34"/>
        <v>18.262889942194128</v>
      </c>
      <c r="AK78" s="82">
        <f t="shared" si="35"/>
        <v>17</v>
      </c>
      <c r="AL78" s="1071">
        <f t="shared" si="36"/>
        <v>211</v>
      </c>
      <c r="AM78" s="1071">
        <f t="shared" si="37"/>
        <v>18.262889942194128</v>
      </c>
      <c r="AN78" s="1097">
        <f t="shared" si="56"/>
        <v>212</v>
      </c>
      <c r="AO78" s="1098">
        <f t="shared" si="38"/>
        <v>18.262889942194128</v>
      </c>
      <c r="AP78" s="1075"/>
      <c r="AQ78" s="1076"/>
      <c r="AR78" s="1075"/>
      <c r="AS78" s="1076"/>
      <c r="AT78" s="1075"/>
      <c r="AU78" s="1076"/>
      <c r="AV78" s="1075"/>
      <c r="AW78" s="1076"/>
      <c r="AX78" s="39">
        <f t="shared" si="29"/>
        <v>0</v>
      </c>
      <c r="AY78" s="39">
        <f t="shared" si="30"/>
        <v>0</v>
      </c>
    </row>
    <row r="79" spans="1:51" s="28" customFormat="1" ht="13.5" thickBot="1" x14ac:dyDescent="0.25">
      <c r="A79" s="1030">
        <f t="shared" si="9"/>
        <v>0</v>
      </c>
      <c r="B79" s="1034">
        <v>1</v>
      </c>
      <c r="C79" s="707">
        <f t="shared" ref="C79:M79" si="65">$L43+C$55*Rapous</f>
        <v>-5</v>
      </c>
      <c r="D79" s="707">
        <f t="shared" si="65"/>
        <v>-4</v>
      </c>
      <c r="E79" s="707">
        <f t="shared" si="65"/>
        <v>-3</v>
      </c>
      <c r="F79" s="707">
        <f t="shared" si="65"/>
        <v>-2</v>
      </c>
      <c r="G79" s="965">
        <f t="shared" si="65"/>
        <v>-1</v>
      </c>
      <c r="H79" s="1087">
        <f t="shared" si="65"/>
        <v>0</v>
      </c>
      <c r="I79" s="1088">
        <f t="shared" si="65"/>
        <v>1</v>
      </c>
      <c r="J79" s="1089">
        <f t="shared" si="65"/>
        <v>2</v>
      </c>
      <c r="K79" s="1090">
        <f t="shared" si="65"/>
        <v>3</v>
      </c>
      <c r="L79" s="1089">
        <f t="shared" si="65"/>
        <v>4</v>
      </c>
      <c r="M79" s="1091">
        <f t="shared" si="65"/>
        <v>5</v>
      </c>
      <c r="N79" s="707">
        <f t="shared" si="11"/>
        <v>0</v>
      </c>
      <c r="O79" s="948">
        <f t="shared" si="12"/>
        <v>0</v>
      </c>
      <c r="P79" s="707">
        <f t="shared" si="13"/>
        <v>211</v>
      </c>
      <c r="Q79" s="964">
        <f t="shared" si="14"/>
        <v>18.262889942194128</v>
      </c>
      <c r="R79" s="707">
        <f t="shared" si="15"/>
        <v>18.262889942194128</v>
      </c>
      <c r="S79" s="707">
        <f t="shared" si="16"/>
        <v>18.262889942194128</v>
      </c>
      <c r="T79" s="707">
        <f t="shared" si="17"/>
        <v>18.262889942194128</v>
      </c>
      <c r="U79" s="965">
        <f t="shared" si="18"/>
        <v>18.262889942194128</v>
      </c>
      <c r="V79" s="1092">
        <f t="shared" si="19"/>
        <v>18.262889942194128</v>
      </c>
      <c r="W79" s="964">
        <f t="shared" si="20"/>
        <v>18.262889942194128</v>
      </c>
      <c r="X79" s="707">
        <f t="shared" si="21"/>
        <v>18.262889942194128</v>
      </c>
      <c r="Y79" s="707">
        <f t="shared" si="22"/>
        <v>18.262889942194128</v>
      </c>
      <c r="Z79" s="707">
        <f t="shared" si="23"/>
        <v>18.262889942194128</v>
      </c>
      <c r="AA79" s="965">
        <f t="shared" si="24"/>
        <v>18.262889942194128</v>
      </c>
      <c r="AB79" s="1063">
        <f>(AA79+Z80)/2</f>
        <v>9.1314449710970642</v>
      </c>
      <c r="AC79" s="1064">
        <f t="shared" si="32"/>
        <v>7.5010000000000003</v>
      </c>
      <c r="AD79" s="1065" t="b">
        <f t="shared" si="26"/>
        <v>1</v>
      </c>
      <c r="AE79" s="1064">
        <f t="shared" si="27"/>
        <v>-211</v>
      </c>
      <c r="AF79" s="1066">
        <f t="shared" si="33"/>
        <v>0</v>
      </c>
      <c r="AG79" s="944">
        <v>67.87</v>
      </c>
      <c r="AH79" s="947">
        <v>18.400000000000006</v>
      </c>
      <c r="AJ79" s="1072">
        <f t="shared" si="34"/>
        <v>18.262889942194128</v>
      </c>
      <c r="AK79" s="1073">
        <f t="shared" si="35"/>
        <v>17</v>
      </c>
      <c r="AL79" s="1074">
        <f t="shared" si="36"/>
        <v>211</v>
      </c>
      <c r="AM79" s="1074">
        <f t="shared" si="37"/>
        <v>18.262889942194128</v>
      </c>
      <c r="AN79" s="1099">
        <f t="shared" si="56"/>
        <v>212</v>
      </c>
      <c r="AO79" s="1100">
        <f t="shared" si="38"/>
        <v>18.262889942194128</v>
      </c>
      <c r="AP79" s="1101"/>
      <c r="AQ79" s="1102"/>
      <c r="AR79" s="1101"/>
      <c r="AS79" s="1102"/>
      <c r="AT79" s="1101"/>
      <c r="AU79" s="1102"/>
      <c r="AV79" s="1101"/>
      <c r="AW79" s="1102"/>
      <c r="AX79" s="39">
        <f t="shared" si="29"/>
        <v>0</v>
      </c>
      <c r="AY79" s="39">
        <f t="shared" si="30"/>
        <v>0</v>
      </c>
    </row>
    <row r="80" spans="1:51" s="19" customFormat="1" ht="12.75" x14ac:dyDescent="0.2">
      <c r="G80" s="31"/>
      <c r="H80" s="31"/>
      <c r="U80" s="29"/>
      <c r="W80" s="29"/>
      <c r="X80" s="704"/>
      <c r="Y80" s="29"/>
      <c r="AB80" s="1035"/>
      <c r="AC80" s="29"/>
      <c r="AG80" s="944">
        <v>68.69</v>
      </c>
      <c r="AH80" s="947">
        <v>18.659999999999997</v>
      </c>
      <c r="AJ80" s="946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34"/>
      <c r="AY80" s="34"/>
    </row>
    <row r="81" spans="1:51" s="19" customFormat="1" ht="15.75" x14ac:dyDescent="0.25">
      <c r="A81" s="660" t="s">
        <v>190</v>
      </c>
      <c r="F81" s="30"/>
      <c r="G81" s="29"/>
      <c r="H81" s="31"/>
      <c r="K81" s="30"/>
      <c r="Q81" s="29"/>
      <c r="R81" s="678"/>
      <c r="S81" s="29"/>
      <c r="U81" s="29"/>
      <c r="W81" s="29"/>
      <c r="X81" s="704"/>
      <c r="Y81" s="29"/>
      <c r="AB81" s="1035"/>
      <c r="AC81" s="29"/>
      <c r="AG81" s="944">
        <v>69.48</v>
      </c>
      <c r="AH81" s="947">
        <v>19.439999999999998</v>
      </c>
      <c r="AJ81" s="946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34"/>
      <c r="AY81" s="34"/>
    </row>
    <row r="82" spans="1:51" s="19" customFormat="1" ht="12.75" x14ac:dyDescent="0.2">
      <c r="A82" s="691" t="str">
        <f t="array" ref="A82:Z94">TRANSPOSE(O54:AA79)</f>
        <v>Ayguesvives M.J.C.</v>
      </c>
      <c r="B82" s="949" t="str">
        <v>zone 3</v>
      </c>
      <c r="C82" s="950" t="str">
        <v>Arrière PV</v>
      </c>
      <c r="D82" s="950" t="str">
        <v>Arbre 0</v>
      </c>
      <c r="E82" s="950" t="str">
        <v>Arbre 1</v>
      </c>
      <c r="F82" s="950" t="str">
        <v>Arbre 2</v>
      </c>
      <c r="G82" s="950" t="str">
        <v>Arbre 4</v>
      </c>
      <c r="H82" s="950" t="str">
        <v>Arbre 6</v>
      </c>
      <c r="I82" s="950" t="str">
        <v>Arbre 5</v>
      </c>
      <c r="J82" s="950" t="str">
        <v>Creux 1</v>
      </c>
      <c r="K82" s="950" t="str">
        <v>Arbre 7</v>
      </c>
      <c r="L82" s="950" t="str">
        <v>Arbre 8</v>
      </c>
      <c r="M82" s="950" t="str">
        <v>Arbre 9</v>
      </c>
      <c r="N82" s="950" t="str">
        <v>Arbre 10</v>
      </c>
      <c r="O82" s="950" t="str">
        <v>Arbre 11</v>
      </c>
      <c r="P82" s="950" t="str">
        <v>Creux 11</v>
      </c>
      <c r="Q82" s="950" t="str">
        <v>Arbre 12</v>
      </c>
      <c r="R82" s="950" t="str">
        <v>Arbre 13</v>
      </c>
      <c r="S82" s="950" t="str">
        <v>Arbre 14</v>
      </c>
      <c r="T82" s="950" t="str">
        <v>Arbre 15</v>
      </c>
      <c r="U82" s="950" t="str">
        <v>Arbre 16g</v>
      </c>
      <c r="V82" s="950" t="str">
        <v>Arbre 16d</v>
      </c>
      <c r="W82" s="950" t="str">
        <v>Arrière PV</v>
      </c>
      <c r="X82" s="950">
        <v>0</v>
      </c>
      <c r="Y82" s="950">
        <v>0</v>
      </c>
      <c r="Z82" s="950">
        <v>0</v>
      </c>
      <c r="AB82" s="1036"/>
      <c r="AG82" s="966">
        <v>69.760000000000005</v>
      </c>
      <c r="AH82" s="967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34"/>
      <c r="AY82" s="34"/>
    </row>
    <row r="83" spans="1:51" s="19" customFormat="1" ht="12.75" x14ac:dyDescent="0.2">
      <c r="A83" s="951">
        <v>31</v>
      </c>
      <c r="B83" s="952" t="str">
        <v>Azi.S / PV</v>
      </c>
      <c r="C83" s="953">
        <v>-149</v>
      </c>
      <c r="D83" s="705">
        <v>-118.26881984131998</v>
      </c>
      <c r="E83" s="705">
        <v>-93.287530562918846</v>
      </c>
      <c r="F83" s="705">
        <v>-81.547861665948432</v>
      </c>
      <c r="G83" s="705">
        <v>-74.046861665948427</v>
      </c>
      <c r="H83" s="705">
        <v>-59.503978544598461</v>
      </c>
      <c r="I83" s="705">
        <v>-52.002978544598463</v>
      </c>
      <c r="J83" s="705">
        <v>-39.773963243445856</v>
      </c>
      <c r="K83" s="705">
        <v>-28.200151590966815</v>
      </c>
      <c r="L83" s="705">
        <v>18.797716640584706</v>
      </c>
      <c r="M83" s="705">
        <v>28.177613142010973</v>
      </c>
      <c r="N83" s="705">
        <v>40.907333672612253</v>
      </c>
      <c r="O83" s="705">
        <v>48.408333672612251</v>
      </c>
      <c r="P83" s="705">
        <v>55.909333672612249</v>
      </c>
      <c r="Q83" s="705">
        <v>66.012662167926024</v>
      </c>
      <c r="R83" s="705">
        <v>80.936266015465804</v>
      </c>
      <c r="S83" s="705">
        <v>88.437266015465809</v>
      </c>
      <c r="T83" s="705">
        <v>99.090454257833656</v>
      </c>
      <c r="U83" s="705">
        <v>113.07584440449298</v>
      </c>
      <c r="V83" s="705">
        <v>158.21711544078732</v>
      </c>
      <c r="W83" s="705">
        <v>211</v>
      </c>
      <c r="X83" s="705">
        <v>211</v>
      </c>
      <c r="Y83" s="705">
        <v>211</v>
      </c>
      <c r="Z83" s="954">
        <v>211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34"/>
      <c r="AY83" s="34"/>
    </row>
    <row r="84" spans="1:51" s="19" customFormat="1" ht="12.75" x14ac:dyDescent="0.2">
      <c r="A84" s="955" t="str">
        <v>Elevation vue du champ PV zone: 3</v>
      </c>
      <c r="B84" s="956">
        <v>-5</v>
      </c>
      <c r="C84" s="827">
        <v>18.262889942194128</v>
      </c>
      <c r="D84" s="706">
        <v>8.7386403517664206</v>
      </c>
      <c r="E84" s="706">
        <v>3.5707224298381393</v>
      </c>
      <c r="F84" s="706">
        <v>7.3567148165347467</v>
      </c>
      <c r="G84" s="706">
        <v>4.5372584315783229</v>
      </c>
      <c r="H84" s="706">
        <v>7.0004743855215734</v>
      </c>
      <c r="I84" s="706">
        <v>3.012013273459905</v>
      </c>
      <c r="J84" s="706">
        <v>0.62885319369253168</v>
      </c>
      <c r="K84" s="706">
        <v>4.5225618168711677</v>
      </c>
      <c r="L84" s="706">
        <v>11.429301065951801</v>
      </c>
      <c r="M84" s="706">
        <v>9.0153888430585258</v>
      </c>
      <c r="N84" s="706">
        <v>7.7484951534619793</v>
      </c>
      <c r="O84" s="706">
        <v>6.9348322871289101</v>
      </c>
      <c r="P84" s="706">
        <v>5.6594022860321269</v>
      </c>
      <c r="Q84" s="706">
        <v>6.6760144786549249</v>
      </c>
      <c r="R84" s="706">
        <v>8.0287294773870617</v>
      </c>
      <c r="S84" s="706">
        <v>6.4844288849396099</v>
      </c>
      <c r="T84" s="706">
        <v>2.7991799196349891</v>
      </c>
      <c r="U84" s="706">
        <v>7.0324409900303078</v>
      </c>
      <c r="V84" s="706">
        <v>14.098531828668172</v>
      </c>
      <c r="W84" s="706">
        <v>18.262889942194128</v>
      </c>
      <c r="X84" s="706">
        <v>18.262889942194128</v>
      </c>
      <c r="Y84" s="706">
        <v>18.262889942194128</v>
      </c>
      <c r="Z84" s="957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34"/>
      <c r="AY84" s="34"/>
    </row>
    <row r="85" spans="1:51" s="19" customFormat="1" ht="12.75" x14ac:dyDescent="0.2">
      <c r="A85" s="958">
        <v>0</v>
      </c>
      <c r="B85" s="956">
        <v>-4</v>
      </c>
      <c r="C85" s="695">
        <v>18.262889942194128</v>
      </c>
      <c r="D85" s="698">
        <v>8.7386403517664206</v>
      </c>
      <c r="E85" s="698">
        <v>4.36616608849247</v>
      </c>
      <c r="F85" s="698">
        <v>8.3871599499978</v>
      </c>
      <c r="G85" s="698">
        <v>4.910598394697109</v>
      </c>
      <c r="H85" s="698">
        <v>7.4684189081930183</v>
      </c>
      <c r="I85" s="698">
        <v>4.1193514934517932</v>
      </c>
      <c r="J85" s="698">
        <v>1.1098014558686151</v>
      </c>
      <c r="K85" s="698">
        <v>4.5225618168711677</v>
      </c>
      <c r="L85" s="698">
        <v>11.970276240575672</v>
      </c>
      <c r="M85" s="698">
        <v>9.0153888430585258</v>
      </c>
      <c r="N85" s="698">
        <v>7.7484951534619793</v>
      </c>
      <c r="O85" s="698">
        <v>7.3661743265498982</v>
      </c>
      <c r="P85" s="698">
        <v>5.6594022860321269</v>
      </c>
      <c r="Q85" s="698">
        <v>7.2422878798236123</v>
      </c>
      <c r="R85" s="698">
        <v>8.4513340464803228</v>
      </c>
      <c r="S85" s="698">
        <v>6.8012061450798527</v>
      </c>
      <c r="T85" s="698">
        <v>2.7991799196349891</v>
      </c>
      <c r="U85" s="698">
        <v>8.9964537373305724</v>
      </c>
      <c r="V85" s="698">
        <v>15.929131310890588</v>
      </c>
      <c r="W85" s="698">
        <v>18.262889942194128</v>
      </c>
      <c r="X85" s="698">
        <v>18.262889942194128</v>
      </c>
      <c r="Y85" s="698">
        <v>18.262889942194128</v>
      </c>
      <c r="Z85" s="959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34"/>
      <c r="AY85" s="34"/>
    </row>
    <row r="86" spans="1:51" s="19" customFormat="1" ht="12.75" x14ac:dyDescent="0.2">
      <c r="A86" s="958">
        <v>0</v>
      </c>
      <c r="B86" s="956">
        <v>-3</v>
      </c>
      <c r="C86" s="695">
        <v>18.262889942194128</v>
      </c>
      <c r="D86" s="698">
        <v>8.7386403517664206</v>
      </c>
      <c r="E86" s="698">
        <v>5.159927080396681</v>
      </c>
      <c r="F86" s="698">
        <v>9.4121697821024224</v>
      </c>
      <c r="G86" s="698">
        <v>5.2835208148375132</v>
      </c>
      <c r="H86" s="698">
        <v>7.9353635850784139</v>
      </c>
      <c r="I86" s="698">
        <v>5.2236160078467071</v>
      </c>
      <c r="J86" s="698">
        <v>1.6024311786423358</v>
      </c>
      <c r="K86" s="698">
        <v>4.5225618168711677</v>
      </c>
      <c r="L86" s="698">
        <v>12.509094270219299</v>
      </c>
      <c r="M86" s="698">
        <v>9.0153888430585258</v>
      </c>
      <c r="N86" s="698">
        <v>7.7484951534619793</v>
      </c>
      <c r="O86" s="698">
        <v>7.7966784129979265</v>
      </c>
      <c r="P86" s="698">
        <v>5.6594022860321269</v>
      </c>
      <c r="Q86" s="698">
        <v>7.807142449410251</v>
      </c>
      <c r="R86" s="698">
        <v>8.8730143741027341</v>
      </c>
      <c r="S86" s="698">
        <v>7.1175662012474268</v>
      </c>
      <c r="T86" s="698">
        <v>3.5189002585329843</v>
      </c>
      <c r="U86" s="698">
        <v>10.939386049859674</v>
      </c>
      <c r="V86" s="698">
        <v>17.726953926831712</v>
      </c>
      <c r="W86" s="698">
        <v>18.262889942194128</v>
      </c>
      <c r="X86" s="698">
        <v>18.262889942194128</v>
      </c>
      <c r="Y86" s="698">
        <v>18.262889942194128</v>
      </c>
      <c r="Z86" s="959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34"/>
      <c r="AY86" s="34"/>
    </row>
    <row r="87" spans="1:51" s="19" customFormat="1" ht="12.75" x14ac:dyDescent="0.2">
      <c r="A87" s="958">
        <v>0</v>
      </c>
      <c r="B87" s="956">
        <v>-2</v>
      </c>
      <c r="C87" s="695">
        <v>18.262889942194128</v>
      </c>
      <c r="D87" s="698">
        <v>8.7386403517664206</v>
      </c>
      <c r="E87" s="698">
        <v>5.9517071327857822</v>
      </c>
      <c r="F87" s="698">
        <v>10.431136679475404</v>
      </c>
      <c r="G87" s="698">
        <v>5.655994851094194</v>
      </c>
      <c r="H87" s="698">
        <v>8.4012497967401547</v>
      </c>
      <c r="I87" s="698">
        <v>6.3240032468117446</v>
      </c>
      <c r="J87" s="698">
        <v>2.0948240374306644</v>
      </c>
      <c r="K87" s="698">
        <v>4.970412922042371</v>
      </c>
      <c r="L87" s="698">
        <v>13.045673311762014</v>
      </c>
      <c r="M87" s="698">
        <v>9.0153888430585258</v>
      </c>
      <c r="N87" s="698">
        <v>7.9049218109722688</v>
      </c>
      <c r="O87" s="698">
        <v>8.226298523696741</v>
      </c>
      <c r="P87" s="698">
        <v>5.7136548086502774</v>
      </c>
      <c r="Q87" s="698">
        <v>8.3704741477911888</v>
      </c>
      <c r="R87" s="698">
        <v>9.2937279624196822</v>
      </c>
      <c r="S87" s="698">
        <v>7.4334906264384299</v>
      </c>
      <c r="T87" s="698">
        <v>4.5910357814436322</v>
      </c>
      <c r="U87" s="698">
        <v>12.857188080689543</v>
      </c>
      <c r="V87" s="698">
        <v>19.48943176504379</v>
      </c>
      <c r="W87" s="698">
        <v>18.262889942194128</v>
      </c>
      <c r="X87" s="698">
        <v>18.262889942194128</v>
      </c>
      <c r="Y87" s="698">
        <v>18.262889942194128</v>
      </c>
      <c r="Z87" s="959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34"/>
      <c r="AY87" s="34"/>
    </row>
    <row r="88" spans="1:51" s="19" customFormat="1" ht="12.75" x14ac:dyDescent="0.2">
      <c r="A88" s="958">
        <v>0</v>
      </c>
      <c r="B88" s="960">
        <v>-1</v>
      </c>
      <c r="C88" s="695">
        <v>18.262889942194128</v>
      </c>
      <c r="D88" s="698">
        <v>8.7386403517664206</v>
      </c>
      <c r="E88" s="698">
        <v>6.7412124839181695</v>
      </c>
      <c r="F88" s="698">
        <v>11.443475424226667</v>
      </c>
      <c r="G88" s="698">
        <v>6.0279898882509597</v>
      </c>
      <c r="H88" s="698">
        <v>8.8660197489157646</v>
      </c>
      <c r="I88" s="698">
        <v>7.419726697947195</v>
      </c>
      <c r="J88" s="698">
        <v>2.5869075351100363</v>
      </c>
      <c r="K88" s="698">
        <v>5.5845147708565372</v>
      </c>
      <c r="L88" s="698">
        <v>13.579933771313311</v>
      </c>
      <c r="M88" s="698">
        <v>9.0153888430585258</v>
      </c>
      <c r="N88" s="698">
        <v>8.3224437346718396</v>
      </c>
      <c r="O88" s="698">
        <v>8.6549892221994487</v>
      </c>
      <c r="P88" s="698">
        <v>5.9530171209703653</v>
      </c>
      <c r="Q88" s="698">
        <v>8.9321806728449644</v>
      </c>
      <c r="R88" s="698">
        <v>9.7134329251398004</v>
      </c>
      <c r="S88" s="698">
        <v>7.748961150306986</v>
      </c>
      <c r="T88" s="698">
        <v>5.6599593299650222</v>
      </c>
      <c r="U88" s="698">
        <v>14.746138381315948</v>
      </c>
      <c r="V88" s="698">
        <v>21.214363663326118</v>
      </c>
      <c r="W88" s="698">
        <v>18.262889942194128</v>
      </c>
      <c r="X88" s="698">
        <v>18.262889942194128</v>
      </c>
      <c r="Y88" s="698">
        <v>18.262889942194128</v>
      </c>
      <c r="Z88" s="959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34"/>
      <c r="AY88" s="34"/>
    </row>
    <row r="89" spans="1:51" s="19" customFormat="1" ht="12.75" x14ac:dyDescent="0.2">
      <c r="A89" s="958">
        <v>0</v>
      </c>
      <c r="B89" s="956">
        <v>0</v>
      </c>
      <c r="C89" s="961">
        <v>18.262889942194128</v>
      </c>
      <c r="D89" s="687">
        <v>8.7386403517664206</v>
      </c>
      <c r="E89" s="687">
        <v>7.5281545102070151</v>
      </c>
      <c r="F89" s="687">
        <v>12.448624921472284</v>
      </c>
      <c r="G89" s="687">
        <v>6.3994755512864687</v>
      </c>
      <c r="H89" s="687">
        <v>9.3296165114188003</v>
      </c>
      <c r="I89" s="687">
        <v>8.5100201276338456</v>
      </c>
      <c r="J89" s="687">
        <v>3.0786094481243071</v>
      </c>
      <c r="K89" s="687">
        <v>6.1973322104074784</v>
      </c>
      <c r="L89" s="687">
        <v>14.111798353635075</v>
      </c>
      <c r="M89" s="687">
        <v>9.0206763649251336</v>
      </c>
      <c r="N89" s="687">
        <v>8.739077416849435</v>
      </c>
      <c r="O89" s="687">
        <v>9.0827056845837504</v>
      </c>
      <c r="P89" s="687">
        <v>6.1921710708788238</v>
      </c>
      <c r="Q89" s="687">
        <v>9.4921615609888601</v>
      </c>
      <c r="R89" s="687">
        <v>10.132088009456579</v>
      </c>
      <c r="S89" s="687">
        <v>8.0639596650400467</v>
      </c>
      <c r="T89" s="687">
        <v>6.7249450736620826</v>
      </c>
      <c r="U89" s="687">
        <v>16.602876539755652</v>
      </c>
      <c r="V89" s="687">
        <v>22.899912769272056</v>
      </c>
      <c r="W89" s="687">
        <v>18.262889942194128</v>
      </c>
      <c r="X89" s="687">
        <v>18.262889942194128</v>
      </c>
      <c r="Y89" s="687">
        <v>18.262889942194128</v>
      </c>
      <c r="Z89" s="697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34"/>
      <c r="AY89" s="34"/>
    </row>
    <row r="90" spans="1:51" s="19" customFormat="1" ht="12.75" x14ac:dyDescent="0.2">
      <c r="A90" s="958">
        <v>0</v>
      </c>
      <c r="B90" s="962">
        <v>1</v>
      </c>
      <c r="C90" s="695">
        <v>18.262889942194128</v>
      </c>
      <c r="D90" s="698">
        <v>8.7386403517664206</v>
      </c>
      <c r="E90" s="698">
        <v>8.3122503247913198</v>
      </c>
      <c r="F90" s="698">
        <v>13.446049698253038</v>
      </c>
      <c r="G90" s="698">
        <v>6.7704217195828988</v>
      </c>
      <c r="H90" s="698">
        <v>9.791984055418844</v>
      </c>
      <c r="I90" s="698">
        <v>9.5941405860110933</v>
      </c>
      <c r="J90" s="698">
        <v>3.5698578896413595</v>
      </c>
      <c r="K90" s="698">
        <v>6.8087295270504757</v>
      </c>
      <c r="L90" s="698">
        <v>14.641192106323428</v>
      </c>
      <c r="M90" s="698">
        <v>9.4475078036353768</v>
      </c>
      <c r="N90" s="698">
        <v>9.1547817735237746</v>
      </c>
      <c r="O90" s="698">
        <v>9.509403724667564</v>
      </c>
      <c r="P90" s="698">
        <v>6.4311086081755855</v>
      </c>
      <c r="Q90" s="698">
        <v>10.050318283174601</v>
      </c>
      <c r="R90" s="698">
        <v>10.549652617033024</v>
      </c>
      <c r="S90" s="698">
        <v>8.3784682310901104</v>
      </c>
      <c r="T90" s="698">
        <v>7.7852833892403233</v>
      </c>
      <c r="U90" s="698">
        <v>18.424425434405645</v>
      </c>
      <c r="V90" s="698">
        <v>24.544597189019584</v>
      </c>
      <c r="W90" s="698">
        <v>18.262889942194128</v>
      </c>
      <c r="X90" s="698">
        <v>18.262889942194128</v>
      </c>
      <c r="Y90" s="698">
        <v>18.262889942194128</v>
      </c>
      <c r="Z90" s="959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34"/>
      <c r="AY90" s="34"/>
    </row>
    <row r="91" spans="1:51" s="19" customFormat="1" ht="12.75" x14ac:dyDescent="0.2">
      <c r="A91" s="958">
        <v>0</v>
      </c>
      <c r="B91" s="956">
        <v>2</v>
      </c>
      <c r="C91" s="695">
        <v>18.262889942194128</v>
      </c>
      <c r="D91" s="698">
        <v>8.7386403517664206</v>
      </c>
      <c r="E91" s="698">
        <v>9.0932233446522392</v>
      </c>
      <c r="F91" s="698">
        <v>14.435241187971304</v>
      </c>
      <c r="G91" s="698">
        <v>7.140798540821832</v>
      </c>
      <c r="H91" s="698">
        <v>10.253067289049739</v>
      </c>
      <c r="I91" s="698">
        <v>10.671371168592326</v>
      </c>
      <c r="J91" s="698">
        <v>4.0605813719691692</v>
      </c>
      <c r="K91" s="698">
        <v>7.418572928487527</v>
      </c>
      <c r="L91" s="698">
        <v>15.168042458767063</v>
      </c>
      <c r="M91" s="698">
        <v>9.8732836589655246</v>
      </c>
      <c r="N91" s="698">
        <v>9.5695162950763688</v>
      </c>
      <c r="O91" s="698">
        <v>9.9350398182149977</v>
      </c>
      <c r="P91" s="698">
        <v>6.6698217273303388</v>
      </c>
      <c r="Q91" s="698">
        <v>10.606554335652088</v>
      </c>
      <c r="R91" s="698">
        <v>10.966086824008849</v>
      </c>
      <c r="S91" s="698">
        <v>8.6924690827618729</v>
      </c>
      <c r="T91" s="698">
        <v>8.8402835497906658</v>
      </c>
      <c r="U91" s="698">
        <v>20.208203329433786</v>
      </c>
      <c r="V91" s="698">
        <v>26.147274852494878</v>
      </c>
      <c r="W91" s="698">
        <v>18.262889942194128</v>
      </c>
      <c r="X91" s="698">
        <v>18.262889942194128</v>
      </c>
      <c r="Y91" s="698">
        <v>18.262889942194128</v>
      </c>
      <c r="Z91" s="959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34"/>
      <c r="AY91" s="34"/>
    </row>
    <row r="92" spans="1:51" s="19" customFormat="1" ht="12.75" x14ac:dyDescent="0.2">
      <c r="A92" s="958">
        <v>0</v>
      </c>
      <c r="B92" s="956">
        <v>3</v>
      </c>
      <c r="C92" s="695">
        <v>18.262889942194128</v>
      </c>
      <c r="D92" s="698">
        <v>8.7386403517664206</v>
      </c>
      <c r="E92" s="698">
        <v>9.8708038236952174</v>
      </c>
      <c r="F92" s="698">
        <v>15.415718797578382</v>
      </c>
      <c r="G92" s="698">
        <v>7.5105764445523944</v>
      </c>
      <c r="H92" s="698">
        <v>10.712812091300634</v>
      </c>
      <c r="I92" s="698">
        <v>11.741023512143105</v>
      </c>
      <c r="J92" s="698">
        <v>4.5507088680973009</v>
      </c>
      <c r="K92" s="698">
        <v>8.0267307093698896</v>
      </c>
      <c r="L92" s="698">
        <v>15.692279255918018</v>
      </c>
      <c r="M92" s="698">
        <v>10.297960996083347</v>
      </c>
      <c r="N92" s="698">
        <v>9.9832410671263769</v>
      </c>
      <c r="O92" s="698">
        <v>10.359571126105559</v>
      </c>
      <c r="P92" s="698">
        <v>6.9083024690058803</v>
      </c>
      <c r="Q92" s="698">
        <v>11.160775325335544</v>
      </c>
      <c r="R92" s="698">
        <v>11.381351400012351</v>
      </c>
      <c r="S92" s="698">
        <v>9.0059446336489355</v>
      </c>
      <c r="T92" s="698">
        <v>9.8892762259112814</v>
      </c>
      <c r="U92" s="698">
        <v>21.952026465709157</v>
      </c>
      <c r="V92" s="698">
        <v>27.70712378308766</v>
      </c>
      <c r="W92" s="698">
        <v>18.262889942194128</v>
      </c>
      <c r="X92" s="698">
        <v>18.262889942194128</v>
      </c>
      <c r="Y92" s="698">
        <v>18.262889942194128</v>
      </c>
      <c r="Z92" s="959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34"/>
      <c r="AY92" s="34"/>
    </row>
    <row r="93" spans="1:51" s="19" customFormat="1" ht="12.75" x14ac:dyDescent="0.2">
      <c r="A93" s="958">
        <v>0</v>
      </c>
      <c r="B93" s="956">
        <v>4</v>
      </c>
      <c r="C93" s="695">
        <v>18.262889942194128</v>
      </c>
      <c r="D93" s="698">
        <v>8.7386403517664206</v>
      </c>
      <c r="E93" s="698">
        <v>10.64472934955233</v>
      </c>
      <c r="F93" s="698">
        <v>16.387030757723661</v>
      </c>
      <c r="G93" s="698">
        <v>7.8797261554173312</v>
      </c>
      <c r="H93" s="698">
        <v>11.17116534415017</v>
      </c>
      <c r="I93" s="698">
        <v>12.802440007325412</v>
      </c>
      <c r="J93" s="698">
        <v>5.0401698722333563</v>
      </c>
      <c r="K93" s="698">
        <v>8.6330734100342159</v>
      </c>
      <c r="L93" s="698">
        <v>16.2138347869295</v>
      </c>
      <c r="M93" s="698">
        <v>10.721497584122352</v>
      </c>
      <c r="N93" s="698">
        <v>10.395916790525702</v>
      </c>
      <c r="O93" s="698">
        <v>10.782955516442353</v>
      </c>
      <c r="P93" s="698">
        <v>7.146542921558118</v>
      </c>
      <c r="Q93" s="698">
        <v>11.712889049631936</v>
      </c>
      <c r="R93" s="698">
        <v>11.795407826161643</v>
      </c>
      <c r="S93" s="698">
        <v>9.3188774819170686</v>
      </c>
      <c r="T93" s="698">
        <v>10.931615778268961</v>
      </c>
      <c r="U93" s="698">
        <v>23.654103134505235</v>
      </c>
      <c r="V93" s="698">
        <v>29.223618948864836</v>
      </c>
      <c r="W93" s="698">
        <v>18.262889942194128</v>
      </c>
      <c r="X93" s="698">
        <v>18.262889942194128</v>
      </c>
      <c r="Y93" s="698">
        <v>18.262889942194128</v>
      </c>
      <c r="Z93" s="959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34"/>
      <c r="AY93" s="34"/>
    </row>
    <row r="94" spans="1:51" s="19" customFormat="1" ht="12.75" x14ac:dyDescent="0.2">
      <c r="A94" s="963">
        <v>0.33</v>
      </c>
      <c r="B94" s="956">
        <v>5</v>
      </c>
      <c r="C94" s="964">
        <v>18.262889942194128</v>
      </c>
      <c r="D94" s="707">
        <v>8.7386403517664206</v>
      </c>
      <c r="E94" s="707">
        <v>11.414745302206452</v>
      </c>
      <c r="F94" s="707">
        <v>17.348754758868733</v>
      </c>
      <c r="G94" s="707">
        <v>8.2482187060235059</v>
      </c>
      <c r="H94" s="707">
        <v>11.628074962909679</v>
      </c>
      <c r="I94" s="707">
        <v>13.854995715609737</v>
      </c>
      <c r="J94" s="707">
        <v>5.5288944592079927</v>
      </c>
      <c r="K94" s="707">
        <v>9.2374739679377225</v>
      </c>
      <c r="L94" s="707">
        <v>16.732643808732352</v>
      </c>
      <c r="M94" s="707">
        <v>11.143851917361872</v>
      </c>
      <c r="N94" s="707">
        <v>10.807504800454717</v>
      </c>
      <c r="O94" s="707">
        <v>11.205151585577992</v>
      </c>
      <c r="P94" s="707">
        <v>7.3845352225120671</v>
      </c>
      <c r="Q94" s="707">
        <v>12.26280557061747</v>
      </c>
      <c r="R94" s="707">
        <v>12.208218312042565</v>
      </c>
      <c r="S94" s="707">
        <v>9.6312504154306477</v>
      </c>
      <c r="T94" s="707">
        <v>11.966682324843603</v>
      </c>
      <c r="U94" s="707">
        <v>25.313020449896406</v>
      </c>
      <c r="V94" s="707">
        <v>30.696506805555344</v>
      </c>
      <c r="W94" s="707">
        <v>18.262889942194128</v>
      </c>
      <c r="X94" s="707">
        <v>18.262889942194128</v>
      </c>
      <c r="Y94" s="707">
        <v>18.262889942194128</v>
      </c>
      <c r="Z94" s="965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34"/>
      <c r="AY94" s="34"/>
    </row>
    <row r="96" spans="1:51" s="677" customFormat="1" x14ac:dyDescent="0.25">
      <c r="A96" s="1121" t="s">
        <v>305</v>
      </c>
      <c r="F96" s="1020"/>
      <c r="G96" s="1021"/>
      <c r="H96" s="699"/>
      <c r="I96" s="1121" t="s">
        <v>304</v>
      </c>
      <c r="N96" s="1020"/>
      <c r="Q96" s="1121" t="s">
        <v>303</v>
      </c>
      <c r="V96" s="1020"/>
      <c r="W96" s="1021"/>
      <c r="X96" s="699"/>
      <c r="Y96" s="1121" t="s">
        <v>340</v>
      </c>
      <c r="AD96" s="1020"/>
      <c r="AE96" s="1021"/>
      <c r="AF96" s="699"/>
      <c r="AG96" s="1121" t="s">
        <v>341</v>
      </c>
      <c r="AL96" s="1020"/>
      <c r="AO96" s="1121" t="s">
        <v>342</v>
      </c>
      <c r="AT96" s="1020"/>
      <c r="AU96" s="1068"/>
      <c r="AV96" s="1068"/>
      <c r="AW96" s="1068"/>
      <c r="AX96" s="1106"/>
      <c r="AY96" s="1106"/>
    </row>
    <row r="97" spans="1:51" s="19" customFormat="1" ht="12.75" x14ac:dyDescent="0.2">
      <c r="A97" s="1015" t="s">
        <v>157</v>
      </c>
      <c r="B97" s="1016"/>
      <c r="C97" s="1017"/>
      <c r="D97" s="1018"/>
      <c r="E97" s="1018"/>
      <c r="F97" s="1019"/>
      <c r="G97" s="29"/>
      <c r="H97" s="31"/>
      <c r="I97" s="1015" t="s">
        <v>157</v>
      </c>
      <c r="J97" s="1016"/>
      <c r="K97" s="1017"/>
      <c r="L97" s="1018"/>
      <c r="M97" s="1018"/>
      <c r="N97" s="1019"/>
      <c r="Q97" s="1015" t="s">
        <v>157</v>
      </c>
      <c r="R97" s="1016"/>
      <c r="S97" s="1017"/>
      <c r="T97" s="1018"/>
      <c r="U97" s="1018"/>
      <c r="V97" s="1019"/>
      <c r="W97" s="29"/>
      <c r="X97" s="704"/>
      <c r="Y97" s="1015" t="s">
        <v>157</v>
      </c>
      <c r="Z97" s="1016"/>
      <c r="AA97" s="1017"/>
      <c r="AB97" s="1018"/>
      <c r="AC97" s="1018"/>
      <c r="AD97" s="1019"/>
      <c r="AE97" s="29"/>
      <c r="AF97" s="31"/>
      <c r="AG97" s="1015" t="s">
        <v>157</v>
      </c>
      <c r="AH97" s="1016"/>
      <c r="AI97" s="1017"/>
      <c r="AJ97" s="1018"/>
      <c r="AK97" s="1018"/>
      <c r="AL97" s="1019"/>
      <c r="AO97" s="1015" t="s">
        <v>157</v>
      </c>
      <c r="AP97" s="1016"/>
      <c r="AQ97" s="1017"/>
      <c r="AR97" s="1018"/>
      <c r="AS97" s="1018"/>
      <c r="AT97" s="1019"/>
      <c r="AU97" s="83"/>
      <c r="AV97" s="83"/>
      <c r="AW97" s="83"/>
      <c r="AX97" s="34"/>
      <c r="AY97" s="34"/>
    </row>
    <row r="98" spans="1:51" s="19" customFormat="1" ht="12.75" x14ac:dyDescent="0.2">
      <c r="A98" s="927" t="s">
        <v>368</v>
      </c>
      <c r="B98" s="925">
        <v>1</v>
      </c>
      <c r="C98" s="984">
        <v>2.25</v>
      </c>
      <c r="D98" s="926">
        <v>6578.73</v>
      </c>
      <c r="E98" s="926">
        <v>488.23</v>
      </c>
      <c r="F98" s="986"/>
      <c r="G98" s="29"/>
      <c r="H98" s="31"/>
      <c r="I98" s="927" t="s">
        <v>368</v>
      </c>
      <c r="J98" s="925">
        <v>1</v>
      </c>
      <c r="K98" s="984">
        <v>2.25</v>
      </c>
      <c r="L98" s="926">
        <v>6578.73</v>
      </c>
      <c r="M98" s="926">
        <v>488.23</v>
      </c>
      <c r="N98" s="986"/>
      <c r="Q98" s="927" t="s">
        <v>368</v>
      </c>
      <c r="R98" s="925">
        <v>1</v>
      </c>
      <c r="S98" s="984">
        <v>2.25</v>
      </c>
      <c r="T98" s="926">
        <v>6578.73</v>
      </c>
      <c r="U98" s="926">
        <v>488.23</v>
      </c>
      <c r="V98" s="986"/>
      <c r="W98" s="29"/>
      <c r="X98" s="704"/>
      <c r="Y98" s="927" t="s">
        <v>329</v>
      </c>
      <c r="Z98" s="925">
        <v>1</v>
      </c>
      <c r="AA98" s="984">
        <v>-0.37</v>
      </c>
      <c r="AB98" s="926">
        <v>6512.91</v>
      </c>
      <c r="AC98" s="926">
        <v>442.28</v>
      </c>
      <c r="AD98" s="986"/>
      <c r="AE98" s="29"/>
      <c r="AF98" s="31"/>
      <c r="AG98" s="927" t="s">
        <v>329</v>
      </c>
      <c r="AH98" s="925">
        <v>1</v>
      </c>
      <c r="AI98" s="984">
        <v>-0.37</v>
      </c>
      <c r="AJ98" s="926">
        <v>6512.91</v>
      </c>
      <c r="AK98" s="926">
        <v>442.28</v>
      </c>
      <c r="AL98" s="986"/>
      <c r="AO98" s="927" t="s">
        <v>329</v>
      </c>
      <c r="AP98" s="925">
        <v>1</v>
      </c>
      <c r="AQ98" s="984">
        <v>-0.37</v>
      </c>
      <c r="AR98" s="926">
        <v>6512.91</v>
      </c>
      <c r="AS98" s="926">
        <v>442.28</v>
      </c>
      <c r="AT98" s="986"/>
      <c r="AU98" s="83"/>
      <c r="AV98" s="83"/>
      <c r="AW98" s="83"/>
      <c r="AX98" s="34"/>
      <c r="AY98" s="34"/>
    </row>
    <row r="99" spans="1:51" s="19" customFormat="1" ht="12.75" x14ac:dyDescent="0.2">
      <c r="A99" s="927" t="s">
        <v>352</v>
      </c>
      <c r="B99" s="925">
        <v>1</v>
      </c>
      <c r="C99" s="984">
        <v>2.25</v>
      </c>
      <c r="D99" s="926">
        <v>6560.4</v>
      </c>
      <c r="E99" s="926">
        <v>444</v>
      </c>
      <c r="F99" s="986"/>
      <c r="G99" s="29"/>
      <c r="H99" s="31"/>
      <c r="I99" s="927" t="s">
        <v>352</v>
      </c>
      <c r="J99" s="925">
        <v>1</v>
      </c>
      <c r="K99" s="984">
        <v>2.25</v>
      </c>
      <c r="L99" s="926">
        <v>6560.4</v>
      </c>
      <c r="M99" s="926">
        <v>444</v>
      </c>
      <c r="N99" s="986"/>
      <c r="Q99" s="927" t="s">
        <v>352</v>
      </c>
      <c r="R99" s="925">
        <v>1</v>
      </c>
      <c r="S99" s="984">
        <v>2.25</v>
      </c>
      <c r="T99" s="926">
        <v>6560.4</v>
      </c>
      <c r="U99" s="926">
        <v>444</v>
      </c>
      <c r="V99" s="986"/>
      <c r="W99" s="29"/>
      <c r="X99" s="704"/>
      <c r="Y99" s="927" t="s">
        <v>320</v>
      </c>
      <c r="Z99" s="925">
        <v>1</v>
      </c>
      <c r="AA99" s="984">
        <v>-0.21</v>
      </c>
      <c r="AB99" s="926">
        <v>6511.59</v>
      </c>
      <c r="AC99" s="926">
        <v>434.49</v>
      </c>
      <c r="AD99" s="986"/>
      <c r="AE99" s="29"/>
      <c r="AF99" s="31"/>
      <c r="AG99" s="927" t="s">
        <v>320</v>
      </c>
      <c r="AH99" s="925">
        <v>1</v>
      </c>
      <c r="AI99" s="984">
        <v>-0.21</v>
      </c>
      <c r="AJ99" s="926">
        <v>6511.59</v>
      </c>
      <c r="AK99" s="926">
        <v>434.49</v>
      </c>
      <c r="AL99" s="986"/>
      <c r="AO99" s="927" t="s">
        <v>320</v>
      </c>
      <c r="AP99" s="925">
        <v>1</v>
      </c>
      <c r="AQ99" s="984">
        <v>-0.21</v>
      </c>
      <c r="AR99" s="926">
        <v>6511.59</v>
      </c>
      <c r="AS99" s="926">
        <v>434.49</v>
      </c>
      <c r="AT99" s="986"/>
      <c r="AU99" s="83"/>
      <c r="AV99" s="83"/>
      <c r="AW99" s="83"/>
      <c r="AX99" s="34"/>
      <c r="AY99" s="34"/>
    </row>
    <row r="100" spans="1:51" s="19" customFormat="1" ht="12.75" x14ac:dyDescent="0.2">
      <c r="A100" s="927" t="s">
        <v>353</v>
      </c>
      <c r="B100" s="925">
        <v>1</v>
      </c>
      <c r="C100" s="984">
        <v>3.3</v>
      </c>
      <c r="D100" s="926">
        <v>6542.8</v>
      </c>
      <c r="E100" s="926">
        <v>431.87</v>
      </c>
      <c r="F100" s="986" t="s">
        <v>135</v>
      </c>
      <c r="G100" s="29"/>
      <c r="H100" s="31"/>
      <c r="I100" s="927" t="s">
        <v>353</v>
      </c>
      <c r="J100" s="925">
        <v>1</v>
      </c>
      <c r="K100" s="984">
        <v>3.3</v>
      </c>
      <c r="L100" s="926">
        <v>6542.8</v>
      </c>
      <c r="M100" s="926">
        <v>431.87</v>
      </c>
      <c r="N100" s="986"/>
      <c r="Q100" s="927" t="s">
        <v>353</v>
      </c>
      <c r="R100" s="925">
        <v>1</v>
      </c>
      <c r="S100" s="984">
        <v>3.3</v>
      </c>
      <c r="T100" s="926">
        <v>6542.8</v>
      </c>
      <c r="U100" s="926">
        <v>431.87</v>
      </c>
      <c r="V100" s="986" t="s">
        <v>135</v>
      </c>
      <c r="W100" s="29"/>
      <c r="X100" s="704"/>
      <c r="Y100" s="927" t="s">
        <v>321</v>
      </c>
      <c r="Z100" s="925">
        <v>1</v>
      </c>
      <c r="AA100" s="984">
        <v>-0.13</v>
      </c>
      <c r="AB100" s="926">
        <v>6509.03</v>
      </c>
      <c r="AC100" s="926">
        <v>427.77</v>
      </c>
      <c r="AD100" s="986"/>
      <c r="AE100" s="29"/>
      <c r="AF100" s="31"/>
      <c r="AG100" s="927" t="s">
        <v>321</v>
      </c>
      <c r="AH100" s="925">
        <v>1</v>
      </c>
      <c r="AI100" s="984">
        <v>-0.13</v>
      </c>
      <c r="AJ100" s="926">
        <v>6509.03</v>
      </c>
      <c r="AK100" s="926">
        <v>427.77</v>
      </c>
      <c r="AL100" s="986"/>
      <c r="AO100" s="927" t="s">
        <v>321</v>
      </c>
      <c r="AP100" s="925">
        <v>1</v>
      </c>
      <c r="AQ100" s="984">
        <v>-0.13</v>
      </c>
      <c r="AR100" s="926">
        <v>6509.03</v>
      </c>
      <c r="AS100" s="926">
        <v>427.77</v>
      </c>
      <c r="AT100" s="986"/>
      <c r="AU100" s="83"/>
      <c r="AV100" s="83"/>
      <c r="AW100" s="83"/>
      <c r="AX100" s="34"/>
      <c r="AY100" s="34"/>
    </row>
    <row r="101" spans="1:51" s="19" customFormat="1" ht="12.75" x14ac:dyDescent="0.2">
      <c r="A101" s="927" t="s">
        <v>355</v>
      </c>
      <c r="B101" s="925">
        <v>1</v>
      </c>
      <c r="C101" s="984">
        <v>3.1</v>
      </c>
      <c r="D101" s="926">
        <v>6635.9</v>
      </c>
      <c r="E101" s="926">
        <v>399.82</v>
      </c>
      <c r="F101" s="986"/>
      <c r="G101" s="29"/>
      <c r="H101" s="31"/>
      <c r="I101" s="927" t="s">
        <v>355</v>
      </c>
      <c r="J101" s="925">
        <v>1</v>
      </c>
      <c r="K101" s="984">
        <v>3.1</v>
      </c>
      <c r="L101" s="926">
        <v>6635.9</v>
      </c>
      <c r="M101" s="926">
        <v>399.82</v>
      </c>
      <c r="N101" s="986"/>
      <c r="Q101" s="927" t="s">
        <v>355</v>
      </c>
      <c r="R101" s="925">
        <v>1</v>
      </c>
      <c r="S101" s="984">
        <v>3.1</v>
      </c>
      <c r="T101" s="926">
        <v>6635.9</v>
      </c>
      <c r="U101" s="926">
        <v>399.82</v>
      </c>
      <c r="V101" s="986"/>
      <c r="W101" s="29"/>
      <c r="X101" s="704"/>
      <c r="Y101" s="927" t="s">
        <v>332</v>
      </c>
      <c r="Z101" s="925"/>
      <c r="AA101" s="984"/>
      <c r="AB101" s="926">
        <v>6501.78</v>
      </c>
      <c r="AC101" s="926">
        <v>425.67</v>
      </c>
      <c r="AD101" s="986" t="s">
        <v>135</v>
      </c>
      <c r="AE101" s="29"/>
      <c r="AF101" s="31"/>
      <c r="AG101" s="927" t="s">
        <v>332</v>
      </c>
      <c r="AH101" s="925"/>
      <c r="AI101" s="984"/>
      <c r="AJ101" s="926">
        <v>6501.78</v>
      </c>
      <c r="AK101" s="926">
        <v>425.67</v>
      </c>
      <c r="AL101" s="986" t="s">
        <v>279</v>
      </c>
      <c r="AO101" s="927" t="s">
        <v>332</v>
      </c>
      <c r="AP101" s="925"/>
      <c r="AQ101" s="984"/>
      <c r="AR101" s="926">
        <v>6501.78</v>
      </c>
      <c r="AS101" s="926">
        <v>425.67</v>
      </c>
      <c r="AT101" s="986" t="s">
        <v>279</v>
      </c>
      <c r="AU101" s="83"/>
      <c r="AV101" s="83"/>
      <c r="AW101" s="83"/>
      <c r="AX101" s="34"/>
      <c r="AY101" s="34"/>
    </row>
    <row r="102" spans="1:51" s="19" customFormat="1" ht="12.75" x14ac:dyDescent="0.2">
      <c r="A102" s="927" t="s">
        <v>357</v>
      </c>
      <c r="B102" s="925">
        <v>1</v>
      </c>
      <c r="C102" s="984">
        <v>4.29</v>
      </c>
      <c r="D102" s="926">
        <v>6587.37</v>
      </c>
      <c r="E102" s="926">
        <v>370.53</v>
      </c>
      <c r="F102" s="986" t="s">
        <v>279</v>
      </c>
      <c r="G102" s="29"/>
      <c r="H102" s="31"/>
      <c r="I102" s="927" t="s">
        <v>357</v>
      </c>
      <c r="J102" s="925">
        <v>1</v>
      </c>
      <c r="K102" s="984">
        <v>4.29</v>
      </c>
      <c r="L102" s="926">
        <v>6587.37</v>
      </c>
      <c r="M102" s="926">
        <v>370.53</v>
      </c>
      <c r="N102" s="986" t="s">
        <v>279</v>
      </c>
      <c r="Q102" s="927" t="s">
        <v>357</v>
      </c>
      <c r="R102" s="925">
        <v>1</v>
      </c>
      <c r="S102" s="984">
        <v>4.29</v>
      </c>
      <c r="T102" s="926">
        <v>6587.37</v>
      </c>
      <c r="U102" s="926">
        <v>370.53</v>
      </c>
      <c r="V102" s="986" t="s">
        <v>279</v>
      </c>
      <c r="W102" s="29"/>
      <c r="X102" s="704"/>
      <c r="Y102" s="927" t="s">
        <v>322</v>
      </c>
      <c r="Z102" s="925">
        <v>1</v>
      </c>
      <c r="AA102" s="984">
        <v>0.35</v>
      </c>
      <c r="AB102" s="926">
        <v>6505.7</v>
      </c>
      <c r="AC102" s="926">
        <v>410.62</v>
      </c>
      <c r="AD102" s="986"/>
      <c r="AE102" s="29"/>
      <c r="AF102" s="31"/>
      <c r="AG102" s="927" t="s">
        <v>338</v>
      </c>
      <c r="AH102" s="925"/>
      <c r="AI102" s="984"/>
      <c r="AJ102" s="926">
        <v>6511.12</v>
      </c>
      <c r="AK102" s="926">
        <v>413.08</v>
      </c>
      <c r="AL102" s="986"/>
      <c r="AO102" s="927" t="s">
        <v>338</v>
      </c>
      <c r="AP102" s="925"/>
      <c r="AQ102" s="984"/>
      <c r="AR102" s="926">
        <v>6511.12</v>
      </c>
      <c r="AS102" s="926">
        <v>413.08</v>
      </c>
      <c r="AT102" s="986"/>
      <c r="AU102" s="83"/>
      <c r="AV102" s="83"/>
      <c r="AW102" s="83"/>
      <c r="AX102" s="34"/>
      <c r="AY102" s="34"/>
    </row>
    <row r="103" spans="1:51" s="19" customFormat="1" ht="12.75" x14ac:dyDescent="0.2">
      <c r="A103" s="927" t="s">
        <v>356</v>
      </c>
      <c r="B103" s="925">
        <v>1</v>
      </c>
      <c r="C103" s="984">
        <v>2.04</v>
      </c>
      <c r="D103" s="926">
        <v>6529.45</v>
      </c>
      <c r="E103" s="926">
        <v>408.16</v>
      </c>
      <c r="F103" s="986"/>
      <c r="G103" s="29"/>
      <c r="H103" s="31"/>
      <c r="I103" s="927" t="s">
        <v>356</v>
      </c>
      <c r="J103" s="925">
        <v>1</v>
      </c>
      <c r="K103" s="984">
        <v>2.04</v>
      </c>
      <c r="L103" s="926">
        <v>6529.45</v>
      </c>
      <c r="M103" s="926">
        <v>408.16</v>
      </c>
      <c r="N103" s="986"/>
      <c r="Q103" s="927" t="s">
        <v>356</v>
      </c>
      <c r="R103" s="925">
        <v>1</v>
      </c>
      <c r="S103" s="984">
        <v>2.04</v>
      </c>
      <c r="T103" s="926">
        <v>6529.45</v>
      </c>
      <c r="U103" s="926">
        <v>408.16</v>
      </c>
      <c r="V103" s="986"/>
      <c r="W103" s="29"/>
      <c r="X103" s="704"/>
      <c r="Y103" s="927" t="s">
        <v>323</v>
      </c>
      <c r="Z103" s="925">
        <v>1</v>
      </c>
      <c r="AA103" s="984">
        <v>0.38</v>
      </c>
      <c r="AB103" s="926">
        <v>6494.41</v>
      </c>
      <c r="AC103" s="926">
        <v>416.87</v>
      </c>
      <c r="AD103" s="986"/>
      <c r="AE103" s="29"/>
      <c r="AF103" s="31"/>
      <c r="AG103" s="927" t="s">
        <v>322</v>
      </c>
      <c r="AH103" s="925">
        <v>1</v>
      </c>
      <c r="AI103" s="984">
        <v>0.35</v>
      </c>
      <c r="AJ103" s="926">
        <v>6505.7</v>
      </c>
      <c r="AK103" s="926">
        <v>410.62</v>
      </c>
      <c r="AL103" s="986"/>
      <c r="AO103" s="927" t="s">
        <v>322</v>
      </c>
      <c r="AP103" s="925">
        <v>1</v>
      </c>
      <c r="AQ103" s="984">
        <v>0.35</v>
      </c>
      <c r="AR103" s="926">
        <v>6505.7</v>
      </c>
      <c r="AS103" s="926">
        <v>410.62</v>
      </c>
      <c r="AT103" s="986"/>
      <c r="AU103" s="83"/>
      <c r="AV103" s="83"/>
      <c r="AW103" s="83"/>
      <c r="AX103" s="34"/>
      <c r="AY103" s="34"/>
    </row>
    <row r="104" spans="1:51" s="19" customFormat="1" ht="12.75" x14ac:dyDescent="0.2">
      <c r="A104" s="927" t="s">
        <v>367</v>
      </c>
      <c r="B104" s="925">
        <v>1</v>
      </c>
      <c r="C104" s="984">
        <v>1.1599999999999999</v>
      </c>
      <c r="D104" s="926">
        <v>6563.2</v>
      </c>
      <c r="E104" s="926">
        <v>350.55</v>
      </c>
      <c r="F104" s="986"/>
      <c r="G104" s="29"/>
      <c r="H104" s="31"/>
      <c r="I104" s="927" t="s">
        <v>367</v>
      </c>
      <c r="J104" s="925">
        <v>1</v>
      </c>
      <c r="K104" s="984">
        <v>1.1599999999999999</v>
      </c>
      <c r="L104" s="926">
        <v>6563.2</v>
      </c>
      <c r="M104" s="926">
        <v>350.55</v>
      </c>
      <c r="N104" s="986"/>
      <c r="Q104" s="927" t="s">
        <v>367</v>
      </c>
      <c r="R104" s="925">
        <v>1</v>
      </c>
      <c r="S104" s="984">
        <v>1.1599999999999999</v>
      </c>
      <c r="T104" s="926">
        <v>6563.2</v>
      </c>
      <c r="U104" s="926">
        <v>350.55</v>
      </c>
      <c r="V104" s="986"/>
      <c r="W104" s="29"/>
      <c r="X104" s="704"/>
      <c r="Y104" s="927" t="s">
        <v>324</v>
      </c>
      <c r="Z104" s="925">
        <v>1</v>
      </c>
      <c r="AA104" s="984">
        <v>0.5</v>
      </c>
      <c r="AB104" s="926">
        <v>6485</v>
      </c>
      <c r="AC104" s="926">
        <v>424.7</v>
      </c>
      <c r="AD104" s="986"/>
      <c r="AE104" s="29"/>
      <c r="AF104" s="31"/>
      <c r="AG104" s="927" t="s">
        <v>323</v>
      </c>
      <c r="AH104" s="925">
        <v>1</v>
      </c>
      <c r="AI104" s="984">
        <v>0.38</v>
      </c>
      <c r="AJ104" s="926">
        <v>6494.41</v>
      </c>
      <c r="AK104" s="926">
        <v>416.87</v>
      </c>
      <c r="AL104" s="986"/>
      <c r="AO104" s="927" t="s">
        <v>323</v>
      </c>
      <c r="AP104" s="925">
        <v>1</v>
      </c>
      <c r="AQ104" s="984">
        <v>0.38</v>
      </c>
      <c r="AR104" s="926">
        <v>6494.41</v>
      </c>
      <c r="AS104" s="926">
        <v>416.87</v>
      </c>
      <c r="AT104" s="986"/>
      <c r="AU104" s="83"/>
      <c r="AV104" s="83"/>
      <c r="AW104" s="83"/>
      <c r="AX104" s="34"/>
      <c r="AY104" s="34"/>
    </row>
    <row r="105" spans="1:51" s="19" customFormat="1" ht="12.75" x14ac:dyDescent="0.2">
      <c r="A105" s="927" t="s">
        <v>358</v>
      </c>
      <c r="B105" s="925">
        <v>1</v>
      </c>
      <c r="C105" s="984">
        <v>2.4900000000000002</v>
      </c>
      <c r="D105" s="926">
        <v>6532.55</v>
      </c>
      <c r="E105" s="926">
        <v>358.36</v>
      </c>
      <c r="F105" s="986"/>
      <c r="G105" s="29"/>
      <c r="H105" s="31"/>
      <c r="I105" s="927" t="s">
        <v>358</v>
      </c>
      <c r="J105" s="925">
        <v>1</v>
      </c>
      <c r="K105" s="984">
        <v>2.4900000000000002</v>
      </c>
      <c r="L105" s="926">
        <v>6532.55</v>
      </c>
      <c r="M105" s="926">
        <v>358.36</v>
      </c>
      <c r="N105" s="986"/>
      <c r="Q105" s="927" t="s">
        <v>358</v>
      </c>
      <c r="R105" s="925">
        <v>1</v>
      </c>
      <c r="S105" s="984">
        <v>2.4900000000000002</v>
      </c>
      <c r="T105" s="926">
        <v>6532.55</v>
      </c>
      <c r="U105" s="926">
        <v>358.36</v>
      </c>
      <c r="V105" s="986"/>
      <c r="W105" s="29"/>
      <c r="X105" s="704"/>
      <c r="Y105" s="927" t="s">
        <v>325</v>
      </c>
      <c r="Z105" s="925">
        <v>1</v>
      </c>
      <c r="AA105" s="984">
        <v>0.4</v>
      </c>
      <c r="AB105" s="926">
        <v>6478</v>
      </c>
      <c r="AC105" s="926">
        <v>427.1</v>
      </c>
      <c r="AD105" s="986"/>
      <c r="AE105" s="29"/>
      <c r="AF105" s="31"/>
      <c r="AG105" s="927" t="s">
        <v>324</v>
      </c>
      <c r="AH105" s="925">
        <v>1</v>
      </c>
      <c r="AI105" s="984">
        <v>0.5</v>
      </c>
      <c r="AJ105" s="926">
        <v>6485</v>
      </c>
      <c r="AK105" s="926">
        <v>424.7</v>
      </c>
      <c r="AL105" s="986"/>
      <c r="AO105" s="927" t="s">
        <v>324</v>
      </c>
      <c r="AP105" s="925">
        <v>1</v>
      </c>
      <c r="AQ105" s="984">
        <v>0.5</v>
      </c>
      <c r="AR105" s="926">
        <v>6485</v>
      </c>
      <c r="AS105" s="926">
        <v>424.7</v>
      </c>
      <c r="AT105" s="986"/>
      <c r="AU105" s="83"/>
      <c r="AV105" s="83"/>
      <c r="AW105" s="83"/>
      <c r="AX105" s="34"/>
      <c r="AY105" s="34"/>
    </row>
    <row r="106" spans="1:51" s="19" customFormat="1" ht="12.75" x14ac:dyDescent="0.2">
      <c r="A106" s="927" t="s">
        <v>359</v>
      </c>
      <c r="B106" s="925">
        <v>2</v>
      </c>
      <c r="C106" s="984">
        <v>17.920000000000002</v>
      </c>
      <c r="D106" s="926">
        <v>6456.11</v>
      </c>
      <c r="E106" s="926">
        <v>343.75</v>
      </c>
      <c r="F106" s="986"/>
      <c r="G106" s="29"/>
      <c r="H106" s="31"/>
      <c r="I106" s="927" t="s">
        <v>359</v>
      </c>
      <c r="J106" s="925">
        <v>2</v>
      </c>
      <c r="K106" s="984">
        <v>17.920000000000002</v>
      </c>
      <c r="L106" s="926">
        <v>6456.11</v>
      </c>
      <c r="M106" s="926">
        <v>343.75</v>
      </c>
      <c r="N106" s="986"/>
      <c r="Q106" s="927" t="s">
        <v>359</v>
      </c>
      <c r="R106" s="925">
        <v>2</v>
      </c>
      <c r="S106" s="984">
        <v>17.920000000000002</v>
      </c>
      <c r="T106" s="926">
        <v>6456.11</v>
      </c>
      <c r="U106" s="926">
        <v>343.75</v>
      </c>
      <c r="V106" s="986"/>
      <c r="W106" s="29"/>
      <c r="X106" s="704"/>
      <c r="Y106" s="927" t="s">
        <v>327</v>
      </c>
      <c r="Z106" s="925">
        <v>1</v>
      </c>
      <c r="AA106" s="984">
        <v>-0.74</v>
      </c>
      <c r="AB106" s="926">
        <v>6475.3</v>
      </c>
      <c r="AC106" s="926">
        <v>436.2</v>
      </c>
      <c r="AD106" s="986" t="s">
        <v>279</v>
      </c>
      <c r="AE106" s="29"/>
      <c r="AF106" s="31"/>
      <c r="AG106" s="927" t="s">
        <v>325</v>
      </c>
      <c r="AH106" s="925">
        <v>1</v>
      </c>
      <c r="AI106" s="984">
        <v>0.4</v>
      </c>
      <c r="AJ106" s="926">
        <v>6478</v>
      </c>
      <c r="AK106" s="926">
        <v>427.1</v>
      </c>
      <c r="AL106" s="986"/>
      <c r="AO106" s="927" t="s">
        <v>325</v>
      </c>
      <c r="AP106" s="925">
        <v>1</v>
      </c>
      <c r="AQ106" s="984">
        <v>0.4</v>
      </c>
      <c r="AR106" s="926">
        <v>6478</v>
      </c>
      <c r="AS106" s="926">
        <v>427.1</v>
      </c>
      <c r="AT106" s="986"/>
      <c r="AU106" s="83"/>
      <c r="AV106" s="83"/>
      <c r="AW106" s="83"/>
      <c r="AX106" s="34"/>
      <c r="AY106" s="34"/>
    </row>
    <row r="107" spans="1:51" s="19" customFormat="1" ht="12.75" x14ac:dyDescent="0.2">
      <c r="A107" s="927" t="s">
        <v>360</v>
      </c>
      <c r="B107" s="925">
        <v>2</v>
      </c>
      <c r="C107" s="984">
        <v>12</v>
      </c>
      <c r="D107" s="926">
        <v>6427.08</v>
      </c>
      <c r="E107" s="926">
        <v>324.61</v>
      </c>
      <c r="F107" s="986"/>
      <c r="G107" s="29"/>
      <c r="H107" s="31"/>
      <c r="I107" s="927" t="s">
        <v>360</v>
      </c>
      <c r="J107" s="925">
        <v>2</v>
      </c>
      <c r="K107" s="984">
        <v>12</v>
      </c>
      <c r="L107" s="926">
        <v>6427.08</v>
      </c>
      <c r="M107" s="926">
        <v>324.61</v>
      </c>
      <c r="N107" s="986"/>
      <c r="Q107" s="927" t="s">
        <v>360</v>
      </c>
      <c r="R107" s="925">
        <v>2</v>
      </c>
      <c r="S107" s="984">
        <v>12</v>
      </c>
      <c r="T107" s="926">
        <v>6427.08</v>
      </c>
      <c r="U107" s="926">
        <v>324.61</v>
      </c>
      <c r="V107" s="986"/>
      <c r="W107" s="29"/>
      <c r="X107" s="704"/>
      <c r="Y107" s="927" t="s">
        <v>326</v>
      </c>
      <c r="Z107" s="925">
        <v>1</v>
      </c>
      <c r="AA107" s="984">
        <v>0.87</v>
      </c>
      <c r="AB107" s="926">
        <v>6457.4</v>
      </c>
      <c r="AC107" s="926">
        <v>442.3</v>
      </c>
      <c r="AD107" s="986" t="s">
        <v>135</v>
      </c>
      <c r="AE107" s="29"/>
      <c r="AF107" s="31"/>
      <c r="AG107" s="927" t="s">
        <v>327</v>
      </c>
      <c r="AH107" s="925">
        <v>1</v>
      </c>
      <c r="AI107" s="984">
        <v>-0.74</v>
      </c>
      <c r="AJ107" s="926">
        <v>6475.3</v>
      </c>
      <c r="AK107" s="926">
        <v>436.2</v>
      </c>
      <c r="AL107" s="986" t="s">
        <v>279</v>
      </c>
      <c r="AO107" s="927" t="s">
        <v>327</v>
      </c>
      <c r="AP107" s="925">
        <v>1</v>
      </c>
      <c r="AQ107" s="984">
        <v>-0.74</v>
      </c>
      <c r="AR107" s="926">
        <v>6475.3</v>
      </c>
      <c r="AS107" s="926">
        <v>436.2</v>
      </c>
      <c r="AT107" s="986"/>
      <c r="AU107" s="83"/>
      <c r="AV107" s="83"/>
      <c r="AW107" s="83"/>
      <c r="AX107" s="34"/>
      <c r="AY107" s="34"/>
    </row>
    <row r="108" spans="1:51" s="19" customFormat="1" ht="12.75" x14ac:dyDescent="0.2">
      <c r="A108" s="927" t="s">
        <v>361</v>
      </c>
      <c r="B108" s="925">
        <v>2</v>
      </c>
      <c r="C108" s="984">
        <v>12.03</v>
      </c>
      <c r="D108" s="926">
        <v>6397.02</v>
      </c>
      <c r="E108" s="926">
        <v>341.61</v>
      </c>
      <c r="F108" s="986" t="s">
        <v>279</v>
      </c>
      <c r="G108" s="29"/>
      <c r="H108" s="31"/>
      <c r="I108" s="927" t="s">
        <v>361</v>
      </c>
      <c r="J108" s="925">
        <v>2</v>
      </c>
      <c r="K108" s="984">
        <v>12.03</v>
      </c>
      <c r="L108" s="926">
        <v>6397.02</v>
      </c>
      <c r="M108" s="926">
        <v>341.61</v>
      </c>
      <c r="N108" s="986" t="s">
        <v>279</v>
      </c>
      <c r="Q108" s="927" t="s">
        <v>361</v>
      </c>
      <c r="R108" s="925">
        <v>2</v>
      </c>
      <c r="S108" s="984">
        <v>12.03</v>
      </c>
      <c r="T108" s="926">
        <v>6397.02</v>
      </c>
      <c r="U108" s="926">
        <v>341.61</v>
      </c>
      <c r="V108" s="986" t="s">
        <v>279</v>
      </c>
      <c r="W108" s="29"/>
      <c r="X108" s="704"/>
      <c r="Y108" s="927" t="s">
        <v>331</v>
      </c>
      <c r="Z108" s="925"/>
      <c r="AA108" s="984"/>
      <c r="AB108" s="926">
        <v>6459.6</v>
      </c>
      <c r="AC108" s="926">
        <v>445.8</v>
      </c>
      <c r="AD108" s="986"/>
      <c r="AE108" s="29"/>
      <c r="AF108" s="31"/>
      <c r="AG108" s="927" t="s">
        <v>328</v>
      </c>
      <c r="AH108" s="925">
        <v>1</v>
      </c>
      <c r="AI108" s="984">
        <v>-0.61</v>
      </c>
      <c r="AJ108" s="926">
        <v>6454.98</v>
      </c>
      <c r="AK108" s="926">
        <v>438.1</v>
      </c>
      <c r="AL108" s="986" t="s">
        <v>135</v>
      </c>
      <c r="AO108" s="927" t="s">
        <v>328</v>
      </c>
      <c r="AP108" s="925">
        <v>1</v>
      </c>
      <c r="AQ108" s="984">
        <v>-0.61</v>
      </c>
      <c r="AR108" s="926">
        <v>6454.98</v>
      </c>
      <c r="AS108" s="926">
        <v>438.1</v>
      </c>
      <c r="AT108" s="986" t="s">
        <v>279</v>
      </c>
      <c r="AU108" s="83"/>
      <c r="AV108" s="83"/>
      <c r="AW108" s="83"/>
      <c r="AX108" s="34"/>
      <c r="AY108" s="34"/>
    </row>
    <row r="109" spans="1:51" s="19" customFormat="1" ht="12.75" x14ac:dyDescent="0.2">
      <c r="A109" s="927" t="s">
        <v>362</v>
      </c>
      <c r="B109" s="925">
        <v>2</v>
      </c>
      <c r="C109" s="985">
        <v>12.66</v>
      </c>
      <c r="D109" s="926">
        <v>6391.03</v>
      </c>
      <c r="E109" s="926">
        <v>353.08</v>
      </c>
      <c r="F109" s="986" t="s">
        <v>135</v>
      </c>
      <c r="G109" s="29"/>
      <c r="H109" s="31"/>
      <c r="I109" s="927" t="s">
        <v>362</v>
      </c>
      <c r="J109" s="925">
        <v>2</v>
      </c>
      <c r="K109" s="985">
        <v>12.66</v>
      </c>
      <c r="L109" s="926">
        <v>6391.03</v>
      </c>
      <c r="M109" s="926">
        <v>353.08</v>
      </c>
      <c r="N109" s="986" t="s">
        <v>135</v>
      </c>
      <c r="Q109" s="927" t="s">
        <v>362</v>
      </c>
      <c r="R109" s="925">
        <v>2</v>
      </c>
      <c r="S109" s="985">
        <v>12.66</v>
      </c>
      <c r="T109" s="926">
        <v>6391.03</v>
      </c>
      <c r="U109" s="926">
        <v>353.08</v>
      </c>
      <c r="V109" s="986" t="s">
        <v>135</v>
      </c>
      <c r="W109" s="29"/>
      <c r="X109" s="704"/>
      <c r="Y109" s="927" t="s">
        <v>282</v>
      </c>
      <c r="Z109" s="925"/>
      <c r="AA109" s="985"/>
      <c r="AB109" s="926"/>
      <c r="AC109" s="926"/>
      <c r="AD109" s="986"/>
      <c r="AE109" s="29"/>
      <c r="AF109" s="31"/>
      <c r="AG109" s="927" t="s">
        <v>326</v>
      </c>
      <c r="AH109" s="925">
        <v>1</v>
      </c>
      <c r="AI109" s="985">
        <v>0.87</v>
      </c>
      <c r="AJ109" s="926">
        <v>6457.4</v>
      </c>
      <c r="AK109" s="926">
        <v>442.3</v>
      </c>
      <c r="AL109" s="986"/>
      <c r="AO109" s="927" t="s">
        <v>326</v>
      </c>
      <c r="AP109" s="925">
        <v>1</v>
      </c>
      <c r="AQ109" s="985">
        <v>0.87</v>
      </c>
      <c r="AR109" s="926">
        <v>6457.4</v>
      </c>
      <c r="AS109" s="926">
        <v>442.3</v>
      </c>
      <c r="AT109" s="986" t="s">
        <v>135</v>
      </c>
      <c r="AU109" s="83"/>
      <c r="AV109" s="83"/>
      <c r="AW109" s="83"/>
      <c r="AX109" s="34"/>
      <c r="AY109" s="34"/>
    </row>
    <row r="110" spans="1:51" s="19" customFormat="1" ht="12.75" x14ac:dyDescent="0.2">
      <c r="A110" s="927" t="s">
        <v>370</v>
      </c>
      <c r="B110" s="925">
        <v>2</v>
      </c>
      <c r="C110" s="985">
        <v>8.08</v>
      </c>
      <c r="D110" s="926">
        <v>6298.99</v>
      </c>
      <c r="E110" s="926">
        <v>298.19</v>
      </c>
      <c r="F110" s="986"/>
      <c r="G110" s="29"/>
      <c r="H110" s="31"/>
      <c r="I110" s="927" t="s">
        <v>370</v>
      </c>
      <c r="J110" s="925">
        <v>2</v>
      </c>
      <c r="K110" s="985">
        <v>8.08</v>
      </c>
      <c r="L110" s="926">
        <v>6298.99</v>
      </c>
      <c r="M110" s="926">
        <v>298.19</v>
      </c>
      <c r="N110" s="986"/>
      <c r="Q110" s="927" t="s">
        <v>370</v>
      </c>
      <c r="R110" s="925">
        <v>2</v>
      </c>
      <c r="S110" s="985">
        <v>8.08</v>
      </c>
      <c r="T110" s="926">
        <v>6298.99</v>
      </c>
      <c r="U110" s="926">
        <v>298.19</v>
      </c>
      <c r="V110" s="986"/>
      <c r="W110" s="29"/>
      <c r="X110" s="704"/>
      <c r="Y110" s="927" t="s">
        <v>157</v>
      </c>
      <c r="Z110" s="925"/>
      <c r="AA110" s="985"/>
      <c r="AB110" s="926"/>
      <c r="AC110" s="926"/>
      <c r="AD110" s="986"/>
      <c r="AE110" s="29"/>
      <c r="AF110" s="31"/>
      <c r="AG110" s="927" t="s">
        <v>339</v>
      </c>
      <c r="AH110" s="925"/>
      <c r="AI110" s="985"/>
      <c r="AJ110" s="926">
        <v>6454</v>
      </c>
      <c r="AK110" s="926">
        <v>455.4</v>
      </c>
      <c r="AL110" s="986" t="s">
        <v>135</v>
      </c>
      <c r="AO110" s="927" t="s">
        <v>331</v>
      </c>
      <c r="AP110" s="925"/>
      <c r="AQ110" s="985"/>
      <c r="AR110" s="926">
        <v>6459.6</v>
      </c>
      <c r="AS110" s="926">
        <v>445.8</v>
      </c>
      <c r="AT110" s="986"/>
      <c r="AU110" s="83"/>
      <c r="AV110" s="83"/>
      <c r="AW110" s="83"/>
      <c r="AX110" s="34"/>
      <c r="AY110" s="34"/>
    </row>
    <row r="111" spans="1:51" s="19" customFormat="1" ht="12.75" x14ac:dyDescent="0.2">
      <c r="A111" s="927" t="s">
        <v>363</v>
      </c>
      <c r="B111" s="925">
        <v>2</v>
      </c>
      <c r="C111" s="985">
        <v>14.75</v>
      </c>
      <c r="D111" s="926">
        <v>6397.75</v>
      </c>
      <c r="E111" s="926">
        <v>399.36</v>
      </c>
      <c r="F111" s="986"/>
      <c r="G111" s="29"/>
      <c r="H111" s="31"/>
      <c r="I111" s="927" t="s">
        <v>363</v>
      </c>
      <c r="J111" s="925">
        <v>2</v>
      </c>
      <c r="K111" s="985">
        <v>14.75</v>
      </c>
      <c r="L111" s="926">
        <v>6397.75</v>
      </c>
      <c r="M111" s="926">
        <v>399.36</v>
      </c>
      <c r="N111" s="986"/>
      <c r="Q111" s="927" t="s">
        <v>363</v>
      </c>
      <c r="R111" s="925">
        <v>2</v>
      </c>
      <c r="S111" s="985">
        <v>14.75</v>
      </c>
      <c r="T111" s="926">
        <v>6397.75</v>
      </c>
      <c r="U111" s="926">
        <v>399.36</v>
      </c>
      <c r="V111" s="986"/>
      <c r="W111" s="29"/>
      <c r="X111" s="704"/>
      <c r="Y111" s="927"/>
      <c r="Z111" s="925"/>
      <c r="AA111" s="985"/>
      <c r="AB111" s="926"/>
      <c r="AC111" s="926"/>
      <c r="AD111" s="986"/>
      <c r="AE111" s="29"/>
      <c r="AF111" s="31"/>
      <c r="AG111" s="927" t="s">
        <v>282</v>
      </c>
      <c r="AH111" s="925"/>
      <c r="AI111" s="985"/>
      <c r="AJ111" s="926"/>
      <c r="AK111" s="926"/>
      <c r="AL111" s="986"/>
      <c r="AO111" s="927" t="s">
        <v>339</v>
      </c>
      <c r="AP111" s="925"/>
      <c r="AQ111" s="985"/>
      <c r="AR111" s="926">
        <v>6454</v>
      </c>
      <c r="AS111" s="926">
        <v>455.4</v>
      </c>
      <c r="AT111" s="986" t="s">
        <v>135</v>
      </c>
      <c r="AU111" s="83"/>
      <c r="AV111" s="83"/>
      <c r="AW111" s="83"/>
      <c r="AX111" s="34"/>
      <c r="AY111" s="34"/>
    </row>
    <row r="112" spans="1:51" s="19" customFormat="1" ht="12.75" x14ac:dyDescent="0.2">
      <c r="A112" s="927" t="s">
        <v>364</v>
      </c>
      <c r="B112" s="925">
        <v>2</v>
      </c>
      <c r="C112" s="979">
        <v>14.5</v>
      </c>
      <c r="D112" s="926">
        <v>6357.7</v>
      </c>
      <c r="E112" s="926">
        <v>418.97</v>
      </c>
      <c r="F112" s="986" t="s">
        <v>135</v>
      </c>
      <c r="G112" s="29"/>
      <c r="H112" s="31"/>
      <c r="I112" s="927" t="s">
        <v>364</v>
      </c>
      <c r="J112" s="925">
        <v>2</v>
      </c>
      <c r="K112" s="979">
        <v>14.5</v>
      </c>
      <c r="L112" s="926">
        <v>6357.7</v>
      </c>
      <c r="M112" s="926">
        <v>418.97</v>
      </c>
      <c r="N112" s="986" t="s">
        <v>135</v>
      </c>
      <c r="Q112" s="927" t="s">
        <v>364</v>
      </c>
      <c r="R112" s="925">
        <v>2</v>
      </c>
      <c r="S112" s="979">
        <v>14.5</v>
      </c>
      <c r="T112" s="926">
        <v>6357.7</v>
      </c>
      <c r="U112" s="926">
        <v>418.97</v>
      </c>
      <c r="V112" s="986" t="s">
        <v>135</v>
      </c>
      <c r="W112" s="29"/>
      <c r="X112" s="704"/>
      <c r="Y112" s="927"/>
      <c r="Z112" s="925"/>
      <c r="AA112" s="979"/>
      <c r="AB112" s="926"/>
      <c r="AC112" s="926"/>
      <c r="AD112" s="986"/>
      <c r="AE112" s="29"/>
      <c r="AF112" s="31"/>
      <c r="AG112" s="927" t="s">
        <v>157</v>
      </c>
      <c r="AH112" s="925"/>
      <c r="AI112" s="979"/>
      <c r="AJ112" s="926"/>
      <c r="AK112" s="926"/>
      <c r="AL112" s="986"/>
      <c r="AO112" s="927" t="s">
        <v>282</v>
      </c>
      <c r="AP112" s="925"/>
      <c r="AQ112" s="979"/>
      <c r="AR112" s="926"/>
      <c r="AS112" s="926"/>
      <c r="AT112" s="986"/>
      <c r="AU112" s="83"/>
      <c r="AV112" s="83"/>
      <c r="AW112" s="83"/>
      <c r="AX112" s="34"/>
      <c r="AY112" s="34"/>
    </row>
    <row r="113" spans="1:51" s="19" customFormat="1" ht="12.75" x14ac:dyDescent="0.2">
      <c r="A113" s="927" t="s">
        <v>365</v>
      </c>
      <c r="B113" s="925">
        <v>2</v>
      </c>
      <c r="C113" s="979">
        <v>11.04</v>
      </c>
      <c r="D113" s="926">
        <v>6311.12</v>
      </c>
      <c r="E113" s="926">
        <v>423.7</v>
      </c>
      <c r="F113" s="986"/>
      <c r="G113" s="29"/>
      <c r="H113" s="31"/>
      <c r="I113" s="927" t="s">
        <v>365</v>
      </c>
      <c r="J113" s="925">
        <v>2</v>
      </c>
      <c r="K113" s="979">
        <v>11.04</v>
      </c>
      <c r="L113" s="926">
        <v>6311.12</v>
      </c>
      <c r="M113" s="926">
        <v>423.7</v>
      </c>
      <c r="N113" s="986"/>
      <c r="Q113" s="927" t="s">
        <v>365</v>
      </c>
      <c r="R113" s="925">
        <v>2</v>
      </c>
      <c r="S113" s="979">
        <v>11.04</v>
      </c>
      <c r="T113" s="926">
        <v>6311.12</v>
      </c>
      <c r="U113" s="926">
        <v>423.7</v>
      </c>
      <c r="V113" s="986"/>
      <c r="W113" s="29"/>
      <c r="X113" s="704"/>
      <c r="Y113" s="927"/>
      <c r="Z113" s="925"/>
      <c r="AA113" s="979"/>
      <c r="AB113" s="926"/>
      <c r="AC113" s="926"/>
      <c r="AD113" s="986"/>
      <c r="AE113" s="29"/>
      <c r="AF113" s="31"/>
      <c r="AG113" s="927"/>
      <c r="AH113" s="925"/>
      <c r="AI113" s="979"/>
      <c r="AJ113" s="926"/>
      <c r="AK113" s="926"/>
      <c r="AL113" s="986"/>
      <c r="AO113" s="927" t="s">
        <v>157</v>
      </c>
      <c r="AP113" s="925"/>
      <c r="AQ113" s="979"/>
      <c r="AR113" s="926"/>
      <c r="AS113" s="926"/>
      <c r="AT113" s="986"/>
      <c r="AU113" s="83"/>
      <c r="AV113" s="83"/>
      <c r="AW113" s="83"/>
      <c r="AX113" s="34"/>
      <c r="AY113" s="34"/>
    </row>
    <row r="114" spans="1:51" s="19" customFormat="1" ht="12.75" x14ac:dyDescent="0.2">
      <c r="A114" s="927" t="s">
        <v>366</v>
      </c>
      <c r="B114" s="925">
        <v>1</v>
      </c>
      <c r="C114" s="979">
        <v>4.13</v>
      </c>
      <c r="D114" s="926">
        <v>6436.33</v>
      </c>
      <c r="E114" s="926">
        <v>448.29</v>
      </c>
      <c r="F114" s="986"/>
      <c r="G114" s="29"/>
      <c r="H114" s="31"/>
      <c r="I114" s="927" t="s">
        <v>366</v>
      </c>
      <c r="J114" s="925">
        <v>1</v>
      </c>
      <c r="K114" s="979">
        <v>4.13</v>
      </c>
      <c r="L114" s="926">
        <v>6436.33</v>
      </c>
      <c r="M114" s="926">
        <v>448.29</v>
      </c>
      <c r="N114" s="986"/>
      <c r="Q114" s="927" t="s">
        <v>366</v>
      </c>
      <c r="R114" s="925">
        <v>1</v>
      </c>
      <c r="S114" s="979">
        <v>4.13</v>
      </c>
      <c r="T114" s="926">
        <v>6436.33</v>
      </c>
      <c r="U114" s="926">
        <v>448.29</v>
      </c>
      <c r="V114" s="986"/>
      <c r="W114" s="29"/>
      <c r="X114" s="704"/>
      <c r="Y114" s="927"/>
      <c r="Z114" s="925"/>
      <c r="AA114" s="979"/>
      <c r="AB114" s="926"/>
      <c r="AC114" s="926"/>
      <c r="AD114" s="986"/>
      <c r="AE114" s="29"/>
      <c r="AF114" s="31"/>
      <c r="AG114" s="927"/>
      <c r="AH114" s="925"/>
      <c r="AI114" s="979"/>
      <c r="AJ114" s="926"/>
      <c r="AK114" s="926"/>
      <c r="AL114" s="986"/>
      <c r="AO114" s="927"/>
      <c r="AP114" s="925"/>
      <c r="AQ114" s="979"/>
      <c r="AR114" s="926"/>
      <c r="AS114" s="926"/>
      <c r="AT114" s="986"/>
      <c r="AU114" s="83"/>
      <c r="AV114" s="83"/>
      <c r="AW114" s="83"/>
      <c r="AX114" s="34"/>
      <c r="AY114" s="34"/>
    </row>
    <row r="115" spans="1:51" s="19" customFormat="1" ht="12.75" x14ac:dyDescent="0.2">
      <c r="A115" s="927" t="s">
        <v>371</v>
      </c>
      <c r="B115" s="925">
        <v>3</v>
      </c>
      <c r="C115" s="979">
        <v>12.7</v>
      </c>
      <c r="D115" s="926">
        <v>6462.52</v>
      </c>
      <c r="E115" s="926">
        <v>451.1</v>
      </c>
      <c r="F115" s="986"/>
      <c r="G115" s="29"/>
      <c r="H115" s="31"/>
      <c r="I115" s="927" t="s">
        <v>371</v>
      </c>
      <c r="J115" s="925">
        <v>3</v>
      </c>
      <c r="K115" s="979">
        <v>12.7</v>
      </c>
      <c r="L115" s="926">
        <v>6462.52</v>
      </c>
      <c r="M115" s="926">
        <v>451.1</v>
      </c>
      <c r="N115" s="986"/>
      <c r="Q115" s="927" t="s">
        <v>371</v>
      </c>
      <c r="R115" s="925">
        <v>3</v>
      </c>
      <c r="S115" s="979">
        <v>12.7</v>
      </c>
      <c r="T115" s="926">
        <v>6462.52</v>
      </c>
      <c r="U115" s="926">
        <v>451.1</v>
      </c>
      <c r="V115" s="986"/>
      <c r="W115" s="29"/>
      <c r="X115" s="704"/>
      <c r="Y115" s="927" t="s">
        <v>374</v>
      </c>
      <c r="Z115" s="925"/>
      <c r="AA115" s="979"/>
      <c r="AB115" s="926"/>
      <c r="AC115" s="926"/>
      <c r="AD115" s="986"/>
      <c r="AE115" s="29"/>
      <c r="AF115" s="31"/>
      <c r="AG115" s="927"/>
      <c r="AH115" s="925"/>
      <c r="AI115" s="979"/>
      <c r="AJ115" s="926"/>
      <c r="AK115" s="926"/>
      <c r="AL115" s="986"/>
      <c r="AO115" s="927"/>
      <c r="AP115" s="925"/>
      <c r="AQ115" s="979"/>
      <c r="AR115" s="926"/>
      <c r="AS115" s="926"/>
      <c r="AT115" s="986"/>
      <c r="AU115" s="83"/>
      <c r="AV115" s="83"/>
      <c r="AW115" s="83"/>
      <c r="AX115" s="34"/>
      <c r="AY115" s="34"/>
    </row>
    <row r="116" spans="1:51" s="19" customFormat="1" ht="12.75" x14ac:dyDescent="0.2">
      <c r="A116" s="927" t="s">
        <v>372</v>
      </c>
      <c r="B116" s="925">
        <v>3</v>
      </c>
      <c r="C116" s="979">
        <v>12.9</v>
      </c>
      <c r="D116" s="926">
        <v>6478</v>
      </c>
      <c r="E116" s="926">
        <v>467</v>
      </c>
      <c r="F116" s="986"/>
      <c r="G116" s="29"/>
      <c r="H116" s="31"/>
      <c r="I116" s="927" t="s">
        <v>372</v>
      </c>
      <c r="J116" s="925">
        <v>3</v>
      </c>
      <c r="K116" s="979">
        <v>12.9</v>
      </c>
      <c r="L116" s="926">
        <v>6478</v>
      </c>
      <c r="M116" s="926">
        <v>467</v>
      </c>
      <c r="N116" s="986"/>
      <c r="Q116" s="927" t="s">
        <v>372</v>
      </c>
      <c r="R116" s="925">
        <v>3</v>
      </c>
      <c r="S116" s="979">
        <v>12.9</v>
      </c>
      <c r="T116" s="926">
        <v>6478</v>
      </c>
      <c r="U116" s="926">
        <v>467</v>
      </c>
      <c r="V116" s="986"/>
      <c r="W116" s="29"/>
      <c r="X116" s="704"/>
      <c r="Y116" s="927" t="s">
        <v>338</v>
      </c>
      <c r="Z116" s="925"/>
      <c r="AA116" s="979"/>
      <c r="AB116" s="926">
        <v>6511.12</v>
      </c>
      <c r="AC116" s="926">
        <v>413.08</v>
      </c>
      <c r="AD116" s="986"/>
      <c r="AE116" s="29"/>
      <c r="AF116" s="31"/>
      <c r="AG116" s="927"/>
      <c r="AH116" s="925"/>
      <c r="AI116" s="979"/>
      <c r="AJ116" s="926"/>
      <c r="AK116" s="926"/>
      <c r="AL116" s="986"/>
      <c r="AO116" s="927"/>
      <c r="AP116" s="925"/>
      <c r="AQ116" s="979"/>
      <c r="AR116" s="926"/>
      <c r="AS116" s="926"/>
      <c r="AT116" s="986"/>
      <c r="AU116" s="83"/>
      <c r="AV116" s="83"/>
      <c r="AW116" s="83"/>
      <c r="AX116" s="34"/>
      <c r="AY116" s="34"/>
    </row>
    <row r="117" spans="1:51" s="19" customFormat="1" ht="12.75" x14ac:dyDescent="0.2">
      <c r="A117" s="927" t="s">
        <v>157</v>
      </c>
      <c r="B117" s="925"/>
      <c r="C117" s="979"/>
      <c r="D117" s="926"/>
      <c r="E117" s="926"/>
      <c r="F117" s="986"/>
      <c r="G117" s="29"/>
      <c r="H117" s="31"/>
      <c r="I117" s="927" t="s">
        <v>157</v>
      </c>
      <c r="J117" s="925"/>
      <c r="K117" s="979"/>
      <c r="L117" s="926"/>
      <c r="M117" s="926"/>
      <c r="N117" s="986"/>
      <c r="Q117" s="927" t="s">
        <v>157</v>
      </c>
      <c r="R117" s="925"/>
      <c r="S117" s="979"/>
      <c r="T117" s="926"/>
      <c r="U117" s="926"/>
      <c r="V117" s="986"/>
      <c r="W117" s="29"/>
      <c r="X117" s="704"/>
      <c r="Y117" s="927" t="s">
        <v>331</v>
      </c>
      <c r="Z117" s="925"/>
      <c r="AA117" s="979"/>
      <c r="AB117" s="926">
        <v>6459.6</v>
      </c>
      <c r="AC117" s="926">
        <v>445.8</v>
      </c>
      <c r="AD117" s="986"/>
      <c r="AE117" s="29"/>
      <c r="AF117" s="31"/>
      <c r="AG117" s="927"/>
      <c r="AH117" s="925"/>
      <c r="AI117" s="979"/>
      <c r="AJ117" s="926"/>
      <c r="AK117" s="926"/>
      <c r="AL117" s="986"/>
      <c r="AO117" s="927"/>
      <c r="AP117" s="925"/>
      <c r="AQ117" s="979"/>
      <c r="AR117" s="926"/>
      <c r="AS117" s="926"/>
      <c r="AT117" s="986"/>
      <c r="AU117" s="83"/>
      <c r="AV117" s="83"/>
      <c r="AW117" s="83"/>
      <c r="AX117" s="34"/>
      <c r="AY117" s="34"/>
    </row>
    <row r="118" spans="1:51" s="19" customFormat="1" ht="12.75" x14ac:dyDescent="0.2">
      <c r="A118" s="927" t="s">
        <v>157</v>
      </c>
      <c r="B118" s="925"/>
      <c r="C118" s="979"/>
      <c r="D118" s="926"/>
      <c r="E118" s="926"/>
      <c r="F118" s="986"/>
      <c r="G118" s="29"/>
      <c r="H118" s="31"/>
      <c r="I118" s="927" t="s">
        <v>157</v>
      </c>
      <c r="J118" s="925"/>
      <c r="K118" s="979"/>
      <c r="L118" s="926"/>
      <c r="M118" s="926"/>
      <c r="N118" s="986"/>
      <c r="Q118" s="927" t="s">
        <v>157</v>
      </c>
      <c r="R118" s="925"/>
      <c r="S118" s="979"/>
      <c r="T118" s="926"/>
      <c r="U118" s="926"/>
      <c r="V118" s="986"/>
      <c r="W118" s="29"/>
      <c r="X118" s="704"/>
      <c r="Y118" s="927" t="s">
        <v>328</v>
      </c>
      <c r="Z118" s="925">
        <v>1</v>
      </c>
      <c r="AA118" s="979">
        <v>-0.61</v>
      </c>
      <c r="AB118" s="926">
        <v>6454.98</v>
      </c>
      <c r="AC118" s="926">
        <v>438.1</v>
      </c>
      <c r="AD118" s="986"/>
      <c r="AE118" s="29"/>
      <c r="AF118" s="31"/>
      <c r="AG118" s="927"/>
      <c r="AH118" s="925"/>
      <c r="AI118" s="979"/>
      <c r="AJ118" s="926"/>
      <c r="AK118" s="926"/>
      <c r="AL118" s="986"/>
      <c r="AO118" s="927"/>
      <c r="AP118" s="925"/>
      <c r="AQ118" s="979"/>
      <c r="AR118" s="926"/>
      <c r="AS118" s="926"/>
      <c r="AT118" s="986"/>
      <c r="AU118" s="83"/>
      <c r="AV118" s="83"/>
      <c r="AW118" s="83"/>
      <c r="AX118" s="34"/>
      <c r="AY118" s="34"/>
    </row>
    <row r="119" spans="1:51" s="19" customFormat="1" ht="12.75" x14ac:dyDescent="0.2">
      <c r="A119" s="927" t="s">
        <v>157</v>
      </c>
      <c r="B119" s="925"/>
      <c r="C119" s="979"/>
      <c r="D119" s="926"/>
      <c r="E119" s="926"/>
      <c r="F119" s="986"/>
      <c r="G119" s="29"/>
      <c r="H119" s="31"/>
      <c r="I119" s="927" t="s">
        <v>157</v>
      </c>
      <c r="J119" s="925"/>
      <c r="K119" s="979"/>
      <c r="L119" s="926"/>
      <c r="M119" s="926"/>
      <c r="N119" s="986"/>
      <c r="Q119" s="927" t="s">
        <v>157</v>
      </c>
      <c r="R119" s="925"/>
      <c r="S119" s="979"/>
      <c r="T119" s="926"/>
      <c r="U119" s="926"/>
      <c r="V119" s="986"/>
      <c r="W119" s="29"/>
      <c r="X119" s="704"/>
      <c r="Y119" s="927" t="s">
        <v>354</v>
      </c>
      <c r="Z119" s="925">
        <v>1</v>
      </c>
      <c r="AA119" s="979">
        <v>2.95</v>
      </c>
      <c r="AB119" s="926">
        <v>6637.12</v>
      </c>
      <c r="AC119" s="926">
        <v>418.8</v>
      </c>
      <c r="AD119" s="986"/>
      <c r="AE119" s="29"/>
      <c r="AF119" s="31"/>
      <c r="AG119" s="927"/>
      <c r="AH119" s="925"/>
      <c r="AI119" s="979"/>
      <c r="AJ119" s="926"/>
      <c r="AK119" s="926"/>
      <c r="AL119" s="986"/>
      <c r="AO119" s="927"/>
      <c r="AP119" s="925"/>
      <c r="AQ119" s="979"/>
      <c r="AR119" s="926"/>
      <c r="AS119" s="926"/>
      <c r="AT119" s="986"/>
      <c r="AU119" s="83"/>
      <c r="AV119" s="83"/>
      <c r="AW119" s="83"/>
      <c r="AX119" s="34"/>
      <c r="AY119" s="34"/>
    </row>
    <row r="120" spans="1:51" s="19" customFormat="1" ht="13.5" thickBot="1" x14ac:dyDescent="0.25">
      <c r="A120" s="971" t="s">
        <v>157</v>
      </c>
      <c r="B120" s="972"/>
      <c r="C120" s="981"/>
      <c r="D120" s="982"/>
      <c r="E120" s="982"/>
      <c r="F120" s="997"/>
      <c r="G120" s="29"/>
      <c r="H120" s="31"/>
      <c r="I120" s="971" t="s">
        <v>157</v>
      </c>
      <c r="J120" s="972"/>
      <c r="K120" s="981"/>
      <c r="L120" s="982"/>
      <c r="M120" s="982"/>
      <c r="N120" s="997"/>
      <c r="Q120" s="971" t="s">
        <v>157</v>
      </c>
      <c r="R120" s="972"/>
      <c r="S120" s="981"/>
      <c r="T120" s="982"/>
      <c r="U120" s="982"/>
      <c r="V120" s="997"/>
      <c r="W120" s="29"/>
      <c r="X120" s="704"/>
      <c r="Y120" s="971" t="s">
        <v>369</v>
      </c>
      <c r="Z120" s="972">
        <v>2</v>
      </c>
      <c r="AA120" s="981">
        <v>9.6999999999999993</v>
      </c>
      <c r="AB120" s="982">
        <v>6281.52</v>
      </c>
      <c r="AC120" s="982">
        <v>352.56</v>
      </c>
      <c r="AD120" s="997"/>
      <c r="AE120" s="29"/>
      <c r="AF120" s="31"/>
      <c r="AG120" s="971"/>
      <c r="AH120" s="972"/>
      <c r="AI120" s="981"/>
      <c r="AJ120" s="982"/>
      <c r="AK120" s="982"/>
      <c r="AL120" s="997"/>
      <c r="AO120" s="971"/>
      <c r="AP120" s="972"/>
      <c r="AQ120" s="981"/>
      <c r="AR120" s="982"/>
      <c r="AS120" s="982"/>
      <c r="AT120" s="997"/>
      <c r="AU120" s="83"/>
      <c r="AV120" s="83"/>
      <c r="AW120" s="83"/>
      <c r="AX120" s="34"/>
      <c r="AY120" s="34"/>
    </row>
  </sheetData>
  <sheetProtection sheet="1" formatCells="0" formatColumns="0" formatRows="0" sort="0"/>
  <mergeCells count="18">
    <mergeCell ref="AV53:AW53"/>
    <mergeCell ref="AV54:AW54"/>
    <mergeCell ref="AX54:AY54"/>
    <mergeCell ref="AX53:AY53"/>
    <mergeCell ref="AN54:AO54"/>
    <mergeCell ref="AT54:AU54"/>
    <mergeCell ref="AT53:AU53"/>
    <mergeCell ref="AJ54:AJ55"/>
    <mergeCell ref="AP53:AQ53"/>
    <mergeCell ref="AR53:AS53"/>
    <mergeCell ref="AP54:AQ54"/>
    <mergeCell ref="AR54:AS54"/>
    <mergeCell ref="AN53:AO53"/>
    <mergeCell ref="Q54:Z54"/>
    <mergeCell ref="B54:B55"/>
    <mergeCell ref="B1:F1"/>
    <mergeCell ref="I1:J1"/>
    <mergeCell ref="C54:M54"/>
  </mergeCells>
  <conditionalFormatting sqref="C82:Z94">
    <cfRule type="expression" dxfId="40" priority="2133" stopIfTrue="1">
      <formula>C$82=0</formula>
    </cfRule>
  </conditionalFormatting>
  <conditionalFormatting sqref="A16:N43">
    <cfRule type="expression" dxfId="39" priority="60" stopIfTrue="1">
      <formula>$B16=""</formula>
    </cfRule>
  </conditionalFormatting>
  <conditionalFormatting sqref="A56:A79 C56:AA79">
    <cfRule type="expression" dxfId="38" priority="2141" stopIfTrue="1">
      <formula>$N56=0</formula>
    </cfRule>
  </conditionalFormatting>
  <conditionalFormatting sqref="F20:G43">
    <cfRule type="expression" dxfId="37" priority="10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topLeftCell="B1" zoomScaleNormal="100" workbookViewId="0">
      <pane ySplit="42" topLeftCell="A43" activePane="bottomLeft" state="frozen"/>
      <selection pane="bottomLef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2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189</v>
      </c>
      <c r="B1" s="90"/>
      <c r="K1" s="4"/>
      <c r="L1" s="4"/>
      <c r="M1" s="4"/>
      <c r="N1" s="272" t="s">
        <v>236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55">
        <v>0.99099999999999999</v>
      </c>
      <c r="Z1" s="678" t="s">
        <v>221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9" t="s">
        <v>75</v>
      </c>
      <c r="AN1" s="4"/>
      <c r="AO1" s="4"/>
      <c r="AT1" s="765"/>
      <c r="AY1" s="765"/>
      <c r="BC1" s="1267" t="s">
        <v>203</v>
      </c>
      <c r="BD1" s="1267"/>
      <c r="BE1" s="1267"/>
      <c r="BF1" s="812"/>
      <c r="BH1" s="735" t="s">
        <v>194</v>
      </c>
      <c r="BJ1" s="720"/>
      <c r="BK1" s="720"/>
      <c r="BL1" s="720"/>
      <c r="BM1" s="720"/>
      <c r="BN1" s="720"/>
      <c r="BO1" s="720"/>
      <c r="BP1" s="720"/>
      <c r="BQ1" s="720"/>
      <c r="BR1" s="573"/>
      <c r="BS1" s="574"/>
      <c r="BT1" s="461"/>
    </row>
    <row r="2" spans="1:84" s="4" customFormat="1" ht="12.75" customHeight="1" thickBot="1" x14ac:dyDescent="0.3">
      <c r="A2" s="1258" t="str">
        <f>'Réglage perte'!B2</f>
        <v>Ayguesvives M.J.C.</v>
      </c>
      <c r="B2" s="1259"/>
      <c r="C2" s="1259"/>
      <c r="D2" s="1260"/>
      <c r="I2" s="1202" t="s">
        <v>387</v>
      </c>
      <c r="J2" s="1203">
        <f>AVERAGEIF($BW$15:$CF$380,"&gt;0,97")</f>
        <v>0.99922049915924449</v>
      </c>
      <c r="L2" s="174">
        <v>43079</v>
      </c>
      <c r="M2" s="174">
        <v>43093</v>
      </c>
      <c r="N2" s="76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4">
        <v>43473</v>
      </c>
      <c r="AO2" s="174">
        <v>43487</v>
      </c>
      <c r="BB2" s="733"/>
      <c r="BC2" s="1267"/>
      <c r="BD2" s="1267"/>
      <c r="BE2" s="1267"/>
      <c r="BF2" s="812"/>
      <c r="BH2" s="28"/>
      <c r="BI2" s="565"/>
      <c r="BJ2" s="566"/>
      <c r="BK2" s="281"/>
      <c r="BL2" s="566"/>
      <c r="BM2" s="567"/>
      <c r="BN2" s="281"/>
      <c r="BP2" s="6"/>
      <c r="BQ2" s="281"/>
      <c r="BR2" s="567"/>
      <c r="BS2" s="568"/>
      <c r="BT2" s="6"/>
    </row>
    <row r="3" spans="1:84" s="4" customFormat="1" ht="12.75" customHeight="1" thickBot="1" x14ac:dyDescent="0.3">
      <c r="A3" s="1261"/>
      <c r="B3" s="1262"/>
      <c r="C3" s="1262"/>
      <c r="D3" s="1263"/>
      <c r="E3" s="3"/>
      <c r="L3" s="757">
        <f>AL3</f>
        <v>259</v>
      </c>
      <c r="M3" s="761">
        <f>+AM3</f>
        <v>254</v>
      </c>
      <c r="N3" s="170">
        <v>276</v>
      </c>
      <c r="O3" s="170">
        <v>316</v>
      </c>
      <c r="P3" s="170">
        <v>365</v>
      </c>
      <c r="Q3" s="170">
        <v>419</v>
      </c>
      <c r="R3" s="170">
        <v>468</v>
      </c>
      <c r="S3" s="170">
        <v>515</v>
      </c>
      <c r="T3" s="170">
        <v>558</v>
      </c>
      <c r="U3" s="170">
        <v>588</v>
      </c>
      <c r="V3" s="170">
        <v>604</v>
      </c>
      <c r="W3" s="170">
        <v>610</v>
      </c>
      <c r="X3" s="170">
        <v>610</v>
      </c>
      <c r="Y3" s="170">
        <v>604</v>
      </c>
      <c r="Z3" s="170">
        <v>596</v>
      </c>
      <c r="AA3" s="170">
        <v>586</v>
      </c>
      <c r="AB3" s="170">
        <v>575</v>
      </c>
      <c r="AC3" s="170">
        <v>563</v>
      </c>
      <c r="AD3" s="170">
        <v>547</v>
      </c>
      <c r="AE3" s="170">
        <v>527</v>
      </c>
      <c r="AF3" s="170">
        <v>497</v>
      </c>
      <c r="AG3" s="170">
        <v>458</v>
      </c>
      <c r="AH3" s="170">
        <v>416</v>
      </c>
      <c r="AI3" s="170">
        <v>368</v>
      </c>
      <c r="AJ3" s="170">
        <v>325</v>
      </c>
      <c r="AK3" s="170">
        <v>287</v>
      </c>
      <c r="AL3" s="170">
        <v>259</v>
      </c>
      <c r="AM3" s="170">
        <v>254</v>
      </c>
      <c r="AN3" s="757">
        <f>+N3</f>
        <v>276</v>
      </c>
      <c r="AO3" s="758">
        <f>+O3</f>
        <v>316</v>
      </c>
      <c r="BC3" s="1267"/>
      <c r="BD3" s="1267"/>
      <c r="BE3" s="1267"/>
      <c r="BF3" s="812"/>
      <c r="BH3" s="28"/>
      <c r="BI3" s="6"/>
      <c r="BJ3" s="6"/>
      <c r="BK3" s="6"/>
      <c r="BL3" s="6"/>
      <c r="BM3" s="6"/>
      <c r="BN3" s="6"/>
      <c r="BO3" s="801" t="s">
        <v>233</v>
      </c>
      <c r="BP3" s="802">
        <v>0.3</v>
      </c>
      <c r="BQ3" s="803" t="s">
        <v>234</v>
      </c>
      <c r="BR3" s="804" t="s">
        <v>239</v>
      </c>
      <c r="BS3" s="566"/>
    </row>
    <row r="4" spans="1:84" s="4" customFormat="1" ht="12.75" customHeight="1" x14ac:dyDescent="0.25">
      <c r="A4" s="2"/>
      <c r="B4" s="417"/>
      <c r="E4" s="33"/>
      <c r="F4" s="569"/>
      <c r="K4" s="2"/>
      <c r="M4" s="634" t="s">
        <v>186</v>
      </c>
      <c r="N4" s="763">
        <f>MAX($BA15:$BA28)-1</f>
        <v>4.2098245559361702E-2</v>
      </c>
      <c r="O4" s="650">
        <f>MAX($BA29:$BA42)-1</f>
        <v>3.6593156608463628E-2</v>
      </c>
      <c r="P4" s="650">
        <f>MAX($BA43:$BA56)-1</f>
        <v>3.7594571034663238E-2</v>
      </c>
      <c r="Q4" s="650">
        <f>MAX(BA57:BA70)-1</f>
        <v>3.1839564142262633E-2</v>
      </c>
      <c r="R4" s="650">
        <f>MAX(BA71:BA84)-1</f>
        <v>1.5852466548509359E-2</v>
      </c>
      <c r="S4" s="650">
        <f>MAX(BA85:BA98)-1</f>
        <v>2.9173773153582827E-2</v>
      </c>
      <c r="T4" s="650">
        <f>MAX(BA99:BA112)-1</f>
        <v>4.6976720512020398E-2</v>
      </c>
      <c r="U4" s="650">
        <f>MAX(BA113:BA126)-1</f>
        <v>4.093541834504566E-2</v>
      </c>
      <c r="V4" s="650">
        <f>MAX(BA127:BA140)-1</f>
        <v>4.4453391743060733E-2</v>
      </c>
      <c r="W4" s="650">
        <f>MAX(BA141:BA154)-1</f>
        <v>3.3708704064422168E-2</v>
      </c>
      <c r="X4" s="650">
        <f>MAX(BA155:BA168)-1</f>
        <v>1.1589191548369682E-2</v>
      </c>
      <c r="Y4" s="650">
        <f>MAX(BA169:BA182)-1</f>
        <v>3.0298169453724766E-2</v>
      </c>
      <c r="Z4" s="650">
        <f>MAX(BA183:BA196)-1</f>
        <v>3.5781883565615402E-3</v>
      </c>
      <c r="AA4" s="650">
        <f>MAX(BA197:BA210)-1</f>
        <v>3.5844560892513089E-2</v>
      </c>
      <c r="AB4" s="650">
        <f>MAX(BA211:BA224)-1</f>
        <v>3.1898034985975876E-2</v>
      </c>
      <c r="AC4" s="650">
        <f>MAX(BA225:BA238)-1</f>
        <v>1.0681325191267632E-2</v>
      </c>
      <c r="AD4" s="650">
        <f>MAX(BA239:BA252)-1</f>
        <v>3.7046973318137777E-2</v>
      </c>
      <c r="AE4" s="650">
        <f>MAX(BA253:BA266)-1</f>
        <v>4.6036658073012493E-2</v>
      </c>
      <c r="AF4" s="650">
        <f>MAX(BA267:BA280)-1</f>
        <v>4.2484681447172212E-2</v>
      </c>
      <c r="AG4" s="650">
        <f>MAX(BA281:BA294)-1</f>
        <v>2.9176700633970265E-2</v>
      </c>
      <c r="AH4" s="650">
        <f>MAX(BA295:BA308)-1</f>
        <v>4.6119466503605766E-2</v>
      </c>
      <c r="AI4" s="650">
        <f>MAX(BA309:BA322)-1</f>
        <v>3.4527928459680668E-2</v>
      </c>
      <c r="AJ4" s="650">
        <f>MAX(BA323:BA336)-1</f>
        <v>-2.0165229345904256E-3</v>
      </c>
      <c r="AK4" s="650">
        <f>MAX(BA337:BA350)-1</f>
        <v>4.4423674932509538E-2</v>
      </c>
      <c r="AL4" s="650">
        <f>MAX(BA351:BA364)-1</f>
        <v>4.46503344484388E-2</v>
      </c>
      <c r="AM4" s="650">
        <f>MAX(BA365:BA380)-1</f>
        <v>3.0170596826395002E-2</v>
      </c>
      <c r="AN4" s="638"/>
      <c r="AP4" s="569"/>
      <c r="AU4" s="569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235</v>
      </c>
      <c r="BP4" s="805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64" t="s">
        <v>185</v>
      </c>
      <c r="B5" s="1265"/>
      <c r="C5" s="1265"/>
      <c r="D5" s="1265"/>
      <c r="E5" s="1265"/>
      <c r="F5" s="1265"/>
      <c r="G5" s="1265"/>
      <c r="H5" s="1265"/>
      <c r="I5" s="1265"/>
      <c r="J5" s="1266"/>
      <c r="K5" s="89"/>
      <c r="N5" s="88"/>
      <c r="O5" s="88"/>
      <c r="P5" s="19"/>
      <c r="Q5" s="70"/>
      <c r="R5" s="70"/>
      <c r="S5" s="70"/>
      <c r="T5" s="70"/>
      <c r="U5" s="70"/>
      <c r="V5" s="635"/>
      <c r="W5" s="70"/>
      <c r="X5" s="70"/>
      <c r="Y5" s="70"/>
      <c r="Z5" s="70"/>
      <c r="AA5" s="70"/>
      <c r="AB5" s="70"/>
      <c r="AC5" s="70"/>
      <c r="AD5" s="70"/>
      <c r="AE5" s="636"/>
      <c r="AF5" s="19"/>
      <c r="AG5" s="19"/>
      <c r="AH5" s="71"/>
      <c r="AI5" s="649"/>
      <c r="AJ5" s="649"/>
      <c r="AK5" s="649"/>
      <c r="AL5" s="649"/>
      <c r="AM5" s="88"/>
      <c r="AN5" s="648"/>
      <c r="AP5" s="759"/>
      <c r="AQ5" s="759"/>
      <c r="AR5" s="759"/>
      <c r="AS5" s="759"/>
      <c r="AT5" s="766"/>
      <c r="AU5" s="759"/>
      <c r="AV5" s="759"/>
      <c r="AW5" s="759"/>
      <c r="AX5" s="759"/>
      <c r="AY5" s="766"/>
      <c r="AZ5" s="759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'2018'!An</f>
        <v>2018</v>
      </c>
      <c r="B6" s="267">
        <f>'2019'!An</f>
        <v>2019</v>
      </c>
      <c r="C6" s="267">
        <f>'2020'!An</f>
        <v>2020</v>
      </c>
      <c r="D6" s="267">
        <f>'2021'!An</f>
        <v>2021</v>
      </c>
      <c r="E6" s="267">
        <f>'2022'!An</f>
        <v>2022</v>
      </c>
      <c r="F6" s="269">
        <f>'2023'!An</f>
        <v>2023</v>
      </c>
      <c r="G6" s="269">
        <f>'2024'!An</f>
        <v>2024</v>
      </c>
      <c r="H6" s="269">
        <f>'2025'!An</f>
        <v>2025</v>
      </c>
      <c r="I6" s="269">
        <f>'2026'!An</f>
        <v>2026</v>
      </c>
      <c r="J6" s="269">
        <f>'2027'!An</f>
        <v>2027</v>
      </c>
      <c r="K6" s="2"/>
      <c r="BC6" s="37"/>
      <c r="BD6" s="283"/>
      <c r="BE6" s="283"/>
      <c r="BF6" s="283"/>
      <c r="BH6" s="1149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'2018'!Dépas_env</f>
        <v>1.0703898995348737E-2</v>
      </c>
      <c r="B7" s="268">
        <f>'2019'!Dépas_env</f>
        <v>4.6036658073012493E-2</v>
      </c>
      <c r="C7" s="268">
        <f>'2020'!Dépas_env</f>
        <v>4.6976720512020398E-2</v>
      </c>
      <c r="D7" s="268">
        <f>'2021'!Dépas_env</f>
        <v>4.6119466503605766E-2</v>
      </c>
      <c r="E7" s="268">
        <f>'2022'!Dépas_env</f>
        <v>4.46503344484388E-2</v>
      </c>
      <c r="F7" s="599">
        <f>'2023'!Dépas_env</f>
        <v>4.46503344484388E-2</v>
      </c>
      <c r="G7" s="599">
        <f>'2024'!Dépas_env</f>
        <v>4.46503344484388E-2</v>
      </c>
      <c r="H7" s="599">
        <f>'2025'!Dépas_env</f>
        <v>4.46503344484388E-2</v>
      </c>
      <c r="I7" s="599">
        <f>'2026'!Dépas_env</f>
        <v>4.46503344484388E-2</v>
      </c>
      <c r="J7" s="599">
        <f>'2027'!Dépas_env</f>
        <v>4.46503344484388E-2</v>
      </c>
      <c r="K7" s="2"/>
      <c r="BA7" s="639"/>
      <c r="BC7" s="19"/>
      <c r="BD7" s="282"/>
      <c r="BE7" s="282"/>
      <c r="BF7" s="282"/>
      <c r="BH7" s="114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9"/>
      <c r="BC8" s="6"/>
      <c r="BD8" s="281"/>
      <c r="BE8" s="281"/>
      <c r="BF8" s="281"/>
      <c r="BH8" s="1150"/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9"/>
      <c r="BB9" s="19"/>
      <c r="BC9" s="19"/>
      <c r="BD9" s="282"/>
      <c r="BE9" s="282"/>
      <c r="BF9" s="282"/>
      <c r="BH9" s="1154">
        <f>PousHi*($A$6-BP13-INDEX(Croivg,MIN(MAX(BO13-DATE(BP13,1,1)+1,0),366)))</f>
        <v>-0.46522425418292995</v>
      </c>
      <c r="BI9" s="968" t="s">
        <v>296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8"/>
      <c r="BD10" s="281"/>
      <c r="BE10" s="281"/>
      <c r="BF10" s="281"/>
      <c r="BH10" s="1038">
        <f>MIN(MATCH(H_i,Echel_vg),10)</f>
        <v>5</v>
      </c>
      <c r="BI10" s="561"/>
      <c r="BO10" s="734"/>
      <c r="BP10" s="73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1" t="s">
        <v>316</v>
      </c>
      <c r="D11" s="1077">
        <v>0.97</v>
      </c>
      <c r="E11" s="8"/>
      <c r="J11" s="9"/>
      <c r="K11" s="7"/>
      <c r="L11" s="760" t="s">
        <v>222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9" t="s">
        <v>225</v>
      </c>
      <c r="AT11" s="27"/>
      <c r="AU11" s="689" t="s">
        <v>226</v>
      </c>
      <c r="AY11" s="27"/>
      <c r="AZ11" s="771" t="s">
        <v>229</v>
      </c>
      <c r="BA11" s="639"/>
      <c r="BB11" s="19"/>
      <c r="BC11" s="15"/>
      <c r="BD11" s="1268" t="s">
        <v>245</v>
      </c>
      <c r="BE11" s="1269"/>
      <c r="BF11" s="1272" t="s">
        <v>240</v>
      </c>
      <c r="BH11" s="1039">
        <f>INDEX(Echel_vg,$BH$10)</f>
        <v>-1</v>
      </c>
      <c r="BI11" s="561"/>
      <c r="BO11" s="115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0">
        <f>+MIN(B15:B379)</f>
        <v>9.5659847348518507</v>
      </c>
      <c r="C12" s="12">
        <f>+MIN(C15:C379)</f>
        <v>2018</v>
      </c>
      <c r="D12" s="1050">
        <f>+MIN(D15:D379)</f>
        <v>0.97005901178183607</v>
      </c>
      <c r="E12" s="12">
        <f t="shared" ref="E12:J12" si="1">+MIN(E15:E379)</f>
        <v>25.171399999999998</v>
      </c>
      <c r="F12" s="416">
        <f t="shared" si="1"/>
        <v>1</v>
      </c>
      <c r="G12" s="12">
        <f t="shared" si="1"/>
        <v>2</v>
      </c>
      <c r="H12" s="172">
        <f t="shared" si="1"/>
        <v>43093</v>
      </c>
      <c r="I12" s="390">
        <f t="shared" si="1"/>
        <v>0</v>
      </c>
      <c r="J12" s="390">
        <f t="shared" si="1"/>
        <v>25.068451038641591</v>
      </c>
      <c r="K12" s="6"/>
      <c r="L12" s="174">
        <f>L2</f>
        <v>43079</v>
      </c>
      <c r="M12" s="174">
        <f t="shared" ref="M12:AO12" si="2">M2</f>
        <v>43093</v>
      </c>
      <c r="N12" s="174">
        <f t="shared" si="2"/>
        <v>43108</v>
      </c>
      <c r="O12" s="174">
        <f t="shared" si="2"/>
        <v>43122</v>
      </c>
      <c r="P12" s="174">
        <f t="shared" si="2"/>
        <v>43136</v>
      </c>
      <c r="Q12" s="174">
        <f t="shared" si="2"/>
        <v>43150</v>
      </c>
      <c r="R12" s="174">
        <f t="shared" si="2"/>
        <v>43164</v>
      </c>
      <c r="S12" s="174">
        <f t="shared" si="2"/>
        <v>43178</v>
      </c>
      <c r="T12" s="174">
        <f t="shared" si="2"/>
        <v>43192</v>
      </c>
      <c r="U12" s="174">
        <f t="shared" si="2"/>
        <v>43206</v>
      </c>
      <c r="V12" s="174">
        <f t="shared" si="2"/>
        <v>43220</v>
      </c>
      <c r="W12" s="174">
        <f t="shared" si="2"/>
        <v>43234</v>
      </c>
      <c r="X12" s="174">
        <f t="shared" si="2"/>
        <v>43248</v>
      </c>
      <c r="Y12" s="174">
        <f t="shared" si="2"/>
        <v>43262</v>
      </c>
      <c r="Z12" s="174">
        <f t="shared" si="2"/>
        <v>43276</v>
      </c>
      <c r="AA12" s="174">
        <f t="shared" si="2"/>
        <v>43290</v>
      </c>
      <c r="AB12" s="174">
        <f t="shared" si="2"/>
        <v>43304</v>
      </c>
      <c r="AC12" s="174">
        <f t="shared" si="2"/>
        <v>43318</v>
      </c>
      <c r="AD12" s="174">
        <f t="shared" si="2"/>
        <v>43332</v>
      </c>
      <c r="AE12" s="174">
        <f t="shared" si="2"/>
        <v>43346</v>
      </c>
      <c r="AF12" s="174">
        <f t="shared" si="2"/>
        <v>43360</v>
      </c>
      <c r="AG12" s="174">
        <f t="shared" si="2"/>
        <v>43374</v>
      </c>
      <c r="AH12" s="174">
        <f t="shared" si="2"/>
        <v>43388</v>
      </c>
      <c r="AI12" s="174">
        <f t="shared" si="2"/>
        <v>43402</v>
      </c>
      <c r="AJ12" s="174">
        <f t="shared" si="2"/>
        <v>43416</v>
      </c>
      <c r="AK12" s="174">
        <f t="shared" si="2"/>
        <v>43430</v>
      </c>
      <c r="AL12" s="174">
        <f t="shared" si="2"/>
        <v>43444</v>
      </c>
      <c r="AM12" s="174">
        <f t="shared" si="2"/>
        <v>43458</v>
      </c>
      <c r="AN12" s="174">
        <f t="shared" si="2"/>
        <v>43473</v>
      </c>
      <c r="AO12" s="174">
        <f t="shared" si="2"/>
        <v>43487</v>
      </c>
      <c r="AP12" s="416">
        <f t="shared" ref="AP12:AZ12" si="3">+MIN(AP15:AP379)</f>
        <v>1</v>
      </c>
      <c r="AQ12" s="12">
        <f t="shared" si="3"/>
        <v>2</v>
      </c>
      <c r="AR12" s="172">
        <f t="shared" si="3"/>
        <v>43079</v>
      </c>
      <c r="AS12" s="390">
        <f t="shared" si="3"/>
        <v>0</v>
      </c>
      <c r="AT12" s="390">
        <f t="shared" si="3"/>
        <v>25.300219456748714</v>
      </c>
      <c r="AU12" s="416">
        <f t="shared" si="3"/>
        <v>1</v>
      </c>
      <c r="AV12" s="12">
        <f t="shared" si="3"/>
        <v>2</v>
      </c>
      <c r="AW12" s="172">
        <f t="shared" si="3"/>
        <v>43093</v>
      </c>
      <c r="AX12" s="390">
        <f t="shared" si="3"/>
        <v>0</v>
      </c>
      <c r="AY12" s="390">
        <f t="shared" si="3"/>
        <v>25.111291492677161</v>
      </c>
      <c r="AZ12" s="390">
        <f t="shared" si="3"/>
        <v>25.219020629859543</v>
      </c>
      <c r="BA12" s="637"/>
      <c r="BC12" s="15"/>
      <c r="BD12" s="1270"/>
      <c r="BE12" s="1271"/>
      <c r="BF12" s="1273"/>
      <c r="BH12" s="1040">
        <f>(H_i-BH11)/(INDEX(Echel_vg,$BH$10+1)-BH$11)</f>
        <v>0.5347757458170701</v>
      </c>
      <c r="BJ12" s="6"/>
      <c r="BK12" s="6"/>
      <c r="BL12" s="6"/>
      <c r="BN12" s="355" t="str">
        <f>Masques!B53</f>
        <v>Pas de calcul pousse en hauteur:</v>
      </c>
      <c r="BO12" s="1152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0">
        <f>+MAX(B15:B379)</f>
        <v>62.888390720107274</v>
      </c>
      <c r="C13" s="12">
        <f>+MAX(C15:C379)</f>
        <v>2022</v>
      </c>
      <c r="D13" s="1050">
        <f>+MAX(D15:D379)</f>
        <v>1.0469767205120204</v>
      </c>
      <c r="E13" s="12">
        <f t="shared" ref="E13:J13" si="4">+MAX(E15:E379)</f>
        <v>60.451000000000001</v>
      </c>
      <c r="F13" s="416">
        <f t="shared" si="4"/>
        <v>27</v>
      </c>
      <c r="G13" s="12">
        <f t="shared" si="4"/>
        <v>28</v>
      </c>
      <c r="H13" s="172">
        <f t="shared" si="4"/>
        <v>43458</v>
      </c>
      <c r="I13" s="390">
        <f t="shared" si="4"/>
        <v>1</v>
      </c>
      <c r="J13" s="390">
        <f t="shared" si="4"/>
        <v>60.525325000472364</v>
      </c>
      <c r="K13" s="6"/>
      <c r="L13" s="774">
        <f>AL13</f>
        <v>256.66899999999998</v>
      </c>
      <c r="M13" s="774">
        <f>+AM13</f>
        <v>251.714</v>
      </c>
      <c r="N13" s="773">
        <f t="shared" ref="N13:AM13" si="5">Ajust_M*N3</f>
        <v>273.51600000000002</v>
      </c>
      <c r="O13" s="764">
        <f t="shared" si="5"/>
        <v>313.15600000000001</v>
      </c>
      <c r="P13" s="764">
        <f t="shared" si="5"/>
        <v>361.71499999999997</v>
      </c>
      <c r="Q13" s="764">
        <f t="shared" si="5"/>
        <v>415.22899999999998</v>
      </c>
      <c r="R13" s="764">
        <f t="shared" si="5"/>
        <v>463.78800000000001</v>
      </c>
      <c r="S13" s="764">
        <f t="shared" si="5"/>
        <v>510.36500000000001</v>
      </c>
      <c r="T13" s="764">
        <f t="shared" si="5"/>
        <v>552.97799999999995</v>
      </c>
      <c r="U13" s="764">
        <f t="shared" si="5"/>
        <v>582.70799999999997</v>
      </c>
      <c r="V13" s="764">
        <f t="shared" si="5"/>
        <v>598.56399999999996</v>
      </c>
      <c r="W13" s="764">
        <f t="shared" si="5"/>
        <v>604.51</v>
      </c>
      <c r="X13" s="764">
        <f t="shared" si="5"/>
        <v>604.51</v>
      </c>
      <c r="Y13" s="764">
        <f t="shared" si="5"/>
        <v>598.56399999999996</v>
      </c>
      <c r="Z13" s="764">
        <f t="shared" si="5"/>
        <v>590.63599999999997</v>
      </c>
      <c r="AA13" s="764">
        <f t="shared" si="5"/>
        <v>580.726</v>
      </c>
      <c r="AB13" s="764">
        <f t="shared" si="5"/>
        <v>569.82500000000005</v>
      </c>
      <c r="AC13" s="764">
        <f t="shared" si="5"/>
        <v>557.93299999999999</v>
      </c>
      <c r="AD13" s="764">
        <f t="shared" si="5"/>
        <v>542.077</v>
      </c>
      <c r="AE13" s="764">
        <f t="shared" si="5"/>
        <v>522.25699999999995</v>
      </c>
      <c r="AF13" s="764">
        <f t="shared" si="5"/>
        <v>492.52699999999999</v>
      </c>
      <c r="AG13" s="764">
        <f t="shared" si="5"/>
        <v>453.87799999999999</v>
      </c>
      <c r="AH13" s="764">
        <f t="shared" si="5"/>
        <v>412.25599999999997</v>
      </c>
      <c r="AI13" s="764">
        <f t="shared" si="5"/>
        <v>364.68799999999999</v>
      </c>
      <c r="AJ13" s="764">
        <f t="shared" si="5"/>
        <v>322.07499999999999</v>
      </c>
      <c r="AK13" s="764">
        <f t="shared" si="5"/>
        <v>284.41699999999997</v>
      </c>
      <c r="AL13" s="764">
        <f t="shared" si="5"/>
        <v>256.66899999999998</v>
      </c>
      <c r="AM13" s="764">
        <f t="shared" si="5"/>
        <v>251.714</v>
      </c>
      <c r="AN13" s="774">
        <f>+N13</f>
        <v>273.51600000000002</v>
      </c>
      <c r="AO13" s="774">
        <f>+O13</f>
        <v>313.15600000000001</v>
      </c>
      <c r="AP13" s="416">
        <f t="shared" ref="AP13:AZ13" si="6">+MAX(AP15:AP379)</f>
        <v>15</v>
      </c>
      <c r="AQ13" s="12">
        <f t="shared" si="6"/>
        <v>14</v>
      </c>
      <c r="AR13" s="172">
        <f t="shared" si="6"/>
        <v>43473</v>
      </c>
      <c r="AS13" s="390">
        <f t="shared" si="6"/>
        <v>1</v>
      </c>
      <c r="AT13" s="390">
        <f t="shared" si="6"/>
        <v>60.547427477820634</v>
      </c>
      <c r="AU13" s="416">
        <f t="shared" si="6"/>
        <v>15</v>
      </c>
      <c r="AV13" s="12">
        <f t="shared" si="6"/>
        <v>14</v>
      </c>
      <c r="AW13" s="172">
        <f t="shared" si="6"/>
        <v>43487</v>
      </c>
      <c r="AX13" s="390">
        <f t="shared" si="6"/>
        <v>1</v>
      </c>
      <c r="AY13" s="390">
        <f t="shared" si="6"/>
        <v>60.528575365019165</v>
      </c>
      <c r="AZ13" s="390">
        <f t="shared" si="6"/>
        <v>60.536534242970603</v>
      </c>
      <c r="BA13" s="637"/>
      <c r="BC13" s="37"/>
      <c r="BD13" s="284" t="s">
        <v>49</v>
      </c>
      <c r="BE13" s="284" t="s">
        <v>48</v>
      </c>
      <c r="BF13" s="284" t="s">
        <v>243</v>
      </c>
      <c r="BH13" s="1041" t="s">
        <v>89</v>
      </c>
      <c r="BJ13" s="6"/>
      <c r="BN13" s="33" t="s">
        <v>201</v>
      </c>
      <c r="BO13" s="1153">
        <f>+Masques!I1</f>
        <v>43631</v>
      </c>
      <c r="BP13" s="804">
        <f>YEAR(BO13)</f>
        <v>2019</v>
      </c>
      <c r="BQ13" s="1151"/>
      <c r="BW13" s="677" t="s">
        <v>388</v>
      </c>
    </row>
    <row r="14" spans="1:84" ht="37.5" customHeight="1" thickBot="1" x14ac:dyDescent="0.3">
      <c r="A14" s="355" t="s">
        <v>114</v>
      </c>
      <c r="B14" s="1049" t="s">
        <v>3</v>
      </c>
      <c r="C14" s="1049" t="s">
        <v>13</v>
      </c>
      <c r="D14" s="1051" t="s">
        <v>317</v>
      </c>
      <c r="E14" s="173" t="s">
        <v>219</v>
      </c>
      <c r="F14" s="173" t="s">
        <v>215</v>
      </c>
      <c r="G14" s="173" t="s">
        <v>216</v>
      </c>
      <c r="H14" s="173" t="s">
        <v>217</v>
      </c>
      <c r="I14" s="744" t="s">
        <v>218</v>
      </c>
      <c r="J14" s="78" t="s">
        <v>0</v>
      </c>
      <c r="L14" s="2"/>
      <c r="M14" s="4" t="s">
        <v>220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3" t="s">
        <v>215</v>
      </c>
      <c r="AQ14" s="173" t="s">
        <v>216</v>
      </c>
      <c r="AR14" s="173" t="s">
        <v>217</v>
      </c>
      <c r="AS14" s="744" t="s">
        <v>218</v>
      </c>
      <c r="AT14" s="767" t="s">
        <v>227</v>
      </c>
      <c r="AU14" s="173" t="s">
        <v>215</v>
      </c>
      <c r="AV14" s="173" t="s">
        <v>216</v>
      </c>
      <c r="AW14" s="173" t="s">
        <v>217</v>
      </c>
      <c r="AX14" s="744" t="s">
        <v>218</v>
      </c>
      <c r="AY14" s="767" t="s">
        <v>228</v>
      </c>
      <c r="AZ14" s="78" t="s">
        <v>230</v>
      </c>
      <c r="BA14" s="640" t="s">
        <v>187</v>
      </c>
      <c r="BB14" s="72"/>
      <c r="BC14" s="355" t="s">
        <v>114</v>
      </c>
      <c r="BD14" s="285" t="s">
        <v>19</v>
      </c>
      <c r="BE14" s="286" t="s">
        <v>21</v>
      </c>
      <c r="BF14" s="817" t="s">
        <v>244</v>
      </c>
      <c r="BH14" s="1042" t="s">
        <v>90</v>
      </c>
      <c r="BI14" s="1037" t="s">
        <v>297</v>
      </c>
      <c r="BJ14" s="721">
        <f>+Masques!C55</f>
        <v>-5</v>
      </c>
      <c r="BK14" s="721">
        <f>+Masques!D55</f>
        <v>-4</v>
      </c>
      <c r="BL14" s="721">
        <f>+Masques!E55</f>
        <v>-3</v>
      </c>
      <c r="BM14" s="722">
        <f>+Masques!F55</f>
        <v>-2</v>
      </c>
      <c r="BN14" s="722">
        <f>+Masques!G55</f>
        <v>-1</v>
      </c>
      <c r="BO14" s="723">
        <f>+Masques!H55</f>
        <v>0</v>
      </c>
      <c r="BP14" s="721">
        <f>+Masques!I55</f>
        <v>1</v>
      </c>
      <c r="BQ14" s="721">
        <f>+Masques!J55</f>
        <v>2</v>
      </c>
      <c r="BR14" s="721">
        <f>+Masques!K55</f>
        <v>3</v>
      </c>
      <c r="BS14" s="721">
        <f>+Masques!L55</f>
        <v>4</v>
      </c>
      <c r="BT14" s="721">
        <f>+Masques!M55</f>
        <v>5</v>
      </c>
      <c r="BU14" s="969" t="s">
        <v>193</v>
      </c>
      <c r="BW14" s="1204">
        <v>2018</v>
      </c>
      <c r="BX14" s="1204">
        <v>2019</v>
      </c>
      <c r="BY14" s="1204">
        <v>2020</v>
      </c>
      <c r="BZ14" s="1204">
        <v>2021</v>
      </c>
      <c r="CA14" s="1204">
        <v>2022</v>
      </c>
      <c r="CB14" s="1204">
        <v>2023</v>
      </c>
      <c r="CC14" s="1204">
        <v>2024</v>
      </c>
      <c r="CD14" s="1204">
        <v>2025</v>
      </c>
      <c r="CE14" s="1204">
        <v>2026</v>
      </c>
      <c r="CF14" s="1204">
        <v>2027</v>
      </c>
    </row>
    <row r="15" spans="1:84" s="6" customFormat="1" ht="11.25" x14ac:dyDescent="0.2">
      <c r="A15" s="11">
        <v>43101</v>
      </c>
      <c r="B15" s="378">
        <f>'2022'!Maxi_hp</f>
        <v>25.81968983853487</v>
      </c>
      <c r="C15" s="750">
        <f>'2022'!An_max</f>
        <v>2022</v>
      </c>
      <c r="D15" s="1052">
        <f t="shared" ref="D15:D78" si="7">IF($BA15&gt;$D$11,BA15,"")</f>
        <v>0.99194387674551199</v>
      </c>
      <c r="E15" s="1047"/>
      <c r="F15" s="750">
        <f>INT(MATCH($A15,x.2m)/2)*2+1</f>
        <v>1</v>
      </c>
      <c r="G15" s="750">
        <f>INT((MATCH($A15,x.2m)+1)/2)*2</f>
        <v>2</v>
      </c>
      <c r="H15" s="751">
        <f t="shared" ref="H15:H78" si="8">INDEX(x.2m,F15)</f>
        <v>43093</v>
      </c>
      <c r="I15" s="752">
        <f t="shared" ref="I15:I78" si="9">($A15-H15)/(INDEX(x.2m,G15)-H15)</f>
        <v>0.53333333333333333</v>
      </c>
      <c r="J15" s="745">
        <f>((1-I15)*(INDEX(a.m,F15)*$A15*$A15+INDEX(b.m,F15)*$A15+INDEX(c.m,F15))+I15*(INDEX(a.m,G15)*$A15*$A15+INDEX(b.m,G15)*$A15+INDEX(c.m,G15)))/10</f>
        <v>26.029385778605938</v>
      </c>
      <c r="L15" s="754" t="s">
        <v>204</v>
      </c>
      <c r="M15" s="784">
        <f t="shared" ref="M15:AN15" si="10">L12</f>
        <v>43079</v>
      </c>
      <c r="N15" s="785">
        <f t="shared" si="10"/>
        <v>43093</v>
      </c>
      <c r="O15" s="775">
        <f t="shared" si="10"/>
        <v>43108</v>
      </c>
      <c r="P15" s="775">
        <f t="shared" si="10"/>
        <v>43122</v>
      </c>
      <c r="Q15" s="775">
        <f t="shared" si="10"/>
        <v>43136</v>
      </c>
      <c r="R15" s="775">
        <f t="shared" si="10"/>
        <v>43150</v>
      </c>
      <c r="S15" s="775">
        <f t="shared" si="10"/>
        <v>43164</v>
      </c>
      <c r="T15" s="775">
        <f t="shared" si="10"/>
        <v>43178</v>
      </c>
      <c r="U15" s="775">
        <f t="shared" si="10"/>
        <v>43192</v>
      </c>
      <c r="V15" s="775">
        <f t="shared" si="10"/>
        <v>43206</v>
      </c>
      <c r="W15" s="775">
        <f t="shared" si="10"/>
        <v>43220</v>
      </c>
      <c r="X15" s="775">
        <f t="shared" si="10"/>
        <v>43234</v>
      </c>
      <c r="Y15" s="775">
        <f t="shared" si="10"/>
        <v>43248</v>
      </c>
      <c r="Z15" s="775">
        <f t="shared" si="10"/>
        <v>43262</v>
      </c>
      <c r="AA15" s="775">
        <f t="shared" si="10"/>
        <v>43276</v>
      </c>
      <c r="AB15" s="775">
        <f t="shared" si="10"/>
        <v>43290</v>
      </c>
      <c r="AC15" s="775">
        <f t="shared" si="10"/>
        <v>43304</v>
      </c>
      <c r="AD15" s="775">
        <f t="shared" si="10"/>
        <v>43318</v>
      </c>
      <c r="AE15" s="775">
        <f t="shared" si="10"/>
        <v>43332</v>
      </c>
      <c r="AF15" s="775">
        <f t="shared" si="10"/>
        <v>43346</v>
      </c>
      <c r="AG15" s="775">
        <f t="shared" si="10"/>
        <v>43360</v>
      </c>
      <c r="AH15" s="775">
        <f t="shared" si="10"/>
        <v>43374</v>
      </c>
      <c r="AI15" s="775">
        <f t="shared" si="10"/>
        <v>43388</v>
      </c>
      <c r="AJ15" s="775">
        <f t="shared" si="10"/>
        <v>43402</v>
      </c>
      <c r="AK15" s="775">
        <f t="shared" si="10"/>
        <v>43416</v>
      </c>
      <c r="AL15" s="775">
        <f t="shared" si="10"/>
        <v>43430</v>
      </c>
      <c r="AM15" s="775">
        <f t="shared" si="10"/>
        <v>43444</v>
      </c>
      <c r="AN15" s="777">
        <f t="shared" si="10"/>
        <v>43458</v>
      </c>
      <c r="AO15" s="1046">
        <v>43101</v>
      </c>
      <c r="AP15" s="750">
        <f t="shared" ref="AP15:AP78" si="11">INT(MATCH($A15,x.2lg)/2)*2+1</f>
        <v>1</v>
      </c>
      <c r="AQ15" s="750">
        <f t="shared" ref="AQ15:AQ78" si="12">INT((MATCH($A15,x.2lg)+1)/2)*2</f>
        <v>2</v>
      </c>
      <c r="AR15" s="751">
        <f t="shared" ref="AR15:AR78" si="13">INDEX(x.2lg,AP15)</f>
        <v>43079</v>
      </c>
      <c r="AS15" s="752">
        <f t="shared" ref="AS15:AS78" si="14">($A15-AR15)/(INDEX(x.2lg,AQ15)-AR15)</f>
        <v>0.75862068965517238</v>
      </c>
      <c r="AT15" s="768">
        <f t="shared" ref="AT15:AT78" si="15">((1-AS15)*(INDEX(a.lg,AP15)*$A15*$A15+INDEX(b.lg,AP15)*$A15+INDEX(c.lg,AP15))+AS15*(INDEX(a.lg,AQ15)*$A15*$A15+INDEX(b.lg,AQ15)*$A15+INDEX(c.lg,AQ15)))/10</f>
        <v>26.228175177553606</v>
      </c>
      <c r="AU15" s="750">
        <f t="shared" ref="AU15:AU78" si="16">INT(MATCH($A15,x.2ld)/2)*2+1</f>
        <v>1</v>
      </c>
      <c r="AV15" s="750">
        <f t="shared" ref="AV15:AV78" si="17">INT((MATCH($A15,x.2ld)+1)/2)*2</f>
        <v>2</v>
      </c>
      <c r="AW15" s="751">
        <f t="shared" ref="AW15:AW78" si="18">INDEX(x.2ld,AU15)</f>
        <v>43093</v>
      </c>
      <c r="AX15" s="752">
        <f t="shared" ref="AX15:AX78" si="19">($A15-AW15)/(INDEX(x.2ld,AV15)-AW15)</f>
        <v>0.27586206896551724</v>
      </c>
      <c r="AY15" s="768">
        <f t="shared" ref="AY15:AY78" si="20">((1-AX15)*(INDEX(a.ld,AU15)*$A15*$A15+INDEX(b.ld,AU15)*$A15+INDEX(c.ld,AU15))+AX15*(INDEX(a.ld,AV15)*$A15*$A15+INDEX(b.ld,AV15)*$A15+INDEX(c.ld,AV15)))/10</f>
        <v>26.040743727725122</v>
      </c>
      <c r="AZ15" s="745">
        <f>(AY15+AT15)/2</f>
        <v>26.134459452639362</v>
      </c>
      <c r="BA15" s="641">
        <f t="shared" ref="BA15:BA78" si="21">+B15/J15</f>
        <v>0.99194387674551199</v>
      </c>
      <c r="BC15" s="11">
        <v>43101</v>
      </c>
      <c r="BD15" s="287">
        <f>[2]!FeuilCaduc*(1-Persistant)+Persistant</f>
        <v>0.60457829942861385</v>
      </c>
      <c r="BE15" s="288">
        <f>[2]!CroissVégét</f>
        <v>2.3909964587625958E-6</v>
      </c>
      <c r="BF15" s="818">
        <f>1+[2]!Salcycl*Ksac</f>
        <v>1.0005722874285767</v>
      </c>
      <c r="BH15" s="1043">
        <f t="shared" ref="BH15:BH78" si="22">INDEX($BJ15:$BT15,,$BH$10)*(1-Ratini)+INDEX($BJ15:$BT15,,$BH$10+1)*Ratini</f>
        <v>2.445532647791427E-2</v>
      </c>
      <c r="BI15" s="11">
        <v>44197</v>
      </c>
      <c r="BJ15" s="823">
        <v>1.6426948974516825E-2</v>
      </c>
      <c r="BK15" s="724">
        <v>1.7434548847240341E-2</v>
      </c>
      <c r="BL15" s="724">
        <v>1.8709852057295868E-2</v>
      </c>
      <c r="BM15" s="724">
        <v>2.0487695395207128E-2</v>
      </c>
      <c r="BN15" s="724">
        <v>2.285824156178095E-2</v>
      </c>
      <c r="BO15" s="725">
        <v>2.5844698835928964E-2</v>
      </c>
      <c r="BP15" s="724">
        <v>2.9491415403897301E-2</v>
      </c>
      <c r="BQ15" s="724">
        <v>3.3981415873899169E-2</v>
      </c>
      <c r="BR15" s="724">
        <v>3.9520827700564511E-2</v>
      </c>
      <c r="BS15" s="724">
        <v>4.6119749434770992E-2</v>
      </c>
      <c r="BT15" s="724">
        <v>5.3414450806702922E-2</v>
      </c>
      <c r="BW15" s="1205">
        <f>'2018'!R\Max</f>
        <v>0</v>
      </c>
      <c r="BX15" s="1206">
        <f>'2019'!R\Max</f>
        <v>7.2404274582739125E-2</v>
      </c>
      <c r="BY15" s="1206">
        <f>'2020'!R\Max</f>
        <v>0.60883029021070389</v>
      </c>
      <c r="BZ15" s="1206">
        <f>'2021'!R\Max</f>
        <v>0.50555203616071365</v>
      </c>
      <c r="CA15" s="1206">
        <f>'2022'!R\Max</f>
        <v>0.99194387674551199</v>
      </c>
      <c r="CB15" s="1206">
        <f>'2023'!R\Max</f>
        <v>0.99194253588391468</v>
      </c>
      <c r="CC15" s="1206">
        <f>'2024'!R\Max</f>
        <v>0.99194092764410347</v>
      </c>
      <c r="CD15" s="1206">
        <f>'2025'!R\Max</f>
        <v>0.99193931895629128</v>
      </c>
      <c r="CE15" s="1206">
        <f>'2026'!R\Max</f>
        <v>0.99194771582425489</v>
      </c>
      <c r="CF15" s="1207">
        <f>'2027'!R\Max</f>
        <v>0.99194655278957022</v>
      </c>
    </row>
    <row r="16" spans="1:84" s="6" customFormat="1" ht="11.25" x14ac:dyDescent="0.2">
      <c r="A16" s="11">
        <v>43102</v>
      </c>
      <c r="B16" s="379">
        <f>'2022'!Maxi_hp</f>
        <v>25.015272489823854</v>
      </c>
      <c r="C16" s="13">
        <f>'2022'!An_max</f>
        <v>2020</v>
      </c>
      <c r="D16" s="1053" t="str">
        <f t="shared" si="7"/>
        <v/>
      </c>
      <c r="E16" s="1048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2">
        <f t="shared" si="8"/>
        <v>43093</v>
      </c>
      <c r="I16" s="753">
        <f t="shared" si="9"/>
        <v>0.6</v>
      </c>
      <c r="J16" s="746">
        <f>((1-I16)*(INDEX(a.m,F16)*$A16*$A16+INDEX(b.m,F16)*$A16+INDEX(c.m,F16))+I16*(INDEX(a.m,G16)*$A16*$A16+INDEX(b.m,G16)*$A16+INDEX(c.m,G16)))/10</f>
        <v>26.190948611199854</v>
      </c>
      <c r="L16" s="755" t="s">
        <v>205</v>
      </c>
      <c r="M16" s="741">
        <f t="shared" ref="M16:AN16" si="25">L13</f>
        <v>256.66899999999998</v>
      </c>
      <c r="N16" s="780">
        <f t="shared" si="25"/>
        <v>251.714</v>
      </c>
      <c r="O16" s="742">
        <f t="shared" si="25"/>
        <v>273.51600000000002</v>
      </c>
      <c r="P16" s="742">
        <f t="shared" si="25"/>
        <v>313.15600000000001</v>
      </c>
      <c r="Q16" s="742">
        <f t="shared" si="25"/>
        <v>361.71499999999997</v>
      </c>
      <c r="R16" s="742">
        <f t="shared" si="25"/>
        <v>415.22899999999998</v>
      </c>
      <c r="S16" s="742">
        <f t="shared" si="25"/>
        <v>463.78800000000001</v>
      </c>
      <c r="T16" s="742">
        <f t="shared" si="25"/>
        <v>510.36500000000001</v>
      </c>
      <c r="U16" s="742">
        <f t="shared" si="25"/>
        <v>552.97799999999995</v>
      </c>
      <c r="V16" s="742">
        <f t="shared" si="25"/>
        <v>582.70799999999997</v>
      </c>
      <c r="W16" s="742">
        <f t="shared" si="25"/>
        <v>598.56399999999996</v>
      </c>
      <c r="X16" s="742">
        <f t="shared" si="25"/>
        <v>604.51</v>
      </c>
      <c r="Y16" s="742">
        <f t="shared" si="25"/>
        <v>604.51</v>
      </c>
      <c r="Z16" s="742">
        <f t="shared" si="25"/>
        <v>598.56399999999996</v>
      </c>
      <c r="AA16" s="742">
        <f t="shared" si="25"/>
        <v>590.63599999999997</v>
      </c>
      <c r="AB16" s="742">
        <f t="shared" si="25"/>
        <v>580.726</v>
      </c>
      <c r="AC16" s="742">
        <f t="shared" si="25"/>
        <v>569.82500000000005</v>
      </c>
      <c r="AD16" s="742">
        <f t="shared" si="25"/>
        <v>557.93299999999999</v>
      </c>
      <c r="AE16" s="742">
        <f t="shared" si="25"/>
        <v>542.077</v>
      </c>
      <c r="AF16" s="742">
        <f t="shared" si="25"/>
        <v>522.25699999999995</v>
      </c>
      <c r="AG16" s="742">
        <f t="shared" si="25"/>
        <v>492.52699999999999</v>
      </c>
      <c r="AH16" s="742">
        <f t="shared" si="25"/>
        <v>453.87799999999999</v>
      </c>
      <c r="AI16" s="742">
        <f t="shared" si="25"/>
        <v>412.25599999999997</v>
      </c>
      <c r="AJ16" s="742">
        <f t="shared" si="25"/>
        <v>364.68799999999999</v>
      </c>
      <c r="AK16" s="742">
        <f t="shared" si="25"/>
        <v>322.07499999999999</v>
      </c>
      <c r="AL16" s="742">
        <f t="shared" si="25"/>
        <v>284.41699999999997</v>
      </c>
      <c r="AM16" s="742">
        <f t="shared" si="25"/>
        <v>256.66899999999998</v>
      </c>
      <c r="AN16" s="778">
        <f t="shared" si="25"/>
        <v>251.714</v>
      </c>
      <c r="AO16" s="1046">
        <v>43102</v>
      </c>
      <c r="AP16" s="13">
        <f t="shared" si="11"/>
        <v>1</v>
      </c>
      <c r="AQ16" s="13">
        <f t="shared" si="12"/>
        <v>2</v>
      </c>
      <c r="AR16" s="172">
        <f t="shared" si="13"/>
        <v>43079</v>
      </c>
      <c r="AS16" s="753">
        <f t="shared" si="14"/>
        <v>0.7931034482758621</v>
      </c>
      <c r="AT16" s="769">
        <f t="shared" si="15"/>
        <v>26.36364202966978</v>
      </c>
      <c r="AU16" s="13">
        <f t="shared" si="16"/>
        <v>1</v>
      </c>
      <c r="AV16" s="13">
        <f t="shared" si="17"/>
        <v>2</v>
      </c>
      <c r="AW16" s="172">
        <f t="shared" si="18"/>
        <v>43093</v>
      </c>
      <c r="AX16" s="753">
        <f t="shared" si="19"/>
        <v>0.31034482758620691</v>
      </c>
      <c r="AY16" s="769">
        <f t="shared" si="20"/>
        <v>26.212804532205233</v>
      </c>
      <c r="AZ16" s="746">
        <f t="shared" ref="AZ16:AZ79" si="26">(AY16+AT16)/2</f>
        <v>26.288223280937508</v>
      </c>
      <c r="BA16" s="641">
        <f>+B16/J16</f>
        <v>0.95511135778895562</v>
      </c>
      <c r="BC16" s="11">
        <v>43102</v>
      </c>
      <c r="BD16" s="289">
        <f>[2]!FeuilCaduc*(1-Persistant)+Persistant</f>
        <v>0.60425825265103927</v>
      </c>
      <c r="BE16" s="290">
        <f>[2]!CroissVégét</f>
        <v>6.0820224447240291E-5</v>
      </c>
      <c r="BF16" s="819">
        <f>1+[2]!Salcycl*Ksac</f>
        <v>1.00053228158138</v>
      </c>
      <c r="BH16" s="1044">
        <f t="shared" si="22"/>
        <v>2.4521586659096078E-2</v>
      </c>
      <c r="BI16" s="11">
        <v>44198</v>
      </c>
      <c r="BJ16" s="726">
        <v>1.6342074885294666E-2</v>
      </c>
      <c r="BK16" s="726">
        <v>1.7348203445612102E-2</v>
      </c>
      <c r="BL16" s="726">
        <v>1.8650829471439156E-2</v>
      </c>
      <c r="BM16" s="726">
        <v>2.0473851353277131E-2</v>
      </c>
      <c r="BN16" s="726">
        <v>2.2903076165972525E-2</v>
      </c>
      <c r="BO16" s="727">
        <v>2.5929598041325479E-2</v>
      </c>
      <c r="BP16" s="726">
        <v>2.9616278932400413E-2</v>
      </c>
      <c r="BQ16" s="726">
        <v>3.4145719104610173E-2</v>
      </c>
      <c r="BR16" s="726">
        <v>3.972923108173642E-2</v>
      </c>
      <c r="BS16" s="726">
        <v>4.6349501298548604E-2</v>
      </c>
      <c r="BT16" s="726">
        <v>5.3644546367586941E-2</v>
      </c>
      <c r="BW16" s="1208">
        <f>'2018'!R\Max</f>
        <v>0</v>
      </c>
      <c r="BX16" s="1206">
        <f>'2019'!R\Max</f>
        <v>0.27360904898627642</v>
      </c>
      <c r="BY16" s="1206">
        <f>'2020'!R\Max</f>
        <v>0.95511135778895562</v>
      </c>
      <c r="BZ16" s="1206">
        <f>'2021'!R\Max</f>
        <v>0.15242031061091749</v>
      </c>
      <c r="CA16" s="1206">
        <f>'2022'!R\Max</f>
        <v>0.69789465600995892</v>
      </c>
      <c r="CB16" s="1206">
        <f>'2023'!R\Max</f>
        <v>0.69785914277257233</v>
      </c>
      <c r="CC16" s="1206">
        <f>'2024'!R\Max</f>
        <v>0.69781663199668165</v>
      </c>
      <c r="CD16" s="1206">
        <f>'2025'!R\Max</f>
        <v>0.69777411439750547</v>
      </c>
      <c r="CE16" s="1206">
        <f>'2026'!R\Max</f>
        <v>0.69799642556630781</v>
      </c>
      <c r="CF16" s="1207">
        <f>'2027'!R\Max</f>
        <v>0.69796556277276089</v>
      </c>
    </row>
    <row r="17" spans="1:84" s="6" customFormat="1" ht="11.25" x14ac:dyDescent="0.2">
      <c r="A17" s="11">
        <v>43103</v>
      </c>
      <c r="B17" s="379">
        <f>'2022'!Maxi_hp</f>
        <v>27.472426453662738</v>
      </c>
      <c r="C17" s="13">
        <f>'2022'!An_max</f>
        <v>2019</v>
      </c>
      <c r="D17" s="1053">
        <f t="shared" si="7"/>
        <v>1.0420982455593617</v>
      </c>
      <c r="E17" s="1048"/>
      <c r="F17" s="13">
        <f t="shared" si="23"/>
        <v>1</v>
      </c>
      <c r="G17" s="13">
        <f t="shared" si="24"/>
        <v>2</v>
      </c>
      <c r="H17" s="172">
        <f t="shared" si="8"/>
        <v>43093</v>
      </c>
      <c r="I17" s="753">
        <f t="shared" si="9"/>
        <v>0.66666666666666663</v>
      </c>
      <c r="J17" s="746">
        <f t="shared" ref="J17:J78" si="27">((1-I17)*(INDEX(a.m,F17)*$A17*$A17+INDEX(b.m,F17)*$A17+INDEX(c.m,F17))+I17*(INDEX(a.m,G17)*$A17*$A17+INDEX(b.m,G17)*$A17+INDEX(c.m,G17)))/10</f>
        <v>26.362606952587765</v>
      </c>
      <c r="L17" s="755" t="s">
        <v>206</v>
      </c>
      <c r="M17" s="781">
        <f t="shared" ref="M17:AN17" si="28">M12</f>
        <v>43093</v>
      </c>
      <c r="N17" s="737">
        <f t="shared" si="28"/>
        <v>43108</v>
      </c>
      <c r="O17" s="737">
        <f t="shared" si="28"/>
        <v>43122</v>
      </c>
      <c r="P17" s="737">
        <f t="shared" si="28"/>
        <v>43136</v>
      </c>
      <c r="Q17" s="737">
        <f t="shared" si="28"/>
        <v>43150</v>
      </c>
      <c r="R17" s="737">
        <f t="shared" si="28"/>
        <v>43164</v>
      </c>
      <c r="S17" s="737">
        <f t="shared" si="28"/>
        <v>43178</v>
      </c>
      <c r="T17" s="737">
        <f t="shared" si="28"/>
        <v>43192</v>
      </c>
      <c r="U17" s="737">
        <f t="shared" si="28"/>
        <v>43206</v>
      </c>
      <c r="V17" s="737">
        <f t="shared" si="28"/>
        <v>43220</v>
      </c>
      <c r="W17" s="737">
        <f t="shared" si="28"/>
        <v>43234</v>
      </c>
      <c r="X17" s="737">
        <f t="shared" si="28"/>
        <v>43248</v>
      </c>
      <c r="Y17" s="737">
        <f t="shared" si="28"/>
        <v>43262</v>
      </c>
      <c r="Z17" s="737">
        <f t="shared" si="28"/>
        <v>43276</v>
      </c>
      <c r="AA17" s="737">
        <f t="shared" si="28"/>
        <v>43290</v>
      </c>
      <c r="AB17" s="737">
        <f t="shared" si="28"/>
        <v>43304</v>
      </c>
      <c r="AC17" s="737">
        <f t="shared" si="28"/>
        <v>43318</v>
      </c>
      <c r="AD17" s="737">
        <f t="shared" si="28"/>
        <v>43332</v>
      </c>
      <c r="AE17" s="737">
        <f t="shared" si="28"/>
        <v>43346</v>
      </c>
      <c r="AF17" s="737">
        <f t="shared" si="28"/>
        <v>43360</v>
      </c>
      <c r="AG17" s="737">
        <f t="shared" si="28"/>
        <v>43374</v>
      </c>
      <c r="AH17" s="737">
        <f t="shared" si="28"/>
        <v>43388</v>
      </c>
      <c r="AI17" s="737">
        <f t="shared" si="28"/>
        <v>43402</v>
      </c>
      <c r="AJ17" s="737">
        <f t="shared" si="28"/>
        <v>43416</v>
      </c>
      <c r="AK17" s="737">
        <f t="shared" si="28"/>
        <v>43430</v>
      </c>
      <c r="AL17" s="737">
        <f t="shared" si="28"/>
        <v>43444</v>
      </c>
      <c r="AM17" s="779">
        <f t="shared" si="28"/>
        <v>43458</v>
      </c>
      <c r="AN17" s="786">
        <f t="shared" si="28"/>
        <v>43473</v>
      </c>
      <c r="AO17" s="1046">
        <v>43103</v>
      </c>
      <c r="AP17" s="13">
        <f t="shared" si="11"/>
        <v>1</v>
      </c>
      <c r="AQ17" s="13">
        <f t="shared" si="12"/>
        <v>2</v>
      </c>
      <c r="AR17" s="172">
        <f t="shared" si="13"/>
        <v>43079</v>
      </c>
      <c r="AS17" s="753">
        <f t="shared" si="14"/>
        <v>0.82758620689655171</v>
      </c>
      <c r="AT17" s="769">
        <f t="shared" si="15"/>
        <v>26.507660102124873</v>
      </c>
      <c r="AU17" s="13">
        <f t="shared" si="16"/>
        <v>1</v>
      </c>
      <c r="AV17" s="13">
        <f t="shared" si="17"/>
        <v>2</v>
      </c>
      <c r="AW17" s="172">
        <f t="shared" si="18"/>
        <v>43093</v>
      </c>
      <c r="AX17" s="753">
        <f t="shared" si="19"/>
        <v>0.34482758620689657</v>
      </c>
      <c r="AY17" s="769">
        <f t="shared" si="20"/>
        <v>26.396823320820413</v>
      </c>
      <c r="AZ17" s="746">
        <f t="shared" si="26"/>
        <v>26.452241711472645</v>
      </c>
      <c r="BA17" s="641">
        <f t="shared" si="21"/>
        <v>1.0420982455593617</v>
      </c>
      <c r="BC17" s="11">
        <v>43103</v>
      </c>
      <c r="BD17" s="289">
        <f>[2]!FeuilCaduc*(1-Persistant)+Persistant</f>
        <v>0.60395621458428694</v>
      </c>
      <c r="BE17" s="290">
        <f>[2]!CroissVégét</f>
        <v>1.216934154264056E-4</v>
      </c>
      <c r="BF17" s="819">
        <f>1+[2]!Salcycl*Ksac</f>
        <v>1.0004945268230359</v>
      </c>
      <c r="BH17" s="1044">
        <f t="shared" si="22"/>
        <v>2.4578533321109222E-2</v>
      </c>
      <c r="BI17" s="11">
        <v>44199</v>
      </c>
      <c r="BJ17" s="726">
        <v>1.624843877784533E-2</v>
      </c>
      <c r="BK17" s="726">
        <v>1.7248758128033208E-2</v>
      </c>
      <c r="BL17" s="726">
        <v>1.8577812294594442E-2</v>
      </c>
      <c r="BM17" s="726">
        <v>2.0446480889177471E-2</v>
      </c>
      <c r="BN17" s="726">
        <v>2.2937548457864169E-2</v>
      </c>
      <c r="BO17" s="727">
        <v>2.6006096117477704E-2</v>
      </c>
      <c r="BP17" s="726">
        <v>2.97411671632801E-2</v>
      </c>
      <c r="BQ17" s="726">
        <v>3.4318833864005013E-2</v>
      </c>
      <c r="BR17" s="726">
        <v>3.9954993562792016E-2</v>
      </c>
      <c r="BS17" s="726">
        <v>4.6601544014965975E-2</v>
      </c>
      <c r="BT17" s="726">
        <v>5.3903301845669944E-2</v>
      </c>
      <c r="BW17" s="1208">
        <f>'2018'!R\Max</f>
        <v>0</v>
      </c>
      <c r="BX17" s="1206">
        <f>'2019'!R\Max</f>
        <v>1.0420982455593617</v>
      </c>
      <c r="BY17" s="1206">
        <f>'2020'!R\Max</f>
        <v>0.34805974414965779</v>
      </c>
      <c r="BZ17" s="1206">
        <f>'2021'!R\Max</f>
        <v>0.98797739486088521</v>
      </c>
      <c r="CA17" s="1206">
        <f>'2022'!R\Max</f>
        <v>0.74385495415366532</v>
      </c>
      <c r="CB17" s="1206">
        <f>'2023'!R\Max</f>
        <v>0.74382267755262665</v>
      </c>
      <c r="CC17" s="1206">
        <f>'2024'!R\Max</f>
        <v>0.74378412241329828</v>
      </c>
      <c r="CD17" s="1206">
        <f>'2025'!R\Max</f>
        <v>0.74374556034619144</v>
      </c>
      <c r="CE17" s="1206">
        <f>'2026'!R\Max</f>
        <v>0.74394748777265762</v>
      </c>
      <c r="CF17" s="1207">
        <f>'2027'!R\Max</f>
        <v>0.74391941800081296</v>
      </c>
    </row>
    <row r="18" spans="1:84" s="6" customFormat="1" ht="11.25" x14ac:dyDescent="0.2">
      <c r="A18" s="11">
        <v>43104</v>
      </c>
      <c r="B18" s="379">
        <f>'2022'!Maxi_hp</f>
        <v>24.427777295299801</v>
      </c>
      <c r="C18" s="13">
        <f>'2022'!An_max</f>
        <v>2019</v>
      </c>
      <c r="D18" s="1053" t="str">
        <f t="shared" si="7"/>
        <v/>
      </c>
      <c r="E18" s="1048"/>
      <c r="F18" s="13">
        <f t="shared" si="23"/>
        <v>1</v>
      </c>
      <c r="G18" s="13">
        <f t="shared" si="24"/>
        <v>2</v>
      </c>
      <c r="H18" s="172">
        <f t="shared" si="8"/>
        <v>43093</v>
      </c>
      <c r="I18" s="753">
        <f t="shared" si="9"/>
        <v>0.73333333333333328</v>
      </c>
      <c r="J18" s="746">
        <f t="shared" si="27"/>
        <v>26.543768478333948</v>
      </c>
      <c r="L18" s="755" t="s">
        <v>207</v>
      </c>
      <c r="M18" s="780">
        <f t="shared" ref="M18:AN18" si="29">M13</f>
        <v>251.714</v>
      </c>
      <c r="N18" s="743">
        <f t="shared" si="29"/>
        <v>273.51600000000002</v>
      </c>
      <c r="O18" s="743">
        <f t="shared" si="29"/>
        <v>313.15600000000001</v>
      </c>
      <c r="P18" s="743">
        <f t="shared" si="29"/>
        <v>361.71499999999997</v>
      </c>
      <c r="Q18" s="743">
        <f t="shared" si="29"/>
        <v>415.22899999999998</v>
      </c>
      <c r="R18" s="743">
        <f t="shared" si="29"/>
        <v>463.78800000000001</v>
      </c>
      <c r="S18" s="743">
        <f t="shared" si="29"/>
        <v>510.36500000000001</v>
      </c>
      <c r="T18" s="743">
        <f t="shared" si="29"/>
        <v>552.97799999999995</v>
      </c>
      <c r="U18" s="743">
        <f t="shared" si="29"/>
        <v>582.70799999999997</v>
      </c>
      <c r="V18" s="743">
        <f t="shared" si="29"/>
        <v>598.56399999999996</v>
      </c>
      <c r="W18" s="743">
        <f t="shared" si="29"/>
        <v>604.51</v>
      </c>
      <c r="X18" s="743">
        <f t="shared" si="29"/>
        <v>604.51</v>
      </c>
      <c r="Y18" s="743">
        <f t="shared" si="29"/>
        <v>598.56399999999996</v>
      </c>
      <c r="Z18" s="743">
        <f t="shared" si="29"/>
        <v>590.63599999999997</v>
      </c>
      <c r="AA18" s="743">
        <f t="shared" si="29"/>
        <v>580.726</v>
      </c>
      <c r="AB18" s="743">
        <f t="shared" si="29"/>
        <v>569.82500000000005</v>
      </c>
      <c r="AC18" s="743">
        <f t="shared" si="29"/>
        <v>557.93299999999999</v>
      </c>
      <c r="AD18" s="743">
        <f t="shared" si="29"/>
        <v>542.077</v>
      </c>
      <c r="AE18" s="743">
        <f t="shared" si="29"/>
        <v>522.25699999999995</v>
      </c>
      <c r="AF18" s="743">
        <f t="shared" si="29"/>
        <v>492.52699999999999</v>
      </c>
      <c r="AG18" s="743">
        <f t="shared" si="29"/>
        <v>453.87799999999999</v>
      </c>
      <c r="AH18" s="743">
        <f t="shared" si="29"/>
        <v>412.25599999999997</v>
      </c>
      <c r="AI18" s="743">
        <f t="shared" si="29"/>
        <v>364.68799999999999</v>
      </c>
      <c r="AJ18" s="743">
        <f t="shared" si="29"/>
        <v>322.07499999999999</v>
      </c>
      <c r="AK18" s="743">
        <f t="shared" si="29"/>
        <v>284.41699999999997</v>
      </c>
      <c r="AL18" s="743">
        <f t="shared" si="29"/>
        <v>256.66899999999998</v>
      </c>
      <c r="AM18" s="778">
        <f t="shared" si="29"/>
        <v>251.714</v>
      </c>
      <c r="AN18" s="776">
        <f t="shared" si="29"/>
        <v>273.51600000000002</v>
      </c>
      <c r="AO18" s="1046">
        <v>43104</v>
      </c>
      <c r="AP18" s="13">
        <f t="shared" si="11"/>
        <v>1</v>
      </c>
      <c r="AQ18" s="13">
        <f t="shared" si="12"/>
        <v>2</v>
      </c>
      <c r="AR18" s="172">
        <f t="shared" si="13"/>
        <v>43079</v>
      </c>
      <c r="AS18" s="753">
        <f t="shared" si="14"/>
        <v>0.86206896551724133</v>
      </c>
      <c r="AT18" s="769">
        <f t="shared" si="15"/>
        <v>26.660103149557937</v>
      </c>
      <c r="AU18" s="13">
        <f t="shared" si="16"/>
        <v>1</v>
      </c>
      <c r="AV18" s="13">
        <f t="shared" si="17"/>
        <v>2</v>
      </c>
      <c r="AW18" s="172">
        <f t="shared" si="18"/>
        <v>43093</v>
      </c>
      <c r="AX18" s="753">
        <f t="shared" si="19"/>
        <v>0.37931034482758619</v>
      </c>
      <c r="AY18" s="769">
        <f t="shared" si="20"/>
        <v>26.592161294612389</v>
      </c>
      <c r="AZ18" s="746">
        <f t="shared" si="26"/>
        <v>26.626132222085161</v>
      </c>
      <c r="BA18" s="641">
        <f t="shared" si="21"/>
        <v>0.92028294005196354</v>
      </c>
      <c r="BC18" s="11">
        <v>43104</v>
      </c>
      <c r="BD18" s="289">
        <f>[2]!FeuilCaduc*(1-Persistant)+Persistant</f>
        <v>0.60367031220166523</v>
      </c>
      <c r="BE18" s="290">
        <f>[2]!CroissVégét</f>
        <v>1.8511247801664469E-4</v>
      </c>
      <c r="BF18" s="819">
        <f>1+[2]!Salcycl*Ksac</f>
        <v>1.0004587890252081</v>
      </c>
      <c r="BH18" s="1044">
        <f t="shared" si="22"/>
        <v>2.4626090857933484E-2</v>
      </c>
      <c r="BI18" s="11">
        <v>44200</v>
      </c>
      <c r="BJ18" s="726">
        <v>1.6145985088446838E-2</v>
      </c>
      <c r="BK18" s="726">
        <v>1.7136148472738567E-2</v>
      </c>
      <c r="BL18" s="726">
        <v>1.8490731786608313E-2</v>
      </c>
      <c r="BM18" s="726">
        <v>2.0405511781404789E-2</v>
      </c>
      <c r="BN18" s="726">
        <v>2.296158522454593E-2</v>
      </c>
      <c r="BO18" s="727">
        <v>2.6074115376496634E-2</v>
      </c>
      <c r="BP18" s="726">
        <v>2.9866005565653529E-2</v>
      </c>
      <c r="BQ18" s="726">
        <v>3.4500687130098712E-2</v>
      </c>
      <c r="BR18" s="726">
        <v>4.0198040634044752E-2</v>
      </c>
      <c r="BS18" s="726">
        <v>4.6875793446010075E-2</v>
      </c>
      <c r="BT18" s="726">
        <v>5.4190623574005885E-2</v>
      </c>
      <c r="BW18" s="1208">
        <f>'2018'!R\Max</f>
        <v>0</v>
      </c>
      <c r="BX18" s="1206">
        <f>'2019'!R\Max</f>
        <v>0.92028294005196354</v>
      </c>
      <c r="BY18" s="1206">
        <f>'2020'!R\Max</f>
        <v>0.22347545459249546</v>
      </c>
      <c r="BZ18" s="1206">
        <f>'2021'!R\Max</f>
        <v>0.9190523005374186</v>
      </c>
      <c r="CA18" s="1206">
        <f>'2022'!R\Max</f>
        <v>0.79617680254247269</v>
      </c>
      <c r="CB18" s="1206">
        <f>'2023'!R\Max</f>
        <v>0.79614910755867885</v>
      </c>
      <c r="CC18" s="1206">
        <f>'2024'!R\Max</f>
        <v>0.79611610246863562</v>
      </c>
      <c r="CD18" s="1206">
        <f>'2025'!R\Max</f>
        <v>0.79608309071534389</v>
      </c>
      <c r="CE18" s="1206">
        <f>'2026'!R\Max</f>
        <v>0.7962562158106532</v>
      </c>
      <c r="CF18" s="1207">
        <f>'2027'!R\Max</f>
        <v>0.79623213432983553</v>
      </c>
    </row>
    <row r="19" spans="1:84" s="6" customFormat="1" ht="11.25" x14ac:dyDescent="0.2">
      <c r="A19" s="11">
        <v>43105</v>
      </c>
      <c r="B19" s="379">
        <f>'2022'!Maxi_hp</f>
        <v>27.076162439381022</v>
      </c>
      <c r="C19" s="13">
        <f>'2022'!An_max</f>
        <v>2019</v>
      </c>
      <c r="D19" s="1053">
        <f t="shared" si="7"/>
        <v>1.0128048031927825</v>
      </c>
      <c r="E19" s="1048"/>
      <c r="F19" s="13">
        <f t="shared" si="23"/>
        <v>1</v>
      </c>
      <c r="G19" s="13">
        <f t="shared" si="24"/>
        <v>2</v>
      </c>
      <c r="H19" s="172">
        <f t="shared" si="8"/>
        <v>43093</v>
      </c>
      <c r="I19" s="753">
        <f t="shared" si="9"/>
        <v>0.8</v>
      </c>
      <c r="J19" s="746">
        <f t="shared" si="27"/>
        <v>26.733840868473056</v>
      </c>
      <c r="L19" s="755" t="s">
        <v>208</v>
      </c>
      <c r="M19" s="782">
        <f t="shared" ref="M19:AN19" si="30">N12</f>
        <v>43108</v>
      </c>
      <c r="N19" s="738">
        <f t="shared" si="30"/>
        <v>43122</v>
      </c>
      <c r="O19" s="738">
        <f t="shared" si="30"/>
        <v>43136</v>
      </c>
      <c r="P19" s="738">
        <f t="shared" si="30"/>
        <v>43150</v>
      </c>
      <c r="Q19" s="738">
        <f t="shared" si="30"/>
        <v>43164</v>
      </c>
      <c r="R19" s="738">
        <f t="shared" si="30"/>
        <v>43178</v>
      </c>
      <c r="S19" s="738">
        <f t="shared" si="30"/>
        <v>43192</v>
      </c>
      <c r="T19" s="738">
        <f t="shared" si="30"/>
        <v>43206</v>
      </c>
      <c r="U19" s="738">
        <f t="shared" si="30"/>
        <v>43220</v>
      </c>
      <c r="V19" s="738">
        <f t="shared" si="30"/>
        <v>43234</v>
      </c>
      <c r="W19" s="738">
        <f t="shared" si="30"/>
        <v>43248</v>
      </c>
      <c r="X19" s="738">
        <f t="shared" si="30"/>
        <v>43262</v>
      </c>
      <c r="Y19" s="738">
        <f t="shared" si="30"/>
        <v>43276</v>
      </c>
      <c r="Z19" s="738">
        <f t="shared" si="30"/>
        <v>43290</v>
      </c>
      <c r="AA19" s="738">
        <f t="shared" si="30"/>
        <v>43304</v>
      </c>
      <c r="AB19" s="738">
        <f t="shared" si="30"/>
        <v>43318</v>
      </c>
      <c r="AC19" s="738">
        <f t="shared" si="30"/>
        <v>43332</v>
      </c>
      <c r="AD19" s="738">
        <f t="shared" si="30"/>
        <v>43346</v>
      </c>
      <c r="AE19" s="738">
        <f t="shared" si="30"/>
        <v>43360</v>
      </c>
      <c r="AF19" s="738">
        <f t="shared" si="30"/>
        <v>43374</v>
      </c>
      <c r="AG19" s="738">
        <f t="shared" si="30"/>
        <v>43388</v>
      </c>
      <c r="AH19" s="738">
        <f t="shared" si="30"/>
        <v>43402</v>
      </c>
      <c r="AI19" s="738">
        <f t="shared" si="30"/>
        <v>43416</v>
      </c>
      <c r="AJ19" s="738">
        <f t="shared" si="30"/>
        <v>43430</v>
      </c>
      <c r="AK19" s="738">
        <f t="shared" si="30"/>
        <v>43444</v>
      </c>
      <c r="AL19" s="779">
        <f t="shared" si="30"/>
        <v>43458</v>
      </c>
      <c r="AM19" s="739">
        <f t="shared" si="30"/>
        <v>43473</v>
      </c>
      <c r="AN19" s="739">
        <f t="shared" si="30"/>
        <v>43487</v>
      </c>
      <c r="AO19" s="1046">
        <v>43105</v>
      </c>
      <c r="AP19" s="13">
        <f t="shared" si="11"/>
        <v>1</v>
      </c>
      <c r="AQ19" s="13">
        <f t="shared" si="12"/>
        <v>2</v>
      </c>
      <c r="AR19" s="172">
        <f t="shared" si="13"/>
        <v>43079</v>
      </c>
      <c r="AS19" s="753">
        <f t="shared" si="14"/>
        <v>0.89655172413793105</v>
      </c>
      <c r="AT19" s="769">
        <f t="shared" si="15"/>
        <v>26.820844915303688</v>
      </c>
      <c r="AU19" s="13">
        <f t="shared" si="16"/>
        <v>1</v>
      </c>
      <c r="AV19" s="13">
        <f t="shared" si="17"/>
        <v>2</v>
      </c>
      <c r="AW19" s="172">
        <f t="shared" si="18"/>
        <v>43093</v>
      </c>
      <c r="AX19" s="753">
        <f t="shared" si="19"/>
        <v>0.41379310344827586</v>
      </c>
      <c r="AY19" s="769">
        <f t="shared" si="20"/>
        <v>26.798179663871895</v>
      </c>
      <c r="AZ19" s="746">
        <f t="shared" si="26"/>
        <v>26.809512289587794</v>
      </c>
      <c r="BA19" s="641">
        <f t="shared" si="21"/>
        <v>1.0128048031927825</v>
      </c>
      <c r="BC19" s="11">
        <v>43105</v>
      </c>
      <c r="BD19" s="289">
        <f>[2]!FeuilCaduc*(1-Persistant)+Persistant</f>
        <v>0.60339891408843827</v>
      </c>
      <c r="BE19" s="290">
        <f>[2]!CroissVégét</f>
        <v>2.5118354313997834E-4</v>
      </c>
      <c r="BF19" s="819">
        <f>1+[2]!Salcycl*Ksac</f>
        <v>1.0004248642610547</v>
      </c>
      <c r="BH19" s="1044">
        <f t="shared" si="22"/>
        <v>2.466418305342237E-2</v>
      </c>
      <c r="BI19" s="11">
        <v>44201</v>
      </c>
      <c r="BJ19" s="726">
        <v>1.6034659151565617E-2</v>
      </c>
      <c r="BK19" s="726">
        <v>1.7010310952536682E-2</v>
      </c>
      <c r="BL19" s="726">
        <v>1.8389519824076498E-2</v>
      </c>
      <c r="BM19" s="726">
        <v>2.0350871974771114E-2</v>
      </c>
      <c r="BN19" s="726">
        <v>2.2975112848514251E-2</v>
      </c>
      <c r="BO19" s="727">
        <v>2.6133577341565319E-2</v>
      </c>
      <c r="BP19" s="726">
        <v>2.9990718474533287E-2</v>
      </c>
      <c r="BQ19" s="726">
        <v>3.4691204412973846E-2</v>
      </c>
      <c r="BR19" s="726">
        <v>4.0458295940173014E-2</v>
      </c>
      <c r="BS19" s="726">
        <v>4.7172163448239005E-2</v>
      </c>
      <c r="BT19" s="726">
        <v>5.4506415946086371E-2</v>
      </c>
      <c r="BW19" s="1208">
        <f>'2018'!R\Max</f>
        <v>0</v>
      </c>
      <c r="BX19" s="1206">
        <f>'2019'!R\Max</f>
        <v>1.0128048031927825</v>
      </c>
      <c r="BY19" s="1206">
        <f>'2020'!R\Max</f>
        <v>0.50780170773369004</v>
      </c>
      <c r="BZ19" s="1206">
        <f>'2021'!R\Max</f>
        <v>0.11817464485914228</v>
      </c>
      <c r="CA19" s="1206">
        <f>'2022'!R\Max</f>
        <v>0.57790575331223093</v>
      </c>
      <c r="CB19" s="1206">
        <f>'2023'!R\Max</f>
        <v>0.57786374517689498</v>
      </c>
      <c r="CC19" s="1206">
        <f>'2024'!R\Max</f>
        <v>0.57781381502711615</v>
      </c>
      <c r="CD19" s="1206">
        <f>'2025'!R\Max</f>
        <v>0.57776387919410221</v>
      </c>
      <c r="CE19" s="1206">
        <f>'2026'!R\Max</f>
        <v>0.57802622510232582</v>
      </c>
      <c r="CF19" s="1207">
        <f>'2027'!R\Max</f>
        <v>0.57798972378411984</v>
      </c>
    </row>
    <row r="20" spans="1:84" s="6" customFormat="1" ht="11.25" x14ac:dyDescent="0.2">
      <c r="A20" s="11">
        <v>43106</v>
      </c>
      <c r="B20" s="379">
        <f>'2022'!Maxi_hp</f>
        <v>27.963119643763427</v>
      </c>
      <c r="C20" s="13">
        <f>'2022'!An_max</f>
        <v>2022</v>
      </c>
      <c r="D20" s="1053">
        <f t="shared" si="7"/>
        <v>1.0382771042356751</v>
      </c>
      <c r="E20" s="1048"/>
      <c r="F20" s="13">
        <f t="shared" si="23"/>
        <v>1</v>
      </c>
      <c r="G20" s="13">
        <f t="shared" si="24"/>
        <v>2</v>
      </c>
      <c r="H20" s="172">
        <f t="shared" si="8"/>
        <v>43093</v>
      </c>
      <c r="I20" s="753">
        <f t="shared" si="9"/>
        <v>0.8666666666666667</v>
      </c>
      <c r="J20" s="746">
        <f t="shared" si="27"/>
        <v>26.932231799860794</v>
      </c>
      <c r="L20" s="755" t="s">
        <v>209</v>
      </c>
      <c r="M20" s="783">
        <f>N13</f>
        <v>273.51600000000002</v>
      </c>
      <c r="N20" s="743">
        <f t="shared" ref="N20:AN20" si="31">O13</f>
        <v>313.15600000000001</v>
      </c>
      <c r="O20" s="743">
        <f t="shared" si="31"/>
        <v>361.71499999999997</v>
      </c>
      <c r="P20" s="743">
        <f t="shared" si="31"/>
        <v>415.22899999999998</v>
      </c>
      <c r="Q20" s="743">
        <f t="shared" si="31"/>
        <v>463.78800000000001</v>
      </c>
      <c r="R20" s="743">
        <f t="shared" si="31"/>
        <v>510.36500000000001</v>
      </c>
      <c r="S20" s="743">
        <f t="shared" si="31"/>
        <v>552.97799999999995</v>
      </c>
      <c r="T20" s="743">
        <f t="shared" si="31"/>
        <v>582.70799999999997</v>
      </c>
      <c r="U20" s="743">
        <f t="shared" si="31"/>
        <v>598.56399999999996</v>
      </c>
      <c r="V20" s="743">
        <f t="shared" si="31"/>
        <v>604.51</v>
      </c>
      <c r="W20" s="743">
        <f t="shared" si="31"/>
        <v>604.51</v>
      </c>
      <c r="X20" s="743">
        <f t="shared" si="31"/>
        <v>598.56399999999996</v>
      </c>
      <c r="Y20" s="743">
        <f t="shared" si="31"/>
        <v>590.63599999999997</v>
      </c>
      <c r="Z20" s="743">
        <f t="shared" si="31"/>
        <v>580.726</v>
      </c>
      <c r="AA20" s="743">
        <f t="shared" si="31"/>
        <v>569.82500000000005</v>
      </c>
      <c r="AB20" s="743">
        <f t="shared" si="31"/>
        <v>557.93299999999999</v>
      </c>
      <c r="AC20" s="743">
        <f t="shared" si="31"/>
        <v>542.077</v>
      </c>
      <c r="AD20" s="743">
        <f t="shared" si="31"/>
        <v>522.25699999999995</v>
      </c>
      <c r="AE20" s="743">
        <f t="shared" si="31"/>
        <v>492.52699999999999</v>
      </c>
      <c r="AF20" s="743">
        <f t="shared" si="31"/>
        <v>453.87799999999999</v>
      </c>
      <c r="AG20" s="743">
        <f t="shared" si="31"/>
        <v>412.25599999999997</v>
      </c>
      <c r="AH20" s="743">
        <f t="shared" si="31"/>
        <v>364.68799999999999</v>
      </c>
      <c r="AI20" s="743">
        <f t="shared" si="31"/>
        <v>322.07499999999999</v>
      </c>
      <c r="AJ20" s="743">
        <f t="shared" si="31"/>
        <v>284.41699999999997</v>
      </c>
      <c r="AK20" s="743">
        <f t="shared" si="31"/>
        <v>256.66899999999998</v>
      </c>
      <c r="AL20" s="778">
        <f t="shared" si="31"/>
        <v>251.714</v>
      </c>
      <c r="AM20" s="776">
        <f t="shared" si="31"/>
        <v>273.51600000000002</v>
      </c>
      <c r="AN20" s="776">
        <f t="shared" si="31"/>
        <v>313.15600000000001</v>
      </c>
      <c r="AO20" s="1046">
        <v>43106</v>
      </c>
      <c r="AP20" s="13">
        <f t="shared" si="11"/>
        <v>1</v>
      </c>
      <c r="AQ20" s="13">
        <f t="shared" si="12"/>
        <v>2</v>
      </c>
      <c r="AR20" s="172">
        <f t="shared" si="13"/>
        <v>43079</v>
      </c>
      <c r="AS20" s="753">
        <f t="shared" si="14"/>
        <v>0.93103448275862066</v>
      </c>
      <c r="AT20" s="769">
        <f>((1-AS20)*(INDEX(a.lg,AP20)*$A20*$A20+INDEX(b.lg,AP20)*$A20+INDEX(c.lg,AP20))+AS20*(INDEX(a.lg,AQ20)*$A20*$A20+INDEX(b.lg,AQ20)*$A20+INDEX(c.lg,AQ20)))/10</f>
        <v>26.989759148040719</v>
      </c>
      <c r="AU20" s="13">
        <f t="shared" si="16"/>
        <v>1</v>
      </c>
      <c r="AV20" s="13">
        <f t="shared" si="17"/>
        <v>2</v>
      </c>
      <c r="AW20" s="172">
        <f t="shared" si="18"/>
        <v>43093</v>
      </c>
      <c r="AX20" s="753">
        <f t="shared" si="19"/>
        <v>0.44827586206896552</v>
      </c>
      <c r="AY20" s="769">
        <f t="shared" si="20"/>
        <v>27.014239630539873</v>
      </c>
      <c r="AZ20" s="746">
        <f t="shared" si="26"/>
        <v>27.001999389290297</v>
      </c>
      <c r="BA20" s="641">
        <f t="shared" si="21"/>
        <v>1.0382771042356751</v>
      </c>
      <c r="BC20" s="11">
        <v>43106</v>
      </c>
      <c r="BD20" s="289">
        <f>[2]!FeuilCaduc*(1-Persistant)+Persistant</f>
        <v>0.6031406226112801</v>
      </c>
      <c r="BE20" s="290">
        <f>[2]!CroissVégét</f>
        <v>3.2001713664140156E-4</v>
      </c>
      <c r="BF20" s="819">
        <f>1+[2]!Salcycl*Ksac</f>
        <v>1.00039257782641</v>
      </c>
      <c r="BH20" s="1044">
        <f t="shared" si="22"/>
        <v>2.4692733323929246E-2</v>
      </c>
      <c r="BI20" s="11">
        <v>44202</v>
      </c>
      <c r="BJ20" s="726">
        <v>1.5914407423611384E-2</v>
      </c>
      <c r="BK20" s="726">
        <v>1.6871183269334462E-2</v>
      </c>
      <c r="BL20" s="726">
        <v>1.8274109258536429E-2</v>
      </c>
      <c r="BM20" s="726">
        <v>2.0282489928001423E-2</v>
      </c>
      <c r="BN20" s="726">
        <v>2.2978057576309371E-2</v>
      </c>
      <c r="BO20" s="727">
        <v>2.6184402966936738E-2</v>
      </c>
      <c r="BP20" s="726">
        <v>3.0115229097354281E-2</v>
      </c>
      <c r="BQ20" s="726">
        <v>3.4890309538731873E-2</v>
      </c>
      <c r="BR20" s="726">
        <v>4.073568084795947E-2</v>
      </c>
      <c r="BS20" s="726">
        <v>4.7490565316147031E-2</v>
      </c>
      <c r="BT20" s="726">
        <v>5.48505806977495E-2</v>
      </c>
      <c r="BW20" s="1208">
        <f>'2018'!R\Max</f>
        <v>0</v>
      </c>
      <c r="BX20" s="1206">
        <f>'2019'!R\Max</f>
        <v>0.17154912539517286</v>
      </c>
      <c r="BY20" s="1206">
        <f>'2020'!R\Max</f>
        <v>1.0034317782693756</v>
      </c>
      <c r="BZ20" s="1206">
        <f>'2021'!R\Max</f>
        <v>0.31392589068383608</v>
      </c>
      <c r="CA20" s="1206">
        <f>'2022'!R\Max</f>
        <v>1.0382771042356751</v>
      </c>
      <c r="CB20" s="1206">
        <f>'2023'!R\Max</f>
        <v>1.0382771042356751</v>
      </c>
      <c r="CC20" s="1206">
        <f>'2024'!R\Max</f>
        <v>1.0382771042356747</v>
      </c>
      <c r="CD20" s="1206">
        <f>'2025'!R\Max</f>
        <v>1.0382771042356747</v>
      </c>
      <c r="CE20" s="1206">
        <f>'2026'!R\Max</f>
        <v>1.0382771042356747</v>
      </c>
      <c r="CF20" s="1207">
        <f>'2027'!R\Max</f>
        <v>1.0382771042356749</v>
      </c>
    </row>
    <row r="21" spans="1:84" s="6" customFormat="1" ht="11.25" x14ac:dyDescent="0.2">
      <c r="A21" s="11">
        <v>43107</v>
      </c>
      <c r="B21" s="379">
        <f>'2022'!Maxi_hp</f>
        <v>14.031962129731935</v>
      </c>
      <c r="C21" s="13">
        <f>'2022'!An_max</f>
        <v>2021</v>
      </c>
      <c r="D21" s="1053" t="str">
        <f t="shared" si="7"/>
        <v/>
      </c>
      <c r="E21" s="1048"/>
      <c r="F21" s="13">
        <f t="shared" si="23"/>
        <v>1</v>
      </c>
      <c r="G21" s="13">
        <f t="shared" si="24"/>
        <v>2</v>
      </c>
      <c r="H21" s="172">
        <f t="shared" si="8"/>
        <v>43093</v>
      </c>
      <c r="I21" s="753">
        <f t="shared" si="9"/>
        <v>0.93333333333333335</v>
      </c>
      <c r="J21" s="746">
        <f t="shared" si="27"/>
        <v>27.138348952929181</v>
      </c>
      <c r="L21" s="756" t="s">
        <v>210</v>
      </c>
      <c r="M21" s="740">
        <f>x.1m*x.1m-x.2m*x.2m</f>
        <v>-1206408</v>
      </c>
      <c r="N21" s="740">
        <f t="shared" ref="N21:AM21" si="32">x.1m*x.1m-x.2m*x.2m</f>
        <v>-1293015</v>
      </c>
      <c r="O21" s="740">
        <f t="shared" si="32"/>
        <v>-1207220</v>
      </c>
      <c r="P21" s="740">
        <f t="shared" si="32"/>
        <v>-1207612</v>
      </c>
      <c r="Q21" s="740">
        <f t="shared" si="32"/>
        <v>-1208004</v>
      </c>
      <c r="R21" s="740">
        <f t="shared" si="32"/>
        <v>-1208396</v>
      </c>
      <c r="S21" s="740">
        <f t="shared" si="32"/>
        <v>-1208788</v>
      </c>
      <c r="T21" s="740">
        <f t="shared" si="32"/>
        <v>-1209180</v>
      </c>
      <c r="U21" s="740">
        <f t="shared" si="32"/>
        <v>-1209572</v>
      </c>
      <c r="V21" s="740">
        <f t="shared" si="32"/>
        <v>-1209964</v>
      </c>
      <c r="W21" s="740">
        <f t="shared" si="32"/>
        <v>-1210356</v>
      </c>
      <c r="X21" s="740">
        <f t="shared" si="32"/>
        <v>-1210748</v>
      </c>
      <c r="Y21" s="740">
        <f t="shared" si="32"/>
        <v>-1211140</v>
      </c>
      <c r="Z21" s="740">
        <f t="shared" si="32"/>
        <v>-1211532</v>
      </c>
      <c r="AA21" s="740">
        <f t="shared" si="32"/>
        <v>-1211924</v>
      </c>
      <c r="AB21" s="740">
        <f t="shared" si="32"/>
        <v>-1212316</v>
      </c>
      <c r="AC21" s="740">
        <f t="shared" si="32"/>
        <v>-1212708</v>
      </c>
      <c r="AD21" s="740">
        <f t="shared" si="32"/>
        <v>-1213100</v>
      </c>
      <c r="AE21" s="740">
        <f t="shared" si="32"/>
        <v>-1213492</v>
      </c>
      <c r="AF21" s="740">
        <f t="shared" si="32"/>
        <v>-1213884</v>
      </c>
      <c r="AG21" s="740">
        <f t="shared" si="32"/>
        <v>-1214276</v>
      </c>
      <c r="AH21" s="740">
        <f t="shared" si="32"/>
        <v>-1214668</v>
      </c>
      <c r="AI21" s="740">
        <f t="shared" si="32"/>
        <v>-1215060</v>
      </c>
      <c r="AJ21" s="740">
        <f t="shared" si="32"/>
        <v>-1215452</v>
      </c>
      <c r="AK21" s="740">
        <f t="shared" si="32"/>
        <v>-1215844</v>
      </c>
      <c r="AL21" s="740">
        <f t="shared" si="32"/>
        <v>-1216236</v>
      </c>
      <c r="AM21" s="740">
        <f t="shared" si="32"/>
        <v>-1216628</v>
      </c>
      <c r="AN21" s="740">
        <f>x.1m*x.1m-x.2m*x.2m</f>
        <v>-1303965</v>
      </c>
      <c r="AO21" s="1046">
        <v>43107</v>
      </c>
      <c r="AP21" s="13">
        <f t="shared" si="11"/>
        <v>1</v>
      </c>
      <c r="AQ21" s="13">
        <f t="shared" si="12"/>
        <v>2</v>
      </c>
      <c r="AR21" s="172">
        <f t="shared" si="13"/>
        <v>43079</v>
      </c>
      <c r="AS21" s="753">
        <f t="shared" si="14"/>
        <v>0.96551724137931039</v>
      </c>
      <c r="AT21" s="769">
        <f t="shared" si="15"/>
        <v>27.16671959357015</v>
      </c>
      <c r="AU21" s="13">
        <f t="shared" si="16"/>
        <v>1</v>
      </c>
      <c r="AV21" s="13">
        <f t="shared" si="17"/>
        <v>2</v>
      </c>
      <c r="AW21" s="172">
        <f t="shared" si="18"/>
        <v>43093</v>
      </c>
      <c r="AX21" s="753">
        <f t="shared" si="19"/>
        <v>0.48275862068965519</v>
      </c>
      <c r="AY21" s="769">
        <f t="shared" si="20"/>
        <v>27.23970239974301</v>
      </c>
      <c r="AZ21" s="746">
        <f t="shared" si="26"/>
        <v>27.20321099665658</v>
      </c>
      <c r="BA21" s="641">
        <f t="shared" si="21"/>
        <v>0.51705290377355084</v>
      </c>
      <c r="BC21" s="11">
        <v>43107</v>
      </c>
      <c r="BD21" s="289">
        <f>[2]!FeuilCaduc*(1-Persistant)+Persistant</f>
        <v>0.60289426432719972</v>
      </c>
      <c r="BE21" s="290">
        <f>[2]!CroissVégét</f>
        <v>3.9172835876776901E-4</v>
      </c>
      <c r="BF21" s="819">
        <f>1+[2]!Salcycl*Ksac</f>
        <v>1.0003617830409</v>
      </c>
      <c r="BH21" s="1044">
        <f t="shared" si="22"/>
        <v>2.4711664961249283E-2</v>
      </c>
      <c r="BI21" s="11">
        <v>44203</v>
      </c>
      <c r="BJ21" s="726">
        <v>1.5785177706895626E-2</v>
      </c>
      <c r="BK21" s="726">
        <v>1.6718704688877921E-2</v>
      </c>
      <c r="BL21" s="726">
        <v>1.8144434274893703E-2</v>
      </c>
      <c r="BM21" s="726">
        <v>2.0200294961590787E-2</v>
      </c>
      <c r="BN21" s="726">
        <v>2.2970345787446597E-2</v>
      </c>
      <c r="BO21" s="727">
        <v>2.6226512858266483E-2</v>
      </c>
      <c r="BP21" s="726">
        <v>3.0239459520885421E-2</v>
      </c>
      <c r="BQ21" s="726">
        <v>3.5097924433890031E-2</v>
      </c>
      <c r="BR21" s="726">
        <v>4.1030114014550673E-2</v>
      </c>
      <c r="BS21" s="726">
        <v>4.7830907226136248E-2</v>
      </c>
      <c r="BT21" s="726">
        <v>5.52230161897889E-2</v>
      </c>
      <c r="BW21" s="1208">
        <f>'2018'!R\Max</f>
        <v>0</v>
      </c>
      <c r="BX21" s="1206">
        <f>'2019'!R\Max</f>
        <v>9.9127287834910857E-2</v>
      </c>
      <c r="BY21" s="1206">
        <f>'2020'!R\Max</f>
        <v>0.27389203156844943</v>
      </c>
      <c r="BZ21" s="1206">
        <f>'2021'!R\Max</f>
        <v>0.51705290377355084</v>
      </c>
      <c r="CA21" s="1206">
        <f>'2022'!R\Max</f>
        <v>0.39063805154808806</v>
      </c>
      <c r="CB21" s="1206">
        <f>'2023'!R\Max</f>
        <v>0.39059611052525989</v>
      </c>
      <c r="CC21" s="1206">
        <f>'2024'!R\Max</f>
        <v>0.39054654551088058</v>
      </c>
      <c r="CD21" s="1206">
        <f>'2025'!R\Max</f>
        <v>0.39049697862287303</v>
      </c>
      <c r="CE21" s="1206">
        <f>'2026'!R\Max</f>
        <v>0.39075826869677094</v>
      </c>
      <c r="CF21" s="1207">
        <f>'2027'!R\Max</f>
        <v>0.39072196901773304</v>
      </c>
    </row>
    <row r="22" spans="1:84" s="6" customFormat="1" ht="11.25" x14ac:dyDescent="0.2">
      <c r="A22" s="11">
        <v>43108</v>
      </c>
      <c r="B22" s="379">
        <f>'2022'!Maxi_hp</f>
        <v>20.064125599545072</v>
      </c>
      <c r="C22" s="13">
        <f>'2022'!An_max</f>
        <v>2021</v>
      </c>
      <c r="D22" s="1053" t="str">
        <f t="shared" si="7"/>
        <v/>
      </c>
      <c r="E22" s="1048">
        <f>N$13/10</f>
        <v>27.351600000000001</v>
      </c>
      <c r="F22" s="13">
        <f t="shared" si="23"/>
        <v>3</v>
      </c>
      <c r="G22" s="13">
        <f t="shared" si="24"/>
        <v>2</v>
      </c>
      <c r="H22" s="172">
        <f t="shared" si="8"/>
        <v>43122</v>
      </c>
      <c r="I22" s="753">
        <f t="shared" si="9"/>
        <v>1</v>
      </c>
      <c r="J22" s="746">
        <f t="shared" si="27"/>
        <v>27.351600001752377</v>
      </c>
      <c r="L22" s="756" t="s">
        <v>211</v>
      </c>
      <c r="M22" s="740">
        <f t="shared" ref="M22:AM22" si="33">x.2m*x.2m-x.3m*x.3m</f>
        <v>-1293015</v>
      </c>
      <c r="N22" s="740">
        <f>x.2m*x.2m-x.3m*x.3m</f>
        <v>-1207220</v>
      </c>
      <c r="O22" s="740">
        <f t="shared" si="33"/>
        <v>-1207612</v>
      </c>
      <c r="P22" s="740">
        <f t="shared" si="33"/>
        <v>-1208004</v>
      </c>
      <c r="Q22" s="740">
        <f t="shared" si="33"/>
        <v>-1208396</v>
      </c>
      <c r="R22" s="740">
        <f t="shared" si="33"/>
        <v>-1208788</v>
      </c>
      <c r="S22" s="740">
        <f t="shared" si="33"/>
        <v>-1209180</v>
      </c>
      <c r="T22" s="740">
        <f t="shared" si="33"/>
        <v>-1209572</v>
      </c>
      <c r="U22" s="740">
        <f t="shared" si="33"/>
        <v>-1209964</v>
      </c>
      <c r="V22" s="740">
        <f t="shared" si="33"/>
        <v>-1210356</v>
      </c>
      <c r="W22" s="740">
        <f t="shared" si="33"/>
        <v>-1210748</v>
      </c>
      <c r="X22" s="740">
        <f t="shared" si="33"/>
        <v>-1211140</v>
      </c>
      <c r="Y22" s="740">
        <f t="shared" si="33"/>
        <v>-1211532</v>
      </c>
      <c r="Z22" s="740">
        <f t="shared" si="33"/>
        <v>-1211924</v>
      </c>
      <c r="AA22" s="740">
        <f t="shared" si="33"/>
        <v>-1212316</v>
      </c>
      <c r="AB22" s="740">
        <f t="shared" si="33"/>
        <v>-1212708</v>
      </c>
      <c r="AC22" s="740">
        <f t="shared" si="33"/>
        <v>-1213100</v>
      </c>
      <c r="AD22" s="740">
        <f t="shared" si="33"/>
        <v>-1213492</v>
      </c>
      <c r="AE22" s="740">
        <f t="shared" si="33"/>
        <v>-1213884</v>
      </c>
      <c r="AF22" s="740">
        <f t="shared" si="33"/>
        <v>-1214276</v>
      </c>
      <c r="AG22" s="740">
        <f t="shared" si="33"/>
        <v>-1214668</v>
      </c>
      <c r="AH22" s="740">
        <f t="shared" si="33"/>
        <v>-1215060</v>
      </c>
      <c r="AI22" s="740">
        <f t="shared" si="33"/>
        <v>-1215452</v>
      </c>
      <c r="AJ22" s="740">
        <f t="shared" si="33"/>
        <v>-1215844</v>
      </c>
      <c r="AK22" s="740">
        <f t="shared" si="33"/>
        <v>-1216236</v>
      </c>
      <c r="AL22" s="740">
        <f t="shared" si="33"/>
        <v>-1216628</v>
      </c>
      <c r="AM22" s="740">
        <f t="shared" si="33"/>
        <v>-1303965</v>
      </c>
      <c r="AN22" s="740">
        <f>x.2m*x.2m-x.3m*x.3m</f>
        <v>-1217440</v>
      </c>
      <c r="AO22" s="1046">
        <v>43108</v>
      </c>
      <c r="AP22" s="13">
        <f t="shared" si="11"/>
        <v>3</v>
      </c>
      <c r="AQ22" s="13">
        <f t="shared" si="12"/>
        <v>2</v>
      </c>
      <c r="AR22" s="172">
        <f t="shared" si="13"/>
        <v>43136</v>
      </c>
      <c r="AS22" s="753">
        <f t="shared" si="14"/>
        <v>1</v>
      </c>
      <c r="AT22" s="769">
        <f t="shared" si="15"/>
        <v>27.351600001752377</v>
      </c>
      <c r="AU22" s="13">
        <f t="shared" si="16"/>
        <v>1</v>
      </c>
      <c r="AV22" s="13">
        <f t="shared" si="17"/>
        <v>2</v>
      </c>
      <c r="AW22" s="172">
        <f t="shared" si="18"/>
        <v>43093</v>
      </c>
      <c r="AX22" s="753">
        <f t="shared" si="19"/>
        <v>0.51724137931034486</v>
      </c>
      <c r="AY22" s="769">
        <f t="shared" si="20"/>
        <v>27.473929179896565</v>
      </c>
      <c r="AZ22" s="746">
        <f t="shared" si="26"/>
        <v>27.412764590824473</v>
      </c>
      <c r="BA22" s="641">
        <f t="shared" si="21"/>
        <v>0.73356314066671024</v>
      </c>
      <c r="BC22" s="11">
        <v>43108</v>
      </c>
      <c r="BD22" s="289">
        <f>[2]!FeuilCaduc*(1-Persistant)+Persistant</f>
        <v>0.60265887878487523</v>
      </c>
      <c r="BE22" s="290">
        <f>[2]!CroissVégét</f>
        <v>4.664370707620742E-4</v>
      </c>
      <c r="BF22" s="819">
        <f>1+[2]!Salcycl*Ksac</f>
        <v>1.0003323598481093</v>
      </c>
      <c r="BH22" s="1044">
        <f t="shared" si="22"/>
        <v>2.4720901375005863E-2</v>
      </c>
      <c r="BI22" s="11">
        <v>44204</v>
      </c>
      <c r="BJ22" s="726">
        <v>1.5646919373229557E-2</v>
      </c>
      <c r="BK22" s="726">
        <v>1.6552816375110441E-2</v>
      </c>
      <c r="BL22" s="726">
        <v>1.8000430749434887E-2</v>
      </c>
      <c r="BM22" s="726">
        <v>2.0104217605203464E-2</v>
      </c>
      <c r="BN22" s="726">
        <v>2.2951904262830201E-2</v>
      </c>
      <c r="BO22" s="727">
        <v>2.6259827492356735E-2</v>
      </c>
      <c r="BP22" s="726">
        <v>3.0363330717465522E-2</v>
      </c>
      <c r="BQ22" s="726">
        <v>3.5313968908996601E-2</v>
      </c>
      <c r="BR22" s="726">
        <v>4.1341510954804796E-2</v>
      </c>
      <c r="BS22" s="726">
        <v>4.8193093679425002E-2</v>
      </c>
      <c r="BT22" s="726">
        <v>5.5623616689334687E-2</v>
      </c>
      <c r="BW22" s="1208">
        <f>'2018'!R\Max</f>
        <v>0</v>
      </c>
      <c r="BX22" s="1206">
        <f>'2019'!R\Max</f>
        <v>0.23281827113221801</v>
      </c>
      <c r="BY22" s="1206">
        <f>'2020'!R\Max</f>
        <v>0.48417429714922694</v>
      </c>
      <c r="BZ22" s="1206">
        <f>'2021'!R\Max</f>
        <v>0.73356314066671024</v>
      </c>
      <c r="CA22" s="1206">
        <f>'2022'!R\Max</f>
        <v>0.26421352895277989</v>
      </c>
      <c r="CB22" s="1206">
        <f>'2023'!R\Max</f>
        <v>0.26418048897016838</v>
      </c>
      <c r="CC22" s="1206">
        <f>'2024'!R\Max</f>
        <v>0.2641415634041494</v>
      </c>
      <c r="CD22" s="1206">
        <f>'2025'!R\Max</f>
        <v>0.26410263783813037</v>
      </c>
      <c r="CE22" s="1206">
        <f>'2026'!R\Max</f>
        <v>0.2643081808510031</v>
      </c>
      <c r="CF22" s="1207">
        <f>'2027'!R\Max</f>
        <v>0.26427967095721816</v>
      </c>
    </row>
    <row r="23" spans="1:84" s="6" customFormat="1" ht="11.25" x14ac:dyDescent="0.2">
      <c r="A23" s="11">
        <v>43109</v>
      </c>
      <c r="B23" s="379">
        <f>'2022'!Maxi_hp</f>
        <v>26.291265960705861</v>
      </c>
      <c r="C23" s="13">
        <f>'2022'!An_max</f>
        <v>2020</v>
      </c>
      <c r="D23" s="1053" t="str">
        <f t="shared" si="7"/>
        <v/>
      </c>
      <c r="E23" s="1048"/>
      <c r="F23" s="13">
        <f t="shared" si="23"/>
        <v>3</v>
      </c>
      <c r="G23" s="13">
        <f t="shared" si="24"/>
        <v>2</v>
      </c>
      <c r="H23" s="172">
        <f t="shared" si="8"/>
        <v>43122</v>
      </c>
      <c r="I23" s="753">
        <f t="shared" si="9"/>
        <v>0.9285714285714286</v>
      </c>
      <c r="J23" s="746">
        <f t="shared" si="27"/>
        <v>27.575271609372329</v>
      </c>
      <c r="L23" s="756" t="s">
        <v>212</v>
      </c>
      <c r="M23" s="740">
        <f t="shared" ref="M23:AM23" si="34">(y.1m-y.2m-b.m*(x.1m-x.2m))/D2x12</f>
        <v>6.2323973727401949E-2</v>
      </c>
      <c r="N23" s="740">
        <f>(y.1m-y.2m-b.m*(x.1m-x.2m))/D2x12</f>
        <v>4.7515927750396363E-2</v>
      </c>
      <c r="O23" s="740">
        <f t="shared" si="34"/>
        <v>2.2752551020409909E-2</v>
      </c>
      <c r="P23" s="740">
        <f t="shared" si="34"/>
        <v>1.2640306122452207E-2</v>
      </c>
      <c r="Q23" s="740">
        <f t="shared" si="34"/>
        <v>-1.2640306122450725E-2</v>
      </c>
      <c r="R23" s="740">
        <f t="shared" si="34"/>
        <v>-5.0561224489790368E-3</v>
      </c>
      <c r="S23" s="740">
        <f t="shared" si="34"/>
        <v>-1.0112244897957822E-2</v>
      </c>
      <c r="T23" s="740">
        <f t="shared" si="34"/>
        <v>-3.2864795918368078E-2</v>
      </c>
      <c r="U23" s="740">
        <f t="shared" si="34"/>
        <v>-3.5392857142855672E-2</v>
      </c>
      <c r="V23" s="740">
        <f t="shared" si="34"/>
        <v>-2.5280612244901388E-2</v>
      </c>
      <c r="W23" s="740">
        <f t="shared" si="34"/>
        <v>-1.5168367346938353E-2</v>
      </c>
      <c r="X23" s="740">
        <f t="shared" si="34"/>
        <v>-1.5168367346935623E-2</v>
      </c>
      <c r="Y23" s="740">
        <f t="shared" si="34"/>
        <v>-5.0561224489805651E-3</v>
      </c>
      <c r="Z23" s="740">
        <f t="shared" si="34"/>
        <v>-5.056122448979722E-3</v>
      </c>
      <c r="AA23" s="740">
        <f t="shared" si="34"/>
        <v>-2.5280612244890977E-3</v>
      </c>
      <c r="AB23" s="740">
        <f t="shared" si="34"/>
        <v>-2.528061224490077E-3</v>
      </c>
      <c r="AC23" s="740">
        <f t="shared" si="34"/>
        <v>-1.0112244897956783E-2</v>
      </c>
      <c r="AD23" s="740">
        <f t="shared" si="34"/>
        <v>-1.0112244897962095E-2</v>
      </c>
      <c r="AE23" s="740">
        <f t="shared" si="34"/>
        <v>-2.5280612244904223E-2</v>
      </c>
      <c r="AF23" s="740">
        <f t="shared" si="34"/>
        <v>-2.2752551020410818E-2</v>
      </c>
      <c r="AG23" s="740">
        <f t="shared" si="34"/>
        <v>-7.5841836734679416E-3</v>
      </c>
      <c r="AH23" s="740">
        <f t="shared" si="34"/>
        <v>-1.5168367346942364E-2</v>
      </c>
      <c r="AI23" s="740">
        <f t="shared" si="34"/>
        <v>1.2640306122447036E-2</v>
      </c>
      <c r="AJ23" s="740">
        <f t="shared" si="34"/>
        <v>1.2640306122449685E-2</v>
      </c>
      <c r="AK23" s="740">
        <f t="shared" si="34"/>
        <v>2.5280612244893197E-2</v>
      </c>
      <c r="AL23" s="740">
        <f t="shared" si="34"/>
        <v>5.8145408163246683E-2</v>
      </c>
      <c r="AM23" s="740">
        <f t="shared" si="34"/>
        <v>6.2323973727425395E-2</v>
      </c>
      <c r="AN23" s="740">
        <f>(y.1m-y.2m-b.m*(x.1m-x.2m))/D2x12</f>
        <v>4.7515927750412461E-2</v>
      </c>
      <c r="AO23" s="1046">
        <v>43109</v>
      </c>
      <c r="AP23" s="13">
        <f t="shared" si="11"/>
        <v>3</v>
      </c>
      <c r="AQ23" s="13">
        <f t="shared" si="12"/>
        <v>2</v>
      </c>
      <c r="AR23" s="172">
        <f t="shared" si="13"/>
        <v>43136</v>
      </c>
      <c r="AS23" s="753">
        <f t="shared" si="14"/>
        <v>0.9642857142857143</v>
      </c>
      <c r="AT23" s="769">
        <f t="shared" si="15"/>
        <v>27.548398269080955</v>
      </c>
      <c r="AU23" s="13">
        <f t="shared" si="16"/>
        <v>1</v>
      </c>
      <c r="AV23" s="13">
        <f t="shared" si="17"/>
        <v>2</v>
      </c>
      <c r="AW23" s="172">
        <f t="shared" si="18"/>
        <v>43093</v>
      </c>
      <c r="AX23" s="753">
        <f t="shared" si="19"/>
        <v>0.55172413793103448</v>
      </c>
      <c r="AY23" s="769">
        <f t="shared" si="20"/>
        <v>27.716281172941468</v>
      </c>
      <c r="AZ23" s="746">
        <f t="shared" si="26"/>
        <v>27.632339721011213</v>
      </c>
      <c r="BA23" s="641">
        <f t="shared" si="21"/>
        <v>0.95343633720619247</v>
      </c>
      <c r="BC23" s="11">
        <v>43109</v>
      </c>
      <c r="BD23" s="289">
        <f>[2]!FeuilCaduc*(1-Persistant)+Persistant</f>
        <v>0.60243370588267942</v>
      </c>
      <c r="BE23" s="290">
        <f>[2]!CroissVégét</f>
        <v>5.4426808883230738E-4</v>
      </c>
      <c r="BF23" s="819">
        <f>1+[2]!Salcycl*Ksac</f>
        <v>1.000304213235335</v>
      </c>
      <c r="BH23" s="1044">
        <f t="shared" si="22"/>
        <v>2.4720366335381917E-2</v>
      </c>
      <c r="BI23" s="11">
        <v>44205</v>
      </c>
      <c r="BJ23" s="726">
        <v>1.5499583587748557E-2</v>
      </c>
      <c r="BK23" s="726">
        <v>1.6373461724771568E-2</v>
      </c>
      <c r="BL23" s="726">
        <v>1.7842036608099823E-2</v>
      </c>
      <c r="BM23" s="726">
        <v>1.9994189945358235E-2</v>
      </c>
      <c r="BN23" s="726">
        <v>2.2922660453489046E-2</v>
      </c>
      <c r="BO23" s="727">
        <v>2.6284267437265404E-2</v>
      </c>
      <c r="BP23" s="726">
        <v>3.0486762551657134E-2</v>
      </c>
      <c r="BQ23" s="726">
        <v>3.5538360442728366E-2</v>
      </c>
      <c r="BR23" s="726">
        <v>4.1669783609201066E-2</v>
      </c>
      <c r="BS23" s="726">
        <v>4.8577024945611252E-2</v>
      </c>
      <c r="BT23" s="726">
        <v>5.6052271651991246E-2</v>
      </c>
      <c r="BW23" s="1208">
        <f>'2018'!R\Max</f>
        <v>0</v>
      </c>
      <c r="BX23" s="1206">
        <f>'2019'!R\Max</f>
        <v>0.33284988172196145</v>
      </c>
      <c r="BY23" s="1206">
        <f>'2020'!R\Max</f>
        <v>0.95343633720619247</v>
      </c>
      <c r="BZ23" s="1206">
        <f>'2021'!R\Max</f>
        <v>0.18481049016593504</v>
      </c>
      <c r="CA23" s="1206">
        <f>'2022'!R\Max</f>
        <v>7.2725798970855418E-2</v>
      </c>
      <c r="CB23" s="1206">
        <f>'2023'!R\Max</f>
        <v>7.2716568612613552E-2</v>
      </c>
      <c r="CC23" s="1206">
        <f>'2024'!R\Max</f>
        <v>7.2705728366899272E-2</v>
      </c>
      <c r="CD23" s="1206">
        <f>'2025'!R\Max</f>
        <v>7.2694888121185047E-2</v>
      </c>
      <c r="CE23" s="1206">
        <f>'2026'!R\Max</f>
        <v>7.2752221117717231E-2</v>
      </c>
      <c r="CF23" s="1207">
        <f>'2027'!R\Max</f>
        <v>7.2744285968881273E-2</v>
      </c>
    </row>
    <row r="24" spans="1:84" s="6" customFormat="1" ht="11.25" x14ac:dyDescent="0.2">
      <c r="A24" s="11">
        <v>43110</v>
      </c>
      <c r="B24" s="379">
        <f>'2022'!Maxi_hp</f>
        <v>14.840705904124258</v>
      </c>
      <c r="C24" s="13">
        <f>'2022'!An_max</f>
        <v>2019</v>
      </c>
      <c r="D24" s="1053" t="str">
        <f t="shared" si="7"/>
        <v/>
      </c>
      <c r="E24" s="1048"/>
      <c r="F24" s="13">
        <f t="shared" si="23"/>
        <v>3</v>
      </c>
      <c r="G24" s="13">
        <f t="shared" si="24"/>
        <v>2</v>
      </c>
      <c r="H24" s="172">
        <f t="shared" si="8"/>
        <v>43122</v>
      </c>
      <c r="I24" s="753">
        <f t="shared" si="9"/>
        <v>0.8571428571428571</v>
      </c>
      <c r="J24" s="746">
        <f t="shared" si="27"/>
        <v>27.812337789258788</v>
      </c>
      <c r="L24" s="756" t="s">
        <v>213</v>
      </c>
      <c r="M24" s="740">
        <f t="shared" ref="M24:AM24" si="35">(y.2m-y.3m-(y.1m-y.2m)*D2x23/D2x12)/(x.2m-x.3m)/(1-(x.2m+x.3m)/(x.1m+x.2m))</f>
        <v>-5370.9353926091098</v>
      </c>
      <c r="N24" s="740">
        <f>(y.2m-y.3m-(y.1m-y.2m)*D2x23/D2x12)/(x.2m-x.3m)/(1-(x.2m+x.3m)/(x.1m+x.2m))</f>
        <v>-4094.4670213452496</v>
      </c>
      <c r="O24" s="740">
        <f t="shared" si="35"/>
        <v>-1959.1210459185181</v>
      </c>
      <c r="P24" s="740">
        <f t="shared" si="35"/>
        <v>-1086.8590255104825</v>
      </c>
      <c r="Q24" s="740">
        <f t="shared" si="35"/>
        <v>1094.5038826532118</v>
      </c>
      <c r="R24" s="740">
        <f t="shared" si="35"/>
        <v>439.8826530611766</v>
      </c>
      <c r="S24" s="740">
        <f t="shared" si="35"/>
        <v>876.43837755090283</v>
      </c>
      <c r="T24" s="740">
        <f t="shared" si="35"/>
        <v>2841.5762091837369</v>
      </c>
      <c r="U24" s="740">
        <f t="shared" si="35"/>
        <v>3059.9956428570158</v>
      </c>
      <c r="V24" s="740">
        <f t="shared" si="35"/>
        <v>2186.0347653064186</v>
      </c>
      <c r="W24" s="740">
        <f t="shared" si="35"/>
        <v>1311.7907448979227</v>
      </c>
      <c r="X24" s="740">
        <f t="shared" si="35"/>
        <v>1311.7907448976864</v>
      </c>
      <c r="Y24" s="740">
        <f t="shared" si="35"/>
        <v>436.98043877559439</v>
      </c>
      <c r="Z24" s="740">
        <f t="shared" si="35"/>
        <v>436.98043877552152</v>
      </c>
      <c r="AA24" s="740">
        <f t="shared" si="35"/>
        <v>218.13629081626613</v>
      </c>
      <c r="AB24" s="740">
        <f t="shared" si="35"/>
        <v>218.13629081635091</v>
      </c>
      <c r="AC24" s="740">
        <f t="shared" si="35"/>
        <v>875.09344897938388</v>
      </c>
      <c r="AD24" s="740">
        <f t="shared" si="35"/>
        <v>875.09344897984408</v>
      </c>
      <c r="AE24" s="740">
        <f t="shared" si="35"/>
        <v>2189.8571938780938</v>
      </c>
      <c r="AF24" s="740">
        <f t="shared" si="35"/>
        <v>1970.6591173471688</v>
      </c>
      <c r="AG24" s="740">
        <f t="shared" si="35"/>
        <v>655.04594387742554</v>
      </c>
      <c r="AH24" s="740">
        <f t="shared" si="35"/>
        <v>1313.0648877554136</v>
      </c>
      <c r="AI24" s="740">
        <f t="shared" si="35"/>
        <v>-1100.4498826528925</v>
      </c>
      <c r="AJ24" s="740">
        <f t="shared" si="35"/>
        <v>-1100.4498826531224</v>
      </c>
      <c r="AK24" s="740">
        <f t="shared" si="35"/>
        <v>-2198.2099081628517</v>
      </c>
      <c r="AL24" s="740">
        <f t="shared" si="35"/>
        <v>-5053.3061887738932</v>
      </c>
      <c r="AM24" s="740">
        <f t="shared" si="35"/>
        <v>-5416.43189343215</v>
      </c>
      <c r="AN24" s="740">
        <f>(y.2m-y.3m-(y.1m-y.2m)*D2x23/D2x12)/(x.2m-x.3m)/(1-(x.2m+x.3m)/(x.1m+x.2m))</f>
        <v>-4129.1536486044388</v>
      </c>
      <c r="AO24" s="1046">
        <v>43110</v>
      </c>
      <c r="AP24" s="13">
        <f t="shared" si="11"/>
        <v>3</v>
      </c>
      <c r="AQ24" s="13">
        <f t="shared" si="12"/>
        <v>2</v>
      </c>
      <c r="AR24" s="172">
        <f t="shared" si="13"/>
        <v>43136</v>
      </c>
      <c r="AS24" s="753">
        <f t="shared" si="14"/>
        <v>0.9285714285714286</v>
      </c>
      <c r="AT24" s="769">
        <f t="shared" si="15"/>
        <v>27.760678999950841</v>
      </c>
      <c r="AU24" s="13">
        <f t="shared" si="16"/>
        <v>1</v>
      </c>
      <c r="AV24" s="13">
        <f t="shared" si="17"/>
        <v>2</v>
      </c>
      <c r="AW24" s="172">
        <f t="shared" si="18"/>
        <v>43093</v>
      </c>
      <c r="AX24" s="753">
        <f t="shared" si="19"/>
        <v>0.58620689655172409</v>
      </c>
      <c r="AY24" s="769">
        <f t="shared" si="20"/>
        <v>27.966119583850276</v>
      </c>
      <c r="AZ24" s="746">
        <f t="shared" si="26"/>
        <v>27.863399291900556</v>
      </c>
      <c r="BA24" s="641">
        <f t="shared" si="21"/>
        <v>0.53360152665252703</v>
      </c>
      <c r="BC24" s="11">
        <v>43110</v>
      </c>
      <c r="BD24" s="289">
        <f>[2]!FeuilCaduc*(1-Persistant)+Persistant</f>
        <v>0.60221817195725846</v>
      </c>
      <c r="BE24" s="290">
        <f>[2]!CroissVégét</f>
        <v>6.2535138577142317E-4</v>
      </c>
      <c r="BF24" s="819">
        <f>1+[2]!Salcycl*Ksac</f>
        <v>1.0002772714946573</v>
      </c>
      <c r="BH24" s="1044">
        <f t="shared" si="22"/>
        <v>2.4692807689265052E-2</v>
      </c>
      <c r="BI24" s="1046">
        <v>44206</v>
      </c>
      <c r="BJ24" s="726">
        <v>1.5349470332432636E-2</v>
      </c>
      <c r="BK24" s="726">
        <v>1.6188820237352467E-2</v>
      </c>
      <c r="BL24" s="726">
        <v>1.767203376242588E-2</v>
      </c>
      <c r="BM24" s="726">
        <v>1.9864797617684629E-2</v>
      </c>
      <c r="BN24" s="726">
        <v>2.286700806332357E-2</v>
      </c>
      <c r="BO24" s="727">
        <v>2.6281148738592768E-2</v>
      </c>
      <c r="BP24" s="726">
        <v>3.0590332089088249E-2</v>
      </c>
      <c r="BQ24" s="726">
        <v>3.5757198449380252E-2</v>
      </c>
      <c r="BR24" s="726">
        <v>4.2005760168534079E-2</v>
      </c>
      <c r="BS24" s="726">
        <v>4.8977450290807661E-2</v>
      </c>
      <c r="BT24" s="726">
        <v>5.6502423568997956E-2</v>
      </c>
      <c r="BW24" s="1208">
        <f>'2018'!R\Max</f>
        <v>0</v>
      </c>
      <c r="BX24" s="1206">
        <f>'2019'!R\Max</f>
        <v>0.53360152665252703</v>
      </c>
      <c r="BY24" s="1206">
        <f>'2020'!R\Max</f>
        <v>0.41126581322061317</v>
      </c>
      <c r="BZ24" s="1206">
        <f>'2021'!R\Max</f>
        <v>0.17010314465546963</v>
      </c>
      <c r="CA24" s="1206">
        <f>'2022'!R\Max</f>
        <v>5.7873728632410484E-2</v>
      </c>
      <c r="CB24" s="1206">
        <f>'2023'!R\Max</f>
        <v>5.7866266090405641E-2</v>
      </c>
      <c r="CC24" s="1206">
        <f>'2024'!R\Max</f>
        <v>5.7857521085935594E-2</v>
      </c>
      <c r="CD24" s="1206">
        <f>'2025'!R\Max</f>
        <v>5.7848776081465554E-2</v>
      </c>
      <c r="CE24" s="1206">
        <f>'2026'!R\Max</f>
        <v>5.7895064139754322E-2</v>
      </c>
      <c r="CF24" s="1207">
        <f>'2027'!R\Max</f>
        <v>5.7888679851471871E-2</v>
      </c>
    </row>
    <row r="25" spans="1:84" s="6" customFormat="1" ht="11.25" x14ac:dyDescent="0.2">
      <c r="A25" s="11">
        <v>43111</v>
      </c>
      <c r="B25" s="379">
        <f>'2022'!Maxi_hp</f>
        <v>28.774012285280158</v>
      </c>
      <c r="C25" s="13">
        <f>'2022'!An_max</f>
        <v>2022</v>
      </c>
      <c r="D25" s="1053">
        <f t="shared" si="7"/>
        <v>1.0253824281395252</v>
      </c>
      <c r="E25" s="1048"/>
      <c r="F25" s="13">
        <f t="shared" si="23"/>
        <v>3</v>
      </c>
      <c r="G25" s="13">
        <f t="shared" si="24"/>
        <v>2</v>
      </c>
      <c r="H25" s="172">
        <f t="shared" si="8"/>
        <v>43122</v>
      </c>
      <c r="I25" s="753">
        <f t="shared" si="9"/>
        <v>0.7857142857142857</v>
      </c>
      <c r="J25" s="746">
        <f t="shared" si="27"/>
        <v>28.061737255911744</v>
      </c>
      <c r="L25" s="756" t="s">
        <v>214</v>
      </c>
      <c r="M25" s="740">
        <f t="shared" ref="M25:AM25" si="36">(y.1m+y.2m+y.3m-a.m*(x.3m*x.3m+x.2m*x.2m+x.1m*x.1m)-b.m*(x.3m+x.2m+x.1m))/3</f>
        <v>115713936.98381762</v>
      </c>
      <c r="N25" s="740">
        <f>(y.1m+y.2m+y.3m-a.m*(x.3m*x.3m+x.2m*x.2m+x.1m*x.1m)-b.m*(x.3m+x.2m+x.1m))/3</f>
        <v>88205725.298941195</v>
      </c>
      <c r="O25" s="740">
        <f t="shared" si="36"/>
        <v>42173005.647084884</v>
      </c>
      <c r="P25" s="740">
        <f t="shared" si="36"/>
        <v>23363111.803495806</v>
      </c>
      <c r="Q25" s="740">
        <f t="shared" si="36"/>
        <v>-23692156.931207329</v>
      </c>
      <c r="R25" s="740">
        <f t="shared" si="36"/>
        <v>-9566413.1000806</v>
      </c>
      <c r="S25" s="740">
        <f t="shared" si="36"/>
        <v>-18989686.443303585</v>
      </c>
      <c r="T25" s="740">
        <f t="shared" si="36"/>
        <v>-61421923.957960568</v>
      </c>
      <c r="U25" s="740">
        <f t="shared" si="36"/>
        <v>-66139674.391711541</v>
      </c>
      <c r="V25" s="740">
        <f t="shared" si="36"/>
        <v>-47256439.186414547</v>
      </c>
      <c r="W25" s="740">
        <f t="shared" si="36"/>
        <v>-28360966.546815533</v>
      </c>
      <c r="X25" s="740">
        <f t="shared" si="36"/>
        <v>-28360966.546810418</v>
      </c>
      <c r="Y25" s="740">
        <f t="shared" si="36"/>
        <v>-9441007.1466548815</v>
      </c>
      <c r="Z25" s="740">
        <f t="shared" si="36"/>
        <v>-9441007.1466533076</v>
      </c>
      <c r="AA25" s="740">
        <f t="shared" si="36"/>
        <v>-4704891.6424680818</v>
      </c>
      <c r="AB25" s="740">
        <f t="shared" si="36"/>
        <v>-4704891.6424699174</v>
      </c>
      <c r="AC25" s="740">
        <f t="shared" si="36"/>
        <v>-18931627.009444471</v>
      </c>
      <c r="AD25" s="740">
        <f t="shared" si="36"/>
        <v>-18931627.009454448</v>
      </c>
      <c r="AE25" s="740">
        <f t="shared" si="36"/>
        <v>-47421899.236277074</v>
      </c>
      <c r="AF25" s="740">
        <f t="shared" si="36"/>
        <v>-42670452.254229471</v>
      </c>
      <c r="AG25" s="740">
        <f t="shared" si="36"/>
        <v>-14143354.750548298</v>
      </c>
      <c r="AH25" s="740">
        <f t="shared" si="36"/>
        <v>-28416114.281108808</v>
      </c>
      <c r="AI25" s="740">
        <f t="shared" si="36"/>
        <v>23951121.087200418</v>
      </c>
      <c r="AJ25" s="740">
        <f t="shared" si="36"/>
        <v>23951121.08720541</v>
      </c>
      <c r="AK25" s="740">
        <f t="shared" si="36"/>
        <v>47785137.261684902</v>
      </c>
      <c r="AL25" s="740">
        <f t="shared" si="36"/>
        <v>109793544.22176081</v>
      </c>
      <c r="AM25" s="740">
        <f t="shared" si="36"/>
        <v>117682631.51356404</v>
      </c>
      <c r="AN25" s="740">
        <f>(y.1m+y.2m+y.3m-a.m*(x.3m*x.3m+x.2m*x.2m+x.1m*x.1m)-b.m*(x.3m+x.2m+x.1m))/3</f>
        <v>89706536.071237162</v>
      </c>
      <c r="AO25" s="1046">
        <v>43111</v>
      </c>
      <c r="AP25" s="13">
        <f t="shared" si="11"/>
        <v>3</v>
      </c>
      <c r="AQ25" s="13">
        <f t="shared" si="12"/>
        <v>2</v>
      </c>
      <c r="AR25" s="172">
        <f t="shared" si="13"/>
        <v>43136</v>
      </c>
      <c r="AS25" s="753">
        <f t="shared" si="14"/>
        <v>0.8928571428571429</v>
      </c>
      <c r="AT25" s="769">
        <f>((1-AS25)*(INDEX(a.lg,AP25)*$A25*$A25+INDEX(b.lg,AP25)*$A25+INDEX(c.lg,AP25))+AS25*(INDEX(a.lg,AQ25)*$A25*$A25+INDEX(b.lg,AQ25)*$A25+INDEX(c.lg,AQ25)))/10</f>
        <v>27.98766599699988</v>
      </c>
      <c r="AU25" s="13">
        <f t="shared" si="16"/>
        <v>1</v>
      </c>
      <c r="AV25" s="13">
        <f t="shared" si="17"/>
        <v>2</v>
      </c>
      <c r="AW25" s="172">
        <f t="shared" si="18"/>
        <v>43093</v>
      </c>
      <c r="AX25" s="753">
        <f t="shared" si="19"/>
        <v>0.62068965517241381</v>
      </c>
      <c r="AY25" s="769">
        <f t="shared" si="20"/>
        <v>28.222805622425575</v>
      </c>
      <c r="AZ25" s="746">
        <f t="shared" si="26"/>
        <v>28.105235809712728</v>
      </c>
      <c r="BA25" s="641">
        <f t="shared" si="21"/>
        <v>1.0253824281395252</v>
      </c>
      <c r="BC25" s="11">
        <v>43111</v>
      </c>
      <c r="BD25" s="289">
        <f>[2]!FeuilCaduc*(1-Persistant)+Persistant</f>
        <v>0.60201187478427232</v>
      </c>
      <c r="BE25" s="290">
        <f>[2]!CroissVégét</f>
        <v>7.0982230050345072E-4</v>
      </c>
      <c r="BF25" s="819">
        <f>1+[2]!Salcycl*Ksac</f>
        <v>1.0002514843480341</v>
      </c>
      <c r="BH25" s="1044">
        <f t="shared" si="22"/>
        <v>2.4635589712041592E-2</v>
      </c>
      <c r="BI25" s="11">
        <v>44207</v>
      </c>
      <c r="BJ25" s="726">
        <v>1.5201866080715417E-2</v>
      </c>
      <c r="BK25" s="726">
        <v>1.6006277539716618E-2</v>
      </c>
      <c r="BL25" s="726">
        <v>1.7496307347395518E-2</v>
      </c>
      <c r="BM25" s="726">
        <v>1.9718973794446662E-2</v>
      </c>
      <c r="BN25" s="726">
        <v>2.2783418615791397E-2</v>
      </c>
      <c r="BO25" s="727">
        <v>2.6246872429352648E-2</v>
      </c>
      <c r="BP25" s="726">
        <v>3.0668765312925211E-2</v>
      </c>
      <c r="BQ25" s="726">
        <v>3.5963932403211385E-2</v>
      </c>
      <c r="BR25" s="726">
        <v>4.2342348408848006E-2</v>
      </c>
      <c r="BS25" s="726">
        <v>4.9385985735998415E-2</v>
      </c>
      <c r="BT25" s="726">
        <v>5.6963646025025079E-2</v>
      </c>
      <c r="BW25" s="1208">
        <f>'2018'!R\Max</f>
        <v>0</v>
      </c>
      <c r="BX25" s="1206">
        <f>'2019'!R\Max</f>
        <v>0.95327304219848708</v>
      </c>
      <c r="BY25" s="1206">
        <f>'2020'!R\Max</f>
        <v>1.0141415036562136</v>
      </c>
      <c r="BZ25" s="1206">
        <f>'2021'!R\Max</f>
        <v>0.25912618271741217</v>
      </c>
      <c r="CA25" s="1206">
        <f>'2022'!R\Max</f>
        <v>1.0253824281395252</v>
      </c>
      <c r="CB25" s="1206">
        <f>'2023'!R\Max</f>
        <v>1.0253824281395247</v>
      </c>
      <c r="CC25" s="1206">
        <f>'2024'!R\Max</f>
        <v>1.025382428139525</v>
      </c>
      <c r="CD25" s="1206">
        <f>'2025'!R\Max</f>
        <v>1.0253824281395252</v>
      </c>
      <c r="CE25" s="1206">
        <f>'2026'!R\Max</f>
        <v>1.0253824281395252</v>
      </c>
      <c r="CF25" s="1207">
        <f>'2027'!R\Max</f>
        <v>1.0253824281395247</v>
      </c>
    </row>
    <row r="26" spans="1:84" s="6" customFormat="1" ht="11.25" x14ac:dyDescent="0.2">
      <c r="A26" s="11">
        <v>43112</v>
      </c>
      <c r="B26" s="379">
        <f>'2022'!Maxi_hp</f>
        <v>28.636326712021056</v>
      </c>
      <c r="C26" s="13">
        <f>'2022'!An_max</f>
        <v>2020</v>
      </c>
      <c r="D26" s="1053">
        <f t="shared" si="7"/>
        <v>1.011083732147398</v>
      </c>
      <c r="E26" s="1048"/>
      <c r="F26" s="13">
        <f t="shared" si="23"/>
        <v>3</v>
      </c>
      <c r="G26" s="13">
        <f t="shared" si="24"/>
        <v>2</v>
      </c>
      <c r="H26" s="172">
        <f t="shared" si="8"/>
        <v>43122</v>
      </c>
      <c r="I26" s="753">
        <f t="shared" si="9"/>
        <v>0.7142857142857143</v>
      </c>
      <c r="J26" s="746">
        <f t="shared" si="27"/>
        <v>28.322408719999451</v>
      </c>
      <c r="L26" s="10"/>
      <c r="AO26" s="1046">
        <v>43112</v>
      </c>
      <c r="AP26" s="13">
        <f t="shared" si="11"/>
        <v>3</v>
      </c>
      <c r="AQ26" s="13">
        <f t="shared" si="12"/>
        <v>2</v>
      </c>
      <c r="AR26" s="172">
        <f t="shared" si="13"/>
        <v>43136</v>
      </c>
      <c r="AS26" s="753">
        <f t="shared" si="14"/>
        <v>0.8571428571428571</v>
      </c>
      <c r="AT26" s="769">
        <f>((1-AS26)*(INDEX(a.lg,AP26)*$A26*$A26+INDEX(b.lg,AP26)*$A26+INDEX(c.lg,AP26))+AS26*(INDEX(a.lg,AQ26)*$A26*$A26+INDEX(b.lg,AQ26)*$A26+INDEX(c.lg,AQ26)))/10</f>
        <v>28.228583062732856</v>
      </c>
      <c r="AU26" s="13">
        <f t="shared" si="16"/>
        <v>1</v>
      </c>
      <c r="AV26" s="13">
        <f t="shared" si="17"/>
        <v>2</v>
      </c>
      <c r="AW26" s="172">
        <f t="shared" si="18"/>
        <v>43093</v>
      </c>
      <c r="AX26" s="753">
        <f t="shared" si="19"/>
        <v>0.65517241379310343</v>
      </c>
      <c r="AY26" s="769">
        <f t="shared" si="20"/>
        <v>28.485700490043079</v>
      </c>
      <c r="AZ26" s="746">
        <f t="shared" si="26"/>
        <v>28.357141776387969</v>
      </c>
      <c r="BA26" s="641">
        <f t="shared" si="21"/>
        <v>1.011083732147398</v>
      </c>
      <c r="BC26" s="11">
        <v>43112</v>
      </c>
      <c r="BD26" s="289">
        <f>[2]!FeuilCaduc*(1-Persistant)+Persistant</f>
        <v>0.6018145676787835</v>
      </c>
      <c r="BE26" s="290">
        <f>[2]!CroissVégét</f>
        <v>7.9782175584567966E-4</v>
      </c>
      <c r="BF26" s="819">
        <f>1+[2]!Salcycl*Ksac</f>
        <v>1.0002268209598479</v>
      </c>
      <c r="BH26" s="1044">
        <f t="shared" si="22"/>
        <v>2.45486150176236E-2</v>
      </c>
      <c r="BI26" s="11">
        <v>44208</v>
      </c>
      <c r="BJ26" s="726">
        <v>1.5056742937126992E-2</v>
      </c>
      <c r="BK26" s="726">
        <v>1.5825804826086792E-2</v>
      </c>
      <c r="BL26" s="726">
        <v>1.7314814380640271E-2</v>
      </c>
      <c r="BM26" s="726">
        <v>1.9556654666942608E-2</v>
      </c>
      <c r="BN26" s="726">
        <v>2.2671802823986426E-2</v>
      </c>
      <c r="BO26" s="727">
        <v>2.6181334077633022E-2</v>
      </c>
      <c r="BP26" s="726">
        <v>3.0721949248632117E-2</v>
      </c>
      <c r="BQ26" s="726">
        <v>3.6158446950001685E-2</v>
      </c>
      <c r="BR26" s="726">
        <v>4.2679427402523992E-2</v>
      </c>
      <c r="BS26" s="726">
        <v>4.9802499068258829E-2</v>
      </c>
      <c r="BT26" s="726">
        <v>5.7435789210297981E-2</v>
      </c>
      <c r="BW26" s="1208">
        <f>'2018'!R\Max</f>
        <v>0</v>
      </c>
      <c r="BX26" s="1206">
        <f>'2019'!R\Max</f>
        <v>0.30019276663162214</v>
      </c>
      <c r="BY26" s="1206">
        <f>'2020'!R\Max</f>
        <v>1.011083732147398</v>
      </c>
      <c r="BZ26" s="1206">
        <f>'2021'!R\Max</f>
        <v>0.60929832127874872</v>
      </c>
      <c r="CA26" s="1206">
        <f>'2022'!R\Max</f>
        <v>0.93035269439723367</v>
      </c>
      <c r="CB26" s="1206">
        <f>'2023'!R\Max</f>
        <v>0.93034035503476442</v>
      </c>
      <c r="CC26" s="1206">
        <f>'2024'!R\Max</f>
        <v>0.93032590986562447</v>
      </c>
      <c r="CD26" s="1206">
        <f>'2025'!R\Max</f>
        <v>0.93031146063566128</v>
      </c>
      <c r="CE26" s="1206">
        <f>'2026'!R\Max</f>
        <v>0.93038782259369313</v>
      </c>
      <c r="CF26" s="1207">
        <f>'2027'!R\Max</f>
        <v>0.93037741147738484</v>
      </c>
    </row>
    <row r="27" spans="1:84" s="6" customFormat="1" ht="11.25" x14ac:dyDescent="0.2">
      <c r="A27" s="11">
        <v>43113</v>
      </c>
      <c r="B27" s="379">
        <f>'2022'!Maxi_hp</f>
        <v>16.901313212419812</v>
      </c>
      <c r="C27" s="13">
        <f>'2022'!An_max</f>
        <v>2020</v>
      </c>
      <c r="D27" s="1053" t="str">
        <f t="shared" si="7"/>
        <v/>
      </c>
      <c r="E27" s="1048"/>
      <c r="F27" s="13">
        <f t="shared" si="23"/>
        <v>3</v>
      </c>
      <c r="G27" s="13">
        <f t="shared" si="24"/>
        <v>2</v>
      </c>
      <c r="H27" s="172">
        <f t="shared" si="8"/>
        <v>43122</v>
      </c>
      <c r="I27" s="753">
        <f t="shared" si="9"/>
        <v>0.6428571428571429</v>
      </c>
      <c r="J27" s="746">
        <f t="shared" si="27"/>
        <v>28.593290895330057</v>
      </c>
      <c r="L27" s="10"/>
      <c r="M27" s="6" t="s">
        <v>223</v>
      </c>
      <c r="AC27" s="69"/>
      <c r="AE27" s="69"/>
      <c r="AG27" s="69"/>
      <c r="AI27" s="69"/>
      <c r="AK27" s="69"/>
      <c r="AM27" s="69"/>
      <c r="AO27" s="1046">
        <v>43113</v>
      </c>
      <c r="AP27" s="13">
        <f t="shared" si="11"/>
        <v>3</v>
      </c>
      <c r="AQ27" s="13">
        <f t="shared" si="12"/>
        <v>2</v>
      </c>
      <c r="AR27" s="172">
        <f t="shared" si="13"/>
        <v>43136</v>
      </c>
      <c r="AS27" s="753">
        <f t="shared" si="14"/>
        <v>0.8214285714285714</v>
      </c>
      <c r="AT27" s="769">
        <f>((1-AS27)*(INDEX(a.lg,AP27)*$A27*$A27+INDEX(b.lg,AP27)*$A27+INDEX(c.lg,AP27))+AS27*(INDEX(a.lg,AQ27)*$A27*$A27+INDEX(b.lg,AQ27)*$A27+INDEX(c.lg,AQ27)))/10</f>
        <v>28.482653999754358</v>
      </c>
      <c r="AU27" s="13">
        <f t="shared" si="16"/>
        <v>1</v>
      </c>
      <c r="AV27" s="13">
        <f t="shared" si="17"/>
        <v>2</v>
      </c>
      <c r="AW27" s="172">
        <f t="shared" si="18"/>
        <v>43093</v>
      </c>
      <c r="AX27" s="753">
        <f t="shared" si="19"/>
        <v>0.68965517241379315</v>
      </c>
      <c r="AY27" s="769">
        <f t="shared" si="20"/>
        <v>28.754165392497487</v>
      </c>
      <c r="AZ27" s="746">
        <f t="shared" si="26"/>
        <v>28.618409696125923</v>
      </c>
      <c r="BA27" s="641">
        <f t="shared" si="21"/>
        <v>0.59109366859133328</v>
      </c>
      <c r="BC27" s="11">
        <v>43113</v>
      </c>
      <c r="BD27" s="289">
        <f>[2]!FeuilCaduc*(1-Persistant)+Persistant</f>
        <v>0.60162614288674821</v>
      </c>
      <c r="BE27" s="290">
        <f>[2]!CroissVégét</f>
        <v>8.8949648478391823E-4</v>
      </c>
      <c r="BF27" s="819">
        <f>1+[2]!Salcycl*Ksac</f>
        <v>1.0002032678608435</v>
      </c>
      <c r="BH27" s="1044">
        <f t="shared" si="22"/>
        <v>2.4431790025834666E-2</v>
      </c>
      <c r="BI27" s="11">
        <v>44209</v>
      </c>
      <c r="BJ27" s="726">
        <v>1.4914074269080119E-2</v>
      </c>
      <c r="BK27" s="726">
        <v>1.5647374951576431E-2</v>
      </c>
      <c r="BL27" s="726">
        <v>1.7127514309576309E-2</v>
      </c>
      <c r="BM27" s="726">
        <v>1.937777970202343E-2</v>
      </c>
      <c r="BN27" s="726">
        <v>2.2532075283910172E-2</v>
      </c>
      <c r="BO27" s="727">
        <v>2.6084432990451198E-2</v>
      </c>
      <c r="BP27" s="726">
        <v>3.0749772895972558E-2</v>
      </c>
      <c r="BQ27" s="726">
        <v>3.6340626043653811E-2</v>
      </c>
      <c r="BR27" s="726">
        <v>4.301687288501805E-2</v>
      </c>
      <c r="BS27" s="726">
        <v>5.0226853233862903E-2</v>
      </c>
      <c r="BT27" s="726">
        <v>5.7918697649393724E-2</v>
      </c>
      <c r="BW27" s="1208">
        <f>'2018'!R\Max</f>
        <v>0</v>
      </c>
      <c r="BX27" s="1206">
        <f>'2019'!R\Max</f>
        <v>0.21905105068483169</v>
      </c>
      <c r="BY27" s="1206">
        <f>'2020'!R\Max</f>
        <v>0.59109366859133328</v>
      </c>
      <c r="BZ27" s="1206">
        <f>'2021'!R\Max</f>
        <v>0.56305475880862976</v>
      </c>
      <c r="CA27" s="1206">
        <f>'2022'!R\Max</f>
        <v>0.1993844460942728</v>
      </c>
      <c r="CB27" s="1206">
        <f>'2023'!R\Max</f>
        <v>0.19935739849813314</v>
      </c>
      <c r="CC27" s="1206">
        <f>'2024'!R\Max</f>
        <v>0.19932571926652898</v>
      </c>
      <c r="CD27" s="1206">
        <f>'2025'!R\Max</f>
        <v>0.19929404003492482</v>
      </c>
      <c r="CE27" s="1206">
        <f>'2026'!R\Max</f>
        <v>0.19946128948965908</v>
      </c>
      <c r="CF27" s="1207">
        <f>'2027'!R\Max</f>
        <v>0.19943863728196179</v>
      </c>
    </row>
    <row r="28" spans="1:84" s="6" customFormat="1" ht="11.25" x14ac:dyDescent="0.2">
      <c r="A28" s="11">
        <v>43114</v>
      </c>
      <c r="B28" s="379">
        <f>'2022'!Maxi_hp</f>
        <v>29.847115895042656</v>
      </c>
      <c r="C28" s="13">
        <f>'2022'!An_max</f>
        <v>2022</v>
      </c>
      <c r="D28" s="1053">
        <f t="shared" si="7"/>
        <v>1.0337264061663218</v>
      </c>
      <c r="E28" s="1048"/>
      <c r="F28" s="13">
        <f t="shared" si="23"/>
        <v>3</v>
      </c>
      <c r="G28" s="13">
        <f t="shared" si="24"/>
        <v>2</v>
      </c>
      <c r="H28" s="172">
        <f t="shared" si="8"/>
        <v>43122</v>
      </c>
      <c r="I28" s="753">
        <f t="shared" si="9"/>
        <v>0.5714285714285714</v>
      </c>
      <c r="J28" s="746">
        <f t="shared" si="27"/>
        <v>28.87332249326365</v>
      </c>
      <c r="L28" s="174">
        <f>M28-28</f>
        <v>43051</v>
      </c>
      <c r="M28" s="174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4">
        <f>AN12</f>
        <v>43473</v>
      </c>
      <c r="AB28" s="174">
        <f>AA28+28</f>
        <v>43501</v>
      </c>
      <c r="AO28" s="1046">
        <v>43114</v>
      </c>
      <c r="AP28" s="13">
        <f t="shared" si="11"/>
        <v>3</v>
      </c>
      <c r="AQ28" s="13">
        <f t="shared" si="12"/>
        <v>2</v>
      </c>
      <c r="AR28" s="172">
        <f t="shared" si="13"/>
        <v>43136</v>
      </c>
      <c r="AS28" s="753">
        <f t="shared" si="14"/>
        <v>0.7857142857142857</v>
      </c>
      <c r="AT28" s="769">
        <f t="shared" si="15"/>
        <v>28.749102610722183</v>
      </c>
      <c r="AU28" s="13">
        <f t="shared" si="16"/>
        <v>1</v>
      </c>
      <c r="AV28" s="13">
        <f t="shared" si="17"/>
        <v>2</v>
      </c>
      <c r="AW28" s="172">
        <f t="shared" si="18"/>
        <v>43093</v>
      </c>
      <c r="AX28" s="753">
        <f t="shared" si="19"/>
        <v>0.72413793103448276</v>
      </c>
      <c r="AY28" s="769">
        <f t="shared" si="20"/>
        <v>29.027561537150678</v>
      </c>
      <c r="AZ28" s="746">
        <f t="shared" si="26"/>
        <v>28.888332073936432</v>
      </c>
      <c r="BA28" s="641">
        <f t="shared" si="21"/>
        <v>1.0337264061663218</v>
      </c>
      <c r="BC28" s="11">
        <v>43114</v>
      </c>
      <c r="BD28" s="289">
        <f>[2]!FeuilCaduc*(1-Persistant)+Persistant</f>
        <v>0.60144661446112435</v>
      </c>
      <c r="BE28" s="290">
        <f>[2]!CroissVégét</f>
        <v>9.849992655628797E-4</v>
      </c>
      <c r="BF28" s="819">
        <f>1+[2]!Salcycl*Ksac</f>
        <v>1.0001808268076406</v>
      </c>
      <c r="BH28" s="1044">
        <f t="shared" si="22"/>
        <v>2.4285025706411494E-2</v>
      </c>
      <c r="BI28" s="11">
        <v>44210</v>
      </c>
      <c r="BJ28" s="726">
        <v>1.4773834634015876E-2</v>
      </c>
      <c r="BK28" s="726">
        <v>1.5470962368676209E-2</v>
      </c>
      <c r="BL28" s="726">
        <v>1.6934369146480794E-2</v>
      </c>
      <c r="BM28" s="726">
        <v>1.91822920494155E-2</v>
      </c>
      <c r="BN28" s="726">
        <v>2.2364155174752584E-2</v>
      </c>
      <c r="BO28" s="727">
        <v>2.5956072995790003E-2</v>
      </c>
      <c r="BP28" s="726">
        <v>3.0752127858783649E-2</v>
      </c>
      <c r="BQ28" s="726">
        <v>3.6510353245383501E-2</v>
      </c>
      <c r="BR28" s="726">
        <v>4.3354557231150816E-2</v>
      </c>
      <c r="BS28" s="726">
        <v>5.0658906122829764E-2</v>
      </c>
      <c r="BT28" s="726">
        <v>5.841220990884758E-2</v>
      </c>
      <c r="BW28" s="1208">
        <f>'2018'!R\Max</f>
        <v>0</v>
      </c>
      <c r="BX28" s="1206">
        <f>'2019'!R\Max</f>
        <v>0.24284723914549713</v>
      </c>
      <c r="BY28" s="1206">
        <f>'2020'!R\Max</f>
        <v>0.96368313670411643</v>
      </c>
      <c r="BZ28" s="1206">
        <f>'2021'!R\Max</f>
        <v>0.43330330880112866</v>
      </c>
      <c r="CA28" s="1206">
        <f>'2022'!R\Max</f>
        <v>1.0337264061663218</v>
      </c>
      <c r="CB28" s="1206">
        <f>'2023'!R\Max</f>
        <v>1.0337264061663218</v>
      </c>
      <c r="CC28" s="1206">
        <f>'2024'!R\Max</f>
        <v>1.0337264061663218</v>
      </c>
      <c r="CD28" s="1206">
        <f>'2025'!R\Max</f>
        <v>1.0337264061663216</v>
      </c>
      <c r="CE28" s="1206">
        <f>'2026'!R\Max</f>
        <v>1.0337264061663216</v>
      </c>
      <c r="CF28" s="1207">
        <f>'2027'!R\Max</f>
        <v>1.0337264061663218</v>
      </c>
    </row>
    <row r="29" spans="1:84" s="6" customFormat="1" ht="11.25" x14ac:dyDescent="0.2">
      <c r="A29" s="11">
        <v>43115</v>
      </c>
      <c r="B29" s="379">
        <f>'2022'!Maxi_hp</f>
        <v>30.228551450413256</v>
      </c>
      <c r="C29" s="13">
        <f>'2022'!An_max</f>
        <v>2022</v>
      </c>
      <c r="D29" s="1053">
        <f t="shared" si="7"/>
        <v>1.0365931566084636</v>
      </c>
      <c r="E29" s="1048"/>
      <c r="F29" s="13">
        <f t="shared" si="23"/>
        <v>3</v>
      </c>
      <c r="G29" s="13">
        <f t="shared" si="24"/>
        <v>2</v>
      </c>
      <c r="H29" s="172">
        <f t="shared" si="8"/>
        <v>43122</v>
      </c>
      <c r="I29" s="753">
        <f t="shared" si="9"/>
        <v>0.5</v>
      </c>
      <c r="J29" s="746">
        <f t="shared" si="27"/>
        <v>29.16144222803414</v>
      </c>
      <c r="L29" s="774">
        <f>AJ13</f>
        <v>322.07499999999999</v>
      </c>
      <c r="M29" s="774">
        <f>L13</f>
        <v>256.66899999999998</v>
      </c>
      <c r="N29" s="764">
        <f>N13</f>
        <v>273.51600000000002</v>
      </c>
      <c r="O29" s="764">
        <f>P13</f>
        <v>361.71499999999997</v>
      </c>
      <c r="P29" s="764">
        <f>R13</f>
        <v>463.78800000000001</v>
      </c>
      <c r="Q29" s="764">
        <f>T13</f>
        <v>552.97799999999995</v>
      </c>
      <c r="R29" s="764">
        <f>V13</f>
        <v>598.56399999999996</v>
      </c>
      <c r="S29" s="764">
        <f>X13</f>
        <v>604.51</v>
      </c>
      <c r="T29" s="764">
        <f>Z13</f>
        <v>590.63599999999997</v>
      </c>
      <c r="U29" s="764">
        <f>AB13</f>
        <v>569.82500000000005</v>
      </c>
      <c r="V29" s="764">
        <f>AD13</f>
        <v>542.077</v>
      </c>
      <c r="W29" s="764">
        <f>AF13</f>
        <v>492.52699999999999</v>
      </c>
      <c r="X29" s="764">
        <f>AH13</f>
        <v>412.25599999999997</v>
      </c>
      <c r="Y29" s="764">
        <f>AJ13</f>
        <v>322.07499999999999</v>
      </c>
      <c r="Z29" s="764">
        <f>AL13</f>
        <v>256.66899999999998</v>
      </c>
      <c r="AA29" s="772">
        <f>AN13</f>
        <v>273.51600000000002</v>
      </c>
      <c r="AB29" s="772">
        <f>P13</f>
        <v>361.71499999999997</v>
      </c>
      <c r="AO29" s="1046">
        <v>43115</v>
      </c>
      <c r="AP29" s="13">
        <f t="shared" si="11"/>
        <v>3</v>
      </c>
      <c r="AQ29" s="13">
        <f t="shared" si="12"/>
        <v>2</v>
      </c>
      <c r="AR29" s="172">
        <f t="shared" si="13"/>
        <v>43136</v>
      </c>
      <c r="AS29" s="753">
        <f t="shared" si="14"/>
        <v>0.75</v>
      </c>
      <c r="AT29" s="769">
        <f t="shared" si="15"/>
        <v>29.02715269709006</v>
      </c>
      <c r="AU29" s="13">
        <f t="shared" si="16"/>
        <v>1</v>
      </c>
      <c r="AV29" s="13">
        <f t="shared" si="17"/>
        <v>2</v>
      </c>
      <c r="AW29" s="172">
        <f t="shared" si="18"/>
        <v>43093</v>
      </c>
      <c r="AX29" s="753">
        <f t="shared" si="19"/>
        <v>0.75862068965517238</v>
      </c>
      <c r="AY29" s="769">
        <f t="shared" si="20"/>
        <v>29.305250127819079</v>
      </c>
      <c r="AZ29" s="746">
        <f t="shared" si="26"/>
        <v>29.166201412454569</v>
      </c>
      <c r="BA29" s="641">
        <f t="shared" si="21"/>
        <v>1.0365931566084636</v>
      </c>
      <c r="BC29" s="11">
        <v>43115</v>
      </c>
      <c r="BD29" s="289">
        <f>[2]!FeuilCaduc*(1-Persistant)+Persistant</f>
        <v>0.60127610081626426</v>
      </c>
      <c r="BE29" s="290">
        <f>[2]!CroissVégét</f>
        <v>1.0844891659074879E-3</v>
      </c>
      <c r="BF29" s="819">
        <f>1+[2]!Salcycl*Ksac</f>
        <v>1.0001595126020331</v>
      </c>
      <c r="BH29" s="1044">
        <f t="shared" si="22"/>
        <v>2.4108238322590674E-2</v>
      </c>
      <c r="BI29" s="11">
        <v>44211</v>
      </c>
      <c r="BJ29" s="726">
        <v>1.4635999706297457E-2</v>
      </c>
      <c r="BK29" s="726">
        <v>1.5296543063477028E-2</v>
      </c>
      <c r="BL29" s="726">
        <v>1.6735343603279738E-2</v>
      </c>
      <c r="BM29" s="726">
        <v>1.8970138948716291E-2</v>
      </c>
      <c r="BN29" s="726">
        <v>2.2167966958791096E-2</v>
      </c>
      <c r="BO29" s="727">
        <v>2.5796163224190316E-2</v>
      </c>
      <c r="BP29" s="726">
        <v>3.0728908974223437E-2</v>
      </c>
      <c r="BQ29" s="726">
        <v>3.6667512022283764E-2</v>
      </c>
      <c r="BR29" s="726">
        <v>4.3692349430653032E-2</v>
      </c>
      <c r="BS29" s="726">
        <v>5.1098510352600289E-2</v>
      </c>
      <c r="BT29" s="726">
        <v>5.8916158303756599E-2</v>
      </c>
      <c r="BW29" s="1208">
        <f>'2018'!R\Max</f>
        <v>0</v>
      </c>
      <c r="BX29" s="1206">
        <f>'2019'!R\Max</f>
        <v>1.0038910885292438</v>
      </c>
      <c r="BY29" s="1206">
        <f>'2020'!R\Max</f>
        <v>0.80960388079899281</v>
      </c>
      <c r="BZ29" s="1206">
        <f>'2021'!R\Max</f>
        <v>0.68162881173935308</v>
      </c>
      <c r="CA29" s="1206">
        <f>'2022'!R\Max</f>
        <v>1.0365931566084636</v>
      </c>
      <c r="CB29" s="1206">
        <f>'2023'!R\Max</f>
        <v>1.0365931566084636</v>
      </c>
      <c r="CC29" s="1206">
        <f>'2024'!R\Max</f>
        <v>1.0365931566084639</v>
      </c>
      <c r="CD29" s="1206">
        <f>'2025'!R\Max</f>
        <v>1.0365931566084636</v>
      </c>
      <c r="CE29" s="1206">
        <f>'2026'!R\Max</f>
        <v>1.0365931566084636</v>
      </c>
      <c r="CF29" s="1207">
        <f>'2027'!R\Max</f>
        <v>1.0365931566084636</v>
      </c>
    </row>
    <row r="30" spans="1:84" s="6" customFormat="1" ht="11.25" x14ac:dyDescent="0.2">
      <c r="A30" s="11">
        <v>43116</v>
      </c>
      <c r="B30" s="379">
        <f>'2022'!Maxi_hp</f>
        <v>29.757828642764942</v>
      </c>
      <c r="C30" s="13">
        <f>'2022'!An_max</f>
        <v>2022</v>
      </c>
      <c r="D30" s="1053">
        <f t="shared" si="7"/>
        <v>1.0102265688655998</v>
      </c>
      <c r="E30" s="1048"/>
      <c r="F30" s="13">
        <f t="shared" si="23"/>
        <v>3</v>
      </c>
      <c r="G30" s="13">
        <f t="shared" si="24"/>
        <v>2</v>
      </c>
      <c r="H30" s="172">
        <f t="shared" si="8"/>
        <v>43122</v>
      </c>
      <c r="I30" s="753">
        <f t="shared" si="9"/>
        <v>0.42857142857142855</v>
      </c>
      <c r="J30" s="746">
        <f t="shared" si="27"/>
        <v>29.456588808766433</v>
      </c>
      <c r="L30" s="754" t="s">
        <v>204</v>
      </c>
      <c r="M30" s="784">
        <f t="shared" ref="M30:AA30" si="37">L28</f>
        <v>43051</v>
      </c>
      <c r="N30" s="785">
        <f t="shared" si="37"/>
        <v>43079</v>
      </c>
      <c r="O30" s="736">
        <f t="shared" si="37"/>
        <v>43108</v>
      </c>
      <c r="P30" s="736">
        <f t="shared" si="37"/>
        <v>43136</v>
      </c>
      <c r="Q30" s="736">
        <f t="shared" si="37"/>
        <v>43164</v>
      </c>
      <c r="R30" s="736">
        <f t="shared" si="37"/>
        <v>43192</v>
      </c>
      <c r="S30" s="736">
        <f t="shared" si="37"/>
        <v>43220</v>
      </c>
      <c r="T30" s="736">
        <f t="shared" si="37"/>
        <v>43248</v>
      </c>
      <c r="U30" s="736">
        <f t="shared" si="37"/>
        <v>43276</v>
      </c>
      <c r="V30" s="736">
        <f t="shared" si="37"/>
        <v>43304</v>
      </c>
      <c r="W30" s="736">
        <f t="shared" si="37"/>
        <v>43332</v>
      </c>
      <c r="X30" s="736">
        <f t="shared" si="37"/>
        <v>43360</v>
      </c>
      <c r="Y30" s="736">
        <f t="shared" si="37"/>
        <v>43388</v>
      </c>
      <c r="Z30" s="736">
        <f t="shared" si="37"/>
        <v>43416</v>
      </c>
      <c r="AA30" s="777">
        <f t="shared" si="37"/>
        <v>43444</v>
      </c>
      <c r="AO30" s="1046">
        <v>43116</v>
      </c>
      <c r="AP30" s="13">
        <f t="shared" si="11"/>
        <v>3</v>
      </c>
      <c r="AQ30" s="13">
        <f t="shared" si="12"/>
        <v>2</v>
      </c>
      <c r="AR30" s="172">
        <f t="shared" si="13"/>
        <v>43136</v>
      </c>
      <c r="AS30" s="753">
        <f t="shared" si="14"/>
        <v>0.7142857142857143</v>
      </c>
      <c r="AT30" s="769">
        <f t="shared" si="15"/>
        <v>29.316028062679937</v>
      </c>
      <c r="AU30" s="13">
        <f t="shared" si="16"/>
        <v>1</v>
      </c>
      <c r="AV30" s="13">
        <f t="shared" si="17"/>
        <v>2</v>
      </c>
      <c r="AW30" s="172">
        <f t="shared" si="18"/>
        <v>43093</v>
      </c>
      <c r="AX30" s="753">
        <f t="shared" si="19"/>
        <v>0.7931034482758621</v>
      </c>
      <c r="AY30" s="769">
        <f t="shared" si="20"/>
        <v>29.586592368935715</v>
      </c>
      <c r="AZ30" s="746">
        <f t="shared" si="26"/>
        <v>29.451310215807826</v>
      </c>
      <c r="BA30" s="641">
        <f t="shared" si="21"/>
        <v>1.0102265688655998</v>
      </c>
      <c r="BC30" s="11">
        <v>43116</v>
      </c>
      <c r="BD30" s="289">
        <f>[2]!FeuilCaduc*(1-Persistant)+Persistant</f>
        <v>0.60111480715254595</v>
      </c>
      <c r="BE30" s="290">
        <f>[2]!CroissVégét</f>
        <v>1.1881317966940647E-3</v>
      </c>
      <c r="BF30" s="819">
        <f>1+[2]!Salcycl*Ksac</f>
        <v>1.0001393508940681</v>
      </c>
      <c r="BH30" s="1044">
        <f t="shared" si="22"/>
        <v>2.3903301768352408E-2</v>
      </c>
      <c r="BI30" s="11">
        <v>44212</v>
      </c>
      <c r="BJ30" s="726">
        <v>1.450336181259859E-2</v>
      </c>
      <c r="BK30" s="726">
        <v>1.5130388741520652E-2</v>
      </c>
      <c r="BL30" s="726">
        <v>1.6539168186866859E-2</v>
      </c>
      <c r="BM30" s="726">
        <v>1.8750048370558312E-2</v>
      </c>
      <c r="BN30" s="726">
        <v>2.1948426055966863E-2</v>
      </c>
      <c r="BO30" s="727">
        <v>2.5603931616337297E-2</v>
      </c>
      <c r="BP30" s="726">
        <v>3.0661890737308392E-2</v>
      </c>
      <c r="BQ30" s="726">
        <v>3.6781608967513389E-2</v>
      </c>
      <c r="BR30" s="726">
        <v>4.39914341273073E-2</v>
      </c>
      <c r="BS30" s="726">
        <v>5.1508629107334482E-2</v>
      </c>
      <c r="BT30" s="726">
        <v>5.9390074063847914E-2</v>
      </c>
      <c r="BW30" s="1208">
        <f>'2018'!R\Max</f>
        <v>0</v>
      </c>
      <c r="BX30" s="1206">
        <f>'2019'!R\Max</f>
        <v>1.009191725120512</v>
      </c>
      <c r="BY30" s="1206">
        <f>'2020'!R\Max</f>
        <v>0.87499288533662756</v>
      </c>
      <c r="BZ30" s="1206">
        <f>'2021'!R\Max</f>
        <v>0.66048863374362177</v>
      </c>
      <c r="CA30" s="1206">
        <f>'2022'!R\Max</f>
        <v>1.0102265688655998</v>
      </c>
      <c r="CB30" s="1206">
        <f>'2023'!R\Max</f>
        <v>1.0102265688655996</v>
      </c>
      <c r="CC30" s="1206">
        <f>'2024'!R\Max</f>
        <v>1.0102265688655996</v>
      </c>
      <c r="CD30" s="1206">
        <f>'2025'!R\Max</f>
        <v>1.0102265688655998</v>
      </c>
      <c r="CE30" s="1206">
        <f>'2026'!R\Max</f>
        <v>1.0102265688655994</v>
      </c>
      <c r="CF30" s="1207">
        <f>'2027'!R\Max</f>
        <v>1.0102265688655996</v>
      </c>
    </row>
    <row r="31" spans="1:84" s="6" customFormat="1" ht="11.25" x14ac:dyDescent="0.2">
      <c r="A31" s="11">
        <v>43117</v>
      </c>
      <c r="B31" s="379">
        <f>'2022'!Maxi_hp</f>
        <v>19.2546417129969</v>
      </c>
      <c r="C31" s="13">
        <f>'2022'!An_max</f>
        <v>2022</v>
      </c>
      <c r="D31" s="1053" t="str">
        <f t="shared" si="7"/>
        <v/>
      </c>
      <c r="E31" s="1048"/>
      <c r="F31" s="13">
        <f t="shared" si="23"/>
        <v>3</v>
      </c>
      <c r="G31" s="13">
        <f t="shared" si="24"/>
        <v>2</v>
      </c>
      <c r="H31" s="172">
        <f t="shared" si="8"/>
        <v>43122</v>
      </c>
      <c r="I31" s="753">
        <f t="shared" si="9"/>
        <v>0.35714285714285715</v>
      </c>
      <c r="J31" s="746">
        <f t="shared" si="27"/>
        <v>29.757700950812012</v>
      </c>
      <c r="L31" s="755" t="s">
        <v>205</v>
      </c>
      <c r="M31" s="776">
        <f t="shared" ref="M31:AA31" si="38">L29</f>
        <v>322.07499999999999</v>
      </c>
      <c r="N31" s="780">
        <f t="shared" si="38"/>
        <v>256.66899999999998</v>
      </c>
      <c r="O31" s="742">
        <f t="shared" si="38"/>
        <v>273.51600000000002</v>
      </c>
      <c r="P31" s="742">
        <f t="shared" si="38"/>
        <v>361.71499999999997</v>
      </c>
      <c r="Q31" s="742">
        <f t="shared" si="38"/>
        <v>463.78800000000001</v>
      </c>
      <c r="R31" s="742">
        <f t="shared" si="38"/>
        <v>552.97799999999995</v>
      </c>
      <c r="S31" s="742">
        <f t="shared" si="38"/>
        <v>598.56399999999996</v>
      </c>
      <c r="T31" s="742">
        <f t="shared" si="38"/>
        <v>604.51</v>
      </c>
      <c r="U31" s="742">
        <f t="shared" si="38"/>
        <v>590.63599999999997</v>
      </c>
      <c r="V31" s="742">
        <f t="shared" si="38"/>
        <v>569.82500000000005</v>
      </c>
      <c r="W31" s="742">
        <f t="shared" si="38"/>
        <v>542.077</v>
      </c>
      <c r="X31" s="742">
        <f t="shared" si="38"/>
        <v>492.52699999999999</v>
      </c>
      <c r="Y31" s="742">
        <f t="shared" si="38"/>
        <v>412.25599999999997</v>
      </c>
      <c r="Z31" s="742">
        <f t="shared" si="38"/>
        <v>322.07499999999999</v>
      </c>
      <c r="AA31" s="778">
        <f t="shared" si="38"/>
        <v>256.66899999999998</v>
      </c>
      <c r="AO31" s="1046">
        <v>43117</v>
      </c>
      <c r="AP31" s="13">
        <f t="shared" si="11"/>
        <v>3</v>
      </c>
      <c r="AQ31" s="13">
        <f t="shared" si="12"/>
        <v>2</v>
      </c>
      <c r="AR31" s="172">
        <f t="shared" si="13"/>
        <v>43136</v>
      </c>
      <c r="AS31" s="753">
        <f t="shared" si="14"/>
        <v>0.6785714285714286</v>
      </c>
      <c r="AT31" s="769">
        <f t="shared" si="15"/>
        <v>29.614952509910133</v>
      </c>
      <c r="AU31" s="13">
        <f t="shared" si="16"/>
        <v>1</v>
      </c>
      <c r="AV31" s="13">
        <f t="shared" si="17"/>
        <v>2</v>
      </c>
      <c r="AW31" s="172">
        <f t="shared" si="18"/>
        <v>43093</v>
      </c>
      <c r="AX31" s="753">
        <f t="shared" si="19"/>
        <v>0.82758620689655171</v>
      </c>
      <c r="AY31" s="769">
        <f t="shared" si="20"/>
        <v>29.870949467913857</v>
      </c>
      <c r="AZ31" s="746">
        <f t="shared" si="26"/>
        <v>29.742950988911993</v>
      </c>
      <c r="BA31" s="641">
        <f t="shared" si="21"/>
        <v>0.64704735573570882</v>
      </c>
      <c r="BC31" s="11">
        <v>43117</v>
      </c>
      <c r="BD31" s="289">
        <f>[2]!FeuilCaduc*(1-Persistant)+Persistant</f>
        <v>0.60096300793964963</v>
      </c>
      <c r="BE31" s="290">
        <f>[2]!CroissVégét</f>
        <v>1.2960995754023115E-3</v>
      </c>
      <c r="BF31" s="819">
        <f>1+[2]!Salcycl*Ksac</f>
        <v>1.0001203759924562</v>
      </c>
      <c r="BH31" s="1044">
        <f t="shared" si="22"/>
        <v>2.3682259725828027E-2</v>
      </c>
      <c r="BI31" s="11">
        <v>44213</v>
      </c>
      <c r="BJ31" s="726">
        <v>1.4379390730233449E-2</v>
      </c>
      <c r="BK31" s="726">
        <v>1.4978233271144177E-2</v>
      </c>
      <c r="BL31" s="726">
        <v>1.6353994844018737E-2</v>
      </c>
      <c r="BM31" s="726">
        <v>1.8532681624414918E-2</v>
      </c>
      <c r="BN31" s="726">
        <v>2.171750919263685E-2</v>
      </c>
      <c r="BO31" s="727">
        <v>2.5391480102049141E-2</v>
      </c>
      <c r="BP31" s="726">
        <v>3.0556398220576597E-2</v>
      </c>
      <c r="BQ31" s="726">
        <v>3.6850444779735647E-2</v>
      </c>
      <c r="BR31" s="726">
        <v>4.4241598511081004E-2</v>
      </c>
      <c r="BS31" s="726">
        <v>5.1875413314644993E-2</v>
      </c>
      <c r="BT31" s="726">
        <v>5.9815749855555822E-2</v>
      </c>
      <c r="BW31" s="1208">
        <f>'2018'!R\Max</f>
        <v>0</v>
      </c>
      <c r="BX31" s="1206">
        <f>'2019'!R\Max</f>
        <v>0.33809852307573024</v>
      </c>
      <c r="BY31" s="1206">
        <f>'2020'!R\Max</f>
        <v>0.13779859235559769</v>
      </c>
      <c r="BZ31" s="1206">
        <f>'2021'!R\Max</f>
        <v>0.22467131849446548</v>
      </c>
      <c r="CA31" s="1206">
        <f>'2022'!R\Max</f>
        <v>0.64704735573570882</v>
      </c>
      <c r="CB31" s="1206">
        <f>'2023'!R\Max</f>
        <v>0.64700022069634999</v>
      </c>
      <c r="CC31" s="1206">
        <f>'2024'!R\Max</f>
        <v>0.64694420755232152</v>
      </c>
      <c r="CD31" s="1206">
        <f>'2025'!R\Max</f>
        <v>0.64688818486848088</v>
      </c>
      <c r="CE31" s="1206">
        <f>'2026'!R\Max</f>
        <v>0.64717953636706327</v>
      </c>
      <c r="CF31" s="1207">
        <f>'2027'!R\Max</f>
        <v>0.64714154704900317</v>
      </c>
    </row>
    <row r="32" spans="1:84" s="6" customFormat="1" ht="11.25" x14ac:dyDescent="0.2">
      <c r="A32" s="11">
        <v>43118</v>
      </c>
      <c r="B32" s="379">
        <f>'2022'!Maxi_hp</f>
        <v>29.889326692258766</v>
      </c>
      <c r="C32" s="13">
        <f>'2022'!An_max</f>
        <v>2021</v>
      </c>
      <c r="D32" s="1053">
        <f t="shared" si="7"/>
        <v>0.99419929774156102</v>
      </c>
      <c r="E32" s="1048"/>
      <c r="F32" s="13">
        <f t="shared" si="23"/>
        <v>3</v>
      </c>
      <c r="G32" s="13">
        <f t="shared" si="24"/>
        <v>2</v>
      </c>
      <c r="H32" s="172">
        <f t="shared" si="8"/>
        <v>43122</v>
      </c>
      <c r="I32" s="753">
        <f t="shared" si="9"/>
        <v>0.2857142857142857</v>
      </c>
      <c r="J32" s="746">
        <f t="shared" si="27"/>
        <v>30.063717365477764</v>
      </c>
      <c r="L32" s="755" t="s">
        <v>206</v>
      </c>
      <c r="M32" s="787">
        <f t="shared" ref="M32:AA32" si="39">M28</f>
        <v>43079</v>
      </c>
      <c r="N32" s="737">
        <f t="shared" si="39"/>
        <v>43108</v>
      </c>
      <c r="O32" s="737">
        <f t="shared" si="39"/>
        <v>43136</v>
      </c>
      <c r="P32" s="737">
        <f t="shared" si="39"/>
        <v>43164</v>
      </c>
      <c r="Q32" s="737">
        <f t="shared" si="39"/>
        <v>43192</v>
      </c>
      <c r="R32" s="737">
        <f t="shared" si="39"/>
        <v>43220</v>
      </c>
      <c r="S32" s="737">
        <f t="shared" si="39"/>
        <v>43248</v>
      </c>
      <c r="T32" s="737">
        <f t="shared" si="39"/>
        <v>43276</v>
      </c>
      <c r="U32" s="737">
        <f t="shared" si="39"/>
        <v>43304</v>
      </c>
      <c r="V32" s="737">
        <f t="shared" si="39"/>
        <v>43332</v>
      </c>
      <c r="W32" s="737">
        <f t="shared" si="39"/>
        <v>43360</v>
      </c>
      <c r="X32" s="737">
        <f t="shared" si="39"/>
        <v>43388</v>
      </c>
      <c r="Y32" s="737">
        <f t="shared" si="39"/>
        <v>43416</v>
      </c>
      <c r="Z32" s="779">
        <f t="shared" si="39"/>
        <v>43444</v>
      </c>
      <c r="AA32" s="786">
        <f t="shared" si="39"/>
        <v>43473</v>
      </c>
      <c r="AO32" s="1046">
        <v>43118</v>
      </c>
      <c r="AP32" s="13">
        <f t="shared" si="11"/>
        <v>3</v>
      </c>
      <c r="AQ32" s="13">
        <f t="shared" si="12"/>
        <v>2</v>
      </c>
      <c r="AR32" s="172">
        <f t="shared" si="13"/>
        <v>43136</v>
      </c>
      <c r="AS32" s="753">
        <f t="shared" si="14"/>
        <v>0.6428571428571429</v>
      </c>
      <c r="AT32" s="769">
        <f t="shared" si="15"/>
        <v>29.923149841717837</v>
      </c>
      <c r="AU32" s="13">
        <f t="shared" si="16"/>
        <v>1</v>
      </c>
      <c r="AV32" s="13">
        <f t="shared" si="17"/>
        <v>2</v>
      </c>
      <c r="AW32" s="172">
        <f t="shared" si="18"/>
        <v>43093</v>
      </c>
      <c r="AX32" s="753">
        <f t="shared" si="19"/>
        <v>0.86206896551724133</v>
      </c>
      <c r="AY32" s="769">
        <f t="shared" si="20"/>
        <v>30.157682629237918</v>
      </c>
      <c r="AZ32" s="746">
        <f t="shared" si="26"/>
        <v>30.040416235477878</v>
      </c>
      <c r="BA32" s="641">
        <f t="shared" si="21"/>
        <v>0.99419929774156102</v>
      </c>
      <c r="BC32" s="11">
        <v>43118</v>
      </c>
      <c r="BD32" s="289">
        <f>[2]!FeuilCaduc*(1-Persistant)+Persistant</f>
        <v>0.60082102964158302</v>
      </c>
      <c r="BE32" s="290">
        <f>[2]!CroissVégét</f>
        <v>1.4085719996856784E-3</v>
      </c>
      <c r="BF32" s="819">
        <f>1+[2]!Salcycl*Ksac</f>
        <v>1.0001026287051979</v>
      </c>
      <c r="BH32" s="1044">
        <f t="shared" si="22"/>
        <v>2.3445059581898391E-2</v>
      </c>
      <c r="BI32" s="11">
        <v>44214</v>
      </c>
      <c r="BJ32" s="726">
        <v>1.426406969340596E-2</v>
      </c>
      <c r="BK32" s="726">
        <v>1.4840065644429551E-2</v>
      </c>
      <c r="BL32" s="726">
        <v>1.6179809560187261E-2</v>
      </c>
      <c r="BM32" s="726">
        <v>1.831801500397711E-2</v>
      </c>
      <c r="BN32" s="726">
        <v>2.1475173674250655E-2</v>
      </c>
      <c r="BO32" s="727">
        <v>2.5158747439620283E-2</v>
      </c>
      <c r="BP32" s="726">
        <v>3.0412331590403487E-2</v>
      </c>
      <c r="BQ32" s="726">
        <v>3.6873882069967445E-2</v>
      </c>
      <c r="BR32" s="726">
        <v>4.4442667003884946E-2</v>
      </c>
      <c r="BS32" s="726">
        <v>5.2198662619924591E-2</v>
      </c>
      <c r="BT32" s="726">
        <v>6.0192955914367297E-2</v>
      </c>
      <c r="BW32" s="1208">
        <f>'2018'!R\Max</f>
        <v>0</v>
      </c>
      <c r="BX32" s="1206">
        <f>'2019'!R\Max</f>
        <v>0.47585933004142322</v>
      </c>
      <c r="BY32" s="1206">
        <f>'2020'!R\Max</f>
        <v>0.68450803398929749</v>
      </c>
      <c r="BZ32" s="1206">
        <f>'2021'!R\Max</f>
        <v>0.99419929774156102</v>
      </c>
      <c r="CA32" s="1206">
        <f>'2022'!R\Max</f>
        <v>0.13549100054778881</v>
      </c>
      <c r="CB32" s="1206">
        <f>'2023'!R\Max</f>
        <v>0.13547126810122925</v>
      </c>
      <c r="CC32" s="1206">
        <f>'2024'!R\Max</f>
        <v>0.1354476360630861</v>
      </c>
      <c r="CD32" s="1206">
        <f>'2025'!R\Max</f>
        <v>0.1354240040249429</v>
      </c>
      <c r="CE32" s="1206">
        <f>'2026'!R\Max</f>
        <v>0.13554616180832521</v>
      </c>
      <c r="CF32" s="1207">
        <f>'2027'!R\Max</f>
        <v>0.1355303890035981</v>
      </c>
    </row>
    <row r="33" spans="1:84" s="6" customFormat="1" ht="11.25" x14ac:dyDescent="0.2">
      <c r="A33" s="11">
        <v>43119</v>
      </c>
      <c r="B33" s="379">
        <f>'2022'!Maxi_hp</f>
        <v>31.224540909778487</v>
      </c>
      <c r="C33" s="13">
        <f>'2022'!An_max</f>
        <v>2021</v>
      </c>
      <c r="D33" s="1053">
        <f t="shared" si="7"/>
        <v>1.0280165931964909</v>
      </c>
      <c r="E33" s="1048"/>
      <c r="F33" s="13">
        <f t="shared" si="23"/>
        <v>3</v>
      </c>
      <c r="G33" s="13">
        <f t="shared" si="24"/>
        <v>2</v>
      </c>
      <c r="H33" s="172">
        <f t="shared" si="8"/>
        <v>43122</v>
      </c>
      <c r="I33" s="753">
        <f t="shared" si="9"/>
        <v>0.21428571428571427</v>
      </c>
      <c r="J33" s="746">
        <f t="shared" si="27"/>
        <v>30.373576765613894</v>
      </c>
      <c r="L33" s="755" t="s">
        <v>207</v>
      </c>
      <c r="M33" s="780">
        <f t="shared" ref="M33:AA33" si="40">M29</f>
        <v>256.66899999999998</v>
      </c>
      <c r="N33" s="743">
        <f t="shared" si="40"/>
        <v>273.51600000000002</v>
      </c>
      <c r="O33" s="743">
        <f t="shared" si="40"/>
        <v>361.71499999999997</v>
      </c>
      <c r="P33" s="743">
        <f t="shared" si="40"/>
        <v>463.78800000000001</v>
      </c>
      <c r="Q33" s="743">
        <f t="shared" si="40"/>
        <v>552.97799999999995</v>
      </c>
      <c r="R33" s="743">
        <f t="shared" si="40"/>
        <v>598.56399999999996</v>
      </c>
      <c r="S33" s="743">
        <f t="shared" si="40"/>
        <v>604.51</v>
      </c>
      <c r="T33" s="743">
        <f t="shared" si="40"/>
        <v>590.63599999999997</v>
      </c>
      <c r="U33" s="743">
        <f t="shared" si="40"/>
        <v>569.82500000000005</v>
      </c>
      <c r="V33" s="743">
        <f t="shared" si="40"/>
        <v>542.077</v>
      </c>
      <c r="W33" s="743">
        <f t="shared" si="40"/>
        <v>492.52699999999999</v>
      </c>
      <c r="X33" s="743">
        <f t="shared" si="40"/>
        <v>412.25599999999997</v>
      </c>
      <c r="Y33" s="743">
        <f t="shared" si="40"/>
        <v>322.07499999999999</v>
      </c>
      <c r="Z33" s="778">
        <f t="shared" si="40"/>
        <v>256.66899999999998</v>
      </c>
      <c r="AA33" s="776">
        <f t="shared" si="40"/>
        <v>273.51600000000002</v>
      </c>
      <c r="AO33" s="1046">
        <v>43119</v>
      </c>
      <c r="AP33" s="13">
        <f t="shared" si="11"/>
        <v>3</v>
      </c>
      <c r="AQ33" s="13">
        <f t="shared" si="12"/>
        <v>2</v>
      </c>
      <c r="AR33" s="172">
        <f t="shared" si="13"/>
        <v>43136</v>
      </c>
      <c r="AS33" s="753">
        <f t="shared" si="14"/>
        <v>0.6071428571428571</v>
      </c>
      <c r="AT33" s="769">
        <f t="shared" si="15"/>
        <v>30.239843860541338</v>
      </c>
      <c r="AU33" s="13">
        <f t="shared" si="16"/>
        <v>1</v>
      </c>
      <c r="AV33" s="13">
        <f t="shared" si="17"/>
        <v>2</v>
      </c>
      <c r="AW33" s="172">
        <f t="shared" si="18"/>
        <v>43093</v>
      </c>
      <c r="AX33" s="753">
        <f t="shared" si="19"/>
        <v>0.89655172413793105</v>
      </c>
      <c r="AY33" s="769">
        <f t="shared" si="20"/>
        <v>30.446153057135383</v>
      </c>
      <c r="AZ33" s="746">
        <f t="shared" si="26"/>
        <v>30.342998458838359</v>
      </c>
      <c r="BA33" s="641">
        <f t="shared" si="21"/>
        <v>1.0280165931964909</v>
      </c>
      <c r="BC33" s="11">
        <v>43119</v>
      </c>
      <c r="BD33" s="289">
        <f>[2]!FeuilCaduc*(1-Persistant)+Persistant</f>
        <v>0.60068923385957229</v>
      </c>
      <c r="BE33" s="290">
        <f>[2]!CroissVégét</f>
        <v>1.5257359314074395E-3</v>
      </c>
      <c r="BF33" s="819">
        <f>1+[2]!Salcycl*Ksac</f>
        <v>1.0000861542324466</v>
      </c>
      <c r="BH33" s="1044">
        <f t="shared" si="22"/>
        <v>2.3191654052152278E-2</v>
      </c>
      <c r="BI33" s="11">
        <v>44215</v>
      </c>
      <c r="BJ33" s="726">
        <v>1.415738142359476E-2</v>
      </c>
      <c r="BK33" s="726">
        <v>1.471587356758928E-2</v>
      </c>
      <c r="BL33" s="726">
        <v>1.6016597954065005E-2</v>
      </c>
      <c r="BM33" s="726">
        <v>1.81060263884943E-2</v>
      </c>
      <c r="BN33" s="726">
        <v>2.1221381304933281E-2</v>
      </c>
      <c r="BO33" s="727">
        <v>2.4905678438133794E-2</v>
      </c>
      <c r="BP33" s="726">
        <v>3.0229599584802629E-2</v>
      </c>
      <c r="BQ33" s="726">
        <v>3.6851791596903188E-2</v>
      </c>
      <c r="BR33" s="726">
        <v>4.4594471059839831E-2</v>
      </c>
      <c r="BS33" s="726">
        <v>5.2478181405863154E-2</v>
      </c>
      <c r="BT33" s="726">
        <v>6.0521467569190059E-2</v>
      </c>
      <c r="BW33" s="1208">
        <f>'2018'!R\Max</f>
        <v>0</v>
      </c>
      <c r="BX33" s="1206">
        <f>'2019'!R\Max</f>
        <v>0.62087729086589094</v>
      </c>
      <c r="BY33" s="1206">
        <f>'2020'!R\Max</f>
        <v>0.84158361841903706</v>
      </c>
      <c r="BZ33" s="1206">
        <f>'2021'!R\Max</f>
        <v>1.0280165931964909</v>
      </c>
      <c r="CA33" s="1206">
        <f>'2022'!R\Max</f>
        <v>0.41932107129676727</v>
      </c>
      <c r="CB33" s="1206">
        <f>'2023'!R\Max</f>
        <v>0.41927019654094005</v>
      </c>
      <c r="CC33" s="1206">
        <f>'2024'!R\Max</f>
        <v>0.41920867414266422</v>
      </c>
      <c r="CD33" s="1206">
        <f>'2025'!R\Max</f>
        <v>0.41914714803006475</v>
      </c>
      <c r="CE33" s="1206">
        <f>'2026'!R\Max</f>
        <v>0.41946277765363993</v>
      </c>
      <c r="CF33" s="1207">
        <f>'2027'!R\Max</f>
        <v>0.41942245205426371</v>
      </c>
    </row>
    <row r="34" spans="1:84" s="6" customFormat="1" ht="11.25" x14ac:dyDescent="0.2">
      <c r="A34" s="11">
        <v>43120</v>
      </c>
      <c r="B34" s="379">
        <f>'2022'!Maxi_hp</f>
        <v>10.158617938876899</v>
      </c>
      <c r="C34" s="13">
        <f>'2022'!An_max</f>
        <v>2020</v>
      </c>
      <c r="D34" s="1053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2">
        <f t="shared" si="8"/>
        <v>43122</v>
      </c>
      <c r="I34" s="753">
        <f t="shared" si="9"/>
        <v>0.14285714285714285</v>
      </c>
      <c r="J34" s="746">
        <f t="shared" si="27"/>
        <v>30.686217862793381</v>
      </c>
      <c r="L34" s="755" t="s">
        <v>208</v>
      </c>
      <c r="M34" s="782">
        <f t="shared" ref="M34:AA34" si="41">N28</f>
        <v>43108</v>
      </c>
      <c r="N34" s="738">
        <f t="shared" si="41"/>
        <v>43136</v>
      </c>
      <c r="O34" s="738">
        <f t="shared" si="41"/>
        <v>43164</v>
      </c>
      <c r="P34" s="738">
        <f t="shared" si="41"/>
        <v>43192</v>
      </c>
      <c r="Q34" s="738">
        <f t="shared" si="41"/>
        <v>43220</v>
      </c>
      <c r="R34" s="738">
        <f t="shared" si="41"/>
        <v>43248</v>
      </c>
      <c r="S34" s="738">
        <f t="shared" si="41"/>
        <v>43276</v>
      </c>
      <c r="T34" s="738">
        <f t="shared" si="41"/>
        <v>43304</v>
      </c>
      <c r="U34" s="738">
        <f t="shared" si="41"/>
        <v>43332</v>
      </c>
      <c r="V34" s="738">
        <f t="shared" si="41"/>
        <v>43360</v>
      </c>
      <c r="W34" s="738">
        <f t="shared" si="41"/>
        <v>43388</v>
      </c>
      <c r="X34" s="738">
        <f t="shared" si="41"/>
        <v>43416</v>
      </c>
      <c r="Y34" s="738">
        <f t="shared" si="41"/>
        <v>43444</v>
      </c>
      <c r="Z34" s="788">
        <f t="shared" si="41"/>
        <v>43473</v>
      </c>
      <c r="AA34" s="786">
        <f t="shared" si="41"/>
        <v>43501</v>
      </c>
      <c r="AO34" s="1046">
        <v>43120</v>
      </c>
      <c r="AP34" s="13">
        <f t="shared" si="11"/>
        <v>3</v>
      </c>
      <c r="AQ34" s="13">
        <f t="shared" si="12"/>
        <v>2</v>
      </c>
      <c r="AR34" s="172">
        <f t="shared" si="13"/>
        <v>43136</v>
      </c>
      <c r="AS34" s="753">
        <f t="shared" si="14"/>
        <v>0.5714285714285714</v>
      </c>
      <c r="AT34" s="769">
        <f t="shared" si="15"/>
        <v>30.564258369750213</v>
      </c>
      <c r="AU34" s="13">
        <f t="shared" si="16"/>
        <v>1</v>
      </c>
      <c r="AV34" s="13">
        <f t="shared" si="17"/>
        <v>2</v>
      </c>
      <c r="AW34" s="172">
        <f t="shared" si="18"/>
        <v>43093</v>
      </c>
      <c r="AX34" s="753">
        <f t="shared" si="19"/>
        <v>0.93103448275862066</v>
      </c>
      <c r="AY34" s="769">
        <f t="shared" si="20"/>
        <v>30.735721957323882</v>
      </c>
      <c r="AZ34" s="746">
        <f t="shared" si="26"/>
        <v>30.649990163537048</v>
      </c>
      <c r="BA34" s="641">
        <f t="shared" si="21"/>
        <v>0.33104822446020904</v>
      </c>
      <c r="BC34" s="11">
        <v>43120</v>
      </c>
      <c r="BD34" s="289">
        <f>[2]!FeuilCaduc*(1-Persistant)+Persistant</f>
        <v>0.60056800106036667</v>
      </c>
      <c r="BE34" s="290">
        <f>[2]!CroissVégét</f>
        <v>1.6477858914927391E-3</v>
      </c>
      <c r="BF34" s="819">
        <f>1+[2]!Salcycl*Ksac</f>
        <v>1.0000710001325459</v>
      </c>
      <c r="BH34" s="1044">
        <f t="shared" si="22"/>
        <v>2.2922129425037928E-2</v>
      </c>
      <c r="BI34" s="11">
        <v>44216</v>
      </c>
      <c r="BJ34" s="726">
        <v>1.4059386318318953E-2</v>
      </c>
      <c r="BK34" s="726">
        <v>1.4605724560917086E-2</v>
      </c>
      <c r="BL34" s="726">
        <v>1.5864433472940111E-2</v>
      </c>
      <c r="BM34" s="726">
        <v>1.7896794982313682E-2</v>
      </c>
      <c r="BN34" s="726">
        <v>2.0956215547302325E-2</v>
      </c>
      <c r="BO34" s="727">
        <v>2.4632361844348638E-2</v>
      </c>
      <c r="BP34" s="726">
        <v>3.0008287847677593E-2</v>
      </c>
      <c r="BQ34" s="726">
        <v>3.6784258567036897E-2</v>
      </c>
      <c r="BR34" s="726">
        <v>4.4697099692508471E-2</v>
      </c>
      <c r="BS34" s="726">
        <v>5.2714073891782613E-2</v>
      </c>
      <c r="BT34" s="726">
        <v>6.0801405571308205E-2</v>
      </c>
      <c r="BW34" s="1208">
        <f>'2018'!R\Max</f>
        <v>0</v>
      </c>
      <c r="BX34" s="1206">
        <f>'2019'!R\Max</f>
        <v>0.25119852598891984</v>
      </c>
      <c r="BY34" s="1206">
        <f>'2020'!R\Max</f>
        <v>0.33104822446020904</v>
      </c>
      <c r="BZ34" s="1206">
        <f>'2021'!R\Max</f>
        <v>0.22128492385269263</v>
      </c>
      <c r="CA34" s="1206">
        <f>'2022'!R\Max</f>
        <v>0.1933028523613623</v>
      </c>
      <c r="CB34" s="1206">
        <f>'2023'!R\Max</f>
        <v>0.19327454116137538</v>
      </c>
      <c r="CC34" s="1206">
        <f>'2024'!R\Max</f>
        <v>0.19323991702382043</v>
      </c>
      <c r="CD34" s="1206">
        <f>'2025'!R\Max</f>
        <v>0.19320529288626548</v>
      </c>
      <c r="CE34" s="1206">
        <f>'2026'!R\Max</f>
        <v>0.19338143226769308</v>
      </c>
      <c r="CF34" s="1207">
        <f>'2027'!R\Max</f>
        <v>0.19335916547626691</v>
      </c>
    </row>
    <row r="35" spans="1:84" s="6" customFormat="1" ht="11.25" x14ac:dyDescent="0.2">
      <c r="A35" s="11">
        <v>43121</v>
      </c>
      <c r="B35" s="379">
        <f>'2022'!Maxi_hp</f>
        <v>20.344723444640852</v>
      </c>
      <c r="C35" s="13">
        <f>'2022'!An_max</f>
        <v>2022</v>
      </c>
      <c r="D35" s="1053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2">
        <f t="shared" si="8"/>
        <v>43122</v>
      </c>
      <c r="I35" s="753">
        <f t="shared" si="9"/>
        <v>7.1428571428571425E-2</v>
      </c>
      <c r="J35" s="746">
        <f t="shared" si="27"/>
        <v>31.000579370451824</v>
      </c>
      <c r="L35" s="755" t="s">
        <v>209</v>
      </c>
      <c r="M35" s="783">
        <f t="shared" ref="M35:AA35" si="42">N29</f>
        <v>273.51600000000002</v>
      </c>
      <c r="N35" s="743">
        <f t="shared" si="42"/>
        <v>361.71499999999997</v>
      </c>
      <c r="O35" s="743">
        <f t="shared" si="42"/>
        <v>463.78800000000001</v>
      </c>
      <c r="P35" s="743">
        <f t="shared" si="42"/>
        <v>552.97799999999995</v>
      </c>
      <c r="Q35" s="743">
        <f t="shared" si="42"/>
        <v>598.56399999999996</v>
      </c>
      <c r="R35" s="743">
        <f t="shared" si="42"/>
        <v>604.51</v>
      </c>
      <c r="S35" s="743">
        <f t="shared" si="42"/>
        <v>590.63599999999997</v>
      </c>
      <c r="T35" s="743">
        <f t="shared" si="42"/>
        <v>569.82500000000005</v>
      </c>
      <c r="U35" s="743">
        <f t="shared" si="42"/>
        <v>542.077</v>
      </c>
      <c r="V35" s="743">
        <f t="shared" si="42"/>
        <v>492.52699999999999</v>
      </c>
      <c r="W35" s="743">
        <f t="shared" si="42"/>
        <v>412.25599999999997</v>
      </c>
      <c r="X35" s="743">
        <f t="shared" si="42"/>
        <v>322.07499999999999</v>
      </c>
      <c r="Y35" s="743">
        <f t="shared" si="42"/>
        <v>256.66899999999998</v>
      </c>
      <c r="Z35" s="789">
        <f t="shared" si="42"/>
        <v>273.51600000000002</v>
      </c>
      <c r="AA35" s="776">
        <f t="shared" si="42"/>
        <v>361.71499999999997</v>
      </c>
      <c r="AO35" s="1046">
        <v>43121</v>
      </c>
      <c r="AP35" s="13">
        <f t="shared" si="11"/>
        <v>3</v>
      </c>
      <c r="AQ35" s="13">
        <f t="shared" si="12"/>
        <v>2</v>
      </c>
      <c r="AR35" s="172">
        <f t="shared" si="13"/>
        <v>43136</v>
      </c>
      <c r="AS35" s="753">
        <f t="shared" si="14"/>
        <v>0.5357142857142857</v>
      </c>
      <c r="AT35" s="769">
        <f t="shared" si="15"/>
        <v>30.895617170166226</v>
      </c>
      <c r="AU35" s="13">
        <f t="shared" si="16"/>
        <v>1</v>
      </c>
      <c r="AV35" s="13">
        <f t="shared" si="17"/>
        <v>2</v>
      </c>
      <c r="AW35" s="172">
        <f t="shared" si="18"/>
        <v>43093</v>
      </c>
      <c r="AX35" s="753">
        <f t="shared" si="19"/>
        <v>0.96551724137931039</v>
      </c>
      <c r="AY35" s="769">
        <f t="shared" si="20"/>
        <v>31.025750537524964</v>
      </c>
      <c r="AZ35" s="746">
        <f t="shared" si="26"/>
        <v>30.960683853845595</v>
      </c>
      <c r="BA35" s="641">
        <f t="shared" si="21"/>
        <v>0.65626913618370653</v>
      </c>
      <c r="BC35" s="11">
        <v>43121</v>
      </c>
      <c r="BD35" s="289">
        <f>[2]!FeuilCaduc*(1-Persistant)+Persistant</f>
        <v>0.60045771504746426</v>
      </c>
      <c r="BE35" s="290">
        <f>[2]!CroissVégét</f>
        <v>1.7749243659651206E-3</v>
      </c>
      <c r="BF35" s="819">
        <f>1+[2]!Salcycl*Ksac</f>
        <v>1.000057214380933</v>
      </c>
      <c r="BH35" s="1044">
        <f t="shared" si="22"/>
        <v>2.2636628755705233E-2</v>
      </c>
      <c r="BI35" s="11">
        <v>44217</v>
      </c>
      <c r="BJ35" s="726">
        <v>1.3970177004492801E-2</v>
      </c>
      <c r="BK35" s="726">
        <v>1.4509718536248193E-2</v>
      </c>
      <c r="BL35" s="726">
        <v>1.5723425077592376E-2</v>
      </c>
      <c r="BM35" s="726">
        <v>1.7690441369409195E-2</v>
      </c>
      <c r="BN35" s="726">
        <v>2.0679810835942943E-2</v>
      </c>
      <c r="BO35" s="727">
        <v>2.4338948212812045E-2</v>
      </c>
      <c r="BP35" s="726">
        <v>2.9748561655004682E-2</v>
      </c>
      <c r="BQ35" s="726">
        <v>3.6671468456375908E-2</v>
      </c>
      <c r="BR35" s="726">
        <v>4.4750765319786168E-2</v>
      </c>
      <c r="BS35" s="726">
        <v>5.2906588761878072E-2</v>
      </c>
      <c r="BT35" s="726">
        <v>6.1033057079902982E-2</v>
      </c>
      <c r="BW35" s="1208">
        <f>'2018'!R\Max</f>
        <v>0</v>
      </c>
      <c r="BX35" s="1206">
        <f>'2019'!R\Max</f>
        <v>0.35935928005942247</v>
      </c>
      <c r="BY35" s="1206">
        <f>'2020'!R\Max</f>
        <v>0.11757218982974368</v>
      </c>
      <c r="BZ35" s="1206">
        <f>'2021'!R\Max</f>
        <v>0.43975564487594077</v>
      </c>
      <c r="CA35" s="1206">
        <f>'2022'!R\Max</f>
        <v>0.65626913618370653</v>
      </c>
      <c r="CB35" s="1206">
        <f>'2023'!R\Max</f>
        <v>0.65622203427427372</v>
      </c>
      <c r="CC35" s="1206">
        <f>'2024'!R\Max</f>
        <v>0.65616366760830225</v>
      </c>
      <c r="CD35" s="1206">
        <f>'2025'!R\Max</f>
        <v>0.65610529017702923</v>
      </c>
      <c r="CE35" s="1206">
        <f>'2026'!R\Max</f>
        <v>0.65639934243205211</v>
      </c>
      <c r="CF35" s="1207">
        <f>'2027'!R\Max</f>
        <v>0.6563625955082808</v>
      </c>
    </row>
    <row r="36" spans="1:84" s="6" customFormat="1" ht="11.25" x14ac:dyDescent="0.2">
      <c r="A36" s="11">
        <v>43122</v>
      </c>
      <c r="B36" s="379">
        <f>'2022'!Maxi_hp</f>
        <v>31.443251036621696</v>
      </c>
      <c r="C36" s="13">
        <f>'2022'!An_max</f>
        <v>2022</v>
      </c>
      <c r="D36" s="1053">
        <f t="shared" si="7"/>
        <v>1.0040762762424644</v>
      </c>
      <c r="E36" s="1048">
        <f>O$13/10</f>
        <v>31.3156</v>
      </c>
      <c r="F36" s="13">
        <f t="shared" si="23"/>
        <v>3</v>
      </c>
      <c r="G36" s="13">
        <f t="shared" si="24"/>
        <v>4</v>
      </c>
      <c r="H36" s="172">
        <f t="shared" si="8"/>
        <v>43122</v>
      </c>
      <c r="I36" s="753">
        <f t="shared" si="9"/>
        <v>0</v>
      </c>
      <c r="J36" s="746">
        <f t="shared" si="27"/>
        <v>31.315600000321865</v>
      </c>
      <c r="L36" s="756" t="s">
        <v>210</v>
      </c>
      <c r="M36" s="740">
        <f t="shared" ref="M36:AA36" si="43">x.1lg*x.1lg-x.2lg*x.2lg</f>
        <v>-2411640</v>
      </c>
      <c r="N36" s="740">
        <f t="shared" si="43"/>
        <v>-2499423</v>
      </c>
      <c r="O36" s="740">
        <f t="shared" si="43"/>
        <v>-2414832</v>
      </c>
      <c r="P36" s="740">
        <f t="shared" si="43"/>
        <v>-2416400</v>
      </c>
      <c r="Q36" s="740">
        <f t="shared" si="43"/>
        <v>-2417968</v>
      </c>
      <c r="R36" s="740">
        <f t="shared" si="43"/>
        <v>-2419536</v>
      </c>
      <c r="S36" s="740">
        <f t="shared" si="43"/>
        <v>-2421104</v>
      </c>
      <c r="T36" s="740">
        <f t="shared" si="43"/>
        <v>-2422672</v>
      </c>
      <c r="U36" s="740">
        <f t="shared" si="43"/>
        <v>-2424240</v>
      </c>
      <c r="V36" s="740">
        <f t="shared" si="43"/>
        <v>-2425808</v>
      </c>
      <c r="W36" s="740">
        <f t="shared" si="43"/>
        <v>-2427376</v>
      </c>
      <c r="X36" s="740">
        <f t="shared" si="43"/>
        <v>-2428944</v>
      </c>
      <c r="Y36" s="740">
        <f t="shared" si="43"/>
        <v>-2430512</v>
      </c>
      <c r="Z36" s="740">
        <f t="shared" si="43"/>
        <v>-2432080</v>
      </c>
      <c r="AA36" s="740">
        <f t="shared" si="43"/>
        <v>-2520593</v>
      </c>
      <c r="AO36" s="1046">
        <v>43122</v>
      </c>
      <c r="AP36" s="13">
        <f t="shared" si="11"/>
        <v>3</v>
      </c>
      <c r="AQ36" s="13">
        <f t="shared" si="12"/>
        <v>2</v>
      </c>
      <c r="AR36" s="172">
        <f t="shared" si="13"/>
        <v>43136</v>
      </c>
      <c r="AS36" s="753">
        <f t="shared" si="14"/>
        <v>0.5</v>
      </c>
      <c r="AT36" s="769">
        <f t="shared" si="15"/>
        <v>31.233144064433873</v>
      </c>
      <c r="AU36" s="13">
        <f t="shared" si="16"/>
        <v>3</v>
      </c>
      <c r="AV36" s="13">
        <f t="shared" si="17"/>
        <v>2</v>
      </c>
      <c r="AW36" s="172">
        <f t="shared" si="18"/>
        <v>43150</v>
      </c>
      <c r="AX36" s="753">
        <f t="shared" si="19"/>
        <v>1</v>
      </c>
      <c r="AY36" s="769">
        <f t="shared" si="20"/>
        <v>31.315600000321865</v>
      </c>
      <c r="AZ36" s="746">
        <f t="shared" si="26"/>
        <v>31.274372032377869</v>
      </c>
      <c r="BA36" s="641">
        <f t="shared" si="21"/>
        <v>1.0040762762424644</v>
      </c>
      <c r="BC36" s="11">
        <v>43122</v>
      </c>
      <c r="BD36" s="289">
        <f>[2]!FeuilCaduc*(1-Persistant)+Persistant</f>
        <v>0.60035874832137592</v>
      </c>
      <c r="BE36" s="290">
        <f>[2]!CroissVégét</f>
        <v>1.9073621235293117E-3</v>
      </c>
      <c r="BF36" s="819">
        <f>1+[2]!Salcycl*Ksac</f>
        <v>1.0000448435401721</v>
      </c>
      <c r="BH36" s="1044">
        <f t="shared" si="22"/>
        <v>2.233519483888206E-2</v>
      </c>
      <c r="BI36" s="11">
        <v>44218</v>
      </c>
      <c r="BJ36" s="726">
        <v>1.3889782606036188E-2</v>
      </c>
      <c r="BK36" s="726">
        <v>1.4427888529719339E-2</v>
      </c>
      <c r="BL36" s="726">
        <v>1.5593609307404423E-2</v>
      </c>
      <c r="BM36" s="726">
        <v>1.7487005450345417E-2</v>
      </c>
      <c r="BN36" s="726">
        <v>2.0392209156174328E-2</v>
      </c>
      <c r="BO36" s="727">
        <v>2.4025481042391033E-2</v>
      </c>
      <c r="BP36" s="726">
        <v>2.9450459587968207E-2</v>
      </c>
      <c r="BQ36" s="726">
        <v>3.651345393982601E-2</v>
      </c>
      <c r="BR36" s="726">
        <v>4.475549626758743E-2</v>
      </c>
      <c r="BS36" s="726">
        <v>5.3055756897258416E-2</v>
      </c>
      <c r="BT36" s="726">
        <v>6.1216457868295805E-2</v>
      </c>
      <c r="BW36" s="1208">
        <f>'2018'!R\Max</f>
        <v>0</v>
      </c>
      <c r="BX36" s="1206">
        <f>'2019'!R\Max</f>
        <v>0.36411954612084141</v>
      </c>
      <c r="BY36" s="1206">
        <f>'2020'!R\Max</f>
        <v>3.9345355869441781E-2</v>
      </c>
      <c r="BZ36" s="1206">
        <f>'2021'!R\Max</f>
        <v>0.19626904255195793</v>
      </c>
      <c r="CA36" s="1206">
        <f>'2022'!R\Max</f>
        <v>1.0040762762424644</v>
      </c>
      <c r="CB36" s="1206">
        <f>'2023'!R\Max</f>
        <v>1.0040762762424644</v>
      </c>
      <c r="CC36" s="1206">
        <f>'2024'!R\Max</f>
        <v>1.0040762762424644</v>
      </c>
      <c r="CD36" s="1206">
        <f>'2025'!R\Max</f>
        <v>1.0040762762424642</v>
      </c>
      <c r="CE36" s="1206">
        <f>'2026'!R\Max</f>
        <v>1.0040762762424644</v>
      </c>
      <c r="CF36" s="1207">
        <f>'2027'!R\Max</f>
        <v>1.0040762762424644</v>
      </c>
    </row>
    <row r="37" spans="1:84" s="6" customFormat="1" ht="11.25" x14ac:dyDescent="0.2">
      <c r="A37" s="11">
        <v>43123</v>
      </c>
      <c r="B37" s="379">
        <f>'2022'!Maxi_hp</f>
        <v>31.229210353885971</v>
      </c>
      <c r="C37" s="13">
        <f>'2022'!An_max</f>
        <v>2022</v>
      </c>
      <c r="D37" s="1053">
        <f t="shared" si="7"/>
        <v>0.98720987719639997</v>
      </c>
      <c r="E37" s="13"/>
      <c r="F37" s="13">
        <f t="shared" si="23"/>
        <v>3</v>
      </c>
      <c r="G37" s="13">
        <f t="shared" si="24"/>
        <v>4</v>
      </c>
      <c r="H37" s="172">
        <f t="shared" si="8"/>
        <v>43122</v>
      </c>
      <c r="I37" s="753">
        <f t="shared" si="9"/>
        <v>7.1428571428571425E-2</v>
      </c>
      <c r="J37" s="746">
        <f>((1-I37)*(INDEX(a.m,F37)*$A37*$A37+INDEX(b.m,F37)*$A37+INDEX(c.m,F37))+I37*(INDEX(a.m,G37)*$A37*$A37+INDEX(b.m,G37)*$A37+INDEX(c.m,G37)))/10</f>
        <v>31.633810677193104</v>
      </c>
      <c r="L37" s="756" t="s">
        <v>211</v>
      </c>
      <c r="M37" s="740">
        <f t="shared" ref="M37:AA37" si="44">x.2lg*x.2lg-x.3lg*x.3lg</f>
        <v>-2499423</v>
      </c>
      <c r="N37" s="740">
        <f t="shared" si="44"/>
        <v>-2414832</v>
      </c>
      <c r="O37" s="740">
        <f t="shared" si="44"/>
        <v>-2416400</v>
      </c>
      <c r="P37" s="740">
        <f t="shared" si="44"/>
        <v>-2417968</v>
      </c>
      <c r="Q37" s="740">
        <f t="shared" si="44"/>
        <v>-2419536</v>
      </c>
      <c r="R37" s="740">
        <f t="shared" si="44"/>
        <v>-2421104</v>
      </c>
      <c r="S37" s="740">
        <f t="shared" si="44"/>
        <v>-2422672</v>
      </c>
      <c r="T37" s="740">
        <f t="shared" si="44"/>
        <v>-2424240</v>
      </c>
      <c r="U37" s="740">
        <f t="shared" si="44"/>
        <v>-2425808</v>
      </c>
      <c r="V37" s="740">
        <f t="shared" si="44"/>
        <v>-2427376</v>
      </c>
      <c r="W37" s="740">
        <f t="shared" si="44"/>
        <v>-2428944</v>
      </c>
      <c r="X37" s="740">
        <f t="shared" si="44"/>
        <v>-2430512</v>
      </c>
      <c r="Y37" s="740">
        <f t="shared" si="44"/>
        <v>-2432080</v>
      </c>
      <c r="Z37" s="740">
        <f t="shared" si="44"/>
        <v>-2520593</v>
      </c>
      <c r="AA37" s="740">
        <f t="shared" si="44"/>
        <v>-2435272</v>
      </c>
      <c r="AO37" s="1046">
        <v>43123</v>
      </c>
      <c r="AP37" s="13">
        <f t="shared" si="11"/>
        <v>3</v>
      </c>
      <c r="AQ37" s="13">
        <f t="shared" si="12"/>
        <v>2</v>
      </c>
      <c r="AR37" s="172">
        <f t="shared" si="13"/>
        <v>43136</v>
      </c>
      <c r="AS37" s="753">
        <f t="shared" si="14"/>
        <v>0.4642857142857143</v>
      </c>
      <c r="AT37" s="769">
        <f t="shared" si="15"/>
        <v>31.576062856361808</v>
      </c>
      <c r="AU37" s="13">
        <f t="shared" si="16"/>
        <v>3</v>
      </c>
      <c r="AV37" s="13">
        <f t="shared" si="17"/>
        <v>2</v>
      </c>
      <c r="AW37" s="172">
        <f t="shared" si="18"/>
        <v>43150</v>
      </c>
      <c r="AX37" s="753">
        <f t="shared" si="19"/>
        <v>0.9642857142857143</v>
      </c>
      <c r="AY37" s="769">
        <f t="shared" si="20"/>
        <v>31.610835024840867</v>
      </c>
      <c r="AZ37" s="746">
        <f t="shared" si="26"/>
        <v>31.593448940601338</v>
      </c>
      <c r="BA37" s="641">
        <f t="shared" si="21"/>
        <v>0.98720987719639997</v>
      </c>
      <c r="BC37" s="11">
        <v>43123</v>
      </c>
      <c r="BD37" s="289">
        <f>[2]!FeuilCaduc*(1-Persistant)+Persistant</f>
        <v>0.60027144846244596</v>
      </c>
      <c r="BE37" s="290">
        <f>[2]!CroissVégét</f>
        <v>2.045318545083899E-3</v>
      </c>
      <c r="BF37" s="819">
        <f>1+[2]!Salcycl*Ksac</f>
        <v>1.0000339310578057</v>
      </c>
      <c r="BH37" s="1044">
        <f t="shared" si="22"/>
        <v>2.2017871250632485E-2</v>
      </c>
      <c r="BI37" s="11">
        <v>44219</v>
      </c>
      <c r="BJ37" s="726">
        <v>1.3818230449307854E-2</v>
      </c>
      <c r="BK37" s="726">
        <v>1.4360264961522373E-2</v>
      </c>
      <c r="BL37" s="726">
        <v>1.5475020288202421E-2</v>
      </c>
      <c r="BM37" s="726">
        <v>1.7286525579999115E-2</v>
      </c>
      <c r="BN37" s="726">
        <v>2.0093452638670836E-2</v>
      </c>
      <c r="BO37" s="727">
        <v>2.369200516655592E-2</v>
      </c>
      <c r="BP37" s="726">
        <v>2.9114024379992547E-2</v>
      </c>
      <c r="BQ37" s="726">
        <v>3.6310253554359732E-2</v>
      </c>
      <c r="BR37" s="726">
        <v>4.4711328069587143E-2</v>
      </c>
      <c r="BS37" s="726">
        <v>5.3161616237026074E-2</v>
      </c>
      <c r="BT37" s="726">
        <v>6.1351651644460305E-2</v>
      </c>
      <c r="BW37" s="1208">
        <f>'2018'!R\Max</f>
        <v>0</v>
      </c>
      <c r="BX37" s="1206">
        <f>'2019'!R\Max</f>
        <v>0.30386680115933073</v>
      </c>
      <c r="BY37" s="1206">
        <f>'2020'!R\Max</f>
        <v>0.49610333753086217</v>
      </c>
      <c r="BZ37" s="1206">
        <f>'2021'!R\Max</f>
        <v>0.33246579821241656</v>
      </c>
      <c r="CA37" s="1206">
        <f>'2022'!R\Max</f>
        <v>0.98720987719639997</v>
      </c>
      <c r="CB37" s="1206">
        <f>'2023'!R\Max</f>
        <v>0.98720727399855945</v>
      </c>
      <c r="CC37" s="1206">
        <f>'2024'!R\Max</f>
        <v>0.98720394630906549</v>
      </c>
      <c r="CD37" s="1206">
        <f>'2025'!R\Max</f>
        <v>0.9872006174138982</v>
      </c>
      <c r="CE37" s="1206">
        <f>'2026'!R\Max</f>
        <v>0.98721701336891821</v>
      </c>
      <c r="CF37" s="1207">
        <f>'2027'!R\Max</f>
        <v>0.98721501319043836</v>
      </c>
    </row>
    <row r="38" spans="1:84" s="6" customFormat="1" ht="11.25" x14ac:dyDescent="0.2">
      <c r="A38" s="11">
        <v>43124</v>
      </c>
      <c r="B38" s="379">
        <f>'2022'!Maxi_hp</f>
        <v>31.952049540874114</v>
      </c>
      <c r="C38" s="13">
        <f>'2022'!An_max</f>
        <v>2022</v>
      </c>
      <c r="D38" s="1053">
        <f t="shared" si="7"/>
        <v>0.99980876898369342</v>
      </c>
      <c r="E38" s="13"/>
      <c r="F38" s="13">
        <f t="shared" si="23"/>
        <v>3</v>
      </c>
      <c r="G38" s="13">
        <f t="shared" si="24"/>
        <v>4</v>
      </c>
      <c r="H38" s="172">
        <f t="shared" si="8"/>
        <v>43122</v>
      </c>
      <c r="I38" s="753">
        <f t="shared" si="9"/>
        <v>0.14285714285714285</v>
      </c>
      <c r="J38" s="746">
        <f t="shared" si="27"/>
        <v>31.95816093246852</v>
      </c>
      <c r="L38" s="756" t="s">
        <v>212</v>
      </c>
      <c r="M38" s="740">
        <f t="shared" ref="M38:AA38" si="45">(y.1lg-y.2lg-b.lg*(x.1lg-x.2lg))/D2x12Lg</f>
        <v>5.1172975542299867E-2</v>
      </c>
      <c r="N38" s="740">
        <f t="shared" si="45"/>
        <v>4.5070758793539688E-2</v>
      </c>
      <c r="O38" s="740">
        <f t="shared" si="45"/>
        <v>8.8482142857130453E-3</v>
      </c>
      <c r="P38" s="740">
        <f t="shared" si="45"/>
        <v>-8.2161989795919953E-3</v>
      </c>
      <c r="Q38" s="740">
        <f t="shared" si="45"/>
        <v>-2.7808673469391053E-2</v>
      </c>
      <c r="R38" s="740">
        <f t="shared" si="45"/>
        <v>-2.5280612244896226E-2</v>
      </c>
      <c r="S38" s="740">
        <f t="shared" si="45"/>
        <v>-1.2640306122449244E-2</v>
      </c>
      <c r="T38" s="740">
        <f t="shared" si="45"/>
        <v>-4.4241071428572842E-3</v>
      </c>
      <c r="U38" s="740">
        <f t="shared" si="45"/>
        <v>-4.4241071428578133E-3</v>
      </c>
      <c r="V38" s="740">
        <f t="shared" si="45"/>
        <v>-1.3904336734695899E-2</v>
      </c>
      <c r="W38" s="740">
        <f t="shared" si="45"/>
        <v>-1.9592474489796646E-2</v>
      </c>
      <c r="X38" s="740">
        <f t="shared" si="45"/>
        <v>-6.3201530612254919E-3</v>
      </c>
      <c r="Y38" s="740">
        <f t="shared" si="45"/>
        <v>1.5800382653059754E-2</v>
      </c>
      <c r="Z38" s="740">
        <f t="shared" si="45"/>
        <v>5.1172975542309256E-2</v>
      </c>
      <c r="AA38" s="740">
        <f t="shared" si="45"/>
        <v>4.5070758793531576E-2</v>
      </c>
      <c r="AO38" s="1046">
        <v>43124</v>
      </c>
      <c r="AP38" s="13">
        <f t="shared" si="11"/>
        <v>3</v>
      </c>
      <c r="AQ38" s="13">
        <f t="shared" si="12"/>
        <v>2</v>
      </c>
      <c r="AR38" s="172">
        <f t="shared" si="13"/>
        <v>43136</v>
      </c>
      <c r="AS38" s="753">
        <f t="shared" si="14"/>
        <v>0.42857142857142855</v>
      </c>
      <c r="AT38" s="769">
        <f t="shared" si="15"/>
        <v>31.923597348374976</v>
      </c>
      <c r="AU38" s="13">
        <f t="shared" si="16"/>
        <v>3</v>
      </c>
      <c r="AV38" s="13">
        <f t="shared" si="17"/>
        <v>2</v>
      </c>
      <c r="AW38" s="172">
        <f t="shared" si="18"/>
        <v>43150</v>
      </c>
      <c r="AX38" s="753">
        <f t="shared" si="19"/>
        <v>0.9285714285714286</v>
      </c>
      <c r="AY38" s="769">
        <f t="shared" si="20"/>
        <v>31.917000301568102</v>
      </c>
      <c r="AZ38" s="746">
        <f t="shared" si="26"/>
        <v>31.920298824971539</v>
      </c>
      <c r="BA38" s="641">
        <f t="shared" si="21"/>
        <v>0.99980876898369342</v>
      </c>
      <c r="BC38" s="11">
        <v>43124</v>
      </c>
      <c r="BD38" s="289">
        <f>[2]!FeuilCaduc*(1-Persistant)+Persistant</f>
        <v>0.60019612565608527</v>
      </c>
      <c r="BE38" s="290">
        <f>[2]!CroissVégét</f>
        <v>2.1890219655428525E-3</v>
      </c>
      <c r="BF38" s="819">
        <f>1+[2]!Salcycl*Ksac</f>
        <v>1.0000245157070107</v>
      </c>
      <c r="BH38" s="1044">
        <f t="shared" si="22"/>
        <v>2.1694920911714308E-2</v>
      </c>
      <c r="BI38" s="11">
        <v>44220</v>
      </c>
      <c r="BJ38" s="726">
        <v>1.3743439642179856E-2</v>
      </c>
      <c r="BK38" s="726">
        <v>1.4298573523201602E-2</v>
      </c>
      <c r="BL38" s="726">
        <v>1.5365833348285131E-2</v>
      </c>
      <c r="BM38" s="726">
        <v>1.709363462000708E-2</v>
      </c>
      <c r="BN38" s="726">
        <v>1.9794539152423889E-2</v>
      </c>
      <c r="BO38" s="727">
        <v>2.3348144143216575E-2</v>
      </c>
      <c r="BP38" s="726">
        <v>2.8742364870666653E-2</v>
      </c>
      <c r="BQ38" s="726">
        <v>3.6044474353218239E-2</v>
      </c>
      <c r="BR38" s="726">
        <v>4.4581020881841044E-2</v>
      </c>
      <c r="BS38" s="726">
        <v>5.3181159137100205E-2</v>
      </c>
      <c r="BT38" s="726">
        <v>6.1413721194377602E-2</v>
      </c>
      <c r="BW38" s="1208">
        <f>'2018'!R\Max</f>
        <v>0</v>
      </c>
      <c r="BX38" s="1206">
        <f>'2019'!R\Max</f>
        <v>0.41830473288864695</v>
      </c>
      <c r="BY38" s="1206">
        <f>'2020'!R\Max</f>
        <v>0.44954698445382418</v>
      </c>
      <c r="BZ38" s="1206">
        <f>'2021'!R\Max</f>
        <v>0.58369734249720895</v>
      </c>
      <c r="CA38" s="1206">
        <f>'2022'!R\Max</f>
        <v>0.99980876898369342</v>
      </c>
      <c r="CB38" s="1206">
        <f>'2023'!R\Max</f>
        <v>0.99980873005191717</v>
      </c>
      <c r="CC38" s="1206">
        <f>'2024'!R\Max</f>
        <v>0.99980867944698482</v>
      </c>
      <c r="CD38" s="1206">
        <f>'2025'!R\Max</f>
        <v>0.9998086288233019</v>
      </c>
      <c r="CE38" s="1206">
        <f>'2026'!R\Max</f>
        <v>0.99980887527452833</v>
      </c>
      <c r="CF38" s="1207">
        <f>'2027'!R\Max</f>
        <v>0.99980884556028815</v>
      </c>
    </row>
    <row r="39" spans="1:84" s="6" customFormat="1" ht="11.25" x14ac:dyDescent="0.2">
      <c r="A39" s="11">
        <v>43125</v>
      </c>
      <c r="B39" s="379">
        <f>'2022'!Maxi_hp</f>
        <v>31.015158927984054</v>
      </c>
      <c r="C39" s="13">
        <f>'2022'!An_max</f>
        <v>2022</v>
      </c>
      <c r="D39" s="1053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2">
        <f t="shared" si="8"/>
        <v>43122</v>
      </c>
      <c r="I39" s="753">
        <f t="shared" si="9"/>
        <v>0.21428571428571427</v>
      </c>
      <c r="J39" s="746">
        <f t="shared" si="27"/>
        <v>32.288217382904676</v>
      </c>
      <c r="L39" s="756" t="s">
        <v>213</v>
      </c>
      <c r="M39" s="740">
        <f t="shared" ref="M39:AA39" si="46">(y.2lg-y.3lg-(y.1lg-y.2lg)*D2x23Lg/D2x12Lg)/(x.2lg-x.3lg)/(1-(x.2lg+x.3lg)/(x.1lg+x.2lg))</f>
        <v>-4409.8643120297165</v>
      </c>
      <c r="N39" s="740">
        <f t="shared" si="46"/>
        <v>-3883.9325571043223</v>
      </c>
      <c r="O39" s="740">
        <f t="shared" si="46"/>
        <v>-759.95542857132159</v>
      </c>
      <c r="P39" s="740">
        <f t="shared" si="46"/>
        <v>712.70343622450343</v>
      </c>
      <c r="Q39" s="740">
        <f t="shared" si="46"/>
        <v>2404.6311632655911</v>
      </c>
      <c r="R39" s="740">
        <f t="shared" si="46"/>
        <v>2186.1763367345443</v>
      </c>
      <c r="S39" s="740">
        <f t="shared" si="46"/>
        <v>1093.1943469387984</v>
      </c>
      <c r="T39" s="740">
        <f t="shared" si="46"/>
        <v>382.29594642858365</v>
      </c>
      <c r="U39" s="740">
        <f t="shared" si="46"/>
        <v>382.29594642862952</v>
      </c>
      <c r="V39" s="740">
        <f t="shared" si="46"/>
        <v>1203.6251173471139</v>
      </c>
      <c r="W39" s="740">
        <f t="shared" si="46"/>
        <v>1696.7411556123079</v>
      </c>
      <c r="X39" s="740">
        <f t="shared" si="46"/>
        <v>545.39381632661753</v>
      </c>
      <c r="Y39" s="740">
        <f t="shared" si="46"/>
        <v>-1374.7571658161987</v>
      </c>
      <c r="Z39" s="740">
        <f t="shared" si="46"/>
        <v>-4447.2205841764107</v>
      </c>
      <c r="AA39" s="740">
        <f t="shared" si="46"/>
        <v>-3916.8342110229014</v>
      </c>
      <c r="AO39" s="1046">
        <v>43125</v>
      </c>
      <c r="AP39" s="13">
        <f t="shared" si="11"/>
        <v>3</v>
      </c>
      <c r="AQ39" s="13">
        <f t="shared" si="12"/>
        <v>2</v>
      </c>
      <c r="AR39" s="172">
        <f t="shared" si="13"/>
        <v>43136</v>
      </c>
      <c r="AS39" s="753">
        <f t="shared" si="14"/>
        <v>0.39285714285714285</v>
      </c>
      <c r="AT39" s="769">
        <f t="shared" si="15"/>
        <v>32.274971343656738</v>
      </c>
      <c r="AU39" s="13">
        <f t="shared" si="16"/>
        <v>3</v>
      </c>
      <c r="AV39" s="13">
        <f t="shared" si="17"/>
        <v>2</v>
      </c>
      <c r="AW39" s="172">
        <f t="shared" si="18"/>
        <v>43150</v>
      </c>
      <c r="AX39" s="753">
        <f t="shared" si="19"/>
        <v>0.8928571428571429</v>
      </c>
      <c r="AY39" s="769">
        <f t="shared" si="20"/>
        <v>32.233427052033534</v>
      </c>
      <c r="AZ39" s="746">
        <f t="shared" si="26"/>
        <v>32.254199197845139</v>
      </c>
      <c r="BA39" s="641">
        <f t="shared" si="21"/>
        <v>0.96057204274167651</v>
      </c>
      <c r="BC39" s="11">
        <v>43125</v>
      </c>
      <c r="BD39" s="289">
        <f>[2]!FeuilCaduc*(1-Persistant)+Persistant</f>
        <v>0.60013304146569446</v>
      </c>
      <c r="BE39" s="290">
        <f>[2]!CroissVégét</f>
        <v>2.3387100283593187E-3</v>
      </c>
      <c r="BF39" s="819">
        <f>1+[2]!Salcycl*Ksac</f>
        <v>1.0000166301832119</v>
      </c>
      <c r="BH39" s="1044">
        <f t="shared" si="22"/>
        <v>2.1383633682515977E-2</v>
      </c>
      <c r="BI39" s="11">
        <v>44221</v>
      </c>
      <c r="BJ39" s="726">
        <v>1.3659060146007073E-2</v>
      </c>
      <c r="BK39" s="726">
        <v>1.4234572671049559E-2</v>
      </c>
      <c r="BL39" s="726">
        <v>1.5263225229346608E-2</v>
      </c>
      <c r="BM39" s="726">
        <v>1.6913738053062562E-2</v>
      </c>
      <c r="BN39" s="726">
        <v>1.9511107993903834E-2</v>
      </c>
      <c r="BO39" s="727">
        <v>2.301262372878661E-2</v>
      </c>
      <c r="BP39" s="726">
        <v>2.8354947893827351E-2</v>
      </c>
      <c r="BQ39" s="726">
        <v>3.5730029901639246E-2</v>
      </c>
      <c r="BR39" s="726">
        <v>4.4373729198770362E-2</v>
      </c>
      <c r="BS39" s="726">
        <v>5.3119592352800026E-2</v>
      </c>
      <c r="BT39" s="726">
        <v>6.1409184979562548E-2</v>
      </c>
      <c r="BW39" s="1208">
        <f>'2018'!R\Max</f>
        <v>0</v>
      </c>
      <c r="BX39" s="1206">
        <f>'2019'!R\Max</f>
        <v>0.13255723619453302</v>
      </c>
      <c r="BY39" s="1206">
        <f>'2020'!R\Max</f>
        <v>0.47805577602961041</v>
      </c>
      <c r="BZ39" s="1206">
        <f>'2021'!R\Max</f>
        <v>0.22274511407836917</v>
      </c>
      <c r="CA39" s="1206">
        <f>'2022'!R\Max</f>
        <v>0.96057204274167651</v>
      </c>
      <c r="CB39" s="1206">
        <f>'2023'!R\Max</f>
        <v>0.96056446060761858</v>
      </c>
      <c r="CC39" s="1206">
        <f>'2024'!R\Max</f>
        <v>0.96055444109936294</v>
      </c>
      <c r="CD39" s="1206">
        <f>'2025'!R\Max</f>
        <v>0.96054441808827884</v>
      </c>
      <c r="CE39" s="1206">
        <f>'2026'!R\Max</f>
        <v>0.96059266614263727</v>
      </c>
      <c r="CF39" s="1207">
        <f>'2027'!R\Max</f>
        <v>0.96058691083150549</v>
      </c>
    </row>
    <row r="40" spans="1:84" s="6" customFormat="1" ht="11.25" x14ac:dyDescent="0.2">
      <c r="A40" s="11">
        <v>43126</v>
      </c>
      <c r="B40" s="379">
        <f>'2022'!Maxi_hp</f>
        <v>31.963076487742448</v>
      </c>
      <c r="C40" s="13">
        <f>'2022'!An_max</f>
        <v>2022</v>
      </c>
      <c r="D40" s="1053">
        <f t="shared" si="7"/>
        <v>0.97975480206151944</v>
      </c>
      <c r="E40" s="13"/>
      <c r="F40" s="13">
        <f t="shared" si="23"/>
        <v>3</v>
      </c>
      <c r="G40" s="13">
        <f t="shared" si="24"/>
        <v>4</v>
      </c>
      <c r="H40" s="172">
        <f t="shared" si="8"/>
        <v>43122</v>
      </c>
      <c r="I40" s="753">
        <f t="shared" si="9"/>
        <v>0.2857142857142857</v>
      </c>
      <c r="J40" s="746">
        <f t="shared" si="27"/>
        <v>32.623546647067585</v>
      </c>
      <c r="L40" s="756" t="s">
        <v>214</v>
      </c>
      <c r="M40" s="740">
        <f t="shared" ref="M40:AA40" si="47">(y.1lg+y.2lg+y.3lg-a.lg*(x.3lg*x.3lg+x.2lg*x.2lg+x.1lg*x.1lg)-b.lg*(x.3lg+x.2lg+x.1lg))/3</f>
        <v>95005981.022840962</v>
      </c>
      <c r="N40" s="740">
        <f t="shared" si="47"/>
        <v>83673862.265393287</v>
      </c>
      <c r="O40" s="740">
        <f t="shared" si="47"/>
        <v>16317798.496711979</v>
      </c>
      <c r="P40" s="740">
        <f t="shared" si="47"/>
        <v>-15454813.166632948</v>
      </c>
      <c r="Q40" s="740">
        <f t="shared" si="47"/>
        <v>-51981837.025597997</v>
      </c>
      <c r="R40" s="740">
        <f t="shared" si="47"/>
        <v>-47262557.903547794</v>
      </c>
      <c r="S40" s="740">
        <f t="shared" si="47"/>
        <v>-23635568.707633153</v>
      </c>
      <c r="T40" s="740">
        <f t="shared" si="47"/>
        <v>-8258127.0165716931</v>
      </c>
      <c r="U40" s="740">
        <f t="shared" si="47"/>
        <v>-8258127.0165726878</v>
      </c>
      <c r="V40" s="740">
        <f t="shared" si="47"/>
        <v>-26047293.671371136</v>
      </c>
      <c r="W40" s="740">
        <f t="shared" si="47"/>
        <v>-36734596.453817688</v>
      </c>
      <c r="X40" s="740">
        <f t="shared" si="47"/>
        <v>-11765329.308103925</v>
      </c>
      <c r="Y40" s="740">
        <f t="shared" si="47"/>
        <v>29903862.819752332</v>
      </c>
      <c r="Z40" s="740">
        <f t="shared" si="47"/>
        <v>96622399.016416132</v>
      </c>
      <c r="AA40" s="740">
        <f t="shared" si="47"/>
        <v>85097502.2005613</v>
      </c>
      <c r="AB40" s="7"/>
      <c r="AC40" s="7"/>
      <c r="AD40" s="7"/>
      <c r="AE40" s="7"/>
      <c r="AF40" s="7"/>
      <c r="AH40" s="7"/>
      <c r="AI40" s="74"/>
      <c r="AO40" s="1046">
        <v>43126</v>
      </c>
      <c r="AP40" s="13">
        <f t="shared" si="11"/>
        <v>3</v>
      </c>
      <c r="AQ40" s="13">
        <f t="shared" si="12"/>
        <v>2</v>
      </c>
      <c r="AR40" s="172">
        <f t="shared" si="13"/>
        <v>43136</v>
      </c>
      <c r="AS40" s="753">
        <f t="shared" si="14"/>
        <v>0.35714285714285715</v>
      </c>
      <c r="AT40" s="769">
        <f t="shared" si="15"/>
        <v>32.62940864292905</v>
      </c>
      <c r="AU40" s="13">
        <f t="shared" si="16"/>
        <v>3</v>
      </c>
      <c r="AV40" s="13">
        <f t="shared" si="17"/>
        <v>2</v>
      </c>
      <c r="AW40" s="172">
        <f t="shared" si="18"/>
        <v>43150</v>
      </c>
      <c r="AX40" s="753">
        <f t="shared" si="19"/>
        <v>0.8571428571428571</v>
      </c>
      <c r="AY40" s="769">
        <f t="shared" si="20"/>
        <v>32.559446498512159</v>
      </c>
      <c r="AZ40" s="746">
        <f t="shared" si="26"/>
        <v>32.594427570720605</v>
      </c>
      <c r="BA40" s="641">
        <f t="shared" si="21"/>
        <v>0.97975480206151944</v>
      </c>
      <c r="BC40" s="11">
        <v>43126</v>
      </c>
      <c r="BD40" s="289">
        <f>[2]!FeuilCaduc*(1-Persistant)+Persistant</f>
        <v>0.60008239894324023</v>
      </c>
      <c r="BE40" s="290">
        <f>[2]!CroissVégét</f>
        <v>2.4946300531446561E-3</v>
      </c>
      <c r="BF40" s="819">
        <f>1+[2]!Salcycl*Ksac</f>
        <v>1.000010299867905</v>
      </c>
      <c r="BH40" s="1044">
        <f t="shared" si="22"/>
        <v>2.108405838109103E-2</v>
      </c>
      <c r="BI40" s="11">
        <v>44222</v>
      </c>
      <c r="BJ40" s="726">
        <v>1.3565112169270857E-2</v>
      </c>
      <c r="BK40" s="726">
        <v>1.4168283754229219E-2</v>
      </c>
      <c r="BL40" s="726">
        <v>1.5167222999925286E-2</v>
      </c>
      <c r="BM40" s="726">
        <v>1.6746871268115929E-2</v>
      </c>
      <c r="BN40" s="726">
        <v>1.9243204781647243E-2</v>
      </c>
      <c r="BO40" s="727">
        <v>2.2685495524715993E-2</v>
      </c>
      <c r="BP40" s="726">
        <v>2.7951829444837095E-2</v>
      </c>
      <c r="BQ40" s="726">
        <v>3.5366973423779896E-2</v>
      </c>
      <c r="BR40" s="726">
        <v>4.4089504017646892E-2</v>
      </c>
      <c r="BS40" s="726">
        <v>5.2976967963305636E-2</v>
      </c>
      <c r="BT40" s="726">
        <v>6.133810533728315E-2</v>
      </c>
      <c r="BW40" s="1208">
        <f>'2018'!R\Max</f>
        <v>0</v>
      </c>
      <c r="BX40" s="1206">
        <f>'2019'!R\Max</f>
        <v>0.4885166480872255</v>
      </c>
      <c r="BY40" s="1206">
        <f>'2020'!R\Max</f>
        <v>0.19309458908397803</v>
      </c>
      <c r="BZ40" s="1206">
        <f>'2021'!R\Max</f>
        <v>0.62507093425925953</v>
      </c>
      <c r="CA40" s="1206">
        <f>'2022'!R\Max</f>
        <v>0.97975480206151944</v>
      </c>
      <c r="CB40" s="1206">
        <f>'2023'!R\Max</f>
        <v>0.9797509158566553</v>
      </c>
      <c r="CC40" s="1206">
        <f>'2024'!R\Max</f>
        <v>0.9797456945366273</v>
      </c>
      <c r="CD40" s="1206">
        <f>'2025'!R\Max</f>
        <v>0.97974047134759523</v>
      </c>
      <c r="CE40" s="1206">
        <f>'2026'!R\Max</f>
        <v>0.97976533528310794</v>
      </c>
      <c r="CF40" s="1207">
        <f>'2027'!R\Max</f>
        <v>0.97976239852479563</v>
      </c>
    </row>
    <row r="41" spans="1:84" s="6" customFormat="1" ht="11.25" x14ac:dyDescent="0.2">
      <c r="A41" s="11">
        <v>43127</v>
      </c>
      <c r="B41" s="379">
        <f>'2022'!Maxi_hp</f>
        <v>28.021974293111494</v>
      </c>
      <c r="C41" s="13">
        <f>'2022'!An_max</f>
        <v>2022</v>
      </c>
      <c r="D41" s="1053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2">
        <f t="shared" si="8"/>
        <v>43122</v>
      </c>
      <c r="I41" s="753">
        <f t="shared" si="9"/>
        <v>0.35714285714285715</v>
      </c>
      <c r="J41" s="746">
        <f t="shared" si="27"/>
        <v>32.963715342272607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46">
        <v>43127</v>
      </c>
      <c r="AP41" s="13">
        <f t="shared" si="11"/>
        <v>3</v>
      </c>
      <c r="AQ41" s="13">
        <f t="shared" si="12"/>
        <v>2</v>
      </c>
      <c r="AR41" s="172">
        <f t="shared" si="13"/>
        <v>43136</v>
      </c>
      <c r="AS41" s="753">
        <f t="shared" si="14"/>
        <v>0.32142857142857145</v>
      </c>
      <c r="AT41" s="769">
        <f t="shared" si="15"/>
        <v>32.986133049920738</v>
      </c>
      <c r="AU41" s="13">
        <f t="shared" si="16"/>
        <v>3</v>
      </c>
      <c r="AV41" s="13">
        <f t="shared" si="17"/>
        <v>2</v>
      </c>
      <c r="AW41" s="172">
        <f t="shared" si="18"/>
        <v>43150</v>
      </c>
      <c r="AX41" s="753">
        <f t="shared" si="19"/>
        <v>0.8214285714285714</v>
      </c>
      <c r="AY41" s="769">
        <f t="shared" si="20"/>
        <v>32.894389863957514</v>
      </c>
      <c r="AZ41" s="746">
        <f t="shared" si="26"/>
        <v>32.940261456939126</v>
      </c>
      <c r="BA41" s="641">
        <f t="shared" si="21"/>
        <v>0.85008543491382982</v>
      </c>
      <c r="BC41" s="11">
        <v>43127</v>
      </c>
      <c r="BD41" s="289">
        <f>[2]!FeuilCaduc*(1-Persistant)+Persistant</f>
        <v>0.60004433415154113</v>
      </c>
      <c r="BE41" s="290">
        <f>[2]!CroissVégét</f>
        <v>2.6570394167881404E-3</v>
      </c>
      <c r="BF41" s="819">
        <f>1+[2]!Salcycl*Ksac</f>
        <v>1.0000055417689426</v>
      </c>
      <c r="BH41" s="1044">
        <f t="shared" si="22"/>
        <v>2.0796240851321215E-2</v>
      </c>
      <c r="BI41" s="11">
        <v>44223</v>
      </c>
      <c r="BJ41" s="726">
        <v>1.346161656836648E-2</v>
      </c>
      <c r="BK41" s="726">
        <v>1.4099728027817223E-2</v>
      </c>
      <c r="BL41" s="726">
        <v>1.5077852408582179E-2</v>
      </c>
      <c r="BM41" s="726">
        <v>1.6593067198448951E-2</v>
      </c>
      <c r="BN41" s="726">
        <v>1.8990871863043348E-2</v>
      </c>
      <c r="BO41" s="727">
        <v>2.2366808416634593E-2</v>
      </c>
      <c r="BP41" s="726">
        <v>2.7533065317512852E-2</v>
      </c>
      <c r="BQ41" s="726">
        <v>3.4955362098111689E-2</v>
      </c>
      <c r="BR41" s="726">
        <v>4.372840408283378E-2</v>
      </c>
      <c r="BS41" s="726">
        <v>5.2753346980066958E-2</v>
      </c>
      <c r="BT41" s="726">
        <v>6.1200552121134809E-2</v>
      </c>
      <c r="BW41" s="1208">
        <f>'2018'!R\Max</f>
        <v>0</v>
      </c>
      <c r="BX41" s="1206">
        <f>'2019'!R\Max</f>
        <v>0.4523393366252651</v>
      </c>
      <c r="BY41" s="1206">
        <f>'2020'!R\Max</f>
        <v>0.34935718143414801</v>
      </c>
      <c r="BZ41" s="1206">
        <f>'2021'!R\Max</f>
        <v>0.19535985437123099</v>
      </c>
      <c r="CA41" s="1206">
        <f>'2022'!R\Max</f>
        <v>0.85008543491382982</v>
      </c>
      <c r="CB41" s="1206">
        <f>'2023'!R\Max</f>
        <v>0.85006111594523026</v>
      </c>
      <c r="CC41" s="1206">
        <f>'2024'!R\Max</f>
        <v>0.85002788901047199</v>
      </c>
      <c r="CD41" s="1206">
        <f>'2025'!R\Max</f>
        <v>0.8499946525421519</v>
      </c>
      <c r="CE41" s="1206">
        <f>'2026'!R\Max</f>
        <v>0.85015113796976016</v>
      </c>
      <c r="CF41" s="1207">
        <f>'2027'!R\Max</f>
        <v>0.8501328192111155</v>
      </c>
    </row>
    <row r="42" spans="1:84" s="6" customFormat="1" ht="11.25" x14ac:dyDescent="0.2">
      <c r="A42" s="11">
        <v>43128</v>
      </c>
      <c r="B42" s="379">
        <f>'2022'!Maxi_hp</f>
        <v>19.765771987607742</v>
      </c>
      <c r="C42" s="13">
        <f>'2022'!An_max</f>
        <v>2020</v>
      </c>
      <c r="D42" s="1053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2">
        <f t="shared" si="8"/>
        <v>43122</v>
      </c>
      <c r="I42" s="753">
        <f t="shared" si="9"/>
        <v>0.42857142857142855</v>
      </c>
      <c r="J42" s="746">
        <f t="shared" si="27"/>
        <v>33.308290087165574</v>
      </c>
      <c r="M42" s="6" t="s">
        <v>224</v>
      </c>
      <c r="AC42" s="7"/>
      <c r="AD42" s="7"/>
      <c r="AE42" s="7"/>
      <c r="AF42" s="7"/>
      <c r="AH42" s="7"/>
      <c r="AI42" s="74"/>
      <c r="AO42" s="1046">
        <v>43128</v>
      </c>
      <c r="AP42" s="13">
        <f t="shared" si="11"/>
        <v>3</v>
      </c>
      <c r="AQ42" s="13">
        <f t="shared" si="12"/>
        <v>2</v>
      </c>
      <c r="AR42" s="172">
        <f t="shared" si="13"/>
        <v>43136</v>
      </c>
      <c r="AS42" s="753">
        <f t="shared" si="14"/>
        <v>0.2857142857142857</v>
      </c>
      <c r="AT42" s="769">
        <f t="shared" si="15"/>
        <v>33.34436836828079</v>
      </c>
      <c r="AU42" s="13">
        <f t="shared" si="16"/>
        <v>3</v>
      </c>
      <c r="AV42" s="13">
        <f t="shared" si="17"/>
        <v>2</v>
      </c>
      <c r="AW42" s="172">
        <f t="shared" si="18"/>
        <v>43150</v>
      </c>
      <c r="AX42" s="753">
        <f t="shared" si="19"/>
        <v>0.7857142857142857</v>
      </c>
      <c r="AY42" s="769">
        <f t="shared" si="20"/>
        <v>33.23758836939399</v>
      </c>
      <c r="AZ42" s="746">
        <f t="shared" si="26"/>
        <v>33.290978368837386</v>
      </c>
      <c r="BA42" s="641">
        <f t="shared" si="21"/>
        <v>0.59341899376647778</v>
      </c>
      <c r="BC42" s="11">
        <v>43128</v>
      </c>
      <c r="BD42" s="289">
        <f>[2]!FeuilCaduc*(1-Persistant)+Persistant</f>
        <v>0.60001890915601352</v>
      </c>
      <c r="BE42" s="290">
        <f>[2]!CroissVégét</f>
        <v>2.826205948480045E-3</v>
      </c>
      <c r="BF42" s="819">
        <f>1+[2]!Salcycl*Ksac</f>
        <v>1.0000023636445017</v>
      </c>
      <c r="BH42" s="1044">
        <f t="shared" si="22"/>
        <v>2.0520224114910664E-2</v>
      </c>
      <c r="BI42" s="11">
        <v>44224</v>
      </c>
      <c r="BJ42" s="726">
        <v>1.334859473134771E-2</v>
      </c>
      <c r="BK42" s="726">
        <v>1.4028926627669656E-2</v>
      </c>
      <c r="BL42" s="726">
        <v>1.4995137970265443E-2</v>
      </c>
      <c r="BM42" s="726">
        <v>1.6452356488869179E-2</v>
      </c>
      <c r="BN42" s="726">
        <v>1.8754148513546717E-2</v>
      </c>
      <c r="BO42" s="727">
        <v>2.2056608685268989E-2</v>
      </c>
      <c r="BP42" s="726">
        <v>2.7098710915174937E-2</v>
      </c>
      <c r="BQ42" s="726">
        <v>3.4495256458646123E-2</v>
      </c>
      <c r="BR42" s="726">
        <v>4.3290494934803185E-2</v>
      </c>
      <c r="BS42" s="726">
        <v>5.2448798346086192E-2</v>
      </c>
      <c r="BT42" s="726">
        <v>6.0996601883641734E-2</v>
      </c>
      <c r="BW42" s="1208">
        <f>'2018'!R\Max</f>
        <v>0</v>
      </c>
      <c r="BX42" s="1206">
        <f>'2019'!R\Max</f>
        <v>0.37454821633615193</v>
      </c>
      <c r="BY42" s="1206">
        <f>'2020'!R\Max</f>
        <v>0.59341899376647778</v>
      </c>
      <c r="BZ42" s="1206">
        <f>'2021'!R\Max</f>
        <v>0.56858294827322586</v>
      </c>
      <c r="CA42" s="1206">
        <f>'2022'!R\Max</f>
        <v>0.12437796944570571</v>
      </c>
      <c r="CB42" s="1206">
        <f>'2023'!R\Max</f>
        <v>0.12436186583736744</v>
      </c>
      <c r="CC42" s="1206">
        <f>'2024'!R\Max</f>
        <v>0.12433948360468496</v>
      </c>
      <c r="CD42" s="1206">
        <f>'2025'!R\Max</f>
        <v>0.12431710137200253</v>
      </c>
      <c r="CE42" s="1206">
        <f>'2026'!R\Max</f>
        <v>0.12442135728356679</v>
      </c>
      <c r="CF42" s="1207">
        <f>'2027'!R\Max</f>
        <v>0.1244092471552212</v>
      </c>
    </row>
    <row r="43" spans="1:84" s="6" customFormat="1" ht="11.25" x14ac:dyDescent="0.2">
      <c r="A43" s="11">
        <v>43129</v>
      </c>
      <c r="B43" s="379">
        <f>'2022'!Maxi_hp</f>
        <v>24.438772504901799</v>
      </c>
      <c r="C43" s="13">
        <f>'2022'!An_max</f>
        <v>2020</v>
      </c>
      <c r="D43" s="1053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2">
        <f t="shared" si="8"/>
        <v>43122</v>
      </c>
      <c r="I43" s="753">
        <f t="shared" si="9"/>
        <v>0.5</v>
      </c>
      <c r="J43" s="746">
        <f t="shared" si="27"/>
        <v>33.656837499886748</v>
      </c>
      <c r="L43" s="174">
        <f>M43-28</f>
        <v>43065</v>
      </c>
      <c r="M43" s="174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4">
        <f>AO12</f>
        <v>43487</v>
      </c>
      <c r="AB43" s="174">
        <f>AA43+28</f>
        <v>43515</v>
      </c>
      <c r="AC43" s="7"/>
      <c r="AD43" s="7"/>
      <c r="AE43" s="7"/>
      <c r="AF43" s="7"/>
      <c r="AH43" s="7"/>
      <c r="AI43" s="74"/>
      <c r="AO43" s="1046">
        <v>43129</v>
      </c>
      <c r="AP43" s="13">
        <f t="shared" si="11"/>
        <v>3</v>
      </c>
      <c r="AQ43" s="13">
        <f t="shared" si="12"/>
        <v>2</v>
      </c>
      <c r="AR43" s="172">
        <f t="shared" si="13"/>
        <v>43136</v>
      </c>
      <c r="AS43" s="753">
        <f t="shared" si="14"/>
        <v>0.25</v>
      </c>
      <c r="AT43" s="769">
        <f t="shared" si="15"/>
        <v>33.703338399063796</v>
      </c>
      <c r="AU43" s="13">
        <f t="shared" si="16"/>
        <v>3</v>
      </c>
      <c r="AV43" s="13">
        <f t="shared" si="17"/>
        <v>2</v>
      </c>
      <c r="AW43" s="172">
        <f t="shared" si="18"/>
        <v>43150</v>
      </c>
      <c r="AX43" s="753">
        <f t="shared" si="19"/>
        <v>0.75</v>
      </c>
      <c r="AY43" s="769">
        <f t="shared" si="20"/>
        <v>33.588373238360511</v>
      </c>
      <c r="AZ43" s="746">
        <f t="shared" si="26"/>
        <v>33.64585581871215</v>
      </c>
      <c r="BA43" s="641">
        <f t="shared" si="21"/>
        <v>0.72611612736888997</v>
      </c>
      <c r="BC43" s="11">
        <v>43129</v>
      </c>
      <c r="BD43" s="289">
        <f>[2]!FeuilCaduc*(1-Persistant)+Persistant</f>
        <v>0.60000610652707764</v>
      </c>
      <c r="BE43" s="290">
        <f>[2]!CroissVégét</f>
        <v>3.0024083390505912E-3</v>
      </c>
      <c r="BF43" s="819">
        <f>1+[2]!Salcycl*Ksac</f>
        <v>1.0000007633158847</v>
      </c>
      <c r="BH43" s="1044">
        <f t="shared" si="22"/>
        <v>2.0256048523833978E-2</v>
      </c>
      <c r="BI43" s="11">
        <v>44225</v>
      </c>
      <c r="BJ43" s="726">
        <v>1.3226068461963692E-2</v>
      </c>
      <c r="BK43" s="726">
        <v>1.3955900545593211E-2</v>
      </c>
      <c r="BL43" s="726">
        <v>1.4919103053001993E-2</v>
      </c>
      <c r="BM43" s="726">
        <v>1.632476766326528E-2</v>
      </c>
      <c r="BN43" s="726">
        <v>1.8533071136304327E-2</v>
      </c>
      <c r="BO43" s="727">
        <v>2.1754940117847534E-2</v>
      </c>
      <c r="BP43" s="726">
        <v>2.6648821062297354E-2</v>
      </c>
      <c r="BQ43" s="726">
        <v>3.39867197969215E-2</v>
      </c>
      <c r="BR43" s="726">
        <v>4.2775847960102996E-2</v>
      </c>
      <c r="BS43" s="726">
        <v>5.2063397936341856E-2</v>
      </c>
      <c r="BT43" s="726">
        <v>6.0726337060180845E-2</v>
      </c>
      <c r="BW43" s="1208">
        <f>'2018'!R\Max</f>
        <v>0</v>
      </c>
      <c r="BX43" s="1206">
        <f>'2019'!R\Max</f>
        <v>0.15449454482546809</v>
      </c>
      <c r="BY43" s="1206">
        <f>'2020'!R\Max</f>
        <v>0.72611612736888997</v>
      </c>
      <c r="BZ43" s="1206">
        <f>'2021'!R\Max</f>
        <v>0.43088341394831492</v>
      </c>
      <c r="CA43" s="1206">
        <f>'2022'!R\Max</f>
        <v>0.19789684889633696</v>
      </c>
      <c r="CB43" s="1206">
        <f>'2023'!R\Max</f>
        <v>0.19787214635395828</v>
      </c>
      <c r="CC43" s="1206">
        <f>'2024'!R\Max</f>
        <v>0.1978371837032247</v>
      </c>
      <c r="CD43" s="1206">
        <f>'2025'!R\Max</f>
        <v>0.19780222105249121</v>
      </c>
      <c r="CE43" s="1206">
        <f>'2026'!R\Max</f>
        <v>0.19796320558277067</v>
      </c>
      <c r="CF43" s="1207">
        <f>'2027'!R\Max</f>
        <v>0.19794464966298431</v>
      </c>
    </row>
    <row r="44" spans="1:84" s="6" customFormat="1" ht="11.25" x14ac:dyDescent="0.2">
      <c r="A44" s="11">
        <v>43130</v>
      </c>
      <c r="B44" s="379">
        <f>'2022'!Maxi_hp</f>
        <v>10.973075209769302</v>
      </c>
      <c r="C44" s="13">
        <f>'2022'!An_max</f>
        <v>2020</v>
      </c>
      <c r="D44" s="1053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2">
        <f t="shared" si="8"/>
        <v>43122</v>
      </c>
      <c r="I44" s="753">
        <f t="shared" si="9"/>
        <v>0.5714285714285714</v>
      </c>
      <c r="J44" s="746">
        <f t="shared" si="27"/>
        <v>34.008924198150638</v>
      </c>
      <c r="L44" s="774">
        <f>AK13</f>
        <v>284.41699999999997</v>
      </c>
      <c r="M44" s="774">
        <f>M13</f>
        <v>251.714</v>
      </c>
      <c r="N44" s="764">
        <f>O13</f>
        <v>313.15600000000001</v>
      </c>
      <c r="O44" s="764">
        <f>Q13</f>
        <v>415.22899999999998</v>
      </c>
      <c r="P44" s="764">
        <f>S13</f>
        <v>510.36500000000001</v>
      </c>
      <c r="Q44" s="764">
        <f>U13</f>
        <v>582.70799999999997</v>
      </c>
      <c r="R44" s="764">
        <f>W13</f>
        <v>604.51</v>
      </c>
      <c r="S44" s="764">
        <f>Y13</f>
        <v>598.56399999999996</v>
      </c>
      <c r="T44" s="764">
        <f>AA13</f>
        <v>580.726</v>
      </c>
      <c r="U44" s="764">
        <f>AC13</f>
        <v>557.93299999999999</v>
      </c>
      <c r="V44" s="764">
        <f>AE13</f>
        <v>522.25699999999995</v>
      </c>
      <c r="W44" s="764">
        <f>AG13</f>
        <v>453.87799999999999</v>
      </c>
      <c r="X44" s="764">
        <f>AI13</f>
        <v>364.68799999999999</v>
      </c>
      <c r="Y44" s="764">
        <f>AK13</f>
        <v>284.41699999999997</v>
      </c>
      <c r="Z44" s="764">
        <f>AM13</f>
        <v>251.714</v>
      </c>
      <c r="AA44" s="772">
        <f>AO13</f>
        <v>313.15600000000001</v>
      </c>
      <c r="AB44" s="772">
        <f>Q13</f>
        <v>415.22899999999998</v>
      </c>
      <c r="AD44" s="7"/>
      <c r="AE44" s="7"/>
      <c r="AF44" s="7"/>
      <c r="AH44" s="7"/>
      <c r="AI44" s="74"/>
      <c r="AO44" s="1046">
        <v>43130</v>
      </c>
      <c r="AP44" s="13">
        <f t="shared" si="11"/>
        <v>3</v>
      </c>
      <c r="AQ44" s="13">
        <f t="shared" si="12"/>
        <v>2</v>
      </c>
      <c r="AR44" s="172">
        <f t="shared" si="13"/>
        <v>43136</v>
      </c>
      <c r="AS44" s="753">
        <f t="shared" si="14"/>
        <v>0.21428571428571427</v>
      </c>
      <c r="AT44" s="769">
        <f t="shared" si="15"/>
        <v>34.062266945745797</v>
      </c>
      <c r="AU44" s="13">
        <f t="shared" si="16"/>
        <v>3</v>
      </c>
      <c r="AV44" s="13">
        <f t="shared" si="17"/>
        <v>2</v>
      </c>
      <c r="AW44" s="172">
        <f t="shared" si="18"/>
        <v>43150</v>
      </c>
      <c r="AX44" s="753">
        <f t="shared" si="19"/>
        <v>0.7142857142857143</v>
      </c>
      <c r="AY44" s="769">
        <f t="shared" si="20"/>
        <v>33.946075693038956</v>
      </c>
      <c r="AZ44" s="746">
        <f t="shared" si="26"/>
        <v>34.004171319392377</v>
      </c>
      <c r="BA44" s="641">
        <f t="shared" si="21"/>
        <v>0.32265281741449509</v>
      </c>
      <c r="BC44" s="11">
        <v>43130</v>
      </c>
      <c r="BD44" s="289">
        <f>[2]!FeuilCaduc*(1-Persistant)+Persistant</f>
        <v>0.60000582537781422</v>
      </c>
      <c r="BE44" s="290">
        <f>[2]!CroissVégét</f>
        <v>3.1859365650375344E-3</v>
      </c>
      <c r="BF44" s="819">
        <f>1+[2]!Salcycl*Ksac</f>
        <v>1.0000007281722267</v>
      </c>
      <c r="BH44" s="1044">
        <f t="shared" si="22"/>
        <v>2.0006967729366467E-2</v>
      </c>
      <c r="BI44" s="11">
        <v>44226</v>
      </c>
      <c r="BJ44" s="726">
        <v>1.3080390440712525E-2</v>
      </c>
      <c r="BK44" s="726">
        <v>1.3867180229898012E-2</v>
      </c>
      <c r="BL44" s="726">
        <v>1.4838079094430698E-2</v>
      </c>
      <c r="BM44" s="726">
        <v>1.6203109272881558E-2</v>
      </c>
      <c r="BN44" s="726">
        <v>1.8327292774970212E-2</v>
      </c>
      <c r="BO44" s="727">
        <v>2.1468188687947573E-2</v>
      </c>
      <c r="BP44" s="726">
        <v>2.6200184819848631E-2</v>
      </c>
      <c r="BQ44" s="726">
        <v>3.3443624087736018E-2</v>
      </c>
      <c r="BR44" s="726">
        <v>4.2184135834105858E-2</v>
      </c>
      <c r="BS44" s="726">
        <v>5.1576692996105726E-2</v>
      </c>
      <c r="BT44" s="726">
        <v>6.0359662262629836E-2</v>
      </c>
      <c r="BW44" s="1208">
        <f>'2018'!R\Max</f>
        <v>0</v>
      </c>
      <c r="BX44" s="1206">
        <f>'2019'!R\Max</f>
        <v>0.2442911979033687</v>
      </c>
      <c r="BY44" s="1206">
        <f>'2020'!R\Max</f>
        <v>0.32265281741449509</v>
      </c>
      <c r="BZ44" s="1206">
        <f>'2021'!R\Max</f>
        <v>0.2361243890694619</v>
      </c>
      <c r="CA44" s="1206">
        <f>'2022'!R\Max</f>
        <v>0.13938976493685931</v>
      </c>
      <c r="CB44" s="1206">
        <f>'2023'!R\Max</f>
        <v>0.13937305548202389</v>
      </c>
      <c r="CC44" s="1206">
        <f>'2024'!R\Max</f>
        <v>0.1393489984283364</v>
      </c>
      <c r="CD44" s="1206">
        <f>'2025'!R\Max</f>
        <v>0.13932494137464896</v>
      </c>
      <c r="CE44" s="1206">
        <f>'2026'!R\Max</f>
        <v>0.13943454073432093</v>
      </c>
      <c r="CF44" s="1207">
        <f>'2027'!R\Max</f>
        <v>0.13942198236137668</v>
      </c>
    </row>
    <row r="45" spans="1:84" s="6" customFormat="1" ht="11.25" x14ac:dyDescent="0.2">
      <c r="A45" s="11">
        <v>43131</v>
      </c>
      <c r="B45" s="379">
        <f>'2022'!Maxi_hp</f>
        <v>22.393686095850722</v>
      </c>
      <c r="C45" s="13">
        <f>'2022'!An_max</f>
        <v>2020</v>
      </c>
      <c r="D45" s="1053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2">
        <f t="shared" si="8"/>
        <v>43122</v>
      </c>
      <c r="I45" s="753">
        <f t="shared" si="9"/>
        <v>0.6428571428571429</v>
      </c>
      <c r="J45" s="746">
        <f t="shared" si="27"/>
        <v>34.364116800257136</v>
      </c>
      <c r="L45" s="754" t="s">
        <v>204</v>
      </c>
      <c r="M45" s="784">
        <f t="shared" ref="M45:AA45" si="48">L43</f>
        <v>43065</v>
      </c>
      <c r="N45" s="785">
        <f t="shared" si="48"/>
        <v>43093</v>
      </c>
      <c r="O45" s="736">
        <f t="shared" si="48"/>
        <v>43122</v>
      </c>
      <c r="P45" s="736">
        <f t="shared" si="48"/>
        <v>43150</v>
      </c>
      <c r="Q45" s="736">
        <f t="shared" si="48"/>
        <v>43178</v>
      </c>
      <c r="R45" s="736">
        <f t="shared" si="48"/>
        <v>43206</v>
      </c>
      <c r="S45" s="736">
        <f t="shared" si="48"/>
        <v>43234</v>
      </c>
      <c r="T45" s="736">
        <f t="shared" si="48"/>
        <v>43262</v>
      </c>
      <c r="U45" s="736">
        <f t="shared" si="48"/>
        <v>43290</v>
      </c>
      <c r="V45" s="736">
        <f t="shared" si="48"/>
        <v>43318</v>
      </c>
      <c r="W45" s="736">
        <f t="shared" si="48"/>
        <v>43346</v>
      </c>
      <c r="X45" s="736">
        <f t="shared" si="48"/>
        <v>43374</v>
      </c>
      <c r="Y45" s="736">
        <f t="shared" si="48"/>
        <v>43402</v>
      </c>
      <c r="Z45" s="736">
        <f t="shared" si="48"/>
        <v>43430</v>
      </c>
      <c r="AA45" s="777">
        <f t="shared" si="48"/>
        <v>43458</v>
      </c>
      <c r="AD45" s="7"/>
      <c r="AE45" s="7"/>
      <c r="AF45" s="7"/>
      <c r="AH45" s="7"/>
      <c r="AI45" s="74"/>
      <c r="AO45" s="1046">
        <v>43131</v>
      </c>
      <c r="AP45" s="13">
        <f t="shared" si="11"/>
        <v>3</v>
      </c>
      <c r="AQ45" s="13">
        <f t="shared" si="12"/>
        <v>2</v>
      </c>
      <c r="AR45" s="172">
        <f t="shared" si="13"/>
        <v>43136</v>
      </c>
      <c r="AS45" s="753">
        <f t="shared" si="14"/>
        <v>0.17857142857142858</v>
      </c>
      <c r="AT45" s="769">
        <f t="shared" si="15"/>
        <v>34.420377810179652</v>
      </c>
      <c r="AU45" s="13">
        <f t="shared" si="16"/>
        <v>3</v>
      </c>
      <c r="AV45" s="13">
        <f t="shared" si="17"/>
        <v>2</v>
      </c>
      <c r="AW45" s="172">
        <f t="shared" si="18"/>
        <v>43150</v>
      </c>
      <c r="AX45" s="753">
        <f t="shared" si="19"/>
        <v>0.6785714285714286</v>
      </c>
      <c r="AY45" s="769">
        <f t="shared" si="20"/>
        <v>34.310026953562293</v>
      </c>
      <c r="AZ45" s="746">
        <f t="shared" si="26"/>
        <v>34.365202381870972</v>
      </c>
      <c r="BA45" s="641">
        <f t="shared" si="21"/>
        <v>0.65165900308205094</v>
      </c>
      <c r="BC45" s="11">
        <v>43131</v>
      </c>
      <c r="BD45" s="289">
        <f>[2]!FeuilCaduc*(1-Persistant)+Persistant</f>
        <v>0.60001787894495195</v>
      </c>
      <c r="BE45" s="290">
        <f>[2]!CroissVégét</f>
        <v>3.3770923278976551E-3</v>
      </c>
      <c r="BF45" s="819">
        <f>1+[2]!Salcycl*Ksac</f>
        <v>1.000002234868119</v>
      </c>
      <c r="BH45" s="1044">
        <f t="shared" si="22"/>
        <v>1.9771062139198717E-2</v>
      </c>
      <c r="BI45" s="11">
        <v>44227</v>
      </c>
      <c r="BJ45" s="726">
        <v>1.2908763624094224E-2</v>
      </c>
      <c r="BK45" s="726">
        <v>1.3756482544116889E-2</v>
      </c>
      <c r="BL45" s="726">
        <v>1.4743310723407276E-2</v>
      </c>
      <c r="BM45" s="726">
        <v>1.607861578818378E-2</v>
      </c>
      <c r="BN45" s="726">
        <v>1.8131851454310847E-2</v>
      </c>
      <c r="BO45" s="727">
        <v>2.1197081502063595E-2</v>
      </c>
      <c r="BP45" s="726">
        <v>2.5771008443778026E-2</v>
      </c>
      <c r="BQ45" s="726">
        <v>3.2896462939920927E-2</v>
      </c>
      <c r="BR45" s="726">
        <v>4.1554184035007012E-2</v>
      </c>
      <c r="BS45" s="726">
        <v>5.1025716946070401E-2</v>
      </c>
      <c r="BT45" s="726">
        <v>5.9937032864154187E-2</v>
      </c>
      <c r="BW45" s="1208">
        <f>'2018'!R\Max</f>
        <v>0</v>
      </c>
      <c r="BX45" s="1206">
        <f>'2019'!R\Max</f>
        <v>0.23149798360420382</v>
      </c>
      <c r="BY45" s="1206">
        <f>'2020'!R\Max</f>
        <v>0.65165900308205094</v>
      </c>
      <c r="BZ45" s="1206">
        <f>'2021'!R\Max</f>
        <v>0.27226583176810176</v>
      </c>
      <c r="CA45" s="1206">
        <f>'2022'!R\Max</f>
        <v>0.34324812491816353</v>
      </c>
      <c r="CB45" s="1206">
        <f>'2023'!R\Max</f>
        <v>0.34321108497141395</v>
      </c>
      <c r="CC45" s="1206">
        <f>'2024'!R\Max</f>
        <v>0.34315698202638156</v>
      </c>
      <c r="CD45" s="1206">
        <f>'2025'!R\Max</f>
        <v>0.3431028779552836</v>
      </c>
      <c r="CE45" s="1206">
        <f>'2026'!R\Max</f>
        <v>0.3433472016506251</v>
      </c>
      <c r="CF45" s="1207">
        <f>'2027'!R\Max</f>
        <v>0.3433193166778985</v>
      </c>
    </row>
    <row r="46" spans="1:84" s="6" customFormat="1" ht="11.25" x14ac:dyDescent="0.2">
      <c r="A46" s="11">
        <v>43132</v>
      </c>
      <c r="B46" s="379">
        <f>'2022'!Maxi_hp</f>
        <v>27.773324166847818</v>
      </c>
      <c r="C46" s="13">
        <f>'2022'!An_max</f>
        <v>2019</v>
      </c>
      <c r="D46" s="1053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2">
        <f t="shared" si="8"/>
        <v>43122</v>
      </c>
      <c r="I46" s="753">
        <f t="shared" si="9"/>
        <v>0.7142857142857143</v>
      </c>
      <c r="J46" s="746">
        <f t="shared" si="27"/>
        <v>34.721981924719046</v>
      </c>
      <c r="L46" s="755" t="s">
        <v>205</v>
      </c>
      <c r="M46" s="776">
        <f t="shared" ref="M46:AA46" si="49">L44</f>
        <v>284.41699999999997</v>
      </c>
      <c r="N46" s="780">
        <f t="shared" si="49"/>
        <v>251.714</v>
      </c>
      <c r="O46" s="742">
        <f t="shared" si="49"/>
        <v>313.15600000000001</v>
      </c>
      <c r="P46" s="742">
        <f t="shared" si="49"/>
        <v>415.22899999999998</v>
      </c>
      <c r="Q46" s="742">
        <f t="shared" si="49"/>
        <v>510.36500000000001</v>
      </c>
      <c r="R46" s="742">
        <f t="shared" si="49"/>
        <v>582.70799999999997</v>
      </c>
      <c r="S46" s="742">
        <f t="shared" si="49"/>
        <v>604.51</v>
      </c>
      <c r="T46" s="742">
        <f t="shared" si="49"/>
        <v>598.56399999999996</v>
      </c>
      <c r="U46" s="742">
        <f t="shared" si="49"/>
        <v>580.726</v>
      </c>
      <c r="V46" s="742">
        <f t="shared" si="49"/>
        <v>557.93299999999999</v>
      </c>
      <c r="W46" s="742">
        <f t="shared" si="49"/>
        <v>522.25699999999995</v>
      </c>
      <c r="X46" s="742">
        <f t="shared" si="49"/>
        <v>453.87799999999999</v>
      </c>
      <c r="Y46" s="742">
        <f t="shared" si="49"/>
        <v>364.68799999999999</v>
      </c>
      <c r="Z46" s="742">
        <f t="shared" si="49"/>
        <v>284.41699999999997</v>
      </c>
      <c r="AA46" s="778">
        <f t="shared" si="49"/>
        <v>251.714</v>
      </c>
      <c r="AD46" s="7"/>
      <c r="AE46" s="7"/>
      <c r="AF46" s="7"/>
      <c r="AH46" s="7"/>
      <c r="AI46" s="74"/>
      <c r="AO46" s="1046">
        <v>43132</v>
      </c>
      <c r="AP46" s="13">
        <f t="shared" si="11"/>
        <v>3</v>
      </c>
      <c r="AQ46" s="13">
        <f t="shared" si="12"/>
        <v>2</v>
      </c>
      <c r="AR46" s="172">
        <f t="shared" si="13"/>
        <v>43136</v>
      </c>
      <c r="AS46" s="753">
        <f t="shared" si="14"/>
        <v>0.14285714285714285</v>
      </c>
      <c r="AT46" s="769">
        <f t="shared" si="15"/>
        <v>34.776894796001059</v>
      </c>
      <c r="AU46" s="13">
        <f t="shared" si="16"/>
        <v>3</v>
      </c>
      <c r="AV46" s="13">
        <f t="shared" si="17"/>
        <v>2</v>
      </c>
      <c r="AW46" s="172">
        <f t="shared" si="18"/>
        <v>43150</v>
      </c>
      <c r="AX46" s="753">
        <f t="shared" si="19"/>
        <v>0.6428571428571429</v>
      </c>
      <c r="AY46" s="769">
        <f t="shared" si="20"/>
        <v>34.679558244972888</v>
      </c>
      <c r="AZ46" s="746">
        <f t="shared" si="26"/>
        <v>34.72822652048697</v>
      </c>
      <c r="BA46" s="641">
        <f t="shared" si="21"/>
        <v>0.79987727161034017</v>
      </c>
      <c r="BC46" s="11">
        <v>43132</v>
      </c>
      <c r="BD46" s="289">
        <f>[2]!FeuilCaduc*(1-Persistant)+Persistant</f>
        <v>0.60004199370502986</v>
      </c>
      <c r="BE46" s="290">
        <f>[2]!CroissVégét</f>
        <v>3.5761895087786043E-3</v>
      </c>
      <c r="BF46" s="819">
        <f>1+[2]!Salcycl*Ksac</f>
        <v>1.0000052492131288</v>
      </c>
      <c r="BH46" s="1044">
        <f t="shared" si="22"/>
        <v>1.9548364756768841E-2</v>
      </c>
      <c r="BI46" s="11">
        <v>44228</v>
      </c>
      <c r="BJ46" s="726">
        <v>1.2711212624980017E-2</v>
      </c>
      <c r="BK46" s="726">
        <v>1.3623830502622551E-2</v>
      </c>
      <c r="BL46" s="726">
        <v>1.4634820996854175E-2</v>
      </c>
      <c r="BM46" s="726">
        <v>1.5951312345665155E-2</v>
      </c>
      <c r="BN46" s="726">
        <v>1.7946776743670737E-2</v>
      </c>
      <c r="BO46" s="727">
        <v>2.0941654551098372E-2</v>
      </c>
      <c r="BP46" s="726">
        <v>2.5361339556163848E-2</v>
      </c>
      <c r="BQ46" s="726">
        <v>3.2345299103830542E-2</v>
      </c>
      <c r="BR46" s="726">
        <v>4.0886071709643201E-2</v>
      </c>
      <c r="BS46" s="726">
        <v>5.0410559457006503E-2</v>
      </c>
      <c r="BT46" s="726">
        <v>5.9458544066698794E-2</v>
      </c>
      <c r="BW46" s="1208">
        <f>'2018'!R\Max</f>
        <v>0</v>
      </c>
      <c r="BX46" s="1206">
        <f>'2019'!R\Max</f>
        <v>0.79987727161034017</v>
      </c>
      <c r="BY46" s="1206">
        <f>'2020'!R\Max</f>
        <v>0.35803766732116998</v>
      </c>
      <c r="BZ46" s="1206">
        <f>'2021'!R\Max</f>
        <v>0.30521443524233932</v>
      </c>
      <c r="CA46" s="1206">
        <f>'2022'!R\Max</f>
        <v>0.43097647728069993</v>
      </c>
      <c r="CB46" s="1206">
        <f>'2023'!R\Max</f>
        <v>0.43093784073181701</v>
      </c>
      <c r="CC46" s="1206">
        <f>'2024'!R\Max</f>
        <v>0.4308807429572174</v>
      </c>
      <c r="CD46" s="1206">
        <f>'2025'!R\Max</f>
        <v>0.43082364169730797</v>
      </c>
      <c r="CE46" s="1206">
        <f>'2026'!R\Max</f>
        <v>0.43107971423463609</v>
      </c>
      <c r="CF46" s="1207">
        <f>'2027'!R\Max</f>
        <v>0.43105054163191014</v>
      </c>
    </row>
    <row r="47" spans="1:84" s="6" customFormat="1" ht="11.25" x14ac:dyDescent="0.2">
      <c r="A47" s="11">
        <v>43133</v>
      </c>
      <c r="B47" s="379">
        <f>'2022'!Maxi_hp</f>
        <v>31.04236433925411</v>
      </c>
      <c r="C47" s="13">
        <f>'2022'!An_max</f>
        <v>2021</v>
      </c>
      <c r="D47" s="1053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2">
        <f t="shared" si="8"/>
        <v>43122</v>
      </c>
      <c r="I47" s="753">
        <f t="shared" si="9"/>
        <v>0.7857142857142857</v>
      </c>
      <c r="J47" s="746">
        <f t="shared" si="27"/>
        <v>35.082086188266317</v>
      </c>
      <c r="L47" s="755" t="s">
        <v>206</v>
      </c>
      <c r="M47" s="787">
        <f t="shared" ref="M47:AA47" si="50">M43</f>
        <v>43093</v>
      </c>
      <c r="N47" s="737">
        <f t="shared" si="50"/>
        <v>43122</v>
      </c>
      <c r="O47" s="737">
        <f t="shared" si="50"/>
        <v>43150</v>
      </c>
      <c r="P47" s="737">
        <f t="shared" si="50"/>
        <v>43178</v>
      </c>
      <c r="Q47" s="737">
        <f t="shared" si="50"/>
        <v>43206</v>
      </c>
      <c r="R47" s="737">
        <f t="shared" si="50"/>
        <v>43234</v>
      </c>
      <c r="S47" s="737">
        <f t="shared" si="50"/>
        <v>43262</v>
      </c>
      <c r="T47" s="737">
        <f t="shared" si="50"/>
        <v>43290</v>
      </c>
      <c r="U47" s="737">
        <f t="shared" si="50"/>
        <v>43318</v>
      </c>
      <c r="V47" s="737">
        <f t="shared" si="50"/>
        <v>43346</v>
      </c>
      <c r="W47" s="737">
        <f t="shared" si="50"/>
        <v>43374</v>
      </c>
      <c r="X47" s="737">
        <f t="shared" si="50"/>
        <v>43402</v>
      </c>
      <c r="Y47" s="737">
        <f t="shared" si="50"/>
        <v>43430</v>
      </c>
      <c r="Z47" s="779">
        <f t="shared" si="50"/>
        <v>43458</v>
      </c>
      <c r="AA47" s="786">
        <f t="shared" si="50"/>
        <v>43487</v>
      </c>
      <c r="AD47" s="7"/>
      <c r="AE47" s="7"/>
      <c r="AF47" s="7"/>
      <c r="AH47" s="7"/>
      <c r="AI47" s="74"/>
      <c r="AO47" s="1046">
        <v>43133</v>
      </c>
      <c r="AP47" s="13">
        <f t="shared" si="11"/>
        <v>3</v>
      </c>
      <c r="AQ47" s="13">
        <f t="shared" si="12"/>
        <v>2</v>
      </c>
      <c r="AR47" s="172">
        <f t="shared" si="13"/>
        <v>43136</v>
      </c>
      <c r="AS47" s="753">
        <f t="shared" si="14"/>
        <v>0.10714285714285714</v>
      </c>
      <c r="AT47" s="769">
        <f t="shared" si="15"/>
        <v>35.131041705368887</v>
      </c>
      <c r="AU47" s="13">
        <f t="shared" si="16"/>
        <v>3</v>
      </c>
      <c r="AV47" s="13">
        <f t="shared" si="17"/>
        <v>2</v>
      </c>
      <c r="AW47" s="172">
        <f t="shared" si="18"/>
        <v>43150</v>
      </c>
      <c r="AX47" s="753">
        <f t="shared" si="19"/>
        <v>0.6071428571428571</v>
      </c>
      <c r="AY47" s="769">
        <f t="shared" si="20"/>
        <v>35.054000789279648</v>
      </c>
      <c r="AZ47" s="746">
        <f t="shared" si="26"/>
        <v>35.092521247324271</v>
      </c>
      <c r="BA47" s="641">
        <f t="shared" si="21"/>
        <v>0.88484944061384396</v>
      </c>
      <c r="BC47" s="11">
        <v>43133</v>
      </c>
      <c r="BD47" s="289">
        <f>[2]!FeuilCaduc*(1-Persistant)+Persistant</f>
        <v>0.60007781000177363</v>
      </c>
      <c r="BE47" s="290">
        <f>[2]!CroissVégét</f>
        <v>3.7835546392683654E-3</v>
      </c>
      <c r="BF47" s="819">
        <f>1+[2]!Salcycl*Ksac</f>
        <v>1.0000097262502217</v>
      </c>
      <c r="BH47" s="1044">
        <f t="shared" si="22"/>
        <v>1.9338906457690326E-2</v>
      </c>
      <c r="BI47" s="11">
        <v>44229</v>
      </c>
      <c r="BJ47" s="726">
        <v>1.2487763023046888E-2</v>
      </c>
      <c r="BK47" s="726">
        <v>1.3469248109544923E-2</v>
      </c>
      <c r="BL47" s="726">
        <v>1.4512633457874378E-2</v>
      </c>
      <c r="BM47" s="726">
        <v>1.5821223646579466E-2</v>
      </c>
      <c r="BN47" s="726">
        <v>1.7772096488990915E-2</v>
      </c>
      <c r="BO47" s="727">
        <v>2.0701941346306804E-2</v>
      </c>
      <c r="BP47" s="726">
        <v>2.4971222235500606E-2</v>
      </c>
      <c r="BQ47" s="726">
        <v>3.1790192854601745E-2</v>
      </c>
      <c r="BR47" s="726">
        <v>4.0179877525944992E-2</v>
      </c>
      <c r="BS47" s="726">
        <v>4.9731311949090244E-2</v>
      </c>
      <c r="BT47" s="726">
        <v>5.8924292867492768E-2</v>
      </c>
      <c r="BW47" s="1208">
        <f>'2018'!R\Max</f>
        <v>0</v>
      </c>
      <c r="BX47" s="1206">
        <f>'2019'!R\Max</f>
        <v>9.1842950889271094E-2</v>
      </c>
      <c r="BY47" s="1206">
        <f>'2020'!R\Max</f>
        <v>0.83894733761287399</v>
      </c>
      <c r="BZ47" s="1206">
        <f>'2021'!R\Max</f>
        <v>0.88484944061384396</v>
      </c>
      <c r="CA47" s="1206">
        <f>'2022'!R\Max</f>
        <v>0.1576399638707594</v>
      </c>
      <c r="CB47" s="1206">
        <f>'2023'!R\Max</f>
        <v>0.15762330617645687</v>
      </c>
      <c r="CC47" s="1206">
        <f>'2024'!R\Max</f>
        <v>0.15759847532451693</v>
      </c>
      <c r="CD47" s="1206">
        <f>'2025'!R\Max</f>
        <v>0.15757364447257699</v>
      </c>
      <c r="CE47" s="1206">
        <f>'2026'!R\Max</f>
        <v>0.15768446820909188</v>
      </c>
      <c r="CF47" s="1207">
        <f>'2027'!R\Max</f>
        <v>0.15767183345185085</v>
      </c>
    </row>
    <row r="48" spans="1:84" s="6" customFormat="1" ht="11.25" x14ac:dyDescent="0.2">
      <c r="A48" s="11">
        <v>43134</v>
      </c>
      <c r="B48" s="379">
        <f>'2022'!Maxi_hp</f>
        <v>27.850010824525498</v>
      </c>
      <c r="C48" s="13">
        <f>'2022'!An_max</f>
        <v>2020</v>
      </c>
      <c r="D48" s="1053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2">
        <f t="shared" si="8"/>
        <v>43122</v>
      </c>
      <c r="I48" s="753">
        <f t="shared" si="9"/>
        <v>0.8571428571428571</v>
      </c>
      <c r="J48" s="746">
        <f t="shared" si="27"/>
        <v>35.443996210076975</v>
      </c>
      <c r="L48" s="755" t="s">
        <v>207</v>
      </c>
      <c r="M48" s="780">
        <f t="shared" ref="M48:AA48" si="51">M44</f>
        <v>251.714</v>
      </c>
      <c r="N48" s="743">
        <f t="shared" si="51"/>
        <v>313.15600000000001</v>
      </c>
      <c r="O48" s="743">
        <f t="shared" si="51"/>
        <v>415.22899999999998</v>
      </c>
      <c r="P48" s="743">
        <f t="shared" si="51"/>
        <v>510.36500000000001</v>
      </c>
      <c r="Q48" s="743">
        <f t="shared" si="51"/>
        <v>582.70799999999997</v>
      </c>
      <c r="R48" s="743">
        <f t="shared" si="51"/>
        <v>604.51</v>
      </c>
      <c r="S48" s="743">
        <f t="shared" si="51"/>
        <v>598.56399999999996</v>
      </c>
      <c r="T48" s="743">
        <f t="shared" si="51"/>
        <v>580.726</v>
      </c>
      <c r="U48" s="743">
        <f t="shared" si="51"/>
        <v>557.93299999999999</v>
      </c>
      <c r="V48" s="743">
        <f t="shared" si="51"/>
        <v>522.25699999999995</v>
      </c>
      <c r="W48" s="743">
        <f t="shared" si="51"/>
        <v>453.87799999999999</v>
      </c>
      <c r="X48" s="743">
        <f t="shared" si="51"/>
        <v>364.68799999999999</v>
      </c>
      <c r="Y48" s="743">
        <f t="shared" si="51"/>
        <v>284.41699999999997</v>
      </c>
      <c r="Z48" s="778">
        <f t="shared" si="51"/>
        <v>251.714</v>
      </c>
      <c r="AA48" s="776">
        <f t="shared" si="51"/>
        <v>313.15600000000001</v>
      </c>
      <c r="AD48" s="7"/>
      <c r="AE48" s="7"/>
      <c r="AF48" s="7"/>
      <c r="AH48" s="7"/>
      <c r="AI48" s="74"/>
      <c r="AO48" s="1046">
        <v>43134</v>
      </c>
      <c r="AP48" s="13">
        <f t="shared" si="11"/>
        <v>3</v>
      </c>
      <c r="AQ48" s="13">
        <f t="shared" si="12"/>
        <v>2</v>
      </c>
      <c r="AR48" s="172">
        <f t="shared" si="13"/>
        <v>43136</v>
      </c>
      <c r="AS48" s="753">
        <f t="shared" si="14"/>
        <v>7.1428571428571425E-2</v>
      </c>
      <c r="AT48" s="769">
        <f t="shared" si="15"/>
        <v>35.482042340601666</v>
      </c>
      <c r="AU48" s="13">
        <f t="shared" si="16"/>
        <v>3</v>
      </c>
      <c r="AV48" s="13">
        <f t="shared" si="17"/>
        <v>2</v>
      </c>
      <c r="AW48" s="172">
        <f t="shared" si="18"/>
        <v>43150</v>
      </c>
      <c r="AX48" s="753">
        <f t="shared" si="19"/>
        <v>0.5714285714285714</v>
      </c>
      <c r="AY48" s="769">
        <f t="shared" si="20"/>
        <v>35.432685807054597</v>
      </c>
      <c r="AZ48" s="746">
        <f t="shared" si="26"/>
        <v>35.457364073828131</v>
      </c>
      <c r="BA48" s="641">
        <f t="shared" si="21"/>
        <v>0.78574691915263062</v>
      </c>
      <c r="BC48" s="11">
        <v>43134</v>
      </c>
      <c r="BD48" s="289">
        <f>[2]!FeuilCaduc*(1-Persistant)+Persistant</f>
        <v>0.60012488414550325</v>
      </c>
      <c r="BE48" s="290">
        <f>[2]!CroissVégét</f>
        <v>3.9995273885343324E-3</v>
      </c>
      <c r="BF48" s="819">
        <f>1+[2]!Salcycl*Ksac</f>
        <v>1.0000156105181879</v>
      </c>
      <c r="BH48" s="1044">
        <f t="shared" si="22"/>
        <v>1.914271615768607E-2</v>
      </c>
      <c r="BI48" s="11">
        <v>44230</v>
      </c>
      <c r="BJ48" s="726">
        <v>1.2238441042492753E-2</v>
      </c>
      <c r="BK48" s="726">
        <v>1.329276008628905E-2</v>
      </c>
      <c r="BL48" s="726">
        <v>1.4376771966358368E-2</v>
      </c>
      <c r="BM48" s="726">
        <v>1.5688373924141515E-2</v>
      </c>
      <c r="BN48" s="726">
        <v>1.7607836945000049E-2</v>
      </c>
      <c r="BO48" s="727">
        <v>2.0477973118324288E-2</v>
      </c>
      <c r="BP48" s="726">
        <v>2.4600697264149103E-2</v>
      </c>
      <c r="BQ48" s="726">
        <v>3.1231201946667248E-2</v>
      </c>
      <c r="BR48" s="726">
        <v>3.9435679201652855E-2</v>
      </c>
      <c r="BS48" s="726">
        <v>4.8988066796790491E-2</v>
      </c>
      <c r="BT48" s="726">
        <v>5.833437736941386E-2</v>
      </c>
      <c r="BW48" s="1208">
        <f>'2018'!R\Max</f>
        <v>0</v>
      </c>
      <c r="BX48" s="1206">
        <f>'2019'!R\Max</f>
        <v>0.44257320271665979</v>
      </c>
      <c r="BY48" s="1206">
        <f>'2020'!R\Max</f>
        <v>0.78574691915263062</v>
      </c>
      <c r="BZ48" s="1206">
        <f>'2021'!R\Max</f>
        <v>0.68667951479754641</v>
      </c>
      <c r="CA48" s="1206">
        <f>'2022'!R\Max</f>
        <v>0.43607283122839086</v>
      </c>
      <c r="CB48" s="1206">
        <f>'2023'!R\Max</f>
        <v>0.43603730335825541</v>
      </c>
      <c r="CC48" s="1206">
        <f>'2024'!R\Max</f>
        <v>0.43598404646933919</v>
      </c>
      <c r="CD48" s="1206">
        <f>'2025'!R\Max</f>
        <v>0.43593078643923533</v>
      </c>
      <c r="CE48" s="1206">
        <f>'2026'!R\Max</f>
        <v>0.43616781344067951</v>
      </c>
      <c r="CF48" s="1207">
        <f>'2027'!R\Max</f>
        <v>0.43614070720470721</v>
      </c>
    </row>
    <row r="49" spans="1:84" s="6" customFormat="1" ht="11.25" x14ac:dyDescent="0.2">
      <c r="A49" s="11">
        <v>43135</v>
      </c>
      <c r="B49" s="379">
        <f>'2022'!Maxi_hp</f>
        <v>29.1914143774355</v>
      </c>
      <c r="C49" s="13">
        <f>'2022'!An_max</f>
        <v>2019</v>
      </c>
      <c r="D49" s="1053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2">
        <f t="shared" si="8"/>
        <v>43122</v>
      </c>
      <c r="I49" s="753">
        <f t="shared" si="9"/>
        <v>0.9285714285714286</v>
      </c>
      <c r="J49" s="746">
        <f t="shared" si="27"/>
        <v>35.807278608344497</v>
      </c>
      <c r="L49" s="755" t="s">
        <v>208</v>
      </c>
      <c r="M49" s="782">
        <f t="shared" ref="M49:AA49" si="52">N43</f>
        <v>43122</v>
      </c>
      <c r="N49" s="738">
        <f t="shared" si="52"/>
        <v>43150</v>
      </c>
      <c r="O49" s="738">
        <f t="shared" si="52"/>
        <v>43178</v>
      </c>
      <c r="P49" s="738">
        <f t="shared" si="52"/>
        <v>43206</v>
      </c>
      <c r="Q49" s="738">
        <f t="shared" si="52"/>
        <v>43234</v>
      </c>
      <c r="R49" s="738">
        <f t="shared" si="52"/>
        <v>43262</v>
      </c>
      <c r="S49" s="738">
        <f t="shared" si="52"/>
        <v>43290</v>
      </c>
      <c r="T49" s="738">
        <f t="shared" si="52"/>
        <v>43318</v>
      </c>
      <c r="U49" s="738">
        <f t="shared" si="52"/>
        <v>43346</v>
      </c>
      <c r="V49" s="738">
        <f t="shared" si="52"/>
        <v>43374</v>
      </c>
      <c r="W49" s="738">
        <f t="shared" si="52"/>
        <v>43402</v>
      </c>
      <c r="X49" s="738">
        <f t="shared" si="52"/>
        <v>43430</v>
      </c>
      <c r="Y49" s="738">
        <f t="shared" si="52"/>
        <v>43458</v>
      </c>
      <c r="Z49" s="788">
        <f t="shared" si="52"/>
        <v>43487</v>
      </c>
      <c r="AA49" s="786">
        <f t="shared" si="52"/>
        <v>43515</v>
      </c>
      <c r="AD49" s="7"/>
      <c r="AE49" s="7"/>
      <c r="AF49" s="7"/>
      <c r="AH49" s="7"/>
      <c r="AI49" s="74"/>
      <c r="AO49" s="1046">
        <v>43135</v>
      </c>
      <c r="AP49" s="13">
        <f t="shared" si="11"/>
        <v>3</v>
      </c>
      <c r="AQ49" s="13">
        <f t="shared" si="12"/>
        <v>2</v>
      </c>
      <c r="AR49" s="172">
        <f t="shared" si="13"/>
        <v>43136</v>
      </c>
      <c r="AS49" s="753">
        <f t="shared" si="14"/>
        <v>3.5714285714285712E-2</v>
      </c>
      <c r="AT49" s="769">
        <f t="shared" si="15"/>
        <v>35.829120504669845</v>
      </c>
      <c r="AU49" s="13">
        <f t="shared" si="16"/>
        <v>3</v>
      </c>
      <c r="AV49" s="13">
        <f t="shared" si="17"/>
        <v>2</v>
      </c>
      <c r="AW49" s="172">
        <f t="shared" si="18"/>
        <v>43150</v>
      </c>
      <c r="AX49" s="753">
        <f t="shared" si="19"/>
        <v>0.5357142857142857</v>
      </c>
      <c r="AY49" s="769">
        <f t="shared" si="20"/>
        <v>35.814944521969714</v>
      </c>
      <c r="AZ49" s="746">
        <f t="shared" si="26"/>
        <v>35.822032513319783</v>
      </c>
      <c r="BA49" s="641">
        <f t="shared" si="21"/>
        <v>0.81523688791677007</v>
      </c>
      <c r="BC49" s="11">
        <v>43135</v>
      </c>
      <c r="BD49" s="289">
        <f>[2]!FeuilCaduc*(1-Persistant)+Persistant</f>
        <v>0.60018269193090101</v>
      </c>
      <c r="BE49" s="290">
        <f>[2]!CroissVégét</f>
        <v>4.2244610672662677E-3</v>
      </c>
      <c r="BF49" s="819">
        <f>1+[2]!Salcycl*Ksac</f>
        <v>1.0000228364913626</v>
      </c>
      <c r="BH49" s="1044">
        <f t="shared" si="22"/>
        <v>1.8959820980610623E-2</v>
      </c>
      <c r="BI49" s="11">
        <v>44231</v>
      </c>
      <c r="BJ49" s="726">
        <v>1.1963273229809437E-2</v>
      </c>
      <c r="BK49" s="726">
        <v>1.3094391599115039E-2</v>
      </c>
      <c r="BL49" s="726">
        <v>1.4227260529657544E-2</v>
      </c>
      <c r="BM49" s="726">
        <v>1.5552786910799801E-2</v>
      </c>
      <c r="BN49" s="726">
        <v>1.7454022907486565E-2</v>
      </c>
      <c r="BO49" s="727">
        <v>2.0269779016289499E-2</v>
      </c>
      <c r="BP49" s="726">
        <v>2.4249802375900884E-2</v>
      </c>
      <c r="BQ49" s="726">
        <v>3.0668381568415122E-2</v>
      </c>
      <c r="BR49" s="726">
        <v>3.8653553033218539E-2</v>
      </c>
      <c r="BS49" s="726">
        <v>4.8180916533984645E-2</v>
      </c>
      <c r="BT49" s="726">
        <v>5.7688896091623122E-2</v>
      </c>
      <c r="BW49" s="1208">
        <f>'2018'!R\Max</f>
        <v>0</v>
      </c>
      <c r="BX49" s="1206">
        <f>'2019'!R\Max</f>
        <v>0.81523688791677007</v>
      </c>
      <c r="BY49" s="1206">
        <f>'2020'!R\Max</f>
        <v>0.53058625931839265</v>
      </c>
      <c r="BZ49" s="1206">
        <f>'2021'!R\Max</f>
        <v>0.47102021641147113</v>
      </c>
      <c r="CA49" s="1206">
        <f>'2022'!R\Max</f>
        <v>0.35917730488583166</v>
      </c>
      <c r="CB49" s="1206">
        <f>'2023'!R\Max</f>
        <v>0.35914550612067708</v>
      </c>
      <c r="CC49" s="1206">
        <f>'2024'!R\Max</f>
        <v>0.35909773941118861</v>
      </c>
      <c r="CD49" s="1206">
        <f>'2025'!R\Max</f>
        <v>0.3590499715265475</v>
      </c>
      <c r="CE49" s="1206">
        <f>'2026'!R\Max</f>
        <v>0.35926246984696403</v>
      </c>
      <c r="CF49" s="1207">
        <f>'2027'!R\Max</f>
        <v>0.35923802067179483</v>
      </c>
    </row>
    <row r="50" spans="1:84" s="6" customFormat="1" ht="11.25" x14ac:dyDescent="0.2">
      <c r="A50" s="11">
        <v>43136</v>
      </c>
      <c r="B50" s="379">
        <f>'2022'!Maxi_hp</f>
        <v>36.34952786245141</v>
      </c>
      <c r="C50" s="13">
        <f>'2022'!An_max</f>
        <v>2020</v>
      </c>
      <c r="D50" s="1053">
        <f t="shared" si="7"/>
        <v>1.0049217716079692</v>
      </c>
      <c r="E50" s="1048">
        <f>P$13/10</f>
        <v>36.171499999999995</v>
      </c>
      <c r="F50" s="13">
        <f t="shared" si="23"/>
        <v>5</v>
      </c>
      <c r="G50" s="13">
        <f t="shared" si="24"/>
        <v>4</v>
      </c>
      <c r="H50" s="172">
        <f t="shared" si="8"/>
        <v>43150</v>
      </c>
      <c r="I50" s="753">
        <f t="shared" si="9"/>
        <v>1</v>
      </c>
      <c r="J50" s="746">
        <f t="shared" si="27"/>
        <v>36.171500000730155</v>
      </c>
      <c r="L50" s="755" t="s">
        <v>209</v>
      </c>
      <c r="M50" s="783">
        <f t="shared" ref="M50:AA50" si="53">N44</f>
        <v>313.15600000000001</v>
      </c>
      <c r="N50" s="743">
        <f t="shared" si="53"/>
        <v>415.22899999999998</v>
      </c>
      <c r="O50" s="743">
        <f t="shared" si="53"/>
        <v>510.36500000000001</v>
      </c>
      <c r="P50" s="743">
        <f t="shared" si="53"/>
        <v>582.70799999999997</v>
      </c>
      <c r="Q50" s="743">
        <f t="shared" si="53"/>
        <v>604.51</v>
      </c>
      <c r="R50" s="743">
        <f t="shared" si="53"/>
        <v>598.56399999999996</v>
      </c>
      <c r="S50" s="743">
        <f t="shared" si="53"/>
        <v>580.726</v>
      </c>
      <c r="T50" s="743">
        <f t="shared" si="53"/>
        <v>557.93299999999999</v>
      </c>
      <c r="U50" s="743">
        <f t="shared" si="53"/>
        <v>522.25699999999995</v>
      </c>
      <c r="V50" s="743">
        <f t="shared" si="53"/>
        <v>453.87799999999999</v>
      </c>
      <c r="W50" s="743">
        <f t="shared" si="53"/>
        <v>364.68799999999999</v>
      </c>
      <c r="X50" s="743">
        <f t="shared" si="53"/>
        <v>284.41699999999997</v>
      </c>
      <c r="Y50" s="743">
        <f t="shared" si="53"/>
        <v>251.714</v>
      </c>
      <c r="Z50" s="789">
        <f t="shared" si="53"/>
        <v>313.15600000000001</v>
      </c>
      <c r="AA50" s="776">
        <f t="shared" si="53"/>
        <v>415.22899999999998</v>
      </c>
      <c r="AD50" s="7"/>
      <c r="AE50" s="7"/>
      <c r="AF50" s="7"/>
      <c r="AH50" s="7"/>
      <c r="AI50" s="74"/>
      <c r="AO50" s="1046">
        <v>43136</v>
      </c>
      <c r="AP50" s="13">
        <f t="shared" si="11"/>
        <v>3</v>
      </c>
      <c r="AQ50" s="13">
        <f t="shared" si="12"/>
        <v>4</v>
      </c>
      <c r="AR50" s="172">
        <f t="shared" si="13"/>
        <v>43136</v>
      </c>
      <c r="AS50" s="753">
        <f t="shared" si="14"/>
        <v>0</v>
      </c>
      <c r="AT50" s="769">
        <f t="shared" si="15"/>
        <v>36.171499999985102</v>
      </c>
      <c r="AU50" s="13">
        <f t="shared" si="16"/>
        <v>3</v>
      </c>
      <c r="AV50" s="13">
        <f t="shared" si="17"/>
        <v>2</v>
      </c>
      <c r="AW50" s="172">
        <f t="shared" si="18"/>
        <v>43150</v>
      </c>
      <c r="AX50" s="753">
        <f t="shared" si="19"/>
        <v>0.5</v>
      </c>
      <c r="AY50" s="769">
        <f t="shared" si="20"/>
        <v>36.200108155608177</v>
      </c>
      <c r="AZ50" s="746">
        <f t="shared" si="26"/>
        <v>36.185804077796639</v>
      </c>
      <c r="BA50" s="641">
        <f t="shared" si="21"/>
        <v>1.0049217716079692</v>
      </c>
      <c r="BC50" s="11">
        <v>43136</v>
      </c>
      <c r="BD50" s="289">
        <f>[2]!FeuilCaduc*(1-Persistant)+Persistant</f>
        <v>0.60025063350584451</v>
      </c>
      <c r="BE50" s="290">
        <f>[2]!CroissVégét</f>
        <v>4.4587231488279668E-3</v>
      </c>
      <c r="BF50" s="819">
        <f>1+[2]!Salcycl*Ksac</f>
        <v>1.0000313291882306</v>
      </c>
      <c r="BH50" s="1044">
        <f t="shared" si="22"/>
        <v>1.8790246426454237E-2</v>
      </c>
      <c r="BI50" s="11">
        <v>44232</v>
      </c>
      <c r="BJ50" s="726">
        <v>1.1662286131542425E-2</v>
      </c>
      <c r="BK50" s="726">
        <v>1.2874167986704857E-2</v>
      </c>
      <c r="BL50" s="726">
        <v>1.4064123133244221E-2</v>
      </c>
      <c r="BM50" s="726">
        <v>1.5414485805494735E-2</v>
      </c>
      <c r="BN50" s="726">
        <v>1.7310677845554252E-2</v>
      </c>
      <c r="BO50" s="727">
        <v>2.0077386306947519E-2</v>
      </c>
      <c r="BP50" s="726">
        <v>2.3918572503517511E-2</v>
      </c>
      <c r="BQ50" s="726">
        <v>3.0101784296815353E-2</v>
      </c>
      <c r="BR50" s="726">
        <v>3.7833573424664563E-2</v>
      </c>
      <c r="BS50" s="726">
        <v>4.7309953059025245E-2</v>
      </c>
      <c r="BT50" s="726">
        <v>5.6987947280144363E-2</v>
      </c>
      <c r="BW50" s="1208">
        <f>'2018'!R\Max</f>
        <v>0</v>
      </c>
      <c r="BX50" s="1206">
        <f>'2019'!R\Max</f>
        <v>0.11275023079948306</v>
      </c>
      <c r="BY50" s="1206">
        <f>'2020'!R\Max</f>
        <v>1.0049217716079692</v>
      </c>
      <c r="BZ50" s="1206">
        <f>'2021'!R\Max</f>
        <v>0.27875292928528594</v>
      </c>
      <c r="CA50" s="1206">
        <f>'2022'!R\Max</f>
        <v>0.29464907876126001</v>
      </c>
      <c r="CB50" s="1206">
        <f>'2023'!R\Max</f>
        <v>0.29462185403351226</v>
      </c>
      <c r="CC50" s="1206">
        <f>'2024'!R\Max</f>
        <v>0.29458102656202068</v>
      </c>
      <c r="CD50" s="1206">
        <f>'2025'!R\Max</f>
        <v>0.29454019909052909</v>
      </c>
      <c r="CE50" s="1206">
        <f>'2026'!R\Max</f>
        <v>0.29472220552022976</v>
      </c>
      <c r="CF50" s="1207">
        <f>'2027'!R\Max</f>
        <v>0.29470107267934614</v>
      </c>
    </row>
    <row r="51" spans="1:84" s="6" customFormat="1" ht="11.25" x14ac:dyDescent="0.2">
      <c r="A51" s="11">
        <v>43137</v>
      </c>
      <c r="B51" s="379">
        <f>'2022'!Maxi_hp</f>
        <v>37.913350711029565</v>
      </c>
      <c r="C51" s="13">
        <f>'2022'!An_max</f>
        <v>2020</v>
      </c>
      <c r="D51" s="1053">
        <f t="shared" si="7"/>
        <v>1.0375945710346632</v>
      </c>
      <c r="E51" s="13"/>
      <c r="F51" s="13">
        <f t="shared" si="23"/>
        <v>5</v>
      </c>
      <c r="G51" s="13">
        <f t="shared" si="24"/>
        <v>4</v>
      </c>
      <c r="H51" s="172">
        <f t="shared" si="8"/>
        <v>43150</v>
      </c>
      <c r="I51" s="753">
        <f t="shared" si="9"/>
        <v>0.9285714285714286</v>
      </c>
      <c r="J51" s="746">
        <f t="shared" si="27"/>
        <v>36.539657944839981</v>
      </c>
      <c r="L51" s="756" t="s">
        <v>210</v>
      </c>
      <c r="M51" s="740">
        <f t="shared" ref="M51:AA51" si="54">x.1ld*x.1ld-x.2ld*x.2ld</f>
        <v>-2412424</v>
      </c>
      <c r="N51" s="740">
        <f t="shared" si="54"/>
        <v>-2500235</v>
      </c>
      <c r="O51" s="740">
        <f t="shared" si="54"/>
        <v>-2415616</v>
      </c>
      <c r="P51" s="740">
        <f t="shared" si="54"/>
        <v>-2417184</v>
      </c>
      <c r="Q51" s="740">
        <f t="shared" si="54"/>
        <v>-2418752</v>
      </c>
      <c r="R51" s="740">
        <f t="shared" si="54"/>
        <v>-2420320</v>
      </c>
      <c r="S51" s="740">
        <f t="shared" si="54"/>
        <v>-2421888</v>
      </c>
      <c r="T51" s="740">
        <f t="shared" si="54"/>
        <v>-2423456</v>
      </c>
      <c r="U51" s="740">
        <f t="shared" si="54"/>
        <v>-2425024</v>
      </c>
      <c r="V51" s="740">
        <f t="shared" si="54"/>
        <v>-2426592</v>
      </c>
      <c r="W51" s="740">
        <f t="shared" si="54"/>
        <v>-2428160</v>
      </c>
      <c r="X51" s="740">
        <f t="shared" si="54"/>
        <v>-2429728</v>
      </c>
      <c r="Y51" s="740">
        <f t="shared" si="54"/>
        <v>-2431296</v>
      </c>
      <c r="Z51" s="740">
        <f t="shared" si="54"/>
        <v>-2432864</v>
      </c>
      <c r="AA51" s="740">
        <f t="shared" si="54"/>
        <v>-2521405</v>
      </c>
      <c r="AC51" s="7"/>
      <c r="AD51" s="7"/>
      <c r="AE51" s="7"/>
      <c r="AF51" s="7"/>
      <c r="AH51" s="7"/>
      <c r="AI51" s="74"/>
      <c r="AO51" s="1046">
        <v>43137</v>
      </c>
      <c r="AP51" s="13">
        <f t="shared" si="11"/>
        <v>3</v>
      </c>
      <c r="AQ51" s="13">
        <f t="shared" si="12"/>
        <v>4</v>
      </c>
      <c r="AR51" s="172">
        <f t="shared" si="13"/>
        <v>43136</v>
      </c>
      <c r="AS51" s="753">
        <f t="shared" si="14"/>
        <v>3.5714285714285712E-2</v>
      </c>
      <c r="AT51" s="769">
        <f t="shared" si="15"/>
        <v>36.513801746948488</v>
      </c>
      <c r="AU51" s="13">
        <f t="shared" si="16"/>
        <v>3</v>
      </c>
      <c r="AV51" s="13">
        <f t="shared" si="17"/>
        <v>2</v>
      </c>
      <c r="AW51" s="172">
        <f t="shared" si="18"/>
        <v>43150</v>
      </c>
      <c r="AX51" s="753">
        <f t="shared" si="19"/>
        <v>0.4642857142857143</v>
      </c>
      <c r="AY51" s="769">
        <f t="shared" si="20"/>
        <v>36.587507931216223</v>
      </c>
      <c r="AZ51" s="746">
        <f t="shared" si="26"/>
        <v>36.550654839082355</v>
      </c>
      <c r="BA51" s="641">
        <f t="shared" si="21"/>
        <v>1.0375945710346632</v>
      </c>
      <c r="BC51" s="11">
        <v>43137</v>
      </c>
      <c r="BD51" s="289">
        <f>[2]!FeuilCaduc*(1-Persistant)+Persistant</f>
        <v>0.60032803951137059</v>
      </c>
      <c r="BE51" s="290">
        <f>[2]!CroissVégét</f>
        <v>4.7026958080162657E-3</v>
      </c>
      <c r="BF51" s="819">
        <f>1+[2]!Salcycl*Ksac</f>
        <v>1.0000410049389212</v>
      </c>
      <c r="BH51" s="1044">
        <f t="shared" si="22"/>
        <v>1.8634016539307057E-2</v>
      </c>
      <c r="BI51" s="11">
        <v>44233</v>
      </c>
      <c r="BJ51" s="726">
        <v>1.1335505972024082E-2</v>
      </c>
      <c r="BK51" s="726">
        <v>1.2632114487700777E-2</v>
      </c>
      <c r="BL51" s="726">
        <v>1.3887383571341264E-2</v>
      </c>
      <c r="BM51" s="726">
        <v>1.5273493240884015E-2</v>
      </c>
      <c r="BN51" s="726">
        <v>1.7177824033841257E-2</v>
      </c>
      <c r="BO51" s="727">
        <v>1.9900820573710357E-2</v>
      </c>
      <c r="BP51" s="726">
        <v>2.360704002621845E-2</v>
      </c>
      <c r="BQ51" s="726">
        <v>2.9531460051980159E-2</v>
      </c>
      <c r="BR51" s="726">
        <v>3.697581241635909E-2</v>
      </c>
      <c r="BS51" s="726">
        <v>4.6375266839701598E-2</v>
      </c>
      <c r="BT51" s="726">
        <v>5.6231628218320506E-2</v>
      </c>
      <c r="BW51" s="1208">
        <f>'2018'!R\Max</f>
        <v>0</v>
      </c>
      <c r="BX51" s="1206">
        <f>'2019'!R\Max</f>
        <v>0.35372655330927755</v>
      </c>
      <c r="BY51" s="1206">
        <f>'2020'!R\Max</f>
        <v>1.0375945710346632</v>
      </c>
      <c r="BZ51" s="1206">
        <f>'2021'!R\Max</f>
        <v>0.22242402403289638</v>
      </c>
      <c r="CA51" s="1206">
        <f>'2022'!R\Max</f>
        <v>0.6606202015193765</v>
      </c>
      <c r="CB51" s="1206">
        <f>'2023'!R\Max</f>
        <v>0.66059196607297332</v>
      </c>
      <c r="CC51" s="1206">
        <f>'2024'!R\Max</f>
        <v>0.66054986572474528</v>
      </c>
      <c r="CD51" s="1206">
        <f>'2025'!R\Max</f>
        <v>0.66050775967316833</v>
      </c>
      <c r="CE51" s="1206">
        <f>'2026'!R\Max</f>
        <v>0.6606963437907416</v>
      </c>
      <c r="CF51" s="1207">
        <f>'2027'!R\Max</f>
        <v>0.66067417907518777</v>
      </c>
    </row>
    <row r="52" spans="1:84" s="6" customFormat="1" ht="11.25" x14ac:dyDescent="0.2">
      <c r="A52" s="11">
        <v>43138</v>
      </c>
      <c r="B52" s="379">
        <f>'2022'!Maxi_hp</f>
        <v>24.755005366085477</v>
      </c>
      <c r="C52" s="13">
        <f>'2022'!An_max</f>
        <v>2021</v>
      </c>
      <c r="D52" s="1053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2">
        <f t="shared" si="8"/>
        <v>43150</v>
      </c>
      <c r="I52" s="753">
        <f t="shared" si="9"/>
        <v>0.8571428571428571</v>
      </c>
      <c r="J52" s="746">
        <f t="shared" si="27"/>
        <v>36.914316618336102</v>
      </c>
      <c r="L52" s="756" t="s">
        <v>211</v>
      </c>
      <c r="M52" s="740">
        <f t="shared" ref="M52:AA52" si="55">x.2ld*x.2ld-x.3ld*x.3ld</f>
        <v>-2500235</v>
      </c>
      <c r="N52" s="740">
        <f t="shared" si="55"/>
        <v>-2415616</v>
      </c>
      <c r="O52" s="740">
        <f t="shared" si="55"/>
        <v>-2417184</v>
      </c>
      <c r="P52" s="740">
        <f t="shared" si="55"/>
        <v>-2418752</v>
      </c>
      <c r="Q52" s="740">
        <f t="shared" si="55"/>
        <v>-2420320</v>
      </c>
      <c r="R52" s="740">
        <f t="shared" si="55"/>
        <v>-2421888</v>
      </c>
      <c r="S52" s="740">
        <f t="shared" si="55"/>
        <v>-2423456</v>
      </c>
      <c r="T52" s="740">
        <f t="shared" si="55"/>
        <v>-2425024</v>
      </c>
      <c r="U52" s="740">
        <f t="shared" si="55"/>
        <v>-2426592</v>
      </c>
      <c r="V52" s="740">
        <f t="shared" si="55"/>
        <v>-2428160</v>
      </c>
      <c r="W52" s="740">
        <f t="shared" si="55"/>
        <v>-2429728</v>
      </c>
      <c r="X52" s="740">
        <f t="shared" si="55"/>
        <v>-2431296</v>
      </c>
      <c r="Y52" s="740">
        <f t="shared" si="55"/>
        <v>-2432864</v>
      </c>
      <c r="Z52" s="740">
        <f t="shared" si="55"/>
        <v>-2521405</v>
      </c>
      <c r="AA52" s="740">
        <f t="shared" si="55"/>
        <v>-2436056</v>
      </c>
      <c r="AC52" s="7"/>
      <c r="AD52" s="7"/>
      <c r="AE52" s="7"/>
      <c r="AF52" s="7"/>
      <c r="AH52" s="7"/>
      <c r="AI52" s="74"/>
      <c r="AO52" s="1046">
        <v>43138</v>
      </c>
      <c r="AP52" s="13">
        <f t="shared" si="11"/>
        <v>3</v>
      </c>
      <c r="AQ52" s="13">
        <f t="shared" si="12"/>
        <v>4</v>
      </c>
      <c r="AR52" s="172">
        <f t="shared" si="13"/>
        <v>43136</v>
      </c>
      <c r="AS52" s="753">
        <f t="shared" si="14"/>
        <v>7.1428571428571425E-2</v>
      </c>
      <c r="AT52" s="769">
        <f t="shared" si="15"/>
        <v>36.860920353473297</v>
      </c>
      <c r="AU52" s="13">
        <f t="shared" si="16"/>
        <v>3</v>
      </c>
      <c r="AV52" s="13">
        <f t="shared" si="17"/>
        <v>2</v>
      </c>
      <c r="AW52" s="172">
        <f t="shared" si="18"/>
        <v>43150</v>
      </c>
      <c r="AX52" s="753">
        <f t="shared" si="19"/>
        <v>0.42857142857142855</v>
      </c>
      <c r="AY52" s="769">
        <f t="shared" si="20"/>
        <v>36.976475069565431</v>
      </c>
      <c r="AZ52" s="746">
        <f t="shared" si="26"/>
        <v>36.918697711519364</v>
      </c>
      <c r="BA52" s="641">
        <f t="shared" si="21"/>
        <v>0.6706071690838008</v>
      </c>
      <c r="BC52" s="11">
        <v>43138</v>
      </c>
      <c r="BD52" s="289">
        <f>[2]!FeuilCaduc*(1-Persistant)+Persistant</f>
        <v>0.60041417840130806</v>
      </c>
      <c r="BE52" s="290">
        <f>[2]!CroissVégét</f>
        <v>4.9567764778191995E-3</v>
      </c>
      <c r="BF52" s="819">
        <f>1+[2]!Salcycl*Ksac</f>
        <v>1.0000517723001634</v>
      </c>
      <c r="BH52" s="1044">
        <f t="shared" si="22"/>
        <v>1.8488947935029258E-2</v>
      </c>
      <c r="BI52" s="11">
        <v>44234</v>
      </c>
      <c r="BJ52" s="726">
        <v>1.0987755111963982E-2</v>
      </c>
      <c r="BK52" s="726">
        <v>1.2367061474162083E-2</v>
      </c>
      <c r="BL52" s="726">
        <v>1.3692454437751177E-2</v>
      </c>
      <c r="BM52" s="726">
        <v>1.5124921673627115E-2</v>
      </c>
      <c r="BN52" s="726">
        <v>1.7051122705992076E-2</v>
      </c>
      <c r="BO52" s="727">
        <v>1.9739773491454244E-2</v>
      </c>
      <c r="BP52" s="726">
        <v>2.3322142035240433E-2</v>
      </c>
      <c r="BQ52" s="726">
        <v>2.8980407183724292E-2</v>
      </c>
      <c r="BR52" s="726">
        <v>3.6119062786658787E-2</v>
      </c>
      <c r="BS52" s="726">
        <v>4.5404023796087371E-2</v>
      </c>
      <c r="BT52" s="726">
        <v>5.5402226932235558E-2</v>
      </c>
      <c r="BW52" s="1208">
        <f>'2018'!R\Max</f>
        <v>0</v>
      </c>
      <c r="BX52" s="1206">
        <f>'2019'!R\Max</f>
        <v>0.16652389109199059</v>
      </c>
      <c r="BY52" s="1206">
        <f>'2020'!R\Max</f>
        <v>0.64706792099023125</v>
      </c>
      <c r="BZ52" s="1206">
        <f>'2021'!R\Max</f>
        <v>0.6706071690838008</v>
      </c>
      <c r="CA52" s="1206">
        <f>'2022'!R\Max</f>
        <v>0.40469698792214331</v>
      </c>
      <c r="CB52" s="1206">
        <f>'2023'!R\Max</f>
        <v>0.40466801395604513</v>
      </c>
      <c r="CC52" s="1206">
        <f>'2024'!R\Max</f>
        <v>0.40462524459240767</v>
      </c>
      <c r="CD52" s="1206">
        <f>'2025'!R\Max</f>
        <v>0.40458247363759386</v>
      </c>
      <c r="CE52" s="1206">
        <f>'2026'!R\Max</f>
        <v>0.40477554502145385</v>
      </c>
      <c r="CF52" s="1207">
        <f>'2027'!R\Max</f>
        <v>0.40475249381235895</v>
      </c>
    </row>
    <row r="53" spans="1:84" s="6" customFormat="1" ht="11.25" x14ac:dyDescent="0.2">
      <c r="A53" s="11">
        <v>43139</v>
      </c>
      <c r="B53" s="379">
        <f>'2022'!Maxi_hp</f>
        <v>37.708985818537435</v>
      </c>
      <c r="C53" s="13">
        <f>'2022'!An_max</f>
        <v>2022</v>
      </c>
      <c r="D53" s="1053">
        <f t="shared" si="7"/>
        <v>1.0111167718204532</v>
      </c>
      <c r="E53" s="13"/>
      <c r="F53" s="13">
        <f t="shared" si="23"/>
        <v>5</v>
      </c>
      <c r="G53" s="13">
        <f t="shared" si="24"/>
        <v>4</v>
      </c>
      <c r="H53" s="172">
        <f t="shared" si="8"/>
        <v>43150</v>
      </c>
      <c r="I53" s="753">
        <f t="shared" si="9"/>
        <v>0.7857142857142857</v>
      </c>
      <c r="J53" s="746">
        <f t="shared" si="27"/>
        <v>37.29439256619662</v>
      </c>
      <c r="L53" s="756" t="s">
        <v>212</v>
      </c>
      <c r="M53" s="740">
        <f t="shared" ref="M53:AA53" si="56">(y.1ld-y.2ld-b.ld*(x.1ld-x.2ld))/D2x12Ld</f>
        <v>5.7660595454149324E-2</v>
      </c>
      <c r="N53" s="740">
        <f t="shared" si="56"/>
        <v>2.678551983406471E-2</v>
      </c>
      <c r="O53" s="740">
        <f t="shared" si="56"/>
        <v>-4.4241071428566025E-3</v>
      </c>
      <c r="P53" s="740">
        <f t="shared" si="56"/>
        <v>-1.4536352040818469E-2</v>
      </c>
      <c r="Q53" s="740">
        <f t="shared" si="56"/>
        <v>-3.2232780612246187E-2</v>
      </c>
      <c r="R53" s="740">
        <f t="shared" si="56"/>
        <v>-1.7696428571430053E-2</v>
      </c>
      <c r="S53" s="740">
        <f t="shared" si="56"/>
        <v>-7.5841836734683952E-3</v>
      </c>
      <c r="T53" s="740">
        <f t="shared" si="56"/>
        <v>-3.1600765306128002E-3</v>
      </c>
      <c r="U53" s="740">
        <f t="shared" si="56"/>
        <v>-8.2161989795926892E-3</v>
      </c>
      <c r="V53" s="740">
        <f t="shared" si="56"/>
        <v>-2.0856505102039211E-2</v>
      </c>
      <c r="W53" s="740">
        <f t="shared" si="56"/>
        <v>-1.3272321428571061E-2</v>
      </c>
      <c r="X53" s="740">
        <f t="shared" si="56"/>
        <v>5.6881377551016707E-3</v>
      </c>
      <c r="Y53" s="740">
        <f t="shared" si="56"/>
        <v>3.0336734693875104E-2</v>
      </c>
      <c r="Z53" s="740">
        <f t="shared" si="56"/>
        <v>5.7660595454145147E-2</v>
      </c>
      <c r="AA53" s="740">
        <f t="shared" si="56"/>
        <v>2.6785519834070969E-2</v>
      </c>
      <c r="AC53" s="7"/>
      <c r="AD53" s="7"/>
      <c r="AE53" s="7"/>
      <c r="AF53" s="7"/>
      <c r="AH53" s="7"/>
      <c r="AI53" s="74"/>
      <c r="AO53" s="1046">
        <v>43139</v>
      </c>
      <c r="AP53" s="13">
        <f t="shared" si="11"/>
        <v>3</v>
      </c>
      <c r="AQ53" s="13">
        <f t="shared" si="12"/>
        <v>4</v>
      </c>
      <c r="AR53" s="172">
        <f t="shared" si="13"/>
        <v>43136</v>
      </c>
      <c r="AS53" s="753">
        <f t="shared" si="14"/>
        <v>0.10714285714285714</v>
      </c>
      <c r="AT53" s="769">
        <f t="shared" si="15"/>
        <v>37.212490153565469</v>
      </c>
      <c r="AU53" s="13">
        <f t="shared" si="16"/>
        <v>3</v>
      </c>
      <c r="AV53" s="13">
        <f t="shared" si="17"/>
        <v>2</v>
      </c>
      <c r="AW53" s="172">
        <f t="shared" si="18"/>
        <v>43150</v>
      </c>
      <c r="AX53" s="753">
        <f t="shared" si="19"/>
        <v>0.39285714285714285</v>
      </c>
      <c r="AY53" s="769">
        <f t="shared" si="20"/>
        <v>37.366340794101625</v>
      </c>
      <c r="AZ53" s="746">
        <f t="shared" si="26"/>
        <v>37.289415473833543</v>
      </c>
      <c r="BA53" s="641">
        <f t="shared" si="21"/>
        <v>1.0111167718204532</v>
      </c>
      <c r="BC53" s="11">
        <v>43139</v>
      </c>
      <c r="BD53" s="289">
        <f>[2]!FeuilCaduc*(1-Persistant)+Persistant</f>
        <v>0.60050826483977415</v>
      </c>
      <c r="BE53" s="290">
        <f>[2]!CroissVégét</f>
        <v>5.2213784245517241E-3</v>
      </c>
      <c r="BF53" s="819">
        <f>1+[2]!Salcycl*Ksac</f>
        <v>1.0000635331049719</v>
      </c>
      <c r="BH53" s="1044">
        <f t="shared" si="22"/>
        <v>1.8344847724603219E-2</v>
      </c>
      <c r="BI53" s="11">
        <v>44235</v>
      </c>
      <c r="BJ53" s="726">
        <v>1.0631159124929837E-2</v>
      </c>
      <c r="BK53" s="726">
        <v>1.2087332795766681E-2</v>
      </c>
      <c r="BL53" s="726">
        <v>1.3481215689832328E-2</v>
      </c>
      <c r="BM53" s="726">
        <v>1.4964199408736853E-2</v>
      </c>
      <c r="BN53" s="726">
        <v>1.6919643468095571E-2</v>
      </c>
      <c r="BO53" s="727">
        <v>1.9584693758157089E-2</v>
      </c>
      <c r="BP53" s="726">
        <v>2.3060843435041476E-2</v>
      </c>
      <c r="BQ53" s="726">
        <v>2.8466094783224608E-2</v>
      </c>
      <c r="BR53" s="726">
        <v>3.5300649071043501E-2</v>
      </c>
      <c r="BS53" s="726">
        <v>4.4439338851762641E-2</v>
      </c>
      <c r="BT53" s="726">
        <v>5.452480063178524E-2</v>
      </c>
      <c r="BW53" s="1208">
        <f>'2018'!R\Max</f>
        <v>0</v>
      </c>
      <c r="BX53" s="1206">
        <f>'2019'!R\Max</f>
        <v>0.83418789357573853</v>
      </c>
      <c r="BY53" s="1206">
        <f>'2020'!R\Max</f>
        <v>0.82925592429924599</v>
      </c>
      <c r="BZ53" s="1206">
        <f>'2021'!R\Max</f>
        <v>0.10617441062193923</v>
      </c>
      <c r="CA53" s="1206">
        <f>'2022'!R\Max</f>
        <v>1.0111167718204532</v>
      </c>
      <c r="CB53" s="1206">
        <f>'2023'!R\Max</f>
        <v>1.0111167718204532</v>
      </c>
      <c r="CC53" s="1206">
        <f>'2024'!R\Max</f>
        <v>1.0111167718204532</v>
      </c>
      <c r="CD53" s="1206">
        <f>'2025'!R\Max</f>
        <v>1.011116771820453</v>
      </c>
      <c r="CE53" s="1206">
        <f>'2026'!R\Max</f>
        <v>1.0111167718204528</v>
      </c>
      <c r="CF53" s="1207">
        <f>'2027'!R\Max</f>
        <v>1.0111167718204535</v>
      </c>
    </row>
    <row r="54" spans="1:84" s="6" customFormat="1" ht="11.25" x14ac:dyDescent="0.2">
      <c r="A54" s="11">
        <v>43140</v>
      </c>
      <c r="B54" s="379">
        <f>'2022'!Maxi_hp</f>
        <v>37.811685305334407</v>
      </c>
      <c r="C54" s="13">
        <f>'2022'!An_max</f>
        <v>2022</v>
      </c>
      <c r="D54" s="1053">
        <f t="shared" si="7"/>
        <v>1.0035267302787512</v>
      </c>
      <c r="E54" s="13"/>
      <c r="F54" s="13">
        <f t="shared" si="23"/>
        <v>5</v>
      </c>
      <c r="G54" s="13">
        <f t="shared" si="24"/>
        <v>4</v>
      </c>
      <c r="H54" s="172">
        <f t="shared" si="8"/>
        <v>43150</v>
      </c>
      <c r="I54" s="753">
        <f t="shared" si="9"/>
        <v>0.7142857142857143</v>
      </c>
      <c r="J54" s="746">
        <f t="shared" si="27"/>
        <v>37.678802332282068</v>
      </c>
      <c r="L54" s="756" t="s">
        <v>213</v>
      </c>
      <c r="M54" s="740">
        <f t="shared" ref="M54:AA54" si="57">(y.2ld-y.3ld-(y.1ld-y.2ld)*D2x23Ld/D2x12Ld)/(x.2ld-x.3ld)/(1-(x.2ld+x.3ld)/(x.1ld+x.2ld))</f>
        <v>-4969.0895474243125</v>
      </c>
      <c r="N54" s="740">
        <f t="shared" si="57"/>
        <v>-2307.1949028387166</v>
      </c>
      <c r="O54" s="740">
        <f t="shared" si="57"/>
        <v>385.32203571423912</v>
      </c>
      <c r="P54" s="740">
        <f t="shared" si="57"/>
        <v>1258.2919132654911</v>
      </c>
      <c r="Q54" s="740">
        <f t="shared" si="57"/>
        <v>2786.9801989797033</v>
      </c>
      <c r="R54" s="740">
        <f t="shared" si="57"/>
        <v>1530.4579285715567</v>
      </c>
      <c r="S54" s="740">
        <f t="shared" si="57"/>
        <v>655.7891938774651</v>
      </c>
      <c r="T54" s="740">
        <f t="shared" si="57"/>
        <v>272.87387244902766</v>
      </c>
      <c r="U54" s="740">
        <f t="shared" si="57"/>
        <v>710.77452551027784</v>
      </c>
      <c r="V54" s="740">
        <f t="shared" si="57"/>
        <v>1806.2340153059833</v>
      </c>
      <c r="W54" s="740">
        <f t="shared" si="57"/>
        <v>1148.5336071428251</v>
      </c>
      <c r="X54" s="740">
        <f t="shared" si="57"/>
        <v>-496.77919897955974</v>
      </c>
      <c r="Y54" s="740">
        <f t="shared" si="57"/>
        <v>-2637.0661683671342</v>
      </c>
      <c r="Z54" s="740">
        <f t="shared" si="57"/>
        <v>-5011.1817821054783</v>
      </c>
      <c r="AA54" s="740">
        <f t="shared" si="57"/>
        <v>-2326.7483323181282</v>
      </c>
      <c r="AC54" s="7"/>
      <c r="AD54" s="7"/>
      <c r="AE54" s="7"/>
      <c r="AF54" s="7"/>
      <c r="AH54" s="7"/>
      <c r="AI54" s="74"/>
      <c r="AO54" s="1046">
        <v>43140</v>
      </c>
      <c r="AP54" s="13">
        <f t="shared" si="11"/>
        <v>3</v>
      </c>
      <c r="AQ54" s="13">
        <f t="shared" si="12"/>
        <v>4</v>
      </c>
      <c r="AR54" s="172">
        <f t="shared" si="13"/>
        <v>43136</v>
      </c>
      <c r="AS54" s="753">
        <f t="shared" si="14"/>
        <v>0.14285714285714285</v>
      </c>
      <c r="AT54" s="769">
        <f t="shared" si="15"/>
        <v>37.568145480831824</v>
      </c>
      <c r="AU54" s="13">
        <f t="shared" si="16"/>
        <v>3</v>
      </c>
      <c r="AV54" s="13">
        <f t="shared" si="17"/>
        <v>2</v>
      </c>
      <c r="AW54" s="172">
        <f t="shared" si="18"/>
        <v>43150</v>
      </c>
      <c r="AX54" s="753">
        <f t="shared" si="19"/>
        <v>0.35714285714285715</v>
      </c>
      <c r="AY54" s="769">
        <f t="shared" si="20"/>
        <v>37.756436327059888</v>
      </c>
      <c r="AZ54" s="746">
        <f t="shared" si="26"/>
        <v>37.662290903945859</v>
      </c>
      <c r="BA54" s="641">
        <f t="shared" si="21"/>
        <v>1.0035267302787512</v>
      </c>
      <c r="BC54" s="11">
        <v>43140</v>
      </c>
      <c r="BD54" s="289">
        <f>[2]!FeuilCaduc*(1-Persistant)+Persistant</f>
        <v>0.6006094690656828</v>
      </c>
      <c r="BE54" s="290">
        <f>[2]!CroissVégét</f>
        <v>5.4969313417339892E-3</v>
      </c>
      <c r="BF54" s="819">
        <f>1+[2]!Salcycl*Ksac</f>
        <v>1.0000761836332104</v>
      </c>
      <c r="BH54" s="1044">
        <f t="shared" si="22"/>
        <v>1.820173989489856E-2</v>
      </c>
      <c r="BI54" s="11">
        <v>44236</v>
      </c>
      <c r="BJ54" s="726">
        <v>1.026573682978181E-2</v>
      </c>
      <c r="BK54" s="726">
        <v>1.1792949883297115E-2</v>
      </c>
      <c r="BL54" s="726">
        <v>1.325369029152117E-2</v>
      </c>
      <c r="BM54" s="726">
        <v>1.4791349731636184E-2</v>
      </c>
      <c r="BN54" s="726">
        <v>1.6783409886810326E-2</v>
      </c>
      <c r="BO54" s="727">
        <v>1.9435605726248043E-2</v>
      </c>
      <c r="BP54" s="726">
        <v>2.2823169365464677E-2</v>
      </c>
      <c r="BQ54" s="726">
        <v>2.7988553685905186E-2</v>
      </c>
      <c r="BR54" s="726">
        <v>3.4520613019070757E-2</v>
      </c>
      <c r="BS54" s="726">
        <v>4.3481274672898342E-2</v>
      </c>
      <c r="BT54" s="726">
        <v>5.3599437799085319E-2</v>
      </c>
      <c r="BW54" s="1208">
        <f>'2018'!R\Max</f>
        <v>0</v>
      </c>
      <c r="BX54" s="1206">
        <f>'2019'!R\Max</f>
        <v>0.82224080893909557</v>
      </c>
      <c r="BY54" s="1206">
        <f>'2020'!R\Max</f>
        <v>0.80394237937493318</v>
      </c>
      <c r="BZ54" s="1206">
        <f>'2021'!R\Max</f>
        <v>0.38869594802834384</v>
      </c>
      <c r="CA54" s="1206">
        <f>'2022'!R\Max</f>
        <v>1.0035267302787512</v>
      </c>
      <c r="CB54" s="1206">
        <f>'2023'!R\Max</f>
        <v>1.0035267302787514</v>
      </c>
      <c r="CC54" s="1206">
        <f>'2024'!R\Max</f>
        <v>1.0035267302787512</v>
      </c>
      <c r="CD54" s="1206">
        <f>'2025'!R\Max</f>
        <v>1.0035267302787514</v>
      </c>
      <c r="CE54" s="1206">
        <f>'2026'!R\Max</f>
        <v>1.0035267302787509</v>
      </c>
      <c r="CF54" s="1207">
        <f>'2027'!R\Max</f>
        <v>1.0035267302787512</v>
      </c>
    </row>
    <row r="55" spans="1:84" s="6" customFormat="1" ht="11.25" x14ac:dyDescent="0.2">
      <c r="A55" s="11">
        <v>43141</v>
      </c>
      <c r="B55" s="379">
        <f>'2022'!Maxi_hp</f>
        <v>35.390836884509106</v>
      </c>
      <c r="C55" s="13">
        <f>'2022'!An_max</f>
        <v>2022</v>
      </c>
      <c r="D55" s="1053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2">
        <f t="shared" si="8"/>
        <v>43150</v>
      </c>
      <c r="I55" s="753">
        <f t="shared" si="9"/>
        <v>0.6428571428571429</v>
      </c>
      <c r="J55" s="746">
        <f t="shared" si="27"/>
        <v>38.066462463805713</v>
      </c>
      <c r="L55" s="756" t="s">
        <v>214</v>
      </c>
      <c r="M55" s="740">
        <f t="shared" ref="M55:AA55" si="58">(y.1ld+y.2ld+y.3ld-a.ld*(x.3ld*x.3ld+x.2ld*x.2ld+x.1ld*x.1ld)-b.ld*(x.3ld+x.2ld+x.1ld))/3</f>
        <v>107057118.43750143</v>
      </c>
      <c r="N55" s="740">
        <f t="shared" si="58"/>
        <v>49683313.233249277</v>
      </c>
      <c r="O55" s="740">
        <f t="shared" si="58"/>
        <v>-8388885.9803739954</v>
      </c>
      <c r="P55" s="740">
        <f t="shared" si="58"/>
        <v>-27229319.895685118</v>
      </c>
      <c r="Q55" s="740">
        <f t="shared" si="58"/>
        <v>-60242868.645469248</v>
      </c>
      <c r="R55" s="740">
        <f t="shared" si="58"/>
        <v>-33089425.231074199</v>
      </c>
      <c r="S55" s="740">
        <f t="shared" si="58"/>
        <v>-14175590.494049162</v>
      </c>
      <c r="T55" s="740">
        <f t="shared" si="58"/>
        <v>-5890069.6361056305</v>
      </c>
      <c r="U55" s="740">
        <f t="shared" si="58"/>
        <v>-15371493.585187817</v>
      </c>
      <c r="V55" s="740">
        <f t="shared" si="58"/>
        <v>-39105716.413601585</v>
      </c>
      <c r="W55" s="740">
        <f t="shared" si="58"/>
        <v>-24846773.051124305</v>
      </c>
      <c r="X55" s="740">
        <f t="shared" si="58"/>
        <v>10846639.248644711</v>
      </c>
      <c r="Y55" s="740">
        <f t="shared" si="58"/>
        <v>57307983.948985182</v>
      </c>
      <c r="Z55" s="740">
        <f t="shared" si="58"/>
        <v>108878517.95513277</v>
      </c>
      <c r="AA55" s="740">
        <f t="shared" si="58"/>
        <v>50529007.873677135</v>
      </c>
      <c r="AB55" s="7"/>
      <c r="AC55" s="7"/>
      <c r="AD55" s="7"/>
      <c r="AE55" s="7"/>
      <c r="AF55" s="7"/>
      <c r="AH55" s="7"/>
      <c r="AI55" s="74"/>
      <c r="AO55" s="1046">
        <v>43141</v>
      </c>
      <c r="AP55" s="13">
        <f t="shared" si="11"/>
        <v>3</v>
      </c>
      <c r="AQ55" s="13">
        <f t="shared" si="12"/>
        <v>4</v>
      </c>
      <c r="AR55" s="172">
        <f t="shared" si="13"/>
        <v>43136</v>
      </c>
      <c r="AS55" s="753">
        <f t="shared" si="14"/>
        <v>0.17857142857142858</v>
      </c>
      <c r="AT55" s="769">
        <f t="shared" si="15"/>
        <v>37.927520669883656</v>
      </c>
      <c r="AU55" s="13">
        <f t="shared" si="16"/>
        <v>3</v>
      </c>
      <c r="AV55" s="13">
        <f t="shared" si="17"/>
        <v>2</v>
      </c>
      <c r="AW55" s="172">
        <f t="shared" si="18"/>
        <v>43150</v>
      </c>
      <c r="AX55" s="753">
        <f t="shared" si="19"/>
        <v>0.32142857142857145</v>
      </c>
      <c r="AY55" s="769">
        <f t="shared" si="20"/>
        <v>38.14609288957768</v>
      </c>
      <c r="AZ55" s="746">
        <f t="shared" si="26"/>
        <v>38.036806779730668</v>
      </c>
      <c r="BA55" s="641">
        <f t="shared" si="21"/>
        <v>0.92971173557719888</v>
      </c>
      <c r="BC55" s="11">
        <v>43141</v>
      </c>
      <c r="BD55" s="289">
        <f>[2]!FeuilCaduc*(1-Persistant)+Persistant</f>
        <v>0.60071692710570546</v>
      </c>
      <c r="BE55" s="290">
        <f>[2]!CroissVégét</f>
        <v>5.7838819630590035E-3</v>
      </c>
      <c r="BF55" s="819">
        <f>1+[2]!Salcycl*Ksac</f>
        <v>1.0000896158882131</v>
      </c>
      <c r="BH55" s="1044">
        <f t="shared" si="22"/>
        <v>1.8059647708885497E-2</v>
      </c>
      <c r="BI55" s="11">
        <v>44237</v>
      </c>
      <c r="BJ55" s="726">
        <v>9.8915053611482381E-3</v>
      </c>
      <c r="BK55" s="726">
        <v>1.1483932930888245E-2</v>
      </c>
      <c r="BL55" s="726">
        <v>1.3009900330712356E-2</v>
      </c>
      <c r="BM55" s="726">
        <v>1.4606395260263666E-2</v>
      </c>
      <c r="BN55" s="726">
        <v>1.6642444929155828E-2</v>
      </c>
      <c r="BO55" s="727">
        <v>1.9292532916157488E-2</v>
      </c>
      <c r="BP55" s="726">
        <v>2.2609143415191681E-2</v>
      </c>
      <c r="BQ55" s="726">
        <v>2.7547811771712765E-2</v>
      </c>
      <c r="BR55" s="726">
        <v>3.3778991889536841E-2</v>
      </c>
      <c r="BS55" s="726">
        <v>4.25298890481558E-2</v>
      </c>
      <c r="BT55" s="726">
        <v>5.2626223065108613E-2</v>
      </c>
      <c r="BW55" s="1208">
        <f>'2018'!R\Max</f>
        <v>0</v>
      </c>
      <c r="BX55" s="1206">
        <f>'2019'!R\Max</f>
        <v>0.22386938221939842</v>
      </c>
      <c r="BY55" s="1206">
        <f>'2020'!R\Max</f>
        <v>0.39229355336633126</v>
      </c>
      <c r="BZ55" s="1206">
        <f>'2021'!R\Max</f>
        <v>0.38155042827030788</v>
      </c>
      <c r="CA55" s="1206">
        <f>'2022'!R\Max</f>
        <v>0.92971173557719888</v>
      </c>
      <c r="CB55" s="1206">
        <f>'2023'!R\Max</f>
        <v>0.92970474533449476</v>
      </c>
      <c r="CC55" s="1206">
        <f>'2024'!R\Max</f>
        <v>0.92969491952282213</v>
      </c>
      <c r="CD55" s="1206">
        <f>'2025'!R\Max</f>
        <v>0.92968509185016257</v>
      </c>
      <c r="CE55" s="1206">
        <f>'2026'!R\Max</f>
        <v>0.92973106422612672</v>
      </c>
      <c r="CF55" s="1207">
        <f>'2027'!R\Max</f>
        <v>0.92972525772356862</v>
      </c>
    </row>
    <row r="56" spans="1:84" s="6" customFormat="1" ht="11.25" x14ac:dyDescent="0.2">
      <c r="A56" s="11">
        <v>43142</v>
      </c>
      <c r="B56" s="379">
        <f>'2022'!Maxi_hp</f>
        <v>33.522126825040729</v>
      </c>
      <c r="C56" s="13">
        <f>'2022'!An_max</f>
        <v>2021</v>
      </c>
      <c r="D56" s="1053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2">
        <f t="shared" si="8"/>
        <v>43150</v>
      </c>
      <c r="I56" s="753">
        <f t="shared" si="9"/>
        <v>0.5714285714285714</v>
      </c>
      <c r="J56" s="746">
        <f t="shared" si="27"/>
        <v>38.456289504734535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46">
        <v>43142</v>
      </c>
      <c r="AP56" s="13">
        <f t="shared" si="11"/>
        <v>3</v>
      </c>
      <c r="AQ56" s="13">
        <f t="shared" si="12"/>
        <v>4</v>
      </c>
      <c r="AR56" s="172">
        <f t="shared" si="13"/>
        <v>43136</v>
      </c>
      <c r="AS56" s="753">
        <f t="shared" si="14"/>
        <v>0.21428571428571427</v>
      </c>
      <c r="AT56" s="769">
        <f t="shared" si="15"/>
        <v>38.290250054627123</v>
      </c>
      <c r="AU56" s="13">
        <f t="shared" si="16"/>
        <v>3</v>
      </c>
      <c r="AV56" s="13">
        <f t="shared" si="17"/>
        <v>2</v>
      </c>
      <c r="AW56" s="172">
        <f t="shared" si="18"/>
        <v>43150</v>
      </c>
      <c r="AX56" s="753">
        <f t="shared" si="19"/>
        <v>0.2857142857142857</v>
      </c>
      <c r="AY56" s="769">
        <f t="shared" si="20"/>
        <v>38.534641705107475</v>
      </c>
      <c r="AZ56" s="746">
        <f t="shared" si="26"/>
        <v>38.412445879867299</v>
      </c>
      <c r="BA56" s="641">
        <f t="shared" si="21"/>
        <v>0.87169426007451034</v>
      </c>
      <c r="BC56" s="11">
        <v>43142</v>
      </c>
      <c r="BD56" s="289">
        <f>[2]!FeuilCaduc*(1-Persistant)+Persistant</f>
        <v>0.60082975171083119</v>
      </c>
      <c r="BE56" s="290">
        <f>[2]!CroissVégét</f>
        <v>6.0826946947814143E-3</v>
      </c>
      <c r="BF56" s="819">
        <f>1+[2]!Salcycl*Ksac</f>
        <v>1.000103718963854</v>
      </c>
      <c r="BH56" s="1044">
        <f t="shared" si="22"/>
        <v>1.7918593718354563E-2</v>
      </c>
      <c r="BI56" s="11">
        <v>44238</v>
      </c>
      <c r="BJ56" s="726">
        <v>9.5084800585979491E-3</v>
      </c>
      <c r="BK56" s="726">
        <v>1.1160300712513898E-2</v>
      </c>
      <c r="BL56" s="726">
        <v>1.2749866815521678E-2</v>
      </c>
      <c r="BM56" s="726">
        <v>1.4409357793525143E-2</v>
      </c>
      <c r="BN56" s="726">
        <v>1.6496770903324898E-2</v>
      </c>
      <c r="BO56" s="727">
        <v>1.9155498091592008E-2</v>
      </c>
      <c r="BP56" s="726">
        <v>2.2418787917475421E-2</v>
      </c>
      <c r="BQ56" s="726">
        <v>2.7143894424935543E-2</v>
      </c>
      <c r="BR56" s="726">
        <v>3.3075818929957992E-2</v>
      </c>
      <c r="BS56" s="726">
        <v>4.1585234970905972E-2</v>
      </c>
      <c r="BT56" s="726">
        <v>5.160523660996965E-2</v>
      </c>
      <c r="BW56" s="1208">
        <f>'2018'!R\Max</f>
        <v>0</v>
      </c>
      <c r="BX56" s="1206">
        <f>'2019'!R\Max</f>
        <v>0.63500725314916917</v>
      </c>
      <c r="BY56" s="1206">
        <f>'2020'!R\Max</f>
        <v>0.24520527235401693</v>
      </c>
      <c r="BZ56" s="1206">
        <f>'2021'!R\Max</f>
        <v>0.87169426007451034</v>
      </c>
      <c r="CA56" s="1206">
        <f>'2022'!R\Max</f>
        <v>0.42821104121417541</v>
      </c>
      <c r="CB56" s="1206">
        <f>'2023'!R\Max</f>
        <v>0.42818564627249922</v>
      </c>
      <c r="CC56" s="1206">
        <f>'2024'!R\Max</f>
        <v>0.42815077980331956</v>
      </c>
      <c r="CD56" s="1206">
        <f>'2025'!R\Max</f>
        <v>0.42811591206022642</v>
      </c>
      <c r="CE56" s="1206">
        <f>'2026'!R\Max</f>
        <v>0.42828182535583492</v>
      </c>
      <c r="CF56" s="1207">
        <f>'2027'!R\Max</f>
        <v>0.42826040064196491</v>
      </c>
    </row>
    <row r="57" spans="1:84" s="6" customFormat="1" ht="11.25" x14ac:dyDescent="0.2">
      <c r="A57" s="11">
        <v>43143</v>
      </c>
      <c r="B57" s="379">
        <f>'2022'!Maxi_hp</f>
        <v>38.964390120778035</v>
      </c>
      <c r="C57" s="13">
        <f>'2022'!An_max</f>
        <v>2019</v>
      </c>
      <c r="D57" s="1053">
        <f t="shared" si="7"/>
        <v>1.0030166941421232</v>
      </c>
      <c r="E57" s="13"/>
      <c r="F57" s="13">
        <f t="shared" si="23"/>
        <v>5</v>
      </c>
      <c r="G57" s="13">
        <f t="shared" si="24"/>
        <v>4</v>
      </c>
      <c r="H57" s="172">
        <f t="shared" si="8"/>
        <v>43150</v>
      </c>
      <c r="I57" s="753">
        <f t="shared" si="9"/>
        <v>0.5</v>
      </c>
      <c r="J57" s="746">
        <f t="shared" si="27"/>
        <v>38.847200000099839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46">
        <v>43143</v>
      </c>
      <c r="AP57" s="13">
        <f t="shared" si="11"/>
        <v>3</v>
      </c>
      <c r="AQ57" s="13">
        <f t="shared" si="12"/>
        <v>4</v>
      </c>
      <c r="AR57" s="172">
        <f t="shared" si="13"/>
        <v>43136</v>
      </c>
      <c r="AS57" s="753">
        <f t="shared" si="14"/>
        <v>0.25</v>
      </c>
      <c r="AT57" s="769">
        <f t="shared" si="15"/>
        <v>38.655967968562621</v>
      </c>
      <c r="AU57" s="13">
        <f t="shared" si="16"/>
        <v>3</v>
      </c>
      <c r="AV57" s="13">
        <f t="shared" si="17"/>
        <v>2</v>
      </c>
      <c r="AW57" s="172">
        <f t="shared" si="18"/>
        <v>43150</v>
      </c>
      <c r="AX57" s="753">
        <f t="shared" si="19"/>
        <v>0.25</v>
      </c>
      <c r="AY57" s="769">
        <f t="shared" si="20"/>
        <v>38.921413995930926</v>
      </c>
      <c r="AZ57" s="746">
        <f t="shared" si="26"/>
        <v>38.788690982246777</v>
      </c>
      <c r="BA57" s="641">
        <f t="shared" si="21"/>
        <v>1.0030166941421232</v>
      </c>
      <c r="BC57" s="11">
        <v>43143</v>
      </c>
      <c r="BD57" s="289">
        <f>[2]!FeuilCaduc*(1-Persistant)+Persistant</f>
        <v>0.60094704388681452</v>
      </c>
      <c r="BE57" s="290">
        <f>[2]!CroissVégét</f>
        <v>6.3938522678270975E-3</v>
      </c>
      <c r="BF57" s="819">
        <f>1+[2]!Salcycl*Ksac</f>
        <v>1.0001183804858518</v>
      </c>
      <c r="BH57" s="1044">
        <f t="shared" si="22"/>
        <v>1.7778599776508135E-2</v>
      </c>
      <c r="BI57" s="11">
        <v>44239</v>
      </c>
      <c r="BJ57" s="726">
        <v>9.1166743557358418E-3</v>
      </c>
      <c r="BK57" s="726">
        <v>1.0822070398387219E-2</v>
      </c>
      <c r="BL57" s="726">
        <v>1.2473609470453534E-2</v>
      </c>
      <c r="BM57" s="726">
        <v>1.4200258159640282E-2</v>
      </c>
      <c r="BN57" s="726">
        <v>1.6346409399377738E-2</v>
      </c>
      <c r="BO57" s="727">
        <v>1.90245233346726E-2</v>
      </c>
      <c r="BP57" s="726">
        <v>2.2252124245711474E-2</v>
      </c>
      <c r="BQ57" s="726">
        <v>2.6776824993821557E-2</v>
      </c>
      <c r="BR57" s="726">
        <v>3.2411123855801166E-2</v>
      </c>
      <c r="BS57" s="726">
        <v>4.0647360721133161E-2</v>
      </c>
      <c r="BT57" s="726">
        <v>5.0536553562823418E-2</v>
      </c>
      <c r="BW57" s="1208">
        <f>'2018'!R\Max</f>
        <v>0</v>
      </c>
      <c r="BX57" s="1206">
        <f>'2019'!R\Max</f>
        <v>1.0030166941421232</v>
      </c>
      <c r="BY57" s="1206">
        <f>'2020'!R\Max</f>
        <v>0.57351617406345945</v>
      </c>
      <c r="BZ57" s="1206">
        <f>'2021'!R\Max</f>
        <v>0.11005166826867367</v>
      </c>
      <c r="CA57" s="1206">
        <f>'2022'!R\Max</f>
        <v>0.74820000576118029</v>
      </c>
      <c r="CB57" s="1206">
        <f>'2023'!R\Max</f>
        <v>0.7481809692594118</v>
      </c>
      <c r="CC57" s="1206">
        <f>'2024'!R\Max</f>
        <v>0.7481555300462811</v>
      </c>
      <c r="CD57" s="1206">
        <f>'2025'!R\Max</f>
        <v>0.74813008775339851</v>
      </c>
      <c r="CE57" s="1206">
        <f>'2026'!R\Max</f>
        <v>0.7482535012457443</v>
      </c>
      <c r="CF57" s="1207">
        <f>'2027'!R\Max</f>
        <v>0.74823719680809275</v>
      </c>
    </row>
    <row r="58" spans="1:84" s="6" customFormat="1" ht="11.25" x14ac:dyDescent="0.2">
      <c r="A58" s="11">
        <v>43144</v>
      </c>
      <c r="B58" s="379">
        <f>'2022'!Maxi_hp</f>
        <v>40.487434831791077</v>
      </c>
      <c r="C58" s="13">
        <f>'2022'!An_max</f>
        <v>2019</v>
      </c>
      <c r="D58" s="1053">
        <f t="shared" si="7"/>
        <v>1.0318395641422626</v>
      </c>
      <c r="E58" s="13"/>
      <c r="F58" s="13">
        <f t="shared" si="23"/>
        <v>5</v>
      </c>
      <c r="G58" s="13">
        <f t="shared" si="24"/>
        <v>4</v>
      </c>
      <c r="H58" s="172">
        <f t="shared" si="8"/>
        <v>43150</v>
      </c>
      <c r="I58" s="753">
        <f t="shared" si="9"/>
        <v>0.42857142857142855</v>
      </c>
      <c r="J58" s="746">
        <f t="shared" si="27"/>
        <v>39.238110495837667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46">
        <v>43144</v>
      </c>
      <c r="AP58" s="13">
        <f t="shared" si="11"/>
        <v>3</v>
      </c>
      <c r="AQ58" s="13">
        <f t="shared" si="12"/>
        <v>4</v>
      </c>
      <c r="AR58" s="172">
        <f t="shared" si="13"/>
        <v>43136</v>
      </c>
      <c r="AS58" s="753">
        <f t="shared" si="14"/>
        <v>0.2857142857142857</v>
      </c>
      <c r="AT58" s="769">
        <f t="shared" si="15"/>
        <v>39.024308746387916</v>
      </c>
      <c r="AU58" s="13">
        <f t="shared" si="16"/>
        <v>3</v>
      </c>
      <c r="AV58" s="13">
        <f t="shared" si="17"/>
        <v>2</v>
      </c>
      <c r="AW58" s="172">
        <f t="shared" si="18"/>
        <v>43150</v>
      </c>
      <c r="AX58" s="753">
        <f t="shared" si="19"/>
        <v>0.21428571428571427</v>
      </c>
      <c r="AY58" s="769">
        <f t="shared" si="20"/>
        <v>39.305740983704368</v>
      </c>
      <c r="AZ58" s="746">
        <f t="shared" si="26"/>
        <v>39.165024865046142</v>
      </c>
      <c r="BA58" s="641">
        <f t="shared" si="21"/>
        <v>1.0318395641422626</v>
      </c>
      <c r="BC58" s="11">
        <v>43144</v>
      </c>
      <c r="BD58" s="289">
        <f>[2]!FeuilCaduc*(1-Persistant)+Persistant</f>
        <v>0.60106790488540773</v>
      </c>
      <c r="BE58" s="290">
        <f>[2]!CroissVégét</f>
        <v>6.7178564099054624E-3</v>
      </c>
      <c r="BF58" s="819">
        <f>1+[2]!Salcycl*Ksac</f>
        <v>1.000133488110676</v>
      </c>
      <c r="BH58" s="1044">
        <f t="shared" si="22"/>
        <v>1.7640154315803847E-2</v>
      </c>
      <c r="BI58" s="11">
        <v>44240</v>
      </c>
      <c r="BJ58" s="726">
        <v>8.7338549455484894E-3</v>
      </c>
      <c r="BK58" s="726">
        <v>1.0484485163227352E-2</v>
      </c>
      <c r="BL58" s="726">
        <v>1.2192684093993676E-2</v>
      </c>
      <c r="BM58" s="726">
        <v>1.3985888350615301E-2</v>
      </c>
      <c r="BN58" s="726">
        <v>1.619349730547295E-2</v>
      </c>
      <c r="BO58" s="727">
        <v>1.8898663015859813E-2</v>
      </c>
      <c r="BP58" s="726">
        <v>2.2107827580940643E-2</v>
      </c>
      <c r="BQ58" s="726">
        <v>2.6453481495550542E-2</v>
      </c>
      <c r="BR58" s="726">
        <v>3.1807556527884778E-2</v>
      </c>
      <c r="BS58" s="726">
        <v>3.9756166661840169E-2</v>
      </c>
      <c r="BT58" s="726">
        <v>4.947249957869812E-2</v>
      </c>
      <c r="BW58" s="1208">
        <f>'2018'!R\Max</f>
        <v>0</v>
      </c>
      <c r="BX58" s="1206">
        <f>'2019'!R\Max</f>
        <v>1.0318395641422626</v>
      </c>
      <c r="BY58" s="1206">
        <f>'2020'!R\Max</f>
        <v>0.51397937976066577</v>
      </c>
      <c r="BZ58" s="1206">
        <f>'2021'!R\Max</f>
        <v>0.20834575201737882</v>
      </c>
      <c r="CA58" s="1206">
        <f>'2022'!R\Max</f>
        <v>0.89182587209334874</v>
      </c>
      <c r="CB58" s="1206">
        <f>'2023'!R\Max</f>
        <v>0.89181632662107424</v>
      </c>
      <c r="CC58" s="1206">
        <f>'2024'!R\Max</f>
        <v>0.89180393706936567</v>
      </c>
      <c r="CD58" s="1206">
        <f>'2025'!R\Max</f>
        <v>0.89179154563403251</v>
      </c>
      <c r="CE58" s="1206">
        <f>'2026'!R\Max</f>
        <v>0.8918529142890228</v>
      </c>
      <c r="CF58" s="1207">
        <f>'2027'!R\Max</f>
        <v>0.89184462235905704</v>
      </c>
    </row>
    <row r="59" spans="1:84" s="6" customFormat="1" ht="11.25" x14ac:dyDescent="0.2">
      <c r="A59" s="11">
        <v>43145</v>
      </c>
      <c r="B59" s="379">
        <f>'2022'!Maxi_hp</f>
        <v>40.730011197654498</v>
      </c>
      <c r="C59" s="13">
        <f>'2022'!An_max</f>
        <v>2019</v>
      </c>
      <c r="D59" s="1053">
        <f t="shared" si="7"/>
        <v>1.0278105228099776</v>
      </c>
      <c r="E59" s="13"/>
      <c r="F59" s="13">
        <f t="shared" si="23"/>
        <v>5</v>
      </c>
      <c r="G59" s="13">
        <f t="shared" si="24"/>
        <v>4</v>
      </c>
      <c r="H59" s="172">
        <f t="shared" si="8"/>
        <v>43150</v>
      </c>
      <c r="I59" s="753">
        <f t="shared" si="9"/>
        <v>0.35714285714285715</v>
      </c>
      <c r="J59" s="746">
        <f t="shared" si="27"/>
        <v>39.627937536872921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46">
        <v>43145</v>
      </c>
      <c r="AP59" s="13">
        <f t="shared" si="11"/>
        <v>3</v>
      </c>
      <c r="AQ59" s="13">
        <f t="shared" si="12"/>
        <v>4</v>
      </c>
      <c r="AR59" s="172">
        <f t="shared" si="13"/>
        <v>43136</v>
      </c>
      <c r="AS59" s="753">
        <f t="shared" si="14"/>
        <v>0.32142857142857145</v>
      </c>
      <c r="AT59" s="769">
        <f t="shared" si="15"/>
        <v>39.39490672139717</v>
      </c>
      <c r="AU59" s="13">
        <f t="shared" si="16"/>
        <v>3</v>
      </c>
      <c r="AV59" s="13">
        <f t="shared" si="17"/>
        <v>2</v>
      </c>
      <c r="AW59" s="172">
        <f t="shared" si="18"/>
        <v>43150</v>
      </c>
      <c r="AX59" s="753">
        <f t="shared" si="19"/>
        <v>0.17857142857142858</v>
      </c>
      <c r="AY59" s="769">
        <f t="shared" si="20"/>
        <v>39.686953891088656</v>
      </c>
      <c r="AZ59" s="746">
        <f t="shared" si="26"/>
        <v>39.540930306242913</v>
      </c>
      <c r="BA59" s="641">
        <f t="shared" si="21"/>
        <v>1.0278105228099776</v>
      </c>
      <c r="BC59" s="11">
        <v>43145</v>
      </c>
      <c r="BD59" s="289">
        <f>[2]!FeuilCaduc*(1-Persistant)+Persistant</f>
        <v>0.60119144852134865</v>
      </c>
      <c r="BE59" s="290">
        <f>[2]!CroissVégét</f>
        <v>7.0552285378688686E-3</v>
      </c>
      <c r="BF59" s="819">
        <f>1+[2]!Salcycl*Ksac</f>
        <v>1.0001489310651686</v>
      </c>
      <c r="BH59" s="1044">
        <f t="shared" si="22"/>
        <v>1.7500065318378909E-2</v>
      </c>
      <c r="BI59" s="11">
        <v>44241</v>
      </c>
      <c r="BJ59" s="726">
        <v>8.3736817191227639E-3</v>
      </c>
      <c r="BK59" s="726">
        <v>1.0161030773741543E-2</v>
      </c>
      <c r="BL59" s="726">
        <v>1.1918782886787434E-2</v>
      </c>
      <c r="BM59" s="726">
        <v>1.3773475508266162E-2</v>
      </c>
      <c r="BN59" s="726">
        <v>1.6038434367879315E-2</v>
      </c>
      <c r="BO59" s="727">
        <v>1.877160048831809E-2</v>
      </c>
      <c r="BP59" s="726">
        <v>2.1969201373100954E-2</v>
      </c>
      <c r="BQ59" s="726">
        <v>2.6160091079692731E-2</v>
      </c>
      <c r="BR59" s="726">
        <v>3.1265538745739306E-2</v>
      </c>
      <c r="BS59" s="726">
        <v>3.8932194994241887E-2</v>
      </c>
      <c r="BT59" s="726">
        <v>4.8443276062703294E-2</v>
      </c>
      <c r="BW59" s="1208">
        <f>'2018'!R\Max</f>
        <v>0</v>
      </c>
      <c r="BX59" s="1206">
        <f>'2019'!R\Max</f>
        <v>1.0278105228099776</v>
      </c>
      <c r="BY59" s="1206">
        <f>'2020'!R\Max</f>
        <v>0.72747481744782971</v>
      </c>
      <c r="BZ59" s="1206">
        <f>'2021'!R\Max</f>
        <v>0.88179193528737554</v>
      </c>
      <c r="CA59" s="1206">
        <f>'2022'!R\Max</f>
        <v>0.48571735160492241</v>
      </c>
      <c r="CB59" s="1206">
        <f>'2023'!R\Max</f>
        <v>0.48569308510894166</v>
      </c>
      <c r="CC59" s="1206">
        <f>'2024'!R\Max</f>
        <v>0.4856624495534988</v>
      </c>
      <c r="CD59" s="1206">
        <f>'2025'!R\Max</f>
        <v>0.48563181260193089</v>
      </c>
      <c r="CE59" s="1206">
        <f>'2026'!R\Max</f>
        <v>0.48578662033861636</v>
      </c>
      <c r="CF59" s="1207">
        <f>'2027'!R\Max</f>
        <v>0.4857652644056315</v>
      </c>
    </row>
    <row r="60" spans="1:84" s="6" customFormat="1" ht="11.25" x14ac:dyDescent="0.2">
      <c r="A60" s="11">
        <v>43146</v>
      </c>
      <c r="B60" s="379">
        <f>'2022'!Maxi_hp</f>
        <v>40.824287994702445</v>
      </c>
      <c r="C60" s="13">
        <f>'2022'!An_max</f>
        <v>2019</v>
      </c>
      <c r="D60" s="1053">
        <f t="shared" si="7"/>
        <v>1.0202093777000676</v>
      </c>
      <c r="E60" s="13"/>
      <c r="F60" s="13">
        <f t="shared" si="23"/>
        <v>5</v>
      </c>
      <c r="G60" s="13">
        <f t="shared" si="24"/>
        <v>4</v>
      </c>
      <c r="H60" s="172">
        <f t="shared" si="8"/>
        <v>43150</v>
      </c>
      <c r="I60" s="753">
        <f t="shared" si="9"/>
        <v>0.2857142857142857</v>
      </c>
      <c r="J60" s="746">
        <f t="shared" si="27"/>
        <v>40.01559766754508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46">
        <v>43146</v>
      </c>
      <c r="AP60" s="13">
        <f t="shared" si="11"/>
        <v>3</v>
      </c>
      <c r="AQ60" s="13">
        <f t="shared" si="12"/>
        <v>4</v>
      </c>
      <c r="AR60" s="172">
        <f t="shared" si="13"/>
        <v>43136</v>
      </c>
      <c r="AS60" s="753">
        <f t="shared" si="14"/>
        <v>0.35714285714285715</v>
      </c>
      <c r="AT60" s="769">
        <f t="shared" si="15"/>
        <v>39.767396227935592</v>
      </c>
      <c r="AU60" s="13">
        <f t="shared" si="16"/>
        <v>3</v>
      </c>
      <c r="AV60" s="13">
        <f t="shared" si="17"/>
        <v>2</v>
      </c>
      <c r="AW60" s="172">
        <f t="shared" si="18"/>
        <v>43150</v>
      </c>
      <c r="AX60" s="753">
        <f t="shared" si="19"/>
        <v>0.14285714285714285</v>
      </c>
      <c r="AY60" s="769">
        <f t="shared" si="20"/>
        <v>40.064383940292259</v>
      </c>
      <c r="AZ60" s="746">
        <f t="shared" si="26"/>
        <v>39.915890084113926</v>
      </c>
      <c r="BA60" s="641">
        <f t="shared" si="21"/>
        <v>1.0202093777000676</v>
      </c>
      <c r="BC60" s="11">
        <v>43146</v>
      </c>
      <c r="BD60" s="289">
        <f>[2]!FeuilCaduc*(1-Persistant)+Persistant</f>
        <v>0.60131681367960876</v>
      </c>
      <c r="BE60" s="290">
        <f>[2]!CroissVégét</f>
        <v>7.4065104705297478E-3</v>
      </c>
      <c r="BF60" s="819">
        <f>1+[2]!Salcycl*Ksac</f>
        <v>1.000164601709951</v>
      </c>
      <c r="BH60" s="1044">
        <f t="shared" si="22"/>
        <v>1.7358353244431302E-2</v>
      </c>
      <c r="BI60" s="11">
        <v>44242</v>
      </c>
      <c r="BJ60" s="726">
        <v>8.0361549182281292E-3</v>
      </c>
      <c r="BK60" s="726">
        <v>9.8517122494946475E-3</v>
      </c>
      <c r="BL60" s="726">
        <v>1.1651915441931013E-2</v>
      </c>
      <c r="BM60" s="726">
        <v>1.356303358993074E-2</v>
      </c>
      <c r="BN60" s="726">
        <v>1.5881239136554429E-2</v>
      </c>
      <c r="BO60" s="727">
        <v>1.8643357874045093E-2</v>
      </c>
      <c r="BP60" s="726">
        <v>2.1836269945932033E-2</v>
      </c>
      <c r="BQ60" s="726">
        <v>2.5896675419081572E-2</v>
      </c>
      <c r="BR60" s="726">
        <v>3.0785087665832163E-2</v>
      </c>
      <c r="BS60" s="726">
        <v>3.8175467355091468E-2</v>
      </c>
      <c r="BT60" s="726">
        <v>4.7448921618191871E-2</v>
      </c>
      <c r="BW60" s="1208">
        <f>'2018'!R\Max</f>
        <v>0</v>
      </c>
      <c r="BX60" s="1206">
        <f>'2019'!R\Max</f>
        <v>1.0202093777000676</v>
      </c>
      <c r="BY60" s="1206">
        <f>'2020'!R\Max</f>
        <v>0.98317085591389564</v>
      </c>
      <c r="BZ60" s="1206">
        <f>'2021'!R\Max</f>
        <v>0.93532961358051991</v>
      </c>
      <c r="CA60" s="1206">
        <f>'2022'!R\Max</f>
        <v>0.57147364431240599</v>
      </c>
      <c r="CB60" s="1206">
        <f>'2023'!R\Max</f>
        <v>0.571450220585487</v>
      </c>
      <c r="CC60" s="1206">
        <f>'2024'!R\Max</f>
        <v>0.57142139684370064</v>
      </c>
      <c r="CD60" s="1206">
        <f>'2025'!R\Max</f>
        <v>0.57139257125942378</v>
      </c>
      <c r="CE60" s="1206">
        <f>'2026'!R\Max</f>
        <v>0.57154094887575613</v>
      </c>
      <c r="CF60" s="1207">
        <f>'2027'!R\Max</f>
        <v>0.57152010203586601</v>
      </c>
    </row>
    <row r="61" spans="1:84" s="6" customFormat="1" ht="11.25" x14ac:dyDescent="0.2">
      <c r="A61" s="11">
        <v>43147</v>
      </c>
      <c r="B61" s="379">
        <f>'2022'!Maxi_hp</f>
        <v>41.302237931814616</v>
      </c>
      <c r="C61" s="13">
        <f>'2022'!An_max</f>
        <v>2019</v>
      </c>
      <c r="D61" s="1053">
        <f t="shared" si="7"/>
        <v>1.0223324339478452</v>
      </c>
      <c r="E61" s="13"/>
      <c r="F61" s="13">
        <f t="shared" si="23"/>
        <v>5</v>
      </c>
      <c r="G61" s="13">
        <f t="shared" si="24"/>
        <v>4</v>
      </c>
      <c r="H61" s="172">
        <f t="shared" si="8"/>
        <v>43150</v>
      </c>
      <c r="I61" s="753">
        <f t="shared" si="9"/>
        <v>0.21428571428571427</v>
      </c>
      <c r="J61" s="746">
        <f t="shared" si="27"/>
        <v>40.400007434295752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46">
        <v>43147</v>
      </c>
      <c r="AP61" s="13">
        <f t="shared" si="11"/>
        <v>3</v>
      </c>
      <c r="AQ61" s="13">
        <f t="shared" si="12"/>
        <v>4</v>
      </c>
      <c r="AR61" s="172">
        <f t="shared" si="13"/>
        <v>43136</v>
      </c>
      <c r="AS61" s="753">
        <f t="shared" si="14"/>
        <v>0.39285714285714285</v>
      </c>
      <c r="AT61" s="769">
        <f t="shared" si="15"/>
        <v>40.141411600182103</v>
      </c>
      <c r="AU61" s="13">
        <f t="shared" si="16"/>
        <v>3</v>
      </c>
      <c r="AV61" s="13">
        <f t="shared" si="17"/>
        <v>2</v>
      </c>
      <c r="AW61" s="172">
        <f t="shared" si="18"/>
        <v>43150</v>
      </c>
      <c r="AX61" s="753">
        <f t="shared" si="19"/>
        <v>0.10714285714285714</v>
      </c>
      <c r="AY61" s="769">
        <f t="shared" si="20"/>
        <v>40.43736235352366</v>
      </c>
      <c r="AZ61" s="746">
        <f t="shared" si="26"/>
        <v>40.289386976852882</v>
      </c>
      <c r="BA61" s="641">
        <f t="shared" si="21"/>
        <v>1.0223324339478452</v>
      </c>
      <c r="BC61" s="11">
        <v>43147</v>
      </c>
      <c r="BD61" s="289">
        <f>[2]!FeuilCaduc*(1-Persistant)+Persistant</f>
        <v>0.60144317687837145</v>
      </c>
      <c r="BE61" s="290">
        <f>[2]!CroissVégét</f>
        <v>7.7722651621059055E-3</v>
      </c>
      <c r="BF61" s="819">
        <f>1+[2]!Salcycl*Ksac</f>
        <v>1.0001803971097964</v>
      </c>
      <c r="BH61" s="1044">
        <f t="shared" si="22"/>
        <v>1.7215037800333871E-2</v>
      </c>
      <c r="BI61" s="11">
        <v>44243</v>
      </c>
      <c r="BJ61" s="726">
        <v>7.7212737587312131E-3</v>
      </c>
      <c r="BK61" s="726">
        <v>9.5565334765251152E-3</v>
      </c>
      <c r="BL61" s="726">
        <v>1.1392090223999075E-2</v>
      </c>
      <c r="BM61" s="726">
        <v>1.3354575559224128E-2</v>
      </c>
      <c r="BN61" s="726">
        <v>1.5721929314809646E-2</v>
      </c>
      <c r="BO61" s="727">
        <v>1.8513956621962372E-2</v>
      </c>
      <c r="BP61" s="726">
        <v>2.1709057128732789E-2</v>
      </c>
      <c r="BQ61" s="726">
        <v>2.566325575059826E-2</v>
      </c>
      <c r="BR61" s="726">
        <v>3.0366219847918891E-2</v>
      </c>
      <c r="BS61" s="726">
        <v>3.748600356809121E-2</v>
      </c>
      <c r="BT61" s="726">
        <v>4.6489470898267306E-2</v>
      </c>
      <c r="BW61" s="1208">
        <f>'2018'!R\Max</f>
        <v>0</v>
      </c>
      <c r="BX61" s="1206">
        <f>'2019'!R\Max</f>
        <v>1.0223324339478452</v>
      </c>
      <c r="BY61" s="1206">
        <f>'2020'!R\Max</f>
        <v>0.62060403216897508</v>
      </c>
      <c r="BZ61" s="1206">
        <f>'2021'!R\Max</f>
        <v>0.84940715912072706</v>
      </c>
      <c r="CA61" s="1206">
        <f>'2022'!R\Max</f>
        <v>0.24740187122985877</v>
      </c>
      <c r="CB61" s="1206">
        <f>'2023'!R\Max</f>
        <v>0.24738551364333441</v>
      </c>
      <c r="CC61" s="1206">
        <f>'2024'!R\Max</f>
        <v>0.24736584770628964</v>
      </c>
      <c r="CD61" s="1206">
        <f>'2025'!R\Max</f>
        <v>0.24734618176924483</v>
      </c>
      <c r="CE61" s="1206">
        <f>'2026'!R\Max</f>
        <v>0.24744914856104788</v>
      </c>
      <c r="CF61" s="1207">
        <f>'2027'!R\Max</f>
        <v>0.24743444661152159</v>
      </c>
    </row>
    <row r="62" spans="1:84" s="6" customFormat="1" ht="11.25" x14ac:dyDescent="0.2">
      <c r="A62" s="11">
        <v>43148</v>
      </c>
      <c r="B62" s="379">
        <f>'2022'!Maxi_hp</f>
        <v>41.977734594143215</v>
      </c>
      <c r="C62" s="13">
        <f>'2022'!An_max</f>
        <v>2019</v>
      </c>
      <c r="D62" s="1053">
        <f t="shared" si="7"/>
        <v>1.0293685326992803</v>
      </c>
      <c r="E62" s="13"/>
      <c r="F62" s="13">
        <f t="shared" si="23"/>
        <v>5</v>
      </c>
      <c r="G62" s="13">
        <f t="shared" si="24"/>
        <v>4</v>
      </c>
      <c r="H62" s="172">
        <f t="shared" si="8"/>
        <v>43150</v>
      </c>
      <c r="I62" s="753">
        <f t="shared" si="9"/>
        <v>0.14285714285714285</v>
      </c>
      <c r="J62" s="746">
        <f t="shared" si="27"/>
        <v>40.780083381863577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46">
        <v>43148</v>
      </c>
      <c r="AP62" s="13">
        <f t="shared" si="11"/>
        <v>3</v>
      </c>
      <c r="AQ62" s="13">
        <f t="shared" si="12"/>
        <v>4</v>
      </c>
      <c r="AR62" s="172">
        <f t="shared" si="13"/>
        <v>43136</v>
      </c>
      <c r="AS62" s="753">
        <f t="shared" si="14"/>
        <v>0.42857142857142855</v>
      </c>
      <c r="AT62" s="769">
        <f t="shared" si="15"/>
        <v>40.516587172022881</v>
      </c>
      <c r="AU62" s="13">
        <f t="shared" si="16"/>
        <v>3</v>
      </c>
      <c r="AV62" s="13">
        <f t="shared" si="17"/>
        <v>2</v>
      </c>
      <c r="AW62" s="172">
        <f t="shared" si="18"/>
        <v>43150</v>
      </c>
      <c r="AX62" s="753">
        <f t="shared" si="19"/>
        <v>7.1428571428571425E-2</v>
      </c>
      <c r="AY62" s="769">
        <f t="shared" si="20"/>
        <v>40.805220352884916</v>
      </c>
      <c r="AZ62" s="746">
        <f t="shared" si="26"/>
        <v>40.660903762453898</v>
      </c>
      <c r="BA62" s="641">
        <f t="shared" si="21"/>
        <v>1.0293685326992803</v>
      </c>
      <c r="BC62" s="11">
        <v>43148</v>
      </c>
      <c r="BD62" s="289">
        <f>[2]!FeuilCaduc*(1-Persistant)+Persistant</f>
        <v>0.6015697647555619</v>
      </c>
      <c r="BE62" s="290">
        <f>[2]!CroissVégét</f>
        <v>8.1530774564185747E-3</v>
      </c>
      <c r="BF62" s="819">
        <f>1+[2]!Salcycl*Ksac</f>
        <v>1.0001962205944452</v>
      </c>
      <c r="BH62" s="1044">
        <f t="shared" si="22"/>
        <v>1.70701379170176E-2</v>
      </c>
      <c r="BI62" s="11">
        <v>44244</v>
      </c>
      <c r="BJ62" s="726">
        <v>7.4290367128308282E-3</v>
      </c>
      <c r="BK62" s="726">
        <v>9.2754973830327433E-3</v>
      </c>
      <c r="BL62" s="726">
        <v>1.1139314655839552E-2</v>
      </c>
      <c r="BM62" s="726">
        <v>1.3148113409480518E-2</v>
      </c>
      <c r="BN62" s="726">
        <v>1.5560521731376996E-2</v>
      </c>
      <c r="BO62" s="727">
        <v>1.8383417491793543E-2</v>
      </c>
      <c r="BP62" s="726">
        <v>2.1587586326071224E-2</v>
      </c>
      <c r="BQ62" s="726">
        <v>2.5459853248208559E-2</v>
      </c>
      <c r="BR62" s="726">
        <v>3.0008952022682826E-2</v>
      </c>
      <c r="BS62" s="726">
        <v>3.6863822481585061E-2</v>
      </c>
      <c r="BT62" s="726">
        <v>4.5564955037327083E-2</v>
      </c>
      <c r="BW62" s="1208">
        <f>'2018'!R\Max</f>
        <v>0</v>
      </c>
      <c r="BX62" s="1206">
        <f>'2019'!R\Max</f>
        <v>1.0293685326992803</v>
      </c>
      <c r="BY62" s="1206">
        <f>'2020'!R\Max</f>
        <v>0.14300115413223852</v>
      </c>
      <c r="BZ62" s="1206">
        <f>'2021'!R\Max</f>
        <v>0.92775753902796743</v>
      </c>
      <c r="CA62" s="1206">
        <f>'2022'!R\Max</f>
        <v>0.29739536850642062</v>
      </c>
      <c r="CB62" s="1206">
        <f>'2023'!R\Max</f>
        <v>0.29737589610574827</v>
      </c>
      <c r="CC62" s="1206">
        <f>'2024'!R\Max</f>
        <v>0.29735295696991243</v>
      </c>
      <c r="CD62" s="1206">
        <f>'2025'!R\Max</f>
        <v>0.29733001783407664</v>
      </c>
      <c r="CE62" s="1206">
        <f>'2026'!R\Max</f>
        <v>0.29745192277376431</v>
      </c>
      <c r="CF62" s="1207">
        <f>'2027'!R\Max</f>
        <v>0.29743427982815784</v>
      </c>
    </row>
    <row r="63" spans="1:84" s="6" customFormat="1" ht="11.25" x14ac:dyDescent="0.2">
      <c r="A63" s="11">
        <v>43149</v>
      </c>
      <c r="B63" s="379">
        <f>'2022'!Maxi_hp</f>
        <v>41.235106126634335</v>
      </c>
      <c r="C63" s="13">
        <f>'2022'!An_max</f>
        <v>2019</v>
      </c>
      <c r="D63" s="1053">
        <f t="shared" si="7"/>
        <v>1.0019527293165842</v>
      </c>
      <c r="E63" s="13"/>
      <c r="F63" s="13">
        <f t="shared" si="23"/>
        <v>5</v>
      </c>
      <c r="G63" s="13">
        <f t="shared" si="24"/>
        <v>4</v>
      </c>
      <c r="H63" s="172">
        <f t="shared" si="8"/>
        <v>43150</v>
      </c>
      <c r="I63" s="753">
        <f t="shared" si="9"/>
        <v>7.1428571428571425E-2</v>
      </c>
      <c r="J63" s="746">
        <f t="shared" si="27"/>
        <v>41.154742055306478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46">
        <v>43149</v>
      </c>
      <c r="AP63" s="13">
        <f t="shared" si="11"/>
        <v>3</v>
      </c>
      <c r="AQ63" s="13">
        <f t="shared" si="12"/>
        <v>4</v>
      </c>
      <c r="AR63" s="172">
        <f t="shared" si="13"/>
        <v>43136</v>
      </c>
      <c r="AS63" s="753">
        <f t="shared" si="14"/>
        <v>0.4642857142857143</v>
      </c>
      <c r="AT63" s="769">
        <f t="shared" si="15"/>
        <v>40.892557276905123</v>
      </c>
      <c r="AU63" s="13">
        <f t="shared" si="16"/>
        <v>3</v>
      </c>
      <c r="AV63" s="13">
        <f t="shared" si="17"/>
        <v>2</v>
      </c>
      <c r="AW63" s="172">
        <f t="shared" si="18"/>
        <v>43150</v>
      </c>
      <c r="AX63" s="753">
        <f t="shared" si="19"/>
        <v>3.5714285714285712E-2</v>
      </c>
      <c r="AY63" s="769">
        <f t="shared" si="20"/>
        <v>41.167289161036855</v>
      </c>
      <c r="AZ63" s="746">
        <f t="shared" si="26"/>
        <v>41.029923218970993</v>
      </c>
      <c r="BA63" s="641">
        <f t="shared" si="21"/>
        <v>1.0019527293165842</v>
      </c>
      <c r="BC63" s="11">
        <v>43149</v>
      </c>
      <c r="BD63" s="289">
        <f>[2]!FeuilCaduc*(1-Persistant)+Persistant</f>
        <v>0.60169586635044547</v>
      </c>
      <c r="BE63" s="290">
        <f>[2]!CroissVégét</f>
        <v>8.5495548619151183E-3</v>
      </c>
      <c r="BF63" s="819">
        <f>1+[2]!Salcycl*Ksac</f>
        <v>1.0002119832938057</v>
      </c>
      <c r="BH63" s="1044">
        <f t="shared" si="22"/>
        <v>1.6923671728127285E-2</v>
      </c>
      <c r="BI63" s="11">
        <v>44245</v>
      </c>
      <c r="BJ63" s="726">
        <v>7.1594417911862761E-3</v>
      </c>
      <c r="BK63" s="726">
        <v>9.008606114936115E-3</v>
      </c>
      <c r="BL63" s="726">
        <v>1.0893595205214848E-2</v>
      </c>
      <c r="BM63" s="726">
        <v>1.2943658187016824E-2</v>
      </c>
      <c r="BN63" s="726">
        <v>1.5397032312267724E-2</v>
      </c>
      <c r="BO63" s="727">
        <v>1.8251760537698083E-2</v>
      </c>
      <c r="BP63" s="726">
        <v>2.1471880587208142E-2</v>
      </c>
      <c r="BQ63" s="726">
        <v>2.5286489395659764E-2</v>
      </c>
      <c r="BR63" s="726">
        <v>2.9713301858969858E-2</v>
      </c>
      <c r="BS63" s="726">
        <v>3.6308942805748132E-2</v>
      </c>
      <c r="BT63" s="726">
        <v>4.4675402081980897E-2</v>
      </c>
      <c r="BW63" s="1208">
        <f>'2018'!R\Max</f>
        <v>0</v>
      </c>
      <c r="BX63" s="1206">
        <f>'2019'!R\Max</f>
        <v>1.0019527293165842</v>
      </c>
      <c r="BY63" s="1206">
        <f>'2020'!R\Max</f>
        <v>0.81885117695853782</v>
      </c>
      <c r="BZ63" s="1206">
        <f>'2021'!R\Max</f>
        <v>0.36140869144350202</v>
      </c>
      <c r="CA63" s="1206">
        <f>'2022'!R\Max</f>
        <v>0.82539871719535884</v>
      </c>
      <c r="CB63" s="1206">
        <f>'2023'!R\Max</f>
        <v>0.82538532892643623</v>
      </c>
      <c r="CC63" s="1206">
        <f>'2024'!R\Max</f>
        <v>0.8253698235808955</v>
      </c>
      <c r="CD63" s="1206">
        <f>'2025'!R\Max</f>
        <v>0.82535431648214308</v>
      </c>
      <c r="CE63" s="1206">
        <f>'2026'!R\Max</f>
        <v>0.82543774698029482</v>
      </c>
      <c r="CF63" s="1207">
        <f>'2027'!R\Max</f>
        <v>0.82542554239099064</v>
      </c>
    </row>
    <row r="64" spans="1:84" s="6" customFormat="1" ht="11.25" x14ac:dyDescent="0.2">
      <c r="A64" s="11">
        <v>43150</v>
      </c>
      <c r="B64" s="379">
        <f>'2022'!Maxi_hp</f>
        <v>39.639407492619156</v>
      </c>
      <c r="C64" s="13">
        <f>'2022'!An_max</f>
        <v>2021</v>
      </c>
      <c r="D64" s="1053" t="str">
        <f t="shared" si="7"/>
        <v/>
      </c>
      <c r="E64" s="1048">
        <f>Q$13/10</f>
        <v>41.5229</v>
      </c>
      <c r="F64" s="13">
        <f t="shared" si="23"/>
        <v>5</v>
      </c>
      <c r="G64" s="13">
        <f t="shared" si="24"/>
        <v>6</v>
      </c>
      <c r="H64" s="172">
        <f t="shared" si="8"/>
        <v>43150</v>
      </c>
      <c r="I64" s="753">
        <f t="shared" si="9"/>
        <v>0</v>
      </c>
      <c r="J64" s="746">
        <f t="shared" si="27"/>
        <v>41.522900000214577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46">
        <v>43150</v>
      </c>
      <c r="AP64" s="13">
        <f t="shared" si="11"/>
        <v>3</v>
      </c>
      <c r="AQ64" s="13">
        <f t="shared" si="12"/>
        <v>4</v>
      </c>
      <c r="AR64" s="172">
        <f t="shared" si="13"/>
        <v>43136</v>
      </c>
      <c r="AS64" s="753">
        <f t="shared" si="14"/>
        <v>0.5</v>
      </c>
      <c r="AT64" s="769">
        <f t="shared" si="15"/>
        <v>41.268956249859187</v>
      </c>
      <c r="AU64" s="13">
        <f t="shared" si="16"/>
        <v>3</v>
      </c>
      <c r="AV64" s="13">
        <f t="shared" si="17"/>
        <v>4</v>
      </c>
      <c r="AW64" s="172">
        <f t="shared" si="18"/>
        <v>43150</v>
      </c>
      <c r="AX64" s="753">
        <f t="shared" si="19"/>
        <v>0</v>
      </c>
      <c r="AY64" s="769">
        <f t="shared" si="20"/>
        <v>41.522900000214577</v>
      </c>
      <c r="AZ64" s="746">
        <f t="shared" si="26"/>
        <v>41.395928125036882</v>
      </c>
      <c r="BA64" s="641">
        <f t="shared" si="21"/>
        <v>0.95463966853024029</v>
      </c>
      <c r="BC64" s="11">
        <v>43150</v>
      </c>
      <c r="BD64" s="289">
        <f>[2]!FeuilCaduc*(1-Persistant)+Persistant</f>
        <v>0.60182084505675992</v>
      </c>
      <c r="BE64" s="290">
        <f>[2]!CroissVégét</f>
        <v>8.9623283475330478E-3</v>
      </c>
      <c r="BF64" s="819">
        <f>1+[2]!Salcycl*Ksac</f>
        <v>1.0002276056320949</v>
      </c>
      <c r="BH64" s="1044">
        <f t="shared" si="22"/>
        <v>1.6775656548334038E-2</v>
      </c>
      <c r="BI64" s="11">
        <v>44246</v>
      </c>
      <c r="BJ64" s="726">
        <v>6.9124868251178861E-3</v>
      </c>
      <c r="BK64" s="726">
        <v>8.7558612115187021E-3</v>
      </c>
      <c r="BL64" s="726">
        <v>1.0654937471548026E-2</v>
      </c>
      <c r="BM64" s="726">
        <v>1.2741220014518584E-2</v>
      </c>
      <c r="BN64" s="726">
        <v>1.5231476052774232E-2</v>
      </c>
      <c r="BO64" s="727">
        <v>1.8119005092073669E-2</v>
      </c>
      <c r="BP64" s="726">
        <v>2.1361962675718313E-2</v>
      </c>
      <c r="BQ64" s="726">
        <v>2.5143186359411793E-2</v>
      </c>
      <c r="BR64" s="726">
        <v>2.9479288731301331E-2</v>
      </c>
      <c r="BS64" s="726">
        <v>3.5821383950120779E-2</v>
      </c>
      <c r="BT64" s="726">
        <v>4.382083742239657E-2</v>
      </c>
      <c r="BW64" s="1208">
        <f>'2018'!R\Max</f>
        <v>0</v>
      </c>
      <c r="BX64" s="1206">
        <f>'2019'!R\Max</f>
        <v>0.71885602805309823</v>
      </c>
      <c r="BY64" s="1206">
        <f>'2020'!R\Max</f>
        <v>0.76595625677472923</v>
      </c>
      <c r="BZ64" s="1206">
        <f>'2021'!R\Max</f>
        <v>0.95463966853024029</v>
      </c>
      <c r="CA64" s="1206">
        <f>'2022'!R\Max</f>
        <v>0.44480720427949177</v>
      </c>
      <c r="CB64" s="1206">
        <f>'2023'!R\Max</f>
        <v>0.44478435101185665</v>
      </c>
      <c r="CC64" s="1206">
        <f>'2024'!R\Max</f>
        <v>0.44475824491295002</v>
      </c>
      <c r="CD64" s="1206">
        <f>'2025'!R\Max</f>
        <v>0.44473213801437805</v>
      </c>
      <c r="CE64" s="1206">
        <f>'2026'!R\Max</f>
        <v>0.44487403516463608</v>
      </c>
      <c r="CF64" s="1207">
        <f>'2027'!R\Max</f>
        <v>0.4448530997378991</v>
      </c>
    </row>
    <row r="65" spans="1:84" s="6" customFormat="1" ht="11.25" x14ac:dyDescent="0.2">
      <c r="A65" s="11">
        <v>43151</v>
      </c>
      <c r="B65" s="379">
        <f>'2022'!Maxi_hp</f>
        <v>41.874871627810187</v>
      </c>
      <c r="C65" s="13">
        <f>'2022'!An_max</f>
        <v>2020</v>
      </c>
      <c r="D65" s="1053">
        <f t="shared" si="7"/>
        <v>0.9997467732250177</v>
      </c>
      <c r="E65" s="13"/>
      <c r="F65" s="13">
        <f t="shared" si="23"/>
        <v>5</v>
      </c>
      <c r="G65" s="13">
        <f t="shared" si="24"/>
        <v>6</v>
      </c>
      <c r="H65" s="172">
        <f t="shared" si="8"/>
        <v>43150</v>
      </c>
      <c r="I65" s="753">
        <f t="shared" si="9"/>
        <v>7.1428571428571425E-2</v>
      </c>
      <c r="J65" s="746">
        <f t="shared" si="27"/>
        <v>41.885478152361301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46">
        <v>43151</v>
      </c>
      <c r="AP65" s="13">
        <f t="shared" si="11"/>
        <v>3</v>
      </c>
      <c r="AQ65" s="13">
        <f t="shared" si="12"/>
        <v>4</v>
      </c>
      <c r="AR65" s="172">
        <f t="shared" si="13"/>
        <v>43136</v>
      </c>
      <c r="AS65" s="753">
        <f t="shared" si="14"/>
        <v>0.5357142857142857</v>
      </c>
      <c r="AT65" s="769">
        <f t="shared" si="15"/>
        <v>41.645418424239118</v>
      </c>
      <c r="AU65" s="13">
        <f t="shared" si="16"/>
        <v>3</v>
      </c>
      <c r="AV65" s="13">
        <f t="shared" si="17"/>
        <v>4</v>
      </c>
      <c r="AW65" s="172">
        <f t="shared" si="18"/>
        <v>43150</v>
      </c>
      <c r="AX65" s="753">
        <f t="shared" si="19"/>
        <v>3.5714285714285712E-2</v>
      </c>
      <c r="AY65" s="769">
        <f t="shared" si="20"/>
        <v>41.875591627009484</v>
      </c>
      <c r="AZ65" s="746">
        <f t="shared" si="26"/>
        <v>41.760505025624298</v>
      </c>
      <c r="BA65" s="641">
        <f t="shared" si="21"/>
        <v>0.9997467732250177</v>
      </c>
      <c r="BC65" s="11">
        <v>43151</v>
      </c>
      <c r="BD65" s="289">
        <f>[2]!FeuilCaduc*(1-Persistant)+Persistant</f>
        <v>0.60194415012999103</v>
      </c>
      <c r="BE65" s="290">
        <f>[2]!CroissVégét</f>
        <v>9.3920531593536197E-3</v>
      </c>
      <c r="BF65" s="819">
        <f>1+[2]!Salcycl*Ksac</f>
        <v>1.0002430187662488</v>
      </c>
      <c r="BH65" s="1044">
        <f t="shared" si="22"/>
        <v>1.6626108851543017E-2</v>
      </c>
      <c r="BI65" s="11">
        <v>44247</v>
      </c>
      <c r="BJ65" s="726">
        <v>6.6881697487614182E-3</v>
      </c>
      <c r="BK65" s="726">
        <v>8.5172637810176088E-3</v>
      </c>
      <c r="BL65" s="726">
        <v>1.0423346272600305E-2</v>
      </c>
      <c r="BM65" s="726">
        <v>1.2540808114345058E-2</v>
      </c>
      <c r="BN65" s="726">
        <v>1.5063866989376513E-2</v>
      </c>
      <c r="BO65" s="727">
        <v>1.7985169749245689E-2</v>
      </c>
      <c r="BP65" s="726">
        <v>2.1257855138979171E-2</v>
      </c>
      <c r="BQ65" s="726">
        <v>2.5029967361411838E-2</v>
      </c>
      <c r="BR65" s="726">
        <v>2.9306934487202247E-2</v>
      </c>
      <c r="BS65" s="726">
        <v>3.5401166860915566E-2</v>
      </c>
      <c r="BT65" s="726">
        <v>4.300128422336541E-2</v>
      </c>
      <c r="BW65" s="1208">
        <f>'2018'!R\Max</f>
        <v>0</v>
      </c>
      <c r="BX65" s="1206">
        <f>'2019'!R\Max</f>
        <v>0.98101072997076744</v>
      </c>
      <c r="BY65" s="1206">
        <f>'2020'!R\Max</f>
        <v>0.9997467732250177</v>
      </c>
      <c r="BZ65" s="1206">
        <f>'2021'!R\Max</f>
        <v>0.79675504165068023</v>
      </c>
      <c r="CA65" s="1206">
        <f>'2022'!R\Max</f>
        <v>0.54848981712250189</v>
      </c>
      <c r="CB65" s="1206">
        <f>'2023'!R\Max</f>
        <v>0.54846692079183412</v>
      </c>
      <c r="CC65" s="1206">
        <f>'2024'!R\Max</f>
        <v>0.54844102430077146</v>
      </c>
      <c r="CD65" s="1206">
        <f>'2025'!R\Max</f>
        <v>0.54841512646349666</v>
      </c>
      <c r="CE65" s="1206">
        <f>'2026'!R\Max</f>
        <v>0.54855690754912201</v>
      </c>
      <c r="CF65" s="1207">
        <f>'2027'!R\Max</f>
        <v>0.54853587013834193</v>
      </c>
    </row>
    <row r="66" spans="1:84" s="6" customFormat="1" ht="11.25" x14ac:dyDescent="0.2">
      <c r="A66" s="11">
        <v>43152</v>
      </c>
      <c r="B66" s="379">
        <f>'2022'!Maxi_hp</f>
        <v>39.365531433595841</v>
      </c>
      <c r="C66" s="13">
        <f>'2022'!An_max</f>
        <v>2019</v>
      </c>
      <c r="D66" s="1053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2">
        <f t="shared" si="8"/>
        <v>43150</v>
      </c>
      <c r="I66" s="753">
        <f t="shared" si="9"/>
        <v>0.14285714285714285</v>
      </c>
      <c r="J66" s="746">
        <f t="shared" si="27"/>
        <v>42.244336443234765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46">
        <v>43152</v>
      </c>
      <c r="AP66" s="13">
        <f t="shared" si="11"/>
        <v>3</v>
      </c>
      <c r="AQ66" s="13">
        <f t="shared" si="12"/>
        <v>4</v>
      </c>
      <c r="AR66" s="172">
        <f t="shared" si="13"/>
        <v>43136</v>
      </c>
      <c r="AS66" s="753">
        <f t="shared" si="14"/>
        <v>0.5714285714285714</v>
      </c>
      <c r="AT66" s="769">
        <f t="shared" si="15"/>
        <v>42.021578134197213</v>
      </c>
      <c r="AU66" s="13">
        <f t="shared" si="16"/>
        <v>3</v>
      </c>
      <c r="AV66" s="13">
        <f t="shared" si="17"/>
        <v>4</v>
      </c>
      <c r="AW66" s="172">
        <f t="shared" si="18"/>
        <v>43150</v>
      </c>
      <c r="AX66" s="753">
        <f t="shared" si="19"/>
        <v>7.1428571428571425E-2</v>
      </c>
      <c r="AY66" s="769">
        <f t="shared" si="20"/>
        <v>42.229204191067922</v>
      </c>
      <c r="AZ66" s="746">
        <f t="shared" si="26"/>
        <v>42.125391162632567</v>
      </c>
      <c r="BA66" s="641">
        <f t="shared" si="21"/>
        <v>0.93185346836948713</v>
      </c>
      <c r="BC66" s="11">
        <v>43152</v>
      </c>
      <c r="BD66" s="289">
        <f>[2]!FeuilCaduc*(1-Persistant)+Persistant</f>
        <v>0.60206532763862897</v>
      </c>
      <c r="BE66" s="290">
        <f>[2]!CroissVégét</f>
        <v>9.8394096579268626E-3</v>
      </c>
      <c r="BF66" s="819">
        <f>1+[2]!Salcycl*Ksac</f>
        <v>1.0002581659548286</v>
      </c>
      <c r="BH66" s="1044">
        <f t="shared" si="22"/>
        <v>1.6481498189959937E-2</v>
      </c>
      <c r="BI66" s="11">
        <v>44248</v>
      </c>
      <c r="BJ66" s="726">
        <v>6.4953271647118366E-3</v>
      </c>
      <c r="BK66" s="726">
        <v>8.3037652734625819E-3</v>
      </c>
      <c r="BL66" s="726">
        <v>1.0210236092583216E-2</v>
      </c>
      <c r="BM66" s="726">
        <v>1.2352304354225623E-2</v>
      </c>
      <c r="BN66" s="726">
        <v>1.4902099746307315E-2</v>
      </c>
      <c r="BO66" s="727">
        <v>1.7855484330418361E-2</v>
      </c>
      <c r="BP66" s="726">
        <v>2.1162136716965586E-2</v>
      </c>
      <c r="BQ66" s="726">
        <v>2.4945379679577655E-2</v>
      </c>
      <c r="BR66" s="726">
        <v>2.9193085181179849E-2</v>
      </c>
      <c r="BS66" s="726">
        <v>3.5058253856262087E-2</v>
      </c>
      <c r="BT66" s="726">
        <v>4.2255957969165557E-2</v>
      </c>
      <c r="BW66" s="1208">
        <f>'2018'!R\Max</f>
        <v>0</v>
      </c>
      <c r="BX66" s="1206">
        <f>'2019'!R\Max</f>
        <v>0.93185346836948713</v>
      </c>
      <c r="BY66" s="1206">
        <f>'2020'!R\Max</f>
        <v>0.39707259092737857</v>
      </c>
      <c r="BZ66" s="1206">
        <f>'2021'!R\Max</f>
        <v>0.26244636025765206</v>
      </c>
      <c r="CA66" s="1206">
        <f>'2022'!R\Max</f>
        <v>0.55144291100832665</v>
      </c>
      <c r="CB66" s="1206">
        <f>'2023'!R\Max</f>
        <v>0.55142001868996227</v>
      </c>
      <c r="CC66" s="1206">
        <f>'2024'!R\Max</f>
        <v>0.55139429190066291</v>
      </c>
      <c r="CD66" s="1206">
        <f>'2025'!R\Max</f>
        <v>0.55136856376534749</v>
      </c>
      <c r="CE66" s="1206">
        <f>'2026'!R\Max</f>
        <v>0.55151006346425968</v>
      </c>
      <c r="CF66" s="1207">
        <f>'2027'!R\Max</f>
        <v>0.55148900101703513</v>
      </c>
    </row>
    <row r="67" spans="1:84" s="6" customFormat="1" ht="11.25" x14ac:dyDescent="0.2">
      <c r="A67" s="11">
        <v>43153</v>
      </c>
      <c r="B67" s="379">
        <f>'2022'!Maxi_hp</f>
        <v>40.864561185039193</v>
      </c>
      <c r="C67" s="13">
        <f>'2022'!An_max</f>
        <v>2020</v>
      </c>
      <c r="D67" s="1053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2">
        <f t="shared" si="8"/>
        <v>43150</v>
      </c>
      <c r="I67" s="753">
        <f t="shared" si="9"/>
        <v>0.21428571428571427</v>
      </c>
      <c r="J67" s="746">
        <f t="shared" si="27"/>
        <v>42.599799909189876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46">
        <v>43153</v>
      </c>
      <c r="AP67" s="13">
        <f t="shared" si="11"/>
        <v>3</v>
      </c>
      <c r="AQ67" s="13">
        <f t="shared" si="12"/>
        <v>4</v>
      </c>
      <c r="AR67" s="172">
        <f t="shared" si="13"/>
        <v>43136</v>
      </c>
      <c r="AS67" s="753">
        <f t="shared" si="14"/>
        <v>0.6071428571428571</v>
      </c>
      <c r="AT67" s="769">
        <f t="shared" si="15"/>
        <v>42.397069713366889</v>
      </c>
      <c r="AU67" s="13">
        <f t="shared" si="16"/>
        <v>3</v>
      </c>
      <c r="AV67" s="13">
        <f t="shared" si="17"/>
        <v>4</v>
      </c>
      <c r="AW67" s="172">
        <f t="shared" si="18"/>
        <v>43150</v>
      </c>
      <c r="AX67" s="753">
        <f t="shared" si="19"/>
        <v>0.10714285714285714</v>
      </c>
      <c r="AY67" s="769">
        <f t="shared" si="20"/>
        <v>42.583521000289224</v>
      </c>
      <c r="AZ67" s="746">
        <f t="shared" si="26"/>
        <v>42.490295356828057</v>
      </c>
      <c r="BA67" s="641">
        <f t="shared" si="21"/>
        <v>0.95926650529228552</v>
      </c>
      <c r="BC67" s="11">
        <v>43153</v>
      </c>
      <c r="BD67" s="289">
        <f>[2]!FeuilCaduc*(1-Persistant)+Persistant</f>
        <v>0.60218403075745885</v>
      </c>
      <c r="BE67" s="290">
        <f>[2]!CroissVégét</f>
        <v>1.0305104176065441E-2</v>
      </c>
      <c r="BF67" s="819">
        <f>1+[2]!Salcycl*Ksac</f>
        <v>1.0002730038446823</v>
      </c>
      <c r="BH67" s="1044">
        <f t="shared" si="22"/>
        <v>1.6343953424042275E-2</v>
      </c>
      <c r="BI67" s="11">
        <v>44249</v>
      </c>
      <c r="BJ67" s="726">
        <v>6.3291309755766738E-3</v>
      </c>
      <c r="BK67" s="726">
        <v>8.1165150981362365E-3</v>
      </c>
      <c r="BL67" s="726">
        <v>1.0020161703395354E-2</v>
      </c>
      <c r="BM67" s="726">
        <v>1.2180554074117913E-2</v>
      </c>
      <c r="BN67" s="726">
        <v>1.4750461023641978E-2</v>
      </c>
      <c r="BO67" s="727">
        <v>1.773020049923401E-2</v>
      </c>
      <c r="BP67" s="726">
        <v>2.1067813462180039E-2</v>
      </c>
      <c r="BQ67" s="726">
        <v>2.4866383827279005E-2</v>
      </c>
      <c r="BR67" s="726">
        <v>2.9098923310775779E-2</v>
      </c>
      <c r="BS67" s="726">
        <v>3.476542839418089E-2</v>
      </c>
      <c r="BT67" s="726">
        <v>4.1602440243158588E-2</v>
      </c>
      <c r="BW67" s="1208">
        <f>'2018'!R\Max</f>
        <v>0</v>
      </c>
      <c r="BX67" s="1206">
        <f>'2019'!R\Max</f>
        <v>0.95411491744870391</v>
      </c>
      <c r="BY67" s="1206">
        <f>'2020'!R\Max</f>
        <v>0.95926650529228552</v>
      </c>
      <c r="BZ67" s="1206">
        <f>'2021'!R\Max</f>
        <v>0.21099591133964943</v>
      </c>
      <c r="CA67" s="1206">
        <f>'2022'!R\Max</f>
        <v>0.90537718990296989</v>
      </c>
      <c r="CB67" s="1206">
        <f>'2023'!R\Max</f>
        <v>0.90536925741319663</v>
      </c>
      <c r="CC67" s="1206">
        <f>'2024'!R\Max</f>
        <v>0.90536038300079247</v>
      </c>
      <c r="CD67" s="1206">
        <f>'2025'!R\Max</f>
        <v>0.90535150747520787</v>
      </c>
      <c r="CE67" s="1206">
        <f>'2026'!R\Max</f>
        <v>0.90540047055282091</v>
      </c>
      <c r="CF67" s="1207">
        <f>'2027'!R\Max</f>
        <v>0.9053931699940555</v>
      </c>
    </row>
    <row r="68" spans="1:84" s="6" customFormat="1" ht="11.25" x14ac:dyDescent="0.2">
      <c r="A68" s="11">
        <v>43154</v>
      </c>
      <c r="B68" s="379">
        <f>'2022'!Maxi_hp</f>
        <v>41.700793464247006</v>
      </c>
      <c r="C68" s="13">
        <f>'2022'!An_max</f>
        <v>2020</v>
      </c>
      <c r="D68" s="1053">
        <f t="shared" si="7"/>
        <v>0.9708652802630755</v>
      </c>
      <c r="E68" s="13"/>
      <c r="F68" s="13">
        <f t="shared" si="23"/>
        <v>5</v>
      </c>
      <c r="G68" s="13">
        <f t="shared" si="24"/>
        <v>6</v>
      </c>
      <c r="H68" s="172">
        <f t="shared" si="8"/>
        <v>43150</v>
      </c>
      <c r="I68" s="753">
        <f t="shared" si="9"/>
        <v>0.2857142857142857</v>
      </c>
      <c r="J68" s="746">
        <f t="shared" si="27"/>
        <v>42.952193586475083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46">
        <v>43154</v>
      </c>
      <c r="AP68" s="13">
        <f t="shared" si="11"/>
        <v>3</v>
      </c>
      <c r="AQ68" s="13">
        <f t="shared" si="12"/>
        <v>4</v>
      </c>
      <c r="AR68" s="172">
        <f t="shared" si="13"/>
        <v>43136</v>
      </c>
      <c r="AS68" s="753">
        <f t="shared" si="14"/>
        <v>0.6428571428571429</v>
      </c>
      <c r="AT68" s="769">
        <f t="shared" si="15"/>
        <v>42.771527496233055</v>
      </c>
      <c r="AU68" s="13">
        <f t="shared" si="16"/>
        <v>3</v>
      </c>
      <c r="AV68" s="13">
        <f t="shared" si="17"/>
        <v>4</v>
      </c>
      <c r="AW68" s="172">
        <f t="shared" si="18"/>
        <v>43150</v>
      </c>
      <c r="AX68" s="753">
        <f t="shared" si="19"/>
        <v>0.14285714285714285</v>
      </c>
      <c r="AY68" s="769">
        <f t="shared" si="20"/>
        <v>42.938325364408755</v>
      </c>
      <c r="AZ68" s="746">
        <f t="shared" si="26"/>
        <v>42.854926430320901</v>
      </c>
      <c r="BA68" s="641">
        <f t="shared" si="21"/>
        <v>0.9708652802630755</v>
      </c>
      <c r="BC68" s="11">
        <v>43154</v>
      </c>
      <c r="BD68" s="289">
        <f>[2]!FeuilCaduc*(1-Persistant)+Persistant</f>
        <v>0.60230002931003135</v>
      </c>
      <c r="BE68" s="290">
        <f>[2]!CroissVégét</f>
        <v>1.0789869896821172E-2</v>
      </c>
      <c r="BF68" s="819">
        <f>1+[2]!Salcycl*Ksac</f>
        <v>1.000287503663754</v>
      </c>
      <c r="BH68" s="1044">
        <f t="shared" si="22"/>
        <v>1.6213384482992019E-2</v>
      </c>
      <c r="BI68" s="11">
        <v>44250</v>
      </c>
      <c r="BJ68" s="726">
        <v>6.1895432557349779E-3</v>
      </c>
      <c r="BK68" s="726">
        <v>7.9554653931643363E-3</v>
      </c>
      <c r="BL68" s="726">
        <v>9.85306514685012E-3</v>
      </c>
      <c r="BM68" s="726">
        <v>1.2025488378679058E-2</v>
      </c>
      <c r="BN68" s="726">
        <v>1.4608868854908428E-2</v>
      </c>
      <c r="BO68" s="727">
        <v>1.7609221134595485E-2</v>
      </c>
      <c r="BP68" s="726">
        <v>2.0974771202008878E-2</v>
      </c>
      <c r="BQ68" s="726">
        <v>2.4792845582426622E-2</v>
      </c>
      <c r="BR68" s="726">
        <v>2.9024291363413581E-2</v>
      </c>
      <c r="BS68" s="726">
        <v>3.4522497787059826E-2</v>
      </c>
      <c r="BT68" s="726">
        <v>4.1040493294041587E-2</v>
      </c>
      <c r="BW68" s="1208">
        <f>'2018'!R\Max</f>
        <v>0</v>
      </c>
      <c r="BX68" s="1206">
        <f>'2019'!R\Max</f>
        <v>0.96631022528733912</v>
      </c>
      <c r="BY68" s="1206">
        <f>'2020'!R\Max</f>
        <v>0.9708652802630755</v>
      </c>
      <c r="BZ68" s="1206">
        <f>'2021'!R\Max</f>
        <v>0.77525886797457599</v>
      </c>
      <c r="CA68" s="1206">
        <f>'2022'!R\Max</f>
        <v>0.92341870548025096</v>
      </c>
      <c r="CB68" s="1206">
        <f>'2023'!R\Max</f>
        <v>0.92341215816613076</v>
      </c>
      <c r="CC68" s="1206">
        <f>'2024'!R\Max</f>
        <v>0.92340485404734862</v>
      </c>
      <c r="CD68" s="1206">
        <f>'2025'!R\Max</f>
        <v>0.92339754898780757</v>
      </c>
      <c r="CE68" s="1206">
        <f>'2026'!R\Max</f>
        <v>0.92343792365312982</v>
      </c>
      <c r="CF68" s="1207">
        <f>'2027'!R\Max</f>
        <v>0.92343190018546195</v>
      </c>
    </row>
    <row r="69" spans="1:84" s="6" customFormat="1" ht="11.25" x14ac:dyDescent="0.2">
      <c r="A69" s="11">
        <v>43155</v>
      </c>
      <c r="B69" s="379">
        <f>'2022'!Maxi_hp</f>
        <v>41.717998173912889</v>
      </c>
      <c r="C69" s="13">
        <f>'2022'!An_max</f>
        <v>2020</v>
      </c>
      <c r="D69" s="1053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2">
        <f t="shared" si="8"/>
        <v>43150</v>
      </c>
      <c r="I69" s="753">
        <f t="shared" si="9"/>
        <v>0.35714285714285715</v>
      </c>
      <c r="J69" s="746">
        <f t="shared" si="27"/>
        <v>43.301842510527266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46">
        <v>43155</v>
      </c>
      <c r="AP69" s="13">
        <f t="shared" si="11"/>
        <v>3</v>
      </c>
      <c r="AQ69" s="13">
        <f t="shared" si="12"/>
        <v>4</v>
      </c>
      <c r="AR69" s="172">
        <f t="shared" si="13"/>
        <v>43136</v>
      </c>
      <c r="AS69" s="753">
        <f t="shared" si="14"/>
        <v>0.6785714285714286</v>
      </c>
      <c r="AT69" s="769">
        <f t="shared" si="15"/>
        <v>43.144585816741788</v>
      </c>
      <c r="AU69" s="13">
        <f t="shared" si="16"/>
        <v>3</v>
      </c>
      <c r="AV69" s="13">
        <f t="shared" si="17"/>
        <v>4</v>
      </c>
      <c r="AW69" s="172">
        <f t="shared" si="18"/>
        <v>43150</v>
      </c>
      <c r="AX69" s="753">
        <f t="shared" si="19"/>
        <v>0.17857142857142858</v>
      </c>
      <c r="AY69" s="769">
        <f t="shared" si="20"/>
        <v>43.293400592157347</v>
      </c>
      <c r="AZ69" s="746">
        <f t="shared" si="26"/>
        <v>43.218993204449568</v>
      </c>
      <c r="BA69" s="641">
        <f t="shared" si="21"/>
        <v>0.96342316527918359</v>
      </c>
      <c r="BC69" s="11">
        <v>43155</v>
      </c>
      <c r="BD69" s="289">
        <f>[2]!FeuilCaduc*(1-Persistant)+Persistant</f>
        <v>0.60241321847730278</v>
      </c>
      <c r="BE69" s="290">
        <f>[2]!CroissVégét</f>
        <v>1.1294467751257744E-2</v>
      </c>
      <c r="BF69" s="819">
        <f>1+[2]!Salcycl*Ksac</f>
        <v>1.0003016523096628</v>
      </c>
      <c r="BH69" s="1044">
        <f t="shared" si="22"/>
        <v>1.6089784033559679E-2</v>
      </c>
      <c r="BI69" s="11">
        <v>44251</v>
      </c>
      <c r="BJ69" s="726">
        <v>6.0765599718407629E-3</v>
      </c>
      <c r="BK69" s="726">
        <v>7.8206112779477099E-3</v>
      </c>
      <c r="BL69" s="726">
        <v>9.7089408369600734E-3</v>
      </c>
      <c r="BM69" s="726">
        <v>1.188710109458165E-2</v>
      </c>
      <c r="BN69" s="726">
        <v>1.4477316346616732E-2</v>
      </c>
      <c r="BO69" s="727">
        <v>1.7492538520687658E-2</v>
      </c>
      <c r="BP69" s="726">
        <v>2.0883001287031622E-2</v>
      </c>
      <c r="BQ69" s="726">
        <v>2.4724754997213133E-2</v>
      </c>
      <c r="BR69" s="726">
        <v>2.8969177584406074E-2</v>
      </c>
      <c r="BS69" s="726">
        <v>3.4329446172083201E-2</v>
      </c>
      <c r="BT69" s="726">
        <v>4.057009517723071E-2</v>
      </c>
      <c r="BW69" s="1208">
        <f>'2018'!R\Max</f>
        <v>0</v>
      </c>
      <c r="BX69" s="1206">
        <f>'2019'!R\Max</f>
        <v>0.96257803305792911</v>
      </c>
      <c r="BY69" s="1206">
        <f>'2020'!R\Max</f>
        <v>0.96342316527918359</v>
      </c>
      <c r="BZ69" s="1206">
        <f>'2021'!R\Max</f>
        <v>0.94322916792002354</v>
      </c>
      <c r="CA69" s="1206">
        <f>'2022'!R\Max</f>
        <v>0.54658711710433894</v>
      </c>
      <c r="CB69" s="1206">
        <f>'2023'!R\Max</f>
        <v>0.54656418737857992</v>
      </c>
      <c r="CC69" s="1206">
        <f>'2024'!R\Max</f>
        <v>0.5465386369551416</v>
      </c>
      <c r="CD69" s="1206">
        <f>'2025'!R\Max</f>
        <v>0.54651308523221143</v>
      </c>
      <c r="CE69" s="1206">
        <f>'2026'!R\Max</f>
        <v>0.54665441077946131</v>
      </c>
      <c r="CF69" s="1207">
        <f>'2027'!R\Max</f>
        <v>0.54663333663613833</v>
      </c>
    </row>
    <row r="70" spans="1:84" s="6" customFormat="1" ht="11.25" x14ac:dyDescent="0.2">
      <c r="A70" s="11">
        <v>43156</v>
      </c>
      <c r="B70" s="379">
        <f>'2022'!Maxi_hp</f>
        <v>42.62355723611401</v>
      </c>
      <c r="C70" s="13">
        <f>'2022'!An_max</f>
        <v>2019</v>
      </c>
      <c r="D70" s="1053">
        <f t="shared" si="7"/>
        <v>0.97650546865199261</v>
      </c>
      <c r="E70" s="13"/>
      <c r="F70" s="13">
        <f t="shared" si="23"/>
        <v>5</v>
      </c>
      <c r="G70" s="13">
        <f t="shared" si="24"/>
        <v>6</v>
      </c>
      <c r="H70" s="172">
        <f t="shared" si="8"/>
        <v>43150</v>
      </c>
      <c r="I70" s="753">
        <f t="shared" si="9"/>
        <v>0.42857142857142855</v>
      </c>
      <c r="J70" s="746">
        <f t="shared" si="27"/>
        <v>43.649071719949795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46">
        <v>43156</v>
      </c>
      <c r="AP70" s="13">
        <f t="shared" si="11"/>
        <v>3</v>
      </c>
      <c r="AQ70" s="13">
        <f t="shared" si="12"/>
        <v>4</v>
      </c>
      <c r="AR70" s="172">
        <f t="shared" si="13"/>
        <v>43136</v>
      </c>
      <c r="AS70" s="753">
        <f t="shared" si="14"/>
        <v>0.7142857142857143</v>
      </c>
      <c r="AT70" s="769">
        <f t="shared" si="15"/>
        <v>43.515879008466641</v>
      </c>
      <c r="AU70" s="13">
        <f t="shared" si="16"/>
        <v>3</v>
      </c>
      <c r="AV70" s="13">
        <f t="shared" si="17"/>
        <v>4</v>
      </c>
      <c r="AW70" s="172">
        <f t="shared" si="18"/>
        <v>43150</v>
      </c>
      <c r="AX70" s="753">
        <f t="shared" si="19"/>
        <v>0.21428571428571427</v>
      </c>
      <c r="AY70" s="769">
        <f t="shared" si="20"/>
        <v>43.648529992718252</v>
      </c>
      <c r="AZ70" s="746">
        <f t="shared" si="26"/>
        <v>43.582204500592447</v>
      </c>
      <c r="BA70" s="641">
        <f t="shared" si="21"/>
        <v>0.97650546865199261</v>
      </c>
      <c r="BC70" s="11">
        <v>43156</v>
      </c>
      <c r="BD70" s="289">
        <f>[2]!FeuilCaduc*(1-Persistant)+Persistant</f>
        <v>0.60252362659990943</v>
      </c>
      <c r="BE70" s="290">
        <f>[2]!CroissVégét</f>
        <v>1.1819687335529849E-2</v>
      </c>
      <c r="BF70" s="819">
        <f>1+[2]!Salcycl*Ksac</f>
        <v>1.0003154533249887</v>
      </c>
      <c r="BH70" s="1044">
        <f t="shared" si="22"/>
        <v>1.5973145049753203E-2</v>
      </c>
      <c r="BI70" s="11">
        <v>44252</v>
      </c>
      <c r="BJ70" s="726">
        <v>5.9901777356074727E-3</v>
      </c>
      <c r="BK70" s="726">
        <v>7.7119485418626031E-3</v>
      </c>
      <c r="BL70" s="726">
        <v>9.5877838133856044E-3</v>
      </c>
      <c r="BM70" s="726">
        <v>1.1765386552404429E-2</v>
      </c>
      <c r="BN70" s="726">
        <v>1.4355796979594469E-2</v>
      </c>
      <c r="BO70" s="727">
        <v>1.7380145190614454E-2</v>
      </c>
      <c r="BP70" s="726">
        <v>2.0792495225333163E-2</v>
      </c>
      <c r="BQ70" s="726">
        <v>2.4662102321138857E-2</v>
      </c>
      <c r="BR70" s="726">
        <v>2.8933570649857337E-2</v>
      </c>
      <c r="BS70" s="726">
        <v>3.418625886677145E-2</v>
      </c>
      <c r="BT70" s="726">
        <v>4.0191226287532737E-2</v>
      </c>
      <c r="BW70" s="1208">
        <f>'2018'!R\Max</f>
        <v>0</v>
      </c>
      <c r="BX70" s="1206">
        <f>'2019'!R\Max</f>
        <v>0.97650546865199261</v>
      </c>
      <c r="BY70" s="1206">
        <f>'2020'!R\Max</f>
        <v>0.46839178347854032</v>
      </c>
      <c r="BZ70" s="1206">
        <f>'2021'!R\Max</f>
        <v>0.86381871352195028</v>
      </c>
      <c r="CA70" s="1206">
        <f>'2022'!R\Max</f>
        <v>0.77111278889359802</v>
      </c>
      <c r="CB70" s="1206">
        <f>'2023'!R\Max</f>
        <v>0.77109647798710457</v>
      </c>
      <c r="CC70" s="1206">
        <f>'2024'!R\Max</f>
        <v>0.77107829101152536</v>
      </c>
      <c r="CD70" s="1206">
        <f>'2025'!R\Max</f>
        <v>0.77106010226988342</v>
      </c>
      <c r="CE70" s="1206">
        <f>'2026'!R\Max</f>
        <v>0.77116061755515453</v>
      </c>
      <c r="CF70" s="1207">
        <f>'2027'!R\Max</f>
        <v>0.77114565883986552</v>
      </c>
    </row>
    <row r="71" spans="1:84" s="6" customFormat="1" ht="11.25" x14ac:dyDescent="0.2">
      <c r="A71" s="11">
        <v>43157</v>
      </c>
      <c r="B71" s="379">
        <f>'2022'!Maxi_hp</f>
        <v>44.691622932804918</v>
      </c>
      <c r="C71" s="13">
        <f>'2022'!An_max</f>
        <v>2022</v>
      </c>
      <c r="D71" s="1053">
        <f t="shared" si="7"/>
        <v>1.0158524665485094</v>
      </c>
      <c r="E71" s="13"/>
      <c r="F71" s="13">
        <f t="shared" si="23"/>
        <v>5</v>
      </c>
      <c r="G71" s="13">
        <f t="shared" si="24"/>
        <v>6</v>
      </c>
      <c r="H71" s="172">
        <f t="shared" si="8"/>
        <v>43150</v>
      </c>
      <c r="I71" s="753">
        <f t="shared" si="9"/>
        <v>0.5</v>
      </c>
      <c r="J71" s="746">
        <f t="shared" si="27"/>
        <v>43.994206249900159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46">
        <v>43157</v>
      </c>
      <c r="AP71" s="13">
        <f t="shared" si="11"/>
        <v>3</v>
      </c>
      <c r="AQ71" s="13">
        <f t="shared" si="12"/>
        <v>4</v>
      </c>
      <c r="AR71" s="172">
        <f t="shared" si="13"/>
        <v>43136</v>
      </c>
      <c r="AS71" s="753">
        <f t="shared" si="14"/>
        <v>0.75</v>
      </c>
      <c r="AT71" s="769">
        <f t="shared" si="15"/>
        <v>43.885041406145319</v>
      </c>
      <c r="AU71" s="13">
        <f t="shared" si="16"/>
        <v>3</v>
      </c>
      <c r="AV71" s="13">
        <f t="shared" si="17"/>
        <v>4</v>
      </c>
      <c r="AW71" s="172">
        <f t="shared" si="18"/>
        <v>43150</v>
      </c>
      <c r="AX71" s="753">
        <f t="shared" si="19"/>
        <v>0.25</v>
      </c>
      <c r="AY71" s="769">
        <f t="shared" si="20"/>
        <v>44.003496875101703</v>
      </c>
      <c r="AZ71" s="746">
        <f t="shared" si="26"/>
        <v>43.944269140623511</v>
      </c>
      <c r="BA71" s="641">
        <f t="shared" si="21"/>
        <v>1.0158524665485094</v>
      </c>
      <c r="BC71" s="11">
        <v>43157</v>
      </c>
      <c r="BD71" s="289">
        <f>[2]!FeuilCaduc*(1-Persistant)+Persistant</f>
        <v>0.60263142201250741</v>
      </c>
      <c r="BE71" s="290">
        <f>[2]!CroissVégét</f>
        <v>1.236634784666045E-2</v>
      </c>
      <c r="BF71" s="819">
        <f>1+[2]!Salcycl*Ksac</f>
        <v>1.0003289277515635</v>
      </c>
      <c r="BH71" s="1044">
        <f t="shared" si="22"/>
        <v>1.5863460787227404E-2</v>
      </c>
      <c r="BI71" s="11">
        <v>44253</v>
      </c>
      <c r="BJ71" s="726">
        <v>5.9303937054488122E-3</v>
      </c>
      <c r="BK71" s="726">
        <v>7.6294735474328685E-3</v>
      </c>
      <c r="BL71" s="726">
        <v>9.4895896565519878E-3</v>
      </c>
      <c r="BM71" s="726">
        <v>1.1660339525056219E-2</v>
      </c>
      <c r="BN71" s="726">
        <v>1.4244304571997784E-2</v>
      </c>
      <c r="BO71" s="727">
        <v>1.7272033910686758E-2</v>
      </c>
      <c r="BP71" s="726">
        <v>2.0703244678014616E-2</v>
      </c>
      <c r="BQ71" s="726">
        <v>2.4604877981114076E-2</v>
      </c>
      <c r="BR71" s="726">
        <v>2.891745959475267E-2</v>
      </c>
      <c r="BS71" s="726">
        <v>3.4092922184808278E-2</v>
      </c>
      <c r="BT71" s="726">
        <v>3.9903869020885364E-2</v>
      </c>
      <c r="BW71" s="1208">
        <f>'2018'!R\Max</f>
        <v>0</v>
      </c>
      <c r="BX71" s="1206">
        <f>'2019'!R\Max</f>
        <v>0.90091001303648655</v>
      </c>
      <c r="BY71" s="1206">
        <f>'2020'!R\Max</f>
        <v>0.42672204352410742</v>
      </c>
      <c r="BZ71" s="1206">
        <f>'2021'!R\Max</f>
        <v>0.19918712613759215</v>
      </c>
      <c r="CA71" s="1206">
        <f>'2022'!R\Max</f>
        <v>1.0158524665485094</v>
      </c>
      <c r="CB71" s="1206">
        <f>'2023'!R\Max</f>
        <v>1.0158524665485094</v>
      </c>
      <c r="CC71" s="1206">
        <f>'2024'!R\Max</f>
        <v>1.0158524665485094</v>
      </c>
      <c r="CD71" s="1206">
        <f>'2025'!R\Max</f>
        <v>1.0158524665485094</v>
      </c>
      <c r="CE71" s="1206">
        <f>'2026'!R\Max</f>
        <v>1.0158524665485094</v>
      </c>
      <c r="CF71" s="1207">
        <f>'2027'!R\Max</f>
        <v>1.0158524665485094</v>
      </c>
    </row>
    <row r="72" spans="1:84" s="6" customFormat="1" ht="11.25" x14ac:dyDescent="0.2">
      <c r="A72" s="11">
        <v>43158</v>
      </c>
      <c r="B72" s="379">
        <f>'2022'!Maxi_hp</f>
        <v>43.393091127418728</v>
      </c>
      <c r="C72" s="13">
        <f>'2022'!An_max</f>
        <v>2019</v>
      </c>
      <c r="D72" s="1053">
        <f t="shared" si="7"/>
        <v>0.97869797588749197</v>
      </c>
      <c r="E72" s="13"/>
      <c r="F72" s="13">
        <f t="shared" si="23"/>
        <v>5</v>
      </c>
      <c r="G72" s="13">
        <f t="shared" si="24"/>
        <v>6</v>
      </c>
      <c r="H72" s="172">
        <f t="shared" si="8"/>
        <v>43150</v>
      </c>
      <c r="I72" s="753">
        <f t="shared" si="9"/>
        <v>0.5714285714285714</v>
      </c>
      <c r="J72" s="746">
        <f t="shared" si="27"/>
        <v>44.337571136866295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46">
        <v>43158</v>
      </c>
      <c r="AP72" s="13">
        <f t="shared" si="11"/>
        <v>3</v>
      </c>
      <c r="AQ72" s="13">
        <f t="shared" si="12"/>
        <v>4</v>
      </c>
      <c r="AR72" s="172">
        <f t="shared" si="13"/>
        <v>43136</v>
      </c>
      <c r="AS72" s="753">
        <f t="shared" si="14"/>
        <v>0.7857142857142857</v>
      </c>
      <c r="AT72" s="769">
        <f t="shared" si="15"/>
        <v>44.251707343171745</v>
      </c>
      <c r="AU72" s="13">
        <f t="shared" si="16"/>
        <v>3</v>
      </c>
      <c r="AV72" s="13">
        <f t="shared" si="17"/>
        <v>4</v>
      </c>
      <c r="AW72" s="172">
        <f t="shared" si="18"/>
        <v>43150</v>
      </c>
      <c r="AX72" s="753">
        <f t="shared" si="19"/>
        <v>0.2857142857142857</v>
      </c>
      <c r="AY72" s="769">
        <f t="shared" si="20"/>
        <v>44.358084548025261</v>
      </c>
      <c r="AZ72" s="746">
        <f t="shared" si="26"/>
        <v>44.304895945598503</v>
      </c>
      <c r="BA72" s="641">
        <f t="shared" si="21"/>
        <v>0.97869797588749197</v>
      </c>
      <c r="BC72" s="11">
        <v>43158</v>
      </c>
      <c r="BD72" s="289">
        <f>[2]!FeuilCaduc*(1-Persistant)+Persistant</f>
        <v>0.6027369188599403</v>
      </c>
      <c r="BE72" s="290">
        <f>[2]!CroissVégét</f>
        <v>1.2935299036280712E-2</v>
      </c>
      <c r="BF72" s="819">
        <f>1+[2]!Salcycl*Ksac</f>
        <v>1.0003421148574925</v>
      </c>
      <c r="BH72" s="1044">
        <f t="shared" si="22"/>
        <v>1.5768923011963153E-2</v>
      </c>
      <c r="BI72" s="11">
        <v>44254</v>
      </c>
      <c r="BJ72" s="726">
        <v>5.8979891675062348E-3</v>
      </c>
      <c r="BK72" s="726">
        <v>7.5742674149656443E-3</v>
      </c>
      <c r="BL72" s="726">
        <v>9.4167897065432476E-3</v>
      </c>
      <c r="BM72" s="726">
        <v>1.1576766318521626E-2</v>
      </c>
      <c r="BN72" s="726">
        <v>1.4150160150581848E-2</v>
      </c>
      <c r="BO72" s="727">
        <v>1.7177153940115143E-2</v>
      </c>
      <c r="BP72" s="726">
        <v>2.0624236166765637E-2</v>
      </c>
      <c r="BQ72" s="726">
        <v>2.4560381401760551E-2</v>
      </c>
      <c r="BR72" s="726">
        <v>2.8924855871268924E-2</v>
      </c>
      <c r="BS72" s="726">
        <v>3.4048959489318638E-2</v>
      </c>
      <c r="BT72" s="726">
        <v>3.9702351451628509E-2</v>
      </c>
      <c r="BW72" s="1208">
        <f>'2018'!R\Max</f>
        <v>0</v>
      </c>
      <c r="BX72" s="1206">
        <f>'2019'!R\Max</f>
        <v>0.97869797588749197</v>
      </c>
      <c r="BY72" s="1206">
        <f>'2020'!R\Max</f>
        <v>0.20142681825051786</v>
      </c>
      <c r="BZ72" s="1206">
        <f>'2021'!R\Max</f>
        <v>0.96574927849075409</v>
      </c>
      <c r="CA72" s="1206">
        <f>'2022'!R\Max</f>
        <v>0.66358712722707114</v>
      </c>
      <c r="CB72" s="1206">
        <f>'2023'!R\Max</f>
        <v>0.66356657986065681</v>
      </c>
      <c r="CC72" s="1206">
        <f>'2024'!R\Max</f>
        <v>0.66354353688011858</v>
      </c>
      <c r="CD72" s="1206">
        <f>'2025'!R\Max</f>
        <v>0.66352049216962994</v>
      </c>
      <c r="CE72" s="1206">
        <f>'2026'!R\Max</f>
        <v>0.6636472177669448</v>
      </c>
      <c r="CF72" s="1207">
        <f>'2027'!R\Max</f>
        <v>0.66362848844980338</v>
      </c>
    </row>
    <row r="73" spans="1:84" s="6" customFormat="1" ht="11.25" x14ac:dyDescent="0.2">
      <c r="A73" s="11">
        <v>43159</v>
      </c>
      <c r="B73" s="379">
        <f>'2022'!Maxi_hp</f>
        <v>39.465776394788492</v>
      </c>
      <c r="C73" s="13">
        <f>'2022'!An_max</f>
        <v>2022</v>
      </c>
      <c r="D73" s="1053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2">
        <f t="shared" si="8"/>
        <v>43150</v>
      </c>
      <c r="I73" s="753">
        <f t="shared" si="9"/>
        <v>0.6428571428571429</v>
      </c>
      <c r="J73" s="746">
        <f t="shared" si="27"/>
        <v>44.679491417349446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46">
        <v>43159</v>
      </c>
      <c r="AP73" s="13">
        <f t="shared" si="11"/>
        <v>3</v>
      </c>
      <c r="AQ73" s="13">
        <f t="shared" si="12"/>
        <v>4</v>
      </c>
      <c r="AR73" s="172">
        <f t="shared" si="13"/>
        <v>43136</v>
      </c>
      <c r="AS73" s="753">
        <f t="shared" si="14"/>
        <v>0.8214285714285714</v>
      </c>
      <c r="AT73" s="769">
        <f t="shared" si="15"/>
        <v>44.615511153445446</v>
      </c>
      <c r="AU73" s="13">
        <f t="shared" si="16"/>
        <v>3</v>
      </c>
      <c r="AV73" s="13">
        <f t="shared" si="17"/>
        <v>4</v>
      </c>
      <c r="AW73" s="172">
        <f t="shared" si="18"/>
        <v>43150</v>
      </c>
      <c r="AX73" s="753">
        <f t="shared" si="19"/>
        <v>0.32142857142857145</v>
      </c>
      <c r="AY73" s="769">
        <f t="shared" si="20"/>
        <v>44.712076320865059</v>
      </c>
      <c r="AZ73" s="746">
        <f t="shared" si="26"/>
        <v>44.663793737155252</v>
      </c>
      <c r="BA73" s="641">
        <f t="shared" si="21"/>
        <v>0.88330854140975246</v>
      </c>
      <c r="BC73" s="11">
        <v>43159</v>
      </c>
      <c r="BD73" s="289">
        <f>[2]!FeuilCaduc*(1-Persistant)+Persistant</f>
        <v>0.60284058185655764</v>
      </c>
      <c r="BE73" s="290">
        <f>[2]!CroissVégét</f>
        <v>1.352742218145603E-2</v>
      </c>
      <c r="BF73" s="819">
        <f>1+[2]!Salcycl*Ksac</f>
        <v>1.0003550727320698</v>
      </c>
      <c r="BH73" s="1044">
        <f t="shared" si="22"/>
        <v>1.5689058532529113E-2</v>
      </c>
      <c r="BI73" s="11">
        <v>44255</v>
      </c>
      <c r="BJ73" s="726">
        <v>5.8752144670313061E-3</v>
      </c>
      <c r="BK73" s="726">
        <v>7.5311061511529297E-3</v>
      </c>
      <c r="BL73" s="726">
        <v>9.3578478204933979E-3</v>
      </c>
      <c r="BM73" s="726">
        <v>1.150789311476213E-2</v>
      </c>
      <c r="BN73" s="726">
        <v>1.4071243050126426E-2</v>
      </c>
      <c r="BO73" s="727">
        <v>1.7096465295258108E-2</v>
      </c>
      <c r="BP73" s="726">
        <v>2.0556806736387011E-2</v>
      </c>
      <c r="BQ73" s="726">
        <v>2.4521750130884687E-2</v>
      </c>
      <c r="BR73" s="726">
        <v>2.8933135632483713E-2</v>
      </c>
      <c r="BS73" s="726">
        <v>3.4014518989625236E-2</v>
      </c>
      <c r="BT73" s="726">
        <v>3.9534425218021176E-2</v>
      </c>
      <c r="BW73" s="1208">
        <f>'2018'!R\Max</f>
        <v>0</v>
      </c>
      <c r="BX73" s="1206">
        <f>'2019'!R\Max</f>
        <v>0.80553784640331338</v>
      </c>
      <c r="BY73" s="1206">
        <f>'2020'!R\Max</f>
        <v>0.42093325341541843</v>
      </c>
      <c r="BZ73" s="1206">
        <f>'2021'!R\Max</f>
        <v>0.77525239599380547</v>
      </c>
      <c r="CA73" s="1206">
        <f>'2022'!R\Max</f>
        <v>0.88330854140975246</v>
      </c>
      <c r="CB73" s="1206">
        <f>'2023'!R\Max</f>
        <v>0.8832990832891805</v>
      </c>
      <c r="CC73" s="1206">
        <f>'2024'!R\Max</f>
        <v>0.88328844551429386</v>
      </c>
      <c r="CD73" s="1206">
        <f>'2025'!R\Max</f>
        <v>0.88327780645844833</v>
      </c>
      <c r="CE73" s="1206">
        <f>'2026'!R\Max</f>
        <v>0.88333616279741445</v>
      </c>
      <c r="CF73" s="1207">
        <f>'2027'!R\Max</f>
        <v>0.88332756805283497</v>
      </c>
    </row>
    <row r="74" spans="1:84" s="6" customFormat="1" ht="11.25" x14ac:dyDescent="0.2">
      <c r="A74" s="11">
        <v>43160</v>
      </c>
      <c r="B74" s="379">
        <f>'2022'!Maxi_hp</f>
        <v>43.296598895095009</v>
      </c>
      <c r="C74" s="13">
        <f>'2022'!An_max</f>
        <v>2022</v>
      </c>
      <c r="D74" s="1053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2">
        <f t="shared" si="8"/>
        <v>43150</v>
      </c>
      <c r="I74" s="753">
        <f t="shared" si="9"/>
        <v>0.7142857142857143</v>
      </c>
      <c r="J74" s="746">
        <f t="shared" si="27"/>
        <v>45.020292128063737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46">
        <v>43160</v>
      </c>
      <c r="AP74" s="13">
        <f t="shared" si="11"/>
        <v>3</v>
      </c>
      <c r="AQ74" s="13">
        <f t="shared" si="12"/>
        <v>4</v>
      </c>
      <c r="AR74" s="172">
        <f t="shared" si="13"/>
        <v>43136</v>
      </c>
      <c r="AS74" s="753">
        <f t="shared" si="14"/>
        <v>0.8571428571428571</v>
      </c>
      <c r="AT74" s="769">
        <f t="shared" si="15"/>
        <v>44.976087171744027</v>
      </c>
      <c r="AU74" s="13">
        <f t="shared" si="16"/>
        <v>3</v>
      </c>
      <c r="AV74" s="13">
        <f t="shared" si="17"/>
        <v>4</v>
      </c>
      <c r="AW74" s="172">
        <f t="shared" si="18"/>
        <v>43150</v>
      </c>
      <c r="AX74" s="753">
        <f t="shared" si="19"/>
        <v>0.35714285714285715</v>
      </c>
      <c r="AY74" s="769">
        <f t="shared" si="20"/>
        <v>45.065255502890793</v>
      </c>
      <c r="AZ74" s="746">
        <f t="shared" si="26"/>
        <v>45.02067133731741</v>
      </c>
      <c r="BA74" s="641">
        <f t="shared" si="21"/>
        <v>0.96171297094062502</v>
      </c>
      <c r="BC74" s="11">
        <v>43160</v>
      </c>
      <c r="BD74" s="289">
        <f>[2]!FeuilCaduc*(1-Persistant)+Persistant</f>
        <v>0.60294302996164917</v>
      </c>
      <c r="BE74" s="290">
        <f>[2]!CroissVégét</f>
        <v>1.4143631071573595E-2</v>
      </c>
      <c r="BF74" s="819">
        <f>1+[2]!Salcycl*Ksac</f>
        <v>1.0003678787452062</v>
      </c>
      <c r="BH74" s="1044">
        <f t="shared" si="22"/>
        <v>1.5623861467714868E-2</v>
      </c>
      <c r="BI74" s="11">
        <v>44256</v>
      </c>
      <c r="BJ74" s="726">
        <v>5.8620674930196072E-3</v>
      </c>
      <c r="BK74" s="726">
        <v>7.4999869921834527E-3</v>
      </c>
      <c r="BL74" s="726">
        <v>9.3127605267618822E-3</v>
      </c>
      <c r="BM74" s="726">
        <v>1.1453715621874668E-2</v>
      </c>
      <c r="BN74" s="726">
        <v>1.4007548000227524E-2</v>
      </c>
      <c r="BO74" s="727">
        <v>1.7029961563538663E-2</v>
      </c>
      <c r="BP74" s="726">
        <v>2.0500948703890465E-2</v>
      </c>
      <c r="BQ74" s="726">
        <v>2.4488975039386074E-2</v>
      </c>
      <c r="BR74" s="726">
        <v>2.894228821834181E-2</v>
      </c>
      <c r="BS74" s="726">
        <v>3.3989588117041475E-2</v>
      </c>
      <c r="BT74" s="726">
        <v>3.9400075574505242E-2</v>
      </c>
      <c r="BW74" s="1208">
        <f>'2018'!R\Max</f>
        <v>0</v>
      </c>
      <c r="BX74" s="1206">
        <f>'2019'!R\Max</f>
        <v>0.33727258960123235</v>
      </c>
      <c r="BY74" s="1206">
        <f>'2020'!R\Max</f>
        <v>0.37501024432114066</v>
      </c>
      <c r="BZ74" s="1206">
        <f>'2021'!R\Max</f>
        <v>0.87063540040698484</v>
      </c>
      <c r="CA74" s="1206">
        <f>'2022'!R\Max</f>
        <v>0.96171297094062502</v>
      </c>
      <c r="CB74" s="1206">
        <f>'2023'!R\Max</f>
        <v>0.96170960525891869</v>
      </c>
      <c r="CC74" s="1206">
        <f>'2024'!R\Max</f>
        <v>0.96170581123248333</v>
      </c>
      <c r="CD74" s="1206">
        <f>'2025'!R\Max</f>
        <v>0.96170201668861577</v>
      </c>
      <c r="CE74" s="1206">
        <f>'2026'!R\Max</f>
        <v>0.96172278847099868</v>
      </c>
      <c r="CF74" s="1207">
        <f>'2027'!R\Max</f>
        <v>0.96171973814335243</v>
      </c>
    </row>
    <row r="75" spans="1:84" s="6" customFormat="1" ht="11.25" x14ac:dyDescent="0.2">
      <c r="A75" s="11">
        <v>43161</v>
      </c>
      <c r="B75" s="379">
        <f>'2022'!Maxi_hp</f>
        <v>29.944510502068969</v>
      </c>
      <c r="C75" s="13">
        <f>'2022'!An_max</f>
        <v>2020</v>
      </c>
      <c r="D75" s="1053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2">
        <f t="shared" si="8"/>
        <v>43150</v>
      </c>
      <c r="I75" s="753">
        <f t="shared" si="9"/>
        <v>0.7857142857142857</v>
      </c>
      <c r="J75" s="746">
        <f t="shared" si="27"/>
        <v>45.36029830529754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46">
        <v>43161</v>
      </c>
      <c r="AP75" s="13">
        <f t="shared" si="11"/>
        <v>3</v>
      </c>
      <c r="AQ75" s="13">
        <f t="shared" si="12"/>
        <v>4</v>
      </c>
      <c r="AR75" s="172">
        <f t="shared" si="13"/>
        <v>43136</v>
      </c>
      <c r="AS75" s="753">
        <f t="shared" si="14"/>
        <v>0.8928571428571429</v>
      </c>
      <c r="AT75" s="769">
        <f t="shared" si="15"/>
        <v>45.333069731454763</v>
      </c>
      <c r="AU75" s="13">
        <f t="shared" si="16"/>
        <v>3</v>
      </c>
      <c r="AV75" s="13">
        <f t="shared" si="17"/>
        <v>4</v>
      </c>
      <c r="AW75" s="172">
        <f t="shared" si="18"/>
        <v>43150</v>
      </c>
      <c r="AX75" s="753">
        <f t="shared" si="19"/>
        <v>0.39285714285714285</v>
      </c>
      <c r="AY75" s="769">
        <f t="shared" si="20"/>
        <v>45.417405402667022</v>
      </c>
      <c r="AZ75" s="746">
        <f t="shared" si="26"/>
        <v>45.375237567060893</v>
      </c>
      <c r="BA75" s="641">
        <f t="shared" si="21"/>
        <v>0.66014800653486461</v>
      </c>
      <c r="BC75" s="11">
        <v>43161</v>
      </c>
      <c r="BD75" s="289">
        <f>[2]!FeuilCaduc*(1-Persistant)+Persistant</f>
        <v>0.60304503895556516</v>
      </c>
      <c r="BE75" s="290">
        <f>[2]!CroissVégét</f>
        <v>1.47848730100967E-2</v>
      </c>
      <c r="BF75" s="819">
        <f>1+[2]!Salcycl*Ksac</f>
        <v>1.0003806298694458</v>
      </c>
      <c r="BH75" s="1044">
        <f t="shared" si="22"/>
        <v>1.5573326133690019E-2</v>
      </c>
      <c r="BI75" s="11">
        <v>44257</v>
      </c>
      <c r="BJ75" s="726">
        <v>5.8585462201400018E-3</v>
      </c>
      <c r="BK75" s="726">
        <v>7.4809073031222861E-3</v>
      </c>
      <c r="BL75" s="726">
        <v>9.2815245157235448E-3</v>
      </c>
      <c r="BM75" s="726">
        <v>1.1414229729213054E-2</v>
      </c>
      <c r="BN75" s="726">
        <v>1.3959069929448406E-2</v>
      </c>
      <c r="BO75" s="727">
        <v>1.6977636528379015E-2</v>
      </c>
      <c r="BP75" s="726">
        <v>2.0456654548568907E-2</v>
      </c>
      <c r="BQ75" s="726">
        <v>2.4462047086994405E-2</v>
      </c>
      <c r="BR75" s="726">
        <v>2.8952302961312088E-2</v>
      </c>
      <c r="BS75" s="726">
        <v>3.397415440524644E-2</v>
      </c>
      <c r="BT75" s="726">
        <v>3.9299288205323017E-2</v>
      </c>
      <c r="BW75" s="1208">
        <f>'2018'!R\Max</f>
        <v>0</v>
      </c>
      <c r="BX75" s="1206">
        <f>'2019'!R\Max</f>
        <v>0.49783857462463843</v>
      </c>
      <c r="BY75" s="1206">
        <f>'2020'!R\Max</f>
        <v>0.66014800653486461</v>
      </c>
      <c r="BZ75" s="1206">
        <f>'2021'!R\Max</f>
        <v>0.36326486474586284</v>
      </c>
      <c r="CA75" s="1206">
        <f>'2022'!R\Max</f>
        <v>0.37770525690807311</v>
      </c>
      <c r="CB75" s="1206">
        <f>'2023'!R\Max</f>
        <v>0.37768387325076375</v>
      </c>
      <c r="CC75" s="1206">
        <f>'2024'!R\Max</f>
        <v>0.37765973129689967</v>
      </c>
      <c r="CD75" s="1206">
        <f>'2025'!R\Max</f>
        <v>0.37763558895731281</v>
      </c>
      <c r="CE75" s="1206">
        <f>'2026'!R\Max</f>
        <v>0.37776758395900906</v>
      </c>
      <c r="CF75" s="1207">
        <f>'2027'!R\Max</f>
        <v>0.37774824191896839</v>
      </c>
    </row>
    <row r="76" spans="1:84" s="6" customFormat="1" ht="11.25" x14ac:dyDescent="0.2">
      <c r="A76" s="11">
        <v>43162</v>
      </c>
      <c r="B76" s="379">
        <f>'2022'!Maxi_hp</f>
        <v>39.924133521636918</v>
      </c>
      <c r="C76" s="13">
        <f>'2022'!An_max</f>
        <v>2022</v>
      </c>
      <c r="D76" s="1053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2">
        <f t="shared" si="8"/>
        <v>43150</v>
      </c>
      <c r="I76" s="753">
        <f t="shared" si="9"/>
        <v>0.8571428571428571</v>
      </c>
      <c r="J76" s="746">
        <f t="shared" si="27"/>
        <v>45.699834985285996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46">
        <v>43162</v>
      </c>
      <c r="AP76" s="13">
        <f t="shared" si="11"/>
        <v>3</v>
      </c>
      <c r="AQ76" s="13">
        <f t="shared" si="12"/>
        <v>4</v>
      </c>
      <c r="AR76" s="172">
        <f t="shared" si="13"/>
        <v>43136</v>
      </c>
      <c r="AS76" s="753">
        <f t="shared" si="14"/>
        <v>0.9285714285714286</v>
      </c>
      <c r="AT76" s="769">
        <f t="shared" si="15"/>
        <v>45.686093166470528</v>
      </c>
      <c r="AU76" s="13">
        <f t="shared" si="16"/>
        <v>3</v>
      </c>
      <c r="AV76" s="13">
        <f t="shared" si="17"/>
        <v>4</v>
      </c>
      <c r="AW76" s="172">
        <f t="shared" si="18"/>
        <v>43150</v>
      </c>
      <c r="AX76" s="753">
        <f t="shared" si="19"/>
        <v>0.42857142857142855</v>
      </c>
      <c r="AY76" s="769">
        <f t="shared" si="20"/>
        <v>45.768309329290467</v>
      </c>
      <c r="AZ76" s="746">
        <f t="shared" si="26"/>
        <v>45.727201247880501</v>
      </c>
      <c r="BA76" s="641">
        <f t="shared" si="21"/>
        <v>0.8736165794579196</v>
      </c>
      <c r="BC76" s="11">
        <v>43162</v>
      </c>
      <c r="BD76" s="289">
        <f>[2]!FeuilCaduc*(1-Persistant)+Persistant</f>
        <v>0.60314754291252048</v>
      </c>
      <c r="BE76" s="290">
        <f>[2]!CroissVégét</f>
        <v>1.5452129829812465E-2</v>
      </c>
      <c r="BF76" s="819">
        <f>1+[2]!Salcycl*Ksac</f>
        <v>1.0003934428640651</v>
      </c>
      <c r="BH76" s="1044">
        <f t="shared" si="22"/>
        <v>1.5537446989802247E-2</v>
      </c>
      <c r="BI76" s="11">
        <v>44258</v>
      </c>
      <c r="BJ76" s="726">
        <v>5.8646486731393872E-3</v>
      </c>
      <c r="BK76" s="726">
        <v>7.4738645333894006E-3</v>
      </c>
      <c r="BL76" s="726">
        <v>9.2641365885486136E-3</v>
      </c>
      <c r="BM76" s="726">
        <v>1.1389431453064609E-2</v>
      </c>
      <c r="BN76" s="726">
        <v>1.3925803909059099E-2</v>
      </c>
      <c r="BO76" s="727">
        <v>1.6939484116789461E-2</v>
      </c>
      <c r="BP76" s="726">
        <v>2.0423916869269133E-2</v>
      </c>
      <c r="BQ76" s="726">
        <v>2.4440957300703677E-2</v>
      </c>
      <c r="BR76" s="726">
        <v>2.8963169183278223E-2</v>
      </c>
      <c r="BS76" s="726">
        <v>3.3968205455242283E-2</v>
      </c>
      <c r="BT76" s="726">
        <v>3.9232049100454032E-2</v>
      </c>
      <c r="BW76" s="1208">
        <f>'2018'!R\Max</f>
        <v>0</v>
      </c>
      <c r="BX76" s="1206">
        <f>'2019'!R\Max</f>
        <v>0.84262939535420456</v>
      </c>
      <c r="BY76" s="1206">
        <f>'2020'!R\Max</f>
        <v>0.51564141152761633</v>
      </c>
      <c r="BZ76" s="1206">
        <f>'2021'!R\Max</f>
        <v>0.39141651257307014</v>
      </c>
      <c r="CA76" s="1206">
        <f>'2022'!R\Max</f>
        <v>0.8736165794579196</v>
      </c>
      <c r="CB76" s="1206">
        <f>'2023'!R\Max</f>
        <v>0.87360658858877571</v>
      </c>
      <c r="CC76" s="1206">
        <f>'2024'!R\Max</f>
        <v>0.87359529606561293</v>
      </c>
      <c r="CD76" s="1206">
        <f>'2025'!R\Max</f>
        <v>0.87358400221725674</v>
      </c>
      <c r="CE76" s="1206">
        <f>'2026'!R\Max</f>
        <v>0.87364567117959691</v>
      </c>
      <c r="CF76" s="1207">
        <f>'2027'!R\Max</f>
        <v>0.87363665419320724</v>
      </c>
    </row>
    <row r="77" spans="1:84" s="6" customFormat="1" ht="11.25" x14ac:dyDescent="0.2">
      <c r="A77" s="11">
        <v>43163</v>
      </c>
      <c r="B77" s="379">
        <f>'2022'!Maxi_hp</f>
        <v>32.295079329869516</v>
      </c>
      <c r="C77" s="13">
        <f>'2022'!An_max</f>
        <v>2021</v>
      </c>
      <c r="D77" s="1053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2">
        <f t="shared" si="8"/>
        <v>43150</v>
      </c>
      <c r="I77" s="753">
        <f t="shared" si="9"/>
        <v>0.9285714285714286</v>
      </c>
      <c r="J77" s="746">
        <f t="shared" si="27"/>
        <v>46.039227204769851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46">
        <v>43163</v>
      </c>
      <c r="AP77" s="13">
        <f t="shared" si="11"/>
        <v>3</v>
      </c>
      <c r="AQ77" s="13">
        <f t="shared" si="12"/>
        <v>4</v>
      </c>
      <c r="AR77" s="172">
        <f t="shared" si="13"/>
        <v>43136</v>
      </c>
      <c r="AS77" s="753">
        <f t="shared" si="14"/>
        <v>0.9642857142857143</v>
      </c>
      <c r="AT77" s="769">
        <f t="shared" si="15"/>
        <v>46.03479181160219</v>
      </c>
      <c r="AU77" s="13">
        <f t="shared" si="16"/>
        <v>3</v>
      </c>
      <c r="AV77" s="13">
        <f t="shared" si="17"/>
        <v>4</v>
      </c>
      <c r="AW77" s="172">
        <f t="shared" si="18"/>
        <v>43150</v>
      </c>
      <c r="AX77" s="753">
        <f t="shared" si="19"/>
        <v>0.4642857142857143</v>
      </c>
      <c r="AY77" s="769">
        <f t="shared" si="20"/>
        <v>46.11775059204416</v>
      </c>
      <c r="AZ77" s="746">
        <f t="shared" si="26"/>
        <v>46.076271201823175</v>
      </c>
      <c r="BA77" s="641">
        <f t="shared" si="21"/>
        <v>0.70146875372668316</v>
      </c>
      <c r="BC77" s="11">
        <v>43163</v>
      </c>
      <c r="BD77" s="289">
        <f>[2]!FeuilCaduc*(1-Persistant)+Persistant</f>
        <v>0.60325163457719966</v>
      </c>
      <c r="BE77" s="290">
        <f>[2]!CroissVégét</f>
        <v>1.6146418920009037E-2</v>
      </c>
      <c r="BF77" s="819">
        <f>1+[2]!Salcycl*Ksac</f>
        <v>1.00040645432215</v>
      </c>
      <c r="BH77" s="1044">
        <f t="shared" si="22"/>
        <v>1.5516218584352068E-2</v>
      </c>
      <c r="BI77" s="11">
        <v>44259</v>
      </c>
      <c r="BJ77" s="726">
        <v>5.8803728912387053E-3</v>
      </c>
      <c r="BK77" s="726">
        <v>7.4788561722270164E-3</v>
      </c>
      <c r="BL77" s="726">
        <v>9.2605936059687605E-3</v>
      </c>
      <c r="BM77" s="726">
        <v>1.1379316882309684E-2</v>
      </c>
      <c r="BN77" s="726">
        <v>1.3907745096755035E-2</v>
      </c>
      <c r="BO77" s="727">
        <v>1.6915498346931866E-2</v>
      </c>
      <c r="BP77" s="726">
        <v>2.0402728341633817E-2</v>
      </c>
      <c r="BQ77" s="726">
        <v>2.4425696753169641E-2</v>
      </c>
      <c r="BR77" s="726">
        <v>2.8974876192385979E-2</v>
      </c>
      <c r="BS77" s="726">
        <v>3.3971728900260574E-2</v>
      </c>
      <c r="BT77" s="726">
        <v>3.9198344431492942E-2</v>
      </c>
      <c r="BW77" s="1208">
        <f>'2018'!R\Max</f>
        <v>0</v>
      </c>
      <c r="BX77" s="1206">
        <f>'2019'!R\Max</f>
        <v>0.20578016642346633</v>
      </c>
      <c r="BY77" s="1206">
        <f>'2020'!R\Max</f>
        <v>0.10951185469749351</v>
      </c>
      <c r="BZ77" s="1206">
        <f>'2021'!R\Max</f>
        <v>0.70146875372668316</v>
      </c>
      <c r="CA77" s="1206">
        <f>'2022'!R\Max</f>
        <v>0.12929203080282275</v>
      </c>
      <c r="CB77" s="1206">
        <f>'2023'!R\Max</f>
        <v>0.12928389160504392</v>
      </c>
      <c r="CC77" s="1206">
        <f>'2024'!R\Max</f>
        <v>0.12927468871031139</v>
      </c>
      <c r="CD77" s="1206">
        <f>'2025'!R\Max</f>
        <v>0.12926548581557892</v>
      </c>
      <c r="CE77" s="1206">
        <f>'2026'!R\Max</f>
        <v>0.12931572032700381</v>
      </c>
      <c r="CF77" s="1207">
        <f>'2027'!R\Max</f>
        <v>0.12930838417225726</v>
      </c>
    </row>
    <row r="78" spans="1:84" s="6" customFormat="1" ht="11.25" x14ac:dyDescent="0.2">
      <c r="A78" s="11">
        <v>43164</v>
      </c>
      <c r="B78" s="379">
        <f>'2022'!Maxi_hp</f>
        <v>45.312703719886137</v>
      </c>
      <c r="C78" s="13">
        <f>'2022'!An_max</f>
        <v>2019</v>
      </c>
      <c r="D78" s="1053">
        <f t="shared" si="7"/>
        <v>0.97701328451804526</v>
      </c>
      <c r="E78" s="1048">
        <f>R$13/10</f>
        <v>46.378799999999998</v>
      </c>
      <c r="F78" s="13">
        <f t="shared" si="23"/>
        <v>7</v>
      </c>
      <c r="G78" s="13">
        <f t="shared" si="24"/>
        <v>6</v>
      </c>
      <c r="H78" s="172">
        <f t="shared" si="8"/>
        <v>43178</v>
      </c>
      <c r="I78" s="753">
        <f t="shared" si="9"/>
        <v>1</v>
      </c>
      <c r="J78" s="746">
        <f t="shared" si="27"/>
        <v>46.378799999877813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46">
        <v>43164</v>
      </c>
      <c r="AP78" s="13">
        <f t="shared" si="11"/>
        <v>5</v>
      </c>
      <c r="AQ78" s="13">
        <f t="shared" si="12"/>
        <v>4</v>
      </c>
      <c r="AR78" s="172">
        <f t="shared" si="13"/>
        <v>43192</v>
      </c>
      <c r="AS78" s="753">
        <f t="shared" si="14"/>
        <v>1</v>
      </c>
      <c r="AT78" s="769">
        <f t="shared" si="15"/>
        <v>46.378799999877813</v>
      </c>
      <c r="AU78" s="13">
        <f t="shared" si="16"/>
        <v>3</v>
      </c>
      <c r="AV78" s="13">
        <f t="shared" si="17"/>
        <v>4</v>
      </c>
      <c r="AW78" s="172">
        <f t="shared" si="18"/>
        <v>43150</v>
      </c>
      <c r="AX78" s="753">
        <f t="shared" si="19"/>
        <v>0.5</v>
      </c>
      <c r="AY78" s="769">
        <f t="shared" si="20"/>
        <v>46.46551250005141</v>
      </c>
      <c r="AZ78" s="746">
        <f t="shared" si="26"/>
        <v>46.422156249964615</v>
      </c>
      <c r="BA78" s="641">
        <f t="shared" si="21"/>
        <v>0.97701328451804526</v>
      </c>
      <c r="BC78" s="11">
        <v>43164</v>
      </c>
      <c r="BD78" s="289">
        <f>[2]!FeuilCaduc*(1-Persistant)+Persistant</f>
        <v>0.60335856466298265</v>
      </c>
      <c r="BE78" s="290">
        <f>[2]!CroissVégét</f>
        <v>1.6868794263800321E-2</v>
      </c>
      <c r="BF78" s="819">
        <f>1+[2]!Salcycl*Ksac</f>
        <v>1.0004198205828729</v>
      </c>
      <c r="BH78" s="1044">
        <f t="shared" si="22"/>
        <v>1.5509635500414301E-2</v>
      </c>
      <c r="BI78" s="11">
        <v>44260</v>
      </c>
      <c r="BJ78" s="726">
        <v>5.9057168925465272E-3</v>
      </c>
      <c r="BK78" s="726">
        <v>7.4958797041893826E-3</v>
      </c>
      <c r="BL78" s="726">
        <v>9.270892437070995E-3</v>
      </c>
      <c r="BM78" s="726">
        <v>1.1383882124115431E-2</v>
      </c>
      <c r="BN78" s="726">
        <v>1.3904888680417525E-2</v>
      </c>
      <c r="BO78" s="727">
        <v>1.690567327573406E-2</v>
      </c>
      <c r="BP78" s="726">
        <v>2.0393081675404871E-2</v>
      </c>
      <c r="BQ78" s="726">
        <v>2.4416256541180716E-2</v>
      </c>
      <c r="BR78" s="726">
        <v>2.8987413279977416E-2</v>
      </c>
      <c r="BS78" s="726">
        <v>3.3984712370770699E-2</v>
      </c>
      <c r="BT78" s="726">
        <v>3.9198160427645269E-2</v>
      </c>
      <c r="BW78" s="1208">
        <f>'2018'!R\Max</f>
        <v>0</v>
      </c>
      <c r="BX78" s="1206">
        <f>'2019'!R\Max</f>
        <v>0.97701328451804526</v>
      </c>
      <c r="BY78" s="1206">
        <f>'2020'!R\Max</f>
        <v>0.17251979664013109</v>
      </c>
      <c r="BZ78" s="1206">
        <f>'2021'!R\Max</f>
        <v>0.73544478157972892</v>
      </c>
      <c r="CA78" s="1206">
        <f>'2022'!R\Max</f>
        <v>0.29988982643756312</v>
      </c>
      <c r="CB78" s="1206">
        <f>'2023'!R\Max</f>
        <v>0.29987107969801163</v>
      </c>
      <c r="CC78" s="1206">
        <f>'2024'!R\Max</f>
        <v>0.29984988528362677</v>
      </c>
      <c r="CD78" s="1206">
        <f>'2025'!R\Max</f>
        <v>0.29982869086924185</v>
      </c>
      <c r="CE78" s="1206">
        <f>'2026'!R\Max</f>
        <v>0.29994436370085836</v>
      </c>
      <c r="CF78" s="1207">
        <f>'2027'!R\Max</f>
        <v>0.29992748850403483</v>
      </c>
    </row>
    <row r="79" spans="1:84" s="6" customFormat="1" ht="11.25" x14ac:dyDescent="0.2">
      <c r="A79" s="11">
        <v>43165</v>
      </c>
      <c r="B79" s="379">
        <f>'2022'!Maxi_hp</f>
        <v>24.720173237036324</v>
      </c>
      <c r="C79" s="13">
        <f>'2022'!An_max</f>
        <v>2019</v>
      </c>
      <c r="D79" s="1053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2">
        <f t="shared" ref="H79:H142" si="61">INDEX(x.2m,F79)</f>
        <v>43178</v>
      </c>
      <c r="I79" s="753">
        <f t="shared" ref="I79:I142" si="62">($A79-H79)/(INDEX(x.2m,G79)-H79)</f>
        <v>0.9285714285714286</v>
      </c>
      <c r="J79" s="746">
        <f t="shared" ref="J79:J142" si="63">((1-I79)*(INDEX(a.m,F79)*$A79*$A79+INDEX(b.m,F79)*$A79+INDEX(c.m,F79))+I79*(INDEX(a.m,G79)*$A79*$A79+INDEX(b.m,G79)*$A79+INDEX(c.m,G79)))/10</f>
        <v>46.718535313422663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46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2">
        <f t="shared" ref="AR79:AR142" si="66">INDEX(x.2lg,AP79)</f>
        <v>43192</v>
      </c>
      <c r="AS79" s="753">
        <f t="shared" ref="AS79:AS142" si="67">($A79-AR79)/(INDEX(x.2lg,AQ79)-AR79)</f>
        <v>0.9642857142857143</v>
      </c>
      <c r="AT79" s="769">
        <f t="shared" ref="AT79:AT142" si="68">((1-AS79)*(INDEX(a.lg,AP79)*$A79*$A79+INDEX(b.lg,AP79)*$A79+INDEX(c.lg,AP79))+AS79*(INDEX(a.lg,AQ79)*$A79*$A79+INDEX(b.lg,AQ79)*$A79+INDEX(c.lg,AQ79)))/10</f>
        <v>46.721408725915744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2">
        <f t="shared" ref="AW79:AW142" si="71">INDEX(x.2ld,AU79)</f>
        <v>43150</v>
      </c>
      <c r="AX79" s="753">
        <f t="shared" ref="AX79:AX142" si="72">($A79-AW79)/(INDEX(x.2ld,AV79)-AW79)</f>
        <v>0.5357142857142857</v>
      </c>
      <c r="AY79" s="769">
        <f t="shared" ref="AY79:AY142" si="73">((1-AX79)*(INDEX(a.ld,AU79)*$A79*$A79+INDEX(b.ld,AU79)*$A79+INDEX(c.ld,AU79))+AX79*(INDEX(a.ld,AV79)*$A79*$A79+INDEX(b.ld,AV79)*$A79+INDEX(c.ld,AV79)))/10</f>
        <v>46.811378361670563</v>
      </c>
      <c r="AZ79" s="746">
        <f t="shared" si="26"/>
        <v>46.766393543793157</v>
      </c>
      <c r="BA79" s="641">
        <f t="shared" ref="BA79:BA142" si="74">+B79/J79</f>
        <v>0.5291298854126103</v>
      </c>
      <c r="BC79" s="11">
        <v>43165</v>
      </c>
      <c r="BD79" s="289">
        <f>[2]!FeuilCaduc*(1-Persistant)+Persistant</f>
        <v>0.60346974009977061</v>
      </c>
      <c r="BE79" s="290">
        <f>[2]!CroissVégét</f>
        <v>1.7620347483596571E-2</v>
      </c>
      <c r="BF79" s="819">
        <f>1+[2]!Salcycl*Ksac</f>
        <v>1.0004337175124713</v>
      </c>
      <c r="BH79" s="1044">
        <f t="shared" ref="BH79:BH142" si="75">INDEX($BJ79:$BT79,,$BH$10)*(1-Ratini)+INDEX($BJ79:$BT79,,$BH$10+1)*Ratini</f>
        <v>1.5517692301597491E-2</v>
      </c>
      <c r="BI79" s="11">
        <v>44261</v>
      </c>
      <c r="BJ79" s="726">
        <v>5.9406786384492193E-3</v>
      </c>
      <c r="BK79" s="726">
        <v>7.5249325646027142E-3</v>
      </c>
      <c r="BL79" s="726">
        <v>9.2950299080545931E-3</v>
      </c>
      <c r="BM79" s="726">
        <v>1.1403123249584082E-2</v>
      </c>
      <c r="BN79" s="726">
        <v>1.3917229821818653E-2</v>
      </c>
      <c r="BO79" s="727">
        <v>1.6910002946436586E-2</v>
      </c>
      <c r="BP79" s="726">
        <v>2.0394969571645331E-2</v>
      </c>
      <c r="BQ79" s="726">
        <v>2.4412627764031334E-2</v>
      </c>
      <c r="BR79" s="726">
        <v>2.9000769717409541E-2</v>
      </c>
      <c r="BS79" s="726">
        <v>3.4007143459352643E-2</v>
      </c>
      <c r="BT79" s="726">
        <v>3.9231483251566619E-2</v>
      </c>
      <c r="BW79" s="1208">
        <f>'2018'!R\Max</f>
        <v>0</v>
      </c>
      <c r="BX79" s="1206">
        <f>'2019'!R\Max</f>
        <v>0.5291298854126103</v>
      </c>
      <c r="BY79" s="1206">
        <f>'2020'!R\Max</f>
        <v>0.26468247664468647</v>
      </c>
      <c r="BZ79" s="1206">
        <f>'2021'!R\Max</f>
        <v>0.23205137862164327</v>
      </c>
      <c r="CA79" s="1206">
        <f>'2022'!R\Max</f>
        <v>0.47038905346588994</v>
      </c>
      <c r="CB79" s="1206">
        <f>'2023'!R\Max</f>
        <v>0.47036698083399003</v>
      </c>
      <c r="CC79" s="1206">
        <f>'2024'!R\Max</f>
        <v>0.47034204252986866</v>
      </c>
      <c r="CD79" s="1206">
        <f>'2025'!R\Max</f>
        <v>0.47031710337467053</v>
      </c>
      <c r="CE79" s="1206">
        <f>'2026'!R\Max</f>
        <v>0.47045324261420579</v>
      </c>
      <c r="CF79" s="1207">
        <f>'2027'!R\Max</f>
        <v>0.4704333946895316</v>
      </c>
    </row>
    <row r="80" spans="1:84" s="6" customFormat="1" ht="11.25" x14ac:dyDescent="0.2">
      <c r="A80" s="11">
        <v>43166</v>
      </c>
      <c r="B80" s="379">
        <f>'2022'!Maxi_hp</f>
        <v>42.729535510180014</v>
      </c>
      <c r="C80" s="13">
        <f>'2022'!An_max</f>
        <v>2022</v>
      </c>
      <c r="D80" s="1053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2">
        <f t="shared" si="61"/>
        <v>43178</v>
      </c>
      <c r="I80" s="753">
        <f t="shared" si="62"/>
        <v>0.8571428571428571</v>
      </c>
      <c r="J80" s="746">
        <f t="shared" si="63"/>
        <v>47.058053935691717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46">
        <v>43166</v>
      </c>
      <c r="AP80" s="13">
        <f t="shared" si="64"/>
        <v>5</v>
      </c>
      <c r="AQ80" s="13">
        <f t="shared" si="65"/>
        <v>4</v>
      </c>
      <c r="AR80" s="172">
        <f t="shared" si="66"/>
        <v>43192</v>
      </c>
      <c r="AS80" s="753">
        <f t="shared" si="67"/>
        <v>0.9285714285714286</v>
      </c>
      <c r="AT80" s="769">
        <f t="shared" si="68"/>
        <v>47.065872867924291</v>
      </c>
      <c r="AU80" s="13">
        <f t="shared" si="69"/>
        <v>3</v>
      </c>
      <c r="AV80" s="13">
        <f t="shared" si="70"/>
        <v>4</v>
      </c>
      <c r="AW80" s="172">
        <f t="shared" si="71"/>
        <v>43150</v>
      </c>
      <c r="AX80" s="753">
        <f t="shared" si="72"/>
        <v>0.5714285714285714</v>
      </c>
      <c r="AY80" s="769">
        <f t="shared" si="73"/>
        <v>47.15513148661703</v>
      </c>
      <c r="AZ80" s="746">
        <f t="shared" ref="AZ80:AZ143" si="77">(AY80+AT80)/2</f>
        <v>47.110502177270661</v>
      </c>
      <c r="BA80" s="641">
        <f t="shared" si="74"/>
        <v>0.9080174791880059</v>
      </c>
      <c r="BC80" s="11">
        <v>43166</v>
      </c>
      <c r="BD80" s="289">
        <f>[2]!FeuilCaduc*(1-Persistant)+Persistant</f>
        <v>0.60358672126890556</v>
      </c>
      <c r="BE80" s="290">
        <f>[2]!CroissVégét</f>
        <v>1.8402208892467707E-2</v>
      </c>
      <c r="BF80" s="819">
        <f>1+[2]!Salcycl*Ksac</f>
        <v>1.0004483401586133</v>
      </c>
      <c r="BH80" s="1044">
        <f t="shared" si="75"/>
        <v>1.5541386665094213E-2</v>
      </c>
      <c r="BI80" s="11">
        <v>44262</v>
      </c>
      <c r="BJ80" s="726">
        <v>5.9811512160045828E-3</v>
      </c>
      <c r="BK80" s="726">
        <v>7.561957861513125E-3</v>
      </c>
      <c r="BL80" s="726">
        <v>9.3295740201561374E-3</v>
      </c>
      <c r="BM80" s="726">
        <v>1.1434800141289364E-2</v>
      </c>
      <c r="BN80" s="726">
        <v>1.3944520010536091E-2</v>
      </c>
      <c r="BO80" s="727">
        <v>1.6930569148045704E-2</v>
      </c>
      <c r="BP80" s="726">
        <v>2.0413719909947548E-2</v>
      </c>
      <c r="BQ80" s="726">
        <v>2.4423109681392455E-2</v>
      </c>
      <c r="BR80" s="726">
        <v>2.9022400552174841E-2</v>
      </c>
      <c r="BS80" s="726">
        <v>3.4043064705109607E-2</v>
      </c>
      <c r="BT80" s="726">
        <v>3.9297328863080343E-2</v>
      </c>
      <c r="BW80" s="1208">
        <f>'2018'!R\Max</f>
        <v>0</v>
      </c>
      <c r="BX80" s="1206">
        <f>'2019'!R\Max</f>
        <v>0.89205142289544981</v>
      </c>
      <c r="BY80" s="1206">
        <f>'2020'!R\Max</f>
        <v>0.52235862488319051</v>
      </c>
      <c r="BZ80" s="1206">
        <f>'2021'!R\Max</f>
        <v>0.23389545081071306</v>
      </c>
      <c r="CA80" s="1206">
        <f>'2022'!R\Max</f>
        <v>0.9080174791880059</v>
      </c>
      <c r="CB80" s="1206">
        <f>'2023'!R\Max</f>
        <v>0.90801013543130826</v>
      </c>
      <c r="CC80" s="1206">
        <f>'2024'!R\Max</f>
        <v>0.90800184936024575</v>
      </c>
      <c r="CD80" s="1206">
        <f>'2025'!R\Max</f>
        <v>0.90799356228942307</v>
      </c>
      <c r="CE80" s="1206">
        <f>'2026'!R\Max</f>
        <v>0.908038829338911</v>
      </c>
      <c r="CF80" s="1207">
        <f>'2027'!R\Max</f>
        <v>0.90803223191093796</v>
      </c>
    </row>
    <row r="81" spans="1:84" s="6" customFormat="1" ht="11.25" x14ac:dyDescent="0.2">
      <c r="A81" s="11">
        <v>43167</v>
      </c>
      <c r="B81" s="379">
        <f>'2022'!Maxi_hp</f>
        <v>33.636353545695187</v>
      </c>
      <c r="C81" s="13">
        <f>'2022'!An_max</f>
        <v>2022</v>
      </c>
      <c r="D81" s="1053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2">
        <f t="shared" si="61"/>
        <v>43178</v>
      </c>
      <c r="I81" s="753">
        <f t="shared" si="62"/>
        <v>0.7857142857142857</v>
      </c>
      <c r="J81" s="746">
        <f t="shared" si="63"/>
        <v>47.397139176247379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46">
        <v>43167</v>
      </c>
      <c r="AP81" s="13">
        <f t="shared" si="64"/>
        <v>5</v>
      </c>
      <c r="AQ81" s="13">
        <f t="shared" si="65"/>
        <v>4</v>
      </c>
      <c r="AR81" s="172">
        <f t="shared" si="66"/>
        <v>43192</v>
      </c>
      <c r="AS81" s="753">
        <f t="shared" si="67"/>
        <v>0.8928571428571429</v>
      </c>
      <c r="AT81" s="769">
        <f t="shared" si="68"/>
        <v>47.411772587795603</v>
      </c>
      <c r="AU81" s="13">
        <f t="shared" si="69"/>
        <v>3</v>
      </c>
      <c r="AV81" s="13">
        <f t="shared" si="70"/>
        <v>4</v>
      </c>
      <c r="AW81" s="172">
        <f t="shared" si="71"/>
        <v>43150</v>
      </c>
      <c r="AX81" s="753">
        <f t="shared" si="72"/>
        <v>0.6071428571428571</v>
      </c>
      <c r="AY81" s="769">
        <f t="shared" si="73"/>
        <v>47.496555183555131</v>
      </c>
      <c r="AZ81" s="746">
        <f t="shared" si="77"/>
        <v>47.454163885675371</v>
      </c>
      <c r="BA81" s="641">
        <f t="shared" si="74"/>
        <v>0.70967054405156427</v>
      </c>
      <c r="BC81" s="11">
        <v>43167</v>
      </c>
      <c r="BD81" s="289">
        <f>[2]!FeuilCaduc*(1-Persistant)+Persistant</f>
        <v>0.6037112182714589</v>
      </c>
      <c r="BE81" s="290">
        <f>[2]!CroissVégét</f>
        <v>1.9215548548887868E-2</v>
      </c>
      <c r="BF81" s="819">
        <f>1+[2]!Salcycl*Ksac</f>
        <v>1.0004639022839323</v>
      </c>
      <c r="BH81" s="1044">
        <f t="shared" si="75"/>
        <v>1.5574258743803648E-2</v>
      </c>
      <c r="BI81" s="11">
        <v>44263</v>
      </c>
      <c r="BJ81" s="726">
        <v>6.0182936639871934E-3</v>
      </c>
      <c r="BK81" s="726">
        <v>7.5960016916363348E-3</v>
      </c>
      <c r="BL81" s="726">
        <v>9.3631104754470992E-3</v>
      </c>
      <c r="BM81" s="726">
        <v>1.1469034666935862E-2</v>
      </c>
      <c r="BN81" s="726">
        <v>1.3978872271217885E-2</v>
      </c>
      <c r="BO81" s="727">
        <v>1.6962153553259227E-2</v>
      </c>
      <c r="BP81" s="726">
        <v>2.0446768846632355E-2</v>
      </c>
      <c r="BQ81" s="726">
        <v>2.4449170846803887E-2</v>
      </c>
      <c r="BR81" s="726">
        <v>2.9055474246720971E-2</v>
      </c>
      <c r="BS81" s="726">
        <v>3.4082524132177335E-2</v>
      </c>
      <c r="BT81" s="726">
        <v>3.935648710970107E-2</v>
      </c>
      <c r="BW81" s="1208">
        <f>'2018'!R\Max</f>
        <v>0</v>
      </c>
      <c r="BX81" s="1206">
        <f>'2019'!R\Max</f>
        <v>0.5807861700837611</v>
      </c>
      <c r="BY81" s="1206">
        <f>'2020'!R\Max</f>
        <v>0.68845171059866128</v>
      </c>
      <c r="BZ81" s="1206">
        <f>'2021'!R\Max</f>
        <v>0.52649398743208431</v>
      </c>
      <c r="CA81" s="1206">
        <f>'2022'!R\Max</f>
        <v>0.70967054405156427</v>
      </c>
      <c r="CB81" s="1206">
        <f>'2023'!R\Max</f>
        <v>0.70965255030215169</v>
      </c>
      <c r="CC81" s="1206">
        <f>'2024'!R\Max</f>
        <v>0.70963228811111967</v>
      </c>
      <c r="CD81" s="1206">
        <f>'2025'!R\Max</f>
        <v>0.70961202428717096</v>
      </c>
      <c r="CE81" s="1206">
        <f>'2026'!R\Max</f>
        <v>0.70972286118293204</v>
      </c>
      <c r="CF81" s="1207">
        <f>'2027'!R\Max</f>
        <v>0.70970670081551912</v>
      </c>
    </row>
    <row r="82" spans="1:84" s="6" customFormat="1" ht="11.25" x14ac:dyDescent="0.2">
      <c r="A82" s="11">
        <v>43168</v>
      </c>
      <c r="B82" s="379">
        <f>'2022'!Maxi_hp</f>
        <v>44.764426477667158</v>
      </c>
      <c r="C82" s="13">
        <f>'2022'!An_max</f>
        <v>2021</v>
      </c>
      <c r="D82" s="1053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2">
        <f t="shared" si="61"/>
        <v>43178</v>
      </c>
      <c r="I82" s="753">
        <f t="shared" si="62"/>
        <v>0.7142857142857143</v>
      </c>
      <c r="J82" s="746">
        <f t="shared" si="63"/>
        <v>47.735574343960202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46">
        <v>43168</v>
      </c>
      <c r="AP82" s="13">
        <f t="shared" si="64"/>
        <v>5</v>
      </c>
      <c r="AQ82" s="13">
        <f t="shared" si="65"/>
        <v>4</v>
      </c>
      <c r="AR82" s="172">
        <f t="shared" si="66"/>
        <v>43192</v>
      </c>
      <c r="AS82" s="753">
        <f t="shared" si="67"/>
        <v>0.8571428571428571</v>
      </c>
      <c r="AT82" s="769">
        <f t="shared" si="68"/>
        <v>47.758688046517115</v>
      </c>
      <c r="AU82" s="13">
        <f t="shared" si="69"/>
        <v>3</v>
      </c>
      <c r="AV82" s="13">
        <f t="shared" si="70"/>
        <v>4</v>
      </c>
      <c r="AW82" s="172">
        <f t="shared" si="71"/>
        <v>43150</v>
      </c>
      <c r="AX82" s="753">
        <f t="shared" si="72"/>
        <v>0.6428571428571429</v>
      </c>
      <c r="AY82" s="769">
        <f t="shared" si="73"/>
        <v>47.835432762186976</v>
      </c>
      <c r="AZ82" s="746">
        <f t="shared" si="77"/>
        <v>47.797060404352045</v>
      </c>
      <c r="BA82" s="641">
        <f t="shared" si="74"/>
        <v>0.93775820429258183</v>
      </c>
      <c r="BC82" s="11">
        <v>43168</v>
      </c>
      <c r="BD82" s="289">
        <f>[2]!FeuilCaduc*(1-Persistant)+Persistant</f>
        <v>0.60384508628411104</v>
      </c>
      <c r="BE82" s="290">
        <f>[2]!CroissVégét</f>
        <v>2.0061577312061717E-2</v>
      </c>
      <c r="BF82" s="819">
        <f>1+[2]!Salcycl*Ksac</f>
        <v>1.0004806357855138</v>
      </c>
      <c r="BH82" s="1044">
        <f t="shared" si="75"/>
        <v>1.5616302692510003E-2</v>
      </c>
      <c r="BI82" s="11">
        <v>44264</v>
      </c>
      <c r="BJ82" s="726">
        <v>6.0521035378418341E-3</v>
      </c>
      <c r="BK82" s="726">
        <v>7.6270610456525591E-3</v>
      </c>
      <c r="BL82" s="726">
        <v>9.3956356312667449E-3</v>
      </c>
      <c r="BM82" s="726">
        <v>1.1505822433399213E-2</v>
      </c>
      <c r="BN82" s="726">
        <v>1.4020281322257577E-2</v>
      </c>
      <c r="BO82" s="727">
        <v>1.7004749826553534E-2</v>
      </c>
      <c r="BP82" s="726">
        <v>2.0494108779266322E-2</v>
      </c>
      <c r="BQ82" s="726">
        <v>2.4490802224250079E-2</v>
      </c>
      <c r="BR82" s="726">
        <v>2.9099979988317523E-2</v>
      </c>
      <c r="BS82" s="726">
        <v>3.4125508964737643E-2</v>
      </c>
      <c r="BT82" s="726">
        <v>3.9408943072792586E-2</v>
      </c>
      <c r="BW82" s="1208">
        <f>'2018'!R\Max</f>
        <v>0</v>
      </c>
      <c r="BX82" s="1206">
        <f>'2019'!R\Max</f>
        <v>0.47049041172394812</v>
      </c>
      <c r="BY82" s="1206">
        <f>'2020'!R\Max</f>
        <v>0.74919372941240292</v>
      </c>
      <c r="BZ82" s="1206">
        <f>'2021'!R\Max</f>
        <v>0.93775820429258183</v>
      </c>
      <c r="CA82" s="1206">
        <f>'2022'!R\Max</f>
        <v>0.66928301625288089</v>
      </c>
      <c r="CB82" s="1206">
        <f>'2023'!R\Max</f>
        <v>0.66926379845468975</v>
      </c>
      <c r="CC82" s="1206">
        <f>'2024'!R\Max</f>
        <v>0.66924221177601573</v>
      </c>
      <c r="CD82" s="1206">
        <f>'2025'!R\Max</f>
        <v>0.6692206235421776</v>
      </c>
      <c r="CE82" s="1206">
        <f>'2026'!R\Max</f>
        <v>0.66933890335425861</v>
      </c>
      <c r="CF82" s="1207">
        <f>'2027'!R\Max</f>
        <v>0.66932164476401834</v>
      </c>
    </row>
    <row r="83" spans="1:84" s="6" customFormat="1" ht="11.25" x14ac:dyDescent="0.2">
      <c r="A83" s="11">
        <v>43169</v>
      </c>
      <c r="B83" s="379">
        <f>'2022'!Maxi_hp</f>
        <v>45.253306652586467</v>
      </c>
      <c r="C83" s="13">
        <f>'2022'!An_max</f>
        <v>2021</v>
      </c>
      <c r="D83" s="1053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2">
        <f t="shared" si="61"/>
        <v>43178</v>
      </c>
      <c r="I83" s="753">
        <f t="shared" si="62"/>
        <v>0.6428571428571429</v>
      </c>
      <c r="J83" s="746">
        <f t="shared" si="63"/>
        <v>48.07314274787371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46">
        <v>43169</v>
      </c>
      <c r="AP83" s="13">
        <f t="shared" si="64"/>
        <v>5</v>
      </c>
      <c r="AQ83" s="13">
        <f t="shared" si="65"/>
        <v>4</v>
      </c>
      <c r="AR83" s="172">
        <f t="shared" si="66"/>
        <v>43192</v>
      </c>
      <c r="AS83" s="753">
        <f t="shared" si="67"/>
        <v>0.8214285714285714</v>
      </c>
      <c r="AT83" s="769">
        <f t="shared" si="68"/>
        <v>48.106199405062945</v>
      </c>
      <c r="AU83" s="13">
        <f t="shared" si="69"/>
        <v>3</v>
      </c>
      <c r="AV83" s="13">
        <f t="shared" si="70"/>
        <v>4</v>
      </c>
      <c r="AW83" s="172">
        <f t="shared" si="71"/>
        <v>43150</v>
      </c>
      <c r="AX83" s="753">
        <f t="shared" si="72"/>
        <v>0.6785714285714286</v>
      </c>
      <c r="AY83" s="769">
        <f t="shared" si="73"/>
        <v>48.171547530724538</v>
      </c>
      <c r="AZ83" s="746">
        <f t="shared" si="77"/>
        <v>48.138873467893745</v>
      </c>
      <c r="BA83" s="641">
        <f t="shared" si="74"/>
        <v>0.94134279695262979</v>
      </c>
      <c r="BC83" s="11">
        <v>43169</v>
      </c>
      <c r="BD83" s="289">
        <f>[2]!FeuilCaduc*(1-Persistant)+Persistant</f>
        <v>0.60399032006389874</v>
      </c>
      <c r="BE83" s="290">
        <f>[2]!CroissVégét</f>
        <v>2.0941547894735235E-2</v>
      </c>
      <c r="BF83" s="819">
        <f>1+[2]!Salcycl*Ksac</f>
        <v>1.0004987900079874</v>
      </c>
      <c r="BH83" s="1044">
        <f t="shared" si="75"/>
        <v>1.5667512503712594E-2</v>
      </c>
      <c r="BI83" s="11">
        <v>44265</v>
      </c>
      <c r="BJ83" s="726">
        <v>6.082578379142646E-3</v>
      </c>
      <c r="BK83" s="726">
        <v>7.6551329006262873E-3</v>
      </c>
      <c r="BL83" s="726">
        <v>9.4271458076683103E-3</v>
      </c>
      <c r="BM83" s="726">
        <v>1.1545158965138243E-2</v>
      </c>
      <c r="BN83" s="726">
        <v>1.4068741743745748E-2</v>
      </c>
      <c r="BO83" s="727">
        <v>1.7058351449257214E-2</v>
      </c>
      <c r="BP83" s="726">
        <v>2.0555731879507433E-2</v>
      </c>
      <c r="BQ83" s="726">
        <v>2.4547994546265082E-2</v>
      </c>
      <c r="BR83" s="726">
        <v>2.9155906773479266E-2</v>
      </c>
      <c r="BS83" s="726">
        <v>3.4172006324415471E-2</v>
      </c>
      <c r="BT83" s="726">
        <v>3.9454681828346334E-2</v>
      </c>
      <c r="BW83" s="1208">
        <f>'2018'!R\Max</f>
        <v>0</v>
      </c>
      <c r="BX83" s="1206">
        <f>'2019'!R\Max</f>
        <v>0.37205751374345841</v>
      </c>
      <c r="BY83" s="1206">
        <f>'2020'!R\Max</f>
        <v>0.64470525996494477</v>
      </c>
      <c r="BZ83" s="1206">
        <f>'2021'!R\Max</f>
        <v>0.94134279695262979</v>
      </c>
      <c r="CA83" s="1206">
        <f>'2022'!R\Max</f>
        <v>0.52146307646029522</v>
      </c>
      <c r="CB83" s="1206">
        <f>'2023'!R\Max</f>
        <v>0.52144151693083762</v>
      </c>
      <c r="CC83" s="1206">
        <f>'2024'!R\Max</f>
        <v>0.52141737327269166</v>
      </c>
      <c r="CD83" s="1206">
        <f>'2025'!R\Max</f>
        <v>0.52139322857956583</v>
      </c>
      <c r="CE83" s="1206">
        <f>'2026'!R\Max</f>
        <v>0.52152579826931278</v>
      </c>
      <c r="CF83" s="1207">
        <f>'2027'!R\Max</f>
        <v>0.52150643084406734</v>
      </c>
    </row>
    <row r="84" spans="1:84" s="6" customFormat="1" ht="11.25" x14ac:dyDescent="0.2">
      <c r="A84" s="11">
        <v>43170</v>
      </c>
      <c r="B84" s="379">
        <f>'2022'!Maxi_hp</f>
        <v>35.768760137724279</v>
      </c>
      <c r="C84" s="13">
        <f>'2022'!An_max</f>
        <v>2021</v>
      </c>
      <c r="D84" s="1053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2">
        <f t="shared" si="61"/>
        <v>43178</v>
      </c>
      <c r="I84" s="753">
        <f t="shared" si="62"/>
        <v>0.5714285714285714</v>
      </c>
      <c r="J84" s="746">
        <f t="shared" si="63"/>
        <v>48.409627696712107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46">
        <v>43170</v>
      </c>
      <c r="AP84" s="13">
        <f t="shared" si="64"/>
        <v>5</v>
      </c>
      <c r="AQ84" s="13">
        <f t="shared" si="65"/>
        <v>4</v>
      </c>
      <c r="AR84" s="172">
        <f t="shared" si="66"/>
        <v>43192</v>
      </c>
      <c r="AS84" s="753">
        <f t="shared" si="67"/>
        <v>0.7857142857142857</v>
      </c>
      <c r="AT84" s="769">
        <f t="shared" si="68"/>
        <v>48.453886825551407</v>
      </c>
      <c r="AU84" s="13">
        <f t="shared" si="69"/>
        <v>3</v>
      </c>
      <c r="AV84" s="13">
        <f t="shared" si="70"/>
        <v>4</v>
      </c>
      <c r="AW84" s="172">
        <f t="shared" si="71"/>
        <v>43150</v>
      </c>
      <c r="AX84" s="753">
        <f t="shared" si="72"/>
        <v>0.7142857142857143</v>
      </c>
      <c r="AY84" s="769">
        <f t="shared" si="73"/>
        <v>48.504682798470768</v>
      </c>
      <c r="AZ84" s="746">
        <f t="shared" si="77"/>
        <v>48.479284812011088</v>
      </c>
      <c r="BA84" s="641">
        <f t="shared" si="74"/>
        <v>0.73887699285391584</v>
      </c>
      <c r="BC84" s="11">
        <v>43170</v>
      </c>
      <c r="BD84" s="289">
        <f>[2]!FeuilCaduc*(1-Persistant)+Persistant</f>
        <v>0.60414904766919597</v>
      </c>
      <c r="BE84" s="290">
        <f>[2]!CroissVégét</f>
        <v>2.1856755910064932E-2</v>
      </c>
      <c r="BF84" s="819">
        <f>1+[2]!Salcycl*Ksac</f>
        <v>1.0005186309586496</v>
      </c>
      <c r="BH84" s="1044">
        <f t="shared" si="75"/>
        <v>1.5727881973534419E-2</v>
      </c>
      <c r="BI84" s="11">
        <v>44266</v>
      </c>
      <c r="BJ84" s="726">
        <v>6.1097157278599433E-3</v>
      </c>
      <c r="BK84" s="726">
        <v>7.6802142309689214E-3</v>
      </c>
      <c r="BL84" s="726">
        <v>9.4576372910636988E-3</v>
      </c>
      <c r="BM84" s="726">
        <v>1.1587039694631148E-2</v>
      </c>
      <c r="BN84" s="726">
        <v>1.4124247951219696E-2</v>
      </c>
      <c r="BO84" s="727">
        <v>1.7122951678638317E-2</v>
      </c>
      <c r="BP84" s="726">
        <v>2.0631630040025356E-2</v>
      </c>
      <c r="BQ84" s="726">
        <v>2.462073825607887E-2</v>
      </c>
      <c r="BR84" s="726">
        <v>2.9223243365373592E-2</v>
      </c>
      <c r="BS84" s="726">
        <v>3.4222003216884296E-2</v>
      </c>
      <c r="BT84" s="726">
        <v>3.9493688471369019E-2</v>
      </c>
      <c r="BW84" s="1208">
        <f>'2018'!R\Max</f>
        <v>0</v>
      </c>
      <c r="BX84" s="1206">
        <f>'2019'!R\Max</f>
        <v>0.73387543663784494</v>
      </c>
      <c r="BY84" s="1206">
        <f>'2020'!R\Max</f>
        <v>0.7074785947157588</v>
      </c>
      <c r="BZ84" s="1206">
        <f>'2021'!R\Max</f>
        <v>0.73887699285391584</v>
      </c>
      <c r="CA84" s="1206">
        <f>'2022'!R\Max</f>
        <v>0.3286879398041968</v>
      </c>
      <c r="CB84" s="1206">
        <f>'2023'!R\Max</f>
        <v>0.32866895206636376</v>
      </c>
      <c r="CC84" s="1206">
        <f>'2024'!R\Max</f>
        <v>0.32864776401063206</v>
      </c>
      <c r="CD84" s="1206">
        <f>'2025'!R\Max</f>
        <v>0.32862657583789073</v>
      </c>
      <c r="CE84" s="1206">
        <f>'2026'!R\Max</f>
        <v>0.32874321115285493</v>
      </c>
      <c r="CF84" s="1207">
        <f>'2027'!R\Max</f>
        <v>0.32872614321697735</v>
      </c>
    </row>
    <row r="85" spans="1:84" s="6" customFormat="1" ht="11.25" x14ac:dyDescent="0.2">
      <c r="A85" s="11">
        <v>43171</v>
      </c>
      <c r="B85" s="379">
        <f>'2022'!Maxi_hp</f>
        <v>43.865300261572678</v>
      </c>
      <c r="C85" s="13">
        <f>'2022'!An_max</f>
        <v>2020</v>
      </c>
      <c r="D85" s="1053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2">
        <f t="shared" si="61"/>
        <v>43178</v>
      </c>
      <c r="I85" s="753">
        <f t="shared" si="62"/>
        <v>0.5</v>
      </c>
      <c r="J85" s="746">
        <f t="shared" si="63"/>
        <v>48.74481249982491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46">
        <v>43171</v>
      </c>
      <c r="AP85" s="13">
        <f t="shared" si="64"/>
        <v>5</v>
      </c>
      <c r="AQ85" s="13">
        <f t="shared" si="65"/>
        <v>4</v>
      </c>
      <c r="AR85" s="172">
        <f t="shared" si="66"/>
        <v>43192</v>
      </c>
      <c r="AS85" s="753">
        <f t="shared" si="67"/>
        <v>0.75</v>
      </c>
      <c r="AT85" s="769">
        <f t="shared" si="68"/>
        <v>48.80133046861738</v>
      </c>
      <c r="AU85" s="13">
        <f t="shared" si="69"/>
        <v>3</v>
      </c>
      <c r="AV85" s="13">
        <f t="shared" si="70"/>
        <v>4</v>
      </c>
      <c r="AW85" s="172">
        <f t="shared" si="71"/>
        <v>43150</v>
      </c>
      <c r="AX85" s="753">
        <f t="shared" si="72"/>
        <v>0.75</v>
      </c>
      <c r="AY85" s="769">
        <f t="shared" si="73"/>
        <v>48.83462187461555</v>
      </c>
      <c r="AZ85" s="746">
        <f t="shared" si="77"/>
        <v>48.817976171616465</v>
      </c>
      <c r="BA85" s="641">
        <f t="shared" si="74"/>
        <v>0.89989678925793881</v>
      </c>
      <c r="BC85" s="11">
        <v>43171</v>
      </c>
      <c r="BD85" s="289">
        <f>[2]!FeuilCaduc*(1-Persistant)+Persistant</f>
        <v>0.60432352346937124</v>
      </c>
      <c r="BE85" s="290">
        <f>[2]!CroissVégét</f>
        <v>2.2808540908775418E-2</v>
      </c>
      <c r="BF85" s="819">
        <f>1+[2]!Salcycl*Ksac</f>
        <v>1.0005404404336715</v>
      </c>
      <c r="BH85" s="1044">
        <f t="shared" si="75"/>
        <v>1.5797404667703421E-2</v>
      </c>
      <c r="BI85" s="11">
        <v>44267</v>
      </c>
      <c r="BJ85" s="726">
        <v>6.1335131346550902E-3</v>
      </c>
      <c r="BK85" s="726">
        <v>7.7023020194368725E-3</v>
      </c>
      <c r="BL85" s="726">
        <v>9.4871063379119245E-3</v>
      </c>
      <c r="BM85" s="726">
        <v>1.1631459952865223E-2</v>
      </c>
      <c r="BN85" s="726">
        <v>1.4186794169478366E-2</v>
      </c>
      <c r="BO85" s="727">
        <v>1.7198543507070788E-2</v>
      </c>
      <c r="BP85" s="726">
        <v>2.0721794821517217E-2</v>
      </c>
      <c r="BQ85" s="726">
        <v>2.4709023449877864E-2</v>
      </c>
      <c r="BR85" s="726">
        <v>2.9301978251363756E-2</v>
      </c>
      <c r="BS85" s="726">
        <v>3.4275486518630785E-2</v>
      </c>
      <c r="BT85" s="726">
        <v>3.9525948140453904E-2</v>
      </c>
      <c r="BW85" s="1208">
        <f>'2018'!R\Max</f>
        <v>0</v>
      </c>
      <c r="BX85" s="1206">
        <f>'2019'!R\Max</f>
        <v>0.86706788941993929</v>
      </c>
      <c r="BY85" s="1206">
        <f>'2020'!R\Max</f>
        <v>0.89989678925793881</v>
      </c>
      <c r="BZ85" s="1206">
        <f>'2021'!R\Max</f>
        <v>0.606171275637861</v>
      </c>
      <c r="CA85" s="1206">
        <f>'2022'!R\Max</f>
        <v>0.31231287592965057</v>
      </c>
      <c r="CB85" s="1206">
        <f>'2023'!R\Max</f>
        <v>0.31229445041113157</v>
      </c>
      <c r="CC85" s="1206">
        <f>'2024'!R\Max</f>
        <v>0.31227397249776756</v>
      </c>
      <c r="CD85" s="1206">
        <f>'2025'!R\Max</f>
        <v>0.31225349453605949</v>
      </c>
      <c r="CE85" s="1206">
        <f>'2026'!R\Max</f>
        <v>0.31236654666475594</v>
      </c>
      <c r="CF85" s="1207">
        <f>'2027'!R\Max</f>
        <v>0.31234997001319381</v>
      </c>
    </row>
    <row r="86" spans="1:84" s="6" customFormat="1" ht="11.25" x14ac:dyDescent="0.2">
      <c r="A86" s="11">
        <v>43172</v>
      </c>
      <c r="B86" s="379">
        <f>'2022'!Maxi_hp</f>
        <v>45.683346556341533</v>
      </c>
      <c r="C86" s="13">
        <f>'2022'!An_max</f>
        <v>2021</v>
      </c>
      <c r="D86" s="1053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2">
        <f t="shared" si="61"/>
        <v>43178</v>
      </c>
      <c r="I86" s="753">
        <f t="shared" si="62"/>
        <v>0.42857142857142855</v>
      </c>
      <c r="J86" s="746">
        <f t="shared" si="63"/>
        <v>49.078480466322176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46">
        <v>43172</v>
      </c>
      <c r="AP86" s="13">
        <f t="shared" si="64"/>
        <v>5</v>
      </c>
      <c r="AQ86" s="13">
        <f t="shared" si="65"/>
        <v>4</v>
      </c>
      <c r="AR86" s="172">
        <f t="shared" si="66"/>
        <v>43192</v>
      </c>
      <c r="AS86" s="753">
        <f t="shared" si="67"/>
        <v>0.7142857142857143</v>
      </c>
      <c r="AT86" s="769">
        <f t="shared" si="68"/>
        <v>49.148110495241625</v>
      </c>
      <c r="AU86" s="13">
        <f t="shared" si="69"/>
        <v>3</v>
      </c>
      <c r="AV86" s="13">
        <f t="shared" si="70"/>
        <v>4</v>
      </c>
      <c r="AW86" s="172">
        <f t="shared" si="71"/>
        <v>43150</v>
      </c>
      <c r="AX86" s="753">
        <f t="shared" si="72"/>
        <v>0.7857142857142857</v>
      </c>
      <c r="AY86" s="769">
        <f t="shared" si="73"/>
        <v>49.161148068322134</v>
      </c>
      <c r="AZ86" s="746">
        <f t="shared" si="77"/>
        <v>49.15462928178188</v>
      </c>
      <c r="BA86" s="641">
        <f t="shared" si="74"/>
        <v>0.93082235069787056</v>
      </c>
      <c r="BC86" s="11">
        <v>43172</v>
      </c>
      <c r="BD86" s="289">
        <f>[2]!FeuilCaduc*(1-Persistant)+Persistant</f>
        <v>0.60451612051959969</v>
      </c>
      <c r="BE86" s="290">
        <f>[2]!CroissVégét</f>
        <v>2.3798287402466985E-2</v>
      </c>
      <c r="BF86" s="819">
        <f>1+[2]!Salcycl*Ksac</f>
        <v>1.00056451506495</v>
      </c>
      <c r="BH86" s="1044">
        <f t="shared" si="75"/>
        <v>1.5852683265567175E-2</v>
      </c>
      <c r="BI86" s="11">
        <v>44268</v>
      </c>
      <c r="BJ86" s="726">
        <v>6.1397382592733862E-3</v>
      </c>
      <c r="BK86" s="726">
        <v>7.7052955126377448E-3</v>
      </c>
      <c r="BL86" s="726">
        <v>9.497611144274316E-3</v>
      </c>
      <c r="BM86" s="726">
        <v>1.1658274328715287E-2</v>
      </c>
      <c r="BN86" s="726">
        <v>1.4234091668612246E-2</v>
      </c>
      <c r="BO86" s="727">
        <v>1.7260765203482312E-2</v>
      </c>
      <c r="BP86" s="726">
        <v>2.0801598518126338E-2</v>
      </c>
      <c r="BQ86" s="726">
        <v>2.4790834870960895E-2</v>
      </c>
      <c r="BR86" s="726">
        <v>2.9373494699910772E-2</v>
      </c>
      <c r="BS86" s="726">
        <v>3.4316846829008013E-2</v>
      </c>
      <c r="BT86" s="726">
        <v>3.9537289022881054E-2</v>
      </c>
      <c r="BW86" s="1208">
        <f>'2018'!R\Max</f>
        <v>0</v>
      </c>
      <c r="BX86" s="1206">
        <f>'2019'!R\Max</f>
        <v>0.46895418752189505</v>
      </c>
      <c r="BY86" s="1206">
        <f>'2020'!R\Max</f>
        <v>0.33594320399090455</v>
      </c>
      <c r="BZ86" s="1206">
        <f>'2021'!R\Max</f>
        <v>0.93082235069787056</v>
      </c>
      <c r="CA86" s="1206">
        <f>'2022'!R\Max</f>
        <v>0.18863555706071927</v>
      </c>
      <c r="CB86" s="1206">
        <f>'2023'!R\Max</f>
        <v>0.18862425146050743</v>
      </c>
      <c r="CC86" s="1206">
        <f>'2024'!R\Max</f>
        <v>0.18861173559319402</v>
      </c>
      <c r="CD86" s="1206">
        <f>'2025'!R\Max</f>
        <v>0.18859921972588067</v>
      </c>
      <c r="CE86" s="1206">
        <f>'2026'!R\Max</f>
        <v>0.18866850872315641</v>
      </c>
      <c r="CF86" s="1207">
        <f>'2027'!R\Max</f>
        <v>0.18865833033566981</v>
      </c>
    </row>
    <row r="87" spans="1:84" s="6" customFormat="1" ht="11.25" x14ac:dyDescent="0.2">
      <c r="A87" s="11">
        <v>43173</v>
      </c>
      <c r="B87" s="379">
        <f>'2022'!Maxi_hp</f>
        <v>40.234319557946243</v>
      </c>
      <c r="C87" s="13">
        <f>'2022'!An_max</f>
        <v>2020</v>
      </c>
      <c r="D87" s="1053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2">
        <f t="shared" si="61"/>
        <v>43178</v>
      </c>
      <c r="I87" s="753">
        <f t="shared" si="62"/>
        <v>0.35714285714285715</v>
      </c>
      <c r="J87" s="746">
        <f t="shared" si="63"/>
        <v>49.410414905074447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46">
        <v>43173</v>
      </c>
      <c r="AP87" s="13">
        <f t="shared" si="64"/>
        <v>5</v>
      </c>
      <c r="AQ87" s="13">
        <f t="shared" si="65"/>
        <v>4</v>
      </c>
      <c r="AR87" s="172">
        <f t="shared" si="66"/>
        <v>43192</v>
      </c>
      <c r="AS87" s="753">
        <f t="shared" si="67"/>
        <v>0.6785714285714286</v>
      </c>
      <c r="AT87" s="769">
        <f t="shared" si="68"/>
        <v>49.49380706723646</v>
      </c>
      <c r="AU87" s="13">
        <f t="shared" si="69"/>
        <v>3</v>
      </c>
      <c r="AV87" s="13">
        <f t="shared" si="70"/>
        <v>4</v>
      </c>
      <c r="AW87" s="172">
        <f t="shared" si="71"/>
        <v>43150</v>
      </c>
      <c r="AX87" s="753">
        <f t="shared" si="72"/>
        <v>0.8214285714285714</v>
      </c>
      <c r="AY87" s="769">
        <f t="shared" si="73"/>
        <v>49.484044687988771</v>
      </c>
      <c r="AZ87" s="746">
        <f t="shared" si="77"/>
        <v>49.488925877612616</v>
      </c>
      <c r="BA87" s="641">
        <f t="shared" si="74"/>
        <v>0.81428823528891636</v>
      </c>
      <c r="BC87" s="11">
        <v>43173</v>
      </c>
      <c r="BD87" s="289">
        <f>[2]!FeuilCaduc*(1-Persistant)+Persistant</f>
        <v>0.60472932238026522</v>
      </c>
      <c r="BE87" s="290">
        <f>[2]!CroissVégét</f>
        <v>2.4827425868542252E-2</v>
      </c>
      <c r="BF87" s="819">
        <f>1+[2]!Salcycl*Ksac</f>
        <v>1.0005911652975332</v>
      </c>
      <c r="BH87" s="1044">
        <f t="shared" si="75"/>
        <v>1.5885513349256045E-2</v>
      </c>
      <c r="BI87" s="11">
        <v>44269</v>
      </c>
      <c r="BJ87" s="726">
        <v>6.1276056163759437E-3</v>
      </c>
      <c r="BK87" s="726">
        <v>7.688108119799743E-3</v>
      </c>
      <c r="BL87" s="726">
        <v>9.486713324718515E-3</v>
      </c>
      <c r="BM87" s="726">
        <v>1.1662667528783826E-2</v>
      </c>
      <c r="BN87" s="726">
        <v>1.4258808108154988E-2</v>
      </c>
      <c r="BO87" s="727">
        <v>1.730065369263574E-2</v>
      </c>
      <c r="BP87" s="726">
        <v>2.0862038026092058E-2</v>
      </c>
      <c r="BQ87" s="726">
        <v>2.4858853699625181E-2</v>
      </c>
      <c r="BR87" s="726">
        <v>2.943375909848589E-2</v>
      </c>
      <c r="BS87" s="726">
        <v>3.4346535154714579E-2</v>
      </c>
      <c r="BT87" s="726">
        <v>3.9533353104034642E-2</v>
      </c>
      <c r="BW87" s="1208">
        <f>'2018'!R\Max</f>
        <v>0</v>
      </c>
      <c r="BX87" s="1206">
        <f>'2019'!R\Max</f>
        <v>0.50001211475903329</v>
      </c>
      <c r="BY87" s="1206">
        <f>'2020'!R\Max</f>
        <v>0.81428823528891636</v>
      </c>
      <c r="BZ87" s="1206">
        <f>'2021'!R\Max</f>
        <v>0.54116620591391951</v>
      </c>
      <c r="CA87" s="1206">
        <f>'2022'!R\Max</f>
        <v>0.25117940555143464</v>
      </c>
      <c r="CB87" s="1206">
        <f>'2023'!R\Max</f>
        <v>0.25116436769089429</v>
      </c>
      <c r="CC87" s="1206">
        <f>'2024'!R\Max</f>
        <v>0.25114777673301331</v>
      </c>
      <c r="CD87" s="1206">
        <f>'2025'!R\Max</f>
        <v>0.25113118577513227</v>
      </c>
      <c r="CE87" s="1206">
        <f>'2026'!R\Max</f>
        <v>0.25122325276801194</v>
      </c>
      <c r="CF87" s="1207">
        <f>'2027'!R\Max</f>
        <v>0.25120971129955749</v>
      </c>
    </row>
    <row r="88" spans="1:84" s="6" customFormat="1" ht="11.25" x14ac:dyDescent="0.2">
      <c r="A88" s="11">
        <v>43174</v>
      </c>
      <c r="B88" s="379">
        <f>'2022'!Maxi_hp</f>
        <v>34.275990691254492</v>
      </c>
      <c r="C88" s="13">
        <f>'2022'!An_max</f>
        <v>2020</v>
      </c>
      <c r="D88" s="1053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2">
        <f t="shared" si="61"/>
        <v>43178</v>
      </c>
      <c r="I88" s="753">
        <f t="shared" si="62"/>
        <v>0.2857142857142857</v>
      </c>
      <c r="J88" s="746">
        <f t="shared" si="63"/>
        <v>49.740399125165176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46">
        <v>43174</v>
      </c>
      <c r="AP88" s="13">
        <f t="shared" si="64"/>
        <v>5</v>
      </c>
      <c r="AQ88" s="13">
        <f t="shared" si="65"/>
        <v>4</v>
      </c>
      <c r="AR88" s="172">
        <f t="shared" si="66"/>
        <v>43192</v>
      </c>
      <c r="AS88" s="753">
        <f t="shared" si="67"/>
        <v>0.6428571428571429</v>
      </c>
      <c r="AT88" s="769">
        <f t="shared" si="68"/>
        <v>49.838000345975161</v>
      </c>
      <c r="AU88" s="13">
        <f t="shared" si="69"/>
        <v>3</v>
      </c>
      <c r="AV88" s="13">
        <f t="shared" si="70"/>
        <v>4</v>
      </c>
      <c r="AW88" s="172">
        <f t="shared" si="71"/>
        <v>43150</v>
      </c>
      <c r="AX88" s="753">
        <f t="shared" si="72"/>
        <v>0.8571428571428571</v>
      </c>
      <c r="AY88" s="769">
        <f t="shared" si="73"/>
        <v>49.803095043211115</v>
      </c>
      <c r="AZ88" s="746">
        <f t="shared" si="77"/>
        <v>49.820547694593138</v>
      </c>
      <c r="BA88" s="641">
        <f t="shared" si="74"/>
        <v>0.68909762072884595</v>
      </c>
      <c r="BC88" s="11">
        <v>43174</v>
      </c>
      <c r="BD88" s="289">
        <f>[2]!FeuilCaduc*(1-Persistant)+Persistant</f>
        <v>0.60496571446227188</v>
      </c>
      <c r="BE88" s="290">
        <f>[2]!CroissVégét</f>
        <v>2.5897433731805454E-2</v>
      </c>
      <c r="BF88" s="819">
        <f>1+[2]!Salcycl*Ksac</f>
        <v>1.0006207143077839</v>
      </c>
      <c r="BH88" s="1044">
        <f t="shared" si="75"/>
        <v>1.5895889605890039E-2</v>
      </c>
      <c r="BI88" s="11">
        <v>44270</v>
      </c>
      <c r="BJ88" s="726">
        <v>6.0971138597842034E-3</v>
      </c>
      <c r="BK88" s="726">
        <v>7.6507380537217395E-3</v>
      </c>
      <c r="BL88" s="726">
        <v>9.454410404212639E-3</v>
      </c>
      <c r="BM88" s="726">
        <v>1.1644636136251454E-2</v>
      </c>
      <c r="BN88" s="726">
        <v>1.4260938878377474E-2</v>
      </c>
      <c r="BO88" s="727">
        <v>1.7318203049950114E-2</v>
      </c>
      <c r="BP88" s="726">
        <v>2.0903105734824665E-2</v>
      </c>
      <c r="BQ88" s="726">
        <v>2.4913070519567371E-2</v>
      </c>
      <c r="BR88" s="726">
        <v>2.9482760319750095E-2</v>
      </c>
      <c r="BS88" s="726">
        <v>3.4364538925840377E-2</v>
      </c>
      <c r="BT88" s="726">
        <v>3.9514126441114704E-2</v>
      </c>
      <c r="BW88" s="1208">
        <f>'2018'!R\Max</f>
        <v>0</v>
      </c>
      <c r="BX88" s="1206">
        <f>'2019'!R\Max</f>
        <v>0.2743743329412564</v>
      </c>
      <c r="BY88" s="1206">
        <f>'2020'!R\Max</f>
        <v>0.68909762072884595</v>
      </c>
      <c r="BZ88" s="1206">
        <f>'2021'!R\Max</f>
        <v>0.36004618339660083</v>
      </c>
      <c r="CA88" s="1206">
        <f>'2022'!R\Max</f>
        <v>0.29669394829696705</v>
      </c>
      <c r="CB88" s="1206">
        <f>'2023'!R\Max</f>
        <v>0.29667618676836149</v>
      </c>
      <c r="CC88" s="1206">
        <f>'2024'!R\Max</f>
        <v>0.29665664780422174</v>
      </c>
      <c r="CD88" s="1206">
        <f>'2025'!R\Max</f>
        <v>0.29663710884008193</v>
      </c>
      <c r="CE88" s="1206">
        <f>'2026'!R\Max</f>
        <v>0.29674574682517713</v>
      </c>
      <c r="CF88" s="1207">
        <f>'2027'!R\Max</f>
        <v>0.29672975688300518</v>
      </c>
    </row>
    <row r="89" spans="1:84" s="6" customFormat="1" ht="11.25" x14ac:dyDescent="0.2">
      <c r="A89" s="11">
        <v>43175</v>
      </c>
      <c r="B89" s="379">
        <f>'2022'!Maxi_hp</f>
        <v>51.528895224299958</v>
      </c>
      <c r="C89" s="13">
        <f>'2022'!An_max</f>
        <v>2020</v>
      </c>
      <c r="D89" s="1053">
        <f t="shared" si="59"/>
        <v>1.0291737731535828</v>
      </c>
      <c r="E89" s="13"/>
      <c r="F89" s="13">
        <f t="shared" si="76"/>
        <v>7</v>
      </c>
      <c r="G89" s="13">
        <f t="shared" si="60"/>
        <v>6</v>
      </c>
      <c r="H89" s="172">
        <f t="shared" si="61"/>
        <v>43178</v>
      </c>
      <c r="I89" s="753">
        <f t="shared" si="62"/>
        <v>0.21428571428571427</v>
      </c>
      <c r="J89" s="746">
        <f t="shared" si="63"/>
        <v>50.06821643579751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46">
        <v>43175</v>
      </c>
      <c r="AP89" s="13">
        <f t="shared" si="64"/>
        <v>5</v>
      </c>
      <c r="AQ89" s="13">
        <f t="shared" si="65"/>
        <v>4</v>
      </c>
      <c r="AR89" s="172">
        <f t="shared" si="66"/>
        <v>43192</v>
      </c>
      <c r="AS89" s="753">
        <f t="shared" si="67"/>
        <v>0.6071428571428571</v>
      </c>
      <c r="AT89" s="769">
        <f t="shared" si="68"/>
        <v>50.180270491972827</v>
      </c>
      <c r="AU89" s="13">
        <f t="shared" si="69"/>
        <v>3</v>
      </c>
      <c r="AV89" s="13">
        <f t="shared" si="70"/>
        <v>4</v>
      </c>
      <c r="AW89" s="172">
        <f t="shared" si="71"/>
        <v>43150</v>
      </c>
      <c r="AX89" s="753">
        <f t="shared" si="72"/>
        <v>0.8928571428571429</v>
      </c>
      <c r="AY89" s="769">
        <f t="shared" si="73"/>
        <v>50.118082443465084</v>
      </c>
      <c r="AZ89" s="746">
        <f t="shared" si="77"/>
        <v>50.149176467718959</v>
      </c>
      <c r="BA89" s="641">
        <f t="shared" si="74"/>
        <v>1.0291737731535828</v>
      </c>
      <c r="BC89" s="11">
        <v>43175</v>
      </c>
      <c r="BD89" s="289">
        <f>[2]!FeuilCaduc*(1-Persistant)+Persistant</f>
        <v>0.60522797498038727</v>
      </c>
      <c r="BE89" s="290">
        <f>[2]!CroissVégét</f>
        <v>2.7009836317349309E-2</v>
      </c>
      <c r="BF89" s="819">
        <f>1+[2]!Salcycl*Ksac</f>
        <v>1.0006534968725485</v>
      </c>
      <c r="BH89" s="1044">
        <f t="shared" si="75"/>
        <v>1.5883807248563753E-2</v>
      </c>
      <c r="BI89" s="11">
        <v>44271</v>
      </c>
      <c r="BJ89" s="726">
        <v>6.0482621319652707E-3</v>
      </c>
      <c r="BK89" s="726">
        <v>7.5931840699618863E-3</v>
      </c>
      <c r="BL89" s="726">
        <v>9.4007004723332191E-3</v>
      </c>
      <c r="BM89" s="726">
        <v>1.1604177302168665E-2</v>
      </c>
      <c r="BN89" s="726">
        <v>1.4240479911132845E-2</v>
      </c>
      <c r="BO89" s="727">
        <v>1.7313407863241273E-2</v>
      </c>
      <c r="BP89" s="726">
        <v>2.0924794439044034E-2</v>
      </c>
      <c r="BQ89" s="726">
        <v>2.4953476165025062E-2</v>
      </c>
      <c r="BR89" s="726">
        <v>2.9520487432601945E-2</v>
      </c>
      <c r="BS89" s="726">
        <v>3.4370845824175648E-2</v>
      </c>
      <c r="BT89" s="726">
        <v>3.947959548474933E-2</v>
      </c>
      <c r="BW89" s="1208">
        <f>'2018'!R\Max</f>
        <v>0</v>
      </c>
      <c r="BX89" s="1206">
        <f>'2019'!R\Max</f>
        <v>0.97970214021811985</v>
      </c>
      <c r="BY89" s="1206">
        <f>'2020'!R\Max</f>
        <v>1.0291737731535828</v>
      </c>
      <c r="BZ89" s="1206">
        <f>'2021'!R\Max</f>
        <v>0.70883343721990977</v>
      </c>
      <c r="CA89" s="1206">
        <f>'2022'!R\Max</f>
        <v>0.24713318725877742</v>
      </c>
      <c r="CB89" s="1206">
        <f>'2023'!R\Max</f>
        <v>0.24711837890704763</v>
      </c>
      <c r="CC89" s="1206">
        <f>'2024'!R\Max</f>
        <v>0.24710212784435412</v>
      </c>
      <c r="CD89" s="1206">
        <f>'2025'!R\Max</f>
        <v>0.24708587678166066</v>
      </c>
      <c r="CE89" s="1206">
        <f>'2026'!R\Max</f>
        <v>0.24717637244171592</v>
      </c>
      <c r="CF89" s="1207">
        <f>'2027'!R\Max</f>
        <v>0.24716305082103082</v>
      </c>
    </row>
    <row r="90" spans="1:84" s="6" customFormat="1" ht="11.25" x14ac:dyDescent="0.2">
      <c r="A90" s="11">
        <v>43176</v>
      </c>
      <c r="B90" s="379">
        <f>'2022'!Maxi_hp</f>
        <v>25.74376126702278</v>
      </c>
      <c r="C90" s="13">
        <f>'2022'!An_max</f>
        <v>2021</v>
      </c>
      <c r="D90" s="1053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2">
        <f t="shared" si="61"/>
        <v>43178</v>
      </c>
      <c r="I90" s="753">
        <f t="shared" si="62"/>
        <v>0.14285714285714285</v>
      </c>
      <c r="J90" s="746">
        <f t="shared" si="63"/>
        <v>50.393650145828722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46">
        <v>43176</v>
      </c>
      <c r="AP90" s="13">
        <f t="shared" si="64"/>
        <v>5</v>
      </c>
      <c r="AQ90" s="13">
        <f t="shared" si="65"/>
        <v>4</v>
      </c>
      <c r="AR90" s="172">
        <f t="shared" si="66"/>
        <v>43192</v>
      </c>
      <c r="AS90" s="753">
        <f t="shared" si="67"/>
        <v>0.5714285714285714</v>
      </c>
      <c r="AT90" s="769">
        <f t="shared" si="68"/>
        <v>50.520197667181492</v>
      </c>
      <c r="AU90" s="13">
        <f t="shared" si="69"/>
        <v>3</v>
      </c>
      <c r="AV90" s="13">
        <f t="shared" si="70"/>
        <v>4</v>
      </c>
      <c r="AW90" s="172">
        <f t="shared" si="71"/>
        <v>43150</v>
      </c>
      <c r="AX90" s="753">
        <f t="shared" si="72"/>
        <v>0.9285714285714286</v>
      </c>
      <c r="AY90" s="769">
        <f t="shared" si="73"/>
        <v>50.428790196736472</v>
      </c>
      <c r="AZ90" s="746">
        <f t="shared" si="77"/>
        <v>50.474493931958982</v>
      </c>
      <c r="BA90" s="641">
        <f t="shared" si="74"/>
        <v>0.51085327600849906</v>
      </c>
      <c r="BC90" s="11">
        <v>43176</v>
      </c>
      <c r="BD90" s="289">
        <f>[2]!FeuilCaduc*(1-Persistant)+Persistant</f>
        <v>0.60551886559649126</v>
      </c>
      <c r="BE90" s="290">
        <f>[2]!CroissVégét</f>
        <v>2.8166207768877807E-2</v>
      </c>
      <c r="BF90" s="819">
        <f>1+[2]!Salcycl*Ksac</f>
        <v>1.0006898581995614</v>
      </c>
      <c r="BH90" s="1044">
        <f t="shared" si="75"/>
        <v>1.5849262099192532E-2</v>
      </c>
      <c r="BI90" s="11">
        <v>44272</v>
      </c>
      <c r="BJ90" s="726">
        <v>5.9810501318699541E-3</v>
      </c>
      <c r="BK90" s="726">
        <v>7.515445541401068E-3</v>
      </c>
      <c r="BL90" s="726">
        <v>9.3255822623254259E-3</v>
      </c>
      <c r="BM90" s="726">
        <v>1.1541288828255789E-2</v>
      </c>
      <c r="BN90" s="726">
        <v>1.419742776321397E-2</v>
      </c>
      <c r="BO90" s="727">
        <v>1.7286263315123243E-2</v>
      </c>
      <c r="BP90" s="726">
        <v>2.092709741015121E-2</v>
      </c>
      <c r="BQ90" s="726">
        <v>2.4980061771485835E-2</v>
      </c>
      <c r="BR90" s="726">
        <v>2.9546929743431441E-2</v>
      </c>
      <c r="BS90" s="726">
        <v>3.4365443825959172E-2</v>
      </c>
      <c r="BT90" s="726">
        <v>3.9429747135016416E-2</v>
      </c>
      <c r="BW90" s="1208">
        <f>'2018'!R\Max</f>
        <v>0</v>
      </c>
      <c r="BX90" s="1206">
        <f>'2019'!R\Max</f>
        <v>0.32520741056302399</v>
      </c>
      <c r="BY90" s="1206">
        <f>'2020'!R\Max</f>
        <v>0.17631018564993767</v>
      </c>
      <c r="BZ90" s="1206">
        <f>'2021'!R\Max</f>
        <v>0.51085327600849906</v>
      </c>
      <c r="CA90" s="1206">
        <f>'2022'!R\Max</f>
        <v>0.21671750818443677</v>
      </c>
      <c r="CB90" s="1206">
        <f>'2023'!R\Max</f>
        <v>0.21670449738731762</v>
      </c>
      <c r="CC90" s="1206">
        <f>'2024'!R\Max</f>
        <v>0.21669024624603592</v>
      </c>
      <c r="CD90" s="1206">
        <f>'2025'!R\Max</f>
        <v>0.21667599510475424</v>
      </c>
      <c r="CE90" s="1206">
        <f>'2026'!R\Max</f>
        <v>0.21675544266641134</v>
      </c>
      <c r="CF90" s="1207">
        <f>'2027'!R\Max</f>
        <v>0.21674375197569093</v>
      </c>
    </row>
    <row r="91" spans="1:84" s="6" customFormat="1" ht="11.25" x14ac:dyDescent="0.2">
      <c r="A91" s="11">
        <v>43177</v>
      </c>
      <c r="B91" s="379">
        <f>'2022'!Maxi_hp</f>
        <v>31.959695723000372</v>
      </c>
      <c r="C91" s="13">
        <f>'2022'!An_max</f>
        <v>2019</v>
      </c>
      <c r="D91" s="1053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2">
        <f t="shared" si="61"/>
        <v>43178</v>
      </c>
      <c r="I91" s="753">
        <f t="shared" si="62"/>
        <v>7.1428571428571425E-2</v>
      </c>
      <c r="J91" s="746">
        <f t="shared" si="63"/>
        <v>50.71648356442207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46">
        <v>43177</v>
      </c>
      <c r="AP91" s="13">
        <f t="shared" si="64"/>
        <v>5</v>
      </c>
      <c r="AQ91" s="13">
        <f t="shared" si="65"/>
        <v>4</v>
      </c>
      <c r="AR91" s="172">
        <f t="shared" si="66"/>
        <v>43192</v>
      </c>
      <c r="AS91" s="753">
        <f t="shared" si="67"/>
        <v>0.5357142857142857</v>
      </c>
      <c r="AT91" s="769">
        <f t="shared" si="68"/>
        <v>50.857362032408957</v>
      </c>
      <c r="AU91" s="13">
        <f t="shared" si="69"/>
        <v>3</v>
      </c>
      <c r="AV91" s="13">
        <f t="shared" si="70"/>
        <v>4</v>
      </c>
      <c r="AW91" s="172">
        <f t="shared" si="71"/>
        <v>43150</v>
      </c>
      <c r="AX91" s="753">
        <f t="shared" si="72"/>
        <v>0.9642857142857143</v>
      </c>
      <c r="AY91" s="769">
        <f t="shared" si="73"/>
        <v>50.73500161203556</v>
      </c>
      <c r="AZ91" s="746">
        <f t="shared" si="77"/>
        <v>50.796181822222259</v>
      </c>
      <c r="BA91" s="641">
        <f t="shared" si="74"/>
        <v>0.63016387329779899</v>
      </c>
      <c r="BC91" s="11">
        <v>43177</v>
      </c>
      <c r="BD91" s="289">
        <f>[2]!FeuilCaduc*(1-Persistant)+Persistant</f>
        <v>0.60584122183331646</v>
      </c>
      <c r="BE91" s="290">
        <f>[2]!CroissVégét</f>
        <v>2.9368171926128662E-2</v>
      </c>
      <c r="BF91" s="819">
        <f>1+[2]!Salcycl*Ksac</f>
        <v>1.0007301527291645</v>
      </c>
      <c r="BH91" s="1044">
        <f t="shared" si="75"/>
        <v>1.5792250671309294E-2</v>
      </c>
      <c r="BI91" s="11">
        <v>44273</v>
      </c>
      <c r="BJ91" s="726">
        <v>5.8954781827518935E-3</v>
      </c>
      <c r="BK91" s="726">
        <v>7.4175225327826151E-3</v>
      </c>
      <c r="BL91" s="726">
        <v>9.2290552301340159E-3</v>
      </c>
      <c r="BM91" s="726">
        <v>1.145596924966686E-2</v>
      </c>
      <c r="BN91" s="726">
        <v>1.4131779699666626E-2</v>
      </c>
      <c r="BO91" s="727">
        <v>1.7236765265355804E-2</v>
      </c>
      <c r="BP91" s="726">
        <v>2.0910008467534977E-2</v>
      </c>
      <c r="BQ91" s="726">
        <v>2.4992818826318965E-2</v>
      </c>
      <c r="BR91" s="726">
        <v>2.9562076837282149E-2</v>
      </c>
      <c r="BS91" s="726">
        <v>3.4348321244519663E-2</v>
      </c>
      <c r="BT91" s="726">
        <v>3.9364568797342576E-2</v>
      </c>
      <c r="BW91" s="1208">
        <f>'2018'!R\Max</f>
        <v>0</v>
      </c>
      <c r="BX91" s="1206">
        <f>'2019'!R\Max</f>
        <v>0.63016387329779899</v>
      </c>
      <c r="BY91" s="1206">
        <f>'2020'!R\Max</f>
        <v>0.20728667020729261</v>
      </c>
      <c r="BZ91" s="1206">
        <f>'2021'!R\Max</f>
        <v>0.42235120812659221</v>
      </c>
      <c r="CA91" s="1206">
        <f>'2022'!R\Max</f>
        <v>0.27567590295987354</v>
      </c>
      <c r="CB91" s="1206">
        <f>'2023'!R\Max</f>
        <v>0.27565930447902215</v>
      </c>
      <c r="CC91" s="1206">
        <f>'2024'!R\Max</f>
        <v>0.27564114936836265</v>
      </c>
      <c r="CD91" s="1206">
        <f>'2025'!R\Max</f>
        <v>0.27562299425770309</v>
      </c>
      <c r="CE91" s="1206">
        <f>'2026'!R\Max</f>
        <v>0.27572427715857506</v>
      </c>
      <c r="CF91" s="1207">
        <f>'2027'!R\Max</f>
        <v>0.2757093870267332</v>
      </c>
    </row>
    <row r="92" spans="1:84" s="6" customFormat="1" ht="11.25" x14ac:dyDescent="0.2">
      <c r="A92" s="11">
        <v>43178</v>
      </c>
      <c r="B92" s="379">
        <f>'2022'!Maxi_hp</f>
        <v>46.728461228850939</v>
      </c>
      <c r="C92" s="13">
        <f>'2022'!An_max</f>
        <v>2020</v>
      </c>
      <c r="D92" s="1053" t="str">
        <f t="shared" si="59"/>
        <v/>
      </c>
      <c r="E92" s="1048">
        <f>S$13/10</f>
        <v>51.036500000000004</v>
      </c>
      <c r="F92" s="13">
        <f t="shared" si="76"/>
        <v>7</v>
      </c>
      <c r="G92" s="13">
        <f t="shared" si="60"/>
        <v>8</v>
      </c>
      <c r="H92" s="172">
        <f t="shared" si="61"/>
        <v>43178</v>
      </c>
      <c r="I92" s="753">
        <f t="shared" si="62"/>
        <v>0</v>
      </c>
      <c r="J92" s="746">
        <f t="shared" si="63"/>
        <v>51.036500000208619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46">
        <v>43178</v>
      </c>
      <c r="AP92" s="13">
        <f t="shared" si="64"/>
        <v>5</v>
      </c>
      <c r="AQ92" s="13">
        <f t="shared" si="65"/>
        <v>4</v>
      </c>
      <c r="AR92" s="172">
        <f t="shared" si="66"/>
        <v>43192</v>
      </c>
      <c r="AS92" s="753">
        <f t="shared" si="67"/>
        <v>0.5</v>
      </c>
      <c r="AT92" s="769">
        <f t="shared" si="68"/>
        <v>51.191343749780209</v>
      </c>
      <c r="AU92" s="13">
        <f t="shared" si="69"/>
        <v>5</v>
      </c>
      <c r="AV92" s="13">
        <f t="shared" si="70"/>
        <v>4</v>
      </c>
      <c r="AW92" s="172">
        <f t="shared" si="71"/>
        <v>43206</v>
      </c>
      <c r="AX92" s="753">
        <f t="shared" si="72"/>
        <v>1</v>
      </c>
      <c r="AY92" s="769">
        <f t="shared" si="73"/>
        <v>51.036499999091028</v>
      </c>
      <c r="AZ92" s="746">
        <f t="shared" si="77"/>
        <v>51.113921874435619</v>
      </c>
      <c r="BA92" s="641">
        <f t="shared" si="74"/>
        <v>0.91558906329117262</v>
      </c>
      <c r="BC92" s="11">
        <v>43178</v>
      </c>
      <c r="BD92" s="289">
        <f>[2]!FeuilCaduc*(1-Persistant)+Persistant</f>
        <v>0.60619794333700627</v>
      </c>
      <c r="BE92" s="290">
        <f>[2]!CroissVégét</f>
        <v>3.0617403154541836E-2</v>
      </c>
      <c r="BF92" s="819">
        <f>1+[2]!Salcycl*Ksac</f>
        <v>1.0007747429171259</v>
      </c>
      <c r="BH92" s="1044">
        <f t="shared" si="75"/>
        <v>1.5712770252912841E-2</v>
      </c>
      <c r="BI92" s="11">
        <v>44274</v>
      </c>
      <c r="BJ92" s="726">
        <v>5.7915473000063151E-3</v>
      </c>
      <c r="BK92" s="726">
        <v>7.2994158752766524E-3</v>
      </c>
      <c r="BL92" s="726">
        <v>9.1111196334647294E-3</v>
      </c>
      <c r="BM92" s="726">
        <v>1.1348217917791054E-2</v>
      </c>
      <c r="BN92" s="726">
        <v>1.4043533777148891E-2</v>
      </c>
      <c r="BO92" s="727">
        <v>1.7164910333248243E-2</v>
      </c>
      <c r="BP92" s="726">
        <v>2.0873522049946341E-2</v>
      </c>
      <c r="BQ92" s="726">
        <v>2.4991739219488083E-2</v>
      </c>
      <c r="BR92" s="726">
        <v>2.9565918619109358E-2</v>
      </c>
      <c r="BS92" s="726">
        <v>3.4319466773028801E-2</v>
      </c>
      <c r="BT92" s="726">
        <v>3.9284048438530339E-2</v>
      </c>
      <c r="BW92" s="1208">
        <f>'2018'!R\Max</f>
        <v>0</v>
      </c>
      <c r="BX92" s="1206">
        <f>'2019'!R\Max</f>
        <v>0.31748386147563001</v>
      </c>
      <c r="BY92" s="1206">
        <f>'2020'!R\Max</f>
        <v>0.91558906329117262</v>
      </c>
      <c r="BZ92" s="1206">
        <f>'2021'!R\Max</f>
        <v>0.24186433644645111</v>
      </c>
      <c r="CA92" s="1206">
        <f>'2022'!R\Max</f>
        <v>0.6156024839859443</v>
      </c>
      <c r="CB92" s="1206">
        <f>'2023'!R\Max</f>
        <v>0.61558205241333297</v>
      </c>
      <c r="CC92" s="1206">
        <f>'2024'!R\Max</f>
        <v>0.61555972430664774</v>
      </c>
      <c r="CD92" s="1206">
        <f>'2025'!R\Max</f>
        <v>0.61553739486985315</v>
      </c>
      <c r="CE92" s="1206">
        <f>'2026'!R\Max</f>
        <v>0.61566198592767751</v>
      </c>
      <c r="CF92" s="1207">
        <f>'2027'!R\Max</f>
        <v>0.61564369775735328</v>
      </c>
    </row>
    <row r="93" spans="1:84" s="6" customFormat="1" ht="11.25" x14ac:dyDescent="0.2">
      <c r="A93" s="11">
        <v>43179</v>
      </c>
      <c r="B93" s="379">
        <f>'2022'!Maxi_hp</f>
        <v>52.177110378201441</v>
      </c>
      <c r="C93" s="13">
        <f>'2022'!An_max</f>
        <v>2019</v>
      </c>
      <c r="D93" s="1053">
        <f t="shared" si="59"/>
        <v>1.0159858820426382</v>
      </c>
      <c r="E93" s="13"/>
      <c r="F93" s="13">
        <f t="shared" si="76"/>
        <v>7</v>
      </c>
      <c r="G93" s="13">
        <f t="shared" si="60"/>
        <v>8</v>
      </c>
      <c r="H93" s="172">
        <f t="shared" si="61"/>
        <v>43178</v>
      </c>
      <c r="I93" s="753">
        <f t="shared" si="62"/>
        <v>7.1428571428571425E-2</v>
      </c>
      <c r="J93" s="746">
        <f t="shared" si="63"/>
        <v>51.356137226335704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46">
        <v>43179</v>
      </c>
      <c r="AP93" s="13">
        <f t="shared" si="64"/>
        <v>5</v>
      </c>
      <c r="AQ93" s="13">
        <f t="shared" si="65"/>
        <v>4</v>
      </c>
      <c r="AR93" s="172">
        <f t="shared" si="66"/>
        <v>43192</v>
      </c>
      <c r="AS93" s="753">
        <f t="shared" si="67"/>
        <v>0.4642857142857143</v>
      </c>
      <c r="AT93" s="769">
        <f t="shared" si="68"/>
        <v>51.521722980009926</v>
      </c>
      <c r="AU93" s="13">
        <f t="shared" si="69"/>
        <v>5</v>
      </c>
      <c r="AV93" s="13">
        <f t="shared" si="70"/>
        <v>4</v>
      </c>
      <c r="AW93" s="172">
        <f t="shared" si="71"/>
        <v>43206</v>
      </c>
      <c r="AX93" s="753">
        <f t="shared" si="72"/>
        <v>0.9642857142857143</v>
      </c>
      <c r="AY93" s="769">
        <f t="shared" si="73"/>
        <v>51.335822449052444</v>
      </c>
      <c r="AZ93" s="746">
        <f t="shared" si="77"/>
        <v>51.428772714531185</v>
      </c>
      <c r="BA93" s="641">
        <f t="shared" si="74"/>
        <v>1.0159858820426382</v>
      </c>
      <c r="BC93" s="11">
        <v>43179</v>
      </c>
      <c r="BD93" s="289">
        <f>[2]!FeuilCaduc*(1-Persistant)+Persistant</f>
        <v>0.60659198406361292</v>
      </c>
      <c r="BE93" s="290">
        <f>[2]!CroissVégét</f>
        <v>3.1915627119784788E-2</v>
      </c>
      <c r="BF93" s="819">
        <f>1+[2]!Salcycl*Ksac</f>
        <v>1.0008239980079516</v>
      </c>
      <c r="BH93" s="1044">
        <f t="shared" si="75"/>
        <v>1.5610819507558642E-2</v>
      </c>
      <c r="BI93" s="11">
        <v>44275</v>
      </c>
      <c r="BJ93" s="726">
        <v>5.6692594472140811E-3</v>
      </c>
      <c r="BK93" s="726">
        <v>7.161127478776206E-3</v>
      </c>
      <c r="BL93" s="726">
        <v>8.9717769086868696E-3</v>
      </c>
      <c r="BM93" s="726">
        <v>1.121803545546605E-2</v>
      </c>
      <c r="BN93" s="726">
        <v>1.3932689389822823E-2</v>
      </c>
      <c r="BO93" s="727">
        <v>1.7070696546770167E-2</v>
      </c>
      <c r="BP93" s="726">
        <v>2.081763397797011E-2</v>
      </c>
      <c r="BQ93" s="726">
        <v>2.497681612343651E-2</v>
      </c>
      <c r="BR93" s="726">
        <v>2.9558446336310256E-2</v>
      </c>
      <c r="BS93" s="726">
        <v>3.4278870665233364E-2</v>
      </c>
      <c r="BT93" s="726">
        <v>3.9188175943741368E-2</v>
      </c>
      <c r="BW93" s="1208">
        <f>'2018'!R\Max</f>
        <v>0</v>
      </c>
      <c r="BX93" s="1206">
        <f>'2019'!R\Max</f>
        <v>1.0159858820426382</v>
      </c>
      <c r="BY93" s="1206">
        <f>'2020'!R\Max</f>
        <v>0.91901785958933868</v>
      </c>
      <c r="BZ93" s="1206">
        <f>'2021'!R\Max</f>
        <v>0.8266818957906289</v>
      </c>
      <c r="CA93" s="1206">
        <f>'2022'!R\Max</f>
        <v>0.67965332748135898</v>
      </c>
      <c r="CB93" s="1206">
        <f>'2023'!R\Max</f>
        <v>0.67963443881040608</v>
      </c>
      <c r="CC93" s="1206">
        <f>'2024'!R\Max</f>
        <v>0.67961380611907929</v>
      </c>
      <c r="CD93" s="1206">
        <f>'2025'!R\Max</f>
        <v>0.67959317194284241</v>
      </c>
      <c r="CE93" s="1206">
        <f>'2026'!R\Max</f>
        <v>0.67970829025887014</v>
      </c>
      <c r="CF93" s="1207">
        <f>'2027'!R\Max</f>
        <v>0.67969142529990445</v>
      </c>
    </row>
    <row r="94" spans="1:84" s="6" customFormat="1" ht="11.25" x14ac:dyDescent="0.2">
      <c r="A94" s="11">
        <v>43180</v>
      </c>
      <c r="B94" s="379">
        <f>'2022'!Maxi_hp</f>
        <v>51.739394586450686</v>
      </c>
      <c r="C94" s="13">
        <f>'2022'!An_max</f>
        <v>2020</v>
      </c>
      <c r="D94" s="1053">
        <f t="shared" si="59"/>
        <v>1.0012010524684187</v>
      </c>
      <c r="E94" s="13"/>
      <c r="F94" s="13">
        <f t="shared" si="76"/>
        <v>7</v>
      </c>
      <c r="G94" s="13">
        <f t="shared" si="60"/>
        <v>8</v>
      </c>
      <c r="H94" s="172">
        <f t="shared" si="61"/>
        <v>43178</v>
      </c>
      <c r="I94" s="753">
        <f t="shared" si="62"/>
        <v>0.14285714285714285</v>
      </c>
      <c r="J94" s="746">
        <f t="shared" si="63"/>
        <v>51.677327404809851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46">
        <v>43180</v>
      </c>
      <c r="AP94" s="13">
        <f t="shared" si="64"/>
        <v>5</v>
      </c>
      <c r="AQ94" s="13">
        <f t="shared" si="65"/>
        <v>4</v>
      </c>
      <c r="AR94" s="172">
        <f t="shared" si="66"/>
        <v>43192</v>
      </c>
      <c r="AS94" s="753">
        <f t="shared" si="67"/>
        <v>0.42857142857142855</v>
      </c>
      <c r="AT94" s="769">
        <f t="shared" si="68"/>
        <v>51.84807988264199</v>
      </c>
      <c r="AU94" s="13">
        <f t="shared" si="69"/>
        <v>5</v>
      </c>
      <c r="AV94" s="13">
        <f t="shared" si="70"/>
        <v>4</v>
      </c>
      <c r="AW94" s="172">
        <f t="shared" si="71"/>
        <v>43206</v>
      </c>
      <c r="AX94" s="753">
        <f t="shared" si="72"/>
        <v>0.9285714285714286</v>
      </c>
      <c r="AY94" s="769">
        <f t="shared" si="73"/>
        <v>51.635397703679544</v>
      </c>
      <c r="AZ94" s="746">
        <f t="shared" si="77"/>
        <v>51.741738793160764</v>
      </c>
      <c r="BA94" s="641">
        <f t="shared" si="74"/>
        <v>1.0012010524684187</v>
      </c>
      <c r="BC94" s="11">
        <v>43180</v>
      </c>
      <c r="BD94" s="289">
        <f>[2]!FeuilCaduc*(1-Persistant)+Persistant</f>
        <v>0.60702634246059539</v>
      </c>
      <c r="BE94" s="290">
        <f>[2]!CroissVégét</f>
        <v>3.3264621499185201E-2</v>
      </c>
      <c r="BF94" s="819">
        <f>1+[2]!Salcycl*Ksac</f>
        <v>1.0008782928075743</v>
      </c>
      <c r="BH94" s="1044">
        <f t="shared" si="75"/>
        <v>1.5462878721149396E-2</v>
      </c>
      <c r="BI94" s="11">
        <v>44276</v>
      </c>
      <c r="BJ94" s="726">
        <v>5.5214318993193215E-3</v>
      </c>
      <c r="BK94" s="726">
        <v>6.99212951177265E-3</v>
      </c>
      <c r="BL94" s="726">
        <v>8.7962995685667809E-3</v>
      </c>
      <c r="BM94" s="726">
        <v>1.1047365097438751E-2</v>
      </c>
      <c r="BN94" s="726">
        <v>1.3777425988480906E-2</v>
      </c>
      <c r="BO94" s="727">
        <v>1.6929126015738746E-2</v>
      </c>
      <c r="BP94" s="726">
        <v>2.0711462368613973E-2</v>
      </c>
      <c r="BQ94" s="726">
        <v>2.4914991452863626E-2</v>
      </c>
      <c r="BR94" s="726">
        <v>2.9508534208741485E-2</v>
      </c>
      <c r="BS94" s="726">
        <v>3.4201101190536903E-2</v>
      </c>
      <c r="BT94" s="726">
        <v>3.905579683031199E-2</v>
      </c>
      <c r="BW94" s="1208">
        <f>'2018'!R\Max</f>
        <v>0</v>
      </c>
      <c r="BX94" s="1206">
        <f>'2019'!R\Max</f>
        <v>0.99416831943419226</v>
      </c>
      <c r="BY94" s="1206">
        <f>'2020'!R\Max</f>
        <v>1.0012010524684187</v>
      </c>
      <c r="BZ94" s="1206">
        <f>'2021'!R\Max</f>
        <v>0.86928709897856349</v>
      </c>
      <c r="CA94" s="1206">
        <f>'2022'!R\Max</f>
        <v>0.9720896977108674</v>
      </c>
      <c r="CB94" s="1206">
        <f>'2023'!R\Max</f>
        <v>0.97208733390752478</v>
      </c>
      <c r="CC94" s="1206">
        <f>'2024'!R\Max</f>
        <v>0.97208474948832202</v>
      </c>
      <c r="CD94" s="1206">
        <f>'2025'!R\Max</f>
        <v>0.97208216473817211</v>
      </c>
      <c r="CE94" s="1206">
        <f>'2026'!R\Max</f>
        <v>0.97209656787689458</v>
      </c>
      <c r="CF94" s="1207">
        <f>'2027'!R\Max</f>
        <v>0.97209446342432793</v>
      </c>
    </row>
    <row r="95" spans="1:84" s="6" customFormat="1" ht="11.25" x14ac:dyDescent="0.2">
      <c r="A95" s="11">
        <v>43181</v>
      </c>
      <c r="B95" s="379">
        <f>'2022'!Maxi_hp</f>
        <v>50.590016829396532</v>
      </c>
      <c r="C95" s="13">
        <f>'2022'!An_max</f>
        <v>2019</v>
      </c>
      <c r="D95" s="1053">
        <f t="shared" si="59"/>
        <v>0.9729018632964801</v>
      </c>
      <c r="E95" s="13"/>
      <c r="F95" s="13">
        <f t="shared" si="76"/>
        <v>7</v>
      </c>
      <c r="G95" s="13">
        <f t="shared" si="60"/>
        <v>8</v>
      </c>
      <c r="H95" s="172">
        <f t="shared" si="61"/>
        <v>43178</v>
      </c>
      <c r="I95" s="753">
        <f t="shared" si="62"/>
        <v>0.21428571428571427</v>
      </c>
      <c r="J95" s="746">
        <f t="shared" si="63"/>
        <v>51.999095425701569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46">
        <v>43181</v>
      </c>
      <c r="AP95" s="13">
        <f t="shared" si="64"/>
        <v>5</v>
      </c>
      <c r="AQ95" s="13">
        <f t="shared" si="65"/>
        <v>4</v>
      </c>
      <c r="AR95" s="172">
        <f t="shared" si="66"/>
        <v>43192</v>
      </c>
      <c r="AS95" s="753">
        <f t="shared" si="67"/>
        <v>0.39285714285714285</v>
      </c>
      <c r="AT95" s="769">
        <f t="shared" si="68"/>
        <v>52.169994622222816</v>
      </c>
      <c r="AU95" s="13">
        <f t="shared" si="69"/>
        <v>5</v>
      </c>
      <c r="AV95" s="13">
        <f t="shared" si="70"/>
        <v>4</v>
      </c>
      <c r="AW95" s="172">
        <f t="shared" si="71"/>
        <v>43206</v>
      </c>
      <c r="AX95" s="753">
        <f t="shared" si="72"/>
        <v>0.8928571428571429</v>
      </c>
      <c r="AY95" s="769">
        <f t="shared" si="73"/>
        <v>51.93484655606693</v>
      </c>
      <c r="AZ95" s="746">
        <f t="shared" si="77"/>
        <v>52.052420589144873</v>
      </c>
      <c r="BA95" s="641">
        <f t="shared" si="74"/>
        <v>0.9729018632964801</v>
      </c>
      <c r="BC95" s="11">
        <v>43181</v>
      </c>
      <c r="BD95" s="289">
        <f>[2]!FeuilCaduc*(1-Persistant)+Persistant</f>
        <v>0.60750405170952115</v>
      </c>
      <c r="BE95" s="290">
        <f>[2]!CroissVégét</f>
        <v>3.4666216621534622E-2</v>
      </c>
      <c r="BF95" s="819">
        <f>1+[2]!Salcycl*Ksac</f>
        <v>1.0009380064636901</v>
      </c>
      <c r="BH95" s="1044">
        <f t="shared" si="75"/>
        <v>1.5267988628468209E-2</v>
      </c>
      <c r="BI95" s="11">
        <v>44277</v>
      </c>
      <c r="BJ95" s="726">
        <v>5.3521854652729649E-3</v>
      </c>
      <c r="BK95" s="726">
        <v>6.7964965432377612E-3</v>
      </c>
      <c r="BL95" s="726">
        <v>8.5881419171458025E-3</v>
      </c>
      <c r="BM95" s="726">
        <v>1.0838474780492623E-2</v>
      </c>
      <c r="BN95" s="726">
        <v>1.3578026536035672E-2</v>
      </c>
      <c r="BO95" s="727">
        <v>1.6738158807648864E-2</v>
      </c>
      <c r="BP95" s="726">
        <v>2.0549730043226556E-2</v>
      </c>
      <c r="BQ95" s="726">
        <v>2.4798025244104974E-2</v>
      </c>
      <c r="BR95" s="726">
        <v>2.9408794564756265E-2</v>
      </c>
      <c r="BS95" s="726">
        <v>3.4082190889674874E-2</v>
      </c>
      <c r="BT95" s="726">
        <v>3.8887978753301598E-2</v>
      </c>
      <c r="BW95" s="1208">
        <f>'2018'!R\Max</f>
        <v>0</v>
      </c>
      <c r="BX95" s="1206">
        <f>'2019'!R\Max</f>
        <v>0.9729018632964801</v>
      </c>
      <c r="BY95" s="1206">
        <f>'2020'!R\Max</f>
        <v>0.97166354460595805</v>
      </c>
      <c r="BZ95" s="1206">
        <f>'2021'!R\Max</f>
        <v>0.74276815984287647</v>
      </c>
      <c r="CA95" s="1206">
        <f>'2022'!R\Max</f>
        <v>0.90655032016618287</v>
      </c>
      <c r="CB95" s="1206">
        <f>'2023'!R\Max</f>
        <v>0.90654291778580998</v>
      </c>
      <c r="CC95" s="1206">
        <f>'2024'!R\Max</f>
        <v>0.90653480628931693</v>
      </c>
      <c r="CD95" s="1206">
        <f>'2025'!R\Max</f>
        <v>0.90652669385054419</v>
      </c>
      <c r="CE95" s="1206">
        <f>'2026'!R\Max</f>
        <v>0.90657180587301744</v>
      </c>
      <c r="CF95" s="1207">
        <f>'2027'!R\Max</f>
        <v>0.90656523510640774</v>
      </c>
    </row>
    <row r="96" spans="1:84" s="6" customFormat="1" ht="11.25" x14ac:dyDescent="0.2">
      <c r="A96" s="11">
        <v>43182</v>
      </c>
      <c r="B96" s="379">
        <f>'2022'!Maxi_hp</f>
        <v>52.429868509754343</v>
      </c>
      <c r="C96" s="13">
        <f>'2022'!An_max</f>
        <v>2022</v>
      </c>
      <c r="D96" s="1053">
        <f t="shared" si="59"/>
        <v>1.0020910044790494</v>
      </c>
      <c r="E96" s="13"/>
      <c r="F96" s="13">
        <f t="shared" si="76"/>
        <v>7</v>
      </c>
      <c r="G96" s="13">
        <f t="shared" si="60"/>
        <v>8</v>
      </c>
      <c r="H96" s="172">
        <f t="shared" si="61"/>
        <v>43178</v>
      </c>
      <c r="I96" s="753">
        <f t="shared" si="62"/>
        <v>0.2857142857142857</v>
      </c>
      <c r="J96" s="746">
        <f t="shared" si="63"/>
        <v>52.320466180624706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46">
        <v>43182</v>
      </c>
      <c r="AP96" s="13">
        <f t="shared" si="64"/>
        <v>5</v>
      </c>
      <c r="AQ96" s="13">
        <f t="shared" si="65"/>
        <v>4</v>
      </c>
      <c r="AR96" s="172">
        <f t="shared" si="66"/>
        <v>43192</v>
      </c>
      <c r="AS96" s="753">
        <f t="shared" si="67"/>
        <v>0.35714285714285715</v>
      </c>
      <c r="AT96" s="769">
        <f t="shared" si="68"/>
        <v>52.48704735772418</v>
      </c>
      <c r="AU96" s="13">
        <f t="shared" si="69"/>
        <v>5</v>
      </c>
      <c r="AV96" s="13">
        <f t="shared" si="70"/>
        <v>4</v>
      </c>
      <c r="AW96" s="172">
        <f t="shared" si="71"/>
        <v>43206</v>
      </c>
      <c r="AX96" s="753">
        <f t="shared" si="72"/>
        <v>0.8571428571428571</v>
      </c>
      <c r="AY96" s="769">
        <f t="shared" si="73"/>
        <v>52.233789795424251</v>
      </c>
      <c r="AZ96" s="746">
        <f t="shared" si="77"/>
        <v>52.360418576574219</v>
      </c>
      <c r="BA96" s="641">
        <f t="shared" si="74"/>
        <v>1.0020910044790494</v>
      </c>
      <c r="BC96" s="11">
        <v>43182</v>
      </c>
      <c r="BD96" s="289">
        <f>[2]!FeuilCaduc*(1-Persistant)+Persistant</f>
        <v>0.60802817009061338</v>
      </c>
      <c r="BE96" s="290">
        <f>[2]!CroissVégét</f>
        <v>3.6122296026123907E-2</v>
      </c>
      <c r="BF96" s="819">
        <f>1+[2]!Salcycl*Ksac</f>
        <v>1.0010035212613266</v>
      </c>
      <c r="BH96" s="1044">
        <f t="shared" si="75"/>
        <v>1.5026151067206214E-2</v>
      </c>
      <c r="BI96" s="11">
        <v>44278</v>
      </c>
      <c r="BJ96" s="726">
        <v>5.161521540221709E-3</v>
      </c>
      <c r="BK96" s="726">
        <v>6.5742302555685346E-3</v>
      </c>
      <c r="BL96" s="726">
        <v>8.3473059230455039E-3</v>
      </c>
      <c r="BM96" s="726">
        <v>1.0591366535226264E-2</v>
      </c>
      <c r="BN96" s="726">
        <v>1.3334493016427126E-2</v>
      </c>
      <c r="BO96" s="727">
        <v>1.6497796632963527E-2</v>
      </c>
      <c r="BP96" s="726">
        <v>2.0332438347375352E-2</v>
      </c>
      <c r="BQ96" s="726">
        <v>2.4625917400192567E-2</v>
      </c>
      <c r="BR96" s="726">
        <v>2.9259225070908515E-2</v>
      </c>
      <c r="BS96" s="726">
        <v>3.392213471428282E-2</v>
      </c>
      <c r="BT96" s="726">
        <v>3.86847143434466E-2</v>
      </c>
      <c r="BW96" s="1208">
        <f>'2018'!R\Max</f>
        <v>0</v>
      </c>
      <c r="BX96" s="1206">
        <f>'2019'!R\Max</f>
        <v>0.91150705819511624</v>
      </c>
      <c r="BY96" s="1206">
        <f>'2020'!R\Max</f>
        <v>0.89058493325743715</v>
      </c>
      <c r="BZ96" s="1206">
        <f>'2021'!R\Max</f>
        <v>0.99894779906427944</v>
      </c>
      <c r="CA96" s="1206">
        <f>'2022'!R\Max</f>
        <v>1.0020910044790494</v>
      </c>
      <c r="CB96" s="1206">
        <f>'2023'!R\Max</f>
        <v>1.0020910044790494</v>
      </c>
      <c r="CC96" s="1206">
        <f>'2024'!R\Max</f>
        <v>1.0020910044790494</v>
      </c>
      <c r="CD96" s="1206">
        <f>'2025'!R\Max</f>
        <v>1.0020910044790494</v>
      </c>
      <c r="CE96" s="1206">
        <f>'2026'!R\Max</f>
        <v>1.0020910044790494</v>
      </c>
      <c r="CF96" s="1207">
        <f>'2027'!R\Max</f>
        <v>1.0020910044790494</v>
      </c>
    </row>
    <row r="97" spans="1:84" s="6" customFormat="1" ht="11.25" x14ac:dyDescent="0.2">
      <c r="A97" s="11">
        <v>43183</v>
      </c>
      <c r="B97" s="379">
        <f>'2022'!Maxi_hp</f>
        <v>51.706853506641295</v>
      </c>
      <c r="C97" s="13">
        <f>'2022'!An_max</f>
        <v>2021</v>
      </c>
      <c r="D97" s="1053">
        <f t="shared" si="59"/>
        <v>0.98226438426047491</v>
      </c>
      <c r="E97" s="13"/>
      <c r="F97" s="13">
        <f t="shared" si="76"/>
        <v>7</v>
      </c>
      <c r="G97" s="13">
        <f t="shared" si="60"/>
        <v>8</v>
      </c>
      <c r="H97" s="172">
        <f t="shared" si="61"/>
        <v>43178</v>
      </c>
      <c r="I97" s="753">
        <f t="shared" si="62"/>
        <v>0.35714285714285715</v>
      </c>
      <c r="J97" s="746">
        <f t="shared" si="63"/>
        <v>52.640464558399152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46">
        <v>43183</v>
      </c>
      <c r="AP97" s="13">
        <f t="shared" si="64"/>
        <v>5</v>
      </c>
      <c r="AQ97" s="13">
        <f t="shared" si="65"/>
        <v>4</v>
      </c>
      <c r="AR97" s="172">
        <f t="shared" si="66"/>
        <v>43192</v>
      </c>
      <c r="AS97" s="753">
        <f t="shared" si="67"/>
        <v>0.32142857142857145</v>
      </c>
      <c r="AT97" s="769">
        <f t="shared" si="68"/>
        <v>52.798818251683521</v>
      </c>
      <c r="AU97" s="13">
        <f t="shared" si="69"/>
        <v>5</v>
      </c>
      <c r="AV97" s="13">
        <f t="shared" si="70"/>
        <v>4</v>
      </c>
      <c r="AW97" s="172">
        <f t="shared" si="71"/>
        <v>43206</v>
      </c>
      <c r="AX97" s="753">
        <f t="shared" si="72"/>
        <v>0.8214285714285714</v>
      </c>
      <c r="AY97" s="769">
        <f t="shared" si="73"/>
        <v>52.531848214074444</v>
      </c>
      <c r="AZ97" s="746">
        <f t="shared" si="77"/>
        <v>52.665333232878979</v>
      </c>
      <c r="BA97" s="641">
        <f t="shared" si="74"/>
        <v>0.98226438426047491</v>
      </c>
      <c r="BC97" s="11">
        <v>43183</v>
      </c>
      <c r="BD97" s="289">
        <f>[2]!FeuilCaduc*(1-Persistant)+Persistant</f>
        <v>0.6086017715236085</v>
      </c>
      <c r="BE97" s="290">
        <f>[2]!CroissVégét</f>
        <v>3.7634796931243539E-2</v>
      </c>
      <c r="BF97" s="819">
        <f>1+[2]!Salcycl*Ksac</f>
        <v>1.001075221440451</v>
      </c>
      <c r="BH97" s="1044">
        <f t="shared" si="75"/>
        <v>1.4737368259539339E-2</v>
      </c>
      <c r="BI97" s="11">
        <v>44279</v>
      </c>
      <c r="BJ97" s="726">
        <v>4.9494417977750159E-3</v>
      </c>
      <c r="BK97" s="726">
        <v>6.3253326584237534E-3</v>
      </c>
      <c r="BL97" s="726">
        <v>8.0737939155571693E-3</v>
      </c>
      <c r="BM97" s="726">
        <v>1.0306042769714727E-2</v>
      </c>
      <c r="BN97" s="726">
        <v>1.3046827795833894E-2</v>
      </c>
      <c r="BO97" s="727">
        <v>1.6208041588584556E-2</v>
      </c>
      <c r="BP97" s="726">
        <v>2.0059588993176457E-2</v>
      </c>
      <c r="BQ97" s="726">
        <v>2.4398668131867914E-2</v>
      </c>
      <c r="BR97" s="726">
        <v>2.9059823663755837E-2</v>
      </c>
      <c r="BS97" s="726">
        <v>3.3720927885194901E-2</v>
      </c>
      <c r="BT97" s="726">
        <v>3.8445996546603113E-2</v>
      </c>
      <c r="BW97" s="1208">
        <f>'2018'!R\Max</f>
        <v>0</v>
      </c>
      <c r="BX97" s="1206">
        <f>'2019'!R\Max</f>
        <v>0.96889648396429739</v>
      </c>
      <c r="BY97" s="1206">
        <f>'2020'!R\Max</f>
        <v>0.78067646060458706</v>
      </c>
      <c r="BZ97" s="1206">
        <f>'2021'!R\Max</f>
        <v>0.98226438426047491</v>
      </c>
      <c r="CA97" s="1206">
        <f>'2022'!R\Max</f>
        <v>0.97785572437941348</v>
      </c>
      <c r="CB97" s="1206">
        <f>'2023'!R\Max</f>
        <v>0.97785382827219935</v>
      </c>
      <c r="CC97" s="1206">
        <f>'2024'!R\Max</f>
        <v>0.97785173262030267</v>
      </c>
      <c r="CD97" s="1206">
        <f>'2025'!R\Max</f>
        <v>0.9778496366934164</v>
      </c>
      <c r="CE97" s="1206">
        <f>'2026'!R\Max</f>
        <v>0.97786120821523848</v>
      </c>
      <c r="CF97" s="1207">
        <f>'2027'!R\Max</f>
        <v>0.97785953656258207</v>
      </c>
    </row>
    <row r="98" spans="1:84" s="6" customFormat="1" ht="11.25" x14ac:dyDescent="0.2">
      <c r="A98" s="11">
        <v>43184</v>
      </c>
      <c r="B98" s="379">
        <f>'2022'!Maxi_hp</f>
        <v>50.650647588143606</v>
      </c>
      <c r="C98" s="13">
        <f>'2022'!An_max</f>
        <v>2020</v>
      </c>
      <c r="D98" s="1053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2">
        <f t="shared" si="61"/>
        <v>43178</v>
      </c>
      <c r="I98" s="753">
        <f t="shared" si="62"/>
        <v>0.42857142857142855</v>
      </c>
      <c r="J98" s="746">
        <f t="shared" si="63"/>
        <v>52.958115451357187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46">
        <v>43184</v>
      </c>
      <c r="AP98" s="13">
        <f t="shared" si="64"/>
        <v>5</v>
      </c>
      <c r="AQ98" s="13">
        <f t="shared" si="65"/>
        <v>4</v>
      </c>
      <c r="AR98" s="172">
        <f t="shared" si="66"/>
        <v>43192</v>
      </c>
      <c r="AS98" s="753">
        <f t="shared" si="67"/>
        <v>0.2857142857142857</v>
      </c>
      <c r="AT98" s="769">
        <f t="shared" si="68"/>
        <v>53.104887462567</v>
      </c>
      <c r="AU98" s="13">
        <f t="shared" si="69"/>
        <v>5</v>
      </c>
      <c r="AV98" s="13">
        <f t="shared" si="70"/>
        <v>4</v>
      </c>
      <c r="AW98" s="172">
        <f t="shared" si="71"/>
        <v>43206</v>
      </c>
      <c r="AX98" s="753">
        <f t="shared" si="72"/>
        <v>0.7857142857142857</v>
      </c>
      <c r="AY98" s="769">
        <f t="shared" si="73"/>
        <v>52.828642602105234</v>
      </c>
      <c r="AZ98" s="746">
        <f t="shared" si="77"/>
        <v>52.966765032336113</v>
      </c>
      <c r="BA98" s="641">
        <f t="shared" si="74"/>
        <v>0.95642843701013069</v>
      </c>
      <c r="BC98" s="11">
        <v>43184</v>
      </c>
      <c r="BD98" s="289">
        <f>[2]!FeuilCaduc*(1-Persistant)+Persistant</f>
        <v>0.60922793633269923</v>
      </c>
      <c r="BE98" s="290">
        <f>[2]!CroissVégét</f>
        <v>3.9205710601738018E-2</v>
      </c>
      <c r="BF98" s="819">
        <f>1+[2]!Salcycl*Ksac</f>
        <v>1.0011534920415874</v>
      </c>
      <c r="BH98" s="1044">
        <f t="shared" si="75"/>
        <v>1.4401642962560334E-2</v>
      </c>
      <c r="BI98" s="11">
        <v>44280</v>
      </c>
      <c r="BJ98" s="726">
        <v>4.7159482586600588E-3</v>
      </c>
      <c r="BK98" s="726">
        <v>6.0498061740937754E-3</v>
      </c>
      <c r="BL98" s="726">
        <v>7.7676086893779667E-3</v>
      </c>
      <c r="BM98" s="726">
        <v>9.9825063919883397E-3</v>
      </c>
      <c r="BN98" s="726">
        <v>1.2715033764096923E-2</v>
      </c>
      <c r="BO98" s="727">
        <v>1.586889631612139E-2</v>
      </c>
      <c r="BP98" s="726">
        <v>1.9731184237295366E-2</v>
      </c>
      <c r="BQ98" s="726">
        <v>2.4116278134222232E-2</v>
      </c>
      <c r="BR98" s="726">
        <v>2.8810588709467781E-2</v>
      </c>
      <c r="BS98" s="726">
        <v>3.3478566024227642E-2</v>
      </c>
      <c r="BT98" s="726">
        <v>3.8171818737276243E-2</v>
      </c>
      <c r="BW98" s="1208">
        <f>'2018'!R\Max</f>
        <v>0</v>
      </c>
      <c r="BX98" s="1206">
        <f>'2019'!R\Max</f>
        <v>0.81613504238221968</v>
      </c>
      <c r="BY98" s="1206">
        <f>'2020'!R\Max</f>
        <v>0.95642843701013069</v>
      </c>
      <c r="BZ98" s="1206">
        <f>'2021'!R\Max</f>
        <v>0.67320889932957118</v>
      </c>
      <c r="CA98" s="1206">
        <f>'2022'!R\Max</f>
        <v>0.83430343950589414</v>
      </c>
      <c r="CB98" s="1206">
        <f>'2023'!R\Max</f>
        <v>0.83429134282650341</v>
      </c>
      <c r="CC98" s="1206">
        <f>'2024'!R\Max</f>
        <v>0.8342778898471378</v>
      </c>
      <c r="CD98" s="1206">
        <f>'2025'!R\Max</f>
        <v>0.83426443546858897</v>
      </c>
      <c r="CE98" s="1206">
        <f>'2026'!R\Max</f>
        <v>0.83433834870511003</v>
      </c>
      <c r="CF98" s="1207">
        <f>'2027'!R\Max</f>
        <v>0.8343277240012279</v>
      </c>
    </row>
    <row r="99" spans="1:84" s="6" customFormat="1" ht="11.25" x14ac:dyDescent="0.2">
      <c r="A99" s="11">
        <v>43185</v>
      </c>
      <c r="B99" s="379">
        <f>'2022'!Maxi_hp</f>
        <v>54.179948097742042</v>
      </c>
      <c r="C99" s="13">
        <f>'2022'!An_max</f>
        <v>2019</v>
      </c>
      <c r="D99" s="1053">
        <f t="shared" si="59"/>
        <v>1.0170351552190624</v>
      </c>
      <c r="E99" s="13"/>
      <c r="F99" s="13">
        <f t="shared" si="76"/>
        <v>7</v>
      </c>
      <c r="G99" s="13">
        <f t="shared" si="60"/>
        <v>8</v>
      </c>
      <c r="H99" s="172">
        <f t="shared" si="61"/>
        <v>43178</v>
      </c>
      <c r="I99" s="753">
        <f t="shared" si="62"/>
        <v>0.5</v>
      </c>
      <c r="J99" s="746">
        <f t="shared" si="63"/>
        <v>53.272443749569355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46">
        <v>43185</v>
      </c>
      <c r="AP99" s="13">
        <f t="shared" si="64"/>
        <v>5</v>
      </c>
      <c r="AQ99" s="13">
        <f t="shared" si="65"/>
        <v>4</v>
      </c>
      <c r="AR99" s="172">
        <f t="shared" si="66"/>
        <v>43192</v>
      </c>
      <c r="AS99" s="753">
        <f t="shared" si="67"/>
        <v>0.25</v>
      </c>
      <c r="AT99" s="769">
        <f t="shared" si="68"/>
        <v>53.404835155745971</v>
      </c>
      <c r="AU99" s="13">
        <f t="shared" si="69"/>
        <v>5</v>
      </c>
      <c r="AV99" s="13">
        <f t="shared" si="70"/>
        <v>4</v>
      </c>
      <c r="AW99" s="172">
        <f t="shared" si="71"/>
        <v>43206</v>
      </c>
      <c r="AX99" s="753">
        <f t="shared" si="72"/>
        <v>0.75</v>
      </c>
      <c r="AY99" s="769">
        <f t="shared" si="73"/>
        <v>53.123793749790636</v>
      </c>
      <c r="AZ99" s="746">
        <f t="shared" si="77"/>
        <v>53.264314452768303</v>
      </c>
      <c r="BA99" s="641">
        <f t="shared" si="74"/>
        <v>1.0170351552190624</v>
      </c>
      <c r="BC99" s="11">
        <v>43185</v>
      </c>
      <c r="BD99" s="289">
        <f>[2]!FeuilCaduc*(1-Persistant)+Persistant</f>
        <v>0.60990974227623396</v>
      </c>
      <c r="BE99" s="290">
        <f>[2]!CroissVégét</f>
        <v>4.0837082604545251E-2</v>
      </c>
      <c r="BF99" s="819">
        <f>1+[2]!Salcycl*Ksac</f>
        <v>1.0012387177845292</v>
      </c>
      <c r="BH99" s="1044">
        <f t="shared" si="75"/>
        <v>1.4018978618759344E-2</v>
      </c>
      <c r="BI99" s="11">
        <v>44281</v>
      </c>
      <c r="BJ99" s="726">
        <v>4.4610433593927443E-3</v>
      </c>
      <c r="BK99" s="726">
        <v>5.7476537228909009E-3</v>
      </c>
      <c r="BL99" s="726">
        <v>7.4287536093734967E-3</v>
      </c>
      <c r="BM99" s="726">
        <v>9.6207609325452501E-3</v>
      </c>
      <c r="BN99" s="726">
        <v>1.2339114476186009E-2</v>
      </c>
      <c r="BO99" s="727">
        <v>1.5480364160213311E-2</v>
      </c>
      <c r="BP99" s="726">
        <v>1.9347227059014104E-2</v>
      </c>
      <c r="BQ99" s="726">
        <v>2.3778748763417512E-2</v>
      </c>
      <c r="BR99" s="726">
        <v>2.851151916353066E-2</v>
      </c>
      <c r="BS99" s="726">
        <v>3.3195045286075933E-2</v>
      </c>
      <c r="BT99" s="726">
        <v>3.7862174832277246E-2</v>
      </c>
      <c r="BW99" s="1208">
        <f>'2018'!R\Max</f>
        <v>0</v>
      </c>
      <c r="BX99" s="1206">
        <f>'2019'!R\Max</f>
        <v>1.0170351552190624</v>
      </c>
      <c r="BY99" s="1206">
        <f>'2020'!R\Max</f>
        <v>1.0161705347191705</v>
      </c>
      <c r="BZ99" s="1206">
        <f>'2021'!R\Max</f>
        <v>0.80491849152686579</v>
      </c>
      <c r="CA99" s="1206">
        <f>'2022'!R\Max</f>
        <v>0.9203420356767531</v>
      </c>
      <c r="CB99" s="1206">
        <f>'2023'!R\Max</f>
        <v>0.92033563178410205</v>
      </c>
      <c r="CC99" s="1206">
        <f>'2024'!R\Max</f>
        <v>0.92032845617080694</v>
      </c>
      <c r="CD99" s="1206">
        <f>'2025'!R\Max</f>
        <v>0.92032127968604571</v>
      </c>
      <c r="CE99" s="1206">
        <f>'2026'!R\Max</f>
        <v>0.92036046869026</v>
      </c>
      <c r="CF99" s="1207">
        <f>'2027'!R\Max</f>
        <v>0.92035486764100172</v>
      </c>
    </row>
    <row r="100" spans="1:84" s="6" customFormat="1" ht="11.25" x14ac:dyDescent="0.2">
      <c r="A100" s="11">
        <v>43186</v>
      </c>
      <c r="B100" s="379">
        <f>'2022'!Maxi_hp</f>
        <v>53.631049698889107</v>
      </c>
      <c r="C100" s="13">
        <f>'2022'!An_max</f>
        <v>2019</v>
      </c>
      <c r="D100" s="1053">
        <f t="shared" si="59"/>
        <v>1.000906553042562</v>
      </c>
      <c r="E100" s="13"/>
      <c r="F100" s="13">
        <f t="shared" si="76"/>
        <v>7</v>
      </c>
      <c r="G100" s="13">
        <f t="shared" si="60"/>
        <v>8</v>
      </c>
      <c r="H100" s="172">
        <f t="shared" si="61"/>
        <v>43178</v>
      </c>
      <c r="I100" s="753">
        <f t="shared" si="62"/>
        <v>0.5714285714285714</v>
      </c>
      <c r="J100" s="746">
        <f t="shared" si="63"/>
        <v>53.582474343744778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46">
        <v>43186</v>
      </c>
      <c r="AP100" s="13">
        <f t="shared" si="64"/>
        <v>5</v>
      </c>
      <c r="AQ100" s="13">
        <f t="shared" si="65"/>
        <v>4</v>
      </c>
      <c r="AR100" s="172">
        <f t="shared" si="66"/>
        <v>43192</v>
      </c>
      <c r="AS100" s="753">
        <f t="shared" si="67"/>
        <v>0.21428571428571427</v>
      </c>
      <c r="AT100" s="769">
        <f t="shared" si="68"/>
        <v>53.698241490019221</v>
      </c>
      <c r="AU100" s="13">
        <f t="shared" si="69"/>
        <v>5</v>
      </c>
      <c r="AV100" s="13">
        <f t="shared" si="70"/>
        <v>4</v>
      </c>
      <c r="AW100" s="172">
        <f t="shared" si="71"/>
        <v>43206</v>
      </c>
      <c r="AX100" s="753">
        <f t="shared" si="72"/>
        <v>0.7142857142857143</v>
      </c>
      <c r="AY100" s="769">
        <f t="shared" si="73"/>
        <v>53.41692244868193</v>
      </c>
      <c r="AZ100" s="746">
        <f t="shared" si="77"/>
        <v>53.557581969350579</v>
      </c>
      <c r="BA100" s="641">
        <f t="shared" si="74"/>
        <v>1.000906553042562</v>
      </c>
      <c r="BC100" s="11">
        <v>43186</v>
      </c>
      <c r="BD100" s="289">
        <f>[2]!FeuilCaduc*(1-Persistant)+Persistant</f>
        <v>0.61065025587443977</v>
      </c>
      <c r="BE100" s="290">
        <f>[2]!CroissVégét</f>
        <v>4.2531012940474407E-2</v>
      </c>
      <c r="BF100" s="819">
        <f>1+[2]!Salcycl*Ksac</f>
        <v>1.001331281984305</v>
      </c>
      <c r="BH100" s="1044">
        <f t="shared" si="75"/>
        <v>1.3592276084915589E-2</v>
      </c>
      <c r="BI100" s="11">
        <v>44282</v>
      </c>
      <c r="BJ100" s="726">
        <v>4.1935909411772972E-3</v>
      </c>
      <c r="BK100" s="726">
        <v>5.4282024009129747E-3</v>
      </c>
      <c r="BL100" s="726">
        <v>7.065262318691169E-3</v>
      </c>
      <c r="BM100" s="726">
        <v>9.2263108059140089E-3</v>
      </c>
      <c r="BN100" s="726">
        <v>1.1922335848345799E-2</v>
      </c>
      <c r="BO100" s="727">
        <v>1.5045028396823911E-2</v>
      </c>
      <c r="BP100" s="726">
        <v>1.8912525194236647E-2</v>
      </c>
      <c r="BQ100" s="726">
        <v>2.3389051938731364E-2</v>
      </c>
      <c r="BR100" s="726">
        <v>2.8165602886787593E-2</v>
      </c>
      <c r="BS100" s="726">
        <v>3.2873526780504876E-2</v>
      </c>
      <c r="BT100" s="726">
        <v>3.7526192739535856E-2</v>
      </c>
      <c r="BW100" s="1208">
        <f>'2018'!R\Max</f>
        <v>0</v>
      </c>
      <c r="BX100" s="1206">
        <f>'2019'!R\Max</f>
        <v>1.000906553042562</v>
      </c>
      <c r="BY100" s="1206">
        <f>'2020'!R\Max</f>
        <v>0.56113384903584873</v>
      </c>
      <c r="BZ100" s="1206">
        <f>'2021'!R\Max</f>
        <v>0.84017348278071102</v>
      </c>
      <c r="CA100" s="1206">
        <f>'2022'!R\Max</f>
        <v>0.91437098935780736</v>
      </c>
      <c r="CB100" s="1206">
        <f>'2023'!R\Max</f>
        <v>0.91436416658834141</v>
      </c>
      <c r="CC100" s="1206">
        <f>'2024'!R\Max</f>
        <v>0.91435646078270838</v>
      </c>
      <c r="CD100" s="1206">
        <f>'2025'!R\Max</f>
        <v>0.91434875404510141</v>
      </c>
      <c r="CE100" s="1206">
        <f>'2026'!R\Max</f>
        <v>0.91439057242507149</v>
      </c>
      <c r="CF100" s="1207">
        <f>'2027'!R\Max</f>
        <v>0.91438463319053243</v>
      </c>
    </row>
    <row r="101" spans="1:84" s="6" customFormat="1" ht="11.25" x14ac:dyDescent="0.2">
      <c r="A101" s="11">
        <v>43187</v>
      </c>
      <c r="B101" s="379">
        <f>'2022'!Maxi_hp</f>
        <v>52.658123194281352</v>
      </c>
      <c r="C101" s="13">
        <f>'2022'!An_max</f>
        <v>2019</v>
      </c>
      <c r="D101" s="1053">
        <f t="shared" si="59"/>
        <v>0.97719109182425024</v>
      </c>
      <c r="E101" s="13"/>
      <c r="F101" s="13">
        <f t="shared" si="76"/>
        <v>7</v>
      </c>
      <c r="G101" s="13">
        <f t="shared" si="60"/>
        <v>8</v>
      </c>
      <c r="H101" s="172">
        <f t="shared" si="61"/>
        <v>43178</v>
      </c>
      <c r="I101" s="753">
        <f t="shared" si="62"/>
        <v>0.6428571428571429</v>
      </c>
      <c r="J101" s="746">
        <f t="shared" si="63"/>
        <v>53.887232123634647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46">
        <v>43187</v>
      </c>
      <c r="AP101" s="13">
        <f t="shared" si="64"/>
        <v>5</v>
      </c>
      <c r="AQ101" s="13">
        <f t="shared" si="65"/>
        <v>4</v>
      </c>
      <c r="AR101" s="172">
        <f t="shared" si="66"/>
        <v>43192</v>
      </c>
      <c r="AS101" s="753">
        <f t="shared" si="67"/>
        <v>0.17857142857142858</v>
      </c>
      <c r="AT101" s="769">
        <f t="shared" si="68"/>
        <v>53.984686627724599</v>
      </c>
      <c r="AU101" s="13">
        <f t="shared" si="69"/>
        <v>5</v>
      </c>
      <c r="AV101" s="13">
        <f t="shared" si="70"/>
        <v>4</v>
      </c>
      <c r="AW101" s="172">
        <f t="shared" si="71"/>
        <v>43206</v>
      </c>
      <c r="AX101" s="753">
        <f t="shared" si="72"/>
        <v>0.6785714285714286</v>
      </c>
      <c r="AY101" s="769">
        <f t="shared" si="73"/>
        <v>53.707649490077586</v>
      </c>
      <c r="AZ101" s="746">
        <f t="shared" si="77"/>
        <v>53.846168058901092</v>
      </c>
      <c r="BA101" s="641">
        <f t="shared" si="74"/>
        <v>0.97719109182425024</v>
      </c>
      <c r="BC101" s="11">
        <v>43187</v>
      </c>
      <c r="BD101" s="289">
        <f>[2]!FeuilCaduc*(1-Persistant)+Persistant</f>
        <v>0.6114525240608456</v>
      </c>
      <c r="BE101" s="290">
        <f>[2]!CroissVégét</f>
        <v>4.4289656039802887E-2</v>
      </c>
      <c r="BF101" s="819">
        <f>1+[2]!Salcycl*Ksac</f>
        <v>1.0014315655076058</v>
      </c>
      <c r="BH101" s="1044">
        <f t="shared" si="75"/>
        <v>1.3144916899008922E-2</v>
      </c>
      <c r="BI101" s="11">
        <v>44283</v>
      </c>
      <c r="BJ101" s="726">
        <v>3.927814511748502E-3</v>
      </c>
      <c r="BK101" s="726">
        <v>5.1075430725765749E-3</v>
      </c>
      <c r="BL101" s="726">
        <v>6.6950657252370163E-3</v>
      </c>
      <c r="BM101" s="726">
        <v>8.8192889437059083E-3</v>
      </c>
      <c r="BN101" s="726">
        <v>1.1486972177476398E-2</v>
      </c>
      <c r="BO101" s="727">
        <v>1.4587233800223318E-2</v>
      </c>
      <c r="BP101" s="726">
        <v>1.8451687096403973E-2</v>
      </c>
      <c r="BQ101" s="726">
        <v>2.2969182278191821E-2</v>
      </c>
      <c r="BR101" s="726">
        <v>2.779143386891544E-2</v>
      </c>
      <c r="BS101" s="726">
        <v>3.2529594490771703E-2</v>
      </c>
      <c r="BT101" s="726">
        <v>3.7178014939184136E-2</v>
      </c>
      <c r="BW101" s="1208">
        <f>'2018'!R\Max</f>
        <v>0</v>
      </c>
      <c r="BX101" s="1206">
        <f>'2019'!R\Max</f>
        <v>0.97719109182425024</v>
      </c>
      <c r="BY101" s="1206">
        <f>'2020'!R\Max</f>
        <v>0.91285406616333653</v>
      </c>
      <c r="BZ101" s="1206">
        <f>'2021'!R\Max</f>
        <v>0.97341221073438156</v>
      </c>
      <c r="CA101" s="1206">
        <f>'2022'!R\Max</f>
        <v>0.70210115994031874</v>
      </c>
      <c r="CB101" s="1206">
        <f>'2023'!R\Max</f>
        <v>0.70208299054294621</v>
      </c>
      <c r="CC101" s="1206">
        <f>'2024'!R\Max</f>
        <v>0.70206230907969014</v>
      </c>
      <c r="CD101" s="1206">
        <f>'2025'!R\Max</f>
        <v>0.7020416259715585</v>
      </c>
      <c r="CE101" s="1206">
        <f>'2026'!R\Max</f>
        <v>0.70215316185510901</v>
      </c>
      <c r="CF101" s="1207">
        <f>'2027'!R\Max</f>
        <v>0.70213742117236855</v>
      </c>
    </row>
    <row r="102" spans="1:84" s="6" customFormat="1" ht="11.25" x14ac:dyDescent="0.2">
      <c r="A102" s="11">
        <v>43188</v>
      </c>
      <c r="B102" s="379">
        <f>'2022'!Maxi_hp</f>
        <v>54.496222253055954</v>
      </c>
      <c r="C102" s="13">
        <f>'2022'!An_max</f>
        <v>2021</v>
      </c>
      <c r="D102" s="1053">
        <f t="shared" si="59"/>
        <v>1.0057299256313255</v>
      </c>
      <c r="E102" s="13"/>
      <c r="F102" s="13">
        <f t="shared" si="76"/>
        <v>7</v>
      </c>
      <c r="G102" s="13">
        <f t="shared" si="60"/>
        <v>8</v>
      </c>
      <c r="H102" s="172">
        <f t="shared" si="61"/>
        <v>43178</v>
      </c>
      <c r="I102" s="753">
        <f t="shared" si="62"/>
        <v>0.7142857142857143</v>
      </c>
      <c r="J102" s="746">
        <f t="shared" si="63"/>
        <v>54.185741981225348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46">
        <v>43188</v>
      </c>
      <c r="AP102" s="13">
        <f t="shared" si="64"/>
        <v>5</v>
      </c>
      <c r="AQ102" s="13">
        <f t="shared" si="65"/>
        <v>4</v>
      </c>
      <c r="AR102" s="172">
        <f t="shared" si="66"/>
        <v>43192</v>
      </c>
      <c r="AS102" s="753">
        <f t="shared" si="67"/>
        <v>0.14285714285714285</v>
      </c>
      <c r="AT102" s="769">
        <f t="shared" si="68"/>
        <v>54.263750727554523</v>
      </c>
      <c r="AU102" s="13">
        <f t="shared" si="69"/>
        <v>5</v>
      </c>
      <c r="AV102" s="13">
        <f t="shared" si="70"/>
        <v>4</v>
      </c>
      <c r="AW102" s="172">
        <f t="shared" si="71"/>
        <v>43206</v>
      </c>
      <c r="AX102" s="753">
        <f t="shared" si="72"/>
        <v>0.6428571428571429</v>
      </c>
      <c r="AY102" s="769">
        <f t="shared" si="73"/>
        <v>53.995595663333575</v>
      </c>
      <c r="AZ102" s="746">
        <f t="shared" si="77"/>
        <v>54.129673195444049</v>
      </c>
      <c r="BA102" s="641">
        <f t="shared" si="74"/>
        <v>1.0057299256313255</v>
      </c>
      <c r="BC102" s="11">
        <v>43188</v>
      </c>
      <c r="BD102" s="289">
        <f>[2]!FeuilCaduc*(1-Persistant)+Persistant</f>
        <v>0.61231956617540229</v>
      </c>
      <c r="BE102" s="290">
        <f>[2]!CroissVégét</f>
        <v>4.6115220608575654E-2</v>
      </c>
      <c r="BF102" s="819">
        <f>1+[2]!Salcycl*Ksac</f>
        <v>1.0015399457719254</v>
      </c>
      <c r="BH102" s="1044">
        <f t="shared" si="75"/>
        <v>1.2676903000464333E-2</v>
      </c>
      <c r="BI102" s="11">
        <v>44284</v>
      </c>
      <c r="BJ102" s="726">
        <v>3.6637142035071172E-3</v>
      </c>
      <c r="BK102" s="726">
        <v>4.785676304060806E-3</v>
      </c>
      <c r="BL102" s="726">
        <v>6.3181650891111114E-3</v>
      </c>
      <c r="BM102" s="726">
        <v>8.3996971078963301E-3</v>
      </c>
      <c r="BN102" s="726">
        <v>1.1033025523605949E-2</v>
      </c>
      <c r="BO102" s="727">
        <v>1.4106982204918687E-2</v>
      </c>
      <c r="BP102" s="726">
        <v>1.7964713975679898E-2</v>
      </c>
      <c r="BQ102" s="726">
        <v>2.2519139940405018E-2</v>
      </c>
      <c r="BR102" s="726">
        <v>2.7389010121624972E-2</v>
      </c>
      <c r="BS102" s="726">
        <v>3.2163243768908507E-2</v>
      </c>
      <c r="BT102" s="726">
        <v>3.6817633657037913E-2</v>
      </c>
      <c r="BW102" s="1208">
        <f>'2018'!R\Max</f>
        <v>0</v>
      </c>
      <c r="BX102" s="1206">
        <f>'2019'!R\Max</f>
        <v>0.98953837801992028</v>
      </c>
      <c r="BY102" s="1206">
        <f>'2020'!R\Max</f>
        <v>0.89914298622978495</v>
      </c>
      <c r="BZ102" s="1206">
        <f>'2021'!R\Max</f>
        <v>1.0057299256313255</v>
      </c>
      <c r="CA102" s="1206">
        <f>'2022'!R\Max</f>
        <v>0.53897745833450594</v>
      </c>
      <c r="CB102" s="1206">
        <f>'2023'!R\Max</f>
        <v>0.53895595314301259</v>
      </c>
      <c r="CC102" s="1206">
        <f>'2024'!R\Max</f>
        <v>0.53893128491445941</v>
      </c>
      <c r="CD102" s="1206">
        <f>'2025'!R\Max</f>
        <v>0.5389066155150839</v>
      </c>
      <c r="CE102" s="1206">
        <f>'2026'!R\Max</f>
        <v>0.53903882467185094</v>
      </c>
      <c r="CF102" s="1207">
        <f>'2027'!R\Max</f>
        <v>0.53902028743951269</v>
      </c>
    </row>
    <row r="103" spans="1:84" s="6" customFormat="1" ht="11.25" x14ac:dyDescent="0.2">
      <c r="A103" s="11">
        <v>43189</v>
      </c>
      <c r="B103" s="379">
        <f>'2022'!Maxi_hp</f>
        <v>54.590031723801168</v>
      </c>
      <c r="C103" s="13">
        <f>'2022'!An_max</f>
        <v>2019</v>
      </c>
      <c r="D103" s="1053">
        <f t="shared" si="59"/>
        <v>1.0020743223147321</v>
      </c>
      <c r="E103" s="13"/>
      <c r="F103" s="13">
        <f t="shared" si="76"/>
        <v>7</v>
      </c>
      <c r="G103" s="13">
        <f t="shared" si="60"/>
        <v>8</v>
      </c>
      <c r="H103" s="172">
        <f t="shared" si="61"/>
        <v>43178</v>
      </c>
      <c r="I103" s="753">
        <f t="shared" si="62"/>
        <v>0.7857142857142857</v>
      </c>
      <c r="J103" s="746">
        <f t="shared" si="63"/>
        <v>54.477028807305864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46">
        <v>43189</v>
      </c>
      <c r="AP103" s="13">
        <f t="shared" si="64"/>
        <v>5</v>
      </c>
      <c r="AQ103" s="13">
        <f t="shared" si="65"/>
        <v>4</v>
      </c>
      <c r="AR103" s="172">
        <f t="shared" si="66"/>
        <v>43192</v>
      </c>
      <c r="AS103" s="753">
        <f t="shared" si="67"/>
        <v>0.10714285714285714</v>
      </c>
      <c r="AT103" s="769">
        <f t="shared" si="68"/>
        <v>54.535013955352568</v>
      </c>
      <c r="AU103" s="13">
        <f t="shared" si="69"/>
        <v>5</v>
      </c>
      <c r="AV103" s="13">
        <f t="shared" si="70"/>
        <v>4</v>
      </c>
      <c r="AW103" s="172">
        <f t="shared" si="71"/>
        <v>43206</v>
      </c>
      <c r="AX103" s="753">
        <f t="shared" si="72"/>
        <v>0.6071428571428571</v>
      </c>
      <c r="AY103" s="769">
        <f t="shared" si="73"/>
        <v>54.280381759974581</v>
      </c>
      <c r="AZ103" s="746">
        <f t="shared" si="77"/>
        <v>54.407697857663578</v>
      </c>
      <c r="BA103" s="641">
        <f t="shared" si="74"/>
        <v>1.0020743223147321</v>
      </c>
      <c r="BC103" s="11">
        <v>43189</v>
      </c>
      <c r="BD103" s="289">
        <f>[2]!FeuilCaduc*(1-Persistant)+Persistant</f>
        <v>0.61325436630966779</v>
      </c>
      <c r="BE103" s="290">
        <f>[2]!CroissVégét</f>
        <v>4.8009969311812332E-2</v>
      </c>
      <c r="BF103" s="819">
        <f>1+[2]!Salcycl*Ksac</f>
        <v>1.0016567957887086</v>
      </c>
      <c r="BH103" s="1044">
        <f t="shared" si="75"/>
        <v>1.2188237199441926E-2</v>
      </c>
      <c r="BI103" s="11">
        <v>44285</v>
      </c>
      <c r="BJ103" s="726">
        <v>3.4012904653440592E-3</v>
      </c>
      <c r="BK103" s="726">
        <v>4.4626030899465674E-3</v>
      </c>
      <c r="BL103" s="726">
        <v>5.9345622415229327E-3</v>
      </c>
      <c r="BM103" s="726">
        <v>7.967537763237267E-3</v>
      </c>
      <c r="BN103" s="726">
        <v>1.0560498772385487E-2</v>
      </c>
      <c r="BO103" s="727">
        <v>1.3604276355397332E-2</v>
      </c>
      <c r="BP103" s="726">
        <v>1.7451608008779426E-2</v>
      </c>
      <c r="BQ103" s="726">
        <v>2.203892605573924E-2</v>
      </c>
      <c r="BR103" s="726">
        <v>2.6958330541575069E-2</v>
      </c>
      <c r="BS103" s="726">
        <v>3.1774470728405634E-2</v>
      </c>
      <c r="BT103" s="726">
        <v>3.6445041737971959E-2</v>
      </c>
      <c r="BW103" s="1208">
        <f>'2018'!R\Max</f>
        <v>0</v>
      </c>
      <c r="BX103" s="1206">
        <f>'2019'!R\Max</f>
        <v>1.0020743223147321</v>
      </c>
      <c r="BY103" s="1206">
        <f>'2020'!R\Max</f>
        <v>0.58312045103880961</v>
      </c>
      <c r="BZ103" s="1206">
        <f>'2021'!R\Max</f>
        <v>0.93072062935244371</v>
      </c>
      <c r="CA103" s="1206">
        <f>'2022'!R\Max</f>
        <v>0.13608513519389259</v>
      </c>
      <c r="CB103" s="1206">
        <f>'2023'!R\Max</f>
        <v>0.13607692586766054</v>
      </c>
      <c r="CC103" s="1206">
        <f>'2024'!R\Max</f>
        <v>0.13606743676702018</v>
      </c>
      <c r="CD103" s="1206">
        <f>'2025'!R\Max</f>
        <v>0.13605794766637988</v>
      </c>
      <c r="CE103" s="1206">
        <f>'2026'!R\Max</f>
        <v>0.1361084894111744</v>
      </c>
      <c r="CF103" s="1207">
        <f>'2027'!R\Max</f>
        <v>0.13610144972706312</v>
      </c>
    </row>
    <row r="104" spans="1:84" s="6" customFormat="1" ht="11.25" x14ac:dyDescent="0.2">
      <c r="A104" s="11">
        <v>43190</v>
      </c>
      <c r="B104" s="379">
        <f>'2022'!Maxi_hp</f>
        <v>49.035449054954384</v>
      </c>
      <c r="C104" s="13">
        <f>'2022'!An_max</f>
        <v>2021</v>
      </c>
      <c r="D104" s="1053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2">
        <f t="shared" si="61"/>
        <v>43178</v>
      </c>
      <c r="I104" s="753">
        <f t="shared" si="62"/>
        <v>0.8571428571428571</v>
      </c>
      <c r="J104" s="746">
        <f t="shared" si="63"/>
        <v>54.760117492292615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46">
        <v>43190</v>
      </c>
      <c r="AP104" s="13">
        <f t="shared" si="64"/>
        <v>5</v>
      </c>
      <c r="AQ104" s="13">
        <f t="shared" si="65"/>
        <v>4</v>
      </c>
      <c r="AR104" s="172">
        <f t="shared" si="66"/>
        <v>43192</v>
      </c>
      <c r="AS104" s="753">
        <f t="shared" si="67"/>
        <v>7.1428571428571425E-2</v>
      </c>
      <c r="AT104" s="769">
        <f t="shared" si="68"/>
        <v>54.798056468420796</v>
      </c>
      <c r="AU104" s="13">
        <f t="shared" si="69"/>
        <v>5</v>
      </c>
      <c r="AV104" s="13">
        <f t="shared" si="70"/>
        <v>4</v>
      </c>
      <c r="AW104" s="172">
        <f t="shared" si="71"/>
        <v>43206</v>
      </c>
      <c r="AX104" s="753">
        <f t="shared" si="72"/>
        <v>0.5714285714285714</v>
      </c>
      <c r="AY104" s="769">
        <f t="shared" si="73"/>
        <v>54.561628571578431</v>
      </c>
      <c r="AZ104" s="746">
        <f t="shared" si="77"/>
        <v>54.67984251999961</v>
      </c>
      <c r="BA104" s="641">
        <f t="shared" si="74"/>
        <v>0.89545916445223173</v>
      </c>
      <c r="BC104" s="11">
        <v>43190</v>
      </c>
      <c r="BD104" s="289">
        <f>[2]!FeuilCaduc*(1-Persistant)+Persistant</f>
        <v>0.6142598660069285</v>
      </c>
      <c r="BE104" s="290">
        <f>[2]!CroissVégét</f>
        <v>4.9976218279140845E-2</v>
      </c>
      <c r="BF104" s="819">
        <f>1+[2]!Salcycl*Ksac</f>
        <v>1.0017824832508662</v>
      </c>
      <c r="BH104" s="1044">
        <f t="shared" si="75"/>
        <v>1.1678923243095992E-2</v>
      </c>
      <c r="BI104" s="11">
        <v>44286</v>
      </c>
      <c r="BJ104" s="726">
        <v>3.1405440573359475E-3</v>
      </c>
      <c r="BK104" s="726">
        <v>4.1383248571642143E-3</v>
      </c>
      <c r="BL104" s="726">
        <v>5.5442596063603813E-3</v>
      </c>
      <c r="BM104" s="726">
        <v>7.5228141176230711E-3</v>
      </c>
      <c r="BN104" s="726">
        <v>1.0069395694716009E-2</v>
      </c>
      <c r="BO104" s="727">
        <v>1.3079119978155277E-2</v>
      </c>
      <c r="BP104" s="726">
        <v>1.6912372422758542E-2</v>
      </c>
      <c r="BQ104" s="726">
        <v>2.1528542823008513E-2</v>
      </c>
      <c r="BR104" s="726">
        <v>2.6499395000860602E-2</v>
      </c>
      <c r="BS104" s="726">
        <v>3.13632723159529E-2</v>
      </c>
      <c r="BT104" s="726">
        <v>3.6060232684895201E-2</v>
      </c>
      <c r="BW104" s="1208">
        <f>'2018'!R\Max</f>
        <v>0</v>
      </c>
      <c r="BX104" s="1206">
        <f>'2019'!R\Max</f>
        <v>0.84234549728652353</v>
      </c>
      <c r="BY104" s="1206">
        <f>'2020'!R\Max</f>
        <v>0.43537190339777521</v>
      </c>
      <c r="BZ104" s="1206">
        <f>'2021'!R\Max</f>
        <v>0.89545916445223173</v>
      </c>
      <c r="CA104" s="1206">
        <f>'2022'!R\Max</f>
        <v>0.53877676280718645</v>
      </c>
      <c r="CB104" s="1206">
        <f>'2023'!R\Max</f>
        <v>0.53875545470805419</v>
      </c>
      <c r="CC104" s="1206">
        <f>'2024'!R\Max</f>
        <v>0.53873063440940083</v>
      </c>
      <c r="CD104" s="1206">
        <f>'2025'!R\Max</f>
        <v>0.5388533583709717</v>
      </c>
      <c r="CE104" s="1206">
        <f>'2026'!R\Max</f>
        <v>0.53883717881714921</v>
      </c>
      <c r="CF104" s="1207">
        <f>'2027'!R\Max</f>
        <v>0.53881900978365449</v>
      </c>
    </row>
    <row r="105" spans="1:84" s="6" customFormat="1" ht="11.25" x14ac:dyDescent="0.2">
      <c r="A105" s="11">
        <v>43191</v>
      </c>
      <c r="B105" s="379">
        <f>'2022'!Maxi_hp</f>
        <v>50.125309607744178</v>
      </c>
      <c r="C105" s="13">
        <f>'2022'!An_max</f>
        <v>2021</v>
      </c>
      <c r="D105" s="1053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2">
        <f t="shared" si="61"/>
        <v>43178</v>
      </c>
      <c r="I105" s="753">
        <f t="shared" si="62"/>
        <v>0.9285714285714286</v>
      </c>
      <c r="J105" s="746">
        <f t="shared" si="63"/>
        <v>55.034032924287018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46">
        <v>43191</v>
      </c>
      <c r="AP105" s="13">
        <f t="shared" si="64"/>
        <v>5</v>
      </c>
      <c r="AQ105" s="13">
        <f t="shared" si="65"/>
        <v>4</v>
      </c>
      <c r="AR105" s="172">
        <f t="shared" si="66"/>
        <v>43192</v>
      </c>
      <c r="AS105" s="753">
        <f t="shared" si="67"/>
        <v>3.5714285714285712E-2</v>
      </c>
      <c r="AT105" s="769">
        <f t="shared" si="68"/>
        <v>55.052458430001778</v>
      </c>
      <c r="AU105" s="13">
        <f t="shared" si="69"/>
        <v>5</v>
      </c>
      <c r="AV105" s="13">
        <f t="shared" si="70"/>
        <v>4</v>
      </c>
      <c r="AW105" s="172">
        <f t="shared" si="71"/>
        <v>43206</v>
      </c>
      <c r="AX105" s="753">
        <f t="shared" si="72"/>
        <v>0.5357142857142857</v>
      </c>
      <c r="AY105" s="769">
        <f t="shared" si="73"/>
        <v>54.838956887900302</v>
      </c>
      <c r="AZ105" s="746">
        <f t="shared" si="77"/>
        <v>54.945707658951036</v>
      </c>
      <c r="BA105" s="641">
        <f t="shared" si="74"/>
        <v>0.91080567685642799</v>
      </c>
      <c r="BC105" s="11">
        <v>43191</v>
      </c>
      <c r="BD105" s="289">
        <f>[2]!FeuilCaduc*(1-Persistant)+Persistant</f>
        <v>0.61533895731289323</v>
      </c>
      <c r="BE105" s="290">
        <f>[2]!CroissVégét</f>
        <v>5.201633641771132E-2</v>
      </c>
      <c r="BF105" s="819">
        <f>1+[2]!Salcycl*Ksac</f>
        <v>1.0019173696641117</v>
      </c>
      <c r="BH105" s="1044">
        <f t="shared" si="75"/>
        <v>1.1148965881809384E-2</v>
      </c>
      <c r="BI105" s="11">
        <v>44287</v>
      </c>
      <c r="BJ105" s="726">
        <v>2.8814760454338871E-3</v>
      </c>
      <c r="BK105" s="726">
        <v>3.8128434689323476E-3</v>
      </c>
      <c r="BL105" s="726">
        <v>5.1472602217469271E-3</v>
      </c>
      <c r="BM105" s="726">
        <v>7.065530162440165E-3</v>
      </c>
      <c r="BN105" s="726">
        <v>9.5597210063541483E-3</v>
      </c>
      <c r="BO105" s="727">
        <v>1.2531517853698207E-2</v>
      </c>
      <c r="BP105" s="726">
        <v>1.6347011578768486E-2</v>
      </c>
      <c r="BQ105" s="726">
        <v>2.0987993606111002E-2</v>
      </c>
      <c r="BR105" s="726">
        <v>2.6012204437444827E-2</v>
      </c>
      <c r="BS105" s="726">
        <v>3.0929646383115253E-2</v>
      </c>
      <c r="BT105" s="726">
        <v>3.5663200697650665E-2</v>
      </c>
      <c r="BW105" s="1208">
        <f>'2018'!R\Max</f>
        <v>0</v>
      </c>
      <c r="BX105" s="1206">
        <f>'2019'!R\Max</f>
        <v>0.86517530543632926</v>
      </c>
      <c r="BY105" s="1206">
        <f>'2020'!R\Max</f>
        <v>0.88139615317711062</v>
      </c>
      <c r="BZ105" s="1206">
        <f>'2021'!R\Max</f>
        <v>0.91080567685642799</v>
      </c>
      <c r="CA105" s="1206">
        <f>'2022'!R\Max</f>
        <v>0.58473296806641351</v>
      </c>
      <c r="CB105" s="1206">
        <f>'2023'!R\Max</f>
        <v>0.58471226105645047</v>
      </c>
      <c r="CC105" s="1206">
        <f>'2024'!R\Max</f>
        <v>0.58468795580302013</v>
      </c>
      <c r="CD105" s="1206">
        <f>'2025'!R\Max</f>
        <v>0.58480703993493466</v>
      </c>
      <c r="CE105" s="1206">
        <f>'2026'!R\Max</f>
        <v>0.58479147997863279</v>
      </c>
      <c r="CF105" s="1207">
        <f>'2027'!R\Max</f>
        <v>0.58477392576044951</v>
      </c>
    </row>
    <row r="106" spans="1:84" s="6" customFormat="1" ht="11.25" x14ac:dyDescent="0.2">
      <c r="A106" s="11">
        <v>43192</v>
      </c>
      <c r="B106" s="379">
        <f>'2022'!Maxi_hp</f>
        <v>43.183256148076218</v>
      </c>
      <c r="C106" s="13">
        <f>'2022'!An_max</f>
        <v>2020</v>
      </c>
      <c r="D106" s="1053" t="str">
        <f t="shared" si="59"/>
        <v/>
      </c>
      <c r="E106" s="1048">
        <f>T$13/10</f>
        <v>55.297799999999995</v>
      </c>
      <c r="F106" s="13">
        <f t="shared" si="76"/>
        <v>9</v>
      </c>
      <c r="G106" s="13">
        <f t="shared" si="60"/>
        <v>8</v>
      </c>
      <c r="H106" s="172">
        <f t="shared" si="61"/>
        <v>43206</v>
      </c>
      <c r="I106" s="753">
        <f t="shared" si="62"/>
        <v>1</v>
      </c>
      <c r="J106" s="746">
        <f t="shared" si="63"/>
        <v>55.297799998521803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46">
        <v>43192</v>
      </c>
      <c r="AP106" s="13">
        <f t="shared" si="64"/>
        <v>5</v>
      </c>
      <c r="AQ106" s="13">
        <f t="shared" si="65"/>
        <v>6</v>
      </c>
      <c r="AR106" s="172">
        <f t="shared" si="66"/>
        <v>43192</v>
      </c>
      <c r="AS106" s="753">
        <f t="shared" si="67"/>
        <v>0</v>
      </c>
      <c r="AT106" s="769">
        <f t="shared" si="68"/>
        <v>55.297799998521803</v>
      </c>
      <c r="AU106" s="13">
        <f t="shared" si="69"/>
        <v>5</v>
      </c>
      <c r="AV106" s="13">
        <f t="shared" si="70"/>
        <v>4</v>
      </c>
      <c r="AW106" s="172">
        <f t="shared" si="71"/>
        <v>43206</v>
      </c>
      <c r="AX106" s="753">
        <f t="shared" si="72"/>
        <v>0.5</v>
      </c>
      <c r="AY106" s="769">
        <f t="shared" si="73"/>
        <v>55.111987499892713</v>
      </c>
      <c r="AZ106" s="746">
        <f t="shared" si="77"/>
        <v>55.204893749207258</v>
      </c>
      <c r="BA106" s="641">
        <f t="shared" si="74"/>
        <v>0.78092177535508778</v>
      </c>
      <c r="BC106" s="11">
        <v>43192</v>
      </c>
      <c r="BD106" s="289">
        <f>[2]!FeuilCaduc*(1-Persistant)+Persistant</f>
        <v>0.61649447616572062</v>
      </c>
      <c r="BE106" s="290">
        <f>[2]!CroissVégét</f>
        <v>5.4132744516590045E-2</v>
      </c>
      <c r="BF106" s="819">
        <f>1+[2]!Salcycl*Ksac</f>
        <v>1.002061809520715</v>
      </c>
      <c r="BH106" s="1044">
        <f t="shared" si="75"/>
        <v>1.0598370935473356E-2</v>
      </c>
      <c r="BI106" s="11">
        <v>44288</v>
      </c>
      <c r="BJ106" s="726">
        <v>2.6240877961646717E-3</v>
      </c>
      <c r="BK106" s="726">
        <v>3.4861612287129412E-3</v>
      </c>
      <c r="BL106" s="726">
        <v>4.7435677616206066E-3</v>
      </c>
      <c r="BM106" s="726">
        <v>6.5956907129462589E-3</v>
      </c>
      <c r="BN106" s="726">
        <v>9.0314804275572168E-3</v>
      </c>
      <c r="BO106" s="727">
        <v>1.1961475888593184E-2</v>
      </c>
      <c r="BP106" s="726">
        <v>1.5755531055875453E-2</v>
      </c>
      <c r="BQ106" s="726">
        <v>2.0417283030750372E-2</v>
      </c>
      <c r="BR106" s="726">
        <v>2.5496760945693489E-2</v>
      </c>
      <c r="BS106" s="726">
        <v>3.0473591758128422E-2</v>
      </c>
      <c r="BT106" s="726">
        <v>3.5253940712053219E-2</v>
      </c>
      <c r="BW106" s="1208">
        <f>'2018'!R\Max</f>
        <v>0</v>
      </c>
      <c r="BX106" s="1206">
        <f>'2019'!R\Max</f>
        <v>0.31331750219643412</v>
      </c>
      <c r="BY106" s="1206">
        <f>'2020'!R\Max</f>
        <v>0.78092177535508778</v>
      </c>
      <c r="BZ106" s="1206">
        <f>'2021'!R\Max</f>
        <v>0.77278711595792027</v>
      </c>
      <c r="CA106" s="1206">
        <f>'2022'!R\Max</f>
        <v>0.38361185214289767</v>
      </c>
      <c r="CB106" s="1206">
        <f>'2023'!R\Max</f>
        <v>0.38359181054874508</v>
      </c>
      <c r="CC106" s="1206">
        <f>'2024'!R\Max</f>
        <v>0.38356810692644189</v>
      </c>
      <c r="CD106" s="1206">
        <f>'2025'!R\Max</f>
        <v>0.38368318449604333</v>
      </c>
      <c r="CE106" s="1206">
        <f>'2026'!R\Max</f>
        <v>0.38366828735042152</v>
      </c>
      <c r="CF106" s="1207">
        <f>'2027'!R\Max</f>
        <v>0.38365139810447452</v>
      </c>
    </row>
    <row r="107" spans="1:84" s="6" customFormat="1" ht="11.25" x14ac:dyDescent="0.2">
      <c r="A107" s="11">
        <v>43193</v>
      </c>
      <c r="B107" s="379">
        <f>'2022'!Maxi_hp</f>
        <v>51.063430423468454</v>
      </c>
      <c r="C107" s="13">
        <f>'2022'!An_max</f>
        <v>2021</v>
      </c>
      <c r="D107" s="1053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2">
        <f t="shared" si="61"/>
        <v>43206</v>
      </c>
      <c r="I107" s="753">
        <f t="shared" si="62"/>
        <v>0.9285714285714286</v>
      </c>
      <c r="J107" s="746">
        <f t="shared" si="63"/>
        <v>55.553116125028041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46">
        <v>43193</v>
      </c>
      <c r="AP107" s="13">
        <f t="shared" si="64"/>
        <v>5</v>
      </c>
      <c r="AQ107" s="13">
        <f t="shared" si="65"/>
        <v>6</v>
      </c>
      <c r="AR107" s="172">
        <f t="shared" si="66"/>
        <v>43192</v>
      </c>
      <c r="AS107" s="753">
        <f t="shared" si="67"/>
        <v>3.5714285714285712E-2</v>
      </c>
      <c r="AT107" s="769">
        <f t="shared" si="68"/>
        <v>55.535446783580952</v>
      </c>
      <c r="AU107" s="13">
        <f t="shared" si="69"/>
        <v>5</v>
      </c>
      <c r="AV107" s="13">
        <f t="shared" si="70"/>
        <v>4</v>
      </c>
      <c r="AW107" s="172">
        <f t="shared" si="71"/>
        <v>43206</v>
      </c>
      <c r="AX107" s="753">
        <f t="shared" si="72"/>
        <v>0.4642857142857143</v>
      </c>
      <c r="AY107" s="769">
        <f t="shared" si="73"/>
        <v>55.380341198614666</v>
      </c>
      <c r="AZ107" s="746">
        <f t="shared" si="77"/>
        <v>55.457893991097805</v>
      </c>
      <c r="BA107" s="641">
        <f t="shared" si="74"/>
        <v>0.91918210867856476</v>
      </c>
      <c r="BC107" s="11">
        <v>43193</v>
      </c>
      <c r="BD107" s="289">
        <f>[2]!FeuilCaduc*(1-Persistant)+Persistant</f>
        <v>0.61772919610771782</v>
      </c>
      <c r="BE107" s="290">
        <f>[2]!CroissVégét</f>
        <v>5.6327914126217182E-2</v>
      </c>
      <c r="BF107" s="819">
        <f>1+[2]!Salcycl*Ksac</f>
        <v>1.0022161495134647</v>
      </c>
      <c r="BH107" s="1044">
        <f t="shared" si="75"/>
        <v>1.0027145359733407E-2</v>
      </c>
      <c r="BI107" s="11">
        <v>44289</v>
      </c>
      <c r="BJ107" s="726">
        <v>2.3683809713222256E-3</v>
      </c>
      <c r="BK107" s="726">
        <v>3.1582808841536959E-3</v>
      </c>
      <c r="BL107" s="726">
        <v>4.3331865572961044E-3</v>
      </c>
      <c r="BM107" s="726">
        <v>6.1133014486270641E-3</v>
      </c>
      <c r="BN107" s="726">
        <v>8.4846807426986175E-3</v>
      </c>
      <c r="BO107" s="727">
        <v>1.1369001187482625E-2</v>
      </c>
      <c r="BP107" s="726">
        <v>1.5137937734832111E-2</v>
      </c>
      <c r="BQ107" s="726">
        <v>1.9816417081096847E-2</v>
      </c>
      <c r="BR107" s="726">
        <v>2.4953067866835647E-2</v>
      </c>
      <c r="BS107" s="726">
        <v>2.9995108317608803E-2</v>
      </c>
      <c r="BT107" s="726">
        <v>3.4832448438829051E-2</v>
      </c>
      <c r="BW107" s="1208">
        <f>'2018'!R\Max</f>
        <v>0</v>
      </c>
      <c r="BX107" s="1206">
        <f>'2019'!R\Max</f>
        <v>0.31779816326930865</v>
      </c>
      <c r="BY107" s="1206">
        <f>'2020'!R\Max</f>
        <v>0.46551920194496166</v>
      </c>
      <c r="BZ107" s="1206">
        <f>'2021'!R\Max</f>
        <v>0.91918210867856476</v>
      </c>
      <c r="CA107" s="1206">
        <f>'2022'!R\Max</f>
        <v>0.48058254998330829</v>
      </c>
      <c r="CB107" s="1206">
        <f>'2023'!R\Max</f>
        <v>0.480561532794885</v>
      </c>
      <c r="CC107" s="1206">
        <f>'2024'!R\Max</f>
        <v>0.48053648395874143</v>
      </c>
      <c r="CD107" s="1206">
        <f>'2025'!R\Max</f>
        <v>0.48065695251804591</v>
      </c>
      <c r="CE107" s="1206">
        <f>'2026'!R\Max</f>
        <v>0.48064151194746974</v>
      </c>
      <c r="CF107" s="1207">
        <f>'2027'!R\Max</f>
        <v>0.4806239133997427</v>
      </c>
    </row>
    <row r="108" spans="1:84" s="6" customFormat="1" ht="11.25" x14ac:dyDescent="0.2">
      <c r="A108" s="11">
        <v>43194</v>
      </c>
      <c r="B108" s="379">
        <f>'2022'!Maxi_hp</f>
        <v>56.358160230802568</v>
      </c>
      <c r="C108" s="13">
        <f>'2022'!An_max</f>
        <v>2020</v>
      </c>
      <c r="D108" s="1053">
        <f t="shared" si="59"/>
        <v>1.0099620285335313</v>
      </c>
      <c r="E108" s="13"/>
      <c r="F108" s="13">
        <f t="shared" si="76"/>
        <v>9</v>
      </c>
      <c r="G108" s="13">
        <f t="shared" si="60"/>
        <v>8</v>
      </c>
      <c r="H108" s="172">
        <f t="shared" si="61"/>
        <v>43206</v>
      </c>
      <c r="I108" s="753">
        <f t="shared" si="62"/>
        <v>0.8571428571428571</v>
      </c>
      <c r="J108" s="746">
        <f t="shared" si="63"/>
        <v>55.80225655872907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46">
        <v>43194</v>
      </c>
      <c r="AP108" s="13">
        <f t="shared" si="64"/>
        <v>5</v>
      </c>
      <c r="AQ108" s="13">
        <f t="shared" si="65"/>
        <v>6</v>
      </c>
      <c r="AR108" s="172">
        <f t="shared" si="66"/>
        <v>43192</v>
      </c>
      <c r="AS108" s="753">
        <f t="shared" si="67"/>
        <v>7.1428571428571425E-2</v>
      </c>
      <c r="AT108" s="769">
        <f t="shared" si="68"/>
        <v>55.767080392954611</v>
      </c>
      <c r="AU108" s="13">
        <f t="shared" si="69"/>
        <v>5</v>
      </c>
      <c r="AV108" s="13">
        <f t="shared" si="70"/>
        <v>4</v>
      </c>
      <c r="AW108" s="172">
        <f t="shared" si="71"/>
        <v>43206</v>
      </c>
      <c r="AX108" s="753">
        <f t="shared" si="72"/>
        <v>0.42857142857142855</v>
      </c>
      <c r="AY108" s="769">
        <f t="shared" si="73"/>
        <v>55.64363877555089</v>
      </c>
      <c r="AZ108" s="746">
        <f t="shared" si="77"/>
        <v>55.705359584252747</v>
      </c>
      <c r="BA108" s="641">
        <f t="shared" si="74"/>
        <v>1.0099620285335313</v>
      </c>
      <c r="BC108" s="11">
        <v>43194</v>
      </c>
      <c r="BD108" s="289">
        <f>[2]!FeuilCaduc*(1-Persistant)+Persistant</f>
        <v>0.6190458222951799</v>
      </c>
      <c r="BE108" s="290">
        <f>[2]!CroissVégét</f>
        <v>5.8604366195922526E-2</v>
      </c>
      <c r="BF108" s="819">
        <f>1+[2]!Salcycl*Ksac</f>
        <v>1.0023807277868975</v>
      </c>
      <c r="BH108" s="1044">
        <f t="shared" si="75"/>
        <v>9.4471427925903149E-3</v>
      </c>
      <c r="BI108" s="11">
        <v>44290</v>
      </c>
      <c r="BJ108" s="726">
        <v>2.1232608188530432E-3</v>
      </c>
      <c r="BK108" s="726">
        <v>2.8409648638004323E-3</v>
      </c>
      <c r="BL108" s="726">
        <v>3.9307790304313889E-3</v>
      </c>
      <c r="BM108" s="726">
        <v>5.6328942106139215E-3</v>
      </c>
      <c r="BN108" s="726">
        <v>7.9327789552417951E-3</v>
      </c>
      <c r="BO108" s="727">
        <v>1.0764552552293699E-2</v>
      </c>
      <c r="BP108" s="726">
        <v>1.4503620931857321E-2</v>
      </c>
      <c r="BQ108" s="726">
        <v>1.9189121693299418E-2</v>
      </c>
      <c r="BR108" s="726">
        <v>2.4378676234351904E-2</v>
      </c>
      <c r="BS108" s="726">
        <v>2.9486986763159688E-2</v>
      </c>
      <c r="BT108" s="726">
        <v>3.4392778656124993E-2</v>
      </c>
      <c r="BW108" s="1208">
        <f>'2018'!R\Max</f>
        <v>0</v>
      </c>
      <c r="BX108" s="1206">
        <f>'2019'!R\Max</f>
        <v>0.75438681262901564</v>
      </c>
      <c r="BY108" s="1206">
        <f>'2020'!R\Max</f>
        <v>1.0099620285335313</v>
      </c>
      <c r="BZ108" s="1206">
        <f>'2021'!R\Max</f>
        <v>0.95185252883588956</v>
      </c>
      <c r="CA108" s="1206">
        <f>'2022'!R\Max</f>
        <v>0.84842156318822737</v>
      </c>
      <c r="CB108" s="1206">
        <f>'2023'!R\Max</f>
        <v>0.84841081924578154</v>
      </c>
      <c r="CC108" s="1206">
        <f>'2024'!R\Max</f>
        <v>0.84839792408689119</v>
      </c>
      <c r="CD108" s="1206">
        <f>'2025'!R\Max</f>
        <v>0.84845937691667173</v>
      </c>
      <c r="CE108" s="1206">
        <f>'2026'!R\Max</f>
        <v>0.84845158687341726</v>
      </c>
      <c r="CF108" s="1207">
        <f>'2027'!R\Max</f>
        <v>0.84844265336247171</v>
      </c>
    </row>
    <row r="109" spans="1:84" s="6" customFormat="1" ht="11.25" x14ac:dyDescent="0.2">
      <c r="A109" s="11">
        <v>43195</v>
      </c>
      <c r="B109" s="379">
        <f>'2022'!Maxi_hp</f>
        <v>58.338550286510831</v>
      </c>
      <c r="C109" s="13">
        <f>'2022'!An_max</f>
        <v>2020</v>
      </c>
      <c r="D109" s="1053">
        <f t="shared" si="59"/>
        <v>1.040921272369151</v>
      </c>
      <c r="E109" s="13"/>
      <c r="F109" s="13">
        <f t="shared" si="76"/>
        <v>9</v>
      </c>
      <c r="G109" s="13">
        <f t="shared" si="60"/>
        <v>8</v>
      </c>
      <c r="H109" s="172">
        <f t="shared" si="61"/>
        <v>43206</v>
      </c>
      <c r="I109" s="753">
        <f t="shared" si="62"/>
        <v>0.7857142857142857</v>
      </c>
      <c r="J109" s="746">
        <f t="shared" si="63"/>
        <v>56.045112954346202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46">
        <v>43195</v>
      </c>
      <c r="AP109" s="13">
        <f t="shared" si="64"/>
        <v>5</v>
      </c>
      <c r="AQ109" s="13">
        <f t="shared" si="65"/>
        <v>6</v>
      </c>
      <c r="AR109" s="172">
        <f t="shared" si="66"/>
        <v>43192</v>
      </c>
      <c r="AS109" s="753">
        <f t="shared" si="67"/>
        <v>0.10714285714285714</v>
      </c>
      <c r="AT109" s="769">
        <f t="shared" si="68"/>
        <v>55.992755002182513</v>
      </c>
      <c r="AU109" s="13">
        <f t="shared" si="69"/>
        <v>5</v>
      </c>
      <c r="AV109" s="13">
        <f t="shared" si="70"/>
        <v>4</v>
      </c>
      <c r="AW109" s="172">
        <f t="shared" si="71"/>
        <v>43206</v>
      </c>
      <c r="AX109" s="753">
        <f t="shared" si="72"/>
        <v>0.39285714285714285</v>
      </c>
      <c r="AY109" s="769">
        <f t="shared" si="73"/>
        <v>55.901501020815758</v>
      </c>
      <c r="AZ109" s="746">
        <f t="shared" si="77"/>
        <v>55.947128011499132</v>
      </c>
      <c r="BA109" s="641">
        <f t="shared" si="74"/>
        <v>1.040921272369151</v>
      </c>
      <c r="BC109" s="11">
        <v>43195</v>
      </c>
      <c r="BD109" s="289">
        <f>[2]!FeuilCaduc*(1-Persistant)+Persistant</f>
        <v>0.62044698577760438</v>
      </c>
      <c r="BE109" s="290">
        <f>[2]!CroissVégét</f>
        <v>6.0964669451959982E-2</v>
      </c>
      <c r="BF109" s="819">
        <f>1+[2]!Salcycl*Ksac</f>
        <v>1.0025558732222006</v>
      </c>
      <c r="BH109" s="1044">
        <f t="shared" si="75"/>
        <v>8.8819283994378655E-3</v>
      </c>
      <c r="BI109" s="11">
        <v>44291</v>
      </c>
      <c r="BJ109" s="726">
        <v>1.8959280166512716E-3</v>
      </c>
      <c r="BK109" s="726">
        <v>2.5447624564457266E-3</v>
      </c>
      <c r="BL109" s="726">
        <v>3.5510983508767737E-3</v>
      </c>
      <c r="BM109" s="726">
        <v>5.1725583173529112E-3</v>
      </c>
      <c r="BN109" s="726">
        <v>7.3976360332101837E-3</v>
      </c>
      <c r="BO109" s="727">
        <v>1.0173177702475437E-2</v>
      </c>
      <c r="BP109" s="726">
        <v>1.388351978203404E-2</v>
      </c>
      <c r="BQ109" s="726">
        <v>1.8568524375510393E-2</v>
      </c>
      <c r="BR109" s="726">
        <v>2.380479743780704E-2</v>
      </c>
      <c r="BS109" s="726">
        <v>2.8974764049758892E-2</v>
      </c>
      <c r="BT109" s="726">
        <v>3.3956208462228653E-2</v>
      </c>
      <c r="BW109" s="1208">
        <f>'2018'!R\Max</f>
        <v>0</v>
      </c>
      <c r="BX109" s="1206">
        <f>'2019'!R\Max</f>
        <v>0.91796449347977471</v>
      </c>
      <c r="BY109" s="1206">
        <f>'2020'!R\Max</f>
        <v>1.040921272369151</v>
      </c>
      <c r="BZ109" s="1206">
        <f>'2021'!R\Max</f>
        <v>0.9200219123236294</v>
      </c>
      <c r="CA109" s="1206">
        <f>'2022'!R\Max</f>
        <v>1.0019058973129336</v>
      </c>
      <c r="CB109" s="1206">
        <f>'2023'!R\Max</f>
        <v>1.0019058973129338</v>
      </c>
      <c r="CC109" s="1206">
        <f>'2024'!R\Max</f>
        <v>1.0019058973129338</v>
      </c>
      <c r="CD109" s="1206">
        <f>'2025'!R\Max</f>
        <v>1.0019058973129338</v>
      </c>
      <c r="CE109" s="1206">
        <f>'2026'!R\Max</f>
        <v>1.0019058973129336</v>
      </c>
      <c r="CF109" s="1207">
        <f>'2027'!R\Max</f>
        <v>1.0019058973129336</v>
      </c>
    </row>
    <row r="110" spans="1:84" s="6" customFormat="1" ht="11.25" x14ac:dyDescent="0.2">
      <c r="A110" s="11">
        <v>43196</v>
      </c>
      <c r="B110" s="379">
        <f>'2022'!Maxi_hp</f>
        <v>58.925500878405153</v>
      </c>
      <c r="C110" s="13">
        <f>'2022'!An_max</f>
        <v>2020</v>
      </c>
      <c r="D110" s="1053">
        <f t="shared" si="59"/>
        <v>1.0469767205120204</v>
      </c>
      <c r="E110" s="13"/>
      <c r="F110" s="13">
        <f t="shared" si="76"/>
        <v>9</v>
      </c>
      <c r="G110" s="13">
        <f t="shared" si="60"/>
        <v>8</v>
      </c>
      <c r="H110" s="172">
        <f t="shared" si="61"/>
        <v>43206</v>
      </c>
      <c r="I110" s="753">
        <f t="shared" si="62"/>
        <v>0.7142857142857143</v>
      </c>
      <c r="J110" s="746">
        <f t="shared" si="63"/>
        <v>56.281576967239381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46">
        <v>43196</v>
      </c>
      <c r="AP110" s="13">
        <f t="shared" si="64"/>
        <v>5</v>
      </c>
      <c r="AQ110" s="13">
        <f t="shared" si="65"/>
        <v>6</v>
      </c>
      <c r="AR110" s="172">
        <f t="shared" si="66"/>
        <v>43192</v>
      </c>
      <c r="AS110" s="753">
        <f t="shared" si="67"/>
        <v>0.14285714285714285</v>
      </c>
      <c r="AT110" s="769">
        <f t="shared" si="68"/>
        <v>56.212524781269693</v>
      </c>
      <c r="AU110" s="13">
        <f t="shared" si="69"/>
        <v>5</v>
      </c>
      <c r="AV110" s="13">
        <f t="shared" si="70"/>
        <v>4</v>
      </c>
      <c r="AW110" s="172">
        <f t="shared" si="71"/>
        <v>43206</v>
      </c>
      <c r="AX110" s="753">
        <f t="shared" si="72"/>
        <v>0.35714285714285715</v>
      </c>
      <c r="AY110" s="769">
        <f t="shared" si="73"/>
        <v>56.153548724550227</v>
      </c>
      <c r="AZ110" s="746">
        <f t="shared" si="77"/>
        <v>56.183036752909956</v>
      </c>
      <c r="BA110" s="641">
        <f t="shared" si="74"/>
        <v>1.0469767205120204</v>
      </c>
      <c r="BC110" s="11">
        <v>43196</v>
      </c>
      <c r="BD110" s="289">
        <f>[2]!FeuilCaduc*(1-Persistant)+Persistant</f>
        <v>0.621935238012983</v>
      </c>
      <c r="BE110" s="290">
        <f>[2]!CroissVégét</f>
        <v>6.3411438498040387E-2</v>
      </c>
      <c r="BF110" s="819">
        <f>1+[2]!Salcycl*Ksac</f>
        <v>1.0027419047516228</v>
      </c>
      <c r="BH110" s="1044">
        <f t="shared" si="75"/>
        <v>8.3315036000880718E-3</v>
      </c>
      <c r="BI110" s="11">
        <v>44292</v>
      </c>
      <c r="BJ110" s="726">
        <v>1.6863807805892611E-3</v>
      </c>
      <c r="BK110" s="726">
        <v>2.2696718179651288E-3</v>
      </c>
      <c r="BL110" s="726">
        <v>3.1941431224916262E-3</v>
      </c>
      <c r="BM110" s="726">
        <v>4.7322936269203674E-3</v>
      </c>
      <c r="BN110" s="726">
        <v>6.879252972936652E-3</v>
      </c>
      <c r="BO110" s="727">
        <v>9.5948784262424348E-3</v>
      </c>
      <c r="BP110" s="726">
        <v>1.3277634998044269E-2</v>
      </c>
      <c r="BQ110" s="726">
        <v>1.7954626173836211E-2</v>
      </c>
      <c r="BR110" s="726">
        <v>2.3231431692422734E-2</v>
      </c>
      <c r="BS110" s="726">
        <v>2.845843898983224E-2</v>
      </c>
      <c r="BT110" s="726">
        <v>3.3522732241463793E-2</v>
      </c>
      <c r="BW110" s="1208">
        <f>'2018'!R\Max</f>
        <v>0</v>
      </c>
      <c r="BX110" s="1206">
        <f>'2019'!R\Max</f>
        <v>0.41392107291196018</v>
      </c>
      <c r="BY110" s="1206">
        <f>'2020'!R\Max</f>
        <v>1.0469767205120204</v>
      </c>
      <c r="BZ110" s="1206">
        <f>'2021'!R\Max</f>
        <v>0.57945904246453506</v>
      </c>
      <c r="CA110" s="1206">
        <f>'2022'!R\Max</f>
        <v>0.22290949646018751</v>
      </c>
      <c r="CB110" s="1206">
        <f>'2023'!R\Max</f>
        <v>0.22289665441685161</v>
      </c>
      <c r="CC110" s="1206">
        <f>'2024'!R\Max</f>
        <v>0.2228810985228982</v>
      </c>
      <c r="CD110" s="1206">
        <f>'2025'!R\Max</f>
        <v>0.22295415960066867</v>
      </c>
      <c r="CE110" s="1206">
        <f>'2026'!R\Max</f>
        <v>0.22294512730191485</v>
      </c>
      <c r="CF110" s="1207">
        <f>'2027'!R\Max</f>
        <v>0.22293460666534237</v>
      </c>
    </row>
    <row r="111" spans="1:84" s="6" customFormat="1" ht="11.25" x14ac:dyDescent="0.2">
      <c r="A111" s="11">
        <v>43197</v>
      </c>
      <c r="B111" s="379">
        <f>'2022'!Maxi_hp</f>
        <v>56.811227959193118</v>
      </c>
      <c r="C111" s="13">
        <f>'2022'!An_max</f>
        <v>2021</v>
      </c>
      <c r="D111" s="1053">
        <f t="shared" si="59"/>
        <v>1.0053031240391095</v>
      </c>
      <c r="E111" s="13"/>
      <c r="F111" s="13">
        <f t="shared" si="76"/>
        <v>9</v>
      </c>
      <c r="G111" s="13">
        <f t="shared" si="60"/>
        <v>8</v>
      </c>
      <c r="H111" s="172">
        <f t="shared" si="61"/>
        <v>43206</v>
      </c>
      <c r="I111" s="753">
        <f t="shared" si="62"/>
        <v>0.6428571428571429</v>
      </c>
      <c r="J111" s="746">
        <f t="shared" si="63"/>
        <v>56.511540251597765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46">
        <v>43197</v>
      </c>
      <c r="AP111" s="13">
        <f t="shared" si="64"/>
        <v>5</v>
      </c>
      <c r="AQ111" s="13">
        <f t="shared" si="65"/>
        <v>6</v>
      </c>
      <c r="AR111" s="172">
        <f t="shared" si="66"/>
        <v>43192</v>
      </c>
      <c r="AS111" s="753">
        <f t="shared" si="67"/>
        <v>0.17857142857142858</v>
      </c>
      <c r="AT111" s="769">
        <f t="shared" si="68"/>
        <v>56.426443904452029</v>
      </c>
      <c r="AU111" s="13">
        <f t="shared" si="69"/>
        <v>5</v>
      </c>
      <c r="AV111" s="13">
        <f t="shared" si="70"/>
        <v>4</v>
      </c>
      <c r="AW111" s="172">
        <f t="shared" si="71"/>
        <v>43206</v>
      </c>
      <c r="AX111" s="753">
        <f t="shared" si="72"/>
        <v>0.32142857142857145</v>
      </c>
      <c r="AY111" s="769">
        <f t="shared" si="73"/>
        <v>56.39940267879782</v>
      </c>
      <c r="AZ111" s="746">
        <f t="shared" si="77"/>
        <v>56.412923291624921</v>
      </c>
      <c r="BA111" s="641">
        <f t="shared" si="74"/>
        <v>1.0053031240391095</v>
      </c>
      <c r="BC111" s="11">
        <v>43197</v>
      </c>
      <c r="BD111" s="289">
        <f>[2]!FeuilCaduc*(1-Persistant)+Persistant</f>
        <v>0.62351304558212872</v>
      </c>
      <c r="BE111" s="290">
        <f>[2]!CroissVégét</f>
        <v>6.5947331619938404E-2</v>
      </c>
      <c r="BF111" s="819">
        <f>1+[2]!Salcycl*Ksac</f>
        <v>1.0029391306977662</v>
      </c>
      <c r="BH111" s="1044">
        <f t="shared" si="75"/>
        <v>7.7958700986343766E-3</v>
      </c>
      <c r="BI111" s="11">
        <v>44293</v>
      </c>
      <c r="BJ111" s="726">
        <v>1.494617088246287E-3</v>
      </c>
      <c r="BK111" s="726">
        <v>2.0156908552302101E-3</v>
      </c>
      <c r="BL111" s="726">
        <v>2.8599117592151332E-3</v>
      </c>
      <c r="BM111" s="726">
        <v>4.3120999900628986E-3</v>
      </c>
      <c r="BN111" s="726">
        <v>6.3776309579317743E-3</v>
      </c>
      <c r="BO111" s="727">
        <v>9.0296568805654023E-3</v>
      </c>
      <c r="BP111" s="726">
        <v>1.2685967663343047E-2</v>
      </c>
      <c r="BQ111" s="726">
        <v>1.7347428728821109E-2</v>
      </c>
      <c r="BR111" s="726">
        <v>2.2658579930895817E-2</v>
      </c>
      <c r="BS111" s="726">
        <v>2.7938011170257151E-2</v>
      </c>
      <c r="BT111" s="726">
        <v>3.3092344839310867E-2</v>
      </c>
      <c r="BW111" s="1208">
        <f>'2018'!R\Max</f>
        <v>0</v>
      </c>
      <c r="BX111" s="1206">
        <f>'2019'!R\Max</f>
        <v>0.62450089061732716</v>
      </c>
      <c r="BY111" s="1206">
        <f>'2020'!R\Max</f>
        <v>0.56547293316337721</v>
      </c>
      <c r="BZ111" s="1206">
        <f>'2021'!R\Max</f>
        <v>1.0053031240391095</v>
      </c>
      <c r="CA111" s="1206">
        <f>'2022'!R\Max</f>
        <v>0.75925852518006387</v>
      </c>
      <c r="CB111" s="1206">
        <f>'2023'!R\Max</f>
        <v>0.75924359101060535</v>
      </c>
      <c r="CC111" s="1206">
        <f>'2024'!R\Max</f>
        <v>0.75922545639693528</v>
      </c>
      <c r="CD111" s="1206">
        <f>'2025'!R\Max</f>
        <v>0.75931012376566953</v>
      </c>
      <c r="CE111" s="1206">
        <f>'2026'!R\Max</f>
        <v>0.75929981016639092</v>
      </c>
      <c r="CF111" s="1207">
        <f>'2027'!R\Max</f>
        <v>0.75928767889961091</v>
      </c>
    </row>
    <row r="112" spans="1:84" s="6" customFormat="1" ht="11.25" x14ac:dyDescent="0.2">
      <c r="A112" s="11">
        <v>43198</v>
      </c>
      <c r="B112" s="379">
        <f>'2022'!Maxi_hp</f>
        <v>54.816109955651925</v>
      </c>
      <c r="C112" s="13">
        <f>'2022'!An_max</f>
        <v>2021</v>
      </c>
      <c r="D112" s="1053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72">
        <f t="shared" si="61"/>
        <v>43206</v>
      </c>
      <c r="I112" s="753">
        <f t="shared" si="62"/>
        <v>0.5714285714285714</v>
      </c>
      <c r="J112" s="746">
        <f t="shared" si="63"/>
        <v>56.734894460865426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46">
        <v>43198</v>
      </c>
      <c r="AP112" s="13">
        <f t="shared" si="64"/>
        <v>5</v>
      </c>
      <c r="AQ112" s="13">
        <f t="shared" si="65"/>
        <v>6</v>
      </c>
      <c r="AR112" s="172">
        <f t="shared" si="66"/>
        <v>43192</v>
      </c>
      <c r="AS112" s="753">
        <f t="shared" si="67"/>
        <v>0.21428571428571427</v>
      </c>
      <c r="AT112" s="769">
        <f t="shared" si="68"/>
        <v>56.634566544528511</v>
      </c>
      <c r="AU112" s="13">
        <f t="shared" si="69"/>
        <v>5</v>
      </c>
      <c r="AV112" s="13">
        <f t="shared" si="70"/>
        <v>4</v>
      </c>
      <c r="AW112" s="172">
        <f t="shared" si="71"/>
        <v>43206</v>
      </c>
      <c r="AX112" s="753">
        <f t="shared" si="72"/>
        <v>0.2857142857142857</v>
      </c>
      <c r="AY112" s="769">
        <f t="shared" si="73"/>
        <v>56.638683673632997</v>
      </c>
      <c r="AZ112" s="746">
        <f t="shared" si="77"/>
        <v>56.636625109080754</v>
      </c>
      <c r="BA112" s="641">
        <f t="shared" si="74"/>
        <v>0.9661798171399254</v>
      </c>
      <c r="BC112" s="11">
        <v>43198</v>
      </c>
      <c r="BD112" s="289">
        <f>[2]!FeuilCaduc*(1-Persistant)+Persistant</f>
        <v>0.6251827850620636</v>
      </c>
      <c r="BE112" s="290">
        <f>[2]!CroissVégét</f>
        <v>6.8575048275425571E-2</v>
      </c>
      <c r="BF112" s="819">
        <f>1+[2]!Salcycl*Ksac</f>
        <v>1.003147848132758</v>
      </c>
      <c r="BH112" s="1044">
        <f t="shared" si="75"/>
        <v>7.2750298362439583E-3</v>
      </c>
      <c r="BI112" s="11">
        <v>44294</v>
      </c>
      <c r="BJ112" s="726">
        <v>1.3206346219824438E-3</v>
      </c>
      <c r="BK112" s="726">
        <v>1.7828171585475313E-3</v>
      </c>
      <c r="BL112" s="726">
        <v>2.5484024123658142E-3</v>
      </c>
      <c r="BM112" s="726">
        <v>3.9119771860348668E-3</v>
      </c>
      <c r="BN112" s="726">
        <v>5.8927713053571152E-3</v>
      </c>
      <c r="BO112" s="727">
        <v>8.4775155494606416E-3</v>
      </c>
      <c r="BP112" s="726">
        <v>1.2108519186768463E-2</v>
      </c>
      <c r="BQ112" s="726">
        <v>1.6746934254114769E-2</v>
      </c>
      <c r="BR112" s="726">
        <v>2.2086243801824199E-2</v>
      </c>
      <c r="BS112" s="726">
        <v>2.7413480965503192E-2</v>
      </c>
      <c r="BT112" s="726">
        <v>3.2665041552382416E-2</v>
      </c>
      <c r="BW112" s="1208">
        <f>'2018'!R\Max</f>
        <v>0</v>
      </c>
      <c r="BX112" s="1206">
        <f>'2019'!R\Max</f>
        <v>0.62381197306089509</v>
      </c>
      <c r="BY112" s="1206">
        <f>'2020'!R\Max</f>
        <v>0.60045323132781436</v>
      </c>
      <c r="BZ112" s="1206">
        <f>'2021'!R\Max</f>
        <v>0.9661798171399254</v>
      </c>
      <c r="CA112" s="1206">
        <f>'2022'!R\Max</f>
        <v>0.60016405315721344</v>
      </c>
      <c r="CB112" s="1206">
        <f>'2023'!R\Max</f>
        <v>0.60014458566049489</v>
      </c>
      <c r="CC112" s="1206">
        <f>'2024'!R\Max</f>
        <v>0.6001209266588885</v>
      </c>
      <c r="CD112" s="1206">
        <f>'2025'!R\Max</f>
        <v>0.60023087356241056</v>
      </c>
      <c r="CE112" s="1206">
        <f>'2026'!R\Max</f>
        <v>0.60021769266685843</v>
      </c>
      <c r="CF112" s="1207">
        <f>'2027'!R\Max</f>
        <v>0.60020201503416382</v>
      </c>
    </row>
    <row r="113" spans="1:84" s="6" customFormat="1" ht="11.25" x14ac:dyDescent="0.2">
      <c r="A113" s="11">
        <v>43199</v>
      </c>
      <c r="B113" s="379">
        <f>'2022'!Maxi_hp</f>
        <v>51.284257833174017</v>
      </c>
      <c r="C113" s="13">
        <f>'2022'!An_max</f>
        <v>2020</v>
      </c>
      <c r="D113" s="1053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2">
        <f t="shared" si="61"/>
        <v>43206</v>
      </c>
      <c r="I113" s="753">
        <f t="shared" si="62"/>
        <v>0.5</v>
      </c>
      <c r="J113" s="746">
        <f t="shared" si="63"/>
        <v>56.951531249657272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46">
        <v>43199</v>
      </c>
      <c r="AP113" s="13">
        <f t="shared" si="64"/>
        <v>5</v>
      </c>
      <c r="AQ113" s="13">
        <f t="shared" si="65"/>
        <v>6</v>
      </c>
      <c r="AR113" s="172">
        <f t="shared" si="66"/>
        <v>43192</v>
      </c>
      <c r="AS113" s="753">
        <f t="shared" si="67"/>
        <v>0.25</v>
      </c>
      <c r="AT113" s="769">
        <f t="shared" si="68"/>
        <v>56.836946874856949</v>
      </c>
      <c r="AU113" s="13">
        <f t="shared" si="69"/>
        <v>5</v>
      </c>
      <c r="AV113" s="13">
        <f t="shared" si="70"/>
        <v>4</v>
      </c>
      <c r="AW113" s="172">
        <f t="shared" si="71"/>
        <v>43206</v>
      </c>
      <c r="AX113" s="753">
        <f t="shared" si="72"/>
        <v>0.25</v>
      </c>
      <c r="AY113" s="769">
        <f t="shared" si="73"/>
        <v>56.871012500114738</v>
      </c>
      <c r="AZ113" s="746">
        <f t="shared" si="77"/>
        <v>56.853979687485847</v>
      </c>
      <c r="BA113" s="641">
        <f t="shared" si="74"/>
        <v>0.9004895339575727</v>
      </c>
      <c r="BC113" s="11">
        <v>43199</v>
      </c>
      <c r="BD113" s="289">
        <f>[2]!FeuilCaduc*(1-Persistant)+Persistant</f>
        <v>0.62694673801645262</v>
      </c>
      <c r="BE113" s="290">
        <f>[2]!CroissVégét</f>
        <v>7.1297326250557638E-2</v>
      </c>
      <c r="BF113" s="819">
        <f>1+[2]!Salcycl*Ksac</f>
        <v>1.0033683422520565</v>
      </c>
      <c r="BH113" s="1044">
        <f t="shared" si="75"/>
        <v>6.7689849438718804E-3</v>
      </c>
      <c r="BI113" s="11">
        <v>44295</v>
      </c>
      <c r="BJ113" s="726">
        <v>1.1644307119960129E-3</v>
      </c>
      <c r="BK113" s="726">
        <v>1.5710479340754085E-3</v>
      </c>
      <c r="BL113" s="726">
        <v>2.2596128979100014E-3</v>
      </c>
      <c r="BM113" s="726">
        <v>3.531924858390571E-3</v>
      </c>
      <c r="BN113" s="726">
        <v>5.4246754124335321E-3</v>
      </c>
      <c r="BO113" s="727">
        <v>7.9384572021899327E-3</v>
      </c>
      <c r="BP113" s="726">
        <v>1.1545291257029112E-2</v>
      </c>
      <c r="BQ113" s="726">
        <v>1.6153145514975695E-2</v>
      </c>
      <c r="BR113" s="726">
        <v>2.1514425667921944E-2</v>
      </c>
      <c r="BS113" s="726">
        <v>2.688484955051576E-2</v>
      </c>
      <c r="BT113" s="726">
        <v>3.2240818118097127E-2</v>
      </c>
      <c r="BW113" s="1208">
        <f>'2018'!R\Max</f>
        <v>0</v>
      </c>
      <c r="BX113" s="1206">
        <f>'2019'!R\Max</f>
        <v>0.83915374484109684</v>
      </c>
      <c r="BY113" s="1206">
        <f>'2020'!R\Max</f>
        <v>0.9004895339575727</v>
      </c>
      <c r="BZ113" s="1206">
        <f>'2021'!R\Max</f>
        <v>0.58329714312629366</v>
      </c>
      <c r="CA113" s="1206">
        <f>'2022'!R\Max</f>
        <v>0.67742882159437501</v>
      </c>
      <c r="CB113" s="1206">
        <f>'2023'!R\Max</f>
        <v>0.67741121658966441</v>
      </c>
      <c r="CC113" s="1206">
        <f>'2024'!R\Max</f>
        <v>0.67738983503696604</v>
      </c>
      <c r="CD113" s="1206">
        <f>'2025'!R\Max</f>
        <v>0.67748883495652079</v>
      </c>
      <c r="CE113" s="1206">
        <f>'2026'!R\Max</f>
        <v>0.67747717372756577</v>
      </c>
      <c r="CF113" s="1207">
        <f>'2027'!R\Max</f>
        <v>0.67746312579462775</v>
      </c>
    </row>
    <row r="114" spans="1:84" s="6" customFormat="1" ht="11.25" x14ac:dyDescent="0.2">
      <c r="A114" s="11">
        <v>43200</v>
      </c>
      <c r="B114" s="379">
        <f>'2022'!Maxi_hp</f>
        <v>57.431465085598646</v>
      </c>
      <c r="C114" s="13">
        <f>'2022'!An_max</f>
        <v>2022</v>
      </c>
      <c r="D114" s="1053">
        <f t="shared" si="59"/>
        <v>1.0047256205209432</v>
      </c>
      <c r="E114" s="13"/>
      <c r="F114" s="13">
        <f t="shared" si="76"/>
        <v>9</v>
      </c>
      <c r="G114" s="13">
        <f t="shared" si="60"/>
        <v>8</v>
      </c>
      <c r="H114" s="172">
        <f t="shared" si="61"/>
        <v>43206</v>
      </c>
      <c r="I114" s="753">
        <f t="shared" si="62"/>
        <v>0.42857142857142855</v>
      </c>
      <c r="J114" s="746">
        <f t="shared" si="63"/>
        <v>57.161342273546119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46">
        <v>43200</v>
      </c>
      <c r="AP114" s="13">
        <f t="shared" si="64"/>
        <v>5</v>
      </c>
      <c r="AQ114" s="13">
        <f t="shared" si="65"/>
        <v>6</v>
      </c>
      <c r="AR114" s="172">
        <f t="shared" si="66"/>
        <v>43192</v>
      </c>
      <c r="AS114" s="753">
        <f t="shared" si="67"/>
        <v>0.2857142857142857</v>
      </c>
      <c r="AT114" s="769">
        <f t="shared" si="68"/>
        <v>57.033639067092111</v>
      </c>
      <c r="AU114" s="13">
        <f t="shared" si="69"/>
        <v>5</v>
      </c>
      <c r="AV114" s="13">
        <f t="shared" si="70"/>
        <v>4</v>
      </c>
      <c r="AW114" s="172">
        <f t="shared" si="71"/>
        <v>43206</v>
      </c>
      <c r="AX114" s="753">
        <f t="shared" si="72"/>
        <v>0.21428571428571427</v>
      </c>
      <c r="AY114" s="769">
        <f t="shared" si="73"/>
        <v>57.096009949009328</v>
      </c>
      <c r="AZ114" s="746">
        <f t="shared" si="77"/>
        <v>57.064824508050719</v>
      </c>
      <c r="BA114" s="641">
        <f t="shared" si="74"/>
        <v>1.0047256205209432</v>
      </c>
      <c r="BC114" s="11">
        <v>43200</v>
      </c>
      <c r="BD114" s="289">
        <f>[2]!FeuilCaduc*(1-Persistant)+Persistant</f>
        <v>0.62880708605991731</v>
      </c>
      <c r="BE114" s="290">
        <f>[2]!CroissVégét</f>
        <v>7.4116938463242688E-2</v>
      </c>
      <c r="BF114" s="819">
        <f>1+[2]!Salcycl*Ksac</f>
        <v>1.0036008857574896</v>
      </c>
      <c r="BH114" s="1044">
        <f t="shared" si="75"/>
        <v>6.298253229012148E-3</v>
      </c>
      <c r="BI114" s="11">
        <v>44296</v>
      </c>
      <c r="BJ114" s="726">
        <v>1.0301090449978268E-3</v>
      </c>
      <c r="BK114" s="726">
        <v>1.3868906844781053E-3</v>
      </c>
      <c r="BL114" s="726">
        <v>2.0038617042656944E-3</v>
      </c>
      <c r="BM114" s="726">
        <v>3.1875756465636696E-3</v>
      </c>
      <c r="BN114" s="726">
        <v>4.9929587516213993E-3</v>
      </c>
      <c r="BO114" s="727">
        <v>7.4337846260193168E-3</v>
      </c>
      <c r="BP114" s="726">
        <v>1.1009736882600188E-2</v>
      </c>
      <c r="BQ114" s="726">
        <v>1.5573050500164822E-2</v>
      </c>
      <c r="BR114" s="726">
        <v>2.0940147885336248E-2</v>
      </c>
      <c r="BS114" s="726">
        <v>2.6342548627537835E-2</v>
      </c>
      <c r="BT114" s="726">
        <v>3.1798466395646152E-2</v>
      </c>
      <c r="BW114" s="1208">
        <f>'2018'!R\Max</f>
        <v>0</v>
      </c>
      <c r="BX114" s="1206">
        <f>'2019'!R\Max</f>
        <v>0.51792588538420048</v>
      </c>
      <c r="BY114" s="1206">
        <f>'2020'!R\Max</f>
        <v>0.99265270240379144</v>
      </c>
      <c r="BZ114" s="1206">
        <f>'2021'!R\Max</f>
        <v>0.55312639087176674</v>
      </c>
      <c r="CA114" s="1206">
        <f>'2022'!R\Max</f>
        <v>1.0047256205209432</v>
      </c>
      <c r="CB114" s="1206">
        <f>'2023'!R\Max</f>
        <v>1.0047256205209432</v>
      </c>
      <c r="CC114" s="1206">
        <f>'2024'!R\Max</f>
        <v>1.0047256205209429</v>
      </c>
      <c r="CD114" s="1206">
        <f>'2025'!R\Max</f>
        <v>1.0047256205209432</v>
      </c>
      <c r="CE114" s="1206">
        <f>'2026'!R\Max</f>
        <v>1.0047256205209429</v>
      </c>
      <c r="CF114" s="1207">
        <f>'2027'!R\Max</f>
        <v>1.0047256205209432</v>
      </c>
    </row>
    <row r="115" spans="1:84" s="6" customFormat="1" ht="11.25" x14ac:dyDescent="0.2">
      <c r="A115" s="11">
        <v>43201</v>
      </c>
      <c r="B115" s="379">
        <f>'2022'!Maxi_hp</f>
        <v>57.80661489847374</v>
      </c>
      <c r="C115" s="13">
        <f>'2022'!An_max</f>
        <v>2020</v>
      </c>
      <c r="D115" s="1053">
        <f t="shared" si="59"/>
        <v>1.0077120497349965</v>
      </c>
      <c r="E115" s="13"/>
      <c r="F115" s="13">
        <f t="shared" si="76"/>
        <v>9</v>
      </c>
      <c r="G115" s="13">
        <f t="shared" si="60"/>
        <v>8</v>
      </c>
      <c r="H115" s="172">
        <f t="shared" si="61"/>
        <v>43206</v>
      </c>
      <c r="I115" s="753">
        <f t="shared" si="62"/>
        <v>0.35714285714285715</v>
      </c>
      <c r="J115" s="746">
        <f t="shared" si="63"/>
        <v>57.364219187093639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46">
        <v>43201</v>
      </c>
      <c r="AP115" s="13">
        <f t="shared" si="64"/>
        <v>5</v>
      </c>
      <c r="AQ115" s="13">
        <f t="shared" si="65"/>
        <v>6</v>
      </c>
      <c r="AR115" s="172">
        <f t="shared" si="66"/>
        <v>43192</v>
      </c>
      <c r="AS115" s="753">
        <f t="shared" si="67"/>
        <v>0.32142857142857145</v>
      </c>
      <c r="AT115" s="769">
        <f t="shared" si="68"/>
        <v>57.224697293713689</v>
      </c>
      <c r="AU115" s="13">
        <f t="shared" si="69"/>
        <v>5</v>
      </c>
      <c r="AV115" s="13">
        <f t="shared" si="70"/>
        <v>4</v>
      </c>
      <c r="AW115" s="172">
        <f t="shared" si="71"/>
        <v>43206</v>
      </c>
      <c r="AX115" s="753">
        <f t="shared" si="72"/>
        <v>0.17857142857142858</v>
      </c>
      <c r="AY115" s="769">
        <f t="shared" si="73"/>
        <v>57.313296810790369</v>
      </c>
      <c r="AZ115" s="746">
        <f t="shared" si="77"/>
        <v>57.268997052252033</v>
      </c>
      <c r="BA115" s="641">
        <f t="shared" si="74"/>
        <v>1.0077120497349965</v>
      </c>
      <c r="BC115" s="11">
        <v>43201</v>
      </c>
      <c r="BD115" s="289">
        <f>[2]!FeuilCaduc*(1-Persistant)+Persistant</f>
        <v>0.63076590595284798</v>
      </c>
      <c r="BE115" s="290">
        <f>[2]!CroissVégét</f>
        <v>7.7036689395036897E-2</v>
      </c>
      <c r="BF115" s="819">
        <f>1+[2]!Salcycl*Ksac</f>
        <v>1.0038457382441059</v>
      </c>
      <c r="BH115" s="1044">
        <f t="shared" si="75"/>
        <v>5.8599368428106403E-3</v>
      </c>
      <c r="BI115" s="11">
        <v>44297</v>
      </c>
      <c r="BJ115" s="726">
        <v>9.0881434673614466E-4</v>
      </c>
      <c r="BK115" s="726">
        <v>1.221026964634611E-3</v>
      </c>
      <c r="BL115" s="726">
        <v>1.7731221969939479E-3</v>
      </c>
      <c r="BM115" s="726">
        <v>2.8734297623096458E-3</v>
      </c>
      <c r="BN115" s="726">
        <v>4.5943582752344218E-3</v>
      </c>
      <c r="BO115" s="727">
        <v>6.9609176741513889E-3</v>
      </c>
      <c r="BP115" s="726">
        <v>1.04970554128632E-2</v>
      </c>
      <c r="BQ115" s="726">
        <v>1.5003684425442122E-2</v>
      </c>
      <c r="BR115" s="726">
        <v>2.0360430695621688E-2</v>
      </c>
      <c r="BS115" s="726">
        <v>2.5783423827468944E-2</v>
      </c>
      <c r="BT115" s="726">
        <v>3.1328867925836737E-2</v>
      </c>
      <c r="BW115" s="1208">
        <f>'2018'!R\Max</f>
        <v>0</v>
      </c>
      <c r="BX115" s="1206">
        <f>'2019'!R\Max</f>
        <v>0.15527950290136497</v>
      </c>
      <c r="BY115" s="1206">
        <f>'2020'!R\Max</f>
        <v>1.0077120497349965</v>
      </c>
      <c r="BZ115" s="1206">
        <f>'2021'!R\Max</f>
        <v>0.12747225984298566</v>
      </c>
      <c r="CA115" s="1206">
        <f>'2022'!R\Max</f>
        <v>0.75981872628369673</v>
      </c>
      <c r="CB115" s="1206">
        <f>'2023'!R\Max</f>
        <v>0.75980431463368436</v>
      </c>
      <c r="CC115" s="1206">
        <f>'2024'!R\Max</f>
        <v>0.75978687004226853</v>
      </c>
      <c r="CD115" s="1206">
        <f>'2025'!R\Max</f>
        <v>0.75986725235737551</v>
      </c>
      <c r="CE115" s="1206">
        <f>'2026'!R\Max</f>
        <v>0.75985809480160182</v>
      </c>
      <c r="CF115" s="1207">
        <f>'2027'!R\Max</f>
        <v>0.75984678098528369</v>
      </c>
    </row>
    <row r="116" spans="1:84" s="6" customFormat="1" ht="11.25" x14ac:dyDescent="0.2">
      <c r="A116" s="11">
        <v>43202</v>
      </c>
      <c r="B116" s="379">
        <f>'2022'!Maxi_hp</f>
        <v>57.16977965777064</v>
      </c>
      <c r="C116" s="13">
        <f>'2022'!An_max</f>
        <v>2019</v>
      </c>
      <c r="D116" s="1053">
        <f t="shared" si="59"/>
        <v>0.99321970773393964</v>
      </c>
      <c r="E116" s="13"/>
      <c r="F116" s="13">
        <f t="shared" si="76"/>
        <v>9</v>
      </c>
      <c r="G116" s="13">
        <f t="shared" si="60"/>
        <v>8</v>
      </c>
      <c r="H116" s="172">
        <f t="shared" si="61"/>
        <v>43206</v>
      </c>
      <c r="I116" s="753">
        <f t="shared" si="62"/>
        <v>0.2857142857142857</v>
      </c>
      <c r="J116" s="746">
        <f t="shared" si="63"/>
        <v>57.560053644329308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46">
        <v>43202</v>
      </c>
      <c r="AP116" s="13">
        <f t="shared" si="64"/>
        <v>5</v>
      </c>
      <c r="AQ116" s="13">
        <f t="shared" si="65"/>
        <v>6</v>
      </c>
      <c r="AR116" s="172">
        <f t="shared" si="66"/>
        <v>43192</v>
      </c>
      <c r="AS116" s="753">
        <f t="shared" si="67"/>
        <v>0.35714285714285715</v>
      </c>
      <c r="AT116" s="769">
        <f t="shared" si="68"/>
        <v>57.410175728744697</v>
      </c>
      <c r="AU116" s="13">
        <f t="shared" si="69"/>
        <v>5</v>
      </c>
      <c r="AV116" s="13">
        <f t="shared" si="70"/>
        <v>4</v>
      </c>
      <c r="AW116" s="172">
        <f t="shared" si="71"/>
        <v>43206</v>
      </c>
      <c r="AX116" s="753">
        <f t="shared" si="72"/>
        <v>0.14285714285714285</v>
      </c>
      <c r="AY116" s="769">
        <f t="shared" si="73"/>
        <v>57.522493877368319</v>
      </c>
      <c r="AZ116" s="746">
        <f t="shared" si="77"/>
        <v>57.466334803056512</v>
      </c>
      <c r="BA116" s="641">
        <f t="shared" si="74"/>
        <v>0.99321970773393964</v>
      </c>
      <c r="BC116" s="11">
        <v>43202</v>
      </c>
      <c r="BD116" s="289">
        <f>[2]!FeuilCaduc*(1-Persistant)+Persistant</f>
        <v>0.63282516468404204</v>
      </c>
      <c r="BE116" s="290">
        <f>[2]!CroissVégét</f>
        <v>8.0059411132293548E-2</v>
      </c>
      <c r="BF116" s="819">
        <f>1+[2]!Salcycl*Ksac</f>
        <v>1.0041031455855052</v>
      </c>
      <c r="BH116" s="1044">
        <f t="shared" si="75"/>
        <v>5.4540313189267598E-3</v>
      </c>
      <c r="BI116" s="11">
        <v>44298</v>
      </c>
      <c r="BJ116" s="726">
        <v>8.0054420632486977E-4</v>
      </c>
      <c r="BK116" s="726">
        <v>1.0734533184445152E-3</v>
      </c>
      <c r="BL116" s="726">
        <v>1.5673896955407272E-3</v>
      </c>
      <c r="BM116" s="726">
        <v>2.589482018666153E-3</v>
      </c>
      <c r="BN116" s="726">
        <v>4.2288688990049939E-3</v>
      </c>
      <c r="BO116" s="727">
        <v>6.5198524178066404E-3</v>
      </c>
      <c r="BP116" s="726">
        <v>1.0007245654924212E-2</v>
      </c>
      <c r="BQ116" s="726">
        <v>1.4445049965815526E-2</v>
      </c>
      <c r="BR116" s="726">
        <v>1.9775280843018068E-2</v>
      </c>
      <c r="BS116" s="726">
        <v>2.5207483670346798E-2</v>
      </c>
      <c r="BT116" s="726">
        <v>3.0832031265856642E-2</v>
      </c>
      <c r="BW116" s="1208">
        <f>'2018'!R\Max</f>
        <v>0</v>
      </c>
      <c r="BX116" s="1206">
        <f>'2019'!R\Max</f>
        <v>0.99321970773393964</v>
      </c>
      <c r="BY116" s="1206">
        <f>'2020'!R\Max</f>
        <v>0.98779227985253459</v>
      </c>
      <c r="BZ116" s="1206">
        <f>'2021'!R\Max</f>
        <v>0.80074098298822571</v>
      </c>
      <c r="CA116" s="1206">
        <f>'2022'!R\Max</f>
        <v>0.67514341041250492</v>
      </c>
      <c r="CB116" s="1206">
        <f>'2023'!R\Max</f>
        <v>0.67512632433769049</v>
      </c>
      <c r="CC116" s="1206">
        <f>'2024'!R\Max</f>
        <v>0.67510568287921002</v>
      </c>
      <c r="CD116" s="1206">
        <f>'2025'!R\Max</f>
        <v>0.67520063118779072</v>
      </c>
      <c r="CE116" s="1206">
        <f>'2026'!R\Max</f>
        <v>0.67518997807899506</v>
      </c>
      <c r="CF116" s="1207">
        <f>'2027'!R\Max</f>
        <v>0.67517665772565438</v>
      </c>
    </row>
    <row r="117" spans="1:84" s="6" customFormat="1" ht="11.25" x14ac:dyDescent="0.2">
      <c r="A117" s="11">
        <v>43203</v>
      </c>
      <c r="B117" s="379">
        <f>'2022'!Maxi_hp</f>
        <v>58.311942637393507</v>
      </c>
      <c r="C117" s="13">
        <f>'2022'!An_max</f>
        <v>2019</v>
      </c>
      <c r="D117" s="1053">
        <f t="shared" si="59"/>
        <v>1.0097526866310433</v>
      </c>
      <c r="E117" s="13"/>
      <c r="F117" s="13">
        <f t="shared" si="76"/>
        <v>9</v>
      </c>
      <c r="G117" s="13">
        <f t="shared" si="60"/>
        <v>8</v>
      </c>
      <c r="H117" s="172">
        <f t="shared" si="61"/>
        <v>43206</v>
      </c>
      <c r="I117" s="753">
        <f t="shared" si="62"/>
        <v>0.21428571428571427</v>
      </c>
      <c r="J117" s="746">
        <f t="shared" si="63"/>
        <v>57.748737299176199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46">
        <v>43203</v>
      </c>
      <c r="AP117" s="13">
        <f t="shared" si="64"/>
        <v>5</v>
      </c>
      <c r="AQ117" s="13">
        <f t="shared" si="65"/>
        <v>6</v>
      </c>
      <c r="AR117" s="172">
        <f t="shared" si="66"/>
        <v>43192</v>
      </c>
      <c r="AS117" s="753">
        <f t="shared" si="67"/>
        <v>0.39285714285714285</v>
      </c>
      <c r="AT117" s="769">
        <f t="shared" si="68"/>
        <v>57.590128544611595</v>
      </c>
      <c r="AU117" s="13">
        <f t="shared" si="69"/>
        <v>5</v>
      </c>
      <c r="AV117" s="13">
        <f t="shared" si="70"/>
        <v>4</v>
      </c>
      <c r="AW117" s="172">
        <f t="shared" si="71"/>
        <v>43206</v>
      </c>
      <c r="AX117" s="753">
        <f t="shared" si="72"/>
        <v>0.10714285714285714</v>
      </c>
      <c r="AY117" s="769">
        <f t="shared" si="73"/>
        <v>57.723221938884159</v>
      </c>
      <c r="AZ117" s="746">
        <f t="shared" si="77"/>
        <v>57.656675241747877</v>
      </c>
      <c r="BA117" s="641">
        <f t="shared" si="74"/>
        <v>1.0097526866310433</v>
      </c>
      <c r="BC117" s="11">
        <v>43203</v>
      </c>
      <c r="BD117" s="289">
        <f>[2]!FeuilCaduc*(1-Persistant)+Persistant</f>
        <v>0.63498671450013544</v>
      </c>
      <c r="BE117" s="290">
        <f>[2]!CroissVégét</f>
        <v>8.3187958998136649E-2</v>
      </c>
      <c r="BF117" s="819">
        <f>1+[2]!Salcycl*Ksac</f>
        <v>1.0043733393125169</v>
      </c>
      <c r="BH117" s="1044">
        <f t="shared" si="75"/>
        <v>5.0805314135536558E-3</v>
      </c>
      <c r="BI117" s="11">
        <v>44299</v>
      </c>
      <c r="BJ117" s="726">
        <v>7.0529583015151479E-4</v>
      </c>
      <c r="BK117" s="726">
        <v>9.4416574660124313E-4</v>
      </c>
      <c r="BL117" s="726">
        <v>1.3866587817362077E-3</v>
      </c>
      <c r="BM117" s="726">
        <v>2.3357263835324326E-3</v>
      </c>
      <c r="BN117" s="726">
        <v>3.8964846814021816E-3</v>
      </c>
      <c r="BO117" s="727">
        <v>6.1105842201581882E-3</v>
      </c>
      <c r="BP117" s="726">
        <v>9.5403061274757679E-3</v>
      </c>
      <c r="BQ117" s="726">
        <v>1.389715008179703E-2</v>
      </c>
      <c r="BR117" s="726">
        <v>1.9184706037502119E-2</v>
      </c>
      <c r="BS117" s="726">
        <v>2.4614738084202906E-2</v>
      </c>
      <c r="BT117" s="726">
        <v>3.0307966694229121E-2</v>
      </c>
      <c r="BW117" s="1208">
        <f>'2018'!R\Max</f>
        <v>0</v>
      </c>
      <c r="BX117" s="1206">
        <f>'2019'!R\Max</f>
        <v>1.0097526866310433</v>
      </c>
      <c r="BY117" s="1206">
        <f>'2020'!R\Max</f>
        <v>0.7857614607279596</v>
      </c>
      <c r="BZ117" s="1206">
        <f>'2021'!R\Max</f>
        <v>0.88539602340327594</v>
      </c>
      <c r="CA117" s="1206">
        <f>'2022'!R\Max</f>
        <v>0.13245471260546626</v>
      </c>
      <c r="CB117" s="1206">
        <f>'2023'!R\Max</f>
        <v>0.13244760492761826</v>
      </c>
      <c r="CC117" s="1206">
        <f>'2024'!R\Max</f>
        <v>0.13243903704706958</v>
      </c>
      <c r="CD117" s="1206">
        <f>'2025'!R\Max</f>
        <v>0.13247840056894072</v>
      </c>
      <c r="CE117" s="1206">
        <f>'2026'!R\Max</f>
        <v>0.13247404646753849</v>
      </c>
      <c r="CF117" s="1207">
        <f>'2027'!R\Max</f>
        <v>0.13246853900586933</v>
      </c>
    </row>
    <row r="118" spans="1:84" s="6" customFormat="1" ht="11.25" x14ac:dyDescent="0.2">
      <c r="A118" s="11">
        <v>43204</v>
      </c>
      <c r="B118" s="379">
        <f>'2022'!Maxi_hp</f>
        <v>57.317133350603086</v>
      </c>
      <c r="C118" s="13">
        <f>'2022'!An_max</f>
        <v>2021</v>
      </c>
      <c r="D118" s="1053">
        <f t="shared" si="59"/>
        <v>0.98941780174871941</v>
      </c>
      <c r="E118" s="13"/>
      <c r="F118" s="13">
        <f t="shared" si="76"/>
        <v>9</v>
      </c>
      <c r="G118" s="13">
        <f t="shared" si="60"/>
        <v>8</v>
      </c>
      <c r="H118" s="172">
        <f t="shared" si="61"/>
        <v>43206</v>
      </c>
      <c r="I118" s="753">
        <f t="shared" si="62"/>
        <v>0.14285714285714285</v>
      </c>
      <c r="J118" s="746">
        <f t="shared" si="63"/>
        <v>57.930161807579658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46">
        <v>43204</v>
      </c>
      <c r="AP118" s="13">
        <f t="shared" si="64"/>
        <v>5</v>
      </c>
      <c r="AQ118" s="13">
        <f t="shared" si="65"/>
        <v>6</v>
      </c>
      <c r="AR118" s="172">
        <f t="shared" si="66"/>
        <v>43192</v>
      </c>
      <c r="AS118" s="753">
        <f t="shared" si="67"/>
        <v>0.42857142857142855</v>
      </c>
      <c r="AT118" s="769">
        <f t="shared" si="68"/>
        <v>57.764609912782909</v>
      </c>
      <c r="AU118" s="13">
        <f t="shared" si="69"/>
        <v>5</v>
      </c>
      <c r="AV118" s="13">
        <f t="shared" si="70"/>
        <v>4</v>
      </c>
      <c r="AW118" s="172">
        <f t="shared" si="71"/>
        <v>43206</v>
      </c>
      <c r="AX118" s="753">
        <f t="shared" si="72"/>
        <v>7.1428571428571425E-2</v>
      </c>
      <c r="AY118" s="769">
        <f t="shared" si="73"/>
        <v>57.915101785585286</v>
      </c>
      <c r="AZ118" s="746">
        <f t="shared" si="77"/>
        <v>57.839855849184097</v>
      </c>
      <c r="BA118" s="641">
        <f t="shared" si="74"/>
        <v>0.98941780174871941</v>
      </c>
      <c r="BC118" s="11">
        <v>43204</v>
      </c>
      <c r="BD118" s="289">
        <f>[2]!FeuilCaduc*(1-Persistant)+Persistant</f>
        <v>0.63725228784333743</v>
      </c>
      <c r="BE118" s="290">
        <f>[2]!CroissVégét</f>
        <v>8.6425206757263798E-2</v>
      </c>
      <c r="BF118" s="819">
        <f>1+[2]!Salcycl*Ksac</f>
        <v>1.0046565359804172</v>
      </c>
      <c r="BH118" s="1044">
        <f t="shared" si="75"/>
        <v>4.7394310015794697E-3</v>
      </c>
      <c r="BI118" s="11">
        <v>44300</v>
      </c>
      <c r="BJ118" s="726">
        <v>6.2306600015233965E-4</v>
      </c>
      <c r="BK118" s="726">
        <v>8.3315964799712122E-4</v>
      </c>
      <c r="BL118" s="726">
        <v>1.230923219680935E-3</v>
      </c>
      <c r="BM118" s="726">
        <v>2.1121558829290815E-3</v>
      </c>
      <c r="BN118" s="726">
        <v>3.5971987175557616E-3</v>
      </c>
      <c r="BO118" s="727">
        <v>5.7331076344392679E-3</v>
      </c>
      <c r="BP118" s="726">
        <v>9.0962349874748258E-3</v>
      </c>
      <c r="BQ118" s="726">
        <v>1.3359987984933045E-2</v>
      </c>
      <c r="BR118" s="726">
        <v>1.8588714972018822E-2</v>
      </c>
      <c r="BS118" s="726">
        <v>2.4005198458626847E-2</v>
      </c>
      <c r="BT118" s="726">
        <v>2.975668629757278E-2</v>
      </c>
      <c r="BW118" s="1208">
        <f>'2018'!R\Max</f>
        <v>0</v>
      </c>
      <c r="BX118" s="1206">
        <f>'2019'!R\Max</f>
        <v>0.46896118827265787</v>
      </c>
      <c r="BY118" s="1206">
        <f>'2020'!R\Max</f>
        <v>0.27601745247925324</v>
      </c>
      <c r="BZ118" s="1206">
        <f>'2021'!R\Max</f>
        <v>0.98941780174871941</v>
      </c>
      <c r="CA118" s="1206">
        <f>'2022'!R\Max</f>
        <v>0.73607700527087339</v>
      </c>
      <c r="CB118" s="1206">
        <f>'2023'!R\Max</f>
        <v>0.73606239152911934</v>
      </c>
      <c r="CC118" s="1206">
        <f>'2024'!R\Max</f>
        <v>0.73604481536427624</v>
      </c>
      <c r="CD118" s="1206">
        <f>'2025'!R\Max</f>
        <v>0.73612548142165657</v>
      </c>
      <c r="CE118" s="1206">
        <f>'2026'!R\Max</f>
        <v>0.73611667938390901</v>
      </c>
      <c r="CF118" s="1207">
        <f>'2027'!R\Max</f>
        <v>0.73610542048153005</v>
      </c>
    </row>
    <row r="119" spans="1:84" s="6" customFormat="1" ht="11.25" x14ac:dyDescent="0.2">
      <c r="A119" s="11">
        <v>43205</v>
      </c>
      <c r="B119" s="379">
        <f>'2022'!Maxi_hp</f>
        <v>57.589029120758397</v>
      </c>
      <c r="C119" s="13">
        <f>'2022'!An_max</f>
        <v>2021</v>
      </c>
      <c r="D119" s="1053">
        <f t="shared" si="59"/>
        <v>0.99113335119333346</v>
      </c>
      <c r="E119" s="13"/>
      <c r="F119" s="13">
        <f t="shared" si="76"/>
        <v>9</v>
      </c>
      <c r="G119" s="13">
        <f t="shared" si="60"/>
        <v>8</v>
      </c>
      <c r="H119" s="172">
        <f t="shared" si="61"/>
        <v>43206</v>
      </c>
      <c r="I119" s="753">
        <f t="shared" si="62"/>
        <v>7.1428571428571425E-2</v>
      </c>
      <c r="J119" s="746">
        <f t="shared" si="63"/>
        <v>58.104218823249859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46">
        <v>43205</v>
      </c>
      <c r="AP119" s="13">
        <f t="shared" si="64"/>
        <v>5</v>
      </c>
      <c r="AQ119" s="13">
        <f t="shared" si="65"/>
        <v>6</v>
      </c>
      <c r="AR119" s="172">
        <f t="shared" si="66"/>
        <v>43192</v>
      </c>
      <c r="AS119" s="753">
        <f t="shared" si="67"/>
        <v>0.4642857142857143</v>
      </c>
      <c r="AT119" s="769">
        <f t="shared" si="68"/>
        <v>57.933674007015568</v>
      </c>
      <c r="AU119" s="13">
        <f t="shared" si="69"/>
        <v>5</v>
      </c>
      <c r="AV119" s="13">
        <f t="shared" si="70"/>
        <v>4</v>
      </c>
      <c r="AW119" s="172">
        <f t="shared" si="71"/>
        <v>43206</v>
      </c>
      <c r="AX119" s="753">
        <f t="shared" si="72"/>
        <v>3.5714285714285712E-2</v>
      </c>
      <c r="AY119" s="769">
        <f t="shared" si="73"/>
        <v>58.097754208916534</v>
      </c>
      <c r="AZ119" s="746">
        <f t="shared" si="77"/>
        <v>58.015714107966048</v>
      </c>
      <c r="BA119" s="641">
        <f t="shared" si="74"/>
        <v>0.99113335119333346</v>
      </c>
      <c r="BC119" s="11">
        <v>43205</v>
      </c>
      <c r="BD119" s="289">
        <f>[2]!FeuilCaduc*(1-Persistant)+Persistant</f>
        <v>0.63962349216240544</v>
      </c>
      <c r="BE119" s="290">
        <f>[2]!CroissVégét</f>
        <v>8.9774041376326802E-2</v>
      </c>
      <c r="BF119" s="819">
        <f>1+[2]!Salcycl*Ksac</f>
        <v>1.0049529365203007</v>
      </c>
      <c r="BH119" s="1044">
        <f t="shared" si="75"/>
        <v>4.43072297287226E-3</v>
      </c>
      <c r="BI119" s="11">
        <v>44301</v>
      </c>
      <c r="BJ119" s="726">
        <v>5.5385103210521677E-4</v>
      </c>
      <c r="BK119" s="726">
        <v>7.4042976115220086E-4</v>
      </c>
      <c r="BL119" s="726">
        <v>1.1001758756667532E-3</v>
      </c>
      <c r="BM119" s="726">
        <v>1.9187625043157418E-3</v>
      </c>
      <c r="BN119" s="726">
        <v>3.3310030332757055E-3</v>
      </c>
      <c r="BO119" s="727">
        <v>5.3874163021989637E-3</v>
      </c>
      <c r="BP119" s="726">
        <v>8.6750299570498568E-3</v>
      </c>
      <c r="BQ119" s="726">
        <v>1.2833567103666841E-2</v>
      </c>
      <c r="BR119" s="726">
        <v>1.7987317340169125E-2</v>
      </c>
      <c r="BS119" s="726">
        <v>2.3378877698913735E-2</v>
      </c>
      <c r="BT119" s="726">
        <v>2.9178204058076741E-2</v>
      </c>
      <c r="BW119" s="1208">
        <f>'2018'!R\Max</f>
        <v>0</v>
      </c>
      <c r="BX119" s="1206">
        <f>'2019'!R\Max</f>
        <v>0.66558028785213785</v>
      </c>
      <c r="BY119" s="1206">
        <f>'2020'!R\Max</f>
        <v>0.97054486620038705</v>
      </c>
      <c r="BZ119" s="1206">
        <f>'2021'!R\Max</f>
        <v>0.99113335119333346</v>
      </c>
      <c r="CA119" s="1206">
        <f>'2022'!R\Max</f>
        <v>0.80839943249762747</v>
      </c>
      <c r="CB119" s="1206">
        <f>'2023'!R\Max</f>
        <v>0.80838803112129798</v>
      </c>
      <c r="CC119" s="1206">
        <f>'2024'!R\Max</f>
        <v>0.80837435350749143</v>
      </c>
      <c r="CD119" s="1206">
        <f>'2025'!R\Max</f>
        <v>0.80843709760714333</v>
      </c>
      <c r="CE119" s="1206">
        <f>'2026'!R\Max</f>
        <v>0.8084303363043911</v>
      </c>
      <c r="CF119" s="1207">
        <f>'2027'!R\Max</f>
        <v>0.80842159484455678</v>
      </c>
    </row>
    <row r="120" spans="1:84" s="6" customFormat="1" ht="11.25" x14ac:dyDescent="0.2">
      <c r="A120" s="11">
        <v>43206</v>
      </c>
      <c r="B120" s="379">
        <f>'2022'!Maxi_hp</f>
        <v>51.189407245873092</v>
      </c>
      <c r="C120" s="13">
        <f>'2022'!An_max</f>
        <v>2020</v>
      </c>
      <c r="D120" s="1053" t="str">
        <f t="shared" si="59"/>
        <v/>
      </c>
      <c r="E120" s="1048">
        <f>U$13/10</f>
        <v>58.270799999999994</v>
      </c>
      <c r="F120" s="13">
        <f t="shared" si="76"/>
        <v>9</v>
      </c>
      <c r="G120" s="13">
        <f t="shared" si="60"/>
        <v>10</v>
      </c>
      <c r="H120" s="172">
        <f t="shared" si="61"/>
        <v>43206</v>
      </c>
      <c r="I120" s="753">
        <f t="shared" si="62"/>
        <v>0</v>
      </c>
      <c r="J120" s="746">
        <f t="shared" si="63"/>
        <v>58.270800000429155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46">
        <v>43206</v>
      </c>
      <c r="AP120" s="13">
        <f t="shared" si="64"/>
        <v>5</v>
      </c>
      <c r="AQ120" s="13">
        <f t="shared" si="65"/>
        <v>6</v>
      </c>
      <c r="AR120" s="172">
        <f t="shared" si="66"/>
        <v>43192</v>
      </c>
      <c r="AS120" s="753">
        <f t="shared" si="67"/>
        <v>0.5</v>
      </c>
      <c r="AT120" s="769">
        <f t="shared" si="68"/>
        <v>58.097374999895692</v>
      </c>
      <c r="AU120" s="13">
        <f t="shared" si="69"/>
        <v>5</v>
      </c>
      <c r="AV120" s="13">
        <f t="shared" si="70"/>
        <v>6</v>
      </c>
      <c r="AW120" s="172">
        <f t="shared" si="71"/>
        <v>43206</v>
      </c>
      <c r="AX120" s="753">
        <f t="shared" si="72"/>
        <v>0</v>
      </c>
      <c r="AY120" s="769">
        <f t="shared" si="73"/>
        <v>58.270799999684094</v>
      </c>
      <c r="AZ120" s="746">
        <f t="shared" si="77"/>
        <v>58.184087499789896</v>
      </c>
      <c r="BA120" s="641">
        <f t="shared" si="74"/>
        <v>0.87847442021554689</v>
      </c>
      <c r="BC120" s="11">
        <v>43206</v>
      </c>
      <c r="BD120" s="289">
        <f>[2]!FeuilCaduc*(1-Persistant)+Persistant</f>
        <v>0.64210180456604782</v>
      </c>
      <c r="BE120" s="290">
        <f>[2]!CroissVégét</f>
        <v>9.3237357323611589E-2</v>
      </c>
      <c r="BF120" s="819">
        <f>1+[2]!Salcycl*Ksac</f>
        <v>1.005262725570756</v>
      </c>
      <c r="BH120" s="1044">
        <f t="shared" si="75"/>
        <v>4.1543991284497175E-3</v>
      </c>
      <c r="BI120" s="11">
        <v>44302</v>
      </c>
      <c r="BJ120" s="726">
        <v>4.976467339059058E-4</v>
      </c>
      <c r="BK120" s="726">
        <v>6.6597010562084518E-4</v>
      </c>
      <c r="BL120" s="726">
        <v>9.944086380652068E-4</v>
      </c>
      <c r="BM120" s="726">
        <v>1.7555370998546841E-3</v>
      </c>
      <c r="BN120" s="726">
        <v>3.0978884789826682E-3</v>
      </c>
      <c r="BO120" s="727">
        <v>5.0735028514199117E-3</v>
      </c>
      <c r="BP120" s="726">
        <v>8.2766882501948882E-3</v>
      </c>
      <c r="BQ120" s="726">
        <v>1.231789104889245E-2</v>
      </c>
      <c r="BR120" s="726">
        <v>1.7380523853474092E-2</v>
      </c>
      <c r="BS120" s="726">
        <v>2.2735790279670723E-2</v>
      </c>
      <c r="BT120" s="726">
        <v>2.857253594031273E-2</v>
      </c>
      <c r="BW120" s="1208">
        <f>'2018'!R\Max</f>
        <v>0</v>
      </c>
      <c r="BX120" s="1206">
        <f>'2019'!R\Max</f>
        <v>0.60120028358301691</v>
      </c>
      <c r="BY120" s="1206">
        <f>'2020'!R\Max</f>
        <v>0.87847442021554689</v>
      </c>
      <c r="BZ120" s="1206">
        <f>'2021'!R\Max</f>
        <v>0.82443520151171878</v>
      </c>
      <c r="CA120" s="1206">
        <f>'2022'!R\Max</f>
        <v>0.82880418858402205</v>
      </c>
      <c r="CB120" s="1206">
        <f>'2023'!R\Max</f>
        <v>0.82879400007810811</v>
      </c>
      <c r="CC120" s="1206">
        <f>'2024'!R\Max</f>
        <v>0.82878181191145128</v>
      </c>
      <c r="CD120" s="1206">
        <f>'2025'!R\Max</f>
        <v>0.82883772483229601</v>
      </c>
      <c r="CE120" s="1206">
        <f>'2026'!R\Max</f>
        <v>0.82883176850893592</v>
      </c>
      <c r="CF120" s="1207">
        <f>'2027'!R\Max</f>
        <v>0.82882398897994114</v>
      </c>
    </row>
    <row r="121" spans="1:84" s="6" customFormat="1" ht="11.25" x14ac:dyDescent="0.2">
      <c r="A121" s="11">
        <v>43207</v>
      </c>
      <c r="B121" s="379">
        <f>'2022'!Maxi_hp</f>
        <v>57.185200009577123</v>
      </c>
      <c r="C121" s="13">
        <f>'2022'!An_max</f>
        <v>2022</v>
      </c>
      <c r="D121" s="1053">
        <f t="shared" si="59"/>
        <v>0.97871046724153399</v>
      </c>
      <c r="E121" s="13"/>
      <c r="F121" s="13">
        <f t="shared" si="76"/>
        <v>9</v>
      </c>
      <c r="G121" s="13">
        <f t="shared" si="60"/>
        <v>10</v>
      </c>
      <c r="H121" s="172">
        <f t="shared" si="61"/>
        <v>43206</v>
      </c>
      <c r="I121" s="753">
        <f t="shared" si="62"/>
        <v>7.1428571428571425E-2</v>
      </c>
      <c r="J121" s="746">
        <f t="shared" si="63"/>
        <v>58.429128862544907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46">
        <v>43207</v>
      </c>
      <c r="AP121" s="13">
        <f t="shared" si="64"/>
        <v>5</v>
      </c>
      <c r="AQ121" s="13">
        <f t="shared" si="65"/>
        <v>6</v>
      </c>
      <c r="AR121" s="172">
        <f t="shared" si="66"/>
        <v>43192</v>
      </c>
      <c r="AS121" s="753">
        <f t="shared" si="67"/>
        <v>0.5357142857142857</v>
      </c>
      <c r="AT121" s="769">
        <f t="shared" si="68"/>
        <v>58.255767065180201</v>
      </c>
      <c r="AU121" s="13">
        <f t="shared" si="69"/>
        <v>5</v>
      </c>
      <c r="AV121" s="13">
        <f t="shared" si="70"/>
        <v>6</v>
      </c>
      <c r="AW121" s="172">
        <f t="shared" si="71"/>
        <v>43206</v>
      </c>
      <c r="AX121" s="753">
        <f t="shared" si="72"/>
        <v>3.5714285714285712E-2</v>
      </c>
      <c r="AY121" s="769">
        <f t="shared" si="73"/>
        <v>58.434291073506962</v>
      </c>
      <c r="AZ121" s="746">
        <f t="shared" si="77"/>
        <v>58.345029069343582</v>
      </c>
      <c r="BA121" s="641">
        <f t="shared" si="74"/>
        <v>0.97871046724153399</v>
      </c>
      <c r="BC121" s="11">
        <v>43207</v>
      </c>
      <c r="BD121" s="289">
        <f>[2]!FeuilCaduc*(1-Persistant)+Persistant</f>
        <v>0.64468856629298599</v>
      </c>
      <c r="BE121" s="290">
        <f>[2]!CroissVégét</f>
        <v>9.6818050392965163E-2</v>
      </c>
      <c r="BF121" s="819">
        <f>1+[2]!Salcycl*Ksac</f>
        <v>1.0055860707866233</v>
      </c>
      <c r="BH121" s="1044">
        <f t="shared" si="75"/>
        <v>3.9104500767110553E-3</v>
      </c>
      <c r="BI121" s="11">
        <v>44303</v>
      </c>
      <c r="BJ121" s="726">
        <v>4.544483638531743E-4</v>
      </c>
      <c r="BK121" s="726">
        <v>6.0977392341018076E-4</v>
      </c>
      <c r="BL121" s="726">
        <v>9.1361233723331783E-4</v>
      </c>
      <c r="BM121" s="726">
        <v>1.6224692897033762E-3</v>
      </c>
      <c r="BN121" s="726">
        <v>2.8978446236863848E-3</v>
      </c>
      <c r="BO121" s="727">
        <v>4.7913587947106089E-3</v>
      </c>
      <c r="BP121" s="726">
        <v>7.9012064995792573E-3</v>
      </c>
      <c r="BQ121" s="726">
        <v>1.1812963579676582E-2</v>
      </c>
      <c r="BR121" s="726">
        <v>1.6768346258870259E-2</v>
      </c>
      <c r="BS121" s="726">
        <v>2.2075952298719653E-2</v>
      </c>
      <c r="BT121" s="726">
        <v>2.7939699978411368E-2</v>
      </c>
      <c r="BW121" s="1208">
        <f>'2018'!R\Max</f>
        <v>0</v>
      </c>
      <c r="BX121" s="1206">
        <f>'2019'!R\Max</f>
        <v>0.57954680882966125</v>
      </c>
      <c r="BY121" s="1206">
        <f>'2020'!R\Max</f>
        <v>0.74873428624846405</v>
      </c>
      <c r="BZ121" s="1206">
        <f>'2021'!R\Max</f>
        <v>0.92929270625282379</v>
      </c>
      <c r="CA121" s="1206">
        <f>'2022'!R\Max</f>
        <v>0.97871046724153399</v>
      </c>
      <c r="CB121" s="1206">
        <f>'2023'!R\Max</f>
        <v>0.97870901255373599</v>
      </c>
      <c r="CC121" s="1206">
        <f>'2024'!R\Max</f>
        <v>0.9787072777342587</v>
      </c>
      <c r="CD121" s="1206">
        <f>'2025'!R\Max</f>
        <v>0.9787152401788316</v>
      </c>
      <c r="CE121" s="1206">
        <f>'2026'!R\Max</f>
        <v>0.97871440079212446</v>
      </c>
      <c r="CF121" s="1207">
        <f>'2027'!R\Max</f>
        <v>0.97871329384356009</v>
      </c>
    </row>
    <row r="122" spans="1:84" s="6" customFormat="1" ht="11.25" x14ac:dyDescent="0.2">
      <c r="A122" s="11">
        <v>43208</v>
      </c>
      <c r="B122" s="379">
        <f>'2022'!Maxi_hp</f>
        <v>43.013146001877296</v>
      </c>
      <c r="C122" s="13">
        <f>'2022'!An_max</f>
        <v>2022</v>
      </c>
      <c r="D122" s="1053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2">
        <f t="shared" si="61"/>
        <v>43206</v>
      </c>
      <c r="I122" s="753">
        <f t="shared" si="62"/>
        <v>0.14285714285714285</v>
      </c>
      <c r="J122" s="746">
        <f t="shared" si="63"/>
        <v>58.578790086827112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46">
        <v>43208</v>
      </c>
      <c r="AP122" s="13">
        <f t="shared" si="64"/>
        <v>5</v>
      </c>
      <c r="AQ122" s="13">
        <f t="shared" si="65"/>
        <v>6</v>
      </c>
      <c r="AR122" s="172">
        <f t="shared" si="66"/>
        <v>43192</v>
      </c>
      <c r="AS122" s="753">
        <f t="shared" si="67"/>
        <v>0.5714285714285714</v>
      </c>
      <c r="AT122" s="769">
        <f t="shared" si="68"/>
        <v>58.408904373326479</v>
      </c>
      <c r="AU122" s="13">
        <f t="shared" si="69"/>
        <v>5</v>
      </c>
      <c r="AV122" s="13">
        <f t="shared" si="70"/>
        <v>6</v>
      </c>
      <c r="AW122" s="172">
        <f t="shared" si="71"/>
        <v>43206</v>
      </c>
      <c r="AX122" s="753">
        <f t="shared" si="72"/>
        <v>7.1428571428571425E-2</v>
      </c>
      <c r="AY122" s="769">
        <f t="shared" si="73"/>
        <v>58.588739814130314</v>
      </c>
      <c r="AZ122" s="746">
        <f t="shared" si="77"/>
        <v>58.498822093728393</v>
      </c>
      <c r="BA122" s="641">
        <f t="shared" si="74"/>
        <v>0.73427849803865897</v>
      </c>
      <c r="BC122" s="11">
        <v>43208</v>
      </c>
      <c r="BD122" s="289">
        <f>[2]!FeuilCaduc*(1-Persistant)+Persistant</f>
        <v>0.64738497697865482</v>
      </c>
      <c r="BE122" s="290">
        <f>[2]!CroissVégét</f>
        <v>0.10051901103841099</v>
      </c>
      <c r="BF122" s="819">
        <f>1+[2]!Salcycl*Ksac</f>
        <v>1.0059231221223319</v>
      </c>
      <c r="BH122" s="1044">
        <f t="shared" si="75"/>
        <v>3.7190574087920696E-3</v>
      </c>
      <c r="BI122" s="11">
        <v>44304</v>
      </c>
      <c r="BJ122" s="726">
        <v>4.2658962930639243E-4</v>
      </c>
      <c r="BK122" s="726">
        <v>5.758705675004708E-4</v>
      </c>
      <c r="BL122" s="726">
        <v>8.6399841347452235E-4</v>
      </c>
      <c r="BM122" s="726">
        <v>1.5300766163007797E-3</v>
      </c>
      <c r="BN122" s="726">
        <v>2.7470809962851402E-3</v>
      </c>
      <c r="BO122" s="727">
        <v>4.5646211897392612E-3</v>
      </c>
      <c r="BP122" s="726">
        <v>7.5794133025527061E-3</v>
      </c>
      <c r="BQ122" s="726">
        <v>1.135750966994506E-2</v>
      </c>
      <c r="BR122" s="726">
        <v>1.6193212601195033E-2</v>
      </c>
      <c r="BS122" s="726">
        <v>2.1438640305592994E-2</v>
      </c>
      <c r="BT122" s="726">
        <v>2.7308656652780094E-2</v>
      </c>
      <c r="BW122" s="1208">
        <f>'2018'!R\Max</f>
        <v>0</v>
      </c>
      <c r="BX122" s="1206">
        <f>'2019'!R\Max</f>
        <v>0.44763506536240755</v>
      </c>
      <c r="BY122" s="1206">
        <f>'2020'!R\Max</f>
        <v>0.53087551601668803</v>
      </c>
      <c r="BZ122" s="1206">
        <f>'2021'!R\Max</f>
        <v>0.63369301977706993</v>
      </c>
      <c r="CA122" s="1206">
        <f>'2022'!R\Max</f>
        <v>0.73427849803865897</v>
      </c>
      <c r="CB122" s="1206">
        <f>'2023'!R\Max</f>
        <v>0.73426527217134163</v>
      </c>
      <c r="CC122" s="1206">
        <f>'2024'!R\Max</f>
        <v>0.73424955776104239</v>
      </c>
      <c r="CD122" s="1206">
        <f>'2025'!R\Max</f>
        <v>0.73432180403510072</v>
      </c>
      <c r="CE122" s="1206">
        <f>'2026'!R\Max</f>
        <v>0.73431424629611208</v>
      </c>
      <c r="CF122" s="1207">
        <f>'2027'!R\Max</f>
        <v>0.73430419996302188</v>
      </c>
    </row>
    <row r="123" spans="1:84" s="6" customFormat="1" ht="11.25" x14ac:dyDescent="0.2">
      <c r="A123" s="11">
        <v>43209</v>
      </c>
      <c r="B123" s="379">
        <f>'2022'!Maxi_hp</f>
        <v>57.532999013855843</v>
      </c>
      <c r="C123" s="13">
        <f>'2022'!An_max</f>
        <v>2021</v>
      </c>
      <c r="D123" s="1053">
        <f t="shared" si="59"/>
        <v>0.97978178382399705</v>
      </c>
      <c r="E123" s="13"/>
      <c r="F123" s="13">
        <f t="shared" si="76"/>
        <v>9</v>
      </c>
      <c r="G123" s="13">
        <f t="shared" si="60"/>
        <v>10</v>
      </c>
      <c r="H123" s="172">
        <f t="shared" si="61"/>
        <v>43206</v>
      </c>
      <c r="I123" s="753">
        <f t="shared" si="62"/>
        <v>0.21428571428571427</v>
      </c>
      <c r="J123" s="746">
        <f t="shared" si="63"/>
        <v>58.720217056199907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46">
        <v>43209</v>
      </c>
      <c r="AP123" s="13">
        <f t="shared" si="64"/>
        <v>5</v>
      </c>
      <c r="AQ123" s="13">
        <f t="shared" si="65"/>
        <v>6</v>
      </c>
      <c r="AR123" s="172">
        <f t="shared" si="66"/>
        <v>43192</v>
      </c>
      <c r="AS123" s="753">
        <f t="shared" si="67"/>
        <v>0.6071428571428571</v>
      </c>
      <c r="AT123" s="769">
        <f t="shared" si="68"/>
        <v>58.556841098171255</v>
      </c>
      <c r="AU123" s="13">
        <f t="shared" si="69"/>
        <v>5</v>
      </c>
      <c r="AV123" s="13">
        <f t="shared" si="70"/>
        <v>6</v>
      </c>
      <c r="AW123" s="172">
        <f t="shared" si="71"/>
        <v>43206</v>
      </c>
      <c r="AX123" s="753">
        <f t="shared" si="72"/>
        <v>0.10714285714285714</v>
      </c>
      <c r="AY123" s="769">
        <f t="shared" si="73"/>
        <v>58.734457714163831</v>
      </c>
      <c r="AZ123" s="746">
        <f t="shared" si="77"/>
        <v>58.645649406167543</v>
      </c>
      <c r="BA123" s="641">
        <f t="shared" si="74"/>
        <v>0.97978178382399705</v>
      </c>
      <c r="BC123" s="11">
        <v>43209</v>
      </c>
      <c r="BD123" s="289">
        <f>[2]!FeuilCaduc*(1-Persistant)+Persistant</f>
        <v>0.65019208870491529</v>
      </c>
      <c r="BE123" s="290">
        <f>[2]!CroissVégét</f>
        <v>0.1043431172076847</v>
      </c>
      <c r="BF123" s="819">
        <f>1+[2]!Salcycl*Ksac</f>
        <v>1.0062740110881143</v>
      </c>
      <c r="BH123" s="1044">
        <f t="shared" si="75"/>
        <v>3.5683749607282452E-3</v>
      </c>
      <c r="BI123" s="11">
        <v>44305</v>
      </c>
      <c r="BJ123" s="726">
        <v>4.0517673437820775E-4</v>
      </c>
      <c r="BK123" s="726">
        <v>5.5251223492003092E-4</v>
      </c>
      <c r="BL123" s="726">
        <v>8.3092211820112163E-4</v>
      </c>
      <c r="BM123" s="726">
        <v>1.4638423158582858E-3</v>
      </c>
      <c r="BN123" s="726">
        <v>2.6321517386064266E-3</v>
      </c>
      <c r="BO123" s="727">
        <v>4.382835514833764E-3</v>
      </c>
      <c r="BP123" s="726">
        <v>7.301923920968797E-3</v>
      </c>
      <c r="BQ123" s="726">
        <v>1.0947800964737912E-2</v>
      </c>
      <c r="BR123" s="726">
        <v>1.5657563008370543E-2</v>
      </c>
      <c r="BS123" s="726">
        <v>2.0831049474906972E-2</v>
      </c>
      <c r="BT123" s="726">
        <v>2.6685343442170033E-2</v>
      </c>
      <c r="BW123" s="1208">
        <f>'2018'!R\Max</f>
        <v>0</v>
      </c>
      <c r="BX123" s="1206">
        <f>'2019'!R\Max</f>
        <v>0.89064797392480943</v>
      </c>
      <c r="BY123" s="1206">
        <f>'2020'!R\Max</f>
        <v>0.77209638856995422</v>
      </c>
      <c r="BZ123" s="1206">
        <f>'2021'!R\Max</f>
        <v>0.97978178382399705</v>
      </c>
      <c r="CA123" s="1206">
        <f>'2022'!R\Max</f>
        <v>0.19495479878128663</v>
      </c>
      <c r="CB123" s="1206">
        <f>'2023'!R\Max</f>
        <v>0.19494582404642105</v>
      </c>
      <c r="CC123" s="1206">
        <f>'2024'!R\Max</f>
        <v>0.19493519755981811</v>
      </c>
      <c r="CD123" s="1206">
        <f>'2025'!R\Max</f>
        <v>0.19498416064418628</v>
      </c>
      <c r="CE123" s="1206">
        <f>'2026'!R\Max</f>
        <v>0.19497905799879506</v>
      </c>
      <c r="CF123" s="1207">
        <f>'2027'!R\Max</f>
        <v>0.19497224027811977</v>
      </c>
    </row>
    <row r="124" spans="1:84" s="6" customFormat="1" ht="11.25" x14ac:dyDescent="0.2">
      <c r="A124" s="11">
        <v>43210</v>
      </c>
      <c r="B124" s="379">
        <f>'2022'!Maxi_hp</f>
        <v>50.447436278195291</v>
      </c>
      <c r="C124" s="13">
        <f>'2022'!An_max</f>
        <v>2019</v>
      </c>
      <c r="D124" s="1053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2">
        <f t="shared" si="61"/>
        <v>43206</v>
      </c>
      <c r="I124" s="753">
        <f t="shared" si="62"/>
        <v>0.2857142857142857</v>
      </c>
      <c r="J124" s="746">
        <f t="shared" si="63"/>
        <v>58.853843149649244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46">
        <v>43210</v>
      </c>
      <c r="AP124" s="13">
        <f t="shared" si="64"/>
        <v>5</v>
      </c>
      <c r="AQ124" s="13">
        <f t="shared" si="65"/>
        <v>6</v>
      </c>
      <c r="AR124" s="172">
        <f t="shared" si="66"/>
        <v>43192</v>
      </c>
      <c r="AS124" s="753">
        <f t="shared" si="67"/>
        <v>0.6428571428571429</v>
      </c>
      <c r="AT124" s="769">
        <f t="shared" si="68"/>
        <v>58.699631413391657</v>
      </c>
      <c r="AU124" s="13">
        <f t="shared" si="69"/>
        <v>5</v>
      </c>
      <c r="AV124" s="13">
        <f t="shared" si="70"/>
        <v>6</v>
      </c>
      <c r="AW124" s="172">
        <f t="shared" si="71"/>
        <v>43206</v>
      </c>
      <c r="AX124" s="753">
        <f t="shared" si="72"/>
        <v>0.14285714285714285</v>
      </c>
      <c r="AY124" s="769">
        <f t="shared" si="73"/>
        <v>58.871756268239452</v>
      </c>
      <c r="AZ124" s="746">
        <f t="shared" si="77"/>
        <v>58.785693840815554</v>
      </c>
      <c r="BA124" s="641">
        <f t="shared" si="74"/>
        <v>0.85716469101127757</v>
      </c>
      <c r="BC124" s="11">
        <v>43210</v>
      </c>
      <c r="BD124" s="289">
        <f>[2]!FeuilCaduc*(1-Persistant)+Persistant</f>
        <v>0.65311079982610099</v>
      </c>
      <c r="BE124" s="290">
        <f>[2]!CroissVégét</f>
        <v>0.10829322666502313</v>
      </c>
      <c r="BF124" s="819">
        <f>1+[2]!Salcycl*Ksac</f>
        <v>1.0066388499782626</v>
      </c>
      <c r="BH124" s="1044">
        <f t="shared" si="75"/>
        <v>3.4583838443576829E-3</v>
      </c>
      <c r="BI124" s="11">
        <v>44306</v>
      </c>
      <c r="BJ124" s="726">
        <v>3.9020667372214804E-4</v>
      </c>
      <c r="BK124" s="726">
        <v>5.3969372296642473E-4</v>
      </c>
      <c r="BL124" s="726">
        <v>8.1437520554861155E-4</v>
      </c>
      <c r="BM124" s="726">
        <v>1.4237536806740241E-3</v>
      </c>
      <c r="BN124" s="726">
        <v>2.5530399036978206E-3</v>
      </c>
      <c r="BO124" s="727">
        <v>4.2459811930912099E-3</v>
      </c>
      <c r="BP124" s="726">
        <v>7.0687198054474841E-3</v>
      </c>
      <c r="BQ124" s="726">
        <v>1.0583820588407062E-2</v>
      </c>
      <c r="BR124" s="726">
        <v>1.5161385891098424E-2</v>
      </c>
      <c r="BS124" s="726">
        <v>2.0253173738880286E-2</v>
      </c>
      <c r="BT124" s="726">
        <v>2.6069764590696848E-2</v>
      </c>
      <c r="BW124" s="1208">
        <f>'2018'!R\Max</f>
        <v>0</v>
      </c>
      <c r="BX124" s="1206">
        <f>'2019'!R\Max</f>
        <v>0.85716469101127757</v>
      </c>
      <c r="BY124" s="1206">
        <f>'2020'!R\Max</f>
        <v>0.33206044746569213</v>
      </c>
      <c r="BZ124" s="1206">
        <f>'2021'!R\Max</f>
        <v>0.71550420550400018</v>
      </c>
      <c r="CA124" s="1206">
        <f>'2022'!R\Max</f>
        <v>0.18295859273860615</v>
      </c>
      <c r="CB124" s="1206">
        <f>'2023'!R\Max</f>
        <v>0.1829504291042035</v>
      </c>
      <c r="CC124" s="1206">
        <f>'2024'!R\Max</f>
        <v>0.18294079302441038</v>
      </c>
      <c r="CD124" s="1206">
        <f>'2025'!R\Max</f>
        <v>0.18298530949107933</v>
      </c>
      <c r="CE124" s="1206">
        <f>'2026'!R\Max</f>
        <v>0.18298066856657758</v>
      </c>
      <c r="CF124" s="1207">
        <f>'2027'!R\Max</f>
        <v>0.18297445562064582</v>
      </c>
    </row>
    <row r="125" spans="1:84" s="6" customFormat="1" ht="11.25" x14ac:dyDescent="0.2">
      <c r="A125" s="11">
        <v>43211</v>
      </c>
      <c r="B125" s="379">
        <f>'2022'!Maxi_hp</f>
        <v>56.950308189704678</v>
      </c>
      <c r="C125" s="13">
        <f>'2022'!An_max</f>
        <v>2021</v>
      </c>
      <c r="D125" s="1053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2">
        <f t="shared" si="61"/>
        <v>43206</v>
      </c>
      <c r="I125" s="753">
        <f t="shared" si="62"/>
        <v>0.35714285714285715</v>
      </c>
      <c r="J125" s="746">
        <f t="shared" si="63"/>
        <v>58.980101750205662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46">
        <v>43211</v>
      </c>
      <c r="AP125" s="13">
        <f t="shared" si="64"/>
        <v>5</v>
      </c>
      <c r="AQ125" s="13">
        <f t="shared" si="65"/>
        <v>6</v>
      </c>
      <c r="AR125" s="172">
        <f t="shared" si="66"/>
        <v>43192</v>
      </c>
      <c r="AS125" s="753">
        <f t="shared" si="67"/>
        <v>0.6785714285714286</v>
      </c>
      <c r="AT125" s="769">
        <f t="shared" si="68"/>
        <v>58.837329491600393</v>
      </c>
      <c r="AU125" s="13">
        <f t="shared" si="69"/>
        <v>5</v>
      </c>
      <c r="AV125" s="13">
        <f t="shared" si="70"/>
        <v>6</v>
      </c>
      <c r="AW125" s="172">
        <f t="shared" si="71"/>
        <v>43206</v>
      </c>
      <c r="AX125" s="753">
        <f t="shared" si="72"/>
        <v>0.17857142857142858</v>
      </c>
      <c r="AY125" s="769">
        <f t="shared" si="73"/>
        <v>59.000946968195159</v>
      </c>
      <c r="AZ125" s="746">
        <f t="shared" si="77"/>
        <v>58.919138229897776</v>
      </c>
      <c r="BA125" s="641">
        <f t="shared" si="74"/>
        <v>0.96558511260123581</v>
      </c>
      <c r="BC125" s="11">
        <v>43211</v>
      </c>
      <c r="BD125" s="289">
        <f>[2]!FeuilCaduc*(1-Persistant)+Persistant</f>
        <v>0.65614184857212821</v>
      </c>
      <c r="BE125" s="290">
        <f>[2]!CroissVégét</f>
        <v>0.11237216879596926</v>
      </c>
      <c r="BF125" s="819">
        <f>1+[2]!Salcycl*Ksac</f>
        <v>1.007017731071516</v>
      </c>
      <c r="BH125" s="1044">
        <f t="shared" si="75"/>
        <v>3.3890727036254096E-3</v>
      </c>
      <c r="BI125" s="11">
        <v>44307</v>
      </c>
      <c r="BJ125" s="726">
        <v>3.8167719026859171E-4</v>
      </c>
      <c r="BK125" s="726">
        <v>5.3741079018471171E-4</v>
      </c>
      <c r="BL125" s="726">
        <v>8.1435085148863517E-4</v>
      </c>
      <c r="BM125" s="726">
        <v>1.4098006166789465E-3</v>
      </c>
      <c r="BN125" s="726">
        <v>2.5097338035414297E-3</v>
      </c>
      <c r="BO125" s="727">
        <v>4.1540471572453462E-3</v>
      </c>
      <c r="BP125" s="726">
        <v>6.8797998387313793E-3</v>
      </c>
      <c r="BQ125" s="726">
        <v>1.0265578827997239E-2</v>
      </c>
      <c r="BR125" s="726">
        <v>1.4704709982146113E-2</v>
      </c>
      <c r="BS125" s="726">
        <v>1.9705062237826983E-2</v>
      </c>
      <c r="BT125" s="726">
        <v>2.5461997212591996E-2</v>
      </c>
      <c r="BW125" s="1208">
        <f>'2018'!R\Max</f>
        <v>0</v>
      </c>
      <c r="BX125" s="1206">
        <f>'2019'!R\Max</f>
        <v>0.33200687308486793</v>
      </c>
      <c r="BY125" s="1206">
        <f>'2020'!R\Max</f>
        <v>0.20815988652486814</v>
      </c>
      <c r="BZ125" s="1206">
        <f>'2021'!R\Max</f>
        <v>0.96558511260123581</v>
      </c>
      <c r="CA125" s="1206">
        <f>'2022'!R\Max</f>
        <v>0.17239146703901312</v>
      </c>
      <c r="CB125" s="1206">
        <f>'2023'!R\Max</f>
        <v>0.17238401872897618</v>
      </c>
      <c r="CC125" s="1206">
        <f>'2024'!R\Max</f>
        <v>0.17237525149754757</v>
      </c>
      <c r="CD125" s="1206">
        <f>'2025'!R\Max</f>
        <v>0.17241588449557793</v>
      </c>
      <c r="CE125" s="1206">
        <f>'2026'!R\Max</f>
        <v>0.17241162666429041</v>
      </c>
      <c r="CF125" s="1207">
        <f>'2027'!R\Max</f>
        <v>0.17240593605970278</v>
      </c>
    </row>
    <row r="126" spans="1:84" s="6" customFormat="1" ht="11.25" x14ac:dyDescent="0.2">
      <c r="A126" s="11">
        <v>43212</v>
      </c>
      <c r="B126" s="379">
        <f>'2022'!Maxi_hp</f>
        <v>61.518685977469168</v>
      </c>
      <c r="C126" s="13">
        <f>'2022'!An_max</f>
        <v>2021</v>
      </c>
      <c r="D126" s="1053">
        <f t="shared" si="59"/>
        <v>1.0409354183450457</v>
      </c>
      <c r="E126" s="13"/>
      <c r="F126" s="13">
        <f t="shared" si="76"/>
        <v>9</v>
      </c>
      <c r="G126" s="13">
        <f t="shared" si="60"/>
        <v>10</v>
      </c>
      <c r="H126" s="172">
        <f t="shared" si="61"/>
        <v>43206</v>
      </c>
      <c r="I126" s="753">
        <f t="shared" si="62"/>
        <v>0.42857142857142855</v>
      </c>
      <c r="J126" s="746">
        <f t="shared" si="63"/>
        <v>59.099426240367549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46">
        <v>43212</v>
      </c>
      <c r="AP126" s="13">
        <f t="shared" si="64"/>
        <v>5</v>
      </c>
      <c r="AQ126" s="13">
        <f t="shared" si="65"/>
        <v>6</v>
      </c>
      <c r="AR126" s="172">
        <f t="shared" si="66"/>
        <v>43192</v>
      </c>
      <c r="AS126" s="753">
        <f t="shared" si="67"/>
        <v>0.7142857142857143</v>
      </c>
      <c r="AT126" s="769">
        <f t="shared" si="68"/>
        <v>58.969989503707211</v>
      </c>
      <c r="AU126" s="13">
        <f t="shared" si="69"/>
        <v>5</v>
      </c>
      <c r="AV126" s="13">
        <f t="shared" si="70"/>
        <v>6</v>
      </c>
      <c r="AW126" s="172">
        <f t="shared" si="71"/>
        <v>43206</v>
      </c>
      <c r="AX126" s="753">
        <f t="shared" si="72"/>
        <v>0.21428571428571427</v>
      </c>
      <c r="AY126" s="769">
        <f t="shared" si="73"/>
        <v>59.12234130813075</v>
      </c>
      <c r="AZ126" s="746">
        <f t="shared" si="77"/>
        <v>59.046165405918984</v>
      </c>
      <c r="BA126" s="641">
        <f t="shared" si="74"/>
        <v>1.0409354183450457</v>
      </c>
      <c r="BC126" s="11">
        <v>43212</v>
      </c>
      <c r="BD126" s="289">
        <f>[2]!FeuilCaduc*(1-Persistant)+Persistant</f>
        <v>0.65928580643717583</v>
      </c>
      <c r="BE126" s="290">
        <f>[2]!CroissVégét</f>
        <v>0.11658273588973417</v>
      </c>
      <c r="BF126" s="819">
        <f>1+[2]!Salcycl*Ksac</f>
        <v>1.007410725804647</v>
      </c>
      <c r="BH126" s="1044">
        <f t="shared" si="75"/>
        <v>3.3604278434237558E-3</v>
      </c>
      <c r="BI126" s="11">
        <v>44308</v>
      </c>
      <c r="BJ126" s="726">
        <v>3.7958567056874934E-4</v>
      </c>
      <c r="BK126" s="726">
        <v>5.4565872456413295E-4</v>
      </c>
      <c r="BL126" s="726">
        <v>8.3084152815375795E-4</v>
      </c>
      <c r="BM126" s="726">
        <v>1.4219717836879071E-3</v>
      </c>
      <c r="BN126" s="726">
        <v>2.5022198378655699E-3</v>
      </c>
      <c r="BO126" s="727">
        <v>4.1070196296866292E-3</v>
      </c>
      <c r="BP126" s="726">
        <v>6.7351594288980431E-3</v>
      </c>
      <c r="BQ126" s="726">
        <v>9.9930813532432636E-3</v>
      </c>
      <c r="BR126" s="726">
        <v>1.4287558589906432E-2</v>
      </c>
      <c r="BS126" s="726">
        <v>1.9186758558481853E-2</v>
      </c>
      <c r="BT126" s="726">
        <v>2.4862113677648786E-2</v>
      </c>
      <c r="BW126" s="1208">
        <f>'2018'!R\Max</f>
        <v>0</v>
      </c>
      <c r="BX126" s="1206">
        <f>'2019'!R\Max</f>
        <v>0.57455113880775677</v>
      </c>
      <c r="BY126" s="1206">
        <f>'2020'!R\Max</f>
        <v>0.29770721110056159</v>
      </c>
      <c r="BZ126" s="1206">
        <f>'2021'!R\Max</f>
        <v>1.0409354183450457</v>
      </c>
      <c r="CA126" s="1206">
        <f>'2022'!R\Max</f>
        <v>0.54636688567875002</v>
      </c>
      <c r="CB126" s="1206">
        <f>'2023'!R\Max</f>
        <v>0.54635208945051095</v>
      </c>
      <c r="CC126" s="1206">
        <f>'2024'!R\Max</f>
        <v>0.54633471501507591</v>
      </c>
      <c r="CD126" s="1206">
        <f>'2025'!R\Max</f>
        <v>0.54641554515714486</v>
      </c>
      <c r="CE126" s="1206">
        <f>'2026'!R\Max</f>
        <v>0.54640698794528042</v>
      </c>
      <c r="CF126" s="1207">
        <f>'2027'!R\Max</f>
        <v>0.54639561561308225</v>
      </c>
    </row>
    <row r="127" spans="1:84" s="6" customFormat="1" ht="11.25" x14ac:dyDescent="0.2">
      <c r="A127" s="11">
        <v>43213</v>
      </c>
      <c r="B127" s="379">
        <f>'2022'!Maxi_hp</f>
        <v>60.576716442775776</v>
      </c>
      <c r="C127" s="13">
        <f>'2022'!An_max</f>
        <v>2021</v>
      </c>
      <c r="D127" s="1053">
        <f t="shared" si="59"/>
        <v>1.0230436512949352</v>
      </c>
      <c r="E127" s="13"/>
      <c r="F127" s="13">
        <f t="shared" si="76"/>
        <v>9</v>
      </c>
      <c r="G127" s="13">
        <f t="shared" si="60"/>
        <v>10</v>
      </c>
      <c r="H127" s="172">
        <f t="shared" si="61"/>
        <v>43206</v>
      </c>
      <c r="I127" s="753">
        <f t="shared" si="62"/>
        <v>0.5</v>
      </c>
      <c r="J127" s="746">
        <f t="shared" si="63"/>
        <v>59.212250001356004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46">
        <v>43213</v>
      </c>
      <c r="AP127" s="13">
        <f t="shared" si="64"/>
        <v>5</v>
      </c>
      <c r="AQ127" s="13">
        <f t="shared" si="65"/>
        <v>6</v>
      </c>
      <c r="AR127" s="172">
        <f t="shared" si="66"/>
        <v>43192</v>
      </c>
      <c r="AS127" s="753">
        <f t="shared" si="67"/>
        <v>0.75</v>
      </c>
      <c r="AT127" s="769">
        <f t="shared" si="68"/>
        <v>59.097665624134244</v>
      </c>
      <c r="AU127" s="13">
        <f t="shared" si="69"/>
        <v>5</v>
      </c>
      <c r="AV127" s="13">
        <f t="shared" si="70"/>
        <v>6</v>
      </c>
      <c r="AW127" s="172">
        <f t="shared" si="71"/>
        <v>43206</v>
      </c>
      <c r="AX127" s="753">
        <f t="shared" si="72"/>
        <v>0.25</v>
      </c>
      <c r="AY127" s="769">
        <f t="shared" si="73"/>
        <v>59.236250781081615</v>
      </c>
      <c r="AZ127" s="746">
        <f t="shared" si="77"/>
        <v>59.16695820260793</v>
      </c>
      <c r="BA127" s="641">
        <f t="shared" si="74"/>
        <v>1.0230436512949352</v>
      </c>
      <c r="BC127" s="11">
        <v>43213</v>
      </c>
      <c r="BD127" s="289">
        <f>[2]!FeuilCaduc*(1-Persistant)+Persistant</f>
        <v>0.66254307137046731</v>
      </c>
      <c r="BE127" s="290">
        <f>[2]!CroissVégét</f>
        <v>0.12092767389780094</v>
      </c>
      <c r="BF127" s="819">
        <f>1+[2]!Salcycl*Ksac</f>
        <v>1.0078178839213083</v>
      </c>
      <c r="BH127" s="1044">
        <f t="shared" si="75"/>
        <v>3.3724245370317274E-3</v>
      </c>
      <c r="BI127" s="11">
        <v>44309</v>
      </c>
      <c r="BJ127" s="726">
        <v>3.8392820191941989E-4</v>
      </c>
      <c r="BK127" s="726">
        <v>5.6443098866192402E-4</v>
      </c>
      <c r="BL127" s="726">
        <v>8.6383694181285621E-4</v>
      </c>
      <c r="BM127" s="726">
        <v>1.4602510582523609E-3</v>
      </c>
      <c r="BN127" s="726">
        <v>2.5304761118220493E-3</v>
      </c>
      <c r="BO127" s="727">
        <v>4.1048714201270039E-3</v>
      </c>
      <c r="BP127" s="726">
        <v>6.6347724620971259E-3</v>
      </c>
      <c r="BQ127" s="726">
        <v>9.7663021325985946E-3</v>
      </c>
      <c r="BR127" s="726">
        <v>1.3909910356911352E-2</v>
      </c>
      <c r="BS127" s="726">
        <v>1.8698247401851852E-2</v>
      </c>
      <c r="BT127" s="726">
        <v>2.4270111623604772E-2</v>
      </c>
      <c r="BW127" s="1208">
        <f>'2018'!R\Max</f>
        <v>0</v>
      </c>
      <c r="BX127" s="1206">
        <f>'2019'!R\Max</f>
        <v>0.65793443746578562</v>
      </c>
      <c r="BY127" s="1206">
        <f>'2020'!R\Max</f>
        <v>0.15280790019329166</v>
      </c>
      <c r="BZ127" s="1206">
        <f>'2021'!R\Max</f>
        <v>1.0230436512949352</v>
      </c>
      <c r="CA127" s="1206">
        <f>'2022'!R\Max</f>
        <v>0.15141873330485148</v>
      </c>
      <c r="CB127" s="1206">
        <f>'2023'!R\Max</f>
        <v>0.15141262001345099</v>
      </c>
      <c r="CC127" s="1206">
        <f>'2024'!R\Max</f>
        <v>0.15140545641768935</v>
      </c>
      <c r="CD127" s="1206">
        <f>'2025'!R\Max</f>
        <v>0.15143893732493874</v>
      </c>
      <c r="CE127" s="1206">
        <f>'2026'!R\Max</f>
        <v>0.15143533578423998</v>
      </c>
      <c r="CF127" s="1207">
        <f>'2027'!R\Max</f>
        <v>0.15143059718903307</v>
      </c>
    </row>
    <row r="128" spans="1:84" s="6" customFormat="1" ht="11.25" x14ac:dyDescent="0.2">
      <c r="A128" s="11">
        <v>43214</v>
      </c>
      <c r="B128" s="379">
        <f>'2022'!Maxi_hp</f>
        <v>57.276493751473431</v>
      </c>
      <c r="C128" s="13">
        <f>'2022'!An_max</f>
        <v>2021</v>
      </c>
      <c r="D128" s="1053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2">
        <f t="shared" si="61"/>
        <v>43206</v>
      </c>
      <c r="I128" s="753">
        <f t="shared" si="62"/>
        <v>0.5714285714285714</v>
      </c>
      <c r="J128" s="746">
        <f t="shared" si="63"/>
        <v>59.319006414817906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46">
        <v>43214</v>
      </c>
      <c r="AP128" s="13">
        <f t="shared" si="64"/>
        <v>5</v>
      </c>
      <c r="AQ128" s="13">
        <f t="shared" si="65"/>
        <v>6</v>
      </c>
      <c r="AR128" s="172">
        <f t="shared" si="66"/>
        <v>43192</v>
      </c>
      <c r="AS128" s="753">
        <f t="shared" si="67"/>
        <v>0.7857142857142857</v>
      </c>
      <c r="AT128" s="769">
        <f t="shared" si="68"/>
        <v>59.220412026132848</v>
      </c>
      <c r="AU128" s="13">
        <f t="shared" si="69"/>
        <v>5</v>
      </c>
      <c r="AV128" s="13">
        <f t="shared" si="70"/>
        <v>6</v>
      </c>
      <c r="AW128" s="172">
        <f t="shared" si="71"/>
        <v>43206</v>
      </c>
      <c r="AX128" s="753">
        <f t="shared" si="72"/>
        <v>0.2857142857142857</v>
      </c>
      <c r="AY128" s="769">
        <f t="shared" si="73"/>
        <v>59.342986880562137</v>
      </c>
      <c r="AZ128" s="746">
        <f t="shared" si="77"/>
        <v>59.281699453347493</v>
      </c>
      <c r="BA128" s="641">
        <f t="shared" si="74"/>
        <v>0.96556731498398374</v>
      </c>
      <c r="BC128" s="11">
        <v>43214</v>
      </c>
      <c r="BD128" s="289">
        <f>[2]!FeuilCaduc*(1-Persistant)+Persistant</f>
        <v>0.66591386079386361</v>
      </c>
      <c r="BE128" s="290">
        <f>[2]!CroissVégét</f>
        <v>0.12540967267096395</v>
      </c>
      <c r="BF128" s="819">
        <f>1+[2]!Salcycl*Ksac</f>
        <v>1.0082392325992329</v>
      </c>
      <c r="BH128" s="1044">
        <f t="shared" si="75"/>
        <v>3.4333498168055594E-3</v>
      </c>
      <c r="BI128" s="11">
        <v>44310</v>
      </c>
      <c r="BJ128" s="726">
        <v>3.9557288823860752E-4</v>
      </c>
      <c r="BK128" s="726">
        <v>5.9562047576967479E-4</v>
      </c>
      <c r="BL128" s="726">
        <v>9.162045030576898E-4</v>
      </c>
      <c r="BM128" s="726">
        <v>1.5284165816033704E-3</v>
      </c>
      <c r="BN128" s="726">
        <v>2.6006378134212204E-3</v>
      </c>
      <c r="BO128" s="727">
        <v>4.1577615421947833E-3</v>
      </c>
      <c r="BP128" s="726">
        <v>6.5988990483078136E-3</v>
      </c>
      <c r="BQ128" s="726">
        <v>9.6164872449682418E-3</v>
      </c>
      <c r="BR128" s="726">
        <v>1.3615810651905107E-2</v>
      </c>
      <c r="BS128" s="726">
        <v>1.8293690022191129E-2</v>
      </c>
      <c r="BT128" s="726">
        <v>2.3751277735838502E-2</v>
      </c>
      <c r="BW128" s="1208">
        <f>'2018'!R\Max</f>
        <v>0</v>
      </c>
      <c r="BX128" s="1206">
        <f>'2019'!R\Max</f>
        <v>0.91105128080326381</v>
      </c>
      <c r="BY128" s="1206">
        <f>'2020'!R\Max</f>
        <v>0.27230920539947601</v>
      </c>
      <c r="BZ128" s="1206">
        <f>'2021'!R\Max</f>
        <v>0.96556731498398374</v>
      </c>
      <c r="CA128" s="1206">
        <f>'2022'!R\Max</f>
        <v>0.68128558357789515</v>
      </c>
      <c r="CB128" s="1206">
        <f>'2023'!R\Max</f>
        <v>0.68127345263024008</v>
      </c>
      <c r="CC128" s="1206">
        <f>'2024'!R\Max</f>
        <v>0.68125926490475874</v>
      </c>
      <c r="CD128" s="1206">
        <f>'2025'!R\Max</f>
        <v>0.68132592943673742</v>
      </c>
      <c r="CE128" s="1206">
        <f>'2026'!R\Max</f>
        <v>0.68131860978125147</v>
      </c>
      <c r="CF128" s="1207">
        <f>'2027'!R\Max</f>
        <v>0.68130910949726486</v>
      </c>
    </row>
    <row r="129" spans="1:84" s="6" customFormat="1" ht="11.25" x14ac:dyDescent="0.2">
      <c r="A129" s="11">
        <v>43215</v>
      </c>
      <c r="B129" s="379">
        <f>'2022'!Maxi_hp</f>
        <v>55.011025243549312</v>
      </c>
      <c r="C129" s="13">
        <f>'2022'!An_max</f>
        <v>2020</v>
      </c>
      <c r="D129" s="1053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2">
        <f t="shared" si="61"/>
        <v>43206</v>
      </c>
      <c r="I129" s="753">
        <f t="shared" si="62"/>
        <v>0.6428571428571429</v>
      </c>
      <c r="J129" s="746">
        <f t="shared" si="63"/>
        <v>59.420128863358073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46">
        <v>43215</v>
      </c>
      <c r="AP129" s="13">
        <f t="shared" si="64"/>
        <v>5</v>
      </c>
      <c r="AQ129" s="13">
        <f t="shared" si="65"/>
        <v>6</v>
      </c>
      <c r="AR129" s="172">
        <f t="shared" si="66"/>
        <v>43192</v>
      </c>
      <c r="AS129" s="753">
        <f t="shared" si="67"/>
        <v>0.8214285714285714</v>
      </c>
      <c r="AT129" s="769">
        <f t="shared" si="68"/>
        <v>59.338282880985311</v>
      </c>
      <c r="AU129" s="13">
        <f t="shared" si="69"/>
        <v>5</v>
      </c>
      <c r="AV129" s="13">
        <f t="shared" si="70"/>
        <v>6</v>
      </c>
      <c r="AW129" s="172">
        <f t="shared" si="71"/>
        <v>43206</v>
      </c>
      <c r="AX129" s="753">
        <f t="shared" si="72"/>
        <v>0.32142857142857145</v>
      </c>
      <c r="AY129" s="769">
        <f t="shared" si="73"/>
        <v>59.442861099022309</v>
      </c>
      <c r="AZ129" s="746">
        <f t="shared" si="77"/>
        <v>59.390571990003806</v>
      </c>
      <c r="BA129" s="641">
        <f t="shared" si="74"/>
        <v>0.92579781121061033</v>
      </c>
      <c r="BC129" s="11">
        <v>43215</v>
      </c>
      <c r="BD129" s="289">
        <f>[2]!FeuilCaduc*(1-Persistant)+Persistant</f>
        <v>0.66939820447918286</v>
      </c>
      <c r="BE129" s="290">
        <f>[2]!CroissVégét</f>
        <v>0.13003135568089563</v>
      </c>
      <c r="BF129" s="819">
        <f>1+[2]!Salcycl*Ksac</f>
        <v>1.0086747755598979</v>
      </c>
      <c r="BH129" s="1044">
        <f t="shared" si="75"/>
        <v>3.5227075074739647E-3</v>
      </c>
      <c r="BI129" s="11">
        <v>44311</v>
      </c>
      <c r="BJ129" s="726">
        <v>4.1041847424419937E-4</v>
      </c>
      <c r="BK129" s="726">
        <v>6.327244688436619E-4</v>
      </c>
      <c r="BL129" s="726">
        <v>9.7763602199860264E-4</v>
      </c>
      <c r="BM129" s="726">
        <v>1.6108544733164955E-3</v>
      </c>
      <c r="BN129" s="726">
        <v>2.6931124352509001E-3</v>
      </c>
      <c r="BO129" s="727">
        <v>4.2444076813648529E-3</v>
      </c>
      <c r="BP129" s="726">
        <v>6.6140805991921504E-3</v>
      </c>
      <c r="BQ129" s="726">
        <v>9.5366213850178669E-3</v>
      </c>
      <c r="BR129" s="726">
        <v>1.3408181556336824E-2</v>
      </c>
      <c r="BS129" s="726">
        <v>1.798258177257887E-2</v>
      </c>
      <c r="BT129" s="726">
        <v>2.3326719281142078E-2</v>
      </c>
      <c r="BW129" s="1208">
        <f>'2018'!R\Max</f>
        <v>0</v>
      </c>
      <c r="BX129" s="1206">
        <f>'2019'!R\Max</f>
        <v>0.61665523250568255</v>
      </c>
      <c r="BY129" s="1206">
        <f>'2020'!R\Max</f>
        <v>0.92579781121061033</v>
      </c>
      <c r="BZ129" s="1206">
        <f>'2021'!R\Max</f>
        <v>0.46691232077857203</v>
      </c>
      <c r="CA129" s="1206">
        <f>'2022'!R\Max</f>
        <v>0.85567995746313141</v>
      </c>
      <c r="CB129" s="1206">
        <f>'2023'!R\Max</f>
        <v>0.8556732340401676</v>
      </c>
      <c r="CC129" s="1206">
        <f>'2024'!R\Max</f>
        <v>0.85566539146009302</v>
      </c>
      <c r="CD129" s="1206">
        <f>'2025'!R\Max</f>
        <v>0.85570247691268997</v>
      </c>
      <c r="CE129" s="1206">
        <f>'2026'!R\Max</f>
        <v>0.85569831520718564</v>
      </c>
      <c r="CF129" s="1207">
        <f>'2027'!R\Max</f>
        <v>0.8556929911874751</v>
      </c>
    </row>
    <row r="130" spans="1:84" s="6" customFormat="1" ht="11.25" x14ac:dyDescent="0.2">
      <c r="A130" s="11">
        <v>43216</v>
      </c>
      <c r="B130" s="379">
        <f>'2022'!Maxi_hp</f>
        <v>57.558841512192636</v>
      </c>
      <c r="C130" s="13">
        <f>'2022'!An_max</f>
        <v>2022</v>
      </c>
      <c r="D130" s="1053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2">
        <f t="shared" si="61"/>
        <v>43206</v>
      </c>
      <c r="I130" s="753">
        <f t="shared" si="62"/>
        <v>0.7142857142857143</v>
      </c>
      <c r="J130" s="746">
        <f t="shared" si="63"/>
        <v>59.516050729261977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46">
        <v>43216</v>
      </c>
      <c r="AP130" s="13">
        <f t="shared" si="64"/>
        <v>5</v>
      </c>
      <c r="AQ130" s="13">
        <f t="shared" si="65"/>
        <v>6</v>
      </c>
      <c r="AR130" s="172">
        <f t="shared" si="66"/>
        <v>43192</v>
      </c>
      <c r="AS130" s="753">
        <f t="shared" si="67"/>
        <v>0.8571428571428571</v>
      </c>
      <c r="AT130" s="769">
        <f t="shared" si="68"/>
        <v>59.451332361357551</v>
      </c>
      <c r="AU130" s="13">
        <f t="shared" si="69"/>
        <v>5</v>
      </c>
      <c r="AV130" s="13">
        <f t="shared" si="70"/>
        <v>6</v>
      </c>
      <c r="AW130" s="172">
        <f t="shared" si="71"/>
        <v>43206</v>
      </c>
      <c r="AX130" s="753">
        <f t="shared" si="72"/>
        <v>0.35714285714285715</v>
      </c>
      <c r="AY130" s="769">
        <f t="shared" si="73"/>
        <v>59.53618493034903</v>
      </c>
      <c r="AZ130" s="746">
        <f t="shared" si="77"/>
        <v>59.493758645853291</v>
      </c>
      <c r="BA130" s="641">
        <f t="shared" si="74"/>
        <v>0.96711459861520932</v>
      </c>
      <c r="BC130" s="11">
        <v>43216</v>
      </c>
      <c r="BD130" s="289">
        <f>[2]!FeuilCaduc*(1-Persistant)+Persistant</f>
        <v>0.67299593732628415</v>
      </c>
      <c r="BE130" s="290">
        <f>[2]!CroissVégét</f>
        <v>0.13479526923661356</v>
      </c>
      <c r="BF130" s="819">
        <f>1+[2]!Salcycl*Ksac</f>
        <v>1.0091244921657856</v>
      </c>
      <c r="BH130" s="1044">
        <f t="shared" si="75"/>
        <v>3.6404772194104777E-3</v>
      </c>
      <c r="BI130" s="11">
        <v>44312</v>
      </c>
      <c r="BJ130" s="726">
        <v>4.2846258855796745E-4</v>
      </c>
      <c r="BK130" s="726">
        <v>6.7573846724370342E-4</v>
      </c>
      <c r="BL130" s="726">
        <v>1.0481245300945315E-3</v>
      </c>
      <c r="BM130" s="726">
        <v>1.7075539619278877E-3</v>
      </c>
      <c r="BN130" s="726">
        <v>2.8078836521599165E-3</v>
      </c>
      <c r="BO130" s="727">
        <v>4.3647859121501535E-3</v>
      </c>
      <c r="BP130" s="726">
        <v>6.680282647307541E-3</v>
      </c>
      <c r="BQ130" s="726">
        <v>9.5266587545767747E-3</v>
      </c>
      <c r="BR130" s="726">
        <v>1.3286967747221554E-2</v>
      </c>
      <c r="BS130" s="726">
        <v>1.7764863398647253E-2</v>
      </c>
      <c r="BT130" s="726">
        <v>2.2996376998372411E-2</v>
      </c>
      <c r="BW130" s="1208">
        <f>'2018'!R\Max</f>
        <v>0</v>
      </c>
      <c r="BX130" s="1206">
        <f>'2019'!R\Max</f>
        <v>0.57416172163799073</v>
      </c>
      <c r="BY130" s="1206">
        <f>'2020'!R\Max</f>
        <v>0.75164360340298342</v>
      </c>
      <c r="BZ130" s="1206">
        <f>'2021'!R\Max</f>
        <v>0.10365526036288704</v>
      </c>
      <c r="CA130" s="1206">
        <f>'2022'!R\Max</f>
        <v>0.96711459861520932</v>
      </c>
      <c r="CB130" s="1206">
        <f>'2023'!R\Max</f>
        <v>0.96711290013920503</v>
      </c>
      <c r="CC130" s="1206">
        <f>'2024'!R\Max</f>
        <v>0.96711092558926637</v>
      </c>
      <c r="CD130" s="1206">
        <f>'2025'!R\Max</f>
        <v>0.96712033122367758</v>
      </c>
      <c r="CE130" s="1206">
        <f>'2026'!R\Max</f>
        <v>0.96711925154721889</v>
      </c>
      <c r="CF130" s="1207">
        <f>'2027'!R\Max</f>
        <v>0.96711789084322508</v>
      </c>
    </row>
    <row r="131" spans="1:84" s="6" customFormat="1" ht="11.25" x14ac:dyDescent="0.2">
      <c r="A131" s="11">
        <v>43217</v>
      </c>
      <c r="B131" s="379">
        <f>'2022'!Maxi_hp</f>
        <v>41.337669114089941</v>
      </c>
      <c r="C131" s="13">
        <f>'2022'!An_max</f>
        <v>2022</v>
      </c>
      <c r="D131" s="1053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2">
        <f t="shared" si="61"/>
        <v>43206</v>
      </c>
      <c r="I131" s="753">
        <f t="shared" si="62"/>
        <v>0.7857142857142857</v>
      </c>
      <c r="J131" s="746">
        <f t="shared" si="63"/>
        <v>59.607205394868345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46">
        <v>43217</v>
      </c>
      <c r="AP131" s="13">
        <f t="shared" si="64"/>
        <v>5</v>
      </c>
      <c r="AQ131" s="13">
        <f t="shared" si="65"/>
        <v>6</v>
      </c>
      <c r="AR131" s="172">
        <f t="shared" si="66"/>
        <v>43192</v>
      </c>
      <c r="AS131" s="753">
        <f t="shared" si="67"/>
        <v>0.8928571428571429</v>
      </c>
      <c r="AT131" s="769">
        <f t="shared" si="68"/>
        <v>59.559614640660584</v>
      </c>
      <c r="AU131" s="13">
        <f t="shared" si="69"/>
        <v>5</v>
      </c>
      <c r="AV131" s="13">
        <f t="shared" si="70"/>
        <v>6</v>
      </c>
      <c r="AW131" s="172">
        <f t="shared" si="71"/>
        <v>43206</v>
      </c>
      <c r="AX131" s="753">
        <f t="shared" si="72"/>
        <v>0.39285714285714285</v>
      </c>
      <c r="AY131" s="769">
        <f t="shared" si="73"/>
        <v>59.623269867777296</v>
      </c>
      <c r="AZ131" s="746">
        <f t="shared" si="77"/>
        <v>59.59144225421894</v>
      </c>
      <c r="BA131" s="641">
        <f t="shared" si="74"/>
        <v>0.69350121080577865</v>
      </c>
      <c r="BC131" s="11">
        <v>43217</v>
      </c>
      <c r="BD131" s="289">
        <f>[2]!FeuilCaduc*(1-Persistant)+Persistant</f>
        <v>0.67670669209087531</v>
      </c>
      <c r="BE131" s="290">
        <f>[2]!CroissVégét</f>
        <v>0.13970387121088346</v>
      </c>
      <c r="BF131" s="819">
        <f>1+[2]!Salcycl*Ksac</f>
        <v>1.0095883365113594</v>
      </c>
      <c r="BH131" s="1044">
        <f t="shared" si="75"/>
        <v>3.7866375953766688E-3</v>
      </c>
      <c r="BI131" s="11">
        <v>44313</v>
      </c>
      <c r="BJ131" s="726">
        <v>4.4970274661599056E-4</v>
      </c>
      <c r="BK131" s="726">
        <v>7.2465775264726404E-4</v>
      </c>
      <c r="BL131" s="726">
        <v>1.1276627211481154E-3</v>
      </c>
      <c r="BM131" s="726">
        <v>1.8185037569528528E-3</v>
      </c>
      <c r="BN131" s="726">
        <v>2.9449343598312275E-3</v>
      </c>
      <c r="BO131" s="727">
        <v>4.5188711775143572E-3</v>
      </c>
      <c r="BP131" s="726">
        <v>6.7974691165539952E-3</v>
      </c>
      <c r="BQ131" s="726">
        <v>9.5865514406820347E-3</v>
      </c>
      <c r="BR131" s="726">
        <v>1.3252111383375727E-2</v>
      </c>
      <c r="BS131" s="726">
        <v>1.7640473000361874E-2</v>
      </c>
      <c r="BT131" s="726">
        <v>2.2760189053779783E-2</v>
      </c>
      <c r="BW131" s="1208">
        <f>'2018'!R\Max</f>
        <v>0</v>
      </c>
      <c r="BX131" s="1206">
        <f>'2019'!R\Max</f>
        <v>0.54777128716180368</v>
      </c>
      <c r="BY131" s="1206">
        <f>'2020'!R\Max</f>
        <v>0.42470401778414024</v>
      </c>
      <c r="BZ131" s="1206">
        <f>'2021'!R\Max</f>
        <v>0.34544172725536082</v>
      </c>
      <c r="CA131" s="1206">
        <f>'2022'!R\Max</f>
        <v>0.69350121080577865</v>
      </c>
      <c r="CB131" s="1206">
        <f>'2023'!R\Max</f>
        <v>0.69348999818932999</v>
      </c>
      <c r="CC131" s="1206">
        <f>'2024'!R\Max</f>
        <v>0.69347701639016124</v>
      </c>
      <c r="CD131" s="1206">
        <f>'2025'!R\Max</f>
        <v>0.6935393667054357</v>
      </c>
      <c r="CE131" s="1206">
        <f>'2026'!R\Max</f>
        <v>0.69353204222361797</v>
      </c>
      <c r="CF131" s="1207">
        <f>'2027'!R\Max</f>
        <v>0.69352295003430198</v>
      </c>
    </row>
    <row r="132" spans="1:84" s="6" customFormat="1" ht="11.25" x14ac:dyDescent="0.2">
      <c r="A132" s="11">
        <v>43218</v>
      </c>
      <c r="B132" s="379">
        <f>'2022'!Maxi_hp</f>
        <v>46.272317689396395</v>
      </c>
      <c r="C132" s="13">
        <f>'2022'!An_max</f>
        <v>2019</v>
      </c>
      <c r="D132" s="1053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2">
        <f t="shared" si="61"/>
        <v>43206</v>
      </c>
      <c r="I132" s="753">
        <f t="shared" si="62"/>
        <v>0.8571428571428571</v>
      </c>
      <c r="J132" s="746">
        <f t="shared" si="63"/>
        <v>59.694026240493578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46">
        <v>43218</v>
      </c>
      <c r="AP132" s="13">
        <f t="shared" si="64"/>
        <v>5</v>
      </c>
      <c r="AQ132" s="13">
        <f t="shared" si="65"/>
        <v>6</v>
      </c>
      <c r="AR132" s="172">
        <f t="shared" si="66"/>
        <v>43192</v>
      </c>
      <c r="AS132" s="753">
        <f t="shared" si="67"/>
        <v>0.9285714285714286</v>
      </c>
      <c r="AT132" s="769">
        <f t="shared" si="68"/>
        <v>59.663183892252185</v>
      </c>
      <c r="AU132" s="13">
        <f t="shared" si="69"/>
        <v>5</v>
      </c>
      <c r="AV132" s="13">
        <f t="shared" si="70"/>
        <v>6</v>
      </c>
      <c r="AW132" s="172">
        <f t="shared" si="71"/>
        <v>43206</v>
      </c>
      <c r="AX132" s="753">
        <f t="shared" si="72"/>
        <v>0.42857142857142855</v>
      </c>
      <c r="AY132" s="769">
        <f t="shared" si="73"/>
        <v>59.704427405287106</v>
      </c>
      <c r="AZ132" s="746">
        <f t="shared" si="77"/>
        <v>59.683805648769649</v>
      </c>
      <c r="BA132" s="641">
        <f t="shared" si="74"/>
        <v>0.77515826295542223</v>
      </c>
      <c r="BC132" s="11">
        <v>43218</v>
      </c>
      <c r="BD132" s="289">
        <f>[2]!FeuilCaduc*(1-Persistant)+Persistant</f>
        <v>0.68052989211860793</v>
      </c>
      <c r="BE132" s="290">
        <f>[2]!CroissVégét</f>
        <v>0.14475951929663808</v>
      </c>
      <c r="BF132" s="819">
        <f>1+[2]!Salcycl*Ksac</f>
        <v>1.0100662365148261</v>
      </c>
      <c r="BH132" s="1044">
        <f t="shared" si="75"/>
        <v>3.9611662482753572E-3</v>
      </c>
      <c r="BI132" s="11">
        <v>44314</v>
      </c>
      <c r="BJ132" s="726">
        <v>4.7413634365652902E-4</v>
      </c>
      <c r="BK132" s="726">
        <v>7.7947737608431071E-4</v>
      </c>
      <c r="BL132" s="726">
        <v>1.2162429314324496E-3</v>
      </c>
      <c r="BM132" s="726">
        <v>1.9436920176056905E-3</v>
      </c>
      <c r="BN132" s="726">
        <v>3.1042466259122779E-3</v>
      </c>
      <c r="BO132" s="727">
        <v>4.7066372149877304E-3</v>
      </c>
      <c r="BP132" s="726">
        <v>6.9656022105318788E-3</v>
      </c>
      <c r="BQ132" s="726">
        <v>9.7162492627108441E-3</v>
      </c>
      <c r="BR132" s="726">
        <v>1.3303551916536788E-2</v>
      </c>
      <c r="BS132" s="726">
        <v>1.7609345827964733E-2</v>
      </c>
      <c r="BT132" s="726">
        <v>2.2618090835229029E-2</v>
      </c>
      <c r="BW132" s="1208">
        <f>'2018'!R\Max</f>
        <v>0</v>
      </c>
      <c r="BX132" s="1206">
        <f>'2019'!R\Max</f>
        <v>0.77515826295542223</v>
      </c>
      <c r="BY132" s="1206">
        <f>'2020'!R\Max</f>
        <v>0.38254468092964655</v>
      </c>
      <c r="BZ132" s="1206">
        <f>'2021'!R\Max</f>
        <v>0.26036030333839805</v>
      </c>
      <c r="CA132" s="1206">
        <f>'2022'!R\Max</f>
        <v>0.41248217508887258</v>
      </c>
      <c r="CB132" s="1206">
        <f>'2023'!R\Max</f>
        <v>0.41246945501100857</v>
      </c>
      <c r="CC132" s="1206">
        <f>'2024'!R\Max</f>
        <v>0.41245479774203742</v>
      </c>
      <c r="CD132" s="1206">
        <f>'2025'!R\Max</f>
        <v>0.4125258300844169</v>
      </c>
      <c r="CE132" s="1206">
        <f>'2026'!R\Max</f>
        <v>0.41251729195750708</v>
      </c>
      <c r="CF132" s="1207">
        <f>'2027'!R\Max</f>
        <v>0.41250685044642199</v>
      </c>
    </row>
    <row r="133" spans="1:84" s="6" customFormat="1" ht="11.25" x14ac:dyDescent="0.2">
      <c r="A133" s="11">
        <v>43219</v>
      </c>
      <c r="B133" s="379">
        <f>'2022'!Maxi_hp</f>
        <v>53.368157207245993</v>
      </c>
      <c r="C133" s="13">
        <f>'2022'!An_max</f>
        <v>2019</v>
      </c>
      <c r="D133" s="1053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2">
        <f t="shared" si="61"/>
        <v>43206</v>
      </c>
      <c r="I133" s="753">
        <f t="shared" si="62"/>
        <v>0.9285714285714286</v>
      </c>
      <c r="J133" s="746">
        <f t="shared" si="63"/>
        <v>59.776946647890973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46">
        <v>43219</v>
      </c>
      <c r="AP133" s="13">
        <f t="shared" si="64"/>
        <v>5</v>
      </c>
      <c r="AQ133" s="13">
        <f t="shared" si="65"/>
        <v>6</v>
      </c>
      <c r="AR133" s="172">
        <f t="shared" si="66"/>
        <v>43192</v>
      </c>
      <c r="AS133" s="753">
        <f t="shared" si="67"/>
        <v>0.9642857142857143</v>
      </c>
      <c r="AT133" s="769">
        <f t="shared" si="68"/>
        <v>59.762094287867001</v>
      </c>
      <c r="AU133" s="13">
        <f t="shared" si="69"/>
        <v>5</v>
      </c>
      <c r="AV133" s="13">
        <f t="shared" si="70"/>
        <v>6</v>
      </c>
      <c r="AW133" s="172">
        <f t="shared" si="71"/>
        <v>43206</v>
      </c>
      <c r="AX133" s="753">
        <f t="shared" si="72"/>
        <v>0.4642857142857143</v>
      </c>
      <c r="AY133" s="769">
        <f t="shared" si="73"/>
        <v>59.779969034623356</v>
      </c>
      <c r="AZ133" s="746">
        <f t="shared" si="77"/>
        <v>59.771031661245175</v>
      </c>
      <c r="BA133" s="641">
        <f t="shared" si="74"/>
        <v>0.89278827708622865</v>
      </c>
      <c r="BC133" s="11">
        <v>43219</v>
      </c>
      <c r="BD133" s="289">
        <f>[2]!FeuilCaduc*(1-Persistant)+Persistant</f>
        <v>0.68446474414919523</v>
      </c>
      <c r="BE133" s="290">
        <f>[2]!CroissVégét</f>
        <v>0.14996445881890225</v>
      </c>
      <c r="BF133" s="819">
        <f>1+[2]!Salcycl*Ksac</f>
        <v>1.0105580930186495</v>
      </c>
      <c r="BH133" s="1044">
        <f t="shared" si="75"/>
        <v>4.1640396988685139E-3</v>
      </c>
      <c r="BI133" s="11">
        <v>44315</v>
      </c>
      <c r="BJ133" s="726">
        <v>5.0176064770379909E-4</v>
      </c>
      <c r="BK133" s="726">
        <v>8.4019214496589565E-4</v>
      </c>
      <c r="BL133" s="726">
        <v>1.3138571198081641E-3</v>
      </c>
      <c r="BM133" s="726">
        <v>2.0831063215035165E-3</v>
      </c>
      <c r="BN133" s="726">
        <v>3.2858016411184496E-3</v>
      </c>
      <c r="BO133" s="727">
        <v>4.9280564827403842E-3</v>
      </c>
      <c r="BP133" s="726">
        <v>7.184642300832887E-3</v>
      </c>
      <c r="BQ133" s="726">
        <v>9.9156996194162319E-3</v>
      </c>
      <c r="BR133" s="726">
        <v>1.3441225902346579E-2</v>
      </c>
      <c r="BS133" s="726">
        <v>1.7671414077734215E-2</v>
      </c>
      <c r="BT133" s="726">
        <v>2.2570014746183153E-2</v>
      </c>
      <c r="BW133" s="1208">
        <f>'2018'!R\Max</f>
        <v>0</v>
      </c>
      <c r="BX133" s="1206">
        <f>'2019'!R\Max</f>
        <v>0.89278827708622865</v>
      </c>
      <c r="BY133" s="1206">
        <f>'2020'!R\Max</f>
        <v>0.59058129650447322</v>
      </c>
      <c r="BZ133" s="1206">
        <f>'2021'!R\Max</f>
        <v>0.40624295072551714</v>
      </c>
      <c r="CA133" s="1206">
        <f>'2022'!R\Max</f>
        <v>0.77611317417475412</v>
      </c>
      <c r="CB133" s="1206">
        <f>'2023'!R\Max</f>
        <v>0.77610403038225972</v>
      </c>
      <c r="CC133" s="1206">
        <f>'2024'!R\Max</f>
        <v>0.7760935493529203</v>
      </c>
      <c r="CD133" s="1206">
        <f>'2025'!R\Max</f>
        <v>0.7761448219477437</v>
      </c>
      <c r="CE133" s="1206">
        <f>'2026'!R\Max</f>
        <v>0.77613852091689928</v>
      </c>
      <c r="CF133" s="1207">
        <f>'2027'!R\Max</f>
        <v>0.77613092499552183</v>
      </c>
    </row>
    <row r="134" spans="1:84" s="6" customFormat="1" ht="11.25" x14ac:dyDescent="0.2">
      <c r="A134" s="11">
        <v>43220</v>
      </c>
      <c r="B134" s="379">
        <f>'2022'!Maxi_hp</f>
        <v>60.260535835391735</v>
      </c>
      <c r="C134" s="13">
        <f>'2022'!An_max</f>
        <v>2019</v>
      </c>
      <c r="D134" s="1053">
        <f t="shared" si="59"/>
        <v>1.0067517564426798</v>
      </c>
      <c r="E134" s="1048">
        <f>V$13/10</f>
        <v>59.856399999999994</v>
      </c>
      <c r="F134" s="13">
        <f t="shared" si="76"/>
        <v>11</v>
      </c>
      <c r="G134" s="13">
        <f t="shared" si="60"/>
        <v>10</v>
      </c>
      <c r="H134" s="172">
        <f t="shared" si="61"/>
        <v>43234</v>
      </c>
      <c r="I134" s="753">
        <f t="shared" si="62"/>
        <v>1</v>
      </c>
      <c r="J134" s="746">
        <f t="shared" si="63"/>
        <v>59.856400001049039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46">
        <v>43220</v>
      </c>
      <c r="AP134" s="13">
        <f t="shared" si="64"/>
        <v>7</v>
      </c>
      <c r="AQ134" s="13">
        <f t="shared" si="65"/>
        <v>6</v>
      </c>
      <c r="AR134" s="172">
        <f t="shared" si="66"/>
        <v>43248</v>
      </c>
      <c r="AS134" s="753">
        <f t="shared" si="67"/>
        <v>1</v>
      </c>
      <c r="AT134" s="769">
        <f t="shared" si="68"/>
        <v>59.856399999558924</v>
      </c>
      <c r="AU134" s="13">
        <f t="shared" si="69"/>
        <v>5</v>
      </c>
      <c r="AV134" s="13">
        <f t="shared" si="70"/>
        <v>6</v>
      </c>
      <c r="AW134" s="172">
        <f t="shared" si="71"/>
        <v>43206</v>
      </c>
      <c r="AX134" s="753">
        <f t="shared" si="72"/>
        <v>0.5</v>
      </c>
      <c r="AY134" s="769">
        <f t="shared" si="73"/>
        <v>59.850206250324845</v>
      </c>
      <c r="AZ134" s="746">
        <f t="shared" si="77"/>
        <v>59.853303124941888</v>
      </c>
      <c r="BA134" s="641">
        <f t="shared" si="74"/>
        <v>1.0067517564426798</v>
      </c>
      <c r="BC134" s="11">
        <v>43220</v>
      </c>
      <c r="BD134" s="289">
        <f>[2]!FeuilCaduc*(1-Persistant)+Persistant</f>
        <v>0.68851023126092314</v>
      </c>
      <c r="BE134" s="290">
        <f>[2]!CroissVégét</f>
        <v>0.1553208101334605</v>
      </c>
      <c r="BF134" s="819">
        <f>1+[2]!Salcycl*Ksac</f>
        <v>1.0110637789076153</v>
      </c>
      <c r="BH134" s="1044">
        <f t="shared" si="75"/>
        <v>4.395233313504888E-3</v>
      </c>
      <c r="BI134" s="11">
        <v>44316</v>
      </c>
      <c r="BJ134" s="726">
        <v>5.3257279255286831E-4</v>
      </c>
      <c r="BK134" s="726">
        <v>9.067966101144264E-4</v>
      </c>
      <c r="BL134" s="726">
        <v>1.4204968478430983E-3</v>
      </c>
      <c r="BM134" s="726">
        <v>2.2367336333744257E-3</v>
      </c>
      <c r="BN134" s="726">
        <v>3.4895796703438772E-3</v>
      </c>
      <c r="BO134" s="727">
        <v>5.183100085667287E-3</v>
      </c>
      <c r="BP134" s="726">
        <v>7.4545478153496504E-3</v>
      </c>
      <c r="BQ134" s="726">
        <v>1.0184847335989931E-2</v>
      </c>
      <c r="BR134" s="726">
        <v>1.3665066811373215E-2</v>
      </c>
      <c r="BS134" s="726">
        <v>1.7826606687796932E-2</v>
      </c>
      <c r="BT134" s="726">
        <v>2.2615889999754391E-2</v>
      </c>
      <c r="BW134" s="1208">
        <f>'2018'!R\Max</f>
        <v>0</v>
      </c>
      <c r="BX134" s="1206">
        <f>'2019'!R\Max</f>
        <v>1.0067517564426798</v>
      </c>
      <c r="BY134" s="1206">
        <f>'2020'!R\Max</f>
        <v>0.91375222302696579</v>
      </c>
      <c r="BZ134" s="1206">
        <f>'2021'!R\Max</f>
        <v>0.29395719281056404</v>
      </c>
      <c r="CA134" s="1206">
        <f>'2022'!R\Max</f>
        <v>0.78610909843726284</v>
      </c>
      <c r="CB134" s="1206">
        <f>'2023'!R\Max</f>
        <v>0.78610016076175038</v>
      </c>
      <c r="CC134" s="1206">
        <f>'2024'!R\Max</f>
        <v>0.78608997510463519</v>
      </c>
      <c r="CD134" s="1206">
        <f>'2025'!R\Max</f>
        <v>0.78614029572836275</v>
      </c>
      <c r="CE134" s="1206">
        <f>'2026'!R\Max</f>
        <v>0.78613397941683405</v>
      </c>
      <c r="CF134" s="1207">
        <f>'2027'!R\Max</f>
        <v>0.7861264673761077</v>
      </c>
    </row>
    <row r="135" spans="1:84" s="6" customFormat="1" ht="11.25" x14ac:dyDescent="0.2">
      <c r="A135" s="11">
        <v>43221</v>
      </c>
      <c r="B135" s="379">
        <f>'2022'!Maxi_hp</f>
        <v>56.919945297038041</v>
      </c>
      <c r="C135" s="13">
        <f>'2022'!An_max</f>
        <v>2019</v>
      </c>
      <c r="D135" s="1053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2">
        <f t="shared" si="61"/>
        <v>43234</v>
      </c>
      <c r="I135" s="753">
        <f t="shared" si="62"/>
        <v>0.9285714285714286</v>
      </c>
      <c r="J135" s="746">
        <f t="shared" si="63"/>
        <v>59.930797232128683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46">
        <v>43221</v>
      </c>
      <c r="AP135" s="13">
        <f t="shared" si="64"/>
        <v>7</v>
      </c>
      <c r="AQ135" s="13">
        <f t="shared" si="65"/>
        <v>6</v>
      </c>
      <c r="AR135" s="172">
        <f t="shared" si="66"/>
        <v>43248</v>
      </c>
      <c r="AS135" s="753">
        <f t="shared" si="67"/>
        <v>0.9642857142857143</v>
      </c>
      <c r="AT135" s="769">
        <f t="shared" si="68"/>
        <v>59.944674480706453</v>
      </c>
      <c r="AU135" s="13">
        <f t="shared" si="69"/>
        <v>5</v>
      </c>
      <c r="AV135" s="13">
        <f t="shared" si="70"/>
        <v>6</v>
      </c>
      <c r="AW135" s="172">
        <f t="shared" si="71"/>
        <v>43206</v>
      </c>
      <c r="AX135" s="753">
        <f t="shared" si="72"/>
        <v>0.5357142857142857</v>
      </c>
      <c r="AY135" s="769">
        <f t="shared" si="73"/>
        <v>59.915450544402532</v>
      </c>
      <c r="AZ135" s="746">
        <f t="shared" si="77"/>
        <v>59.930062512554493</v>
      </c>
      <c r="BA135" s="641">
        <f t="shared" si="74"/>
        <v>0.94976119000338388</v>
      </c>
      <c r="BC135" s="11">
        <v>43221</v>
      </c>
      <c r="BD135" s="289">
        <f>[2]!FeuilCaduc*(1-Persistant)+Persistant</f>
        <v>0.69266510603190956</v>
      </c>
      <c r="BE135" s="290">
        <f>[2]!CroissVégét</f>
        <v>0.16083055564958049</v>
      </c>
      <c r="BF135" s="819">
        <f>1+[2]!Salcycl*Ksac</f>
        <v>1.0115831382539886</v>
      </c>
      <c r="BH135" s="1044">
        <f t="shared" si="75"/>
        <v>4.6547212418400772E-3</v>
      </c>
      <c r="BI135" s="11">
        <v>44317</v>
      </c>
      <c r="BJ135" s="726">
        <v>5.6656977075363437E-4</v>
      </c>
      <c r="BK135" s="726">
        <v>9.7928505279235305E-4</v>
      </c>
      <c r="BL135" s="726">
        <v>1.5361532599294889E-3</v>
      </c>
      <c r="BM135" s="726">
        <v>2.4045602737617555E-3</v>
      </c>
      <c r="BN135" s="726">
        <v>3.7155600037662362E-3</v>
      </c>
      <c r="BO135" s="727">
        <v>5.4717377014644004E-3</v>
      </c>
      <c r="BP135" s="726">
        <v>7.7752751265727131E-3</v>
      </c>
      <c r="BQ135" s="726">
        <v>1.0523634511108172E-2</v>
      </c>
      <c r="BR135" s="726">
        <v>1.3975004840110264E-2</v>
      </c>
      <c r="BS135" s="726">
        <v>1.8074849133910227E-2</v>
      </c>
      <c r="BT135" s="726">
        <v>2.275564241271838E-2</v>
      </c>
      <c r="BW135" s="1208">
        <f>'2018'!R\Max</f>
        <v>0</v>
      </c>
      <c r="BX135" s="1206">
        <f>'2019'!R\Max</f>
        <v>0.94976119000338388</v>
      </c>
      <c r="BY135" s="1206">
        <f>'2020'!R\Max</f>
        <v>0.74805428317541223</v>
      </c>
      <c r="BZ135" s="1206">
        <f>'2021'!R\Max</f>
        <v>0.34934149946582171</v>
      </c>
      <c r="CA135" s="1206">
        <f>'2022'!R\Max</f>
        <v>0.79939388538024958</v>
      </c>
      <c r="CB135" s="1206">
        <f>'2023'!R\Max</f>
        <v>0.79938521046820488</v>
      </c>
      <c r="CC135" s="1206">
        <f>'2024'!R\Max</f>
        <v>0.79937538489233695</v>
      </c>
      <c r="CD135" s="1206">
        <f>'2025'!R\Max</f>
        <v>0.79942441503421868</v>
      </c>
      <c r="CE135" s="1206">
        <f>'2026'!R\Max</f>
        <v>0.799418138179259</v>
      </c>
      <c r="CF135" s="1207">
        <f>'2027'!R\Max</f>
        <v>0.79941076524650323</v>
      </c>
    </row>
    <row r="136" spans="1:84" s="6" customFormat="1" ht="11.25" x14ac:dyDescent="0.2">
      <c r="A136" s="11">
        <v>43222</v>
      </c>
      <c r="B136" s="379">
        <f>'2022'!Maxi_hp</f>
        <v>40.444664400159141</v>
      </c>
      <c r="C136" s="13">
        <f>'2022'!An_max</f>
        <v>2021</v>
      </c>
      <c r="D136" s="1053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2">
        <f t="shared" si="61"/>
        <v>43234</v>
      </c>
      <c r="I136" s="753">
        <f t="shared" si="62"/>
        <v>0.8571428571428571</v>
      </c>
      <c r="J136" s="746">
        <f t="shared" si="63"/>
        <v>59.998549272652177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46">
        <v>43222</v>
      </c>
      <c r="AP136" s="13">
        <f t="shared" si="64"/>
        <v>7</v>
      </c>
      <c r="AQ136" s="13">
        <f t="shared" si="65"/>
        <v>6</v>
      </c>
      <c r="AR136" s="172">
        <f t="shared" si="66"/>
        <v>43248</v>
      </c>
      <c r="AS136" s="753">
        <f t="shared" si="67"/>
        <v>0.9285714285714286</v>
      </c>
      <c r="AT136" s="769">
        <f t="shared" si="68"/>
        <v>60.02563564160041</v>
      </c>
      <c r="AU136" s="13">
        <f t="shared" si="69"/>
        <v>5</v>
      </c>
      <c r="AV136" s="13">
        <f t="shared" si="70"/>
        <v>6</v>
      </c>
      <c r="AW136" s="172">
        <f t="shared" si="71"/>
        <v>43206</v>
      </c>
      <c r="AX136" s="753">
        <f t="shared" si="72"/>
        <v>0.5714285714285714</v>
      </c>
      <c r="AY136" s="769">
        <f t="shared" si="73"/>
        <v>59.976013410410715</v>
      </c>
      <c r="AZ136" s="746">
        <f t="shared" si="77"/>
        <v>60.000824526005559</v>
      </c>
      <c r="BA136" s="641">
        <f t="shared" si="74"/>
        <v>0.67409403878027008</v>
      </c>
      <c r="BC136" s="11">
        <v>43222</v>
      </c>
      <c r="BD136" s="289">
        <f>[2]!FeuilCaduc*(1-Persistant)+Persistant</f>
        <v>0.69692788399970962</v>
      </c>
      <c r="BE136" s="290">
        <f>[2]!CroissVégét</f>
        <v>0.16649552652045066</v>
      </c>
      <c r="BF136" s="819">
        <f>1+[2]!Salcycl*Ksac</f>
        <v>1.0121159854999637</v>
      </c>
      <c r="BH136" s="1044">
        <f t="shared" si="75"/>
        <v>4.947251349905115E-3</v>
      </c>
      <c r="BI136" s="11">
        <v>44318</v>
      </c>
      <c r="BJ136" s="726">
        <v>6.0298877694688351E-4</v>
      </c>
      <c r="BK136" s="726">
        <v>1.057529856521743E-3</v>
      </c>
      <c r="BL136" s="726">
        <v>1.6618146367867138E-3</v>
      </c>
      <c r="BM136" s="726">
        <v>2.5892006830409006E-3</v>
      </c>
      <c r="BN136" s="726">
        <v>3.9678259454773261E-3</v>
      </c>
      <c r="BO136" s="727">
        <v>5.7992953269679738E-3</v>
      </c>
      <c r="BP136" s="726">
        <v>8.1534839823744123E-3</v>
      </c>
      <c r="BQ136" s="726">
        <v>1.0941257360283802E-2</v>
      </c>
      <c r="BR136" s="726">
        <v>1.4385772751645419E-2</v>
      </c>
      <c r="BS136" s="726">
        <v>1.8440321994064566E-2</v>
      </c>
      <c r="BT136" s="726">
        <v>2.3025812375633378E-2</v>
      </c>
      <c r="BW136" s="1208">
        <f>'2018'!R\Max</f>
        <v>0</v>
      </c>
      <c r="BX136" s="1206">
        <f>'2019'!R\Max</f>
        <v>0.61106216348303888</v>
      </c>
      <c r="BY136" s="1206">
        <f>'2020'!R\Max</f>
        <v>0.40700048218097395</v>
      </c>
      <c r="BZ136" s="1206">
        <f>'2021'!R\Max</f>
        <v>0.67409403878027008</v>
      </c>
      <c r="CA136" s="1206">
        <f>'2022'!R\Max</f>
        <v>0.48371683566912854</v>
      </c>
      <c r="CB136" s="1206">
        <f>'2023'!R\Max</f>
        <v>0.48370297883298063</v>
      </c>
      <c r="CC136" s="1206">
        <f>'2024'!R\Max</f>
        <v>0.48368738085697105</v>
      </c>
      <c r="CD136" s="1206">
        <f>'2025'!R\Max</f>
        <v>0.4837659839833941</v>
      </c>
      <c r="CE136" s="1206">
        <f>'2026'!R\Max</f>
        <v>0.48375573765040591</v>
      </c>
      <c r="CF136" s="1207">
        <f>'2027'!R\Max</f>
        <v>0.4837438365790202</v>
      </c>
    </row>
    <row r="137" spans="1:84" s="6" customFormat="1" ht="11.25" x14ac:dyDescent="0.2">
      <c r="A137" s="11">
        <v>43223</v>
      </c>
      <c r="B137" s="379">
        <f>'2022'!Maxi_hp</f>
        <v>59.833471224448644</v>
      </c>
      <c r="C137" s="13">
        <f>'2022'!An_max</f>
        <v>2021</v>
      </c>
      <c r="D137" s="1053">
        <f t="shared" si="59"/>
        <v>0.9962268074797922</v>
      </c>
      <c r="E137" s="13"/>
      <c r="F137" s="13">
        <f t="shared" si="76"/>
        <v>11</v>
      </c>
      <c r="G137" s="13">
        <f t="shared" si="60"/>
        <v>10</v>
      </c>
      <c r="H137" s="172">
        <f t="shared" si="61"/>
        <v>43234</v>
      </c>
      <c r="I137" s="753">
        <f t="shared" si="62"/>
        <v>0.7857142857142857</v>
      </c>
      <c r="J137" s="746">
        <f t="shared" si="63"/>
        <v>60.060089504931661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46">
        <v>43223</v>
      </c>
      <c r="AP137" s="13">
        <f t="shared" si="64"/>
        <v>7</v>
      </c>
      <c r="AQ137" s="13">
        <f t="shared" si="65"/>
        <v>6</v>
      </c>
      <c r="AR137" s="172">
        <f t="shared" si="66"/>
        <v>43248</v>
      </c>
      <c r="AS137" s="753">
        <f t="shared" si="67"/>
        <v>0.8928571428571429</v>
      </c>
      <c r="AT137" s="769">
        <f t="shared" si="68"/>
        <v>60.099554346741307</v>
      </c>
      <c r="AU137" s="13">
        <f t="shared" si="69"/>
        <v>5</v>
      </c>
      <c r="AV137" s="13">
        <f t="shared" si="70"/>
        <v>6</v>
      </c>
      <c r="AW137" s="172">
        <f t="shared" si="71"/>
        <v>43206</v>
      </c>
      <c r="AX137" s="753">
        <f t="shared" si="72"/>
        <v>0.6071428571428571</v>
      </c>
      <c r="AY137" s="769">
        <f t="shared" si="73"/>
        <v>60.032206343087765</v>
      </c>
      <c r="AZ137" s="746">
        <f t="shared" si="77"/>
        <v>60.065880344914532</v>
      </c>
      <c r="BA137" s="641">
        <f t="shared" si="74"/>
        <v>0.9962268074797922</v>
      </c>
      <c r="BC137" s="11">
        <v>43223</v>
      </c>
      <c r="BD137" s="289">
        <f>[2]!FeuilCaduc*(1-Persistant)+Persistant</f>
        <v>0.70129683750527161</v>
      </c>
      <c r="BE137" s="290">
        <f>[2]!CroissVégét</f>
        <v>0.1723173890515782</v>
      </c>
      <c r="BF137" s="819">
        <f>1+[2]!Salcycl*Ksac</f>
        <v>1.012662104688159</v>
      </c>
      <c r="BH137" s="1044">
        <f t="shared" si="75"/>
        <v>5.2526657603634832E-3</v>
      </c>
      <c r="BI137" s="11">
        <v>44319</v>
      </c>
      <c r="BJ137" s="726">
        <v>6.3949577233372021E-4</v>
      </c>
      <c r="BK137" s="726">
        <v>1.137501191248643E-3</v>
      </c>
      <c r="BL137" s="726">
        <v>1.7912692248192733E-3</v>
      </c>
      <c r="BM137" s="726">
        <v>2.7801432243459347E-3</v>
      </c>
      <c r="BN137" s="726">
        <v>4.230183639333405E-3</v>
      </c>
      <c r="BO137" s="727">
        <v>6.1421666135572156E-3</v>
      </c>
      <c r="BP137" s="726">
        <v>8.55839015241029E-3</v>
      </c>
      <c r="BQ137" s="726">
        <v>1.1399051455824896E-2</v>
      </c>
      <c r="BR137" s="726">
        <v>1.485500670451907E-2</v>
      </c>
      <c r="BS137" s="726">
        <v>1.8883794927367907E-2</v>
      </c>
      <c r="BT137" s="726">
        <v>2.3397444765593967E-2</v>
      </c>
      <c r="BW137" s="1208">
        <f>'2018'!R\Max</f>
        <v>0</v>
      </c>
      <c r="BX137" s="1206">
        <f>'2019'!R\Max</f>
        <v>0.35687704269024628</v>
      </c>
      <c r="BY137" s="1206">
        <f>'2020'!R\Max</f>
        <v>0.6376131778240407</v>
      </c>
      <c r="BZ137" s="1206">
        <f>'2021'!R\Max</f>
        <v>0.9962268074797922</v>
      </c>
      <c r="CA137" s="1206">
        <f>'2022'!R\Max</f>
        <v>0.19560207380190114</v>
      </c>
      <c r="CB137" s="1206">
        <f>'2023'!R\Max</f>
        <v>0.1955942453758677</v>
      </c>
      <c r="CC137" s="1206">
        <f>'2024'!R\Max</f>
        <v>0.19558548533395853</v>
      </c>
      <c r="CD137" s="1206">
        <f>'2025'!R\Max</f>
        <v>0.1956300296772</v>
      </c>
      <c r="CE137" s="1206">
        <f>'2026'!R\Max</f>
        <v>0.19562413349698188</v>
      </c>
      <c r="CF137" s="1207">
        <f>'2027'!R\Max</f>
        <v>0.19561734850101442</v>
      </c>
    </row>
    <row r="138" spans="1:84" s="6" customFormat="1" ht="11.25" x14ac:dyDescent="0.2">
      <c r="A138" s="11">
        <v>43224</v>
      </c>
      <c r="B138" s="379">
        <f>'2022'!Maxi_hp</f>
        <v>55.569460873367788</v>
      </c>
      <c r="C138" s="13">
        <f>'2022'!An_max</f>
        <v>2020</v>
      </c>
      <c r="D138" s="1053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2">
        <f t="shared" si="61"/>
        <v>43234</v>
      </c>
      <c r="I138" s="753">
        <f t="shared" si="62"/>
        <v>0.7142857142857143</v>
      </c>
      <c r="J138" s="746">
        <f t="shared" si="63"/>
        <v>60.115851312662883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46">
        <v>43224</v>
      </c>
      <c r="AP138" s="13">
        <f t="shared" si="64"/>
        <v>7</v>
      </c>
      <c r="AQ138" s="13">
        <f t="shared" si="65"/>
        <v>6</v>
      </c>
      <c r="AR138" s="172">
        <f t="shared" si="66"/>
        <v>43248</v>
      </c>
      <c r="AS138" s="753">
        <f t="shared" si="67"/>
        <v>0.8571428571428571</v>
      </c>
      <c r="AT138" s="769">
        <f t="shared" si="68"/>
        <v>60.16670145759624</v>
      </c>
      <c r="AU138" s="13">
        <f t="shared" si="69"/>
        <v>5</v>
      </c>
      <c r="AV138" s="13">
        <f t="shared" si="70"/>
        <v>6</v>
      </c>
      <c r="AW138" s="172">
        <f t="shared" si="71"/>
        <v>43206</v>
      </c>
      <c r="AX138" s="753">
        <f t="shared" si="72"/>
        <v>0.6428571428571429</v>
      </c>
      <c r="AY138" s="769">
        <f t="shared" si="73"/>
        <v>60.084340833952389</v>
      </c>
      <c r="AZ138" s="746">
        <f t="shared" si="77"/>
        <v>60.125521145774314</v>
      </c>
      <c r="BA138" s="641">
        <f t="shared" si="74"/>
        <v>0.92437285108632505</v>
      </c>
      <c r="BC138" s="11">
        <v>43224</v>
      </c>
      <c r="BD138" s="289">
        <f>[2]!FeuilCaduc*(1-Persistant)+Persistant</f>
        <v>0.70576999001073237</v>
      </c>
      <c r="BE138" s="290">
        <f>[2]!CroissVégét</f>
        <v>0.17829763088415901</v>
      </c>
      <c r="BF138" s="819">
        <f>1+[2]!Salcycl*Ksac</f>
        <v>1.0132212487513415</v>
      </c>
      <c r="BH138" s="1044">
        <f t="shared" si="75"/>
        <v>5.5709468606353636E-3</v>
      </c>
      <c r="BI138" s="11">
        <v>44320</v>
      </c>
      <c r="BJ138" s="726">
        <v>6.7608978779039319E-4</v>
      </c>
      <c r="BK138" s="726">
        <v>1.219195791654086E-3</v>
      </c>
      <c r="BL138" s="726">
        <v>1.9245109667769217E-3</v>
      </c>
      <c r="BM138" s="726">
        <v>2.9773783770008144E-3</v>
      </c>
      <c r="BN138" s="726">
        <v>4.5026187860716105E-3</v>
      </c>
      <c r="BO138" s="727">
        <v>6.5003310662564246E-3</v>
      </c>
      <c r="BP138" s="726">
        <v>8.9899623789963176E-3</v>
      </c>
      <c r="BQ138" s="726">
        <v>1.1896973229229122E-2</v>
      </c>
      <c r="BR138" s="726">
        <v>1.538264775239835E-2</v>
      </c>
      <c r="BS138" s="726">
        <v>1.9405193273694037E-2</v>
      </c>
      <c r="BT138" s="726">
        <v>2.3870446967171121E-2</v>
      </c>
      <c r="BW138" s="1208">
        <f>'2018'!R\Max</f>
        <v>0</v>
      </c>
      <c r="BX138" s="1206">
        <f>'2019'!R\Max</f>
        <v>0.53692577558494547</v>
      </c>
      <c r="BY138" s="1206">
        <f>'2020'!R\Max</f>
        <v>0.92437285108632505</v>
      </c>
      <c r="BZ138" s="1206">
        <f>'2021'!R\Max</f>
        <v>0.86044103475382006</v>
      </c>
      <c r="CA138" s="1206">
        <f>'2022'!R\Max</f>
        <v>0.30675865814201236</v>
      </c>
      <c r="CB138" s="1206">
        <f>'2023'!R\Max</f>
        <v>0.30674607833242251</v>
      </c>
      <c r="CC138" s="1206">
        <f>'2024'!R\Max</f>
        <v>0.30673208000173102</v>
      </c>
      <c r="CD138" s="1206">
        <f>'2025'!R\Max</f>
        <v>0.30680384173280756</v>
      </c>
      <c r="CE138" s="1206">
        <f>'2026'!R\Max</f>
        <v>0.30679422204740747</v>
      </c>
      <c r="CF138" s="1207">
        <f>'2027'!R\Max</f>
        <v>0.30678323421977677</v>
      </c>
    </row>
    <row r="139" spans="1:84" s="6" customFormat="1" ht="11.25" x14ac:dyDescent="0.2">
      <c r="A139" s="11">
        <v>43225</v>
      </c>
      <c r="B139" s="379">
        <f>'2022'!Maxi_hp</f>
        <v>58.993355519975921</v>
      </c>
      <c r="C139" s="13">
        <f>'2022'!An_max</f>
        <v>2020</v>
      </c>
      <c r="D139" s="1053">
        <f t="shared" si="59"/>
        <v>0.98050547933549681</v>
      </c>
      <c r="E139" s="13"/>
      <c r="F139" s="13">
        <f t="shared" si="76"/>
        <v>11</v>
      </c>
      <c r="G139" s="13">
        <f t="shared" si="60"/>
        <v>10</v>
      </c>
      <c r="H139" s="172">
        <f t="shared" si="61"/>
        <v>43234</v>
      </c>
      <c r="I139" s="753">
        <f t="shared" si="62"/>
        <v>0.6428571428571429</v>
      </c>
      <c r="J139" s="746">
        <f t="shared" si="63"/>
        <v>60.166268076295296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46">
        <v>43225</v>
      </c>
      <c r="AP139" s="13">
        <f t="shared" si="64"/>
        <v>7</v>
      </c>
      <c r="AQ139" s="13">
        <f t="shared" si="65"/>
        <v>6</v>
      </c>
      <c r="AR139" s="172">
        <f t="shared" si="66"/>
        <v>43248</v>
      </c>
      <c r="AS139" s="753">
        <f t="shared" si="67"/>
        <v>0.8214285714285714</v>
      </c>
      <c r="AT139" s="769">
        <f t="shared" si="68"/>
        <v>60.227347839636991</v>
      </c>
      <c r="AU139" s="13">
        <f t="shared" si="69"/>
        <v>5</v>
      </c>
      <c r="AV139" s="13">
        <f t="shared" si="70"/>
        <v>6</v>
      </c>
      <c r="AW139" s="172">
        <f t="shared" si="71"/>
        <v>43206</v>
      </c>
      <c r="AX139" s="753">
        <f t="shared" si="72"/>
        <v>0.6785714285714286</v>
      </c>
      <c r="AY139" s="769">
        <f t="shared" si="73"/>
        <v>60.132728377636525</v>
      </c>
      <c r="AZ139" s="746">
        <f t="shared" si="77"/>
        <v>60.180038108636758</v>
      </c>
      <c r="BA139" s="641">
        <f t="shared" si="74"/>
        <v>0.98050547933549681</v>
      </c>
      <c r="BC139" s="11">
        <v>43225</v>
      </c>
      <c r="BD139" s="289">
        <f>[2]!FeuilCaduc*(1-Persistant)+Persistant</f>
        <v>0.71034511098304465</v>
      </c>
      <c r="BE139" s="290">
        <f>[2]!CroissVégét</f>
        <v>0.1844375470173118</v>
      </c>
      <c r="BF139" s="819">
        <f>1+[2]!Salcycl*Ksac</f>
        <v>1.0137931388728807</v>
      </c>
      <c r="BH139" s="1044">
        <f t="shared" si="75"/>
        <v>5.9020762231641825E-3</v>
      </c>
      <c r="BI139" s="11">
        <v>44321</v>
      </c>
      <c r="BJ139" s="726">
        <v>7.1276981742238947E-4</v>
      </c>
      <c r="BK139" s="726">
        <v>1.3026102479431929E-3</v>
      </c>
      <c r="BL139" s="726">
        <v>2.0615335298633107E-3</v>
      </c>
      <c r="BM139" s="726">
        <v>3.1808961842941228E-3</v>
      </c>
      <c r="BN139" s="726">
        <v>4.7851164272638552E-3</v>
      </c>
      <c r="BO139" s="727">
        <v>6.8737672395660357E-3</v>
      </c>
      <c r="BP139" s="726">
        <v>9.4481679215253547E-3</v>
      </c>
      <c r="BQ139" s="726">
        <v>1.2434977017354472E-2</v>
      </c>
      <c r="BR139" s="726">
        <v>1.5968634078116647E-2</v>
      </c>
      <c r="BS139" s="726">
        <v>2.0004438707219168E-2</v>
      </c>
      <c r="BT139" s="726">
        <v>2.4444721781400822E-2</v>
      </c>
      <c r="BW139" s="1208">
        <f>'2018'!R\Max</f>
        <v>0</v>
      </c>
      <c r="BX139" s="1206">
        <f>'2019'!R\Max</f>
        <v>0.75698694719599746</v>
      </c>
      <c r="BY139" s="1206">
        <f>'2020'!R\Max</f>
        <v>0.98050547933549681</v>
      </c>
      <c r="BZ139" s="1206">
        <f>'2021'!R\Max</f>
        <v>0.59107989371641911</v>
      </c>
      <c r="CA139" s="1206">
        <f>'2022'!R\Max</f>
        <v>0.66125335281192843</v>
      </c>
      <c r="CB139" s="1206">
        <f>'2023'!R\Max</f>
        <v>0.66123958929061533</v>
      </c>
      <c r="CC139" s="1206">
        <f>'2024'!R\Max</f>
        <v>0.66122435325665119</v>
      </c>
      <c r="CD139" s="1206">
        <f>'2025'!R\Max</f>
        <v>0.66130302152349429</v>
      </c>
      <c r="CE139" s="1206">
        <f>'2026'!R\Max</f>
        <v>0.66129236935017077</v>
      </c>
      <c r="CF139" s="1207">
        <f>'2027'!R\Max</f>
        <v>0.6612802706776002</v>
      </c>
    </row>
    <row r="140" spans="1:84" s="6" customFormat="1" ht="11.25" x14ac:dyDescent="0.2">
      <c r="A140" s="11">
        <v>43226</v>
      </c>
      <c r="B140" s="379">
        <f>'2022'!Maxi_hp</f>
        <v>62.888390720107274</v>
      </c>
      <c r="C140" s="13">
        <f>'2022'!An_max</f>
        <v>2019</v>
      </c>
      <c r="D140" s="1053">
        <f t="shared" si="59"/>
        <v>1.0444533917430607</v>
      </c>
      <c r="E140" s="13"/>
      <c r="F140" s="13">
        <f t="shared" si="76"/>
        <v>11</v>
      </c>
      <c r="G140" s="13">
        <f t="shared" si="60"/>
        <v>10</v>
      </c>
      <c r="H140" s="172">
        <f t="shared" si="61"/>
        <v>43234</v>
      </c>
      <c r="I140" s="753">
        <f t="shared" si="62"/>
        <v>0.5714285714285714</v>
      </c>
      <c r="J140" s="746">
        <f t="shared" si="63"/>
        <v>60.211773179418273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46">
        <v>43226</v>
      </c>
      <c r="AP140" s="13">
        <f t="shared" si="64"/>
        <v>7</v>
      </c>
      <c r="AQ140" s="13">
        <f t="shared" si="65"/>
        <v>6</v>
      </c>
      <c r="AR140" s="172">
        <f t="shared" si="66"/>
        <v>43248</v>
      </c>
      <c r="AS140" s="753">
        <f t="shared" si="67"/>
        <v>0.7857142857142857</v>
      </c>
      <c r="AT140" s="769">
        <f t="shared" si="68"/>
        <v>60.281764358095828</v>
      </c>
      <c r="AU140" s="13">
        <f t="shared" si="69"/>
        <v>5</v>
      </c>
      <c r="AV140" s="13">
        <f t="shared" si="70"/>
        <v>6</v>
      </c>
      <c r="AW140" s="172">
        <f t="shared" si="71"/>
        <v>43206</v>
      </c>
      <c r="AX140" s="753">
        <f t="shared" si="72"/>
        <v>0.7142857142857143</v>
      </c>
      <c r="AY140" s="769">
        <f t="shared" si="73"/>
        <v>60.177680466803054</v>
      </c>
      <c r="AZ140" s="746">
        <f t="shared" si="77"/>
        <v>60.229722412449441</v>
      </c>
      <c r="BA140" s="641">
        <f t="shared" si="74"/>
        <v>1.0444533917430607</v>
      </c>
      <c r="BC140" s="11">
        <v>43226</v>
      </c>
      <c r="BD140" s="289">
        <f>[2]!FeuilCaduc*(1-Persistant)+Persistant</f>
        <v>0.71501971143686638</v>
      </c>
      <c r="BE140" s="290">
        <f>[2]!CroissVégét</f>
        <v>0.19073822573999455</v>
      </c>
      <c r="BF140" s="819">
        <f>1+[2]!Salcycl*Ksac</f>
        <v>1.0143774639296084</v>
      </c>
      <c r="BH140" s="1044">
        <f t="shared" si="75"/>
        <v>6.2460345768256317E-3</v>
      </c>
      <c r="BI140" s="11">
        <v>44322</v>
      </c>
      <c r="BJ140" s="726">
        <v>7.4953481832684135E-4</v>
      </c>
      <c r="BK140" s="726">
        <v>1.3877410019675492E-3</v>
      </c>
      <c r="BL140" s="726">
        <v>2.202330297273002E-3</v>
      </c>
      <c r="BM140" s="726">
        <v>3.390686239446637E-3</v>
      </c>
      <c r="BN140" s="726">
        <v>5.0776609228961427E-3</v>
      </c>
      <c r="BO140" s="727">
        <v>7.2624527035038472E-3</v>
      </c>
      <c r="BP140" s="726">
        <v>9.9329724974935463E-3</v>
      </c>
      <c r="BQ140" s="726">
        <v>1.3013014973860542E-2</v>
      </c>
      <c r="BR140" s="726">
        <v>1.6612900865014425E-2</v>
      </c>
      <c r="BS140" s="726">
        <v>2.0681449064985934E-2</v>
      </c>
      <c r="BT140" s="726">
        <v>2.5120167203016422E-2</v>
      </c>
      <c r="BW140" s="1208">
        <f>'2018'!R\Max</f>
        <v>0</v>
      </c>
      <c r="BX140" s="1206">
        <f>'2019'!R\Max</f>
        <v>1.0444533917430607</v>
      </c>
      <c r="BY140" s="1206">
        <f>'2020'!R\Max</f>
        <v>0.8703475408110265</v>
      </c>
      <c r="BZ140" s="1206">
        <f>'2021'!R\Max</f>
        <v>0.65514604382838693</v>
      </c>
      <c r="CA140" s="1206">
        <f>'2022'!R\Max</f>
        <v>0.6435903510835721</v>
      </c>
      <c r="CB140" s="1206">
        <f>'2023'!R\Max</f>
        <v>0.64357566062204907</v>
      </c>
      <c r="CC140" s="1206">
        <f>'2024'!R\Max</f>
        <v>0.64355947761879084</v>
      </c>
      <c r="CD140" s="1206">
        <f>'2025'!R\Max</f>
        <v>0.64364357127139449</v>
      </c>
      <c r="CE140" s="1206">
        <f>'2026'!R\Max</f>
        <v>0.64363209446549152</v>
      </c>
      <c r="CF140" s="1207">
        <f>'2027'!R\Max</f>
        <v>0.64361911173273656</v>
      </c>
    </row>
    <row r="141" spans="1:84" s="6" customFormat="1" ht="11.25" x14ac:dyDescent="0.2">
      <c r="A141" s="11">
        <v>43227</v>
      </c>
      <c r="B141" s="379">
        <f>'2022'!Maxi_hp</f>
        <v>58.152952169417603</v>
      </c>
      <c r="C141" s="13">
        <f>'2022'!An_max</f>
        <v>2020</v>
      </c>
      <c r="D141" s="1053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2">
        <f t="shared" si="61"/>
        <v>43234</v>
      </c>
      <c r="I141" s="753">
        <f t="shared" si="62"/>
        <v>0.5</v>
      </c>
      <c r="J141" s="746">
        <f t="shared" si="63"/>
        <v>60.252800000645223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46">
        <v>43227</v>
      </c>
      <c r="AP141" s="13">
        <f t="shared" si="64"/>
        <v>7</v>
      </c>
      <c r="AQ141" s="13">
        <f t="shared" si="65"/>
        <v>6</v>
      </c>
      <c r="AR141" s="172">
        <f t="shared" si="66"/>
        <v>43248</v>
      </c>
      <c r="AS141" s="753">
        <f t="shared" si="67"/>
        <v>0.75</v>
      </c>
      <c r="AT141" s="769">
        <f t="shared" si="68"/>
        <v>60.330221874918792</v>
      </c>
      <c r="AU141" s="13">
        <f t="shared" si="69"/>
        <v>5</v>
      </c>
      <c r="AV141" s="13">
        <f t="shared" si="70"/>
        <v>6</v>
      </c>
      <c r="AW141" s="172">
        <f t="shared" si="71"/>
        <v>43206</v>
      </c>
      <c r="AX141" s="753">
        <f t="shared" si="72"/>
        <v>0.75</v>
      </c>
      <c r="AY141" s="769">
        <f t="shared" si="73"/>
        <v>60.219508594647053</v>
      </c>
      <c r="AZ141" s="746">
        <f t="shared" si="77"/>
        <v>60.274865234782922</v>
      </c>
      <c r="BA141" s="641">
        <f t="shared" si="74"/>
        <v>0.9651493734530987</v>
      </c>
      <c r="BC141" s="11">
        <v>43227</v>
      </c>
      <c r="BD141" s="289">
        <f>[2]!FeuilCaduc*(1-Persistant)+Persistant</f>
        <v>0.71979104023048723</v>
      </c>
      <c r="BE141" s="290">
        <f>[2]!CroissVégét</f>
        <v>0.19720053455029921</v>
      </c>
      <c r="BF141" s="819">
        <f>1+[2]!Salcycl*Ksac</f>
        <v>1.0149738800288108</v>
      </c>
      <c r="BH141" s="1044">
        <f t="shared" si="75"/>
        <v>6.6028017782611866E-3</v>
      </c>
      <c r="BI141" s="11">
        <v>44323</v>
      </c>
      <c r="BJ141" s="726">
        <v>7.8638371034575778E-4</v>
      </c>
      <c r="BK141" s="726">
        <v>1.4745843433311575E-3</v>
      </c>
      <c r="BL141" s="726">
        <v>2.3468943597025737E-3</v>
      </c>
      <c r="BM141" s="726">
        <v>3.6067376715387383E-3</v>
      </c>
      <c r="BN141" s="726">
        <v>5.3802359288869801E-3</v>
      </c>
      <c r="BO141" s="727">
        <v>7.6663640095580281E-3</v>
      </c>
      <c r="BP141" s="726">
        <v>1.0444340223404248E-2</v>
      </c>
      <c r="BQ141" s="726">
        <v>1.3631036980487253E-2</v>
      </c>
      <c r="BR141" s="726">
        <v>1.7315380168068859E-2</v>
      </c>
      <c r="BS141" s="726">
        <v>2.1436138175199904E-2</v>
      </c>
      <c r="BT141" s="726">
        <v>2.5896676197350806E-2</v>
      </c>
      <c r="BW141" s="1208">
        <f>'2018'!R\Max</f>
        <v>0</v>
      </c>
      <c r="BX141" s="1206">
        <f>'2019'!R\Max</f>
        <v>0.79260832956339944</v>
      </c>
      <c r="BY141" s="1206">
        <f>'2020'!R\Max</f>
        <v>0.9651493734530987</v>
      </c>
      <c r="BZ141" s="1206">
        <f>'2021'!R\Max</f>
        <v>0.53388626565690445</v>
      </c>
      <c r="CA141" s="1206">
        <f>'2022'!R\Max</f>
        <v>0.84922724967782726</v>
      </c>
      <c r="CB141" s="1206">
        <f>'2023'!R\Max</f>
        <v>0.84921867614084057</v>
      </c>
      <c r="CC141" s="1206">
        <f>'2024'!R\Max</f>
        <v>0.84920927359490528</v>
      </c>
      <c r="CD141" s="1206">
        <f>'2025'!R\Max</f>
        <v>0.84925840113018214</v>
      </c>
      <c r="CE141" s="1206">
        <f>'2026'!R\Max</f>
        <v>0.84925165814349379</v>
      </c>
      <c r="CF141" s="1207">
        <f>'2027'!R\Max</f>
        <v>0.84924404936945452</v>
      </c>
    </row>
    <row r="142" spans="1:84" s="6" customFormat="1" ht="11.25" x14ac:dyDescent="0.2">
      <c r="A142" s="11">
        <v>43228</v>
      </c>
      <c r="B142" s="379">
        <f>'2022'!Maxi_hp</f>
        <v>57.718187862260137</v>
      </c>
      <c r="C142" s="13">
        <f>'2022'!An_max</f>
        <v>2021</v>
      </c>
      <c r="D142" s="1053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2">
        <f t="shared" si="61"/>
        <v>43234</v>
      </c>
      <c r="I142" s="753">
        <f t="shared" si="62"/>
        <v>0.42857142857142855</v>
      </c>
      <c r="J142" s="746">
        <f t="shared" si="63"/>
        <v>60.289781924869331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46">
        <v>43228</v>
      </c>
      <c r="AP142" s="13">
        <f t="shared" si="64"/>
        <v>7</v>
      </c>
      <c r="AQ142" s="13">
        <f t="shared" si="65"/>
        <v>6</v>
      </c>
      <c r="AR142" s="172">
        <f t="shared" si="66"/>
        <v>43248</v>
      </c>
      <c r="AS142" s="753">
        <f t="shared" si="67"/>
        <v>0.7142857142857143</v>
      </c>
      <c r="AT142" s="769">
        <f t="shared" si="68"/>
        <v>60.372991253754925</v>
      </c>
      <c r="AU142" s="13">
        <f t="shared" si="69"/>
        <v>5</v>
      </c>
      <c r="AV142" s="13">
        <f t="shared" si="70"/>
        <v>6</v>
      </c>
      <c r="AW142" s="172">
        <f t="shared" si="71"/>
        <v>43206</v>
      </c>
      <c r="AX142" s="753">
        <f t="shared" si="72"/>
        <v>0.7857142857142857</v>
      </c>
      <c r="AY142" s="769">
        <f t="shared" si="73"/>
        <v>60.258524253325803</v>
      </c>
      <c r="AZ142" s="746">
        <f t="shared" si="77"/>
        <v>60.315757753540368</v>
      </c>
      <c r="BA142" s="641">
        <f t="shared" si="74"/>
        <v>0.95734610442257351</v>
      </c>
      <c r="BC142" s="11">
        <v>43228</v>
      </c>
      <c r="BD142" s="289">
        <f>[2]!FeuilCaduc*(1-Persistant)+Persistant</f>
        <v>0.72465608120776859</v>
      </c>
      <c r="BE142" s="290">
        <f>[2]!CroissVégét</f>
        <v>0.2038251061465651</v>
      </c>
      <c r="BF142" s="819">
        <f>1+[2]!Salcycl*Ksac</f>
        <v>1.0155820101509712</v>
      </c>
      <c r="BH142" s="1044">
        <f t="shared" si="75"/>
        <v>6.973783159101344E-3</v>
      </c>
      <c r="BI142" s="11">
        <v>44324</v>
      </c>
      <c r="BJ142" s="726">
        <v>8.2221265127725739E-4</v>
      </c>
      <c r="BK142" s="726">
        <v>1.5628744003102874E-3</v>
      </c>
      <c r="BL142" s="726">
        <v>2.4958851392861939E-3</v>
      </c>
      <c r="BM142" s="726">
        <v>3.8303819305037811E-3</v>
      </c>
      <c r="BN142" s="726">
        <v>5.6943411432509045E-3</v>
      </c>
      <c r="BO142" s="727">
        <v>8.0868243960125138E-3</v>
      </c>
      <c r="BP142" s="726">
        <v>1.0983142147270072E-2</v>
      </c>
      <c r="BQ142" s="726">
        <v>1.4289553533098208E-2</v>
      </c>
      <c r="BR142" s="726">
        <v>1.8076152220121482E-2</v>
      </c>
      <c r="BS142" s="726">
        <v>2.2268745924388662E-2</v>
      </c>
      <c r="BT142" s="726">
        <v>2.6775045614797627E-2</v>
      </c>
      <c r="BW142" s="1208">
        <f>'2018'!R\Max</f>
        <v>0</v>
      </c>
      <c r="BX142" s="1206">
        <f>'2019'!R\Max</f>
        <v>0.54654997559915608</v>
      </c>
      <c r="BY142" s="1206">
        <f>'2020'!R\Max</f>
        <v>0.8331737432355929</v>
      </c>
      <c r="BZ142" s="1206">
        <f>'2021'!R\Max</f>
        <v>0.95734610442257351</v>
      </c>
      <c r="CA142" s="1206">
        <f>'2022'!R\Max</f>
        <v>0.8747092320157791</v>
      </c>
      <c r="CB142" s="1206">
        <f>'2023'!R\Max</f>
        <v>0.87470153989682498</v>
      </c>
      <c r="CC142" s="1206">
        <f>'2024'!R\Max</f>
        <v>0.87469313826540018</v>
      </c>
      <c r="CD142" s="1206">
        <f>'2025'!R\Max</f>
        <v>0.87473724214464721</v>
      </c>
      <c r="CE142" s="1206">
        <f>'2026'!R\Max</f>
        <v>0.87473116516604199</v>
      </c>
      <c r="CF142" s="1207">
        <f>'2027'!R\Max</f>
        <v>0.87472431590158861</v>
      </c>
    </row>
    <row r="143" spans="1:84" s="6" customFormat="1" ht="11.25" x14ac:dyDescent="0.2">
      <c r="A143" s="11">
        <v>43229</v>
      </c>
      <c r="B143" s="379">
        <f>'2022'!Maxi_hp</f>
        <v>57.946357888755081</v>
      </c>
      <c r="C143" s="13">
        <f>'2022'!An_max</f>
        <v>2022</v>
      </c>
      <c r="D143" s="1053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2">
        <f t="shared" ref="H143:H206" si="80">INDEX(x.2m,F143)</f>
        <v>43234</v>
      </c>
      <c r="I143" s="753">
        <f t="shared" ref="I143:I206" si="81">($A143-H143)/(INDEX(x.2m,G143)-H143)</f>
        <v>0.35714285714285715</v>
      </c>
      <c r="J143" s="746">
        <f t="shared" ref="J143:J206" si="82">((1-I143)*(INDEX(a.m,F143)*$A143*$A143+INDEX(b.m,F143)*$A143+INDEX(c.m,F143))+I143*(INDEX(a.m,G143)*$A143*$A143+INDEX(b.m,G143)*$A143+INDEX(c.m,G143)))/10</f>
        <v>60.323152333098861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46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2">
        <f t="shared" ref="AR143:AR206" si="85">INDEX(x.2lg,AP143)</f>
        <v>43248</v>
      </c>
      <c r="AS143" s="753">
        <f t="shared" ref="AS143:AS206" si="86">($A143-AR143)/(INDEX(x.2lg,AQ143)-AR143)</f>
        <v>0.6785714285714286</v>
      </c>
      <c r="AT143" s="769">
        <f t="shared" ref="AT143:AT206" si="87">((1-AS143)*(INDEX(a.lg,AP143)*$A143*$A143+INDEX(b.lg,AP143)*$A143+INDEX(c.lg,AP143))+AS143*(INDEX(a.lg,AQ143)*$A143*$A143+INDEX(b.lg,AQ143)*$A143+INDEX(c.lg,AQ143)))/10</f>
        <v>60.410343357694465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2">
        <f t="shared" ref="AW143:AW206" si="90">INDEX(x.2ld,AU143)</f>
        <v>43206</v>
      </c>
      <c r="AX143" s="753">
        <f t="shared" ref="AX143:AX206" si="91">($A143-AW143)/(INDEX(x.2ld,AV143)-AW143)</f>
        <v>0.8214285714285714</v>
      </c>
      <c r="AY143" s="769">
        <f t="shared" ref="AY143:AY206" si="92">((1-AX143)*(INDEX(a.ld,AU143)*$A143*$A143+INDEX(b.ld,AU143)*$A143+INDEX(c.ld,AU143))+AX143*(INDEX(a.ld,AV143)*$A143*$A143+INDEX(b.ld,AV143)*$A143+INDEX(c.ld,AV143)))/10</f>
        <v>60.295038937697448</v>
      </c>
      <c r="AZ143" s="746">
        <f t="shared" si="77"/>
        <v>60.352691147695957</v>
      </c>
      <c r="BA143" s="641">
        <f t="shared" ref="BA143:BA206" si="93">+B143/J143</f>
        <v>0.96059896818357005</v>
      </c>
      <c r="BC143" s="11">
        <v>43229</v>
      </c>
      <c r="BD143" s="289">
        <f>[2]!FeuilCaduc*(1-Persistant)+Persistant</f>
        <v>0.72961155127710708</v>
      </c>
      <c r="BE143" s="290">
        <f>[2]!CroissVégét</f>
        <v>0.21061232458125589</v>
      </c>
      <c r="BF143" s="819">
        <f>1+[2]!Salcycl*Ksac</f>
        <v>1.0162014439096383</v>
      </c>
      <c r="BH143" s="1044">
        <f t="shared" ref="BH143:BH206" si="94">INDEX($BJ143:$BT143,,$BH$10)*(1-Ratini)+INDEX($BJ143:$BT143,,$BH$10+1)*Ratini</f>
        <v>7.3506745507492532E-3</v>
      </c>
      <c r="BI143" s="11">
        <v>44325</v>
      </c>
      <c r="BJ143" s="726">
        <v>8.5615266279171159E-4</v>
      </c>
      <c r="BK143" s="726">
        <v>1.6507149658883231E-3</v>
      </c>
      <c r="BL143" s="726">
        <v>2.6464273995183188E-3</v>
      </c>
      <c r="BM143" s="726">
        <v>4.0578255426401456E-3</v>
      </c>
      <c r="BN143" s="726">
        <v>6.0138229746477386E-3</v>
      </c>
      <c r="BO143" s="727">
        <v>8.5136588152933783E-3</v>
      </c>
      <c r="BP143" s="726">
        <v>1.1529128863421872E-2</v>
      </c>
      <c r="BQ143" s="726">
        <v>1.4957356300291547E-2</v>
      </c>
      <c r="BR143" s="726">
        <v>1.8851244277888955E-2</v>
      </c>
      <c r="BS143" s="726">
        <v>2.3125208681530184E-2</v>
      </c>
      <c r="BT143" s="726">
        <v>2.7690119128078197E-2</v>
      </c>
      <c r="BW143" s="1208">
        <f>'2018'!R\Max</f>
        <v>0</v>
      </c>
      <c r="BX143" s="1206">
        <f>'2019'!R\Max</f>
        <v>0.84374794003035547</v>
      </c>
      <c r="BY143" s="1206">
        <f>'2020'!R\Max</f>
        <v>0.88166566054146533</v>
      </c>
      <c r="BZ143" s="1206">
        <f>'2021'!R\Max</f>
        <v>0.35329291404253566</v>
      </c>
      <c r="CA143" s="1206">
        <f>'2022'!R\Max</f>
        <v>0.96059896818357005</v>
      </c>
      <c r="CB143" s="1206">
        <f>'2023'!R\Max</f>
        <v>0.96059618650400824</v>
      </c>
      <c r="CC143" s="1206">
        <f>'2024'!R\Max</f>
        <v>0.96059315906074716</v>
      </c>
      <c r="CD143" s="1206">
        <f>'2025'!R\Max</f>
        <v>0.96060911671627502</v>
      </c>
      <c r="CE143" s="1206">
        <f>'2026'!R\Max</f>
        <v>0.96060691015696842</v>
      </c>
      <c r="CF143" s="1207">
        <f>'2027'!R\Max</f>
        <v>0.96060442580909555</v>
      </c>
    </row>
    <row r="144" spans="1:84" s="6" customFormat="1" ht="11.25" x14ac:dyDescent="0.2">
      <c r="A144" s="11">
        <v>43230</v>
      </c>
      <c r="B144" s="379">
        <f>'2022'!Maxi_hp</f>
        <v>53.543110487793705</v>
      </c>
      <c r="C144" s="13">
        <f>'2022'!An_max</f>
        <v>2022</v>
      </c>
      <c r="D144" s="1053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2">
        <f t="shared" si="80"/>
        <v>43234</v>
      </c>
      <c r="I144" s="753">
        <f t="shared" si="81"/>
        <v>0.2857142857142857</v>
      </c>
      <c r="J144" s="746">
        <f t="shared" si="82"/>
        <v>60.353344606927465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46">
        <v>43230</v>
      </c>
      <c r="AP144" s="13">
        <f t="shared" si="83"/>
        <v>7</v>
      </c>
      <c r="AQ144" s="13">
        <f t="shared" si="84"/>
        <v>6</v>
      </c>
      <c r="AR144" s="172">
        <f t="shared" si="85"/>
        <v>43248</v>
      </c>
      <c r="AS144" s="753">
        <f t="shared" si="86"/>
        <v>0.6428571428571429</v>
      </c>
      <c r="AT144" s="769">
        <f t="shared" si="87"/>
        <v>60.442549051983022</v>
      </c>
      <c r="AU144" s="13">
        <f t="shared" si="88"/>
        <v>5</v>
      </c>
      <c r="AV144" s="13">
        <f t="shared" si="89"/>
        <v>6</v>
      </c>
      <c r="AW144" s="172">
        <f t="shared" si="90"/>
        <v>43206</v>
      </c>
      <c r="AX144" s="753">
        <f t="shared" si="91"/>
        <v>0.8571428571428571</v>
      </c>
      <c r="AY144" s="769">
        <f t="shared" si="92"/>
        <v>60.329364140118869</v>
      </c>
      <c r="AZ144" s="746">
        <f t="shared" ref="AZ144:AZ207" si="96">(AY144+AT144)/2</f>
        <v>60.385956596050946</v>
      </c>
      <c r="BA144" s="641">
        <f t="shared" si="93"/>
        <v>0.88716061780025912</v>
      </c>
      <c r="BC144" s="11">
        <v>43230</v>
      </c>
      <c r="BD144" s="289">
        <f>[2]!FeuilCaduc*(1-Persistant)+Persistant</f>
        <v>0.7346538995152907</v>
      </c>
      <c r="BE144" s="290">
        <f>[2]!CroissVégét</f>
        <v>0.21756231167469237</v>
      </c>
      <c r="BF144" s="819">
        <f>1+[2]!Salcycl*Ksac</f>
        <v>1.0168317374394114</v>
      </c>
      <c r="BH144" s="1044">
        <f t="shared" si="94"/>
        <v>7.7334594613753596E-3</v>
      </c>
      <c r="BI144" s="11">
        <v>44326</v>
      </c>
      <c r="BJ144" s="726">
        <v>8.8820444072128604E-4</v>
      </c>
      <c r="BK144" s="726">
        <v>1.7381038910671276E-3</v>
      </c>
      <c r="BL144" s="726">
        <v>2.7985153650642944E-3</v>
      </c>
      <c r="BM144" s="726">
        <v>4.289058430119448E-3</v>
      </c>
      <c r="BN144" s="726">
        <v>6.3386671569113468E-3</v>
      </c>
      <c r="BO144" s="727">
        <v>8.9468488393714338E-3</v>
      </c>
      <c r="BP144" s="726">
        <v>1.2082277540513152E-2</v>
      </c>
      <c r="BQ144" s="726">
        <v>1.5634416697768019E-2</v>
      </c>
      <c r="BR144" s="726">
        <v>1.9640619558079702E-2</v>
      </c>
      <c r="BS144" s="726">
        <v>2.4005477877766832E-2</v>
      </c>
      <c r="BT144" s="726">
        <v>2.8641833830554259E-2</v>
      </c>
      <c r="BW144" s="1208">
        <f>'2018'!R\Max</f>
        <v>0</v>
      </c>
      <c r="BX144" s="1206">
        <f>'2019'!R\Max</f>
        <v>0.68843838173512706</v>
      </c>
      <c r="BY144" s="1206">
        <f>'2020'!R\Max</f>
        <v>0.72428002418445359</v>
      </c>
      <c r="BZ144" s="1206">
        <f>'2021'!R\Max</f>
        <v>0.69819180930139424</v>
      </c>
      <c r="CA144" s="1206">
        <f>'2022'!R\Max</f>
        <v>0.88716061780025912</v>
      </c>
      <c r="CB144" s="1206">
        <f>'2023'!R\Max</f>
        <v>0.88715292151498715</v>
      </c>
      <c r="CC144" s="1206">
        <f>'2024'!R\Max</f>
        <v>0.8871445716179488</v>
      </c>
      <c r="CD144" s="1206">
        <f>'2025'!R\Max</f>
        <v>0.88718874471469156</v>
      </c>
      <c r="CE144" s="1206">
        <f>'2026'!R\Max</f>
        <v>0.88718261640365059</v>
      </c>
      <c r="CF144" s="1207">
        <f>'2027'!R\Max</f>
        <v>0.88717572339872341</v>
      </c>
    </row>
    <row r="145" spans="1:84" s="6" customFormat="1" ht="11.25" x14ac:dyDescent="0.2">
      <c r="A145" s="11">
        <v>43231</v>
      </c>
      <c r="B145" s="379">
        <f>'2022'!Maxi_hp</f>
        <v>58.27063661578876</v>
      </c>
      <c r="C145" s="13">
        <f>'2022'!An_max</f>
        <v>2022</v>
      </c>
      <c r="D145" s="1053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2">
        <f t="shared" si="80"/>
        <v>43234</v>
      </c>
      <c r="I145" s="753">
        <f t="shared" si="81"/>
        <v>0.21428571428571427</v>
      </c>
      <c r="J145" s="746">
        <f t="shared" si="82"/>
        <v>60.380792128986535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46">
        <v>43231</v>
      </c>
      <c r="AP145" s="13">
        <f t="shared" si="83"/>
        <v>7</v>
      </c>
      <c r="AQ145" s="13">
        <f t="shared" si="84"/>
        <v>6</v>
      </c>
      <c r="AR145" s="172">
        <f t="shared" si="85"/>
        <v>43248</v>
      </c>
      <c r="AS145" s="753">
        <f t="shared" si="86"/>
        <v>0.6071428571428571</v>
      </c>
      <c r="AT145" s="769">
        <f t="shared" si="87"/>
        <v>60.469879199644289</v>
      </c>
      <c r="AU145" s="13">
        <f t="shared" si="88"/>
        <v>5</v>
      </c>
      <c r="AV145" s="13">
        <f t="shared" si="89"/>
        <v>6</v>
      </c>
      <c r="AW145" s="172">
        <f t="shared" si="90"/>
        <v>43206</v>
      </c>
      <c r="AX145" s="753">
        <f t="shared" si="91"/>
        <v>0.8928571428571429</v>
      </c>
      <c r="AY145" s="769">
        <f t="shared" si="92"/>
        <v>60.361811354782958</v>
      </c>
      <c r="AZ145" s="746">
        <f t="shared" si="96"/>
        <v>60.41584527721362</v>
      </c>
      <c r="BA145" s="641">
        <f t="shared" si="93"/>
        <v>0.96505253676218716</v>
      </c>
      <c r="BC145" s="11">
        <v>43231</v>
      </c>
      <c r="BD145" s="289">
        <f>[2]!FeuilCaduc*(1-Persistant)+Persistant</f>
        <v>0.73977930737980246</v>
      </c>
      <c r="BE145" s="290">
        <f>[2]!CroissVégét</f>
        <v>0.22467491379142088</v>
      </c>
      <c r="BF145" s="819">
        <f>1+[2]!Salcycl*Ksac</f>
        <v>1.0174724134224753</v>
      </c>
      <c r="BH145" s="1044">
        <f t="shared" si="94"/>
        <v>8.122120758334829E-3</v>
      </c>
      <c r="BI145" s="11">
        <v>44327</v>
      </c>
      <c r="BJ145" s="726">
        <v>9.1836874347211474E-4</v>
      </c>
      <c r="BK145" s="726">
        <v>1.8250389683960588E-3</v>
      </c>
      <c r="BL145" s="726">
        <v>2.9521430450633749E-3</v>
      </c>
      <c r="BM145" s="726">
        <v>4.5240701170723976E-3</v>
      </c>
      <c r="BN145" s="726">
        <v>6.6688588625726788E-3</v>
      </c>
      <c r="BO145" s="727">
        <v>9.3863753302310012E-3</v>
      </c>
      <c r="BP145" s="726">
        <v>1.2642564486759116E-2</v>
      </c>
      <c r="BQ145" s="726">
        <v>1.6320705063456922E-2</v>
      </c>
      <c r="BR145" s="726">
        <v>2.0444239849332007E-2</v>
      </c>
      <c r="BS145" s="726">
        <v>2.4909502965277181E-2</v>
      </c>
      <c r="BT145" s="726">
        <v>2.9630124141368046E-2</v>
      </c>
      <c r="BW145" s="1208">
        <f>'2018'!R\Max</f>
        <v>0</v>
      </c>
      <c r="BX145" s="1206">
        <f>'2019'!R\Max</f>
        <v>0.64598111597786145</v>
      </c>
      <c r="BY145" s="1206">
        <f>'2020'!R\Max</f>
        <v>0.22350654968202935</v>
      </c>
      <c r="BZ145" s="1206">
        <f>'2021'!R\Max</f>
        <v>0.57210573193630654</v>
      </c>
      <c r="CA145" s="1206">
        <f>'2022'!R\Max</f>
        <v>0.96505253676218716</v>
      </c>
      <c r="CB145" s="1206">
        <f>'2023'!R\Max</f>
        <v>0.96504982689234242</v>
      </c>
      <c r="CC145" s="1206">
        <f>'2024'!R\Max</f>
        <v>0.96504689492892493</v>
      </c>
      <c r="CD145" s="1206">
        <f>'2025'!R\Max</f>
        <v>0.96506245449074579</v>
      </c>
      <c r="CE145" s="1206">
        <f>'2026'!R\Max</f>
        <v>0.96506028938294308</v>
      </c>
      <c r="CF145" s="1207">
        <f>'2027'!R\Max</f>
        <v>0.96505785627162699</v>
      </c>
    </row>
    <row r="146" spans="1:84" s="6" customFormat="1" ht="11.25" x14ac:dyDescent="0.2">
      <c r="A146" s="11">
        <v>43232</v>
      </c>
      <c r="B146" s="379">
        <f>'2022'!Maxi_hp</f>
        <v>55.50428873596136</v>
      </c>
      <c r="C146" s="13">
        <f>'2022'!An_max</f>
        <v>2019</v>
      </c>
      <c r="D146" s="1053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2">
        <f t="shared" si="80"/>
        <v>43234</v>
      </c>
      <c r="I146" s="753">
        <f t="shared" si="81"/>
        <v>0.14285714285714285</v>
      </c>
      <c r="J146" s="746">
        <f t="shared" si="82"/>
        <v>60.405928280630278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46">
        <v>43232</v>
      </c>
      <c r="AP146" s="13">
        <f t="shared" si="83"/>
        <v>7</v>
      </c>
      <c r="AQ146" s="13">
        <f t="shared" si="84"/>
        <v>6</v>
      </c>
      <c r="AR146" s="172">
        <f t="shared" si="85"/>
        <v>43248</v>
      </c>
      <c r="AS146" s="753">
        <f t="shared" si="86"/>
        <v>0.5714285714285714</v>
      </c>
      <c r="AT146" s="769">
        <f t="shared" si="87"/>
        <v>60.492604664713141</v>
      </c>
      <c r="AU146" s="13">
        <f t="shared" si="88"/>
        <v>5</v>
      </c>
      <c r="AV146" s="13">
        <f t="shared" si="89"/>
        <v>6</v>
      </c>
      <c r="AW146" s="172">
        <f t="shared" si="90"/>
        <v>43206</v>
      </c>
      <c r="AX146" s="753">
        <f t="shared" si="91"/>
        <v>0.9285714285714286</v>
      </c>
      <c r="AY146" s="769">
        <f t="shared" si="92"/>
        <v>60.392692073913551</v>
      </c>
      <c r="AZ146" s="746">
        <f t="shared" si="96"/>
        <v>60.442648369313346</v>
      </c>
      <c r="BA146" s="641">
        <f t="shared" si="93"/>
        <v>0.91885499181641295</v>
      </c>
      <c r="BC146" s="11">
        <v>43232</v>
      </c>
      <c r="BD146" s="289">
        <f>[2]!FeuilCaduc*(1-Persistant)+Persistant</f>
        <v>0.74498369010764909</v>
      </c>
      <c r="BE146" s="290">
        <f>[2]!CroissVégét</f>
        <v>0.23194968908707836</v>
      </c>
      <c r="BF146" s="819">
        <f>1+[2]!Salcycl*Ksac</f>
        <v>1.0181229612634561</v>
      </c>
      <c r="BH146" s="1044">
        <f t="shared" si="94"/>
        <v>8.5166406545045641E-3</v>
      </c>
      <c r="BI146" s="11">
        <v>44328</v>
      </c>
      <c r="BJ146" s="726">
        <v>9.4664639609922557E-4</v>
      </c>
      <c r="BK146" s="726">
        <v>1.9115179327967565E-3</v>
      </c>
      <c r="BL146" s="726">
        <v>3.1073042294544636E-3</v>
      </c>
      <c r="BM146" s="726">
        <v>4.7628497208436335E-3</v>
      </c>
      <c r="BN146" s="726">
        <v>7.0043826904794999E-3</v>
      </c>
      <c r="BO146" s="727">
        <v>9.8322184250910702E-3</v>
      </c>
      <c r="BP146" s="726">
        <v>1.3209965133138697E-2</v>
      </c>
      <c r="BQ146" s="726">
        <v>1.701619063585267E-2</v>
      </c>
      <c r="BR146" s="726">
        <v>2.1262065479258598E-2</v>
      </c>
      <c r="BS146" s="726">
        <v>2.583723136317799E-2</v>
      </c>
      <c r="BT146" s="726">
        <v>3.0654921722953282E-2</v>
      </c>
      <c r="BW146" s="1208">
        <f>'2018'!R\Max</f>
        <v>0</v>
      </c>
      <c r="BX146" s="1206">
        <f>'2019'!R\Max</f>
        <v>0.91885499181641295</v>
      </c>
      <c r="BY146" s="1206">
        <f>'2020'!R\Max</f>
        <v>0.17513957333061855</v>
      </c>
      <c r="BZ146" s="1206">
        <f>'2021'!R\Max</f>
        <v>0.62950347144000185</v>
      </c>
      <c r="CA146" s="1206">
        <f>'2022'!R\Max</f>
        <v>0.75628867190132343</v>
      </c>
      <c r="CB146" s="1206">
        <f>'2023'!R\Max</f>
        <v>0.75627320799221875</v>
      </c>
      <c r="CC146" s="1206">
        <f>'2024'!R\Max</f>
        <v>0.7562565175653696</v>
      </c>
      <c r="CD146" s="1206">
        <f>'2025'!R\Max</f>
        <v>0.75634534298974143</v>
      </c>
      <c r="CE146" s="1206">
        <f>'2026'!R\Max</f>
        <v>0.75633294739548718</v>
      </c>
      <c r="CF146" s="1207">
        <f>'2027'!R\Max</f>
        <v>0.75631902933025208</v>
      </c>
    </row>
    <row r="147" spans="1:84" s="6" customFormat="1" ht="11.25" x14ac:dyDescent="0.2">
      <c r="A147" s="11">
        <v>43233</v>
      </c>
      <c r="B147" s="379">
        <f>'2022'!Maxi_hp</f>
        <v>62.466176005743364</v>
      </c>
      <c r="C147" s="13">
        <f>'2022'!An_max</f>
        <v>2019</v>
      </c>
      <c r="D147" s="1053">
        <f t="shared" si="78"/>
        <v>1.0337087040644222</v>
      </c>
      <c r="E147" s="13"/>
      <c r="F147" s="13">
        <f t="shared" si="95"/>
        <v>11</v>
      </c>
      <c r="G147" s="13">
        <f t="shared" si="79"/>
        <v>10</v>
      </c>
      <c r="H147" s="172">
        <f t="shared" si="80"/>
        <v>43234</v>
      </c>
      <c r="I147" s="753">
        <f t="shared" si="81"/>
        <v>7.1428571428571425E-2</v>
      </c>
      <c r="J147" s="746">
        <f t="shared" si="82"/>
        <v>60.4291864430798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46">
        <v>43233</v>
      </c>
      <c r="AP147" s="13">
        <f t="shared" si="83"/>
        <v>7</v>
      </c>
      <c r="AQ147" s="13">
        <f t="shared" si="84"/>
        <v>6</v>
      </c>
      <c r="AR147" s="172">
        <f t="shared" si="85"/>
        <v>43248</v>
      </c>
      <c r="AS147" s="753">
        <f t="shared" si="86"/>
        <v>0.5357142857142857</v>
      </c>
      <c r="AT147" s="769">
        <f t="shared" si="87"/>
        <v>60.510996309494864</v>
      </c>
      <c r="AU147" s="13">
        <f t="shared" si="88"/>
        <v>5</v>
      </c>
      <c r="AV147" s="13">
        <f t="shared" si="89"/>
        <v>6</v>
      </c>
      <c r="AW147" s="172">
        <f t="shared" si="90"/>
        <v>43206</v>
      </c>
      <c r="AX147" s="753">
        <f t="shared" si="91"/>
        <v>0.9642857142857143</v>
      </c>
      <c r="AY147" s="769">
        <f t="shared" si="92"/>
        <v>60.422317791943044</v>
      </c>
      <c r="AZ147" s="746">
        <f t="shared" si="96"/>
        <v>60.46665705071895</v>
      </c>
      <c r="BA147" s="641">
        <f t="shared" si="93"/>
        <v>1.0337087040644222</v>
      </c>
      <c r="BC147" s="11">
        <v>43233</v>
      </c>
      <c r="BD147" s="289">
        <f>[2]!FeuilCaduc*(1-Persistant)+Persistant</f>
        <v>0.75026269937219203</v>
      </c>
      <c r="BE147" s="290">
        <f>[2]!CroissVégét</f>
        <v>0.23938589533798257</v>
      </c>
      <c r="BF147" s="819">
        <f>1+[2]!Salcycl*Ksac</f>
        <v>1.018782837421524</v>
      </c>
      <c r="BH147" s="1044">
        <f t="shared" si="94"/>
        <v>8.9170006946817145E-3</v>
      </c>
      <c r="BI147" s="11">
        <v>44329</v>
      </c>
      <c r="BJ147" s="726">
        <v>9.7303829438895144E-4</v>
      </c>
      <c r="BK147" s="726">
        <v>1.9975384624017073E-3</v>
      </c>
      <c r="BL147" s="726">
        <v>3.2639924853236366E-3</v>
      </c>
      <c r="BM147" s="726">
        <v>5.0053859432799734E-3</v>
      </c>
      <c r="BN147" s="726">
        <v>7.3452226534661009E-3</v>
      </c>
      <c r="BO147" s="727">
        <v>1.0284357521697894E-2</v>
      </c>
      <c r="BP147" s="726">
        <v>1.3784454016694123E-2</v>
      </c>
      <c r="BQ147" s="726">
        <v>1.7720841532478906E-2</v>
      </c>
      <c r="BR147" s="726">
        <v>2.2094055281653466E-2</v>
      </c>
      <c r="BS147" s="726">
        <v>2.678860840362721E-2</v>
      </c>
      <c r="BT147" s="726">
        <v>3.1716155398789588E-2</v>
      </c>
      <c r="BW147" s="1208">
        <f>'2018'!R\Max</f>
        <v>0</v>
      </c>
      <c r="BX147" s="1206">
        <f>'2019'!R\Max</f>
        <v>1.0337087040644222</v>
      </c>
      <c r="BY147" s="1206">
        <f>'2020'!R\Max</f>
        <v>0.34539049862077448</v>
      </c>
      <c r="BZ147" s="1206">
        <f>'2021'!R\Max</f>
        <v>0.82187478179129858</v>
      </c>
      <c r="CA147" s="1206">
        <f>'2022'!R\Max</f>
        <v>0.79312273088479646</v>
      </c>
      <c r="CB147" s="1206">
        <f>'2023'!R\Max</f>
        <v>0.79310836828484865</v>
      </c>
      <c r="CC147" s="1206">
        <f>'2024'!R\Max</f>
        <v>0.79309289904075309</v>
      </c>
      <c r="CD147" s="1206">
        <f>'2025'!R\Max</f>
        <v>0.79317542073383074</v>
      </c>
      <c r="CE147" s="1206">
        <f>'2026'!R\Max</f>
        <v>0.79316387529165333</v>
      </c>
      <c r="CF147" s="1207">
        <f>'2027'!R\Max</f>
        <v>0.79315092156772338</v>
      </c>
    </row>
    <row r="148" spans="1:84" s="6" customFormat="1" ht="11.25" x14ac:dyDescent="0.2">
      <c r="A148" s="11">
        <v>43234</v>
      </c>
      <c r="B148" s="379">
        <f>'2022'!Maxi_hp</f>
        <v>61.499322120098213</v>
      </c>
      <c r="C148" s="13">
        <f>'2022'!An_max</f>
        <v>2019</v>
      </c>
      <c r="D148" s="1053">
        <f t="shared" si="78"/>
        <v>1.0173416836702862</v>
      </c>
      <c r="E148" s="1048">
        <f>W$13/10</f>
        <v>60.451000000000001</v>
      </c>
      <c r="F148" s="13">
        <f t="shared" si="95"/>
        <v>11</v>
      </c>
      <c r="G148" s="13">
        <f t="shared" si="79"/>
        <v>12</v>
      </c>
      <c r="H148" s="172">
        <f t="shared" si="80"/>
        <v>43234</v>
      </c>
      <c r="I148" s="753">
        <f t="shared" si="81"/>
        <v>0</v>
      </c>
      <c r="J148" s="746">
        <f t="shared" si="82"/>
        <v>60.451000000536439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46">
        <v>43234</v>
      </c>
      <c r="AP148" s="13">
        <f t="shared" si="83"/>
        <v>7</v>
      </c>
      <c r="AQ148" s="13">
        <f t="shared" si="84"/>
        <v>6</v>
      </c>
      <c r="AR148" s="172">
        <f t="shared" si="85"/>
        <v>43248</v>
      </c>
      <c r="AS148" s="753">
        <f t="shared" si="86"/>
        <v>0.5</v>
      </c>
      <c r="AT148" s="769">
        <f t="shared" si="87"/>
        <v>60.52532499972731</v>
      </c>
      <c r="AU148" s="13">
        <f t="shared" si="88"/>
        <v>7</v>
      </c>
      <c r="AV148" s="13">
        <f t="shared" si="89"/>
        <v>6</v>
      </c>
      <c r="AW148" s="172">
        <f t="shared" si="90"/>
        <v>43262</v>
      </c>
      <c r="AX148" s="753">
        <f t="shared" si="91"/>
        <v>1</v>
      </c>
      <c r="AY148" s="769">
        <f t="shared" si="92"/>
        <v>60.451000000536439</v>
      </c>
      <c r="AZ148" s="746">
        <f t="shared" si="96"/>
        <v>60.488162500131878</v>
      </c>
      <c r="BA148" s="641">
        <f t="shared" si="93"/>
        <v>1.0173416836702862</v>
      </c>
      <c r="BC148" s="11">
        <v>43234</v>
      </c>
      <c r="BD148" s="289">
        <f>[2]!FeuilCaduc*(1-Persistant)+Persistant</f>
        <v>0.75561172726176895</v>
      </c>
      <c r="BE148" s="290">
        <f>[2]!CroissVégét</f>
        <v>0.24698247846918731</v>
      </c>
      <c r="BF148" s="819">
        <f>1+[2]!Salcycl*Ksac</f>
        <v>1.0194514659077212</v>
      </c>
      <c r="BH148" s="1044">
        <f t="shared" si="94"/>
        <v>9.3231817420382501E-3</v>
      </c>
      <c r="BI148" s="11">
        <v>44330</v>
      </c>
      <c r="BJ148" s="726">
        <v>9.9754540894752869E-4</v>
      </c>
      <c r="BK148" s="726">
        <v>2.0830981794054374E-3</v>
      </c>
      <c r="BL148" s="726">
        <v>3.4222011532722284E-3</v>
      </c>
      <c r="BM148" s="726">
        <v>5.2516670620501738E-3</v>
      </c>
      <c r="BN148" s="726">
        <v>7.6913621660692367E-3</v>
      </c>
      <c r="BO148" s="727">
        <v>1.0742771263682289E-2</v>
      </c>
      <c r="BP148" s="726">
        <v>1.4366004763917244E-2</v>
      </c>
      <c r="BQ148" s="726">
        <v>1.8434624728464116E-2</v>
      </c>
      <c r="BR148" s="726">
        <v>2.2940166563837554E-2</v>
      </c>
      <c r="BS148" s="726">
        <v>2.776357727809517E-2</v>
      </c>
      <c r="BT148" s="726">
        <v>3.2813751071355417E-2</v>
      </c>
      <c r="BW148" s="1208">
        <f>'2018'!R\Max</f>
        <v>0</v>
      </c>
      <c r="BX148" s="1206">
        <f>'2019'!R\Max</f>
        <v>1.0173416836702862</v>
      </c>
      <c r="BY148" s="1206">
        <f>'2020'!R\Max</f>
        <v>0.60866878329189522</v>
      </c>
      <c r="BZ148" s="1206">
        <f>'2021'!R\Max</f>
        <v>0.74225077038607834</v>
      </c>
      <c r="CA148" s="1206">
        <f>'2022'!R\Max</f>
        <v>0.83730995102060668</v>
      </c>
      <c r="CB148" s="1206">
        <f>'2023'!R\Max</f>
        <v>0.83729751989381107</v>
      </c>
      <c r="CC148" s="1206">
        <f>'2024'!R\Max</f>
        <v>0.83728415543243329</v>
      </c>
      <c r="CD148" s="1206">
        <f>'2025'!R\Max</f>
        <v>0.83735559384797709</v>
      </c>
      <c r="CE148" s="1206">
        <f>'2026'!R\Max</f>
        <v>0.83734557540941179</v>
      </c>
      <c r="CF148" s="1207">
        <f>'2027'!R\Max</f>
        <v>0.83733434272800922</v>
      </c>
    </row>
    <row r="149" spans="1:84" s="6" customFormat="1" ht="11.25" x14ac:dyDescent="0.2">
      <c r="A149" s="11">
        <v>43235</v>
      </c>
      <c r="B149" s="379">
        <f>'2022'!Maxi_hp</f>
        <v>61.883239006526935</v>
      </c>
      <c r="C149" s="13">
        <f>'2022'!An_max</f>
        <v>2019</v>
      </c>
      <c r="D149" s="1053">
        <f t="shared" si="78"/>
        <v>1.0233587454437119</v>
      </c>
      <c r="E149" s="13"/>
      <c r="F149" s="13">
        <f t="shared" si="95"/>
        <v>11</v>
      </c>
      <c r="G149" s="13">
        <f t="shared" si="79"/>
        <v>12</v>
      </c>
      <c r="H149" s="172">
        <f t="shared" si="80"/>
        <v>43234</v>
      </c>
      <c r="I149" s="753">
        <f t="shared" si="81"/>
        <v>7.1428571428571425E-2</v>
      </c>
      <c r="J149" s="746">
        <f t="shared" si="82"/>
        <v>60.470718877469857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46">
        <v>43235</v>
      </c>
      <c r="AP149" s="13">
        <f t="shared" si="83"/>
        <v>7</v>
      </c>
      <c r="AQ149" s="13">
        <f t="shared" si="84"/>
        <v>6</v>
      </c>
      <c r="AR149" s="172">
        <f t="shared" si="85"/>
        <v>43248</v>
      </c>
      <c r="AS149" s="753">
        <f t="shared" si="86"/>
        <v>0.4642857142857143</v>
      </c>
      <c r="AT149" s="769">
        <f t="shared" si="87"/>
        <v>60.535861598301139</v>
      </c>
      <c r="AU149" s="13">
        <f t="shared" si="88"/>
        <v>7</v>
      </c>
      <c r="AV149" s="13">
        <f t="shared" si="89"/>
        <v>6</v>
      </c>
      <c r="AW149" s="172">
        <f t="shared" si="90"/>
        <v>43262</v>
      </c>
      <c r="AX149" s="753">
        <f t="shared" si="91"/>
        <v>0.9642857142857143</v>
      </c>
      <c r="AY149" s="769">
        <f t="shared" si="92"/>
        <v>60.476569533281555</v>
      </c>
      <c r="AZ149" s="746">
        <f t="shared" si="96"/>
        <v>60.506215565791351</v>
      </c>
      <c r="BA149" s="641">
        <f t="shared" si="93"/>
        <v>1.0233587454437119</v>
      </c>
      <c r="BC149" s="11">
        <v>43235</v>
      </c>
      <c r="BD149" s="289">
        <f>[2]!FeuilCaduc*(1-Persistant)+Persistant</f>
        <v>0.76102591163517674</v>
      </c>
      <c r="BE149" s="290">
        <f>[2]!CroissVégét</f>
        <v>0.25473806189926657</v>
      </c>
      <c r="BF149" s="819">
        <f>1+[2]!Salcycl*Ksac</f>
        <v>1.0201282389543971</v>
      </c>
      <c r="BH149" s="1044">
        <f t="shared" si="94"/>
        <v>9.7351639645382997E-3</v>
      </c>
      <c r="BI149" s="11">
        <v>44331</v>
      </c>
      <c r="BJ149" s="726">
        <v>1.0201687892852447E-3</v>
      </c>
      <c r="BK149" s="726">
        <v>2.1681946509072717E-3</v>
      </c>
      <c r="BL149" s="726">
        <v>3.581923343771515E-3</v>
      </c>
      <c r="BM149" s="726">
        <v>5.5016809219441591E-3</v>
      </c>
      <c r="BN149" s="726">
        <v>8.0427840322135971E-3</v>
      </c>
      <c r="BO149" s="727">
        <v>1.1207437525873746E-2</v>
      </c>
      <c r="BP149" s="726">
        <v>1.495459007407725E-2</v>
      </c>
      <c r="BQ149" s="726">
        <v>1.9157506035041166E-2</v>
      </c>
      <c r="BR149" s="726">
        <v>2.3800355073908569E-2</v>
      </c>
      <c r="BS149" s="726">
        <v>2.8762078983518197E-2</v>
      </c>
      <c r="BT149" s="726">
        <v>3.3947631639940516E-2</v>
      </c>
      <c r="BW149" s="1208">
        <f>'2018'!R\Max</f>
        <v>0</v>
      </c>
      <c r="BX149" s="1206">
        <f>'2019'!R\Max</f>
        <v>1.0233587454437119</v>
      </c>
      <c r="BY149" s="1206">
        <f>'2020'!R\Max</f>
        <v>0.25402736712162172</v>
      </c>
      <c r="BZ149" s="1206">
        <f>'2021'!R\Max</f>
        <v>0.33521494711654898</v>
      </c>
      <c r="CA149" s="1206">
        <f>'2022'!R\Max</f>
        <v>0.90516604730187544</v>
      </c>
      <c r="CB149" s="1206">
        <f>'2023'!R\Max</f>
        <v>0.90515788669377695</v>
      </c>
      <c r="CC149" s="1206">
        <f>'2024'!R\Max</f>
        <v>0.90514912732092356</v>
      </c>
      <c r="CD149" s="1206">
        <f>'2025'!R\Max</f>
        <v>0.90519602995846571</v>
      </c>
      <c r="CE149" s="1206">
        <f>'2026'!R\Max</f>
        <v>0.90518943809468078</v>
      </c>
      <c r="CF149" s="1207">
        <f>'2027'!R\Max</f>
        <v>0.90518205197093227</v>
      </c>
    </row>
    <row r="150" spans="1:84" s="6" customFormat="1" ht="11.25" x14ac:dyDescent="0.2">
      <c r="A150" s="11">
        <v>43236</v>
      </c>
      <c r="B150" s="379">
        <f>'2022'!Maxi_hp</f>
        <v>52.836978218882514</v>
      </c>
      <c r="C150" s="13">
        <f>'2022'!An_max</f>
        <v>2019</v>
      </c>
      <c r="D150" s="1053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2">
        <f t="shared" si="80"/>
        <v>43234</v>
      </c>
      <c r="I150" s="753">
        <f t="shared" si="81"/>
        <v>0.14285714285714285</v>
      </c>
      <c r="J150" s="746">
        <f t="shared" si="82"/>
        <v>60.487404081704355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46">
        <v>43236</v>
      </c>
      <c r="AP150" s="13">
        <f t="shared" si="83"/>
        <v>7</v>
      </c>
      <c r="AQ150" s="13">
        <f t="shared" si="84"/>
        <v>6</v>
      </c>
      <c r="AR150" s="172">
        <f t="shared" si="85"/>
        <v>43248</v>
      </c>
      <c r="AS150" s="753">
        <f t="shared" si="86"/>
        <v>0.42857142857142855</v>
      </c>
      <c r="AT150" s="769">
        <f t="shared" si="87"/>
        <v>60.542876967787741</v>
      </c>
      <c r="AU150" s="13">
        <f t="shared" si="88"/>
        <v>7</v>
      </c>
      <c r="AV150" s="13">
        <f t="shared" si="89"/>
        <v>6</v>
      </c>
      <c r="AW150" s="172">
        <f t="shared" si="90"/>
        <v>43262</v>
      </c>
      <c r="AX150" s="753">
        <f t="shared" si="91"/>
        <v>0.9285714285714286</v>
      </c>
      <c r="AY150" s="769">
        <f t="shared" si="92"/>
        <v>60.496794023324867</v>
      </c>
      <c r="AZ150" s="746">
        <f t="shared" si="96"/>
        <v>60.519835495556308</v>
      </c>
      <c r="BA150" s="641">
        <f t="shared" si="93"/>
        <v>0.87352034726952565</v>
      </c>
      <c r="BC150" s="11">
        <v>43236</v>
      </c>
      <c r="BD150" s="289">
        <f>[2]!FeuilCaduc*(1-Persistant)+Persistant</f>
        <v>0.76650014289941526</v>
      </c>
      <c r="BE150" s="290">
        <f>[2]!CroissVégét</f>
        <v>0.2626509368215188</v>
      </c>
      <c r="BF150" s="819">
        <f>1+[2]!Salcycl*Ksac</f>
        <v>1.020812517862427</v>
      </c>
      <c r="BH150" s="1044">
        <f t="shared" si="94"/>
        <v>1.0151936366036436E-2</v>
      </c>
      <c r="BI150" s="11">
        <v>44332</v>
      </c>
      <c r="BJ150" s="726">
        <v>1.0415698283706082E-3</v>
      </c>
      <c r="BK150" s="726">
        <v>2.2531327925750513E-3</v>
      </c>
      <c r="BL150" s="726">
        <v>3.7430301482790193E-3</v>
      </c>
      <c r="BM150" s="726">
        <v>5.7548461257510017E-3</v>
      </c>
      <c r="BN150" s="726">
        <v>8.3986073160606089E-3</v>
      </c>
      <c r="BO150" s="727">
        <v>1.1677232167112821E-2</v>
      </c>
      <c r="BP150" s="726">
        <v>1.5548794715009936E-2</v>
      </c>
      <c r="BQ150" s="726">
        <v>1.9887477900173447E-2</v>
      </c>
      <c r="BR150" s="726">
        <v>2.4671849131513313E-2</v>
      </c>
      <c r="BS150" s="726">
        <v>2.9780308815048381E-2</v>
      </c>
      <c r="BT150" s="726">
        <v>3.5112873793470251E-2</v>
      </c>
      <c r="BW150" s="1208">
        <f>'2018'!R\Max</f>
        <v>0</v>
      </c>
      <c r="BX150" s="1206">
        <f>'2019'!R\Max</f>
        <v>0.87352034726952565</v>
      </c>
      <c r="BY150" s="1206">
        <f>'2020'!R\Max</f>
        <v>0.34280713006118219</v>
      </c>
      <c r="BZ150" s="1206">
        <f>'2021'!R\Max</f>
        <v>0.21742573252683045</v>
      </c>
      <c r="CA150" s="1206">
        <f>'2022'!R\Max</f>
        <v>0.87017775582170098</v>
      </c>
      <c r="CB150" s="1206">
        <f>'2023'!R\Max</f>
        <v>0.87016657653333329</v>
      </c>
      <c r="CC150" s="1206">
        <f>'2024'!R\Max</f>
        <v>0.87015459425391017</v>
      </c>
      <c r="CD150" s="1206">
        <f>'2025'!R\Max</f>
        <v>0.87021885225394968</v>
      </c>
      <c r="CE150" s="1206">
        <f>'2026'!R\Max</f>
        <v>0.87020980248308777</v>
      </c>
      <c r="CF150" s="1207">
        <f>'2027'!R\Max</f>
        <v>0.87019966839015717</v>
      </c>
    </row>
    <row r="151" spans="1:84" s="6" customFormat="1" ht="11.25" x14ac:dyDescent="0.2">
      <c r="A151" s="11">
        <v>43237</v>
      </c>
      <c r="B151" s="379">
        <f>'2022'!Maxi_hp</f>
        <v>56.920827652240035</v>
      </c>
      <c r="C151" s="13">
        <f>'2022'!An_max</f>
        <v>2021</v>
      </c>
      <c r="D151" s="1053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2">
        <f t="shared" si="80"/>
        <v>43234</v>
      </c>
      <c r="I151" s="753">
        <f t="shared" si="81"/>
        <v>0.21428571428571427</v>
      </c>
      <c r="J151" s="746">
        <f t="shared" si="82"/>
        <v>60.501055612867432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46">
        <v>43237</v>
      </c>
      <c r="AP151" s="13">
        <f t="shared" si="83"/>
        <v>7</v>
      </c>
      <c r="AQ151" s="13">
        <f t="shared" si="84"/>
        <v>6</v>
      </c>
      <c r="AR151" s="172">
        <f t="shared" si="85"/>
        <v>43248</v>
      </c>
      <c r="AS151" s="753">
        <f t="shared" si="86"/>
        <v>0.39285714285714285</v>
      </c>
      <c r="AT151" s="769">
        <f t="shared" si="87"/>
        <v>60.546641973326246</v>
      </c>
      <c r="AU151" s="13">
        <f t="shared" si="88"/>
        <v>7</v>
      </c>
      <c r="AV151" s="13">
        <f t="shared" si="89"/>
        <v>6</v>
      </c>
      <c r="AW151" s="172">
        <f t="shared" si="90"/>
        <v>43262</v>
      </c>
      <c r="AX151" s="753">
        <f t="shared" si="91"/>
        <v>0.8928571428571429</v>
      </c>
      <c r="AY151" s="769">
        <f t="shared" si="92"/>
        <v>60.511890160132737</v>
      </c>
      <c r="AZ151" s="746">
        <f t="shared" si="96"/>
        <v>60.529266066729491</v>
      </c>
      <c r="BA151" s="641">
        <f t="shared" si="93"/>
        <v>0.94082371085330374</v>
      </c>
      <c r="BC151" s="11">
        <v>43237</v>
      </c>
      <c r="BD151" s="289">
        <f>[2]!FeuilCaduc*(1-Persistant)+Persistant</f>
        <v>0.77202907224453754</v>
      </c>
      <c r="BE151" s="290">
        <f>[2]!CroissVégét</f>
        <v>0.27071905354146641</v>
      </c>
      <c r="BF151" s="819">
        <f>1+[2]!Salcycl*Ksac</f>
        <v>1.0215036340305672</v>
      </c>
      <c r="BH151" s="1044">
        <f t="shared" si="94"/>
        <v>1.0568726469580583E-2</v>
      </c>
      <c r="BI151" s="11">
        <v>44333</v>
      </c>
      <c r="BJ151" s="726">
        <v>1.0625050397531661E-3</v>
      </c>
      <c r="BK151" s="726">
        <v>2.3380307521116269E-3</v>
      </c>
      <c r="BL151" s="726">
        <v>3.9045215041111875E-3</v>
      </c>
      <c r="BM151" s="726">
        <v>6.0085339504295354E-3</v>
      </c>
      <c r="BN151" s="726">
        <v>8.7547289839885033E-3</v>
      </c>
      <c r="BO151" s="727">
        <v>1.2146800333111713E-2</v>
      </c>
      <c r="BP151" s="726">
        <v>1.6141917331154998E-2</v>
      </c>
      <c r="BQ151" s="726">
        <v>2.0615292909696728E-2</v>
      </c>
      <c r="BR151" s="726">
        <v>2.5539868585945355E-2</v>
      </c>
      <c r="BS151" s="726">
        <v>3.0794063803060434E-2</v>
      </c>
      <c r="BT151" s="726">
        <v>3.6272955243950737E-2</v>
      </c>
      <c r="BW151" s="1208">
        <f>'2018'!R\Max</f>
        <v>0</v>
      </c>
      <c r="BX151" s="1206">
        <f>'2019'!R\Max</f>
        <v>0.11109591393787001</v>
      </c>
      <c r="BY151" s="1206">
        <f>'2020'!R\Max</f>
        <v>0.53468294563805618</v>
      </c>
      <c r="BZ151" s="1206">
        <f>'2021'!R\Max</f>
        <v>0.94082371085330374</v>
      </c>
      <c r="CA151" s="1206">
        <f>'2022'!R\Max</f>
        <v>0.93479636380392961</v>
      </c>
      <c r="CB151" s="1206">
        <f>'2023'!R\Max</f>
        <v>0.93479009229717569</v>
      </c>
      <c r="CC151" s="1206">
        <f>'2024'!R\Max</f>
        <v>0.93478337976128645</v>
      </c>
      <c r="CD151" s="1206">
        <f>'2025'!R\Max</f>
        <v>0.93481942924620676</v>
      </c>
      <c r="CE151" s="1206">
        <f>'2026'!R\Max</f>
        <v>0.93481434246042772</v>
      </c>
      <c r="CF151" s="1207">
        <f>'2027'!R\Max</f>
        <v>0.93480864913620454</v>
      </c>
    </row>
    <row r="152" spans="1:84" s="6" customFormat="1" ht="11.25" x14ac:dyDescent="0.2">
      <c r="A152" s="11">
        <v>43238</v>
      </c>
      <c r="B152" s="379">
        <f>'2022'!Maxi_hp</f>
        <v>62.196197916934416</v>
      </c>
      <c r="C152" s="13">
        <f>'2022'!An_max</f>
        <v>2020</v>
      </c>
      <c r="D152" s="1053">
        <f t="shared" si="78"/>
        <v>1.0278380079540519</v>
      </c>
      <c r="E152" s="13"/>
      <c r="F152" s="13">
        <f t="shared" si="95"/>
        <v>11</v>
      </c>
      <c r="G152" s="13">
        <f t="shared" si="79"/>
        <v>12</v>
      </c>
      <c r="H152" s="172">
        <f t="shared" si="80"/>
        <v>43234</v>
      </c>
      <c r="I152" s="753">
        <f t="shared" si="81"/>
        <v>0.2857142857142857</v>
      </c>
      <c r="J152" s="746">
        <f t="shared" si="82"/>
        <v>60.511673469575385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46">
        <v>43238</v>
      </c>
      <c r="AP152" s="13">
        <f t="shared" si="83"/>
        <v>7</v>
      </c>
      <c r="AQ152" s="13">
        <f t="shared" si="84"/>
        <v>6</v>
      </c>
      <c r="AR152" s="172">
        <f t="shared" si="85"/>
        <v>43248</v>
      </c>
      <c r="AS152" s="753">
        <f t="shared" si="86"/>
        <v>0.35714285714285715</v>
      </c>
      <c r="AT152" s="769">
        <f t="shared" si="87"/>
        <v>60.547427477820634</v>
      </c>
      <c r="AU152" s="13">
        <f t="shared" si="88"/>
        <v>7</v>
      </c>
      <c r="AV152" s="13">
        <f t="shared" si="89"/>
        <v>6</v>
      </c>
      <c r="AW152" s="172">
        <f t="shared" si="90"/>
        <v>43262</v>
      </c>
      <c r="AX152" s="753">
        <f t="shared" si="91"/>
        <v>0.8571428571428571</v>
      </c>
      <c r="AY152" s="769">
        <f t="shared" si="92"/>
        <v>60.522074636018701</v>
      </c>
      <c r="AZ152" s="746">
        <f t="shared" si="96"/>
        <v>60.534751056919667</v>
      </c>
      <c r="BA152" s="641">
        <f t="shared" si="93"/>
        <v>1.0278380079540519</v>
      </c>
      <c r="BC152" s="11">
        <v>43238</v>
      </c>
      <c r="BD152" s="289">
        <f>[2]!FeuilCaduc*(1-Persistant)+Persistant</f>
        <v>0.77760712135912158</v>
      </c>
      <c r="BE152" s="290">
        <f>[2]!CroissVégét</f>
        <v>0.27894001398938062</v>
      </c>
      <c r="BF152" s="819">
        <f>1+[2]!Salcycl*Ksac</f>
        <v>1.0222008901698902</v>
      </c>
      <c r="BH152" s="1044">
        <f t="shared" si="94"/>
        <v>1.0985519017584202E-2</v>
      </c>
      <c r="BI152" s="11">
        <v>44334</v>
      </c>
      <c r="BJ152" s="726">
        <v>1.0829740591970771E-3</v>
      </c>
      <c r="BK152" s="726">
        <v>2.4228854264956115E-3</v>
      </c>
      <c r="BL152" s="726">
        <v>4.0663911158521533E-3</v>
      </c>
      <c r="BM152" s="726">
        <v>6.2627346295741626E-3</v>
      </c>
      <c r="BN152" s="726">
        <v>9.1111357438268901E-3</v>
      </c>
      <c r="BO152" s="727">
        <v>1.261612505648446E-2</v>
      </c>
      <c r="BP152" s="726">
        <v>1.6733937202586716E-2</v>
      </c>
      <c r="BQ152" s="726">
        <v>2.1340926385996252E-2</v>
      </c>
      <c r="BR152" s="726">
        <v>2.6404384801266174E-2</v>
      </c>
      <c r="BS152" s="726">
        <v>3.1803310743723404E-2</v>
      </c>
      <c r="BT152" s="726">
        <v>3.742783778931618E-2</v>
      </c>
      <c r="BW152" s="1208">
        <f>'2018'!R\Max</f>
        <v>0</v>
      </c>
      <c r="BX152" s="1206">
        <f>'2019'!R\Max</f>
        <v>0.63283480482537002</v>
      </c>
      <c r="BY152" s="1206">
        <f>'2020'!R\Max</f>
        <v>1.0278380079540519</v>
      </c>
      <c r="BZ152" s="1206">
        <f>'2021'!R\Max</f>
        <v>0.61284688242940688</v>
      </c>
      <c r="CA152" s="1206">
        <f>'2022'!R\Max</f>
        <v>0.90901763268467961</v>
      </c>
      <c r="CB152" s="1206">
        <f>'2023'!R\Max</f>
        <v>0.9090087945400176</v>
      </c>
      <c r="CC152" s="1206">
        <f>'2024'!R\Max</f>
        <v>0.90899934823434358</v>
      </c>
      <c r="CD152" s="1206">
        <f>'2025'!R\Max</f>
        <v>0.90905015260328303</v>
      </c>
      <c r="CE152" s="1206">
        <f>'2026'!R\Max</f>
        <v>0.90904297036720882</v>
      </c>
      <c r="CF152" s="1207">
        <f>'2027'!R\Max</f>
        <v>0.90903493555143822</v>
      </c>
    </row>
    <row r="153" spans="1:84" s="6" customFormat="1" ht="11.25" x14ac:dyDescent="0.2">
      <c r="A153" s="11">
        <v>43239</v>
      </c>
      <c r="B153" s="379">
        <f>'2022'!Maxi_hp</f>
        <v>60.966167385308943</v>
      </c>
      <c r="C153" s="13">
        <f>'2022'!An_max</f>
        <v>2020</v>
      </c>
      <c r="D153" s="1053">
        <f t="shared" si="78"/>
        <v>1.0073845871420015</v>
      </c>
      <c r="E153" s="13"/>
      <c r="F153" s="13">
        <f t="shared" si="95"/>
        <v>11</v>
      </c>
      <c r="G153" s="13">
        <f t="shared" si="79"/>
        <v>12</v>
      </c>
      <c r="H153" s="172">
        <f t="shared" si="80"/>
        <v>43234</v>
      </c>
      <c r="I153" s="753">
        <f t="shared" si="81"/>
        <v>0.35714285714285715</v>
      </c>
      <c r="J153" s="746">
        <f t="shared" si="82"/>
        <v>60.519257653398178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46">
        <v>43239</v>
      </c>
      <c r="AP153" s="13">
        <f t="shared" si="83"/>
        <v>7</v>
      </c>
      <c r="AQ153" s="13">
        <f t="shared" si="84"/>
        <v>6</v>
      </c>
      <c r="AR153" s="172">
        <f t="shared" si="85"/>
        <v>43248</v>
      </c>
      <c r="AS153" s="753">
        <f t="shared" si="86"/>
        <v>0.32142857142857145</v>
      </c>
      <c r="AT153" s="769">
        <f t="shared" si="87"/>
        <v>60.545504345837983</v>
      </c>
      <c r="AU153" s="13">
        <f t="shared" si="88"/>
        <v>7</v>
      </c>
      <c r="AV153" s="13">
        <f t="shared" si="89"/>
        <v>6</v>
      </c>
      <c r="AW153" s="172">
        <f t="shared" si="90"/>
        <v>43262</v>
      </c>
      <c r="AX153" s="753">
        <f t="shared" si="91"/>
        <v>0.8214285714285714</v>
      </c>
      <c r="AY153" s="769">
        <f t="shared" si="92"/>
        <v>60.527564140103223</v>
      </c>
      <c r="AZ153" s="746">
        <f t="shared" si="96"/>
        <v>60.536534242970603</v>
      </c>
      <c r="BA153" s="641">
        <f t="shared" si="93"/>
        <v>1.0073845871420015</v>
      </c>
      <c r="BC153" s="11">
        <v>43239</v>
      </c>
      <c r="BD153" s="289">
        <f>[2]!FeuilCaduc*(1-Persistant)+Persistant</f>
        <v>0.78322849363786029</v>
      </c>
      <c r="BE153" s="290">
        <f>[2]!CroissVégét</f>
        <v>0.28731106552397356</v>
      </c>
      <c r="BF153" s="819">
        <f>1+[2]!Salcycl*Ksac</f>
        <v>1.0229035617047326</v>
      </c>
      <c r="BH153" s="1044">
        <f t="shared" si="94"/>
        <v>1.140229835593156E-2</v>
      </c>
      <c r="BI153" s="11">
        <v>44335</v>
      </c>
      <c r="BJ153" s="726">
        <v>1.1029765302431969E-3</v>
      </c>
      <c r="BK153" s="726">
        <v>2.507693634404405E-3</v>
      </c>
      <c r="BL153" s="726">
        <v>4.2286325118056495E-3</v>
      </c>
      <c r="BM153" s="726">
        <v>6.5174381249007837E-3</v>
      </c>
      <c r="BN153" s="726">
        <v>9.4678139477425999E-3</v>
      </c>
      <c r="BO153" s="727">
        <v>1.3085188937764464E-2</v>
      </c>
      <c r="BP153" s="726">
        <v>1.7324833110941299E-2</v>
      </c>
      <c r="BQ153" s="726">
        <v>2.2064353089156906E-2</v>
      </c>
      <c r="BR153" s="726">
        <v>2.7265368524525949E-2</v>
      </c>
      <c r="BS153" s="726">
        <v>3.2808015736872136E-2</v>
      </c>
      <c r="BT153" s="726">
        <v>3.8577482432088778E-2</v>
      </c>
      <c r="BW153" s="1208">
        <f>'2018'!R\Max</f>
        <v>0</v>
      </c>
      <c r="BX153" s="1206">
        <f>'2019'!R\Max</f>
        <v>0.44927760528980026</v>
      </c>
      <c r="BY153" s="1206">
        <f>'2020'!R\Max</f>
        <v>1.0073845871420015</v>
      </c>
      <c r="BZ153" s="1206">
        <f>'2021'!R\Max</f>
        <v>0.85133776968513553</v>
      </c>
      <c r="CA153" s="1206">
        <f>'2022'!R\Max</f>
        <v>0.93549038024011766</v>
      </c>
      <c r="CB153" s="1206">
        <f>'2023'!R\Max</f>
        <v>0.9354836890894942</v>
      </c>
      <c r="CC153" s="1206">
        <f>'2024'!R\Max</f>
        <v>0.93547654746133613</v>
      </c>
      <c r="CD153" s="1206">
        <f>'2025'!R\Max</f>
        <v>0.93551500988042369</v>
      </c>
      <c r="CE153" s="1206">
        <f>'2026'!R\Max</f>
        <v>0.93550956282092024</v>
      </c>
      <c r="CF153" s="1207">
        <f>'2027'!R\Max</f>
        <v>0.9355034716781826</v>
      </c>
    </row>
    <row r="154" spans="1:84" s="6" customFormat="1" ht="11.25" x14ac:dyDescent="0.2">
      <c r="A154" s="11">
        <v>43240</v>
      </c>
      <c r="B154" s="379">
        <f>'2022'!Maxi_hp</f>
        <v>61.160542885736888</v>
      </c>
      <c r="C154" s="13">
        <f>'2022'!An_max</f>
        <v>2021</v>
      </c>
      <c r="D154" s="1053">
        <f t="shared" si="78"/>
        <v>1.0105204008317155</v>
      </c>
      <c r="E154" s="13"/>
      <c r="F154" s="13">
        <f t="shared" si="95"/>
        <v>11</v>
      </c>
      <c r="G154" s="13">
        <f t="shared" si="79"/>
        <v>12</v>
      </c>
      <c r="H154" s="172">
        <f t="shared" si="80"/>
        <v>43234</v>
      </c>
      <c r="I154" s="753">
        <f t="shared" si="81"/>
        <v>0.42857142857142855</v>
      </c>
      <c r="J154" s="746">
        <f t="shared" si="82"/>
        <v>60.523808163989862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46">
        <v>43240</v>
      </c>
      <c r="AP154" s="13">
        <f t="shared" si="83"/>
        <v>7</v>
      </c>
      <c r="AQ154" s="13">
        <f t="shared" si="84"/>
        <v>6</v>
      </c>
      <c r="AR154" s="172">
        <f t="shared" si="85"/>
        <v>43248</v>
      </c>
      <c r="AS154" s="753">
        <f t="shared" si="86"/>
        <v>0.2857142857142857</v>
      </c>
      <c r="AT154" s="769">
        <f t="shared" si="87"/>
        <v>60.541143439816572</v>
      </c>
      <c r="AU154" s="13">
        <f t="shared" si="88"/>
        <v>7</v>
      </c>
      <c r="AV154" s="13">
        <f t="shared" si="89"/>
        <v>6</v>
      </c>
      <c r="AW154" s="172">
        <f t="shared" si="90"/>
        <v>43262</v>
      </c>
      <c r="AX154" s="753">
        <f t="shared" si="91"/>
        <v>0.7857142857142857</v>
      </c>
      <c r="AY154" s="769">
        <f t="shared" si="92"/>
        <v>60.528575365019165</v>
      </c>
      <c r="AZ154" s="746">
        <f t="shared" si="96"/>
        <v>60.534859402417865</v>
      </c>
      <c r="BA154" s="641">
        <f t="shared" si="93"/>
        <v>1.0105204008317155</v>
      </c>
      <c r="BC154" s="11">
        <v>43240</v>
      </c>
      <c r="BD154" s="289">
        <f>[2]!FeuilCaduc*(1-Persistant)+Persistant</f>
        <v>0.78888718688019166</v>
      </c>
      <c r="BE154" s="290">
        <f>[2]!CroissVégét</f>
        <v>0.29582909613929492</v>
      </c>
      <c r="BF154" s="819">
        <f>1+[2]!Salcycl*Ksac</f>
        <v>1.0236108983600241</v>
      </c>
      <c r="BH154" s="1044">
        <f t="shared" si="94"/>
        <v>1.1819048433301137E-2</v>
      </c>
      <c r="BI154" s="11">
        <v>44336</v>
      </c>
      <c r="BJ154" s="726">
        <v>1.1225121052028217E-3</v>
      </c>
      <c r="BK154" s="726">
        <v>2.5924521161731326E-3</v>
      </c>
      <c r="BL154" s="726">
        <v>4.3912390429017654E-3</v>
      </c>
      <c r="BM154" s="726">
        <v>6.7726341247082615E-3</v>
      </c>
      <c r="BN154" s="726">
        <v>9.8247495910379484E-3</v>
      </c>
      <c r="BO154" s="727">
        <v>1.3553974145184753E-2</v>
      </c>
      <c r="BP154" s="726">
        <v>1.791458334089182E-2</v>
      </c>
      <c r="BQ154" s="726">
        <v>2.2785547220598487E-2</v>
      </c>
      <c r="BR154" s="726">
        <v>2.8122789892085696E-2</v>
      </c>
      <c r="BS154" s="726">
        <v>3.3808144194310129E-2</v>
      </c>
      <c r="BT154" s="726">
        <v>3.9721849388970283E-2</v>
      </c>
      <c r="BW154" s="1208">
        <f>'2018'!R\Max</f>
        <v>0</v>
      </c>
      <c r="BX154" s="1206">
        <f>'2019'!R\Max</f>
        <v>0.9165061755981514</v>
      </c>
      <c r="BY154" s="1206">
        <f>'2020'!R\Max</f>
        <v>0.98781730676191215</v>
      </c>
      <c r="BZ154" s="1206">
        <f>'2021'!R\Max</f>
        <v>1.0105204008317155</v>
      </c>
      <c r="CA154" s="1206">
        <f>'2022'!R\Max</f>
        <v>0.83333945295392586</v>
      </c>
      <c r="CB154" s="1206">
        <f>'2023'!R\Max</f>
        <v>0.83332349157632601</v>
      </c>
      <c r="CC154" s="1206">
        <f>'2024'!R\Max</f>
        <v>0.83330647966363414</v>
      </c>
      <c r="CD154" s="1206">
        <f>'2025'!R\Max</f>
        <v>0.83339823026019166</v>
      </c>
      <c r="CE154" s="1206">
        <f>'2026'!R\Max</f>
        <v>0.83338521356433537</v>
      </c>
      <c r="CF154" s="1207">
        <f>'2027'!R\Max</f>
        <v>0.83337066344066824</v>
      </c>
    </row>
    <row r="155" spans="1:84" s="6" customFormat="1" ht="11.25" x14ac:dyDescent="0.2">
      <c r="A155" s="11">
        <v>43241</v>
      </c>
      <c r="B155" s="379">
        <f>'2022'!Maxi_hp</f>
        <v>59.215074303893267</v>
      </c>
      <c r="C155" s="13">
        <f>'2022'!An_max</f>
        <v>2020</v>
      </c>
      <c r="D155" s="1053">
        <f t="shared" si="78"/>
        <v>0.97835202542788713</v>
      </c>
      <c r="E155" s="13"/>
      <c r="F155" s="13">
        <f t="shared" si="95"/>
        <v>11</v>
      </c>
      <c r="G155" s="13">
        <f t="shared" si="79"/>
        <v>12</v>
      </c>
      <c r="H155" s="172">
        <f t="shared" si="80"/>
        <v>43234</v>
      </c>
      <c r="I155" s="753">
        <f t="shared" si="81"/>
        <v>0.5</v>
      </c>
      <c r="J155" s="746">
        <f t="shared" si="82"/>
        <v>60.525325000472364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46">
        <v>43241</v>
      </c>
      <c r="AP155" s="13">
        <f t="shared" si="83"/>
        <v>7</v>
      </c>
      <c r="AQ155" s="13">
        <f t="shared" si="84"/>
        <v>6</v>
      </c>
      <c r="AR155" s="172">
        <f t="shared" si="85"/>
        <v>43248</v>
      </c>
      <c r="AS155" s="753">
        <f t="shared" si="86"/>
        <v>0.25</v>
      </c>
      <c r="AT155" s="769">
        <f t="shared" si="87"/>
        <v>60.534615624230355</v>
      </c>
      <c r="AU155" s="13">
        <f t="shared" si="88"/>
        <v>7</v>
      </c>
      <c r="AV155" s="13">
        <f t="shared" si="89"/>
        <v>6</v>
      </c>
      <c r="AW155" s="172">
        <f t="shared" si="90"/>
        <v>43262</v>
      </c>
      <c r="AX155" s="753">
        <f t="shared" si="91"/>
        <v>0.75</v>
      </c>
      <c r="AY155" s="769">
        <f t="shared" si="92"/>
        <v>60.525324999773872</v>
      </c>
      <c r="AZ155" s="746">
        <f t="shared" si="96"/>
        <v>60.529970312002114</v>
      </c>
      <c r="BA155" s="641">
        <f t="shared" si="93"/>
        <v>0.97835202542788713</v>
      </c>
      <c r="BC155" s="11">
        <v>43241</v>
      </c>
      <c r="BD155" s="289">
        <f>[2]!FeuilCaduc*(1-Persistant)+Persistant</f>
        <v>0.79457700746586535</v>
      </c>
      <c r="BE155" s="290">
        <f>[2]!CroissVégét</f>
        <v>0.30449063118118064</v>
      </c>
      <c r="BF155" s="819">
        <f>1+[2]!Salcycl*Ksac</f>
        <v>1.0243221259332331</v>
      </c>
      <c r="BH155" s="1044">
        <f t="shared" si="94"/>
        <v>1.2235752799861648E-2</v>
      </c>
      <c r="BI155" s="11">
        <v>44337</v>
      </c>
      <c r="BJ155" s="726">
        <v>1.1415804460900294E-3</v>
      </c>
      <c r="BK155" s="726">
        <v>2.6771575336153558E-3</v>
      </c>
      <c r="BL155" s="726">
        <v>4.5542038813712526E-3</v>
      </c>
      <c r="BM155" s="726">
        <v>7.0283120419818452E-3</v>
      </c>
      <c r="BN155" s="726">
        <v>1.0181928310428421E-2</v>
      </c>
      <c r="BO155" s="727">
        <v>1.4022462413737915E-2</v>
      </c>
      <c r="BP155" s="726">
        <v>1.8503165680668329E-2</v>
      </c>
      <c r="BQ155" s="726">
        <v>2.3504482425493925E-2</v>
      </c>
      <c r="BR155" s="726">
        <v>2.8976618434434394E-2</v>
      </c>
      <c r="BS155" s="726">
        <v>3.4803660846300155E-2</v>
      </c>
      <c r="BT155" s="726">
        <v>4.0860898098301852E-2</v>
      </c>
      <c r="BW155" s="1208">
        <f>'2018'!R\Max</f>
        <v>0</v>
      </c>
      <c r="BX155" s="1206">
        <f>'2019'!R\Max</f>
        <v>0.75201563400859672</v>
      </c>
      <c r="BY155" s="1206">
        <f>'2020'!R\Max</f>
        <v>0.97835202542788713</v>
      </c>
      <c r="BZ155" s="1206">
        <f>'2021'!R\Max</f>
        <v>0.68184927341519352</v>
      </c>
      <c r="CA155" s="1206">
        <f>'2022'!R\Max</f>
        <v>0.8529568438382451</v>
      </c>
      <c r="CB155" s="1206">
        <f>'2023'!R\Max</f>
        <v>0.85294191678929154</v>
      </c>
      <c r="CC155" s="1206">
        <f>'2024'!R\Max</f>
        <v>0.85292602916935512</v>
      </c>
      <c r="CD155" s="1206">
        <f>'2025'!R\Max</f>
        <v>0.85301182989232816</v>
      </c>
      <c r="CE155" s="1206">
        <f>'2026'!R\Max</f>
        <v>0.85299963743507545</v>
      </c>
      <c r="CF155" s="1207">
        <f>'2027'!R\Max</f>
        <v>0.85298601313999545</v>
      </c>
    </row>
    <row r="156" spans="1:84" s="6" customFormat="1" ht="11.25" x14ac:dyDescent="0.2">
      <c r="A156" s="11">
        <v>43242</v>
      </c>
      <c r="B156" s="379">
        <f>'2022'!Maxi_hp</f>
        <v>59.915343833320051</v>
      </c>
      <c r="C156" s="13">
        <f>'2022'!An_max</f>
        <v>2019</v>
      </c>
      <c r="D156" s="1053">
        <f t="shared" si="78"/>
        <v>0.98994669454321327</v>
      </c>
      <c r="E156" s="13"/>
      <c r="F156" s="13">
        <f t="shared" si="95"/>
        <v>11</v>
      </c>
      <c r="G156" s="13">
        <f t="shared" si="79"/>
        <v>12</v>
      </c>
      <c r="H156" s="172">
        <f t="shared" si="80"/>
        <v>43234</v>
      </c>
      <c r="I156" s="753">
        <f t="shared" si="81"/>
        <v>0.5714285714285714</v>
      </c>
      <c r="J156" s="746">
        <f t="shared" si="82"/>
        <v>60.523808164202741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46">
        <v>43242</v>
      </c>
      <c r="AP156" s="13">
        <f t="shared" si="83"/>
        <v>7</v>
      </c>
      <c r="AQ156" s="13">
        <f t="shared" si="84"/>
        <v>6</v>
      </c>
      <c r="AR156" s="172">
        <f t="shared" si="85"/>
        <v>43248</v>
      </c>
      <c r="AS156" s="753">
        <f t="shared" si="86"/>
        <v>0.21428571428571427</v>
      </c>
      <c r="AT156" s="769">
        <f t="shared" si="87"/>
        <v>60.526191763526626</v>
      </c>
      <c r="AU156" s="13">
        <f t="shared" si="88"/>
        <v>7</v>
      </c>
      <c r="AV156" s="13">
        <f t="shared" si="89"/>
        <v>6</v>
      </c>
      <c r="AW156" s="172">
        <f t="shared" si="90"/>
        <v>43262</v>
      </c>
      <c r="AX156" s="753">
        <f t="shared" si="91"/>
        <v>0.7142857142857143</v>
      </c>
      <c r="AY156" s="769">
        <f t="shared" si="92"/>
        <v>60.518029737791849</v>
      </c>
      <c r="AZ156" s="746">
        <f t="shared" si="96"/>
        <v>60.522110750659238</v>
      </c>
      <c r="BA156" s="641">
        <f t="shared" si="93"/>
        <v>0.98994669454321327</v>
      </c>
      <c r="BC156" s="11">
        <v>43242</v>
      </c>
      <c r="BD156" s="289">
        <f>[2]!FeuilCaduc*(1-Persistant)+Persistant</f>
        <v>0.80029158597999939</v>
      </c>
      <c r="BE156" s="290">
        <f>[2]!CroissVégét</f>
        <v>0.3132918316722918</v>
      </c>
      <c r="BF156" s="819">
        <f>1+[2]!Salcycl*Ksac</f>
        <v>1.0250364482474998</v>
      </c>
      <c r="BH156" s="1044">
        <f t="shared" si="94"/>
        <v>1.264826863688974E-2</v>
      </c>
      <c r="BI156" s="11">
        <v>44338</v>
      </c>
      <c r="BJ156" s="726">
        <v>1.160390160708454E-3</v>
      </c>
      <c r="BK156" s="726">
        <v>2.7607538387879596E-3</v>
      </c>
      <c r="BL156" s="726">
        <v>4.7154068167825185E-3</v>
      </c>
      <c r="BM156" s="726">
        <v>7.2816892634087515E-3</v>
      </c>
      <c r="BN156" s="726">
        <v>1.0535765489084028E-2</v>
      </c>
      <c r="BO156" s="727">
        <v>1.4486025321040454E-2</v>
      </c>
      <c r="BP156" s="726">
        <v>1.9084475169900597E-2</v>
      </c>
      <c r="BQ156" s="726">
        <v>2.4213321207993951E-2</v>
      </c>
      <c r="BR156" s="726">
        <v>2.9817267383921264E-2</v>
      </c>
      <c r="BS156" s="726">
        <v>3.5783039485237235E-2</v>
      </c>
      <c r="BT156" s="726">
        <v>4.1981105539455298E-2</v>
      </c>
      <c r="BW156" s="1208">
        <f>'2018'!R\Max</f>
        <v>0</v>
      </c>
      <c r="BX156" s="1206">
        <f>'2019'!R\Max</f>
        <v>0.98994669454321327</v>
      </c>
      <c r="BY156" s="1206">
        <f>'2020'!R\Max</f>
        <v>0.9167820144685358</v>
      </c>
      <c r="BZ156" s="1206">
        <f>'2021'!R\Max</f>
        <v>0.59290724191938815</v>
      </c>
      <c r="CA156" s="1206">
        <f>'2022'!R\Max</f>
        <v>0.61703131269283062</v>
      </c>
      <c r="CB156" s="1206">
        <f>'2023'!R\Max</f>
        <v>0.61700222394881887</v>
      </c>
      <c r="CC156" s="1206">
        <f>'2024'!R\Max</f>
        <v>0.6169713079582082</v>
      </c>
      <c r="CD156" s="1206">
        <f>'2025'!R\Max</f>
        <v>0.61713851480920956</v>
      </c>
      <c r="CE156" s="1206">
        <f>'2026'!R\Max</f>
        <v>0.61711471211362223</v>
      </c>
      <c r="CF156" s="1207">
        <f>'2027'!R\Max</f>
        <v>0.6170881245182035</v>
      </c>
    </row>
    <row r="157" spans="1:84" s="6" customFormat="1" ht="11.25" x14ac:dyDescent="0.2">
      <c r="A157" s="11">
        <v>43243</v>
      </c>
      <c r="B157" s="379">
        <f>'2022'!Maxi_hp</f>
        <v>55.585260349029333</v>
      </c>
      <c r="C157" s="13">
        <f>'2022'!An_max</f>
        <v>2020</v>
      </c>
      <c r="D157" s="1053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2">
        <f t="shared" si="80"/>
        <v>43234</v>
      </c>
      <c r="I157" s="753">
        <f t="shared" si="81"/>
        <v>0.6428571428571429</v>
      </c>
      <c r="J157" s="746">
        <f t="shared" si="82"/>
        <v>60.519257653371561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46">
        <v>43243</v>
      </c>
      <c r="AP157" s="13">
        <f t="shared" si="83"/>
        <v>7</v>
      </c>
      <c r="AQ157" s="13">
        <f t="shared" si="84"/>
        <v>6</v>
      </c>
      <c r="AR157" s="172">
        <f t="shared" si="85"/>
        <v>43248</v>
      </c>
      <c r="AS157" s="753">
        <f t="shared" si="86"/>
        <v>0.17857142857142858</v>
      </c>
      <c r="AT157" s="769">
        <f t="shared" si="87"/>
        <v>60.516142720037273</v>
      </c>
      <c r="AU157" s="13">
        <f t="shared" si="88"/>
        <v>7</v>
      </c>
      <c r="AV157" s="13">
        <f t="shared" si="89"/>
        <v>6</v>
      </c>
      <c r="AW157" s="172">
        <f t="shared" si="90"/>
        <v>43262</v>
      </c>
      <c r="AX157" s="753">
        <f t="shared" si="91"/>
        <v>0.6785714285714286</v>
      </c>
      <c r="AY157" s="769">
        <f t="shared" si="92"/>
        <v>60.506906268266697</v>
      </c>
      <c r="AZ157" s="746">
        <f t="shared" si="96"/>
        <v>60.511524494151985</v>
      </c>
      <c r="BA157" s="641">
        <f t="shared" si="93"/>
        <v>0.91847227650077834</v>
      </c>
      <c r="BC157" s="11">
        <v>43243</v>
      </c>
      <c r="BD157" s="289">
        <f>[2]!FeuilCaduc*(1-Persistant)+Persistant</f>
        <v>0.80602439424666517</v>
      </c>
      <c r="BE157" s="290">
        <f>[2]!CroissVégét</f>
        <v>0.3222284943358365</v>
      </c>
      <c r="BF157" s="819">
        <f>1+[2]!Salcycl*Ksac</f>
        <v>1.0257530492808331</v>
      </c>
      <c r="BH157" s="1044">
        <f t="shared" si="94"/>
        <v>1.3055093875937552E-2</v>
      </c>
      <c r="BI157" s="11">
        <v>44339</v>
      </c>
      <c r="BJ157" s="726">
        <v>1.1800307512947817E-3</v>
      </c>
      <c r="BK157" s="726">
        <v>2.843483832433854E-3</v>
      </c>
      <c r="BL157" s="726">
        <v>4.8741537165050012E-3</v>
      </c>
      <c r="BM157" s="726">
        <v>7.5313815446533504E-3</v>
      </c>
      <c r="BN157" s="726">
        <v>1.088468254121063E-2</v>
      </c>
      <c r="BO157" s="727">
        <v>1.4943227364351041E-2</v>
      </c>
      <c r="BP157" s="726">
        <v>1.9657484951647642E-2</v>
      </c>
      <c r="BQ157" s="726">
        <v>2.4911349528066798E-2</v>
      </c>
      <c r="BR157" s="726">
        <v>3.0644398508343194E-2</v>
      </c>
      <c r="BS157" s="726">
        <v>3.6745728111339422E-2</v>
      </c>
      <c r="BT157" s="726">
        <v>4.3081306325158407E-2</v>
      </c>
      <c r="BW157" s="1208">
        <f>'2018'!R\Max</f>
        <v>0</v>
      </c>
      <c r="BX157" s="1206">
        <f>'2019'!R\Max</f>
        <v>0.87566196475147362</v>
      </c>
      <c r="BY157" s="1206">
        <f>'2020'!R\Max</f>
        <v>0.91847227650077834</v>
      </c>
      <c r="BZ157" s="1206">
        <f>'2021'!R\Max</f>
        <v>0.60441925376841021</v>
      </c>
      <c r="CA157" s="1206">
        <f>'2022'!R\Max</f>
        <v>0.29855230925091553</v>
      </c>
      <c r="CB157" s="1206">
        <f>'2023'!R\Max</f>
        <v>0.29852572495298252</v>
      </c>
      <c r="CC157" s="1206">
        <f>'2024'!R\Max</f>
        <v>0.29849751263315505</v>
      </c>
      <c r="CD157" s="1206">
        <f>'2025'!R\Max</f>
        <v>0.29865033162929849</v>
      </c>
      <c r="CE157" s="1206">
        <f>'2026'!R\Max</f>
        <v>0.2986285379642889</v>
      </c>
      <c r="CF157" s="1207">
        <f>'2027'!R\Max</f>
        <v>0.29860420383762143</v>
      </c>
    </row>
    <row r="158" spans="1:84" s="6" customFormat="1" ht="11.25" x14ac:dyDescent="0.2">
      <c r="A158" s="11">
        <v>43244</v>
      </c>
      <c r="B158" s="379">
        <f>'2022'!Maxi_hp</f>
        <v>26.001334753599281</v>
      </c>
      <c r="C158" s="13">
        <f>'2022'!An_max</f>
        <v>2021</v>
      </c>
      <c r="D158" s="1053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2">
        <f t="shared" si="80"/>
        <v>43234</v>
      </c>
      <c r="I158" s="753">
        <f t="shared" si="81"/>
        <v>0.7142857142857143</v>
      </c>
      <c r="J158" s="746">
        <f t="shared" si="82"/>
        <v>60.511673470107574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46">
        <v>43244</v>
      </c>
      <c r="AP158" s="13">
        <f t="shared" si="83"/>
        <v>7</v>
      </c>
      <c r="AQ158" s="13">
        <f t="shared" si="84"/>
        <v>6</v>
      </c>
      <c r="AR158" s="172">
        <f t="shared" si="85"/>
        <v>43248</v>
      </c>
      <c r="AS158" s="753">
        <f t="shared" si="86"/>
        <v>0.14285714285714285</v>
      </c>
      <c r="AT158" s="769">
        <f t="shared" si="87"/>
        <v>60.50473935827614</v>
      </c>
      <c r="AU158" s="13">
        <f t="shared" si="88"/>
        <v>7</v>
      </c>
      <c r="AV158" s="13">
        <f t="shared" si="89"/>
        <v>6</v>
      </c>
      <c r="AW158" s="172">
        <f t="shared" si="90"/>
        <v>43262</v>
      </c>
      <c r="AX158" s="753">
        <f t="shared" si="91"/>
        <v>0.6428571428571429</v>
      </c>
      <c r="AY158" s="769">
        <f t="shared" si="92"/>
        <v>60.492171283079571</v>
      </c>
      <c r="AZ158" s="746">
        <f t="shared" si="96"/>
        <v>60.498455320677856</v>
      </c>
      <c r="BA158" s="641">
        <f t="shared" si="93"/>
        <v>0.4296912192726548</v>
      </c>
      <c r="BC158" s="11">
        <v>43244</v>
      </c>
      <c r="BD158" s="289">
        <f>[2]!FeuilCaduc*(1-Persistant)+Persistant</f>
        <v>0.81176876371646534</v>
      </c>
      <c r="BE158" s="290">
        <f>[2]!CroissVégét</f>
        <v>0.33129605339749552</v>
      </c>
      <c r="BF158" s="819">
        <f>1+[2]!Salcycl*Ksac</f>
        <v>1.0264710954645582</v>
      </c>
      <c r="BH158" s="1044">
        <f t="shared" si="94"/>
        <v>1.3456151779064241E-2</v>
      </c>
      <c r="BI158" s="11">
        <v>44340</v>
      </c>
      <c r="BJ158" s="726">
        <v>1.2004944176077384E-3</v>
      </c>
      <c r="BK158" s="726">
        <v>2.9253306237113797E-3</v>
      </c>
      <c r="BL158" s="726">
        <v>5.0304159961213979E-3</v>
      </c>
      <c r="BM158" s="726">
        <v>7.7773443238565105E-3</v>
      </c>
      <c r="BN158" s="726">
        <v>1.1228615181812991E-2</v>
      </c>
      <c r="BO158" s="727">
        <v>1.5393980972379753E-2</v>
      </c>
      <c r="BP158" s="726">
        <v>2.0222081320744198E-2</v>
      </c>
      <c r="BQ158" s="726">
        <v>2.5598425254015331E-2</v>
      </c>
      <c r="BR158" s="726">
        <v>3.1457839020931376E-2</v>
      </c>
      <c r="BS158" s="726">
        <v>3.7691521809379597E-2</v>
      </c>
      <c r="BT158" s="726">
        <v>4.4161262390011863E-2</v>
      </c>
      <c r="BW158" s="1208">
        <f>'2018'!R\Max</f>
        <v>0</v>
      </c>
      <c r="BX158" s="1206">
        <f>'2019'!R\Max</f>
        <v>0.19657804978297033</v>
      </c>
      <c r="BY158" s="1206">
        <f>'2020'!R\Max</f>
        <v>0.28507719196123887</v>
      </c>
      <c r="BZ158" s="1206">
        <f>'2021'!R\Max</f>
        <v>0.4296912192726548</v>
      </c>
      <c r="CA158" s="1206">
        <f>'2022'!R\Max</f>
        <v>0.24461084329056768</v>
      </c>
      <c r="CB158" s="1206">
        <f>'2023'!R\Max</f>
        <v>0.24458836061080544</v>
      </c>
      <c r="CC158" s="1206">
        <f>'2024'!R\Max</f>
        <v>0.2445645348902582</v>
      </c>
      <c r="CD158" s="1206">
        <f>'2025'!R\Max</f>
        <v>0.24469376885649272</v>
      </c>
      <c r="CE158" s="1206">
        <f>'2026'!R\Max</f>
        <v>0.24467530968748594</v>
      </c>
      <c r="CF158" s="1207">
        <f>'2027'!R\Max</f>
        <v>0.24465470485447954</v>
      </c>
    </row>
    <row r="159" spans="1:84" s="6" customFormat="1" ht="11.25" x14ac:dyDescent="0.2">
      <c r="A159" s="11">
        <v>43245</v>
      </c>
      <c r="B159" s="379">
        <f>'2022'!Maxi_hp</f>
        <v>56.074384360716962</v>
      </c>
      <c r="C159" s="13">
        <f>'2022'!An_max</f>
        <v>2020</v>
      </c>
      <c r="D159" s="1053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2">
        <f t="shared" si="80"/>
        <v>43234</v>
      </c>
      <c r="I159" s="753">
        <f t="shared" si="81"/>
        <v>0.7857142857142857</v>
      </c>
      <c r="J159" s="746">
        <f t="shared" si="82"/>
        <v>60.501055612787603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46">
        <v>43245</v>
      </c>
      <c r="AP159" s="13">
        <f t="shared" si="83"/>
        <v>7</v>
      </c>
      <c r="AQ159" s="13">
        <f t="shared" si="84"/>
        <v>6</v>
      </c>
      <c r="AR159" s="172">
        <f t="shared" si="85"/>
        <v>43248</v>
      </c>
      <c r="AS159" s="753">
        <f t="shared" si="86"/>
        <v>0.10714285714285714</v>
      </c>
      <c r="AT159" s="769">
        <f t="shared" si="87"/>
        <v>60.492252541014125</v>
      </c>
      <c r="AU159" s="13">
        <f t="shared" si="88"/>
        <v>7</v>
      </c>
      <c r="AV159" s="13">
        <f t="shared" si="89"/>
        <v>6</v>
      </c>
      <c r="AW159" s="172">
        <f t="shared" si="90"/>
        <v>43262</v>
      </c>
      <c r="AX159" s="753">
        <f t="shared" si="91"/>
        <v>0.6071428571428571</v>
      </c>
      <c r="AY159" s="769">
        <f t="shared" si="92"/>
        <v>60.474041472408658</v>
      </c>
      <c r="AZ159" s="746">
        <f t="shared" si="96"/>
        <v>60.483147006711391</v>
      </c>
      <c r="BA159" s="641">
        <f t="shared" si="93"/>
        <v>0.92683315675677214</v>
      </c>
      <c r="BC159" s="11">
        <v>43245</v>
      </c>
      <c r="BD159" s="289">
        <f>[2]!FeuilCaduc*(1-Persistant)+Persistant</f>
        <v>0.81751790514011213</v>
      </c>
      <c r="BE159" s="290">
        <f>[2]!CroissVégét</f>
        <v>0.34048958423292969</v>
      </c>
      <c r="BF159" s="819">
        <f>1+[2]!Salcycl*Ksac</f>
        <v>1.0271897381425139</v>
      </c>
      <c r="BH159" s="1044">
        <f t="shared" si="94"/>
        <v>1.3851442139930972E-2</v>
      </c>
      <c r="BI159" s="11">
        <v>44341</v>
      </c>
      <c r="BJ159" s="726">
        <v>1.2217802328850305E-3</v>
      </c>
      <c r="BK159" s="726">
        <v>3.0062939862648859E-3</v>
      </c>
      <c r="BL159" s="726">
        <v>5.184193637482376E-3</v>
      </c>
      <c r="BM159" s="726">
        <v>8.0195771358707278E-3</v>
      </c>
      <c r="BN159" s="726">
        <v>1.1567562889091935E-2</v>
      </c>
      <c r="BO159" s="727">
        <v>1.5838286213220174E-2</v>
      </c>
      <c r="BP159" s="726">
        <v>2.0778266044312942E-2</v>
      </c>
      <c r="BQ159" s="726">
        <v>2.6274552814268055E-2</v>
      </c>
      <c r="BR159" s="726">
        <v>3.2257596664027055E-2</v>
      </c>
      <c r="BS159" s="726">
        <v>3.8620432391441979E-2</v>
      </c>
      <c r="BT159" s="726">
        <v>4.5220990008615514E-2</v>
      </c>
      <c r="BW159" s="1208">
        <f>'2018'!R\Max</f>
        <v>0</v>
      </c>
      <c r="BX159" s="1206">
        <f>'2019'!R\Max</f>
        <v>0.52711028209296029</v>
      </c>
      <c r="BY159" s="1206">
        <f>'2020'!R\Max</f>
        <v>0.92683315675677214</v>
      </c>
      <c r="BZ159" s="1206">
        <f>'2021'!R\Max</f>
        <v>0.84575090961030241</v>
      </c>
      <c r="CA159" s="1206">
        <f>'2022'!R\Max</f>
        <v>0.69863132299649511</v>
      </c>
      <c r="CB159" s="1206">
        <f>'2023'!R\Max</f>
        <v>0.69860281779325917</v>
      </c>
      <c r="CC159" s="1206">
        <f>'2024'!R\Max</f>
        <v>0.69857264957668908</v>
      </c>
      <c r="CD159" s="1206">
        <f>'2025'!R\Max</f>
        <v>0.69873646934438993</v>
      </c>
      <c r="CE159" s="1206">
        <f>'2026'!R\Max</f>
        <v>0.69871304020791392</v>
      </c>
      <c r="CF159" s="1207">
        <f>'2027'!R\Max</f>
        <v>0.69868689254204785</v>
      </c>
    </row>
    <row r="160" spans="1:84" s="6" customFormat="1" ht="11.25" x14ac:dyDescent="0.2">
      <c r="A160" s="11">
        <v>43246</v>
      </c>
      <c r="B160" s="379">
        <f>'2022'!Maxi_hp</f>
        <v>59.949871504131856</v>
      </c>
      <c r="C160" s="13">
        <f>'2022'!An_max</f>
        <v>2020</v>
      </c>
      <c r="D160" s="1053">
        <f t="shared" si="78"/>
        <v>0.99111331381697443</v>
      </c>
      <c r="E160" s="13"/>
      <c r="F160" s="13">
        <f t="shared" si="95"/>
        <v>11</v>
      </c>
      <c r="G160" s="13">
        <f t="shared" si="79"/>
        <v>12</v>
      </c>
      <c r="H160" s="172">
        <f t="shared" si="80"/>
        <v>43234</v>
      </c>
      <c r="I160" s="753">
        <f t="shared" si="81"/>
        <v>0.8571428571428571</v>
      </c>
      <c r="J160" s="746">
        <f t="shared" si="82"/>
        <v>60.487404082236552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46">
        <v>43246</v>
      </c>
      <c r="AP160" s="13">
        <f t="shared" si="83"/>
        <v>7</v>
      </c>
      <c r="AQ160" s="13">
        <f t="shared" si="84"/>
        <v>6</v>
      </c>
      <c r="AR160" s="172">
        <f t="shared" si="85"/>
        <v>43248</v>
      </c>
      <c r="AS160" s="753">
        <f t="shared" si="86"/>
        <v>7.1428571428571425E-2</v>
      </c>
      <c r="AT160" s="769">
        <f t="shared" si="87"/>
        <v>60.478953133683127</v>
      </c>
      <c r="AU160" s="13">
        <f t="shared" si="88"/>
        <v>7</v>
      </c>
      <c r="AV160" s="13">
        <f t="shared" si="89"/>
        <v>6</v>
      </c>
      <c r="AW160" s="172">
        <f t="shared" si="90"/>
        <v>43262</v>
      </c>
      <c r="AX160" s="753">
        <f t="shared" si="91"/>
        <v>0.5714285714285714</v>
      </c>
      <c r="AY160" s="769">
        <f t="shared" si="92"/>
        <v>60.452733528161687</v>
      </c>
      <c r="AZ160" s="746">
        <f t="shared" si="96"/>
        <v>60.465843330922411</v>
      </c>
      <c r="BA160" s="641">
        <f t="shared" si="93"/>
        <v>0.99111331381697443</v>
      </c>
      <c r="BC160" s="11">
        <v>43246</v>
      </c>
      <c r="BD160" s="289">
        <f>[2]!FeuilCaduc*(1-Persistant)+Persistant</f>
        <v>0.82326492944677909</v>
      </c>
      <c r="BE160" s="290">
        <f>[2]!CroissVégét</f>
        <v>0.34980380891459434</v>
      </c>
      <c r="BF160" s="819">
        <f>1+[2]!Salcycl*Ksac</f>
        <v>1.0279081161808474</v>
      </c>
      <c r="BH160" s="1044">
        <f t="shared" si="94"/>
        <v>1.4240967540970787E-2</v>
      </c>
      <c r="BI160" s="11">
        <v>44342</v>
      </c>
      <c r="BJ160" s="726">
        <v>1.2438872817901432E-3</v>
      </c>
      <c r="BK160" s="726">
        <v>3.0863742284543754E-3</v>
      </c>
      <c r="BL160" s="726">
        <v>5.3354877368349323E-3</v>
      </c>
      <c r="BM160" s="726">
        <v>8.2580812484082024E-3</v>
      </c>
      <c r="BN160" s="726">
        <v>1.1901527537315739E-2</v>
      </c>
      <c r="BO160" s="727">
        <v>1.6276146285368116E-2</v>
      </c>
      <c r="BP160" s="726">
        <v>2.1326044849881584E-2</v>
      </c>
      <c r="BQ160" s="726">
        <v>2.6939741540418935E-2</v>
      </c>
      <c r="BR160" s="726">
        <v>3.30436850696555E-2</v>
      </c>
      <c r="BS160" s="726">
        <v>3.9532478631979569E-2</v>
      </c>
      <c r="BT160" s="726">
        <v>4.6260513517192542E-2</v>
      </c>
      <c r="BW160" s="1208">
        <f>'2018'!R\Max</f>
        <v>0</v>
      </c>
      <c r="BX160" s="1206">
        <f>'2019'!R\Max</f>
        <v>0.41121184173164765</v>
      </c>
      <c r="BY160" s="1206">
        <f>'2020'!R\Max</f>
        <v>0.99111331381697443</v>
      </c>
      <c r="BZ160" s="1206">
        <f>'2021'!R\Max</f>
        <v>0.86013545345316333</v>
      </c>
      <c r="CA160" s="1206">
        <f>'2022'!R\Max</f>
        <v>0.37523696574983317</v>
      </c>
      <c r="CB160" s="1206">
        <f>'2023'!R\Max</f>
        <v>0.3752042672440673</v>
      </c>
      <c r="CC160" s="1206">
        <f>'2024'!R\Max</f>
        <v>0.37516971393915</v>
      </c>
      <c r="CD160" s="1206">
        <f>'2025'!R\Max</f>
        <v>0.37535764330224491</v>
      </c>
      <c r="CE160" s="1206">
        <f>'2026'!R\Max</f>
        <v>0.37533071946397434</v>
      </c>
      <c r="CF160" s="1207">
        <f>'2027'!R\Max</f>
        <v>0.3753006818639561</v>
      </c>
    </row>
    <row r="161" spans="1:84" s="6" customFormat="1" ht="11.25" x14ac:dyDescent="0.2">
      <c r="A161" s="11">
        <v>43247</v>
      </c>
      <c r="B161" s="379">
        <f>'2022'!Maxi_hp</f>
        <v>59.872524660282878</v>
      </c>
      <c r="C161" s="13">
        <f>'2022'!An_max</f>
        <v>2021</v>
      </c>
      <c r="D161" s="1053">
        <f t="shared" si="78"/>
        <v>0.9901077045338218</v>
      </c>
      <c r="E161" s="13"/>
      <c r="F161" s="13">
        <f t="shared" si="95"/>
        <v>11</v>
      </c>
      <c r="G161" s="13">
        <f t="shared" si="79"/>
        <v>12</v>
      </c>
      <c r="H161" s="172">
        <f t="shared" si="80"/>
        <v>43234</v>
      </c>
      <c r="I161" s="753">
        <f t="shared" si="81"/>
        <v>0.9285714285714286</v>
      </c>
      <c r="J161" s="746">
        <f t="shared" si="82"/>
        <v>60.470718878481009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46">
        <v>43247</v>
      </c>
      <c r="AP161" s="13">
        <f t="shared" si="83"/>
        <v>7</v>
      </c>
      <c r="AQ161" s="13">
        <f t="shared" si="84"/>
        <v>6</v>
      </c>
      <c r="AR161" s="172">
        <f t="shared" si="85"/>
        <v>43248</v>
      </c>
      <c r="AS161" s="753">
        <f t="shared" si="86"/>
        <v>3.5714285714285712E-2</v>
      </c>
      <c r="AT161" s="769">
        <f t="shared" si="87"/>
        <v>60.465111998109421</v>
      </c>
      <c r="AU161" s="13">
        <f t="shared" si="88"/>
        <v>7</v>
      </c>
      <c r="AV161" s="13">
        <f t="shared" si="89"/>
        <v>6</v>
      </c>
      <c r="AW161" s="172">
        <f t="shared" si="90"/>
        <v>43262</v>
      </c>
      <c r="AX161" s="753">
        <f t="shared" si="91"/>
        <v>0.5357142857142857</v>
      </c>
      <c r="AY161" s="769">
        <f t="shared" si="92"/>
        <v>60.428464140237438</v>
      </c>
      <c r="AZ161" s="746">
        <f t="shared" si="96"/>
        <v>60.446788069173429</v>
      </c>
      <c r="BA161" s="641">
        <f t="shared" si="93"/>
        <v>0.9901077045338218</v>
      </c>
      <c r="BC161" s="11">
        <v>43247</v>
      </c>
      <c r="BD161" s="289">
        <f>[2]!FeuilCaduc*(1-Persistant)+Persistant</f>
        <v>0.82900286973316695</v>
      </c>
      <c r="BE161" s="290">
        <f>[2]!CroissVégét</f>
        <v>0.35923310369654604</v>
      </c>
      <c r="BF161" s="819">
        <f>1+[2]!Salcycl*Ksac</f>
        <v>1.0286253587166458</v>
      </c>
      <c r="BH161" s="1044">
        <f t="shared" si="94"/>
        <v>1.4624733284467523E-2</v>
      </c>
      <c r="BI161" s="11">
        <v>44343</v>
      </c>
      <c r="BJ161" s="726">
        <v>1.266814672044568E-3</v>
      </c>
      <c r="BK161" s="726">
        <v>3.165572183285443E-3</v>
      </c>
      <c r="BL161" s="726">
        <v>5.4843004747203161E-3</v>
      </c>
      <c r="BM161" s="726">
        <v>8.4928596170564703E-3</v>
      </c>
      <c r="BN161" s="726">
        <v>1.2230513337112486E-2</v>
      </c>
      <c r="BO161" s="727">
        <v>1.6707567440785363E-2</v>
      </c>
      <c r="BP161" s="726">
        <v>2.1865427324756728E-2</v>
      </c>
      <c r="BQ161" s="726">
        <v>2.7594005535454148E-2</v>
      </c>
      <c r="BR161" s="726">
        <v>3.3816123594114914E-2</v>
      </c>
      <c r="BS161" s="726">
        <v>4.0427686062677562E-2</v>
      </c>
      <c r="BT161" s="726">
        <v>4.7279865066860362E-2</v>
      </c>
      <c r="BW161" s="1208">
        <f>'2018'!R\Max</f>
        <v>0</v>
      </c>
      <c r="BX161" s="1206">
        <f>'2019'!R\Max</f>
        <v>0.54323599145356216</v>
      </c>
      <c r="BY161" s="1206">
        <f>'2020'!R\Max</f>
        <v>0.97943268783646142</v>
      </c>
      <c r="BZ161" s="1206">
        <f>'2021'!R\Max</f>
        <v>0.9901077045338218</v>
      </c>
      <c r="CA161" s="1206">
        <f>'2022'!R\Max</f>
        <v>0.70208275989773006</v>
      </c>
      <c r="CB161" s="1206">
        <f>'2023'!R\Max</f>
        <v>0.70205272840663102</v>
      </c>
      <c r="CC161" s="1206">
        <f>'2024'!R\Max</f>
        <v>0.70202103620300715</v>
      </c>
      <c r="CD161" s="1206">
        <f>'2025'!R\Max</f>
        <v>0.70219360606797243</v>
      </c>
      <c r="CE161" s="1206">
        <f>'2026'!R\Max</f>
        <v>0.70216885141566077</v>
      </c>
      <c r="CF161" s="1207">
        <f>'2027'!R\Max</f>
        <v>0.70214123870341305</v>
      </c>
    </row>
    <row r="162" spans="1:84" s="6" customFormat="1" ht="11.25" x14ac:dyDescent="0.2">
      <c r="A162" s="11">
        <v>43248</v>
      </c>
      <c r="B162" s="379">
        <f>'2022'!Maxi_hp</f>
        <v>58.893102499621982</v>
      </c>
      <c r="C162" s="13">
        <f>'2022'!An_max</f>
        <v>2020</v>
      </c>
      <c r="D162" s="1053">
        <f t="shared" si="78"/>
        <v>0.97422875550610188</v>
      </c>
      <c r="E162" s="1048">
        <f>X$13/10</f>
        <v>60.451000000000001</v>
      </c>
      <c r="F162" s="13">
        <f t="shared" si="95"/>
        <v>13</v>
      </c>
      <c r="G162" s="13">
        <f t="shared" si="79"/>
        <v>12</v>
      </c>
      <c r="H162" s="172">
        <f t="shared" si="80"/>
        <v>43262</v>
      </c>
      <c r="I162" s="753">
        <f t="shared" si="81"/>
        <v>1</v>
      </c>
      <c r="J162" s="746">
        <f t="shared" si="82"/>
        <v>60.451000000536439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46">
        <v>43248</v>
      </c>
      <c r="AP162" s="13">
        <f t="shared" si="83"/>
        <v>7</v>
      </c>
      <c r="AQ162" s="13">
        <f t="shared" si="84"/>
        <v>8</v>
      </c>
      <c r="AR162" s="172">
        <f t="shared" si="85"/>
        <v>43248</v>
      </c>
      <c r="AS162" s="753">
        <f t="shared" si="86"/>
        <v>0</v>
      </c>
      <c r="AT162" s="769">
        <f t="shared" si="87"/>
        <v>60.450999999418855</v>
      </c>
      <c r="AU162" s="13">
        <f t="shared" si="88"/>
        <v>7</v>
      </c>
      <c r="AV162" s="13">
        <f t="shared" si="89"/>
        <v>6</v>
      </c>
      <c r="AW162" s="172">
        <f t="shared" si="90"/>
        <v>43262</v>
      </c>
      <c r="AX162" s="753">
        <f t="shared" si="91"/>
        <v>0.5</v>
      </c>
      <c r="AY162" s="769">
        <f t="shared" si="92"/>
        <v>60.401449999772012</v>
      </c>
      <c r="AZ162" s="746">
        <f t="shared" si="96"/>
        <v>60.426224999595433</v>
      </c>
      <c r="BA162" s="641">
        <f t="shared" si="93"/>
        <v>0.97422875550610188</v>
      </c>
      <c r="BC162" s="11">
        <v>43248</v>
      </c>
      <c r="BD162" s="289">
        <f>[2]!FeuilCaduc*(1-Persistant)+Persistant</f>
        <v>0.83472470425689438</v>
      </c>
      <c r="BE162" s="290">
        <f>[2]!CroissVégét</f>
        <v>0.3687715084596308</v>
      </c>
      <c r="BF162" s="819">
        <f>1+[2]!Salcycl*Ksac</f>
        <v>1.0293405880321118</v>
      </c>
      <c r="BH162" s="1044">
        <f t="shared" si="94"/>
        <v>1.5002747324103255E-2</v>
      </c>
      <c r="BI162" s="11">
        <v>44344</v>
      </c>
      <c r="BJ162" s="726">
        <v>1.2905615461013501E-3</v>
      </c>
      <c r="BK162" s="726">
        <v>3.2438891984409171E-3</v>
      </c>
      <c r="BL162" s="726">
        <v>5.6306350860473092E-3</v>
      </c>
      <c r="BM162" s="726">
        <v>8.7239168405653551E-3</v>
      </c>
      <c r="BN162" s="726">
        <v>1.2554526776153723E-2</v>
      </c>
      <c r="BO162" s="727">
        <v>1.7132558908499143E-2</v>
      </c>
      <c r="BP162" s="726">
        <v>2.2396426816100587E-2</v>
      </c>
      <c r="BQ162" s="726">
        <v>2.8237363542867735E-2</v>
      </c>
      <c r="BR162" s="726">
        <v>3.4574937153656643E-2</v>
      </c>
      <c r="BS162" s="726">
        <v>4.1306086768623344E-2</v>
      </c>
      <c r="BT162" s="726">
        <v>4.8279084378431196E-2</v>
      </c>
      <c r="BW162" s="1208">
        <f>'2018'!R\Max</f>
        <v>0</v>
      </c>
      <c r="BX162" s="1206">
        <f>'2019'!R\Max</f>
        <v>0.45305865495842113</v>
      </c>
      <c r="BY162" s="1206">
        <f>'2020'!R\Max</f>
        <v>0.97422875550610188</v>
      </c>
      <c r="BZ162" s="1206">
        <f>'2021'!R\Max</f>
        <v>0.70153429514419807</v>
      </c>
      <c r="CA162" s="1206">
        <f>'2022'!R\Max</f>
        <v>0.90917776020128993</v>
      </c>
      <c r="CB162" s="1206">
        <f>'2023'!R\Max</f>
        <v>0.90916556619642175</v>
      </c>
      <c r="CC162" s="1206">
        <f>'2024'!R\Max</f>
        <v>0.90915271570351497</v>
      </c>
      <c r="CD162" s="1206">
        <f>'2025'!R\Max</f>
        <v>0.90922277635390936</v>
      </c>
      <c r="CE162" s="1206">
        <f>'2026'!R\Max</f>
        <v>0.9092127130523302</v>
      </c>
      <c r="CF162" s="1207">
        <f>'2027'!R\Max</f>
        <v>0.90920149009070295</v>
      </c>
    </row>
    <row r="163" spans="1:84" s="6" customFormat="1" ht="11.25" x14ac:dyDescent="0.2">
      <c r="A163" s="11">
        <v>43249</v>
      </c>
      <c r="B163" s="379">
        <f>'2022'!Maxi_hp</f>
        <v>60.005838604518864</v>
      </c>
      <c r="C163" s="13">
        <f>'2022'!An_max</f>
        <v>2022</v>
      </c>
      <c r="D163" s="1053">
        <f t="shared" si="78"/>
        <v>0.9930251758361015</v>
      </c>
      <c r="E163" s="13"/>
      <c r="F163" s="13">
        <f t="shared" si="95"/>
        <v>13</v>
      </c>
      <c r="G163" s="13">
        <f t="shared" si="79"/>
        <v>12</v>
      </c>
      <c r="H163" s="172">
        <f t="shared" si="80"/>
        <v>43262</v>
      </c>
      <c r="I163" s="753">
        <f t="shared" si="81"/>
        <v>0.9285714285714286</v>
      </c>
      <c r="J163" s="746">
        <f t="shared" si="82"/>
        <v>60.427308455694991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46">
        <v>43249</v>
      </c>
      <c r="AP163" s="13">
        <f t="shared" si="83"/>
        <v>7</v>
      </c>
      <c r="AQ163" s="13">
        <f t="shared" si="84"/>
        <v>8</v>
      </c>
      <c r="AR163" s="172">
        <f t="shared" si="85"/>
        <v>43248</v>
      </c>
      <c r="AS163" s="753">
        <f t="shared" si="86"/>
        <v>3.5714285714285712E-2</v>
      </c>
      <c r="AT163" s="769">
        <f t="shared" si="87"/>
        <v>60.434786550118602</v>
      </c>
      <c r="AU163" s="13">
        <f t="shared" si="88"/>
        <v>7</v>
      </c>
      <c r="AV163" s="13">
        <f t="shared" si="89"/>
        <v>6</v>
      </c>
      <c r="AW163" s="172">
        <f t="shared" si="90"/>
        <v>43262</v>
      </c>
      <c r="AX163" s="753">
        <f t="shared" si="91"/>
        <v>0.4642857142857143</v>
      </c>
      <c r="AY163" s="769">
        <f t="shared" si="92"/>
        <v>60.371907798806205</v>
      </c>
      <c r="AZ163" s="746">
        <f t="shared" si="96"/>
        <v>60.403347174462404</v>
      </c>
      <c r="BA163" s="641">
        <f t="shared" si="93"/>
        <v>0.9930251758361015</v>
      </c>
      <c r="BC163" s="11">
        <v>43249</v>
      </c>
      <c r="BD163" s="289">
        <f>[2]!FeuilCaduc*(1-Persistant)+Persistant</f>
        <v>0.84042338031617936</v>
      </c>
      <c r="BE163" s="290">
        <f>[2]!CroissVégét</f>
        <v>0.37841273812207477</v>
      </c>
      <c r="BF163" s="819">
        <f>1+[2]!Salcycl*Ksac</f>
        <v>1.0300529225395225</v>
      </c>
      <c r="BH163" s="1044">
        <f t="shared" si="94"/>
        <v>1.5375020196175426E-2</v>
      </c>
      <c r="BI163" s="11">
        <v>44345</v>
      </c>
      <c r="BJ163" s="726">
        <v>1.3151270927894455E-3</v>
      </c>
      <c r="BK163" s="726">
        <v>3.3213271262407737E-3</v>
      </c>
      <c r="BL163" s="726">
        <v>5.7744958300419069E-3</v>
      </c>
      <c r="BM163" s="726">
        <v>8.951259115942696E-3</v>
      </c>
      <c r="BN163" s="726">
        <v>1.2873576559562271E-2</v>
      </c>
      <c r="BO163" s="727">
        <v>1.7551132817823882E-2</v>
      </c>
      <c r="BP163" s="726">
        <v>2.2919060330511901E-2</v>
      </c>
      <c r="BQ163" s="726">
        <v>2.8869838815150047E-2</v>
      </c>
      <c r="BR163" s="726">
        <v>3.5320156059395286E-2</v>
      </c>
      <c r="BS163" s="726">
        <v>4.2167719183554171E-2</v>
      </c>
      <c r="BT163" s="726">
        <v>4.9258218496132627E-2</v>
      </c>
      <c r="BW163" s="1208">
        <f>'2018'!R\Max</f>
        <v>0</v>
      </c>
      <c r="BX163" s="1206">
        <f>'2019'!R\Max</f>
        <v>0.64182902271358599</v>
      </c>
      <c r="BY163" s="1206">
        <f>'2020'!R\Max</f>
        <v>0.98285682096902172</v>
      </c>
      <c r="BZ163" s="1206">
        <f>'2021'!R\Max</f>
        <v>0.61499549018215793</v>
      </c>
      <c r="CA163" s="1206">
        <f>'2022'!R\Max</f>
        <v>0.9930251758361015</v>
      </c>
      <c r="CB163" s="1206">
        <f>'2023'!R\Max</f>
        <v>0.99302412470358625</v>
      </c>
      <c r="CC163" s="1206">
        <f>'2024'!R\Max</f>
        <v>0.99302301855912656</v>
      </c>
      <c r="CD163" s="1206">
        <f>'2025'!R\Max</f>
        <v>0.99302905730191227</v>
      </c>
      <c r="CE163" s="1206">
        <f>'2026'!R\Max</f>
        <v>0.99302818870566434</v>
      </c>
      <c r="CF163" s="1207">
        <f>'2027'!R\Max</f>
        <v>0.99302722023308965</v>
      </c>
    </row>
    <row r="164" spans="1:84" s="6" customFormat="1" ht="11.25" x14ac:dyDescent="0.2">
      <c r="A164" s="11">
        <v>43250</v>
      </c>
      <c r="B164" s="379">
        <f>'2022'!Maxi_hp</f>
        <v>59.235447555070827</v>
      </c>
      <c r="C164" s="13">
        <f>'2022'!An_max</f>
        <v>2019</v>
      </c>
      <c r="D164" s="1053">
        <f t="shared" si="78"/>
        <v>0.98073566240195742</v>
      </c>
      <c r="E164" s="13"/>
      <c r="F164" s="13">
        <f t="shared" si="95"/>
        <v>13</v>
      </c>
      <c r="G164" s="13">
        <f t="shared" si="79"/>
        <v>12</v>
      </c>
      <c r="H164" s="172">
        <f t="shared" si="80"/>
        <v>43262</v>
      </c>
      <c r="I164" s="753">
        <f t="shared" si="81"/>
        <v>0.8571428571428571</v>
      </c>
      <c r="J164" s="746">
        <f t="shared" si="82"/>
        <v>60.398994169331026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46">
        <v>43250</v>
      </c>
      <c r="AP164" s="13">
        <f t="shared" si="83"/>
        <v>7</v>
      </c>
      <c r="AQ164" s="13">
        <f t="shared" si="84"/>
        <v>8</v>
      </c>
      <c r="AR164" s="172">
        <f t="shared" si="85"/>
        <v>43248</v>
      </c>
      <c r="AS164" s="753">
        <f t="shared" si="86"/>
        <v>7.1428571428571425E-2</v>
      </c>
      <c r="AT164" s="769">
        <f t="shared" si="87"/>
        <v>60.414577860358577</v>
      </c>
      <c r="AU164" s="13">
        <f t="shared" si="88"/>
        <v>7</v>
      </c>
      <c r="AV164" s="13">
        <f t="shared" si="89"/>
        <v>6</v>
      </c>
      <c r="AW164" s="172">
        <f t="shared" si="90"/>
        <v>43262</v>
      </c>
      <c r="AX164" s="753">
        <f t="shared" si="91"/>
        <v>0.42857142857142855</v>
      </c>
      <c r="AY164" s="769">
        <f t="shared" si="92"/>
        <v>60.340054227305316</v>
      </c>
      <c r="AZ164" s="746">
        <f t="shared" si="96"/>
        <v>60.377316043831947</v>
      </c>
      <c r="BA164" s="641">
        <f t="shared" si="93"/>
        <v>0.98073566240195742</v>
      </c>
      <c r="BC164" s="11">
        <v>43250</v>
      </c>
      <c r="BD164" s="289">
        <f>[2]!FeuilCaduc*(1-Persistant)+Persistant</f>
        <v>0.84609183888690254</v>
      </c>
      <c r="BE164" s="290">
        <f>[2]!CroissVégét</f>
        <v>0.38815019600224987</v>
      </c>
      <c r="BF164" s="819">
        <f>1+[2]!Salcycl*Ksac</f>
        <v>1.0307614798608629</v>
      </c>
      <c r="BH164" s="1044">
        <f t="shared" si="94"/>
        <v>1.5735495798190335E-2</v>
      </c>
      <c r="BI164" s="11">
        <v>44346</v>
      </c>
      <c r="BJ164" s="726">
        <v>1.3399149717409568E-3</v>
      </c>
      <c r="BK164" s="726">
        <v>3.3966686511536504E-3</v>
      </c>
      <c r="BL164" s="726">
        <v>5.9138152888844825E-3</v>
      </c>
      <c r="BM164" s="726">
        <v>9.1714737053488014E-3</v>
      </c>
      <c r="BN164" s="726">
        <v>1.3182607968020794E-2</v>
      </c>
      <c r="BO164" s="727">
        <v>1.7956361920285498E-2</v>
      </c>
      <c r="BP164" s="726">
        <v>2.3424487766398033E-2</v>
      </c>
      <c r="BQ164" s="726">
        <v>2.9480754070222367E-2</v>
      </c>
      <c r="BR164" s="726">
        <v>3.6039185079235647E-2</v>
      </c>
      <c r="BS164" s="726">
        <v>4.299803279231925E-2</v>
      </c>
      <c r="BT164" s="726">
        <v>5.0200693819698827E-2</v>
      </c>
      <c r="BW164" s="1208">
        <f>'2018'!R\Max</f>
        <v>0</v>
      </c>
      <c r="BX164" s="1206">
        <f>'2019'!R\Max</f>
        <v>0.98073566240195742</v>
      </c>
      <c r="BY164" s="1206">
        <f>'2020'!R\Max</f>
        <v>0.92548559701972344</v>
      </c>
      <c r="BZ164" s="1206">
        <f>'2021'!R\Max</f>
        <v>0.84487198772472916</v>
      </c>
      <c r="CA164" s="1206">
        <f>'2022'!R\Max</f>
        <v>0.8480084580002899</v>
      </c>
      <c r="CB164" s="1206">
        <f>'2023'!R\Max</f>
        <v>0.84798837835172458</v>
      </c>
      <c r="CC164" s="1206">
        <f>'2024'!R\Max</f>
        <v>0.84796727901659918</v>
      </c>
      <c r="CD164" s="1206">
        <f>'2025'!R\Max</f>
        <v>0.84808263525884131</v>
      </c>
      <c r="CE164" s="1206">
        <f>'2026'!R\Max</f>
        <v>0.84806601769491619</v>
      </c>
      <c r="CF164" s="1207">
        <f>'2027'!R\Max</f>
        <v>0.84804749405295499</v>
      </c>
    </row>
    <row r="165" spans="1:84" s="6" customFormat="1" ht="11.25" x14ac:dyDescent="0.2">
      <c r="A165" s="11">
        <v>43251</v>
      </c>
      <c r="B165" s="379">
        <f>'2022'!Maxi_hp</f>
        <v>60.201047487090179</v>
      </c>
      <c r="C165" s="13">
        <f>'2022'!An_max</f>
        <v>2019</v>
      </c>
      <c r="D165" s="1053">
        <f t="shared" si="78"/>
        <v>0.99725935635974872</v>
      </c>
      <c r="E165" s="13"/>
      <c r="F165" s="13">
        <f t="shared" si="95"/>
        <v>13</v>
      </c>
      <c r="G165" s="13">
        <f t="shared" si="79"/>
        <v>12</v>
      </c>
      <c r="H165" s="172">
        <f t="shared" si="80"/>
        <v>43262</v>
      </c>
      <c r="I165" s="753">
        <f t="shared" si="81"/>
        <v>0.7857142857142857</v>
      </c>
      <c r="J165" s="746">
        <f t="shared" si="82"/>
        <v>60.366490525432994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46">
        <v>43251</v>
      </c>
      <c r="AP165" s="13">
        <f t="shared" si="83"/>
        <v>7</v>
      </c>
      <c r="AQ165" s="13">
        <f t="shared" si="84"/>
        <v>8</v>
      </c>
      <c r="AR165" s="172">
        <f t="shared" si="85"/>
        <v>43248</v>
      </c>
      <c r="AS165" s="753">
        <f t="shared" si="86"/>
        <v>0.10714285714285714</v>
      </c>
      <c r="AT165" s="769">
        <f t="shared" si="87"/>
        <v>60.390549992976176</v>
      </c>
      <c r="AU165" s="13">
        <f t="shared" si="88"/>
        <v>7</v>
      </c>
      <c r="AV165" s="13">
        <f t="shared" si="89"/>
        <v>6</v>
      </c>
      <c r="AW165" s="172">
        <f t="shared" si="90"/>
        <v>43262</v>
      </c>
      <c r="AX165" s="753">
        <f t="shared" si="91"/>
        <v>0.39285714285714285</v>
      </c>
      <c r="AY165" s="769">
        <f t="shared" si="92"/>
        <v>60.306105976851129</v>
      </c>
      <c r="AZ165" s="746">
        <f t="shared" si="96"/>
        <v>60.348327984913652</v>
      </c>
      <c r="BA165" s="641">
        <f t="shared" si="93"/>
        <v>0.99725935635974872</v>
      </c>
      <c r="BC165" s="11">
        <v>43251</v>
      </c>
      <c r="BD165" s="289">
        <f>[2]!FeuilCaduc*(1-Persistant)+Persistant</f>
        <v>0.85172303987820552</v>
      </c>
      <c r="BE165" s="290">
        <f>[2]!CroissVégét</f>
        <v>0.3979769891015032</v>
      </c>
      <c r="BF165" s="819">
        <f>1+[2]!Salcycl*Ksac</f>
        <v>1.0314653799847757</v>
      </c>
      <c r="BH165" s="1044">
        <f t="shared" si="94"/>
        <v>1.6085183675244929E-2</v>
      </c>
      <c r="BI165" s="11">
        <v>44347</v>
      </c>
      <c r="BJ165" s="726">
        <v>1.3642699835510902E-3</v>
      </c>
      <c r="BK165" s="726">
        <v>3.469613529238236E-3</v>
      </c>
      <c r="BL165" s="726">
        <v>6.0487242339750712E-3</v>
      </c>
      <c r="BM165" s="726">
        <v>9.3851406184740013E-3</v>
      </c>
      <c r="BN165" s="726">
        <v>1.3482499820440717E-2</v>
      </c>
      <c r="BO165" s="727">
        <v>1.834936948527123E-2</v>
      </c>
      <c r="BP165" s="726">
        <v>2.3914125803644062E-2</v>
      </c>
      <c r="BQ165" s="726">
        <v>3.0072118099201954E-2</v>
      </c>
      <c r="BR165" s="726">
        <v>3.6734793405633265E-2</v>
      </c>
      <c r="BS165" s="726">
        <v>4.3800820517147142E-2</v>
      </c>
      <c r="BT165" s="726">
        <v>5.1111409115742502E-2</v>
      </c>
      <c r="BW165" s="1208">
        <f>'2018'!R\Max</f>
        <v>0</v>
      </c>
      <c r="BX165" s="1206">
        <f>'2019'!R\Max</f>
        <v>0.99725935635974872</v>
      </c>
      <c r="BY165" s="1206">
        <f>'2020'!R\Max</f>
        <v>0.99149461087669888</v>
      </c>
      <c r="BZ165" s="1206">
        <f>'2021'!R\Max</f>
        <v>0.94320389109768599</v>
      </c>
      <c r="CA165" s="1206">
        <f>'2022'!R\Max</f>
        <v>0.94505177493334225</v>
      </c>
      <c r="CB165" s="1206">
        <f>'2023'!R\Max</f>
        <v>0.94504347809566158</v>
      </c>
      <c r="CC165" s="1206">
        <f>'2024'!R\Max</f>
        <v>0.94503477179493289</v>
      </c>
      <c r="CD165" s="1206">
        <f>'2025'!R\Max</f>
        <v>0.94508243035351192</v>
      </c>
      <c r="CE165" s="1206">
        <f>'2026'!R\Max</f>
        <v>0.94507555628346529</v>
      </c>
      <c r="CF165" s="1207">
        <f>'2027'!R\Max</f>
        <v>0.94506789496929322</v>
      </c>
    </row>
    <row r="166" spans="1:84" s="6" customFormat="1" ht="11.25" x14ac:dyDescent="0.2">
      <c r="A166" s="11">
        <v>43252</v>
      </c>
      <c r="B166" s="379">
        <f>'2022'!Maxi_hp</f>
        <v>61.029409506694016</v>
      </c>
      <c r="C166" s="13">
        <f>'2022'!An_max</f>
        <v>2019</v>
      </c>
      <c r="D166" s="1053">
        <f t="shared" si="78"/>
        <v>1.0115891915483697</v>
      </c>
      <c r="E166" s="13"/>
      <c r="F166" s="13">
        <f t="shared" si="95"/>
        <v>13</v>
      </c>
      <c r="G166" s="13">
        <f t="shared" si="79"/>
        <v>12</v>
      </c>
      <c r="H166" s="172">
        <f t="shared" si="80"/>
        <v>43262</v>
      </c>
      <c r="I166" s="753">
        <f t="shared" si="81"/>
        <v>0.7142857142857143</v>
      </c>
      <c r="J166" s="746">
        <f t="shared" si="82"/>
        <v>60.330230904583424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46">
        <v>43252</v>
      </c>
      <c r="AP166" s="13">
        <f t="shared" si="83"/>
        <v>7</v>
      </c>
      <c r="AQ166" s="13">
        <f t="shared" si="84"/>
        <v>8</v>
      </c>
      <c r="AR166" s="172">
        <f t="shared" si="85"/>
        <v>43248</v>
      </c>
      <c r="AS166" s="753">
        <f t="shared" si="86"/>
        <v>0.14285714285714285</v>
      </c>
      <c r="AT166" s="769">
        <f t="shared" si="87"/>
        <v>60.362879008041432</v>
      </c>
      <c r="AU166" s="13">
        <f t="shared" si="88"/>
        <v>7</v>
      </c>
      <c r="AV166" s="13">
        <f t="shared" si="89"/>
        <v>6</v>
      </c>
      <c r="AW166" s="172">
        <f t="shared" si="90"/>
        <v>43262</v>
      </c>
      <c r="AX166" s="753">
        <f t="shared" si="91"/>
        <v>0.35714285714285715</v>
      </c>
      <c r="AY166" s="769">
        <f t="shared" si="92"/>
        <v>60.270279737615148</v>
      </c>
      <c r="AZ166" s="746">
        <f t="shared" si="96"/>
        <v>60.316579372828286</v>
      </c>
      <c r="BA166" s="641">
        <f t="shared" si="93"/>
        <v>1.0115891915483697</v>
      </c>
      <c r="BC166" s="11">
        <v>43252</v>
      </c>
      <c r="BD166" s="289">
        <f>[2]!FeuilCaduc*(1-Persistant)+Persistant</f>
        <v>0.85730998785886836</v>
      </c>
      <c r="BE166" s="290">
        <f>[2]!CroissVégét</f>
        <v>0.4078859452556679</v>
      </c>
      <c r="BF166" s="819">
        <f>1+[2]!Salcycl*Ksac</f>
        <v>1.0321637484823585</v>
      </c>
      <c r="BH166" s="1044">
        <f t="shared" si="94"/>
        <v>1.6424110973281253E-2</v>
      </c>
      <c r="BI166" s="11">
        <v>44348</v>
      </c>
      <c r="BJ166" s="726">
        <v>1.3881937799536399E-3</v>
      </c>
      <c r="BK166" s="726">
        <v>3.5401678287719398E-3</v>
      </c>
      <c r="BL166" s="726">
        <v>6.1792333685535767E-3</v>
      </c>
      <c r="BM166" s="726">
        <v>9.5922757858621244E-3</v>
      </c>
      <c r="BN166" s="726">
        <v>1.3773274793003002E-2</v>
      </c>
      <c r="BO166" s="727">
        <v>1.8730186547159144E-2</v>
      </c>
      <c r="BP166" s="726">
        <v>2.4388015469701447E-2</v>
      </c>
      <c r="BQ166" s="726">
        <v>3.0643982851645719E-2</v>
      </c>
      <c r="BR166" s="726">
        <v>3.7407044666477672E-2</v>
      </c>
      <c r="BS166" s="726">
        <v>4.457615849715213E-2</v>
      </c>
      <c r="BT166" s="726">
        <v>5.1990453552813926E-2</v>
      </c>
      <c r="BW166" s="1208">
        <f>'2018'!R\Max</f>
        <v>0</v>
      </c>
      <c r="BX166" s="1206">
        <f>'2019'!R\Max</f>
        <v>1.0115891915483697</v>
      </c>
      <c r="BY166" s="1206">
        <f>'2020'!R\Max</f>
        <v>0.99095535590344863</v>
      </c>
      <c r="BZ166" s="1206">
        <f>'2021'!R\Max</f>
        <v>0.58489053849109307</v>
      </c>
      <c r="CA166" s="1206">
        <f>'2022'!R\Max</f>
        <v>0.95299155992452489</v>
      </c>
      <c r="CB166" s="1206">
        <f>'2023'!R\Max</f>
        <v>0.95298422626926704</v>
      </c>
      <c r="CC166" s="1206">
        <f>'2024'!R\Max</f>
        <v>0.95297654110681451</v>
      </c>
      <c r="CD166" s="1206">
        <f>'2025'!R\Max</f>
        <v>0.95301866215265563</v>
      </c>
      <c r="CE166" s="1206">
        <f>'2026'!R\Max</f>
        <v>0.95301257907297243</v>
      </c>
      <c r="CF166" s="1207">
        <f>'2027'!R\Max</f>
        <v>0.95300580043381034</v>
      </c>
    </row>
    <row r="167" spans="1:84" s="6" customFormat="1" ht="11.25" x14ac:dyDescent="0.2">
      <c r="A167" s="11">
        <v>43253</v>
      </c>
      <c r="B167" s="379">
        <f>'2022'!Maxi_hp</f>
        <v>60.469553797129123</v>
      </c>
      <c r="C167" s="13">
        <f>'2022'!An_max</f>
        <v>2019</v>
      </c>
      <c r="D167" s="1053">
        <f t="shared" si="78"/>
        <v>1.0029673774080281</v>
      </c>
      <c r="E167" s="13"/>
      <c r="F167" s="13">
        <f t="shared" si="95"/>
        <v>13</v>
      </c>
      <c r="G167" s="13">
        <f t="shared" si="79"/>
        <v>12</v>
      </c>
      <c r="H167" s="172">
        <f t="shared" si="80"/>
        <v>43262</v>
      </c>
      <c r="I167" s="753">
        <f t="shared" si="81"/>
        <v>0.6428571428571429</v>
      </c>
      <c r="J167" s="746">
        <f t="shared" si="82"/>
        <v>60.290648688296116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46">
        <v>43253</v>
      </c>
      <c r="AP167" s="13">
        <f t="shared" si="83"/>
        <v>7</v>
      </c>
      <c r="AQ167" s="13">
        <f t="shared" si="84"/>
        <v>8</v>
      </c>
      <c r="AR167" s="172">
        <f t="shared" si="85"/>
        <v>43248</v>
      </c>
      <c r="AS167" s="753">
        <f t="shared" si="86"/>
        <v>0.17857142857142858</v>
      </c>
      <c r="AT167" s="769">
        <f t="shared" si="87"/>
        <v>60.331740968574636</v>
      </c>
      <c r="AU167" s="13">
        <f t="shared" si="88"/>
        <v>7</v>
      </c>
      <c r="AV167" s="13">
        <f t="shared" si="89"/>
        <v>6</v>
      </c>
      <c r="AW167" s="172">
        <f t="shared" si="90"/>
        <v>43262</v>
      </c>
      <c r="AX167" s="753">
        <f t="shared" si="91"/>
        <v>0.32142857142857145</v>
      </c>
      <c r="AY167" s="769">
        <f t="shared" si="92"/>
        <v>60.232792201365484</v>
      </c>
      <c r="AZ167" s="746">
        <f t="shared" si="96"/>
        <v>60.28226658497006</v>
      </c>
      <c r="BA167" s="641">
        <f t="shared" si="93"/>
        <v>1.0029673774080281</v>
      </c>
      <c r="BC167" s="11">
        <v>43253</v>
      </c>
      <c r="BD167" s="289">
        <f>[2]!FeuilCaduc*(1-Persistant)+Persistant</f>
        <v>0.86284575809894726</v>
      </c>
      <c r="BE167" s="290">
        <f>[2]!CroissVégét</f>
        <v>0.41786963208449301</v>
      </c>
      <c r="BF167" s="819">
        <f>1+[2]!Salcycl*Ksac</f>
        <v>1.0328557197623685</v>
      </c>
      <c r="BH167" s="1044">
        <f t="shared" si="94"/>
        <v>1.6752307395956106E-2</v>
      </c>
      <c r="BI167" s="11">
        <v>44349</v>
      </c>
      <c r="BJ167" s="726">
        <v>1.4116881720011604E-3</v>
      </c>
      <c r="BK167" s="726">
        <v>3.6083381607592332E-3</v>
      </c>
      <c r="BL167" s="726">
        <v>6.30535439739471E-3</v>
      </c>
      <c r="BM167" s="726">
        <v>9.7928966971459301E-3</v>
      </c>
      <c r="BN167" s="726">
        <v>1.4054957747813469E-2</v>
      </c>
      <c r="BO167" s="727">
        <v>1.9098847021477936E-2</v>
      </c>
      <c r="BP167" s="726">
        <v>2.484620141838274E-2</v>
      </c>
      <c r="BQ167" s="726">
        <v>3.1196404689049322E-2</v>
      </c>
      <c r="BR167" s="726">
        <v>3.8056007708347689E-2</v>
      </c>
      <c r="BS167" s="726">
        <v>4.5324128927842142E-2</v>
      </c>
      <c r="BT167" s="726">
        <v>5.2837923205985828E-2</v>
      </c>
      <c r="BW167" s="1208">
        <f>'2018'!R\Max</f>
        <v>0</v>
      </c>
      <c r="BX167" s="1206">
        <f>'2019'!R\Max</f>
        <v>1.0029673774080281</v>
      </c>
      <c r="BY167" s="1206">
        <f>'2020'!R\Max</f>
        <v>0.4865265669770657</v>
      </c>
      <c r="BZ167" s="1206">
        <f>'2021'!R\Max</f>
        <v>0.6233014447614319</v>
      </c>
      <c r="CA167" s="1206">
        <f>'2022'!R\Max</f>
        <v>0.7499383334369436</v>
      </c>
      <c r="CB167" s="1206">
        <f>'2023'!R\Max</f>
        <v>0.74990690892118184</v>
      </c>
      <c r="CC167" s="1206">
        <f>'2024'!R\Max</f>
        <v>0.74987402409711579</v>
      </c>
      <c r="CD167" s="1206">
        <f>'2025'!R\Max</f>
        <v>0.75005450449702304</v>
      </c>
      <c r="CE167" s="1206">
        <f>'2026'!R\Max</f>
        <v>0.75002840340578236</v>
      </c>
      <c r="CF167" s="1207">
        <f>'2027'!R\Max</f>
        <v>0.74999932381743351</v>
      </c>
    </row>
    <row r="168" spans="1:84" s="6" customFormat="1" ht="11.25" x14ac:dyDescent="0.2">
      <c r="A168" s="11">
        <v>43254</v>
      </c>
      <c r="B168" s="379">
        <f>'2022'!Maxi_hp</f>
        <v>57.408695514870161</v>
      </c>
      <c r="C168" s="13">
        <f>'2022'!An_max</f>
        <v>2020</v>
      </c>
      <c r="D168" s="1053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2">
        <f t="shared" si="80"/>
        <v>43262</v>
      </c>
      <c r="I168" s="753">
        <f t="shared" si="81"/>
        <v>0.5714285714285714</v>
      </c>
      <c r="J168" s="746">
        <f t="shared" si="82"/>
        <v>60.248177260213666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46">
        <v>43254</v>
      </c>
      <c r="AP168" s="13">
        <f t="shared" si="83"/>
        <v>7</v>
      </c>
      <c r="AQ168" s="13">
        <f t="shared" si="84"/>
        <v>8</v>
      </c>
      <c r="AR168" s="172">
        <f t="shared" si="85"/>
        <v>43248</v>
      </c>
      <c r="AS168" s="753">
        <f t="shared" si="86"/>
        <v>0.21428571428571427</v>
      </c>
      <c r="AT168" s="769">
        <f t="shared" si="87"/>
        <v>60.297311934409663</v>
      </c>
      <c r="AU168" s="13">
        <f t="shared" si="88"/>
        <v>7</v>
      </c>
      <c r="AV168" s="13">
        <f t="shared" si="89"/>
        <v>6</v>
      </c>
      <c r="AW168" s="172">
        <f t="shared" si="90"/>
        <v>43262</v>
      </c>
      <c r="AX168" s="753">
        <f t="shared" si="91"/>
        <v>0.2857142857142857</v>
      </c>
      <c r="AY168" s="769">
        <f t="shared" si="92"/>
        <v>60.193860058246983</v>
      </c>
      <c r="AZ168" s="746">
        <f t="shared" si="96"/>
        <v>60.245585996328323</v>
      </c>
      <c r="BA168" s="641">
        <f t="shared" si="93"/>
        <v>0.952870246462732</v>
      </c>
      <c r="BC168" s="11">
        <v>43254</v>
      </c>
      <c r="BD168" s="289">
        <f>[2]!FeuilCaduc*(1-Persistant)+Persistant</f>
        <v>0.86832352276463809</v>
      </c>
      <c r="BE168" s="290">
        <f>[2]!CroissVégét</f>
        <v>0.42792037764903684</v>
      </c>
      <c r="BF168" s="819">
        <f>1+[2]!Salcycl*Ksac</f>
        <v>1.0335404403455797</v>
      </c>
      <c r="BH168" s="1044">
        <f t="shared" si="94"/>
        <v>1.7069805067304818E-2</v>
      </c>
      <c r="BI168" s="11">
        <v>44350</v>
      </c>
      <c r="BJ168" s="726">
        <v>1.4347551248330888E-3</v>
      </c>
      <c r="BK168" s="726">
        <v>3.6741316483299485E-3</v>
      </c>
      <c r="BL168" s="726">
        <v>6.4270999704465455E-3</v>
      </c>
      <c r="BM168" s="726">
        <v>9.9870223176491465E-3</v>
      </c>
      <c r="BN168" s="726">
        <v>1.4327575616580955E-2</v>
      </c>
      <c r="BO168" s="727">
        <v>1.9455387549289462E-2</v>
      </c>
      <c r="BP168" s="726">
        <v>2.5288731728569411E-2</v>
      </c>
      <c r="BQ168" s="726">
        <v>3.1729444135443222E-2</v>
      </c>
      <c r="BR168" s="726">
        <v>3.8681756297667583E-2</v>
      </c>
      <c r="BS168" s="726">
        <v>4.6044819709770056E-2</v>
      </c>
      <c r="BT168" s="726">
        <v>5.3653920651313858E-2</v>
      </c>
      <c r="BW168" s="1208">
        <f>'2018'!R\Max</f>
        <v>0</v>
      </c>
      <c r="BX168" s="1206">
        <f>'2019'!R\Max</f>
        <v>0.74541225411377743</v>
      </c>
      <c r="BY168" s="1206">
        <f>'2020'!R\Max</f>
        <v>0.952870246462732</v>
      </c>
      <c r="BZ168" s="1206">
        <f>'2021'!R\Max</f>
        <v>0.83598751713099673</v>
      </c>
      <c r="CA168" s="1206">
        <f>'2022'!R\Max</f>
        <v>0.93229739538925893</v>
      </c>
      <c r="CB168" s="1206">
        <f>'2023'!R\Max</f>
        <v>0.93228657761224398</v>
      </c>
      <c r="CC168" s="1206">
        <f>'2024'!R\Max</f>
        <v>0.93227527106758001</v>
      </c>
      <c r="CD168" s="1206">
        <f>'2025'!R\Max</f>
        <v>0.93233738663732524</v>
      </c>
      <c r="CE168" s="1206">
        <f>'2026'!R\Max</f>
        <v>0.93232839423406932</v>
      </c>
      <c r="CF168" s="1207">
        <f>'2027'!R\Max</f>
        <v>0.93231837646613047</v>
      </c>
    </row>
    <row r="169" spans="1:84" s="6" customFormat="1" ht="11.25" x14ac:dyDescent="0.2">
      <c r="A169" s="11">
        <v>43255</v>
      </c>
      <c r="B169" s="379">
        <f>'2022'!Maxi_hp</f>
        <v>56.649023658356676</v>
      </c>
      <c r="C169" s="13">
        <f>'2022'!An_max</f>
        <v>2019</v>
      </c>
      <c r="D169" s="1053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2">
        <f t="shared" si="80"/>
        <v>43262</v>
      </c>
      <c r="I169" s="753">
        <f t="shared" si="81"/>
        <v>0.5</v>
      </c>
      <c r="J169" s="746">
        <f t="shared" si="82"/>
        <v>60.203250000346451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46">
        <v>43255</v>
      </c>
      <c r="AP169" s="13">
        <f t="shared" si="83"/>
        <v>7</v>
      </c>
      <c r="AQ169" s="13">
        <f t="shared" si="84"/>
        <v>8</v>
      </c>
      <c r="AR169" s="172">
        <f t="shared" si="85"/>
        <v>43248</v>
      </c>
      <c r="AS169" s="753">
        <f t="shared" si="86"/>
        <v>0.25</v>
      </c>
      <c r="AT169" s="769">
        <f t="shared" si="87"/>
        <v>60.259767968463713</v>
      </c>
      <c r="AU169" s="13">
        <f t="shared" si="88"/>
        <v>7</v>
      </c>
      <c r="AV169" s="13">
        <f t="shared" si="89"/>
        <v>6</v>
      </c>
      <c r="AW169" s="172">
        <f t="shared" si="90"/>
        <v>43262</v>
      </c>
      <c r="AX169" s="753">
        <f t="shared" si="91"/>
        <v>0.25</v>
      </c>
      <c r="AY169" s="769">
        <f t="shared" si="92"/>
        <v>60.153700000233947</v>
      </c>
      <c r="AZ169" s="746">
        <f t="shared" si="96"/>
        <v>60.20673398434883</v>
      </c>
      <c r="BA169" s="641">
        <f t="shared" si="93"/>
        <v>0.94096288253592086</v>
      </c>
      <c r="BC169" s="11">
        <v>43255</v>
      </c>
      <c r="BD169" s="289">
        <f>[2]!FeuilCaduc*(1-Persistant)+Persistant</f>
        <v>0.87373657709914276</v>
      </c>
      <c r="BE169" s="290">
        <f>[2]!CroissVégét</f>
        <v>0.43803029270835642</v>
      </c>
      <c r="BF169" s="819">
        <f>1+[2]!Salcycl*Ksac</f>
        <v>1.0342170721373929</v>
      </c>
      <c r="BH169" s="1044">
        <f t="shared" si="94"/>
        <v>1.7376638394492994E-2</v>
      </c>
      <c r="BI169" s="11">
        <v>44351</v>
      </c>
      <c r="BJ169" s="726">
        <v>1.4573967524513329E-3</v>
      </c>
      <c r="BK169" s="726">
        <v>3.73755589615657E-3</v>
      </c>
      <c r="BL169" s="726">
        <v>6.5444836265021768E-3</v>
      </c>
      <c r="BM169" s="726">
        <v>1.017467300503983E-2</v>
      </c>
      <c r="BN169" s="726">
        <v>1.459115728436918E-2</v>
      </c>
      <c r="BO169" s="727">
        <v>1.9799847341671513E-2</v>
      </c>
      <c r="BP169" s="726">
        <v>2.571565770305061E-2</v>
      </c>
      <c r="BQ169" s="726">
        <v>3.224316562815336E-2</v>
      </c>
      <c r="BR169" s="726">
        <v>3.9284368822064361E-2</v>
      </c>
      <c r="BS169" s="726">
        <v>4.673832409742483E-2</v>
      </c>
      <c r="BT169" s="726">
        <v>5.4438554560577022E-2</v>
      </c>
      <c r="BW169" s="1208">
        <f>'2018'!R\Max</f>
        <v>0</v>
      </c>
      <c r="BX169" s="1206">
        <f>'2019'!R\Max</f>
        <v>0.94096288253592086</v>
      </c>
      <c r="BY169" s="1206">
        <f>'2020'!R\Max</f>
        <v>0.45469093730265037</v>
      </c>
      <c r="BZ169" s="1206">
        <f>'2021'!R\Max</f>
        <v>0.16850201557695374</v>
      </c>
      <c r="CA169" s="1206">
        <f>'2022'!R\Max</f>
        <v>0.51448444424157846</v>
      </c>
      <c r="CB169" s="1206">
        <f>'2023'!R\Max</f>
        <v>0.51444070069218217</v>
      </c>
      <c r="CC169" s="1206">
        <f>'2024'!R\Max</f>
        <v>0.51439504540100689</v>
      </c>
      <c r="CD169" s="1206">
        <f>'2025'!R\Max</f>
        <v>0.51464622824303596</v>
      </c>
      <c r="CE169" s="1206">
        <f>'2026'!R\Max</f>
        <v>0.51460981030270581</v>
      </c>
      <c r="CF169" s="1207">
        <f>'2027'!R\Max</f>
        <v>0.51456925002033482</v>
      </c>
    </row>
    <row r="170" spans="1:84" s="6" customFormat="1" ht="11.25" x14ac:dyDescent="0.2">
      <c r="A170" s="11">
        <v>43256</v>
      </c>
      <c r="B170" s="379">
        <f>'2022'!Maxi_hp</f>
        <v>43.624994616930465</v>
      </c>
      <c r="C170" s="13">
        <f>'2022'!An_max</f>
        <v>2021</v>
      </c>
      <c r="D170" s="1053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2">
        <f t="shared" si="80"/>
        <v>43262</v>
      </c>
      <c r="I170" s="753">
        <f t="shared" si="81"/>
        <v>0.42857142857142855</v>
      </c>
      <c r="J170" s="746">
        <f t="shared" si="82"/>
        <v>60.156300291844772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46">
        <v>43256</v>
      </c>
      <c r="AP170" s="13">
        <f t="shared" si="83"/>
        <v>7</v>
      </c>
      <c r="AQ170" s="13">
        <f t="shared" si="84"/>
        <v>8</v>
      </c>
      <c r="AR170" s="172">
        <f t="shared" si="85"/>
        <v>43248</v>
      </c>
      <c r="AS170" s="753">
        <f t="shared" si="86"/>
        <v>0.2857142857142857</v>
      </c>
      <c r="AT170" s="769">
        <f t="shared" si="87"/>
        <v>60.219285131192635</v>
      </c>
      <c r="AU170" s="13">
        <f t="shared" si="88"/>
        <v>7</v>
      </c>
      <c r="AV170" s="13">
        <f t="shared" si="89"/>
        <v>6</v>
      </c>
      <c r="AW170" s="172">
        <f t="shared" si="90"/>
        <v>43262</v>
      </c>
      <c r="AX170" s="753">
        <f t="shared" si="91"/>
        <v>0.21428571428571427</v>
      </c>
      <c r="AY170" s="769">
        <f t="shared" si="92"/>
        <v>60.112528717105405</v>
      </c>
      <c r="AZ170" s="746">
        <f t="shared" si="96"/>
        <v>60.16590692414902</v>
      </c>
      <c r="BA170" s="641">
        <f t="shared" si="93"/>
        <v>0.72519410943303286</v>
      </c>
      <c r="BC170" s="11">
        <v>43256</v>
      </c>
      <c r="BD170" s="289">
        <f>[2]!FeuilCaduc*(1-Persistant)+Persistant</f>
        <v>0.8790783654185379</v>
      </c>
      <c r="BE170" s="290">
        <f>[2]!CroissVégét</f>
        <v>0.44819129444890032</v>
      </c>
      <c r="BF170" s="819">
        <f>1+[2]!Salcycl*Ksac</f>
        <v>1.0348847956773173</v>
      </c>
      <c r="BH170" s="1044">
        <f t="shared" si="94"/>
        <v>1.7664455060730895E-2</v>
      </c>
      <c r="BI170" s="11">
        <v>44352</v>
      </c>
      <c r="BJ170" s="726">
        <v>1.4792687944780337E-3</v>
      </c>
      <c r="BK170" s="726">
        <v>3.7969889096853282E-3</v>
      </c>
      <c r="BL170" s="726">
        <v>6.6543203898029035E-3</v>
      </c>
      <c r="BM170" s="726">
        <v>1.0350666365660078E-2</v>
      </c>
      <c r="BN170" s="726">
        <v>1.4838519605664461E-2</v>
      </c>
      <c r="BO170" s="727">
        <v>2.0122856969822141E-2</v>
      </c>
      <c r="BP170" s="726">
        <v>2.611551406159732E-2</v>
      </c>
      <c r="BQ170" s="726">
        <v>3.2723687048180648E-2</v>
      </c>
      <c r="BR170" s="726">
        <v>3.9847589553006574E-2</v>
      </c>
      <c r="BS170" s="726">
        <v>4.738584844748648E-2</v>
      </c>
      <c r="BT170" s="726">
        <v>5.5170486940322581E-2</v>
      </c>
      <c r="BW170" s="1208">
        <f>'2018'!R\Max</f>
        <v>0</v>
      </c>
      <c r="BX170" s="1206">
        <f>'2019'!R\Max</f>
        <v>0.1765550825823809</v>
      </c>
      <c r="BY170" s="1206">
        <f>'2020'!R\Max</f>
        <v>0.61235521104813151</v>
      </c>
      <c r="BZ170" s="1206">
        <f>'2021'!R\Max</f>
        <v>0.72519410943303286</v>
      </c>
      <c r="CA170" s="1206">
        <f>'2022'!R\Max</f>
        <v>0.53106224457430251</v>
      </c>
      <c r="CB170" s="1206">
        <f>'2023'!R\Max</f>
        <v>0.53101773364728411</v>
      </c>
      <c r="CC170" s="1206">
        <f>'2024'!R\Max</f>
        <v>0.53097133514523887</v>
      </c>
      <c r="CD170" s="1206">
        <f>'2025'!R\Max</f>
        <v>0.53122687647489919</v>
      </c>
      <c r="CE170" s="1206">
        <f>'2026'!R\Max</f>
        <v>0.53118978785497251</v>
      </c>
      <c r="CF170" s="1207">
        <f>'2027'!R\Max</f>
        <v>0.53114848312171992</v>
      </c>
    </row>
    <row r="171" spans="1:84" s="6" customFormat="1" ht="11.25" x14ac:dyDescent="0.2">
      <c r="A171" s="11">
        <v>43257</v>
      </c>
      <c r="B171" s="379">
        <f>'2022'!Maxi_hp</f>
        <v>58.308075737012821</v>
      </c>
      <c r="C171" s="13">
        <f>'2022'!An_max</f>
        <v>2019</v>
      </c>
      <c r="D171" s="1053">
        <f t="shared" si="78"/>
        <v>0.97005901178183607</v>
      </c>
      <c r="E171" s="13"/>
      <c r="F171" s="13">
        <f t="shared" si="95"/>
        <v>13</v>
      </c>
      <c r="G171" s="13">
        <f t="shared" si="79"/>
        <v>12</v>
      </c>
      <c r="H171" s="172">
        <f t="shared" si="80"/>
        <v>43262</v>
      </c>
      <c r="I171" s="753">
        <f t="shared" si="81"/>
        <v>0.35714285714285715</v>
      </c>
      <c r="J171" s="746">
        <f t="shared" si="82"/>
        <v>60.107761516395421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46">
        <v>43257</v>
      </c>
      <c r="AP171" s="13">
        <f t="shared" si="83"/>
        <v>7</v>
      </c>
      <c r="AQ171" s="13">
        <f t="shared" si="84"/>
        <v>8</v>
      </c>
      <c r="AR171" s="172">
        <f t="shared" si="85"/>
        <v>43248</v>
      </c>
      <c r="AS171" s="753">
        <f t="shared" si="86"/>
        <v>0.32142857142857145</v>
      </c>
      <c r="AT171" s="769">
        <f t="shared" si="87"/>
        <v>60.176039483527916</v>
      </c>
      <c r="AU171" s="13">
        <f t="shared" si="88"/>
        <v>7</v>
      </c>
      <c r="AV171" s="13">
        <f t="shared" si="89"/>
        <v>6</v>
      </c>
      <c r="AW171" s="172">
        <f t="shared" si="90"/>
        <v>43262</v>
      </c>
      <c r="AX171" s="753">
        <f t="shared" si="91"/>
        <v>0.17857142857142858</v>
      </c>
      <c r="AY171" s="769">
        <f t="shared" si="92"/>
        <v>60.070562900888866</v>
      </c>
      <c r="AZ171" s="746">
        <f t="shared" si="96"/>
        <v>60.123301192208388</v>
      </c>
      <c r="BA171" s="641">
        <f t="shared" si="93"/>
        <v>0.97005901178183607</v>
      </c>
      <c r="BC171" s="11">
        <v>43257</v>
      </c>
      <c r="BD171" s="289">
        <f>[2]!FeuilCaduc*(1-Persistant)+Persistant</f>
        <v>0.88434250674933024</v>
      </c>
      <c r="BE171" s="290">
        <f>[2]!CroissVégét</f>
        <v>0.45839513154318023</v>
      </c>
      <c r="BF171" s="819">
        <f>1+[2]!Salcycl*Ksac</f>
        <v>1.0355428133436664</v>
      </c>
      <c r="BH171" s="1044">
        <f t="shared" si="94"/>
        <v>1.7937400940284683E-2</v>
      </c>
      <c r="BI171" s="11">
        <v>44353</v>
      </c>
      <c r="BJ171" s="726">
        <v>1.5001671152719629E-3</v>
      </c>
      <c r="BK171" s="726">
        <v>3.8534860715299757E-3</v>
      </c>
      <c r="BL171" s="726">
        <v>6.7587269802153425E-3</v>
      </c>
      <c r="BM171" s="726">
        <v>1.0517783691914194E-2</v>
      </c>
      <c r="BN171" s="726">
        <v>1.5073248690684949E-2</v>
      </c>
      <c r="BO171" s="727">
        <v>2.0429049270652668E-2</v>
      </c>
      <c r="BP171" s="726">
        <v>2.6494411100487295E-2</v>
      </c>
      <c r="BQ171" s="726">
        <v>3.3178851531527755E-2</v>
      </c>
      <c r="BR171" s="726">
        <v>4.0381011869917036E-2</v>
      </c>
      <c r="BS171" s="726">
        <v>4.7998925523035793E-2</v>
      </c>
      <c r="BT171" s="726">
        <v>5.5863246897794337E-2</v>
      </c>
      <c r="BW171" s="1208">
        <f>'2018'!R\Max</f>
        <v>0</v>
      </c>
      <c r="BX171" s="1206">
        <f>'2019'!R\Max</f>
        <v>0.97005901178183607</v>
      </c>
      <c r="BY171" s="1206">
        <f>'2020'!R\Max</f>
        <v>0.4712971532534565</v>
      </c>
      <c r="BZ171" s="1206">
        <f>'2021'!R\Max</f>
        <v>0.76428984429488334</v>
      </c>
      <c r="CA171" s="1206">
        <f>'2022'!R\Max</f>
        <v>0.75406409924041973</v>
      </c>
      <c r="CB171" s="1206">
        <f>'2023'!R\Max</f>
        <v>0.7540302992890503</v>
      </c>
      <c r="CC171" s="1206">
        <f>'2024'!R\Max</f>
        <v>0.75399510613999543</v>
      </c>
      <c r="CD171" s="1206">
        <f>'2025'!R\Max</f>
        <v>0.75418909286480529</v>
      </c>
      <c r="CE171" s="1206">
        <f>'2026'!R\Max</f>
        <v>0.7541609173303695</v>
      </c>
      <c r="CF171" s="1207">
        <f>'2027'!R\Max</f>
        <v>0.75412953568076679</v>
      </c>
    </row>
    <row r="172" spans="1:84" s="6" customFormat="1" ht="11.25" x14ac:dyDescent="0.2">
      <c r="A172" s="11">
        <v>43258</v>
      </c>
      <c r="B172" s="379">
        <f>'2022'!Maxi_hp</f>
        <v>53.888415995131361</v>
      </c>
      <c r="C172" s="13">
        <f>'2022'!An_max</f>
        <v>2021</v>
      </c>
      <c r="D172" s="1053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2">
        <f t="shared" si="80"/>
        <v>43262</v>
      </c>
      <c r="I172" s="753">
        <f t="shared" si="81"/>
        <v>0.2857142857142857</v>
      </c>
      <c r="J172" s="746">
        <f t="shared" si="82"/>
        <v>60.058067055605349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46">
        <v>43258</v>
      </c>
      <c r="AP172" s="13">
        <f t="shared" si="83"/>
        <v>7</v>
      </c>
      <c r="AQ172" s="13">
        <f t="shared" si="84"/>
        <v>8</v>
      </c>
      <c r="AR172" s="172">
        <f t="shared" si="85"/>
        <v>43248</v>
      </c>
      <c r="AS172" s="753">
        <f t="shared" si="86"/>
        <v>0.35714285714285715</v>
      </c>
      <c r="AT172" s="769">
        <f t="shared" si="87"/>
        <v>60.130207087957693</v>
      </c>
      <c r="AU172" s="13">
        <f t="shared" si="88"/>
        <v>7</v>
      </c>
      <c r="AV172" s="13">
        <f t="shared" si="89"/>
        <v>6</v>
      </c>
      <c r="AW172" s="172">
        <f t="shared" si="90"/>
        <v>43262</v>
      </c>
      <c r="AX172" s="753">
        <f t="shared" si="91"/>
        <v>0.14285714285714285</v>
      </c>
      <c r="AY172" s="769">
        <f t="shared" si="92"/>
        <v>60.028019242148318</v>
      </c>
      <c r="AZ172" s="746">
        <f t="shared" si="96"/>
        <v>60.079113165053002</v>
      </c>
      <c r="BA172" s="641">
        <f t="shared" si="93"/>
        <v>0.89727190096275067</v>
      </c>
      <c r="BC172" s="11">
        <v>43258</v>
      </c>
      <c r="BD172" s="289">
        <f>[2]!FeuilCaduc*(1-Persistant)+Persistant</f>
        <v>0.88952281993357363</v>
      </c>
      <c r="BE172" s="290">
        <f>[2]!CroissVégét</f>
        <v>0.46863341037883222</v>
      </c>
      <c r="BF172" s="819">
        <f>1+[2]!Salcycl*Ksac</f>
        <v>1.0361903524916967</v>
      </c>
      <c r="BH172" s="1044">
        <f t="shared" si="94"/>
        <v>1.8195524684151684E-2</v>
      </c>
      <c r="BI172" s="11">
        <v>44354</v>
      </c>
      <c r="BJ172" s="726">
        <v>1.5200952982384493E-3</v>
      </c>
      <c r="BK172" s="726">
        <v>3.9070573716249212E-3</v>
      </c>
      <c r="BL172" s="726">
        <v>6.8577213825930369E-3</v>
      </c>
      <c r="BM172" s="726">
        <v>1.0676053716684047E-2</v>
      </c>
      <c r="BN172" s="726">
        <v>1.5295385612806562E-2</v>
      </c>
      <c r="BO172" s="727">
        <v>2.0718479487256827E-2</v>
      </c>
      <c r="BP172" s="726">
        <v>2.6852419087520341E-2</v>
      </c>
      <c r="BQ172" s="726">
        <v>3.3608745637410023E-2</v>
      </c>
      <c r="BR172" s="726">
        <v>4.0884739374373043E-2</v>
      </c>
      <c r="BS172" s="726">
        <v>4.8577676898739243E-2</v>
      </c>
      <c r="BT172" s="726">
        <v>5.6516974454438242E-2</v>
      </c>
      <c r="BW172" s="1208">
        <f>'2018'!R\Max</f>
        <v>0</v>
      </c>
      <c r="BX172" s="1206">
        <f>'2019'!R\Max</f>
        <v>0.34285469651429523</v>
      </c>
      <c r="BY172" s="1206">
        <f>'2020'!R\Max</f>
        <v>0.465015511566157</v>
      </c>
      <c r="BZ172" s="1206">
        <f>'2021'!R\Max</f>
        <v>0.89727190096275067</v>
      </c>
      <c r="CA172" s="1206">
        <f>'2022'!R\Max</f>
        <v>0.50674141321476185</v>
      </c>
      <c r="CB172" s="1206">
        <f>'2023'!R\Max</f>
        <v>0.50669500517507737</v>
      </c>
      <c r="CC172" s="1206">
        <f>'2024'!R\Max</f>
        <v>0.506646746608723</v>
      </c>
      <c r="CD172" s="1206">
        <f>'2025'!R\Max</f>
        <v>0.50691306245469436</v>
      </c>
      <c r="CE172" s="1206">
        <f>'2026'!R\Max</f>
        <v>0.50687434108642937</v>
      </c>
      <c r="CF172" s="1207">
        <f>'2027'!R\Max</f>
        <v>0.50683121172019019</v>
      </c>
    </row>
    <row r="173" spans="1:84" s="6" customFormat="1" ht="11.25" x14ac:dyDescent="0.2">
      <c r="A173" s="11">
        <v>43259</v>
      </c>
      <c r="B173" s="379">
        <f>'2022'!Maxi_hp</f>
        <v>61.825772248847073</v>
      </c>
      <c r="C173" s="13">
        <f>'2022'!An_max</f>
        <v>2019</v>
      </c>
      <c r="D173" s="1053">
        <f t="shared" si="78"/>
        <v>1.0302981694537248</v>
      </c>
      <c r="E173" s="13"/>
      <c r="F173" s="13">
        <f t="shared" si="95"/>
        <v>13</v>
      </c>
      <c r="G173" s="13">
        <f t="shared" si="79"/>
        <v>12</v>
      </c>
      <c r="H173" s="172">
        <f t="shared" si="80"/>
        <v>43262</v>
      </c>
      <c r="I173" s="753">
        <f t="shared" si="81"/>
        <v>0.21428571428571427</v>
      </c>
      <c r="J173" s="746">
        <f t="shared" si="82"/>
        <v>60.007650291786661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46">
        <v>43259</v>
      </c>
      <c r="AP173" s="13">
        <f t="shared" si="83"/>
        <v>7</v>
      </c>
      <c r="AQ173" s="13">
        <f t="shared" si="84"/>
        <v>8</v>
      </c>
      <c r="AR173" s="172">
        <f t="shared" si="85"/>
        <v>43248</v>
      </c>
      <c r="AS173" s="753">
        <f t="shared" si="86"/>
        <v>0.39285714285714285</v>
      </c>
      <c r="AT173" s="769">
        <f t="shared" si="87"/>
        <v>60.081964005150702</v>
      </c>
      <c r="AU173" s="13">
        <f t="shared" si="88"/>
        <v>7</v>
      </c>
      <c r="AV173" s="13">
        <f t="shared" si="89"/>
        <v>6</v>
      </c>
      <c r="AW173" s="172">
        <f t="shared" si="90"/>
        <v>43262</v>
      </c>
      <c r="AX173" s="753">
        <f t="shared" si="91"/>
        <v>0.10714285714285714</v>
      </c>
      <c r="AY173" s="769">
        <f t="shared" si="92"/>
        <v>59.985114431374576</v>
      </c>
      <c r="AZ173" s="746">
        <f t="shared" si="96"/>
        <v>60.033539218262639</v>
      </c>
      <c r="BA173" s="641">
        <f t="shared" si="93"/>
        <v>1.0302981694537248</v>
      </c>
      <c r="BC173" s="11">
        <v>43259</v>
      </c>
      <c r="BD173" s="289">
        <f>[2]!FeuilCaduc*(1-Persistant)+Persistant</f>
        <v>0.8946133480281715</v>
      </c>
      <c r="BE173" s="290">
        <f>[2]!CroissVégét</f>
        <v>0.4788976222853652</v>
      </c>
      <c r="BF173" s="819">
        <f>1+[2]!Salcycl*Ksac</f>
        <v>1.0368266685035215</v>
      </c>
      <c r="BH173" s="1044">
        <f t="shared" si="94"/>
        <v>1.8438876662238757E-2</v>
      </c>
      <c r="BI173" s="11">
        <v>44355</v>
      </c>
      <c r="BJ173" s="726">
        <v>1.5390570567664576E-3</v>
      </c>
      <c r="BK173" s="726">
        <v>3.9577131544041404E-3</v>
      </c>
      <c r="BL173" s="726">
        <v>6.95132223574487E-3</v>
      </c>
      <c r="BM173" s="726">
        <v>1.0825506220882429E-2</v>
      </c>
      <c r="BN173" s="726">
        <v>1.5504972920521344E-2</v>
      </c>
      <c r="BO173" s="727">
        <v>2.0991204793724152E-2</v>
      </c>
      <c r="BP173" s="726">
        <v>2.7189610685933965E-2</v>
      </c>
      <c r="BQ173" s="726">
        <v>3.4013458809417627E-2</v>
      </c>
      <c r="BR173" s="726">
        <v>4.1358879054294626E-2</v>
      </c>
      <c r="BS173" s="726">
        <v>4.9122228049093004E-2</v>
      </c>
      <c r="BT173" s="726">
        <v>5.7131814046945929E-2</v>
      </c>
      <c r="BW173" s="1208">
        <f>'2018'!R\Max</f>
        <v>0</v>
      </c>
      <c r="BX173" s="1206">
        <f>'2019'!R\Max</f>
        <v>1.0302981694537248</v>
      </c>
      <c r="BY173" s="1206">
        <f>'2020'!R\Max</f>
        <v>0.65380084300754227</v>
      </c>
      <c r="BZ173" s="1206">
        <f>'2021'!R\Max</f>
        <v>0.98042985275532202</v>
      </c>
      <c r="CA173" s="1206">
        <f>'2022'!R\Max</f>
        <v>0.38110905329123385</v>
      </c>
      <c r="CB173" s="1206">
        <f>'2023'!R\Max</f>
        <v>0.38106448136269683</v>
      </c>
      <c r="CC173" s="1206">
        <f>'2024'!R\Max</f>
        <v>0.38101818886130784</v>
      </c>
      <c r="CD173" s="1206">
        <f>'2025'!R\Max</f>
        <v>0.38127391596995019</v>
      </c>
      <c r="CE173" s="1206">
        <f>'2026'!R\Max</f>
        <v>0.38123670324994624</v>
      </c>
      <c r="CF173" s="1207">
        <f>'2027'!R\Max</f>
        <v>0.38119524727772364</v>
      </c>
    </row>
    <row r="174" spans="1:84" s="6" customFormat="1" ht="11.25" x14ac:dyDescent="0.2">
      <c r="A174" s="11">
        <v>43260</v>
      </c>
      <c r="B174" s="379">
        <f>'2022'!Maxi_hp</f>
        <v>57.898701564439953</v>
      </c>
      <c r="C174" s="13">
        <f>'2022'!An_max</f>
        <v>2021</v>
      </c>
      <c r="D174" s="1053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2">
        <f t="shared" si="80"/>
        <v>43262</v>
      </c>
      <c r="I174" s="753">
        <f t="shared" si="81"/>
        <v>0.14285714285714285</v>
      </c>
      <c r="J174" s="746">
        <f t="shared" si="82"/>
        <v>59.956944606666056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46">
        <v>43260</v>
      </c>
      <c r="AP174" s="13">
        <f t="shared" si="83"/>
        <v>7</v>
      </c>
      <c r="AQ174" s="13">
        <f t="shared" si="84"/>
        <v>8</v>
      </c>
      <c r="AR174" s="172">
        <f t="shared" si="85"/>
        <v>43248</v>
      </c>
      <c r="AS174" s="753">
        <f t="shared" si="86"/>
        <v>0.42857142857142855</v>
      </c>
      <c r="AT174" s="769">
        <f t="shared" si="87"/>
        <v>60.03148629734558</v>
      </c>
      <c r="AU174" s="13">
        <f t="shared" si="88"/>
        <v>7</v>
      </c>
      <c r="AV174" s="13">
        <f t="shared" si="89"/>
        <v>6</v>
      </c>
      <c r="AW174" s="172">
        <f t="shared" si="90"/>
        <v>43262</v>
      </c>
      <c r="AX174" s="753">
        <f t="shared" si="91"/>
        <v>7.1428571428571425E-2</v>
      </c>
      <c r="AY174" s="769">
        <f t="shared" si="92"/>
        <v>59.942065160056316</v>
      </c>
      <c r="AZ174" s="746">
        <f t="shared" si="96"/>
        <v>59.986775728700948</v>
      </c>
      <c r="BA174" s="641">
        <f t="shared" si="93"/>
        <v>0.96567131537924855</v>
      </c>
      <c r="BC174" s="11">
        <v>43260</v>
      </c>
      <c r="BD174" s="289">
        <f>[2]!FeuilCaduc*(1-Persistant)+Persistant</f>
        <v>0.89960838182728109</v>
      </c>
      <c r="BE174" s="290">
        <f>[2]!CroissVégét</f>
        <v>0.48917917157397695</v>
      </c>
      <c r="BF174" s="819">
        <f>1+[2]!Salcycl*Ksac</f>
        <v>1.0374510477284102</v>
      </c>
      <c r="BH174" s="1044">
        <f t="shared" si="94"/>
        <v>1.8667508767857836E-2</v>
      </c>
      <c r="BI174" s="11">
        <v>44356</v>
      </c>
      <c r="BJ174" s="726">
        <v>1.5570562214972819E-3</v>
      </c>
      <c r="BK174" s="726">
        <v>4.005464080266169E-3</v>
      </c>
      <c r="BL174" s="726">
        <v>7.0395487611375866E-3</v>
      </c>
      <c r="BM174" s="726">
        <v>1.0966171916821209E-2</v>
      </c>
      <c r="BN174" s="726">
        <v>1.5702054471388643E-2</v>
      </c>
      <c r="BO174" s="727">
        <v>2.1247284074010862E-2</v>
      </c>
      <c r="BP174" s="726">
        <v>2.7506060678825536E-2</v>
      </c>
      <c r="BQ174" s="726">
        <v>3.4393083042127223E-2</v>
      </c>
      <c r="BR174" s="726">
        <v>4.1803540892215739E-2</v>
      </c>
      <c r="BS174" s="726">
        <v>4.9632707895596255E-2</v>
      </c>
      <c r="BT174" s="726">
        <v>5.7707914012312768E-2</v>
      </c>
      <c r="BW174" s="1208">
        <f>'2018'!R\Max</f>
        <v>0</v>
      </c>
      <c r="BX174" s="1206">
        <f>'2019'!R\Max</f>
        <v>0.86444215006023273</v>
      </c>
      <c r="BY174" s="1206">
        <f>'2020'!R\Max</f>
        <v>0.77914933891565941</v>
      </c>
      <c r="BZ174" s="1206">
        <f>'2021'!R\Max</f>
        <v>0.96567131537924855</v>
      </c>
      <c r="CA174" s="1206">
        <f>'2022'!R\Max</f>
        <v>0.77130148606888471</v>
      </c>
      <c r="CB174" s="1206">
        <f>'2023'!R\Max</f>
        <v>0.77126758525361705</v>
      </c>
      <c r="CC174" s="1206">
        <f>'2024'!R\Max</f>
        <v>0.77123241107704565</v>
      </c>
      <c r="CD174" s="1206">
        <f>'2025'!R\Max</f>
        <v>0.77142681838307881</v>
      </c>
      <c r="CE174" s="1206">
        <f>'2026'!R\Max</f>
        <v>0.7713985217802205</v>
      </c>
      <c r="CF174" s="1207">
        <f>'2027'!R\Max</f>
        <v>0.77136698514329227</v>
      </c>
    </row>
    <row r="175" spans="1:84" s="6" customFormat="1" ht="11.25" x14ac:dyDescent="0.2">
      <c r="A175" s="11">
        <v>43261</v>
      </c>
      <c r="B175" s="379">
        <f>'2022'!Maxi_hp</f>
        <v>58.605289185436213</v>
      </c>
      <c r="C175" s="13">
        <f>'2022'!An_max</f>
        <v>2022</v>
      </c>
      <c r="D175" s="1053">
        <f t="shared" si="78"/>
        <v>0.97828120939613317</v>
      </c>
      <c r="E175" s="13"/>
      <c r="F175" s="13">
        <f t="shared" si="95"/>
        <v>13</v>
      </c>
      <c r="G175" s="13">
        <f t="shared" si="79"/>
        <v>12</v>
      </c>
      <c r="H175" s="172">
        <f t="shared" si="80"/>
        <v>43262</v>
      </c>
      <c r="I175" s="753">
        <f t="shared" si="81"/>
        <v>7.1428571428571425E-2</v>
      </c>
      <c r="J175" s="746">
        <f t="shared" si="82"/>
        <v>59.906383381943613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46">
        <v>43261</v>
      </c>
      <c r="AP175" s="13">
        <f t="shared" si="83"/>
        <v>7</v>
      </c>
      <c r="AQ175" s="13">
        <f t="shared" si="84"/>
        <v>8</v>
      </c>
      <c r="AR175" s="172">
        <f t="shared" si="85"/>
        <v>43248</v>
      </c>
      <c r="AS175" s="753">
        <f t="shared" si="86"/>
        <v>0.4642857142857143</v>
      </c>
      <c r="AT175" s="769">
        <f t="shared" si="87"/>
        <v>59.97895002451925</v>
      </c>
      <c r="AU175" s="13">
        <f t="shared" si="88"/>
        <v>7</v>
      </c>
      <c r="AV175" s="13">
        <f t="shared" si="89"/>
        <v>6</v>
      </c>
      <c r="AW175" s="172">
        <f t="shared" si="90"/>
        <v>43262</v>
      </c>
      <c r="AX175" s="753">
        <f t="shared" si="91"/>
        <v>3.5714285714285712E-2</v>
      </c>
      <c r="AY175" s="769">
        <f t="shared" si="92"/>
        <v>59.899088119589067</v>
      </c>
      <c r="AZ175" s="746">
        <f t="shared" si="96"/>
        <v>59.939019072054158</v>
      </c>
      <c r="BA175" s="641">
        <f t="shared" si="93"/>
        <v>0.97828120939613317</v>
      </c>
      <c r="BC175" s="11">
        <v>43261</v>
      </c>
      <c r="BD175" s="289">
        <f>[2]!FeuilCaduc*(1-Persistant)+Persistant</f>
        <v>0.90450248234059194</v>
      </c>
      <c r="BE175" s="290">
        <f>[2]!CroissVégét</f>
        <v>0.499469404196</v>
      </c>
      <c r="BF175" s="819">
        <f>1+[2]!Salcycl*Ksac</f>
        <v>1.038062810292574</v>
      </c>
      <c r="BH175" s="1044">
        <f t="shared" si="94"/>
        <v>1.8881474222446997E-2</v>
      </c>
      <c r="BI175" s="11">
        <v>44357</v>
      </c>
      <c r="BJ175" s="726">
        <v>1.5740967276120638E-3</v>
      </c>
      <c r="BK175" s="726">
        <v>4.0503210870874926E-3</v>
      </c>
      <c r="BL175" s="726">
        <v>7.1224206916833017E-3</v>
      </c>
      <c r="BM175" s="726">
        <v>1.1098082331711808E-2</v>
      </c>
      <c r="BN175" s="726">
        <v>1.5886675266175817E-2</v>
      </c>
      <c r="BO175" s="727">
        <v>2.148677770106748E-2</v>
      </c>
      <c r="BP175" s="726">
        <v>2.7801845693907097E-2</v>
      </c>
      <c r="BQ175" s="726">
        <v>3.4747712548129694E-2</v>
      </c>
      <c r="BR175" s="726">
        <v>4.2218837474061889E-2</v>
      </c>
      <c r="BS175" s="726">
        <v>5.0109248354526001E-2</v>
      </c>
      <c r="BT175" s="726">
        <v>5.8245426073595639E-2</v>
      </c>
      <c r="BW175" s="1208">
        <f>'2018'!R\Max</f>
        <v>0</v>
      </c>
      <c r="BX175" s="1206">
        <f>'2019'!R\Max</f>
        <v>0.41375083539733826</v>
      </c>
      <c r="BY175" s="1206">
        <f>'2020'!R\Max</f>
        <v>0.3817995187258455</v>
      </c>
      <c r="BZ175" s="1206">
        <f>'2021'!R\Max</f>
        <v>0.95254119560344042</v>
      </c>
      <c r="CA175" s="1206">
        <f>'2022'!R\Max</f>
        <v>0.97828120939613317</v>
      </c>
      <c r="CB175" s="1206">
        <f>'2023'!R\Max</f>
        <v>0.97827706030394346</v>
      </c>
      <c r="CC175" s="1206">
        <f>'2024'!R\Max</f>
        <v>0.97827275988245121</v>
      </c>
      <c r="CD175" s="1206">
        <f>'2025'!R\Max</f>
        <v>0.97829654312267378</v>
      </c>
      <c r="CE175" s="1206">
        <f>'2026'!R\Max</f>
        <v>0.97829308031396522</v>
      </c>
      <c r="CF175" s="1207">
        <f>'2027'!R\Max</f>
        <v>0.97828921926931423</v>
      </c>
    </row>
    <row r="176" spans="1:84" s="6" customFormat="1" ht="11.25" x14ac:dyDescent="0.2">
      <c r="A176" s="11">
        <v>43262</v>
      </c>
      <c r="B176" s="379">
        <f>'2022'!Maxi_hp</f>
        <v>55.962736409001373</v>
      </c>
      <c r="C176" s="13">
        <f>'2022'!An_max</f>
        <v>2022</v>
      </c>
      <c r="D176" s="1053" t="str">
        <f t="shared" si="78"/>
        <v/>
      </c>
      <c r="E176" s="1048">
        <f>Y$13/10</f>
        <v>59.856399999999994</v>
      </c>
      <c r="F176" s="13">
        <f t="shared" si="95"/>
        <v>13</v>
      </c>
      <c r="G176" s="13">
        <f t="shared" si="79"/>
        <v>14</v>
      </c>
      <c r="H176" s="172">
        <f t="shared" si="80"/>
        <v>43262</v>
      </c>
      <c r="I176" s="753">
        <f t="shared" si="81"/>
        <v>0</v>
      </c>
      <c r="J176" s="746">
        <f t="shared" si="82"/>
        <v>59.856399999931455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46">
        <v>43262</v>
      </c>
      <c r="AP176" s="13">
        <f t="shared" si="83"/>
        <v>7</v>
      </c>
      <c r="AQ176" s="13">
        <f t="shared" si="84"/>
        <v>8</v>
      </c>
      <c r="AR176" s="172">
        <f t="shared" si="85"/>
        <v>43248</v>
      </c>
      <c r="AS176" s="753">
        <f t="shared" si="86"/>
        <v>0.5</v>
      </c>
      <c r="AT176" s="769">
        <f t="shared" si="87"/>
        <v>59.92453124974854</v>
      </c>
      <c r="AU176" s="13">
        <f t="shared" si="88"/>
        <v>7</v>
      </c>
      <c r="AV176" s="13">
        <f t="shared" si="89"/>
        <v>8</v>
      </c>
      <c r="AW176" s="172">
        <f t="shared" si="90"/>
        <v>43262</v>
      </c>
      <c r="AX176" s="753">
        <f t="shared" si="91"/>
        <v>0</v>
      </c>
      <c r="AY176" s="769">
        <f t="shared" si="92"/>
        <v>59.856399999745193</v>
      </c>
      <c r="AZ176" s="746">
        <f t="shared" si="96"/>
        <v>59.890465624746867</v>
      </c>
      <c r="BA176" s="641">
        <f t="shared" si="93"/>
        <v>0.93494992029366053</v>
      </c>
      <c r="BC176" s="11">
        <v>43262</v>
      </c>
      <c r="BD176" s="289">
        <f>[2]!FeuilCaduc*(1-Persistant)+Persistant</f>
        <v>0.90929050206565898</v>
      </c>
      <c r="BE176" s="290">
        <f>[2]!CroissVégét</f>
        <v>0.50975963681802305</v>
      </c>
      <c r="BF176" s="819">
        <f>1+[2]!Salcycl*Ksac</f>
        <v>1.0386613127582074</v>
      </c>
      <c r="BH176" s="1044">
        <f t="shared" si="94"/>
        <v>1.9080827380084375E-2</v>
      </c>
      <c r="BI176" s="11">
        <v>44358</v>
      </c>
      <c r="BJ176" s="726">
        <v>1.5901826021020166E-3</v>
      </c>
      <c r="BK176" s="726">
        <v>4.0922953516914877E-3</v>
      </c>
      <c r="BL176" s="726">
        <v>7.1999582004489355E-3</v>
      </c>
      <c r="BM176" s="726">
        <v>1.1221269691044112E-2</v>
      </c>
      <c r="BN176" s="726">
        <v>1.605888128282482E-2</v>
      </c>
      <c r="BO176" s="727">
        <v>2.1709747315730638E-2</v>
      </c>
      <c r="BP176" s="726">
        <v>2.8077043927954577E-2</v>
      </c>
      <c r="BQ176" s="726">
        <v>3.5077443424675683E-2</v>
      </c>
      <c r="BR176" s="726">
        <v>4.2604883597462652E-2</v>
      </c>
      <c r="BS176" s="726">
        <v>5.0551983884159317E-2</v>
      </c>
      <c r="BT176" s="726">
        <v>5.8744504825027966E-2</v>
      </c>
      <c r="BW176" s="1208">
        <f>'2018'!R\Max</f>
        <v>0</v>
      </c>
      <c r="BX176" s="1206">
        <f>'2019'!R\Max</f>
        <v>0.51446119334896201</v>
      </c>
      <c r="BY176" s="1206">
        <f>'2020'!R\Max</f>
        <v>0.79157727428675706</v>
      </c>
      <c r="BZ176" s="1206">
        <f>'2021'!R\Max</f>
        <v>0.76614601514424396</v>
      </c>
      <c r="CA176" s="1206">
        <f>'2022'!R\Max</f>
        <v>0.93494992029366053</v>
      </c>
      <c r="CB176" s="1206">
        <f>'2023'!R\Max</f>
        <v>0.93493786368389986</v>
      </c>
      <c r="CC176" s="1206">
        <f>'2024'!R\Max</f>
        <v>0.93492538142304193</v>
      </c>
      <c r="CD176" s="1206">
        <f>'2025'!R\Max</f>
        <v>0.9349944698244167</v>
      </c>
      <c r="CE176" s="1206">
        <f>'2026'!R\Max</f>
        <v>0.93498440604831767</v>
      </c>
      <c r="CF176" s="1207">
        <f>'2027'!R\Max</f>
        <v>0.93497317992787854</v>
      </c>
    </row>
    <row r="177" spans="1:84" s="6" customFormat="1" ht="11.25" x14ac:dyDescent="0.2">
      <c r="A177" s="11">
        <v>43263</v>
      </c>
      <c r="B177" s="379">
        <f>'2022'!Maxi_hp</f>
        <v>57.291729611874956</v>
      </c>
      <c r="C177" s="13">
        <f>'2022'!An_max</f>
        <v>2019</v>
      </c>
      <c r="D177" s="1053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2">
        <f t="shared" si="80"/>
        <v>43262</v>
      </c>
      <c r="I177" s="753">
        <f t="shared" si="81"/>
        <v>7.1428571428571425E-2</v>
      </c>
      <c r="J177" s="746">
        <f t="shared" si="82"/>
        <v>59.806344387866559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46">
        <v>43263</v>
      </c>
      <c r="AP177" s="13">
        <f t="shared" si="83"/>
        <v>7</v>
      </c>
      <c r="AQ177" s="13">
        <f t="shared" si="84"/>
        <v>8</v>
      </c>
      <c r="AR177" s="172">
        <f t="shared" si="85"/>
        <v>43248</v>
      </c>
      <c r="AS177" s="753">
        <f t="shared" si="86"/>
        <v>0.5357142857142857</v>
      </c>
      <c r="AT177" s="769">
        <f t="shared" si="87"/>
        <v>59.868406033682234</v>
      </c>
      <c r="AU177" s="13">
        <f t="shared" si="88"/>
        <v>7</v>
      </c>
      <c r="AV177" s="13">
        <f t="shared" si="89"/>
        <v>8</v>
      </c>
      <c r="AW177" s="172">
        <f t="shared" si="90"/>
        <v>43262</v>
      </c>
      <c r="AX177" s="753">
        <f t="shared" si="91"/>
        <v>3.5714285714285712E-2</v>
      </c>
      <c r="AY177" s="769">
        <f t="shared" si="92"/>
        <v>59.812743542762476</v>
      </c>
      <c r="AZ177" s="746">
        <f t="shared" si="96"/>
        <v>59.840574788222355</v>
      </c>
      <c r="BA177" s="641">
        <f t="shared" si="93"/>
        <v>0.95795404648571425</v>
      </c>
      <c r="BC177" s="11">
        <v>43263</v>
      </c>
      <c r="BD177" s="289">
        <f>[2]!FeuilCaduc*(1-Persistant)+Persistant</f>
        <v>0.91396760489936879</v>
      </c>
      <c r="BE177" s="290">
        <f>[2]!CroissVégét</f>
        <v>0.52004118610663486</v>
      </c>
      <c r="BF177" s="819">
        <f>1+[2]!Salcycl*Ksac</f>
        <v>1.0392459506124212</v>
      </c>
      <c r="BH177" s="1044">
        <f t="shared" si="94"/>
        <v>1.9265623532100241E-2</v>
      </c>
      <c r="BI177" s="11">
        <v>44359</v>
      </c>
      <c r="BJ177" s="726">
        <v>1.6053179510468491E-3</v>
      </c>
      <c r="BK177" s="726">
        <v>4.1313982513384254E-3</v>
      </c>
      <c r="BL177" s="726">
        <v>7.2721818294026524E-3</v>
      </c>
      <c r="BM177" s="726">
        <v>1.1335766802023008E-2</v>
      </c>
      <c r="BN177" s="726">
        <v>1.6218719310501298E-2</v>
      </c>
      <c r="BO177" s="727">
        <v>2.1916255605726614E-2</v>
      </c>
      <c r="BP177" s="726">
        <v>2.8331734871401899E-2</v>
      </c>
      <c r="BQ177" s="726">
        <v>3.5382373320502244E-2</v>
      </c>
      <c r="BR177" s="726">
        <v>4.2961795880284655E-2</v>
      </c>
      <c r="BS177" s="726">
        <v>5.0961051032257641E-2</v>
      </c>
      <c r="BT177" s="726">
        <v>5.9205307217439551E-2</v>
      </c>
      <c r="BW177" s="1208">
        <f>'2018'!R\Max</f>
        <v>0</v>
      </c>
      <c r="BX177" s="1206">
        <f>'2019'!R\Max</f>
        <v>0.95795404648571425</v>
      </c>
      <c r="BY177" s="1206">
        <f>'2020'!R\Max</f>
        <v>0.51447913859044492</v>
      </c>
      <c r="BZ177" s="1206">
        <f>'2021'!R\Max</f>
        <v>0.7817130188335818</v>
      </c>
      <c r="CA177" s="1206">
        <f>'2022'!R\Max</f>
        <v>0.74506405944791032</v>
      </c>
      <c r="CB177" s="1206">
        <f>'2023'!R\Max</f>
        <v>0.74502586741889176</v>
      </c>
      <c r="CC177" s="1206">
        <f>'2024'!R\Max</f>
        <v>0.74498637323524719</v>
      </c>
      <c r="CD177" s="1206">
        <f>'2025'!R\Max</f>
        <v>0.74520516969110739</v>
      </c>
      <c r="CE177" s="1206">
        <f>'2026'!R\Max</f>
        <v>0.74517328230193569</v>
      </c>
      <c r="CF177" s="1207">
        <f>'2027'!R\Max</f>
        <v>0.74513769536538266</v>
      </c>
    </row>
    <row r="178" spans="1:84" s="6" customFormat="1" ht="11.25" x14ac:dyDescent="0.2">
      <c r="A178" s="11">
        <v>43264</v>
      </c>
      <c r="B178" s="379">
        <f>'2022'!Maxi_hp</f>
        <v>61.075275136442549</v>
      </c>
      <c r="C178" s="13">
        <f>'2022'!An_max</f>
        <v>2019</v>
      </c>
      <c r="D178" s="1053">
        <f t="shared" si="78"/>
        <v>1.0220900586431916</v>
      </c>
      <c r="E178" s="13"/>
      <c r="F178" s="13">
        <f t="shared" si="95"/>
        <v>13</v>
      </c>
      <c r="G178" s="13">
        <f t="shared" si="79"/>
        <v>14</v>
      </c>
      <c r="H178" s="172">
        <f t="shared" si="80"/>
        <v>43262</v>
      </c>
      <c r="I178" s="753">
        <f t="shared" si="81"/>
        <v>0.14285714285714285</v>
      </c>
      <c r="J178" s="746">
        <f t="shared" si="82"/>
        <v>59.755277551098594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46">
        <v>43264</v>
      </c>
      <c r="AP178" s="13">
        <f t="shared" si="83"/>
        <v>7</v>
      </c>
      <c r="AQ178" s="13">
        <f t="shared" si="84"/>
        <v>8</v>
      </c>
      <c r="AR178" s="172">
        <f t="shared" si="85"/>
        <v>43248</v>
      </c>
      <c r="AS178" s="753">
        <f t="shared" si="86"/>
        <v>0.5714285714285714</v>
      </c>
      <c r="AT178" s="769">
        <f t="shared" si="87"/>
        <v>59.810750437261802</v>
      </c>
      <c r="AU178" s="13">
        <f t="shared" si="88"/>
        <v>7</v>
      </c>
      <c r="AV178" s="13">
        <f t="shared" si="89"/>
        <v>8</v>
      </c>
      <c r="AW178" s="172">
        <f t="shared" si="90"/>
        <v>43262</v>
      </c>
      <c r="AX178" s="753">
        <f t="shared" si="91"/>
        <v>7.1428571428571425E-2</v>
      </c>
      <c r="AY178" s="769">
        <f t="shared" si="92"/>
        <v>59.76678022957806</v>
      </c>
      <c r="AZ178" s="746">
        <f t="shared" si="96"/>
        <v>59.788765333419931</v>
      </c>
      <c r="BA178" s="641">
        <f t="shared" si="93"/>
        <v>1.0220900586431916</v>
      </c>
      <c r="BC178" s="11">
        <v>43264</v>
      </c>
      <c r="BD178" s="289">
        <f>[2]!FeuilCaduc*(1-Persistant)+Persistant</f>
        <v>0.91852928454200511</v>
      </c>
      <c r="BE178" s="290">
        <f>[2]!CroissVégét</f>
        <v>0.53030539801316789</v>
      </c>
      <c r="BF178" s="819">
        <f>1+[2]!Salcycl*Ksac</f>
        <v>1.0398161605677507</v>
      </c>
      <c r="BH178" s="1044">
        <f t="shared" si="94"/>
        <v>1.942710498775297E-2</v>
      </c>
      <c r="BI178" s="11">
        <v>44360</v>
      </c>
      <c r="BJ178" s="726">
        <v>1.6186323160784777E-3</v>
      </c>
      <c r="BK178" s="726">
        <v>4.165702438630286E-3</v>
      </c>
      <c r="BL178" s="726">
        <v>7.335621938559387E-3</v>
      </c>
      <c r="BM178" s="726">
        <v>1.1436151729890041E-2</v>
      </c>
      <c r="BN178" s="726">
        <v>1.6358600360325635E-2</v>
      </c>
      <c r="BO178" s="727">
        <v>2.2096528176664885E-2</v>
      </c>
      <c r="BP178" s="726">
        <v>2.8553790531233095E-2</v>
      </c>
      <c r="BQ178" s="726">
        <v>3.5648003167460349E-2</v>
      </c>
      <c r="BR178" s="726">
        <v>4.3272552515056489E-2</v>
      </c>
      <c r="BS178" s="726">
        <v>5.1316956438544351E-2</v>
      </c>
      <c r="BT178" s="726">
        <v>5.9605894264695126E-2</v>
      </c>
      <c r="BW178" s="1208">
        <f>'2018'!R\Max</f>
        <v>0</v>
      </c>
      <c r="BX178" s="1206">
        <f>'2019'!R\Max</f>
        <v>1.0220900586431916</v>
      </c>
      <c r="BY178" s="1206">
        <f>'2020'!R\Max</f>
        <v>0.83840040115492265</v>
      </c>
      <c r="BZ178" s="1206">
        <f>'2021'!R\Max</f>
        <v>0.94712461117281288</v>
      </c>
      <c r="CA178" s="1206">
        <f>'2022'!R\Max</f>
        <v>0.8962621886110127</v>
      </c>
      <c r="CB178" s="1206">
        <f>'2023'!R\Max</f>
        <v>0.89624324739226735</v>
      </c>
      <c r="CC178" s="1206">
        <f>'2024'!R\Max</f>
        <v>0.8962236799622465</v>
      </c>
      <c r="CD178" s="1206">
        <f>'2025'!R\Max</f>
        <v>0.89633214002999317</v>
      </c>
      <c r="CE178" s="1206">
        <f>'2026'!R\Max</f>
        <v>0.89631633196050731</v>
      </c>
      <c r="CF178" s="1207">
        <f>'2027'!R\Max</f>
        <v>0.89629867787780027</v>
      </c>
    </row>
    <row r="179" spans="1:84" s="6" customFormat="1" ht="11.25" x14ac:dyDescent="0.2">
      <c r="A179" s="11">
        <v>43265</v>
      </c>
      <c r="B179" s="379">
        <f>'2022'!Maxi_hp</f>
        <v>52.838885669161783</v>
      </c>
      <c r="C179" s="13">
        <f>'2022'!An_max</f>
        <v>2021</v>
      </c>
      <c r="D179" s="1053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2">
        <f t="shared" si="80"/>
        <v>43262</v>
      </c>
      <c r="I179" s="753">
        <f t="shared" si="81"/>
        <v>0.21428571428571427</v>
      </c>
      <c r="J179" s="746">
        <f t="shared" si="82"/>
        <v>59.703199489893656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46">
        <v>43265</v>
      </c>
      <c r="AP179" s="13">
        <f t="shared" si="83"/>
        <v>7</v>
      </c>
      <c r="AQ179" s="13">
        <f t="shared" si="84"/>
        <v>8</v>
      </c>
      <c r="AR179" s="172">
        <f t="shared" si="85"/>
        <v>43248</v>
      </c>
      <c r="AS179" s="753">
        <f t="shared" si="86"/>
        <v>0.6071428571428571</v>
      </c>
      <c r="AT179" s="769">
        <f t="shared" si="87"/>
        <v>59.751740522333421</v>
      </c>
      <c r="AU179" s="13">
        <f t="shared" si="88"/>
        <v>7</v>
      </c>
      <c r="AV179" s="13">
        <f t="shared" si="89"/>
        <v>8</v>
      </c>
      <c r="AW179" s="172">
        <f t="shared" si="90"/>
        <v>43262</v>
      </c>
      <c r="AX179" s="753">
        <f t="shared" si="91"/>
        <v>0.10714285714285714</v>
      </c>
      <c r="AY179" s="769">
        <f t="shared" si="92"/>
        <v>59.718604862706606</v>
      </c>
      <c r="AZ179" s="746">
        <f t="shared" si="96"/>
        <v>59.73517269252001</v>
      </c>
      <c r="BA179" s="641">
        <f t="shared" si="93"/>
        <v>0.88502603077589104</v>
      </c>
      <c r="BC179" s="11">
        <v>43265</v>
      </c>
      <c r="BD179" s="289">
        <f>[2]!FeuilCaduc*(1-Persistant)+Persistant</f>
        <v>0.92297138125713984</v>
      </c>
      <c r="BE179" s="290">
        <f>[2]!CroissVégét</f>
        <v>0.54054367684881977</v>
      </c>
      <c r="BF179" s="819">
        <f>1+[2]!Salcycl*Ksac</f>
        <v>1.0403714226571426</v>
      </c>
      <c r="BH179" s="1044">
        <f t="shared" si="94"/>
        <v>1.9571357500658408E-2</v>
      </c>
      <c r="BI179" s="11">
        <v>44361</v>
      </c>
      <c r="BJ179" s="726">
        <v>1.6307216051945587E-3</v>
      </c>
      <c r="BK179" s="726">
        <v>4.1964315142128342E-3</v>
      </c>
      <c r="BL179" s="726">
        <v>7.392359499814879E-3</v>
      </c>
      <c r="BM179" s="726">
        <v>1.1525856953714407E-2</v>
      </c>
      <c r="BN179" s="726">
        <v>1.6483605077825311E-2</v>
      </c>
      <c r="BO179" s="727">
        <v>2.2257525168601681E-2</v>
      </c>
      <c r="BP179" s="726">
        <v>2.8752093241688776E-2</v>
      </c>
      <c r="BQ179" s="726">
        <v>3.588506536337633E-2</v>
      </c>
      <c r="BR179" s="726">
        <v>4.3549817935482814E-2</v>
      </c>
      <c r="BS179" s="726">
        <v>5.1634335535672586E-2</v>
      </c>
      <c r="BT179" s="726">
        <v>5.9962940493048754E-2</v>
      </c>
      <c r="BW179" s="1208">
        <f>'2018'!R\Max</f>
        <v>0</v>
      </c>
      <c r="BX179" s="1206">
        <f>'2019'!R\Max</f>
        <v>0.4431031390814667</v>
      </c>
      <c r="BY179" s="1206">
        <f>'2020'!R\Max</f>
        <v>0.72949591339074438</v>
      </c>
      <c r="BZ179" s="1206">
        <f>'2021'!R\Max</f>
        <v>0.88502603077589104</v>
      </c>
      <c r="CA179" s="1206">
        <f>'2022'!R\Max</f>
        <v>0.82031527833523954</v>
      </c>
      <c r="CB179" s="1206">
        <f>'2023'!R\Max</f>
        <v>0.82028488210917283</v>
      </c>
      <c r="CC179" s="1206">
        <f>'2024'!R\Max</f>
        <v>0.82025351481014386</v>
      </c>
      <c r="CD179" s="1206">
        <f>'2025'!R\Max</f>
        <v>0.8204275045004481</v>
      </c>
      <c r="CE179" s="1206">
        <f>'2026'!R\Max</f>
        <v>0.82040213974537557</v>
      </c>
      <c r="CF179" s="1207">
        <f>'2027'!R\Max</f>
        <v>0.82037379433440816</v>
      </c>
    </row>
    <row r="180" spans="1:84" s="6" customFormat="1" ht="11.25" x14ac:dyDescent="0.2">
      <c r="A180" s="11">
        <v>43266</v>
      </c>
      <c r="B180" s="379">
        <f>'2022'!Maxi_hp</f>
        <v>55.051597615589515</v>
      </c>
      <c r="C180" s="13">
        <f>'2022'!An_max</f>
        <v>2022</v>
      </c>
      <c r="D180" s="1053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2">
        <f t="shared" si="80"/>
        <v>43262</v>
      </c>
      <c r="I180" s="753">
        <f t="shared" si="81"/>
        <v>0.2857142857142857</v>
      </c>
      <c r="J180" s="746">
        <f t="shared" si="82"/>
        <v>59.650110203959045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46">
        <v>43266</v>
      </c>
      <c r="AP180" s="13">
        <f t="shared" si="83"/>
        <v>7</v>
      </c>
      <c r="AQ180" s="13">
        <f t="shared" si="84"/>
        <v>8</v>
      </c>
      <c r="AR180" s="172">
        <f t="shared" si="85"/>
        <v>43248</v>
      </c>
      <c r="AS180" s="753">
        <f t="shared" si="86"/>
        <v>0.6428571428571429</v>
      </c>
      <c r="AT180" s="769">
        <f t="shared" si="87"/>
        <v>59.691552350397352</v>
      </c>
      <c r="AU180" s="13">
        <f t="shared" si="88"/>
        <v>7</v>
      </c>
      <c r="AV180" s="13">
        <f t="shared" si="89"/>
        <v>8</v>
      </c>
      <c r="AW180" s="172">
        <f t="shared" si="90"/>
        <v>43262</v>
      </c>
      <c r="AX180" s="753">
        <f t="shared" si="91"/>
        <v>0.14285714285714285</v>
      </c>
      <c r="AY180" s="769">
        <f t="shared" si="92"/>
        <v>59.668312244915548</v>
      </c>
      <c r="AZ180" s="746">
        <f t="shared" si="96"/>
        <v>59.67993229765645</v>
      </c>
      <c r="BA180" s="641">
        <f t="shared" si="93"/>
        <v>0.92290856508653485</v>
      </c>
      <c r="BC180" s="11">
        <v>43266</v>
      </c>
      <c r="BD180" s="289">
        <f>[2]!FeuilCaduc*(1-Persistant)+Persistant</f>
        <v>0.9272900968616854</v>
      </c>
      <c r="BE180" s="290">
        <f>[2]!CroissVégét</f>
        <v>0.55074751394309984</v>
      </c>
      <c r="BF180" s="819">
        <f>1+[2]!Salcycl*Ksac</f>
        <v>1.0409112621077106</v>
      </c>
      <c r="BH180" s="1044">
        <f t="shared" si="94"/>
        <v>1.9698442877971293E-2</v>
      </c>
      <c r="BI180" s="11">
        <v>44362</v>
      </c>
      <c r="BJ180" s="726">
        <v>1.6415905814006042E-3</v>
      </c>
      <c r="BK180" s="726">
        <v>4.2235985069102823E-3</v>
      </c>
      <c r="BL180" s="726">
        <v>7.4424182632506324E-3</v>
      </c>
      <c r="BM180" s="726">
        <v>1.1604919951640792E-2</v>
      </c>
      <c r="BN180" s="726">
        <v>1.6593786263597893E-2</v>
      </c>
      <c r="BO180" s="727">
        <v>2.2399316223880358E-2</v>
      </c>
      <c r="BP180" s="726">
        <v>2.8926730656458257E-2</v>
      </c>
      <c r="BQ180" s="726">
        <v>3.6093667109850208E-2</v>
      </c>
      <c r="BR180" s="726">
        <v>4.3793719858120063E-2</v>
      </c>
      <c r="BS180" s="726">
        <v>5.1913337341128289E-2</v>
      </c>
      <c r="BT180" s="726">
        <v>6.0276616512434211E-2</v>
      </c>
      <c r="BW180" s="1208">
        <f>'2018'!R\Max</f>
        <v>0</v>
      </c>
      <c r="BX180" s="1206">
        <f>'2019'!R\Max</f>
        <v>0.33397644319997127</v>
      </c>
      <c r="BY180" s="1206">
        <f>'2020'!R\Max</f>
        <v>0.804384753948994</v>
      </c>
      <c r="BZ180" s="1206">
        <f>'2021'!R\Max</f>
        <v>0.86831524654997561</v>
      </c>
      <c r="CA180" s="1206">
        <f>'2022'!R\Max</f>
        <v>0.92290856508653485</v>
      </c>
      <c r="CB180" s="1206">
        <f>'2023'!R\Max</f>
        <v>0.92289372521749879</v>
      </c>
      <c r="CC180" s="1206">
        <f>'2024'!R\Max</f>
        <v>0.92287842638068318</v>
      </c>
      <c r="CD180" s="1206">
        <f>'2025'!R\Max</f>
        <v>0.92296333034779399</v>
      </c>
      <c r="CE180" s="1206">
        <f>'2026'!R\Max</f>
        <v>0.92295095304295094</v>
      </c>
      <c r="CF180" s="1207">
        <f>'2027'!R\Max</f>
        <v>0.92293711042760729</v>
      </c>
    </row>
    <row r="181" spans="1:84" s="6" customFormat="1" ht="11.25" x14ac:dyDescent="0.2">
      <c r="A181" s="11">
        <v>43267</v>
      </c>
      <c r="B181" s="379">
        <f>'2022'!Maxi_hp</f>
        <v>60.496565061953568</v>
      </c>
      <c r="C181" s="13">
        <f>'2022'!An_max</f>
        <v>2019</v>
      </c>
      <c r="D181" s="1053">
        <f t="shared" si="78"/>
        <v>1.0151110011010165</v>
      </c>
      <c r="E181" s="13"/>
      <c r="F181" s="13">
        <f t="shared" si="95"/>
        <v>13</v>
      </c>
      <c r="G181" s="13">
        <f t="shared" si="79"/>
        <v>14</v>
      </c>
      <c r="H181" s="172">
        <f t="shared" si="80"/>
        <v>43262</v>
      </c>
      <c r="I181" s="753">
        <f t="shared" si="81"/>
        <v>0.35714285714285715</v>
      </c>
      <c r="J181" s="746">
        <f t="shared" si="82"/>
        <v>59.59600969385356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46">
        <v>43267</v>
      </c>
      <c r="AP181" s="13">
        <f t="shared" si="83"/>
        <v>7</v>
      </c>
      <c r="AQ181" s="13">
        <f t="shared" si="84"/>
        <v>8</v>
      </c>
      <c r="AR181" s="172">
        <f t="shared" si="85"/>
        <v>43248</v>
      </c>
      <c r="AS181" s="753">
        <f t="shared" si="86"/>
        <v>0.6785714285714286</v>
      </c>
      <c r="AT181" s="769">
        <f t="shared" si="87"/>
        <v>59.630361982830799</v>
      </c>
      <c r="AU181" s="13">
        <f t="shared" si="88"/>
        <v>7</v>
      </c>
      <c r="AV181" s="13">
        <f t="shared" si="89"/>
        <v>8</v>
      </c>
      <c r="AW181" s="172">
        <f t="shared" si="90"/>
        <v>43262</v>
      </c>
      <c r="AX181" s="753">
        <f t="shared" si="91"/>
        <v>0.17857142857142858</v>
      </c>
      <c r="AY181" s="769">
        <f t="shared" si="92"/>
        <v>59.615997178001066</v>
      </c>
      <c r="AZ181" s="746">
        <f t="shared" si="96"/>
        <v>59.623179580415936</v>
      </c>
      <c r="BA181" s="641">
        <f t="shared" si="93"/>
        <v>1.0151110011010165</v>
      </c>
      <c r="BC181" s="11">
        <v>43267</v>
      </c>
      <c r="BD181" s="289">
        <f>[2]!FeuilCaduc*(1-Persistant)+Persistant</f>
        <v>0.93148200783276369</v>
      </c>
      <c r="BE181" s="290">
        <f>[2]!CroissVégét</f>
        <v>0.56090851568364364</v>
      </c>
      <c r="BF181" s="819">
        <f>1+[2]!Salcycl*Ksac</f>
        <v>1.0414352509790954</v>
      </c>
      <c r="BH181" s="1044">
        <f t="shared" si="94"/>
        <v>1.9808422871774391E-2</v>
      </c>
      <c r="BI181" s="11">
        <v>44363</v>
      </c>
      <c r="BJ181" s="726">
        <v>1.6512440146013968E-3</v>
      </c>
      <c r="BK181" s="726">
        <v>4.2472164389119301E-3</v>
      </c>
      <c r="BL181" s="726">
        <v>7.485821960262754E-3</v>
      </c>
      <c r="BM181" s="726">
        <v>1.1673378167422909E-2</v>
      </c>
      <c r="BN181" s="726">
        <v>1.6689196671907838E-2</v>
      </c>
      <c r="BO181" s="727">
        <v>2.2521970922170006E-2</v>
      </c>
      <c r="BP181" s="726">
        <v>2.907779035551258E-2</v>
      </c>
      <c r="BQ181" s="726">
        <v>3.6273915515866478E-2</v>
      </c>
      <c r="BR181" s="726">
        <v>4.4004385891832531E-2</v>
      </c>
      <c r="BS181" s="726">
        <v>5.2154110744524383E-2</v>
      </c>
      <c r="BT181" s="726">
        <v>6.0547092784097978E-2</v>
      </c>
      <c r="BW181" s="1208">
        <f>'2018'!R\Max</f>
        <v>0</v>
      </c>
      <c r="BX181" s="1206">
        <f>'2019'!R\Max</f>
        <v>1.0151110011010165</v>
      </c>
      <c r="BY181" s="1206">
        <f>'2020'!R\Max</f>
        <v>0.74400894784606997</v>
      </c>
      <c r="BZ181" s="1206">
        <f>'2021'!R\Max</f>
        <v>0.85055913113427173</v>
      </c>
      <c r="CA181" s="1206">
        <f>'2022'!R\Max</f>
        <v>0.87690474355047665</v>
      </c>
      <c r="CB181" s="1206">
        <f>'2023'!R\Max</f>
        <v>0.87688199165926561</v>
      </c>
      <c r="CC181" s="1206">
        <f>'2024'!R\Max</f>
        <v>0.87685856036758569</v>
      </c>
      <c r="CD181" s="1206">
        <f>'2025'!R\Max</f>
        <v>0.87698867925919988</v>
      </c>
      <c r="CE181" s="1206">
        <f>'2026'!R\Max</f>
        <v>0.87696970927996531</v>
      </c>
      <c r="CF181" s="1207">
        <f>'2027'!R\Max</f>
        <v>0.87694847679887022</v>
      </c>
    </row>
    <row r="182" spans="1:84" s="6" customFormat="1" ht="11.25" x14ac:dyDescent="0.2">
      <c r="A182" s="11">
        <v>43268</v>
      </c>
      <c r="B182" s="379">
        <f>'2022'!Maxi_hp</f>
        <v>59.643028752560177</v>
      </c>
      <c r="C182" s="13">
        <f>'2022'!An_max</f>
        <v>2019</v>
      </c>
      <c r="D182" s="1053">
        <f t="shared" si="78"/>
        <v>1.0017153048874998</v>
      </c>
      <c r="E182" s="13"/>
      <c r="F182" s="13">
        <f t="shared" si="95"/>
        <v>13</v>
      </c>
      <c r="G182" s="13">
        <f t="shared" si="79"/>
        <v>14</v>
      </c>
      <c r="H182" s="172">
        <f t="shared" si="80"/>
        <v>43262</v>
      </c>
      <c r="I182" s="753">
        <f t="shared" si="81"/>
        <v>0.42857142857142855</v>
      </c>
      <c r="J182" s="746">
        <f t="shared" si="82"/>
        <v>59.540897959284486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46">
        <v>43268</v>
      </c>
      <c r="AP182" s="13">
        <f t="shared" si="83"/>
        <v>7</v>
      </c>
      <c r="AQ182" s="13">
        <f t="shared" si="84"/>
        <v>8</v>
      </c>
      <c r="AR182" s="172">
        <f t="shared" si="85"/>
        <v>43248</v>
      </c>
      <c r="AS182" s="753">
        <f t="shared" si="86"/>
        <v>0.7142857142857143</v>
      </c>
      <c r="AT182" s="769">
        <f t="shared" si="87"/>
        <v>59.568345480864608</v>
      </c>
      <c r="AU182" s="13">
        <f t="shared" si="88"/>
        <v>7</v>
      </c>
      <c r="AV182" s="13">
        <f t="shared" si="89"/>
        <v>8</v>
      </c>
      <c r="AW182" s="172">
        <f t="shared" si="90"/>
        <v>43262</v>
      </c>
      <c r="AX182" s="753">
        <f t="shared" si="91"/>
        <v>0.21428571428571427</v>
      </c>
      <c r="AY182" s="769">
        <f t="shared" si="92"/>
        <v>59.561754464165176</v>
      </c>
      <c r="AZ182" s="746">
        <f t="shared" si="96"/>
        <v>59.565049972514892</v>
      </c>
      <c r="BA182" s="641">
        <f t="shared" si="93"/>
        <v>1.0017153048874998</v>
      </c>
      <c r="BC182" s="11">
        <v>43268</v>
      </c>
      <c r="BD182" s="289">
        <f>[2]!FeuilCaduc*(1-Persistant)+Persistant</f>
        <v>0.93554407643150084</v>
      </c>
      <c r="BE182" s="290">
        <f>[2]!CroissVégét</f>
        <v>0.57101843074296321</v>
      </c>
      <c r="BF182" s="819">
        <f>1+[2]!Salcycl*Ksac</f>
        <v>1.0419430095539377</v>
      </c>
      <c r="BH182" s="1044">
        <f t="shared" si="94"/>
        <v>1.9901358945306709E-2</v>
      </c>
      <c r="BI182" s="11">
        <v>44364</v>
      </c>
      <c r="BJ182" s="726">
        <v>1.6596866649854585E-3</v>
      </c>
      <c r="BK182" s="726">
        <v>4.2672982772629488E-3</v>
      </c>
      <c r="BL182" s="726">
        <v>7.5225942126508133E-3</v>
      </c>
      <c r="BM182" s="726">
        <v>1.1731268865581072E-2</v>
      </c>
      <c r="BN182" s="726">
        <v>1.6769888808885563E-2</v>
      </c>
      <c r="BO182" s="727">
        <v>2.2625558518880831E-2</v>
      </c>
      <c r="BP182" s="726">
        <v>2.9205359522623889E-2</v>
      </c>
      <c r="BQ182" s="726">
        <v>3.6425917209791478E-2</v>
      </c>
      <c r="BR182" s="726">
        <v>4.4181943082758822E-2</v>
      </c>
      <c r="BS182" s="726">
        <v>5.2356803983976033E-2</v>
      </c>
      <c r="BT182" s="726">
        <v>6.0774539028630926E-2</v>
      </c>
      <c r="BW182" s="1208">
        <f>'2018'!R\Max</f>
        <v>0</v>
      </c>
      <c r="BX182" s="1206">
        <f>'2019'!R\Max</f>
        <v>1.0017153048874998</v>
      </c>
      <c r="BY182" s="1206">
        <f>'2020'!R\Max</f>
        <v>0.55737622803759146</v>
      </c>
      <c r="BZ182" s="1206">
        <f>'2021'!R\Max</f>
        <v>0.26672323324286679</v>
      </c>
      <c r="CA182" s="1206">
        <f>'2022'!R\Max</f>
        <v>0.88758545100680031</v>
      </c>
      <c r="CB182" s="1206">
        <f>'2023'!R\Max</f>
        <v>0.88756421569063026</v>
      </c>
      <c r="CC182" s="1206">
        <f>'2024'!R\Max</f>
        <v>0.88754236802618292</v>
      </c>
      <c r="CD182" s="1206">
        <f>'2025'!R\Max</f>
        <v>0.88766375957638677</v>
      </c>
      <c r="CE182" s="1206">
        <f>'2026'!R\Max</f>
        <v>0.88764606293557602</v>
      </c>
      <c r="CF182" s="1207">
        <f>'2027'!R\Max</f>
        <v>0.88762623849553146</v>
      </c>
    </row>
    <row r="183" spans="1:84" s="6" customFormat="1" ht="11.25" x14ac:dyDescent="0.2">
      <c r="A183" s="11">
        <v>43269</v>
      </c>
      <c r="B183" s="379">
        <f>'2022'!Maxi_hp</f>
        <v>57.817123290426146</v>
      </c>
      <c r="C183" s="13">
        <f>'2022'!An_max</f>
        <v>2019</v>
      </c>
      <c r="D183" s="1053">
        <f t="shared" si="78"/>
        <v>0.97196506653093906</v>
      </c>
      <c r="E183" s="13"/>
      <c r="F183" s="13">
        <f t="shared" si="95"/>
        <v>13</v>
      </c>
      <c r="G183" s="13">
        <f t="shared" si="79"/>
        <v>14</v>
      </c>
      <c r="H183" s="172">
        <f t="shared" si="80"/>
        <v>43262</v>
      </c>
      <c r="I183" s="753">
        <f t="shared" si="81"/>
        <v>0.5</v>
      </c>
      <c r="J183" s="746">
        <f t="shared" si="82"/>
        <v>59.48477499997243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46">
        <v>43269</v>
      </c>
      <c r="AP183" s="13">
        <f t="shared" si="83"/>
        <v>7</v>
      </c>
      <c r="AQ183" s="13">
        <f t="shared" si="84"/>
        <v>8</v>
      </c>
      <c r="AR183" s="172">
        <f t="shared" si="85"/>
        <v>43248</v>
      </c>
      <c r="AS183" s="753">
        <f t="shared" si="86"/>
        <v>0.75</v>
      </c>
      <c r="AT183" s="769">
        <f t="shared" si="87"/>
        <v>59.505678906082174</v>
      </c>
      <c r="AU183" s="13">
        <f t="shared" si="88"/>
        <v>7</v>
      </c>
      <c r="AV183" s="13">
        <f t="shared" si="89"/>
        <v>8</v>
      </c>
      <c r="AW183" s="172">
        <f t="shared" si="90"/>
        <v>43262</v>
      </c>
      <c r="AX183" s="753">
        <f t="shared" si="91"/>
        <v>0.25</v>
      </c>
      <c r="AY183" s="769">
        <f t="shared" si="92"/>
        <v>59.505678906268443</v>
      </c>
      <c r="AZ183" s="746">
        <f t="shared" si="96"/>
        <v>59.505678906175305</v>
      </c>
      <c r="BA183" s="641">
        <f t="shared" si="93"/>
        <v>0.97196506653093906</v>
      </c>
      <c r="BC183" s="11">
        <v>43269</v>
      </c>
      <c r="BD183" s="289">
        <f>[2]!FeuilCaduc*(1-Persistant)+Persistant</f>
        <v>0.93947365975832464</v>
      </c>
      <c r="BE183" s="290">
        <f>[2]!CroissVégét</f>
        <v>0.5810691763075071</v>
      </c>
      <c r="BF183" s="819">
        <f>1+[2]!Salcycl*Ksac</f>
        <v>1.0424342074697905</v>
      </c>
      <c r="BH183" s="1044">
        <f t="shared" si="94"/>
        <v>1.9977312039820935E-2</v>
      </c>
      <c r="BI183" s="11">
        <v>44365</v>
      </c>
      <c r="BJ183" s="726">
        <v>1.6669232664619632E-3</v>
      </c>
      <c r="BK183" s="726">
        <v>4.283856885490084E-3</v>
      </c>
      <c r="BL183" s="726">
        <v>7.5527584419444399E-3</v>
      </c>
      <c r="BM183" s="726">
        <v>1.1778628986930557E-2</v>
      </c>
      <c r="BN183" s="726">
        <v>1.6835914731256528E-2</v>
      </c>
      <c r="BO183" s="727">
        <v>2.2710147684295086E-2</v>
      </c>
      <c r="BP183" s="726">
        <v>2.9309524623808807E-2</v>
      </c>
      <c r="BQ183" s="726">
        <v>3.6549777952523822E-2</v>
      </c>
      <c r="BR183" s="726">
        <v>4.4326517460677076E-2</v>
      </c>
      <c r="BS183" s="726">
        <v>5.2521564124134265E-2</v>
      </c>
      <c r="BT183" s="726">
        <v>6.0959123635926017E-2</v>
      </c>
      <c r="BW183" s="1208">
        <f>'2018'!R\Max</f>
        <v>0</v>
      </c>
      <c r="BX183" s="1206">
        <f>'2019'!R\Max</f>
        <v>0.97196506653093906</v>
      </c>
      <c r="BY183" s="1206">
        <f>'2020'!R\Max</f>
        <v>0.87323205912319857</v>
      </c>
      <c r="BZ183" s="1206">
        <f>'2021'!R\Max</f>
        <v>0.69089699810650884</v>
      </c>
      <c r="CA183" s="1206">
        <f>'2022'!R\Max</f>
        <v>0.93464763847987486</v>
      </c>
      <c r="CB183" s="1206">
        <f>'2023'!R\Max</f>
        <v>0.93463452302719763</v>
      </c>
      <c r="CC183" s="1206">
        <f>'2024'!R\Max</f>
        <v>0.93462104237983346</v>
      </c>
      <c r="CD183" s="1206">
        <f>'2025'!R\Max</f>
        <v>0.93469598119899244</v>
      </c>
      <c r="CE183" s="1206">
        <f>'2026'!R\Max</f>
        <v>0.93468505820413272</v>
      </c>
      <c r="CF183" s="1207">
        <f>'2027'!R\Max</f>
        <v>0.93467281037335859</v>
      </c>
    </row>
    <row r="184" spans="1:84" s="6" customFormat="1" ht="11.25" x14ac:dyDescent="0.2">
      <c r="A184" s="11">
        <v>43270</v>
      </c>
      <c r="B184" s="379">
        <f>'2022'!Maxi_hp</f>
        <v>56.988879002316459</v>
      </c>
      <c r="C184" s="13">
        <f>'2022'!An_max</f>
        <v>2022</v>
      </c>
      <c r="D184" s="1053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2">
        <f t="shared" si="80"/>
        <v>43262</v>
      </c>
      <c r="I184" s="753">
        <f t="shared" si="81"/>
        <v>0.5714285714285714</v>
      </c>
      <c r="J184" s="746">
        <f t="shared" si="82"/>
        <v>59.427640816276629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46">
        <v>43270</v>
      </c>
      <c r="AP184" s="13">
        <f t="shared" si="83"/>
        <v>7</v>
      </c>
      <c r="AQ184" s="13">
        <f t="shared" si="84"/>
        <v>8</v>
      </c>
      <c r="AR184" s="172">
        <f t="shared" si="85"/>
        <v>43248</v>
      </c>
      <c r="AS184" s="753">
        <f t="shared" si="86"/>
        <v>0.7857142857142857</v>
      </c>
      <c r="AT184" s="769">
        <f t="shared" si="87"/>
        <v>59.442538319867367</v>
      </c>
      <c r="AU184" s="13">
        <f t="shared" si="88"/>
        <v>7</v>
      </c>
      <c r="AV184" s="13">
        <f t="shared" si="89"/>
        <v>8</v>
      </c>
      <c r="AW184" s="172">
        <f t="shared" si="90"/>
        <v>43262</v>
      </c>
      <c r="AX184" s="753">
        <f t="shared" si="91"/>
        <v>0.2857142857142857</v>
      </c>
      <c r="AY184" s="769">
        <f t="shared" si="92"/>
        <v>59.447865306080452</v>
      </c>
      <c r="AZ184" s="746">
        <f t="shared" si="96"/>
        <v>59.445201812973906</v>
      </c>
      <c r="BA184" s="641">
        <f t="shared" si="93"/>
        <v>0.95896249993332705</v>
      </c>
      <c r="BC184" s="11">
        <v>43270</v>
      </c>
      <c r="BD184" s="289">
        <f>[2]!FeuilCaduc*(1-Persistant)+Persistant</f>
        <v>0.94326851666967559</v>
      </c>
      <c r="BE184" s="290">
        <f>[2]!CroissVégét</f>
        <v>0.5910528631363321</v>
      </c>
      <c r="BF184" s="819">
        <f>1+[2]!Salcycl*Ksac</f>
        <v>1.0429085645837095</v>
      </c>
      <c r="BH184" s="1044">
        <f t="shared" si="94"/>
        <v>2.002755983759183E-2</v>
      </c>
      <c r="BI184" s="11">
        <v>44366</v>
      </c>
      <c r="BJ184" s="726">
        <v>1.6720869774191306E-3</v>
      </c>
      <c r="BK184" s="726">
        <v>4.2949729565940186E-3</v>
      </c>
      <c r="BL184" s="726">
        <v>7.5728596631597584E-3</v>
      </c>
      <c r="BM184" s="726">
        <v>1.1810059120514554E-2</v>
      </c>
      <c r="BN184" s="726">
        <v>1.6879716471601341E-2</v>
      </c>
      <c r="BO184" s="727">
        <v>2.2766003182643144E-2</v>
      </c>
      <c r="BP184" s="726">
        <v>2.9378205829143134E-2</v>
      </c>
      <c r="BQ184" s="726">
        <v>3.663105602435681E-2</v>
      </c>
      <c r="BR184" s="726">
        <v>4.4421154444142859E-2</v>
      </c>
      <c r="BS184" s="726">
        <v>5.2628974528131561E-2</v>
      </c>
      <c r="BT184" s="726">
        <v>6.1078993570929913E-2</v>
      </c>
      <c r="BW184" s="1208">
        <f>'2018'!R\Max</f>
        <v>0</v>
      </c>
      <c r="BX184" s="1206">
        <f>'2019'!R\Max</f>
        <v>0.82492402944777365</v>
      </c>
      <c r="BY184" s="1206">
        <f>'2020'!R\Max</f>
        <v>0.7467077844503448</v>
      </c>
      <c r="BZ184" s="1206">
        <f>'2021'!R\Max</f>
        <v>0.56163538969879412</v>
      </c>
      <c r="CA184" s="1206">
        <f>'2022'!R\Max</f>
        <v>0.95896249993332705</v>
      </c>
      <c r="CB184" s="1206">
        <f>'2023'!R\Max</f>
        <v>0.95895398458952652</v>
      </c>
      <c r="CC184" s="1206">
        <f>'2024'!R\Max</f>
        <v>0.9589452404565596</v>
      </c>
      <c r="CD184" s="1206">
        <f>'2025'!R\Max</f>
        <v>0.95899387168756445</v>
      </c>
      <c r="CE184" s="1206">
        <f>'2026'!R\Max</f>
        <v>0.95898678477565547</v>
      </c>
      <c r="CF184" s="1207">
        <f>'2027'!R\Max</f>
        <v>0.95897883033056219</v>
      </c>
    </row>
    <row r="185" spans="1:84" s="6" customFormat="1" ht="11.25" x14ac:dyDescent="0.2">
      <c r="A185" s="11">
        <v>43271</v>
      </c>
      <c r="B185" s="379">
        <f>'2022'!Maxi_hp</f>
        <v>58.21085404536079</v>
      </c>
      <c r="C185" s="13">
        <f>'2022'!An_max</f>
        <v>2020</v>
      </c>
      <c r="D185" s="1053">
        <f t="shared" si="78"/>
        <v>0.98048423092151105</v>
      </c>
      <c r="E185" s="13"/>
      <c r="F185" s="13">
        <f t="shared" si="95"/>
        <v>13</v>
      </c>
      <c r="G185" s="13">
        <f t="shared" si="79"/>
        <v>14</v>
      </c>
      <c r="H185" s="172">
        <f t="shared" si="80"/>
        <v>43262</v>
      </c>
      <c r="I185" s="753">
        <f t="shared" si="81"/>
        <v>0.6428571428571429</v>
      </c>
      <c r="J185" s="746">
        <f t="shared" si="82"/>
        <v>59.369495408050717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46">
        <v>43271</v>
      </c>
      <c r="AP185" s="13">
        <f t="shared" si="83"/>
        <v>7</v>
      </c>
      <c r="AQ185" s="13">
        <f t="shared" si="84"/>
        <v>8</v>
      </c>
      <c r="AR185" s="172">
        <f t="shared" si="85"/>
        <v>43248</v>
      </c>
      <c r="AS185" s="753">
        <f t="shared" si="86"/>
        <v>0.8214285714285714</v>
      </c>
      <c r="AT185" s="769">
        <f t="shared" si="87"/>
        <v>59.379099783510902</v>
      </c>
      <c r="AU185" s="13">
        <f t="shared" si="88"/>
        <v>7</v>
      </c>
      <c r="AV185" s="13">
        <f t="shared" si="89"/>
        <v>8</v>
      </c>
      <c r="AW185" s="172">
        <f t="shared" si="90"/>
        <v>43262</v>
      </c>
      <c r="AX185" s="753">
        <f t="shared" si="91"/>
        <v>0.32142857142857145</v>
      </c>
      <c r="AY185" s="769">
        <f t="shared" si="92"/>
        <v>59.388408466089253</v>
      </c>
      <c r="AZ185" s="746">
        <f t="shared" si="96"/>
        <v>59.383754124800078</v>
      </c>
      <c r="BA185" s="641">
        <f t="shared" si="93"/>
        <v>0.98048423092151105</v>
      </c>
      <c r="BC185" s="11">
        <v>43271</v>
      </c>
      <c r="BD185" s="289">
        <f>[2]!FeuilCaduc*(1-Persistant)+Persistant</f>
        <v>0.94692681250213284</v>
      </c>
      <c r="BE185" s="290">
        <f>[2]!CroissVégét</f>
        <v>0.60096181929049675</v>
      </c>
      <c r="BF185" s="819">
        <f>1+[2]!Salcycl*Ksac</f>
        <v>1.0433658515627666</v>
      </c>
      <c r="BH185" s="1044">
        <f t="shared" si="94"/>
        <v>2.0060488444681772E-2</v>
      </c>
      <c r="BI185" s="11">
        <v>44367</v>
      </c>
      <c r="BJ185" s="726">
        <v>1.6755272232784361E-3</v>
      </c>
      <c r="BK185" s="726">
        <v>4.3022773824516469E-3</v>
      </c>
      <c r="BL185" s="726">
        <v>7.58609655261221E-3</v>
      </c>
      <c r="BM185" s="726">
        <v>1.1830760728297482E-2</v>
      </c>
      <c r="BN185" s="726">
        <v>1.690850526245621E-2</v>
      </c>
      <c r="BO185" s="727">
        <v>2.2802533192630432E-2</v>
      </c>
      <c r="BP185" s="726">
        <v>2.9422921896902956E-2</v>
      </c>
      <c r="BQ185" s="726">
        <v>3.668370137599497E-2</v>
      </c>
      <c r="BR185" s="726">
        <v>4.4482194386599387E-2</v>
      </c>
      <c r="BS185" s="726">
        <v>5.269793035396101E-2</v>
      </c>
      <c r="BT185" s="726">
        <v>6.1155605974872074E-2</v>
      </c>
      <c r="BW185" s="1208">
        <f>'2018'!R\Max</f>
        <v>0</v>
      </c>
      <c r="BX185" s="1206">
        <f>'2019'!R\Max</f>
        <v>0.43128563141332421</v>
      </c>
      <c r="BY185" s="1206">
        <f>'2020'!R\Max</f>
        <v>0.98048423092151105</v>
      </c>
      <c r="BZ185" s="1206">
        <f>'2021'!R\Max</f>
        <v>0.59005223608778901</v>
      </c>
      <c r="CA185" s="1206">
        <f>'2022'!R\Max</f>
        <v>0.55129358026785569</v>
      </c>
      <c r="CB185" s="1206">
        <f>'2023'!R\Max</f>
        <v>0.55123968936470813</v>
      </c>
      <c r="CC185" s="1206">
        <f>'2024'!R\Max</f>
        <v>0.55118441216646064</v>
      </c>
      <c r="CD185" s="1206">
        <f>'2025'!R\Max</f>
        <v>0.55149210491174583</v>
      </c>
      <c r="CE185" s="1206">
        <f>'2026'!R\Max</f>
        <v>0.55144725514455861</v>
      </c>
      <c r="CF185" s="1207">
        <f>'2027'!R\Max</f>
        <v>0.55139687483745725</v>
      </c>
    </row>
    <row r="186" spans="1:84" s="6" customFormat="1" ht="11.25" x14ac:dyDescent="0.2">
      <c r="A186" s="11">
        <v>43272</v>
      </c>
      <c r="B186" s="379">
        <f>'2022'!Maxi_hp</f>
        <v>52.532940622341521</v>
      </c>
      <c r="C186" s="13">
        <f>'2022'!An_max</f>
        <v>2020</v>
      </c>
      <c r="D186" s="1053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2">
        <f t="shared" si="80"/>
        <v>43262</v>
      </c>
      <c r="I186" s="753">
        <f t="shared" si="81"/>
        <v>0.7142857142857143</v>
      </c>
      <c r="J186" s="746">
        <f t="shared" si="82"/>
        <v>59.310338775574095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46">
        <v>43272</v>
      </c>
      <c r="AP186" s="13">
        <f t="shared" si="83"/>
        <v>7</v>
      </c>
      <c r="AQ186" s="13">
        <f t="shared" si="84"/>
        <v>8</v>
      </c>
      <c r="AR186" s="172">
        <f t="shared" si="85"/>
        <v>43248</v>
      </c>
      <c r="AS186" s="753">
        <f t="shared" si="86"/>
        <v>0.8571428571428571</v>
      </c>
      <c r="AT186" s="769">
        <f t="shared" si="87"/>
        <v>59.315539358503052</v>
      </c>
      <c r="AU186" s="13">
        <f t="shared" si="88"/>
        <v>7</v>
      </c>
      <c r="AV186" s="13">
        <f t="shared" si="89"/>
        <v>8</v>
      </c>
      <c r="AW186" s="172">
        <f t="shared" si="90"/>
        <v>43262</v>
      </c>
      <c r="AX186" s="753">
        <f t="shared" si="91"/>
        <v>0.35714285714285715</v>
      </c>
      <c r="AY186" s="769">
        <f t="shared" si="92"/>
        <v>59.327403188782874</v>
      </c>
      <c r="AZ186" s="746">
        <f t="shared" si="96"/>
        <v>59.321471273642963</v>
      </c>
      <c r="BA186" s="641">
        <f t="shared" si="93"/>
        <v>0.88572990319819711</v>
      </c>
      <c r="BC186" s="11">
        <v>43272</v>
      </c>
      <c r="BD186" s="289">
        <f>[2]!FeuilCaduc*(1-Persistant)+Persistant</f>
        <v>0.95044712156663069</v>
      </c>
      <c r="BE186" s="290">
        <f>[2]!CroissVégét</f>
        <v>0.61078861238975013</v>
      </c>
      <c r="BF186" s="819">
        <f>1+[2]!Salcycl*Ksac</f>
        <v>1.0438058901958289</v>
      </c>
      <c r="BH186" s="1044">
        <f t="shared" si="94"/>
        <v>2.0076156139741421E-2</v>
      </c>
      <c r="BI186" s="11">
        <v>44368</v>
      </c>
      <c r="BJ186" s="726">
        <v>1.6772493567830549E-3</v>
      </c>
      <c r="BK186" s="726">
        <v>4.3057828322298651E-3</v>
      </c>
      <c r="BL186" s="726">
        <v>7.5924917006588554E-3</v>
      </c>
      <c r="BM186" s="726">
        <v>1.1840769081624389E-2</v>
      </c>
      <c r="BN186" s="726">
        <v>1.6922330952553268E-2</v>
      </c>
      <c r="BO186" s="727">
        <v>2.2819803326453669E-2</v>
      </c>
      <c r="BP186" s="726">
        <v>2.9443755787390478E-2</v>
      </c>
      <c r="BQ186" s="726">
        <v>3.6707815256642413E-2</v>
      </c>
      <c r="BR186" s="726">
        <v>4.4509758094860116E-2</v>
      </c>
      <c r="BS186" s="726">
        <v>5.2728572360062662E-2</v>
      </c>
      <c r="BT186" s="726">
        <v>6.1189121799140468E-2</v>
      </c>
      <c r="BW186" s="1208">
        <f>'2018'!R\Max</f>
        <v>0</v>
      </c>
      <c r="BX186" s="1206">
        <f>'2019'!R\Max</f>
        <v>0.16241736359509945</v>
      </c>
      <c r="BY186" s="1206">
        <f>'2020'!R\Max</f>
        <v>0.88572990319819711</v>
      </c>
      <c r="BZ186" s="1206">
        <f>'2021'!R\Max</f>
        <v>0.60758493182952811</v>
      </c>
      <c r="CA186" s="1206">
        <f>'2022'!R\Max</f>
        <v>0.3377131784413927</v>
      </c>
      <c r="CB186" s="1206">
        <f>'2023'!R\Max</f>
        <v>0.33766415751986978</v>
      </c>
      <c r="CC186" s="1206">
        <f>'2024'!R\Max</f>
        <v>0.33761392607512464</v>
      </c>
      <c r="CD186" s="1206">
        <f>'2025'!R\Max</f>
        <v>0.3378937047028473</v>
      </c>
      <c r="CE186" s="1206">
        <f>'2026'!R\Max</f>
        <v>0.33785287597700364</v>
      </c>
      <c r="CF186" s="1207">
        <f>'2027'!R\Max</f>
        <v>0.33780707387812436</v>
      </c>
    </row>
    <row r="187" spans="1:84" s="6" customFormat="1" ht="11.25" x14ac:dyDescent="0.2">
      <c r="A187" s="11">
        <v>43273</v>
      </c>
      <c r="B187" s="379">
        <f>'2022'!Maxi_hp</f>
        <v>59.462179190219061</v>
      </c>
      <c r="C187" s="13">
        <f>'2022'!An_max</f>
        <v>2020</v>
      </c>
      <c r="D187" s="1053">
        <f t="shared" si="78"/>
        <v>1.0035781883565615</v>
      </c>
      <c r="E187" s="13"/>
      <c r="F187" s="13">
        <f t="shared" si="95"/>
        <v>13</v>
      </c>
      <c r="G187" s="13">
        <f t="shared" si="79"/>
        <v>14</v>
      </c>
      <c r="H187" s="172">
        <f t="shared" si="80"/>
        <v>43262</v>
      </c>
      <c r="I187" s="753">
        <f t="shared" si="81"/>
        <v>0.7857142857142857</v>
      </c>
      <c r="J187" s="746">
        <f t="shared" si="82"/>
        <v>59.250170918514151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46">
        <v>43273</v>
      </c>
      <c r="AP187" s="13">
        <f t="shared" si="83"/>
        <v>7</v>
      </c>
      <c r="AQ187" s="13">
        <f t="shared" si="84"/>
        <v>8</v>
      </c>
      <c r="AR187" s="172">
        <f t="shared" si="85"/>
        <v>43248</v>
      </c>
      <c r="AS187" s="753">
        <f t="shared" si="86"/>
        <v>0.8928571428571429</v>
      </c>
      <c r="AT187" s="769">
        <f t="shared" si="87"/>
        <v>59.252033106177784</v>
      </c>
      <c r="AU187" s="13">
        <f t="shared" si="88"/>
        <v>7</v>
      </c>
      <c r="AV187" s="13">
        <f t="shared" si="89"/>
        <v>8</v>
      </c>
      <c r="AW187" s="172">
        <f t="shared" si="90"/>
        <v>43262</v>
      </c>
      <c r="AX187" s="753">
        <f t="shared" si="91"/>
        <v>0.39285714285714285</v>
      </c>
      <c r="AY187" s="769">
        <f t="shared" si="92"/>
        <v>59.26494427621698</v>
      </c>
      <c r="AZ187" s="746">
        <f t="shared" si="96"/>
        <v>59.258488691197385</v>
      </c>
      <c r="BA187" s="641">
        <f t="shared" si="93"/>
        <v>1.0035781883565615</v>
      </c>
      <c r="BC187" s="11">
        <v>43273</v>
      </c>
      <c r="BD187" s="289">
        <f>[2]!FeuilCaduc*(1-Persistant)+Persistant</f>
        <v>0.95382842739256313</v>
      </c>
      <c r="BE187" s="290">
        <f>[2]!CroissVégét</f>
        <v>0.62052607026992535</v>
      </c>
      <c r="BF187" s="819">
        <f>1+[2]!Salcycl*Ksac</f>
        <v>1.0442285534240705</v>
      </c>
      <c r="BH187" s="1044">
        <f t="shared" si="94"/>
        <v>2.0074619647475037E-2</v>
      </c>
      <c r="BI187" s="11">
        <v>44369</v>
      </c>
      <c r="BJ187" s="726">
        <v>1.6772585764693894E-3</v>
      </c>
      <c r="BK187" s="726">
        <v>4.30550163325049E-3</v>
      </c>
      <c r="BL187" s="726">
        <v>7.5920670822499491E-3</v>
      </c>
      <c r="BM187" s="726">
        <v>1.1840118490032144E-2</v>
      </c>
      <c r="BN187" s="726">
        <v>1.69212420442468E-2</v>
      </c>
      <c r="BO187" s="727">
        <v>2.2817877461790415E-2</v>
      </c>
      <c r="BP187" s="726">
        <v>2.944078830843248E-2</v>
      </c>
      <c r="BQ187" s="726">
        <v>3.6703496341751483E-2</v>
      </c>
      <c r="BR187" s="726">
        <v>4.4503963353826038E-2</v>
      </c>
      <c r="BS187" s="726">
        <v>5.2721037843660418E-2</v>
      </c>
      <c r="BT187" s="726">
        <v>6.117969809909219E-2</v>
      </c>
      <c r="BW187" s="1208">
        <f>'2018'!R\Max</f>
        <v>0</v>
      </c>
      <c r="BX187" s="1206">
        <f>'2019'!R\Max</f>
        <v>0.90138488690592722</v>
      </c>
      <c r="BY187" s="1206">
        <f>'2020'!R\Max</f>
        <v>1.0035781883565615</v>
      </c>
      <c r="BZ187" s="1206">
        <f>'2021'!R\Max</f>
        <v>0.6861956722193624</v>
      </c>
      <c r="CA187" s="1206">
        <f>'2022'!R\Max</f>
        <v>0.8076602884564088</v>
      </c>
      <c r="CB187" s="1206">
        <f>'2023'!R\Max</f>
        <v>0.80762605757133288</v>
      </c>
      <c r="CC187" s="1206">
        <f>'2024'!R\Max</f>
        <v>0.80759100510173565</v>
      </c>
      <c r="CD187" s="1206">
        <f>'2025'!R\Max</f>
        <v>0.80778621387458982</v>
      </c>
      <c r="CE187" s="1206">
        <f>'2026'!R\Max</f>
        <v>0.80775771562827459</v>
      </c>
      <c r="CF187" s="1207">
        <f>'2027'!R\Max</f>
        <v>0.80772577888338193</v>
      </c>
    </row>
    <row r="188" spans="1:84" s="6" customFormat="1" ht="11.25" x14ac:dyDescent="0.2">
      <c r="A188" s="11">
        <v>43274</v>
      </c>
      <c r="B188" s="379">
        <f>'2022'!Maxi_hp</f>
        <v>53.377678678761548</v>
      </c>
      <c r="C188" s="13">
        <f>'2022'!An_max</f>
        <v>2019</v>
      </c>
      <c r="D188" s="1053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2">
        <f t="shared" si="80"/>
        <v>43262</v>
      </c>
      <c r="I188" s="753">
        <f t="shared" si="81"/>
        <v>0.8571428571428571</v>
      </c>
      <c r="J188" s="746">
        <f t="shared" si="82"/>
        <v>59.188991836671313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46">
        <v>43274</v>
      </c>
      <c r="AP188" s="13">
        <f t="shared" si="83"/>
        <v>7</v>
      </c>
      <c r="AQ188" s="13">
        <f t="shared" si="84"/>
        <v>8</v>
      </c>
      <c r="AR188" s="172">
        <f t="shared" si="85"/>
        <v>43248</v>
      </c>
      <c r="AS188" s="753">
        <f t="shared" si="86"/>
        <v>0.9285714285714286</v>
      </c>
      <c r="AT188" s="769">
        <f t="shared" si="87"/>
        <v>59.188757088175045</v>
      </c>
      <c r="AU188" s="13">
        <f t="shared" si="88"/>
        <v>7</v>
      </c>
      <c r="AV188" s="13">
        <f t="shared" si="89"/>
        <v>8</v>
      </c>
      <c r="AW188" s="172">
        <f t="shared" si="90"/>
        <v>43262</v>
      </c>
      <c r="AX188" s="753">
        <f t="shared" si="91"/>
        <v>0.42857142857142855</v>
      </c>
      <c r="AY188" s="769">
        <f t="shared" si="92"/>
        <v>59.20112653073987</v>
      </c>
      <c r="AZ188" s="746">
        <f t="shared" si="96"/>
        <v>59.194941809457461</v>
      </c>
      <c r="BA188" s="641">
        <f t="shared" si="93"/>
        <v>0.90181766950946285</v>
      </c>
      <c r="BC188" s="11">
        <v>43274</v>
      </c>
      <c r="BD188" s="289">
        <f>[2]!FeuilCaduc*(1-Persistant)+Persistant</f>
        <v>0.95707012071897468</v>
      </c>
      <c r="BE188" s="290">
        <f>[2]!CroissVégét</f>
        <v>0.6301672999323692</v>
      </c>
      <c r="BF188" s="819">
        <f>1+[2]!Salcycl*Ksac</f>
        <v>1.0446337650898718</v>
      </c>
      <c r="BH188" s="1044">
        <f t="shared" si="94"/>
        <v>2.0055728806430733E-2</v>
      </c>
      <c r="BI188" s="11">
        <v>44370</v>
      </c>
      <c r="BJ188" s="726">
        <v>1.6755427685588118E-3</v>
      </c>
      <c r="BK188" s="726">
        <v>4.3014017315617294E-3</v>
      </c>
      <c r="BL188" s="726">
        <v>7.5847663991843867E-3</v>
      </c>
      <c r="BM188" s="726">
        <v>1.1828721190832862E-2</v>
      </c>
      <c r="BN188" s="726">
        <v>1.6905112611932907E-2</v>
      </c>
      <c r="BO188" s="727">
        <v>2.2796584353389843E-2</v>
      </c>
      <c r="BP188" s="726">
        <v>2.94137969940238E-2</v>
      </c>
      <c r="BQ188" s="726">
        <v>3.6670465339051855E-2</v>
      </c>
      <c r="BR188" s="726">
        <v>4.4464469760885555E-2</v>
      </c>
      <c r="BS188" s="726">
        <v>5.2674921446257322E-2</v>
      </c>
      <c r="BT188" s="726">
        <v>6.1126862341838027E-2</v>
      </c>
      <c r="BW188" s="1208">
        <f>'2018'!R\Max</f>
        <v>0</v>
      </c>
      <c r="BX188" s="1206">
        <f>'2019'!R\Max</f>
        <v>0.90181766950946285</v>
      </c>
      <c r="BY188" s="1206">
        <f>'2020'!R\Max</f>
        <v>0.87905231098678982</v>
      </c>
      <c r="BZ188" s="1206">
        <f>'2021'!R\Max</f>
        <v>0.42708444911120863</v>
      </c>
      <c r="CA188" s="1206">
        <f>'2022'!R\Max</f>
        <v>0.72587519411411028</v>
      </c>
      <c r="CB188" s="1206">
        <f>'2023'!R\Max</f>
        <v>0.7258311528931285</v>
      </c>
      <c r="CC188" s="1206">
        <f>'2024'!R\Max</f>
        <v>0.72578609510847447</v>
      </c>
      <c r="CD188" s="1206">
        <f>'2025'!R\Max</f>
        <v>0.7260371208153138</v>
      </c>
      <c r="CE188" s="1206">
        <f>'2026'!R\Max</f>
        <v>0.72600044010022113</v>
      </c>
      <c r="CF188" s="1207">
        <f>'2027'!R\Max</f>
        <v>0.72595938292510376</v>
      </c>
    </row>
    <row r="189" spans="1:84" s="6" customFormat="1" ht="11.25" x14ac:dyDescent="0.2">
      <c r="A189" s="11">
        <v>43275</v>
      </c>
      <c r="B189" s="379">
        <f>'2022'!Maxi_hp</f>
        <v>58.686977834802818</v>
      </c>
      <c r="C189" s="13">
        <f>'2022'!An_max</f>
        <v>2020</v>
      </c>
      <c r="D189" s="1053">
        <f t="shared" si="78"/>
        <v>0.99256134808100771</v>
      </c>
      <c r="E189" s="13"/>
      <c r="F189" s="13">
        <f t="shared" si="95"/>
        <v>13</v>
      </c>
      <c r="G189" s="13">
        <f t="shared" si="79"/>
        <v>14</v>
      </c>
      <c r="H189" s="172">
        <f t="shared" si="80"/>
        <v>43262</v>
      </c>
      <c r="I189" s="753">
        <f t="shared" si="81"/>
        <v>0.9285714285714286</v>
      </c>
      <c r="J189" s="746">
        <f t="shared" si="82"/>
        <v>59.126801530471333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46">
        <v>43275</v>
      </c>
      <c r="AP189" s="13">
        <f t="shared" si="83"/>
        <v>7</v>
      </c>
      <c r="AQ189" s="13">
        <f t="shared" si="84"/>
        <v>8</v>
      </c>
      <c r="AR189" s="172">
        <f t="shared" si="85"/>
        <v>43248</v>
      </c>
      <c r="AS189" s="753">
        <f t="shared" si="86"/>
        <v>0.9642857142857143</v>
      </c>
      <c r="AT189" s="769">
        <f t="shared" si="87"/>
        <v>59.125887365556061</v>
      </c>
      <c r="AU189" s="13">
        <f t="shared" si="88"/>
        <v>7</v>
      </c>
      <c r="AV189" s="13">
        <f t="shared" si="89"/>
        <v>8</v>
      </c>
      <c r="AW189" s="172">
        <f t="shared" si="90"/>
        <v>43262</v>
      </c>
      <c r="AX189" s="753">
        <f t="shared" si="91"/>
        <v>0.4642857142857143</v>
      </c>
      <c r="AY189" s="769">
        <f t="shared" si="92"/>
        <v>59.136044754427189</v>
      </c>
      <c r="AZ189" s="746">
        <f t="shared" si="96"/>
        <v>59.130966059991621</v>
      </c>
      <c r="BA189" s="641">
        <f t="shared" si="93"/>
        <v>0.99256134808100771</v>
      </c>
      <c r="BC189" s="11">
        <v>43275</v>
      </c>
      <c r="BD189" s="289">
        <f>[2]!FeuilCaduc*(1-Persistant)+Persistant</f>
        <v>0.96017199524755636</v>
      </c>
      <c r="BE189" s="290">
        <f>[2]!CroissVégét</f>
        <v>0.63970570469545396</v>
      </c>
      <c r="BF189" s="819">
        <f>1+[2]!Salcycl*Ksac</f>
        <v>1.0450214994059446</v>
      </c>
      <c r="BH189" s="1044">
        <f t="shared" si="94"/>
        <v>2.0019322051054722E-2</v>
      </c>
      <c r="BI189" s="11">
        <v>44371</v>
      </c>
      <c r="BJ189" s="726">
        <v>1.6720888517055548E-3</v>
      </c>
      <c r="BK189" s="726">
        <v>4.2934486221396966E-3</v>
      </c>
      <c r="BL189" s="726">
        <v>7.5705290235543411E-3</v>
      </c>
      <c r="BM189" s="726">
        <v>1.1806482667751174E-2</v>
      </c>
      <c r="BN189" s="726">
        <v>1.6873807095200779E-2</v>
      </c>
      <c r="BO189" s="727">
        <v>2.2755739812713973E-2</v>
      </c>
      <c r="BP189" s="726">
        <v>2.9362542729775214E-2</v>
      </c>
      <c r="BQ189" s="726">
        <v>3.6608422267278083E-2</v>
      </c>
      <c r="BR189" s="726">
        <v>4.4390911887244353E-2</v>
      </c>
      <c r="BS189" s="726">
        <v>5.2589788234178453E-2</v>
      </c>
      <c r="BT189" s="726">
        <v>6.1030107747099403E-2</v>
      </c>
      <c r="BW189" s="1208">
        <f>'2018'!R\Max</f>
        <v>0</v>
      </c>
      <c r="BX189" s="1206">
        <f>'2019'!R\Max</f>
        <v>0.66320426144252964</v>
      </c>
      <c r="BY189" s="1206">
        <f>'2020'!R\Max</f>
        <v>0.99256134808100771</v>
      </c>
      <c r="BZ189" s="1206">
        <f>'2021'!R\Max</f>
        <v>0.64189553562921742</v>
      </c>
      <c r="CA189" s="1206">
        <f>'2022'!R\Max</f>
        <v>0.78837179716530503</v>
      </c>
      <c r="CB189" s="1206">
        <f>'2023'!R\Max</f>
        <v>0.78833473413062727</v>
      </c>
      <c r="CC189" s="1206">
        <f>'2024'!R\Max</f>
        <v>0.78829684634275365</v>
      </c>
      <c r="CD189" s="1206">
        <f>'2025'!R\Max</f>
        <v>0.78850796669006429</v>
      </c>
      <c r="CE189" s="1206">
        <f>'2026'!R\Max</f>
        <v>0.78847709503160501</v>
      </c>
      <c r="CF189" s="1207">
        <f>'2027'!R\Max</f>
        <v>0.7884425780276979</v>
      </c>
    </row>
    <row r="190" spans="1:84" s="6" customFormat="1" ht="11.25" x14ac:dyDescent="0.2">
      <c r="A190" s="11">
        <v>43276</v>
      </c>
      <c r="B190" s="379">
        <f>'2022'!Maxi_hp</f>
        <v>55.730397600386027</v>
      </c>
      <c r="C190" s="13">
        <f>'2022'!An_max</f>
        <v>2020</v>
      </c>
      <c r="D190" s="1053" t="str">
        <f t="shared" si="78"/>
        <v/>
      </c>
      <c r="E190" s="1048">
        <f>Z$13/10</f>
        <v>59.063599999999994</v>
      </c>
      <c r="F190" s="13">
        <f t="shared" si="95"/>
        <v>15</v>
      </c>
      <c r="G190" s="13">
        <f t="shared" si="79"/>
        <v>14</v>
      </c>
      <c r="H190" s="172">
        <f t="shared" si="80"/>
        <v>43290</v>
      </c>
      <c r="I190" s="753">
        <f t="shared" si="81"/>
        <v>1</v>
      </c>
      <c r="J190" s="746">
        <f t="shared" si="82"/>
        <v>59.06359999999404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46">
        <v>43276</v>
      </c>
      <c r="AP190" s="13">
        <f t="shared" si="83"/>
        <v>9</v>
      </c>
      <c r="AQ190" s="13">
        <f t="shared" si="84"/>
        <v>8</v>
      </c>
      <c r="AR190" s="172">
        <f t="shared" si="85"/>
        <v>43304</v>
      </c>
      <c r="AS190" s="753">
        <f t="shared" si="86"/>
        <v>1</v>
      </c>
      <c r="AT190" s="769">
        <f t="shared" si="87"/>
        <v>59.06359999999404</v>
      </c>
      <c r="AU190" s="13">
        <f t="shared" si="88"/>
        <v>7</v>
      </c>
      <c r="AV190" s="13">
        <f t="shared" si="89"/>
        <v>8</v>
      </c>
      <c r="AW190" s="172">
        <f t="shared" si="90"/>
        <v>43262</v>
      </c>
      <c r="AX190" s="753">
        <f t="shared" si="91"/>
        <v>0.5</v>
      </c>
      <c r="AY190" s="769">
        <f t="shared" si="92"/>
        <v>59.06979375006631</v>
      </c>
      <c r="AZ190" s="746">
        <f t="shared" si="96"/>
        <v>59.066696875030175</v>
      </c>
      <c r="BA190" s="641">
        <f t="shared" si="93"/>
        <v>0.94356587814477366</v>
      </c>
      <c r="BC190" s="11">
        <v>43276</v>
      </c>
      <c r="BD190" s="289">
        <f>[2]!FeuilCaduc*(1-Persistant)+Persistant</f>
        <v>0.96313424118963542</v>
      </c>
      <c r="BE190" s="290">
        <f>[2]!CroissVégét</f>
        <v>0.64913499947740572</v>
      </c>
      <c r="BF190" s="819">
        <f>1+[2]!Salcycl*Ksac</f>
        <v>1.0453917801487045</v>
      </c>
      <c r="BH190" s="1044">
        <f t="shared" si="94"/>
        <v>1.9965437665231851E-2</v>
      </c>
      <c r="BI190" s="11">
        <v>44372</v>
      </c>
      <c r="BJ190" s="726">
        <v>1.6669004406540712E-3</v>
      </c>
      <c r="BK190" s="726">
        <v>4.2816506620931109E-3</v>
      </c>
      <c r="BL190" s="726">
        <v>7.5493699071901028E-3</v>
      </c>
      <c r="BM190" s="726">
        <v>1.1773426273866457E-2</v>
      </c>
      <c r="BN190" s="726">
        <v>1.6827358387813813E-2</v>
      </c>
      <c r="BO190" s="727">
        <v>2.2695386812744436E-2</v>
      </c>
      <c r="BP190" s="726">
        <v>2.9287079502174469E-2</v>
      </c>
      <c r="BQ190" s="726">
        <v>3.6517432557767453E-2</v>
      </c>
      <c r="BR190" s="726">
        <v>4.4283367382953881E-2</v>
      </c>
      <c r="BS190" s="726">
        <v>5.2465728168950621E-2</v>
      </c>
      <c r="BT190" s="726">
        <v>6.0889536652715383E-2</v>
      </c>
      <c r="BW190" s="1208">
        <f>'2018'!R\Max</f>
        <v>0</v>
      </c>
      <c r="BX190" s="1206">
        <f>'2019'!R\Max</f>
        <v>0.87906474544982682</v>
      </c>
      <c r="BY190" s="1206">
        <f>'2020'!R\Max</f>
        <v>0.94356587814477366</v>
      </c>
      <c r="BZ190" s="1206">
        <f>'2021'!R\Max</f>
        <v>0.91984698518094732</v>
      </c>
      <c r="CA190" s="1206">
        <f>'2022'!R\Max</f>
        <v>0.55475462103633877</v>
      </c>
      <c r="CB190" s="1206">
        <f>'2023'!R\Max</f>
        <v>0.55469959847934147</v>
      </c>
      <c r="CC190" s="1206">
        <f>'2024'!R\Max</f>
        <v>0.55464340339319618</v>
      </c>
      <c r="CD190" s="1206">
        <f>'2025'!R\Max</f>
        <v>0.55495667783821878</v>
      </c>
      <c r="CE190" s="1206">
        <f>'2026'!R\Max</f>
        <v>0.55491082343553988</v>
      </c>
      <c r="CF190" s="1207">
        <f>'2027'!R\Max</f>
        <v>0.55485961468515521</v>
      </c>
    </row>
    <row r="191" spans="1:84" s="6" customFormat="1" ht="11.25" x14ac:dyDescent="0.2">
      <c r="A191" s="11">
        <v>43277</v>
      </c>
      <c r="B191" s="379">
        <f>'2022'!Maxi_hp</f>
        <v>57.645147266339038</v>
      </c>
      <c r="C191" s="13">
        <f>'2022'!An_max</f>
        <v>2019</v>
      </c>
      <c r="D191" s="1053">
        <f t="shared" si="78"/>
        <v>0.97705042915232776</v>
      </c>
      <c r="E191" s="13"/>
      <c r="F191" s="13">
        <f t="shared" si="95"/>
        <v>15</v>
      </c>
      <c r="G191" s="13">
        <f t="shared" si="79"/>
        <v>14</v>
      </c>
      <c r="H191" s="172">
        <f t="shared" si="80"/>
        <v>43290</v>
      </c>
      <c r="I191" s="753">
        <f t="shared" si="81"/>
        <v>0.9285714285714286</v>
      </c>
      <c r="J191" s="746">
        <f t="shared" si="82"/>
        <v>58.99915249651032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46">
        <v>43277</v>
      </c>
      <c r="AP191" s="13">
        <f t="shared" si="83"/>
        <v>9</v>
      </c>
      <c r="AQ191" s="13">
        <f t="shared" si="84"/>
        <v>8</v>
      </c>
      <c r="AR191" s="172">
        <f t="shared" si="85"/>
        <v>43304</v>
      </c>
      <c r="AS191" s="753">
        <f t="shared" si="86"/>
        <v>0.9642857142857143</v>
      </c>
      <c r="AT191" s="769">
        <f t="shared" si="87"/>
        <v>59.00122008920048</v>
      </c>
      <c r="AU191" s="13">
        <f t="shared" si="88"/>
        <v>7</v>
      </c>
      <c r="AV191" s="13">
        <f t="shared" si="89"/>
        <v>8</v>
      </c>
      <c r="AW191" s="172">
        <f t="shared" si="90"/>
        <v>43262</v>
      </c>
      <c r="AX191" s="753">
        <f t="shared" si="91"/>
        <v>0.5357142857142857</v>
      </c>
      <c r="AY191" s="769">
        <f t="shared" si="92"/>
        <v>59.002468319579826</v>
      </c>
      <c r="AZ191" s="746">
        <f t="shared" si="96"/>
        <v>59.001844204390153</v>
      </c>
      <c r="BA191" s="641">
        <f t="shared" si="93"/>
        <v>0.97705042915232776</v>
      </c>
      <c r="BC191" s="11">
        <v>43277</v>
      </c>
      <c r="BD191" s="289">
        <f>[2]!FeuilCaduc*(1-Persistant)+Persistant</f>
        <v>0.96595743665661438</v>
      </c>
      <c r="BE191" s="290">
        <f>[2]!CroissVégét</f>
        <v>0.65844922415907026</v>
      </c>
      <c r="BF191" s="819">
        <f>1+[2]!Salcycl*Ksac</f>
        <v>1.0457446795820768</v>
      </c>
      <c r="BH191" s="1044">
        <f t="shared" si="94"/>
        <v>1.989411381755132E-2</v>
      </c>
      <c r="BI191" s="11">
        <v>44373</v>
      </c>
      <c r="BJ191" s="726">
        <v>1.659981138704583E-3</v>
      </c>
      <c r="BK191" s="726">
        <v>4.2660161831663788E-3</v>
      </c>
      <c r="BL191" s="726">
        <v>7.5213039562584266E-3</v>
      </c>
      <c r="BM191" s="726">
        <v>1.1729575290891142E-2</v>
      </c>
      <c r="BN191" s="726">
        <v>1.6765799283636185E-2</v>
      </c>
      <c r="BO191" s="727">
        <v>2.26155681977732E-2</v>
      </c>
      <c r="BP191" s="726">
        <v>2.9187461138020145E-2</v>
      </c>
      <c r="BQ191" s="726">
        <v>3.6397561450927526E-2</v>
      </c>
      <c r="BR191" s="726">
        <v>4.4141913673902348E-2</v>
      </c>
      <c r="BS191" s="726">
        <v>5.2302830955365767E-2</v>
      </c>
      <c r="BT191" s="726">
        <v>6.0705251107554183E-2</v>
      </c>
      <c r="BW191" s="1208">
        <f>'2018'!R\Max</f>
        <v>0</v>
      </c>
      <c r="BX191" s="1206">
        <f>'2019'!R\Max</f>
        <v>0.97705042915232776</v>
      </c>
      <c r="BY191" s="1206">
        <f>'2020'!R\Max</f>
        <v>0.84740056660952967</v>
      </c>
      <c r="BZ191" s="1206">
        <f>'2021'!R\Max</f>
        <v>0.96092168658268928</v>
      </c>
      <c r="CA191" s="1206">
        <f>'2022'!R\Max</f>
        <v>0.20136697670606346</v>
      </c>
      <c r="CB191" s="1206">
        <f>'2023'!R\Max</f>
        <v>0.20133550667491049</v>
      </c>
      <c r="CC191" s="1206">
        <f>'2024'!R\Max</f>
        <v>0.20130339531541785</v>
      </c>
      <c r="CD191" s="1206">
        <f>'2025'!R\Max</f>
        <v>0.20148248500801735</v>
      </c>
      <c r="CE191" s="1206">
        <f>'2026'!R\Max</f>
        <v>0.20145624645628607</v>
      </c>
      <c r="CF191" s="1207">
        <f>'2027'!R\Max</f>
        <v>0.20142697745757687</v>
      </c>
    </row>
    <row r="192" spans="1:84" s="6" customFormat="1" ht="11.25" x14ac:dyDescent="0.2">
      <c r="A192" s="11">
        <v>43278</v>
      </c>
      <c r="B192" s="379">
        <f>'2022'!Maxi_hp</f>
        <v>57.559954834573851</v>
      </c>
      <c r="C192" s="13">
        <f>'2022'!An_max</f>
        <v>2019</v>
      </c>
      <c r="D192" s="1053">
        <f t="shared" si="78"/>
        <v>0.97669667661177484</v>
      </c>
      <c r="E192" s="13"/>
      <c r="F192" s="13">
        <f t="shared" si="95"/>
        <v>15</v>
      </c>
      <c r="G192" s="13">
        <f t="shared" si="79"/>
        <v>14</v>
      </c>
      <c r="H192" s="172">
        <f t="shared" si="80"/>
        <v>43290</v>
      </c>
      <c r="I192" s="753">
        <f t="shared" si="81"/>
        <v>0.8571428571428571</v>
      </c>
      <c r="J192" s="746">
        <f t="shared" si="82"/>
        <v>58.933296501277276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46">
        <v>43278</v>
      </c>
      <c r="AP192" s="13">
        <f t="shared" si="83"/>
        <v>9</v>
      </c>
      <c r="AQ192" s="13">
        <f t="shared" si="84"/>
        <v>8</v>
      </c>
      <c r="AR192" s="172">
        <f t="shared" si="85"/>
        <v>43304</v>
      </c>
      <c r="AS192" s="753">
        <f t="shared" si="86"/>
        <v>0.9285714285714286</v>
      </c>
      <c r="AT192" s="769">
        <f t="shared" si="87"/>
        <v>58.937955357047862</v>
      </c>
      <c r="AU192" s="13">
        <f t="shared" si="88"/>
        <v>7</v>
      </c>
      <c r="AV192" s="13">
        <f t="shared" si="89"/>
        <v>8</v>
      </c>
      <c r="AW192" s="172">
        <f t="shared" si="90"/>
        <v>43262</v>
      </c>
      <c r="AX192" s="753">
        <f t="shared" si="91"/>
        <v>0.5714285714285714</v>
      </c>
      <c r="AY192" s="769">
        <f t="shared" si="92"/>
        <v>58.934163265356005</v>
      </c>
      <c r="AZ192" s="746">
        <f t="shared" si="96"/>
        <v>58.93605931120193</v>
      </c>
      <c r="BA192" s="641">
        <f t="shared" si="93"/>
        <v>0.97669667661177484</v>
      </c>
      <c r="BC192" s="11">
        <v>43278</v>
      </c>
      <c r="BD192" s="289">
        <f>[2]!FeuilCaduc*(1-Persistant)+Persistant</f>
        <v>0.96864253696018876</v>
      </c>
      <c r="BE192" s="290">
        <f>[2]!CroissVégét</f>
        <v>0.66764275499450454</v>
      </c>
      <c r="BF192" s="819">
        <f>1+[2]!Salcycl*Ksac</f>
        <v>1.0460803171200237</v>
      </c>
      <c r="BH192" s="1044">
        <f t="shared" si="94"/>
        <v>1.979710556360903E-2</v>
      </c>
      <c r="BI192" s="11">
        <v>44374</v>
      </c>
      <c r="BJ192" s="726">
        <v>1.6509923869786752E-3</v>
      </c>
      <c r="BK192" s="726">
        <v>4.2449440110372116E-3</v>
      </c>
      <c r="BL192" s="726">
        <v>7.483187060206422E-3</v>
      </c>
      <c r="BM192" s="726">
        <v>1.1669814547099472E-2</v>
      </c>
      <c r="BN192" s="726">
        <v>1.6682039651256423E-2</v>
      </c>
      <c r="BO192" s="727">
        <v>2.2507034402267763E-2</v>
      </c>
      <c r="BP192" s="726">
        <v>2.905236708113797E-2</v>
      </c>
      <c r="BQ192" s="726">
        <v>3.6235099835912797E-2</v>
      </c>
      <c r="BR192" s="726">
        <v>4.3950495723359372E-2</v>
      </c>
      <c r="BS192" s="726">
        <v>5.2082532569385068E-2</v>
      </c>
      <c r="BT192" s="726">
        <v>6.0456171261270696E-2</v>
      </c>
      <c r="BW192" s="1208">
        <f>'2018'!R\Max</f>
        <v>0</v>
      </c>
      <c r="BX192" s="1206">
        <f>'2019'!R\Max</f>
        <v>0.97669667661177484</v>
      </c>
      <c r="BY192" s="1206">
        <f>'2020'!R\Max</f>
        <v>0.86049852110209002</v>
      </c>
      <c r="BZ192" s="1206">
        <f>'2021'!R\Max</f>
        <v>0.13723309724648397</v>
      </c>
      <c r="CA192" s="1206">
        <f>'2022'!R\Max</f>
        <v>0.30072830839962322</v>
      </c>
      <c r="CB192" s="1206">
        <f>'2023'!R\Max</f>
        <v>0.30068133109330408</v>
      </c>
      <c r="CC192" s="1206">
        <f>'2024'!R\Max</f>
        <v>0.30063343380875163</v>
      </c>
      <c r="CD192" s="1206">
        <f>'2025'!R\Max</f>
        <v>0.30090059481632148</v>
      </c>
      <c r="CE192" s="1206">
        <f>'2026'!R\Max</f>
        <v>0.30086143009471789</v>
      </c>
      <c r="CF192" s="1207">
        <f>'2027'!R\Max</f>
        <v>0.30081778331425818</v>
      </c>
    </row>
    <row r="193" spans="1:84" s="6" customFormat="1" ht="11.25" x14ac:dyDescent="0.2">
      <c r="A193" s="11">
        <v>43279</v>
      </c>
      <c r="B193" s="379">
        <f>'2022'!Maxi_hp</f>
        <v>58.675240377645331</v>
      </c>
      <c r="C193" s="13">
        <f>'2022'!An_max</f>
        <v>2022</v>
      </c>
      <c r="D193" s="1053">
        <f t="shared" si="78"/>
        <v>0.99675704943742305</v>
      </c>
      <c r="E193" s="13"/>
      <c r="F193" s="13">
        <f t="shared" si="95"/>
        <v>15</v>
      </c>
      <c r="G193" s="13">
        <f t="shared" si="79"/>
        <v>14</v>
      </c>
      <c r="H193" s="172">
        <f t="shared" si="80"/>
        <v>43290</v>
      </c>
      <c r="I193" s="753">
        <f t="shared" si="81"/>
        <v>0.7857142857142857</v>
      </c>
      <c r="J193" s="746">
        <f t="shared" si="82"/>
        <v>58.866140360644614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46">
        <v>43279</v>
      </c>
      <c r="AP193" s="13">
        <f t="shared" si="83"/>
        <v>9</v>
      </c>
      <c r="AQ193" s="13">
        <f t="shared" si="84"/>
        <v>8</v>
      </c>
      <c r="AR193" s="172">
        <f t="shared" si="85"/>
        <v>43304</v>
      </c>
      <c r="AS193" s="753">
        <f t="shared" si="86"/>
        <v>0.8928571428571429</v>
      </c>
      <c r="AT193" s="769">
        <f t="shared" si="87"/>
        <v>58.87380580351622</v>
      </c>
      <c r="AU193" s="13">
        <f t="shared" si="88"/>
        <v>7</v>
      </c>
      <c r="AV193" s="13">
        <f t="shared" si="89"/>
        <v>8</v>
      </c>
      <c r="AW193" s="172">
        <f t="shared" si="90"/>
        <v>43262</v>
      </c>
      <c r="AX193" s="753">
        <f t="shared" si="91"/>
        <v>0.6071428571428571</v>
      </c>
      <c r="AY193" s="769">
        <f t="shared" si="92"/>
        <v>58.864973389746488</v>
      </c>
      <c r="AZ193" s="746">
        <f t="shared" si="96"/>
        <v>58.869389596631351</v>
      </c>
      <c r="BA193" s="641">
        <f t="shared" si="93"/>
        <v>0.99675704943742305</v>
      </c>
      <c r="BC193" s="11">
        <v>43279</v>
      </c>
      <c r="BD193" s="289">
        <f>[2]!FeuilCaduc*(1-Persistant)+Persistant</f>
        <v>0.97119086190502157</v>
      </c>
      <c r="BE193" s="290">
        <f>[2]!CroissVégét</f>
        <v>0.67671031405616355</v>
      </c>
      <c r="BF193" s="819">
        <f>1+[2]!Salcycl*Ksac</f>
        <v>1.0463988577381278</v>
      </c>
      <c r="BH193" s="1044">
        <f t="shared" si="94"/>
        <v>1.9683205048012613E-2</v>
      </c>
      <c r="BI193" s="11">
        <v>44375</v>
      </c>
      <c r="BJ193" s="726">
        <v>1.6408057690456299E-3</v>
      </c>
      <c r="BK193" s="726">
        <v>4.2203679006427054E-3</v>
      </c>
      <c r="BL193" s="726">
        <v>7.4385007605387759E-3</v>
      </c>
      <c r="BM193" s="726">
        <v>1.1599585568207157E-2</v>
      </c>
      <c r="BN193" s="726">
        <v>1.6583696859978524E-2</v>
      </c>
      <c r="BO193" s="727">
        <v>2.2379599558030826E-2</v>
      </c>
      <c r="BP193" s="726">
        <v>2.8893976749972752E-2</v>
      </c>
      <c r="BQ193" s="726">
        <v>3.6044612012522577E-2</v>
      </c>
      <c r="BR193" s="726">
        <v>4.3726214657655166E-2</v>
      </c>
      <c r="BS193" s="726">
        <v>5.1824421486074343E-2</v>
      </c>
      <c r="BT193" s="726">
        <v>6.0164347764840004E-2</v>
      </c>
      <c r="BW193" s="1208">
        <f>'2018'!R\Max</f>
        <v>0</v>
      </c>
      <c r="BX193" s="1206">
        <f>'2019'!R\Max</f>
        <v>0.95510714301532285</v>
      </c>
      <c r="BY193" s="1206">
        <f>'2020'!R\Max</f>
        <v>0.7312190852858772</v>
      </c>
      <c r="BZ193" s="1206">
        <f>'2021'!R\Max</f>
        <v>0.4298606037946926</v>
      </c>
      <c r="CA193" s="1206">
        <f>'2022'!R\Max</f>
        <v>0.99675704943742305</v>
      </c>
      <c r="CB193" s="1206">
        <f>'2023'!R\Max</f>
        <v>0.9967563271823634</v>
      </c>
      <c r="CC193" s="1206">
        <f>'2024'!R\Max</f>
        <v>0.99675559111855327</v>
      </c>
      <c r="CD193" s="1206">
        <f>'2025'!R\Max</f>
        <v>0.99675969413666277</v>
      </c>
      <c r="CE193" s="1206">
        <f>'2026'!R\Max</f>
        <v>0.99675909279631936</v>
      </c>
      <c r="CF193" s="1207">
        <f>'2027'!R\Max</f>
        <v>0.99675842303577911</v>
      </c>
    </row>
    <row r="194" spans="1:84" s="6" customFormat="1" ht="11.25" x14ac:dyDescent="0.2">
      <c r="A194" s="11">
        <v>43280</v>
      </c>
      <c r="B194" s="379">
        <f>'2022'!Maxi_hp</f>
        <v>56.313497394774842</v>
      </c>
      <c r="C194" s="13">
        <f>'2022'!An_max</f>
        <v>2022</v>
      </c>
      <c r="D194" s="1053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2">
        <f t="shared" si="80"/>
        <v>43290</v>
      </c>
      <c r="I194" s="753">
        <f t="shared" si="81"/>
        <v>0.7142857142857143</v>
      </c>
      <c r="J194" s="746">
        <f t="shared" si="82"/>
        <v>58.797792419764605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46">
        <v>43280</v>
      </c>
      <c r="AP194" s="13">
        <f t="shared" si="83"/>
        <v>9</v>
      </c>
      <c r="AQ194" s="13">
        <f t="shared" si="84"/>
        <v>8</v>
      </c>
      <c r="AR194" s="172">
        <f t="shared" si="85"/>
        <v>43304</v>
      </c>
      <c r="AS194" s="753">
        <f t="shared" si="86"/>
        <v>0.8571428571428571</v>
      </c>
      <c r="AT194" s="769">
        <f t="shared" si="87"/>
        <v>58.808771428465846</v>
      </c>
      <c r="AU194" s="13">
        <f t="shared" si="88"/>
        <v>7</v>
      </c>
      <c r="AV194" s="13">
        <f t="shared" si="89"/>
        <v>8</v>
      </c>
      <c r="AW194" s="172">
        <f t="shared" si="90"/>
        <v>43262</v>
      </c>
      <c r="AX194" s="753">
        <f t="shared" si="91"/>
        <v>0.6428571428571429</v>
      </c>
      <c r="AY194" s="769">
        <f t="shared" si="92"/>
        <v>58.794993495009841</v>
      </c>
      <c r="AZ194" s="746">
        <f t="shared" si="96"/>
        <v>58.801882461737847</v>
      </c>
      <c r="BA194" s="641">
        <f t="shared" si="93"/>
        <v>0.95774849832364317</v>
      </c>
      <c r="BC194" s="11">
        <v>43280</v>
      </c>
      <c r="BD194" s="289">
        <f>[2]!FeuilCaduc*(1-Persistant)+Persistant</f>
        <v>0.97360408117219543</v>
      </c>
      <c r="BE194" s="290">
        <f>[2]!CroissVégét</f>
        <v>0.6856469767197082</v>
      </c>
      <c r="BF194" s="819">
        <f>1+[2]!Salcycl*Ksac</f>
        <v>1.0467005101465245</v>
      </c>
      <c r="BH194" s="1044">
        <f t="shared" si="94"/>
        <v>1.9552448717138154E-2</v>
      </c>
      <c r="BI194" s="11">
        <v>44376</v>
      </c>
      <c r="BJ194" s="726">
        <v>1.6294240035219451E-3</v>
      </c>
      <c r="BK194" s="726">
        <v>4.1922954885177961E-3</v>
      </c>
      <c r="BL194" s="726">
        <v>7.3872591008922921E-3</v>
      </c>
      <c r="BM194" s="726">
        <v>1.151891058732854E-2</v>
      </c>
      <c r="BN194" s="726">
        <v>1.6470802131521769E-2</v>
      </c>
      <c r="BO194" s="727">
        <v>2.2233304656590513E-2</v>
      </c>
      <c r="BP194" s="726">
        <v>2.8712341438285154E-2</v>
      </c>
      <c r="BQ194" s="726">
        <v>3.5826160450885505E-2</v>
      </c>
      <c r="BR194" s="726">
        <v>4.3469144589909511E-2</v>
      </c>
      <c r="BS194" s="726">
        <v>5.1528583877714133E-2</v>
      </c>
      <c r="BT194" s="726">
        <v>5.9829878965709925E-2</v>
      </c>
      <c r="BW194" s="1208">
        <f>'2018'!R\Max</f>
        <v>0</v>
      </c>
      <c r="BX194" s="1206">
        <f>'2019'!R\Max</f>
        <v>0.94156277450002468</v>
      </c>
      <c r="BY194" s="1206">
        <f>'2020'!R\Max</f>
        <v>0.84985534399454921</v>
      </c>
      <c r="BZ194" s="1206">
        <f>'2021'!R\Max</f>
        <v>0.65428125903882728</v>
      </c>
      <c r="CA194" s="1206">
        <f>'2022'!R\Max</f>
        <v>0.95774849832364317</v>
      </c>
      <c r="CB194" s="1206">
        <f>'2023'!R\Max</f>
        <v>0.95773946347723693</v>
      </c>
      <c r="CC194" s="1206">
        <f>'2024'!R\Max</f>
        <v>0.95773026304217623</v>
      </c>
      <c r="CD194" s="1206">
        <f>'2025'!R\Max</f>
        <v>0.95778155448446733</v>
      </c>
      <c r="CE194" s="1206">
        <f>'2026'!R\Max</f>
        <v>0.9577740335415319</v>
      </c>
      <c r="CF194" s="1207">
        <f>'2027'!R\Max</f>
        <v>0.95776566361031557</v>
      </c>
    </row>
    <row r="195" spans="1:84" s="6" customFormat="1" ht="11.25" x14ac:dyDescent="0.2">
      <c r="A195" s="11">
        <v>43281</v>
      </c>
      <c r="B195" s="379">
        <f>'2022'!Maxi_hp</f>
        <v>52.079984666293029</v>
      </c>
      <c r="C195" s="13">
        <f>'2022'!An_max</f>
        <v>2019</v>
      </c>
      <c r="D195" s="1053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2">
        <f t="shared" si="80"/>
        <v>43290</v>
      </c>
      <c r="I195" s="753">
        <f t="shared" si="81"/>
        <v>0.6428571428571429</v>
      </c>
      <c r="J195" s="746">
        <f t="shared" si="82"/>
        <v>58.728361024035664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46">
        <v>43281</v>
      </c>
      <c r="AP195" s="13">
        <f t="shared" si="83"/>
        <v>9</v>
      </c>
      <c r="AQ195" s="13">
        <f t="shared" si="84"/>
        <v>8</v>
      </c>
      <c r="AR195" s="172">
        <f t="shared" si="85"/>
        <v>43304</v>
      </c>
      <c r="AS195" s="753">
        <f t="shared" si="86"/>
        <v>0.8214285714285714</v>
      </c>
      <c r="AT195" s="769">
        <f t="shared" si="87"/>
        <v>58.742852232122928</v>
      </c>
      <c r="AU195" s="13">
        <f t="shared" si="88"/>
        <v>7</v>
      </c>
      <c r="AV195" s="13">
        <f t="shared" si="89"/>
        <v>8</v>
      </c>
      <c r="AW195" s="172">
        <f t="shared" si="90"/>
        <v>43262</v>
      </c>
      <c r="AX195" s="753">
        <f t="shared" si="91"/>
        <v>0.6785714285714286</v>
      </c>
      <c r="AY195" s="769">
        <f t="shared" si="92"/>
        <v>58.724318383291497</v>
      </c>
      <c r="AZ195" s="746">
        <f t="shared" si="96"/>
        <v>58.733585307707216</v>
      </c>
      <c r="BA195" s="641">
        <f t="shared" si="93"/>
        <v>0.88679445089534059</v>
      </c>
      <c r="BC195" s="11">
        <v>43281</v>
      </c>
      <c r="BD195" s="289">
        <f>[2]!FeuilCaduc*(1-Persistant)+Persistant</f>
        <v>0.97588419790656256</v>
      </c>
      <c r="BE195" s="290">
        <f>[2]!CroissVégét</f>
        <v>0.69444817721081942</v>
      </c>
      <c r="BF195" s="819">
        <f>1+[2]!Salcycl*Ksac</f>
        <v>1.0469855247383204</v>
      </c>
      <c r="BH195" s="1044">
        <f t="shared" si="94"/>
        <v>1.9404872480784867E-2</v>
      </c>
      <c r="BI195" s="11">
        <v>44377</v>
      </c>
      <c r="BJ195" s="726">
        <v>1.6168497662666815E-3</v>
      </c>
      <c r="BK195" s="726">
        <v>4.1607342978077786E-3</v>
      </c>
      <c r="BL195" s="726">
        <v>7.3294759150559956E-3</v>
      </c>
      <c r="BM195" s="726">
        <v>1.1427811505209662E-2</v>
      </c>
      <c r="BN195" s="726">
        <v>1.6343386223876266E-2</v>
      </c>
      <c r="BO195" s="727">
        <v>2.2068190089524726E-2</v>
      </c>
      <c r="BP195" s="726">
        <v>2.850751169875863E-2</v>
      </c>
      <c r="BQ195" s="726">
        <v>3.5579806731215309E-2</v>
      </c>
      <c r="BR195" s="726">
        <v>4.317935858925534E-2</v>
      </c>
      <c r="BS195" s="726">
        <v>5.1195104716986434E-2</v>
      </c>
      <c r="BT195" s="726">
        <v>5.9452861856994728E-2</v>
      </c>
      <c r="BW195" s="1208">
        <f>'2018'!R\Max</f>
        <v>0</v>
      </c>
      <c r="BX195" s="1206">
        <f>'2019'!R\Max</f>
        <v>0.88679445089534059</v>
      </c>
      <c r="BY195" s="1206">
        <f>'2020'!R\Max</f>
        <v>0.40781393472404037</v>
      </c>
      <c r="BZ195" s="1206">
        <f>'2021'!R\Max</f>
        <v>0.82413173873347323</v>
      </c>
      <c r="CA195" s="1206">
        <f>'2022'!R\Max</f>
        <v>0.2314433699089764</v>
      </c>
      <c r="CB195" s="1206">
        <f>'2023'!R\Max</f>
        <v>0.23140725065306456</v>
      </c>
      <c r="CC195" s="1206">
        <f>'2024'!R\Max</f>
        <v>0.23137050778757473</v>
      </c>
      <c r="CD195" s="1206">
        <f>'2025'!R\Max</f>
        <v>0.23157549505268066</v>
      </c>
      <c r="CE195" s="1206">
        <f>'2026'!R\Max</f>
        <v>0.23154540492185061</v>
      </c>
      <c r="CF195" s="1207">
        <f>'2027'!R\Max</f>
        <v>0.23151195055850066</v>
      </c>
    </row>
    <row r="196" spans="1:84" s="6" customFormat="1" ht="11.25" x14ac:dyDescent="0.2">
      <c r="A196" s="11">
        <v>43282</v>
      </c>
      <c r="B196" s="379">
        <f>'2022'!Maxi_hp</f>
        <v>57.002748716265671</v>
      </c>
      <c r="C196" s="13">
        <f>'2022'!An_max</f>
        <v>2020</v>
      </c>
      <c r="D196" s="1053">
        <f t="shared" si="78"/>
        <v>0.97178207429286323</v>
      </c>
      <c r="E196" s="13"/>
      <c r="F196" s="13">
        <f t="shared" si="95"/>
        <v>15</v>
      </c>
      <c r="G196" s="13">
        <f t="shared" si="79"/>
        <v>14</v>
      </c>
      <c r="H196" s="172">
        <f t="shared" si="80"/>
        <v>43290</v>
      </c>
      <c r="I196" s="753">
        <f t="shared" si="81"/>
        <v>0.5714285714285714</v>
      </c>
      <c r="J196" s="746">
        <f t="shared" si="82"/>
        <v>58.657954519015867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46">
        <v>43282</v>
      </c>
      <c r="AP196" s="13">
        <f t="shared" si="83"/>
        <v>9</v>
      </c>
      <c r="AQ196" s="13">
        <f t="shared" si="84"/>
        <v>8</v>
      </c>
      <c r="AR196" s="172">
        <f t="shared" si="85"/>
        <v>43304</v>
      </c>
      <c r="AS196" s="753">
        <f t="shared" si="86"/>
        <v>0.7857142857142857</v>
      </c>
      <c r="AT196" s="769">
        <f t="shared" si="87"/>
        <v>58.676048214247984</v>
      </c>
      <c r="AU196" s="13">
        <f t="shared" si="88"/>
        <v>7</v>
      </c>
      <c r="AV196" s="13">
        <f t="shared" si="89"/>
        <v>8</v>
      </c>
      <c r="AW196" s="172">
        <f t="shared" si="90"/>
        <v>43262</v>
      </c>
      <c r="AX196" s="753">
        <f t="shared" si="91"/>
        <v>0.7142857142857143</v>
      </c>
      <c r="AY196" s="769">
        <f t="shared" si="92"/>
        <v>58.653042857322305</v>
      </c>
      <c r="AZ196" s="746">
        <f t="shared" si="96"/>
        <v>58.664545535785145</v>
      </c>
      <c r="BA196" s="641">
        <f t="shared" si="93"/>
        <v>0.97178207429286323</v>
      </c>
      <c r="BC196" s="11">
        <v>43282</v>
      </c>
      <c r="BD196" s="289">
        <f>[2]!FeuilCaduc*(1-Persistant)+Persistant</f>
        <v>0.97803353063491905</v>
      </c>
      <c r="BE196" s="290">
        <f>[2]!CroissVégét</f>
        <v>0.70310971225270513</v>
      </c>
      <c r="BF196" s="819">
        <f>1+[2]!Salcycl*Ksac</f>
        <v>1.0472541913293649</v>
      </c>
      <c r="BH196" s="1044">
        <f t="shared" si="94"/>
        <v>1.9240511612096667E-2</v>
      </c>
      <c r="BI196" s="11">
        <v>44378</v>
      </c>
      <c r="BJ196" s="726">
        <v>1.6030856832686044E-3</v>
      </c>
      <c r="BK196" s="726">
        <v>4.1256917175015477E-3</v>
      </c>
      <c r="BL196" s="726">
        <v>7.2651647880515218E-3</v>
      </c>
      <c r="BM196" s="726">
        <v>1.1326309828220027E-2</v>
      </c>
      <c r="BN196" s="726">
        <v>1.6201479344910841E-2</v>
      </c>
      <c r="BO196" s="727">
        <v>2.1884295536476462E-2</v>
      </c>
      <c r="BP196" s="726">
        <v>2.827953720494673E-2</v>
      </c>
      <c r="BQ196" s="726">
        <v>3.5305611377710079E-2</v>
      </c>
      <c r="BR196" s="726">
        <v>4.2856928486044485E-2</v>
      </c>
      <c r="BS196" s="726">
        <v>5.0824067552819381E-2</v>
      </c>
      <c r="BT196" s="726">
        <v>5.9033391824065216E-2</v>
      </c>
      <c r="BW196" s="1208">
        <f>'2018'!R\Max</f>
        <v>0</v>
      </c>
      <c r="BX196" s="1206">
        <f>'2019'!R\Max</f>
        <v>0.30986385377657549</v>
      </c>
      <c r="BY196" s="1206">
        <f>'2020'!R\Max</f>
        <v>0.97178207429286323</v>
      </c>
      <c r="BZ196" s="1206">
        <f>'2021'!R\Max</f>
        <v>0.94236706620855015</v>
      </c>
      <c r="CA196" s="1206">
        <f>'2022'!R\Max</f>
        <v>0.90976280170381363</v>
      </c>
      <c r="CB196" s="1206">
        <f>'2023'!R\Max</f>
        <v>0.90974454613872191</v>
      </c>
      <c r="CC196" s="1206">
        <f>'2024'!R\Max</f>
        <v>0.90972598397314253</v>
      </c>
      <c r="CD196" s="1206">
        <f>'2025'!R\Max</f>
        <v>0.90982947856749896</v>
      </c>
      <c r="CE196" s="1206">
        <f>'2026'!R\Max</f>
        <v>0.90981429200792718</v>
      </c>
      <c r="CF196" s="1207">
        <f>'2027'!R\Max</f>
        <v>0.90979741415099202</v>
      </c>
    </row>
    <row r="197" spans="1:84" s="6" customFormat="1" ht="11.25" x14ac:dyDescent="0.2">
      <c r="A197" s="11">
        <v>43283</v>
      </c>
      <c r="B197" s="379">
        <f>'2022'!Maxi_hp</f>
        <v>53.87379302070552</v>
      </c>
      <c r="C197" s="13">
        <f>'2022'!An_max</f>
        <v>2021</v>
      </c>
      <c r="D197" s="1053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2">
        <f t="shared" si="80"/>
        <v>43290</v>
      </c>
      <c r="I197" s="753">
        <f t="shared" si="81"/>
        <v>0.5</v>
      </c>
      <c r="J197" s="746">
        <f t="shared" si="82"/>
        <v>58.586681249877437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46">
        <v>43283</v>
      </c>
      <c r="AP197" s="13">
        <f t="shared" si="83"/>
        <v>9</v>
      </c>
      <c r="AQ197" s="13">
        <f t="shared" si="84"/>
        <v>8</v>
      </c>
      <c r="AR197" s="172">
        <f t="shared" si="85"/>
        <v>43304</v>
      </c>
      <c r="AS197" s="753">
        <f t="shared" si="86"/>
        <v>0.75</v>
      </c>
      <c r="AT197" s="769">
        <f t="shared" si="87"/>
        <v>58.608359374944122</v>
      </c>
      <c r="AU197" s="13">
        <f t="shared" si="88"/>
        <v>7</v>
      </c>
      <c r="AV197" s="13">
        <f t="shared" si="89"/>
        <v>8</v>
      </c>
      <c r="AW197" s="172">
        <f t="shared" si="90"/>
        <v>43262</v>
      </c>
      <c r="AX197" s="753">
        <f t="shared" si="91"/>
        <v>0.75</v>
      </c>
      <c r="AY197" s="769">
        <f t="shared" si="92"/>
        <v>58.581261718808676</v>
      </c>
      <c r="AZ197" s="746">
        <f t="shared" si="96"/>
        <v>58.594810546876403</v>
      </c>
      <c r="BA197" s="641">
        <f t="shared" si="93"/>
        <v>0.91955700291212905</v>
      </c>
      <c r="BC197" s="11">
        <v>43283</v>
      </c>
      <c r="BD197" s="289">
        <f>[2]!FeuilCaduc*(1-Persistant)+Persistant</f>
        <v>0.98005469365460984</v>
      </c>
      <c r="BE197" s="290">
        <f>[2]!CroissVégét</f>
        <v>0.71162774286802644</v>
      </c>
      <c r="BF197" s="819">
        <f>1+[2]!Salcycl*Ksac</f>
        <v>1.0475068367068263</v>
      </c>
      <c r="BH197" s="1044">
        <f t="shared" si="94"/>
        <v>1.9059400647655524E-2</v>
      </c>
      <c r="BI197" s="11">
        <v>44379</v>
      </c>
      <c r="BJ197" s="726">
        <v>1.5881343235476318E-3</v>
      </c>
      <c r="BK197" s="726">
        <v>4.0871749817016391E-3</v>
      </c>
      <c r="BL197" s="726">
        <v>7.1943390172783984E-3</v>
      </c>
      <c r="BM197" s="726">
        <v>1.1214426606445595E-2</v>
      </c>
      <c r="BN197" s="726">
        <v>1.6045111066125613E-2</v>
      </c>
      <c r="BO197" s="727">
        <v>2.1681659853364375E-2</v>
      </c>
      <c r="BP197" s="726">
        <v>2.8028466613472507E-2</v>
      </c>
      <c r="BQ197" s="726">
        <v>3.5003633692766017E-2</v>
      </c>
      <c r="BR197" s="726">
        <v>4.2501924677434896E-2</v>
      </c>
      <c r="BS197" s="726">
        <v>5.041555428668406E-2</v>
      </c>
      <c r="BT197" s="726">
        <v>5.8571562391663591E-2</v>
      </c>
      <c r="BW197" s="1208">
        <f>'2018'!R\Max</f>
        <v>0</v>
      </c>
      <c r="BX197" s="1206">
        <f>'2019'!R\Max</f>
        <v>0.49542617331782396</v>
      </c>
      <c r="BY197" s="1206">
        <f>'2020'!R\Max</f>
        <v>0.78573834868524339</v>
      </c>
      <c r="BZ197" s="1206">
        <f>'2021'!R\Max</f>
        <v>0.91955700291212905</v>
      </c>
      <c r="CA197" s="1206">
        <f>'2022'!R\Max</f>
        <v>0.87313009139849573</v>
      </c>
      <c r="CB197" s="1206">
        <f>'2023'!R\Max</f>
        <v>0.87310553888128495</v>
      </c>
      <c r="CC197" s="1206">
        <f>'2024'!R\Max</f>
        <v>0.87308059251841186</v>
      </c>
      <c r="CD197" s="1206">
        <f>'2025'!R\Max</f>
        <v>0.8732196876461269</v>
      </c>
      <c r="CE197" s="1206">
        <f>'2026'!R\Max</f>
        <v>0.87319927169057121</v>
      </c>
      <c r="CF197" s="1207">
        <f>'2027'!R\Max</f>
        <v>0.87317659491007049</v>
      </c>
    </row>
    <row r="198" spans="1:84" s="6" customFormat="1" ht="11.25" x14ac:dyDescent="0.2">
      <c r="A198" s="11">
        <v>43284</v>
      </c>
      <c r="B198" s="379">
        <f>'2022'!Maxi_hp</f>
        <v>50.483737643611768</v>
      </c>
      <c r="C198" s="13">
        <f>'2022'!An_max</f>
        <v>2019</v>
      </c>
      <c r="D198" s="1053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2">
        <f t="shared" si="80"/>
        <v>43290</v>
      </c>
      <c r="I198" s="753">
        <f t="shared" si="81"/>
        <v>0.42857142857142855</v>
      </c>
      <c r="J198" s="746">
        <f t="shared" si="82"/>
        <v>58.51464956253767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46">
        <v>43284</v>
      </c>
      <c r="AP198" s="13">
        <f t="shared" si="83"/>
        <v>9</v>
      </c>
      <c r="AQ198" s="13">
        <f t="shared" si="84"/>
        <v>8</v>
      </c>
      <c r="AR198" s="172">
        <f t="shared" si="85"/>
        <v>43304</v>
      </c>
      <c r="AS198" s="753">
        <f t="shared" si="86"/>
        <v>0.7142857142857143</v>
      </c>
      <c r="AT198" s="769">
        <f t="shared" si="87"/>
        <v>58.539785714194714</v>
      </c>
      <c r="AU198" s="13">
        <f t="shared" si="88"/>
        <v>7</v>
      </c>
      <c r="AV198" s="13">
        <f t="shared" si="89"/>
        <v>8</v>
      </c>
      <c r="AW198" s="172">
        <f t="shared" si="90"/>
        <v>43262</v>
      </c>
      <c r="AX198" s="753">
        <f t="shared" si="91"/>
        <v>0.7857142857142857</v>
      </c>
      <c r="AY198" s="769">
        <f t="shared" si="92"/>
        <v>58.50906977048809</v>
      </c>
      <c r="AZ198" s="746">
        <f t="shared" si="96"/>
        <v>58.524427742341402</v>
      </c>
      <c r="BA198" s="641">
        <f t="shared" si="93"/>
        <v>0.86275382354733499</v>
      </c>
      <c r="BC198" s="11">
        <v>43284</v>
      </c>
      <c r="BD198" s="289">
        <f>[2]!FeuilCaduc*(1-Persistant)+Persistant</f>
        <v>0.98195057604360725</v>
      </c>
      <c r="BE198" s="290">
        <f>[2]!CroissVégét</f>
        <v>0.71999879440261938</v>
      </c>
      <c r="BF198" s="819">
        <f>1+[2]!Salcycl*Ksac</f>
        <v>1.0477438220054509</v>
      </c>
      <c r="BH198" s="1044">
        <f t="shared" si="94"/>
        <v>1.8855620264342336E-2</v>
      </c>
      <c r="BI198" s="11">
        <v>44380</v>
      </c>
      <c r="BJ198" s="726">
        <v>1.5714140010246673E-3</v>
      </c>
      <c r="BK198" s="726">
        <v>4.0439948239124395E-3</v>
      </c>
      <c r="BL198" s="726">
        <v>7.1149785615953936E-3</v>
      </c>
      <c r="BM198" s="726">
        <v>1.1088827332453245E-2</v>
      </c>
      <c r="BN198" s="726">
        <v>1.5869341580813594E-2</v>
      </c>
      <c r="BO198" s="727">
        <v>2.1453511593920838E-2</v>
      </c>
      <c r="BP198" s="726">
        <v>2.7745656302270331E-2</v>
      </c>
      <c r="BQ198" s="726">
        <v>3.4663431510835882E-2</v>
      </c>
      <c r="BR198" s="726">
        <v>4.21020268418104E-2</v>
      </c>
      <c r="BS198" s="726">
        <v>4.9955329123922226E-2</v>
      </c>
      <c r="BT198" s="726">
        <v>5.8051155410256405E-2</v>
      </c>
      <c r="BW198" s="1208">
        <f>'2018'!R\Max</f>
        <v>0</v>
      </c>
      <c r="BX198" s="1206">
        <f>'2019'!R\Max</f>
        <v>0.86275382354733499</v>
      </c>
      <c r="BY198" s="1206">
        <f>'2020'!R\Max</f>
        <v>0.35030785467551701</v>
      </c>
      <c r="BZ198" s="1206">
        <f>'2021'!R\Max</f>
        <v>0.56625845098173566</v>
      </c>
      <c r="CA198" s="1206">
        <f>'2022'!R\Max</f>
        <v>0.79384932506871642</v>
      </c>
      <c r="CB198" s="1206">
        <f>'2023'!R\Max</f>
        <v>0.79381321192577192</v>
      </c>
      <c r="CC198" s="1206">
        <f>'2024'!R\Max</f>
        <v>0.79377654676208709</v>
      </c>
      <c r="CD198" s="1206">
        <f>'2025'!R\Max</f>
        <v>0.79398098822460106</v>
      </c>
      <c r="CE198" s="1206">
        <f>'2026'!R\Max</f>
        <v>0.79395097481441879</v>
      </c>
      <c r="CF198" s="1207">
        <f>'2027'!R\Max</f>
        <v>0.79391765364387468</v>
      </c>
    </row>
    <row r="199" spans="1:84" s="6" customFormat="1" ht="11.25" x14ac:dyDescent="0.2">
      <c r="A199" s="11">
        <v>43285</v>
      </c>
      <c r="B199" s="379">
        <f>'2022'!Maxi_hp</f>
        <v>48.796596745729502</v>
      </c>
      <c r="C199" s="13">
        <f>'2022'!An_max</f>
        <v>2020</v>
      </c>
      <c r="D199" s="1053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2">
        <f t="shared" si="80"/>
        <v>43290</v>
      </c>
      <c r="I199" s="753">
        <f t="shared" si="81"/>
        <v>0.35714285714285715</v>
      </c>
      <c r="J199" s="746">
        <f t="shared" si="82"/>
        <v>58.441967802388319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46">
        <v>43285</v>
      </c>
      <c r="AP199" s="13">
        <f t="shared" si="83"/>
        <v>9</v>
      </c>
      <c r="AQ199" s="13">
        <f t="shared" si="84"/>
        <v>8</v>
      </c>
      <c r="AR199" s="172">
        <f t="shared" si="85"/>
        <v>43304</v>
      </c>
      <c r="AS199" s="753">
        <f t="shared" si="86"/>
        <v>0.6785714285714286</v>
      </c>
      <c r="AT199" s="769">
        <f t="shared" si="87"/>
        <v>58.470327232003079</v>
      </c>
      <c r="AU199" s="13">
        <f t="shared" si="88"/>
        <v>7</v>
      </c>
      <c r="AV199" s="13">
        <f t="shared" si="89"/>
        <v>8</v>
      </c>
      <c r="AW199" s="172">
        <f t="shared" si="90"/>
        <v>43262</v>
      </c>
      <c r="AX199" s="753">
        <f t="shared" si="91"/>
        <v>0.8214285714285714</v>
      </c>
      <c r="AY199" s="769">
        <f t="shared" si="92"/>
        <v>58.436561814615764</v>
      </c>
      <c r="AZ199" s="746">
        <f t="shared" si="96"/>
        <v>58.453444523309422</v>
      </c>
      <c r="BA199" s="641">
        <f t="shared" si="93"/>
        <v>0.83495814019690406</v>
      </c>
      <c r="BC199" s="11">
        <v>43285</v>
      </c>
      <c r="BD199" s="289">
        <f>[2]!FeuilCaduc*(1-Persistant)+Persistant</f>
        <v>0.98372431945317584</v>
      </c>
      <c r="BE199" s="290">
        <f>[2]!CroissVégét</f>
        <v>0.72821975485053358</v>
      </c>
      <c r="BF199" s="819">
        <f>1+[2]!Salcycl*Ksac</f>
        <v>1.047965539931647</v>
      </c>
      <c r="BH199" s="1044">
        <f t="shared" si="94"/>
        <v>1.8637928186523652E-2</v>
      </c>
      <c r="BI199" s="11">
        <v>44381</v>
      </c>
      <c r="BJ199" s="726">
        <v>1.5537929624688702E-3</v>
      </c>
      <c r="BK199" s="726">
        <v>3.9980773039297044E-3</v>
      </c>
      <c r="BL199" s="726">
        <v>7.0305508882346031E-3</v>
      </c>
      <c r="BM199" s="726">
        <v>1.0954931753192572E-2</v>
      </c>
      <c r="BN199" s="726">
        <v>1.5681758174454306E-2</v>
      </c>
      <c r="BO199" s="727">
        <v>2.1209626697273512E-2</v>
      </c>
      <c r="BP199" s="726">
        <v>2.7443238668293918E-2</v>
      </c>
      <c r="BQ199" s="726">
        <v>3.4299513029977663E-2</v>
      </c>
      <c r="BR199" s="726">
        <v>4.167427032920009E-2</v>
      </c>
      <c r="BS199" s="726">
        <v>4.9462905348886393E-2</v>
      </c>
      <c r="BT199" s="726">
        <v>5.749413714012739E-2</v>
      </c>
      <c r="BW199" s="1208">
        <f>'2018'!R\Max</f>
        <v>0</v>
      </c>
      <c r="BX199" s="1206">
        <f>'2019'!R\Max</f>
        <v>0.61149370197402564</v>
      </c>
      <c r="BY199" s="1206">
        <f>'2020'!R\Max</f>
        <v>0.83495814019690406</v>
      </c>
      <c r="BZ199" s="1206">
        <f>'2021'!R\Max</f>
        <v>0.5923837408489766</v>
      </c>
      <c r="CA199" s="1206">
        <f>'2022'!R\Max</f>
        <v>0.81444349362875557</v>
      </c>
      <c r="CB199" s="1206">
        <f>'2023'!R\Max</f>
        <v>0.81441031736263314</v>
      </c>
      <c r="CC199" s="1206">
        <f>'2024'!R\Max</f>
        <v>0.81437665709083928</v>
      </c>
      <c r="CD199" s="1206">
        <f>'2025'!R\Max</f>
        <v>0.81456432258450318</v>
      </c>
      <c r="CE199" s="1206">
        <f>'2026'!R\Max</f>
        <v>0.81453677174724937</v>
      </c>
      <c r="CF199" s="1207">
        <f>'2027'!R\Max</f>
        <v>0.8145061950493615</v>
      </c>
    </row>
    <row r="200" spans="1:84" s="6" customFormat="1" ht="11.25" x14ac:dyDescent="0.2">
      <c r="A200" s="11">
        <v>43286</v>
      </c>
      <c r="B200" s="379">
        <f>'2022'!Maxi_hp</f>
        <v>57.87508432107736</v>
      </c>
      <c r="C200" s="13">
        <f>'2022'!An_max</f>
        <v>2021</v>
      </c>
      <c r="D200" s="1053">
        <f t="shared" si="78"/>
        <v>0.99154239140292633</v>
      </c>
      <c r="E200" s="13"/>
      <c r="F200" s="13">
        <f t="shared" si="95"/>
        <v>15</v>
      </c>
      <c r="G200" s="13">
        <f t="shared" si="79"/>
        <v>14</v>
      </c>
      <c r="H200" s="172">
        <f t="shared" si="80"/>
        <v>43290</v>
      </c>
      <c r="I200" s="753">
        <f t="shared" si="81"/>
        <v>0.2857142857142857</v>
      </c>
      <c r="J200" s="746">
        <f t="shared" si="82"/>
        <v>58.368744314794561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46">
        <v>43286</v>
      </c>
      <c r="AP200" s="13">
        <f t="shared" si="83"/>
        <v>9</v>
      </c>
      <c r="AQ200" s="13">
        <f t="shared" si="84"/>
        <v>8</v>
      </c>
      <c r="AR200" s="172">
        <f t="shared" si="85"/>
        <v>43304</v>
      </c>
      <c r="AS200" s="753">
        <f t="shared" si="86"/>
        <v>0.6428571428571429</v>
      </c>
      <c r="AT200" s="769">
        <f t="shared" si="87"/>
        <v>58.399983928445728</v>
      </c>
      <c r="AU200" s="13">
        <f t="shared" si="88"/>
        <v>7</v>
      </c>
      <c r="AV200" s="13">
        <f t="shared" si="89"/>
        <v>8</v>
      </c>
      <c r="AW200" s="172">
        <f t="shared" si="90"/>
        <v>43262</v>
      </c>
      <c r="AX200" s="753">
        <f t="shared" si="91"/>
        <v>0.8571428571428571</v>
      </c>
      <c r="AY200" s="769">
        <f t="shared" si="92"/>
        <v>58.363832653074397</v>
      </c>
      <c r="AZ200" s="746">
        <f t="shared" si="96"/>
        <v>58.381908290760066</v>
      </c>
      <c r="BA200" s="641">
        <f t="shared" si="93"/>
        <v>0.99154239140292633</v>
      </c>
      <c r="BC200" s="11">
        <v>43286</v>
      </c>
      <c r="BD200" s="289">
        <f>[2]!FeuilCaduc*(1-Persistant)+Persistant</f>
        <v>0.9853792948528588</v>
      </c>
      <c r="BE200" s="290">
        <f>[2]!CroissVégét</f>
        <v>0.73628787157048126</v>
      </c>
      <c r="BF200" s="819">
        <f>1+[2]!Salcycl*Ksac</f>
        <v>1.0481724118566074</v>
      </c>
      <c r="BH200" s="1044">
        <f t="shared" si="94"/>
        <v>1.8406352114812778E-2</v>
      </c>
      <c r="BI200" s="11">
        <v>44382</v>
      </c>
      <c r="BJ200" s="726">
        <v>1.5352731546474957E-3</v>
      </c>
      <c r="BK200" s="726">
        <v>3.949428022852035E-3</v>
      </c>
      <c r="BL200" s="726">
        <v>6.9410661507224459E-3</v>
      </c>
      <c r="BM200" s="726">
        <v>1.0812756225947403E-2</v>
      </c>
      <c r="BN200" s="726">
        <v>1.5482384238864647E-2</v>
      </c>
      <c r="BO200" s="727">
        <v>2.0950036612441676E-2</v>
      </c>
      <c r="BP200" s="726">
        <v>2.7121253534247953E-2</v>
      </c>
      <c r="BQ200" s="726">
        <v>3.3911927116776965E-2</v>
      </c>
      <c r="BR200" s="726">
        <v>4.121871337395358E-2</v>
      </c>
      <c r="BS200" s="726">
        <v>4.8938351083620629E-2</v>
      </c>
      <c r="BT200" s="726">
        <v>5.6900585843081254E-2</v>
      </c>
      <c r="BW200" s="1208">
        <f>'2018'!R\Max</f>
        <v>0</v>
      </c>
      <c r="BX200" s="1206">
        <f>'2019'!R\Max</f>
        <v>0.93696668499883451</v>
      </c>
      <c r="BY200" s="1206">
        <f>'2020'!R\Max</f>
        <v>0.95571990274627061</v>
      </c>
      <c r="BZ200" s="1206">
        <f>'2021'!R\Max</f>
        <v>0.99154239140292633</v>
      </c>
      <c r="CA200" s="1206">
        <f>'2022'!R\Max</f>
        <v>0.95903268990657553</v>
      </c>
      <c r="CB200" s="1206">
        <f>'2023'!R\Max</f>
        <v>0.95902411618844419</v>
      </c>
      <c r="CC200" s="1206">
        <f>'2024'!R\Max</f>
        <v>0.95901542278195651</v>
      </c>
      <c r="CD200" s="1206">
        <f>'2025'!R\Max</f>
        <v>0.95906387779597324</v>
      </c>
      <c r="CE200" s="1206">
        <f>'2026'!R\Max</f>
        <v>0.95905676570199938</v>
      </c>
      <c r="CF200" s="1207">
        <f>'2027'!R\Max</f>
        <v>0.95904887408062145</v>
      </c>
    </row>
    <row r="201" spans="1:84" s="6" customFormat="1" ht="11.25" x14ac:dyDescent="0.2">
      <c r="A201" s="11">
        <v>43287</v>
      </c>
      <c r="B201" s="379">
        <f>'2022'!Maxi_hp</f>
        <v>56.501784231476087</v>
      </c>
      <c r="C201" s="13">
        <f>'2022'!An_max</f>
        <v>2020</v>
      </c>
      <c r="D201" s="1053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72">
        <f t="shared" si="80"/>
        <v>43290</v>
      </c>
      <c r="I201" s="753">
        <f t="shared" si="81"/>
        <v>0.21428571428571427</v>
      </c>
      <c r="J201" s="746">
        <f t="shared" si="82"/>
        <v>58.295087445327752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46">
        <v>43287</v>
      </c>
      <c r="AP201" s="13">
        <f t="shared" si="83"/>
        <v>9</v>
      </c>
      <c r="AQ201" s="13">
        <f t="shared" si="84"/>
        <v>8</v>
      </c>
      <c r="AR201" s="172">
        <f t="shared" si="85"/>
        <v>43304</v>
      </c>
      <c r="AS201" s="753">
        <f t="shared" si="86"/>
        <v>0.6071428571428571</v>
      </c>
      <c r="AT201" s="769">
        <f t="shared" si="87"/>
        <v>58.328755803462784</v>
      </c>
      <c r="AU201" s="13">
        <f t="shared" si="88"/>
        <v>7</v>
      </c>
      <c r="AV201" s="13">
        <f t="shared" si="89"/>
        <v>8</v>
      </c>
      <c r="AW201" s="172">
        <f t="shared" si="90"/>
        <v>43262</v>
      </c>
      <c r="AX201" s="753">
        <f t="shared" si="91"/>
        <v>0.8928571428571429</v>
      </c>
      <c r="AY201" s="769">
        <f t="shared" si="92"/>
        <v>58.290977088811005</v>
      </c>
      <c r="AZ201" s="746">
        <f t="shared" si="96"/>
        <v>58.309866446136894</v>
      </c>
      <c r="BA201" s="641">
        <f t="shared" si="93"/>
        <v>0.96923748994229542</v>
      </c>
      <c r="BC201" s="11">
        <v>43287</v>
      </c>
      <c r="BD201" s="289">
        <f>[2]!FeuilCaduc*(1-Persistant)+Persistant</f>
        <v>0.98691907840459148</v>
      </c>
      <c r="BE201" s="290">
        <f>[2]!CroissVégét</f>
        <v>0.74420074649273349</v>
      </c>
      <c r="BF201" s="819">
        <f>1+[2]!Salcycl*Ksac</f>
        <v>1.048364884800574</v>
      </c>
      <c r="BH201" s="1044">
        <f t="shared" si="94"/>
        <v>1.8160918712077409E-2</v>
      </c>
      <c r="BI201" s="11">
        <v>44383</v>
      </c>
      <c r="BJ201" s="726">
        <v>1.5158564490224812E-3</v>
      </c>
      <c r="BK201" s="726">
        <v>3.8980523705138925E-3</v>
      </c>
      <c r="BL201" s="726">
        <v>6.8465341125336782E-3</v>
      </c>
      <c r="BM201" s="726">
        <v>1.0662316479243903E-2</v>
      </c>
      <c r="BN201" s="726">
        <v>1.527124227796429E-2</v>
      </c>
      <c r="BO201" s="727">
        <v>2.0674771620339486E-2</v>
      </c>
      <c r="BP201" s="726">
        <v>2.6779739271835044E-2</v>
      </c>
      <c r="BQ201" s="726">
        <v>3.3500720888244545E-2</v>
      </c>
      <c r="BR201" s="726">
        <v>4.0735412155877455E-2</v>
      </c>
      <c r="BS201" s="726">
        <v>4.8381732081470084E-2</v>
      </c>
      <c r="BT201" s="726">
        <v>5.6270577095672757E-2</v>
      </c>
      <c r="BW201" s="1208">
        <f>'2018'!R\Max</f>
        <v>0</v>
      </c>
      <c r="BX201" s="1206">
        <f>'2019'!R\Max</f>
        <v>0.94214995389455003</v>
      </c>
      <c r="BY201" s="1206">
        <f>'2020'!R\Max</f>
        <v>0.96923748994229542</v>
      </c>
      <c r="BZ201" s="1206">
        <f>'2021'!R\Max</f>
        <v>0.37507331979598391</v>
      </c>
      <c r="CA201" s="1206">
        <f>'2022'!R\Max</f>
        <v>0.74007044690817092</v>
      </c>
      <c r="CB201" s="1206">
        <f>'2023'!R\Max</f>
        <v>0.74002875590808503</v>
      </c>
      <c r="CC201" s="1206">
        <f>'2024'!R\Max</f>
        <v>0.73998651534084581</v>
      </c>
      <c r="CD201" s="1206">
        <f>'2025'!R\Max</f>
        <v>0.74022196832853993</v>
      </c>
      <c r="CE201" s="1206">
        <f>'2026'!R\Max</f>
        <v>0.74018740647043491</v>
      </c>
      <c r="CF201" s="1207">
        <f>'2027'!R\Max</f>
        <v>0.74014906567403649</v>
      </c>
    </row>
    <row r="202" spans="1:84" s="6" customFormat="1" ht="11.25" x14ac:dyDescent="0.2">
      <c r="A202" s="11">
        <v>43288</v>
      </c>
      <c r="B202" s="379">
        <f>'2022'!Maxi_hp</f>
        <v>53.104663915061565</v>
      </c>
      <c r="C202" s="13">
        <f>'2022'!An_max</f>
        <v>2022</v>
      </c>
      <c r="D202" s="1053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2">
        <f t="shared" si="80"/>
        <v>43290</v>
      </c>
      <c r="I202" s="753">
        <f t="shared" si="81"/>
        <v>0.14285714285714285</v>
      </c>
      <c r="J202" s="746">
        <f t="shared" si="82"/>
        <v>58.22110553929317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46">
        <v>43288</v>
      </c>
      <c r="AP202" s="13">
        <f t="shared" si="83"/>
        <v>9</v>
      </c>
      <c r="AQ202" s="13">
        <f t="shared" si="84"/>
        <v>8</v>
      </c>
      <c r="AR202" s="172">
        <f t="shared" si="85"/>
        <v>43304</v>
      </c>
      <c r="AS202" s="753">
        <f t="shared" si="86"/>
        <v>0.5714285714285714</v>
      </c>
      <c r="AT202" s="769">
        <f t="shared" si="87"/>
        <v>58.256642857060911</v>
      </c>
      <c r="AU202" s="13">
        <f t="shared" si="88"/>
        <v>7</v>
      </c>
      <c r="AV202" s="13">
        <f t="shared" si="89"/>
        <v>8</v>
      </c>
      <c r="AW202" s="172">
        <f t="shared" si="90"/>
        <v>43262</v>
      </c>
      <c r="AX202" s="753">
        <f t="shared" si="91"/>
        <v>0.9285714285714286</v>
      </c>
      <c r="AY202" s="769">
        <f t="shared" si="92"/>
        <v>58.218089923615175</v>
      </c>
      <c r="AZ202" s="746">
        <f t="shared" si="96"/>
        <v>58.237366390338039</v>
      </c>
      <c r="BA202" s="641">
        <f t="shared" si="93"/>
        <v>0.91212050034366765</v>
      </c>
      <c r="BC202" s="11">
        <v>43288</v>
      </c>
      <c r="BD202" s="289">
        <f>[2]!FeuilCaduc*(1-Persistant)+Persistant</f>
        <v>0.98834742664822151</v>
      </c>
      <c r="BE202" s="290">
        <f>[2]!CroissVégét</f>
        <v>0.75195632992281269</v>
      </c>
      <c r="BF202" s="819">
        <f>1+[2]!Salcycl*Ksac</f>
        <v>1.0485434283310278</v>
      </c>
      <c r="BH202" s="1044">
        <f t="shared" si="94"/>
        <v>1.7901653519850756E-2</v>
      </c>
      <c r="BI202" s="11">
        <v>44384</v>
      </c>
      <c r="BJ202" s="726">
        <v>1.4955446363094313E-3</v>
      </c>
      <c r="BK202" s="726">
        <v>3.8439555090119676E-3</v>
      </c>
      <c r="BL202" s="726">
        <v>6.7469641166094229E-3</v>
      </c>
      <c r="BM202" s="726">
        <v>1.0503627562982974E-2</v>
      </c>
      <c r="BN202" s="726">
        <v>1.5048353836779667E-2</v>
      </c>
      <c r="BO202" s="727">
        <v>2.0383860739232033E-2</v>
      </c>
      <c r="BP202" s="726">
        <v>2.6418732683938958E-2</v>
      </c>
      <c r="BQ202" s="726">
        <v>3.3065939569291408E-2</v>
      </c>
      <c r="BR202" s="726">
        <v>4.022442063277875E-2</v>
      </c>
      <c r="BS202" s="726">
        <v>4.7793111533515086E-2</v>
      </c>
      <c r="BT202" s="726">
        <v>5.5604183569097188E-2</v>
      </c>
      <c r="BW202" s="1208">
        <f>'2018'!R\Max</f>
        <v>0</v>
      </c>
      <c r="BX202" s="1206">
        <f>'2019'!R\Max</f>
        <v>0.8611685712272914</v>
      </c>
      <c r="BY202" s="1206">
        <f>'2020'!R\Max</f>
        <v>0.63901966809428568</v>
      </c>
      <c r="BZ202" s="1206">
        <f>'2021'!R\Max</f>
        <v>0.621578274000117</v>
      </c>
      <c r="CA202" s="1206">
        <f>'2022'!R\Max</f>
        <v>0.91212050034366765</v>
      </c>
      <c r="CB202" s="1206">
        <f>'2023'!R\Max</f>
        <v>0.91210326024603749</v>
      </c>
      <c r="CC202" s="1206">
        <f>'2024'!R\Max</f>
        <v>0.9120858031035971</v>
      </c>
      <c r="CD202" s="1206">
        <f>'2025'!R\Max</f>
        <v>0.91218307474442784</v>
      </c>
      <c r="CE202" s="1206">
        <f>'2026'!R\Max</f>
        <v>0.9121688024327137</v>
      </c>
      <c r="CF202" s="1207">
        <f>'2027'!R\Max</f>
        <v>0.91215296948676716</v>
      </c>
    </row>
    <row r="203" spans="1:84" s="6" customFormat="1" ht="11.25" x14ac:dyDescent="0.2">
      <c r="A203" s="11">
        <v>43289</v>
      </c>
      <c r="B203" s="379">
        <f>'2022'!Maxi_hp</f>
        <v>58.837681305863043</v>
      </c>
      <c r="C203" s="13">
        <f>'2022'!An_max</f>
        <v>2020</v>
      </c>
      <c r="D203" s="1053">
        <f t="shared" si="78"/>
        <v>1.0118798126977202</v>
      </c>
      <c r="E203" s="13"/>
      <c r="F203" s="13">
        <f t="shared" si="95"/>
        <v>15</v>
      </c>
      <c r="G203" s="13">
        <f t="shared" si="79"/>
        <v>14</v>
      </c>
      <c r="H203" s="172">
        <f t="shared" si="80"/>
        <v>43290</v>
      </c>
      <c r="I203" s="753">
        <f t="shared" si="81"/>
        <v>7.1428571428571425E-2</v>
      </c>
      <c r="J203" s="746">
        <f t="shared" si="82"/>
        <v>58.146906942435145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46">
        <v>43289</v>
      </c>
      <c r="AP203" s="13">
        <f t="shared" si="83"/>
        <v>9</v>
      </c>
      <c r="AQ203" s="13">
        <f t="shared" si="84"/>
        <v>8</v>
      </c>
      <c r="AR203" s="172">
        <f t="shared" si="85"/>
        <v>43304</v>
      </c>
      <c r="AS203" s="753">
        <f t="shared" si="86"/>
        <v>0.5357142857142857</v>
      </c>
      <c r="AT203" s="769">
        <f t="shared" si="87"/>
        <v>58.183645089206813</v>
      </c>
      <c r="AU203" s="13">
        <f t="shared" si="88"/>
        <v>7</v>
      </c>
      <c r="AV203" s="13">
        <f t="shared" si="89"/>
        <v>8</v>
      </c>
      <c r="AW203" s="172">
        <f t="shared" si="90"/>
        <v>43262</v>
      </c>
      <c r="AX203" s="753">
        <f t="shared" si="91"/>
        <v>0.9642857142857143</v>
      </c>
      <c r="AY203" s="769">
        <f t="shared" si="92"/>
        <v>58.145265959901735</v>
      </c>
      <c r="AZ203" s="746">
        <f t="shared" si="96"/>
        <v>58.16445552455427</v>
      </c>
      <c r="BA203" s="641">
        <f t="shared" si="93"/>
        <v>1.0118798126977202</v>
      </c>
      <c r="BC203" s="11">
        <v>43289</v>
      </c>
      <c r="BD203" s="289">
        <f>[2]!FeuilCaduc*(1-Persistant)+Persistant</f>
        <v>0.98966825118451485</v>
      </c>
      <c r="BE203" s="290">
        <f>[2]!CroissVégét</f>
        <v>0.75955291305401751</v>
      </c>
      <c r="BF203" s="819">
        <f>1+[2]!Salcycl*Ksac</f>
        <v>1.0487085313980644</v>
      </c>
      <c r="BH203" s="1044">
        <f t="shared" si="94"/>
        <v>1.7628580874838377E-2</v>
      </c>
      <c r="BI203" s="11">
        <v>44385</v>
      </c>
      <c r="BJ203" s="726">
        <v>1.474339421044633E-3</v>
      </c>
      <c r="BK203" s="726">
        <v>3.787142356252157E-3</v>
      </c>
      <c r="BL203" s="726">
        <v>6.6423650549112022E-3</v>
      </c>
      <c r="BM203" s="726">
        <v>1.0336703798628635E-2</v>
      </c>
      <c r="BN203" s="726">
        <v>1.4813739430528336E-2</v>
      </c>
      <c r="BO203" s="727">
        <v>2.0077331630300441E-2</v>
      </c>
      <c r="BP203" s="726">
        <v>2.6038268886949642E-2</v>
      </c>
      <c r="BQ203" s="726">
        <v>3.2607626350381912E-2</v>
      </c>
      <c r="BR203" s="726">
        <v>3.9685790373225775E-2</v>
      </c>
      <c r="BS203" s="726">
        <v>4.7172549875263654E-2</v>
      </c>
      <c r="BT203" s="726">
        <v>5.4901474809382379E-2</v>
      </c>
      <c r="BW203" s="1208">
        <f>'2018'!R\Max</f>
        <v>0</v>
      </c>
      <c r="BX203" s="1206">
        <f>'2019'!R\Max</f>
        <v>0.57447028944897394</v>
      </c>
      <c r="BY203" s="1206">
        <f>'2020'!R\Max</f>
        <v>1.0118798126977202</v>
      </c>
      <c r="BZ203" s="1206">
        <f>'2021'!R\Max</f>
        <v>0.91179130850572232</v>
      </c>
      <c r="CA203" s="1206">
        <f>'2022'!R\Max</f>
        <v>0.99539221351577611</v>
      </c>
      <c r="CB203" s="1206">
        <f>'2023'!R\Max</f>
        <v>0.99539123539973628</v>
      </c>
      <c r="CC203" s="1206">
        <f>'2024'!R\Max</f>
        <v>0.99539024557594347</v>
      </c>
      <c r="CD203" s="1206">
        <f>'2025'!R\Max</f>
        <v>0.99539575913219558</v>
      </c>
      <c r="CE203" s="1206">
        <f>'2026'!R\Max</f>
        <v>0.99539495049613924</v>
      </c>
      <c r="CF203" s="1207">
        <f>'2027'!R\Max</f>
        <v>0.99539405336892484</v>
      </c>
    </row>
    <row r="204" spans="1:84" s="6" customFormat="1" ht="11.25" x14ac:dyDescent="0.2">
      <c r="A204" s="11">
        <v>43290</v>
      </c>
      <c r="B204" s="379">
        <f>'2022'!Maxi_hp</f>
        <v>58.42671028153908</v>
      </c>
      <c r="C204" s="13">
        <f>'2022'!An_max</f>
        <v>2021</v>
      </c>
      <c r="D204" s="1053">
        <f t="shared" si="78"/>
        <v>1.0060977170241003</v>
      </c>
      <c r="E204" s="1048">
        <f>AA$13/10</f>
        <v>58.072600000000001</v>
      </c>
      <c r="F204" s="13">
        <f t="shared" si="95"/>
        <v>15</v>
      </c>
      <c r="G204" s="13">
        <f t="shared" si="79"/>
        <v>16</v>
      </c>
      <c r="H204" s="172">
        <f t="shared" si="80"/>
        <v>43290</v>
      </c>
      <c r="I204" s="753">
        <f t="shared" si="81"/>
        <v>0</v>
      </c>
      <c r="J204" s="746">
        <f t="shared" si="82"/>
        <v>58.072599999886009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46">
        <v>43290</v>
      </c>
      <c r="AP204" s="13">
        <f t="shared" si="83"/>
        <v>9</v>
      </c>
      <c r="AQ204" s="13">
        <f t="shared" si="84"/>
        <v>8</v>
      </c>
      <c r="AR204" s="172">
        <f t="shared" si="85"/>
        <v>43304</v>
      </c>
      <c r="AS204" s="753">
        <f t="shared" si="86"/>
        <v>0.5</v>
      </c>
      <c r="AT204" s="769">
        <f t="shared" si="87"/>
        <v>58.109762499853971</v>
      </c>
      <c r="AU204" s="13">
        <f t="shared" si="88"/>
        <v>9</v>
      </c>
      <c r="AV204" s="13">
        <f t="shared" si="89"/>
        <v>8</v>
      </c>
      <c r="AW204" s="172">
        <f t="shared" si="90"/>
        <v>43318</v>
      </c>
      <c r="AX204" s="753">
        <f t="shared" si="91"/>
        <v>1</v>
      </c>
      <c r="AY204" s="769">
        <f t="shared" si="92"/>
        <v>58.072600000165401</v>
      </c>
      <c r="AZ204" s="746">
        <f t="shared" si="96"/>
        <v>58.091181250009683</v>
      </c>
      <c r="BA204" s="641">
        <f t="shared" si="93"/>
        <v>1.0060977170241003</v>
      </c>
      <c r="BC204" s="11">
        <v>43290</v>
      </c>
      <c r="BD204" s="289">
        <f>[2]!FeuilCaduc*(1-Persistant)+Persistant</f>
        <v>0.99088559304384516</v>
      </c>
      <c r="BE204" s="290">
        <f>[2]!CroissVégét</f>
        <v>0.76698911930492164</v>
      </c>
      <c r="BF204" s="819">
        <f>1+[2]!Salcycl*Ksac</f>
        <v>1.0488606991304807</v>
      </c>
      <c r="BH204" s="1044">
        <f t="shared" si="94"/>
        <v>1.7341723824878325E-2</v>
      </c>
      <c r="BI204" s="11">
        <v>44386</v>
      </c>
      <c r="BJ204" s="726">
        <v>1.4522424161063994E-3</v>
      </c>
      <c r="BK204" s="726">
        <v>3.7276175693791436E-3</v>
      </c>
      <c r="BL204" s="726">
        <v>6.5327453377689347E-3</v>
      </c>
      <c r="BM204" s="726">
        <v>1.0161558729075624E-2</v>
      </c>
      <c r="BN204" s="726">
        <v>1.4567418473243761E-2</v>
      </c>
      <c r="BO204" s="727">
        <v>1.9755210502584535E-2</v>
      </c>
      <c r="BP204" s="726">
        <v>2.5638381192281633E-2</v>
      </c>
      <c r="BQ204" s="726">
        <v>3.212582224417717E-2</v>
      </c>
      <c r="BR204" s="726">
        <v>3.9119570388080477E-2</v>
      </c>
      <c r="BS204" s="726">
        <v>4.6520104591884784E-2</v>
      </c>
      <c r="BT204" s="726">
        <v>5.4162517015882587E-2</v>
      </c>
      <c r="BW204" s="1208">
        <f>'2018'!R\Max</f>
        <v>0</v>
      </c>
      <c r="BX204" s="1206">
        <f>'2019'!R\Max</f>
        <v>0.41510296680086733</v>
      </c>
      <c r="BY204" s="1206">
        <f>'2020'!R\Max</f>
        <v>0.98767877707619156</v>
      </c>
      <c r="BZ204" s="1206">
        <f>'2021'!R\Max</f>
        <v>1.0060977170241003</v>
      </c>
      <c r="CA204" s="1206">
        <f>'2022'!R\Max</f>
        <v>0.9816844248615032</v>
      </c>
      <c r="CB204" s="1206">
        <f>'2023'!R\Max</f>
        <v>0.98168062639817377</v>
      </c>
      <c r="CC204" s="1206">
        <f>'2024'!R\Max</f>
        <v>0.98167678493730859</v>
      </c>
      <c r="CD204" s="1206">
        <f>'2025'!R\Max</f>
        <v>0.98169817711465301</v>
      </c>
      <c r="CE204" s="1206">
        <f>'2026'!R\Max</f>
        <v>0.98169504102602456</v>
      </c>
      <c r="CF204" s="1207">
        <f>'2027'!R\Max</f>
        <v>0.98169156123122958</v>
      </c>
    </row>
    <row r="205" spans="1:84" s="6" customFormat="1" ht="11.25" x14ac:dyDescent="0.2">
      <c r="A205" s="11">
        <v>43291</v>
      </c>
      <c r="B205" s="379">
        <f>'2022'!Maxi_hp</f>
        <v>57.577022545392943</v>
      </c>
      <c r="C205" s="13">
        <f>'2022'!An_max</f>
        <v>2019</v>
      </c>
      <c r="D205" s="1053">
        <f t="shared" si="78"/>
        <v>0.9927411378437313</v>
      </c>
      <c r="E205" s="13"/>
      <c r="F205" s="13">
        <f t="shared" si="95"/>
        <v>15</v>
      </c>
      <c r="G205" s="13">
        <f t="shared" si="79"/>
        <v>16</v>
      </c>
      <c r="H205" s="172">
        <f t="shared" si="80"/>
        <v>43290</v>
      </c>
      <c r="I205" s="753">
        <f t="shared" si="81"/>
        <v>7.1428571428571425E-2</v>
      </c>
      <c r="J205" s="746">
        <f t="shared" si="82"/>
        <v>57.998022193834196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46">
        <v>43291</v>
      </c>
      <c r="AP205" s="13">
        <f t="shared" si="83"/>
        <v>9</v>
      </c>
      <c r="AQ205" s="13">
        <f t="shared" si="84"/>
        <v>8</v>
      </c>
      <c r="AR205" s="172">
        <f t="shared" si="85"/>
        <v>43304</v>
      </c>
      <c r="AS205" s="753">
        <f t="shared" si="86"/>
        <v>0.4642857142857143</v>
      </c>
      <c r="AT205" s="769">
        <f t="shared" si="87"/>
        <v>58.034995089142058</v>
      </c>
      <c r="AU205" s="13">
        <f t="shared" si="88"/>
        <v>9</v>
      </c>
      <c r="AV205" s="13">
        <f t="shared" si="89"/>
        <v>8</v>
      </c>
      <c r="AW205" s="172">
        <f t="shared" si="90"/>
        <v>43318</v>
      </c>
      <c r="AX205" s="753">
        <f t="shared" si="91"/>
        <v>0.9642857142857143</v>
      </c>
      <c r="AY205" s="769">
        <f t="shared" si="92"/>
        <v>58.000216190081233</v>
      </c>
      <c r="AZ205" s="746">
        <f t="shared" si="96"/>
        <v>58.017605639611645</v>
      </c>
      <c r="BA205" s="641">
        <f t="shared" si="93"/>
        <v>0.9927411378437313</v>
      </c>
      <c r="BC205" s="11">
        <v>43291</v>
      </c>
      <c r="BD205" s="289">
        <f>[2]!FeuilCaduc*(1-Persistant)+Persistant</f>
        <v>0.9920035969291523</v>
      </c>
      <c r="BE205" s="290">
        <f>[2]!CroissVégét</f>
        <v>0.77426389460057909</v>
      </c>
      <c r="BF205" s="819">
        <f>1+[2]!Salcycl*Ksac</f>
        <v>1.049000449616144</v>
      </c>
      <c r="BH205" s="1044">
        <f t="shared" si="94"/>
        <v>1.7041104045663277E-2</v>
      </c>
      <c r="BI205" s="11">
        <v>44387</v>
      </c>
      <c r="BJ205" s="726">
        <v>1.4292551373000807E-3</v>
      </c>
      <c r="BK205" s="726">
        <v>3.66538552836961E-3</v>
      </c>
      <c r="BL205" s="726">
        <v>6.4181128635161042E-3</v>
      </c>
      <c r="BM205" s="726">
        <v>9.9782050689640415E-3</v>
      </c>
      <c r="BN205" s="726">
        <v>1.4309409207040578E-2</v>
      </c>
      <c r="BO205" s="727">
        <v>1.9417522018793123E-2</v>
      </c>
      <c r="BP205" s="726">
        <v>2.5219100989016929E-2</v>
      </c>
      <c r="BQ205" s="726">
        <v>3.1620565943586074E-2</v>
      </c>
      <c r="BR205" s="726">
        <v>3.8525806963743414E-2</v>
      </c>
      <c r="BS205" s="726">
        <v>4.5835830025476379E-2</v>
      </c>
      <c r="BT205" s="726">
        <v>5.3387372822140032E-2</v>
      </c>
      <c r="BW205" s="1208">
        <f>'2018'!R\Max</f>
        <v>0</v>
      </c>
      <c r="BX205" s="1206">
        <f>'2019'!R\Max</f>
        <v>0.9927411378437313</v>
      </c>
      <c r="BY205" s="1206">
        <f>'2020'!R\Max</f>
        <v>0.91234518384337215</v>
      </c>
      <c r="BZ205" s="1206">
        <f>'2021'!R\Max</f>
        <v>0.87532541124985985</v>
      </c>
      <c r="CA205" s="1206">
        <f>'2022'!R\Max</f>
        <v>0.97924260751412939</v>
      </c>
      <c r="CB205" s="1206">
        <f>'2023'!R\Max</f>
        <v>0.97923835740555876</v>
      </c>
      <c r="CC205" s="1206">
        <f>'2024'!R\Max</f>
        <v>0.97923406187731776</v>
      </c>
      <c r="CD205" s="1206">
        <f>'2025'!R\Max</f>
        <v>0.97925797498320366</v>
      </c>
      <c r="CE205" s="1206">
        <f>'2026'!R\Max</f>
        <v>0.97925447126136989</v>
      </c>
      <c r="CF205" s="1207">
        <f>'2027'!R\Max</f>
        <v>0.97925058251475416</v>
      </c>
    </row>
    <row r="206" spans="1:84" s="6" customFormat="1" ht="11.25" x14ac:dyDescent="0.2">
      <c r="A206" s="11">
        <v>43292</v>
      </c>
      <c r="B206" s="379">
        <f>'2022'!Maxi_hp</f>
        <v>58.243264696264866</v>
      </c>
      <c r="C206" s="13">
        <f>'2022'!An_max</f>
        <v>2019</v>
      </c>
      <c r="D206" s="1053">
        <f t="shared" si="78"/>
        <v>1.0055302083695925</v>
      </c>
      <c r="E206" s="13"/>
      <c r="F206" s="13">
        <f t="shared" si="95"/>
        <v>15</v>
      </c>
      <c r="G206" s="13">
        <f t="shared" si="79"/>
        <v>16</v>
      </c>
      <c r="H206" s="172">
        <f t="shared" si="80"/>
        <v>43290</v>
      </c>
      <c r="I206" s="753">
        <f t="shared" si="81"/>
        <v>0.14285714285714285</v>
      </c>
      <c r="J206" s="746">
        <f t="shared" si="82"/>
        <v>57.922938775457439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46">
        <v>43292</v>
      </c>
      <c r="AP206" s="13">
        <f t="shared" si="83"/>
        <v>9</v>
      </c>
      <c r="AQ206" s="13">
        <f t="shared" si="84"/>
        <v>8</v>
      </c>
      <c r="AR206" s="172">
        <f t="shared" si="85"/>
        <v>43304</v>
      </c>
      <c r="AS206" s="753">
        <f t="shared" si="86"/>
        <v>0.42857142857142855</v>
      </c>
      <c r="AT206" s="769">
        <f t="shared" si="87"/>
        <v>57.959342856984584</v>
      </c>
      <c r="AU206" s="13">
        <f t="shared" si="88"/>
        <v>9</v>
      </c>
      <c r="AV206" s="13">
        <f t="shared" si="89"/>
        <v>8</v>
      </c>
      <c r="AW206" s="172">
        <f t="shared" si="90"/>
        <v>43318</v>
      </c>
      <c r="AX206" s="753">
        <f t="shared" si="91"/>
        <v>0.9285714285714286</v>
      </c>
      <c r="AY206" s="769">
        <f t="shared" si="92"/>
        <v>57.928103243513036</v>
      </c>
      <c r="AZ206" s="746">
        <f t="shared" si="96"/>
        <v>57.943723050248806</v>
      </c>
      <c r="BA206" s="641">
        <f t="shared" si="93"/>
        <v>1.0055302083695925</v>
      </c>
      <c r="BC206" s="11">
        <v>43292</v>
      </c>
      <c r="BD206" s="289">
        <f>[2]!FeuilCaduc*(1-Persistant)+Persistant</f>
        <v>0.99302648552044026</v>
      </c>
      <c r="BE206" s="290">
        <f>[2]!CroissVégét</f>
        <v>0.78137649671730769</v>
      </c>
      <c r="BF206" s="819">
        <f>1+[2]!Salcycl*Ksac</f>
        <v>1.0491283106900551</v>
      </c>
      <c r="BH206" s="1044">
        <f t="shared" si="94"/>
        <v>1.6722725966706264E-2</v>
      </c>
      <c r="BI206" s="11">
        <v>44388</v>
      </c>
      <c r="BJ206" s="726">
        <v>1.4055823535950593E-3</v>
      </c>
      <c r="BK206" s="726">
        <v>3.5994257976799272E-3</v>
      </c>
      <c r="BL206" s="726">
        <v>6.296418215827551E-3</v>
      </c>
      <c r="BM206" s="726">
        <v>9.7839569217644182E-3</v>
      </c>
      <c r="BN206" s="726">
        <v>1.4036254067263118E-2</v>
      </c>
      <c r="BO206" s="727">
        <v>1.9059802574195785E-2</v>
      </c>
      <c r="BP206" s="726">
        <v>2.4774537792023429E-2</v>
      </c>
      <c r="BQ206" s="726">
        <v>3.1084291663601864E-2</v>
      </c>
      <c r="BR206" s="726">
        <v>3.7895242970044291E-2</v>
      </c>
      <c r="BS206" s="726">
        <v>4.51085937511796E-2</v>
      </c>
      <c r="BT206" s="726">
        <v>5.2562979398627106E-2</v>
      </c>
      <c r="BW206" s="1208">
        <f>'2018'!R\Max</f>
        <v>0</v>
      </c>
      <c r="BX206" s="1206">
        <f>'2019'!R\Max</f>
        <v>1.0055302083695925</v>
      </c>
      <c r="BY206" s="1206">
        <f>'2020'!R\Max</f>
        <v>0.82984152520289378</v>
      </c>
      <c r="BZ206" s="1206">
        <f>'2021'!R\Max</f>
        <v>0.88661274042885074</v>
      </c>
      <c r="CA206" s="1206">
        <f>'2022'!R\Max</f>
        <v>0.95761750314048766</v>
      </c>
      <c r="CB206" s="1206">
        <f>'2023'!R\Max</f>
        <v>0.95760911394870185</v>
      </c>
      <c r="CC206" s="1206">
        <f>'2024'!R\Max</f>
        <v>0.95760064039586845</v>
      </c>
      <c r="CD206" s="1206">
        <f>'2025'!R\Max</f>
        <v>0.95764779680500145</v>
      </c>
      <c r="CE206" s="1206">
        <f>'2026'!R\Max</f>
        <v>0.95764089169100497</v>
      </c>
      <c r="CF206" s="1207">
        <f>'2027'!R\Max</f>
        <v>0.95763322520804439</v>
      </c>
    </row>
    <row r="207" spans="1:84" s="6" customFormat="1" ht="11.25" x14ac:dyDescent="0.2">
      <c r="A207" s="11">
        <v>43293</v>
      </c>
      <c r="B207" s="379">
        <f>'2022'!Maxi_hp</f>
        <v>59.300969895752004</v>
      </c>
      <c r="C207" s="13">
        <f>'2022'!An_max</f>
        <v>2019</v>
      </c>
      <c r="D207" s="1053">
        <f t="shared" ref="D207:D270" si="97">IF($BA207&gt;$D$11,BA207,"")</f>
        <v>1.0251285522548668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2">
        <f t="shared" ref="H207:H270" si="99">INDEX(x.2m,F207)</f>
        <v>43290</v>
      </c>
      <c r="I207" s="753">
        <f t="shared" ref="I207:I270" si="100">($A207-H207)/(INDEX(x.2m,G207)-H207)</f>
        <v>0.21428571428571427</v>
      </c>
      <c r="J207" s="746">
        <f t="shared" ref="J207:J270" si="101">((1-I207)*(INDEX(a.m,F207)*$A207*$A207+INDEX(b.m,F207)*$A207+INDEX(c.m,F207))+I207*(INDEX(a.m,G207)*$A207*$A207+INDEX(b.m,G207)*$A207+INDEX(c.m,G207)))/10</f>
        <v>57.847349744882173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46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2">
        <f t="shared" ref="AR207:AR270" si="104">INDEX(x.2lg,AP207)</f>
        <v>43304</v>
      </c>
      <c r="AS207" s="753">
        <f t="shared" ref="AS207:AS270" si="105">($A207-AR207)/(INDEX(x.2lg,AQ207)-AR207)</f>
        <v>0.39285714285714285</v>
      </c>
      <c r="AT207" s="769">
        <f t="shared" ref="AT207:AT270" si="106">((1-AS207)*(INDEX(a.lg,AP207)*$A207*$A207+INDEX(b.lg,AP207)*$A207+INDEX(c.lg,AP207))+AS207*(INDEX(a.lg,AQ207)*$A207*$A207+INDEX(b.lg,AQ207)*$A207+INDEX(c.lg,AQ207)))/10</f>
        <v>57.882805803531255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2">
        <f t="shared" ref="AW207:AW270" si="109">INDEX(x.2ld,AU207)</f>
        <v>43318</v>
      </c>
      <c r="AX207" s="753">
        <f t="shared" ref="AX207:AX270" si="110">($A207-AW207)/(INDEX(x.2ld,AV207)-AW207)</f>
        <v>0.8928571428571429</v>
      </c>
      <c r="AY207" s="769">
        <f t="shared" ref="AY207:AY270" si="111">((1-AX207)*(INDEX(a.ld,AU207)*$A207*$A207+INDEX(b.ld,AU207)*$A207+INDEX(c.ld,AU207))+AX207*(INDEX(a.ld,AV207)*$A207*$A207+INDEX(b.ld,AV207)*$A207+INDEX(c.ld,AV207)))/10</f>
        <v>57.856152815408336</v>
      </c>
      <c r="AZ207" s="746">
        <f t="shared" si="96"/>
        <v>57.869479309469796</v>
      </c>
      <c r="BA207" s="641">
        <f t="shared" ref="BA207:BA270" si="112">+B207/J207</f>
        <v>1.0251285522548668</v>
      </c>
      <c r="BC207" s="11">
        <v>43293</v>
      </c>
      <c r="BD207" s="289">
        <f>[2]!FeuilCaduc*(1-Persistant)+Persistant</f>
        <v>0.99395853402505574</v>
      </c>
      <c r="BE207" s="290">
        <f>[2]!CroissVégét</f>
        <v>0.78832648381074411</v>
      </c>
      <c r="BF207" s="819">
        <f>1+[2]!Salcycl*Ksac</f>
        <v>1.0492448167531321</v>
      </c>
      <c r="BH207" s="1044">
        <f t="shared" ref="BH207:BH270" si="113">INDEX($BJ207:$BT207,,$BH$10)*(1-Ratini)+INDEX($BJ207:$BT207,,$BH$10+1)*Ratini</f>
        <v>1.6394838399470282E-2</v>
      </c>
      <c r="BI207" s="11">
        <v>44389</v>
      </c>
      <c r="BJ207" s="726">
        <v>1.3815648736238886E-3</v>
      </c>
      <c r="BK207" s="726">
        <v>3.5313416616608783E-3</v>
      </c>
      <c r="BL207" s="726">
        <v>6.1708076358263156E-3</v>
      </c>
      <c r="BM207" s="726">
        <v>9.5839310381309172E-3</v>
      </c>
      <c r="BN207" s="726">
        <v>1.3755046128296845E-2</v>
      </c>
      <c r="BO207" s="727">
        <v>1.8691306405284849E-2</v>
      </c>
      <c r="BP207" s="726">
        <v>2.4316020919805101E-2</v>
      </c>
      <c r="BQ207" s="726">
        <v>3.0530720421528539E-2</v>
      </c>
      <c r="BR207" s="726">
        <v>3.7243949848840913E-2</v>
      </c>
      <c r="BS207" s="726">
        <v>4.4356980313535993E-2</v>
      </c>
      <c r="BT207" s="726">
        <v>5.1710441544003082E-2</v>
      </c>
      <c r="BW207" s="1208">
        <f>'2018'!R\Max</f>
        <v>0</v>
      </c>
      <c r="BX207" s="1206">
        <f>'2019'!R\Max</f>
        <v>1.0251285522548668</v>
      </c>
      <c r="BY207" s="1206">
        <f>'2020'!R\Max</f>
        <v>0.74415555653532206</v>
      </c>
      <c r="BZ207" s="1206">
        <f>'2021'!R\Max</f>
        <v>0.23399663663002063</v>
      </c>
      <c r="CA207" s="1206">
        <f>'2022'!R\Max</f>
        <v>0.9515276940242493</v>
      </c>
      <c r="CB207" s="1206">
        <f>'2023'!R\Max</f>
        <v>0.95151827737223083</v>
      </c>
      <c r="CC207" s="1206">
        <f>'2024'!R\Max</f>
        <v>0.95150877179312232</v>
      </c>
      <c r="CD207" s="1206">
        <f>'2025'!R\Max</f>
        <v>0.95156165132182968</v>
      </c>
      <c r="CE207" s="1206">
        <f>'2026'!R\Max</f>
        <v>0.95155391329313921</v>
      </c>
      <c r="CF207" s="1207">
        <f>'2027'!R\Max</f>
        <v>0.95154531888538452</v>
      </c>
    </row>
    <row r="208" spans="1:84" s="6" customFormat="1" ht="11.25" x14ac:dyDescent="0.2">
      <c r="A208" s="11">
        <v>43294</v>
      </c>
      <c r="B208" s="379">
        <f>'2022'!Maxi_hp</f>
        <v>55.053807149848517</v>
      </c>
      <c r="C208" s="13">
        <f>'2022'!An_max</f>
        <v>2022</v>
      </c>
      <c r="D208" s="1053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2">
        <f t="shared" si="99"/>
        <v>43290</v>
      </c>
      <c r="I208" s="753">
        <f t="shared" si="100"/>
        <v>0.2857142857142857</v>
      </c>
      <c r="J208" s="746">
        <f t="shared" si="101"/>
        <v>57.771255101981964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46">
        <v>43294</v>
      </c>
      <c r="AP208" s="13">
        <f t="shared" si="102"/>
        <v>9</v>
      </c>
      <c r="AQ208" s="13">
        <f t="shared" si="103"/>
        <v>8</v>
      </c>
      <c r="AR208" s="172">
        <f t="shared" si="104"/>
        <v>43304</v>
      </c>
      <c r="AS208" s="753">
        <f t="shared" si="105"/>
        <v>0.35714285714285715</v>
      </c>
      <c r="AT208" s="769">
        <f t="shared" si="106"/>
        <v>57.80538392855253</v>
      </c>
      <c r="AU208" s="13">
        <f t="shared" si="107"/>
        <v>9</v>
      </c>
      <c r="AV208" s="13">
        <f t="shared" si="108"/>
        <v>8</v>
      </c>
      <c r="AW208" s="172">
        <f t="shared" si="109"/>
        <v>43318</v>
      </c>
      <c r="AX208" s="753">
        <f t="shared" si="110"/>
        <v>0.8571428571428571</v>
      </c>
      <c r="AY208" s="769">
        <f t="shared" si="111"/>
        <v>57.784256559956283</v>
      </c>
      <c r="AZ208" s="746">
        <f t="shared" ref="AZ208:AZ271" si="115">(AY208+AT208)/2</f>
        <v>57.79482024425441</v>
      </c>
      <c r="BA208" s="641">
        <f t="shared" si="112"/>
        <v>0.95296193673936258</v>
      </c>
      <c r="BC208" s="11">
        <v>43294</v>
      </c>
      <c r="BD208" s="289">
        <f>[2]!FeuilCaduc*(1-Persistant)+Persistant</f>
        <v>0.99480404515330823</v>
      </c>
      <c r="BE208" s="290">
        <f>[2]!CroissVégét</f>
        <v>0.79511370224543498</v>
      </c>
      <c r="BF208" s="819">
        <f>1+[2]!Salcycl*Ksac</f>
        <v>1.0493505056441634</v>
      </c>
      <c r="BH208" s="1044">
        <f t="shared" si="113"/>
        <v>1.6057453185249756E-2</v>
      </c>
      <c r="BI208" s="11">
        <v>44390</v>
      </c>
      <c r="BJ208" s="726">
        <v>1.3572032404020676E-3</v>
      </c>
      <c r="BK208" s="726">
        <v>3.4611358429634284E-3</v>
      </c>
      <c r="BL208" s="726">
        <v>6.0412859300389412E-3</v>
      </c>
      <c r="BM208" s="726">
        <v>9.3781343551597937E-3</v>
      </c>
      <c r="BN208" s="726">
        <v>1.3465795229709261E-2</v>
      </c>
      <c r="BO208" s="727">
        <v>1.8312047094742458E-2</v>
      </c>
      <c r="BP208" s="726">
        <v>2.3843568600026392E-2</v>
      </c>
      <c r="BQ208" s="726">
        <v>2.9959875505614145E-2</v>
      </c>
      <c r="BR208" s="726">
        <v>3.6571956284737035E-2</v>
      </c>
      <c r="BS208" s="726">
        <v>4.3581024227778528E-2</v>
      </c>
      <c r="BT208" s="726">
        <v>5.0829799881547323E-2</v>
      </c>
      <c r="BW208" s="1208">
        <f>'2018'!R\Max</f>
        <v>0</v>
      </c>
      <c r="BX208" s="1206">
        <f>'2019'!R\Max</f>
        <v>0.89832712890269995</v>
      </c>
      <c r="BY208" s="1206">
        <f>'2020'!R\Max</f>
        <v>0.6284031500212901</v>
      </c>
      <c r="BZ208" s="1206">
        <f>'2021'!R\Max</f>
        <v>0.53274077678578591</v>
      </c>
      <c r="CA208" s="1206">
        <f>'2022'!R\Max</f>
        <v>0.95296193673936258</v>
      </c>
      <c r="CB208" s="1206">
        <f>'2023'!R\Max</f>
        <v>0.95295290503423724</v>
      </c>
      <c r="CC208" s="1206">
        <f>'2024'!R\Max</f>
        <v>0.95294379343561419</v>
      </c>
      <c r="CD208" s="1206">
        <f>'2025'!R\Max</f>
        <v>0.95299445956758388</v>
      </c>
      <c r="CE208" s="1206">
        <f>'2026'!R\Max</f>
        <v>0.95298705071543999</v>
      </c>
      <c r="CF208" s="1207">
        <f>'2027'!R\Max</f>
        <v>0.9529788185861825</v>
      </c>
    </row>
    <row r="209" spans="1:84" s="6" customFormat="1" ht="11.25" x14ac:dyDescent="0.2">
      <c r="A209" s="11">
        <v>43295</v>
      </c>
      <c r="B209" s="379">
        <f>'2022'!Maxi_hp</f>
        <v>58.425013192463943</v>
      </c>
      <c r="C209" s="13">
        <f>'2022'!An_max</f>
        <v>2019</v>
      </c>
      <c r="D209" s="1053">
        <f t="shared" si="97"/>
        <v>1.0126590296368438</v>
      </c>
      <c r="E209" s="13"/>
      <c r="F209" s="13">
        <f t="shared" si="114"/>
        <v>15</v>
      </c>
      <c r="G209" s="13">
        <f t="shared" si="98"/>
        <v>16</v>
      </c>
      <c r="H209" s="172">
        <f t="shared" si="99"/>
        <v>43290</v>
      </c>
      <c r="I209" s="753">
        <f t="shared" si="100"/>
        <v>0.35714285714285715</v>
      </c>
      <c r="J209" s="746">
        <f t="shared" si="101"/>
        <v>57.694654846869938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46">
        <v>43295</v>
      </c>
      <c r="AP209" s="13">
        <f t="shared" si="102"/>
        <v>9</v>
      </c>
      <c r="AQ209" s="13">
        <f t="shared" si="103"/>
        <v>8</v>
      </c>
      <c r="AR209" s="172">
        <f t="shared" si="104"/>
        <v>43304</v>
      </c>
      <c r="AS209" s="753">
        <f t="shared" si="105"/>
        <v>0.32142857142857145</v>
      </c>
      <c r="AT209" s="769">
        <f t="shared" si="106"/>
        <v>57.727077232148233</v>
      </c>
      <c r="AU209" s="13">
        <f t="shared" si="107"/>
        <v>9</v>
      </c>
      <c r="AV209" s="13">
        <f t="shared" si="108"/>
        <v>8</v>
      </c>
      <c r="AW209" s="172">
        <f t="shared" si="109"/>
        <v>43318</v>
      </c>
      <c r="AX209" s="753">
        <f t="shared" si="110"/>
        <v>0.8214285714285714</v>
      </c>
      <c r="AY209" s="769">
        <f t="shared" si="111"/>
        <v>57.712306131718549</v>
      </c>
      <c r="AZ209" s="746">
        <f t="shared" si="115"/>
        <v>57.719691681933391</v>
      </c>
      <c r="BA209" s="641">
        <f t="shared" si="112"/>
        <v>1.0126590296368438</v>
      </c>
      <c r="BC209" s="11">
        <v>43295</v>
      </c>
      <c r="BD209" s="289">
        <f>[2]!FeuilCaduc*(1-Persistant)+Persistant</f>
        <v>0.99556732469267872</v>
      </c>
      <c r="BE209" s="290">
        <f>[2]!CroissVégét</f>
        <v>0.80173827384170082</v>
      </c>
      <c r="BF209" s="819">
        <f>1+[2]!Salcycl*Ksac</f>
        <v>1.0494459155865847</v>
      </c>
      <c r="BH209" s="1044">
        <f t="shared" si="113"/>
        <v>1.5710580740490799E-2</v>
      </c>
      <c r="BI209" s="11">
        <v>44391</v>
      </c>
      <c r="BJ209" s="726">
        <v>1.3324979161657656E-3</v>
      </c>
      <c r="BK209" s="726">
        <v>3.3888107583929425E-3</v>
      </c>
      <c r="BL209" s="726">
        <v>5.9078573408569875E-3</v>
      </c>
      <c r="BM209" s="726">
        <v>9.1665729421737795E-3</v>
      </c>
      <c r="BN209" s="726">
        <v>1.3168509995858734E-2</v>
      </c>
      <c r="BO209" s="727">
        <v>1.792203661802837E-2</v>
      </c>
      <c r="BP209" s="726">
        <v>2.3357197024402865E-2</v>
      </c>
      <c r="BQ209" s="726">
        <v>2.9371777716295986E-2</v>
      </c>
      <c r="BR209" s="726">
        <v>3.5879288010409516E-2</v>
      </c>
      <c r="BS209" s="726">
        <v>4.2780756572486443E-2</v>
      </c>
      <c r="BT209" s="726">
        <v>4.9921091103792004E-2</v>
      </c>
      <c r="BW209" s="1208">
        <f>'2018'!R\Max</f>
        <v>0</v>
      </c>
      <c r="BX209" s="1206">
        <f>'2019'!R\Max</f>
        <v>1.0126590296368438</v>
      </c>
      <c r="BY209" s="1206">
        <f>'2020'!R\Max</f>
        <v>1.0028123706269858</v>
      </c>
      <c r="BZ209" s="1206">
        <f>'2021'!R\Max</f>
        <v>0.54894733693343301</v>
      </c>
      <c r="CA209" s="1206">
        <f>'2022'!R\Max</f>
        <v>0.94317445980826897</v>
      </c>
      <c r="CB209" s="1206">
        <f>'2023'!R\Max</f>
        <v>0.94316381217195266</v>
      </c>
      <c r="CC209" s="1206">
        <f>'2024'!R\Max</f>
        <v>0.94315307664188019</v>
      </c>
      <c r="CD209" s="1206">
        <f>'2025'!R\Max</f>
        <v>0.94321274546905409</v>
      </c>
      <c r="CE209" s="1206">
        <f>'2026'!R\Max</f>
        <v>0.94320402671101478</v>
      </c>
      <c r="CF209" s="1207">
        <f>'2027'!R\Max</f>
        <v>0.94319433488173143</v>
      </c>
    </row>
    <row r="210" spans="1:84" s="6" customFormat="1" ht="11.25" x14ac:dyDescent="0.2">
      <c r="A210" s="11">
        <v>43296</v>
      </c>
      <c r="B210" s="379">
        <f>'2022'!Maxi_hp</f>
        <v>59.682824722317406</v>
      </c>
      <c r="C210" s="13">
        <f>'2022'!An_max</f>
        <v>2019</v>
      </c>
      <c r="D210" s="1053">
        <f t="shared" si="97"/>
        <v>1.0358445608925131</v>
      </c>
      <c r="E210" s="13"/>
      <c r="F210" s="13">
        <f t="shared" si="114"/>
        <v>15</v>
      </c>
      <c r="G210" s="13">
        <f t="shared" si="98"/>
        <v>16</v>
      </c>
      <c r="H210" s="172">
        <f t="shared" si="99"/>
        <v>43290</v>
      </c>
      <c r="I210" s="753">
        <f t="shared" si="100"/>
        <v>0.42857142857142855</v>
      </c>
      <c r="J210" s="746">
        <f t="shared" si="101"/>
        <v>57.617548979446291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46">
        <v>43296</v>
      </c>
      <c r="AP210" s="13">
        <f t="shared" si="102"/>
        <v>9</v>
      </c>
      <c r="AQ210" s="13">
        <f t="shared" si="103"/>
        <v>8</v>
      </c>
      <c r="AR210" s="172">
        <f t="shared" si="104"/>
        <v>43304</v>
      </c>
      <c r="AS210" s="753">
        <f t="shared" si="105"/>
        <v>0.2857142857142857</v>
      </c>
      <c r="AT210" s="769">
        <f t="shared" si="106"/>
        <v>57.647885714258472</v>
      </c>
      <c r="AU210" s="13">
        <f t="shared" si="107"/>
        <v>9</v>
      </c>
      <c r="AV210" s="13">
        <f t="shared" si="108"/>
        <v>8</v>
      </c>
      <c r="AW210" s="172">
        <f t="shared" si="109"/>
        <v>43318</v>
      </c>
      <c r="AX210" s="753">
        <f t="shared" si="110"/>
        <v>0.7857142857142857</v>
      </c>
      <c r="AY210" s="769">
        <f t="shared" si="111"/>
        <v>57.640193185263442</v>
      </c>
      <c r="AZ210" s="746">
        <f t="shared" si="115"/>
        <v>57.644039449760953</v>
      </c>
      <c r="BA210" s="641">
        <f t="shared" si="112"/>
        <v>1.0358445608925131</v>
      </c>
      <c r="BC210" s="11">
        <v>43296</v>
      </c>
      <c r="BD210" s="289">
        <f>[2]!FeuilCaduc*(1-Persistant)+Persistant</f>
        <v>0.9962526578460128</v>
      </c>
      <c r="BE210" s="290">
        <f>[2]!CroissVégét</f>
        <v>0.80820058265200556</v>
      </c>
      <c r="BF210" s="819">
        <f>1+[2]!Salcycl*Ksac</f>
        <v>1.0495315822307516</v>
      </c>
      <c r="BH210" s="1044">
        <f t="shared" si="113"/>
        <v>1.5354229998376729E-2</v>
      </c>
      <c r="BI210" s="11">
        <v>44392</v>
      </c>
      <c r="BJ210" s="726">
        <v>1.3074492801647311E-3</v>
      </c>
      <c r="BK210" s="726">
        <v>3.3143685058901733E-3</v>
      </c>
      <c r="BL210" s="726">
        <v>5.7705255225508527E-3</v>
      </c>
      <c r="BM210" s="726">
        <v>8.9492519652405941E-3</v>
      </c>
      <c r="BN210" s="726">
        <v>1.286319778641503E-2</v>
      </c>
      <c r="BO210" s="727">
        <v>1.7521285277192523E-2</v>
      </c>
      <c r="BP210" s="726">
        <v>2.285692026309083E-2</v>
      </c>
      <c r="BQ210" s="726">
        <v>2.876644526013809E-2</v>
      </c>
      <c r="BR210" s="726">
        <v>3.5165967679536954E-2</v>
      </c>
      <c r="BS210" s="726">
        <v>4.1956204840202189E-2</v>
      </c>
      <c r="BT210" s="726">
        <v>4.8984347800111273E-2</v>
      </c>
      <c r="BW210" s="1208">
        <f>'2018'!R\Max</f>
        <v>0</v>
      </c>
      <c r="BX210" s="1206">
        <f>'2019'!R\Max</f>
        <v>1.0358445608925131</v>
      </c>
      <c r="BY210" s="1206">
        <f>'2020'!R\Max</f>
        <v>0.85352014566010048</v>
      </c>
      <c r="BZ210" s="1206">
        <f>'2021'!R\Max</f>
        <v>0.62238560079022398</v>
      </c>
      <c r="CA210" s="1206">
        <f>'2022'!R\Max</f>
        <v>0.91527470957509738</v>
      </c>
      <c r="CB210" s="1206">
        <f>'2023'!R\Max</f>
        <v>0.91525953382282055</v>
      </c>
      <c r="CC210" s="1206">
        <f>'2024'!R\Max</f>
        <v>0.91524424171339613</v>
      </c>
      <c r="CD210" s="1206">
        <f>'2025'!R\Max</f>
        <v>0.91532919496024567</v>
      </c>
      <c r="CE210" s="1206">
        <f>'2026'!R\Max</f>
        <v>0.91531679144331612</v>
      </c>
      <c r="CF210" s="1207">
        <f>'2027'!R\Max</f>
        <v>0.91530299709948582</v>
      </c>
    </row>
    <row r="211" spans="1:84" s="6" customFormat="1" ht="11.25" x14ac:dyDescent="0.2">
      <c r="A211" s="11">
        <v>43297</v>
      </c>
      <c r="B211" s="379">
        <f>'2022'!Maxi_hp</f>
        <v>58.694583788185525</v>
      </c>
      <c r="C211" s="13">
        <f>'2022'!An_max</f>
        <v>2019</v>
      </c>
      <c r="D211" s="1053">
        <f t="shared" si="97"/>
        <v>1.0200668672654836</v>
      </c>
      <c r="E211" s="13"/>
      <c r="F211" s="13">
        <f t="shared" si="114"/>
        <v>15</v>
      </c>
      <c r="G211" s="13">
        <f t="shared" si="98"/>
        <v>16</v>
      </c>
      <c r="H211" s="172">
        <f t="shared" si="99"/>
        <v>43290</v>
      </c>
      <c r="I211" s="753">
        <f t="shared" si="100"/>
        <v>0.5</v>
      </c>
      <c r="J211" s="746">
        <f t="shared" si="101"/>
        <v>57.539937499910593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46">
        <v>43297</v>
      </c>
      <c r="AP211" s="13">
        <f t="shared" si="102"/>
        <v>9</v>
      </c>
      <c r="AQ211" s="13">
        <f t="shared" si="103"/>
        <v>8</v>
      </c>
      <c r="AR211" s="172">
        <f t="shared" si="104"/>
        <v>43304</v>
      </c>
      <c r="AS211" s="753">
        <f t="shared" si="105"/>
        <v>0.25</v>
      </c>
      <c r="AT211" s="769">
        <f t="shared" si="106"/>
        <v>57.567809374886565</v>
      </c>
      <c r="AU211" s="13">
        <f t="shared" si="107"/>
        <v>9</v>
      </c>
      <c r="AV211" s="13">
        <f t="shared" si="108"/>
        <v>8</v>
      </c>
      <c r="AW211" s="172">
        <f t="shared" si="109"/>
        <v>43318</v>
      </c>
      <c r="AX211" s="753">
        <f t="shared" si="110"/>
        <v>0.75</v>
      </c>
      <c r="AY211" s="769">
        <f t="shared" si="111"/>
        <v>57.567809375212526</v>
      </c>
      <c r="AZ211" s="746">
        <f t="shared" si="115"/>
        <v>57.567809375049549</v>
      </c>
      <c r="BA211" s="641">
        <f t="shared" si="112"/>
        <v>1.0200668672654836</v>
      </c>
      <c r="BC211" s="11">
        <v>43297</v>
      </c>
      <c r="BD211" s="289">
        <f>[2]!FeuilCaduc*(1-Persistant)+Persistant</f>
        <v>0.99686428648976422</v>
      </c>
      <c r="BE211" s="290">
        <f>[2]!CroissVégét</f>
        <v>0.81450126137468837</v>
      </c>
      <c r="BF211" s="819">
        <f>1+[2]!Salcycl*Ksac</f>
        <v>1.0496080358112205</v>
      </c>
      <c r="BH211" s="1044">
        <f t="shared" si="113"/>
        <v>1.4988408349788093E-2</v>
      </c>
      <c r="BI211" s="11">
        <v>44393</v>
      </c>
      <c r="BJ211" s="726">
        <v>1.2820576264024148E-3</v>
      </c>
      <c r="BK211" s="726">
        <v>3.2378108513774918E-3</v>
      </c>
      <c r="BL211" s="726">
        <v>5.6292935170482736E-3</v>
      </c>
      <c r="BM211" s="726">
        <v>8.7261756513260479E-3</v>
      </c>
      <c r="BN211" s="726">
        <v>1.2549864646355213E-2</v>
      </c>
      <c r="BO211" s="727">
        <v>1.710980163397437E-2</v>
      </c>
      <c r="BP211" s="726">
        <v>2.2342750178148907E-2</v>
      </c>
      <c r="BQ211" s="726">
        <v>2.8143893642602804E-2</v>
      </c>
      <c r="BR211" s="726">
        <v>3.4432014738305608E-2</v>
      </c>
      <c r="BS211" s="726">
        <v>4.11073927863536E-2</v>
      </c>
      <c r="BT211" s="726">
        <v>4.8019598282334285E-2</v>
      </c>
      <c r="BW211" s="1208">
        <f>'2018'!R\Max</f>
        <v>0</v>
      </c>
      <c r="BX211" s="1206">
        <f>'2019'!R\Max</f>
        <v>1.0200668672654836</v>
      </c>
      <c r="BY211" s="1206">
        <f>'2020'!R\Max</f>
        <v>0.4291297422145216</v>
      </c>
      <c r="BZ211" s="1206">
        <f>'2021'!R\Max</f>
        <v>0.74018650846448364</v>
      </c>
      <c r="CA211" s="1206">
        <f>'2022'!R\Max</f>
        <v>0.94494065919280323</v>
      </c>
      <c r="CB211" s="1206">
        <f>'2023'!R\Max</f>
        <v>0.94493063900639307</v>
      </c>
      <c r="CC211" s="1206">
        <f>'2024'!R\Max</f>
        <v>0.94492054754736621</v>
      </c>
      <c r="CD211" s="1206">
        <f>'2025'!R\Max</f>
        <v>0.94497657642316324</v>
      </c>
      <c r="CE211" s="1206">
        <f>'2026'!R\Max</f>
        <v>0.94496840335437382</v>
      </c>
      <c r="CF211" s="1207">
        <f>'2027'!R\Max</f>
        <v>0.94495930894057112</v>
      </c>
    </row>
    <row r="212" spans="1:84" s="6" customFormat="1" ht="11.25" x14ac:dyDescent="0.2">
      <c r="A212" s="11">
        <v>43298</v>
      </c>
      <c r="B212" s="379">
        <f>'2022'!Maxi_hp</f>
        <v>57.888056189789317</v>
      </c>
      <c r="C212" s="13">
        <f>'2022'!An_max</f>
        <v>2021</v>
      </c>
      <c r="D212" s="1053">
        <f t="shared" si="97"/>
        <v>1.0074177215179112</v>
      </c>
      <c r="E212" s="13"/>
      <c r="F212" s="13">
        <f t="shared" si="114"/>
        <v>15</v>
      </c>
      <c r="G212" s="13">
        <f t="shared" si="98"/>
        <v>16</v>
      </c>
      <c r="H212" s="172">
        <f t="shared" si="99"/>
        <v>43290</v>
      </c>
      <c r="I212" s="753">
        <f t="shared" si="100"/>
        <v>0.5714285714285714</v>
      </c>
      <c r="J212" s="746">
        <f t="shared" si="101"/>
        <v>57.461820408089885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46">
        <v>43298</v>
      </c>
      <c r="AP212" s="13">
        <f t="shared" si="102"/>
        <v>9</v>
      </c>
      <c r="AQ212" s="13">
        <f t="shared" si="103"/>
        <v>8</v>
      </c>
      <c r="AR212" s="172">
        <f t="shared" si="104"/>
        <v>43304</v>
      </c>
      <c r="AS212" s="753">
        <f t="shared" si="105"/>
        <v>0.21428571428571427</v>
      </c>
      <c r="AT212" s="769">
        <f t="shared" si="106"/>
        <v>57.486848214248731</v>
      </c>
      <c r="AU212" s="13">
        <f t="shared" si="107"/>
        <v>9</v>
      </c>
      <c r="AV212" s="13">
        <f t="shared" si="108"/>
        <v>8</v>
      </c>
      <c r="AW212" s="172">
        <f t="shared" si="109"/>
        <v>43318</v>
      </c>
      <c r="AX212" s="753">
        <f t="shared" si="110"/>
        <v>0.7142857142857143</v>
      </c>
      <c r="AY212" s="769">
        <f t="shared" si="111"/>
        <v>57.495046355894637</v>
      </c>
      <c r="AZ212" s="746">
        <f t="shared" si="115"/>
        <v>57.490947285071684</v>
      </c>
      <c r="BA212" s="641">
        <f t="shared" si="112"/>
        <v>1.0074177215179112</v>
      </c>
      <c r="BC212" s="11">
        <v>43298</v>
      </c>
      <c r="BD212" s="289">
        <f>[2]!FeuilCaduc*(1-Persistant)+Persistant</f>
        <v>0.99740638749766264</v>
      </c>
      <c r="BE212" s="290">
        <f>[2]!CroissVégét</f>
        <v>0.82064117750784105</v>
      </c>
      <c r="BF212" s="819">
        <f>1+[2]!Salcycl*Ksac</f>
        <v>1.0496757984372078</v>
      </c>
      <c r="BH212" s="1044">
        <f t="shared" si="113"/>
        <v>1.4612162136609281E-2</v>
      </c>
      <c r="BI212" s="11">
        <v>44394</v>
      </c>
      <c r="BJ212" s="726">
        <v>1.2569627516561043E-3</v>
      </c>
      <c r="BK212" s="726">
        <v>3.1594369948936946E-3</v>
      </c>
      <c r="BL212" s="726">
        <v>5.4840457572208033E-3</v>
      </c>
      <c r="BM212" s="726">
        <v>8.4967962591649248E-3</v>
      </c>
      <c r="BN212" s="726">
        <v>1.2227679160258461E-2</v>
      </c>
      <c r="BO212" s="727">
        <v>1.6686525686118808E-2</v>
      </c>
      <c r="BP212" s="726">
        <v>2.1813352771181641E-2</v>
      </c>
      <c r="BQ212" s="726">
        <v>2.75022251248523E-2</v>
      </c>
      <c r="BR212" s="726">
        <v>3.3674804796627794E-2</v>
      </c>
      <c r="BS212" s="726">
        <v>4.0230714018777383E-2</v>
      </c>
      <c r="BT212" s="726">
        <v>4.7022174906011328E-2</v>
      </c>
      <c r="BW212" s="1208">
        <f>'2018'!R\Max</f>
        <v>0</v>
      </c>
      <c r="BX212" s="1206">
        <f>'2019'!R\Max</f>
        <v>0.90696474427122764</v>
      </c>
      <c r="BY212" s="1206">
        <f>'2020'!R\Max</f>
        <v>0.4363863082526025</v>
      </c>
      <c r="BZ212" s="1206">
        <f>'2021'!R\Max</f>
        <v>1.0074177215179112</v>
      </c>
      <c r="CA212" s="1206">
        <f>'2022'!R\Max</f>
        <v>0.94002835107077332</v>
      </c>
      <c r="CB212" s="1206">
        <f>'2023'!R\Max</f>
        <v>0.94001767770570099</v>
      </c>
      <c r="CC212" s="1206">
        <f>'2024'!R\Max</f>
        <v>0.94000693440869276</v>
      </c>
      <c r="CD212" s="1206">
        <f>'2025'!R\Max</f>
        <v>0.94006654793852673</v>
      </c>
      <c r="CE212" s="1206">
        <f>'2026'!R\Max</f>
        <v>0.94005785994984237</v>
      </c>
      <c r="CF212" s="1207">
        <f>'2027'!R\Max</f>
        <v>0.94004818701149617</v>
      </c>
    </row>
    <row r="213" spans="1:84" s="6" customFormat="1" ht="11.25" x14ac:dyDescent="0.2">
      <c r="A213" s="11">
        <v>43299</v>
      </c>
      <c r="B213" s="379">
        <f>'2022'!Maxi_hp</f>
        <v>54.83409502353642</v>
      </c>
      <c r="C213" s="13">
        <f>'2022'!An_max</f>
        <v>2022</v>
      </c>
      <c r="D213" s="1053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2">
        <f t="shared" si="99"/>
        <v>43290</v>
      </c>
      <c r="I213" s="753">
        <f t="shared" si="100"/>
        <v>0.6428571428571429</v>
      </c>
      <c r="J213" s="746">
        <f t="shared" si="101"/>
        <v>57.383197704050687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46">
        <v>43299</v>
      </c>
      <c r="AP213" s="13">
        <f t="shared" si="102"/>
        <v>9</v>
      </c>
      <c r="AQ213" s="13">
        <f t="shared" si="103"/>
        <v>8</v>
      </c>
      <c r="AR213" s="172">
        <f t="shared" si="104"/>
        <v>43304</v>
      </c>
      <c r="AS213" s="753">
        <f t="shared" si="105"/>
        <v>0.17857142857142858</v>
      </c>
      <c r="AT213" s="769">
        <f t="shared" si="106"/>
        <v>57.405002232065556</v>
      </c>
      <c r="AU213" s="13">
        <f t="shared" si="107"/>
        <v>9</v>
      </c>
      <c r="AV213" s="13">
        <f t="shared" si="108"/>
        <v>8</v>
      </c>
      <c r="AW213" s="172">
        <f t="shared" si="109"/>
        <v>43318</v>
      </c>
      <c r="AX213" s="753">
        <f t="shared" si="110"/>
        <v>0.6785714285714286</v>
      </c>
      <c r="AY213" s="769">
        <f t="shared" si="111"/>
        <v>57.421795781941285</v>
      </c>
      <c r="AZ213" s="746">
        <f t="shared" si="115"/>
        <v>57.41339900700342</v>
      </c>
      <c r="BA213" s="641">
        <f t="shared" si="112"/>
        <v>0.95557754216380442</v>
      </c>
      <c r="BC213" s="11">
        <v>43299</v>
      </c>
      <c r="BD213" s="289">
        <f>[2]!FeuilCaduc*(1-Persistant)+Persistant</f>
        <v>0.99788305226322138</v>
      </c>
      <c r="BE213" s="290">
        <f>[2]!CroissVégét</f>
        <v>0.82662141934042188</v>
      </c>
      <c r="BF213" s="819">
        <f>1+[2]!Salcycl*Ksac</f>
        <v>1.0497353815329027</v>
      </c>
      <c r="BH213" s="1044">
        <f t="shared" si="113"/>
        <v>1.4231412296180978E-2</v>
      </c>
      <c r="BI213" s="11">
        <v>44395</v>
      </c>
      <c r="BJ213" s="726">
        <v>1.2327446627601148E-3</v>
      </c>
      <c r="BK213" s="726">
        <v>3.0804365465935532E-3</v>
      </c>
      <c r="BL213" s="726">
        <v>5.3368044184969642E-3</v>
      </c>
      <c r="BM213" s="726">
        <v>8.2644506694890471E-3</v>
      </c>
      <c r="BN213" s="726">
        <v>1.1901583058560745E-2</v>
      </c>
      <c r="BO213" s="727">
        <v>1.6258230224861357E-2</v>
      </c>
      <c r="BP213" s="726">
        <v>2.1277373422001814E-2</v>
      </c>
      <c r="BQ213" s="726">
        <v>2.6851885914064809E-2</v>
      </c>
      <c r="BR213" s="726">
        <v>3.2906664878297978E-2</v>
      </c>
      <c r="BS213" s="726">
        <v>3.9340414443632149E-2</v>
      </c>
      <c r="BT213" s="726">
        <v>4.6008309347351804E-2</v>
      </c>
      <c r="BW213" s="1208">
        <f>'2018'!R\Max</f>
        <v>0</v>
      </c>
      <c r="BX213" s="1206">
        <f>'2019'!R\Max</f>
        <v>0.68345163396996844</v>
      </c>
      <c r="BY213" s="1206">
        <f>'2020'!R\Max</f>
        <v>0.45921908254829957</v>
      </c>
      <c r="BZ213" s="1206">
        <f>'2021'!R\Max</f>
        <v>0.90761123663032095</v>
      </c>
      <c r="CA213" s="1206">
        <f>'2022'!R\Max</f>
        <v>0.95557754216380442</v>
      </c>
      <c r="CB213" s="1206">
        <f>'2023'!R\Max</f>
        <v>0.95556964809552725</v>
      </c>
      <c r="CC213" s="1206">
        <f>'2024'!R\Max</f>
        <v>0.95556170663492968</v>
      </c>
      <c r="CD213" s="1206">
        <f>'2025'!R\Max</f>
        <v>0.95560574739830051</v>
      </c>
      <c r="CE213" s="1206">
        <f>'2026'!R\Max</f>
        <v>0.95559933501840122</v>
      </c>
      <c r="CF213" s="1207">
        <f>'2027'!R\Max</f>
        <v>0.9555921913814247</v>
      </c>
    </row>
    <row r="214" spans="1:84" s="6" customFormat="1" ht="11.25" x14ac:dyDescent="0.2">
      <c r="A214" s="11">
        <v>43300</v>
      </c>
      <c r="B214" s="379">
        <f>'2022'!Maxi_hp</f>
        <v>57.925852793246442</v>
      </c>
      <c r="C214" s="13">
        <f>'2022'!An_max</f>
        <v>2020</v>
      </c>
      <c r="D214" s="1053">
        <f t="shared" si="97"/>
        <v>1.0108505977347959</v>
      </c>
      <c r="E214" s="13"/>
      <c r="F214" s="13">
        <f t="shared" si="114"/>
        <v>15</v>
      </c>
      <c r="G214" s="13">
        <f t="shared" si="98"/>
        <v>16</v>
      </c>
      <c r="H214" s="172">
        <f t="shared" si="99"/>
        <v>43290</v>
      </c>
      <c r="I214" s="753">
        <f t="shared" si="100"/>
        <v>0.7142857142857143</v>
      </c>
      <c r="J214" s="746">
        <f t="shared" si="101"/>
        <v>57.304069387753103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46">
        <v>43300</v>
      </c>
      <c r="AP214" s="13">
        <f t="shared" si="102"/>
        <v>9</v>
      </c>
      <c r="AQ214" s="13">
        <f t="shared" si="103"/>
        <v>8</v>
      </c>
      <c r="AR214" s="172">
        <f t="shared" si="104"/>
        <v>43304</v>
      </c>
      <c r="AS214" s="753">
        <f t="shared" si="105"/>
        <v>0.14285714285714285</v>
      </c>
      <c r="AT214" s="769">
        <f t="shared" si="106"/>
        <v>57.322271428523322</v>
      </c>
      <c r="AU214" s="13">
        <f t="shared" si="107"/>
        <v>9</v>
      </c>
      <c r="AV214" s="13">
        <f t="shared" si="108"/>
        <v>8</v>
      </c>
      <c r="AW214" s="172">
        <f t="shared" si="109"/>
        <v>43318</v>
      </c>
      <c r="AX214" s="753">
        <f t="shared" si="110"/>
        <v>0.6428571428571429</v>
      </c>
      <c r="AY214" s="769">
        <f t="shared" si="111"/>
        <v>57.347949307678007</v>
      </c>
      <c r="AZ214" s="746">
        <f t="shared" si="115"/>
        <v>57.335110368100665</v>
      </c>
      <c r="BA214" s="641">
        <f t="shared" si="112"/>
        <v>1.0108505977347959</v>
      </c>
      <c r="BC214" s="11">
        <v>43300</v>
      </c>
      <c r="BD214" s="289">
        <f>[2]!FeuilCaduc*(1-Persistant)+Persistant</f>
        <v>0.99829826754140993</v>
      </c>
      <c r="BE214" s="290">
        <f>[2]!CroissVégét</f>
        <v>0.83244328187154937</v>
      </c>
      <c r="BF214" s="819">
        <f>1+[2]!Salcycl*Ksac</f>
        <v>1.0497872834426762</v>
      </c>
      <c r="BH214" s="1044">
        <f t="shared" si="113"/>
        <v>1.3846156366376839E-2</v>
      </c>
      <c r="BI214" s="11">
        <v>44396</v>
      </c>
      <c r="BJ214" s="726">
        <v>1.2094022232874006E-3</v>
      </c>
      <c r="BK214" s="726">
        <v>3.0008087617213828E-3</v>
      </c>
      <c r="BL214" s="726">
        <v>5.1875687015340627E-3</v>
      </c>
      <c r="BM214" s="726">
        <v>8.0291373407561217E-3</v>
      </c>
      <c r="BN214" s="726">
        <v>1.1571574108733627E-2</v>
      </c>
      <c r="BO214" s="727">
        <v>1.5824912588338635E-2</v>
      </c>
      <c r="BP214" s="726">
        <v>2.0734809683282011E-2</v>
      </c>
      <c r="BQ214" s="726">
        <v>2.619287437916528E-2</v>
      </c>
      <c r="BR214" s="726">
        <v>3.212759449661471E-2</v>
      </c>
      <c r="BS214" s="726">
        <v>3.8436495211021771E-2</v>
      </c>
      <c r="BT214" s="726">
        <v>4.4978004612759137E-2</v>
      </c>
      <c r="BW214" s="1208">
        <f>'2018'!R\Max</f>
        <v>0</v>
      </c>
      <c r="BX214" s="1206">
        <f>'2019'!R\Max</f>
        <v>1.0015003000330476</v>
      </c>
      <c r="BY214" s="1206">
        <f>'2020'!R\Max</f>
        <v>1.0108505977347959</v>
      </c>
      <c r="BZ214" s="1206">
        <f>'2021'!R\Max</f>
        <v>1.0031107316000989</v>
      </c>
      <c r="CA214" s="1206">
        <f>'2022'!R\Max</f>
        <v>0.7563021272511673</v>
      </c>
      <c r="CB214" s="1206">
        <f>'2023'!R\Max</f>
        <v>0.75626849105602811</v>
      </c>
      <c r="CC214" s="1206">
        <f>'2024'!R\Max</f>
        <v>0.75623467386045362</v>
      </c>
      <c r="CD214" s="1206">
        <f>'2025'!R\Max</f>
        <v>0.75642213991551432</v>
      </c>
      <c r="CE214" s="1206">
        <f>'2026'!R\Max</f>
        <v>0.75639486558159263</v>
      </c>
      <c r="CF214" s="1207">
        <f>'2027'!R\Max</f>
        <v>0.75636446402884583</v>
      </c>
    </row>
    <row r="215" spans="1:84" s="6" customFormat="1" ht="11.25" x14ac:dyDescent="0.2">
      <c r="A215" s="11">
        <v>43301</v>
      </c>
      <c r="B215" s="379">
        <f>'2022'!Maxi_hp</f>
        <v>57.010821173837634</v>
      </c>
      <c r="C215" s="13">
        <f>'2022'!An_max</f>
        <v>2020</v>
      </c>
      <c r="D215" s="1053">
        <f t="shared" si="97"/>
        <v>0.99626707920396018</v>
      </c>
      <c r="E215" s="13"/>
      <c r="F215" s="13">
        <f t="shared" si="114"/>
        <v>15</v>
      </c>
      <c r="G215" s="13">
        <f t="shared" si="98"/>
        <v>16</v>
      </c>
      <c r="H215" s="172">
        <f t="shared" si="99"/>
        <v>43290</v>
      </c>
      <c r="I215" s="753">
        <f t="shared" si="100"/>
        <v>0.7857142857142857</v>
      </c>
      <c r="J215" s="746">
        <f t="shared" si="101"/>
        <v>57.224435459004191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46">
        <v>43301</v>
      </c>
      <c r="AP215" s="13">
        <f t="shared" si="102"/>
        <v>9</v>
      </c>
      <c r="AQ215" s="13">
        <f t="shared" si="103"/>
        <v>8</v>
      </c>
      <c r="AR215" s="172">
        <f t="shared" si="104"/>
        <v>43304</v>
      </c>
      <c r="AS215" s="753">
        <f t="shared" si="105"/>
        <v>0.10714285714285714</v>
      </c>
      <c r="AT215" s="769">
        <f t="shared" si="106"/>
        <v>57.238655803528879</v>
      </c>
      <c r="AU215" s="13">
        <f t="shared" si="107"/>
        <v>9</v>
      </c>
      <c r="AV215" s="13">
        <f t="shared" si="108"/>
        <v>8</v>
      </c>
      <c r="AW215" s="172">
        <f t="shared" si="109"/>
        <v>43318</v>
      </c>
      <c r="AX215" s="753">
        <f t="shared" si="110"/>
        <v>0.6071428571428571</v>
      </c>
      <c r="AY215" s="769">
        <f t="shared" si="111"/>
        <v>57.273398588188662</v>
      </c>
      <c r="AZ215" s="746">
        <f t="shared" si="115"/>
        <v>57.256027195858771</v>
      </c>
      <c r="BA215" s="641">
        <f t="shared" si="112"/>
        <v>0.99626707920396018</v>
      </c>
      <c r="BC215" s="11">
        <v>43301</v>
      </c>
      <c r="BD215" s="289">
        <f>[2]!FeuilCaduc*(1-Persistant)+Persistant</f>
        <v>0.99865589771572472</v>
      </c>
      <c r="BE215" s="290">
        <f>[2]!CroissVégét</f>
        <v>0.83810825274241962</v>
      </c>
      <c r="BF215" s="819">
        <f>1+[2]!Salcycl*Ksac</f>
        <v>1.0498319872144657</v>
      </c>
      <c r="BH215" s="1044">
        <f t="shared" si="113"/>
        <v>1.3456390555610782E-2</v>
      </c>
      <c r="BI215" s="11">
        <v>44397</v>
      </c>
      <c r="BJ215" s="726">
        <v>1.1869343149065051E-3</v>
      </c>
      <c r="BK215" s="726">
        <v>2.9205526468282896E-3</v>
      </c>
      <c r="BL215" s="726">
        <v>5.0363372706708643E-3</v>
      </c>
      <c r="BM215" s="726">
        <v>7.7908539010553045E-3</v>
      </c>
      <c r="BN215" s="726">
        <v>1.1237648935014518E-2</v>
      </c>
      <c r="BO215" s="727">
        <v>1.5386568623221963E-2</v>
      </c>
      <c r="BP215" s="726">
        <v>2.0185657214321962E-2</v>
      </c>
      <c r="BQ215" s="726">
        <v>2.5525186530835506E-2</v>
      </c>
      <c r="BR215" s="726">
        <v>3.1337590318135544E-2</v>
      </c>
      <c r="BS215" s="726">
        <v>3.7518954086927618E-2</v>
      </c>
      <c r="BT215" s="726">
        <v>4.3931259772084341E-2</v>
      </c>
      <c r="BW215" s="1208">
        <f>'2018'!R\Max</f>
        <v>0</v>
      </c>
      <c r="BX215" s="1206">
        <f>'2019'!R\Max</f>
        <v>0.46331239925688267</v>
      </c>
      <c r="BY215" s="1206">
        <f>'2020'!R\Max</f>
        <v>0.99626707920396018</v>
      </c>
      <c r="BZ215" s="1206">
        <f>'2021'!R\Max</f>
        <v>0.83663664447798824</v>
      </c>
      <c r="CA215" s="1206">
        <f>'2022'!R\Max</f>
        <v>0.7383298649418667</v>
      </c>
      <c r="CB215" s="1206">
        <f>'2023'!R\Max</f>
        <v>0.73829529361721136</v>
      </c>
      <c r="CC215" s="1206">
        <f>'2024'!R\Max</f>
        <v>0.73826055521013922</v>
      </c>
      <c r="CD215" s="1206">
        <f>'2025'!R\Max</f>
        <v>0.7384530254537448</v>
      </c>
      <c r="CE215" s="1206">
        <f>'2026'!R\Max</f>
        <v>0.73842504937491182</v>
      </c>
      <c r="CF215" s="1207">
        <f>'2027'!R\Max</f>
        <v>0.73839384565261446</v>
      </c>
    </row>
    <row r="216" spans="1:84" s="6" customFormat="1" ht="11.25" x14ac:dyDescent="0.2">
      <c r="A216" s="11">
        <v>43302</v>
      </c>
      <c r="B216" s="379">
        <f>'2022'!Maxi_hp</f>
        <v>53.578238473295933</v>
      </c>
      <c r="C216" s="13">
        <f>'2022'!An_max</f>
        <v>2022</v>
      </c>
      <c r="D216" s="1053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2">
        <f t="shared" si="99"/>
        <v>43290</v>
      </c>
      <c r="I216" s="753">
        <f t="shared" si="100"/>
        <v>0.8571428571428571</v>
      </c>
      <c r="J216" s="746">
        <f t="shared" si="101"/>
        <v>57.144295918209743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46">
        <v>43302</v>
      </c>
      <c r="AP216" s="13">
        <f t="shared" si="102"/>
        <v>9</v>
      </c>
      <c r="AQ216" s="13">
        <f t="shared" si="103"/>
        <v>8</v>
      </c>
      <c r="AR216" s="172">
        <f t="shared" si="104"/>
        <v>43304</v>
      </c>
      <c r="AS216" s="753">
        <f t="shared" si="105"/>
        <v>7.1428571428571425E-2</v>
      </c>
      <c r="AT216" s="769">
        <f t="shared" si="106"/>
        <v>57.154155357088904</v>
      </c>
      <c r="AU216" s="13">
        <f t="shared" si="107"/>
        <v>9</v>
      </c>
      <c r="AV216" s="13">
        <f t="shared" si="108"/>
        <v>8</v>
      </c>
      <c r="AW216" s="172">
        <f t="shared" si="109"/>
        <v>43318</v>
      </c>
      <c r="AX216" s="753">
        <f t="shared" si="110"/>
        <v>0.5714285714285714</v>
      </c>
      <c r="AY216" s="769">
        <f t="shared" si="111"/>
        <v>57.198035277213378</v>
      </c>
      <c r="AZ216" s="746">
        <f t="shared" si="115"/>
        <v>57.176095317151137</v>
      </c>
      <c r="BA216" s="641">
        <f t="shared" si="112"/>
        <v>0.93759556596833593</v>
      </c>
      <c r="BC216" s="11">
        <v>43302</v>
      </c>
      <c r="BD216" s="289">
        <f>[2]!FeuilCaduc*(1-Persistant)+Persistant</f>
        <v>0.99895966858194629</v>
      </c>
      <c r="BE216" s="290">
        <f>[2]!CroissVégét</f>
        <v>0.84361799825853956</v>
      </c>
      <c r="BF216" s="819">
        <f>1+[2]!Salcycl*Ksac</f>
        <v>1.0498699585727433</v>
      </c>
      <c r="BH216" s="1044">
        <f t="shared" si="113"/>
        <v>1.3062109713287383E-2</v>
      </c>
      <c r="BI216" s="11">
        <v>44398</v>
      </c>
      <c r="BJ216" s="726">
        <v>1.165339842359581E-3</v>
      </c>
      <c r="BK216" s="726">
        <v>2.8396669554521543E-3</v>
      </c>
      <c r="BL216" s="726">
        <v>4.8831082410236417E-3</v>
      </c>
      <c r="BM216" s="726">
        <v>7.5495971288227553E-3</v>
      </c>
      <c r="BN216" s="726">
        <v>1.089980299280819E-2</v>
      </c>
      <c r="BO216" s="727">
        <v>1.4943192651730473E-2</v>
      </c>
      <c r="BP216" s="726">
        <v>1.962990973790495E-2</v>
      </c>
      <c r="BQ216" s="726">
        <v>2.4848815965019325E-2</v>
      </c>
      <c r="BR216" s="726">
        <v>3.0536646091763493E-2</v>
      </c>
      <c r="BS216" s="726">
        <v>3.658778536526866E-2</v>
      </c>
      <c r="BT216" s="726">
        <v>4.286806985285959E-2</v>
      </c>
      <c r="BW216" s="1208">
        <f>'2018'!R\Max</f>
        <v>0</v>
      </c>
      <c r="BX216" s="1206">
        <f>'2019'!R\Max</f>
        <v>0.79852462989912032</v>
      </c>
      <c r="BY216" s="1206">
        <f>'2020'!R\Max</f>
        <v>0.83306440874502574</v>
      </c>
      <c r="BZ216" s="1206">
        <f>'2021'!R\Max</f>
        <v>0.81762402265920142</v>
      </c>
      <c r="CA216" s="1206">
        <f>'2022'!R\Max</f>
        <v>0.93759556596833593</v>
      </c>
      <c r="CB216" s="1206">
        <f>'2023'!R\Max</f>
        <v>0.93758530941952323</v>
      </c>
      <c r="CC216" s="1206">
        <f>'2024'!R\Max</f>
        <v>0.93757500806706739</v>
      </c>
      <c r="CD216" s="1206">
        <f>'2025'!R\Max</f>
        <v>0.93763204368528763</v>
      </c>
      <c r="CE216" s="1206">
        <f>'2026'!R\Max</f>
        <v>0.93762376281839888</v>
      </c>
      <c r="CF216" s="1207">
        <f>'2027'!R\Max</f>
        <v>0.93761451978740418</v>
      </c>
    </row>
    <row r="217" spans="1:84" s="6" customFormat="1" ht="11.25" x14ac:dyDescent="0.2">
      <c r="A217" s="11">
        <v>43303</v>
      </c>
      <c r="B217" s="379">
        <f>'2022'!Maxi_hp</f>
        <v>54.375496718092663</v>
      </c>
      <c r="C217" s="13">
        <f>'2022'!An_max</f>
        <v>2021</v>
      </c>
      <c r="D217" s="1053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2">
        <f t="shared" si="99"/>
        <v>43290</v>
      </c>
      <c r="I217" s="753">
        <f t="shared" si="100"/>
        <v>0.9285714285714286</v>
      </c>
      <c r="J217" s="746">
        <f t="shared" si="101"/>
        <v>57.06365076518351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46">
        <v>43303</v>
      </c>
      <c r="AP217" s="13">
        <f t="shared" si="102"/>
        <v>9</v>
      </c>
      <c r="AQ217" s="13">
        <f t="shared" si="103"/>
        <v>8</v>
      </c>
      <c r="AR217" s="172">
        <f t="shared" si="104"/>
        <v>43304</v>
      </c>
      <c r="AS217" s="753">
        <f t="shared" si="105"/>
        <v>3.5714285714285712E-2</v>
      </c>
      <c r="AT217" s="769">
        <f t="shared" si="106"/>
        <v>57.068770089186728</v>
      </c>
      <c r="AU217" s="13">
        <f t="shared" si="107"/>
        <v>9</v>
      </c>
      <c r="AV217" s="13">
        <f t="shared" si="108"/>
        <v>8</v>
      </c>
      <c r="AW217" s="172">
        <f t="shared" si="109"/>
        <v>43318</v>
      </c>
      <c r="AX217" s="753">
        <f t="shared" si="110"/>
        <v>0.5357142857142857</v>
      </c>
      <c r="AY217" s="769">
        <f t="shared" si="111"/>
        <v>57.121751029806077</v>
      </c>
      <c r="AZ217" s="746">
        <f t="shared" si="115"/>
        <v>57.095260559496403</v>
      </c>
      <c r="BA217" s="641">
        <f t="shared" si="112"/>
        <v>0.95289200724025558</v>
      </c>
      <c r="BC217" s="11">
        <v>43303</v>
      </c>
      <c r="BD217" s="289">
        <f>[2]!FeuilCaduc*(1-Persistant)+Persistant</f>
        <v>0.99921315272422606</v>
      </c>
      <c r="BE217" s="290">
        <f>[2]!CroissVégét</f>
        <v>0.84897434957309781</v>
      </c>
      <c r="BF217" s="819">
        <f>1+[2]!Salcycl*Ksac</f>
        <v>1.0499016440905282</v>
      </c>
      <c r="BH217" s="1044">
        <f t="shared" si="113"/>
        <v>1.2663307300347315E-2</v>
      </c>
      <c r="BI217" s="11">
        <v>44399</v>
      </c>
      <c r="BJ217" s="726">
        <v>1.1446177384482727E-3</v>
      </c>
      <c r="BK217" s="726">
        <v>2.7581501838180597E-3</v>
      </c>
      <c r="BL217" s="726">
        <v>4.7278791656180374E-3</v>
      </c>
      <c r="BM217" s="726">
        <v>7.3053629336128122E-3</v>
      </c>
      <c r="BN217" s="726">
        <v>1.0558030543168102E-2</v>
      </c>
      <c r="BO217" s="727">
        <v>1.4494777438752557E-2</v>
      </c>
      <c r="BP217" s="726">
        <v>1.9067558997295245E-2</v>
      </c>
      <c r="BQ217" s="726">
        <v>2.4163753806605019E-2</v>
      </c>
      <c r="BR217" s="726">
        <v>2.9724752578049629E-2</v>
      </c>
      <c r="BS217" s="726">
        <v>3.5642979780218922E-2</v>
      </c>
      <c r="BT217" s="726">
        <v>4.1788425734832067E-2</v>
      </c>
      <c r="BW217" s="1208">
        <f>'2018'!R\Max</f>
        <v>0</v>
      </c>
      <c r="BX217" s="1206">
        <f>'2019'!R\Max</f>
        <v>0.88495138702065934</v>
      </c>
      <c r="BY217" s="1206">
        <f>'2020'!R\Max</f>
        <v>0.938538296425107</v>
      </c>
      <c r="BZ217" s="1206">
        <f>'2021'!R\Max</f>
        <v>0.95289200724025558</v>
      </c>
      <c r="CA217" s="1206">
        <f>'2022'!R\Max</f>
        <v>0.73318458944021725</v>
      </c>
      <c r="CB217" s="1206">
        <f>'2023'!R\Max</f>
        <v>0.73315103172629326</v>
      </c>
      <c r="CC217" s="1206">
        <f>'2024'!R\Max</f>
        <v>0.73311734755774005</v>
      </c>
      <c r="CD217" s="1206">
        <f>'2025'!R\Max</f>
        <v>0.73330377982987993</v>
      </c>
      <c r="CE217" s="1206">
        <f>'2026'!R\Max</f>
        <v>0.73327673429738882</v>
      </c>
      <c r="CF217" s="1207">
        <f>'2027'!R\Max</f>
        <v>0.73324652677833502</v>
      </c>
    </row>
    <row r="218" spans="1:84" s="6" customFormat="1" ht="11.25" x14ac:dyDescent="0.2">
      <c r="A218" s="11">
        <v>43304</v>
      </c>
      <c r="B218" s="379">
        <f>'2022'!Maxi_hp</f>
        <v>55.212338097424414</v>
      </c>
      <c r="C218" s="13">
        <f>'2022'!An_max</f>
        <v>2019</v>
      </c>
      <c r="D218" s="1053" t="str">
        <f t="shared" si="97"/>
        <v/>
      </c>
      <c r="E218" s="1048">
        <f>AB$13/10</f>
        <v>56.982500000000002</v>
      </c>
      <c r="F218" s="13">
        <f t="shared" si="114"/>
        <v>17</v>
      </c>
      <c r="G218" s="13">
        <f t="shared" si="98"/>
        <v>16</v>
      </c>
      <c r="H218" s="172">
        <f t="shared" si="99"/>
        <v>43318</v>
      </c>
      <c r="I218" s="753">
        <f t="shared" si="100"/>
        <v>1</v>
      </c>
      <c r="J218" s="746">
        <f t="shared" si="101"/>
        <v>56.982499999925494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46">
        <v>43304</v>
      </c>
      <c r="AP218" s="13">
        <f t="shared" si="102"/>
        <v>9</v>
      </c>
      <c r="AQ218" s="13">
        <f t="shared" si="103"/>
        <v>10</v>
      </c>
      <c r="AR218" s="172">
        <f t="shared" si="104"/>
        <v>43304</v>
      </c>
      <c r="AS218" s="753">
        <f t="shared" si="105"/>
        <v>0</v>
      </c>
      <c r="AT218" s="769">
        <f t="shared" si="106"/>
        <v>56.982499999925494</v>
      </c>
      <c r="AU218" s="13">
        <f t="shared" si="107"/>
        <v>9</v>
      </c>
      <c r="AV218" s="13">
        <f t="shared" si="108"/>
        <v>8</v>
      </c>
      <c r="AW218" s="172">
        <f t="shared" si="109"/>
        <v>43318</v>
      </c>
      <c r="AX218" s="753">
        <f t="shared" si="110"/>
        <v>0.5</v>
      </c>
      <c r="AY218" s="769">
        <f t="shared" si="111"/>
        <v>57.044437500229108</v>
      </c>
      <c r="AZ218" s="746">
        <f t="shared" si="115"/>
        <v>57.013468750077301</v>
      </c>
      <c r="BA218" s="641">
        <f t="shared" si="112"/>
        <v>0.96893499052334675</v>
      </c>
      <c r="BC218" s="11">
        <v>43304</v>
      </c>
      <c r="BD218" s="289">
        <f>[2]!FeuilCaduc*(1-Persistant)+Persistant</f>
        <v>0.99941975654296478</v>
      </c>
      <c r="BE218" s="290">
        <f>[2]!CroissVégét</f>
        <v>0.854179289095362</v>
      </c>
      <c r="BF218" s="819">
        <f>1+[2]!Salcycl*Ksac</f>
        <v>1.0499274695678706</v>
      </c>
      <c r="BH218" s="1044">
        <f t="shared" si="113"/>
        <v>1.2259975360094764E-2</v>
      </c>
      <c r="BI218" s="11">
        <v>44400</v>
      </c>
      <c r="BJ218" s="726">
        <v>1.1247669690450507E-3</v>
      </c>
      <c r="BK218" s="726">
        <v>2.6760005666001162E-3</v>
      </c>
      <c r="BL218" s="726">
        <v>4.5706470226262105E-3</v>
      </c>
      <c r="BM218" s="726">
        <v>7.0581463370318299E-3</v>
      </c>
      <c r="BN218" s="726">
        <v>1.0212324627512807E-2</v>
      </c>
      <c r="BO218" s="727">
        <v>1.4041314159290101E-2</v>
      </c>
      <c r="BP218" s="726">
        <v>1.8498594713660121E-2</v>
      </c>
      <c r="BQ218" s="726">
        <v>2.346998865364577E-2</v>
      </c>
      <c r="BR218" s="726">
        <v>2.8901897479157619E-2</v>
      </c>
      <c r="BS218" s="726">
        <v>3.4684524419318824E-2</v>
      </c>
      <c r="BT218" s="726">
        <v>4.069231404542839E-2</v>
      </c>
      <c r="BW218" s="1208">
        <f>'2018'!R\Max</f>
        <v>0</v>
      </c>
      <c r="BX218" s="1206">
        <f>'2019'!R\Max</f>
        <v>0.96893499052334675</v>
      </c>
      <c r="BY218" s="1206">
        <f>'2020'!R\Max</f>
        <v>0.85540164784734107</v>
      </c>
      <c r="BZ218" s="1206">
        <f>'2021'!R\Max</f>
        <v>0.7935755712701581</v>
      </c>
      <c r="CA218" s="1206">
        <f>'2022'!R\Max</f>
        <v>0.86320838419986734</v>
      </c>
      <c r="CB218" s="1206">
        <f>'2023'!R\Max</f>
        <v>0.86318858202705273</v>
      </c>
      <c r="CC218" s="1206">
        <f>'2024'!R\Max</f>
        <v>0.8631687146703213</v>
      </c>
      <c r="CD218" s="1206">
        <f>'2025'!R\Max</f>
        <v>0.86327860762679121</v>
      </c>
      <c r="CE218" s="1206">
        <f>'2026'!R\Max</f>
        <v>0.86326268329561506</v>
      </c>
      <c r="CF218" s="1207">
        <f>'2027'!R\Max</f>
        <v>0.8632448832747992</v>
      </c>
    </row>
    <row r="219" spans="1:84" s="6" customFormat="1" ht="11.25" x14ac:dyDescent="0.2">
      <c r="A219" s="11">
        <v>43305</v>
      </c>
      <c r="B219" s="379">
        <f>'2022'!Maxi_hp</f>
        <v>55.317819769739138</v>
      </c>
      <c r="C219" s="13">
        <f>'2022'!An_max</f>
        <v>2019</v>
      </c>
      <c r="D219" s="1053">
        <f t="shared" si="97"/>
        <v>0.97216722290333835</v>
      </c>
      <c r="E219" s="13"/>
      <c r="F219" s="13">
        <f t="shared" si="114"/>
        <v>17</v>
      </c>
      <c r="G219" s="13">
        <f t="shared" si="98"/>
        <v>16</v>
      </c>
      <c r="H219" s="172">
        <f t="shared" si="99"/>
        <v>43318</v>
      </c>
      <c r="I219" s="753">
        <f t="shared" si="100"/>
        <v>0.9285714285714286</v>
      </c>
      <c r="J219" s="746">
        <f t="shared" si="101"/>
        <v>56.901547868004329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46">
        <v>43305</v>
      </c>
      <c r="AP219" s="13">
        <f t="shared" si="102"/>
        <v>9</v>
      </c>
      <c r="AQ219" s="13">
        <f t="shared" si="103"/>
        <v>10</v>
      </c>
      <c r="AR219" s="172">
        <f t="shared" si="104"/>
        <v>43304</v>
      </c>
      <c r="AS219" s="753">
        <f t="shared" si="105"/>
        <v>3.5714285714285712E-2</v>
      </c>
      <c r="AT219" s="769">
        <f t="shared" si="106"/>
        <v>56.896259254217149</v>
      </c>
      <c r="AU219" s="13">
        <f t="shared" si="107"/>
        <v>9</v>
      </c>
      <c r="AV219" s="13">
        <f t="shared" si="108"/>
        <v>8</v>
      </c>
      <c r="AW219" s="172">
        <f t="shared" si="109"/>
        <v>43318</v>
      </c>
      <c r="AX219" s="753">
        <f t="shared" si="110"/>
        <v>0.4642857142857143</v>
      </c>
      <c r="AY219" s="769">
        <f t="shared" si="111"/>
        <v>56.965986343177164</v>
      </c>
      <c r="AZ219" s="746">
        <f t="shared" si="115"/>
        <v>56.93112279869716</v>
      </c>
      <c r="BA219" s="641">
        <f t="shared" si="112"/>
        <v>0.97216722290333835</v>
      </c>
      <c r="BC219" s="11">
        <v>43305</v>
      </c>
      <c r="BD219" s="289">
        <f>[2]!FeuilCaduc*(1-Persistant)+Persistant</f>
        <v>0.99958270897738566</v>
      </c>
      <c r="BE219" s="290">
        <f>[2]!CroissVégét</f>
        <v>0.85923493718111654</v>
      </c>
      <c r="BF219" s="819">
        <f>1+[2]!Salcycl*Ksac</f>
        <v>1.0499478386221732</v>
      </c>
      <c r="BH219" s="1044">
        <f t="shared" si="113"/>
        <v>1.1852085349424394E-2</v>
      </c>
      <c r="BI219" s="11">
        <v>44401</v>
      </c>
      <c r="BJ219" s="726">
        <v>1.1057847524057519E-3</v>
      </c>
      <c r="BK219" s="726">
        <v>2.5932118849787875E-3</v>
      </c>
      <c r="BL219" s="726">
        <v>4.4114010787552243E-3</v>
      </c>
      <c r="BM219" s="726">
        <v>6.8079304597341954E-3</v>
      </c>
      <c r="BN219" s="726">
        <v>9.8626611154062106E-3</v>
      </c>
      <c r="BO219" s="727">
        <v>1.358277043146839E-2</v>
      </c>
      <c r="BP219" s="726">
        <v>1.7922975600185468E-2</v>
      </c>
      <c r="BQ219" s="726">
        <v>2.2767469755040293E-2</v>
      </c>
      <c r="BR219" s="726">
        <v>2.8068020042584057E-2</v>
      </c>
      <c r="BS219" s="726">
        <v>3.3712348195481162E-2</v>
      </c>
      <c r="BT219" s="726">
        <v>3.9579653139174435E-2</v>
      </c>
      <c r="BW219" s="1208">
        <f>'2018'!R\Max</f>
        <v>0</v>
      </c>
      <c r="BX219" s="1206">
        <f>'2019'!R\Max</f>
        <v>0.97216722290333835</v>
      </c>
      <c r="BY219" s="1206">
        <f>'2020'!R\Max</f>
        <v>0.86351269303630251</v>
      </c>
      <c r="BZ219" s="1206">
        <f>'2021'!R\Max</f>
        <v>0.59719241182324623</v>
      </c>
      <c r="CA219" s="1206">
        <f>'2022'!R\Max</f>
        <v>0.94806405854522546</v>
      </c>
      <c r="CB219" s="1206">
        <f>'2023'!R\Max</f>
        <v>0.94805599503117144</v>
      </c>
      <c r="CC219" s="1206">
        <f>'2024'!R\Max</f>
        <v>0.94804790888872692</v>
      </c>
      <c r="CD219" s="1206">
        <f>'2025'!R\Max</f>
        <v>0.94809261094340258</v>
      </c>
      <c r="CE219" s="1206">
        <f>'2026'!R\Max</f>
        <v>0.94808614037084116</v>
      </c>
      <c r="CF219" s="1207">
        <f>'2027'!R\Max</f>
        <v>0.94807890178631848</v>
      </c>
    </row>
    <row r="220" spans="1:84" s="6" customFormat="1" ht="11.25" x14ac:dyDescent="0.2">
      <c r="A220" s="11">
        <v>43306</v>
      </c>
      <c r="B220" s="379">
        <f>'2022'!Maxi_hp</f>
        <v>56.522396659484173</v>
      </c>
      <c r="C220" s="13">
        <f>'2022'!An_max</f>
        <v>2020</v>
      </c>
      <c r="D220" s="1053">
        <f t="shared" si="97"/>
        <v>0.99473990634143594</v>
      </c>
      <c r="E220" s="13"/>
      <c r="F220" s="13">
        <f t="shared" si="114"/>
        <v>17</v>
      </c>
      <c r="G220" s="13">
        <f t="shared" si="98"/>
        <v>16</v>
      </c>
      <c r="H220" s="172">
        <f t="shared" si="99"/>
        <v>43318</v>
      </c>
      <c r="I220" s="753">
        <f t="shared" si="100"/>
        <v>0.8571428571428571</v>
      </c>
      <c r="J220" s="746">
        <f t="shared" si="101"/>
        <v>56.821281924205167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46">
        <v>43306</v>
      </c>
      <c r="AP220" s="13">
        <f t="shared" si="102"/>
        <v>9</v>
      </c>
      <c r="AQ220" s="13">
        <f t="shared" si="103"/>
        <v>10</v>
      </c>
      <c r="AR220" s="172">
        <f t="shared" si="104"/>
        <v>43304</v>
      </c>
      <c r="AS220" s="753">
        <f t="shared" si="105"/>
        <v>7.1428571428571425E-2</v>
      </c>
      <c r="AT220" s="769">
        <f t="shared" si="106"/>
        <v>56.810826585215651</v>
      </c>
      <c r="AU220" s="13">
        <f t="shared" si="107"/>
        <v>9</v>
      </c>
      <c r="AV220" s="13">
        <f t="shared" si="108"/>
        <v>8</v>
      </c>
      <c r="AW220" s="172">
        <f t="shared" si="109"/>
        <v>43318</v>
      </c>
      <c r="AX220" s="753">
        <f t="shared" si="110"/>
        <v>0.42857142857142855</v>
      </c>
      <c r="AY220" s="769">
        <f t="shared" si="111"/>
        <v>56.886289213265151</v>
      </c>
      <c r="AZ220" s="746">
        <f t="shared" si="115"/>
        <v>56.848557899240404</v>
      </c>
      <c r="BA220" s="641">
        <f t="shared" si="112"/>
        <v>0.99473990634143594</v>
      </c>
      <c r="BC220" s="11">
        <v>43306</v>
      </c>
      <c r="BD220" s="289">
        <f>[2]!FeuilCaduc*(1-Persistant)+Persistant</f>
        <v>0.99970505194896342</v>
      </c>
      <c r="BE220" s="290">
        <f>[2]!CroissVégét</f>
        <v>0.86414353915538655</v>
      </c>
      <c r="BF220" s="819">
        <f>1+[2]!Salcycl*Ksac</f>
        <v>1.0499631314936204</v>
      </c>
      <c r="BH220" s="1044">
        <f t="shared" si="113"/>
        <v>1.1440977857026562E-2</v>
      </c>
      <c r="BI220" s="11">
        <v>44402</v>
      </c>
      <c r="BJ220" s="726">
        <v>1.0866049168293933E-3</v>
      </c>
      <c r="BK220" s="726">
        <v>2.5095241316524649E-3</v>
      </c>
      <c r="BL220" s="726">
        <v>4.2507710276568538E-3</v>
      </c>
      <c r="BM220" s="726">
        <v>6.5559894683405971E-3</v>
      </c>
      <c r="BN220" s="726">
        <v>9.5104731278692761E-3</v>
      </c>
      <c r="BO220" s="727">
        <v>1.3120406346152608E-2</v>
      </c>
      <c r="BP220" s="726">
        <v>1.7341527321565724E-2</v>
      </c>
      <c r="BQ220" s="726">
        <v>2.2056677632066209E-2</v>
      </c>
      <c r="BR220" s="726">
        <v>2.7223191295722218E-2</v>
      </c>
      <c r="BS220" s="726">
        <v>3.2726681111182147E-2</v>
      </c>
      <c r="BT220" s="726">
        <v>3.84512172755705E-2</v>
      </c>
      <c r="BW220" s="1208">
        <f>'2018'!R\Max</f>
        <v>0</v>
      </c>
      <c r="BX220" s="1206">
        <f>'2019'!R\Max</f>
        <v>0.97395509736258346</v>
      </c>
      <c r="BY220" s="1206">
        <f>'2020'!R\Max</f>
        <v>0.99473990634143594</v>
      </c>
      <c r="BZ220" s="1206">
        <f>'2021'!R\Max</f>
        <v>0.66124516071085604</v>
      </c>
      <c r="CA220" s="1206">
        <f>'2022'!R\Max</f>
        <v>0.54976605903129583</v>
      </c>
      <c r="CB220" s="1206">
        <f>'2023'!R\Max</f>
        <v>0.54972652848130321</v>
      </c>
      <c r="CC220" s="1206">
        <f>'2024'!R\Max</f>
        <v>0.54968691201389097</v>
      </c>
      <c r="CD220" s="1206">
        <f>'2025'!R\Max</f>
        <v>0.54990587513688616</v>
      </c>
      <c r="CE220" s="1206">
        <f>'2026'!R\Max</f>
        <v>0.54987420367192219</v>
      </c>
      <c r="CF220" s="1207">
        <f>'2027'!R\Max</f>
        <v>0.5498387487385219</v>
      </c>
    </row>
    <row r="221" spans="1:84" s="6" customFormat="1" ht="11.25" x14ac:dyDescent="0.2">
      <c r="A221" s="11">
        <v>43307</v>
      </c>
      <c r="B221" s="379">
        <f>'2022'!Maxi_hp</f>
        <v>56.237487014663813</v>
      </c>
      <c r="C221" s="13">
        <f>'2022'!An_max</f>
        <v>2020</v>
      </c>
      <c r="D221" s="1053">
        <f t="shared" si="97"/>
        <v>0.99111952964956118</v>
      </c>
      <c r="E221" s="13"/>
      <c r="F221" s="13">
        <f t="shared" si="114"/>
        <v>17</v>
      </c>
      <c r="G221" s="13">
        <f t="shared" si="98"/>
        <v>16</v>
      </c>
      <c r="H221" s="172">
        <f t="shared" si="99"/>
        <v>43318</v>
      </c>
      <c r="I221" s="753">
        <f t="shared" si="100"/>
        <v>0.7857142857142857</v>
      </c>
      <c r="J221" s="746">
        <f t="shared" si="101"/>
        <v>56.74137713192696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46">
        <v>43307</v>
      </c>
      <c r="AP221" s="13">
        <f t="shared" si="102"/>
        <v>9</v>
      </c>
      <c r="AQ221" s="13">
        <f t="shared" si="103"/>
        <v>10</v>
      </c>
      <c r="AR221" s="172">
        <f t="shared" si="104"/>
        <v>43304</v>
      </c>
      <c r="AS221" s="753">
        <f t="shared" si="105"/>
        <v>0.10714285714285714</v>
      </c>
      <c r="AT221" s="769">
        <f t="shared" si="106"/>
        <v>56.725998845187554</v>
      </c>
      <c r="AU221" s="13">
        <f t="shared" si="107"/>
        <v>9</v>
      </c>
      <c r="AV221" s="13">
        <f t="shared" si="108"/>
        <v>8</v>
      </c>
      <c r="AW221" s="172">
        <f t="shared" si="109"/>
        <v>43318</v>
      </c>
      <c r="AX221" s="753">
        <f t="shared" si="110"/>
        <v>0.39285714285714285</v>
      </c>
      <c r="AY221" s="769">
        <f t="shared" si="111"/>
        <v>56.805237764472665</v>
      </c>
      <c r="AZ221" s="746">
        <f t="shared" si="115"/>
        <v>56.765618304830113</v>
      </c>
      <c r="BA221" s="641">
        <f t="shared" si="112"/>
        <v>0.99111952964956118</v>
      </c>
      <c r="BC221" s="11">
        <v>43307</v>
      </c>
      <c r="BD221" s="289">
        <f>[2]!FeuilCaduc*(1-Persistant)+Persistant</f>
        <v>0.99978963253507569</v>
      </c>
      <c r="BE221" s="290">
        <f>[2]!CroissVégét</f>
        <v>0.86890745271110437</v>
      </c>
      <c r="BF221" s="819">
        <f>1+[2]!Salcycl*Ksac</f>
        <v>1.0499737040668844</v>
      </c>
      <c r="BH221" s="1044">
        <f t="shared" si="113"/>
        <v>1.103063096080311E-2</v>
      </c>
      <c r="BI221" s="11">
        <v>44403</v>
      </c>
      <c r="BJ221" s="726">
        <v>1.0670240931917624E-3</v>
      </c>
      <c r="BK221" s="726">
        <v>2.4259532754184088E-3</v>
      </c>
      <c r="BL221" s="726">
        <v>4.0907967192699551E-3</v>
      </c>
      <c r="BM221" s="726">
        <v>6.3049968104238125E-3</v>
      </c>
      <c r="BN221" s="726">
        <v>9.1592026802881088E-3</v>
      </c>
      <c r="BO221" s="727">
        <v>1.2658666324914873E-2</v>
      </c>
      <c r="BP221" s="726">
        <v>1.6760115771298194E-2</v>
      </c>
      <c r="BQ221" s="726">
        <v>2.1345147155243129E-2</v>
      </c>
      <c r="BR221" s="726">
        <v>2.6376631168214256E-2</v>
      </c>
      <c r="BS221" s="726">
        <v>3.1738611186348936E-2</v>
      </c>
      <c r="BT221" s="726">
        <v>3.7320017317725308E-2</v>
      </c>
      <c r="BW221" s="1208">
        <f>'2018'!R\Max</f>
        <v>0</v>
      </c>
      <c r="BX221" s="1206">
        <f>'2019'!R\Max</f>
        <v>0.43846339102696419</v>
      </c>
      <c r="BY221" s="1206">
        <f>'2020'!R\Max</f>
        <v>0.99111952964956118</v>
      </c>
      <c r="BZ221" s="1206">
        <f>'2021'!R\Max</f>
        <v>0.58410849796675657</v>
      </c>
      <c r="CA221" s="1206">
        <f>'2022'!R\Max</f>
        <v>0.95548947869620315</v>
      </c>
      <c r="CB221" s="1206">
        <f>'2023'!R\Max</f>
        <v>0.95548286054854792</v>
      </c>
      <c r="CC221" s="1206">
        <f>'2024'!R\Max</f>
        <v>0.95547623043842533</v>
      </c>
      <c r="CD221" s="1206">
        <f>'2025'!R\Max</f>
        <v>0.95551284581420337</v>
      </c>
      <c r="CE221" s="1206">
        <f>'2026'!R\Max</f>
        <v>0.95550755702164281</v>
      </c>
      <c r="CF221" s="1207">
        <f>'2027'!R\Max</f>
        <v>0.95550163076602346</v>
      </c>
    </row>
    <row r="222" spans="1:84" s="6" customFormat="1" ht="11.25" x14ac:dyDescent="0.2">
      <c r="A222" s="11">
        <v>43308</v>
      </c>
      <c r="B222" s="379">
        <f>'2022'!Maxi_hp</f>
        <v>57.287857875556988</v>
      </c>
      <c r="C222" s="13">
        <f>'2022'!An_max</f>
        <v>2022</v>
      </c>
      <c r="D222" s="1053">
        <f t="shared" si="97"/>
        <v>1.0110542313078026</v>
      </c>
      <c r="E222" s="13"/>
      <c r="F222" s="13">
        <f t="shared" si="114"/>
        <v>17</v>
      </c>
      <c r="G222" s="13">
        <f t="shared" si="98"/>
        <v>16</v>
      </c>
      <c r="H222" s="172">
        <f t="shared" si="99"/>
        <v>43318</v>
      </c>
      <c r="I222" s="753">
        <f t="shared" si="100"/>
        <v>0.7142857142857143</v>
      </c>
      <c r="J222" s="746">
        <f t="shared" si="101"/>
        <v>56.661508454848082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46">
        <v>43308</v>
      </c>
      <c r="AP222" s="13">
        <f t="shared" si="102"/>
        <v>9</v>
      </c>
      <c r="AQ222" s="13">
        <f t="shared" si="103"/>
        <v>10</v>
      </c>
      <c r="AR222" s="172">
        <f t="shared" si="104"/>
        <v>43304</v>
      </c>
      <c r="AS222" s="753">
        <f t="shared" si="105"/>
        <v>0.14285714285714285</v>
      </c>
      <c r="AT222" s="769">
        <f t="shared" si="106"/>
        <v>56.641572886332867</v>
      </c>
      <c r="AU222" s="13">
        <f t="shared" si="107"/>
        <v>9</v>
      </c>
      <c r="AV222" s="13">
        <f t="shared" si="108"/>
        <v>8</v>
      </c>
      <c r="AW222" s="172">
        <f t="shared" si="109"/>
        <v>43318</v>
      </c>
      <c r="AX222" s="753">
        <f t="shared" si="110"/>
        <v>0.35714285714285715</v>
      </c>
      <c r="AY222" s="769">
        <f t="shared" si="111"/>
        <v>56.72272365195677</v>
      </c>
      <c r="AZ222" s="746">
        <f t="shared" si="115"/>
        <v>56.682148269144818</v>
      </c>
      <c r="BA222" s="641">
        <f t="shared" si="112"/>
        <v>1.0110542313078026</v>
      </c>
      <c r="BC222" s="11">
        <v>43308</v>
      </c>
      <c r="BD222" s="289">
        <f>[2]!FeuilCaduc*(1-Persistant)+Persistant</f>
        <v>0.99983909686562189</v>
      </c>
      <c r="BE222" s="290">
        <f>[2]!CroissVégét</f>
        <v>0.87352913572103608</v>
      </c>
      <c r="BF222" s="819">
        <f>1+[2]!Salcycl*Ksac</f>
        <v>1.0499798871082027</v>
      </c>
      <c r="BH222" s="1044">
        <f t="shared" si="113"/>
        <v>1.0621023974949833E-2</v>
      </c>
      <c r="BI222" s="11">
        <v>44404</v>
      </c>
      <c r="BJ222" s="726">
        <v>1.0470414213993445E-3</v>
      </c>
      <c r="BK222" s="726">
        <v>2.3424950757606929E-3</v>
      </c>
      <c r="BL222" s="726">
        <v>3.9314699163377669E-3</v>
      </c>
      <c r="BM222" s="726">
        <v>6.0549396476383549E-3</v>
      </c>
      <c r="BN222" s="726">
        <v>8.8088319741025881E-3</v>
      </c>
      <c r="BO222" s="727">
        <v>1.2197527170214077E-2</v>
      </c>
      <c r="BP222" s="726">
        <v>1.6178711987980602E-2</v>
      </c>
      <c r="BQ222" s="726">
        <v>2.0632843148375012E-2</v>
      </c>
      <c r="BR222" s="726">
        <v>2.5528298077601451E-2</v>
      </c>
      <c r="BS222" s="726">
        <v>3.0748089858220189E-2</v>
      </c>
      <c r="BT222" s="726">
        <v>3.6185997389341244E-2</v>
      </c>
      <c r="BW222" s="1208">
        <f>'2018'!R\Max</f>
        <v>0</v>
      </c>
      <c r="BX222" s="1206">
        <f>'2019'!R\Max</f>
        <v>0.21214882942237012</v>
      </c>
      <c r="BY222" s="1206">
        <f>'2020'!R\Max</f>
        <v>0.76366680735408032</v>
      </c>
      <c r="BZ222" s="1206">
        <f>'2021'!R\Max</f>
        <v>0.88143024802275738</v>
      </c>
      <c r="CA222" s="1206">
        <f>'2022'!R\Max</f>
        <v>1.0110542313078026</v>
      </c>
      <c r="CB222" s="1206">
        <f>'2023'!R\Max</f>
        <v>1.0110542313078026</v>
      </c>
      <c r="CC222" s="1206">
        <f>'2024'!R\Max</f>
        <v>1.0110542313078026</v>
      </c>
      <c r="CD222" s="1206">
        <f>'2025'!R\Max</f>
        <v>1.0110542313078026</v>
      </c>
      <c r="CE222" s="1206">
        <f>'2026'!R\Max</f>
        <v>1.0110542313078026</v>
      </c>
      <c r="CF222" s="1207">
        <f>'2027'!R\Max</f>
        <v>1.0110542313078024</v>
      </c>
    </row>
    <row r="223" spans="1:84" s="6" customFormat="1" ht="11.25" x14ac:dyDescent="0.2">
      <c r="A223" s="11">
        <v>43309</v>
      </c>
      <c r="B223" s="379">
        <f>'2022'!Maxi_hp</f>
        <v>58.386184765777948</v>
      </c>
      <c r="C223" s="13">
        <f>'2022'!An_max</f>
        <v>2019</v>
      </c>
      <c r="D223" s="1053">
        <f t="shared" si="97"/>
        <v>1.0318980349859759</v>
      </c>
      <c r="E223" s="13"/>
      <c r="F223" s="13">
        <f t="shared" si="114"/>
        <v>17</v>
      </c>
      <c r="G223" s="13">
        <f t="shared" si="98"/>
        <v>16</v>
      </c>
      <c r="H223" s="172">
        <f t="shared" si="99"/>
        <v>43318</v>
      </c>
      <c r="I223" s="753">
        <f t="shared" si="100"/>
        <v>0.6428571428571429</v>
      </c>
      <c r="J223" s="746">
        <f t="shared" si="101"/>
        <v>56.581350856600331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46">
        <v>43309</v>
      </c>
      <c r="AP223" s="13">
        <f t="shared" si="102"/>
        <v>9</v>
      </c>
      <c r="AQ223" s="13">
        <f t="shared" si="103"/>
        <v>10</v>
      </c>
      <c r="AR223" s="172">
        <f t="shared" si="104"/>
        <v>43304</v>
      </c>
      <c r="AS223" s="753">
        <f t="shared" si="105"/>
        <v>0.17857142857142858</v>
      </c>
      <c r="AT223" s="769">
        <f t="shared" si="106"/>
        <v>56.557345560705286</v>
      </c>
      <c r="AU223" s="13">
        <f t="shared" si="107"/>
        <v>9</v>
      </c>
      <c r="AV223" s="13">
        <f t="shared" si="108"/>
        <v>8</v>
      </c>
      <c r="AW223" s="172">
        <f t="shared" si="109"/>
        <v>43318</v>
      </c>
      <c r="AX223" s="753">
        <f t="shared" si="110"/>
        <v>0.32142857142857145</v>
      </c>
      <c r="AY223" s="769">
        <f t="shared" si="111"/>
        <v>56.638638529716992</v>
      </c>
      <c r="AZ223" s="746">
        <f t="shared" si="115"/>
        <v>56.597992045211143</v>
      </c>
      <c r="BA223" s="641">
        <f t="shared" si="112"/>
        <v>1.0318980349859759</v>
      </c>
      <c r="BC223" s="11">
        <v>43309</v>
      </c>
      <c r="BD223" s="289">
        <f>[2]!FeuilCaduc*(1-Persistant)+Persistant</f>
        <v>0.99985588571902273</v>
      </c>
      <c r="BE223" s="290">
        <f>[2]!CroissVégét</f>
        <v>0.8780111344941991</v>
      </c>
      <c r="BF223" s="819">
        <f>1+[2]!Salcycl*Ksac</f>
        <v>1.0499819857148778</v>
      </c>
      <c r="BH223" s="1044">
        <f t="shared" si="113"/>
        <v>1.0212136753861173E-2</v>
      </c>
      <c r="BI223" s="11">
        <v>44405</v>
      </c>
      <c r="BJ223" s="726">
        <v>1.026656030776869E-3</v>
      </c>
      <c r="BK223" s="726">
        <v>2.2591453988348282E-3</v>
      </c>
      <c r="BL223" s="726">
        <v>3.7727826217417038E-3</v>
      </c>
      <c r="BM223" s="726">
        <v>5.8058055120087876E-3</v>
      </c>
      <c r="BN223" s="726">
        <v>8.4593436952702852E-3</v>
      </c>
      <c r="BO223" s="727">
        <v>1.1736966273147E-2</v>
      </c>
      <c r="BP223" s="726">
        <v>1.5597287689272401E-2</v>
      </c>
      <c r="BQ223" s="726">
        <v>1.9919731201358478E-2</v>
      </c>
      <c r="BR223" s="726">
        <v>2.4678151282087953E-2</v>
      </c>
      <c r="BS223" s="726">
        <v>2.9755069512784851E-2</v>
      </c>
      <c r="BT223" s="726">
        <v>3.5049102697858998E-2</v>
      </c>
      <c r="BW223" s="1208">
        <f>'2018'!R\Max</f>
        <v>0</v>
      </c>
      <c r="BX223" s="1206">
        <f>'2019'!R\Max</f>
        <v>1.0318980349859759</v>
      </c>
      <c r="BY223" s="1206">
        <f>'2020'!R\Max</f>
        <v>0.95195795056058941</v>
      </c>
      <c r="BZ223" s="1206">
        <f>'2021'!R\Max</f>
        <v>0.4866755843239825</v>
      </c>
      <c r="CA223" s="1206">
        <f>'2022'!R\Max</f>
        <v>0.85231044909541021</v>
      </c>
      <c r="CB223" s="1206">
        <f>'2023'!R\Max</f>
        <v>0.85229191223281753</v>
      </c>
      <c r="CC223" s="1206">
        <f>'2024'!R\Max</f>
        <v>0.85227336031288081</v>
      </c>
      <c r="CD223" s="1206">
        <f>'2025'!R\Max</f>
        <v>0.85237570900095827</v>
      </c>
      <c r="CE223" s="1206">
        <f>'2026'!R\Max</f>
        <v>0.85236095907095666</v>
      </c>
      <c r="CF223" s="1207">
        <f>'2027'!R\Max</f>
        <v>0.85234440076176987</v>
      </c>
    </row>
    <row r="224" spans="1:84" s="6" customFormat="1" ht="11.25" x14ac:dyDescent="0.2">
      <c r="A224" s="11">
        <v>43310</v>
      </c>
      <c r="B224" s="379">
        <f>'2022'!Maxi_hp</f>
        <v>57.892402465153239</v>
      </c>
      <c r="C224" s="13">
        <f>'2022'!An_max</f>
        <v>2019</v>
      </c>
      <c r="D224" s="1053">
        <f t="shared" si="97"/>
        <v>1.0246337857421075</v>
      </c>
      <c r="E224" s="13"/>
      <c r="F224" s="13">
        <f t="shared" si="114"/>
        <v>17</v>
      </c>
      <c r="G224" s="13">
        <f t="shared" si="98"/>
        <v>16</v>
      </c>
      <c r="H224" s="172">
        <f t="shared" si="99"/>
        <v>43318</v>
      </c>
      <c r="I224" s="753">
        <f t="shared" si="100"/>
        <v>0.5714285714285714</v>
      </c>
      <c r="J224" s="746">
        <f t="shared" si="101"/>
        <v>56.500579300363142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46">
        <v>43310</v>
      </c>
      <c r="AP224" s="13">
        <f t="shared" si="102"/>
        <v>9</v>
      </c>
      <c r="AQ224" s="13">
        <f t="shared" si="103"/>
        <v>10</v>
      </c>
      <c r="AR224" s="172">
        <f t="shared" si="104"/>
        <v>43304</v>
      </c>
      <c r="AS224" s="753">
        <f t="shared" si="105"/>
        <v>0.21428571428571427</v>
      </c>
      <c r="AT224" s="769">
        <f t="shared" si="106"/>
        <v>56.473113720804193</v>
      </c>
      <c r="AU224" s="13">
        <f t="shared" si="107"/>
        <v>9</v>
      </c>
      <c r="AV224" s="13">
        <f t="shared" si="108"/>
        <v>8</v>
      </c>
      <c r="AW224" s="172">
        <f t="shared" si="109"/>
        <v>43318</v>
      </c>
      <c r="AX224" s="753">
        <f t="shared" si="110"/>
        <v>0.2857142857142857</v>
      </c>
      <c r="AY224" s="769">
        <f t="shared" si="111"/>
        <v>56.552874052843876</v>
      </c>
      <c r="AZ224" s="746">
        <f t="shared" si="115"/>
        <v>56.512993886824034</v>
      </c>
      <c r="BA224" s="641">
        <f t="shared" si="112"/>
        <v>1.0246337857421075</v>
      </c>
      <c r="BC224" s="11">
        <v>43310</v>
      </c>
      <c r="BD224" s="289">
        <f>[2]!FeuilCaduc*(1-Persistant)+Persistant</f>
        <v>0.99984223177819298</v>
      </c>
      <c r="BE224" s="290">
        <f>[2]!CroissVégét</f>
        <v>0.88235607250226589</v>
      </c>
      <c r="BF224" s="819">
        <f>1+[2]!Salcycl*Ksac</f>
        <v>1.0499802789722741</v>
      </c>
      <c r="BH224" s="1044">
        <f t="shared" si="113"/>
        <v>9.8039496907007754E-3</v>
      </c>
      <c r="BI224" s="11">
        <v>44406</v>
      </c>
      <c r="BJ224" s="726">
        <v>1.0058670413715472E-3</v>
      </c>
      <c r="BK224" s="726">
        <v>2.1759002172999499E-3</v>
      </c>
      <c r="BL224" s="726">
        <v>3.6147270768237655E-3</v>
      </c>
      <c r="BM224" s="726">
        <v>5.5575823035438222E-3</v>
      </c>
      <c r="BN224" s="726">
        <v>8.1107210122079443E-3</v>
      </c>
      <c r="BO224" s="727">
        <v>1.127696161256612E-2</v>
      </c>
      <c r="BP224" s="726">
        <v>1.5015815273131746E-2</v>
      </c>
      <c r="BQ224" s="726">
        <v>1.9205777674150978E-2</v>
      </c>
      <c r="BR224" s="726">
        <v>2.3826150887936728E-2</v>
      </c>
      <c r="BS224" s="726">
        <v>2.8759503494628118E-2</v>
      </c>
      <c r="BT224" s="726">
        <v>3.3909279545800544E-2</v>
      </c>
      <c r="BW224" s="1208">
        <f>'2018'!R\Max</f>
        <v>0</v>
      </c>
      <c r="BX224" s="1206">
        <f>'2019'!R\Max</f>
        <v>1.0246337857421075</v>
      </c>
      <c r="BY224" s="1206">
        <f>'2020'!R\Max</f>
        <v>0.60661722733101753</v>
      </c>
      <c r="BZ224" s="1206">
        <f>'2021'!R\Max</f>
        <v>0.97266484325816838</v>
      </c>
      <c r="CA224" s="1206">
        <f>'2022'!R\Max</f>
        <v>0.49957258282110811</v>
      </c>
      <c r="CB224" s="1206">
        <f>'2023'!R\Max</f>
        <v>0.49953683094984797</v>
      </c>
      <c r="CC224" s="1206">
        <f>'2024'!R\Max</f>
        <v>0.49950107039332603</v>
      </c>
      <c r="CD224" s="1206">
        <f>'2025'!R\Max</f>
        <v>0.49969828512675069</v>
      </c>
      <c r="CE224" s="1206">
        <f>'2026'!R\Max</f>
        <v>0.49966989296058545</v>
      </c>
      <c r="CF224" s="1207">
        <f>'2027'!R\Max</f>
        <v>0.49963798941505089</v>
      </c>
    </row>
    <row r="225" spans="1:84" s="6" customFormat="1" ht="11.25" x14ac:dyDescent="0.2">
      <c r="A225" s="11">
        <v>43311</v>
      </c>
      <c r="B225" s="379">
        <f>'2022'!Maxi_hp</f>
        <v>50.981621896708326</v>
      </c>
      <c r="C225" s="13">
        <f>'2022'!An_max</f>
        <v>2020</v>
      </c>
      <c r="D225" s="1053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2">
        <f t="shared" si="99"/>
        <v>43318</v>
      </c>
      <c r="I225" s="753">
        <f t="shared" si="100"/>
        <v>0.5</v>
      </c>
      <c r="J225" s="746">
        <f t="shared" si="101"/>
        <v>56.418868750054386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46">
        <v>43311</v>
      </c>
      <c r="AP225" s="13">
        <f t="shared" si="102"/>
        <v>9</v>
      </c>
      <c r="AQ225" s="13">
        <f t="shared" si="103"/>
        <v>10</v>
      </c>
      <c r="AR225" s="172">
        <f t="shared" si="104"/>
        <v>43304</v>
      </c>
      <c r="AS225" s="753">
        <f t="shared" si="105"/>
        <v>0.25</v>
      </c>
      <c r="AT225" s="769">
        <f t="shared" si="106"/>
        <v>56.388674218696544</v>
      </c>
      <c r="AU225" s="13">
        <f t="shared" si="107"/>
        <v>9</v>
      </c>
      <c r="AV225" s="13">
        <f t="shared" si="108"/>
        <v>8</v>
      </c>
      <c r="AW225" s="172">
        <f t="shared" si="109"/>
        <v>43318</v>
      </c>
      <c r="AX225" s="753">
        <f t="shared" si="110"/>
        <v>0.25</v>
      </c>
      <c r="AY225" s="769">
        <f t="shared" si="111"/>
        <v>56.465321875084193</v>
      </c>
      <c r="AZ225" s="746">
        <f t="shared" si="115"/>
        <v>56.426998046890368</v>
      </c>
      <c r="BA225" s="641">
        <f t="shared" si="112"/>
        <v>0.9036271557050527</v>
      </c>
      <c r="BC225" s="11">
        <v>43311</v>
      </c>
      <c r="BD225" s="289">
        <f>[2]!FeuilCaduc*(1-Persistant)+Persistant</f>
        <v>0.99980015849187565</v>
      </c>
      <c r="BE225" s="290">
        <f>[2]!CroissVégét</f>
        <v>0.88656663959603077</v>
      </c>
      <c r="BF225" s="819">
        <f>1+[2]!Salcycl*Ksac</f>
        <v>1.0499750198114846</v>
      </c>
      <c r="BH225" s="1044">
        <f t="shared" si="113"/>
        <v>9.3964437163181237E-3</v>
      </c>
      <c r="BI225" s="11">
        <v>44407</v>
      </c>
      <c r="BJ225" s="726">
        <v>9.8467356529190523E-4</v>
      </c>
      <c r="BK225" s="726">
        <v>2.0927556102275082E-3</v>
      </c>
      <c r="BL225" s="726">
        <v>3.4572957598368792E-3</v>
      </c>
      <c r="BM225" s="726">
        <v>5.3102582880473585E-3</v>
      </c>
      <c r="BN225" s="726">
        <v>7.7629475740197606E-3</v>
      </c>
      <c r="BO225" s="727">
        <v>1.081749175459509E-2</v>
      </c>
      <c r="BP225" s="726">
        <v>1.443426781958067E-2</v>
      </c>
      <c r="BQ225" s="726">
        <v>1.8490949701413309E-2</v>
      </c>
      <c r="BR225" s="726">
        <v>2.2972257857700563E-2</v>
      </c>
      <c r="BS225" s="726">
        <v>2.7761346117783907E-2</v>
      </c>
      <c r="BT225" s="726">
        <v>3.276647534329738E-2</v>
      </c>
      <c r="BW225" s="1208">
        <f>'2018'!R\Max</f>
        <v>0.21862959381016078</v>
      </c>
      <c r="BX225" s="1206">
        <f>'2019'!R\Max</f>
        <v>0.47675718311148702</v>
      </c>
      <c r="BY225" s="1206">
        <f>'2020'!R\Max</f>
        <v>0.9036271557050527</v>
      </c>
      <c r="BZ225" s="1206">
        <f>'2021'!R\Max</f>
        <v>0.32184452880247766</v>
      </c>
      <c r="CA225" s="1206">
        <f>'2022'!R\Max</f>
        <v>0.8636048315504552</v>
      </c>
      <c r="CB225" s="1206">
        <f>'2023'!R\Max</f>
        <v>0.86358849564380469</v>
      </c>
      <c r="CC225" s="1206">
        <f>'2024'!R\Max</f>
        <v>0.86357215718266522</v>
      </c>
      <c r="CD225" s="1206">
        <f>'2025'!R\Max</f>
        <v>0.86366218447915333</v>
      </c>
      <c r="CE225" s="1206">
        <f>'2026'!R\Max</f>
        <v>0.86364924424600231</v>
      </c>
      <c r="CF225" s="1207">
        <f>'2027'!R\Max</f>
        <v>0.86363468611630145</v>
      </c>
    </row>
    <row r="226" spans="1:84" s="6" customFormat="1" ht="11.25" x14ac:dyDescent="0.2">
      <c r="A226" s="11">
        <v>43312</v>
      </c>
      <c r="B226" s="379">
        <f>'2022'!Maxi_hp</f>
        <v>55.735960733869604</v>
      </c>
      <c r="C226" s="13">
        <f>'2022'!An_max</f>
        <v>2022</v>
      </c>
      <c r="D226" s="1053">
        <f t="shared" si="97"/>
        <v>0.98935077814252559</v>
      </c>
      <c r="E226" s="13"/>
      <c r="F226" s="13">
        <f t="shared" si="114"/>
        <v>17</v>
      </c>
      <c r="G226" s="13">
        <f t="shared" si="98"/>
        <v>16</v>
      </c>
      <c r="H226" s="172">
        <f t="shared" si="99"/>
        <v>43318</v>
      </c>
      <c r="I226" s="753">
        <f t="shared" si="100"/>
        <v>0.42857142857142855</v>
      </c>
      <c r="J226" s="746">
        <f t="shared" si="101"/>
        <v>56.335894169418943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46">
        <v>43312</v>
      </c>
      <c r="AP226" s="13">
        <f t="shared" si="102"/>
        <v>9</v>
      </c>
      <c r="AQ226" s="13">
        <f t="shared" si="103"/>
        <v>10</v>
      </c>
      <c r="AR226" s="172">
        <f t="shared" si="104"/>
        <v>43304</v>
      </c>
      <c r="AS226" s="753">
        <f t="shared" si="105"/>
        <v>0.2857142857142857</v>
      </c>
      <c r="AT226" s="769">
        <f t="shared" si="106"/>
        <v>56.3038239066356</v>
      </c>
      <c r="AU226" s="13">
        <f t="shared" si="107"/>
        <v>9</v>
      </c>
      <c r="AV226" s="13">
        <f t="shared" si="108"/>
        <v>8</v>
      </c>
      <c r="AW226" s="172">
        <f t="shared" si="109"/>
        <v>43318</v>
      </c>
      <c r="AX226" s="753">
        <f t="shared" si="110"/>
        <v>0.21428571428571427</v>
      </c>
      <c r="AY226" s="769">
        <f t="shared" si="111"/>
        <v>56.375873651861085</v>
      </c>
      <c r="AZ226" s="746">
        <f t="shared" si="115"/>
        <v>56.339848779248342</v>
      </c>
      <c r="BA226" s="641">
        <f t="shared" si="112"/>
        <v>0.98935077814252559</v>
      </c>
      <c r="BC226" s="11">
        <v>43312</v>
      </c>
      <c r="BD226" s="289">
        <f>[2]!FeuilCaduc*(1-Persistant)+Persistant</f>
        <v>0.99973148047235272</v>
      </c>
      <c r="BE226" s="290">
        <f>[2]!CroissVégét</f>
        <v>0.89064558172697694</v>
      </c>
      <c r="BF226" s="819">
        <f>1+[2]!Salcycl*Ksac</f>
        <v>1.0499664350590441</v>
      </c>
      <c r="BH226" s="1044">
        <f t="shared" si="113"/>
        <v>8.9941900282143935E-3</v>
      </c>
      <c r="BI226" s="11">
        <v>44408</v>
      </c>
      <c r="BJ226" s="726">
        <v>9.6234453195218029E-4</v>
      </c>
      <c r="BK226" s="726">
        <v>2.0095908662297393E-3</v>
      </c>
      <c r="BL226" s="726">
        <v>3.3014402527967567E-3</v>
      </c>
      <c r="BM226" s="726">
        <v>5.0663488954648611E-3</v>
      </c>
      <c r="BN226" s="726">
        <v>7.4199532746984358E-3</v>
      </c>
      <c r="BO226" s="727">
        <v>1.0363685794038336E-2</v>
      </c>
      <c r="BP226" s="726">
        <v>1.3859064466189057E-2</v>
      </c>
      <c r="BQ226" s="726">
        <v>1.77841130307493E-2</v>
      </c>
      <c r="BR226" s="726">
        <v>2.2130665588520115E-2</v>
      </c>
      <c r="BS226" s="726">
        <v>2.6783870229221879E-2</v>
      </c>
      <c r="BT226" s="726">
        <v>3.165583604828149E-2</v>
      </c>
      <c r="BW226" s="1208">
        <f>'2018'!R\Max</f>
        <v>0.88568634075059627</v>
      </c>
      <c r="BX226" s="1206">
        <f>'2019'!R\Max</f>
        <v>0.96312349648343143</v>
      </c>
      <c r="BY226" s="1206">
        <f>'2020'!R\Max</f>
        <v>0.95658979712584524</v>
      </c>
      <c r="BZ226" s="1206">
        <f>'2021'!R\Max</f>
        <v>0.22849861675014047</v>
      </c>
      <c r="CA226" s="1206">
        <f>'2022'!R\Max</f>
        <v>0.98935077814252559</v>
      </c>
      <c r="CB226" s="1206">
        <f>'2023'!R\Max</f>
        <v>0.98934936240128313</v>
      </c>
      <c r="CC226" s="1206">
        <f>'2024'!R\Max</f>
        <v>0.98934794639768908</v>
      </c>
      <c r="CD226" s="1206">
        <f>'2025'!R\Max</f>
        <v>0.98935574185459296</v>
      </c>
      <c r="CE226" s="1206">
        <f>'2026'!R\Max</f>
        <v>0.98935462312967137</v>
      </c>
      <c r="CF226" s="1207">
        <f>'2027'!R\Max</f>
        <v>0.98935336301494214</v>
      </c>
    </row>
    <row r="227" spans="1:84" s="6" customFormat="1" ht="11.25" x14ac:dyDescent="0.2">
      <c r="A227" s="11">
        <v>43313</v>
      </c>
      <c r="B227" s="379">
        <f>'2022'!Maxi_hp</f>
        <v>55.513221214938589</v>
      </c>
      <c r="C227" s="13">
        <f>'2022'!An_max</f>
        <v>2022</v>
      </c>
      <c r="D227" s="1053">
        <f t="shared" si="97"/>
        <v>0.98687836715537613</v>
      </c>
      <c r="E227" s="13"/>
      <c r="F227" s="13">
        <f t="shared" si="114"/>
        <v>17</v>
      </c>
      <c r="G227" s="13">
        <f t="shared" si="98"/>
        <v>16</v>
      </c>
      <c r="H227" s="172">
        <f t="shared" si="99"/>
        <v>43318</v>
      </c>
      <c r="I227" s="753">
        <f t="shared" si="100"/>
        <v>0.35714285714285715</v>
      </c>
      <c r="J227" s="746">
        <f t="shared" si="101"/>
        <v>56.25133052105749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46">
        <v>43313</v>
      </c>
      <c r="AP227" s="13">
        <f t="shared" si="102"/>
        <v>9</v>
      </c>
      <c r="AQ227" s="13">
        <f t="shared" si="103"/>
        <v>10</v>
      </c>
      <c r="AR227" s="172">
        <f t="shared" si="104"/>
        <v>43304</v>
      </c>
      <c r="AS227" s="753">
        <f t="shared" si="105"/>
        <v>0.32142857142857145</v>
      </c>
      <c r="AT227" s="769">
        <f t="shared" si="106"/>
        <v>56.218359637084156</v>
      </c>
      <c r="AU227" s="13">
        <f t="shared" si="107"/>
        <v>9</v>
      </c>
      <c r="AV227" s="13">
        <f t="shared" si="108"/>
        <v>8</v>
      </c>
      <c r="AW227" s="172">
        <f t="shared" si="109"/>
        <v>43318</v>
      </c>
      <c r="AX227" s="753">
        <f t="shared" si="110"/>
        <v>0.17857142857142858</v>
      </c>
      <c r="AY227" s="769">
        <f t="shared" si="111"/>
        <v>56.284421036984511</v>
      </c>
      <c r="AZ227" s="746">
        <f t="shared" si="115"/>
        <v>56.251390337034337</v>
      </c>
      <c r="BA227" s="641">
        <f t="shared" si="112"/>
        <v>0.98687836715537613</v>
      </c>
      <c r="BC227" s="11">
        <v>43313</v>
      </c>
      <c r="BD227" s="289">
        <f>[2]!FeuilCaduc*(1-Persistant)+Persistant</f>
        <v>0.99963780534709201</v>
      </c>
      <c r="BE227" s="290">
        <f>[2]!CroissVégét</f>
        <v>0.89459569118431537</v>
      </c>
      <c r="BF227" s="819">
        <f>1+[2]!Salcycl*Ksac</f>
        <v>1.0499547256683865</v>
      </c>
      <c r="BH227" s="1044">
        <f t="shared" si="113"/>
        <v>8.5981247702572317E-3</v>
      </c>
      <c r="BI227" s="11">
        <v>44409</v>
      </c>
      <c r="BJ227" s="726">
        <v>9.3824201072276821E-4</v>
      </c>
      <c r="BK227" s="726">
        <v>1.9261055955015506E-3</v>
      </c>
      <c r="BL227" s="726">
        <v>3.1472706573559763E-3</v>
      </c>
      <c r="BM227" s="726">
        <v>4.8263911080864913E-3</v>
      </c>
      <c r="BN227" s="726">
        <v>7.0825542132668517E-3</v>
      </c>
      <c r="BO227" s="727">
        <v>9.9165843068994217E-3</v>
      </c>
      <c r="BP227" s="726">
        <v>1.3291515789170859E-2</v>
      </c>
      <c r="BQ227" s="726">
        <v>1.7087136330614424E-2</v>
      </c>
      <c r="BR227" s="726">
        <v>2.1303962004389866E-2</v>
      </c>
      <c r="BS227" s="726">
        <v>2.5830635811582126E-2</v>
      </c>
      <c r="BT227" s="726">
        <v>3.0581971527074574E-2</v>
      </c>
      <c r="BW227" s="1208">
        <f>'2018'!R\Max</f>
        <v>0.94319947445326335</v>
      </c>
      <c r="BX227" s="1206">
        <f>'2019'!R\Max</f>
        <v>0.88299398691329323</v>
      </c>
      <c r="BY227" s="1206">
        <f>'2020'!R\Max</f>
        <v>0.93356472877047914</v>
      </c>
      <c r="BZ227" s="1206">
        <f>'2021'!R\Max</f>
        <v>0.83207961128704078</v>
      </c>
      <c r="CA227" s="1206">
        <f>'2022'!R\Max</f>
        <v>0.98687836715537613</v>
      </c>
      <c r="CB227" s="1206">
        <f>'2023'!R\Max</f>
        <v>0.98687668210816504</v>
      </c>
      <c r="CC227" s="1206">
        <f>'2024'!R\Max</f>
        <v>0.98687499675965862</v>
      </c>
      <c r="CD227" s="1206">
        <f>'2025'!R\Max</f>
        <v>0.98688426519863637</v>
      </c>
      <c r="CE227" s="1206">
        <f>'2026'!R\Max</f>
        <v>0.98688293733372601</v>
      </c>
      <c r="CF227" s="1207">
        <f>'2027'!R\Max</f>
        <v>0.98688143979068377</v>
      </c>
    </row>
    <row r="228" spans="1:84" s="6" customFormat="1" ht="11.25" x14ac:dyDescent="0.2">
      <c r="A228" s="11">
        <v>43314</v>
      </c>
      <c r="B228" s="379">
        <f>'2022'!Maxi_hp</f>
        <v>55.739451495445259</v>
      </c>
      <c r="C228" s="13">
        <f>'2022'!An_max</f>
        <v>2022</v>
      </c>
      <c r="D228" s="1053">
        <f t="shared" si="97"/>
        <v>0.99242584546181889</v>
      </c>
      <c r="E228" s="13"/>
      <c r="F228" s="13">
        <f t="shared" si="114"/>
        <v>17</v>
      </c>
      <c r="G228" s="13">
        <f t="shared" si="98"/>
        <v>16</v>
      </c>
      <c r="H228" s="172">
        <f t="shared" si="99"/>
        <v>43318</v>
      </c>
      <c r="I228" s="753">
        <f t="shared" si="100"/>
        <v>0.2857142857142857</v>
      </c>
      <c r="J228" s="746">
        <f t="shared" si="101"/>
        <v>56.164852769938967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46">
        <v>43314</v>
      </c>
      <c r="AP228" s="13">
        <f t="shared" si="102"/>
        <v>9</v>
      </c>
      <c r="AQ228" s="13">
        <f t="shared" si="103"/>
        <v>10</v>
      </c>
      <c r="AR228" s="172">
        <f t="shared" si="104"/>
        <v>43304</v>
      </c>
      <c r="AS228" s="753">
        <f t="shared" si="105"/>
        <v>0.35714285714285715</v>
      </c>
      <c r="AT228" s="769">
        <f t="shared" si="106"/>
        <v>56.132078261839752</v>
      </c>
      <c r="AU228" s="13">
        <f t="shared" si="107"/>
        <v>9</v>
      </c>
      <c r="AV228" s="13">
        <f t="shared" si="108"/>
        <v>8</v>
      </c>
      <c r="AW228" s="172">
        <f t="shared" si="109"/>
        <v>43318</v>
      </c>
      <c r="AX228" s="753">
        <f t="shared" si="110"/>
        <v>0.14285714285714285</v>
      </c>
      <c r="AY228" s="769">
        <f t="shared" si="111"/>
        <v>56.190855685435238</v>
      </c>
      <c r="AZ228" s="746">
        <f t="shared" si="115"/>
        <v>56.161466973637495</v>
      </c>
      <c r="BA228" s="641">
        <f t="shared" si="112"/>
        <v>0.99242584546181889</v>
      </c>
      <c r="BC228" s="11">
        <v>43314</v>
      </c>
      <c r="BD228" s="289">
        <f>[2]!FeuilCaduc*(1-Persistant)+Persistant</f>
        <v>0.9995205369695489</v>
      </c>
      <c r="BE228" s="290">
        <f>[2]!CroissVégét</f>
        <v>0.89841979735358901</v>
      </c>
      <c r="BF228" s="819">
        <f>1+[2]!Salcycl*Ksac</f>
        <v>1.0499400671211936</v>
      </c>
      <c r="BH228" s="1044">
        <f t="shared" si="113"/>
        <v>8.2082285102467664E-3</v>
      </c>
      <c r="BI228" s="11">
        <v>44410</v>
      </c>
      <c r="BJ228" s="726">
        <v>9.1236559728209363E-4</v>
      </c>
      <c r="BK228" s="726">
        <v>1.8422963502084072E-3</v>
      </c>
      <c r="BL228" s="726">
        <v>2.9947797730233354E-3</v>
      </c>
      <c r="BM228" s="726">
        <v>4.5903731828783843E-3</v>
      </c>
      <c r="BN228" s="726">
        <v>6.7507337727421507E-3</v>
      </c>
      <c r="BO228" s="727">
        <v>9.4761654119010028E-3</v>
      </c>
      <c r="BP228" s="726">
        <v>1.2731594160644137E-2</v>
      </c>
      <c r="BQ228" s="726">
        <v>1.6399985249950066E-2</v>
      </c>
      <c r="BR228" s="726">
        <v>2.0492104708125264E-2</v>
      </c>
      <c r="BS228" s="726">
        <v>2.4901590627627188E-2</v>
      </c>
      <c r="BT228" s="726">
        <v>2.9544818511585497E-2</v>
      </c>
      <c r="BW228" s="1208">
        <f>'2018'!R\Max</f>
        <v>0.95334013398507067</v>
      </c>
      <c r="BX228" s="1206">
        <f>'2019'!R\Max</f>
        <v>0.98608271576444806</v>
      </c>
      <c r="BY228" s="1206">
        <f>'2020'!R\Max</f>
        <v>0.75101234133218497</v>
      </c>
      <c r="BZ228" s="1206">
        <f>'2021'!R\Max</f>
        <v>0.97932211273983438</v>
      </c>
      <c r="CA228" s="1206">
        <f>'2022'!R\Max</f>
        <v>0.99242584546181889</v>
      </c>
      <c r="CB228" s="1206">
        <f>'2023'!R\Max</f>
        <v>0.99242489879155005</v>
      </c>
      <c r="CC228" s="1206">
        <f>'2024'!R\Max</f>
        <v>0.99242395195613264</v>
      </c>
      <c r="CD228" s="1206">
        <f>'2025'!R\Max</f>
        <v>0.99242915202587023</v>
      </c>
      <c r="CE228" s="1206">
        <f>'2026'!R\Max</f>
        <v>0.99242840844781299</v>
      </c>
      <c r="CF228" s="1207">
        <f>'2027'!R\Max</f>
        <v>0.99242756875216143</v>
      </c>
    </row>
    <row r="229" spans="1:84" s="6" customFormat="1" ht="11.25" x14ac:dyDescent="0.2">
      <c r="A229" s="11">
        <v>43315</v>
      </c>
      <c r="B229" s="379">
        <f>'2022'!Maxi_hp</f>
        <v>56.092480847378184</v>
      </c>
      <c r="C229" s="13">
        <f>'2022'!An_max</f>
        <v>2019</v>
      </c>
      <c r="D229" s="1053">
        <f t="shared" si="97"/>
        <v>1.0002914781556322</v>
      </c>
      <c r="E229" s="13"/>
      <c r="F229" s="13">
        <f t="shared" si="114"/>
        <v>17</v>
      </c>
      <c r="G229" s="13">
        <f t="shared" si="98"/>
        <v>16</v>
      </c>
      <c r="H229" s="172">
        <f t="shared" si="99"/>
        <v>43318</v>
      </c>
      <c r="I229" s="753">
        <f t="shared" si="100"/>
        <v>0.21428571428571427</v>
      </c>
      <c r="J229" s="746">
        <f t="shared" si="101"/>
        <v>56.076135878717267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46">
        <v>43315</v>
      </c>
      <c r="AP229" s="13">
        <f t="shared" si="102"/>
        <v>9</v>
      </c>
      <c r="AQ229" s="13">
        <f t="shared" si="103"/>
        <v>10</v>
      </c>
      <c r="AR229" s="172">
        <f t="shared" si="104"/>
        <v>43304</v>
      </c>
      <c r="AS229" s="753">
        <f t="shared" si="105"/>
        <v>0.39285714285714285</v>
      </c>
      <c r="AT229" s="769">
        <f t="shared" si="106"/>
        <v>56.044776633095793</v>
      </c>
      <c r="AU229" s="13">
        <f t="shared" si="107"/>
        <v>9</v>
      </c>
      <c r="AV229" s="13">
        <f t="shared" si="108"/>
        <v>8</v>
      </c>
      <c r="AW229" s="172">
        <f t="shared" si="109"/>
        <v>43318</v>
      </c>
      <c r="AX229" s="753">
        <f t="shared" si="110"/>
        <v>0.10714285714285714</v>
      </c>
      <c r="AY229" s="769">
        <f t="shared" si="111"/>
        <v>56.095069251129679</v>
      </c>
      <c r="AZ229" s="746">
        <f t="shared" si="115"/>
        <v>56.06992294211274</v>
      </c>
      <c r="BA229" s="641">
        <f t="shared" si="112"/>
        <v>1.0002914781556322</v>
      </c>
      <c r="BC229" s="11">
        <v>43315</v>
      </c>
      <c r="BD229" s="289">
        <f>[2]!FeuilCaduc*(1-Persistant)+Persistant</f>
        <v>0.99938087988317947</v>
      </c>
      <c r="BE229" s="290">
        <f>[2]!CroissVégét</f>
        <v>0.90212075799903491</v>
      </c>
      <c r="BF229" s="819">
        <f>1+[2]!Salcycl*Ksac</f>
        <v>1.0499226099853973</v>
      </c>
      <c r="BH229" s="1044">
        <f t="shared" si="113"/>
        <v>7.8244827259034422E-3</v>
      </c>
      <c r="BI229" s="11">
        <v>44411</v>
      </c>
      <c r="BJ229" s="726">
        <v>8.8471479101480562E-4</v>
      </c>
      <c r="BK229" s="726">
        <v>1.7581597598954242E-3</v>
      </c>
      <c r="BL229" s="726">
        <v>2.8439607028485064E-3</v>
      </c>
      <c r="BM229" s="726">
        <v>4.3582839427108236E-3</v>
      </c>
      <c r="BN229" s="726">
        <v>6.4244761342831681E-3</v>
      </c>
      <c r="BO229" s="727">
        <v>9.0424082349270362E-3</v>
      </c>
      <c r="BP229" s="726">
        <v>1.2179273170280665E-2</v>
      </c>
      <c r="BQ229" s="726">
        <v>1.572262696445853E-2</v>
      </c>
      <c r="BR229" s="726">
        <v>1.9695053337045035E-2</v>
      </c>
      <c r="BS229" s="726">
        <v>2.3996685282306793E-2</v>
      </c>
      <c r="BT229" s="726">
        <v>2.8544317599882619E-2</v>
      </c>
      <c r="BW229" s="1208">
        <f>'2018'!R\Max</f>
        <v>0.96629806510919891</v>
      </c>
      <c r="BX229" s="1206">
        <f>'2019'!R\Max</f>
        <v>1.0002914781556322</v>
      </c>
      <c r="BY229" s="1206">
        <f>'2020'!R\Max</f>
        <v>0.59404183349953998</v>
      </c>
      <c r="BZ229" s="1206">
        <f>'2021'!R\Max</f>
        <v>0.66085692511153005</v>
      </c>
      <c r="CA229" s="1206">
        <f>'2022'!R\Max</f>
        <v>0.95247302916544641</v>
      </c>
      <c r="CB229" s="1206">
        <f>'2023'!R\Max</f>
        <v>0.95246751452036171</v>
      </c>
      <c r="CC229" s="1206">
        <f>'2024'!R\Max</f>
        <v>0.95246199899839823</v>
      </c>
      <c r="CD229" s="1206">
        <f>'2025'!R\Max</f>
        <v>0.95249224154598766</v>
      </c>
      <c r="CE229" s="1206">
        <f>'2026'!R\Max</f>
        <v>0.95248792621471501</v>
      </c>
      <c r="CF229" s="1207">
        <f>'2027'!R\Max</f>
        <v>0.95248304634362779</v>
      </c>
    </row>
    <row r="230" spans="1:84" s="6" customFormat="1" ht="11.25" x14ac:dyDescent="0.2">
      <c r="A230" s="11">
        <v>43316</v>
      </c>
      <c r="B230" s="379">
        <f>'2022'!Maxi_hp</f>
        <v>52.936123470546605</v>
      </c>
      <c r="C230" s="13">
        <f>'2022'!An_max</f>
        <v>2018</v>
      </c>
      <c r="D230" s="1053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2">
        <f t="shared" si="99"/>
        <v>43318</v>
      </c>
      <c r="I230" s="753">
        <f t="shared" si="100"/>
        <v>0.14285714285714285</v>
      </c>
      <c r="J230" s="746">
        <f t="shared" si="101"/>
        <v>55.984854811123981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46">
        <v>43316</v>
      </c>
      <c r="AP230" s="13">
        <f t="shared" si="102"/>
        <v>9</v>
      </c>
      <c r="AQ230" s="13">
        <f t="shared" si="103"/>
        <v>10</v>
      </c>
      <c r="AR230" s="172">
        <f t="shared" si="104"/>
        <v>43304</v>
      </c>
      <c r="AS230" s="753">
        <f t="shared" si="105"/>
        <v>0.42857142857142855</v>
      </c>
      <c r="AT230" s="769">
        <f t="shared" si="106"/>
        <v>55.956251603684258</v>
      </c>
      <c r="AU230" s="13">
        <f t="shared" si="107"/>
        <v>9</v>
      </c>
      <c r="AV230" s="13">
        <f t="shared" si="108"/>
        <v>8</v>
      </c>
      <c r="AW230" s="172">
        <f t="shared" si="109"/>
        <v>43318</v>
      </c>
      <c r="AX230" s="753">
        <f t="shared" si="110"/>
        <v>7.1428571428571425E-2</v>
      </c>
      <c r="AY230" s="769">
        <f t="shared" si="111"/>
        <v>55.996953389401156</v>
      </c>
      <c r="AZ230" s="746">
        <f t="shared" si="115"/>
        <v>55.976602496542711</v>
      </c>
      <c r="BA230" s="641">
        <f t="shared" si="112"/>
        <v>0.94554364120684287</v>
      </c>
      <c r="BC230" s="11">
        <v>43316</v>
      </c>
      <c r="BD230" s="289">
        <f>[2]!FeuilCaduc*(1-Persistant)+Persistant</f>
        <v>0.99921984492289773</v>
      </c>
      <c r="BE230" s="290">
        <f>[2]!CroissVégét</f>
        <v>0.90570145106838851</v>
      </c>
      <c r="BF230" s="819">
        <f>1+[2]!Salcycl*Ksac</f>
        <v>1.0499024806153623</v>
      </c>
      <c r="BH230" s="1044">
        <f t="shared" si="113"/>
        <v>7.4468697863835261E-3</v>
      </c>
      <c r="BI230" s="11">
        <v>44412</v>
      </c>
      <c r="BJ230" s="726">
        <v>8.5528900057913956E-4</v>
      </c>
      <c r="BK230" s="726">
        <v>1.6736925326406903E-3</v>
      </c>
      <c r="BL230" s="726">
        <v>2.6948068484632646E-3</v>
      </c>
      <c r="BM230" s="726">
        <v>4.1301127645155689E-3</v>
      </c>
      <c r="BN230" s="726">
        <v>6.1037662604298175E-3</v>
      </c>
      <c r="BO230" s="727">
        <v>8.6152928890386275E-3</v>
      </c>
      <c r="BP230" s="726">
        <v>1.1634527602624295E-2</v>
      </c>
      <c r="BQ230" s="726">
        <v>1.505503014735305E-2</v>
      </c>
      <c r="BR230" s="726">
        <v>1.8912769518404531E-2</v>
      </c>
      <c r="BS230" s="726">
        <v>2.3115873149459461E-2</v>
      </c>
      <c r="BT230" s="726">
        <v>2.7580413144292742E-2</v>
      </c>
      <c r="BW230" s="1208">
        <f>'2018'!R\Max</f>
        <v>0.94554364120684287</v>
      </c>
      <c r="BX230" s="1206">
        <f>'2019'!R\Max</f>
        <v>0.93678895585213084</v>
      </c>
      <c r="BY230" s="1206">
        <f>'2020'!R\Max</f>
        <v>0.90488474055882451</v>
      </c>
      <c r="BZ230" s="1206">
        <f>'2021'!R\Max</f>
        <v>0.5804297517133471</v>
      </c>
      <c r="CA230" s="1206">
        <f>'2022'!R\Max</f>
        <v>0.89530573898864041</v>
      </c>
      <c r="CB230" s="1206">
        <f>'2023'!R\Max</f>
        <v>0.89529470011634704</v>
      </c>
      <c r="CC230" s="1206">
        <f>'2024'!R\Max</f>
        <v>0.89528365969584445</v>
      </c>
      <c r="CD230" s="1206">
        <f>'2025'!R\Max</f>
        <v>0.89534407861621901</v>
      </c>
      <c r="CE230" s="1206">
        <f>'2026'!R\Max</f>
        <v>0.89533547786648648</v>
      </c>
      <c r="CF230" s="1207">
        <f>'2027'!R\Max</f>
        <v>0.89532573775353663</v>
      </c>
    </row>
    <row r="231" spans="1:84" s="6" customFormat="1" ht="11.25" x14ac:dyDescent="0.2">
      <c r="A231" s="11">
        <v>43317</v>
      </c>
      <c r="B231" s="379">
        <f>'2022'!Maxi_hp</f>
        <v>56.311096677498618</v>
      </c>
      <c r="C231" s="13">
        <f>'2022'!An_max</f>
        <v>2020</v>
      </c>
      <c r="D231" s="1053">
        <f t="shared" si="97"/>
        <v>1.0075220432690593</v>
      </c>
      <c r="E231" s="13"/>
      <c r="F231" s="13">
        <f t="shared" si="114"/>
        <v>17</v>
      </c>
      <c r="G231" s="13">
        <f t="shared" si="98"/>
        <v>16</v>
      </c>
      <c r="H231" s="172">
        <f t="shared" si="99"/>
        <v>43318</v>
      </c>
      <c r="I231" s="753">
        <f t="shared" si="100"/>
        <v>7.1428571428571425E-2</v>
      </c>
      <c r="J231" s="746">
        <f t="shared" si="101"/>
        <v>55.890684530125668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46">
        <v>43317</v>
      </c>
      <c r="AP231" s="13">
        <f t="shared" si="102"/>
        <v>9</v>
      </c>
      <c r="AQ231" s="13">
        <f t="shared" si="103"/>
        <v>10</v>
      </c>
      <c r="AR231" s="172">
        <f t="shared" si="104"/>
        <v>43304</v>
      </c>
      <c r="AS231" s="753">
        <f t="shared" si="105"/>
        <v>0.4642857142857143</v>
      </c>
      <c r="AT231" s="769">
        <f t="shared" si="106"/>
        <v>55.866300025246368</v>
      </c>
      <c r="AU231" s="13">
        <f t="shared" si="107"/>
        <v>9</v>
      </c>
      <c r="AV231" s="13">
        <f t="shared" si="108"/>
        <v>8</v>
      </c>
      <c r="AW231" s="172">
        <f t="shared" si="109"/>
        <v>43318</v>
      </c>
      <c r="AX231" s="753">
        <f t="shared" si="110"/>
        <v>3.5714285714285712E-2</v>
      </c>
      <c r="AY231" s="769">
        <f t="shared" si="111"/>
        <v>55.896399754249217</v>
      </c>
      <c r="AZ231" s="746">
        <f t="shared" si="115"/>
        <v>55.881349889747796</v>
      </c>
      <c r="BA231" s="641">
        <f t="shared" si="112"/>
        <v>1.0075220432690593</v>
      </c>
      <c r="BC231" s="11">
        <v>43317</v>
      </c>
      <c r="BD231" s="289">
        <f>[2]!FeuilCaduc*(1-Persistant)+Persistant</f>
        <v>0.99903825582980099</v>
      </c>
      <c r="BE231" s="290">
        <f>[2]!CroissVégét</f>
        <v>0.90916476701567317</v>
      </c>
      <c r="BF231" s="819">
        <f>1+[2]!Salcycl*Ksac</f>
        <v>1.0498797819787251</v>
      </c>
      <c r="BH231" s="1044">
        <f t="shared" si="113"/>
        <v>7.0753729337612349E-3</v>
      </c>
      <c r="BI231" s="11">
        <v>44413</v>
      </c>
      <c r="BJ231" s="726">
        <v>8.2408754947076721E-4</v>
      </c>
      <c r="BK231" s="726">
        <v>1.5888914562011669E-3</v>
      </c>
      <c r="BL231" s="726">
        <v>2.5473119051104571E-3</v>
      </c>
      <c r="BM231" s="726">
        <v>3.9058495674243413E-3</v>
      </c>
      <c r="BN231" s="726">
        <v>5.7885898783149045E-3</v>
      </c>
      <c r="BO231" s="727">
        <v>8.1948004544514265E-3</v>
      </c>
      <c r="BP231" s="726">
        <v>1.1097333414357986E-2</v>
      </c>
      <c r="BQ231" s="726">
        <v>1.439716494004197E-2</v>
      </c>
      <c r="BR231" s="726">
        <v>1.8145216824747262E-2</v>
      </c>
      <c r="BS231" s="726">
        <v>2.2259110298414896E-2</v>
      </c>
      <c r="BT231" s="726">
        <v>2.6653053139382803E-2</v>
      </c>
      <c r="BW231" s="1208">
        <f>'2018'!R\Max</f>
        <v>0.93719255139908797</v>
      </c>
      <c r="BX231" s="1206">
        <f>'2019'!R\Max</f>
        <v>0.94815963611180887</v>
      </c>
      <c r="BY231" s="1206">
        <f>'2020'!R\Max</f>
        <v>1.0075220432690593</v>
      </c>
      <c r="BZ231" s="1206">
        <f>'2021'!R\Max</f>
        <v>0.8788798071233157</v>
      </c>
      <c r="CA231" s="1206">
        <f>'2022'!R\Max</f>
        <v>0.83444523044014296</v>
      </c>
      <c r="CB231" s="1206">
        <f>'2023'!R\Max</f>
        <v>0.83442951173110669</v>
      </c>
      <c r="CC231" s="1206">
        <f>'2024'!R\Max</f>
        <v>0.83441379110987102</v>
      </c>
      <c r="CD231" s="1206">
        <f>'2025'!R\Max</f>
        <v>0.83449962385770804</v>
      </c>
      <c r="CE231" s="1206">
        <f>'2026'!R\Max</f>
        <v>0.83448743797528491</v>
      </c>
      <c r="CF231" s="1207">
        <f>'2027'!R\Max</f>
        <v>0.83447361641042328</v>
      </c>
    </row>
    <row r="232" spans="1:84" s="6" customFormat="1" ht="11.25" x14ac:dyDescent="0.2">
      <c r="A232" s="11">
        <v>43318</v>
      </c>
      <c r="B232" s="379">
        <f>'2022'!Maxi_hp</f>
        <v>56.389246381378285</v>
      </c>
      <c r="C232" s="13">
        <f>'2022'!An_max</f>
        <v>2020</v>
      </c>
      <c r="D232" s="1053">
        <f t="shared" si="97"/>
        <v>1.0106813251912676</v>
      </c>
      <c r="E232" s="1048">
        <f>AC$13/10</f>
        <v>55.793300000000002</v>
      </c>
      <c r="F232" s="13">
        <f t="shared" si="114"/>
        <v>17</v>
      </c>
      <c r="G232" s="13">
        <f t="shared" si="98"/>
        <v>18</v>
      </c>
      <c r="H232" s="172">
        <f t="shared" si="99"/>
        <v>43318</v>
      </c>
      <c r="I232" s="753">
        <f t="shared" si="100"/>
        <v>0</v>
      </c>
      <c r="J232" s="746">
        <f t="shared" si="101"/>
        <v>55.793300000578164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46">
        <v>43318</v>
      </c>
      <c r="AP232" s="13">
        <f t="shared" si="102"/>
        <v>9</v>
      </c>
      <c r="AQ232" s="13">
        <f t="shared" si="103"/>
        <v>10</v>
      </c>
      <c r="AR232" s="172">
        <f t="shared" si="104"/>
        <v>43304</v>
      </c>
      <c r="AS232" s="753">
        <f t="shared" si="105"/>
        <v>0.5</v>
      </c>
      <c r="AT232" s="769">
        <f t="shared" si="106"/>
        <v>55.774718750361352</v>
      </c>
      <c r="AU232" s="13">
        <f t="shared" si="107"/>
        <v>9</v>
      </c>
      <c r="AV232" s="13">
        <f t="shared" si="108"/>
        <v>10</v>
      </c>
      <c r="AW232" s="172">
        <f t="shared" si="109"/>
        <v>43318</v>
      </c>
      <c r="AX232" s="753">
        <f t="shared" si="110"/>
        <v>0</v>
      </c>
      <c r="AY232" s="769">
        <f t="shared" si="111"/>
        <v>55.793300000391902</v>
      </c>
      <c r="AZ232" s="746">
        <f t="shared" si="115"/>
        <v>55.784009375376627</v>
      </c>
      <c r="BA232" s="641">
        <f t="shared" si="112"/>
        <v>1.0106813251912676</v>
      </c>
      <c r="BC232" s="11">
        <v>43318</v>
      </c>
      <c r="BD232" s="289">
        <f>[2]!FeuilCaduc*(1-Persistant)+Persistant</f>
        <v>0.99883675674807082</v>
      </c>
      <c r="BE232" s="290">
        <f>[2]!CroissVégét</f>
        <v>0.91251360163473627</v>
      </c>
      <c r="BF232" s="819">
        <f>1+[2]!Salcycl*Ksac</f>
        <v>1.0498545945935089</v>
      </c>
      <c r="BH232" s="1044">
        <f t="shared" si="113"/>
        <v>6.7099762645372683E-3</v>
      </c>
      <c r="BI232" s="11">
        <v>44414</v>
      </c>
      <c r="BJ232" s="726">
        <v>7.9110968158975427E-4</v>
      </c>
      <c r="BK232" s="726">
        <v>1.5037533991645218E-3</v>
      </c>
      <c r="BL232" s="726">
        <v>2.4014698566824592E-3</v>
      </c>
      <c r="BM232" s="726">
        <v>3.6854848009218555E-3</v>
      </c>
      <c r="BN232" s="726">
        <v>5.4789334628975259E-3</v>
      </c>
      <c r="BO232" s="727">
        <v>7.7809129585436187E-3</v>
      </c>
      <c r="BP232" s="726">
        <v>1.0567667711612327E-2</v>
      </c>
      <c r="BQ232" s="726">
        <v>1.37490029228668E-2</v>
      </c>
      <c r="BR232" s="726">
        <v>1.739236072932436E-2</v>
      </c>
      <c r="BS232" s="726">
        <v>2.1426355420680138E-2</v>
      </c>
      <c r="BT232" s="726">
        <v>2.5762189110041977E-2</v>
      </c>
      <c r="BW232" s="1208">
        <f>'2018'!R\Max</f>
        <v>0.92859424963572268</v>
      </c>
      <c r="BX232" s="1206">
        <f>'2019'!R\Max</f>
        <v>0.74186982187498218</v>
      </c>
      <c r="BY232" s="1206">
        <f>'2020'!R\Max</f>
        <v>1.0106813251912676</v>
      </c>
      <c r="BZ232" s="1206">
        <f>'2021'!R\Max</f>
        <v>0.35864845738879841</v>
      </c>
      <c r="CA232" s="1206">
        <f>'2022'!R\Max</f>
        <v>0.9160948012857375</v>
      </c>
      <c r="CB232" s="1206">
        <f>'2023'!R\Max</f>
        <v>0.9160863563968038</v>
      </c>
      <c r="CC232" s="1206">
        <f>'2024'!R\Max</f>
        <v>0.91607791036438213</v>
      </c>
      <c r="CD232" s="1206">
        <f>'2025'!R\Max</f>
        <v>0.91612389627188573</v>
      </c>
      <c r="CE232" s="1206">
        <f>'2026'!R\Max</f>
        <v>0.91611738755658756</v>
      </c>
      <c r="CF232" s="1207">
        <f>'2027'!R\Max</f>
        <v>0.91610999282651318</v>
      </c>
    </row>
    <row r="233" spans="1:84" s="6" customFormat="1" ht="11.25" x14ac:dyDescent="0.2">
      <c r="A233" s="11">
        <v>43319</v>
      </c>
      <c r="B233" s="379">
        <f>'2022'!Maxi_hp</f>
        <v>54.87487901548878</v>
      </c>
      <c r="C233" s="13">
        <f>'2022'!An_max</f>
        <v>2020</v>
      </c>
      <c r="D233" s="1053">
        <f t="shared" si="97"/>
        <v>0.98530682514625989</v>
      </c>
      <c r="E233" s="13"/>
      <c r="F233" s="13">
        <f t="shared" si="114"/>
        <v>17</v>
      </c>
      <c r="G233" s="13">
        <f t="shared" si="98"/>
        <v>18</v>
      </c>
      <c r="H233" s="172">
        <f t="shared" si="99"/>
        <v>43318</v>
      </c>
      <c r="I233" s="753">
        <f t="shared" si="100"/>
        <v>7.1428571428571425E-2</v>
      </c>
      <c r="J233" s="746">
        <f t="shared" si="101"/>
        <v>55.693188776341927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46">
        <v>43319</v>
      </c>
      <c r="AP233" s="13">
        <f t="shared" si="102"/>
        <v>9</v>
      </c>
      <c r="AQ233" s="13">
        <f t="shared" si="103"/>
        <v>10</v>
      </c>
      <c r="AR233" s="172">
        <f t="shared" si="104"/>
        <v>43304</v>
      </c>
      <c r="AS233" s="753">
        <f t="shared" si="105"/>
        <v>0.5357142857142857</v>
      </c>
      <c r="AT233" s="769">
        <f t="shared" si="106"/>
        <v>55.681304630736953</v>
      </c>
      <c r="AU233" s="13">
        <f t="shared" si="107"/>
        <v>9</v>
      </c>
      <c r="AV233" s="13">
        <f t="shared" si="108"/>
        <v>10</v>
      </c>
      <c r="AW233" s="172">
        <f t="shared" si="109"/>
        <v>43318</v>
      </c>
      <c r="AX233" s="753">
        <f t="shared" si="110"/>
        <v>3.5714285714285712E-2</v>
      </c>
      <c r="AY233" s="769">
        <f t="shared" si="111"/>
        <v>55.689288338400161</v>
      </c>
      <c r="AZ233" s="746">
        <f t="shared" si="115"/>
        <v>55.685296484568553</v>
      </c>
      <c r="BA233" s="641">
        <f t="shared" si="112"/>
        <v>0.98530682514625989</v>
      </c>
      <c r="BC233" s="11">
        <v>43319</v>
      </c>
      <c r="BD233" s="289">
        <f>[2]!FeuilCaduc*(1-Persistant)+Persistant</f>
        <v>0.99861582046760844</v>
      </c>
      <c r="BE233" s="290">
        <f>[2]!CroissVégét</f>
        <v>0.91575084939386342</v>
      </c>
      <c r="BF233" s="819">
        <f>1+[2]!Salcycl*Ksac</f>
        <v>1.049826977558451</v>
      </c>
      <c r="BH233" s="1044">
        <f t="shared" si="113"/>
        <v>6.3506647111041242E-3</v>
      </c>
      <c r="BI233" s="11">
        <v>44415</v>
      </c>
      <c r="BJ233" s="726">
        <v>7.5635456680256256E-4</v>
      </c>
      <c r="BK233" s="726">
        <v>1.4182753120912169E-3</v>
      </c>
      <c r="BL233" s="726">
        <v>2.2572749707439224E-3</v>
      </c>
      <c r="BM233" s="726">
        <v>3.4690094329748126E-3</v>
      </c>
      <c r="BN233" s="726">
        <v>5.1747842201610118E-3</v>
      </c>
      <c r="BO233" s="727">
        <v>7.3736133558139662E-3</v>
      </c>
      <c r="BP233" s="726">
        <v>1.0045508727206708E-2</v>
      </c>
      <c r="BQ233" s="726">
        <v>1.3110517085753321E-2</v>
      </c>
      <c r="BR233" s="726">
        <v>1.6654168561405096E-2</v>
      </c>
      <c r="BS233" s="726">
        <v>2.061756975649269E-2</v>
      </c>
      <c r="BT233" s="726">
        <v>2.4907775999405486E-2</v>
      </c>
      <c r="BW233" s="1208">
        <f>'2018'!R\Max</f>
        <v>0.66415892047186187</v>
      </c>
      <c r="BX233" s="1206">
        <f>'2019'!R\Max</f>
        <v>0.80407275287264679</v>
      </c>
      <c r="BY233" s="1206">
        <f>'2020'!R\Max</f>
        <v>0.98530682514625989</v>
      </c>
      <c r="BZ233" s="1206">
        <f>'2021'!R\Max</f>
        <v>0.43513082732942199</v>
      </c>
      <c r="CA233" s="1206">
        <f>'2022'!R\Max</f>
        <v>0.97557259779332195</v>
      </c>
      <c r="CB233" s="1206">
        <f>'2023'!R\Max</f>
        <v>0.97557007136920393</v>
      </c>
      <c r="CC233" s="1206">
        <f>'2024'!R\Max</f>
        <v>0.97556754458312078</v>
      </c>
      <c r="CD233" s="1206">
        <f>'2025'!R\Max</f>
        <v>0.97558125783373972</v>
      </c>
      <c r="CE233" s="1206">
        <f>'2026'!R\Max</f>
        <v>0.97557932352496679</v>
      </c>
      <c r="CF233" s="1207">
        <f>'2027'!R\Max</f>
        <v>0.97557712199602542</v>
      </c>
    </row>
    <row r="234" spans="1:84" s="6" customFormat="1" ht="11.25" x14ac:dyDescent="0.2">
      <c r="A234" s="11">
        <v>43320</v>
      </c>
      <c r="B234" s="379">
        <f>'2022'!Maxi_hp</f>
        <v>55.210634376515713</v>
      </c>
      <c r="C234" s="13">
        <f>'2022'!An_max</f>
        <v>2022</v>
      </c>
      <c r="D234" s="1053">
        <f t="shared" si="97"/>
        <v>0.99315679968742232</v>
      </c>
      <c r="E234" s="13"/>
      <c r="F234" s="13">
        <f t="shared" si="114"/>
        <v>17</v>
      </c>
      <c r="G234" s="13">
        <f t="shared" si="98"/>
        <v>18</v>
      </c>
      <c r="H234" s="172">
        <f t="shared" si="99"/>
        <v>43318</v>
      </c>
      <c r="I234" s="753">
        <f t="shared" si="100"/>
        <v>0.14285714285714285</v>
      </c>
      <c r="J234" s="746">
        <f t="shared" si="101"/>
        <v>55.591055102167388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46">
        <v>43320</v>
      </c>
      <c r="AP234" s="13">
        <f t="shared" si="102"/>
        <v>9</v>
      </c>
      <c r="AQ234" s="13">
        <f t="shared" si="103"/>
        <v>10</v>
      </c>
      <c r="AR234" s="172">
        <f t="shared" si="104"/>
        <v>43304</v>
      </c>
      <c r="AS234" s="753">
        <f t="shared" si="105"/>
        <v>0.5714285714285714</v>
      </c>
      <c r="AT234" s="769">
        <f t="shared" si="106"/>
        <v>55.585854519318254</v>
      </c>
      <c r="AU234" s="13">
        <f t="shared" si="107"/>
        <v>9</v>
      </c>
      <c r="AV234" s="13">
        <f t="shared" si="108"/>
        <v>10</v>
      </c>
      <c r="AW234" s="172">
        <f t="shared" si="109"/>
        <v>43318</v>
      </c>
      <c r="AX234" s="753">
        <f t="shared" si="110"/>
        <v>7.1428571428571425E-2</v>
      </c>
      <c r="AY234" s="769">
        <f t="shared" si="111"/>
        <v>55.585890634357931</v>
      </c>
      <c r="AZ234" s="746">
        <f t="shared" si="115"/>
        <v>55.585872576838092</v>
      </c>
      <c r="BA234" s="641">
        <f t="shared" si="112"/>
        <v>0.99315679968742232</v>
      </c>
      <c r="BC234" s="11">
        <v>43320</v>
      </c>
      <c r="BD234" s="289">
        <f>[2]!FeuilCaduc*(1-Persistant)+Persistant</f>
        <v>0.99837575727223327</v>
      </c>
      <c r="BE234" s="290">
        <f>[2]!CroissVégét</f>
        <v>0.91887939725970647</v>
      </c>
      <c r="BF234" s="819">
        <f>1+[2]!Salcycl*Ksac</f>
        <v>1.0497969696590292</v>
      </c>
      <c r="BH234" s="1044">
        <f t="shared" si="113"/>
        <v>6.0053930030246425E-3</v>
      </c>
      <c r="BI234" s="11">
        <v>44416</v>
      </c>
      <c r="BJ234" s="726">
        <v>7.2065741842098317E-4</v>
      </c>
      <c r="BK234" s="726">
        <v>1.3342753711526533E-3</v>
      </c>
      <c r="BL234" s="726">
        <v>2.117480906472043E-3</v>
      </c>
      <c r="BM234" s="726">
        <v>3.2600529451717142E-3</v>
      </c>
      <c r="BN234" s="726">
        <v>4.8820333930315049E-3</v>
      </c>
      <c r="BO234" s="727">
        <v>6.9826514909536253E-3</v>
      </c>
      <c r="BP234" s="726">
        <v>9.5502839124531475E-3</v>
      </c>
      <c r="BQ234" s="726">
        <v>1.2511661296629197E-2</v>
      </c>
      <c r="BR234" s="726">
        <v>1.597285403844232E-2</v>
      </c>
      <c r="BS234" s="726">
        <v>1.9884652891306639E-2</v>
      </c>
      <c r="BT234" s="726">
        <v>2.4152360109487635E-2</v>
      </c>
      <c r="BW234" s="1208">
        <f>'2018'!R\Max</f>
        <v>0.8338301986513984</v>
      </c>
      <c r="BX234" s="1206">
        <f>'2019'!R\Max</f>
        <v>0.97246937034641801</v>
      </c>
      <c r="BY234" s="1206">
        <f>'2020'!R\Max</f>
        <v>0.95042958136187827</v>
      </c>
      <c r="BZ234" s="1206">
        <f>'2021'!R\Max</f>
        <v>0.67181080352937517</v>
      </c>
      <c r="CA234" s="1206">
        <f>'2022'!R\Max</f>
        <v>0.99315679968742232</v>
      </c>
      <c r="CB234" s="1206">
        <f>'2023'!R\Max</f>
        <v>0.99315610242184549</v>
      </c>
      <c r="CC234" s="1206">
        <f>'2024'!R\Max</f>
        <v>0.99315540505707944</v>
      </c>
      <c r="CD234" s="1206">
        <f>'2025'!R\Max</f>
        <v>0.99315917563475564</v>
      </c>
      <c r="CE234" s="1206">
        <f>'2026'!R\Max</f>
        <v>0.99315864631898609</v>
      </c>
      <c r="CF234" s="1207">
        <f>'2027'!R\Max</f>
        <v>0.99315804199534286</v>
      </c>
    </row>
    <row r="235" spans="1:84" s="6" customFormat="1" ht="11.25" x14ac:dyDescent="0.2">
      <c r="A235" s="11">
        <v>43321</v>
      </c>
      <c r="B235" s="379">
        <f>'2022'!Maxi_hp</f>
        <v>55.479223820400136</v>
      </c>
      <c r="C235" s="13">
        <f>'2022'!An_max</f>
        <v>2021</v>
      </c>
      <c r="D235" s="1053">
        <f t="shared" si="97"/>
        <v>0.99986167618846078</v>
      </c>
      <c r="E235" s="13"/>
      <c r="F235" s="13">
        <f t="shared" si="114"/>
        <v>17</v>
      </c>
      <c r="G235" s="13">
        <f t="shared" si="98"/>
        <v>18</v>
      </c>
      <c r="H235" s="172">
        <f t="shared" si="99"/>
        <v>43318</v>
      </c>
      <c r="I235" s="753">
        <f t="shared" si="100"/>
        <v>0.21428571428571427</v>
      </c>
      <c r="J235" s="746">
        <f t="shared" si="101"/>
        <v>55.486898979757505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46">
        <v>43321</v>
      </c>
      <c r="AP235" s="13">
        <f t="shared" si="102"/>
        <v>9</v>
      </c>
      <c r="AQ235" s="13">
        <f t="shared" si="103"/>
        <v>10</v>
      </c>
      <c r="AR235" s="172">
        <f t="shared" si="104"/>
        <v>43304</v>
      </c>
      <c r="AS235" s="753">
        <f t="shared" si="105"/>
        <v>0.6071428571428571</v>
      </c>
      <c r="AT235" s="769">
        <f t="shared" si="106"/>
        <v>55.48816526743051</v>
      </c>
      <c r="AU235" s="13">
        <f t="shared" si="107"/>
        <v>9</v>
      </c>
      <c r="AV235" s="13">
        <f t="shared" si="108"/>
        <v>10</v>
      </c>
      <c r="AW235" s="172">
        <f t="shared" si="109"/>
        <v>43318</v>
      </c>
      <c r="AX235" s="753">
        <f t="shared" si="110"/>
        <v>0.10714285714285714</v>
      </c>
      <c r="AY235" s="769">
        <f t="shared" si="111"/>
        <v>55.482836024396661</v>
      </c>
      <c r="AZ235" s="746">
        <f t="shared" si="115"/>
        <v>55.485500645913589</v>
      </c>
      <c r="BA235" s="641">
        <f t="shared" si="112"/>
        <v>0.99986167618846078</v>
      </c>
      <c r="BC235" s="11">
        <v>43321</v>
      </c>
      <c r="BD235" s="289">
        <f>[2]!FeuilCaduc*(1-Persistant)+Persistant</f>
        <v>0.99811672425118192</v>
      </c>
      <c r="BE235" s="290">
        <f>[2]!CroissVégét</f>
        <v>0.92190211899696306</v>
      </c>
      <c r="BF235" s="819">
        <f>1+[2]!Salcycl*Ksac</f>
        <v>1.0497645905313977</v>
      </c>
      <c r="BH235" s="1044">
        <f t="shared" si="113"/>
        <v>5.6727742419867815E-3</v>
      </c>
      <c r="BI235" s="11">
        <v>44417</v>
      </c>
      <c r="BJ235" s="726">
        <v>6.8507794678592611E-4</v>
      </c>
      <c r="BK235" s="726">
        <v>1.2520024449834356E-3</v>
      </c>
      <c r="BL235" s="726">
        <v>1.9814407447505036E-3</v>
      </c>
      <c r="BM235" s="726">
        <v>3.0573149614499273E-3</v>
      </c>
      <c r="BN235" s="726">
        <v>4.5992095301909657E-3</v>
      </c>
      <c r="BO235" s="727">
        <v>6.6067140219205666E-3</v>
      </c>
      <c r="BP235" s="726">
        <v>9.0810964807331081E-3</v>
      </c>
      <c r="BQ235" s="726">
        <v>1.1951864844932172E-2</v>
      </c>
      <c r="BR235" s="726">
        <v>1.534823554506516E-2</v>
      </c>
      <c r="BS235" s="726">
        <v>1.9227244842811898E-2</v>
      </c>
      <c r="BT235" s="726">
        <v>2.3495018164933365E-2</v>
      </c>
      <c r="BW235" s="1208">
        <f>'2018'!R\Max</f>
        <v>0.25005799601056428</v>
      </c>
      <c r="BX235" s="1206">
        <f>'2019'!R\Max</f>
        <v>0.92673638321370588</v>
      </c>
      <c r="BY235" s="1206">
        <f>'2020'!R\Max</f>
        <v>0.92728976240543159</v>
      </c>
      <c r="BZ235" s="1206">
        <f>'2021'!R\Max</f>
        <v>0.99986167618846078</v>
      </c>
      <c r="CA235" s="1206">
        <f>'2022'!R\Max</f>
        <v>0.96181616093626521</v>
      </c>
      <c r="CB235" s="1206">
        <f>'2023'!R\Max</f>
        <v>0.96181250251149097</v>
      </c>
      <c r="CC235" s="1206">
        <f>'2024'!R\Max</f>
        <v>0.96180884360425012</v>
      </c>
      <c r="CD235" s="1206">
        <f>'2025'!R\Max</f>
        <v>0.96182854329499268</v>
      </c>
      <c r="CE235" s="1206">
        <f>'2026'!R\Max</f>
        <v>0.96182579516763089</v>
      </c>
      <c r="CF235" s="1207">
        <f>'2027'!R\Max</f>
        <v>0.96182264300934761</v>
      </c>
    </row>
    <row r="236" spans="1:84" s="6" customFormat="1" ht="11.25" x14ac:dyDescent="0.2">
      <c r="A236" s="11">
        <v>43322</v>
      </c>
      <c r="B236" s="379">
        <f>'2022'!Maxi_hp</f>
        <v>51.455396116933656</v>
      </c>
      <c r="C236" s="13">
        <f>'2022'!An_max</f>
        <v>2021</v>
      </c>
      <c r="D236" s="1053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2">
        <f t="shared" si="99"/>
        <v>43318</v>
      </c>
      <c r="I236" s="753">
        <f t="shared" si="100"/>
        <v>0.2857142857142857</v>
      </c>
      <c r="J236" s="746">
        <f t="shared" si="101"/>
        <v>55.380720408526919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46">
        <v>43322</v>
      </c>
      <c r="AP236" s="13">
        <f t="shared" si="102"/>
        <v>9</v>
      </c>
      <c r="AQ236" s="13">
        <f t="shared" si="103"/>
        <v>10</v>
      </c>
      <c r="AR236" s="172">
        <f t="shared" si="104"/>
        <v>43304</v>
      </c>
      <c r="AS236" s="753">
        <f t="shared" si="105"/>
        <v>0.6428571428571429</v>
      </c>
      <c r="AT236" s="769">
        <f t="shared" si="106"/>
        <v>55.388033728361393</v>
      </c>
      <c r="AU236" s="13">
        <f t="shared" si="107"/>
        <v>9</v>
      </c>
      <c r="AV236" s="13">
        <f t="shared" si="108"/>
        <v>10</v>
      </c>
      <c r="AW236" s="172">
        <f t="shared" si="109"/>
        <v>43318</v>
      </c>
      <c r="AX236" s="753">
        <f t="shared" si="110"/>
        <v>0.14285714285714285</v>
      </c>
      <c r="AY236" s="769">
        <f t="shared" si="111"/>
        <v>55.379853644488115</v>
      </c>
      <c r="AZ236" s="746">
        <f t="shared" si="115"/>
        <v>55.383943686424757</v>
      </c>
      <c r="BA236" s="641">
        <f t="shared" si="112"/>
        <v>0.92912110455340191</v>
      </c>
      <c r="BC236" s="11">
        <v>43322</v>
      </c>
      <c r="BD236" s="289">
        <f>[2]!FeuilCaduc*(1-Persistant)+Persistant</f>
        <v>0.99783873493122033</v>
      </c>
      <c r="BE236" s="290">
        <f>[2]!CroissVégét</f>
        <v>0.92482186992875737</v>
      </c>
      <c r="BF236" s="819">
        <f>1+[2]!Salcycl*Ksac</f>
        <v>1.0497298418664025</v>
      </c>
      <c r="BH236" s="1044">
        <f t="shared" si="113"/>
        <v>5.3527950969075319E-3</v>
      </c>
      <c r="BI236" s="11">
        <v>44418</v>
      </c>
      <c r="BJ236" s="726">
        <v>6.4961490240115637E-4</v>
      </c>
      <c r="BK236" s="726">
        <v>1.1714535103269665E-3</v>
      </c>
      <c r="BL236" s="726">
        <v>1.8491493680723062E-3</v>
      </c>
      <c r="BM236" s="726">
        <v>2.8607877218614912E-3</v>
      </c>
      <c r="BN236" s="726">
        <v>4.3263015003124775E-3</v>
      </c>
      <c r="BO236" s="727">
        <v>6.2457857039700344E-3</v>
      </c>
      <c r="BP236" s="726">
        <v>8.6379259661770388E-3</v>
      </c>
      <c r="BQ236" s="726">
        <v>1.1431101671322514E-2</v>
      </c>
      <c r="BR236" s="726">
        <v>1.4780281256731047E-2</v>
      </c>
      <c r="BS236" s="726">
        <v>1.8645308599860869E-2</v>
      </c>
      <c r="BT236" s="726">
        <v>2.2935708180905592E-2</v>
      </c>
      <c r="BW236" s="1208">
        <f>'2018'!R\Max</f>
        <v>0.91829181591135156</v>
      </c>
      <c r="BX236" s="1206">
        <f>'2019'!R\Max</f>
        <v>0.72856151450812756</v>
      </c>
      <c r="BY236" s="1206">
        <f>'2020'!R\Max</f>
        <v>0.76378283478202091</v>
      </c>
      <c r="BZ236" s="1206">
        <f>'2021'!R\Max</f>
        <v>0.92912110455340191</v>
      </c>
      <c r="CA236" s="1206">
        <f>'2022'!R\Max</f>
        <v>0.92405356556530138</v>
      </c>
      <c r="CB236" s="1206">
        <f>'2023'!R\Max</f>
        <v>0.92404675264463054</v>
      </c>
      <c r="CC236" s="1206">
        <f>'2024'!R\Max</f>
        <v>0.9240399388983086</v>
      </c>
      <c r="CD236" s="1206">
        <f>'2025'!R\Max</f>
        <v>0.92407645071359656</v>
      </c>
      <c r="CE236" s="1206">
        <f>'2026'!R\Max</f>
        <v>0.92407139733454779</v>
      </c>
      <c r="CF236" s="1207">
        <f>'2027'!R\Max</f>
        <v>0.9240655644930198</v>
      </c>
    </row>
    <row r="237" spans="1:84" s="6" customFormat="1" ht="11.25" x14ac:dyDescent="0.2">
      <c r="A237" s="11">
        <v>43323</v>
      </c>
      <c r="B237" s="379">
        <f>'2022'!Maxi_hp</f>
        <v>54.32605328693775</v>
      </c>
      <c r="C237" s="13">
        <f>'2022'!An_max</f>
        <v>2018</v>
      </c>
      <c r="D237" s="1053">
        <f t="shared" si="97"/>
        <v>0.9828763712788342</v>
      </c>
      <c r="E237" s="13"/>
      <c r="F237" s="13">
        <f t="shared" si="114"/>
        <v>17</v>
      </c>
      <c r="G237" s="13">
        <f t="shared" si="98"/>
        <v>18</v>
      </c>
      <c r="H237" s="172">
        <f t="shared" si="99"/>
        <v>43318</v>
      </c>
      <c r="I237" s="753">
        <f t="shared" si="100"/>
        <v>0.35714285714285715</v>
      </c>
      <c r="J237" s="746">
        <f t="shared" si="101"/>
        <v>55.272519387411215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46">
        <v>43323</v>
      </c>
      <c r="AP237" s="13">
        <f t="shared" si="102"/>
        <v>9</v>
      </c>
      <c r="AQ237" s="13">
        <f t="shared" si="103"/>
        <v>10</v>
      </c>
      <c r="AR237" s="172">
        <f t="shared" si="104"/>
        <v>43304</v>
      </c>
      <c r="AS237" s="753">
        <f t="shared" si="105"/>
        <v>0.6785714285714286</v>
      </c>
      <c r="AT237" s="769">
        <f t="shared" si="106"/>
        <v>55.28525675353594</v>
      </c>
      <c r="AU237" s="13">
        <f t="shared" si="107"/>
        <v>9</v>
      </c>
      <c r="AV237" s="13">
        <f t="shared" si="108"/>
        <v>10</v>
      </c>
      <c r="AW237" s="172">
        <f t="shared" si="109"/>
        <v>43318</v>
      </c>
      <c r="AX237" s="753">
        <f t="shared" si="110"/>
        <v>0.17857142857142858</v>
      </c>
      <c r="AY237" s="769">
        <f t="shared" si="111"/>
        <v>55.276672631555371</v>
      </c>
      <c r="AZ237" s="746">
        <f t="shared" si="115"/>
        <v>55.280964692545652</v>
      </c>
      <c r="BA237" s="641">
        <f t="shared" si="112"/>
        <v>0.9828763712788342</v>
      </c>
      <c r="BC237" s="11">
        <v>43323</v>
      </c>
      <c r="BD237" s="289">
        <f>[2]!FeuilCaduc*(1-Persistant)+Persistant</f>
        <v>0.99754166908790198</v>
      </c>
      <c r="BE237" s="290">
        <f>[2]!CroissVégét</f>
        <v>0.92764148214144238</v>
      </c>
      <c r="BF237" s="819">
        <f>1+[2]!Salcycl*Ksac</f>
        <v>1.0496927086359877</v>
      </c>
      <c r="BH237" s="1044">
        <f t="shared" si="113"/>
        <v>5.0454433464246712E-3</v>
      </c>
      <c r="BI237" s="11">
        <v>44419</v>
      </c>
      <c r="BJ237" s="726">
        <v>6.1426708585482091E-4</v>
      </c>
      <c r="BK237" s="726">
        <v>1.0926257406750454E-3</v>
      </c>
      <c r="BL237" s="726">
        <v>1.7206020341553711E-3</v>
      </c>
      <c r="BM237" s="726">
        <v>2.670464060217142E-3</v>
      </c>
      <c r="BN237" s="726">
        <v>4.0632990696427415E-3</v>
      </c>
      <c r="BO237" s="727">
        <v>5.8998525866339364E-3</v>
      </c>
      <c r="BP237" s="726">
        <v>8.2207539220231687E-3</v>
      </c>
      <c r="BQ237" s="726">
        <v>1.0949348568366601E-2</v>
      </c>
      <c r="BR237" s="726">
        <v>1.4268963257472352E-2</v>
      </c>
      <c r="BS237" s="726">
        <v>1.8138812141921475E-2</v>
      </c>
      <c r="BT237" s="726">
        <v>2.24743944125879E-2</v>
      </c>
      <c r="BW237" s="1208">
        <f>'2018'!R\Max</f>
        <v>0.9828763712788342</v>
      </c>
      <c r="BX237" s="1206">
        <f>'2019'!R\Max</f>
        <v>0.48546248561687849</v>
      </c>
      <c r="BY237" s="1206">
        <f>'2020'!R\Max</f>
        <v>0.70453083645012415</v>
      </c>
      <c r="BZ237" s="1206">
        <f>'2021'!R\Max</f>
        <v>0.92447418594803643</v>
      </c>
      <c r="CA237" s="1206">
        <f>'2022'!R\Max</f>
        <v>0.85207027474770169</v>
      </c>
      <c r="CB237" s="1206">
        <f>'2023'!R\Max</f>
        <v>0.852058301420617</v>
      </c>
      <c r="CC237" s="1206">
        <f>'2024'!R\Max</f>
        <v>0.85204632683748072</v>
      </c>
      <c r="CD237" s="1206">
        <f>'2025'!R\Max</f>
        <v>0.85211015936804169</v>
      </c>
      <c r="CE237" s="1206">
        <f>'2026'!R\Max</f>
        <v>0.85210140876368157</v>
      </c>
      <c r="CF237" s="1207">
        <f>'2027'!R\Max</f>
        <v>0.85209122729036413</v>
      </c>
    </row>
    <row r="238" spans="1:84" s="6" customFormat="1" ht="11.25" x14ac:dyDescent="0.2">
      <c r="A238" s="11">
        <v>43324</v>
      </c>
      <c r="B238" s="379">
        <f>'2022'!Maxi_hp</f>
        <v>51.451294762618211</v>
      </c>
      <c r="C238" s="13">
        <f>'2022'!An_max</f>
        <v>2018</v>
      </c>
      <c r="D238" s="1053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2">
        <f t="shared" si="99"/>
        <v>43318</v>
      </c>
      <c r="I238" s="753">
        <f t="shared" si="100"/>
        <v>0.42857142857142855</v>
      </c>
      <c r="J238" s="746">
        <f t="shared" si="101"/>
        <v>55.162295918432733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46">
        <v>43324</v>
      </c>
      <c r="AP238" s="13">
        <f t="shared" si="102"/>
        <v>9</v>
      </c>
      <c r="AQ238" s="13">
        <f t="shared" si="103"/>
        <v>10</v>
      </c>
      <c r="AR238" s="172">
        <f t="shared" si="104"/>
        <v>43304</v>
      </c>
      <c r="AS238" s="753">
        <f t="shared" si="105"/>
        <v>0.7142857142857143</v>
      </c>
      <c r="AT238" s="769">
        <f t="shared" si="106"/>
        <v>55.179631195669728</v>
      </c>
      <c r="AU238" s="13">
        <f t="shared" si="107"/>
        <v>9</v>
      </c>
      <c r="AV238" s="13">
        <f t="shared" si="108"/>
        <v>10</v>
      </c>
      <c r="AW238" s="172">
        <f t="shared" si="109"/>
        <v>43318</v>
      </c>
      <c r="AX238" s="753">
        <f t="shared" si="110"/>
        <v>0.21428571428571427</v>
      </c>
      <c r="AY238" s="769">
        <f t="shared" si="111"/>
        <v>55.173022120991462</v>
      </c>
      <c r="AZ238" s="746">
        <f t="shared" si="115"/>
        <v>55.176326658330595</v>
      </c>
      <c r="BA238" s="641">
        <f t="shared" si="112"/>
        <v>0.93272576686615982</v>
      </c>
      <c r="BC238" s="11">
        <v>43324</v>
      </c>
      <c r="BD238" s="289">
        <f>[2]!FeuilCaduc*(1-Persistant)+Persistant</f>
        <v>0.99722528259737375</v>
      </c>
      <c r="BE238" s="290">
        <f>[2]!CroissVégét</f>
        <v>0.93036376011657451</v>
      </c>
      <c r="BF238" s="819">
        <f>1+[2]!Salcycl*Ksac</f>
        <v>1.0496531603246717</v>
      </c>
      <c r="BH238" s="1044">
        <f t="shared" si="113"/>
        <v>4.7507078399825434E-3</v>
      </c>
      <c r="BI238" s="11">
        <v>44420</v>
      </c>
      <c r="BJ238" s="726">
        <v>5.7903334750072585E-4</v>
      </c>
      <c r="BK238" s="726">
        <v>1.0155165009939947E-3</v>
      </c>
      <c r="BL238" s="726">
        <v>1.5957943644265822E-3</v>
      </c>
      <c r="BM238" s="726">
        <v>2.4863373849898446E-3</v>
      </c>
      <c r="BN238" s="726">
        <v>3.8101928714874785E-3</v>
      </c>
      <c r="BO238" s="727">
        <v>5.5689019674994445E-3</v>
      </c>
      <c r="BP238" s="726">
        <v>7.82956384032946E-3</v>
      </c>
      <c r="BQ238" s="726">
        <v>1.0506585059957357E-2</v>
      </c>
      <c r="BR238" s="726">
        <v>1.3814257364700072E-2</v>
      </c>
      <c r="BS238" s="726">
        <v>1.7707728205619722E-2</v>
      </c>
      <c r="BT238" s="726">
        <v>2.2111047051811217E-2</v>
      </c>
      <c r="BW238" s="1208">
        <f>'2018'!R\Max</f>
        <v>0.93272576686615982</v>
      </c>
      <c r="BX238" s="1206">
        <f>'2019'!R\Max</f>
        <v>0.54066020445907459</v>
      </c>
      <c r="BY238" s="1206">
        <f>'2020'!R\Max</f>
        <v>0.80254457910498489</v>
      </c>
      <c r="BZ238" s="1206">
        <f>'2021'!R\Max</f>
        <v>0.8941740723927829</v>
      </c>
      <c r="CA238" s="1206">
        <f>'2022'!R\Max</f>
        <v>0.89612282146355193</v>
      </c>
      <c r="CB238" s="1206">
        <f>'2023'!R\Max</f>
        <v>0.89611413159513775</v>
      </c>
      <c r="CC238" s="1206">
        <f>'2024'!R\Max</f>
        <v>0.89610544075937282</v>
      </c>
      <c r="CD238" s="1206">
        <f>'2025'!R\Max</f>
        <v>0.89615150491841689</v>
      </c>
      <c r="CE238" s="1206">
        <f>'2026'!R\Max</f>
        <v>0.89614526126098848</v>
      </c>
      <c r="CF238" s="1207">
        <f>'2027'!R\Max</f>
        <v>0.89613792510782453</v>
      </c>
    </row>
    <row r="239" spans="1:84" s="6" customFormat="1" ht="11.25" x14ac:dyDescent="0.2">
      <c r="A239" s="11">
        <v>43325</v>
      </c>
      <c r="B239" s="379">
        <f>'2022'!Maxi_hp</f>
        <v>51.299776685989691</v>
      </c>
      <c r="C239" s="13">
        <f>'2022'!An_max</f>
        <v>2019</v>
      </c>
      <c r="D239" s="1053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2">
        <f t="shared" si="99"/>
        <v>43318</v>
      </c>
      <c r="I239" s="753">
        <f t="shared" si="100"/>
        <v>0.5</v>
      </c>
      <c r="J239" s="746">
        <f t="shared" si="101"/>
        <v>55.050050000101329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46">
        <v>43325</v>
      </c>
      <c r="AP239" s="13">
        <f t="shared" si="102"/>
        <v>9</v>
      </c>
      <c r="AQ239" s="13">
        <f t="shared" si="103"/>
        <v>10</v>
      </c>
      <c r="AR239" s="172">
        <f t="shared" si="104"/>
        <v>43304</v>
      </c>
      <c r="AS239" s="753">
        <f t="shared" si="105"/>
        <v>0.75</v>
      </c>
      <c r="AT239" s="769">
        <f t="shared" si="106"/>
        <v>55.070953906187789</v>
      </c>
      <c r="AU239" s="13">
        <f t="shared" si="107"/>
        <v>9</v>
      </c>
      <c r="AV239" s="13">
        <f t="shared" si="108"/>
        <v>10</v>
      </c>
      <c r="AW239" s="172">
        <f t="shared" si="109"/>
        <v>43318</v>
      </c>
      <c r="AX239" s="753">
        <f t="shared" si="110"/>
        <v>0.25</v>
      </c>
      <c r="AY239" s="769">
        <f t="shared" si="111"/>
        <v>55.068631250038742</v>
      </c>
      <c r="AZ239" s="746">
        <f t="shared" si="115"/>
        <v>55.069792578113265</v>
      </c>
      <c r="BA239" s="641">
        <f t="shared" si="112"/>
        <v>0.93187520603333263</v>
      </c>
      <c r="BC239" s="11">
        <v>43325</v>
      </c>
      <c r="BD239" s="289">
        <f>[2]!FeuilCaduc*(1-Persistant)+Persistant</f>
        <v>0.9968892171945738</v>
      </c>
      <c r="BE239" s="290">
        <f>[2]!CroissVégét</f>
        <v>0.93299147677206173</v>
      </c>
      <c r="BF239" s="819">
        <f>1+[2]!Salcycl*Ksac</f>
        <v>1.0496111521493217</v>
      </c>
      <c r="BH239" s="1044">
        <f t="shared" si="113"/>
        <v>4.4685784587766347E-3</v>
      </c>
      <c r="BI239" s="11">
        <v>44421</v>
      </c>
      <c r="BJ239" s="726">
        <v>5.4391258712258896E-4</v>
      </c>
      <c r="BK239" s="726">
        <v>9.4012334241952357E-4</v>
      </c>
      <c r="BL239" s="726">
        <v>1.4747223324563291E-3</v>
      </c>
      <c r="BM239" s="726">
        <v>2.3084016601419926E-3</v>
      </c>
      <c r="BN239" s="726">
        <v>3.5669743755822273E-3</v>
      </c>
      <c r="BO239" s="727">
        <v>5.2529223458232287E-3</v>
      </c>
      <c r="BP239" s="726">
        <v>7.4643410714600872E-3</v>
      </c>
      <c r="BQ239" s="726">
        <v>1.0102793280438513E-2</v>
      </c>
      <c r="BR239" s="726">
        <v>1.341614295362813E-2</v>
      </c>
      <c r="BS239" s="726">
        <v>1.7352034050808093E-2</v>
      </c>
      <c r="BT239" s="726">
        <v>2.18456419231025E-2</v>
      </c>
      <c r="BW239" s="1208">
        <f>'2018'!R\Max</f>
        <v>0.51659403819444927</v>
      </c>
      <c r="BX239" s="1206">
        <f>'2019'!R\Max</f>
        <v>0.93187520603333263</v>
      </c>
      <c r="BY239" s="1206">
        <f>'2020'!R\Max</f>
        <v>0.49157102072038084</v>
      </c>
      <c r="BZ239" s="1206">
        <f>'2021'!R\Max</f>
        <v>0.5696537546919378</v>
      </c>
      <c r="CA239" s="1206">
        <f>'2022'!R\Max</f>
        <v>0.6255044124951481</v>
      </c>
      <c r="CB239" s="1206">
        <f>'2023'!R\Max</f>
        <v>0.62548282384094633</v>
      </c>
      <c r="CC239" s="1206">
        <f>'2024'!R\Max</f>
        <v>0.6254612338911385</v>
      </c>
      <c r="CD239" s="1206">
        <f>'2025'!R\Max</f>
        <v>0.62557498580937332</v>
      </c>
      <c r="CE239" s="1206">
        <f>'2026'!R\Max</f>
        <v>0.6255597653609829</v>
      </c>
      <c r="CF239" s="1207">
        <f>'2027'!R\Max</f>
        <v>0.62554167370237057</v>
      </c>
    </row>
    <row r="240" spans="1:84" s="6" customFormat="1" ht="11.25" x14ac:dyDescent="0.2">
      <c r="A240" s="11">
        <v>43326</v>
      </c>
      <c r="B240" s="379">
        <f>'2022'!Maxi_hp</f>
        <v>56.168421438709679</v>
      </c>
      <c r="C240" s="13">
        <f>'2022'!An_max</f>
        <v>2019</v>
      </c>
      <c r="D240" s="1053">
        <f t="shared" si="97"/>
        <v>1.0224378313956672</v>
      </c>
      <c r="E240" s="13"/>
      <c r="F240" s="13">
        <f t="shared" si="114"/>
        <v>17</v>
      </c>
      <c r="G240" s="13">
        <f t="shared" si="98"/>
        <v>18</v>
      </c>
      <c r="H240" s="172">
        <f t="shared" si="99"/>
        <v>43318</v>
      </c>
      <c r="I240" s="753">
        <f t="shared" si="100"/>
        <v>0.5714285714285714</v>
      </c>
      <c r="J240" s="746">
        <f t="shared" si="101"/>
        <v>54.935781632842762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46">
        <v>43326</v>
      </c>
      <c r="AP240" s="13">
        <f t="shared" si="102"/>
        <v>9</v>
      </c>
      <c r="AQ240" s="13">
        <f t="shared" si="103"/>
        <v>10</v>
      </c>
      <c r="AR240" s="172">
        <f t="shared" si="104"/>
        <v>43304</v>
      </c>
      <c r="AS240" s="753">
        <f t="shared" si="105"/>
        <v>0.7857142857142857</v>
      </c>
      <c r="AT240" s="769">
        <f t="shared" si="106"/>
        <v>54.95902173840441</v>
      </c>
      <c r="AU240" s="13">
        <f t="shared" si="107"/>
        <v>9</v>
      </c>
      <c r="AV240" s="13">
        <f t="shared" si="108"/>
        <v>10</v>
      </c>
      <c r="AW240" s="172">
        <f t="shared" si="109"/>
        <v>43318</v>
      </c>
      <c r="AX240" s="753">
        <f t="shared" si="110"/>
        <v>0.2857142857142857</v>
      </c>
      <c r="AY240" s="769">
        <f t="shared" si="111"/>
        <v>54.963229154529316</v>
      </c>
      <c r="AZ240" s="746">
        <f t="shared" si="115"/>
        <v>54.961125446466866</v>
      </c>
      <c r="BA240" s="641">
        <f t="shared" si="112"/>
        <v>1.0224378313956672</v>
      </c>
      <c r="BC240" s="11">
        <v>43326</v>
      </c>
      <c r="BD240" s="289">
        <f>[2]!FeuilCaduc*(1-Persistant)+Persistant</f>
        <v>0.99653301000966721</v>
      </c>
      <c r="BE240" s="290">
        <f>[2]!CroissVégét</f>
        <v>0.93552736989395957</v>
      </c>
      <c r="BF240" s="819">
        <f>1+[2]!Salcycl*Ksac</f>
        <v>1.0495666262512084</v>
      </c>
      <c r="BH240" s="1044">
        <f t="shared" si="113"/>
        <v>4.218376686550224E-3</v>
      </c>
      <c r="BI240" s="11">
        <v>44422</v>
      </c>
      <c r="BJ240" s="726">
        <v>5.1114297962136397E-4</v>
      </c>
      <c r="BK240" s="726">
        <v>8.7030867458072134E-4</v>
      </c>
      <c r="BL240" s="726">
        <v>1.3633384985155793E-3</v>
      </c>
      <c r="BM240" s="726">
        <v>2.1467313200548622E-3</v>
      </c>
      <c r="BN240" s="726">
        <v>3.3491649878990793E-3</v>
      </c>
      <c r="BO240" s="727">
        <v>4.9745410552506355E-3</v>
      </c>
      <c r="BP240" s="726">
        <v>7.1545896361003038E-3</v>
      </c>
      <c r="BQ240" s="726">
        <v>9.7750266012505971E-3</v>
      </c>
      <c r="BR240" s="726">
        <v>1.3115208032330974E-2</v>
      </c>
      <c r="BS240" s="726">
        <v>1.7109294703660852E-2</v>
      </c>
      <c r="BT240" s="726">
        <v>2.170586549465145E-2</v>
      </c>
      <c r="BW240" s="1208">
        <f>'2018'!R\Max</f>
        <v>0.64916311550962158</v>
      </c>
      <c r="BX240" s="1206">
        <f>'2019'!R\Max</f>
        <v>1.0224378313956672</v>
      </c>
      <c r="BY240" s="1206">
        <f>'2020'!R\Max</f>
        <v>0.30774599033463446</v>
      </c>
      <c r="BZ240" s="1206">
        <f>'2021'!R\Max</f>
        <v>0.91206154763574832</v>
      </c>
      <c r="CA240" s="1206">
        <f>'2022'!R\Max</f>
        <v>0.65174732171815297</v>
      </c>
      <c r="CB240" s="1206">
        <f>'2023'!R\Max</f>
        <v>0.65172651067713838</v>
      </c>
      <c r="CC240" s="1206">
        <f>'2024'!R\Max</f>
        <v>0.65170569829342462</v>
      </c>
      <c r="CD240" s="1206">
        <f>'2025'!R\Max</f>
        <v>0.65181468166655798</v>
      </c>
      <c r="CE240" s="1206">
        <f>'2026'!R\Max</f>
        <v>0.65180030152136414</v>
      </c>
      <c r="CF240" s="1207">
        <f>'2027'!R\Max</f>
        <v>0.65178299090341807</v>
      </c>
    </row>
    <row r="241" spans="1:84" s="6" customFormat="1" ht="11.25" x14ac:dyDescent="0.2">
      <c r="A241" s="11">
        <v>43327</v>
      </c>
      <c r="B241" s="379">
        <f>'2022'!Maxi_hp</f>
        <v>54.459997130630313</v>
      </c>
      <c r="C241" s="13">
        <f>'2022'!An_max</f>
        <v>2018</v>
      </c>
      <c r="D241" s="1053">
        <f t="shared" si="97"/>
        <v>0.99344222867184562</v>
      </c>
      <c r="E241" s="13"/>
      <c r="F241" s="13">
        <f t="shared" si="114"/>
        <v>17</v>
      </c>
      <c r="G241" s="13">
        <f t="shared" si="98"/>
        <v>18</v>
      </c>
      <c r="H241" s="172">
        <f t="shared" si="99"/>
        <v>43318</v>
      </c>
      <c r="I241" s="753">
        <f t="shared" si="100"/>
        <v>0.6428571428571429</v>
      </c>
      <c r="J241" s="746">
        <f t="shared" si="101"/>
        <v>54.8194908157257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46">
        <v>43327</v>
      </c>
      <c r="AP241" s="13">
        <f t="shared" si="102"/>
        <v>9</v>
      </c>
      <c r="AQ241" s="13">
        <f t="shared" si="103"/>
        <v>10</v>
      </c>
      <c r="AR241" s="172">
        <f t="shared" si="104"/>
        <v>43304</v>
      </c>
      <c r="AS241" s="753">
        <f t="shared" si="105"/>
        <v>0.8214285714285714</v>
      </c>
      <c r="AT241" s="769">
        <f t="shared" si="106"/>
        <v>54.843631543704703</v>
      </c>
      <c r="AU241" s="13">
        <f t="shared" si="107"/>
        <v>9</v>
      </c>
      <c r="AV241" s="13">
        <f t="shared" si="108"/>
        <v>10</v>
      </c>
      <c r="AW241" s="172">
        <f t="shared" si="109"/>
        <v>43318</v>
      </c>
      <c r="AX241" s="753">
        <f t="shared" si="110"/>
        <v>0.32142857142857145</v>
      </c>
      <c r="AY241" s="769">
        <f t="shared" si="111"/>
        <v>54.856544970840751</v>
      </c>
      <c r="AZ241" s="746">
        <f t="shared" si="115"/>
        <v>54.850088257272731</v>
      </c>
      <c r="BA241" s="641">
        <f t="shared" si="112"/>
        <v>0.99344222867184562</v>
      </c>
      <c r="BC241" s="11">
        <v>43327</v>
      </c>
      <c r="BD241" s="289">
        <f>[2]!FeuilCaduc*(1-Persistant)+Persistant</f>
        <v>0.99615610276200495</v>
      </c>
      <c r="BE241" s="290">
        <f>[2]!CroissVégét</f>
        <v>0.93797413894004</v>
      </c>
      <c r="BF241" s="819">
        <f>1+[2]!Salcycl*Ksac</f>
        <v>1.0495195128452506</v>
      </c>
      <c r="BH241" s="1044">
        <f t="shared" si="113"/>
        <v>3.9955090516204921E-3</v>
      </c>
      <c r="BI241" s="11">
        <v>44423</v>
      </c>
      <c r="BJ241" s="726">
        <v>4.8145295305235627E-4</v>
      </c>
      <c r="BK241" s="726">
        <v>8.0618715552204336E-4</v>
      </c>
      <c r="BL241" s="726">
        <v>1.2606815482945548E-3</v>
      </c>
      <c r="BM241" s="726">
        <v>1.99879702523412E-3</v>
      </c>
      <c r="BN241" s="726">
        <v>3.1528158106863395E-3</v>
      </c>
      <c r="BO241" s="727">
        <v>4.7286038817152968E-3</v>
      </c>
      <c r="BP241" s="726">
        <v>6.8938591900153078E-3</v>
      </c>
      <c r="BQ241" s="726">
        <v>9.5143827743267677E-3</v>
      </c>
      <c r="BR241" s="726">
        <v>1.2897220881994615E-2</v>
      </c>
      <c r="BS241" s="726">
        <v>1.6956201191287039E-2</v>
      </c>
      <c r="BT241" s="726">
        <v>2.1656541420123066E-2</v>
      </c>
      <c r="BW241" s="1208">
        <f>'2018'!R\Max</f>
        <v>0.99344222867184562</v>
      </c>
      <c r="BX241" s="1206">
        <f>'2019'!R\Max</f>
        <v>0.49769872161103978</v>
      </c>
      <c r="BY241" s="1206">
        <f>'2020'!R\Max</f>
        <v>0.93970333014449858</v>
      </c>
      <c r="BZ241" s="1206">
        <f>'2021'!R\Max</f>
        <v>0.38263988638832253</v>
      </c>
      <c r="CA241" s="1206">
        <f>'2022'!R\Max</f>
        <v>0.74899373691629012</v>
      </c>
      <c r="CB241" s="1206">
        <f>'2023'!R\Max</f>
        <v>0.74897646834190845</v>
      </c>
      <c r="CC241" s="1206">
        <f>'2024'!R\Max</f>
        <v>0.74895919834287672</v>
      </c>
      <c r="CD241" s="1206">
        <f>'2025'!R\Max</f>
        <v>0.74904910156366944</v>
      </c>
      <c r="CE241" s="1206">
        <f>'2026'!R\Max</f>
        <v>0.74903741074770802</v>
      </c>
      <c r="CF241" s="1207">
        <f>'2027'!R\Max</f>
        <v>0.74902314535291981</v>
      </c>
    </row>
    <row r="242" spans="1:84" s="6" customFormat="1" ht="11.25" x14ac:dyDescent="0.2">
      <c r="A242" s="11">
        <v>43328</v>
      </c>
      <c r="B242" s="379">
        <f>'2022'!Maxi_hp</f>
        <v>55.604090749056766</v>
      </c>
      <c r="C242" s="13">
        <f>'2022'!An_max</f>
        <v>2019</v>
      </c>
      <c r="D242" s="1053">
        <f t="shared" si="97"/>
        <v>1.0165062844838977</v>
      </c>
      <c r="E242" s="13"/>
      <c r="F242" s="13">
        <f t="shared" si="114"/>
        <v>17</v>
      </c>
      <c r="G242" s="13">
        <f t="shared" si="98"/>
        <v>18</v>
      </c>
      <c r="H242" s="172">
        <f t="shared" si="99"/>
        <v>43318</v>
      </c>
      <c r="I242" s="753">
        <f t="shared" si="100"/>
        <v>0.7142857142857143</v>
      </c>
      <c r="J242" s="746">
        <f t="shared" si="101"/>
        <v>54.701177550799081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46">
        <v>43328</v>
      </c>
      <c r="AP242" s="13">
        <f t="shared" si="102"/>
        <v>9</v>
      </c>
      <c r="AQ242" s="13">
        <f t="shared" si="103"/>
        <v>10</v>
      </c>
      <c r="AR242" s="172">
        <f t="shared" si="104"/>
        <v>43304</v>
      </c>
      <c r="AS242" s="753">
        <f t="shared" si="105"/>
        <v>0.8571428571428571</v>
      </c>
      <c r="AT242" s="769">
        <f t="shared" si="106"/>
        <v>54.724580174924007</v>
      </c>
      <c r="AU242" s="13">
        <f t="shared" si="107"/>
        <v>9</v>
      </c>
      <c r="AV242" s="13">
        <f t="shared" si="108"/>
        <v>10</v>
      </c>
      <c r="AW242" s="172">
        <f t="shared" si="109"/>
        <v>43318</v>
      </c>
      <c r="AX242" s="753">
        <f t="shared" si="110"/>
        <v>0.35714285714285715</v>
      </c>
      <c r="AY242" s="769">
        <f t="shared" si="111"/>
        <v>54.748307835031298</v>
      </c>
      <c r="AZ242" s="746">
        <f t="shared" si="115"/>
        <v>54.736444004977656</v>
      </c>
      <c r="BA242" s="641">
        <f t="shared" si="112"/>
        <v>1.0165062844838977</v>
      </c>
      <c r="BC242" s="11">
        <v>43328</v>
      </c>
      <c r="BD242" s="289">
        <f>[2]!FeuilCaduc*(1-Persistant)+Persistant</f>
        <v>0.99575785049972632</v>
      </c>
      <c r="BE242" s="290">
        <f>[2]!CroissVégét</f>
        <v>0.94033444219607754</v>
      </c>
      <c r="BF242" s="819">
        <f>1+[2]!Salcycl*Ksac</f>
        <v>1.0494697313124659</v>
      </c>
      <c r="BH242" s="1044">
        <f t="shared" si="113"/>
        <v>3.7999689490582867E-3</v>
      </c>
      <c r="BI242" s="11">
        <v>44424</v>
      </c>
      <c r="BJ242" s="726">
        <v>4.5484164778473497E-4</v>
      </c>
      <c r="BK242" s="726">
        <v>7.4775700891206568E-4</v>
      </c>
      <c r="BL242" s="726">
        <v>1.1667486503418433E-3</v>
      </c>
      <c r="BM242" s="726">
        <v>1.864594629586637E-3</v>
      </c>
      <c r="BN242" s="726">
        <v>2.9779211599163407E-3</v>
      </c>
      <c r="BO242" s="727">
        <v>4.5151034191565397E-3</v>
      </c>
      <c r="BP242" s="726">
        <v>6.682141180779074E-3</v>
      </c>
      <c r="BQ242" s="726">
        <v>9.3208522908340002E-3</v>
      </c>
      <c r="BR242" s="726">
        <v>1.2762171801558404E-2</v>
      </c>
      <c r="BS242" s="726">
        <v>1.6892743996450296E-2</v>
      </c>
      <c r="BT242" s="726">
        <v>2.1697661111363564E-2</v>
      </c>
      <c r="BW242" s="1208">
        <f>'2018'!R\Max</f>
        <v>0.93419503858718134</v>
      </c>
      <c r="BX242" s="1206">
        <f>'2019'!R\Max</f>
        <v>1.0165062844838977</v>
      </c>
      <c r="BY242" s="1206">
        <f>'2020'!R\Max</f>
        <v>0.8454669691980008</v>
      </c>
      <c r="BZ242" s="1206">
        <f>'2021'!R\Max</f>
        <v>0.6022303871540261</v>
      </c>
      <c r="CA242" s="1206">
        <f>'2022'!R\Max</f>
        <v>0.63056809225858301</v>
      </c>
      <c r="CB242" s="1206">
        <f>'2023'!R\Max</f>
        <v>0.6305465086637474</v>
      </c>
      <c r="CC242" s="1206">
        <f>'2024'!R\Max</f>
        <v>0.63052492374645996</v>
      </c>
      <c r="CD242" s="1206">
        <f>'2025'!R\Max</f>
        <v>0.6306366860451974</v>
      </c>
      <c r="CE242" s="1206">
        <f>'2026'!R\Max</f>
        <v>0.6306223657876493</v>
      </c>
      <c r="CF242" s="1207">
        <f>'2027'!R\Max</f>
        <v>0.63060464311883824</v>
      </c>
    </row>
    <row r="243" spans="1:84" s="6" customFormat="1" ht="11.25" x14ac:dyDescent="0.2">
      <c r="A243" s="11">
        <v>43329</v>
      </c>
      <c r="B243" s="379">
        <f>'2022'!Maxi_hp</f>
        <v>54.149035020517147</v>
      </c>
      <c r="C243" s="13">
        <f>'2022'!An_max</f>
        <v>2019</v>
      </c>
      <c r="D243" s="1053">
        <f t="shared" si="97"/>
        <v>0.99208867431270964</v>
      </c>
      <c r="E243" s="13"/>
      <c r="F243" s="13">
        <f t="shared" si="114"/>
        <v>17</v>
      </c>
      <c r="G243" s="13">
        <f t="shared" si="98"/>
        <v>18</v>
      </c>
      <c r="H243" s="172">
        <f t="shared" si="99"/>
        <v>43318</v>
      </c>
      <c r="I243" s="753">
        <f t="shared" si="100"/>
        <v>0.7857142857142857</v>
      </c>
      <c r="J243" s="746">
        <f t="shared" si="101"/>
        <v>54.580841836572759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46">
        <v>43329</v>
      </c>
      <c r="AP243" s="13">
        <f t="shared" si="102"/>
        <v>9</v>
      </c>
      <c r="AQ243" s="13">
        <f t="shared" si="103"/>
        <v>10</v>
      </c>
      <c r="AR243" s="172">
        <f t="shared" si="104"/>
        <v>43304</v>
      </c>
      <c r="AS243" s="753">
        <f t="shared" si="105"/>
        <v>0.8928571428571429</v>
      </c>
      <c r="AT243" s="769">
        <f t="shared" si="106"/>
        <v>54.601664484638185</v>
      </c>
      <c r="AU243" s="13">
        <f t="shared" si="107"/>
        <v>9</v>
      </c>
      <c r="AV243" s="13">
        <f t="shared" si="108"/>
        <v>10</v>
      </c>
      <c r="AW243" s="172">
        <f t="shared" si="109"/>
        <v>43318</v>
      </c>
      <c r="AX243" s="753">
        <f t="shared" si="110"/>
        <v>0.39285714285714285</v>
      </c>
      <c r="AY243" s="769">
        <f t="shared" si="111"/>
        <v>54.638246884343346</v>
      </c>
      <c r="AZ243" s="746">
        <f t="shared" si="115"/>
        <v>54.619955684490762</v>
      </c>
      <c r="BA243" s="641">
        <f t="shared" si="112"/>
        <v>0.99208867431270964</v>
      </c>
      <c r="BC243" s="11">
        <v>43329</v>
      </c>
      <c r="BD243" s="289">
        <f>[2]!FeuilCaduc*(1-Persistant)+Persistant</f>
        <v>0.99533752978320933</v>
      </c>
      <c r="BE243" s="290">
        <f>[2]!CroissVégét</f>
        <v>0.94261089426578282</v>
      </c>
      <c r="BF243" s="819">
        <f>1+[2]!Salcycl*Ksac</f>
        <v>1.0494171912229011</v>
      </c>
      <c r="BH243" s="1044">
        <f t="shared" si="113"/>
        <v>3.6317512606965398E-3</v>
      </c>
      <c r="BI243" s="11">
        <v>44425</v>
      </c>
      <c r="BJ243" s="726">
        <v>4.3130837737295004E-4</v>
      </c>
      <c r="BK243" s="726">
        <v>6.9501679008403532E-4</v>
      </c>
      <c r="BL243" s="726">
        <v>1.0815374870229103E-3</v>
      </c>
      <c r="BM243" s="726">
        <v>1.7441207788034868E-3</v>
      </c>
      <c r="BN243" s="726">
        <v>2.8244765453773837E-3</v>
      </c>
      <c r="BO243" s="727">
        <v>4.3340340031221098E-3</v>
      </c>
      <c r="BP243" s="726">
        <v>6.5194295497758336E-3</v>
      </c>
      <c r="BQ243" s="726">
        <v>9.1944289368853516E-3</v>
      </c>
      <c r="BR243" s="726">
        <v>1.2710055031996868E-2</v>
      </c>
      <c r="BS243" s="726">
        <v>1.6918917758744396E-2</v>
      </c>
      <c r="BT243" s="726">
        <v>2.1829220042255962E-2</v>
      </c>
      <c r="BW243" s="1208">
        <f>'2018'!R\Max</f>
        <v>0.58233932243233277</v>
      </c>
      <c r="BX243" s="1206">
        <f>'2019'!R\Max</f>
        <v>0.99208867431270964</v>
      </c>
      <c r="BY243" s="1206">
        <f>'2020'!R\Max</f>
        <v>0.31573639944827719</v>
      </c>
      <c r="BZ243" s="1206">
        <f>'2021'!R\Max</f>
        <v>0.79638516016868943</v>
      </c>
      <c r="CA243" s="1206">
        <f>'2022'!R\Max</f>
        <v>0.43442337716245588</v>
      </c>
      <c r="CB243" s="1206">
        <f>'2023'!R\Max</f>
        <v>0.43440025867528614</v>
      </c>
      <c r="CC243" s="1206">
        <f>'2024'!R\Max</f>
        <v>0.43437713960297908</v>
      </c>
      <c r="CD243" s="1206">
        <f>'2025'!R\Max</f>
        <v>0.43449626942493025</v>
      </c>
      <c r="CE243" s="1206">
        <f>'2026'!R\Max</f>
        <v>0.43448122752984081</v>
      </c>
      <c r="CF243" s="1207">
        <f>'2027'!R\Max</f>
        <v>0.43446234164810132</v>
      </c>
    </row>
    <row r="244" spans="1:84" s="6" customFormat="1" ht="11.25" x14ac:dyDescent="0.2">
      <c r="A244" s="11">
        <v>43330</v>
      </c>
      <c r="B244" s="379">
        <f>'2022'!Maxi_hp</f>
        <v>52.532669315171944</v>
      </c>
      <c r="C244" s="13">
        <f>'2022'!An_max</f>
        <v>2021</v>
      </c>
      <c r="D244" s="1053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2">
        <f t="shared" si="99"/>
        <v>43318</v>
      </c>
      <c r="I244" s="753">
        <f t="shared" si="100"/>
        <v>0.8571428571428571</v>
      </c>
      <c r="J244" s="746">
        <f t="shared" si="101"/>
        <v>54.458483673312834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46">
        <v>43330</v>
      </c>
      <c r="AP244" s="13">
        <f t="shared" si="102"/>
        <v>9</v>
      </c>
      <c r="AQ244" s="13">
        <f t="shared" si="103"/>
        <v>10</v>
      </c>
      <c r="AR244" s="172">
        <f t="shared" si="104"/>
        <v>43304</v>
      </c>
      <c r="AS244" s="753">
        <f t="shared" si="105"/>
        <v>0.9285714285714286</v>
      </c>
      <c r="AT244" s="769">
        <f t="shared" si="106"/>
        <v>54.474681323420782</v>
      </c>
      <c r="AU244" s="13">
        <f t="shared" si="107"/>
        <v>9</v>
      </c>
      <c r="AV244" s="13">
        <f t="shared" si="108"/>
        <v>10</v>
      </c>
      <c r="AW244" s="172">
        <f t="shared" si="109"/>
        <v>43318</v>
      </c>
      <c r="AX244" s="753">
        <f t="shared" si="110"/>
        <v>0.42857142857142855</v>
      </c>
      <c r="AY244" s="769">
        <f t="shared" si="111"/>
        <v>54.526091253331728</v>
      </c>
      <c r="AZ244" s="746">
        <f t="shared" si="115"/>
        <v>54.500386288376255</v>
      </c>
      <c r="BA244" s="641">
        <f t="shared" si="112"/>
        <v>0.96463701836258386</v>
      </c>
      <c r="BC244" s="11">
        <v>43330</v>
      </c>
      <c r="BD244" s="289">
        <f>[2]!FeuilCaduc*(1-Persistant)+Persistant</f>
        <v>0.99489434622181661</v>
      </c>
      <c r="BE244" s="290">
        <f>[2]!CroissVégét</f>
        <v>0.94480606387541</v>
      </c>
      <c r="BF244" s="819">
        <f>1+[2]!Salcycl*Ksac</f>
        <v>1.0493617932777271</v>
      </c>
      <c r="BH244" s="1044">
        <f t="shared" si="113"/>
        <v>3.490852270237235E-3</v>
      </c>
      <c r="BI244" s="11">
        <v>44426</v>
      </c>
      <c r="BJ244" s="726">
        <v>4.1085261899304228E-4</v>
      </c>
      <c r="BK244" s="726">
        <v>6.4796536835527881E-4</v>
      </c>
      <c r="BL244" s="726">
        <v>1.0050462274185932E-3</v>
      </c>
      <c r="BM244" s="726">
        <v>1.6373728677016195E-3</v>
      </c>
      <c r="BN244" s="726">
        <v>2.6924786040253643E-3</v>
      </c>
      <c r="BO244" s="727">
        <v>4.1853916100033301E-3</v>
      </c>
      <c r="BP244" s="726">
        <v>6.4057205799398602E-3</v>
      </c>
      <c r="BQ244" s="726">
        <v>9.1351095850491573E-3</v>
      </c>
      <c r="BR244" s="726">
        <v>1.2740868498682244E-2</v>
      </c>
      <c r="BS244" s="726">
        <v>1.7034720996184249E-2</v>
      </c>
      <c r="BT244" s="726">
        <v>2.2051217467856956E-2</v>
      </c>
      <c r="BW244" s="1208">
        <f>'2018'!R\Max</f>
        <v>0.52938860918834219</v>
      </c>
      <c r="BX244" s="1206">
        <f>'2019'!R\Max</f>
        <v>0.72308238628948318</v>
      </c>
      <c r="BY244" s="1206">
        <f>'2020'!R\Max</f>
        <v>0.80343811999634662</v>
      </c>
      <c r="BZ244" s="1206">
        <f>'2021'!R\Max</f>
        <v>0.96463701836258386</v>
      </c>
      <c r="CA244" s="1206">
        <f>'2022'!R\Max</f>
        <v>0.7577865551707138</v>
      </c>
      <c r="CB244" s="1206">
        <f>'2023'!R\Max</f>
        <v>0.7577689014081026</v>
      </c>
      <c r="CC244" s="1206">
        <f>'2024'!R\Max</f>
        <v>0.75775124609056166</v>
      </c>
      <c r="CD244" s="1206">
        <f>'2025'!R\Max</f>
        <v>0.75784182131081779</v>
      </c>
      <c r="CE244" s="1206">
        <f>'2026'!R\Max</f>
        <v>0.75783054950832007</v>
      </c>
      <c r="CF244" s="1207">
        <f>'2027'!R\Max</f>
        <v>0.75781619162985159</v>
      </c>
    </row>
    <row r="245" spans="1:84" s="6" customFormat="1" ht="11.25" x14ac:dyDescent="0.2">
      <c r="A245" s="11">
        <v>43331</v>
      </c>
      <c r="B245" s="379">
        <f>'2022'!Maxi_hp</f>
        <v>51.308352268844715</v>
      </c>
      <c r="C245" s="13">
        <f>'2022'!An_max</f>
        <v>2018</v>
      </c>
      <c r="D245" s="1053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2">
        <f t="shared" si="99"/>
        <v>43318</v>
      </c>
      <c r="I245" s="753">
        <f t="shared" si="100"/>
        <v>0.9285714285714286</v>
      </c>
      <c r="J245" s="746">
        <f t="shared" si="101"/>
        <v>54.334103060593563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46">
        <v>43331</v>
      </c>
      <c r="AP245" s="13">
        <f t="shared" si="102"/>
        <v>9</v>
      </c>
      <c r="AQ245" s="13">
        <f t="shared" si="103"/>
        <v>10</v>
      </c>
      <c r="AR245" s="172">
        <f t="shared" si="104"/>
        <v>43304</v>
      </c>
      <c r="AS245" s="753">
        <f t="shared" si="105"/>
        <v>0.9642857142857143</v>
      </c>
      <c r="AT245" s="769">
        <f t="shared" si="106"/>
        <v>54.343427545174826</v>
      </c>
      <c r="AU245" s="13">
        <f t="shared" si="107"/>
        <v>9</v>
      </c>
      <c r="AV245" s="13">
        <f t="shared" si="108"/>
        <v>10</v>
      </c>
      <c r="AW245" s="172">
        <f t="shared" si="109"/>
        <v>43318</v>
      </c>
      <c r="AX245" s="753">
        <f t="shared" si="110"/>
        <v>0.4642857142857143</v>
      </c>
      <c r="AY245" s="769">
        <f t="shared" si="111"/>
        <v>54.411570079677873</v>
      </c>
      <c r="AZ245" s="746">
        <f t="shared" si="115"/>
        <v>54.377498812426353</v>
      </c>
      <c r="BA245" s="641">
        <f t="shared" si="112"/>
        <v>0.94431212403792653</v>
      </c>
      <c r="BC245" s="11">
        <v>43331</v>
      </c>
      <c r="BD245" s="289">
        <f>[2]!FeuilCaduc*(1-Persistant)+Persistant</f>
        <v>0.99442744128564253</v>
      </c>
      <c r="BE245" s="290">
        <f>[2]!CroissVégét</f>
        <v>0.94692247197428869</v>
      </c>
      <c r="BF245" s="819">
        <f>1+[2]!Salcycl*Ksac</f>
        <v>1.0493034301607054</v>
      </c>
      <c r="BH245" s="1044">
        <f t="shared" si="113"/>
        <v>3.3772695784223404E-3</v>
      </c>
      <c r="BI245" s="11">
        <v>44427</v>
      </c>
      <c r="BJ245" s="726">
        <v>3.9347400388667987E-4</v>
      </c>
      <c r="BK245" s="726">
        <v>6.0660190935960846E-4</v>
      </c>
      <c r="BL245" s="726">
        <v>9.3727350024393641E-4</v>
      </c>
      <c r="BM245" s="726">
        <v>1.5443489975977096E-3</v>
      </c>
      <c r="BN245" s="726">
        <v>2.5819250333859829E-3</v>
      </c>
      <c r="BO245" s="727">
        <v>4.0691737563458676E-3</v>
      </c>
      <c r="BP245" s="726">
        <v>6.3410127436048982E-3</v>
      </c>
      <c r="BQ245" s="726">
        <v>9.1428939860090843E-3</v>
      </c>
      <c r="BR245" s="726">
        <v>1.2854613553951027E-2</v>
      </c>
      <c r="BS245" s="726">
        <v>1.7240155827064944E-2</v>
      </c>
      <c r="BT245" s="726">
        <v>2.2363656143876216E-2</v>
      </c>
      <c r="BW245" s="1208">
        <f>'2018'!R\Max</f>
        <v>0.94431212403792653</v>
      </c>
      <c r="BX245" s="1206">
        <f>'2019'!R\Max</f>
        <v>0.64686097551005162</v>
      </c>
      <c r="BY245" s="1206">
        <f>'2020'!R\Max</f>
        <v>0.70147373917848665</v>
      </c>
      <c r="BZ245" s="1206">
        <f>'2021'!R\Max</f>
        <v>0.89486054698585715</v>
      </c>
      <c r="CA245" s="1206">
        <f>'2022'!R\Max</f>
        <v>0.78650697863772434</v>
      </c>
      <c r="CB245" s="1206">
        <f>'2023'!R\Max</f>
        <v>0.78649036920420501</v>
      </c>
      <c r="CC245" s="1206">
        <f>'2024'!R\Max</f>
        <v>0.78647375817175358</v>
      </c>
      <c r="CD245" s="1206">
        <f>'2025'!R\Max</f>
        <v>0.78655866752495418</v>
      </c>
      <c r="CE245" s="1206">
        <f>'2026'!R\Max</f>
        <v>0.7865482443113756</v>
      </c>
      <c r="CF245" s="1207">
        <f>'2027'!R\Max</f>
        <v>0.78653478028924484</v>
      </c>
    </row>
    <row r="246" spans="1:84" s="6" customFormat="1" ht="11.25" x14ac:dyDescent="0.2">
      <c r="A246" s="11">
        <v>43332</v>
      </c>
      <c r="B246" s="379">
        <f>'2022'!Maxi_hp</f>
        <v>52.975167716922265</v>
      </c>
      <c r="C246" s="13">
        <f>'2022'!An_max</f>
        <v>2021</v>
      </c>
      <c r="D246" s="1053">
        <f t="shared" si="97"/>
        <v>0.97726278218207296</v>
      </c>
      <c r="E246" s="1048">
        <f>AD$13/10</f>
        <v>54.207700000000003</v>
      </c>
      <c r="F246" s="13">
        <f t="shared" si="114"/>
        <v>19</v>
      </c>
      <c r="G246" s="13">
        <f t="shared" si="98"/>
        <v>18</v>
      </c>
      <c r="H246" s="172">
        <f t="shared" si="99"/>
        <v>43346</v>
      </c>
      <c r="I246" s="753">
        <f t="shared" si="100"/>
        <v>1</v>
      </c>
      <c r="J246" s="746">
        <f t="shared" si="101"/>
        <v>54.207699999213219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46">
        <v>43332</v>
      </c>
      <c r="AP246" s="13">
        <f t="shared" si="102"/>
        <v>11</v>
      </c>
      <c r="AQ246" s="13">
        <f t="shared" si="103"/>
        <v>10</v>
      </c>
      <c r="AR246" s="172">
        <f t="shared" si="104"/>
        <v>43360</v>
      </c>
      <c r="AS246" s="753">
        <f t="shared" si="105"/>
        <v>1</v>
      </c>
      <c r="AT246" s="769">
        <f t="shared" si="106"/>
        <v>54.207700000703333</v>
      </c>
      <c r="AU246" s="13">
        <f t="shared" si="107"/>
        <v>9</v>
      </c>
      <c r="AV246" s="13">
        <f t="shared" si="108"/>
        <v>10</v>
      </c>
      <c r="AW246" s="172">
        <f t="shared" si="109"/>
        <v>43318</v>
      </c>
      <c r="AX246" s="753">
        <f t="shared" si="110"/>
        <v>0.5</v>
      </c>
      <c r="AY246" s="769">
        <f t="shared" si="111"/>
        <v>54.294412500131877</v>
      </c>
      <c r="AZ246" s="746">
        <f t="shared" si="115"/>
        <v>54.251056250417605</v>
      </c>
      <c r="BA246" s="641">
        <f t="shared" si="112"/>
        <v>0.97726278218207296</v>
      </c>
      <c r="BC246" s="11">
        <v>43332</v>
      </c>
      <c r="BD246" s="289">
        <f>[2]!FeuilCaduc*(1-Persistant)+Persistant</f>
        <v>0.99393589832709273</v>
      </c>
      <c r="BE246" s="290">
        <f>[2]!CroissVégét</f>
        <v>0.94896259011285922</v>
      </c>
      <c r="BF246" s="819">
        <f>1+[2]!Salcycl*Ksac</f>
        <v>1.0492419872908867</v>
      </c>
      <c r="BH246" s="1044">
        <f t="shared" si="113"/>
        <v>3.2910020182112089E-3</v>
      </c>
      <c r="BI246" s="11">
        <v>44428</v>
      </c>
      <c r="BJ246" s="726">
        <v>3.7917230780583198E-4</v>
      </c>
      <c r="BK246" s="726">
        <v>5.7092585738021567E-4</v>
      </c>
      <c r="BL246" s="726">
        <v>8.7821836676766935E-4</v>
      </c>
      <c r="BM246" s="726">
        <v>1.4650479336836633E-3</v>
      </c>
      <c r="BN246" s="726">
        <v>2.492814524961156E-3</v>
      </c>
      <c r="BO246" s="727">
        <v>3.9853793981689395E-3</v>
      </c>
      <c r="BP246" s="726">
        <v>6.3253065503703493E-3</v>
      </c>
      <c r="BQ246" s="726">
        <v>9.2177845602515705E-3</v>
      </c>
      <c r="BR246" s="726">
        <v>1.3051294719712824E-2</v>
      </c>
      <c r="BS246" s="726">
        <v>1.7535227691880373E-2</v>
      </c>
      <c r="BT246" s="726">
        <v>2.2766542046235721E-2</v>
      </c>
      <c r="BW246" s="1208">
        <f>'2018'!R\Max</f>
        <v>0.97708014473895111</v>
      </c>
      <c r="BX246" s="1206">
        <f>'2019'!R\Max</f>
        <v>0.59492135268673629</v>
      </c>
      <c r="BY246" s="1206">
        <f>'2020'!R\Max</f>
        <v>0.97218501717099559</v>
      </c>
      <c r="BZ246" s="1206">
        <f>'2021'!R\Max</f>
        <v>0.97726278218207296</v>
      </c>
      <c r="CA246" s="1206">
        <f>'2022'!R\Max</f>
        <v>0.93900837351033306</v>
      </c>
      <c r="CB246" s="1206">
        <f>'2023'!R\Max</f>
        <v>0.93900251436193027</v>
      </c>
      <c r="CC246" s="1206">
        <f>'2024'!R\Max</f>
        <v>0.93899665444732106</v>
      </c>
      <c r="CD246" s="1206">
        <f>'2025'!R\Max</f>
        <v>0.93902651892268563</v>
      </c>
      <c r="CE246" s="1206">
        <f>'2026'!R\Max</f>
        <v>0.93902289932747218</v>
      </c>
      <c r="CF246" s="1207">
        <f>'2027'!R\Max</f>
        <v>0.9390181610494559</v>
      </c>
    </row>
    <row r="247" spans="1:84" s="6" customFormat="1" ht="11.25" x14ac:dyDescent="0.2">
      <c r="A247" s="11">
        <v>43333</v>
      </c>
      <c r="B247" s="379">
        <f>'2022'!Maxi_hp</f>
        <v>53.054891406226311</v>
      </c>
      <c r="C247" s="13">
        <f>'2022'!An_max</f>
        <v>2020</v>
      </c>
      <c r="D247" s="1053">
        <f t="shared" si="97"/>
        <v>0.98103220007956859</v>
      </c>
      <c r="E247" s="13"/>
      <c r="F247" s="13">
        <f t="shared" si="114"/>
        <v>19</v>
      </c>
      <c r="G247" s="13">
        <f t="shared" si="98"/>
        <v>18</v>
      </c>
      <c r="H247" s="172">
        <f t="shared" si="99"/>
        <v>43346</v>
      </c>
      <c r="I247" s="753">
        <f t="shared" si="100"/>
        <v>0.9285714285714286</v>
      </c>
      <c r="J247" s="746">
        <f t="shared" si="101"/>
        <v>54.080682980561889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46">
        <v>43333</v>
      </c>
      <c r="AP247" s="13">
        <f t="shared" si="102"/>
        <v>11</v>
      </c>
      <c r="AQ247" s="13">
        <f t="shared" si="103"/>
        <v>10</v>
      </c>
      <c r="AR247" s="172">
        <f t="shared" si="104"/>
        <v>43360</v>
      </c>
      <c r="AS247" s="753">
        <f t="shared" si="105"/>
        <v>0.9642857142857143</v>
      </c>
      <c r="AT247" s="769">
        <f t="shared" si="106"/>
        <v>54.068825923185798</v>
      </c>
      <c r="AU247" s="13">
        <f t="shared" si="107"/>
        <v>9</v>
      </c>
      <c r="AV247" s="13">
        <f t="shared" si="108"/>
        <v>10</v>
      </c>
      <c r="AW247" s="172">
        <f t="shared" si="109"/>
        <v>43318</v>
      </c>
      <c r="AX247" s="753">
        <f t="shared" si="110"/>
        <v>0.5357142857142857</v>
      </c>
      <c r="AY247" s="769">
        <f t="shared" si="111"/>
        <v>54.174347649288492</v>
      </c>
      <c r="AZ247" s="746">
        <f t="shared" si="115"/>
        <v>54.121586786237145</v>
      </c>
      <c r="BA247" s="641">
        <f t="shared" si="112"/>
        <v>0.98103220007956859</v>
      </c>
      <c r="BC247" s="11">
        <v>43333</v>
      </c>
      <c r="BD247" s="289">
        <f>[2]!FeuilCaduc*(1-Persistant)+Persistant</f>
        <v>0.99341874776098615</v>
      </c>
      <c r="BE247" s="290">
        <f>[2]!CroissVégét</f>
        <v>0.95092883908018766</v>
      </c>
      <c r="BF247" s="819">
        <f>1+[2]!Salcycl*Ksac</f>
        <v>1.0491773434701233</v>
      </c>
      <c r="BH247" s="1044">
        <f t="shared" si="113"/>
        <v>3.2320495698853584E-3</v>
      </c>
      <c r="BI247" s="11">
        <v>44429</v>
      </c>
      <c r="BJ247" s="726">
        <v>3.6794744144896086E-4</v>
      </c>
      <c r="BK247" s="726">
        <v>5.4093691766944239E-4</v>
      </c>
      <c r="BL247" s="726">
        <v>8.2788029371139008E-4</v>
      </c>
      <c r="BM247" s="726">
        <v>1.3994690623687573E-3</v>
      </c>
      <c r="BN247" s="726">
        <v>2.4251466975798138E-3</v>
      </c>
      <c r="BO247" s="727">
        <v>3.9340088301971004E-3</v>
      </c>
      <c r="BP247" s="726">
        <v>6.3586043948317093E-3</v>
      </c>
      <c r="BQ247" s="726">
        <v>9.3597861895578973E-3</v>
      </c>
      <c r="BR247" s="726">
        <v>1.3330919429784786E-2</v>
      </c>
      <c r="BS247" s="726">
        <v>1.7919945074873808E-2</v>
      </c>
      <c r="BT247" s="726">
        <v>2.3259884090151683E-2</v>
      </c>
      <c r="BW247" s="1208">
        <f>'2018'!R\Max</f>
        <v>0.965914766405226</v>
      </c>
      <c r="BX247" s="1206">
        <f>'2019'!R\Max</f>
        <v>0.93499441784761927</v>
      </c>
      <c r="BY247" s="1206">
        <f>'2020'!R\Max</f>
        <v>0.98103220007956859</v>
      </c>
      <c r="BZ247" s="1206">
        <f>'2021'!R\Max</f>
        <v>0.91991160726389709</v>
      </c>
      <c r="CA247" s="1206">
        <f>'2022'!R\Max</f>
        <v>0.63450745353252846</v>
      </c>
      <c r="CB247" s="1206">
        <f>'2023'!R\Max</f>
        <v>0.63448279233034</v>
      </c>
      <c r="CC247" s="1206">
        <f>'2024'!R\Max</f>
        <v>0.63445812937319201</v>
      </c>
      <c r="CD247" s="1206">
        <f>'2025'!R\Max</f>
        <v>0.63458355853684389</v>
      </c>
      <c r="CE247" s="1206">
        <f>'2026'!R\Max</f>
        <v>0.63456852828107047</v>
      </c>
      <c r="CF247" s="1207">
        <f>'2027'!R\Max</f>
        <v>0.63454860862952123</v>
      </c>
    </row>
    <row r="248" spans="1:84" s="6" customFormat="1" ht="11.25" x14ac:dyDescent="0.2">
      <c r="A248" s="11">
        <v>43334</v>
      </c>
      <c r="B248" s="379">
        <f>'2022'!Maxi_hp</f>
        <v>55.9528605164124</v>
      </c>
      <c r="C248" s="13">
        <f>'2022'!An_max</f>
        <v>2019</v>
      </c>
      <c r="D248" s="1053">
        <f t="shared" si="97"/>
        <v>1.0370469733181378</v>
      </c>
      <c r="E248" s="13"/>
      <c r="F248" s="13">
        <f t="shared" si="114"/>
        <v>19</v>
      </c>
      <c r="G248" s="13">
        <f t="shared" si="98"/>
        <v>18</v>
      </c>
      <c r="H248" s="172">
        <f t="shared" si="99"/>
        <v>43346</v>
      </c>
      <c r="I248" s="753">
        <f t="shared" si="100"/>
        <v>0.8571428571428571</v>
      </c>
      <c r="J248" s="746">
        <f t="shared" si="101"/>
        <v>53.954027113531325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46">
        <v>43334</v>
      </c>
      <c r="AP248" s="13">
        <f t="shared" si="102"/>
        <v>11</v>
      </c>
      <c r="AQ248" s="13">
        <f t="shared" si="103"/>
        <v>10</v>
      </c>
      <c r="AR248" s="172">
        <f t="shared" si="104"/>
        <v>43360</v>
      </c>
      <c r="AS248" s="753">
        <f t="shared" si="105"/>
        <v>0.9285714285714286</v>
      </c>
      <c r="AT248" s="769">
        <f t="shared" si="106"/>
        <v>53.928186716804547</v>
      </c>
      <c r="AU248" s="13">
        <f t="shared" si="107"/>
        <v>9</v>
      </c>
      <c r="AV248" s="13">
        <f t="shared" si="108"/>
        <v>10</v>
      </c>
      <c r="AW248" s="172">
        <f t="shared" si="109"/>
        <v>43318</v>
      </c>
      <c r="AX248" s="753">
        <f t="shared" si="110"/>
        <v>0.5714285714285714</v>
      </c>
      <c r="AY248" s="769">
        <f t="shared" si="111"/>
        <v>54.051104664270362</v>
      </c>
      <c r="AZ248" s="746">
        <f t="shared" si="115"/>
        <v>53.989645690537458</v>
      </c>
      <c r="BA248" s="641">
        <f t="shared" si="112"/>
        <v>1.0370469733181378</v>
      </c>
      <c r="BC248" s="11">
        <v>43334</v>
      </c>
      <c r="BD248" s="289">
        <f>[2]!FeuilCaduc*(1-Persistant)+Persistant</f>
        <v>0.99287497136627267</v>
      </c>
      <c r="BE248" s="290">
        <f>[2]!CroissVégét</f>
        <v>0.95282358778342446</v>
      </c>
      <c r="BF248" s="819">
        <f>1+[2]!Salcycl*Ksac</f>
        <v>1.049109371420784</v>
      </c>
      <c r="BH248" s="1044">
        <f t="shared" si="113"/>
        <v>3.2200344834385523E-3</v>
      </c>
      <c r="BI248" s="11">
        <v>44430</v>
      </c>
      <c r="BJ248" s="726">
        <v>3.6372718165708515E-4</v>
      </c>
      <c r="BK248" s="726">
        <v>5.2286196614043502E-4</v>
      </c>
      <c r="BL248" s="726">
        <v>7.9613028328027655E-4</v>
      </c>
      <c r="BM248" s="726">
        <v>1.3625640517508036E-3</v>
      </c>
      <c r="BN248" s="726">
        <v>2.3976810508932345E-3</v>
      </c>
      <c r="BO248" s="727">
        <v>3.9354348457832124E-3</v>
      </c>
      <c r="BP248" s="726">
        <v>6.4537751212095226E-3</v>
      </c>
      <c r="BQ248" s="726">
        <v>9.5755862207312411E-3</v>
      </c>
      <c r="BR248" s="726">
        <v>1.3690646991180144E-2</v>
      </c>
      <c r="BS248" s="726">
        <v>1.8385166134314321E-2</v>
      </c>
      <c r="BT248" s="726">
        <v>2.3823413893521616E-2</v>
      </c>
      <c r="BW248" s="1208">
        <f>'2018'!R\Max</f>
        <v>0.95676223722692233</v>
      </c>
      <c r="BX248" s="1206">
        <f>'2019'!R\Max</f>
        <v>1.0370469733181378</v>
      </c>
      <c r="BY248" s="1206">
        <f>'2020'!R\Max</f>
        <v>0.85539402198622505</v>
      </c>
      <c r="BZ248" s="1206">
        <f>'2021'!R\Max</f>
        <v>0.36196668802995285</v>
      </c>
      <c r="CA248" s="1206">
        <f>'2022'!R\Max</f>
        <v>0.49554485060286363</v>
      </c>
      <c r="CB248" s="1206">
        <f>'2023'!R\Max</f>
        <v>0.49551714958554993</v>
      </c>
      <c r="CC248" s="1206">
        <f>'2024'!R\Max</f>
        <v>0.49548944736720674</v>
      </c>
      <c r="CD248" s="1206">
        <f>'2025'!R\Max</f>
        <v>0.49563007526022373</v>
      </c>
      <c r="CE248" s="1206">
        <f>'2026'!R\Max</f>
        <v>0.49561336889719521</v>
      </c>
      <c r="CF248" s="1207">
        <f>'2027'!R\Max</f>
        <v>0.49559102519605081</v>
      </c>
    </row>
    <row r="249" spans="1:84" s="6" customFormat="1" ht="11.25" x14ac:dyDescent="0.2">
      <c r="A249" s="11">
        <v>43335</v>
      </c>
      <c r="B249" s="379">
        <f>'2022'!Maxi_hp</f>
        <v>53.332836013800012</v>
      </c>
      <c r="C249" s="13">
        <f>'2022'!An_max</f>
        <v>2019</v>
      </c>
      <c r="D249" s="1053">
        <f t="shared" si="97"/>
        <v>0.99081788776998492</v>
      </c>
      <c r="E249" s="13"/>
      <c r="F249" s="13">
        <f t="shared" si="114"/>
        <v>19</v>
      </c>
      <c r="G249" s="13">
        <f t="shared" si="98"/>
        <v>18</v>
      </c>
      <c r="H249" s="172">
        <f t="shared" si="99"/>
        <v>43346</v>
      </c>
      <c r="I249" s="753">
        <f t="shared" si="100"/>
        <v>0.7857142857142857</v>
      </c>
      <c r="J249" s="746">
        <f t="shared" si="101"/>
        <v>53.827082324719854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46">
        <v>43335</v>
      </c>
      <c r="AP249" s="13">
        <f t="shared" si="102"/>
        <v>11</v>
      </c>
      <c r="AQ249" s="13">
        <f t="shared" si="103"/>
        <v>10</v>
      </c>
      <c r="AR249" s="172">
        <f t="shared" si="104"/>
        <v>43360</v>
      </c>
      <c r="AS249" s="753">
        <f t="shared" si="105"/>
        <v>0.8928571428571429</v>
      </c>
      <c r="AT249" s="769">
        <f t="shared" si="106"/>
        <v>53.785660493999195</v>
      </c>
      <c r="AU249" s="13">
        <f t="shared" si="107"/>
        <v>9</v>
      </c>
      <c r="AV249" s="13">
        <f t="shared" si="108"/>
        <v>10</v>
      </c>
      <c r="AW249" s="172">
        <f t="shared" si="109"/>
        <v>43318</v>
      </c>
      <c r="AX249" s="753">
        <f t="shared" si="110"/>
        <v>0.6071428571428571</v>
      </c>
      <c r="AY249" s="769">
        <f t="shared" si="111"/>
        <v>53.924412682279943</v>
      </c>
      <c r="AZ249" s="746">
        <f t="shared" si="115"/>
        <v>53.855036588139569</v>
      </c>
      <c r="BA249" s="641">
        <f t="shared" si="112"/>
        <v>0.99081788776998492</v>
      </c>
      <c r="BC249" s="11">
        <v>43335</v>
      </c>
      <c r="BD249" s="289">
        <f>[2]!FeuilCaduc*(1-Persistant)+Persistant</f>
        <v>0.9923035056872701</v>
      </c>
      <c r="BE249" s="290">
        <f>[2]!CroissVégét</f>
        <v>0.95464915235219705</v>
      </c>
      <c r="BF249" s="819">
        <f>1+[2]!Salcycl*Ksac</f>
        <v>1.0490379382109087</v>
      </c>
      <c r="BH249" s="1044">
        <f t="shared" si="113"/>
        <v>3.2469924198117719E-3</v>
      </c>
      <c r="BI249" s="11">
        <v>44431</v>
      </c>
      <c r="BJ249" s="726">
        <v>3.65676116151609E-4</v>
      </c>
      <c r="BK249" s="726">
        <v>5.1488088768003105E-4</v>
      </c>
      <c r="BL249" s="726">
        <v>7.8021077536114111E-4</v>
      </c>
      <c r="BM249" s="726">
        <v>1.3506974668633306E-3</v>
      </c>
      <c r="BN249" s="726">
        <v>2.4045180934380741E-3</v>
      </c>
      <c r="BO249" s="727">
        <v>3.9798968067836149E-3</v>
      </c>
      <c r="BP249" s="726">
        <v>6.5913776067083475E-3</v>
      </c>
      <c r="BQ249" s="726">
        <v>9.8352143947312096E-3</v>
      </c>
      <c r="BR249" s="726">
        <v>1.4088243606129567E-2</v>
      </c>
      <c r="BS249" s="726">
        <v>1.8878965815545774E-2</v>
      </c>
      <c r="BT249" s="726">
        <v>2.4394552484552606E-2</v>
      </c>
      <c r="BW249" s="1208">
        <f>'2018'!R\Max</f>
        <v>0.85186802278792295</v>
      </c>
      <c r="BX249" s="1206">
        <f>'2019'!R\Max</f>
        <v>0.99081788776998492</v>
      </c>
      <c r="BY249" s="1206">
        <f>'2020'!R\Max</f>
        <v>0.70450701036501995</v>
      </c>
      <c r="BZ249" s="1206">
        <f>'2021'!R\Max</f>
        <v>0.90756115886756872</v>
      </c>
      <c r="CA249" s="1206">
        <f>'2022'!R\Max</f>
        <v>0.88873500748974821</v>
      </c>
      <c r="CB249" s="1206">
        <f>'2023'!R\Max</f>
        <v>0.88872360055500643</v>
      </c>
      <c r="CC249" s="1206">
        <f>'2024'!R\Max</f>
        <v>0.8887121920705594</v>
      </c>
      <c r="CD249" s="1206">
        <f>'2025'!R\Max</f>
        <v>0.88876999278148106</v>
      </c>
      <c r="CE249" s="1206">
        <f>'2026'!R\Max</f>
        <v>0.88876316649358211</v>
      </c>
      <c r="CF249" s="1207">
        <f>'2027'!R\Max</f>
        <v>0.88875398643628567</v>
      </c>
    </row>
    <row r="250" spans="1:84" s="6" customFormat="1" ht="11.25" x14ac:dyDescent="0.2">
      <c r="A250" s="11">
        <v>43336</v>
      </c>
      <c r="B250" s="379">
        <f>'2022'!Maxi_hp</f>
        <v>53.598539486969429</v>
      </c>
      <c r="C250" s="13">
        <f>'2022'!An_max</f>
        <v>2019</v>
      </c>
      <c r="D250" s="1053">
        <f t="shared" si="97"/>
        <v>0.99812550173097558</v>
      </c>
      <c r="E250" s="13"/>
      <c r="F250" s="13">
        <f t="shared" si="114"/>
        <v>19</v>
      </c>
      <c r="G250" s="13">
        <f t="shared" si="98"/>
        <v>18</v>
      </c>
      <c r="H250" s="172">
        <f t="shared" si="99"/>
        <v>43346</v>
      </c>
      <c r="I250" s="753">
        <f t="shared" si="100"/>
        <v>0.7142857142857143</v>
      </c>
      <c r="J250" s="746">
        <f t="shared" si="101"/>
        <v>53.699198541683813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46">
        <v>43336</v>
      </c>
      <c r="AP250" s="13">
        <f t="shared" si="102"/>
        <v>11</v>
      </c>
      <c r="AQ250" s="13">
        <f t="shared" si="103"/>
        <v>10</v>
      </c>
      <c r="AR250" s="172">
        <f t="shared" si="104"/>
        <v>43360</v>
      </c>
      <c r="AS250" s="753">
        <f t="shared" si="105"/>
        <v>0.8571428571428571</v>
      </c>
      <c r="AT250" s="769">
        <f t="shared" si="106"/>
        <v>53.641125364814478</v>
      </c>
      <c r="AU250" s="13">
        <f t="shared" si="107"/>
        <v>9</v>
      </c>
      <c r="AV250" s="13">
        <f t="shared" si="108"/>
        <v>10</v>
      </c>
      <c r="AW250" s="172">
        <f t="shared" si="109"/>
        <v>43318</v>
      </c>
      <c r="AX250" s="753">
        <f t="shared" si="110"/>
        <v>0.6428571428571429</v>
      </c>
      <c r="AY250" s="769">
        <f t="shared" si="111"/>
        <v>53.794000838111558</v>
      </c>
      <c r="AZ250" s="746">
        <f t="shared" si="115"/>
        <v>53.717563101463014</v>
      </c>
      <c r="BA250" s="641">
        <f t="shared" si="112"/>
        <v>0.99812550173097558</v>
      </c>
      <c r="BC250" s="11">
        <v>43336</v>
      </c>
      <c r="BD250" s="289">
        <f>[2]!FeuilCaduc*(1-Persistant)+Persistant</f>
        <v>0.99170324452734449</v>
      </c>
      <c r="BE250" s="290">
        <f>[2]!CroissVégét</f>
        <v>0.95640779545152554</v>
      </c>
      <c r="BF250" s="819">
        <f>1+[2]!Salcycl*Ksac</f>
        <v>1.048962905565918</v>
      </c>
      <c r="BH250" s="1044">
        <f t="shared" si="113"/>
        <v>3.312931135662747E-3</v>
      </c>
      <c r="BI250" s="11">
        <v>44432</v>
      </c>
      <c r="BJ250" s="726">
        <v>3.7379536132941724E-4</v>
      </c>
      <c r="BK250" s="726">
        <v>5.1699528421469618E-4</v>
      </c>
      <c r="BL250" s="726">
        <v>7.8012421292548366E-4</v>
      </c>
      <c r="BM250" s="726">
        <v>1.3638734479733412E-3</v>
      </c>
      <c r="BN250" s="726">
        <v>2.4456641507128087E-3</v>
      </c>
      <c r="BO250" s="727">
        <v>4.0674037148825774E-3</v>
      </c>
      <c r="BP250" s="726">
        <v>6.7714235858895222E-3</v>
      </c>
      <c r="BQ250" s="726">
        <v>1.0138686259134557E-2</v>
      </c>
      <c r="BR250" s="726">
        <v>1.4523728319042821E-2</v>
      </c>
      <c r="BS250" s="726">
        <v>1.9401365752096097E-2</v>
      </c>
      <c r="BT250" s="726">
        <v>2.4973322424237322E-2</v>
      </c>
      <c r="BW250" s="1208">
        <f>'2018'!R\Max</f>
        <v>0.74192749261512125</v>
      </c>
      <c r="BX250" s="1206">
        <f>'2019'!R\Max</f>
        <v>0.99812550173097558</v>
      </c>
      <c r="BY250" s="1206">
        <f>'2020'!R\Max</f>
        <v>0.84262111154413877</v>
      </c>
      <c r="BZ250" s="1206">
        <f>'2021'!R\Max</f>
        <v>0.88223282552698123</v>
      </c>
      <c r="CA250" s="1206">
        <f>'2022'!R\Max</f>
        <v>0.92053603799432415</v>
      </c>
      <c r="CB250" s="1206">
        <f>'2023'!R\Max</f>
        <v>0.92052726308199251</v>
      </c>
      <c r="CC250" s="1206">
        <f>'2024'!R\Max</f>
        <v>0.92051848686299242</v>
      </c>
      <c r="CD250" s="1206">
        <f>'2025'!R\Max</f>
        <v>0.92056287598598208</v>
      </c>
      <c r="CE250" s="1206">
        <f>'2026'!R\Max</f>
        <v>0.92055764919591709</v>
      </c>
      <c r="CF250" s="1207">
        <f>'2027'!R\Max</f>
        <v>0.92055060534720712</v>
      </c>
    </row>
    <row r="251" spans="1:84" s="6" customFormat="1" ht="11.25" x14ac:dyDescent="0.2">
      <c r="A251" s="11">
        <v>43337</v>
      </c>
      <c r="B251" s="379">
        <f>'2022'!Maxi_hp</f>
        <v>49.950195766823477</v>
      </c>
      <c r="C251" s="13">
        <f>'2022'!An_max</f>
        <v>2020</v>
      </c>
      <c r="D251" s="1053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2">
        <f t="shared" si="99"/>
        <v>43346</v>
      </c>
      <c r="I251" s="753">
        <f t="shared" si="100"/>
        <v>0.6428571428571429</v>
      </c>
      <c r="J251" s="746">
        <f t="shared" si="101"/>
        <v>53.569725691473913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46">
        <v>43337</v>
      </c>
      <c r="AP251" s="13">
        <f t="shared" si="102"/>
        <v>11</v>
      </c>
      <c r="AQ251" s="13">
        <f t="shared" si="103"/>
        <v>10</v>
      </c>
      <c r="AR251" s="172">
        <f t="shared" si="104"/>
        <v>43360</v>
      </c>
      <c r="AS251" s="753">
        <f t="shared" si="105"/>
        <v>0.8214285714285714</v>
      </c>
      <c r="AT251" s="769">
        <f t="shared" si="106"/>
        <v>53.49445944169004</v>
      </c>
      <c r="AU251" s="13">
        <f t="shared" si="107"/>
        <v>9</v>
      </c>
      <c r="AV251" s="13">
        <f t="shared" si="108"/>
        <v>10</v>
      </c>
      <c r="AW251" s="172">
        <f t="shared" si="109"/>
        <v>43318</v>
      </c>
      <c r="AX251" s="753">
        <f t="shared" si="110"/>
        <v>0.6785714285714286</v>
      </c>
      <c r="AY251" s="769">
        <f t="shared" si="111"/>
        <v>53.659598268255856</v>
      </c>
      <c r="AZ251" s="746">
        <f t="shared" si="115"/>
        <v>53.577028854972951</v>
      </c>
      <c r="BA251" s="641">
        <f t="shared" si="112"/>
        <v>0.93243329365738159</v>
      </c>
      <c r="BC251" s="11">
        <v>43337</v>
      </c>
      <c r="BD251" s="289">
        <f>[2]!FeuilCaduc*(1-Persistant)+Persistant</f>
        <v>0.99107304054302559</v>
      </c>
      <c r="BE251" s="290">
        <f>[2]!CroissVégét</f>
        <v>0.95810172578745478</v>
      </c>
      <c r="BF251" s="819">
        <f>1+[2]!Salcycl*Ksac</f>
        <v>1.0488841300678782</v>
      </c>
      <c r="BH251" s="1044">
        <f t="shared" si="113"/>
        <v>3.417860947380199E-3</v>
      </c>
      <c r="BI251" s="11">
        <v>44433</v>
      </c>
      <c r="BJ251" s="726">
        <v>3.8808638454734991E-4</v>
      </c>
      <c r="BK251" s="726">
        <v>5.2920727543092456E-4</v>
      </c>
      <c r="BL251" s="726">
        <v>7.958738331507784E-4</v>
      </c>
      <c r="BM251" s="726">
        <v>1.4020974644081557E-3</v>
      </c>
      <c r="BN251" s="726">
        <v>2.5211276096180762E-3</v>
      </c>
      <c r="BO251" s="727">
        <v>4.1979675650128875E-3</v>
      </c>
      <c r="BP251" s="726">
        <v>6.9939288569403173E-3</v>
      </c>
      <c r="BQ251" s="726">
        <v>1.0486022850421686E-2</v>
      </c>
      <c r="BR251" s="726">
        <v>1.4997127187142044E-2</v>
      </c>
      <c r="BS251" s="726">
        <v>1.9952396056130573E-2</v>
      </c>
      <c r="BT251" s="726">
        <v>2.5559755973572757E-2</v>
      </c>
      <c r="BW251" s="1208">
        <f>'2018'!R\Max</f>
        <v>0.447768724003339</v>
      </c>
      <c r="BX251" s="1206">
        <f>'2019'!R\Max</f>
        <v>0.87203093229265971</v>
      </c>
      <c r="BY251" s="1206">
        <f>'2020'!R\Max</f>
        <v>0.93243329365738159</v>
      </c>
      <c r="BZ251" s="1206">
        <f>'2021'!R\Max</f>
        <v>0.93128048472768332</v>
      </c>
      <c r="CA251" s="1206">
        <f>'2022'!R\Max</f>
        <v>0.65843370637106302</v>
      </c>
      <c r="CB251" s="1206">
        <f>'2023'!R\Max</f>
        <v>0.65840567851991993</v>
      </c>
      <c r="CC251" s="1206">
        <f>'2024'!R\Max</f>
        <v>0.65837764816404476</v>
      </c>
      <c r="CD251" s="1206">
        <f>'2025'!R\Max</f>
        <v>0.65851921633668098</v>
      </c>
      <c r="CE251" s="1206">
        <f>'2026'!R\Max</f>
        <v>0.65850255269136393</v>
      </c>
      <c r="CF251" s="1207">
        <f>'2027'!R\Max</f>
        <v>0.65848011718749877</v>
      </c>
    </row>
    <row r="252" spans="1:84" s="6" customFormat="1" ht="11.25" x14ac:dyDescent="0.2">
      <c r="A252" s="11">
        <v>43338</v>
      </c>
      <c r="B252" s="379">
        <f>'2022'!Maxi_hp</f>
        <v>53.423762617483668</v>
      </c>
      <c r="C252" s="13">
        <f>'2022'!An_max</f>
        <v>2018</v>
      </c>
      <c r="D252" s="1053">
        <f t="shared" si="97"/>
        <v>0.99973331559613332</v>
      </c>
      <c r="E252" s="13"/>
      <c r="F252" s="13">
        <f t="shared" si="114"/>
        <v>19</v>
      </c>
      <c r="G252" s="13">
        <f t="shared" si="98"/>
        <v>18</v>
      </c>
      <c r="H252" s="172">
        <f t="shared" si="99"/>
        <v>43346</v>
      </c>
      <c r="I252" s="753">
        <f t="shared" si="100"/>
        <v>0.5714285714285714</v>
      </c>
      <c r="J252" s="746">
        <f t="shared" si="101"/>
        <v>53.438013702311686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46">
        <v>43338</v>
      </c>
      <c r="AP252" s="13">
        <f t="shared" si="102"/>
        <v>11</v>
      </c>
      <c r="AQ252" s="13">
        <f t="shared" si="103"/>
        <v>10</v>
      </c>
      <c r="AR252" s="172">
        <f t="shared" si="104"/>
        <v>43360</v>
      </c>
      <c r="AS252" s="753">
        <f t="shared" si="105"/>
        <v>0.7857142857142857</v>
      </c>
      <c r="AT252" s="769">
        <f t="shared" si="106"/>
        <v>53.345540834777054</v>
      </c>
      <c r="AU252" s="13">
        <f t="shared" si="107"/>
        <v>9</v>
      </c>
      <c r="AV252" s="13">
        <f t="shared" si="108"/>
        <v>10</v>
      </c>
      <c r="AW252" s="172">
        <f t="shared" si="109"/>
        <v>43318</v>
      </c>
      <c r="AX252" s="753">
        <f t="shared" si="110"/>
        <v>0.7142857142857143</v>
      </c>
      <c r="AY252" s="769">
        <f t="shared" si="111"/>
        <v>53.52093411082668</v>
      </c>
      <c r="AZ252" s="746">
        <f t="shared" si="115"/>
        <v>53.433237472801864</v>
      </c>
      <c r="BA252" s="641">
        <f t="shared" si="112"/>
        <v>0.99973331559613332</v>
      </c>
      <c r="BC252" s="11">
        <v>43338</v>
      </c>
      <c r="BD252" s="289">
        <f>[2]!FeuilCaduc*(1-Persistant)+Persistant</f>
        <v>0.99041170596149275</v>
      </c>
      <c r="BE252" s="290">
        <f>[2]!CroissVégét</f>
        <v>0.95973309779026206</v>
      </c>
      <c r="BF252" s="819">
        <f>1+[2]!Salcycl*Ksac</f>
        <v>1.0488014632451865</v>
      </c>
      <c r="BH252" s="1044">
        <f t="shared" si="113"/>
        <v>3.5617917054726958E-3</v>
      </c>
      <c r="BI252" s="11">
        <v>44434</v>
      </c>
      <c r="BJ252" s="726">
        <v>4.0855067192890725E-4</v>
      </c>
      <c r="BK252" s="726">
        <v>5.5151905047231523E-4</v>
      </c>
      <c r="BL252" s="726">
        <v>8.2746299516108846E-4</v>
      </c>
      <c r="BM252" s="726">
        <v>1.4653751210707757E-3</v>
      </c>
      <c r="BN252" s="726">
        <v>2.6309167166118168E-3</v>
      </c>
      <c r="BO252" s="727">
        <v>4.3715996031152404E-3</v>
      </c>
      <c r="BP252" s="726">
        <v>7.2589068858041339E-3</v>
      </c>
      <c r="BQ252" s="726">
        <v>1.0877241002411737E-2</v>
      </c>
      <c r="BR252" s="726">
        <v>1.5508459264850533E-2</v>
      </c>
      <c r="BS252" s="726">
        <v>2.0532076497812132E-2</v>
      </c>
      <c r="BT252" s="726">
        <v>2.615387074249707E-2</v>
      </c>
      <c r="BW252" s="1208">
        <f>'2018'!R\Max</f>
        <v>0.99973331559613332</v>
      </c>
      <c r="BX252" s="1206">
        <f>'2019'!R\Max</f>
        <v>0.83123025598605493</v>
      </c>
      <c r="BY252" s="1206">
        <f>'2020'!R\Max</f>
        <v>0.98147902774591766</v>
      </c>
      <c r="BZ252" s="1206">
        <f>'2021'!R\Max</f>
        <v>0.97527713378629755</v>
      </c>
      <c r="CA252" s="1206">
        <f>'2022'!R\Max</f>
        <v>0.82937471204581792</v>
      </c>
      <c r="CB252" s="1206">
        <f>'2023'!R\Max</f>
        <v>0.82935640526566579</v>
      </c>
      <c r="CC252" s="1206">
        <f>'2024'!R\Max</f>
        <v>0.82933809597749808</v>
      </c>
      <c r="CD252" s="1206">
        <f>'2025'!R\Max</f>
        <v>0.829430420655761</v>
      </c>
      <c r="CE252" s="1206">
        <f>'2026'!R\Max</f>
        <v>0.82941953588275175</v>
      </c>
      <c r="CF252" s="1207">
        <f>'2027'!R\Max</f>
        <v>0.82940493279787997</v>
      </c>
    </row>
    <row r="253" spans="1:84" s="6" customFormat="1" ht="11.25" x14ac:dyDescent="0.2">
      <c r="A253" s="11">
        <v>43339</v>
      </c>
      <c r="B253" s="379">
        <f>'2022'!Maxi_hp</f>
        <v>52.471560857407106</v>
      </c>
      <c r="C253" s="13">
        <f>'2022'!An_max</f>
        <v>2018</v>
      </c>
      <c r="D253" s="1053">
        <f t="shared" si="97"/>
        <v>0.98439402651284935</v>
      </c>
      <c r="E253" s="13"/>
      <c r="F253" s="13">
        <f t="shared" si="114"/>
        <v>19</v>
      </c>
      <c r="G253" s="13">
        <f t="shared" si="98"/>
        <v>18</v>
      </c>
      <c r="H253" s="172">
        <f t="shared" si="99"/>
        <v>43346</v>
      </c>
      <c r="I253" s="753">
        <f t="shared" si="100"/>
        <v>0.5</v>
      </c>
      <c r="J253" s="746">
        <f t="shared" si="101"/>
        <v>53.303412499651316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46">
        <v>43339</v>
      </c>
      <c r="AP253" s="13">
        <f t="shared" si="102"/>
        <v>11</v>
      </c>
      <c r="AQ253" s="13">
        <f t="shared" si="103"/>
        <v>10</v>
      </c>
      <c r="AR253" s="172">
        <f t="shared" si="104"/>
        <v>43360</v>
      </c>
      <c r="AS253" s="753">
        <f t="shared" si="105"/>
        <v>0.75</v>
      </c>
      <c r="AT253" s="769">
        <f t="shared" si="106"/>
        <v>53.19424765659496</v>
      </c>
      <c r="AU253" s="13">
        <f t="shared" si="107"/>
        <v>9</v>
      </c>
      <c r="AV253" s="13">
        <f t="shared" si="108"/>
        <v>10</v>
      </c>
      <c r="AW253" s="172">
        <f t="shared" si="109"/>
        <v>43318</v>
      </c>
      <c r="AX253" s="753">
        <f t="shared" si="110"/>
        <v>0.75</v>
      </c>
      <c r="AY253" s="769">
        <f t="shared" si="111"/>
        <v>53.37773749935441</v>
      </c>
      <c r="AZ253" s="746">
        <f t="shared" si="115"/>
        <v>53.285992577974682</v>
      </c>
      <c r="BA253" s="641">
        <f t="shared" si="112"/>
        <v>0.98439402651284935</v>
      </c>
      <c r="BC253" s="11">
        <v>43339</v>
      </c>
      <c r="BD253" s="289">
        <f>[2]!FeuilCaduc*(1-Persistant)+Persistant</f>
        <v>0.98971801245898994</v>
      </c>
      <c r="BE253" s="290">
        <f>[2]!CroissVégét</f>
        <v>0.9613040114607565</v>
      </c>
      <c r="BF253" s="819">
        <f>1+[2]!Salcycl*Ksac</f>
        <v>1.0487147515573738</v>
      </c>
      <c r="BH253" s="1044">
        <f t="shared" si="113"/>
        <v>3.7447349389973343E-3</v>
      </c>
      <c r="BI253" s="11">
        <v>44435</v>
      </c>
      <c r="BJ253" s="726">
        <v>4.351899737133253E-4</v>
      </c>
      <c r="BK253" s="726">
        <v>5.8393322279774805E-4</v>
      </c>
      <c r="BL253" s="726">
        <v>8.7489572116315154E-4</v>
      </c>
      <c r="BM253" s="726">
        <v>1.5537130809537129E-3</v>
      </c>
      <c r="BN253" s="726">
        <v>2.7750411838094458E-3</v>
      </c>
      <c r="BO253" s="727">
        <v>4.5883129388818791E-3</v>
      </c>
      <c r="BP253" s="726">
        <v>7.5663730411545489E-3</v>
      </c>
      <c r="BQ253" s="726">
        <v>1.1312359595988915E-2</v>
      </c>
      <c r="BR253" s="726">
        <v>1.6057745495528672E-2</v>
      </c>
      <c r="BS253" s="726">
        <v>2.1140428406692176E-2</v>
      </c>
      <c r="BT253" s="726">
        <v>2.675568505972542E-2</v>
      </c>
      <c r="BW253" s="1208">
        <f>'2018'!R\Max</f>
        <v>0.98439402651284935</v>
      </c>
      <c r="BX253" s="1206">
        <f>'2019'!R\Max</f>
        <v>0.68040833578444149</v>
      </c>
      <c r="BY253" s="1206">
        <f>'2020'!R\Max</f>
        <v>0.51608678252743445</v>
      </c>
      <c r="BZ253" s="1206">
        <f>'2021'!R\Max</f>
        <v>0.89362866958682052</v>
      </c>
      <c r="CA253" s="1206">
        <f>'2022'!R\Max</f>
        <v>0.97981363641304398</v>
      </c>
      <c r="CB253" s="1206">
        <f>'2023'!R\Max</f>
        <v>0.97981098253723464</v>
      </c>
      <c r="CC253" s="1206">
        <f>'2024'!R\Max</f>
        <v>0.97980832817716224</v>
      </c>
      <c r="CD253" s="1206">
        <f>'2025'!R\Max</f>
        <v>0.97982169257555984</v>
      </c>
      <c r="CE253" s="1206">
        <f>'2026'!R\Max</f>
        <v>0.97982011133009506</v>
      </c>
      <c r="CF253" s="1207">
        <f>'2027'!R\Max</f>
        <v>0.97981800247684547</v>
      </c>
    </row>
    <row r="254" spans="1:84" s="6" customFormat="1" ht="11.25" x14ac:dyDescent="0.2">
      <c r="A254" s="11">
        <v>43340</v>
      </c>
      <c r="B254" s="379">
        <f>'2022'!Maxi_hp</f>
        <v>53.825007614477727</v>
      </c>
      <c r="C254" s="13">
        <f>'2022'!An_max</f>
        <v>2021</v>
      </c>
      <c r="D254" s="1053">
        <f t="shared" si="97"/>
        <v>1.0124091456577242</v>
      </c>
      <c r="E254" s="13"/>
      <c r="F254" s="13">
        <f t="shared" si="114"/>
        <v>19</v>
      </c>
      <c r="G254" s="13">
        <f t="shared" si="98"/>
        <v>18</v>
      </c>
      <c r="H254" s="172">
        <f t="shared" si="99"/>
        <v>43346</v>
      </c>
      <c r="I254" s="753">
        <f t="shared" si="100"/>
        <v>0.42857142857142855</v>
      </c>
      <c r="J254" s="746">
        <f t="shared" si="101"/>
        <v>53.165272010170987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46">
        <v>43340</v>
      </c>
      <c r="AP254" s="13">
        <f t="shared" si="102"/>
        <v>11</v>
      </c>
      <c r="AQ254" s="13">
        <f t="shared" si="103"/>
        <v>10</v>
      </c>
      <c r="AR254" s="172">
        <f t="shared" si="104"/>
        <v>43360</v>
      </c>
      <c r="AS254" s="753">
        <f t="shared" si="105"/>
        <v>0.7142857142857143</v>
      </c>
      <c r="AT254" s="769">
        <f t="shared" si="106"/>
        <v>53.04045801758766</v>
      </c>
      <c r="AU254" s="13">
        <f t="shared" si="107"/>
        <v>9</v>
      </c>
      <c r="AV254" s="13">
        <f t="shared" si="108"/>
        <v>10</v>
      </c>
      <c r="AW254" s="172">
        <f t="shared" si="109"/>
        <v>43318</v>
      </c>
      <c r="AX254" s="753">
        <f t="shared" si="110"/>
        <v>0.7857142857142857</v>
      </c>
      <c r="AY254" s="769">
        <f t="shared" si="111"/>
        <v>53.229737571879681</v>
      </c>
      <c r="AZ254" s="746">
        <f t="shared" si="115"/>
        <v>53.135097794733667</v>
      </c>
      <c r="BA254" s="641">
        <f t="shared" si="112"/>
        <v>1.0124091456577242</v>
      </c>
      <c r="BC254" s="11">
        <v>43340</v>
      </c>
      <c r="BD254" s="289">
        <f>[2]!FeuilCaduc*(1-Persistant)+Persistant</f>
        <v>0.98899069025189179</v>
      </c>
      <c r="BE254" s="290">
        <f>[2]!CroissVégét</f>
        <v>0.96281651236587618</v>
      </c>
      <c r="BF254" s="819">
        <f>1+[2]!Salcycl*Ksac</f>
        <v>1.0486238362814864</v>
      </c>
      <c r="BH254" s="1044">
        <f t="shared" si="113"/>
        <v>3.9780309977938064E-3</v>
      </c>
      <c r="BI254" s="11">
        <v>44436</v>
      </c>
      <c r="BJ254" s="726">
        <v>4.7651996647882959E-4</v>
      </c>
      <c r="BK254" s="726">
        <v>6.376974483798208E-4</v>
      </c>
      <c r="BL254" s="726">
        <v>9.5219266719167662E-4</v>
      </c>
      <c r="BM254" s="726">
        <v>1.6810086814179092E-3</v>
      </c>
      <c r="BN254" s="726">
        <v>2.9663727571837984E-3</v>
      </c>
      <c r="BO254" s="727">
        <v>4.8581156952714651E-3</v>
      </c>
      <c r="BP254" s="726">
        <v>7.9253151660075363E-3</v>
      </c>
      <c r="BQ254" s="726">
        <v>1.1794955396648788E-2</v>
      </c>
      <c r="BR254" s="726">
        <v>1.6642662514907512E-2</v>
      </c>
      <c r="BS254" s="726">
        <v>2.1770579979304913E-2</v>
      </c>
      <c r="BT254" s="726">
        <v>2.7359536275118713E-2</v>
      </c>
      <c r="BW254" s="1208">
        <f>'2018'!R\Max</f>
        <v>0.81697869141586055</v>
      </c>
      <c r="BX254" s="1206">
        <f>'2019'!R\Max</f>
        <v>0.79286389100501231</v>
      </c>
      <c r="BY254" s="1206">
        <f>'2020'!R\Max</f>
        <v>0.95345774353172563</v>
      </c>
      <c r="BZ254" s="1206">
        <f>'2021'!R\Max</f>
        <v>1.0124091456577242</v>
      </c>
      <c r="CA254" s="1206">
        <f>'2022'!R\Max</f>
        <v>0.96419042925770082</v>
      </c>
      <c r="CB254" s="1206">
        <f>'2023'!R\Max</f>
        <v>0.96418563461404416</v>
      </c>
      <c r="CC254" s="1206">
        <f>'2024'!R\Max</f>
        <v>0.9641808390857205</v>
      </c>
      <c r="CD254" s="1206">
        <f>'2025'!R\Max</f>
        <v>0.96420496453522986</v>
      </c>
      <c r="CE254" s="1206">
        <f>'2026'!R\Max</f>
        <v>0.96420209493382503</v>
      </c>
      <c r="CF254" s="1207">
        <f>'2027'!R\Max</f>
        <v>0.96419829632580512</v>
      </c>
    </row>
    <row r="255" spans="1:84" s="6" customFormat="1" ht="11.25" x14ac:dyDescent="0.2">
      <c r="A255" s="11">
        <v>43341</v>
      </c>
      <c r="B255" s="379">
        <f>'2022'!Maxi_hp</f>
        <v>53.392910497519651</v>
      </c>
      <c r="C255" s="13">
        <f>'2022'!An_max</f>
        <v>2021</v>
      </c>
      <c r="D255" s="1053">
        <f t="shared" si="97"/>
        <v>1.0069775142298514</v>
      </c>
      <c r="E255" s="13"/>
      <c r="F255" s="13">
        <f t="shared" si="114"/>
        <v>19</v>
      </c>
      <c r="G255" s="13">
        <f t="shared" si="98"/>
        <v>18</v>
      </c>
      <c r="H255" s="172">
        <f t="shared" si="99"/>
        <v>43346</v>
      </c>
      <c r="I255" s="753">
        <f t="shared" si="100"/>
        <v>0.35714285714285715</v>
      </c>
      <c r="J255" s="746">
        <f t="shared" si="101"/>
        <v>53.022942164061327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46">
        <v>43341</v>
      </c>
      <c r="AP255" s="13">
        <f t="shared" si="102"/>
        <v>11</v>
      </c>
      <c r="AQ255" s="13">
        <f t="shared" si="103"/>
        <v>10</v>
      </c>
      <c r="AR255" s="172">
        <f t="shared" si="104"/>
        <v>43360</v>
      </c>
      <c r="AS255" s="753">
        <f t="shared" si="105"/>
        <v>0.6785714285714286</v>
      </c>
      <c r="AT255" s="769">
        <f t="shared" si="106"/>
        <v>52.884050030341108</v>
      </c>
      <c r="AU255" s="13">
        <f t="shared" si="107"/>
        <v>9</v>
      </c>
      <c r="AV255" s="13">
        <f t="shared" si="108"/>
        <v>10</v>
      </c>
      <c r="AW255" s="172">
        <f t="shared" si="109"/>
        <v>43318</v>
      </c>
      <c r="AX255" s="753">
        <f t="shared" si="110"/>
        <v>0.8214285714285714</v>
      </c>
      <c r="AY255" s="769">
        <f t="shared" si="111"/>
        <v>53.076663465744687</v>
      </c>
      <c r="AZ255" s="746">
        <f t="shared" si="115"/>
        <v>52.980356748042894</v>
      </c>
      <c r="BA255" s="641">
        <f t="shared" si="112"/>
        <v>1.0069775142298514</v>
      </c>
      <c r="BC255" s="11">
        <v>43341</v>
      </c>
      <c r="BD255" s="289">
        <f>[2]!FeuilCaduc*(1-Persistant)+Persistant</f>
        <v>0.98822842646563969</v>
      </c>
      <c r="BE255" s="290">
        <f>[2]!CroissVégét</f>
        <v>0.96427259177046543</v>
      </c>
      <c r="BF255" s="819">
        <f>1+[2]!Salcycl*Ksac</f>
        <v>1.0485285533082049</v>
      </c>
      <c r="BH255" s="1044">
        <f t="shared" si="113"/>
        <v>4.2423548289918702E-3</v>
      </c>
      <c r="BI255" s="11">
        <v>44437</v>
      </c>
      <c r="BJ255" s="726">
        <v>5.3030456089890132E-4</v>
      </c>
      <c r="BK255" s="726">
        <v>7.0895106554518894E-4</v>
      </c>
      <c r="BL255" s="726">
        <v>1.0534029022919397E-3</v>
      </c>
      <c r="BM255" s="726">
        <v>1.8371880674353104E-3</v>
      </c>
      <c r="BN255" s="726">
        <v>3.1893884790641746E-3</v>
      </c>
      <c r="BO255" s="727">
        <v>5.1583752144646272E-3</v>
      </c>
      <c r="BP255" s="726">
        <v>8.306218974932205E-3</v>
      </c>
      <c r="BQ255" s="726">
        <v>1.2287959709685485E-2</v>
      </c>
      <c r="BR255" s="726">
        <v>1.7222602958001657E-2</v>
      </c>
      <c r="BS255" s="726">
        <v>2.2384946048229604E-2</v>
      </c>
      <c r="BT255" s="726">
        <v>2.7937719339480083E-2</v>
      </c>
      <c r="BW255" s="1208">
        <f>'2018'!R\Max</f>
        <v>0.61629235931992221</v>
      </c>
      <c r="BX255" s="1206">
        <f>'2019'!R\Max</f>
        <v>0.94929978828438788</v>
      </c>
      <c r="BY255" s="1206">
        <f>'2020'!R\Max</f>
        <v>0.15024613010662283</v>
      </c>
      <c r="BZ255" s="1206">
        <f>'2021'!R\Max</f>
        <v>1.0069775142298514</v>
      </c>
      <c r="CA255" s="1206">
        <f>'2022'!R\Max</f>
        <v>0.65179380476291715</v>
      </c>
      <c r="CB255" s="1206">
        <f>'2023'!R\Max</f>
        <v>0.6517613141900751</v>
      </c>
      <c r="CC255" s="1206">
        <f>'2024'!R\Max</f>
        <v>0.65172882034354507</v>
      </c>
      <c r="CD255" s="1206">
        <f>'2025'!R\Max</f>
        <v>0.65189223614398184</v>
      </c>
      <c r="CE255" s="1206">
        <f>'2026'!R\Max</f>
        <v>0.65187267868765231</v>
      </c>
      <c r="CF255" s="1207">
        <f>'2027'!R\Max</f>
        <v>0.65184699917689692</v>
      </c>
    </row>
    <row r="256" spans="1:84" s="6" customFormat="1" ht="11.25" x14ac:dyDescent="0.2">
      <c r="A256" s="11">
        <v>43342</v>
      </c>
      <c r="B256" s="379">
        <f>'2022'!Maxi_hp</f>
        <v>51.895427977541566</v>
      </c>
      <c r="C256" s="13">
        <f>'2022'!An_max</f>
        <v>2021</v>
      </c>
      <c r="D256" s="1053">
        <f t="shared" si="97"/>
        <v>0.98145946896827718</v>
      </c>
      <c r="E256" s="13"/>
      <c r="F256" s="13">
        <f t="shared" si="114"/>
        <v>19</v>
      </c>
      <c r="G256" s="13">
        <f t="shared" si="98"/>
        <v>18</v>
      </c>
      <c r="H256" s="172">
        <f t="shared" si="99"/>
        <v>43346</v>
      </c>
      <c r="I256" s="753">
        <f t="shared" si="100"/>
        <v>0.2857142857142857</v>
      </c>
      <c r="J256" s="746">
        <f t="shared" si="101"/>
        <v>52.875772885552479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46">
        <v>43342</v>
      </c>
      <c r="AP256" s="13">
        <f t="shared" si="102"/>
        <v>11</v>
      </c>
      <c r="AQ256" s="13">
        <f t="shared" si="103"/>
        <v>10</v>
      </c>
      <c r="AR256" s="172">
        <f t="shared" si="104"/>
        <v>43360</v>
      </c>
      <c r="AS256" s="753">
        <f t="shared" si="105"/>
        <v>0.6428571428571429</v>
      </c>
      <c r="AT256" s="769">
        <f t="shared" si="106"/>
        <v>52.724901804061872</v>
      </c>
      <c r="AU256" s="13">
        <f t="shared" si="107"/>
        <v>9</v>
      </c>
      <c r="AV256" s="13">
        <f t="shared" si="108"/>
        <v>10</v>
      </c>
      <c r="AW256" s="172">
        <f t="shared" si="109"/>
        <v>43318</v>
      </c>
      <c r="AX256" s="753">
        <f t="shared" si="110"/>
        <v>0.8571428571428571</v>
      </c>
      <c r="AY256" s="769">
        <f t="shared" si="111"/>
        <v>52.918244314406593</v>
      </c>
      <c r="AZ256" s="746">
        <f t="shared" si="115"/>
        <v>52.821573059234233</v>
      </c>
      <c r="BA256" s="641">
        <f t="shared" si="112"/>
        <v>0.98145946896827718</v>
      </c>
      <c r="BC256" s="11">
        <v>43342</v>
      </c>
      <c r="BD256" s="289">
        <f>[2]!FeuilCaduc*(1-Persistant)+Persistant</f>
        <v>0.98742986285947887</v>
      </c>
      <c r="BE256" s="290">
        <f>[2]!CroissVégét</f>
        <v>0.96567418689281481</v>
      </c>
      <c r="BF256" s="819">
        <f>1+[2]!Salcycl*Ksac</f>
        <v>1.0484287328574349</v>
      </c>
      <c r="BH256" s="1044">
        <f t="shared" si="113"/>
        <v>4.5377213367251857E-3</v>
      </c>
      <c r="BI256" s="11">
        <v>44438</v>
      </c>
      <c r="BJ256" s="726">
        <v>5.9654837935968691E-4</v>
      </c>
      <c r="BK256" s="726">
        <v>7.9770046453994973E-4</v>
      </c>
      <c r="BL256" s="726">
        <v>1.1785352621348814E-3</v>
      </c>
      <c r="BM256" s="726">
        <v>2.0222627596567632E-3</v>
      </c>
      <c r="BN256" s="726">
        <v>3.4441023337302311E-3</v>
      </c>
      <c r="BO256" s="727">
        <v>5.4891072008152984E-3</v>
      </c>
      <c r="BP256" s="726">
        <v>8.7091002216879848E-3</v>
      </c>
      <c r="BQ256" s="726">
        <v>1.27913883581002E-2</v>
      </c>
      <c r="BR256" s="726">
        <v>1.7797581296725699E-2</v>
      </c>
      <c r="BS256" s="726">
        <v>2.298353983879748E-2</v>
      </c>
      <c r="BT256" s="726">
        <v>2.8490244984626739E-2</v>
      </c>
      <c r="BW256" s="1208">
        <f>'2018'!R\Max</f>
        <v>0.85274687046736686</v>
      </c>
      <c r="BX256" s="1206">
        <f>'2019'!R\Max</f>
        <v>0.95262046152509572</v>
      </c>
      <c r="BY256" s="1206">
        <f>'2020'!R\Max</f>
        <v>0.3793835073172892</v>
      </c>
      <c r="BZ256" s="1206">
        <f>'2021'!R\Max</f>
        <v>0.98145946896827718</v>
      </c>
      <c r="CA256" s="1206">
        <f>'2022'!R\Max</f>
        <v>0.94929369985587764</v>
      </c>
      <c r="CB256" s="1206">
        <f>'2023'!R\Max</f>
        <v>0.94928662069221159</v>
      </c>
      <c r="CC256" s="1206">
        <f>'2024'!R\Max</f>
        <v>0.94927954017620475</v>
      </c>
      <c r="CD256" s="1206">
        <f>'2025'!R\Max</f>
        <v>0.94931513409252377</v>
      </c>
      <c r="CE256" s="1206">
        <f>'2026'!R\Max</f>
        <v>0.94931084684709466</v>
      </c>
      <c r="CF256" s="1207">
        <f>'2027'!R\Max</f>
        <v>0.94930526569956253</v>
      </c>
    </row>
    <row r="257" spans="1:84" s="6" customFormat="1" ht="11.25" x14ac:dyDescent="0.2">
      <c r="A257" s="11">
        <v>43343</v>
      </c>
      <c r="B257" s="379">
        <f>'2022'!Maxi_hp</f>
        <v>51.83189151482037</v>
      </c>
      <c r="C257" s="13">
        <f>'2022'!An_max</f>
        <v>2021</v>
      </c>
      <c r="D257" s="1053">
        <f t="shared" si="97"/>
        <v>0.98309616941616096</v>
      </c>
      <c r="E257" s="13"/>
      <c r="F257" s="13">
        <f t="shared" si="114"/>
        <v>19</v>
      </c>
      <c r="G257" s="13">
        <f t="shared" si="98"/>
        <v>18</v>
      </c>
      <c r="H257" s="172">
        <f t="shared" si="99"/>
        <v>43346</v>
      </c>
      <c r="I257" s="753">
        <f t="shared" si="100"/>
        <v>0.21428571428571427</v>
      </c>
      <c r="J257" s="746">
        <f t="shared" si="101"/>
        <v>52.723114103477975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46">
        <v>43343</v>
      </c>
      <c r="AP257" s="13">
        <f t="shared" si="102"/>
        <v>11</v>
      </c>
      <c r="AQ257" s="13">
        <f t="shared" si="103"/>
        <v>10</v>
      </c>
      <c r="AR257" s="172">
        <f t="shared" si="104"/>
        <v>43360</v>
      </c>
      <c r="AS257" s="753">
        <f t="shared" si="105"/>
        <v>0.6071428571428571</v>
      </c>
      <c r="AT257" s="769">
        <f t="shared" si="106"/>
        <v>52.562891452280539</v>
      </c>
      <c r="AU257" s="13">
        <f t="shared" si="107"/>
        <v>9</v>
      </c>
      <c r="AV257" s="13">
        <f t="shared" si="108"/>
        <v>10</v>
      </c>
      <c r="AW257" s="172">
        <f t="shared" si="109"/>
        <v>43318</v>
      </c>
      <c r="AX257" s="753">
        <f t="shared" si="110"/>
        <v>0.8928571428571429</v>
      </c>
      <c r="AY257" s="769">
        <f t="shared" si="111"/>
        <v>52.754209255200941</v>
      </c>
      <c r="AZ257" s="746">
        <f t="shared" si="115"/>
        <v>52.658550353740736</v>
      </c>
      <c r="BA257" s="641">
        <f t="shared" si="112"/>
        <v>0.98309616941616096</v>
      </c>
      <c r="BC257" s="11">
        <v>43343</v>
      </c>
      <c r="BD257" s="289">
        <f>[2]!FeuilCaduc*(1-Persistant)+Persistant</f>
        <v>0.98659359299665617</v>
      </c>
      <c r="BE257" s="290">
        <f>[2]!CroissVégét</f>
        <v>0.9670231812722152</v>
      </c>
      <c r="BF257" s="819">
        <f>1+[2]!Salcycl*Ksac</f>
        <v>1.048324199124582</v>
      </c>
      <c r="BH257" s="1044">
        <f t="shared" si="113"/>
        <v>4.8641470171709731E-3</v>
      </c>
      <c r="BI257" s="11">
        <v>44439</v>
      </c>
      <c r="BJ257" s="726">
        <v>6.7525664722836276E-4</v>
      </c>
      <c r="BK257" s="726">
        <v>9.0395287937666824E-4</v>
      </c>
      <c r="BL257" s="726">
        <v>1.3275997386852645E-3</v>
      </c>
      <c r="BM257" s="726">
        <v>2.2362456988411733E-3</v>
      </c>
      <c r="BN257" s="726">
        <v>3.7305298988866589E-3</v>
      </c>
      <c r="BO257" s="727">
        <v>5.8503289495191622E-3</v>
      </c>
      <c r="BP257" s="726">
        <v>9.1339759201292323E-3</v>
      </c>
      <c r="BQ257" s="726">
        <v>1.3305257976993405E-2</v>
      </c>
      <c r="BR257" s="726">
        <v>1.8367612175110189E-2</v>
      </c>
      <c r="BS257" s="726">
        <v>2.3566374279531031E-2</v>
      </c>
      <c r="BT257" s="726">
        <v>2.9017123169234559E-2</v>
      </c>
      <c r="BW257" s="1208">
        <f>'2018'!R\Max</f>
        <v>0.87705687114517406</v>
      </c>
      <c r="BX257" s="1206">
        <f>'2019'!R\Max</f>
        <v>0.91514585278853844</v>
      </c>
      <c r="BY257" s="1206">
        <f>'2020'!R\Max</f>
        <v>0.55381676552099912</v>
      </c>
      <c r="BZ257" s="1206">
        <f>'2021'!R\Max</f>
        <v>0.98309616941616096</v>
      </c>
      <c r="CA257" s="1206">
        <f>'2022'!R\Max</f>
        <v>0.44800551317954163</v>
      </c>
      <c r="CB257" s="1206">
        <f>'2023'!R\Max</f>
        <v>0.44796827729523114</v>
      </c>
      <c r="CC257" s="1206">
        <f>'2024'!R\Max</f>
        <v>0.44793103975000748</v>
      </c>
      <c r="CD257" s="1206">
        <f>'2025'!R\Max</f>
        <v>0.44811829026833955</v>
      </c>
      <c r="CE257" s="1206">
        <f>'2026'!R\Max</f>
        <v>0.44809556506287196</v>
      </c>
      <c r="CF257" s="1207">
        <f>'2027'!R\Max</f>
        <v>0.44806625615311907</v>
      </c>
    </row>
    <row r="258" spans="1:84" s="6" customFormat="1" ht="11.25" x14ac:dyDescent="0.2">
      <c r="A258" s="11">
        <v>43344</v>
      </c>
      <c r="B258" s="379">
        <f>'2022'!Maxi_hp</f>
        <v>53.126958868503813</v>
      </c>
      <c r="C258" s="13">
        <f>'2022'!An_max</f>
        <v>2018</v>
      </c>
      <c r="D258" s="1053">
        <f t="shared" si="97"/>
        <v>1.0107038989953487</v>
      </c>
      <c r="E258" s="13"/>
      <c r="F258" s="13">
        <f t="shared" si="114"/>
        <v>19</v>
      </c>
      <c r="G258" s="13">
        <f t="shared" si="98"/>
        <v>18</v>
      </c>
      <c r="H258" s="172">
        <f t="shared" si="99"/>
        <v>43346</v>
      </c>
      <c r="I258" s="753">
        <f t="shared" si="100"/>
        <v>0.14285714285714285</v>
      </c>
      <c r="J258" s="746">
        <f t="shared" si="101"/>
        <v>52.564315742041387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46">
        <v>43344</v>
      </c>
      <c r="AP258" s="13">
        <f t="shared" si="102"/>
        <v>11</v>
      </c>
      <c r="AQ258" s="13">
        <f t="shared" si="103"/>
        <v>10</v>
      </c>
      <c r="AR258" s="172">
        <f t="shared" si="104"/>
        <v>43360</v>
      </c>
      <c r="AS258" s="753">
        <f t="shared" si="105"/>
        <v>0.5714285714285714</v>
      </c>
      <c r="AT258" s="769">
        <f t="shared" si="106"/>
        <v>52.397897084483077</v>
      </c>
      <c r="AU258" s="13">
        <f t="shared" si="107"/>
        <v>9</v>
      </c>
      <c r="AV258" s="13">
        <f t="shared" si="108"/>
        <v>10</v>
      </c>
      <c r="AW258" s="172">
        <f t="shared" si="109"/>
        <v>43318</v>
      </c>
      <c r="AX258" s="753">
        <f t="shared" si="110"/>
        <v>0.9285714285714286</v>
      </c>
      <c r="AY258" s="769">
        <f t="shared" si="111"/>
        <v>52.584287426540889</v>
      </c>
      <c r="AZ258" s="746">
        <f t="shared" si="115"/>
        <v>52.491092255511987</v>
      </c>
      <c r="BA258" s="641">
        <f t="shared" si="112"/>
        <v>1.0107038989953487</v>
      </c>
      <c r="BC258" s="11">
        <v>43344</v>
      </c>
      <c r="BD258" s="289">
        <f>[2]!FeuilCaduc*(1-Persistant)+Persistant</f>
        <v>0.9857181589603855</v>
      </c>
      <c r="BE258" s="290">
        <f>[2]!CroissVégét</f>
        <v>0.96832140523745813</v>
      </c>
      <c r="BF258" s="819">
        <f>1+[2]!Salcycl*Ksac</f>
        <v>1.0482147698700481</v>
      </c>
      <c r="BH258" s="1044">
        <f t="shared" si="113"/>
        <v>5.2216500132176661E-3</v>
      </c>
      <c r="BI258" s="11">
        <v>44440</v>
      </c>
      <c r="BJ258" s="726">
        <v>7.664352148165055E-4</v>
      </c>
      <c r="BK258" s="726">
        <v>1.0277164186778696E-3</v>
      </c>
      <c r="BL258" s="726">
        <v>1.5006075223726401E-3</v>
      </c>
      <c r="BM258" s="726">
        <v>2.4791512967798192E-3</v>
      </c>
      <c r="BN258" s="726">
        <v>4.0486884015052578E-3</v>
      </c>
      <c r="BO258" s="727">
        <v>6.2420594002596426E-3</v>
      </c>
      <c r="BP258" s="726">
        <v>9.58086438282316E-3</v>
      </c>
      <c r="BQ258" s="726">
        <v>1.3829586031745215E-2</v>
      </c>
      <c r="BR258" s="726">
        <v>1.893271040028565E-2</v>
      </c>
      <c r="BS258" s="726">
        <v>2.413346197402317E-2</v>
      </c>
      <c r="BT258" s="726">
        <v>2.9518363033266926E-2</v>
      </c>
      <c r="BW258" s="1208">
        <f>'2018'!R\Max</f>
        <v>1.0107038989953487</v>
      </c>
      <c r="BX258" s="1206">
        <f>'2019'!R\Max</f>
        <v>0.3128673915588851</v>
      </c>
      <c r="BY258" s="1206">
        <f>'2020'!R\Max</f>
        <v>0.83358035855151014</v>
      </c>
      <c r="BZ258" s="1206">
        <f>'2021'!R\Max</f>
        <v>0.62751163019766854</v>
      </c>
      <c r="CA258" s="1206">
        <f>'2022'!R\Max</f>
        <v>0.86650960007101974</v>
      </c>
      <c r="CB258" s="1206">
        <f>'2023'!R\Max</f>
        <v>0.86649182094149246</v>
      </c>
      <c r="CC258" s="1206">
        <f>'2024'!R\Max</f>
        <v>0.86647403871483597</v>
      </c>
      <c r="CD258" s="1206">
        <f>'2025'!R\Max</f>
        <v>0.86656345498657494</v>
      </c>
      <c r="CE258" s="1206">
        <f>'2026'!R\Max</f>
        <v>0.86655252082564627</v>
      </c>
      <c r="CF258" s="1207">
        <f>'2027'!R\Max</f>
        <v>0.86653855545328684</v>
      </c>
    </row>
    <row r="259" spans="1:84" s="6" customFormat="1" ht="11.25" x14ac:dyDescent="0.2">
      <c r="A259" s="11">
        <v>43345</v>
      </c>
      <c r="B259" s="379">
        <f>'2022'!Maxi_hp</f>
        <v>50.943890407811566</v>
      </c>
      <c r="C259" s="13">
        <f>'2022'!An_max</f>
        <v>2018</v>
      </c>
      <c r="D259" s="1053">
        <f t="shared" si="97"/>
        <v>0.97223525481034767</v>
      </c>
      <c r="E259" s="13"/>
      <c r="F259" s="13">
        <f t="shared" si="114"/>
        <v>19</v>
      </c>
      <c r="G259" s="13">
        <f t="shared" si="98"/>
        <v>18</v>
      </c>
      <c r="H259" s="172">
        <f t="shared" si="99"/>
        <v>43346</v>
      </c>
      <c r="I259" s="753">
        <f t="shared" si="100"/>
        <v>7.1428571428571425E-2</v>
      </c>
      <c r="J259" s="746">
        <f t="shared" si="101"/>
        <v>52.398727731539736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46">
        <v>43345</v>
      </c>
      <c r="AP259" s="13">
        <f t="shared" si="102"/>
        <v>11</v>
      </c>
      <c r="AQ259" s="13">
        <f t="shared" si="103"/>
        <v>10</v>
      </c>
      <c r="AR259" s="172">
        <f t="shared" si="104"/>
        <v>43360</v>
      </c>
      <c r="AS259" s="753">
        <f t="shared" si="105"/>
        <v>0.5357142857142857</v>
      </c>
      <c r="AT259" s="769">
        <f t="shared" si="106"/>
        <v>52.229796814053714</v>
      </c>
      <c r="AU259" s="13">
        <f t="shared" si="107"/>
        <v>9</v>
      </c>
      <c r="AV259" s="13">
        <f t="shared" si="108"/>
        <v>10</v>
      </c>
      <c r="AW259" s="172">
        <f t="shared" si="109"/>
        <v>43318</v>
      </c>
      <c r="AX259" s="753">
        <f t="shared" si="110"/>
        <v>0.9642857142857143</v>
      </c>
      <c r="AY259" s="769">
        <f t="shared" si="111"/>
        <v>52.408207961963491</v>
      </c>
      <c r="AZ259" s="746">
        <f t="shared" si="115"/>
        <v>52.319002388008599</v>
      </c>
      <c r="BA259" s="641">
        <f t="shared" si="112"/>
        <v>0.97223525481034767</v>
      </c>
      <c r="BC259" s="11">
        <v>43345</v>
      </c>
      <c r="BD259" s="289">
        <f>[2]!FeuilCaduc*(1-Persistant)+Persistant</f>
        <v>0.98480204772528879</v>
      </c>
      <c r="BE259" s="290">
        <f>[2]!CroissVégét</f>
        <v>0.96957063646587138</v>
      </c>
      <c r="BF259" s="819">
        <f>1+[2]!Salcycl*Ksac</f>
        <v>1.0481002559656611</v>
      </c>
      <c r="BH259" s="1044">
        <f t="shared" si="113"/>
        <v>5.6102501691179269E-3</v>
      </c>
      <c r="BI259" s="11">
        <v>44441</v>
      </c>
      <c r="BJ259" s="726">
        <v>8.7009057934278719E-4</v>
      </c>
      <c r="BK259" s="726">
        <v>1.1690000965186571E-3</v>
      </c>
      <c r="BL259" s="726">
        <v>1.6975710442607406E-3</v>
      </c>
      <c r="BM259" s="726">
        <v>2.7509954872165683E-3</v>
      </c>
      <c r="BN259" s="726">
        <v>4.3985967736572713E-3</v>
      </c>
      <c r="BO259" s="727">
        <v>6.6643191908349643E-3</v>
      </c>
      <c r="BP259" s="726">
        <v>1.004978525963254E-2</v>
      </c>
      <c r="BQ259" s="726">
        <v>1.4364390836140058E-2</v>
      </c>
      <c r="BR259" s="726">
        <v>1.9492890933383827E-2</v>
      </c>
      <c r="BS259" s="726">
        <v>2.4684815172703583E-2</v>
      </c>
      <c r="BT259" s="726">
        <v>2.9993972852256273E-2</v>
      </c>
      <c r="BW259" s="1208">
        <f>'2018'!R\Max</f>
        <v>0.97223525481034767</v>
      </c>
      <c r="BX259" s="1206">
        <f>'2019'!R\Max</f>
        <v>0.96896186083323621</v>
      </c>
      <c r="BY259" s="1206">
        <f>'2020'!R\Max</f>
        <v>0.89096548841906931</v>
      </c>
      <c r="BZ259" s="1206">
        <f>'2021'!R\Max</f>
        <v>0.39807940641272332</v>
      </c>
      <c r="CA259" s="1206">
        <f>'2022'!R\Max</f>
        <v>0.79738021389608915</v>
      </c>
      <c r="CB259" s="1206">
        <f>'2023'!R\Max</f>
        <v>0.79735493945219083</v>
      </c>
      <c r="CC259" s="1206">
        <f>'2024'!R\Max</f>
        <v>0.79732966107397896</v>
      </c>
      <c r="CD259" s="1206">
        <f>'2025'!R\Max</f>
        <v>0.79745683294589098</v>
      </c>
      <c r="CE259" s="1206">
        <f>'2026'!R\Max</f>
        <v>0.79744114909512753</v>
      </c>
      <c r="CF259" s="1207">
        <f>'2027'!R\Max</f>
        <v>0.79742132521337161</v>
      </c>
    </row>
    <row r="260" spans="1:84" s="6" customFormat="1" ht="11.25" x14ac:dyDescent="0.2">
      <c r="A260" s="11">
        <v>43346</v>
      </c>
      <c r="B260" s="379">
        <f>'2022'!Maxi_hp</f>
        <v>53.385719153898613</v>
      </c>
      <c r="C260" s="13">
        <f>'2022'!An_max</f>
        <v>2019</v>
      </c>
      <c r="D260" s="1053">
        <f t="shared" si="97"/>
        <v>1.0222116535340211</v>
      </c>
      <c r="E260" s="1048">
        <f>AE$13/10</f>
        <v>52.225699999999996</v>
      </c>
      <c r="F260" s="13">
        <f t="shared" si="114"/>
        <v>19</v>
      </c>
      <c r="G260" s="13">
        <f t="shared" si="98"/>
        <v>20</v>
      </c>
      <c r="H260" s="172">
        <f t="shared" si="99"/>
        <v>43346</v>
      </c>
      <c r="I260" s="753">
        <f t="shared" si="100"/>
        <v>0</v>
      </c>
      <c r="J260" s="746">
        <f t="shared" si="101"/>
        <v>52.225699999928473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46">
        <v>43346</v>
      </c>
      <c r="AP260" s="13">
        <f t="shared" si="102"/>
        <v>11</v>
      </c>
      <c r="AQ260" s="13">
        <f t="shared" si="103"/>
        <v>10</v>
      </c>
      <c r="AR260" s="172">
        <f t="shared" si="104"/>
        <v>43360</v>
      </c>
      <c r="AS260" s="753">
        <f t="shared" si="105"/>
        <v>0.5</v>
      </c>
      <c r="AT260" s="769">
        <f t="shared" si="106"/>
        <v>52.058468750119211</v>
      </c>
      <c r="AU260" s="13">
        <f t="shared" si="107"/>
        <v>11</v>
      </c>
      <c r="AV260" s="13">
        <f t="shared" si="108"/>
        <v>10</v>
      </c>
      <c r="AW260" s="172">
        <f t="shared" si="109"/>
        <v>43374</v>
      </c>
      <c r="AX260" s="753">
        <f t="shared" si="110"/>
        <v>1</v>
      </c>
      <c r="AY260" s="769">
        <f t="shared" si="111"/>
        <v>52.225699998438358</v>
      </c>
      <c r="AZ260" s="746">
        <f t="shared" si="115"/>
        <v>52.142084374278781</v>
      </c>
      <c r="BA260" s="641">
        <f t="shared" si="112"/>
        <v>1.0222116535340211</v>
      </c>
      <c r="BC260" s="11">
        <v>43346</v>
      </c>
      <c r="BD260" s="289">
        <f>[2]!FeuilCaduc*(1-Persistant)+Persistant</f>
        <v>0.98384368730206961</v>
      </c>
      <c r="BE260" s="290">
        <f>[2]!CroissVégét</f>
        <v>0.97077260062312232</v>
      </c>
      <c r="BF260" s="819">
        <f>1+[2]!Salcycl*Ksac</f>
        <v>1.0479804609127588</v>
      </c>
      <c r="BH260" s="1044">
        <f t="shared" si="113"/>
        <v>6.0299690850877906E-3</v>
      </c>
      <c r="BI260" s="11">
        <v>44442</v>
      </c>
      <c r="BJ260" s="726">
        <v>9.862299068880804E-4</v>
      </c>
      <c r="BK260" s="726">
        <v>1.3278138632591787E-3</v>
      </c>
      <c r="BL260" s="726">
        <v>1.9185040182019904E-3</v>
      </c>
      <c r="BM260" s="726">
        <v>3.0517957767430652E-3</v>
      </c>
      <c r="BN260" s="726">
        <v>4.7802757083042473E-3</v>
      </c>
      <c r="BO260" s="727">
        <v>7.1171307107205746E-3</v>
      </c>
      <c r="BP260" s="726">
        <v>1.0540759576198027E-2</v>
      </c>
      <c r="BQ260" s="726">
        <v>1.4909691570345666E-2</v>
      </c>
      <c r="BR260" s="726">
        <v>2.0048168880238668E-2</v>
      </c>
      <c r="BS260" s="726">
        <v>2.52204457443495E-2</v>
      </c>
      <c r="BT260" s="726">
        <v>3.0443959991272588E-2</v>
      </c>
      <c r="BW260" s="1208">
        <f>'2018'!R\Max</f>
        <v>0.99253613737207746</v>
      </c>
      <c r="BX260" s="1206">
        <f>'2019'!R\Max</f>
        <v>1.0222116535340211</v>
      </c>
      <c r="BY260" s="1206">
        <f>'2020'!R\Max</f>
        <v>1.0215324992515642</v>
      </c>
      <c r="BZ260" s="1206">
        <f>'2021'!R\Max</f>
        <v>0.56702922489214447</v>
      </c>
      <c r="CA260" s="1206">
        <f>'2022'!R\Max</f>
        <v>0.66800718500299783</v>
      </c>
      <c r="CB260" s="1206">
        <f>'2023'!R\Max</f>
        <v>0.66797197343961967</v>
      </c>
      <c r="CC260" s="1206">
        <f>'2024'!R\Max</f>
        <v>0.66793675775990169</v>
      </c>
      <c r="CD260" s="1206">
        <f>'2025'!R\Max</f>
        <v>0.66811405301698701</v>
      </c>
      <c r="CE260" s="1206">
        <f>'2026'!R\Max</f>
        <v>0.66809198614570042</v>
      </c>
      <c r="CF260" s="1207">
        <f>'2027'!R\Max</f>
        <v>0.66806440140319301</v>
      </c>
    </row>
    <row r="261" spans="1:84" s="6" customFormat="1" ht="11.25" x14ac:dyDescent="0.2">
      <c r="A261" s="11">
        <v>43347</v>
      </c>
      <c r="B261" s="379">
        <f>'2022'!Maxi_hp</f>
        <v>53.038083158550982</v>
      </c>
      <c r="C261" s="13">
        <f>'2022'!An_max</f>
        <v>2019</v>
      </c>
      <c r="D261" s="1053">
        <f t="shared" si="97"/>
        <v>1.0190621905871711</v>
      </c>
      <c r="E261" s="13"/>
      <c r="F261" s="13">
        <f t="shared" si="114"/>
        <v>19</v>
      </c>
      <c r="G261" s="13">
        <f t="shared" si="98"/>
        <v>20</v>
      </c>
      <c r="H261" s="172">
        <f t="shared" si="99"/>
        <v>43346</v>
      </c>
      <c r="I261" s="753">
        <f t="shared" si="100"/>
        <v>7.1428571428571425E-2</v>
      </c>
      <c r="J261" s="746">
        <f t="shared" si="101"/>
        <v>52.045972903764678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46">
        <v>43347</v>
      </c>
      <c r="AP261" s="13">
        <f t="shared" si="102"/>
        <v>11</v>
      </c>
      <c r="AQ261" s="13">
        <f t="shared" si="103"/>
        <v>10</v>
      </c>
      <c r="AR261" s="172">
        <f t="shared" si="104"/>
        <v>43360</v>
      </c>
      <c r="AS261" s="753">
        <f t="shared" si="105"/>
        <v>0.4642857142857143</v>
      </c>
      <c r="AT261" s="769">
        <f t="shared" si="106"/>
        <v>51.883791006329872</v>
      </c>
      <c r="AU261" s="13">
        <f t="shared" si="107"/>
        <v>11</v>
      </c>
      <c r="AV261" s="13">
        <f t="shared" si="108"/>
        <v>10</v>
      </c>
      <c r="AW261" s="172">
        <f t="shared" si="109"/>
        <v>43374</v>
      </c>
      <c r="AX261" s="753">
        <f t="shared" si="110"/>
        <v>0.9642857142857143</v>
      </c>
      <c r="AY261" s="769">
        <f t="shared" si="111"/>
        <v>52.037070517108909</v>
      </c>
      <c r="AZ261" s="746">
        <f t="shared" si="115"/>
        <v>51.960430761719394</v>
      </c>
      <c r="BA261" s="641">
        <f t="shared" si="112"/>
        <v>1.0190621905871711</v>
      </c>
      <c r="BC261" s="11">
        <v>43347</v>
      </c>
      <c r="BD261" s="289">
        <f>[2]!FeuilCaduc*(1-Persistant)+Persistant</f>
        <v>0.98284144277977403</v>
      </c>
      <c r="BE261" s="290">
        <f>[2]!CroissVégét</f>
        <v>0.97192897207465079</v>
      </c>
      <c r="BF261" s="819">
        <f>1+[2]!Salcycl*Ksac</f>
        <v>1.0478551803474718</v>
      </c>
      <c r="BH261" s="1044">
        <f t="shared" si="113"/>
        <v>6.4808301718795548E-3</v>
      </c>
      <c r="BI261" s="11">
        <v>44443</v>
      </c>
      <c r="BJ261" s="726">
        <v>1.1148610543444857E-3</v>
      </c>
      <c r="BK261" s="726">
        <v>1.5041686363688363E-3</v>
      </c>
      <c r="BL261" s="726">
        <v>2.1634214829804044E-3</v>
      </c>
      <c r="BM261" s="726">
        <v>3.3815712956773102E-3</v>
      </c>
      <c r="BN261" s="726">
        <v>5.193747715066247E-3</v>
      </c>
      <c r="BO261" s="727">
        <v>7.6005181546021832E-3</v>
      </c>
      <c r="BP261" s="726">
        <v>1.1053809772384052E-2</v>
      </c>
      <c r="BQ261" s="726">
        <v>1.5465508298846178E-2</v>
      </c>
      <c r="BR261" s="726">
        <v>2.0598559482032663E-2</v>
      </c>
      <c r="BS261" s="726">
        <v>2.5740365147534423E-2</v>
      </c>
      <c r="BT261" s="726">
        <v>3.0868330858825389E-2</v>
      </c>
      <c r="BW261" s="1208">
        <f>'2018'!R\Max</f>
        <v>0.9283663792501079</v>
      </c>
      <c r="BX261" s="1206">
        <f>'2019'!R\Max</f>
        <v>1.0190621905871711</v>
      </c>
      <c r="BY261" s="1206">
        <f>'2020'!R\Max</f>
        <v>0.99866470122317863</v>
      </c>
      <c r="BZ261" s="1206">
        <f>'2021'!R\Max</f>
        <v>0.83720973245792729</v>
      </c>
      <c r="CA261" s="1206">
        <f>'2022'!R\Max</f>
        <v>0.97248225438291835</v>
      </c>
      <c r="CB261" s="1206">
        <f>'2023'!R\Max</f>
        <v>0.97247795329585995</v>
      </c>
      <c r="CC261" s="1206">
        <f>'2024'!R\Max</f>
        <v>0.9724736512787715</v>
      </c>
      <c r="CD261" s="1206">
        <f>'2025'!R\Max</f>
        <v>0.97249532430295416</v>
      </c>
      <c r="CE261" s="1206">
        <f>'2026'!R\Max</f>
        <v>0.97249260103977408</v>
      </c>
      <c r="CF261" s="1207">
        <f>'2027'!R\Max</f>
        <v>0.97248923616007255</v>
      </c>
    </row>
    <row r="262" spans="1:84" s="6" customFormat="1" ht="11.25" x14ac:dyDescent="0.2">
      <c r="A262" s="11">
        <v>43348</v>
      </c>
      <c r="B262" s="379">
        <f>'2022'!Maxi_hp</f>
        <v>52.253818490500642</v>
      </c>
      <c r="C262" s="13">
        <f>'2022'!An_max</f>
        <v>2020</v>
      </c>
      <c r="D262" s="1053">
        <f t="shared" si="97"/>
        <v>1.0075784817901354</v>
      </c>
      <c r="E262" s="13"/>
      <c r="F262" s="13">
        <f t="shared" si="114"/>
        <v>19</v>
      </c>
      <c r="G262" s="13">
        <f t="shared" si="98"/>
        <v>20</v>
      </c>
      <c r="H262" s="172">
        <f t="shared" si="99"/>
        <v>43346</v>
      </c>
      <c r="I262" s="753">
        <f t="shared" si="100"/>
        <v>0.14285714285714285</v>
      </c>
      <c r="J262" s="746">
        <f t="shared" si="101"/>
        <v>51.860792419527264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46">
        <v>43348</v>
      </c>
      <c r="AP262" s="13">
        <f t="shared" si="102"/>
        <v>11</v>
      </c>
      <c r="AQ262" s="13">
        <f t="shared" si="103"/>
        <v>10</v>
      </c>
      <c r="AR262" s="172">
        <f t="shared" si="104"/>
        <v>43360</v>
      </c>
      <c r="AS262" s="753">
        <f t="shared" si="105"/>
        <v>0.42857142857142855</v>
      </c>
      <c r="AT262" s="769">
        <f t="shared" si="106"/>
        <v>51.705641691333483</v>
      </c>
      <c r="AU262" s="13">
        <f t="shared" si="107"/>
        <v>11</v>
      </c>
      <c r="AV262" s="13">
        <f t="shared" si="108"/>
        <v>10</v>
      </c>
      <c r="AW262" s="172">
        <f t="shared" si="109"/>
        <v>43374</v>
      </c>
      <c r="AX262" s="753">
        <f t="shared" si="110"/>
        <v>0.9285714285714286</v>
      </c>
      <c r="AY262" s="769">
        <f t="shared" si="111"/>
        <v>51.842915415098631</v>
      </c>
      <c r="AZ262" s="746">
        <f t="shared" si="115"/>
        <v>51.774278553216057</v>
      </c>
      <c r="BA262" s="641">
        <f t="shared" si="112"/>
        <v>1.0075784817901354</v>
      </c>
      <c r="BC262" s="11">
        <v>43348</v>
      </c>
      <c r="BD262" s="289">
        <f>[2]!FeuilCaduc*(1-Persistant)+Persistant</f>
        <v>0.98179361239504859</v>
      </c>
      <c r="BE262" s="290">
        <f>[2]!CroissVégét</f>
        <v>0.97304137466019458</v>
      </c>
      <c r="BF262" s="819">
        <f>1+[2]!Salcycl*Ksac</f>
        <v>1.0477242015493811</v>
      </c>
      <c r="BH262" s="1044">
        <f t="shared" si="113"/>
        <v>6.9656296803027951E-3</v>
      </c>
      <c r="BI262" s="11">
        <v>44444</v>
      </c>
      <c r="BJ262" s="726">
        <v>1.2644692773474276E-3</v>
      </c>
      <c r="BK262" s="726">
        <v>1.7069956266383261E-3</v>
      </c>
      <c r="BL262" s="726">
        <v>2.4400212618365534E-3</v>
      </c>
      <c r="BM262" s="726">
        <v>3.7456044867275103E-3</v>
      </c>
      <c r="BN262" s="726">
        <v>5.6421573007629545E-3</v>
      </c>
      <c r="BO262" s="727">
        <v>8.1169748105169564E-3</v>
      </c>
      <c r="BP262" s="726">
        <v>1.1593555288484721E-2</v>
      </c>
      <c r="BQ262" s="726">
        <v>1.6034702938726143E-2</v>
      </c>
      <c r="BR262" s="726">
        <v>2.1146936688278793E-2</v>
      </c>
      <c r="BS262" s="726">
        <v>2.6247611480905191E-2</v>
      </c>
      <c r="BT262" s="726">
        <v>3.1275828150152625E-2</v>
      </c>
      <c r="BW262" s="1208">
        <f>'2018'!R\Max</f>
        <v>0.84629120608935282</v>
      </c>
      <c r="BX262" s="1206">
        <f>'2019'!R\Max</f>
        <v>0.80392488036198251</v>
      </c>
      <c r="BY262" s="1206">
        <f>'2020'!R\Max</f>
        <v>1.0075784817901354</v>
      </c>
      <c r="BZ262" s="1206">
        <f>'2021'!R\Max</f>
        <v>0.90421090742500798</v>
      </c>
      <c r="CA262" s="1206">
        <f>'2022'!R\Max</f>
        <v>0.82507164868785343</v>
      </c>
      <c r="CB262" s="1206">
        <f>'2023'!R\Max</f>
        <v>0.82504823870054678</v>
      </c>
      <c r="CC262" s="1206">
        <f>'2024'!R\Max</f>
        <v>0.82502482472449434</v>
      </c>
      <c r="CD262" s="1206">
        <f>'2025'!R\Max</f>
        <v>0.82514298020337762</v>
      </c>
      <c r="CE262" s="1206">
        <f>'2026'!R\Max</f>
        <v>0.82512797729760667</v>
      </c>
      <c r="CF262" s="1207">
        <f>'2027'!R\Max</f>
        <v>0.82510965954635429</v>
      </c>
    </row>
    <row r="263" spans="1:84" s="6" customFormat="1" ht="11.25" x14ac:dyDescent="0.2">
      <c r="A263" s="11">
        <v>43349</v>
      </c>
      <c r="B263" s="379">
        <f>'2022'!Maxi_hp</f>
        <v>54.048993300295933</v>
      </c>
      <c r="C263" s="13">
        <f>'2022'!An_max</f>
        <v>2019</v>
      </c>
      <c r="D263" s="1053">
        <f t="shared" si="97"/>
        <v>1.0460366580730125</v>
      </c>
      <c r="E263" s="13"/>
      <c r="F263" s="13">
        <f t="shared" si="114"/>
        <v>19</v>
      </c>
      <c r="G263" s="13">
        <f t="shared" si="98"/>
        <v>20</v>
      </c>
      <c r="H263" s="172">
        <f t="shared" si="99"/>
        <v>43346</v>
      </c>
      <c r="I263" s="753">
        <f t="shared" si="100"/>
        <v>0.21428571428571427</v>
      </c>
      <c r="J263" s="746">
        <f t="shared" si="101"/>
        <v>51.670266890898347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46">
        <v>43349</v>
      </c>
      <c r="AP263" s="13">
        <f t="shared" si="102"/>
        <v>11</v>
      </c>
      <c r="AQ263" s="13">
        <f t="shared" si="103"/>
        <v>10</v>
      </c>
      <c r="AR263" s="172">
        <f t="shared" si="104"/>
        <v>43360</v>
      </c>
      <c r="AS263" s="753">
        <f t="shared" si="105"/>
        <v>0.39285714285714285</v>
      </c>
      <c r="AT263" s="769">
        <f t="shared" si="106"/>
        <v>51.523898918354618</v>
      </c>
      <c r="AU263" s="13">
        <f t="shared" si="107"/>
        <v>11</v>
      </c>
      <c r="AV263" s="13">
        <f t="shared" si="108"/>
        <v>10</v>
      </c>
      <c r="AW263" s="172">
        <f t="shared" si="109"/>
        <v>43374</v>
      </c>
      <c r="AX263" s="753">
        <f t="shared" si="110"/>
        <v>0.8928571428571429</v>
      </c>
      <c r="AY263" s="769">
        <f t="shared" si="111"/>
        <v>51.643397210764569</v>
      </c>
      <c r="AZ263" s="746">
        <f t="shared" si="115"/>
        <v>51.583648064559597</v>
      </c>
      <c r="BA263" s="641">
        <f t="shared" si="112"/>
        <v>1.0460366580730125</v>
      </c>
      <c r="BC263" s="11">
        <v>43349</v>
      </c>
      <c r="BD263" s="289">
        <f>[2]!FeuilCaduc*(1-Persistant)+Persistant</f>
        <v>0.98069842376122951</v>
      </c>
      <c r="BE263" s="290">
        <f>[2]!CroissVégét</f>
        <v>0.97411138252345786</v>
      </c>
      <c r="BF263" s="819">
        <f>1+[2]!Salcycl*Ksac</f>
        <v>1.0475873029701537</v>
      </c>
      <c r="BH263" s="1044">
        <f t="shared" si="113"/>
        <v>7.4647458679505735E-3</v>
      </c>
      <c r="BI263" s="11">
        <v>44445</v>
      </c>
      <c r="BJ263" s="726">
        <v>1.4311342534567345E-3</v>
      </c>
      <c r="BK263" s="726">
        <v>1.9300757698978621E-3</v>
      </c>
      <c r="BL263" s="726">
        <v>2.7384389705318573E-3</v>
      </c>
      <c r="BM263" s="726">
        <v>4.1289465031812567E-3</v>
      </c>
      <c r="BN263" s="726">
        <v>6.1067454611479976E-3</v>
      </c>
      <c r="BO263" s="727">
        <v>8.6461284032964339E-3</v>
      </c>
      <c r="BP263" s="726">
        <v>1.2147139895581768E-2</v>
      </c>
      <c r="BQ263" s="726">
        <v>1.6610608602331416E-2</v>
      </c>
      <c r="BR263" s="726">
        <v>2.1696172303128952E-2</v>
      </c>
      <c r="BS263" s="726">
        <v>2.675136332485405E-2</v>
      </c>
      <c r="BT263" s="726">
        <v>3.168677020969262E-2</v>
      </c>
      <c r="BW263" s="1208">
        <f>'2018'!R\Max</f>
        <v>0.58088209218296649</v>
      </c>
      <c r="BX263" s="1206">
        <f>'2019'!R\Max</f>
        <v>1.0460366580730125</v>
      </c>
      <c r="BY263" s="1206">
        <f>'2020'!R\Max</f>
        <v>0.91008995934165637</v>
      </c>
      <c r="BZ263" s="1206">
        <f>'2021'!R\Max</f>
        <v>0.98347876042597604</v>
      </c>
      <c r="CA263" s="1206">
        <f>'2022'!R\Max</f>
        <v>0.93932618459691342</v>
      </c>
      <c r="CB263" s="1206">
        <f>'2023'!R\Max</f>
        <v>0.93931686991787533</v>
      </c>
      <c r="CC263" s="1206">
        <f>'2024'!R\Max</f>
        <v>0.93930755329168714</v>
      </c>
      <c r="CD263" s="1206">
        <f>'2025'!R\Max</f>
        <v>0.93935468560346425</v>
      </c>
      <c r="CE263" s="1206">
        <f>'2026'!R\Max</f>
        <v>0.93934864101898086</v>
      </c>
      <c r="CF263" s="1207">
        <f>'2027'!R\Max</f>
        <v>0.93934133870899383</v>
      </c>
    </row>
    <row r="264" spans="1:84" s="6" customFormat="1" ht="11.25" x14ac:dyDescent="0.2">
      <c r="A264" s="11">
        <v>43350</v>
      </c>
      <c r="B264" s="379">
        <f>'2022'!Maxi_hp</f>
        <v>52.847504684614634</v>
      </c>
      <c r="C264" s="13">
        <f>'2022'!An_max</f>
        <v>2019</v>
      </c>
      <c r="D264" s="1053">
        <f t="shared" si="97"/>
        <v>1.0266733993721751</v>
      </c>
      <c r="E264" s="13"/>
      <c r="F264" s="13">
        <f t="shared" si="114"/>
        <v>19</v>
      </c>
      <c r="G264" s="13">
        <f t="shared" si="98"/>
        <v>20</v>
      </c>
      <c r="H264" s="172">
        <f t="shared" si="99"/>
        <v>43346</v>
      </c>
      <c r="I264" s="753">
        <f t="shared" si="100"/>
        <v>0.2857142857142857</v>
      </c>
      <c r="J264" s="746">
        <f t="shared" si="101"/>
        <v>51.47450466422098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46">
        <v>43350</v>
      </c>
      <c r="AP264" s="13">
        <f t="shared" si="102"/>
        <v>11</v>
      </c>
      <c r="AQ264" s="13">
        <f t="shared" si="103"/>
        <v>10</v>
      </c>
      <c r="AR264" s="172">
        <f t="shared" si="104"/>
        <v>43360</v>
      </c>
      <c r="AS264" s="753">
        <f t="shared" si="105"/>
        <v>0.35714285714285715</v>
      </c>
      <c r="AT264" s="769">
        <f t="shared" si="106"/>
        <v>51.338440798143189</v>
      </c>
      <c r="AU264" s="13">
        <f t="shared" si="107"/>
        <v>11</v>
      </c>
      <c r="AV264" s="13">
        <f t="shared" si="108"/>
        <v>10</v>
      </c>
      <c r="AW264" s="172">
        <f t="shared" si="109"/>
        <v>43374</v>
      </c>
      <c r="AX264" s="753">
        <f t="shared" si="110"/>
        <v>0.8571428571428571</v>
      </c>
      <c r="AY264" s="769">
        <f t="shared" si="111"/>
        <v>51.438678424965055</v>
      </c>
      <c r="AZ264" s="746">
        <f t="shared" si="115"/>
        <v>51.388559611554122</v>
      </c>
      <c r="BA264" s="641">
        <f t="shared" si="112"/>
        <v>1.0266733993721751</v>
      </c>
      <c r="BC264" s="11">
        <v>43350</v>
      </c>
      <c r="BD264" s="289">
        <f>[2]!FeuilCaduc*(1-Persistant)+Persistant</f>
        <v>0.97955403039187494</v>
      </c>
      <c r="BE264" s="290">
        <f>[2]!CroissVégét</f>
        <v>0.97514052098953308</v>
      </c>
      <c r="BF264" s="819">
        <f>1+[2]!Salcycl*Ksac</f>
        <v>1.0474442537989843</v>
      </c>
      <c r="BH264" s="1044">
        <f t="shared" si="113"/>
        <v>7.9781997204062781E-3</v>
      </c>
      <c r="BI264" s="11">
        <v>44446</v>
      </c>
      <c r="BJ264" s="726">
        <v>1.614868494091936E-3</v>
      </c>
      <c r="BK264" s="726">
        <v>2.1734246220948624E-3</v>
      </c>
      <c r="BL264" s="726">
        <v>3.0586930030890155E-3</v>
      </c>
      <c r="BM264" s="726">
        <v>4.5316170409837424E-3</v>
      </c>
      <c r="BN264" s="726">
        <v>6.587532908790569E-3</v>
      </c>
      <c r="BO264" s="727">
        <v>9.1880001560307109E-3</v>
      </c>
      <c r="BP264" s="726">
        <v>1.2714586575697288E-2</v>
      </c>
      <c r="BQ264" s="726">
        <v>1.7193246308935768E-2</v>
      </c>
      <c r="BR264" s="726">
        <v>2.2246284791999055E-2</v>
      </c>
      <c r="BS264" s="726">
        <v>2.7251636786123291E-2</v>
      </c>
      <c r="BT264" s="726">
        <v>3.2101174749930343E-2</v>
      </c>
      <c r="BW264" s="1208">
        <f>'2018'!R\Max</f>
        <v>0.70780022532351905</v>
      </c>
      <c r="BX264" s="1206">
        <f>'2019'!R\Max</f>
        <v>1.0266733993721751</v>
      </c>
      <c r="BY264" s="1206">
        <f>'2020'!R\Max</f>
        <v>0.56268440936520503</v>
      </c>
      <c r="BZ264" s="1206">
        <f>'2021'!R\Max</f>
        <v>0.76316296649108195</v>
      </c>
      <c r="CA264" s="1206">
        <f>'2022'!R\Max</f>
        <v>0.73361193184565177</v>
      </c>
      <c r="CB264" s="1206">
        <f>'2023'!R\Max</f>
        <v>0.73357980002195267</v>
      </c>
      <c r="CC264" s="1206">
        <f>'2024'!R\Max</f>
        <v>0.73354766361496959</v>
      </c>
      <c r="CD264" s="1206">
        <f>'2025'!R\Max</f>
        <v>0.73371083787819225</v>
      </c>
      <c r="CE264" s="1206">
        <f>'2026'!R\Max</f>
        <v>0.73368970304466696</v>
      </c>
      <c r="CF264" s="1207">
        <f>'2027'!R\Max</f>
        <v>0.73366441092018819</v>
      </c>
    </row>
    <row r="265" spans="1:84" s="6" customFormat="1" ht="11.25" x14ac:dyDescent="0.2">
      <c r="A265" s="11">
        <v>43351</v>
      </c>
      <c r="B265" s="379">
        <f>'2022'!Maxi_hp</f>
        <v>46.460443083143332</v>
      </c>
      <c r="C265" s="13">
        <f>'2022'!An_max</f>
        <v>2018</v>
      </c>
      <c r="D265" s="1053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2">
        <f t="shared" si="99"/>
        <v>43346</v>
      </c>
      <c r="I265" s="753">
        <f t="shared" si="100"/>
        <v>0.35714285714285715</v>
      </c>
      <c r="J265" s="746">
        <f t="shared" si="101"/>
        <v>51.273614084933477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46">
        <v>43351</v>
      </c>
      <c r="AP265" s="13">
        <f t="shared" si="102"/>
        <v>11</v>
      </c>
      <c r="AQ265" s="13">
        <f t="shared" si="103"/>
        <v>10</v>
      </c>
      <c r="AR265" s="172">
        <f t="shared" si="104"/>
        <v>43360</v>
      </c>
      <c r="AS265" s="753">
        <f t="shared" si="105"/>
        <v>0.32142857142857145</v>
      </c>
      <c r="AT265" s="769">
        <f t="shared" si="106"/>
        <v>51.149145442526788</v>
      </c>
      <c r="AU265" s="13">
        <f t="shared" si="107"/>
        <v>11</v>
      </c>
      <c r="AV265" s="13">
        <f t="shared" si="108"/>
        <v>10</v>
      </c>
      <c r="AW265" s="172">
        <f t="shared" si="109"/>
        <v>43374</v>
      </c>
      <c r="AX265" s="753">
        <f t="shared" si="110"/>
        <v>0.8214285714285714</v>
      </c>
      <c r="AY265" s="769">
        <f t="shared" si="111"/>
        <v>51.228921573795375</v>
      </c>
      <c r="AZ265" s="746">
        <f t="shared" si="115"/>
        <v>51.189033508161081</v>
      </c>
      <c r="BA265" s="641">
        <f t="shared" si="112"/>
        <v>0.90612772109613249</v>
      </c>
      <c r="BC265" s="11">
        <v>43351</v>
      </c>
      <c r="BD265" s="289">
        <f>[2]!FeuilCaduc*(1-Persistant)+Persistant</f>
        <v>0.97835850865339413</v>
      </c>
      <c r="BE265" s="290">
        <f>[2]!CroissVégét</f>
        <v>0.97613026748322473</v>
      </c>
      <c r="BF265" s="819">
        <f>1+[2]!Salcycl*Ksac</f>
        <v>1.0472948135816742</v>
      </c>
      <c r="BH265" s="1044">
        <f t="shared" si="113"/>
        <v>8.5060133338365571E-3</v>
      </c>
      <c r="BI265" s="11">
        <v>44447</v>
      </c>
      <c r="BJ265" s="726">
        <v>1.8156855430911461E-3</v>
      </c>
      <c r="BK265" s="726">
        <v>2.4370589822975807E-3</v>
      </c>
      <c r="BL265" s="726">
        <v>3.4008031323732092E-3</v>
      </c>
      <c r="BM265" s="726">
        <v>4.9536370975739536E-3</v>
      </c>
      <c r="BN265" s="726">
        <v>7.0845415440793334E-3</v>
      </c>
      <c r="BO265" s="727">
        <v>9.7426123352020583E-3</v>
      </c>
      <c r="BP265" s="726">
        <v>1.3295919430519085E-2</v>
      </c>
      <c r="BQ265" s="726">
        <v>1.7782637826460841E-2</v>
      </c>
      <c r="BR265" s="726">
        <v>2.2797293032454553E-2</v>
      </c>
      <c r="BS265" s="726">
        <v>2.7748448114895369E-2</v>
      </c>
      <c r="BT265" s="726">
        <v>3.251905993348593E-2</v>
      </c>
      <c r="BW265" s="1208">
        <f>'2018'!R\Max</f>
        <v>0.90612772109613249</v>
      </c>
      <c r="BX265" s="1206">
        <f>'2019'!R\Max</f>
        <v>0.89130104794956422</v>
      </c>
      <c r="BY265" s="1206">
        <f>'2020'!R\Max</f>
        <v>0.86207221179378357</v>
      </c>
      <c r="BZ265" s="1206">
        <f>'2021'!R\Max</f>
        <v>0.63745343958237122</v>
      </c>
      <c r="CA265" s="1206">
        <f>'2022'!R\Max</f>
        <v>0.80661563781600587</v>
      </c>
      <c r="CB265" s="1206">
        <f>'2023'!R\Max</f>
        <v>0.80658987474325616</v>
      </c>
      <c r="CC265" s="1206">
        <f>'2024'!R\Max</f>
        <v>0.80656410735769213</v>
      </c>
      <c r="CD265" s="1206">
        <f>'2025'!R\Max</f>
        <v>0.80669552611688022</v>
      </c>
      <c r="CE265" s="1206">
        <f>'2026'!R\Max</f>
        <v>0.80667834289491569</v>
      </c>
      <c r="CF265" s="1207">
        <f>'2027'!R\Max</f>
        <v>0.80665794820676506</v>
      </c>
    </row>
    <row r="266" spans="1:84" s="6" customFormat="1" ht="11.25" x14ac:dyDescent="0.2">
      <c r="A266" s="11">
        <v>43352</v>
      </c>
      <c r="B266" s="379">
        <f>'2022'!Maxi_hp</f>
        <v>49.540166553764124</v>
      </c>
      <c r="C266" s="13">
        <f>'2022'!An_max</f>
        <v>2020</v>
      </c>
      <c r="D266" s="1053">
        <f t="shared" si="97"/>
        <v>0.97008800397424988</v>
      </c>
      <c r="E266" s="13"/>
      <c r="F266" s="13">
        <f t="shared" si="114"/>
        <v>19</v>
      </c>
      <c r="G266" s="13">
        <f t="shared" si="98"/>
        <v>20</v>
      </c>
      <c r="H266" s="172">
        <f t="shared" si="99"/>
        <v>43346</v>
      </c>
      <c r="I266" s="753">
        <f t="shared" si="100"/>
        <v>0.42857142857142855</v>
      </c>
      <c r="J266" s="746">
        <f t="shared" si="101"/>
        <v>51.067703497835566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46">
        <v>43352</v>
      </c>
      <c r="AP266" s="13">
        <f t="shared" si="102"/>
        <v>11</v>
      </c>
      <c r="AQ266" s="13">
        <f t="shared" si="103"/>
        <v>10</v>
      </c>
      <c r="AR266" s="172">
        <f t="shared" si="104"/>
        <v>43360</v>
      </c>
      <c r="AS266" s="753">
        <f t="shared" si="105"/>
        <v>0.2857142857142857</v>
      </c>
      <c r="AT266" s="769">
        <f t="shared" si="106"/>
        <v>50.955890962800808</v>
      </c>
      <c r="AU266" s="13">
        <f t="shared" si="107"/>
        <v>11</v>
      </c>
      <c r="AV266" s="13">
        <f t="shared" si="108"/>
        <v>10</v>
      </c>
      <c r="AW266" s="172">
        <f t="shared" si="109"/>
        <v>43374</v>
      </c>
      <c r="AX266" s="753">
        <f t="shared" si="110"/>
        <v>0.7857142857142857</v>
      </c>
      <c r="AY266" s="769">
        <f t="shared" si="111"/>
        <v>51.014289175266661</v>
      </c>
      <c r="AZ266" s="746">
        <f t="shared" si="115"/>
        <v>50.985090069033731</v>
      </c>
      <c r="BA266" s="641">
        <f t="shared" si="112"/>
        <v>0.97008800397424988</v>
      </c>
      <c r="BC266" s="11">
        <v>43352</v>
      </c>
      <c r="BD266" s="289">
        <f>[2]!FeuilCaduc*(1-Persistant)+Persistant</f>
        <v>0.97710985527977512</v>
      </c>
      <c r="BE266" s="290">
        <f>[2]!CroissVégét</f>
        <v>0.97708205248193514</v>
      </c>
      <c r="BF266" s="819">
        <f>1+[2]!Salcycl*Ksac</f>
        <v>1.0471387319099719</v>
      </c>
      <c r="BH266" s="1044">
        <f t="shared" si="113"/>
        <v>9.0482099400718517E-3</v>
      </c>
      <c r="BI266" s="11">
        <v>44448</v>
      </c>
      <c r="BJ266" s="726">
        <v>2.0336000067215604E-3</v>
      </c>
      <c r="BK266" s="726">
        <v>2.7209969283194992E-3</v>
      </c>
      <c r="BL266" s="726">
        <v>3.76479054844722E-3</v>
      </c>
      <c r="BM266" s="726">
        <v>5.395029005788453E-3</v>
      </c>
      <c r="BN266" s="726">
        <v>7.5977944835880834E-3</v>
      </c>
      <c r="BO266" s="727">
        <v>1.0309988272907598E-2</v>
      </c>
      <c r="BP266" s="726">
        <v>1.389116370566503E-2</v>
      </c>
      <c r="BQ266" s="726">
        <v>1.8378805683210521E-2</v>
      </c>
      <c r="BR266" s="726">
        <v>2.3349216315695653E-2</v>
      </c>
      <c r="BS266" s="726">
        <v>2.8241813698682689E-2</v>
      </c>
      <c r="BT266" s="726">
        <v>3.2940444379343931E-2</v>
      </c>
      <c r="BW266" s="1208">
        <f>'2018'!R\Max</f>
        <v>0.64283326383674755</v>
      </c>
      <c r="BX266" s="1206">
        <f>'2019'!R\Max</f>
        <v>0.8098946456102214</v>
      </c>
      <c r="BY266" s="1206">
        <f>'2020'!R\Max</f>
        <v>0.97008800397424988</v>
      </c>
      <c r="BZ266" s="1206">
        <f>'2021'!R\Max</f>
        <v>0.36794070954513475</v>
      </c>
      <c r="CA266" s="1206">
        <f>'2022'!R\Max</f>
        <v>0.45080184080848862</v>
      </c>
      <c r="CB266" s="1206">
        <f>'2023'!R\Max</f>
        <v>0.45076083147186352</v>
      </c>
      <c r="CC266" s="1206">
        <f>'2024'!R\Max</f>
        <v>0.45071982008470135</v>
      </c>
      <c r="CD266" s="1206">
        <f>'2025'!R\Max</f>
        <v>0.45093018426451387</v>
      </c>
      <c r="CE266" s="1206">
        <f>'2026'!R\Max</f>
        <v>0.45090241538328474</v>
      </c>
      <c r="CF266" s="1207">
        <f>'2027'!R\Max</f>
        <v>0.45086969377147118</v>
      </c>
    </row>
    <row r="267" spans="1:84" s="6" customFormat="1" ht="11.25" x14ac:dyDescent="0.2">
      <c r="A267" s="11">
        <v>43353</v>
      </c>
      <c r="B267" s="379">
        <f>'2022'!Maxi_hp</f>
        <v>48.654110343660342</v>
      </c>
      <c r="C267" s="13">
        <f>'2022'!An_max</f>
        <v>2022</v>
      </c>
      <c r="D267" s="1053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2">
        <f t="shared" si="99"/>
        <v>43346</v>
      </c>
      <c r="I267" s="753">
        <f t="shared" si="100"/>
        <v>0.5</v>
      </c>
      <c r="J267" s="746">
        <f t="shared" si="101"/>
        <v>50.856881248950955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46">
        <v>43353</v>
      </c>
      <c r="AP267" s="13">
        <f t="shared" si="102"/>
        <v>11</v>
      </c>
      <c r="AQ267" s="13">
        <f t="shared" si="103"/>
        <v>10</v>
      </c>
      <c r="AR267" s="172">
        <f t="shared" si="104"/>
        <v>43360</v>
      </c>
      <c r="AS267" s="753">
        <f t="shared" si="105"/>
        <v>0.25</v>
      </c>
      <c r="AT267" s="769">
        <f t="shared" si="106"/>
        <v>50.758555469568819</v>
      </c>
      <c r="AU267" s="13">
        <f t="shared" si="107"/>
        <v>11</v>
      </c>
      <c r="AV267" s="13">
        <f t="shared" si="108"/>
        <v>10</v>
      </c>
      <c r="AW267" s="172">
        <f t="shared" si="109"/>
        <v>43374</v>
      </c>
      <c r="AX267" s="753">
        <f t="shared" si="110"/>
        <v>0.75</v>
      </c>
      <c r="AY267" s="769">
        <f t="shared" si="111"/>
        <v>50.794943749718371</v>
      </c>
      <c r="AZ267" s="746">
        <f t="shared" si="115"/>
        <v>50.776749609643595</v>
      </c>
      <c r="BA267" s="641">
        <f t="shared" si="112"/>
        <v>0.95668686613896425</v>
      </c>
      <c r="BC267" s="11">
        <v>43353</v>
      </c>
      <c r="BD267" s="289">
        <f>[2]!FeuilCaduc*(1-Persistant)+Persistant</f>
        <v>0.97580598557900677</v>
      </c>
      <c r="BE267" s="290">
        <f>[2]!CroissVégét</f>
        <v>0.97799726049726488</v>
      </c>
      <c r="BF267" s="819">
        <f>1+[2]!Salcycl*Ksac</f>
        <v>1.0469757481973758</v>
      </c>
      <c r="BH267" s="1044">
        <f t="shared" si="113"/>
        <v>9.6048139313625047E-3</v>
      </c>
      <c r="BI267" s="11">
        <v>44449</v>
      </c>
      <c r="BJ267" s="726">
        <v>2.2686275836270886E-3</v>
      </c>
      <c r="BK267" s="726">
        <v>3.0252578522589422E-3</v>
      </c>
      <c r="BL267" s="726">
        <v>4.1506778968064036E-3</v>
      </c>
      <c r="BM267" s="726">
        <v>5.8558164675846409E-3</v>
      </c>
      <c r="BN267" s="726">
        <v>8.1273160881754208E-3</v>
      </c>
      <c r="BO267" s="727">
        <v>1.089015238870669E-2</v>
      </c>
      <c r="BP267" s="726">
        <v>1.4500345814422231E-2</v>
      </c>
      <c r="BQ267" s="726">
        <v>1.8981773178889005E-2</v>
      </c>
      <c r="BR267" s="726">
        <v>2.3902074347109017E-2</v>
      </c>
      <c r="BS267" s="726">
        <v>2.873175005506811E-2</v>
      </c>
      <c r="BT267" s="726">
        <v>3.3365347167723346E-2</v>
      </c>
      <c r="BW267" s="1208">
        <f>'2018'!R\Max</f>
        <v>0.78590329442232365</v>
      </c>
      <c r="BX267" s="1206">
        <f>'2019'!R\Max</f>
        <v>0.26657382792970757</v>
      </c>
      <c r="BY267" s="1206">
        <f>'2020'!R\Max</f>
        <v>0.47828237386916284</v>
      </c>
      <c r="BZ267" s="1206">
        <f>'2021'!R\Max</f>
        <v>0.81696837074296269</v>
      </c>
      <c r="CA267" s="1206">
        <f>'2022'!R\Max</f>
        <v>0.95668686613896425</v>
      </c>
      <c r="CB267" s="1206">
        <f>'2023'!R\Max</f>
        <v>0.95667999212884525</v>
      </c>
      <c r="CC267" s="1206">
        <f>'2024'!R\Max</f>
        <v>0.95667311662058596</v>
      </c>
      <c r="CD267" s="1206">
        <f>'2025'!R\Max</f>
        <v>0.95670859968492628</v>
      </c>
      <c r="CE267" s="1206">
        <f>'2026'!R\Max</f>
        <v>0.95670387485828989</v>
      </c>
      <c r="CF267" s="1207">
        <f>'2027'!R\Max</f>
        <v>0.95669834032683698</v>
      </c>
    </row>
    <row r="268" spans="1:84" s="6" customFormat="1" ht="11.25" x14ac:dyDescent="0.2">
      <c r="A268" s="11">
        <v>43354</v>
      </c>
      <c r="B268" s="379">
        <f>'2022'!Maxi_hp</f>
        <v>49.232037349545898</v>
      </c>
      <c r="C268" s="13">
        <f>'2022'!An_max</f>
        <v>2022</v>
      </c>
      <c r="D268" s="1053">
        <f t="shared" si="97"/>
        <v>0.97217252382554986</v>
      </c>
      <c r="E268" s="13"/>
      <c r="F268" s="13">
        <f t="shared" si="114"/>
        <v>19</v>
      </c>
      <c r="G268" s="13">
        <f t="shared" si="98"/>
        <v>20</v>
      </c>
      <c r="H268" s="172">
        <f t="shared" si="99"/>
        <v>43346</v>
      </c>
      <c r="I268" s="753">
        <f t="shared" si="100"/>
        <v>0.5714285714285714</v>
      </c>
      <c r="J268" s="746">
        <f t="shared" si="101"/>
        <v>50.641255685580632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46">
        <v>43354</v>
      </c>
      <c r="AP268" s="13">
        <f t="shared" si="102"/>
        <v>11</v>
      </c>
      <c r="AQ268" s="13">
        <f t="shared" si="103"/>
        <v>10</v>
      </c>
      <c r="AR268" s="172">
        <f t="shared" si="104"/>
        <v>43360</v>
      </c>
      <c r="AS268" s="753">
        <f t="shared" si="105"/>
        <v>0.21428571428571427</v>
      </c>
      <c r="AT268" s="769">
        <f t="shared" si="106"/>
        <v>50.557017073673862</v>
      </c>
      <c r="AU268" s="13">
        <f t="shared" si="107"/>
        <v>11</v>
      </c>
      <c r="AV268" s="13">
        <f t="shared" si="108"/>
        <v>10</v>
      </c>
      <c r="AW268" s="172">
        <f t="shared" si="109"/>
        <v>43374</v>
      </c>
      <c r="AX268" s="753">
        <f t="shared" si="110"/>
        <v>0.7142857142857143</v>
      </c>
      <c r="AY268" s="769">
        <f t="shared" si="111"/>
        <v>50.571047812806704</v>
      </c>
      <c r="AZ268" s="746">
        <f t="shared" si="115"/>
        <v>50.564032443240279</v>
      </c>
      <c r="BA268" s="641">
        <f t="shared" si="112"/>
        <v>0.97217252382554986</v>
      </c>
      <c r="BC268" s="11">
        <v>43354</v>
      </c>
      <c r="BD268" s="289">
        <f>[2]!FeuilCaduc*(1-Persistant)+Persistant</f>
        <v>0.97444473245570595</v>
      </c>
      <c r="BE268" s="290">
        <f>[2]!CroissVégét</f>
        <v>0.97887723107993829</v>
      </c>
      <c r="BF268" s="819">
        <f>1+[2]!Salcycl*Ksac</f>
        <v>1.0468055915569632</v>
      </c>
      <c r="BH268" s="1044">
        <f t="shared" si="113"/>
        <v>1.0153276416896471E-2</v>
      </c>
      <c r="BI268" s="11">
        <v>44450</v>
      </c>
      <c r="BJ268" s="726">
        <v>2.5138852847175447E-3</v>
      </c>
      <c r="BK268" s="726">
        <v>3.3397546476239687E-3</v>
      </c>
      <c r="BL268" s="726">
        <v>4.5443545030877689E-3</v>
      </c>
      <c r="BM268" s="726">
        <v>6.3186947670188639E-3</v>
      </c>
      <c r="BN268" s="726">
        <v>8.6521898311613665E-3</v>
      </c>
      <c r="BO268" s="727">
        <v>1.1459135728533047E-2</v>
      </c>
      <c r="BP268" s="726">
        <v>1.5093853845959527E-2</v>
      </c>
      <c r="BQ268" s="726">
        <v>1.9559828539248942E-2</v>
      </c>
      <c r="BR268" s="726">
        <v>2.4425986143840742E-2</v>
      </c>
      <c r="BS268" s="726">
        <v>2.9193807465290132E-2</v>
      </c>
      <c r="BT268" s="726">
        <v>3.3773398479222928E-2</v>
      </c>
      <c r="BW268" s="1208">
        <f>'2018'!R\Max</f>
        <v>0.96019276949374044</v>
      </c>
      <c r="BX268" s="1206">
        <f>'2019'!R\Max</f>
        <v>0.83381616854028384</v>
      </c>
      <c r="BY268" s="1206">
        <f>'2020'!R\Max</f>
        <v>0.8004308621107018</v>
      </c>
      <c r="BZ268" s="1206">
        <f>'2021'!R\Max</f>
        <v>0.83400197863612535</v>
      </c>
      <c r="CA268" s="1206">
        <f>'2022'!R\Max</f>
        <v>0.97217252382554986</v>
      </c>
      <c r="CB268" s="1206">
        <f>'2023'!R\Max</f>
        <v>0.97216803865276791</v>
      </c>
      <c r="CC268" s="1206">
        <f>'2024'!R\Max</f>
        <v>0.9721635524800194</v>
      </c>
      <c r="CD268" s="1206">
        <f>'2025'!R\Max</f>
        <v>0.97218686309507429</v>
      </c>
      <c r="CE268" s="1206">
        <f>'2026'!R\Max</f>
        <v>0.97218373205036401</v>
      </c>
      <c r="CF268" s="1207">
        <f>'2027'!R\Max</f>
        <v>0.97218008381653886</v>
      </c>
    </row>
    <row r="269" spans="1:84" s="6" customFormat="1" ht="11.25" x14ac:dyDescent="0.2">
      <c r="A269" s="11">
        <v>43355</v>
      </c>
      <c r="B269" s="379">
        <f>'2022'!Maxi_hp</f>
        <v>50.900576803696573</v>
      </c>
      <c r="C269" s="13">
        <f>'2022'!An_max</f>
        <v>2019</v>
      </c>
      <c r="D269" s="1053">
        <f t="shared" si="97"/>
        <v>1.0095127480972357</v>
      </c>
      <c r="E269" s="13"/>
      <c r="F269" s="13">
        <f t="shared" si="114"/>
        <v>19</v>
      </c>
      <c r="G269" s="13">
        <f t="shared" si="98"/>
        <v>20</v>
      </c>
      <c r="H269" s="172">
        <f t="shared" si="99"/>
        <v>43346</v>
      </c>
      <c r="I269" s="753">
        <f t="shared" si="100"/>
        <v>0.6428571428571429</v>
      </c>
      <c r="J269" s="746">
        <f t="shared" si="101"/>
        <v>50.420935148798989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46">
        <v>43355</v>
      </c>
      <c r="AP269" s="13">
        <f t="shared" si="102"/>
        <v>11</v>
      </c>
      <c r="AQ269" s="13">
        <f t="shared" si="103"/>
        <v>10</v>
      </c>
      <c r="AR269" s="172">
        <f t="shared" si="104"/>
        <v>43360</v>
      </c>
      <c r="AS269" s="753">
        <f t="shared" si="105"/>
        <v>0.17857142857142858</v>
      </c>
      <c r="AT269" s="769">
        <f t="shared" si="106"/>
        <v>50.351153887928056</v>
      </c>
      <c r="AU269" s="13">
        <f t="shared" si="107"/>
        <v>11</v>
      </c>
      <c r="AV269" s="13">
        <f t="shared" si="108"/>
        <v>10</v>
      </c>
      <c r="AW269" s="172">
        <f t="shared" si="109"/>
        <v>43374</v>
      </c>
      <c r="AX269" s="753">
        <f t="shared" si="110"/>
        <v>0.6785714285714286</v>
      </c>
      <c r="AY269" s="769">
        <f t="shared" si="111"/>
        <v>50.34276388399303</v>
      </c>
      <c r="AZ269" s="746">
        <f t="shared" si="115"/>
        <v>50.346958885960547</v>
      </c>
      <c r="BA269" s="641">
        <f t="shared" si="112"/>
        <v>1.0095127480972357</v>
      </c>
      <c r="BC269" s="11">
        <v>43355</v>
      </c>
      <c r="BD269" s="289">
        <f>[2]!FeuilCaduc*(1-Persistant)+Persistant</f>
        <v>0.9730238463676989</v>
      </c>
      <c r="BE269" s="290">
        <f>[2]!CroissVégét</f>
        <v>0.97972325984311226</v>
      </c>
      <c r="BF269" s="819">
        <f>1+[2]!Salcycl*Ksac</f>
        <v>1.0466279807959624</v>
      </c>
      <c r="BH269" s="1044">
        <f t="shared" si="113"/>
        <v>1.0682257860835438E-2</v>
      </c>
      <c r="BI269" s="11">
        <v>44451</v>
      </c>
      <c r="BJ269" s="726">
        <v>2.7608542768407592E-3</v>
      </c>
      <c r="BK269" s="726">
        <v>3.6532336317032055E-3</v>
      </c>
      <c r="BL269" s="726">
        <v>4.931790225964721E-3</v>
      </c>
      <c r="BM269" s="726">
        <v>6.7697592690495571E-3</v>
      </c>
      <c r="BN269" s="726">
        <v>9.1595405304933236E-3</v>
      </c>
      <c r="BO269" s="727">
        <v>1.2006934680756431E-2</v>
      </c>
      <c r="BP269" s="726">
        <v>1.5662707625949589E-2</v>
      </c>
      <c r="BQ269" s="726">
        <v>2.0109413021690718E-2</v>
      </c>
      <c r="BR269" s="726">
        <v>2.4923304840579318E-2</v>
      </c>
      <c r="BS269" s="726">
        <v>2.9634897237237962E-2</v>
      </c>
      <c r="BT269" s="726">
        <v>3.417029974202445E-2</v>
      </c>
      <c r="BW269" s="1208">
        <f>'2018'!R\Max</f>
        <v>0.63777678909940749</v>
      </c>
      <c r="BX269" s="1206">
        <f>'2019'!R\Max</f>
        <v>1.0095127480972357</v>
      </c>
      <c r="BY269" s="1206">
        <f>'2020'!R\Max</f>
        <v>0.9569894891139159</v>
      </c>
      <c r="BZ269" s="1206">
        <f>'2021'!R\Max</f>
        <v>0.95761801176230721</v>
      </c>
      <c r="CA269" s="1206">
        <f>'2022'!R\Max</f>
        <v>0.6837850944440137</v>
      </c>
      <c r="CB269" s="1206">
        <f>'2023'!R\Max</f>
        <v>0.68374929911902182</v>
      </c>
      <c r="CC269" s="1206">
        <f>'2024'!R\Max</f>
        <v>0.68371349924365765</v>
      </c>
      <c r="CD269" s="1206">
        <f>'2025'!R\Max</f>
        <v>0.68390081565243299</v>
      </c>
      <c r="CE269" s="1206">
        <f>'2026'!R\Max</f>
        <v>0.68387543917422611</v>
      </c>
      <c r="CF269" s="1207">
        <f>'2027'!R\Max</f>
        <v>0.68384602051270216</v>
      </c>
    </row>
    <row r="270" spans="1:84" s="6" customFormat="1" ht="11.25" x14ac:dyDescent="0.2">
      <c r="A270" s="11">
        <v>43356</v>
      </c>
      <c r="B270" s="379">
        <f>'2022'!Maxi_hp</f>
        <v>48.380443853441712</v>
      </c>
      <c r="C270" s="13">
        <f>'2022'!An_max</f>
        <v>2020</v>
      </c>
      <c r="D270" s="1053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2">
        <f t="shared" si="99"/>
        <v>43346</v>
      </c>
      <c r="I270" s="753">
        <f t="shared" si="100"/>
        <v>0.7142857142857143</v>
      </c>
      <c r="J270" s="746">
        <f t="shared" si="101"/>
        <v>50.196027988514729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46">
        <v>43356</v>
      </c>
      <c r="AP270" s="13">
        <f t="shared" si="102"/>
        <v>11</v>
      </c>
      <c r="AQ270" s="13">
        <f t="shared" si="103"/>
        <v>10</v>
      </c>
      <c r="AR270" s="172">
        <f t="shared" si="104"/>
        <v>43360</v>
      </c>
      <c r="AS270" s="753">
        <f t="shared" si="105"/>
        <v>0.14285714285714285</v>
      </c>
      <c r="AT270" s="769">
        <f t="shared" si="106"/>
        <v>50.140844022801943</v>
      </c>
      <c r="AU270" s="13">
        <f t="shared" si="107"/>
        <v>11</v>
      </c>
      <c r="AV270" s="13">
        <f t="shared" si="108"/>
        <v>10</v>
      </c>
      <c r="AW270" s="172">
        <f t="shared" si="109"/>
        <v>43374</v>
      </c>
      <c r="AX270" s="753">
        <f t="shared" si="110"/>
        <v>0.6428571428571429</v>
      </c>
      <c r="AY270" s="769">
        <f t="shared" si="111"/>
        <v>50.110254482100046</v>
      </c>
      <c r="AZ270" s="746">
        <f t="shared" si="115"/>
        <v>50.125549252450995</v>
      </c>
      <c r="BA270" s="641">
        <f t="shared" si="112"/>
        <v>0.96383012346139341</v>
      </c>
      <c r="BC270" s="11">
        <v>43356</v>
      </c>
      <c r="BD270" s="289">
        <f>[2]!FeuilCaduc*(1-Persistant)+Persistant</f>
        <v>0.97154099632593671</v>
      </c>
      <c r="BE270" s="290">
        <f>[2]!CroissVégét</f>
        <v>0.98053659949953242</v>
      </c>
      <c r="BF270" s="819">
        <f>1+[2]!Salcycl*Ksac</f>
        <v>1.0464426245407421</v>
      </c>
      <c r="BH270" s="1044">
        <f t="shared" si="113"/>
        <v>1.1191763213759396E-2</v>
      </c>
      <c r="BI270" s="11">
        <v>44452</v>
      </c>
      <c r="BJ270" s="726">
        <v>3.009543321800754E-3</v>
      </c>
      <c r="BK270" s="726">
        <v>3.9657039385352427E-3</v>
      </c>
      <c r="BL270" s="726">
        <v>5.3129932801533929E-3</v>
      </c>
      <c r="BM270" s="726">
        <v>7.2090168376896281E-3</v>
      </c>
      <c r="BN270" s="726">
        <v>9.6493734889069715E-3</v>
      </c>
      <c r="BO270" s="727">
        <v>1.2533553889601562E-2</v>
      </c>
      <c r="BP270" s="726">
        <v>1.6206910825475335E-2</v>
      </c>
      <c r="BQ270" s="726">
        <v>2.0630528054444056E-2</v>
      </c>
      <c r="BR270" s="726">
        <v>2.5394032307972568E-2</v>
      </c>
      <c r="BS270" s="726">
        <v>3.0055023914666135E-2</v>
      </c>
      <c r="BT270" s="726">
        <v>3.455606114039577E-2</v>
      </c>
      <c r="BW270" s="1208">
        <f>'2018'!R\Max</f>
        <v>0.45624997754393237</v>
      </c>
      <c r="BX270" s="1206">
        <f>'2019'!R\Max</f>
        <v>0.77526434754469076</v>
      </c>
      <c r="BY270" s="1206">
        <f>'2020'!R\Max</f>
        <v>0.96383012346139341</v>
      </c>
      <c r="BZ270" s="1206">
        <f>'2021'!R\Max</f>
        <v>0.6885758408524012</v>
      </c>
      <c r="CA270" s="1206">
        <f>'2022'!R\Max</f>
        <v>0.24351088034614318</v>
      </c>
      <c r="CB270" s="1206">
        <f>'2023'!R\Max</f>
        <v>0.24348272142711594</v>
      </c>
      <c r="CC270" s="1206">
        <f>'2024'!R\Max</f>
        <v>0.24345456250808883</v>
      </c>
      <c r="CD270" s="1206">
        <f>'2025'!R\Max</f>
        <v>0.24360292633218592</v>
      </c>
      <c r="CE270" s="1206">
        <f>'2026'!R\Max</f>
        <v>0.24358265881509472</v>
      </c>
      <c r="CF270" s="1207">
        <f>'2027'!R\Max</f>
        <v>0.24355927574301561</v>
      </c>
    </row>
    <row r="271" spans="1:84" s="6" customFormat="1" ht="11.25" x14ac:dyDescent="0.2">
      <c r="A271" s="11">
        <v>43357</v>
      </c>
      <c r="B271" s="379">
        <f>'2022'!Maxi_hp</f>
        <v>48.09542285224876</v>
      </c>
      <c r="C271" s="13">
        <f>'2022'!An_max</f>
        <v>2020</v>
      </c>
      <c r="D271" s="1053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2">
        <f t="shared" ref="H271:H334" si="118">INDEX(x.2m,F271)</f>
        <v>43346</v>
      </c>
      <c r="I271" s="753">
        <f t="shared" ref="I271:I334" si="119">($A271-H271)/(INDEX(x.2m,G271)-H271)</f>
        <v>0.7857142857142857</v>
      </c>
      <c r="J271" s="746">
        <f t="shared" ref="J271:J334" si="120">((1-I271)*(INDEX(a.m,F271)*$A271*$A271+INDEX(b.m,F271)*$A271+INDEX(c.m,F271))+I271*(INDEX(a.m,G271)*$A271*$A271+INDEX(b.m,G271)*$A271+INDEX(c.m,G271)))/10</f>
        <v>49.966642547185927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46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2">
        <f t="shared" ref="AR271:AR334" si="123">INDEX(x.2lg,AP271)</f>
        <v>43360</v>
      </c>
      <c r="AS271" s="753">
        <f t="shared" ref="AS271:AS334" si="124">($A271-AR271)/(INDEX(x.2lg,AQ271)-AR271)</f>
        <v>0.10714285714285714</v>
      </c>
      <c r="AT271" s="769">
        <f t="shared" ref="AT271:AT334" si="125">((1-AS271)*(INDEX(a.lg,AP271)*$A271*$A271+INDEX(b.lg,AP271)*$A271+INDEX(c.lg,AP271))+AS271*(INDEX(a.lg,AQ271)*$A271*$A271+INDEX(b.lg,AQ271)*$A271+INDEX(c.lg,AQ271)))/10</f>
        <v>49.925965591852687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2">
        <f t="shared" ref="AW271:AW334" si="128">INDEX(x.2ld,AU271)</f>
        <v>43374</v>
      </c>
      <c r="AX271" s="753">
        <f t="shared" ref="AX271:AX334" si="129">($A271-AW271)/(INDEX(x.2ld,AV271)-AW271)</f>
        <v>0.6071428571428571</v>
      </c>
      <c r="AY271" s="769">
        <f t="shared" ref="AY271:AY334" si="130">((1-AX271)*(INDEX(a.ld,AU271)*$A271*$A271+INDEX(b.ld,AU271)*$A271+INDEX(c.ld,AU271))+AX271*(INDEX(a.ld,AV271)*$A271*$A271+INDEX(b.ld,AV271)*$A271+INDEX(c.ld,AV271)))/10</f>
        <v>49.873682123555668</v>
      </c>
      <c r="AZ271" s="746">
        <f t="shared" si="115"/>
        <v>49.899823857704177</v>
      </c>
      <c r="BA271" s="641">
        <f t="shared" ref="BA271:BA334" si="131">+B271/J271</f>
        <v>0.96255062178392148</v>
      </c>
      <c r="BC271" s="11">
        <v>43357</v>
      </c>
      <c r="BD271" s="289">
        <f>[2]!FeuilCaduc*(1-Persistant)+Persistant</f>
        <v>0.96999377203723292</v>
      </c>
      <c r="BE271" s="290">
        <f>[2]!CroissVégét</f>
        <v>0.98131846090840358</v>
      </c>
      <c r="BF271" s="819">
        <f>1+[2]!Salcycl*Ksac</f>
        <v>1.0462492215046542</v>
      </c>
      <c r="BH271" s="1044">
        <f t="shared" ref="BH271:BH334" si="132">INDEX($BJ271:$BT271,,$BH$10)*(1-Ratini)+INDEX($BJ271:$BT271,,$BH$10+1)*Ratini</f>
        <v>1.1681796607059838E-2</v>
      </c>
      <c r="BI271" s="11">
        <v>44453</v>
      </c>
      <c r="BJ271" s="726">
        <v>3.2599614503318422E-3</v>
      </c>
      <c r="BK271" s="726">
        <v>4.2771748516003232E-3</v>
      </c>
      <c r="BL271" s="726">
        <v>5.6879717651525784E-3</v>
      </c>
      <c r="BM271" s="726">
        <v>7.636473928606175E-3</v>
      </c>
      <c r="BN271" s="726">
        <v>1.0121693294068895E-2</v>
      </c>
      <c r="BO271" s="727">
        <v>1.3038997089526751E-2</v>
      </c>
      <c r="BP271" s="726">
        <v>1.6726466008885388E-2</v>
      </c>
      <c r="BQ271" s="726">
        <v>2.1123173713173682E-2</v>
      </c>
      <c r="BR271" s="726">
        <v>2.5838169137944646E-2</v>
      </c>
      <c r="BS271" s="726">
        <v>3.0454191059163731E-2</v>
      </c>
      <c r="BT271" s="726">
        <v>3.4930692433380678E-2</v>
      </c>
      <c r="BW271" s="1208">
        <f>'2018'!R\Max</f>
        <v>0.62368601014735703</v>
      </c>
      <c r="BX271" s="1206">
        <f>'2019'!R\Max</f>
        <v>0.87496338132530649</v>
      </c>
      <c r="BY271" s="1206">
        <f>'2020'!R\Max</f>
        <v>0.96255062178392148</v>
      </c>
      <c r="BZ271" s="1206">
        <f>'2021'!R\Max</f>
        <v>0.42796560291812236</v>
      </c>
      <c r="CA271" s="1206">
        <f>'2022'!R\Max</f>
        <v>0.81214125215649513</v>
      </c>
      <c r="CB271" s="1206">
        <f>'2023'!R\Max</f>
        <v>0.81211612959844937</v>
      </c>
      <c r="CC271" s="1206">
        <f>'2024'!R\Max</f>
        <v>0.81209100280167068</v>
      </c>
      <c r="CD271" s="1206">
        <f>'2025'!R\Max</f>
        <v>0.8122242233034721</v>
      </c>
      <c r="CE271" s="1206">
        <f>'2026'!R\Max</f>
        <v>0.81220588974286889</v>
      </c>
      <c r="CF271" s="1207">
        <f>'2027'!R\Max</f>
        <v>0.81218482916987722</v>
      </c>
    </row>
    <row r="272" spans="1:84" s="6" customFormat="1" ht="11.25" x14ac:dyDescent="0.2">
      <c r="A272" s="11">
        <v>43358</v>
      </c>
      <c r="B272" s="379">
        <f>'2022'!Maxi_hp</f>
        <v>48.958278323972046</v>
      </c>
      <c r="C272" s="13">
        <f>'2022'!An_max</f>
        <v>2020</v>
      </c>
      <c r="D272" s="1053">
        <f t="shared" si="116"/>
        <v>0.9844246153331504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2">
        <f t="shared" si="118"/>
        <v>43346</v>
      </c>
      <c r="I272" s="753">
        <f t="shared" si="119"/>
        <v>0.8571428571428571</v>
      </c>
      <c r="J272" s="746">
        <f t="shared" si="120"/>
        <v>49.73288717227323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46">
        <v>43358</v>
      </c>
      <c r="AP272" s="13">
        <f t="shared" si="121"/>
        <v>11</v>
      </c>
      <c r="AQ272" s="13">
        <f t="shared" si="122"/>
        <v>10</v>
      </c>
      <c r="AR272" s="172">
        <f t="shared" si="123"/>
        <v>43360</v>
      </c>
      <c r="AS272" s="753">
        <f t="shared" si="124"/>
        <v>7.1428571428571425E-2</v>
      </c>
      <c r="AT272" s="769">
        <f t="shared" si="125"/>
        <v>49.706396702996322</v>
      </c>
      <c r="AU272" s="13">
        <f t="shared" si="126"/>
        <v>11</v>
      </c>
      <c r="AV272" s="13">
        <f t="shared" si="127"/>
        <v>10</v>
      </c>
      <c r="AW272" s="172">
        <f t="shared" si="128"/>
        <v>43374</v>
      </c>
      <c r="AX272" s="753">
        <f t="shared" si="129"/>
        <v>0.5714285714285714</v>
      </c>
      <c r="AY272" s="769">
        <f t="shared" si="130"/>
        <v>49.633209329417774</v>
      </c>
      <c r="AZ272" s="746">
        <f t="shared" ref="AZ272:AZ335" si="134">(AY272+AT272)/2</f>
        <v>49.669803016207048</v>
      </c>
      <c r="BA272" s="641">
        <f t="shared" si="131"/>
        <v>0.9844246153331504</v>
      </c>
      <c r="BC272" s="11">
        <v>43358</v>
      </c>
      <c r="BD272" s="289">
        <f>[2]!FeuilCaduc*(1-Persistant)+Persistant</f>
        <v>0.9683796872779693</v>
      </c>
      <c r="BE272" s="290">
        <f>[2]!CroissVégét</f>
        <v>0.98207001412819972</v>
      </c>
      <c r="BF272" s="819">
        <f>1+[2]!Salcycl*Ksac</f>
        <v>1.0460474609097461</v>
      </c>
      <c r="BH272" s="1044">
        <f t="shared" si="132"/>
        <v>1.2152361317971143E-2</v>
      </c>
      <c r="BI272" s="11">
        <v>44454</v>
      </c>
      <c r="BJ272" s="726">
        <v>3.5121179648665408E-3</v>
      </c>
      <c r="BK272" s="726">
        <v>4.5876558017103573E-3</v>
      </c>
      <c r="BL272" s="726">
        <v>6.056733653847254E-3</v>
      </c>
      <c r="BM272" s="726">
        <v>8.0521365678142779E-3</v>
      </c>
      <c r="BN272" s="726">
        <v>1.0576503787111582E-2</v>
      </c>
      <c r="BO272" s="727">
        <v>1.352326706720733E-2</v>
      </c>
      <c r="BP272" s="726">
        <v>1.7221374589556419E-2</v>
      </c>
      <c r="BQ272" s="726">
        <v>2.1587348669918283E-2</v>
      </c>
      <c r="BR272" s="726">
        <v>2.6255714595857044E-2</v>
      </c>
      <c r="BS272" s="726">
        <v>3.0832401212144915E-2</v>
      </c>
      <c r="BT272" s="726">
        <v>3.5294202933999853E-2</v>
      </c>
      <c r="BW272" s="1208">
        <f>'2018'!R\Max</f>
        <v>0.76243293492524078</v>
      </c>
      <c r="BX272" s="1206">
        <f>'2019'!R\Max</f>
        <v>0.88369647076970304</v>
      </c>
      <c r="BY272" s="1206">
        <f>'2020'!R\Max</f>
        <v>0.9844246153331504</v>
      </c>
      <c r="BZ272" s="1206">
        <f>'2021'!R\Max</f>
        <v>0.63967045196853434</v>
      </c>
      <c r="CA272" s="1206">
        <f>'2022'!R\Max</f>
        <v>0.89641341094075433</v>
      </c>
      <c r="CB272" s="1206">
        <f>'2023'!R\Max</f>
        <v>0.89639818141951477</v>
      </c>
      <c r="CC272" s="1206">
        <f>'2024'!R\Max</f>
        <v>0.89638294891783776</v>
      </c>
      <c r="CD272" s="1206">
        <f>'2025'!R\Max</f>
        <v>0.89646424031986627</v>
      </c>
      <c r="CE272" s="1206">
        <f>'2026'!R\Max</f>
        <v>0.89645296952774134</v>
      </c>
      <c r="CF272" s="1207">
        <f>'2027'!R\Max</f>
        <v>0.89644007642776857</v>
      </c>
    </row>
    <row r="273" spans="1:84" s="6" customFormat="1" ht="11.25" x14ac:dyDescent="0.2">
      <c r="A273" s="11">
        <v>43359</v>
      </c>
      <c r="B273" s="379">
        <f>'2022'!Maxi_hp</f>
        <v>47.140487034967791</v>
      </c>
      <c r="C273" s="13">
        <f>'2022'!An_max</f>
        <v>2018</v>
      </c>
      <c r="D273" s="1053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2">
        <f t="shared" si="118"/>
        <v>43346</v>
      </c>
      <c r="I273" s="753">
        <f t="shared" si="119"/>
        <v>0.9285714285714286</v>
      </c>
      <c r="J273" s="746">
        <f t="shared" si="120"/>
        <v>49.494870207511951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46">
        <v>43359</v>
      </c>
      <c r="AP273" s="13">
        <f t="shared" si="121"/>
        <v>11</v>
      </c>
      <c r="AQ273" s="13">
        <f t="shared" si="122"/>
        <v>10</v>
      </c>
      <c r="AR273" s="172">
        <f t="shared" si="123"/>
        <v>43360</v>
      </c>
      <c r="AS273" s="753">
        <f t="shared" si="124"/>
        <v>3.5714285714285712E-2</v>
      </c>
      <c r="AT273" s="769">
        <f t="shared" si="125"/>
        <v>49.482015468246701</v>
      </c>
      <c r="AU273" s="13">
        <f t="shared" si="126"/>
        <v>11</v>
      </c>
      <c r="AV273" s="13">
        <f t="shared" si="127"/>
        <v>10</v>
      </c>
      <c r="AW273" s="172">
        <f t="shared" si="128"/>
        <v>43374</v>
      </c>
      <c r="AX273" s="753">
        <f t="shared" si="129"/>
        <v>0.5357142857142857</v>
      </c>
      <c r="AY273" s="769">
        <f t="shared" si="130"/>
        <v>49.388998614677362</v>
      </c>
      <c r="AZ273" s="746">
        <f t="shared" si="134"/>
        <v>49.435507041462031</v>
      </c>
      <c r="BA273" s="641">
        <f t="shared" si="131"/>
        <v>0.95243177398641143</v>
      </c>
      <c r="BC273" s="11">
        <v>43359</v>
      </c>
      <c r="BD273" s="289">
        <f>[2]!FeuilCaduc*(1-Persistant)+Persistant</f>
        <v>0.9666961845742561</v>
      </c>
      <c r="BE273" s="290">
        <f>[2]!CroissVégét</f>
        <v>0.98279238947199099</v>
      </c>
      <c r="BF273" s="819">
        <f>1+[2]!Salcycl*Ksac</f>
        <v>1.0458370230717819</v>
      </c>
      <c r="BH273" s="1044">
        <f t="shared" si="132"/>
        <v>1.2603459734699382E-2</v>
      </c>
      <c r="BI273" s="11">
        <v>44455</v>
      </c>
      <c r="BJ273" s="726">
        <v>3.7660224423269315E-3</v>
      </c>
      <c r="BK273" s="726">
        <v>4.8971563649303157E-3</v>
      </c>
      <c r="BL273" s="726">
        <v>6.4192867811551282E-3</v>
      </c>
      <c r="BM273" s="726">
        <v>8.4560103304310297E-3</v>
      </c>
      <c r="BN273" s="726">
        <v>1.1013808031251335E-2</v>
      </c>
      <c r="BO273" s="727">
        <v>1.3986365623629161E-2</v>
      </c>
      <c r="BP273" s="726">
        <v>1.7691636785800702E-2</v>
      </c>
      <c r="BQ273" s="726">
        <v>2.2023050142217917E-2</v>
      </c>
      <c r="BR273" s="726">
        <v>2.6646666572905098E-2</v>
      </c>
      <c r="BS273" s="726">
        <v>3.1189655857120809E-2</v>
      </c>
      <c r="BT273" s="726">
        <v>3.5646601488776838E-2</v>
      </c>
      <c r="BW273" s="1208">
        <f>'2018'!R\Max</f>
        <v>0.95243177398641143</v>
      </c>
      <c r="BX273" s="1206">
        <f>'2019'!R\Max</f>
        <v>0.89912866855370455</v>
      </c>
      <c r="BY273" s="1206">
        <f>'2020'!R\Max</f>
        <v>0.87248783084299986</v>
      </c>
      <c r="BZ273" s="1206">
        <f>'2021'!R\Max</f>
        <v>0.46079987458392996</v>
      </c>
      <c r="CA273" s="1206">
        <f>'2022'!R\Max</f>
        <v>0.5996504944168306</v>
      </c>
      <c r="CB273" s="1206">
        <f>'2023'!R\Max</f>
        <v>0.59961131412366864</v>
      </c>
      <c r="CC273" s="1206">
        <f>'2024'!R\Max</f>
        <v>0.59957212999640708</v>
      </c>
      <c r="CD273" s="1206">
        <f>'2025'!R\Max</f>
        <v>0.59978267049478462</v>
      </c>
      <c r="CE273" s="1206">
        <f>'2026'!R\Max</f>
        <v>0.59975325966540627</v>
      </c>
      <c r="CF273" s="1207">
        <f>'2027'!R\Max</f>
        <v>0.5997197520516736</v>
      </c>
    </row>
    <row r="274" spans="1:84" s="6" customFormat="1" ht="11.25" x14ac:dyDescent="0.2">
      <c r="A274" s="11">
        <v>43360</v>
      </c>
      <c r="B274" s="379">
        <f>'2022'!Maxi_hp</f>
        <v>51.345185269403622</v>
      </c>
      <c r="C274" s="13">
        <f>'2022'!An_max</f>
        <v>2022</v>
      </c>
      <c r="D274" s="1053">
        <f t="shared" si="116"/>
        <v>1.0424846814471722</v>
      </c>
      <c r="E274" s="1048">
        <f>AF$13/10</f>
        <v>49.252699999999997</v>
      </c>
      <c r="F274" s="13">
        <f t="shared" si="133"/>
        <v>21</v>
      </c>
      <c r="G274" s="13">
        <f t="shared" si="117"/>
        <v>20</v>
      </c>
      <c r="H274" s="172">
        <f t="shared" si="118"/>
        <v>43374</v>
      </c>
      <c r="I274" s="753">
        <f t="shared" si="119"/>
        <v>1</v>
      </c>
      <c r="J274" s="746">
        <f t="shared" si="120"/>
        <v>49.252699999511243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46">
        <v>43360</v>
      </c>
      <c r="AP274" s="13">
        <f t="shared" si="121"/>
        <v>11</v>
      </c>
      <c r="AQ274" s="13">
        <f t="shared" si="122"/>
        <v>12</v>
      </c>
      <c r="AR274" s="172">
        <f t="shared" si="123"/>
        <v>43360</v>
      </c>
      <c r="AS274" s="753">
        <f t="shared" si="124"/>
        <v>0</v>
      </c>
      <c r="AT274" s="769">
        <f t="shared" si="125"/>
        <v>49.252700000256297</v>
      </c>
      <c r="AU274" s="13">
        <f t="shared" si="126"/>
        <v>11</v>
      </c>
      <c r="AV274" s="13">
        <f t="shared" si="127"/>
        <v>10</v>
      </c>
      <c r="AW274" s="172">
        <f t="shared" si="128"/>
        <v>43374</v>
      </c>
      <c r="AX274" s="753">
        <f t="shared" si="129"/>
        <v>0.5</v>
      </c>
      <c r="AY274" s="769">
        <f t="shared" si="130"/>
        <v>49.141212499141695</v>
      </c>
      <c r="AZ274" s="746">
        <f t="shared" si="134"/>
        <v>49.196956249698999</v>
      </c>
      <c r="BA274" s="641">
        <f t="shared" si="131"/>
        <v>1.0424846814471722</v>
      </c>
      <c r="BC274" s="11">
        <v>43360</v>
      </c>
      <c r="BD274" s="289">
        <f>[2]!FeuilCaduc*(1-Persistant)+Persistant</f>
        <v>0.96494064125016266</v>
      </c>
      <c r="BE274" s="290">
        <f>[2]!CroissVégét</f>
        <v>0.98348667856218763</v>
      </c>
      <c r="BF274" s="819">
        <f>1+[2]!Salcycl*Ksac</f>
        <v>1.0456175801562704</v>
      </c>
      <c r="BH274" s="1044">
        <f t="shared" si="132"/>
        <v>1.3035093321735232E-2</v>
      </c>
      <c r="BI274" s="11">
        <v>44456</v>
      </c>
      <c r="BJ274" s="726">
        <v>4.0216847369731043E-3</v>
      </c>
      <c r="BK274" s="726">
        <v>5.2056862605735759E-3</v>
      </c>
      <c r="BL274" s="726">
        <v>6.7756388327695439E-3</v>
      </c>
      <c r="BM274" s="726">
        <v>8.8481003195551421E-3</v>
      </c>
      <c r="BN274" s="726">
        <v>1.1433608280567973E-2</v>
      </c>
      <c r="BO274" s="727">
        <v>1.4428293536385608E-2</v>
      </c>
      <c r="BP274" s="726">
        <v>1.8137251577028606E-2</v>
      </c>
      <c r="BQ274" s="726">
        <v>2.2430273842555564E-2</v>
      </c>
      <c r="BR274" s="726">
        <v>2.7011021538891258E-2</v>
      </c>
      <c r="BS274" s="726">
        <v>3.1525955382409709E-2</v>
      </c>
      <c r="BT274" s="726">
        <v>3.5987896457763201E-2</v>
      </c>
      <c r="BW274" s="1208">
        <f>'2018'!R\Max</f>
        <v>0.87807239478238375</v>
      </c>
      <c r="BX274" s="1206">
        <f>'2019'!R\Max</f>
        <v>0.87778604959223283</v>
      </c>
      <c r="BY274" s="1206">
        <f>'2020'!R\Max</f>
        <v>0.87003162615763874</v>
      </c>
      <c r="BZ274" s="1206">
        <f>'2021'!R\Max</f>
        <v>0.93998510495079457</v>
      </c>
      <c r="CA274" s="1206">
        <f>'2022'!R\Max</f>
        <v>1.0424846814471722</v>
      </c>
      <c r="CB274" s="1206">
        <f>'2023'!R\Max</f>
        <v>1.0424846814471722</v>
      </c>
      <c r="CC274" s="1206">
        <f>'2024'!R\Max</f>
        <v>1.0424846814471722</v>
      </c>
      <c r="CD274" s="1206">
        <f>'2025'!R\Max</f>
        <v>1.042484681447172</v>
      </c>
      <c r="CE274" s="1206">
        <f>'2026'!R\Max</f>
        <v>1.0424846814471722</v>
      </c>
      <c r="CF274" s="1207">
        <f>'2027'!R\Max</f>
        <v>1.0424846814471722</v>
      </c>
    </row>
    <row r="275" spans="1:84" s="6" customFormat="1" ht="11.25" x14ac:dyDescent="0.2">
      <c r="A275" s="11">
        <v>43361</v>
      </c>
      <c r="B275" s="379">
        <f>'2022'!Maxi_hp</f>
        <v>49.64819390324049</v>
      </c>
      <c r="C275" s="13">
        <f>'2022'!An_max</f>
        <v>2022</v>
      </c>
      <c r="D275" s="1053">
        <f t="shared" si="116"/>
        <v>1.0131290871697449</v>
      </c>
      <c r="E275" s="13"/>
      <c r="F275" s="13">
        <f t="shared" si="133"/>
        <v>21</v>
      </c>
      <c r="G275" s="13">
        <f t="shared" si="117"/>
        <v>20</v>
      </c>
      <c r="H275" s="172">
        <f t="shared" si="118"/>
        <v>43374</v>
      </c>
      <c r="I275" s="753">
        <f t="shared" si="119"/>
        <v>0.9285714285714286</v>
      </c>
      <c r="J275" s="746">
        <f t="shared" si="120"/>
        <v>49.00480553957501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46">
        <v>43361</v>
      </c>
      <c r="AP275" s="13">
        <f t="shared" si="121"/>
        <v>11</v>
      </c>
      <c r="AQ275" s="13">
        <f t="shared" si="122"/>
        <v>12</v>
      </c>
      <c r="AR275" s="172">
        <f t="shared" si="123"/>
        <v>43360</v>
      </c>
      <c r="AS275" s="753">
        <f t="shared" si="124"/>
        <v>3.5714285714285712E-2</v>
      </c>
      <c r="AT275" s="769">
        <f t="shared" si="125"/>
        <v>49.017637707233163</v>
      </c>
      <c r="AU275" s="13">
        <f t="shared" si="126"/>
        <v>11</v>
      </c>
      <c r="AV275" s="13">
        <f t="shared" si="127"/>
        <v>10</v>
      </c>
      <c r="AW275" s="172">
        <f t="shared" si="128"/>
        <v>43374</v>
      </c>
      <c r="AX275" s="753">
        <f t="shared" si="129"/>
        <v>0.4642857142857143</v>
      </c>
      <c r="AY275" s="769">
        <f t="shared" si="130"/>
        <v>48.89001350225881</v>
      </c>
      <c r="AZ275" s="746">
        <f t="shared" si="134"/>
        <v>48.953825604745987</v>
      </c>
      <c r="BA275" s="641">
        <f t="shared" si="131"/>
        <v>1.0131290871697449</v>
      </c>
      <c r="BC275" s="11">
        <v>43361</v>
      </c>
      <c r="BD275" s="289">
        <f>[2]!FeuilCaduc*(1-Persistant)+Persistant</f>
        <v>0.96311037689069634</v>
      </c>
      <c r="BE275" s="290">
        <f>[2]!CroissVégét</f>
        <v>0.98415393538190332</v>
      </c>
      <c r="BF275" s="819">
        <f>1+[2]!Salcycl*Ksac</f>
        <v>1.0453887971113371</v>
      </c>
      <c r="BH275" s="1044">
        <f t="shared" si="132"/>
        <v>1.3447262584794062E-2</v>
      </c>
      <c r="BI275" s="11">
        <v>44457</v>
      </c>
      <c r="BJ275" s="726">
        <v>4.2791149831438264E-3</v>
      </c>
      <c r="BK275" s="726">
        <v>5.5132553490564598E-3</v>
      </c>
      <c r="BL275" s="726">
        <v>7.125797333716365E-3</v>
      </c>
      <c r="BM275" s="726">
        <v>9.2284111448993292E-3</v>
      </c>
      <c r="BN275" s="726">
        <v>1.1835905948459971E-2</v>
      </c>
      <c r="BO275" s="727">
        <v>1.4849050521559749E-2</v>
      </c>
      <c r="BP275" s="726">
        <v>1.8558216659383134E-2</v>
      </c>
      <c r="BQ275" s="726">
        <v>2.2809013927137328E-2</v>
      </c>
      <c r="BR275" s="726">
        <v>2.734877449419458E-2</v>
      </c>
      <c r="BS275" s="726">
        <v>3.1841299042903982E-2</v>
      </c>
      <c r="BT275" s="726">
        <v>3.6318095693484369E-2</v>
      </c>
      <c r="BW275" s="1208">
        <f>'2018'!R\Max</f>
        <v>0.85953550494618758</v>
      </c>
      <c r="BX275" s="1206">
        <f>'2019'!R\Max</f>
        <v>0.56733594177886715</v>
      </c>
      <c r="BY275" s="1206">
        <f>'2020'!R\Max</f>
        <v>0.89527238522183861</v>
      </c>
      <c r="BZ275" s="1206">
        <f>'2021'!R\Max</f>
        <v>0.17611787330508938</v>
      </c>
      <c r="CA275" s="1206">
        <f>'2022'!R\Max</f>
        <v>1.0131290871697449</v>
      </c>
      <c r="CB275" s="1206">
        <f>'2023'!R\Max</f>
        <v>1.0131290871697447</v>
      </c>
      <c r="CC275" s="1206">
        <f>'2024'!R\Max</f>
        <v>1.0131290871697449</v>
      </c>
      <c r="CD275" s="1206">
        <f>'2025'!R\Max</f>
        <v>1.0131290871697449</v>
      </c>
      <c r="CE275" s="1206">
        <f>'2026'!R\Max</f>
        <v>1.0131290871697451</v>
      </c>
      <c r="CF275" s="1207">
        <f>'2027'!R\Max</f>
        <v>1.0131290871697447</v>
      </c>
    </row>
    <row r="276" spans="1:84" s="6" customFormat="1" ht="11.25" x14ac:dyDescent="0.2">
      <c r="A276" s="11">
        <v>43362</v>
      </c>
      <c r="B276" s="379">
        <f>'2022'!Maxi_hp</f>
        <v>48.373399952604053</v>
      </c>
      <c r="C276" s="13">
        <f>'2022'!An_max</f>
        <v>2022</v>
      </c>
      <c r="D276" s="1053">
        <f t="shared" si="116"/>
        <v>0.99227533963049186</v>
      </c>
      <c r="E276" s="13"/>
      <c r="F276" s="13">
        <f t="shared" si="133"/>
        <v>21</v>
      </c>
      <c r="G276" s="13">
        <f t="shared" si="117"/>
        <v>20</v>
      </c>
      <c r="H276" s="172">
        <f t="shared" si="118"/>
        <v>43374</v>
      </c>
      <c r="I276" s="753">
        <f t="shared" si="119"/>
        <v>0.8571428571428571</v>
      </c>
      <c r="J276" s="746">
        <f t="shared" si="120"/>
        <v>48.749976967700889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46">
        <v>43362</v>
      </c>
      <c r="AP276" s="13">
        <f t="shared" si="121"/>
        <v>11</v>
      </c>
      <c r="AQ276" s="13">
        <f t="shared" si="122"/>
        <v>12</v>
      </c>
      <c r="AR276" s="172">
        <f t="shared" si="123"/>
        <v>43360</v>
      </c>
      <c r="AS276" s="753">
        <f t="shared" si="124"/>
        <v>7.1428571428571425E-2</v>
      </c>
      <c r="AT276" s="769">
        <f t="shared" si="125"/>
        <v>48.776286861792741</v>
      </c>
      <c r="AU276" s="13">
        <f t="shared" si="126"/>
        <v>11</v>
      </c>
      <c r="AV276" s="13">
        <f t="shared" si="127"/>
        <v>10</v>
      </c>
      <c r="AW276" s="172">
        <f t="shared" si="128"/>
        <v>43374</v>
      </c>
      <c r="AX276" s="753">
        <f t="shared" si="129"/>
        <v>0.42857142857142855</v>
      </c>
      <c r="AY276" s="769">
        <f t="shared" si="130"/>
        <v>48.635564139378914</v>
      </c>
      <c r="AZ276" s="746">
        <f t="shared" si="134"/>
        <v>48.705925500585828</v>
      </c>
      <c r="BA276" s="641">
        <f t="shared" si="131"/>
        <v>0.99227533963049186</v>
      </c>
      <c r="BC276" s="11">
        <v>43362</v>
      </c>
      <c r="BD276" s="289">
        <f>[2]!FeuilCaduc*(1-Persistant)+Persistant</f>
        <v>0.96120266225036788</v>
      </c>
      <c r="BE276" s="290">
        <f>[2]!CroissVégét</f>
        <v>0.98479517732042654</v>
      </c>
      <c r="BF276" s="819">
        <f>1+[2]!Salcycl*Ksac</f>
        <v>1.0451503327812959</v>
      </c>
      <c r="BH276" s="1044">
        <f t="shared" si="132"/>
        <v>1.3817534905305556E-2</v>
      </c>
      <c r="BI276" s="11">
        <v>44458</v>
      </c>
      <c r="BJ276" s="726">
        <v>4.5246767917419368E-3</v>
      </c>
      <c r="BK276" s="726">
        <v>5.8044355215713887E-3</v>
      </c>
      <c r="BL276" s="726">
        <v>7.4525666602939973E-3</v>
      </c>
      <c r="BM276" s="726">
        <v>9.5776315849738849E-3</v>
      </c>
      <c r="BN276" s="726">
        <v>1.2199331931383582E-2</v>
      </c>
      <c r="BO276" s="727">
        <v>1.5225278763451601E-2</v>
      </c>
      <c r="BP276" s="726">
        <v>1.8930918342484306E-2</v>
      </c>
      <c r="BQ276" s="726">
        <v>2.3138159706636095E-2</v>
      </c>
      <c r="BR276" s="726">
        <v>2.7642076405475644E-2</v>
      </c>
      <c r="BS276" s="726">
        <v>3.2120727879585094E-2</v>
      </c>
      <c r="BT276" s="726">
        <v>3.6623629621459701E-2</v>
      </c>
      <c r="BW276" s="1208">
        <f>'2018'!R\Max</f>
        <v>0.8225275437162205</v>
      </c>
      <c r="BX276" s="1206">
        <f>'2019'!R\Max</f>
        <v>0.88571565212144698</v>
      </c>
      <c r="BY276" s="1206">
        <f>'2020'!R\Max</f>
        <v>0.40209346289568149</v>
      </c>
      <c r="BZ276" s="1206">
        <f>'2021'!R\Max</f>
        <v>0.64269915949815648</v>
      </c>
      <c r="CA276" s="1206">
        <f>'2022'!R\Max</f>
        <v>0.99227533963049186</v>
      </c>
      <c r="CB276" s="1206">
        <f>'2023'!R\Max</f>
        <v>0.99227411290101186</v>
      </c>
      <c r="CC276" s="1206">
        <f>'2024'!R\Max</f>
        <v>0.99227288589961915</v>
      </c>
      <c r="CD276" s="1206">
        <f>'2025'!R\Max</f>
        <v>0.99227960607285337</v>
      </c>
      <c r="CE276" s="1206">
        <f>'2026'!R\Max</f>
        <v>0.99227864842605573</v>
      </c>
      <c r="CF276" s="1207">
        <f>'2027'!R\Max</f>
        <v>0.99227756861159111</v>
      </c>
    </row>
    <row r="277" spans="1:84" s="6" customFormat="1" ht="11.25" x14ac:dyDescent="0.2">
      <c r="A277" s="11">
        <v>43363</v>
      </c>
      <c r="B277" s="379">
        <f>'2022'!Maxi_hp</f>
        <v>49.837145014855793</v>
      </c>
      <c r="C277" s="13">
        <f>'2022'!An_max</f>
        <v>2022</v>
      </c>
      <c r="D277" s="1053">
        <f t="shared" si="116"/>
        <v>1.0278059854196935</v>
      </c>
      <c r="E277" s="13"/>
      <c r="F277" s="13">
        <f t="shared" si="133"/>
        <v>21</v>
      </c>
      <c r="G277" s="13">
        <f t="shared" si="117"/>
        <v>20</v>
      </c>
      <c r="H277" s="172">
        <f t="shared" si="118"/>
        <v>43374</v>
      </c>
      <c r="I277" s="753">
        <f t="shared" si="119"/>
        <v>0.7857142857142857</v>
      </c>
      <c r="J277" s="746">
        <f t="shared" si="120"/>
        <v>48.488864359459178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46">
        <v>43363</v>
      </c>
      <c r="AP277" s="13">
        <f t="shared" si="121"/>
        <v>11</v>
      </c>
      <c r="AQ277" s="13">
        <f t="shared" si="122"/>
        <v>12</v>
      </c>
      <c r="AR277" s="172">
        <f t="shared" si="123"/>
        <v>43360</v>
      </c>
      <c r="AS277" s="753">
        <f t="shared" si="124"/>
        <v>0.10714285714285714</v>
      </c>
      <c r="AT277" s="769">
        <f t="shared" si="125"/>
        <v>48.528931872240669</v>
      </c>
      <c r="AU277" s="13">
        <f t="shared" si="126"/>
        <v>11</v>
      </c>
      <c r="AV277" s="13">
        <f t="shared" si="127"/>
        <v>10</v>
      </c>
      <c r="AW277" s="172">
        <f t="shared" si="128"/>
        <v>43374</v>
      </c>
      <c r="AX277" s="753">
        <f t="shared" si="129"/>
        <v>0.39285714285714285</v>
      </c>
      <c r="AY277" s="769">
        <f t="shared" si="130"/>
        <v>48.378026930628614</v>
      </c>
      <c r="AZ277" s="746">
        <f t="shared" si="134"/>
        <v>48.453479401434642</v>
      </c>
      <c r="BA277" s="641">
        <f t="shared" si="131"/>
        <v>1.0278059854196935</v>
      </c>
      <c r="BC277" s="11">
        <v>43363</v>
      </c>
      <c r="BD277" s="289">
        <f>[2]!FeuilCaduc*(1-Persistant)+Persistant</f>
        <v>0.95921472962157506</v>
      </c>
      <c r="BE277" s="290">
        <f>[2]!CroissVégét</f>
        <v>0.98541138621054403</v>
      </c>
      <c r="BF277" s="819">
        <f>1+[2]!Salcycl*Ksac</f>
        <v>1.0449018412026969</v>
      </c>
      <c r="BH277" s="1044">
        <f t="shared" si="132"/>
        <v>1.41431087712948E-2</v>
      </c>
      <c r="BI277" s="11">
        <v>44459</v>
      </c>
      <c r="BJ277" s="726">
        <v>4.7498639153442067E-3</v>
      </c>
      <c r="BK277" s="726">
        <v>6.0702743004880854E-3</v>
      </c>
      <c r="BL277" s="726">
        <v>7.7482318100336673E-3</v>
      </c>
      <c r="BM277" s="726">
        <v>9.8904689987198494E-3</v>
      </c>
      <c r="BN277" s="726">
        <v>1.2520736496992374E-2</v>
      </c>
      <c r="BO277" s="727">
        <v>1.5554479681855117E-2</v>
      </c>
      <c r="BP277" s="726">
        <v>1.92507199414199E-2</v>
      </c>
      <c r="BQ277" s="726">
        <v>2.341483304119581E-2</v>
      </c>
      <c r="BR277" s="726">
        <v>2.7888035347499174E-2</v>
      </c>
      <c r="BS277" s="726">
        <v>3.2361188412360881E-2</v>
      </c>
      <c r="BT277" s="726">
        <v>3.6895726659165989E-2</v>
      </c>
      <c r="BW277" s="1208">
        <f>'2018'!R\Max</f>
        <v>0.93063746171811534</v>
      </c>
      <c r="BX277" s="1206">
        <f>'2019'!R\Max</f>
        <v>0.99228764443730499</v>
      </c>
      <c r="BY277" s="1206">
        <f>'2020'!R\Max</f>
        <v>0.67731975546156209</v>
      </c>
      <c r="BZ277" s="1206">
        <f>'2021'!R\Max</f>
        <v>0.59615141837995556</v>
      </c>
      <c r="CA277" s="1206">
        <f>'2022'!R\Max</f>
        <v>1.0278059854196935</v>
      </c>
      <c r="CB277" s="1206">
        <f>'2023'!R\Max</f>
        <v>1.0278059854196939</v>
      </c>
      <c r="CC277" s="1206">
        <f>'2024'!R\Max</f>
        <v>1.0278059854196933</v>
      </c>
      <c r="CD277" s="1206">
        <f>'2025'!R\Max</f>
        <v>1.0278059854196935</v>
      </c>
      <c r="CE277" s="1206">
        <f>'2026'!R\Max</f>
        <v>1.0278059854196937</v>
      </c>
      <c r="CF277" s="1207">
        <f>'2027'!R\Max</f>
        <v>1.0278059854196937</v>
      </c>
    </row>
    <row r="278" spans="1:84" s="6" customFormat="1" ht="11.25" x14ac:dyDescent="0.2">
      <c r="A278" s="11">
        <v>43364</v>
      </c>
      <c r="B278" s="379">
        <f>'2022'!Maxi_hp</f>
        <v>48.627472839036514</v>
      </c>
      <c r="C278" s="13">
        <f>'2022'!An_max</f>
        <v>2022</v>
      </c>
      <c r="D278" s="1053">
        <f t="shared" si="116"/>
        <v>1.0084059985964879</v>
      </c>
      <c r="E278" s="13"/>
      <c r="F278" s="13">
        <f t="shared" si="133"/>
        <v>21</v>
      </c>
      <c r="G278" s="13">
        <f t="shared" si="117"/>
        <v>20</v>
      </c>
      <c r="H278" s="172">
        <f t="shared" si="118"/>
        <v>43374</v>
      </c>
      <c r="I278" s="753">
        <f t="shared" si="119"/>
        <v>0.7142857142857143</v>
      </c>
      <c r="J278" s="746">
        <f t="shared" si="120"/>
        <v>48.222117784619329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46">
        <v>43364</v>
      </c>
      <c r="AP278" s="13">
        <f t="shared" si="121"/>
        <v>11</v>
      </c>
      <c r="AQ278" s="13">
        <f t="shared" si="122"/>
        <v>12</v>
      </c>
      <c r="AR278" s="172">
        <f t="shared" si="123"/>
        <v>43360</v>
      </c>
      <c r="AS278" s="753">
        <f t="shared" si="124"/>
        <v>0.14285714285714285</v>
      </c>
      <c r="AT278" s="769">
        <f t="shared" si="125"/>
        <v>48.275857143316948</v>
      </c>
      <c r="AU278" s="13">
        <f t="shared" si="126"/>
        <v>11</v>
      </c>
      <c r="AV278" s="13">
        <f t="shared" si="127"/>
        <v>10</v>
      </c>
      <c r="AW278" s="172">
        <f t="shared" si="128"/>
        <v>43374</v>
      </c>
      <c r="AX278" s="753">
        <f t="shared" si="129"/>
        <v>0.35714285714285715</v>
      </c>
      <c r="AY278" s="769">
        <f t="shared" si="130"/>
        <v>48.117564395043466</v>
      </c>
      <c r="AZ278" s="746">
        <f t="shared" si="134"/>
        <v>48.196710769180207</v>
      </c>
      <c r="BA278" s="641">
        <f t="shared" si="131"/>
        <v>1.0084059985964879</v>
      </c>
      <c r="BC278" s="11">
        <v>43364</v>
      </c>
      <c r="BD278" s="289">
        <f>[2]!FeuilCaduc*(1-Persistant)+Persistant</f>
        <v>0.95714378465986294</v>
      </c>
      <c r="BE278" s="290">
        <f>[2]!CroissVégét</f>
        <v>0.98600350935571934</v>
      </c>
      <c r="BF278" s="819">
        <f>1+[2]!Salcycl*Ksac</f>
        <v>1.0446429730824829</v>
      </c>
      <c r="BH278" s="1044">
        <f t="shared" si="132"/>
        <v>1.4423957733229003E-2</v>
      </c>
      <c r="BI278" s="11">
        <v>44460</v>
      </c>
      <c r="BJ278" s="726">
        <v>4.9546665811041448E-3</v>
      </c>
      <c r="BK278" s="726">
        <v>6.3107590833283685E-3</v>
      </c>
      <c r="BL278" s="726">
        <v>8.012776344509788E-3</v>
      </c>
      <c r="BM278" s="726">
        <v>1.0166903191506637E-2</v>
      </c>
      <c r="BN278" s="726">
        <v>1.2800095167600551E-2</v>
      </c>
      <c r="BO278" s="727">
        <v>1.5836625111843618E-2</v>
      </c>
      <c r="BP278" s="726">
        <v>1.9517588371388214E-2</v>
      </c>
      <c r="BQ278" s="726">
        <v>2.3639000442207625E-2</v>
      </c>
      <c r="BR278" s="726">
        <v>2.8086622039284928E-2</v>
      </c>
      <c r="BS278" s="726">
        <v>3.2562659269915674E-2</v>
      </c>
      <c r="BT278" s="726">
        <v>3.7134372076804707E-2</v>
      </c>
      <c r="BW278" s="1208">
        <f>'2018'!R\Max</f>
        <v>0.70205442541494012</v>
      </c>
      <c r="BX278" s="1206">
        <f>'2019'!R\Max</f>
        <v>0.73242534839897</v>
      </c>
      <c r="BY278" s="1206">
        <f>'2020'!R\Max</f>
        <v>0.78008252298771319</v>
      </c>
      <c r="BZ278" s="1206">
        <f>'2021'!R\Max</f>
        <v>0.2853433260884457</v>
      </c>
      <c r="CA278" s="1206">
        <f>'2022'!R\Max</f>
        <v>1.0084059985964879</v>
      </c>
      <c r="CB278" s="1206">
        <f>'2023'!R\Max</f>
        <v>1.0084059985964877</v>
      </c>
      <c r="CC278" s="1206">
        <f>'2024'!R\Max</f>
        <v>1.0084059985964877</v>
      </c>
      <c r="CD278" s="1206">
        <f>'2025'!R\Max</f>
        <v>1.0084059985964879</v>
      </c>
      <c r="CE278" s="1206">
        <f>'2026'!R\Max</f>
        <v>1.0084059985964879</v>
      </c>
      <c r="CF278" s="1207">
        <f>'2027'!R\Max</f>
        <v>1.0084059985964877</v>
      </c>
    </row>
    <row r="279" spans="1:84" s="6" customFormat="1" ht="11.25" x14ac:dyDescent="0.2">
      <c r="A279" s="11">
        <v>43365</v>
      </c>
      <c r="B279" s="379">
        <f>'2022'!Maxi_hp</f>
        <v>47.364931992857663</v>
      </c>
      <c r="C279" s="13">
        <f>'2022'!An_max</f>
        <v>2022</v>
      </c>
      <c r="D279" s="1053">
        <f t="shared" si="116"/>
        <v>0.98779039425186488</v>
      </c>
      <c r="E279" s="13"/>
      <c r="F279" s="13">
        <f t="shared" si="133"/>
        <v>21</v>
      </c>
      <c r="G279" s="13">
        <f t="shared" si="117"/>
        <v>20</v>
      </c>
      <c r="H279" s="172">
        <f t="shared" si="118"/>
        <v>43374</v>
      </c>
      <c r="I279" s="753">
        <f t="shared" si="119"/>
        <v>0.6428571428571429</v>
      </c>
      <c r="J279" s="746">
        <f t="shared" si="120"/>
        <v>47.950387317474402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46">
        <v>43365</v>
      </c>
      <c r="AP279" s="13">
        <f t="shared" si="121"/>
        <v>11</v>
      </c>
      <c r="AQ279" s="13">
        <f t="shared" si="122"/>
        <v>12</v>
      </c>
      <c r="AR279" s="172">
        <f t="shared" si="123"/>
        <v>43360</v>
      </c>
      <c r="AS279" s="753">
        <f t="shared" si="124"/>
        <v>0.17857142857142858</v>
      </c>
      <c r="AT279" s="769">
        <f t="shared" si="125"/>
        <v>48.01734708266865</v>
      </c>
      <c r="AU279" s="13">
        <f t="shared" si="126"/>
        <v>11</v>
      </c>
      <c r="AV279" s="13">
        <f t="shared" si="127"/>
        <v>10</v>
      </c>
      <c r="AW279" s="172">
        <f t="shared" si="128"/>
        <v>43374</v>
      </c>
      <c r="AX279" s="753">
        <f t="shared" si="129"/>
        <v>0.32142857142857145</v>
      </c>
      <c r="AY279" s="769">
        <f t="shared" si="130"/>
        <v>47.854339048133362</v>
      </c>
      <c r="AZ279" s="746">
        <f t="shared" si="134"/>
        <v>47.935843065401002</v>
      </c>
      <c r="BA279" s="641">
        <f t="shared" si="131"/>
        <v>0.98779039425186488</v>
      </c>
      <c r="BC279" s="11">
        <v>43365</v>
      </c>
      <c r="BD279" s="289">
        <f>[2]!FeuilCaduc*(1-Persistant)+Persistant</f>
        <v>0.95498701964555321</v>
      </c>
      <c r="BE279" s="290">
        <f>[2]!CroissVégét</f>
        <v>0.98657246054533965</v>
      </c>
      <c r="BF279" s="819">
        <f>1+[2]!Salcycl*Ksac</f>
        <v>1.0443733774556943</v>
      </c>
      <c r="BH279" s="1044">
        <f t="shared" si="132"/>
        <v>1.4660053188349721E-2</v>
      </c>
      <c r="BI279" s="11">
        <v>44461</v>
      </c>
      <c r="BJ279" s="726">
        <v>5.139074013227502E-3</v>
      </c>
      <c r="BK279" s="726">
        <v>6.5258760169968032E-3</v>
      </c>
      <c r="BL279" s="726">
        <v>8.246182280991431E-3</v>
      </c>
      <c r="BM279" s="726">
        <v>1.0406912176129263E-2</v>
      </c>
      <c r="BN279" s="726">
        <v>1.3037381416433333E-2</v>
      </c>
      <c r="BO279" s="727">
        <v>1.6071684644671833E-2</v>
      </c>
      <c r="BP279" s="726">
        <v>1.9731488067669199E-2</v>
      </c>
      <c r="BQ279" s="726">
        <v>2.3810626133606891E-2</v>
      </c>
      <c r="BR279" s="726">
        <v>2.8237805451380629E-2</v>
      </c>
      <c r="BS279" s="726">
        <v>3.2725118113233094E-2</v>
      </c>
      <c r="BT279" s="726">
        <v>3.7339550793732267E-2</v>
      </c>
      <c r="BW279" s="1208">
        <f>'2018'!R\Max</f>
        <v>0.91693304600607128</v>
      </c>
      <c r="BX279" s="1206">
        <f>'2019'!R\Max</f>
        <v>0.24650610237990114</v>
      </c>
      <c r="BY279" s="1206">
        <f>'2020'!R\Max</f>
        <v>0.61722585992052315</v>
      </c>
      <c r="BZ279" s="1206">
        <f>'2021'!R\Max</f>
        <v>0.94086124415505501</v>
      </c>
      <c r="CA279" s="1206">
        <f>'2022'!R\Max</f>
        <v>0.98779039425186488</v>
      </c>
      <c r="CB279" s="1206">
        <f>'2023'!R\Max</f>
        <v>0.98778850391884254</v>
      </c>
      <c r="CC279" s="1206">
        <f>'2024'!R\Max</f>
        <v>0.98778661317812899</v>
      </c>
      <c r="CD279" s="1206">
        <f>'2025'!R\Max</f>
        <v>0.98779710164481493</v>
      </c>
      <c r="CE279" s="1206">
        <f>'2026'!R\Max</f>
        <v>0.98779558485288499</v>
      </c>
      <c r="CF279" s="1207">
        <f>'2027'!R\Max</f>
        <v>0.98779388986871308</v>
      </c>
    </row>
    <row r="280" spans="1:84" s="6" customFormat="1" ht="11.25" x14ac:dyDescent="0.2">
      <c r="A280" s="11">
        <v>43366</v>
      </c>
      <c r="B280" s="379">
        <f>'2022'!Maxi_hp</f>
        <v>44.179127561148483</v>
      </c>
      <c r="C280" s="13">
        <f>'2022'!An_max</f>
        <v>2018</v>
      </c>
      <c r="D280" s="1053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2">
        <f t="shared" si="118"/>
        <v>43374</v>
      </c>
      <c r="I280" s="753">
        <f t="shared" si="119"/>
        <v>0.5714285714285714</v>
      </c>
      <c r="J280" s="746">
        <f t="shared" si="120"/>
        <v>47.674323032636728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46">
        <v>43366</v>
      </c>
      <c r="AP280" s="13">
        <f t="shared" si="121"/>
        <v>11</v>
      </c>
      <c r="AQ280" s="13">
        <f t="shared" si="122"/>
        <v>12</v>
      </c>
      <c r="AR280" s="172">
        <f t="shared" si="123"/>
        <v>43360</v>
      </c>
      <c r="AS280" s="753">
        <f t="shared" si="124"/>
        <v>0.21428571428571427</v>
      </c>
      <c r="AT280" s="769">
        <f t="shared" si="125"/>
        <v>47.753686097091325</v>
      </c>
      <c r="AU280" s="13">
        <f t="shared" si="126"/>
        <v>11</v>
      </c>
      <c r="AV280" s="13">
        <f t="shared" si="127"/>
        <v>10</v>
      </c>
      <c r="AW280" s="172">
        <f t="shared" si="128"/>
        <v>43374</v>
      </c>
      <c r="AX280" s="753">
        <f t="shared" si="129"/>
        <v>0.2857142857142857</v>
      </c>
      <c r="AY280" s="769">
        <f t="shared" si="130"/>
        <v>47.588513410676804</v>
      </c>
      <c r="AZ280" s="746">
        <f t="shared" si="134"/>
        <v>47.671099753884064</v>
      </c>
      <c r="BA280" s="641">
        <f t="shared" si="131"/>
        <v>0.92668599679757346</v>
      </c>
      <c r="BC280" s="11">
        <v>43366</v>
      </c>
      <c r="BD280" s="289">
        <f>[2]!FeuilCaduc*(1-Persistant)+Persistant</f>
        <v>0.95274162814343621</v>
      </c>
      <c r="BE280" s="290">
        <f>[2]!CroissVégét</f>
        <v>0.98711912105647015</v>
      </c>
      <c r="BF280" s="819">
        <f>1+[2]!Salcycl*Ksac</f>
        <v>1.0440927035179295</v>
      </c>
      <c r="BH280" s="1044">
        <f t="shared" si="132"/>
        <v>1.4851443215800321E-2</v>
      </c>
      <c r="BI280" s="11">
        <v>44462</v>
      </c>
      <c r="BJ280" s="726">
        <v>5.3031025982563018E-3</v>
      </c>
      <c r="BK280" s="726">
        <v>6.7156456617344651E-3</v>
      </c>
      <c r="BL280" s="726">
        <v>8.4484749513722996E-3</v>
      </c>
      <c r="BM280" s="726">
        <v>1.0610528504270019E-2</v>
      </c>
      <c r="BN280" s="726">
        <v>1.3232636911777201E-2</v>
      </c>
      <c r="BO280" s="727">
        <v>1.6259711936561255E-2</v>
      </c>
      <c r="BP280" s="726">
        <v>1.9892486569330819E-2</v>
      </c>
      <c r="BQ280" s="726">
        <v>2.3929799066344206E-2</v>
      </c>
      <c r="BR280" s="726">
        <v>2.8341703254984182E-2</v>
      </c>
      <c r="BS280" s="726">
        <v>3.2848716038519341E-2</v>
      </c>
      <c r="BT280" s="726">
        <v>3.7511446563948558E-2</v>
      </c>
      <c r="BW280" s="1208">
        <f>'2018'!R\Max</f>
        <v>0.92668599679757346</v>
      </c>
      <c r="BX280" s="1206">
        <f>'2019'!R\Max</f>
        <v>0.89103592899581407</v>
      </c>
      <c r="BY280" s="1206">
        <f>'2020'!R\Max</f>
        <v>0.46167288003328538</v>
      </c>
      <c r="BZ280" s="1206">
        <f>'2021'!R\Max</f>
        <v>0.79179277865688569</v>
      </c>
      <c r="CA280" s="1206">
        <f>'2022'!R\Max</f>
        <v>0.62762783182352055</v>
      </c>
      <c r="CB280" s="1206">
        <f>'2023'!R\Max</f>
        <v>0.62759145409794848</v>
      </c>
      <c r="CC280" s="1206">
        <f>'2024'!R\Max</f>
        <v>0.6275550726603647</v>
      </c>
      <c r="CD280" s="1206">
        <f>'2025'!R\Max</f>
        <v>0.62775739503912642</v>
      </c>
      <c r="CE280" s="1206">
        <f>'2026'!R\Max</f>
        <v>0.62772802211932655</v>
      </c>
      <c r="CF280" s="1207">
        <f>'2027'!R\Max</f>
        <v>0.62769529879969643</v>
      </c>
    </row>
    <row r="281" spans="1:84" s="6" customFormat="1" ht="11.25" x14ac:dyDescent="0.2">
      <c r="A281" s="11">
        <v>43367</v>
      </c>
      <c r="B281" s="379">
        <f>'2022'!Maxi_hp</f>
        <v>40.512868531707113</v>
      </c>
      <c r="C281" s="13">
        <f>'2022'!An_max</f>
        <v>2021</v>
      </c>
      <c r="D281" s="1053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2">
        <f t="shared" si="118"/>
        <v>43374</v>
      </c>
      <c r="I281" s="753">
        <f t="shared" si="119"/>
        <v>0.5</v>
      </c>
      <c r="J281" s="746">
        <f t="shared" si="120"/>
        <v>47.394574999902396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46">
        <v>43367</v>
      </c>
      <c r="AP281" s="13">
        <f t="shared" si="121"/>
        <v>11</v>
      </c>
      <c r="AQ281" s="13">
        <f t="shared" si="122"/>
        <v>12</v>
      </c>
      <c r="AR281" s="172">
        <f t="shared" si="123"/>
        <v>43360</v>
      </c>
      <c r="AS281" s="753">
        <f t="shared" si="124"/>
        <v>0.25</v>
      </c>
      <c r="AT281" s="769">
        <f t="shared" si="125"/>
        <v>47.485158593626693</v>
      </c>
      <c r="AU281" s="13">
        <f t="shared" si="126"/>
        <v>11</v>
      </c>
      <c r="AV281" s="13">
        <f t="shared" si="127"/>
        <v>10</v>
      </c>
      <c r="AW281" s="172">
        <f t="shared" si="128"/>
        <v>43374</v>
      </c>
      <c r="AX281" s="753">
        <f t="shared" si="129"/>
        <v>0.25</v>
      </c>
      <c r="AY281" s="769">
        <f t="shared" si="130"/>
        <v>47.320249999966471</v>
      </c>
      <c r="AZ281" s="746">
        <f t="shared" si="134"/>
        <v>47.402704296796585</v>
      </c>
      <c r="BA281" s="641">
        <f t="shared" si="131"/>
        <v>0.85479970084741863</v>
      </c>
      <c r="BC281" s="11">
        <v>43367</v>
      </c>
      <c r="BD281" s="289">
        <f>[2]!FeuilCaduc*(1-Persistant)+Persistant</f>
        <v>0.95040482100443024</v>
      </c>
      <c r="BE281" s="290">
        <f>[2]!CroissVégét</f>
        <v>0.98764434064074225</v>
      </c>
      <c r="BF281" s="819">
        <f>1+[2]!Salcycl*Ksac</f>
        <v>1.0438006026255537</v>
      </c>
      <c r="BH281" s="1044">
        <f t="shared" si="132"/>
        <v>1.499813658441515E-2</v>
      </c>
      <c r="BI281" s="11">
        <v>44463</v>
      </c>
      <c r="BJ281" s="726">
        <v>5.4467561732190056E-3</v>
      </c>
      <c r="BK281" s="726">
        <v>6.8800723737206769E-3</v>
      </c>
      <c r="BL281" s="726">
        <v>8.6196586550907651E-3</v>
      </c>
      <c r="BM281" s="726">
        <v>1.0777757560288646E-2</v>
      </c>
      <c r="BN281" s="726">
        <v>1.3385868586566867E-2</v>
      </c>
      <c r="BO281" s="727">
        <v>1.6400717353473714E-2</v>
      </c>
      <c r="BP281" s="726">
        <v>2.0000597509616969E-2</v>
      </c>
      <c r="BQ281" s="726">
        <v>2.3996542877312874E-2</v>
      </c>
      <c r="BR281" s="726">
        <v>2.8398356355374799E-2</v>
      </c>
      <c r="BS281" s="726">
        <v>3.2933516651559469E-2</v>
      </c>
      <c r="BT281" s="726">
        <v>3.7650144825115757E-2</v>
      </c>
      <c r="BW281" s="1208">
        <f>'2018'!R\Max</f>
        <v>0.8216818134152869</v>
      </c>
      <c r="BX281" s="1206">
        <f>'2019'!R\Max</f>
        <v>0.64676071977845595</v>
      </c>
      <c r="BY281" s="1206">
        <f>'2020'!R\Max</f>
        <v>0.78558312727395441</v>
      </c>
      <c r="BZ281" s="1206">
        <f>'2021'!R\Max</f>
        <v>0.85479970084741863</v>
      </c>
      <c r="CA281" s="1206">
        <f>'2022'!R\Max</f>
        <v>0.39573952747597652</v>
      </c>
      <c r="CB281" s="1206">
        <f>'2023'!R\Max</f>
        <v>0.39570256252656277</v>
      </c>
      <c r="CC281" s="1206">
        <f>'2024'!R\Max</f>
        <v>0.39566559648141902</v>
      </c>
      <c r="CD281" s="1206">
        <f>'2025'!R\Max</f>
        <v>0.39587144873139241</v>
      </c>
      <c r="CE281" s="1206">
        <f>'2026'!R\Max</f>
        <v>0.39584146880889326</v>
      </c>
      <c r="CF281" s="1207">
        <f>'2027'!R\Max</f>
        <v>0.39580817047710798</v>
      </c>
    </row>
    <row r="282" spans="1:84" s="6" customFormat="1" ht="11.25" x14ac:dyDescent="0.2">
      <c r="A282" s="11">
        <v>43368</v>
      </c>
      <c r="B282" s="379">
        <f>'2022'!Maxi_hp</f>
        <v>46.527927467994083</v>
      </c>
      <c r="C282" s="13">
        <f>'2022'!An_max</f>
        <v>2018</v>
      </c>
      <c r="D282" s="1053">
        <f t="shared" si="116"/>
        <v>0.98760680105456888</v>
      </c>
      <c r="E282" s="13"/>
      <c r="F282" s="13">
        <f t="shared" si="133"/>
        <v>21</v>
      </c>
      <c r="G282" s="13">
        <f t="shared" si="117"/>
        <v>20</v>
      </c>
      <c r="H282" s="172">
        <f t="shared" si="118"/>
        <v>43374</v>
      </c>
      <c r="I282" s="753">
        <f t="shared" si="119"/>
        <v>0.42857142857142855</v>
      </c>
      <c r="J282" s="746">
        <f t="shared" si="120"/>
        <v>47.111793294974731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46">
        <v>43368</v>
      </c>
      <c r="AP282" s="13">
        <f t="shared" si="121"/>
        <v>11</v>
      </c>
      <c r="AQ282" s="13">
        <f t="shared" si="122"/>
        <v>12</v>
      </c>
      <c r="AR282" s="172">
        <f t="shared" si="123"/>
        <v>43360</v>
      </c>
      <c r="AS282" s="753">
        <f t="shared" si="124"/>
        <v>0.2857142857142857</v>
      </c>
      <c r="AT282" s="769">
        <f t="shared" si="125"/>
        <v>47.212048980327587</v>
      </c>
      <c r="AU282" s="13">
        <f t="shared" si="126"/>
        <v>11</v>
      </c>
      <c r="AV282" s="13">
        <f t="shared" si="127"/>
        <v>10</v>
      </c>
      <c r="AW282" s="172">
        <f t="shared" si="128"/>
        <v>43374</v>
      </c>
      <c r="AX282" s="753">
        <f t="shared" si="129"/>
        <v>0.21428571428571427</v>
      </c>
      <c r="AY282" s="769">
        <f t="shared" si="130"/>
        <v>47.049711333162023</v>
      </c>
      <c r="AZ282" s="746">
        <f t="shared" si="134"/>
        <v>47.130880156744809</v>
      </c>
      <c r="BA282" s="641">
        <f t="shared" si="131"/>
        <v>0.98760680105456888</v>
      </c>
      <c r="BC282" s="11">
        <v>43368</v>
      </c>
      <c r="BD282" s="289">
        <f>[2]!FeuilCaduc*(1-Persistant)+Persistant</f>
        <v>0.94797384363547132</v>
      </c>
      <c r="BE282" s="290">
        <f>[2]!CroissVégét</f>
        <v>0.98814893849517882</v>
      </c>
      <c r="BF282" s="819">
        <f>1+[2]!Salcycl*Ksac</f>
        <v>1.043496730454434</v>
      </c>
      <c r="BH282" s="1044">
        <f t="shared" si="132"/>
        <v>1.5101041255931862E-2</v>
      </c>
      <c r="BI282" s="11">
        <v>44464</v>
      </c>
      <c r="BJ282" s="726">
        <v>5.5660709922785928E-3</v>
      </c>
      <c r="BK282" s="726">
        <v>7.0152352833086472E-3</v>
      </c>
      <c r="BL282" s="726">
        <v>8.7564058570242034E-3</v>
      </c>
      <c r="BM282" s="726">
        <v>1.0906409512740075E-2</v>
      </c>
      <c r="BN282" s="726">
        <v>1.3496791433610125E-2</v>
      </c>
      <c r="BO282" s="727">
        <v>1.6496646671754191E-2</v>
      </c>
      <c r="BP282" s="726">
        <v>2.0060874852695625E-2</v>
      </c>
      <c r="BQ282" s="726">
        <v>2.4018761741966994E-2</v>
      </c>
      <c r="BR282" s="726">
        <v>2.8414859356447757E-2</v>
      </c>
      <c r="BS282" s="726">
        <v>3.2983342547442618E-2</v>
      </c>
      <c r="BT282" s="726">
        <v>3.7754643301062658E-2</v>
      </c>
      <c r="BW282" s="1208">
        <f>'2018'!R\Max</f>
        <v>0.98760680105456888</v>
      </c>
      <c r="BX282" s="1206">
        <f>'2019'!R\Max</f>
        <v>0.63782016319712997</v>
      </c>
      <c r="BY282" s="1206">
        <f>'2020'!R\Max</f>
        <v>0.4667055100482092</v>
      </c>
      <c r="BZ282" s="1206">
        <f>'2021'!R\Max</f>
        <v>0.67773478624265071</v>
      </c>
      <c r="CA282" s="1206">
        <f>'2022'!R\Max</f>
        <v>0.70494988028819106</v>
      </c>
      <c r="CB282" s="1206">
        <f>'2023'!R\Max</f>
        <v>0.70491792364836825</v>
      </c>
      <c r="CC282" s="1206">
        <f>'2024'!R\Max</f>
        <v>0.70488596303045636</v>
      </c>
      <c r="CD282" s="1206">
        <f>'2025'!R\Max</f>
        <v>0.70506393813331569</v>
      </c>
      <c r="CE282" s="1206">
        <f>'2026'!R\Max</f>
        <v>0.7050379632125221</v>
      </c>
      <c r="CF282" s="1207">
        <f>'2027'!R\Max</f>
        <v>0.70500919509008353</v>
      </c>
    </row>
    <row r="283" spans="1:84" s="6" customFormat="1" ht="11.25" x14ac:dyDescent="0.2">
      <c r="A283" s="11">
        <v>43369</v>
      </c>
      <c r="B283" s="379">
        <f>'2022'!Maxi_hp</f>
        <v>45.350079953012298</v>
      </c>
      <c r="C283" s="13">
        <f>'2022'!An_max</f>
        <v>2018</v>
      </c>
      <c r="D283" s="1053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2">
        <f t="shared" si="118"/>
        <v>43374</v>
      </c>
      <c r="I283" s="753">
        <f t="shared" si="119"/>
        <v>0.35714285714285715</v>
      </c>
      <c r="J283" s="746">
        <f t="shared" si="120"/>
        <v>46.826627988607754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46">
        <v>43369</v>
      </c>
      <c r="AP283" s="13">
        <f t="shared" si="121"/>
        <v>11</v>
      </c>
      <c r="AQ283" s="13">
        <f t="shared" si="122"/>
        <v>12</v>
      </c>
      <c r="AR283" s="172">
        <f t="shared" si="123"/>
        <v>43360</v>
      </c>
      <c r="AS283" s="753">
        <f t="shared" si="124"/>
        <v>0.32142857142857145</v>
      </c>
      <c r="AT283" s="769">
        <f t="shared" si="125"/>
        <v>46.934641661608069</v>
      </c>
      <c r="AU283" s="13">
        <f t="shared" si="126"/>
        <v>11</v>
      </c>
      <c r="AV283" s="13">
        <f t="shared" si="127"/>
        <v>10</v>
      </c>
      <c r="AW283" s="172">
        <f t="shared" si="128"/>
        <v>43374</v>
      </c>
      <c r="AX283" s="753">
        <f t="shared" si="129"/>
        <v>0.17857142857142858</v>
      </c>
      <c r="AY283" s="769">
        <f t="shared" si="130"/>
        <v>46.777059930549669</v>
      </c>
      <c r="AZ283" s="746">
        <f t="shared" si="134"/>
        <v>46.855850796078869</v>
      </c>
      <c r="BA283" s="641">
        <f t="shared" si="131"/>
        <v>0.96846776932230361</v>
      </c>
      <c r="BC283" s="11">
        <v>43369</v>
      </c>
      <c r="BD283" s="289">
        <f>[2]!FeuilCaduc*(1-Persistant)+Persistant</f>
        <v>0.94544599444663047</v>
      </c>
      <c r="BE283" s="290">
        <f>[2]!CroissVégét</f>
        <v>0.98863370421593466</v>
      </c>
      <c r="BF283" s="819">
        <f>1+[2]!Salcycl*Ksac</f>
        <v>1.0431807493058287</v>
      </c>
      <c r="BH283" s="1044">
        <f t="shared" si="132"/>
        <v>1.5182769229925307E-2</v>
      </c>
      <c r="BI283" s="11">
        <v>44465</v>
      </c>
      <c r="BJ283" s="726">
        <v>5.667949845261696E-3</v>
      </c>
      <c r="BK283" s="726">
        <v>7.1312528668006879E-3</v>
      </c>
      <c r="BL283" s="726">
        <v>8.8728718081919049E-3</v>
      </c>
      <c r="BM283" s="726">
        <v>1.1013840968140618E-2</v>
      </c>
      <c r="BN283" s="726">
        <v>1.3586381982777441E-2</v>
      </c>
      <c r="BO283" s="727">
        <v>1.6571534655901735E-2</v>
      </c>
      <c r="BP283" s="726">
        <v>2.0103013798732139E-2</v>
      </c>
      <c r="BQ283" s="726">
        <v>2.4028253384726288E-2</v>
      </c>
      <c r="BR283" s="726">
        <v>2.8421166806400715E-2</v>
      </c>
      <c r="BS283" s="726">
        <v>3.3022692315689189E-2</v>
      </c>
      <c r="BT283" s="726">
        <v>3.7845344297338213E-2</v>
      </c>
      <c r="BW283" s="1208">
        <f>'2018'!R\Max</f>
        <v>0.96846776932230361</v>
      </c>
      <c r="BX283" s="1206">
        <f>'2019'!R\Max</f>
        <v>0.72926947807119535</v>
      </c>
      <c r="BY283" s="1206">
        <f>'2020'!R\Max</f>
        <v>0.42524127519856303</v>
      </c>
      <c r="BZ283" s="1206">
        <f>'2021'!R\Max</f>
        <v>0.75287651985472159</v>
      </c>
      <c r="CA283" s="1206">
        <f>'2022'!R\Max</f>
        <v>0.76497929209066295</v>
      </c>
      <c r="CB283" s="1206">
        <f>'2023'!R\Max</f>
        <v>0.76495180390124862</v>
      </c>
      <c r="CC283" s="1206">
        <f>'2024'!R\Max</f>
        <v>0.76492431180199072</v>
      </c>
      <c r="CD283" s="1206">
        <f>'2025'!R\Max</f>
        <v>0.76507736553083217</v>
      </c>
      <c r="CE283" s="1206">
        <f>'2026'!R\Max</f>
        <v>0.76505498826259366</v>
      </c>
      <c r="CF283" s="1207">
        <f>'2027'!R\Max</f>
        <v>0.76503026741290281</v>
      </c>
    </row>
    <row r="284" spans="1:84" s="6" customFormat="1" ht="11.25" x14ac:dyDescent="0.2">
      <c r="A284" s="11">
        <v>43370</v>
      </c>
      <c r="B284" s="379">
        <f>'2022'!Maxi_hp</f>
        <v>44.445052403607114</v>
      </c>
      <c r="C284" s="13">
        <f>'2022'!An_max</f>
        <v>2018</v>
      </c>
      <c r="D284" s="1053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2">
        <f t="shared" si="118"/>
        <v>43374</v>
      </c>
      <c r="I284" s="753">
        <f t="shared" si="119"/>
        <v>0.2857142857142857</v>
      </c>
      <c r="J284" s="746">
        <f t="shared" si="120"/>
        <v>46.539729154402657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46">
        <v>43370</v>
      </c>
      <c r="AP284" s="13">
        <f t="shared" si="121"/>
        <v>11</v>
      </c>
      <c r="AQ284" s="13">
        <f t="shared" si="122"/>
        <v>12</v>
      </c>
      <c r="AR284" s="172">
        <f t="shared" si="123"/>
        <v>43360</v>
      </c>
      <c r="AS284" s="753">
        <f t="shared" si="124"/>
        <v>0.35714285714285715</v>
      </c>
      <c r="AT284" s="769">
        <f t="shared" si="125"/>
        <v>46.653221046099702</v>
      </c>
      <c r="AU284" s="13">
        <f t="shared" si="126"/>
        <v>11</v>
      </c>
      <c r="AV284" s="13">
        <f t="shared" si="127"/>
        <v>10</v>
      </c>
      <c r="AW284" s="172">
        <f t="shared" si="128"/>
        <v>43374</v>
      </c>
      <c r="AX284" s="753">
        <f t="shared" si="129"/>
        <v>0.14285714285714285</v>
      </c>
      <c r="AY284" s="769">
        <f t="shared" si="130"/>
        <v>46.502458308956456</v>
      </c>
      <c r="AZ284" s="746">
        <f t="shared" si="134"/>
        <v>46.577839677528075</v>
      </c>
      <c r="BA284" s="641">
        <f t="shared" si="131"/>
        <v>0.95499164286396832</v>
      </c>
      <c r="BC284" s="11">
        <v>43370</v>
      </c>
      <c r="BD284" s="289">
        <f>[2]!FeuilCaduc*(1-Persistant)+Persistant</f>
        <v>0.94281864436775531</v>
      </c>
      <c r="BE284" s="290">
        <f>[2]!CroissVégét</f>
        <v>0.98909939873407315</v>
      </c>
      <c r="BF284" s="819">
        <f>1+[2]!Salcycl*Ksac</f>
        <v>1.0428523305459694</v>
      </c>
      <c r="BH284" s="1044">
        <f t="shared" si="132"/>
        <v>1.5243282588523418E-2</v>
      </c>
      <c r="BI284" s="11">
        <v>44466</v>
      </c>
      <c r="BJ284" s="726">
        <v>5.7523711050790046E-3</v>
      </c>
      <c r="BK284" s="726">
        <v>7.2281005544145354E-3</v>
      </c>
      <c r="BL284" s="726">
        <v>8.9690286423107484E-3</v>
      </c>
      <c r="BM284" s="726">
        <v>1.1100020047862938E-2</v>
      </c>
      <c r="BN284" s="726">
        <v>1.365460436393718E-2</v>
      </c>
      <c r="BO284" s="727">
        <v>1.6625341606627455E-2</v>
      </c>
      <c r="BP284" s="726">
        <v>2.0126972321111609E-2</v>
      </c>
      <c r="BQ284" s="726">
        <v>2.4024975943891344E-2</v>
      </c>
      <c r="BR284" s="726">
        <v>2.84172346247791E-2</v>
      </c>
      <c r="BS284" s="726">
        <v>3.3051517997535737E-2</v>
      </c>
      <c r="BT284" s="726">
        <v>3.7922193109778762E-2</v>
      </c>
      <c r="BW284" s="1208">
        <f>'2018'!R\Max</f>
        <v>0.95499164286396832</v>
      </c>
      <c r="BX284" s="1206">
        <f>'2019'!R\Max</f>
        <v>0.78764760549779378</v>
      </c>
      <c r="BY284" s="1206">
        <f>'2020'!R\Max</f>
        <v>0.39550028241029583</v>
      </c>
      <c r="BZ284" s="1206">
        <f>'2021'!R\Max</f>
        <v>0.55335077858529969</v>
      </c>
      <c r="CA284" s="1206">
        <f>'2022'!R\Max</f>
        <v>0.34782845136869134</v>
      </c>
      <c r="CB284" s="1206">
        <f>'2023'!R\Max</f>
        <v>0.34779389519453502</v>
      </c>
      <c r="CC284" s="1206">
        <f>'2024'!R\Max</f>
        <v>0.34775933851538549</v>
      </c>
      <c r="CD284" s="1206">
        <f>'2025'!R\Max</f>
        <v>0.34795165825570257</v>
      </c>
      <c r="CE284" s="1206">
        <f>'2026'!R\Max</f>
        <v>0.34792349603292172</v>
      </c>
      <c r="CF284" s="1207">
        <f>'2027'!R\Max</f>
        <v>0.34789245501319005</v>
      </c>
    </row>
    <row r="285" spans="1:84" s="6" customFormat="1" ht="11.25" x14ac:dyDescent="0.2">
      <c r="A285" s="11">
        <v>43371</v>
      </c>
      <c r="B285" s="379">
        <f>'2022'!Maxi_hp</f>
        <v>42.089507508036213</v>
      </c>
      <c r="C285" s="13">
        <f>'2022'!An_max</f>
        <v>2018</v>
      </c>
      <c r="D285" s="1053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2">
        <f t="shared" si="118"/>
        <v>43374</v>
      </c>
      <c r="I285" s="753">
        <f t="shared" si="119"/>
        <v>0.21428571428571427</v>
      </c>
      <c r="J285" s="746">
        <f t="shared" si="120"/>
        <v>46.251746866080374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46">
        <v>43371</v>
      </c>
      <c r="AP285" s="13">
        <f t="shared" si="121"/>
        <v>11</v>
      </c>
      <c r="AQ285" s="13">
        <f t="shared" si="122"/>
        <v>12</v>
      </c>
      <c r="AR285" s="172">
        <f t="shared" si="123"/>
        <v>43360</v>
      </c>
      <c r="AS285" s="753">
        <f t="shared" si="124"/>
        <v>0.39285714285714285</v>
      </c>
      <c r="AT285" s="769">
        <f t="shared" si="125"/>
        <v>46.368071540238873</v>
      </c>
      <c r="AU285" s="13">
        <f t="shared" si="126"/>
        <v>11</v>
      </c>
      <c r="AV285" s="13">
        <f t="shared" si="127"/>
        <v>10</v>
      </c>
      <c r="AW285" s="172">
        <f t="shared" si="128"/>
        <v>43374</v>
      </c>
      <c r="AX285" s="753">
        <f t="shared" si="129"/>
        <v>0.10714285714285714</v>
      </c>
      <c r="AY285" s="769">
        <f t="shared" si="130"/>
        <v>46.226068986180636</v>
      </c>
      <c r="AZ285" s="746">
        <f t="shared" si="134"/>
        <v>46.297070263209754</v>
      </c>
      <c r="BA285" s="641">
        <f t="shared" si="131"/>
        <v>0.9100090344674826</v>
      </c>
      <c r="BC285" s="11">
        <v>43371</v>
      </c>
      <c r="BD285" s="289">
        <f>[2]!FeuilCaduc*(1-Persistant)+Persistant</f>
        <v>0.94008925731094739</v>
      </c>
      <c r="BE285" s="290">
        <f>[2]!CroissVégét</f>
        <v>0.98954675523264646</v>
      </c>
      <c r="BF285" s="819">
        <f>1+[2]!Salcycl*Ksac</f>
        <v>1.0425111571638683</v>
      </c>
      <c r="BH285" s="1044">
        <f t="shared" si="132"/>
        <v>1.5282540961925391E-2</v>
      </c>
      <c r="BI285" s="11">
        <v>44467</v>
      </c>
      <c r="BJ285" s="726">
        <v>5.8193109708366319E-3</v>
      </c>
      <c r="BK285" s="726">
        <v>7.30575137085756E-3</v>
      </c>
      <c r="BL285" s="726">
        <v>9.044845973701577E-3</v>
      </c>
      <c r="BM285" s="726">
        <v>1.1164912301858426E-2</v>
      </c>
      <c r="BN285" s="726">
        <v>1.3701420204469052E-2</v>
      </c>
      <c r="BO285" s="727">
        <v>1.6658025416697936E-2</v>
      </c>
      <c r="BP285" s="726">
        <v>2.0132706417944894E-2</v>
      </c>
      <c r="BQ285" s="726">
        <v>2.400888626175611E-2</v>
      </c>
      <c r="BR285" s="726">
        <v>2.840301769876594E-2</v>
      </c>
      <c r="BS285" s="726">
        <v>3.3069770426198228E-2</v>
      </c>
      <c r="BT285" s="726">
        <v>3.7985133269007813E-2</v>
      </c>
      <c r="BW285" s="1208">
        <f>'2018'!R\Max</f>
        <v>0.9100090344674826</v>
      </c>
      <c r="BX285" s="1206">
        <f>'2019'!R\Max</f>
        <v>0.68645509615296418</v>
      </c>
      <c r="BY285" s="1206">
        <f>'2020'!R\Max</f>
        <v>0.2866743355159137</v>
      </c>
      <c r="BZ285" s="1206">
        <f>'2021'!R\Max</f>
        <v>0.60340426513601364</v>
      </c>
      <c r="CA285" s="1206">
        <f>'2022'!R\Max</f>
        <v>0.40220954809985027</v>
      </c>
      <c r="CB285" s="1206">
        <f>'2023'!R\Max</f>
        <v>0.40217300532143058</v>
      </c>
      <c r="CC285" s="1206">
        <f>'2024'!R\Max</f>
        <v>0.40213646140614456</v>
      </c>
      <c r="CD285" s="1206">
        <f>'2025'!R\Max</f>
        <v>0.40233962063826534</v>
      </c>
      <c r="CE285" s="1206">
        <f>'2026'!R\Max</f>
        <v>0.40230985147628967</v>
      </c>
      <c r="CF285" s="1207">
        <f>'2027'!R\Max</f>
        <v>0.40227709668779649</v>
      </c>
    </row>
    <row r="286" spans="1:84" s="6" customFormat="1" ht="11.25" x14ac:dyDescent="0.2">
      <c r="A286" s="11">
        <v>43372</v>
      </c>
      <c r="B286" s="379">
        <f>'2022'!Maxi_hp</f>
        <v>45.134596389109774</v>
      </c>
      <c r="C286" s="13">
        <f>'2022'!An_max</f>
        <v>2019</v>
      </c>
      <c r="D286" s="1053">
        <f t="shared" si="116"/>
        <v>0.98196965309899997</v>
      </c>
      <c r="E286" s="13"/>
      <c r="F286" s="13">
        <f t="shared" si="133"/>
        <v>21</v>
      </c>
      <c r="G286" s="13">
        <f t="shared" si="117"/>
        <v>20</v>
      </c>
      <c r="H286" s="172">
        <f t="shared" si="118"/>
        <v>43374</v>
      </c>
      <c r="I286" s="753">
        <f t="shared" si="119"/>
        <v>0.14285714285714285</v>
      </c>
      <c r="J286" s="746">
        <f t="shared" si="120"/>
        <v>45.963331195286344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46">
        <v>43372</v>
      </c>
      <c r="AP286" s="13">
        <f t="shared" si="121"/>
        <v>11</v>
      </c>
      <c r="AQ286" s="13">
        <f t="shared" si="122"/>
        <v>12</v>
      </c>
      <c r="AR286" s="172">
        <f t="shared" si="123"/>
        <v>43360</v>
      </c>
      <c r="AS286" s="753">
        <f t="shared" si="124"/>
        <v>0.42857142857142855</v>
      </c>
      <c r="AT286" s="769">
        <f t="shared" si="125"/>
        <v>46.079477551100503</v>
      </c>
      <c r="AU286" s="13">
        <f t="shared" si="126"/>
        <v>11</v>
      </c>
      <c r="AV286" s="13">
        <f t="shared" si="127"/>
        <v>10</v>
      </c>
      <c r="AW286" s="172">
        <f t="shared" si="128"/>
        <v>43374</v>
      </c>
      <c r="AX286" s="753">
        <f t="shared" si="129"/>
        <v>7.1428571428571425E-2</v>
      </c>
      <c r="AY286" s="769">
        <f t="shared" si="130"/>
        <v>45.948054482282274</v>
      </c>
      <c r="AZ286" s="746">
        <f t="shared" si="134"/>
        <v>46.013766016691392</v>
      </c>
      <c r="BA286" s="641">
        <f t="shared" si="131"/>
        <v>0.98196965309899997</v>
      </c>
      <c r="BC286" s="11">
        <v>43372</v>
      </c>
      <c r="BD286" s="289">
        <f>[2]!FeuilCaduc*(1-Persistant)+Persistant</f>
        <v>0.93725541144016344</v>
      </c>
      <c r="BE286" s="290">
        <f>[2]!CroissVégét</f>
        <v>0.98997648004446692</v>
      </c>
      <c r="BF286" s="819">
        <f>1+[2]!Salcycl*Ksac</f>
        <v>1.0421569264300203</v>
      </c>
      <c r="BH286" s="1044">
        <f t="shared" si="132"/>
        <v>1.5300501765098439E-2</v>
      </c>
      <c r="BI286" s="11">
        <v>44468</v>
      </c>
      <c r="BJ286" s="726">
        <v>5.8687436618248294E-3</v>
      </c>
      <c r="BK286" s="726">
        <v>7.3641761485245833E-3</v>
      </c>
      <c r="BL286" s="726">
        <v>9.1002911233114912E-3</v>
      </c>
      <c r="BM286" s="726">
        <v>1.1208480945327278E-2</v>
      </c>
      <c r="BN286" s="726">
        <v>1.3726788867464467E-2</v>
      </c>
      <c r="BO286" s="727">
        <v>1.6669541806323983E-2</v>
      </c>
      <c r="BP286" s="726">
        <v>2.0120170315803876E-2</v>
      </c>
      <c r="BQ286" s="726">
        <v>2.3979940029114178E-2</v>
      </c>
      <c r="BR286" s="726">
        <v>2.83784700005189E-2</v>
      </c>
      <c r="BS286" s="726">
        <v>3.3077399348369126E-2</v>
      </c>
      <c r="BT286" s="726">
        <v>3.8034106699795907E-2</v>
      </c>
      <c r="BW286" s="1208">
        <f>'2018'!R\Max</f>
        <v>0.94183101643399258</v>
      </c>
      <c r="BX286" s="1206">
        <f>'2019'!R\Max</f>
        <v>0.98196965309899997</v>
      </c>
      <c r="BY286" s="1206">
        <f>'2020'!R\Max</f>
        <v>0.71648112519739893</v>
      </c>
      <c r="BZ286" s="1206">
        <f>'2021'!R\Max</f>
        <v>0.6359356056792731</v>
      </c>
      <c r="CA286" s="1206">
        <f>'2022'!R\Max</f>
        <v>0.55518993261879646</v>
      </c>
      <c r="CB286" s="1206">
        <f>'2023'!R\Max</f>
        <v>0.55515243625610289</v>
      </c>
      <c r="CC286" s="1206">
        <f>'2024'!R\Max</f>
        <v>0.555114936986015</v>
      </c>
      <c r="CD286" s="1206">
        <f>'2025'!R\Max</f>
        <v>0.55532307875544307</v>
      </c>
      <c r="CE286" s="1206">
        <f>'2026'!R\Max</f>
        <v>0.55529257901095541</v>
      </c>
      <c r="CF286" s="1207">
        <f>'2027'!R\Max</f>
        <v>0.55525906456977625</v>
      </c>
    </row>
    <row r="287" spans="1:84" s="6" customFormat="1" ht="11.25" x14ac:dyDescent="0.2">
      <c r="A287" s="11">
        <v>43373</v>
      </c>
      <c r="B287" s="379">
        <f>'2022'!Maxi_hp</f>
        <v>39.258046137495292</v>
      </c>
      <c r="C287" s="13">
        <f>'2022'!An_max</f>
        <v>2018</v>
      </c>
      <c r="D287" s="1053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2">
        <f t="shared" si="118"/>
        <v>43374</v>
      </c>
      <c r="I287" s="753">
        <f t="shared" si="119"/>
        <v>7.1428571428571425E-2</v>
      </c>
      <c r="J287" s="746">
        <f t="shared" si="120"/>
        <v>45.675132215941062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46">
        <v>43373</v>
      </c>
      <c r="AP287" s="13">
        <f t="shared" si="121"/>
        <v>11</v>
      </c>
      <c r="AQ287" s="13">
        <f t="shared" si="122"/>
        <v>12</v>
      </c>
      <c r="AR287" s="172">
        <f t="shared" si="123"/>
        <v>43360</v>
      </c>
      <c r="AS287" s="753">
        <f t="shared" si="124"/>
        <v>0.4642857142857143</v>
      </c>
      <c r="AT287" s="769">
        <f t="shared" si="125"/>
        <v>45.787723486005731</v>
      </c>
      <c r="AU287" s="13">
        <f t="shared" si="126"/>
        <v>11</v>
      </c>
      <c r="AV287" s="13">
        <f t="shared" si="127"/>
        <v>10</v>
      </c>
      <c r="AW287" s="172">
        <f t="shared" si="128"/>
        <v>43374</v>
      </c>
      <c r="AX287" s="753">
        <f t="shared" si="129"/>
        <v>3.5714285714285712E-2</v>
      </c>
      <c r="AY287" s="769">
        <f t="shared" si="130"/>
        <v>45.668577313942038</v>
      </c>
      <c r="AZ287" s="746">
        <f t="shared" si="134"/>
        <v>45.728150399973885</v>
      </c>
      <c r="BA287" s="641">
        <f t="shared" si="131"/>
        <v>0.8595059112668284</v>
      </c>
      <c r="BC287" s="11">
        <v>43373</v>
      </c>
      <c r="BD287" s="289">
        <f>[2]!FeuilCaduc*(1-Persistant)+Persistant</f>
        <v>0.93431482109526731</v>
      </c>
      <c r="BE287" s="290">
        <f>[2]!CroissVégét</f>
        <v>0.99038925353008489</v>
      </c>
      <c r="BF287" s="819">
        <f>1+[2]!Salcycl*Ksac</f>
        <v>1.0417893526369084</v>
      </c>
      <c r="BH287" s="1044">
        <f t="shared" si="132"/>
        <v>1.5297120434892945E-2</v>
      </c>
      <c r="BI287" s="11">
        <v>44469</v>
      </c>
      <c r="BJ287" s="726">
        <v>5.9006416116618001E-3</v>
      </c>
      <c r="BK287" s="726">
        <v>7.4033437408909906E-3</v>
      </c>
      <c r="BL287" s="726">
        <v>9.1353293449795269E-3</v>
      </c>
      <c r="BM287" s="726">
        <v>1.1230687095691281E-2</v>
      </c>
      <c r="BN287" s="726">
        <v>1.3730667690300978E-2</v>
      </c>
      <c r="BO287" s="727">
        <v>1.6659844559006241E-2</v>
      </c>
      <c r="BP287" s="726">
        <v>2.0089316674011808E-2</v>
      </c>
      <c r="BQ287" s="726">
        <v>2.3938091930429135E-2</v>
      </c>
      <c r="BR287" s="726">
        <v>2.8343544705292829E-2</v>
      </c>
      <c r="BS287" s="726">
        <v>3.3074353546626752E-2</v>
      </c>
      <c r="BT287" s="726">
        <v>3.8069053881465427E-2</v>
      </c>
      <c r="BW287" s="1208">
        <f>'2018'!R\Max</f>
        <v>0.8595059112668284</v>
      </c>
      <c r="BX287" s="1206">
        <f>'2019'!R\Max</f>
        <v>0.59920427551146949</v>
      </c>
      <c r="BY287" s="1206">
        <f>'2020'!R\Max</f>
        <v>0.76868418184828813</v>
      </c>
      <c r="BZ287" s="1206">
        <f>'2021'!R\Max</f>
        <v>0.48918354174048051</v>
      </c>
      <c r="CA287" s="1206">
        <f>'2022'!R\Max</f>
        <v>0.68282538292350159</v>
      </c>
      <c r="CB287" s="1206">
        <f>'2023'!R\Max</f>
        <v>0.68279248887648702</v>
      </c>
      <c r="CC287" s="1206">
        <f>'2024'!R\Max</f>
        <v>0.68275959100266648</v>
      </c>
      <c r="CD287" s="1206">
        <f>'2025'!R\Max</f>
        <v>0.68294182994478481</v>
      </c>
      <c r="CE287" s="1206">
        <f>'2026'!R\Max</f>
        <v>0.68291514050372404</v>
      </c>
      <c r="CF287" s="1207">
        <f>'2027'!R\Max</f>
        <v>0.68288583957349058</v>
      </c>
    </row>
    <row r="288" spans="1:84" s="6" customFormat="1" ht="11.25" x14ac:dyDescent="0.2">
      <c r="A288" s="11">
        <v>43374</v>
      </c>
      <c r="B288" s="379">
        <f>'2022'!Maxi_hp</f>
        <v>44.088165069651787</v>
      </c>
      <c r="C288" s="13">
        <f>'2022'!An_max</f>
        <v>2020</v>
      </c>
      <c r="D288" s="1053">
        <f t="shared" si="116"/>
        <v>0.97136598534416785</v>
      </c>
      <c r="E288" s="1048">
        <f>AG$13/10</f>
        <v>45.387799999999999</v>
      </c>
      <c r="F288" s="13">
        <f t="shared" si="133"/>
        <v>21</v>
      </c>
      <c r="G288" s="13">
        <f t="shared" si="117"/>
        <v>22</v>
      </c>
      <c r="H288" s="172">
        <f t="shared" si="118"/>
        <v>43374</v>
      </c>
      <c r="I288" s="753">
        <f t="shared" si="119"/>
        <v>0</v>
      </c>
      <c r="J288" s="746">
        <f t="shared" si="120"/>
        <v>45.387800000049175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46">
        <v>43374</v>
      </c>
      <c r="AP288" s="13">
        <f t="shared" si="121"/>
        <v>11</v>
      </c>
      <c r="AQ288" s="13">
        <f t="shared" si="122"/>
        <v>12</v>
      </c>
      <c r="AR288" s="172">
        <f t="shared" si="123"/>
        <v>43360</v>
      </c>
      <c r="AS288" s="753">
        <f t="shared" si="124"/>
        <v>0.5</v>
      </c>
      <c r="AT288" s="769">
        <f t="shared" si="125"/>
        <v>45.493093750253323</v>
      </c>
      <c r="AU288" s="13">
        <f t="shared" si="126"/>
        <v>11</v>
      </c>
      <c r="AV288" s="13">
        <f t="shared" si="127"/>
        <v>12</v>
      </c>
      <c r="AW288" s="172">
        <f t="shared" si="128"/>
        <v>43374</v>
      </c>
      <c r="AX288" s="753">
        <f t="shared" si="129"/>
        <v>0</v>
      </c>
      <c r="AY288" s="769">
        <f t="shared" si="130"/>
        <v>45.387799999117853</v>
      </c>
      <c r="AZ288" s="746">
        <f t="shared" si="134"/>
        <v>45.440446874685591</v>
      </c>
      <c r="BA288" s="641">
        <f t="shared" si="131"/>
        <v>0.97136598534416785</v>
      </c>
      <c r="BC288" s="11">
        <v>43374</v>
      </c>
      <c r="BD288" s="289">
        <f>[2]!FeuilCaduc*(1-Persistant)+Persistant</f>
        <v>0.93126535920518227</v>
      </c>
      <c r="BE288" s="290">
        <f>[2]!CroissVégét</f>
        <v>0.99078573093558142</v>
      </c>
      <c r="BF288" s="819">
        <f>1+[2]!Salcycl*Ksac</f>
        <v>1.0414081699006479</v>
      </c>
      <c r="BH288" s="1044">
        <f t="shared" si="132"/>
        <v>1.5272350666965253E-2</v>
      </c>
      <c r="BI288" s="11">
        <v>44470</v>
      </c>
      <c r="BJ288" s="726">
        <v>5.9149756623646981E-3</v>
      </c>
      <c r="BK288" s="726">
        <v>7.4232212358143739E-3</v>
      </c>
      <c r="BL288" s="726">
        <v>9.149924051588933E-3</v>
      </c>
      <c r="BM288" s="726">
        <v>1.1231490009426399E-2</v>
      </c>
      <c r="BN288" s="726">
        <v>1.3713012223044448E-2</v>
      </c>
      <c r="BO288" s="727">
        <v>1.6628885757171041E-2</v>
      </c>
      <c r="BP288" s="726">
        <v>2.0040096788679761E-2</v>
      </c>
      <c r="BQ288" s="726">
        <v>2.3883295788701867E-2</v>
      </c>
      <c r="BR288" s="726">
        <v>2.8298194309203755E-2</v>
      </c>
      <c r="BS288" s="726">
        <v>3.3060580961427152E-2</v>
      </c>
      <c r="BT288" s="726">
        <v>3.8089914007815862E-2</v>
      </c>
      <c r="BW288" s="1208">
        <f>'2018'!R\Max</f>
        <v>0.66175054092776353</v>
      </c>
      <c r="BX288" s="1206">
        <f>'2019'!R\Max</f>
        <v>0.75878713716645474</v>
      </c>
      <c r="BY288" s="1206">
        <f>'2020'!R\Max</f>
        <v>0.97136598534416785</v>
      </c>
      <c r="BZ288" s="1206">
        <f>'2021'!R\Max</f>
        <v>0.74857214856622667</v>
      </c>
      <c r="CA288" s="1206">
        <f>'2022'!R\Max</f>
        <v>0.88850187232867728</v>
      </c>
      <c r="CB288" s="1206">
        <f>'2023'!R\Max</f>
        <v>0.88848680140819669</v>
      </c>
      <c r="CC288" s="1206">
        <f>'2024'!R\Max</f>
        <v>0.88847172778829719</v>
      </c>
      <c r="CD288" s="1206">
        <f>'2025'!R\Max</f>
        <v>0.88855502289488209</v>
      </c>
      <c r="CE288" s="1206">
        <f>'2026'!R\Max</f>
        <v>0.88854283867234873</v>
      </c>
      <c r="CF288" s="1207">
        <f>'2027'!R\Max</f>
        <v>0.88852946841830849</v>
      </c>
    </row>
    <row r="289" spans="1:84" s="6" customFormat="1" ht="11.25" x14ac:dyDescent="0.2">
      <c r="A289" s="11">
        <v>43375</v>
      </c>
      <c r="B289" s="379">
        <f>'2022'!Maxi_hp</f>
        <v>43.352276629554488</v>
      </c>
      <c r="C289" s="13">
        <f>'2022'!An_max</f>
        <v>2022</v>
      </c>
      <c r="D289" s="1053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2">
        <f t="shared" si="118"/>
        <v>43374</v>
      </c>
      <c r="I289" s="753">
        <f t="shared" si="119"/>
        <v>7.1428571428571425E-2</v>
      </c>
      <c r="J289" s="746">
        <f t="shared" si="120"/>
        <v>45.101063684493838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46">
        <v>43375</v>
      </c>
      <c r="AP289" s="13">
        <f t="shared" si="121"/>
        <v>11</v>
      </c>
      <c r="AQ289" s="13">
        <f t="shared" si="122"/>
        <v>12</v>
      </c>
      <c r="AR289" s="172">
        <f t="shared" si="123"/>
        <v>43360</v>
      </c>
      <c r="AS289" s="753">
        <f t="shared" si="124"/>
        <v>0.5357142857142857</v>
      </c>
      <c r="AT289" s="769">
        <f t="shared" si="125"/>
        <v>45.19587275186953</v>
      </c>
      <c r="AU289" s="13">
        <f t="shared" si="126"/>
        <v>11</v>
      </c>
      <c r="AV289" s="13">
        <f t="shared" si="127"/>
        <v>12</v>
      </c>
      <c r="AW289" s="172">
        <f t="shared" si="128"/>
        <v>43374</v>
      </c>
      <c r="AX289" s="753">
        <f t="shared" si="129"/>
        <v>3.5714285714285712E-2</v>
      </c>
      <c r="AY289" s="769">
        <f t="shared" si="130"/>
        <v>45.10327122361798</v>
      </c>
      <c r="AZ289" s="746">
        <f t="shared" si="134"/>
        <v>45.149571987743755</v>
      </c>
      <c r="BA289" s="641">
        <f t="shared" si="131"/>
        <v>0.9612251483208234</v>
      </c>
      <c r="BC289" s="11">
        <v>43375</v>
      </c>
      <c r="BD289" s="289">
        <f>[2]!FeuilCaduc*(1-Persistant)+Persistant</f>
        <v>0.92810508001352443</v>
      </c>
      <c r="BE289" s="290">
        <f>[2]!CroissVégét</f>
        <v>0.99116654322989417</v>
      </c>
      <c r="BF289" s="819">
        <f>1+[2]!Salcycl*Ksac</f>
        <v>1.0410131350016905</v>
      </c>
      <c r="BH289" s="1044">
        <f t="shared" si="132"/>
        <v>1.522614465290106E-2</v>
      </c>
      <c r="BI289" s="11">
        <v>44471</v>
      </c>
      <c r="BJ289" s="726">
        <v>5.9117152584978227E-3</v>
      </c>
      <c r="BK289" s="726">
        <v>7.4237741689329693E-3</v>
      </c>
      <c r="BL289" s="726">
        <v>9.1440370413389867E-3</v>
      </c>
      <c r="BM289" s="726">
        <v>1.1210847319042453E-2</v>
      </c>
      <c r="BN289" s="726">
        <v>1.3673776467031142E-2</v>
      </c>
      <c r="BO289" s="727">
        <v>1.6576616018024789E-2</v>
      </c>
      <c r="BP289" s="726">
        <v>1.9972460797006701E-2</v>
      </c>
      <c r="BQ289" s="726">
        <v>2.3815504710651879E-2</v>
      </c>
      <c r="BR289" s="726">
        <v>2.824237074736444E-2</v>
      </c>
      <c r="BS289" s="726">
        <v>3.3036028813529322E-2</v>
      </c>
      <c r="BT289" s="726">
        <v>3.8096625147547664E-2</v>
      </c>
      <c r="BW289" s="1208">
        <f>'2018'!R\Max</f>
        <v>0.94960828726673452</v>
      </c>
      <c r="BX289" s="1206">
        <f>'2019'!R\Max</f>
        <v>0.6082651353602343</v>
      </c>
      <c r="BY289" s="1206">
        <f>'2020'!R\Max</f>
        <v>0.19778545134098854</v>
      </c>
      <c r="BZ289" s="1206">
        <f>'2021'!R\Max</f>
        <v>0.92936357214994514</v>
      </c>
      <c r="CA289" s="1206">
        <f>'2022'!R\Max</f>
        <v>0.9612251483208234</v>
      </c>
      <c r="CB289" s="1206">
        <f>'2023'!R\Max</f>
        <v>0.96121946172412587</v>
      </c>
      <c r="CC289" s="1206">
        <f>'2024'!R\Max</f>
        <v>0.96121377397969321</v>
      </c>
      <c r="CD289" s="1206">
        <f>'2025'!R\Max</f>
        <v>0.96124511602127416</v>
      </c>
      <c r="CE289" s="1206">
        <f>'2026'!R\Max</f>
        <v>0.96124053916084218</v>
      </c>
      <c r="CF289" s="1207">
        <f>'2027'!R\Max</f>
        <v>0.96123551709322019</v>
      </c>
    </row>
    <row r="290" spans="1:84" s="6" customFormat="1" ht="11.25" x14ac:dyDescent="0.2">
      <c r="A290" s="11">
        <v>43376</v>
      </c>
      <c r="B290" s="379">
        <f>'2022'!Maxi_hp</f>
        <v>41.859424132175342</v>
      </c>
      <c r="C290" s="13">
        <f>'2022'!An_max</f>
        <v>2018</v>
      </c>
      <c r="D290" s="1053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2">
        <f t="shared" si="118"/>
        <v>43374</v>
      </c>
      <c r="I290" s="753">
        <f t="shared" si="119"/>
        <v>0.14285714285714285</v>
      </c>
      <c r="J290" s="746">
        <f t="shared" si="120"/>
        <v>44.814002332304213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46">
        <v>43376</v>
      </c>
      <c r="AP290" s="13">
        <f t="shared" si="121"/>
        <v>11</v>
      </c>
      <c r="AQ290" s="13">
        <f t="shared" si="122"/>
        <v>12</v>
      </c>
      <c r="AR290" s="172">
        <f t="shared" si="123"/>
        <v>43360</v>
      </c>
      <c r="AS290" s="753">
        <f t="shared" si="124"/>
        <v>0.5714285714285714</v>
      </c>
      <c r="AT290" s="769">
        <f t="shared" si="125"/>
        <v>44.89634489789605</v>
      </c>
      <c r="AU290" s="13">
        <f t="shared" si="126"/>
        <v>11</v>
      </c>
      <c r="AV290" s="13">
        <f t="shared" si="127"/>
        <v>12</v>
      </c>
      <c r="AW290" s="172">
        <f t="shared" si="128"/>
        <v>43374</v>
      </c>
      <c r="AX290" s="753">
        <f t="shared" si="129"/>
        <v>7.1428571428571425E-2</v>
      </c>
      <c r="AY290" s="769">
        <f t="shared" si="130"/>
        <v>44.812702186565318</v>
      </c>
      <c r="AZ290" s="746">
        <f t="shared" si="134"/>
        <v>44.85452354223068</v>
      </c>
      <c r="BA290" s="641">
        <f t="shared" si="131"/>
        <v>0.93407020024187704</v>
      </c>
      <c r="BC290" s="11">
        <v>43376</v>
      </c>
      <c r="BD290" s="289">
        <f>[2]!FeuilCaduc*(1-Persistant)+Persistant</f>
        <v>0.9248322419303654</v>
      </c>
      <c r="BE290" s="290">
        <f>[2]!CroissVégét</f>
        <v>0.99153229792147035</v>
      </c>
      <c r="BF290" s="819">
        <f>1+[2]!Salcycl*Ksac</f>
        <v>1.0406040302412958</v>
      </c>
      <c r="BH290" s="1044">
        <f t="shared" si="132"/>
        <v>1.5166359267358771E-2</v>
      </c>
      <c r="BI290" s="11">
        <v>44472</v>
      </c>
      <c r="BJ290" s="726">
        <v>5.8915843790079622E-3</v>
      </c>
      <c r="BK290" s="726">
        <v>7.4060123590169785E-3</v>
      </c>
      <c r="BL290" s="726">
        <v>9.1199771983288894E-3</v>
      </c>
      <c r="BM290" s="726">
        <v>1.1173354883361433E-2</v>
      </c>
      <c r="BN290" s="726">
        <v>1.3619978784804887E-2</v>
      </c>
      <c r="BO290" s="727">
        <v>1.6511621673715657E-2</v>
      </c>
      <c r="BP290" s="726">
        <v>1.9895031892074835E-2</v>
      </c>
      <c r="BQ290" s="726">
        <v>2.3741719479306544E-2</v>
      </c>
      <c r="BR290" s="726">
        <v>2.8179904235199123E-2</v>
      </c>
      <c r="BS290" s="726">
        <v>3.3000196498762152E-2</v>
      </c>
      <c r="BT290" s="726">
        <v>3.8083670080805175E-2</v>
      </c>
      <c r="BW290" s="1208">
        <f>'2018'!R\Max</f>
        <v>0.93407020024187704</v>
      </c>
      <c r="BX290" s="1206">
        <f>'2019'!R\Max</f>
        <v>0.85725588966474597</v>
      </c>
      <c r="BY290" s="1206">
        <f>'2020'!R\Max</f>
        <v>0.11989686703061397</v>
      </c>
      <c r="BZ290" s="1206">
        <f>'2021'!R\Max</f>
        <v>0.13555373686876837</v>
      </c>
      <c r="CA290" s="1206">
        <f>'2022'!R\Max</f>
        <v>0.89578611282371401</v>
      </c>
      <c r="CB290" s="1206">
        <f>'2023'!R\Max</f>
        <v>0.89577181554931751</v>
      </c>
      <c r="CC290" s="1206">
        <f>'2024'!R\Max</f>
        <v>0.89575751566495299</v>
      </c>
      <c r="CD290" s="1206">
        <f>'2025'!R\Max</f>
        <v>0.89583609383032548</v>
      </c>
      <c r="CE290" s="1206">
        <f>'2026'!R\Max</f>
        <v>0.89582463944772517</v>
      </c>
      <c r="CF290" s="1207">
        <f>'2027'!R\Max</f>
        <v>0.89581207039441713</v>
      </c>
    </row>
    <row r="291" spans="1:84" s="6" customFormat="1" ht="11.25" x14ac:dyDescent="0.2">
      <c r="A291" s="11">
        <v>43377</v>
      </c>
      <c r="B291" s="379">
        <f>'2022'!Maxi_hp</f>
        <v>44.881229188425152</v>
      </c>
      <c r="C291" s="13">
        <f>'2022'!An_max</f>
        <v>2022</v>
      </c>
      <c r="D291" s="1053">
        <f t="shared" si="116"/>
        <v>1.0079714315717956</v>
      </c>
      <c r="E291" s="13"/>
      <c r="F291" s="13">
        <f t="shared" si="133"/>
        <v>21</v>
      </c>
      <c r="G291" s="13">
        <f t="shared" si="117"/>
        <v>22</v>
      </c>
      <c r="H291" s="172">
        <f t="shared" si="118"/>
        <v>43374</v>
      </c>
      <c r="I291" s="753">
        <f t="shared" si="119"/>
        <v>0.21428571428571427</v>
      </c>
      <c r="J291" s="746">
        <f t="shared" si="120"/>
        <v>44.526290907311655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46">
        <v>43377</v>
      </c>
      <c r="AP291" s="13">
        <f t="shared" si="121"/>
        <v>11</v>
      </c>
      <c r="AQ291" s="13">
        <f t="shared" si="122"/>
        <v>12</v>
      </c>
      <c r="AR291" s="172">
        <f t="shared" si="123"/>
        <v>43360</v>
      </c>
      <c r="AS291" s="753">
        <f t="shared" si="124"/>
        <v>0.6071428571428571</v>
      </c>
      <c r="AT291" s="769">
        <f t="shared" si="125"/>
        <v>44.594794595081893</v>
      </c>
      <c r="AU291" s="13">
        <f t="shared" si="126"/>
        <v>11</v>
      </c>
      <c r="AV291" s="13">
        <f t="shared" si="127"/>
        <v>12</v>
      </c>
      <c r="AW291" s="172">
        <f t="shared" si="128"/>
        <v>43374</v>
      </c>
      <c r="AX291" s="753">
        <f t="shared" si="129"/>
        <v>0.10714285714285714</v>
      </c>
      <c r="AY291" s="769">
        <f t="shared" si="130"/>
        <v>44.516499183905708</v>
      </c>
      <c r="AZ291" s="746">
        <f t="shared" si="134"/>
        <v>44.555646889493801</v>
      </c>
      <c r="BA291" s="641">
        <f t="shared" si="131"/>
        <v>1.0079714315717956</v>
      </c>
      <c r="BC291" s="11">
        <v>43377</v>
      </c>
      <c r="BD291" s="289">
        <f>[2]!FeuilCaduc*(1-Persistant)+Persistant</f>
        <v>0.92144533031574949</v>
      </c>
      <c r="BE291" s="290">
        <f>[2]!CroissVégét</f>
        <v>0.99188357985413123</v>
      </c>
      <c r="BF291" s="819">
        <f>1+[2]!Salcycl*Ksac</f>
        <v>1.0401806662894686</v>
      </c>
      <c r="BH291" s="1044">
        <f t="shared" si="132"/>
        <v>1.5115523085007358E-2</v>
      </c>
      <c r="BI291" s="11">
        <v>44473</v>
      </c>
      <c r="BJ291" s="726">
        <v>5.8682802317541333E-3</v>
      </c>
      <c r="BK291" s="726">
        <v>7.3854313536240602E-3</v>
      </c>
      <c r="BL291" s="726">
        <v>9.0950136499188747E-3</v>
      </c>
      <c r="BM291" s="726">
        <v>1.1138406100922172E-2</v>
      </c>
      <c r="BN291" s="726">
        <v>1.3573079361143272E-2</v>
      </c>
      <c r="BO291" s="727">
        <v>1.6457360736895316E-2</v>
      </c>
      <c r="BP291" s="726">
        <v>1.9831523330859951E-2</v>
      </c>
      <c r="BQ291" s="726">
        <v>2.36831327351281E-2</v>
      </c>
      <c r="BR291" s="726">
        <v>2.8128701463899761E-2</v>
      </c>
      <c r="BS291" s="726">
        <v>3.2968076478976628E-2</v>
      </c>
      <c r="BT291" s="726">
        <v>3.8064635585685402E-2</v>
      </c>
      <c r="BW291" s="1208">
        <f>'2018'!R\Max</f>
        <v>0.97587761378558713</v>
      </c>
      <c r="BX291" s="1206">
        <f>'2019'!R\Max</f>
        <v>0.25173377295415422</v>
      </c>
      <c r="BY291" s="1206">
        <f>'2020'!R\Max</f>
        <v>0.40761160307932143</v>
      </c>
      <c r="BZ291" s="1206">
        <f>'2021'!R\Max</f>
        <v>0.80366843307896918</v>
      </c>
      <c r="CA291" s="1206">
        <f>'2022'!R\Max</f>
        <v>1.0079714315717956</v>
      </c>
      <c r="CB291" s="1206">
        <f>'2023'!R\Max</f>
        <v>1.0079714315717951</v>
      </c>
      <c r="CC291" s="1206">
        <f>'2024'!R\Max</f>
        <v>1.0079714315717951</v>
      </c>
      <c r="CD291" s="1206">
        <f>'2025'!R\Max</f>
        <v>1.0079714315717954</v>
      </c>
      <c r="CE291" s="1206">
        <f>'2026'!R\Max</f>
        <v>1.0079714315717951</v>
      </c>
      <c r="CF291" s="1207">
        <f>'2027'!R\Max</f>
        <v>1.0079714315717954</v>
      </c>
    </row>
    <row r="292" spans="1:84" s="6" customFormat="1" ht="11.25" x14ac:dyDescent="0.2">
      <c r="A292" s="11">
        <v>43378</v>
      </c>
      <c r="B292" s="379">
        <f>'2022'!Maxi_hp</f>
        <v>45.528311712611483</v>
      </c>
      <c r="C292" s="13">
        <f>'2022'!An_max</f>
        <v>2022</v>
      </c>
      <c r="D292" s="1053">
        <f t="shared" si="116"/>
        <v>1.0291767006339703</v>
      </c>
      <c r="E292" s="13"/>
      <c r="F292" s="13">
        <f t="shared" si="133"/>
        <v>21</v>
      </c>
      <c r="G292" s="13">
        <f t="shared" si="117"/>
        <v>22</v>
      </c>
      <c r="H292" s="172">
        <f t="shared" si="118"/>
        <v>43374</v>
      </c>
      <c r="I292" s="753">
        <f t="shared" si="119"/>
        <v>0.2857142857142857</v>
      </c>
      <c r="J292" s="746">
        <f t="shared" si="120"/>
        <v>44.23760437305485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46">
        <v>43378</v>
      </c>
      <c r="AP292" s="13">
        <f t="shared" si="121"/>
        <v>11</v>
      </c>
      <c r="AQ292" s="13">
        <f t="shared" si="122"/>
        <v>12</v>
      </c>
      <c r="AR292" s="172">
        <f t="shared" si="123"/>
        <v>43360</v>
      </c>
      <c r="AS292" s="753">
        <f t="shared" si="124"/>
        <v>0.6428571428571429</v>
      </c>
      <c r="AT292" s="769">
        <f t="shared" si="125"/>
        <v>44.29150625041553</v>
      </c>
      <c r="AU292" s="13">
        <f t="shared" si="126"/>
        <v>11</v>
      </c>
      <c r="AV292" s="13">
        <f t="shared" si="127"/>
        <v>12</v>
      </c>
      <c r="AW292" s="172">
        <f t="shared" si="128"/>
        <v>43374</v>
      </c>
      <c r="AX292" s="753">
        <f t="shared" si="129"/>
        <v>0.14285714285714285</v>
      </c>
      <c r="AY292" s="769">
        <f t="shared" si="130"/>
        <v>44.215068512942111</v>
      </c>
      <c r="AZ292" s="746">
        <f t="shared" si="134"/>
        <v>44.253287381678817</v>
      </c>
      <c r="BA292" s="641">
        <f t="shared" si="131"/>
        <v>1.0291767006339703</v>
      </c>
      <c r="BC292" s="11">
        <v>43378</v>
      </c>
      <c r="BD292" s="289">
        <f>[2]!FeuilCaduc*(1-Persistant)+Persistant</f>
        <v>0.9179430799943108</v>
      </c>
      <c r="BE292" s="290">
        <f>[2]!CroissVégét</f>
        <v>0.99222095198209459</v>
      </c>
      <c r="BF292" s="819">
        <f>1+[2]!Salcycl*Ksac</f>
        <v>1.0397428849992889</v>
      </c>
      <c r="BH292" s="1044">
        <f t="shared" si="132"/>
        <v>1.5073631095191112E-2</v>
      </c>
      <c r="BI292" s="11">
        <v>44474</v>
      </c>
      <c r="BJ292" s="726">
        <v>5.8417909716288853E-3</v>
      </c>
      <c r="BK292" s="726">
        <v>7.3620181938334707E-3</v>
      </c>
      <c r="BL292" s="726">
        <v>9.0691342374194499E-3</v>
      </c>
      <c r="BM292" s="726">
        <v>1.1105991361900132E-2</v>
      </c>
      <c r="BN292" s="726">
        <v>1.3533071986615094E-2</v>
      </c>
      <c r="BO292" s="727">
        <v>1.6413829239774056E-2</v>
      </c>
      <c r="BP292" s="726">
        <v>1.9781931834066242E-2</v>
      </c>
      <c r="BQ292" s="726">
        <v>2.3639738882027E-2</v>
      </c>
      <c r="BR292" s="726">
        <v>2.8088746219790343E-2</v>
      </c>
      <c r="BS292" s="726">
        <v>3.2939636429870835E-2</v>
      </c>
      <c r="BT292" s="726">
        <v>3.8039469484385587E-2</v>
      </c>
      <c r="BW292" s="1208">
        <f>'2018'!R\Max</f>
        <v>0.97539747468339322</v>
      </c>
      <c r="BX292" s="1206">
        <f>'2019'!R\Max</f>
        <v>0.87076365786692422</v>
      </c>
      <c r="BY292" s="1206">
        <f>'2020'!R\Max</f>
        <v>0.45746308433139438</v>
      </c>
      <c r="BZ292" s="1206">
        <f>'2021'!R\Max</f>
        <v>0.2854580065032441</v>
      </c>
      <c r="CA292" s="1206">
        <f>'2022'!R\Max</f>
        <v>1.0291767006339703</v>
      </c>
      <c r="CB292" s="1206">
        <f>'2023'!R\Max</f>
        <v>1.0291767006339698</v>
      </c>
      <c r="CC292" s="1206">
        <f>'2024'!R\Max</f>
        <v>1.0291767006339698</v>
      </c>
      <c r="CD292" s="1206">
        <f>'2025'!R\Max</f>
        <v>1.02917670063397</v>
      </c>
      <c r="CE292" s="1206">
        <f>'2026'!R\Max</f>
        <v>1.0291767006339698</v>
      </c>
      <c r="CF292" s="1207">
        <f>'2027'!R\Max</f>
        <v>1.0291767006339698</v>
      </c>
    </row>
    <row r="293" spans="1:84" s="6" customFormat="1" ht="11.25" x14ac:dyDescent="0.2">
      <c r="A293" s="11">
        <v>43379</v>
      </c>
      <c r="B293" s="379">
        <f>'2022'!Maxi_hp</f>
        <v>40.753647143943134</v>
      </c>
      <c r="C293" s="13">
        <f>'2022'!An_max</f>
        <v>2018</v>
      </c>
      <c r="D293" s="1053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2">
        <f t="shared" si="118"/>
        <v>43374</v>
      </c>
      <c r="I293" s="753">
        <f t="shared" si="119"/>
        <v>0.35714285714285715</v>
      </c>
      <c r="J293" s="746">
        <f t="shared" si="120"/>
        <v>43.947617692846265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46">
        <v>43379</v>
      </c>
      <c r="AP293" s="13">
        <f t="shared" si="121"/>
        <v>11</v>
      </c>
      <c r="AQ293" s="13">
        <f t="shared" si="122"/>
        <v>12</v>
      </c>
      <c r="AR293" s="172">
        <f t="shared" si="123"/>
        <v>43360</v>
      </c>
      <c r="AS293" s="753">
        <f t="shared" si="124"/>
        <v>0.6785714285714286</v>
      </c>
      <c r="AT293" s="769">
        <f t="shared" si="125"/>
        <v>43.986764270014</v>
      </c>
      <c r="AU293" s="13">
        <f t="shared" si="126"/>
        <v>11</v>
      </c>
      <c r="AV293" s="13">
        <f t="shared" si="127"/>
        <v>12</v>
      </c>
      <c r="AW293" s="172">
        <f t="shared" si="128"/>
        <v>43374</v>
      </c>
      <c r="AX293" s="753">
        <f t="shared" si="129"/>
        <v>0.17857142857142858</v>
      </c>
      <c r="AY293" s="769">
        <f t="shared" si="130"/>
        <v>43.908816467451729</v>
      </c>
      <c r="AZ293" s="746">
        <f t="shared" si="134"/>
        <v>43.947790368732868</v>
      </c>
      <c r="BA293" s="641">
        <f t="shared" si="131"/>
        <v>0.92732323805977224</v>
      </c>
      <c r="BC293" s="11">
        <v>43379</v>
      </c>
      <c r="BD293" s="289">
        <f>[2]!FeuilCaduc*(1-Persistant)+Persistant</f>
        <v>0.91432449729596932</v>
      </c>
      <c r="BE293" s="290">
        <f>[2]!CroissVégét</f>
        <v>0.99254495612417293</v>
      </c>
      <c r="BF293" s="819">
        <f>1+[2]!Salcycl*Ksac</f>
        <v>1.0392905621619961</v>
      </c>
      <c r="BH293" s="1044">
        <f t="shared" si="132"/>
        <v>1.5040678946164621E-2</v>
      </c>
      <c r="BI293" s="11">
        <v>44475</v>
      </c>
      <c r="BJ293" s="726">
        <v>5.8121047231080554E-3</v>
      </c>
      <c r="BK293" s="726">
        <v>7.3357598970082887E-3</v>
      </c>
      <c r="BL293" s="726">
        <v>9.0423268879297435E-3</v>
      </c>
      <c r="BM293" s="726">
        <v>1.1076101346810217E-2</v>
      </c>
      <c r="BN293" s="726">
        <v>1.3499950997313544E-2</v>
      </c>
      <c r="BO293" s="727">
        <v>1.6381023972111677E-2</v>
      </c>
      <c r="BP293" s="726">
        <v>1.9746255071753746E-2</v>
      </c>
      <c r="BQ293" s="726">
        <v>2.3611533316345502E-2</v>
      </c>
      <c r="BR293" s="726">
        <v>2.8060023077975012E-2</v>
      </c>
      <c r="BS293" s="726">
        <v>3.2914844396747883E-2</v>
      </c>
      <c r="BT293" s="726">
        <v>3.800811947479632E-2</v>
      </c>
      <c r="BW293" s="1208">
        <f>'2018'!R\Max</f>
        <v>0.92732323805977224</v>
      </c>
      <c r="BX293" s="1206">
        <f>'2019'!R\Max</f>
        <v>0.43811541213784727</v>
      </c>
      <c r="BY293" s="1206">
        <f>'2020'!R\Max</f>
        <v>0.66274187169157983</v>
      </c>
      <c r="BZ293" s="1206">
        <f>'2021'!R\Max</f>
        <v>0.82862240664808262</v>
      </c>
      <c r="CA293" s="1206">
        <f>'2022'!R\Max</f>
        <v>0.37073909372020414</v>
      </c>
      <c r="CB293" s="1206">
        <f>'2023'!R\Max</f>
        <v>0.37070290296414898</v>
      </c>
      <c r="CC293" s="1206">
        <f>'2024'!R\Max</f>
        <v>0.37066671141225926</v>
      </c>
      <c r="CD293" s="1206">
        <f>'2025'!R\Max</f>
        <v>0.37086444826669884</v>
      </c>
      <c r="CE293" s="1206">
        <f>'2026'!R\Max</f>
        <v>0.37083569871870031</v>
      </c>
      <c r="CF293" s="1207">
        <f>'2027'!R\Max</f>
        <v>0.37080419181852126</v>
      </c>
    </row>
    <row r="294" spans="1:84" s="6" customFormat="1" ht="11.25" x14ac:dyDescent="0.2">
      <c r="A294" s="11">
        <v>43380</v>
      </c>
      <c r="B294" s="379">
        <f>'2022'!Maxi_hp</f>
        <v>44.062156348589909</v>
      </c>
      <c r="C294" s="13">
        <f>'2022'!An_max</f>
        <v>2021</v>
      </c>
      <c r="D294" s="1053">
        <f t="shared" si="116"/>
        <v>1.0093034282481337</v>
      </c>
      <c r="E294" s="13"/>
      <c r="F294" s="13">
        <f t="shared" si="133"/>
        <v>21</v>
      </c>
      <c r="G294" s="13">
        <f t="shared" si="117"/>
        <v>22</v>
      </c>
      <c r="H294" s="172">
        <f t="shared" si="118"/>
        <v>43374</v>
      </c>
      <c r="I294" s="753">
        <f t="shared" si="119"/>
        <v>0.42857142857142855</v>
      </c>
      <c r="J294" s="746">
        <f t="shared" si="120"/>
        <v>43.656005830743482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46">
        <v>43380</v>
      </c>
      <c r="AP294" s="13">
        <f t="shared" si="121"/>
        <v>11</v>
      </c>
      <c r="AQ294" s="13">
        <f t="shared" si="122"/>
        <v>12</v>
      </c>
      <c r="AR294" s="172">
        <f t="shared" si="123"/>
        <v>43360</v>
      </c>
      <c r="AS294" s="753">
        <f t="shared" si="124"/>
        <v>0.7142857142857143</v>
      </c>
      <c r="AT294" s="769">
        <f t="shared" si="125"/>
        <v>43.680853061457832</v>
      </c>
      <c r="AU294" s="13">
        <f t="shared" si="126"/>
        <v>11</v>
      </c>
      <c r="AV294" s="13">
        <f t="shared" si="127"/>
        <v>12</v>
      </c>
      <c r="AW294" s="172">
        <f t="shared" si="128"/>
        <v>43374</v>
      </c>
      <c r="AX294" s="753">
        <f t="shared" si="129"/>
        <v>0.21428571428571427</v>
      </c>
      <c r="AY294" s="769">
        <f t="shared" si="130"/>
        <v>43.598149344045666</v>
      </c>
      <c r="AZ294" s="746">
        <f t="shared" si="134"/>
        <v>43.639501202751745</v>
      </c>
      <c r="BA294" s="641">
        <f t="shared" si="131"/>
        <v>1.0093034282481337</v>
      </c>
      <c r="BC294" s="11">
        <v>43380</v>
      </c>
      <c r="BD294" s="289">
        <f>[2]!FeuilCaduc*(1-Persistant)+Persistant</f>
        <v>0.91058888141524863</v>
      </c>
      <c r="BE294" s="290">
        <f>[2]!CroissVégét</f>
        <v>0.9928561136972186</v>
      </c>
      <c r="BF294" s="819">
        <f>1+[2]!Salcycl*Ksac</f>
        <v>1.0388236101769062</v>
      </c>
      <c r="BH294" s="1044">
        <f t="shared" si="132"/>
        <v>1.5016662847623704E-2</v>
      </c>
      <c r="BI294" s="11">
        <v>44476</v>
      </c>
      <c r="BJ294" s="726">
        <v>5.7792096153892886E-3</v>
      </c>
      <c r="BK294" s="726">
        <v>7.3066434882110183E-3</v>
      </c>
      <c r="BL294" s="726">
        <v>9.0145796248217048E-3</v>
      </c>
      <c r="BM294" s="726">
        <v>1.1048726999204443E-2</v>
      </c>
      <c r="BN294" s="726">
        <v>1.3473711199816753E-2</v>
      </c>
      <c r="BO294" s="727">
        <v>1.6358942364235993E-2</v>
      </c>
      <c r="BP294" s="726">
        <v>1.9724491511558917E-2</v>
      </c>
      <c r="BQ294" s="726">
        <v>2.3598512261439941E-2</v>
      </c>
      <c r="BR294" s="726">
        <v>2.8042517280619746E-2</v>
      </c>
      <c r="BS294" s="726">
        <v>3.2893668756382506E-2</v>
      </c>
      <c r="BT294" s="726">
        <v>3.79705332005194E-2</v>
      </c>
      <c r="BW294" s="1208">
        <f>'2018'!R\Max</f>
        <v>0.35651056190774449</v>
      </c>
      <c r="BX294" s="1206">
        <f>'2019'!R\Max</f>
        <v>0.76727347753985164</v>
      </c>
      <c r="BY294" s="1206">
        <f>'2020'!R\Max</f>
        <v>0.19380354958135196</v>
      </c>
      <c r="BZ294" s="1206">
        <f>'2021'!R\Max</f>
        <v>1.0093034282481337</v>
      </c>
      <c r="CA294" s="1206">
        <f>'2022'!R\Max</f>
        <v>0.7185104665834402</v>
      </c>
      <c r="CB294" s="1206">
        <f>'2023'!R\Max</f>
        <v>0.71847893743069702</v>
      </c>
      <c r="CC294" s="1206">
        <f>'2024'!R\Max</f>
        <v>0.71844740416233499</v>
      </c>
      <c r="CD294" s="1206">
        <f>'2025'!R\Max</f>
        <v>0.71861944128314492</v>
      </c>
      <c r="CE294" s="1206">
        <f>'2026'!R\Max</f>
        <v>0.71859443823375657</v>
      </c>
      <c r="CF294" s="1207">
        <f>'2027'!R\Max</f>
        <v>0.71856705709005975</v>
      </c>
    </row>
    <row r="295" spans="1:84" s="6" customFormat="1" ht="11.25" x14ac:dyDescent="0.2">
      <c r="A295" s="11">
        <v>43381</v>
      </c>
      <c r="B295" s="379">
        <f>'2022'!Maxi_hp</f>
        <v>43.274258019273653</v>
      </c>
      <c r="C295" s="13">
        <f>'2022'!An_max</f>
        <v>2021</v>
      </c>
      <c r="D295" s="1053">
        <f t="shared" si="116"/>
        <v>0.99796631086107979</v>
      </c>
      <c r="E295" s="13"/>
      <c r="F295" s="13">
        <f t="shared" si="133"/>
        <v>21</v>
      </c>
      <c r="G295" s="13">
        <f t="shared" si="117"/>
        <v>22</v>
      </c>
      <c r="H295" s="172">
        <f t="shared" si="118"/>
        <v>43374</v>
      </c>
      <c r="I295" s="753">
        <f t="shared" si="119"/>
        <v>0.5</v>
      </c>
      <c r="J295" s="746">
        <f t="shared" si="120"/>
        <v>43.362443750165404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46">
        <v>43381</v>
      </c>
      <c r="AP295" s="13">
        <f t="shared" si="121"/>
        <v>11</v>
      </c>
      <c r="AQ295" s="13">
        <f t="shared" si="122"/>
        <v>12</v>
      </c>
      <c r="AR295" s="172">
        <f t="shared" si="123"/>
        <v>43360</v>
      </c>
      <c r="AS295" s="753">
        <f t="shared" si="124"/>
        <v>0.75</v>
      </c>
      <c r="AT295" s="769">
        <f t="shared" si="125"/>
        <v>43.37405703132972</v>
      </c>
      <c r="AU295" s="13">
        <f t="shared" si="126"/>
        <v>11</v>
      </c>
      <c r="AV295" s="13">
        <f t="shared" si="127"/>
        <v>12</v>
      </c>
      <c r="AW295" s="172">
        <f t="shared" si="128"/>
        <v>43374</v>
      </c>
      <c r="AX295" s="753">
        <f t="shared" si="129"/>
        <v>0.25</v>
      </c>
      <c r="AY295" s="769">
        <f t="shared" si="130"/>
        <v>43.283473437372592</v>
      </c>
      <c r="AZ295" s="746">
        <f t="shared" si="134"/>
        <v>43.328765234351152</v>
      </c>
      <c r="BA295" s="641">
        <f t="shared" si="131"/>
        <v>0.99796631086107979</v>
      </c>
      <c r="BC295" s="11">
        <v>43381</v>
      </c>
      <c r="BD295" s="289">
        <f>[2]!FeuilCaduc*(1-Persistant)+Persistant</f>
        <v>0.90673584488131709</v>
      </c>
      <c r="BE295" s="290">
        <f>[2]!CroissVégét</f>
        <v>0.99315492642894099</v>
      </c>
      <c r="BF295" s="819">
        <f>1+[2]!Salcycl*Ksac</f>
        <v>1.0383419806101646</v>
      </c>
      <c r="BH295" s="1044">
        <f t="shared" si="132"/>
        <v>1.500157947337814E-2</v>
      </c>
      <c r="BI295" s="11">
        <v>44477</v>
      </c>
      <c r="BJ295" s="726">
        <v>5.743093817585314E-3</v>
      </c>
      <c r="BK295" s="726">
        <v>7.2746560316882692E-3</v>
      </c>
      <c r="BL295" s="726">
        <v>8.9858805783094922E-3</v>
      </c>
      <c r="BM295" s="726">
        <v>1.1023859498473947E-2</v>
      </c>
      <c r="BN295" s="726">
        <v>1.3454347796275584E-2</v>
      </c>
      <c r="BO295" s="727">
        <v>1.6347582370215698E-2</v>
      </c>
      <c r="BP295" s="726">
        <v>1.9716640267101394E-2</v>
      </c>
      <c r="BQ295" s="726">
        <v>2.3600672602485606E-2</v>
      </c>
      <c r="BR295" s="726">
        <v>2.8036214615498576E-2</v>
      </c>
      <c r="BS295" s="726">
        <v>3.2876078179197486E-2</v>
      </c>
      <c r="BT295" s="726">
        <v>3.7926658321243589E-2</v>
      </c>
      <c r="BW295" s="1208">
        <f>'2018'!R\Max</f>
        <v>0.34679062979472547</v>
      </c>
      <c r="BX295" s="1206">
        <f>'2019'!R\Max</f>
        <v>0.93706053185321503</v>
      </c>
      <c r="BY295" s="1206">
        <f>'2020'!R\Max</f>
        <v>0.75389026551771798</v>
      </c>
      <c r="BZ295" s="1206">
        <f>'2021'!R\Max</f>
        <v>0.99796631086107979</v>
      </c>
      <c r="CA295" s="1206">
        <f>'2022'!R\Max</f>
        <v>0.4047009370012819</v>
      </c>
      <c r="CB295" s="1206">
        <f>'2023'!R\Max</f>
        <v>0.40466319063036521</v>
      </c>
      <c r="CC295" s="1206">
        <f>'2024'!R\Max</f>
        <v>0.40462544301940956</v>
      </c>
      <c r="CD295" s="1206">
        <f>'2025'!R\Max</f>
        <v>0.4048312668080476</v>
      </c>
      <c r="CE295" s="1206">
        <f>'2026'!R\Max</f>
        <v>0.40480133816355962</v>
      </c>
      <c r="CF295" s="1207">
        <f>'2027'!R\Max</f>
        <v>0.40476859942477855</v>
      </c>
    </row>
    <row r="296" spans="1:84" s="6" customFormat="1" ht="11.25" x14ac:dyDescent="0.2">
      <c r="A296" s="11">
        <v>43382</v>
      </c>
      <c r="B296" s="379">
        <f>'2022'!Maxi_hp</f>
        <v>42.057245355193125</v>
      </c>
      <c r="C296" s="13">
        <f>'2022'!An_max</f>
        <v>2022</v>
      </c>
      <c r="D296" s="1053">
        <f t="shared" si="116"/>
        <v>0.97656279092620457</v>
      </c>
      <c r="E296" s="13"/>
      <c r="F296" s="13">
        <f t="shared" si="133"/>
        <v>21</v>
      </c>
      <c r="G296" s="13">
        <f t="shared" si="117"/>
        <v>22</v>
      </c>
      <c r="H296" s="172">
        <f t="shared" si="118"/>
        <v>43374</v>
      </c>
      <c r="I296" s="753">
        <f t="shared" si="119"/>
        <v>0.5714285714285714</v>
      </c>
      <c r="J296" s="746">
        <f t="shared" si="120"/>
        <v>43.066606413812508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46">
        <v>43382</v>
      </c>
      <c r="AP296" s="13">
        <f t="shared" si="121"/>
        <v>11</v>
      </c>
      <c r="AQ296" s="13">
        <f t="shared" si="122"/>
        <v>12</v>
      </c>
      <c r="AR296" s="172">
        <f t="shared" si="123"/>
        <v>43360</v>
      </c>
      <c r="AS296" s="753">
        <f t="shared" si="124"/>
        <v>0.7857142857142857</v>
      </c>
      <c r="AT296" s="769">
        <f t="shared" si="125"/>
        <v>43.066660586797767</v>
      </c>
      <c r="AU296" s="13">
        <f t="shared" si="126"/>
        <v>11</v>
      </c>
      <c r="AV296" s="13">
        <f t="shared" si="127"/>
        <v>12</v>
      </c>
      <c r="AW296" s="172">
        <f t="shared" si="128"/>
        <v>43374</v>
      </c>
      <c r="AX296" s="753">
        <f t="shared" si="129"/>
        <v>0.2857142857142857</v>
      </c>
      <c r="AY296" s="769">
        <f t="shared" si="130"/>
        <v>42.965195043172152</v>
      </c>
      <c r="AZ296" s="746">
        <f t="shared" si="134"/>
        <v>43.015927814984963</v>
      </c>
      <c r="BA296" s="641">
        <f t="shared" si="131"/>
        <v>0.97656279092620457</v>
      </c>
      <c r="BC296" s="11">
        <v>43382</v>
      </c>
      <c r="BD296" s="289">
        <f>[2]!FeuilCaduc*(1-Persistant)+Persistant</f>
        <v>0.90276533293247851</v>
      </c>
      <c r="BE296" s="290">
        <f>[2]!CroissVégét</f>
        <v>0.9934418770502661</v>
      </c>
      <c r="BF296" s="819">
        <f>1+[2]!Salcycl*Ksac</f>
        <v>1.0378456666165599</v>
      </c>
      <c r="BH296" s="1044">
        <f t="shared" si="132"/>
        <v>1.5001668610196653E-2</v>
      </c>
      <c r="BI296" s="11">
        <v>44478</v>
      </c>
      <c r="BJ296" s="726">
        <v>5.7122946393715554E-3</v>
      </c>
      <c r="BK296" s="726">
        <v>7.2503769196345207E-3</v>
      </c>
      <c r="BL296" s="726">
        <v>8.9672549724332598E-3</v>
      </c>
      <c r="BM296" s="726">
        <v>1.1011040660430699E-2</v>
      </c>
      <c r="BN296" s="726">
        <v>1.3449479972609688E-2</v>
      </c>
      <c r="BO296" s="727">
        <v>1.6351983778603012E-2</v>
      </c>
      <c r="BP296" s="726">
        <v>1.9725173633314962E-2</v>
      </c>
      <c r="BQ296" s="726">
        <v>2.3616582692904363E-2</v>
      </c>
      <c r="BR296" s="726">
        <v>2.8038026288974924E-2</v>
      </c>
      <c r="BS296" s="726">
        <v>3.2871655351638274E-2</v>
      </c>
      <c r="BT296" s="726">
        <v>3.7914354134831268E-2</v>
      </c>
      <c r="BW296" s="1208">
        <f>'2018'!R\Max</f>
        <v>0.82718632782533008</v>
      </c>
      <c r="BX296" s="1206">
        <f>'2019'!R\Max</f>
        <v>0.21369849240713537</v>
      </c>
      <c r="BY296" s="1206">
        <f>'2020'!R\Max</f>
        <v>0.85090755762255754</v>
      </c>
      <c r="BZ296" s="1206">
        <f>'2021'!R\Max</f>
        <v>0.3520430356526762</v>
      </c>
      <c r="CA296" s="1206">
        <f>'2022'!R\Max</f>
        <v>0.97656279092620457</v>
      </c>
      <c r="CB296" s="1206">
        <f>'2023'!R\Max</f>
        <v>0.97655918893455596</v>
      </c>
      <c r="CC296" s="1206">
        <f>'2024'!R\Max</f>
        <v>0.9765555861756311</v>
      </c>
      <c r="CD296" s="1206">
        <f>'2025'!R\Max</f>
        <v>0.97657521821013871</v>
      </c>
      <c r="CE296" s="1206">
        <f>'2026'!R\Max</f>
        <v>0.97657236263879788</v>
      </c>
      <c r="CF296" s="1207">
        <f>'2027'!R\Max</f>
        <v>0.97656924213590768</v>
      </c>
    </row>
    <row r="297" spans="1:84" s="6" customFormat="1" ht="11.25" x14ac:dyDescent="0.2">
      <c r="A297" s="11">
        <v>43383</v>
      </c>
      <c r="B297" s="379">
        <f>'2022'!Maxi_hp</f>
        <v>33.942804963522448</v>
      </c>
      <c r="C297" s="13">
        <f>'2022'!An_max</f>
        <v>2022</v>
      </c>
      <c r="D297" s="1053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2">
        <f t="shared" si="118"/>
        <v>43374</v>
      </c>
      <c r="I297" s="753">
        <f t="shared" si="119"/>
        <v>0.6428571428571429</v>
      </c>
      <c r="J297" s="746">
        <f t="shared" si="120"/>
        <v>42.768168786128186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46">
        <v>43383</v>
      </c>
      <c r="AP297" s="13">
        <f t="shared" si="121"/>
        <v>11</v>
      </c>
      <c r="AQ297" s="13">
        <f t="shared" si="122"/>
        <v>12</v>
      </c>
      <c r="AR297" s="172">
        <f t="shared" si="123"/>
        <v>43360</v>
      </c>
      <c r="AS297" s="753">
        <f t="shared" si="124"/>
        <v>0.8214285714285714</v>
      </c>
      <c r="AT297" s="769">
        <f t="shared" si="125"/>
        <v>42.75894813454444</v>
      </c>
      <c r="AU297" s="13">
        <f t="shared" si="126"/>
        <v>11</v>
      </c>
      <c r="AV297" s="13">
        <f t="shared" si="127"/>
        <v>12</v>
      </c>
      <c r="AW297" s="172">
        <f t="shared" si="128"/>
        <v>43374</v>
      </c>
      <c r="AX297" s="753">
        <f t="shared" si="129"/>
        <v>0.32142857142857145</v>
      </c>
      <c r="AY297" s="769">
        <f t="shared" si="130"/>
        <v>42.643720458288286</v>
      </c>
      <c r="AZ297" s="746">
        <f t="shared" si="134"/>
        <v>42.701334296416363</v>
      </c>
      <c r="BA297" s="641">
        <f t="shared" si="131"/>
        <v>0.79364644142846175</v>
      </c>
      <c r="BC297" s="11">
        <v>43383</v>
      </c>
      <c r="BD297" s="289">
        <f>[2]!FeuilCaduc*(1-Persistant)+Persistant</f>
        <v>0.89867764159247643</v>
      </c>
      <c r="BE297" s="290">
        <f>[2]!CroissVégét</f>
        <v>0.99371742996744827</v>
      </c>
      <c r="BF297" s="819">
        <f>1+[2]!Salcycl*Ksac</f>
        <v>1.0373347051990596</v>
      </c>
      <c r="BH297" s="1044">
        <f t="shared" si="132"/>
        <v>1.5015966511044414E-2</v>
      </c>
      <c r="BI297" s="11">
        <v>44479</v>
      </c>
      <c r="BJ297" s="726">
        <v>5.6907861878372117E-3</v>
      </c>
      <c r="BK297" s="726">
        <v>7.2377334214880351E-3</v>
      </c>
      <c r="BL297" s="726">
        <v>8.9620265855146E-3</v>
      </c>
      <c r="BM297" s="726">
        <v>1.1012440969067457E-2</v>
      </c>
      <c r="BN297" s="726">
        <v>1.3459351160960493E-2</v>
      </c>
      <c r="BO297" s="727">
        <v>1.6370132665655717E-2</v>
      </c>
      <c r="BP297" s="726">
        <v>1.974493230076544E-2</v>
      </c>
      <c r="BQ297" s="726">
        <v>2.3638197828974292E-2</v>
      </c>
      <c r="BR297" s="726">
        <v>2.8040709029795767E-2</v>
      </c>
      <c r="BS297" s="726">
        <v>3.2876460248055607E-2</v>
      </c>
      <c r="BT297" s="726">
        <v>3.793456660022048E-2</v>
      </c>
      <c r="BW297" s="1208">
        <f>'2018'!R\Max</f>
        <v>0.55081266741018253</v>
      </c>
      <c r="BX297" s="1206">
        <f>'2019'!R\Max</f>
        <v>0.72363209458711386</v>
      </c>
      <c r="BY297" s="1206">
        <f>'2020'!R\Max</f>
        <v>0.65669497524525033</v>
      </c>
      <c r="BZ297" s="1206">
        <f>'2021'!R\Max</f>
        <v>0.63070350306276224</v>
      </c>
      <c r="CA297" s="1206">
        <f>'2022'!R\Max</f>
        <v>0.79364644142846175</v>
      </c>
      <c r="CB297" s="1206">
        <f>'2023'!R\Max</f>
        <v>0.79362059384911454</v>
      </c>
      <c r="CC297" s="1206">
        <f>'2024'!R\Max</f>
        <v>0.79359474224072557</v>
      </c>
      <c r="CD297" s="1206">
        <f>'2025'!R\Max</f>
        <v>0.79373565945674329</v>
      </c>
      <c r="CE297" s="1206">
        <f>'2026'!R\Max</f>
        <v>0.79371513534088034</v>
      </c>
      <c r="CF297" s="1207">
        <f>'2027'!R\Max</f>
        <v>0.79369273939473428</v>
      </c>
    </row>
    <row r="298" spans="1:84" s="6" customFormat="1" ht="11.25" x14ac:dyDescent="0.2">
      <c r="A298" s="11">
        <v>43384</v>
      </c>
      <c r="B298" s="379">
        <f>'2022'!Maxi_hp</f>
        <v>43.136286710165194</v>
      </c>
      <c r="C298" s="13">
        <f>'2022'!An_max</f>
        <v>2019</v>
      </c>
      <c r="D298" s="1053">
        <f t="shared" si="116"/>
        <v>1.0157648042165444</v>
      </c>
      <c r="E298" s="13"/>
      <c r="F298" s="13">
        <f t="shared" si="133"/>
        <v>21</v>
      </c>
      <c r="G298" s="13">
        <f t="shared" si="117"/>
        <v>22</v>
      </c>
      <c r="H298" s="172">
        <f t="shared" si="118"/>
        <v>43374</v>
      </c>
      <c r="I298" s="753">
        <f t="shared" si="119"/>
        <v>0.7142857142857143</v>
      </c>
      <c r="J298" s="746">
        <f t="shared" si="120"/>
        <v>42.466805830544658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46">
        <v>43384</v>
      </c>
      <c r="AP298" s="13">
        <f t="shared" si="121"/>
        <v>11</v>
      </c>
      <c r="AQ298" s="13">
        <f t="shared" si="122"/>
        <v>12</v>
      </c>
      <c r="AR298" s="172">
        <f t="shared" si="123"/>
        <v>43360</v>
      </c>
      <c r="AS298" s="753">
        <f t="shared" si="124"/>
        <v>0.8571428571428571</v>
      </c>
      <c r="AT298" s="769">
        <f t="shared" si="125"/>
        <v>42.451204081837616</v>
      </c>
      <c r="AU298" s="13">
        <f t="shared" si="126"/>
        <v>11</v>
      </c>
      <c r="AV298" s="13">
        <f t="shared" si="127"/>
        <v>12</v>
      </c>
      <c r="AW298" s="172">
        <f t="shared" si="128"/>
        <v>43374</v>
      </c>
      <c r="AX298" s="753">
        <f t="shared" si="129"/>
        <v>0.35714285714285715</v>
      </c>
      <c r="AY298" s="769">
        <f t="shared" si="130"/>
        <v>42.319455976425004</v>
      </c>
      <c r="AZ298" s="746">
        <f t="shared" si="134"/>
        <v>42.38533002913131</v>
      </c>
      <c r="BA298" s="641">
        <f t="shared" si="131"/>
        <v>1.0157648042165444</v>
      </c>
      <c r="BC298" s="11">
        <v>43384</v>
      </c>
      <c r="BD298" s="289">
        <f>[2]!FeuilCaduc*(1-Persistant)+Persistant</f>
        <v>0.89447343425168757</v>
      </c>
      <c r="BE298" s="290">
        <f>[2]!CroissVégét</f>
        <v>0.99398203191418089</v>
      </c>
      <c r="BF298" s="819">
        <f>1+[2]!Salcycl*Ksac</f>
        <v>1.0368091792814609</v>
      </c>
      <c r="BH298" s="1044">
        <f t="shared" si="132"/>
        <v>1.5044478955539248E-2</v>
      </c>
      <c r="BI298" s="11">
        <v>44480</v>
      </c>
      <c r="BJ298" s="726">
        <v>5.6785766414897756E-3</v>
      </c>
      <c r="BK298" s="726">
        <v>7.2367357238886437E-3</v>
      </c>
      <c r="BL298" s="726">
        <v>8.9702064978330592E-3</v>
      </c>
      <c r="BM298" s="726">
        <v>1.102807056549566E-2</v>
      </c>
      <c r="BN298" s="726">
        <v>1.3483969662861089E-2</v>
      </c>
      <c r="BO298" s="727">
        <v>1.6402032617069864E-2</v>
      </c>
      <c r="BP298" s="726">
        <v>1.9775912203019736E-2</v>
      </c>
      <c r="BQ298" s="726">
        <v>2.3665501031476063E-2</v>
      </c>
      <c r="BR298" s="726">
        <v>2.8044233364048814E-2</v>
      </c>
      <c r="BS298" s="726">
        <v>3.2890471160689071E-2</v>
      </c>
      <c r="BT298" s="726">
        <v>3.7987304958262975E-2</v>
      </c>
      <c r="BW298" s="1208">
        <f>'2018'!R\Max</f>
        <v>0.71607390772586421</v>
      </c>
      <c r="BX298" s="1206">
        <f>'2019'!R\Max</f>
        <v>1.0157648042165444</v>
      </c>
      <c r="BY298" s="1206">
        <f>'2020'!R\Max</f>
        <v>0.49327283697613489</v>
      </c>
      <c r="BZ298" s="1206">
        <f>'2021'!R\Max</f>
        <v>1.0053043706041465</v>
      </c>
      <c r="CA298" s="1206">
        <f>'2022'!R\Max</f>
        <v>0.63073380726331152</v>
      </c>
      <c r="CB298" s="1206">
        <f>'2023'!R\Max</f>
        <v>0.63069699606639162</v>
      </c>
      <c r="CC298" s="1206">
        <f>'2024'!R\Max</f>
        <v>0.6306601810192396</v>
      </c>
      <c r="CD298" s="1206">
        <f>'2025'!R\Max</f>
        <v>0.63086101440402553</v>
      </c>
      <c r="CE298" s="1206">
        <f>'2026'!R\Max</f>
        <v>0.6308317122035596</v>
      </c>
      <c r="CF298" s="1207">
        <f>'2027'!R\Max</f>
        <v>0.6307997907989088</v>
      </c>
    </row>
    <row r="299" spans="1:84" s="6" customFormat="1" ht="11.25" x14ac:dyDescent="0.2">
      <c r="A299" s="11">
        <v>43385</v>
      </c>
      <c r="B299" s="379">
        <f>'2022'!Maxi_hp</f>
        <v>41.118712487030926</v>
      </c>
      <c r="C299" s="13">
        <f>'2022'!An_max</f>
        <v>2021</v>
      </c>
      <c r="D299" s="1053">
        <f t="shared" si="116"/>
        <v>0.9752508121313036</v>
      </c>
      <c r="E299" s="13"/>
      <c r="F299" s="13">
        <f t="shared" si="133"/>
        <v>21</v>
      </c>
      <c r="G299" s="13">
        <f t="shared" si="117"/>
        <v>22</v>
      </c>
      <c r="H299" s="172">
        <f t="shared" si="118"/>
        <v>43374</v>
      </c>
      <c r="I299" s="753">
        <f t="shared" si="119"/>
        <v>0.7857142857142857</v>
      </c>
      <c r="J299" s="746">
        <f t="shared" si="120"/>
        <v>42.162192510427644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46">
        <v>43385</v>
      </c>
      <c r="AP299" s="13">
        <f t="shared" si="121"/>
        <v>11</v>
      </c>
      <c r="AQ299" s="13">
        <f t="shared" si="122"/>
        <v>12</v>
      </c>
      <c r="AR299" s="172">
        <f t="shared" si="123"/>
        <v>43360</v>
      </c>
      <c r="AS299" s="753">
        <f t="shared" si="124"/>
        <v>0.8928571428571429</v>
      </c>
      <c r="AT299" s="769">
        <f t="shared" si="125"/>
        <v>42.143712834781034</v>
      </c>
      <c r="AU299" s="13">
        <f t="shared" si="126"/>
        <v>11</v>
      </c>
      <c r="AV299" s="13">
        <f t="shared" si="127"/>
        <v>12</v>
      </c>
      <c r="AW299" s="172">
        <f t="shared" si="128"/>
        <v>43374</v>
      </c>
      <c r="AX299" s="753">
        <f t="shared" si="129"/>
        <v>0.39285714285714285</v>
      </c>
      <c r="AY299" s="769">
        <f t="shared" si="130"/>
        <v>41.992807894013822</v>
      </c>
      <c r="AZ299" s="746">
        <f t="shared" si="134"/>
        <v>42.068260364397432</v>
      </c>
      <c r="BA299" s="641">
        <f t="shared" si="131"/>
        <v>0.9752508121313036</v>
      </c>
      <c r="BC299" s="11">
        <v>43385</v>
      </c>
      <c r="BD299" s="289">
        <f>[2]!FeuilCaduc*(1-Persistant)+Persistant</f>
        <v>0.8901537565639891</v>
      </c>
      <c r="BE299" s="290">
        <f>[2]!CroissVégét</f>
        <v>0.99423611258398381</v>
      </c>
      <c r="BF299" s="819">
        <f>1+[2]!Salcycl*Ksac</f>
        <v>1.0362692195704986</v>
      </c>
      <c r="BH299" s="1044">
        <f t="shared" si="132"/>
        <v>1.5087211778243501E-2</v>
      </c>
      <c r="BI299" s="11">
        <v>44481</v>
      </c>
      <c r="BJ299" s="726">
        <v>5.6756743406706535E-3</v>
      </c>
      <c r="BK299" s="726">
        <v>7.2473941537414726E-3</v>
      </c>
      <c r="BL299" s="726">
        <v>8.9918059116957643E-3</v>
      </c>
      <c r="BM299" s="726">
        <v>1.1057939693282228E-2</v>
      </c>
      <c r="BN299" s="726">
        <v>1.3523343853776808E-2</v>
      </c>
      <c r="BO299" s="727">
        <v>1.64476872569678E-2</v>
      </c>
      <c r="BP299" s="726">
        <v>1.9818109297856084E-2</v>
      </c>
      <c r="BQ299" s="726">
        <v>2.3698475313661285E-2</v>
      </c>
      <c r="BR299" s="726">
        <v>2.8048569874885305E-2</v>
      </c>
      <c r="BS299" s="726">
        <v>3.2913666489641891E-2</v>
      </c>
      <c r="BT299" s="726">
        <v>3.8072578638500956E-2</v>
      </c>
      <c r="BW299" s="1208">
        <f>'2018'!R\Max</f>
        <v>0.87606394240496255</v>
      </c>
      <c r="BX299" s="1206">
        <f>'2019'!R\Max</f>
        <v>0.41420641703040179</v>
      </c>
      <c r="BY299" s="1206">
        <f>'2020'!R\Max</f>
        <v>0.41726558892586679</v>
      </c>
      <c r="BZ299" s="1206">
        <f>'2021'!R\Max</f>
        <v>0.9752508121313036</v>
      </c>
      <c r="CA299" s="1206">
        <f>'2022'!R\Max</f>
        <v>0.7139929320435775</v>
      </c>
      <c r="CB299" s="1206">
        <f>'2023'!R\Max</f>
        <v>0.7139606572167484</v>
      </c>
      <c r="CC299" s="1206">
        <f>'2024'!R\Max</f>
        <v>0.71392837816465593</v>
      </c>
      <c r="CD299" s="1206">
        <f>'2025'!R\Max</f>
        <v>0.7141046509443193</v>
      </c>
      <c r="CE299" s="1206">
        <f>'2026'!R\Max</f>
        <v>0.71407887980082907</v>
      </c>
      <c r="CF299" s="1207">
        <f>'2027'!R\Max</f>
        <v>0.71405085643058419</v>
      </c>
    </row>
    <row r="300" spans="1:84" s="6" customFormat="1" ht="11.25" x14ac:dyDescent="0.2">
      <c r="A300" s="11">
        <v>43386</v>
      </c>
      <c r="B300" s="379">
        <f>'2022'!Maxi_hp</f>
        <v>39.212191078905711</v>
      </c>
      <c r="C300" s="13">
        <f>'2022'!An_max</f>
        <v>2021</v>
      </c>
      <c r="D300" s="1053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2">
        <f t="shared" si="118"/>
        <v>43374</v>
      </c>
      <c r="I300" s="753">
        <f t="shared" si="119"/>
        <v>0.8571428571428571</v>
      </c>
      <c r="J300" s="746">
        <f t="shared" si="120"/>
        <v>41.854003789568587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46">
        <v>43386</v>
      </c>
      <c r="AP300" s="13">
        <f t="shared" si="121"/>
        <v>11</v>
      </c>
      <c r="AQ300" s="13">
        <f t="shared" si="122"/>
        <v>12</v>
      </c>
      <c r="AR300" s="172">
        <f t="shared" si="123"/>
        <v>43360</v>
      </c>
      <c r="AS300" s="753">
        <f t="shared" si="124"/>
        <v>0.9285714285714286</v>
      </c>
      <c r="AT300" s="769">
        <f t="shared" si="125"/>
        <v>41.836758801261226</v>
      </c>
      <c r="AU300" s="13">
        <f t="shared" si="126"/>
        <v>11</v>
      </c>
      <c r="AV300" s="13">
        <f t="shared" si="127"/>
        <v>12</v>
      </c>
      <c r="AW300" s="172">
        <f t="shared" si="128"/>
        <v>43374</v>
      </c>
      <c r="AX300" s="753">
        <f t="shared" si="129"/>
        <v>0.42857142857142855</v>
      </c>
      <c r="AY300" s="769">
        <f t="shared" si="130"/>
        <v>41.664182507299948</v>
      </c>
      <c r="AZ300" s="746">
        <f t="shared" si="134"/>
        <v>41.750470654280591</v>
      </c>
      <c r="BA300" s="641">
        <f t="shared" si="131"/>
        <v>0.93688028691483749</v>
      </c>
      <c r="BC300" s="11">
        <v>43386</v>
      </c>
      <c r="BD300" s="289">
        <f>[2]!FeuilCaduc*(1-Persistant)+Persistant</f>
        <v>0.88572004947976746</v>
      </c>
      <c r="BE300" s="290">
        <f>[2]!CroissVégét</f>
        <v>0.99448008524317211</v>
      </c>
      <c r="BF300" s="819">
        <f>1+[2]!Salcycl*Ksac</f>
        <v>1.0357150061849709</v>
      </c>
      <c r="BH300" s="1044">
        <f t="shared" si="132"/>
        <v>1.5144170713491029E-2</v>
      </c>
      <c r="BI300" s="11">
        <v>44482</v>
      </c>
      <c r="BJ300" s="726">
        <v>5.6820876856686344E-3</v>
      </c>
      <c r="BK300" s="726">
        <v>7.2697190507796149E-3</v>
      </c>
      <c r="BL300" s="726">
        <v>9.0268360048234662E-3</v>
      </c>
      <c r="BM300" s="726">
        <v>1.1102058542946021E-2</v>
      </c>
      <c r="BN300" s="726">
        <v>1.3577482022047898E-2</v>
      </c>
      <c r="BO300" s="727">
        <v>1.6507100097844188E-2</v>
      </c>
      <c r="BP300" s="726">
        <v>1.9871519444907677E-2</v>
      </c>
      <c r="BQ300" s="726">
        <v>2.3737103619437417E-2</v>
      </c>
      <c r="BR300" s="726">
        <v>2.8053689193503508E-2</v>
      </c>
      <c r="BS300" s="726">
        <v>3.294602464246045E-2</v>
      </c>
      <c r="BT300" s="726">
        <v>3.8190396903975223E-2</v>
      </c>
      <c r="BW300" s="1208">
        <f>'2018'!R\Max</f>
        <v>0.61867167891329911</v>
      </c>
      <c r="BX300" s="1206">
        <f>'2019'!R\Max</f>
        <v>0.9043030761358446</v>
      </c>
      <c r="BY300" s="1206">
        <f>'2020'!R\Max</f>
        <v>0.63535206294447366</v>
      </c>
      <c r="BZ300" s="1206">
        <f>'2021'!R\Max</f>
        <v>0.93688028691483749</v>
      </c>
      <c r="CA300" s="1206">
        <f>'2022'!R\Max</f>
        <v>0.58226285577068893</v>
      </c>
      <c r="CB300" s="1206">
        <f>'2023'!R\Max</f>
        <v>0.58222447032405333</v>
      </c>
      <c r="CC300" s="1206">
        <f>'2024'!R\Max</f>
        <v>0.58218608145583217</v>
      </c>
      <c r="CD300" s="1206">
        <f>'2025'!R\Max</f>
        <v>0.58239606618560547</v>
      </c>
      <c r="CE300" s="1206">
        <f>'2026'!R\Max</f>
        <v>0.58236528464356785</v>
      </c>
      <c r="CF300" s="1207">
        <f>'2027'!R\Max</f>
        <v>0.58233188392791158</v>
      </c>
    </row>
    <row r="301" spans="1:84" s="6" customFormat="1" ht="11.25" x14ac:dyDescent="0.2">
      <c r="A301" s="11">
        <v>43387</v>
      </c>
      <c r="B301" s="379">
        <f>'2022'!Maxi_hp</f>
        <v>43.45780557148769</v>
      </c>
      <c r="C301" s="13">
        <f>'2022'!An_max</f>
        <v>2021</v>
      </c>
      <c r="D301" s="1053">
        <f t="shared" si="116"/>
        <v>1.0461194665036058</v>
      </c>
      <c r="E301" s="13"/>
      <c r="F301" s="13">
        <f t="shared" si="133"/>
        <v>21</v>
      </c>
      <c r="G301" s="13">
        <f t="shared" si="117"/>
        <v>22</v>
      </c>
      <c r="H301" s="172">
        <f t="shared" si="118"/>
        <v>43374</v>
      </c>
      <c r="I301" s="753">
        <f t="shared" si="119"/>
        <v>0.9285714285714286</v>
      </c>
      <c r="J301" s="746">
        <f t="shared" si="120"/>
        <v>41.541914631160246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46">
        <v>43387</v>
      </c>
      <c r="AP301" s="13">
        <f t="shared" si="121"/>
        <v>11</v>
      </c>
      <c r="AQ301" s="13">
        <f t="shared" si="122"/>
        <v>12</v>
      </c>
      <c r="AR301" s="172">
        <f t="shared" si="123"/>
        <v>43360</v>
      </c>
      <c r="AS301" s="753">
        <f t="shared" si="124"/>
        <v>0.9642857142857143</v>
      </c>
      <c r="AT301" s="769">
        <f t="shared" si="125"/>
        <v>41.530626387202318</v>
      </c>
      <c r="AU301" s="13">
        <f t="shared" si="126"/>
        <v>11</v>
      </c>
      <c r="AV301" s="13">
        <f t="shared" si="127"/>
        <v>12</v>
      </c>
      <c r="AW301" s="172">
        <f t="shared" si="128"/>
        <v>43374</v>
      </c>
      <c r="AX301" s="753">
        <f t="shared" si="129"/>
        <v>0.4642857142857143</v>
      </c>
      <c r="AY301" s="769">
        <f t="shared" si="130"/>
        <v>41.333986110326705</v>
      </c>
      <c r="AZ301" s="746">
        <f t="shared" si="134"/>
        <v>41.432306248764512</v>
      </c>
      <c r="BA301" s="641">
        <f t="shared" si="131"/>
        <v>1.0461194665036058</v>
      </c>
      <c r="BC301" s="11">
        <v>43387</v>
      </c>
      <c r="BD301" s="289">
        <f>[2]!FeuilCaduc*(1-Persistant)+Persistant</f>
        <v>0.88117416024711881</v>
      </c>
      <c r="BE301" s="290">
        <f>[2]!CroissVégét</f>
        <v>0.99471434732473374</v>
      </c>
      <c r="BF301" s="819">
        <f>1+[2]!Salcycl*Ksac</f>
        <v>1.0351467700308898</v>
      </c>
      <c r="BH301" s="1044">
        <f t="shared" si="132"/>
        <v>1.5215361240358117E-2</v>
      </c>
      <c r="BI301" s="11">
        <v>44483</v>
      </c>
      <c r="BJ301" s="726">
        <v>5.6978250348874784E-3</v>
      </c>
      <c r="BK301" s="726">
        <v>7.303720640195928E-3</v>
      </c>
      <c r="BL301" s="726">
        <v>9.0753077838222913E-3</v>
      </c>
      <c r="BM301" s="726">
        <v>1.116043709655979E-2</v>
      </c>
      <c r="BN301" s="726">
        <v>1.364639220796118E-2</v>
      </c>
      <c r="BO301" s="727">
        <v>1.6580274390668906E-2</v>
      </c>
      <c r="BP301" s="726">
        <v>1.9936138283495518E-2</v>
      </c>
      <c r="BQ301" s="726">
        <v>2.378136876177896E-2</v>
      </c>
      <c r="BR301" s="726">
        <v>2.8059561990400148E-2</v>
      </c>
      <c r="BS301" s="726">
        <v>3.2987523934027929E-2</v>
      </c>
      <c r="BT301" s="726">
        <v>3.8340768496396706E-2</v>
      </c>
      <c r="BW301" s="1208">
        <f>'2018'!R\Max</f>
        <v>0.92263119225741363</v>
      </c>
      <c r="BX301" s="1206">
        <f>'2019'!R\Max</f>
        <v>0.28626879080623319</v>
      </c>
      <c r="BY301" s="1206">
        <f>'2020'!R\Max</f>
        <v>0.59298984444029035</v>
      </c>
      <c r="BZ301" s="1206">
        <f>'2021'!R\Max</f>
        <v>1.0461194665036058</v>
      </c>
      <c r="CA301" s="1206">
        <f>'2022'!R\Max</f>
        <v>0.4611030989636617</v>
      </c>
      <c r="CB301" s="1206">
        <f>'2023'!R\Max</f>
        <v>0.46106400020831462</v>
      </c>
      <c r="CC301" s="1206">
        <f>'2024'!R\Max</f>
        <v>0.46102489946896996</v>
      </c>
      <c r="CD301" s="1206">
        <f>'2025'!R\Max</f>
        <v>0.46123923034796283</v>
      </c>
      <c r="CE301" s="1206">
        <f>'2026'!R\Max</f>
        <v>0.46120771349440143</v>
      </c>
      <c r="CF301" s="1207">
        <f>'2027'!R\Max</f>
        <v>0.46117359541883096</v>
      </c>
    </row>
    <row r="302" spans="1:84" s="6" customFormat="1" ht="11.25" x14ac:dyDescent="0.2">
      <c r="A302" s="11">
        <v>43388</v>
      </c>
      <c r="B302" s="379">
        <f>'2022'!Maxi_hp</f>
        <v>40.90072354329984</v>
      </c>
      <c r="C302" s="13">
        <f>'2022'!An_max</f>
        <v>2022</v>
      </c>
      <c r="D302" s="1053">
        <f t="shared" si="116"/>
        <v>0.9921195457267098</v>
      </c>
      <c r="E302" s="1048">
        <f>AH$13/10</f>
        <v>41.2256</v>
      </c>
      <c r="F302" s="13">
        <f t="shared" si="133"/>
        <v>23</v>
      </c>
      <c r="G302" s="13">
        <f t="shared" si="117"/>
        <v>22</v>
      </c>
      <c r="H302" s="172">
        <f t="shared" si="118"/>
        <v>43402</v>
      </c>
      <c r="I302" s="753">
        <f t="shared" si="119"/>
        <v>1</v>
      </c>
      <c r="J302" s="746">
        <f t="shared" si="120"/>
        <v>41.225599998980762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46">
        <v>43388</v>
      </c>
      <c r="AP302" s="13">
        <f t="shared" si="121"/>
        <v>13</v>
      </c>
      <c r="AQ302" s="13">
        <f t="shared" si="122"/>
        <v>12</v>
      </c>
      <c r="AR302" s="172">
        <f t="shared" si="123"/>
        <v>43416</v>
      </c>
      <c r="AS302" s="753">
        <f t="shared" si="124"/>
        <v>1</v>
      </c>
      <c r="AT302" s="769">
        <f t="shared" si="125"/>
        <v>41.225600000098346</v>
      </c>
      <c r="AU302" s="13">
        <f t="shared" si="126"/>
        <v>11</v>
      </c>
      <c r="AV302" s="13">
        <f t="shared" si="127"/>
        <v>12</v>
      </c>
      <c r="AW302" s="172">
        <f t="shared" si="128"/>
        <v>43374</v>
      </c>
      <c r="AX302" s="753">
        <f t="shared" si="129"/>
        <v>0.5</v>
      </c>
      <c r="AY302" s="769">
        <f t="shared" si="130"/>
        <v>41.002624999545517</v>
      </c>
      <c r="AZ302" s="746">
        <f t="shared" si="134"/>
        <v>41.114112499821928</v>
      </c>
      <c r="BA302" s="641">
        <f t="shared" si="131"/>
        <v>0.9921195457267098</v>
      </c>
      <c r="BC302" s="11">
        <v>43388</v>
      </c>
      <c r="BD302" s="289">
        <f>[2]!FeuilCaduc*(1-Persistant)+Persistant</f>
        <v>0.87651835122667876</v>
      </c>
      <c r="BE302" s="290">
        <f>[2]!CroissVégét</f>
        <v>0.99493928100346574</v>
      </c>
      <c r="BF302" s="819">
        <f>1+[2]!Salcycl*Ksac</f>
        <v>1.0345647939033349</v>
      </c>
      <c r="BH302" s="1044">
        <f t="shared" si="132"/>
        <v>1.5300788427485477E-2</v>
      </c>
      <c r="BI302" s="11">
        <v>44484</v>
      </c>
      <c r="BJ302" s="726">
        <v>5.7228946029573638E-3</v>
      </c>
      <c r="BK302" s="726">
        <v>7.349408905203263E-3</v>
      </c>
      <c r="BL302" s="726">
        <v>9.1372319375667664E-3</v>
      </c>
      <c r="BM302" s="726">
        <v>1.123308497224295E-2</v>
      </c>
      <c r="BN302" s="726">
        <v>1.3730082042688253E-2</v>
      </c>
      <c r="BO302" s="727">
        <v>1.6667212974827636E-2</v>
      </c>
      <c r="BP302" s="726">
        <v>2.0011961110265354E-2</v>
      </c>
      <c r="BQ302" s="726">
        <v>2.3831253360904255E-2</v>
      </c>
      <c r="BR302" s="726">
        <v>2.8066158966343933E-2</v>
      </c>
      <c r="BS302" s="726">
        <v>3.3038142486132252E-2</v>
      </c>
      <c r="BT302" s="726">
        <v>3.8523701280941874E-2</v>
      </c>
      <c r="BW302" s="1208">
        <f>'2018'!R\Max</f>
        <v>0.28087138090835773</v>
      </c>
      <c r="BX302" s="1206">
        <f>'2019'!R\Max</f>
        <v>0.81842560303516143</v>
      </c>
      <c r="BY302" s="1206">
        <f>'2020'!R\Max</f>
        <v>0.35430395506778334</v>
      </c>
      <c r="BZ302" s="1206">
        <f>'2021'!R\Max</f>
        <v>0.88617091191665265</v>
      </c>
      <c r="CA302" s="1206">
        <f>'2022'!R\Max</f>
        <v>0.9921195457267098</v>
      </c>
      <c r="CB302" s="1206">
        <f>'2023'!R\Max</f>
        <v>0.99211832085706742</v>
      </c>
      <c r="CC302" s="1206">
        <f>'2024'!R\Max</f>
        <v>0.99211709572171447</v>
      </c>
      <c r="CD302" s="1206">
        <f>'2025'!R\Max</f>
        <v>0.99212382565052204</v>
      </c>
      <c r="CE302" s="1206">
        <f>'2026'!R\Max</f>
        <v>0.99212283293453074</v>
      </c>
      <c r="CF302" s="1207">
        <f>'2027'!R\Max</f>
        <v>0.99212176089280668</v>
      </c>
    </row>
    <row r="303" spans="1:84" s="6" customFormat="1" ht="11.25" x14ac:dyDescent="0.2">
      <c r="A303" s="11">
        <v>43389</v>
      </c>
      <c r="B303" s="379">
        <f>'2022'!Maxi_hp</f>
        <v>39.25450354106809</v>
      </c>
      <c r="C303" s="13">
        <f>'2022'!An_max</f>
        <v>2021</v>
      </c>
      <c r="D303" s="1053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72">
        <f t="shared" si="118"/>
        <v>43402</v>
      </c>
      <c r="I303" s="753">
        <f t="shared" si="119"/>
        <v>0.9285714285714286</v>
      </c>
      <c r="J303" s="746">
        <f t="shared" si="120"/>
        <v>40.902965215034783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46">
        <v>43389</v>
      </c>
      <c r="AP303" s="13">
        <f t="shared" si="121"/>
        <v>13</v>
      </c>
      <c r="AQ303" s="13">
        <f t="shared" si="122"/>
        <v>12</v>
      </c>
      <c r="AR303" s="172">
        <f t="shared" si="123"/>
        <v>43416</v>
      </c>
      <c r="AS303" s="753">
        <f t="shared" si="124"/>
        <v>0.9642857142857143</v>
      </c>
      <c r="AT303" s="769">
        <f t="shared" si="125"/>
        <v>40.91845636149602</v>
      </c>
      <c r="AU303" s="13">
        <f t="shared" si="126"/>
        <v>11</v>
      </c>
      <c r="AV303" s="13">
        <f t="shared" si="127"/>
        <v>12</v>
      </c>
      <c r="AW303" s="172">
        <f t="shared" si="128"/>
        <v>43374</v>
      </c>
      <c r="AX303" s="753">
        <f t="shared" si="129"/>
        <v>0.5357142857142857</v>
      </c>
      <c r="AY303" s="769">
        <f t="shared" si="130"/>
        <v>40.670505470982086</v>
      </c>
      <c r="AZ303" s="746">
        <f t="shared" si="134"/>
        <v>40.794480916239053</v>
      </c>
      <c r="BA303" s="641">
        <f t="shared" si="131"/>
        <v>0.95969823543842325</v>
      </c>
      <c r="BC303" s="11">
        <v>43389</v>
      </c>
      <c r="BD303" s="289">
        <f>[2]!FeuilCaduc*(1-Persistant)+Persistant</f>
        <v>0.8717553063806176</v>
      </c>
      <c r="BE303" s="290">
        <f>[2]!CroissVégét</f>
        <v>0.99515525375273173</v>
      </c>
      <c r="BF303" s="819">
        <f>1+[2]!Salcycl*Ksac</f>
        <v>1.0339694132975772</v>
      </c>
      <c r="BH303" s="1044">
        <f t="shared" si="132"/>
        <v>1.5400456777957445E-2</v>
      </c>
      <c r="BI303" s="11">
        <v>44485</v>
      </c>
      <c r="BJ303" s="726">
        <v>5.7573043588679609E-3</v>
      </c>
      <c r="BK303" s="726">
        <v>7.406793459622224E-3</v>
      </c>
      <c r="BL303" s="726">
        <v>9.2126186906169895E-3</v>
      </c>
      <c r="BM303" s="726">
        <v>1.1320011268696367E-2</v>
      </c>
      <c r="BN303" s="726">
        <v>1.3828558587274982E-2</v>
      </c>
      <c r="BO303" s="727">
        <v>1.6767918128124764E-2</v>
      </c>
      <c r="BP303" s="726">
        <v>2.0098982756899916E-2</v>
      </c>
      <c r="BQ303" s="726">
        <v>2.3886739782542264E-2</v>
      </c>
      <c r="BR303" s="726">
        <v>2.8073450843455933E-2</v>
      </c>
      <c r="BS303" s="726">
        <v>3.3097858127159235E-2</v>
      </c>
      <c r="BT303" s="726">
        <v>3.8739201891192628E-2</v>
      </c>
      <c r="BW303" s="1208">
        <f>'2018'!R\Max</f>
        <v>0.53099201683786479</v>
      </c>
      <c r="BX303" s="1206">
        <f>'2019'!R\Max</f>
        <v>0.89099001794293853</v>
      </c>
      <c r="BY303" s="1206">
        <f>'2020'!R\Max</f>
        <v>0.49837498045289663</v>
      </c>
      <c r="BZ303" s="1206">
        <f>'2021'!R\Max</f>
        <v>0.95969823543842325</v>
      </c>
      <c r="CA303" s="1206">
        <f>'2022'!R\Max</f>
        <v>0.89968214279331093</v>
      </c>
      <c r="CB303" s="1206">
        <f>'2023'!R\Max</f>
        <v>0.89966808619006267</v>
      </c>
      <c r="CC303" s="1206">
        <f>'2024'!R\Max</f>
        <v>0.89965402696026464</v>
      </c>
      <c r="CD303" s="1206">
        <f>'2025'!R\Max</f>
        <v>0.89973149491092819</v>
      </c>
      <c r="CE303" s="1206">
        <f>'2026'!R\Max</f>
        <v>0.89972002112873539</v>
      </c>
      <c r="CF303" s="1207">
        <f>'2027'!R\Max</f>
        <v>0.89970766570198912</v>
      </c>
    </row>
    <row r="304" spans="1:84" s="6" customFormat="1" ht="11.25" x14ac:dyDescent="0.2">
      <c r="A304" s="11">
        <v>43390</v>
      </c>
      <c r="B304" s="379">
        <f>'2022'!Maxi_hp</f>
        <v>36.49082251593331</v>
      </c>
      <c r="C304" s="13">
        <f>'2022'!An_max</f>
        <v>2021</v>
      </c>
      <c r="D304" s="1053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2">
        <f t="shared" si="118"/>
        <v>43402</v>
      </c>
      <c r="I304" s="753">
        <f t="shared" si="119"/>
        <v>0.8571428571428571</v>
      </c>
      <c r="J304" s="746">
        <f t="shared" si="120"/>
        <v>40.57292682182576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46">
        <v>43390</v>
      </c>
      <c r="AP304" s="13">
        <f t="shared" si="121"/>
        <v>13</v>
      </c>
      <c r="AQ304" s="13">
        <f t="shared" si="122"/>
        <v>12</v>
      </c>
      <c r="AR304" s="172">
        <f t="shared" si="123"/>
        <v>43416</v>
      </c>
      <c r="AS304" s="753">
        <f t="shared" si="124"/>
        <v>0.9285714285714286</v>
      </c>
      <c r="AT304" s="769">
        <f t="shared" si="125"/>
        <v>40.606098596898036</v>
      </c>
      <c r="AU304" s="13">
        <f t="shared" si="126"/>
        <v>11</v>
      </c>
      <c r="AV304" s="13">
        <f t="shared" si="127"/>
        <v>12</v>
      </c>
      <c r="AW304" s="172">
        <f t="shared" si="128"/>
        <v>43374</v>
      </c>
      <c r="AX304" s="753">
        <f t="shared" si="129"/>
        <v>0.5714285714285714</v>
      </c>
      <c r="AY304" s="769">
        <f t="shared" si="130"/>
        <v>40.338033819038955</v>
      </c>
      <c r="AZ304" s="746">
        <f t="shared" si="134"/>
        <v>40.472066207968496</v>
      </c>
      <c r="BA304" s="641">
        <f t="shared" si="131"/>
        <v>0.89938846847754328</v>
      </c>
      <c r="BC304" s="11">
        <v>43390</v>
      </c>
      <c r="BD304" s="289">
        <f>[2]!FeuilCaduc*(1-Persistant)+Persistant</f>
        <v>0.86688813531301845</v>
      </c>
      <c r="BE304" s="290">
        <f>[2]!CroissVégét</f>
        <v>0.99536261888322142</v>
      </c>
      <c r="BF304" s="819">
        <f>1+[2]!Salcycl*Ksac</f>
        <v>1.0333610169141274</v>
      </c>
      <c r="BH304" s="1044">
        <f t="shared" si="132"/>
        <v>1.5514823731347951E-2</v>
      </c>
      <c r="BI304" s="11">
        <v>44486</v>
      </c>
      <c r="BJ304" s="726">
        <v>5.8183001154698015E-3</v>
      </c>
      <c r="BK304" s="726">
        <v>7.4906677350978458E-3</v>
      </c>
      <c r="BL304" s="726">
        <v>9.3126792109890135E-3</v>
      </c>
      <c r="BM304" s="726">
        <v>1.1427799467365799E-2</v>
      </c>
      <c r="BN304" s="726">
        <v>1.394388262096617E-2</v>
      </c>
      <c r="BO304" s="727">
        <v>1.6881452476498009E-2</v>
      </c>
      <c r="BP304" s="726">
        <v>2.0195891125456358E-2</v>
      </c>
      <c r="BQ304" s="726">
        <v>2.39544666479347E-2</v>
      </c>
      <c r="BR304" s="726">
        <v>2.8103372701669342E-2</v>
      </c>
      <c r="BS304" s="726">
        <v>3.3205344263770073E-2</v>
      </c>
      <c r="BT304" s="726">
        <v>3.903800970037663E-2</v>
      </c>
      <c r="BW304" s="1208">
        <f>'2018'!R\Max</f>
        <v>0.59169468451667306</v>
      </c>
      <c r="BX304" s="1206">
        <f>'2019'!R\Max</f>
        <v>0.48855489918375145</v>
      </c>
      <c r="BY304" s="1206">
        <f>'2020'!R\Max</f>
        <v>0.2905283312347573</v>
      </c>
      <c r="BZ304" s="1206">
        <f>'2021'!R\Max</f>
        <v>0.89938846847754328</v>
      </c>
      <c r="CA304" s="1206">
        <f>'2022'!R\Max</f>
        <v>0.54327940719120238</v>
      </c>
      <c r="CB304" s="1206">
        <f>'2023'!R\Max</f>
        <v>0.54324096655016829</v>
      </c>
      <c r="CC304" s="1206">
        <f>'2024'!R\Max</f>
        <v>0.54320252300974459</v>
      </c>
      <c r="CD304" s="1206">
        <f>'2025'!R\Max</f>
        <v>0.54341484338110779</v>
      </c>
      <c r="CE304" s="1206">
        <f>'2026'!R\Max</f>
        <v>0.54338328703590555</v>
      </c>
      <c r="CF304" s="1207">
        <f>'2027'!R\Max</f>
        <v>0.54334939584210518</v>
      </c>
    </row>
    <row r="305" spans="1:84" s="6" customFormat="1" ht="11.25" x14ac:dyDescent="0.2">
      <c r="A305" s="11">
        <v>43391</v>
      </c>
      <c r="B305" s="379">
        <f>'2022'!Maxi_hp</f>
        <v>40.595682285029085</v>
      </c>
      <c r="C305" s="13">
        <f>'2022'!An_max</f>
        <v>2020</v>
      </c>
      <c r="D305" s="1053">
        <f t="shared" si="116"/>
        <v>1.0089223488108736</v>
      </c>
      <c r="E305" s="13"/>
      <c r="F305" s="13">
        <f t="shared" si="133"/>
        <v>23</v>
      </c>
      <c r="G305" s="13">
        <f t="shared" si="117"/>
        <v>22</v>
      </c>
      <c r="H305" s="172">
        <f t="shared" si="118"/>
        <v>43402</v>
      </c>
      <c r="I305" s="753">
        <f t="shared" si="119"/>
        <v>0.7857142857142857</v>
      </c>
      <c r="J305" s="746">
        <f t="shared" si="120"/>
        <v>40.236676621224198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46">
        <v>43391</v>
      </c>
      <c r="AP305" s="13">
        <f t="shared" si="121"/>
        <v>13</v>
      </c>
      <c r="AQ305" s="13">
        <f t="shared" si="122"/>
        <v>12</v>
      </c>
      <c r="AR305" s="172">
        <f t="shared" si="123"/>
        <v>43416</v>
      </c>
      <c r="AS305" s="753">
        <f t="shared" si="124"/>
        <v>0.8928571428571429</v>
      </c>
      <c r="AT305" s="769">
        <f t="shared" si="125"/>
        <v>40.289000717876476</v>
      </c>
      <c r="AU305" s="13">
        <f t="shared" si="126"/>
        <v>11</v>
      </c>
      <c r="AV305" s="13">
        <f t="shared" si="127"/>
        <v>12</v>
      </c>
      <c r="AW305" s="172">
        <f t="shared" si="128"/>
        <v>43374</v>
      </c>
      <c r="AX305" s="753">
        <f t="shared" si="129"/>
        <v>0.6071428571428571</v>
      </c>
      <c r="AY305" s="769">
        <f t="shared" si="130"/>
        <v>40.005616339854896</v>
      </c>
      <c r="AZ305" s="746">
        <f t="shared" si="134"/>
        <v>40.147308528865686</v>
      </c>
      <c r="BA305" s="641">
        <f t="shared" si="131"/>
        <v>1.0089223488108736</v>
      </c>
      <c r="BC305" s="11">
        <v>43391</v>
      </c>
      <c r="BD305" s="289">
        <f>[2]!FeuilCaduc*(1-Persistant)+Persistant</f>
        <v>0.86192037475695327</v>
      </c>
      <c r="BE305" s="290">
        <f>[2]!CroissVégét</f>
        <v>0.99556171606410238</v>
      </c>
      <c r="BF305" s="819">
        <f>1+[2]!Salcycl*Ksac</f>
        <v>1.0327400468446191</v>
      </c>
      <c r="BH305" s="1044">
        <f t="shared" si="132"/>
        <v>1.5635925923485113E-2</v>
      </c>
      <c r="BI305" s="11">
        <v>44487</v>
      </c>
      <c r="BJ305" s="726">
        <v>5.9051533190962596E-3</v>
      </c>
      <c r="BK305" s="726">
        <v>7.600008698892961E-3</v>
      </c>
      <c r="BL305" s="726">
        <v>9.4350725532157086E-3</v>
      </c>
      <c r="BM305" s="726">
        <v>1.1551791607157877E-2</v>
      </c>
      <c r="BN305" s="726">
        <v>1.4068942472714995E-2</v>
      </c>
      <c r="BO305" s="727">
        <v>1.6999111731561923E-2</v>
      </c>
      <c r="BP305" s="726">
        <v>2.0293936854777712E-2</v>
      </c>
      <c r="BQ305" s="726">
        <v>2.4027322977511298E-2</v>
      </c>
      <c r="BR305" s="726">
        <v>2.8152019556588581E-2</v>
      </c>
      <c r="BS305" s="726">
        <v>3.3361086526790866E-2</v>
      </c>
      <c r="BT305" s="726">
        <v>3.9425700281421193E-2</v>
      </c>
      <c r="BW305" s="1208">
        <f>'2018'!R\Max</f>
        <v>0.24088292474965844</v>
      </c>
      <c r="BX305" s="1206">
        <f>'2019'!R\Max</f>
        <v>0.37387678403903735</v>
      </c>
      <c r="BY305" s="1206">
        <f>'2020'!R\Max</f>
        <v>1.0089223488108736</v>
      </c>
      <c r="BZ305" s="1206">
        <f>'2021'!R\Max</f>
        <v>0.91447241448608185</v>
      </c>
      <c r="CA305" s="1206">
        <f>'2022'!R\Max</f>
        <v>0.92815958925826747</v>
      </c>
      <c r="CB305" s="1206">
        <f>'2023'!R\Max</f>
        <v>0.92814930124186779</v>
      </c>
      <c r="CC305" s="1206">
        <f>'2024'!R\Max</f>
        <v>0.92813901123062093</v>
      </c>
      <c r="CD305" s="1206">
        <f>'2025'!R\Max</f>
        <v>0.92819587163627759</v>
      </c>
      <c r="CE305" s="1206">
        <f>'2026'!R\Max</f>
        <v>0.92818740620214479</v>
      </c>
      <c r="CF305" s="1207">
        <f>'2027'!R\Max</f>
        <v>0.9281783315819585</v>
      </c>
    </row>
    <row r="306" spans="1:84" s="6" customFormat="1" ht="11.25" x14ac:dyDescent="0.2">
      <c r="A306" s="11">
        <v>43392</v>
      </c>
      <c r="B306" s="379">
        <f>'2022'!Maxi_hp</f>
        <v>39.260964769799557</v>
      </c>
      <c r="C306" s="13">
        <f>'2022'!An_max</f>
        <v>2020</v>
      </c>
      <c r="D306" s="1053">
        <f t="shared" si="116"/>
        <v>0.98409737608778991</v>
      </c>
      <c r="E306" s="13"/>
      <c r="F306" s="13">
        <f t="shared" si="133"/>
        <v>23</v>
      </c>
      <c r="G306" s="13">
        <f t="shared" si="117"/>
        <v>22</v>
      </c>
      <c r="H306" s="172">
        <f t="shared" si="118"/>
        <v>43402</v>
      </c>
      <c r="I306" s="753">
        <f t="shared" si="119"/>
        <v>0.7142857142857143</v>
      </c>
      <c r="J306" s="746">
        <f t="shared" si="120"/>
        <v>39.895406413823366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46">
        <v>43392</v>
      </c>
      <c r="AP306" s="13">
        <f t="shared" si="121"/>
        <v>13</v>
      </c>
      <c r="AQ306" s="13">
        <f t="shared" si="122"/>
        <v>12</v>
      </c>
      <c r="AR306" s="172">
        <f t="shared" si="123"/>
        <v>43416</v>
      </c>
      <c r="AS306" s="753">
        <f t="shared" si="124"/>
        <v>0.8571428571428571</v>
      </c>
      <c r="AT306" s="769">
        <f t="shared" si="125"/>
        <v>39.967636734939049</v>
      </c>
      <c r="AU306" s="13">
        <f t="shared" si="126"/>
        <v>11</v>
      </c>
      <c r="AV306" s="13">
        <f t="shared" si="127"/>
        <v>12</v>
      </c>
      <c r="AW306" s="172">
        <f t="shared" si="128"/>
        <v>43374</v>
      </c>
      <c r="AX306" s="753">
        <f t="shared" si="129"/>
        <v>0.6428571428571429</v>
      </c>
      <c r="AY306" s="769">
        <f t="shared" si="130"/>
        <v>39.673659329289308</v>
      </c>
      <c r="AZ306" s="746">
        <f t="shared" si="134"/>
        <v>39.820648032114178</v>
      </c>
      <c r="BA306" s="641">
        <f t="shared" si="131"/>
        <v>0.98409737608778991</v>
      </c>
      <c r="BC306" s="11">
        <v>43392</v>
      </c>
      <c r="BD306" s="289">
        <f>[2]!FeuilCaduc*(1-Persistant)+Persistant</f>
        <v>0.85685598742298774</v>
      </c>
      <c r="BE306" s="290">
        <f>[2]!CroissVégét</f>
        <v>0.99575287182696259</v>
      </c>
      <c r="BF306" s="819">
        <f>1+[2]!Salcycl*Ksac</f>
        <v>1.0321069984278735</v>
      </c>
      <c r="BH306" s="1044">
        <f t="shared" si="132"/>
        <v>1.576375412850621E-2</v>
      </c>
      <c r="BI306" s="11">
        <v>44488</v>
      </c>
      <c r="BJ306" s="726">
        <v>6.0178945459236017E-3</v>
      </c>
      <c r="BK306" s="726">
        <v>7.7348440461173706E-3</v>
      </c>
      <c r="BL306" s="726">
        <v>9.5798194726111983E-3</v>
      </c>
      <c r="BM306" s="726">
        <v>1.1691996959398744E-2</v>
      </c>
      <c r="BN306" s="726">
        <v>1.420373500461581E-2</v>
      </c>
      <c r="BO306" s="727">
        <v>1.7120881371280004E-2</v>
      </c>
      <c r="BP306" s="726">
        <v>2.0393097843142249E-2</v>
      </c>
      <c r="BQ306" s="726">
        <v>2.4105289202101934E-2</v>
      </c>
      <c r="BR306" s="726">
        <v>2.8219388326165509E-2</v>
      </c>
      <c r="BS306" s="726">
        <v>3.3565118226116554E-2</v>
      </c>
      <c r="BT306" s="726">
        <v>3.9902356369735013E-2</v>
      </c>
      <c r="BW306" s="1208">
        <f>'2018'!R\Max</f>
        <v>0.59193607875242216</v>
      </c>
      <c r="BX306" s="1206">
        <f>'2019'!R\Max</f>
        <v>0.78313680909847316</v>
      </c>
      <c r="BY306" s="1206">
        <f>'2020'!R\Max</f>
        <v>0.98409737608778991</v>
      </c>
      <c r="BZ306" s="1206">
        <f>'2021'!R\Max</f>
        <v>0.9182494572644716</v>
      </c>
      <c r="CA306" s="1206">
        <f>'2022'!R\Max</f>
        <v>0.42093718637273558</v>
      </c>
      <c r="CB306" s="1206">
        <f>'2023'!R\Max</f>
        <v>0.4208996963167283</v>
      </c>
      <c r="CC306" s="1206">
        <f>'2024'!R\Max</f>
        <v>0.42086220486441134</v>
      </c>
      <c r="CD306" s="1206">
        <f>'2025'!R\Max</f>
        <v>0.42106934030633819</v>
      </c>
      <c r="CE306" s="1206">
        <f>'2026'!R\Max</f>
        <v>0.42103846716080573</v>
      </c>
      <c r="CF306" s="1207">
        <f>'2027'!R\Max</f>
        <v>0.42100542388441115</v>
      </c>
    </row>
    <row r="307" spans="1:84" s="6" customFormat="1" ht="11.25" x14ac:dyDescent="0.2">
      <c r="A307" s="11">
        <v>43393</v>
      </c>
      <c r="B307" s="379">
        <f>'2022'!Maxi_hp</f>
        <v>33.080208038674293</v>
      </c>
      <c r="C307" s="13">
        <f>'2022'!An_max</f>
        <v>2020</v>
      </c>
      <c r="D307" s="1053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2">
        <f t="shared" si="118"/>
        <v>43402</v>
      </c>
      <c r="I307" s="753">
        <f t="shared" si="119"/>
        <v>0.6428571428571429</v>
      </c>
      <c r="J307" s="746">
        <f t="shared" si="120"/>
        <v>39.55030799867319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46">
        <v>43393</v>
      </c>
      <c r="AP307" s="13">
        <f t="shared" si="121"/>
        <v>13</v>
      </c>
      <c r="AQ307" s="13">
        <f t="shared" si="122"/>
        <v>12</v>
      </c>
      <c r="AR307" s="172">
        <f t="shared" si="123"/>
        <v>43416</v>
      </c>
      <c r="AS307" s="753">
        <f t="shared" si="124"/>
        <v>0.8214285714285714</v>
      </c>
      <c r="AT307" s="769">
        <f t="shared" si="125"/>
        <v>39.642480660170051</v>
      </c>
      <c r="AU307" s="13">
        <f t="shared" si="126"/>
        <v>11</v>
      </c>
      <c r="AV307" s="13">
        <f t="shared" si="127"/>
        <v>12</v>
      </c>
      <c r="AW307" s="172">
        <f t="shared" si="128"/>
        <v>43374</v>
      </c>
      <c r="AX307" s="753">
        <f t="shared" si="129"/>
        <v>0.6785714285714286</v>
      </c>
      <c r="AY307" s="769">
        <f t="shared" si="130"/>
        <v>39.342569082516377</v>
      </c>
      <c r="AZ307" s="746">
        <f t="shared" si="134"/>
        <v>39.492524871343214</v>
      </c>
      <c r="BA307" s="641">
        <f t="shared" si="131"/>
        <v>0.8364083546399701</v>
      </c>
      <c r="BC307" s="11">
        <v>43393</v>
      </c>
      <c r="BD307" s="289">
        <f>[2]!FeuilCaduc*(1-Persistant)+Persistant</f>
        <v>0.85169935814433595</v>
      </c>
      <c r="BE307" s="290">
        <f>[2]!CroissVégét</f>
        <v>0.99593640005294937</v>
      </c>
      <c r="BF307" s="819">
        <f>1+[2]!Salcycl*Ksac</f>
        <v>1.031462419768042</v>
      </c>
      <c r="BH307" s="1044">
        <f t="shared" si="132"/>
        <v>1.5898298314172447E-2</v>
      </c>
      <c r="BI307" s="11">
        <v>44489</v>
      </c>
      <c r="BJ307" s="726">
        <v>6.1565528063222269E-3</v>
      </c>
      <c r="BK307" s="726">
        <v>7.8951998304055346E-3</v>
      </c>
      <c r="BL307" s="726">
        <v>9.746939175835332E-3</v>
      </c>
      <c r="BM307" s="726">
        <v>1.1848423528751132E-2</v>
      </c>
      <c r="BN307" s="726">
        <v>1.4348256112897929E-2</v>
      </c>
      <c r="BO307" s="727">
        <v>1.7246746205985916E-2</v>
      </c>
      <c r="BP307" s="726">
        <v>2.0493351550816927E-2</v>
      </c>
      <c r="BQ307" s="726">
        <v>2.4188345244501978E-2</v>
      </c>
      <c r="BR307" s="726">
        <v>2.8305474900302385E-2</v>
      </c>
      <c r="BS307" s="726">
        <v>3.3817469818388006E-2</v>
      </c>
      <c r="BT307" s="726">
        <v>4.0468054969510864E-2</v>
      </c>
      <c r="BW307" s="1208">
        <f>'2018'!R\Max</f>
        <v>0.31679537251192524</v>
      </c>
      <c r="BX307" s="1206">
        <f>'2019'!R\Max</f>
        <v>0.30570301181732934</v>
      </c>
      <c r="BY307" s="1206">
        <f>'2020'!R\Max</f>
        <v>0.8364083546399701</v>
      </c>
      <c r="BZ307" s="1206">
        <f>'2021'!R\Max</f>
        <v>0.74057457932576787</v>
      </c>
      <c r="CA307" s="1206">
        <f>'2022'!R\Max</f>
        <v>0.2485614081540384</v>
      </c>
      <c r="CB307" s="1206">
        <f>'2023'!R\Max</f>
        <v>0.24853469555148849</v>
      </c>
      <c r="CC307" s="1206">
        <f>'2024'!R\Max</f>
        <v>0.24850798294893864</v>
      </c>
      <c r="CD307" s="1206">
        <f>'2025'!R\Max</f>
        <v>0.24865530577405534</v>
      </c>
      <c r="CE307" s="1206">
        <f>'2026'!R\Max</f>
        <v>0.24863335679991985</v>
      </c>
      <c r="CF307" s="1207">
        <f>'2027'!R\Max</f>
        <v>0.24860988577793647</v>
      </c>
    </row>
    <row r="308" spans="1:84" s="6" customFormat="1" ht="11.25" x14ac:dyDescent="0.2">
      <c r="A308" s="11">
        <v>43394</v>
      </c>
      <c r="B308" s="379">
        <f>'2022'!Maxi_hp</f>
        <v>24.658725492939233</v>
      </c>
      <c r="C308" s="13">
        <f>'2022'!An_max</f>
        <v>2019</v>
      </c>
      <c r="D308" s="1053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2">
        <f t="shared" si="118"/>
        <v>43402</v>
      </c>
      <c r="I308" s="753">
        <f t="shared" si="119"/>
        <v>0.5714285714285714</v>
      </c>
      <c r="J308" s="746">
        <f t="shared" si="120"/>
        <v>39.202573177324872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46">
        <v>43394</v>
      </c>
      <c r="AP308" s="13">
        <f t="shared" si="121"/>
        <v>13</v>
      </c>
      <c r="AQ308" s="13">
        <f t="shared" si="122"/>
        <v>12</v>
      </c>
      <c r="AR308" s="172">
        <f t="shared" si="123"/>
        <v>43416</v>
      </c>
      <c r="AS308" s="753">
        <f t="shared" si="124"/>
        <v>0.7857142857142857</v>
      </c>
      <c r="AT308" s="769">
        <f t="shared" si="125"/>
        <v>39.314006505201441</v>
      </c>
      <c r="AU308" s="13">
        <f t="shared" si="126"/>
        <v>11</v>
      </c>
      <c r="AV308" s="13">
        <f t="shared" si="127"/>
        <v>12</v>
      </c>
      <c r="AW308" s="172">
        <f t="shared" si="128"/>
        <v>43374</v>
      </c>
      <c r="AX308" s="753">
        <f t="shared" si="129"/>
        <v>0.7142857142857143</v>
      </c>
      <c r="AY308" s="769">
        <f t="shared" si="130"/>
        <v>39.012751894923198</v>
      </c>
      <c r="AZ308" s="746">
        <f t="shared" si="134"/>
        <v>39.163379200062323</v>
      </c>
      <c r="BA308" s="641">
        <f t="shared" si="131"/>
        <v>0.62900783021054507</v>
      </c>
      <c r="BC308" s="11">
        <v>43394</v>
      </c>
      <c r="BD308" s="289">
        <f>[2]!FeuilCaduc*(1-Persistant)+Persistant</f>
        <v>0.84645528727532271</v>
      </c>
      <c r="BE308" s="290">
        <f>[2]!CroissVégét</f>
        <v>0.99611260244351996</v>
      </c>
      <c r="BF308" s="819">
        <f>1+[2]!Salcycl*Ksac</f>
        <v>1.0308069109094153</v>
      </c>
      <c r="BH308" s="1044">
        <f t="shared" si="132"/>
        <v>1.6039547568652224E-2</v>
      </c>
      <c r="BI308" s="11">
        <v>44490</v>
      </c>
      <c r="BJ308" s="726">
        <v>6.3211552634104143E-3</v>
      </c>
      <c r="BK308" s="726">
        <v>8.0811001868604567E-3</v>
      </c>
      <c r="BL308" s="726">
        <v>9.9364490780286512E-3</v>
      </c>
      <c r="BM308" s="726">
        <v>1.202107787705636E-2</v>
      </c>
      <c r="BN308" s="726">
        <v>1.450250062214019E-2</v>
      </c>
      <c r="BO308" s="727">
        <v>1.7376690333499707E-2</v>
      </c>
      <c r="BP308" s="726">
        <v>2.0594674987305658E-2</v>
      </c>
      <c r="BQ308" s="726">
        <v>2.4276470462643605E-2</v>
      </c>
      <c r="BR308" s="726">
        <v>2.841027393519914E-2</v>
      </c>
      <c r="BS308" s="726">
        <v>3.41181683801021E-2</v>
      </c>
      <c r="BT308" s="726">
        <v>4.1122866385913642E-2</v>
      </c>
      <c r="BW308" s="1208">
        <f>'2018'!R\Max</f>
        <v>0.4854028303712018</v>
      </c>
      <c r="BX308" s="1206">
        <f>'2019'!R\Max</f>
        <v>0.62900783021054507</v>
      </c>
      <c r="BY308" s="1206">
        <f>'2020'!R\Max</f>
        <v>0.13539365250388799</v>
      </c>
      <c r="BZ308" s="1206">
        <f>'2021'!R\Max</f>
        <v>0.28594212730236607</v>
      </c>
      <c r="CA308" s="1206">
        <f>'2022'!R\Max</f>
        <v>0.42560282276685907</v>
      </c>
      <c r="CB308" s="1206">
        <f>'2023'!R\Max</f>
        <v>0.42556533213035169</v>
      </c>
      <c r="CC308" s="1206">
        <f>'2024'!R\Max</f>
        <v>0.42552784004794558</v>
      </c>
      <c r="CD308" s="1206">
        <f>'2025'!R\Max</f>
        <v>0.42573393266400344</v>
      </c>
      <c r="CE308" s="1206">
        <f>'2026'!R\Max</f>
        <v>0.42570328571809607</v>
      </c>
      <c r="CF308" s="1207">
        <f>'2027'!R\Max</f>
        <v>0.42567052139619466</v>
      </c>
    </row>
    <row r="309" spans="1:84" s="6" customFormat="1" ht="11.25" x14ac:dyDescent="0.2">
      <c r="A309" s="11">
        <v>43395</v>
      </c>
      <c r="B309" s="379">
        <f>'2022'!Maxi_hp</f>
        <v>36.777912321684994</v>
      </c>
      <c r="C309" s="13">
        <f>'2022'!An_max</f>
        <v>2022</v>
      </c>
      <c r="D309" s="1053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2">
        <f t="shared" si="118"/>
        <v>43402</v>
      </c>
      <c r="I309" s="753">
        <f t="shared" si="119"/>
        <v>0.5</v>
      </c>
      <c r="J309" s="746">
        <f t="shared" si="120"/>
        <v>38.853393749147656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46">
        <v>43395</v>
      </c>
      <c r="AP309" s="13">
        <f t="shared" si="121"/>
        <v>13</v>
      </c>
      <c r="AQ309" s="13">
        <f t="shared" si="122"/>
        <v>12</v>
      </c>
      <c r="AR309" s="172">
        <f t="shared" si="123"/>
        <v>43416</v>
      </c>
      <c r="AS309" s="753">
        <f t="shared" si="124"/>
        <v>0.75</v>
      </c>
      <c r="AT309" s="769">
        <f t="shared" si="125"/>
        <v>38.982688281591983</v>
      </c>
      <c r="AU309" s="13">
        <f t="shared" si="126"/>
        <v>11</v>
      </c>
      <c r="AV309" s="13">
        <f t="shared" si="127"/>
        <v>12</v>
      </c>
      <c r="AW309" s="172">
        <f t="shared" si="128"/>
        <v>43374</v>
      </c>
      <c r="AX309" s="753">
        <f t="shared" si="129"/>
        <v>0.75</v>
      </c>
      <c r="AY309" s="769">
        <f t="shared" si="130"/>
        <v>38.684614062448965</v>
      </c>
      <c r="AZ309" s="746">
        <f t="shared" si="134"/>
        <v>38.833651172020474</v>
      </c>
      <c r="BA309" s="641">
        <f t="shared" si="131"/>
        <v>0.94658172099809956</v>
      </c>
      <c r="BC309" s="11">
        <v>43395</v>
      </c>
      <c r="BD309" s="289">
        <f>[2]!FeuilCaduc*(1-Persistant)+Persistant</f>
        <v>0.84112898132199043</v>
      </c>
      <c r="BE309" s="290">
        <f>[2]!CroissVégét</f>
        <v>0.99628176897521181</v>
      </c>
      <c r="BF309" s="819">
        <f>1+[2]!Salcycl*Ksac</f>
        <v>1.0301411226652488</v>
      </c>
      <c r="BH309" s="1044">
        <f t="shared" si="132"/>
        <v>1.6187490027244626E-2</v>
      </c>
      <c r="BI309" s="11">
        <v>44491</v>
      </c>
      <c r="BJ309" s="726">
        <v>6.5117269515859661E-3</v>
      </c>
      <c r="BK309" s="726">
        <v>8.2925670549690196E-3</v>
      </c>
      <c r="BL309" s="726">
        <v>1.0148364559911794E-2</v>
      </c>
      <c r="BM309" s="726">
        <v>1.2209964947132472E-2</v>
      </c>
      <c r="BN309" s="726">
        <v>1.4666462179431794E-2</v>
      </c>
      <c r="BO309" s="727">
        <v>1.7510697094178893E-2</v>
      </c>
      <c r="BP309" s="726">
        <v>2.069704469851949E-2</v>
      </c>
      <c r="BQ309" s="726">
        <v>2.436964359267442E-2</v>
      </c>
      <c r="BR309" s="726">
        <v>2.8533778647591976E-2</v>
      </c>
      <c r="BS309" s="726">
        <v>3.4467237080593884E-2</v>
      </c>
      <c r="BT309" s="726">
        <v>4.186685325711903E-2</v>
      </c>
      <c r="BW309" s="1208">
        <f>'2018'!R\Max</f>
        <v>0.60261236064511892</v>
      </c>
      <c r="BX309" s="1206">
        <f>'2019'!R\Max</f>
        <v>0.10190513707712318</v>
      </c>
      <c r="BY309" s="1206">
        <f>'2020'!R\Max</f>
        <v>0.65548269187654395</v>
      </c>
      <c r="BZ309" s="1206">
        <f>'2021'!R\Max</f>
        <v>0.3473913730214338</v>
      </c>
      <c r="CA309" s="1206">
        <f>'2022'!R\Max</f>
        <v>0.94658172099809956</v>
      </c>
      <c r="CB309" s="1206">
        <f>'2023'!R\Max</f>
        <v>0.94657396485256173</v>
      </c>
      <c r="CC309" s="1206">
        <f>'2024'!R\Max</f>
        <v>0.94656620716804962</v>
      </c>
      <c r="CD309" s="1206">
        <f>'2025'!R\Max</f>
        <v>0.9466086407976515</v>
      </c>
      <c r="CE309" s="1206">
        <f>'2026'!R\Max</f>
        <v>0.94660235272745463</v>
      </c>
      <c r="CF309" s="1207">
        <f>'2027'!R\Max</f>
        <v>0.94659562713329082</v>
      </c>
    </row>
    <row r="310" spans="1:84" s="6" customFormat="1" ht="11.25" x14ac:dyDescent="0.2">
      <c r="A310" s="11">
        <v>43396</v>
      </c>
      <c r="B310" s="379">
        <f>'2022'!Maxi_hp</f>
        <v>38.121231488419959</v>
      </c>
      <c r="C310" s="13">
        <f>'2022'!An_max</f>
        <v>2018</v>
      </c>
      <c r="D310" s="1053">
        <f t="shared" si="116"/>
        <v>0.99005998312363841</v>
      </c>
      <c r="E310" s="13"/>
      <c r="F310" s="13">
        <f t="shared" si="133"/>
        <v>23</v>
      </c>
      <c r="G310" s="13">
        <f t="shared" si="117"/>
        <v>22</v>
      </c>
      <c r="H310" s="172">
        <f t="shared" si="118"/>
        <v>43402</v>
      </c>
      <c r="I310" s="753">
        <f t="shared" si="119"/>
        <v>0.42857142857142855</v>
      </c>
      <c r="J310" s="746">
        <f t="shared" si="120"/>
        <v>38.503961515692723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46">
        <v>43396</v>
      </c>
      <c r="AP310" s="13">
        <f t="shared" si="121"/>
        <v>13</v>
      </c>
      <c r="AQ310" s="13">
        <f t="shared" si="122"/>
        <v>12</v>
      </c>
      <c r="AR310" s="172">
        <f t="shared" si="123"/>
        <v>43416</v>
      </c>
      <c r="AS310" s="753">
        <f t="shared" si="124"/>
        <v>0.7142857142857143</v>
      </c>
      <c r="AT310" s="769">
        <f t="shared" si="125"/>
        <v>38.649000000368268</v>
      </c>
      <c r="AU310" s="13">
        <f t="shared" si="126"/>
        <v>11</v>
      </c>
      <c r="AV310" s="13">
        <f t="shared" si="127"/>
        <v>12</v>
      </c>
      <c r="AW310" s="172">
        <f t="shared" si="128"/>
        <v>43374</v>
      </c>
      <c r="AX310" s="753">
        <f t="shared" si="129"/>
        <v>0.7857142857142857</v>
      </c>
      <c r="AY310" s="769">
        <f t="shared" si="130"/>
        <v>38.358561880367674</v>
      </c>
      <c r="AZ310" s="746">
        <f t="shared" si="134"/>
        <v>38.503780940367974</v>
      </c>
      <c r="BA310" s="641">
        <f t="shared" si="131"/>
        <v>0.99005998312363841</v>
      </c>
      <c r="BC310" s="11">
        <v>43396</v>
      </c>
      <c r="BD310" s="289">
        <f>[2]!FeuilCaduc*(1-Persistant)+Persistant</f>
        <v>0.83572604080636914</v>
      </c>
      <c r="BE310" s="290">
        <f>[2]!CroissVégét</f>
        <v>0.99644417833885535</v>
      </c>
      <c r="BF310" s="819">
        <f>1+[2]!Salcycl*Ksac</f>
        <v>1.0294657551007962</v>
      </c>
      <c r="BH310" s="1044">
        <f t="shared" si="132"/>
        <v>1.6339967568971256E-2</v>
      </c>
      <c r="BI310" s="11">
        <v>44492</v>
      </c>
      <c r="BJ310" s="726">
        <v>6.7329591672275991E-3</v>
      </c>
      <c r="BK310" s="726">
        <v>8.5284583540688359E-3</v>
      </c>
      <c r="BL310" s="726">
        <v>1.0378212753276776E-2</v>
      </c>
      <c r="BM310" s="726">
        <v>1.2410311407277603E-2</v>
      </c>
      <c r="BN310" s="726">
        <v>1.4835891758561863E-2</v>
      </c>
      <c r="BO310" s="727">
        <v>1.7648427334780555E-2</v>
      </c>
      <c r="BP310" s="726">
        <v>2.0807160442580453E-2</v>
      </c>
      <c r="BQ310" s="726">
        <v>2.4490180071920279E-2</v>
      </c>
      <c r="BR310" s="726">
        <v>2.8713667357099033E-2</v>
      </c>
      <c r="BS310" s="726">
        <v>3.4891048844151992E-2</v>
      </c>
      <c r="BT310" s="726">
        <v>4.2682744503268338E-2</v>
      </c>
      <c r="BW310" s="1208">
        <f>'2018'!R\Max</f>
        <v>0.99005998312363841</v>
      </c>
      <c r="BX310" s="1206">
        <f>'2019'!R\Max</f>
        <v>0.51877736400792718</v>
      </c>
      <c r="BY310" s="1206">
        <f>'2020'!R\Max</f>
        <v>0.15825442674540216</v>
      </c>
      <c r="BZ310" s="1206">
        <f>'2021'!R\Max</f>
        <v>0.95040279726500532</v>
      </c>
      <c r="CA310" s="1206">
        <f>'2022'!R\Max</f>
        <v>0.53433175523231879</v>
      </c>
      <c r="CB310" s="1206">
        <f>'2023'!R\Max</f>
        <v>0.53429338337084964</v>
      </c>
      <c r="CC310" s="1206">
        <f>'2024'!R\Max</f>
        <v>0.53425500873437226</v>
      </c>
      <c r="CD310" s="1206">
        <f>'2025'!R\Max</f>
        <v>0.53446345115737648</v>
      </c>
      <c r="CE310" s="1206">
        <f>'2026'!R\Max</f>
        <v>0.53443272903845584</v>
      </c>
      <c r="CF310" s="1207">
        <f>'2027'!R\Max</f>
        <v>0.5343998259336098</v>
      </c>
    </row>
    <row r="311" spans="1:84" s="6" customFormat="1" ht="11.25" x14ac:dyDescent="0.2">
      <c r="A311" s="11">
        <v>43397</v>
      </c>
      <c r="B311" s="379">
        <f>'2022'!Maxi_hp</f>
        <v>39.472897554741962</v>
      </c>
      <c r="C311" s="13">
        <f>'2022'!An_max</f>
        <v>2021</v>
      </c>
      <c r="D311" s="1053">
        <f t="shared" si="116"/>
        <v>1.0345279284596807</v>
      </c>
      <c r="E311" s="13"/>
      <c r="F311" s="13">
        <f t="shared" si="133"/>
        <v>23</v>
      </c>
      <c r="G311" s="13">
        <f t="shared" si="117"/>
        <v>22</v>
      </c>
      <c r="H311" s="172">
        <f t="shared" si="118"/>
        <v>43402</v>
      </c>
      <c r="I311" s="753">
        <f t="shared" si="119"/>
        <v>0.35714285714285715</v>
      </c>
      <c r="J311" s="746">
        <f t="shared" si="120"/>
        <v>38.155468275770545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46">
        <v>43397</v>
      </c>
      <c r="AP311" s="13">
        <f t="shared" si="121"/>
        <v>13</v>
      </c>
      <c r="AQ311" s="13">
        <f t="shared" si="122"/>
        <v>12</v>
      </c>
      <c r="AR311" s="172">
        <f t="shared" si="123"/>
        <v>43416</v>
      </c>
      <c r="AS311" s="753">
        <f t="shared" si="124"/>
        <v>0.6785714285714286</v>
      </c>
      <c r="AT311" s="769">
        <f t="shared" si="125"/>
        <v>38.313415672876211</v>
      </c>
      <c r="AU311" s="13">
        <f t="shared" si="126"/>
        <v>11</v>
      </c>
      <c r="AV311" s="13">
        <f t="shared" si="127"/>
        <v>12</v>
      </c>
      <c r="AW311" s="172">
        <f t="shared" si="128"/>
        <v>43374</v>
      </c>
      <c r="AX311" s="753">
        <f t="shared" si="129"/>
        <v>0.8214285714285714</v>
      </c>
      <c r="AY311" s="769">
        <f t="shared" si="130"/>
        <v>38.035001644332496</v>
      </c>
      <c r="AZ311" s="746">
        <f t="shared" si="134"/>
        <v>38.174208658604357</v>
      </c>
      <c r="BA311" s="641">
        <f t="shared" si="131"/>
        <v>1.0345279284596807</v>
      </c>
      <c r="BC311" s="11">
        <v>43397</v>
      </c>
      <c r="BD311" s="289">
        <f>[2]!FeuilCaduc*(1-Persistant)+Persistant</f>
        <v>0.83025244538896747</v>
      </c>
      <c r="BE311" s="290">
        <f>[2]!CroissVégét</f>
        <v>0.99660009836364072</v>
      </c>
      <c r="BF311" s="819">
        <f>1+[2]!Salcycl*Ksac</f>
        <v>1.0287815556736208</v>
      </c>
      <c r="BH311" s="1044">
        <f t="shared" si="132"/>
        <v>1.649087375065968E-2</v>
      </c>
      <c r="BI311" s="11">
        <v>44493</v>
      </c>
      <c r="BJ311" s="726">
        <v>6.9763496125621457E-3</v>
      </c>
      <c r="BK311" s="726">
        <v>8.7782242823774836E-3</v>
      </c>
      <c r="BL311" s="726">
        <v>1.061500755308426E-2</v>
      </c>
      <c r="BM311" s="726">
        <v>1.2612643193676911E-2</v>
      </c>
      <c r="BN311" s="726">
        <v>1.5003275889264225E-2</v>
      </c>
      <c r="BO311" s="727">
        <v>1.7784998645075809E-2</v>
      </c>
      <c r="BP311" s="726">
        <v>2.0922768867254096E-2</v>
      </c>
      <c r="BQ311" s="726">
        <v>2.4639824673990132E-2</v>
      </c>
      <c r="BR311" s="726">
        <v>2.8953427928830138E-2</v>
      </c>
      <c r="BS311" s="726">
        <v>3.5380395073154304E-2</v>
      </c>
      <c r="BT311" s="726">
        <v>4.3532894476406292E-2</v>
      </c>
      <c r="BW311" s="1208">
        <f>'2018'!R\Max</f>
        <v>0.94603829146969043</v>
      </c>
      <c r="BX311" s="1206">
        <f>'2019'!R\Max</f>
        <v>0.51870329206293386</v>
      </c>
      <c r="BY311" s="1206">
        <f>'2020'!R\Max</f>
        <v>0.28943825306450749</v>
      </c>
      <c r="BZ311" s="1206">
        <f>'2021'!R\Max</f>
        <v>1.0345279284596807</v>
      </c>
      <c r="CA311" s="1206">
        <f>'2022'!R\Max</f>
        <v>0.74018169586547311</v>
      </c>
      <c r="CB311" s="1206">
        <f>'2023'!R\Max</f>
        <v>0.74015168788025754</v>
      </c>
      <c r="CC311" s="1206">
        <f>'2024'!R\Max</f>
        <v>0.74012167577131938</v>
      </c>
      <c r="CD311" s="1206">
        <f>'2025'!R\Max</f>
        <v>0.74028304659140942</v>
      </c>
      <c r="CE311" s="1206">
        <f>'2026'!R\Max</f>
        <v>0.7402594629916851</v>
      </c>
      <c r="CF311" s="1207">
        <f>'2027'!R\Max</f>
        <v>0.74023414090048645</v>
      </c>
    </row>
    <row r="312" spans="1:84" s="6" customFormat="1" ht="11.25" x14ac:dyDescent="0.2">
      <c r="A312" s="11">
        <v>43398</v>
      </c>
      <c r="B312" s="379">
        <f>'2022'!Maxi_hp</f>
        <v>37.235103928768822</v>
      </c>
      <c r="C312" s="13">
        <f>'2022'!An_max</f>
        <v>2018</v>
      </c>
      <c r="D312" s="1053">
        <f t="shared" si="116"/>
        <v>0.98481842166555478</v>
      </c>
      <c r="E312" s="13"/>
      <c r="F312" s="13">
        <f t="shared" si="133"/>
        <v>23</v>
      </c>
      <c r="G312" s="13">
        <f t="shared" si="117"/>
        <v>22</v>
      </c>
      <c r="H312" s="172">
        <f t="shared" si="118"/>
        <v>43402</v>
      </c>
      <c r="I312" s="753">
        <f t="shared" si="119"/>
        <v>0.2857142857142857</v>
      </c>
      <c r="J312" s="746">
        <f t="shared" si="120"/>
        <v>37.809105830692815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46">
        <v>43398</v>
      </c>
      <c r="AP312" s="13">
        <f t="shared" si="121"/>
        <v>13</v>
      </c>
      <c r="AQ312" s="13">
        <f t="shared" si="122"/>
        <v>12</v>
      </c>
      <c r="AR312" s="172">
        <f t="shared" si="123"/>
        <v>43416</v>
      </c>
      <c r="AS312" s="753">
        <f t="shared" si="124"/>
        <v>0.6428571428571429</v>
      </c>
      <c r="AT312" s="769">
        <f t="shared" si="125"/>
        <v>37.976409311539364</v>
      </c>
      <c r="AU312" s="13">
        <f t="shared" si="126"/>
        <v>11</v>
      </c>
      <c r="AV312" s="13">
        <f t="shared" si="127"/>
        <v>12</v>
      </c>
      <c r="AW312" s="172">
        <f t="shared" si="128"/>
        <v>43374</v>
      </c>
      <c r="AX312" s="753">
        <f t="shared" si="129"/>
        <v>0.8571428571428571</v>
      </c>
      <c r="AY312" s="769">
        <f t="shared" si="130"/>
        <v>37.714339650103021</v>
      </c>
      <c r="AZ312" s="746">
        <f t="shared" si="134"/>
        <v>37.845374480821192</v>
      </c>
      <c r="BA312" s="641">
        <f t="shared" si="131"/>
        <v>0.98481842166555478</v>
      </c>
      <c r="BC312" s="11">
        <v>43398</v>
      </c>
      <c r="BD312" s="289">
        <f>[2]!FeuilCaduc*(1-Persistant)+Persistant</f>
        <v>0.82471453629716374</v>
      </c>
      <c r="BE312" s="290">
        <f>[2]!CroissVégét</f>
        <v>0.99674978642645717</v>
      </c>
      <c r="BF312" s="819">
        <f>1+[2]!Salcycl*Ksac</f>
        <v>1.0280893170371455</v>
      </c>
      <c r="BH312" s="1044">
        <f t="shared" si="132"/>
        <v>1.664032819185737E-2</v>
      </c>
      <c r="BI312" s="11">
        <v>44494</v>
      </c>
      <c r="BJ312" s="726">
        <v>7.2419806829809585E-3</v>
      </c>
      <c r="BK312" s="726">
        <v>9.0419492418105634E-3</v>
      </c>
      <c r="BL312" s="726">
        <v>1.0858837380613402E-2</v>
      </c>
      <c r="BM312" s="726">
        <v>1.2817056505407674E-2</v>
      </c>
      <c r="BN312" s="726">
        <v>1.51687226960543E-2</v>
      </c>
      <c r="BO312" s="727">
        <v>1.7920540644631312E-2</v>
      </c>
      <c r="BP312" s="726">
        <v>2.1044031576204124E-2</v>
      </c>
      <c r="BQ312" s="726">
        <v>2.4818798525603009E-2</v>
      </c>
      <c r="BR312" s="726">
        <v>2.9253355349479784E-2</v>
      </c>
      <c r="BS312" s="726">
        <v>3.5935626734943223E-2</v>
      </c>
      <c r="BT312" s="726">
        <v>4.4417673105761231E-2</v>
      </c>
      <c r="BW312" s="1208">
        <f>'2018'!R\Max</f>
        <v>0.98481842166555478</v>
      </c>
      <c r="BX312" s="1206">
        <f>'2019'!R\Max</f>
        <v>0.82838387335774977</v>
      </c>
      <c r="BY312" s="1206">
        <f>'2020'!R\Max</f>
        <v>0.87213288776310294</v>
      </c>
      <c r="BZ312" s="1206">
        <f>'2021'!R\Max</f>
        <v>0.97855070853231307</v>
      </c>
      <c r="CA312" s="1206">
        <f>'2022'!R\Max</f>
        <v>0.63583883700428323</v>
      </c>
      <c r="CB312" s="1206">
        <f>'2023'!R\Max</f>
        <v>0.63580205737624729</v>
      </c>
      <c r="CC312" s="1206">
        <f>'2024'!R\Max</f>
        <v>0.63576527382238956</v>
      </c>
      <c r="CD312" s="1206">
        <f>'2025'!R\Max</f>
        <v>0.63596059323821563</v>
      </c>
      <c r="CE312" s="1206">
        <f>'2026'!R\Max</f>
        <v>0.6359323569196591</v>
      </c>
      <c r="CF312" s="1207">
        <f>'2027'!R\Max</f>
        <v>0.63590193157091524</v>
      </c>
    </row>
    <row r="313" spans="1:84" s="6" customFormat="1" ht="11.25" x14ac:dyDescent="0.2">
      <c r="A313" s="11">
        <v>43399</v>
      </c>
      <c r="B313" s="379">
        <f>'2022'!Maxi_hp</f>
        <v>37.759644135743372</v>
      </c>
      <c r="C313" s="13">
        <f>'2022'!An_max</f>
        <v>2019</v>
      </c>
      <c r="D313" s="1053">
        <f t="shared" si="116"/>
        <v>1.0078358415281203</v>
      </c>
      <c r="E313" s="13"/>
      <c r="F313" s="13">
        <f t="shared" si="133"/>
        <v>23</v>
      </c>
      <c r="G313" s="13">
        <f t="shared" si="117"/>
        <v>22</v>
      </c>
      <c r="H313" s="172">
        <f t="shared" si="118"/>
        <v>43402</v>
      </c>
      <c r="I313" s="753">
        <f t="shared" si="119"/>
        <v>0.21428571428571427</v>
      </c>
      <c r="J313" s="746">
        <f t="shared" si="120"/>
        <v>37.466065980041662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46">
        <v>43399</v>
      </c>
      <c r="AP313" s="13">
        <f t="shared" si="121"/>
        <v>13</v>
      </c>
      <c r="AQ313" s="13">
        <f t="shared" si="122"/>
        <v>12</v>
      </c>
      <c r="AR313" s="172">
        <f t="shared" si="123"/>
        <v>43416</v>
      </c>
      <c r="AS313" s="753">
        <f t="shared" si="124"/>
        <v>0.6071428571428571</v>
      </c>
      <c r="AT313" s="769">
        <f t="shared" si="125"/>
        <v>37.638454926965224</v>
      </c>
      <c r="AU313" s="13">
        <f t="shared" si="126"/>
        <v>11</v>
      </c>
      <c r="AV313" s="13">
        <f t="shared" si="127"/>
        <v>12</v>
      </c>
      <c r="AW313" s="172">
        <f t="shared" si="128"/>
        <v>43374</v>
      </c>
      <c r="AX313" s="753">
        <f t="shared" si="129"/>
        <v>0.8928571428571429</v>
      </c>
      <c r="AY313" s="769">
        <f t="shared" si="130"/>
        <v>37.396982192933294</v>
      </c>
      <c r="AZ313" s="746">
        <f t="shared" si="134"/>
        <v>37.517718559949259</v>
      </c>
      <c r="BA313" s="641">
        <f t="shared" si="131"/>
        <v>1.0078358415281203</v>
      </c>
      <c r="BC313" s="11">
        <v>43399</v>
      </c>
      <c r="BD313" s="289">
        <f>[2]!FeuilCaduc*(1-Persistant)+Persistant</f>
        <v>0.81911899613020722</v>
      </c>
      <c r="BE313" s="290">
        <f>[2]!CroissVégét</f>
        <v>0.99689348984691617</v>
      </c>
      <c r="BF313" s="819">
        <f>1+[2]!Salcycl*Ksac</f>
        <v>1.0273898745162759</v>
      </c>
      <c r="BH313" s="1044">
        <f t="shared" si="132"/>
        <v>1.6788315959575372E-2</v>
      </c>
      <c r="BI313" s="11">
        <v>44495</v>
      </c>
      <c r="BJ313" s="726">
        <v>7.5298808504181023E-3</v>
      </c>
      <c r="BK313" s="726">
        <v>9.3196486317939642E-3</v>
      </c>
      <c r="BL313" s="726">
        <v>1.1109706080156099E-2</v>
      </c>
      <c r="BM313" s="726">
        <v>1.3023545843734916E-2</v>
      </c>
      <c r="BN313" s="726">
        <v>1.5332218255484496E-2</v>
      </c>
      <c r="BO313" s="727">
        <v>1.8055037522214969E-2</v>
      </c>
      <c r="BP313" s="726">
        <v>2.1170938715834239E-2</v>
      </c>
      <c r="BQ313" s="726">
        <v>2.5027121699615299E-2</v>
      </c>
      <c r="BR313" s="726">
        <v>2.9613509956678934E-2</v>
      </c>
      <c r="BS313" s="726">
        <v>3.6556810345817536E-2</v>
      </c>
      <c r="BT313" s="726">
        <v>4.5337102089805424E-2</v>
      </c>
      <c r="BW313" s="1208">
        <f>'2018'!R\Max</f>
        <v>9.9989828045749851E-2</v>
      </c>
      <c r="BX313" s="1206">
        <f>'2019'!R\Max</f>
        <v>1.0078358415281203</v>
      </c>
      <c r="BY313" s="1206">
        <f>'2020'!R\Max</f>
        <v>0.65765391464112399</v>
      </c>
      <c r="BZ313" s="1206">
        <f>'2021'!R\Max</f>
        <v>0.66042726249631101</v>
      </c>
      <c r="CA313" s="1206">
        <f>'2022'!R\Max</f>
        <v>0.51336903574894877</v>
      </c>
      <c r="CB313" s="1206">
        <f>'2023'!R\Max</f>
        <v>0.51332840480325415</v>
      </c>
      <c r="CC313" s="1206">
        <f>'2024'!R\Max</f>
        <v>0.51328777103572198</v>
      </c>
      <c r="CD313" s="1206">
        <f>'2025'!R\Max</f>
        <v>0.51350035990121479</v>
      </c>
      <c r="CE313" s="1206">
        <f>'2026'!R\Max</f>
        <v>0.51347003696741411</v>
      </c>
      <c r="CF313" s="1207">
        <f>'2027'!R\Max</f>
        <v>0.51343721193976555</v>
      </c>
    </row>
    <row r="314" spans="1:84" s="6" customFormat="1" ht="11.25" x14ac:dyDescent="0.2">
      <c r="A314" s="11">
        <v>43400</v>
      </c>
      <c r="B314" s="379">
        <f>'2022'!Maxi_hp</f>
        <v>36.161643424321802</v>
      </c>
      <c r="C314" s="13">
        <f>'2022'!An_max</f>
        <v>2021</v>
      </c>
      <c r="D314" s="1053">
        <f t="shared" si="116"/>
        <v>0.97398434997825034</v>
      </c>
      <c r="E314" s="13"/>
      <c r="F314" s="13">
        <f t="shared" si="133"/>
        <v>23</v>
      </c>
      <c r="G314" s="13">
        <f t="shared" si="117"/>
        <v>22</v>
      </c>
      <c r="H314" s="172">
        <f t="shared" si="118"/>
        <v>43402</v>
      </c>
      <c r="I314" s="753">
        <f t="shared" si="119"/>
        <v>0.14285714285714285</v>
      </c>
      <c r="J314" s="746">
        <f t="shared" si="120"/>
        <v>37.12754052478288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46">
        <v>43400</v>
      </c>
      <c r="AP314" s="13">
        <f t="shared" si="121"/>
        <v>13</v>
      </c>
      <c r="AQ314" s="13">
        <f t="shared" si="122"/>
        <v>12</v>
      </c>
      <c r="AR314" s="172">
        <f t="shared" si="123"/>
        <v>43416</v>
      </c>
      <c r="AS314" s="753">
        <f t="shared" si="124"/>
        <v>0.5714285714285714</v>
      </c>
      <c r="AT314" s="769">
        <f t="shared" si="125"/>
        <v>37.300026531198192</v>
      </c>
      <c r="AU314" s="13">
        <f t="shared" si="126"/>
        <v>11</v>
      </c>
      <c r="AV314" s="13">
        <f t="shared" si="127"/>
        <v>12</v>
      </c>
      <c r="AW314" s="172">
        <f t="shared" si="128"/>
        <v>43374</v>
      </c>
      <c r="AX314" s="753">
        <f t="shared" si="129"/>
        <v>0.9285714285714286</v>
      </c>
      <c r="AY314" s="769">
        <f t="shared" si="130"/>
        <v>37.083335568423252</v>
      </c>
      <c r="AZ314" s="746">
        <f t="shared" si="134"/>
        <v>37.191681049810725</v>
      </c>
      <c r="BA314" s="641">
        <f t="shared" si="131"/>
        <v>0.97398434997825034</v>
      </c>
      <c r="BC314" s="11">
        <v>43400</v>
      </c>
      <c r="BD314" s="289">
        <f>[2]!FeuilCaduc*(1-Persistant)+Persistant</f>
        <v>0.81347282613424399</v>
      </c>
      <c r="BE314" s="290">
        <f>[2]!CroissVégét</f>
        <v>0.99703144626847073</v>
      </c>
      <c r="BF314" s="819">
        <f>1+[2]!Salcycl*Ksac</f>
        <v>1.0266841032667804</v>
      </c>
      <c r="BH314" s="1044">
        <f t="shared" si="132"/>
        <v>1.6934821540445129E-2</v>
      </c>
      <c r="BI314" s="11">
        <v>44496</v>
      </c>
      <c r="BJ314" s="726">
        <v>7.8400783470184802E-3</v>
      </c>
      <c r="BK314" s="726">
        <v>9.6113373465614767E-3</v>
      </c>
      <c r="BL314" s="726">
        <v>1.1367616837545428E-2</v>
      </c>
      <c r="BM314" s="726">
        <v>1.323210503658955E-2</v>
      </c>
      <c r="BN314" s="726">
        <v>1.5493747985855868E-2</v>
      </c>
      <c r="BO314" s="727">
        <v>1.8188472953959055E-2</v>
      </c>
      <c r="BP314" s="726">
        <v>2.1303480199769357E-2</v>
      </c>
      <c r="BQ314" s="726">
        <v>2.5264814613314236E-2</v>
      </c>
      <c r="BR314" s="726">
        <v>3.0033953013087582E-2</v>
      </c>
      <c r="BS314" s="726">
        <v>3.7244012596008416E-2</v>
      </c>
      <c r="BT314" s="726">
        <v>4.6291201047451318E-2</v>
      </c>
      <c r="BW314" s="1208">
        <f>'2018'!R\Max</f>
        <v>0.21088604573953892</v>
      </c>
      <c r="BX314" s="1206">
        <f>'2019'!R\Max</f>
        <v>0.70427155900695115</v>
      </c>
      <c r="BY314" s="1206">
        <f>'2020'!R\Max</f>
        <v>0.76612873270964732</v>
      </c>
      <c r="BZ314" s="1206">
        <f>'2021'!R\Max</f>
        <v>0.97398434997825034</v>
      </c>
      <c r="CA314" s="1206">
        <f>'2022'!R\Max</f>
        <v>0.40582632052028289</v>
      </c>
      <c r="CB314" s="1206">
        <f>'2023'!R\Max</f>
        <v>0.40578594709548582</v>
      </c>
      <c r="CC314" s="1206">
        <f>'2024'!R\Max</f>
        <v>0.4057455722381208</v>
      </c>
      <c r="CD314" s="1206">
        <f>'2025'!R\Max</f>
        <v>0.40595327724837921</v>
      </c>
      <c r="CE314" s="1206">
        <f>'2026'!R\Max</f>
        <v>0.40592411877637752</v>
      </c>
      <c r="CF314" s="1207">
        <f>'2027'!R\Max</f>
        <v>0.40589237386121674</v>
      </c>
    </row>
    <row r="315" spans="1:84" s="6" customFormat="1" ht="11.25" x14ac:dyDescent="0.2">
      <c r="A315" s="11">
        <v>43401</v>
      </c>
      <c r="B315" s="379">
        <f>'2022'!Maxi_hp</f>
        <v>36.883267903412836</v>
      </c>
      <c r="C315" s="13">
        <f>'2022'!An_max</f>
        <v>2021</v>
      </c>
      <c r="D315" s="1053">
        <f t="shared" si="116"/>
        <v>1.002406503862997</v>
      </c>
      <c r="E315" s="13"/>
      <c r="F315" s="13">
        <f t="shared" si="133"/>
        <v>23</v>
      </c>
      <c r="G315" s="13">
        <f t="shared" si="117"/>
        <v>22</v>
      </c>
      <c r="H315" s="172">
        <f t="shared" si="118"/>
        <v>43402</v>
      </c>
      <c r="I315" s="753">
        <f t="shared" si="119"/>
        <v>7.1428571428571425E-2</v>
      </c>
      <c r="J315" s="746">
        <f t="shared" si="120"/>
        <v>36.794721264551796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46">
        <v>43401</v>
      </c>
      <c r="AP315" s="13">
        <f t="shared" si="121"/>
        <v>13</v>
      </c>
      <c r="AQ315" s="13">
        <f t="shared" si="122"/>
        <v>12</v>
      </c>
      <c r="AR315" s="172">
        <f t="shared" si="123"/>
        <v>43416</v>
      </c>
      <c r="AS315" s="753">
        <f t="shared" si="124"/>
        <v>0.5357142857142857</v>
      </c>
      <c r="AT315" s="769">
        <f t="shared" si="125"/>
        <v>36.961598134945547</v>
      </c>
      <c r="AU315" s="13">
        <f t="shared" si="126"/>
        <v>11</v>
      </c>
      <c r="AV315" s="13">
        <f t="shared" si="127"/>
        <v>12</v>
      </c>
      <c r="AW315" s="172">
        <f t="shared" si="128"/>
        <v>43374</v>
      </c>
      <c r="AX315" s="753">
        <f t="shared" si="129"/>
        <v>0.9642857142857143</v>
      </c>
      <c r="AY315" s="769">
        <f t="shared" si="130"/>
        <v>36.773806072372409</v>
      </c>
      <c r="AZ315" s="746">
        <f t="shared" si="134"/>
        <v>36.867702103658978</v>
      </c>
      <c r="BA315" s="641">
        <f t="shared" si="131"/>
        <v>1.002406503862997</v>
      </c>
      <c r="BC315" s="11">
        <v>43401</v>
      </c>
      <c r="BD315" s="289">
        <f>[2]!FeuilCaduc*(1-Persistant)+Persistant</f>
        <v>0.80778332106293327</v>
      </c>
      <c r="BE315" s="290">
        <f>[2]!CroissVégét</f>
        <v>0.99716388402603495</v>
      </c>
      <c r="BF315" s="819">
        <f>1+[2]!Salcycl*Ksac</f>
        <v>1.0259729151328667</v>
      </c>
      <c r="BH315" s="1044">
        <f t="shared" si="132"/>
        <v>1.7079828856384177E-2</v>
      </c>
      <c r="BI315" s="11">
        <v>44497</v>
      </c>
      <c r="BJ315" s="726">
        <v>8.1726009622516173E-3</v>
      </c>
      <c r="BK315" s="726">
        <v>9.917029648894753E-3</v>
      </c>
      <c r="BL315" s="726">
        <v>1.1632572117827237E-2</v>
      </c>
      <c r="BM315" s="726">
        <v>1.3442727221807706E-2</v>
      </c>
      <c r="BN315" s="726">
        <v>1.5653296667415197E-2</v>
      </c>
      <c r="BO315" s="727">
        <v>1.8320830115083842E-2</v>
      </c>
      <c r="BP315" s="726">
        <v>2.1441645658883939E-2</v>
      </c>
      <c r="BQ315" s="726">
        <v>2.5531897760365827E-2</v>
      </c>
      <c r="BR315" s="726">
        <v>3.0514746154635661E-2</v>
      </c>
      <c r="BS315" s="726">
        <v>3.7997299747600341E-2</v>
      </c>
      <c r="BT315" s="726">
        <v>4.7279987208081443E-2</v>
      </c>
      <c r="BW315" s="1208">
        <f>'2018'!R\Max</f>
        <v>8.4220288039570865E-2</v>
      </c>
      <c r="BX315" s="1206">
        <f>'2019'!R\Max</f>
        <v>0.29094238176766563</v>
      </c>
      <c r="BY315" s="1206">
        <f>'2020'!R\Max</f>
        <v>0.70376187522111733</v>
      </c>
      <c r="BZ315" s="1206">
        <f>'2021'!R\Max</f>
        <v>1.002406503862997</v>
      </c>
      <c r="CA315" s="1206">
        <f>'2022'!R\Max</f>
        <v>0.53961035106534583</v>
      </c>
      <c r="CB315" s="1206">
        <f>'2023'!R\Max</f>
        <v>0.53956731531766888</v>
      </c>
      <c r="CC315" s="1206">
        <f>'2024'!R\Max</f>
        <v>0.53952427599522135</v>
      </c>
      <c r="CD315" s="1206">
        <f>'2025'!R\Max</f>
        <v>0.53974158805514783</v>
      </c>
      <c r="CE315" s="1206">
        <f>'2026'!R\Max</f>
        <v>0.53971163875120953</v>
      </c>
      <c r="CF315" s="1207">
        <f>'2027'!R\Max</f>
        <v>0.53967880971029447</v>
      </c>
    </row>
    <row r="316" spans="1:84" s="6" customFormat="1" ht="11.25" x14ac:dyDescent="0.2">
      <c r="A316" s="11">
        <v>43402</v>
      </c>
      <c r="B316" s="379">
        <f>'2022'!Maxi_hp</f>
        <v>30.389582180422003</v>
      </c>
      <c r="C316" s="13">
        <f>'2022'!An_max</f>
        <v>2019</v>
      </c>
      <c r="D316" s="1053" t="str">
        <f t="shared" si="116"/>
        <v/>
      </c>
      <c r="E316" s="1048">
        <f>AI$13/10</f>
        <v>36.468800000000002</v>
      </c>
      <c r="F316" s="13">
        <f t="shared" si="133"/>
        <v>23</v>
      </c>
      <c r="G316" s="13">
        <f t="shared" si="117"/>
        <v>24</v>
      </c>
      <c r="H316" s="172">
        <f t="shared" si="118"/>
        <v>43402</v>
      </c>
      <c r="I316" s="753">
        <f t="shared" si="119"/>
        <v>0</v>
      </c>
      <c r="J316" s="746">
        <f t="shared" si="120"/>
        <v>36.468800000101325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46">
        <v>43402</v>
      </c>
      <c r="AP316" s="13">
        <f t="shared" si="121"/>
        <v>13</v>
      </c>
      <c r="AQ316" s="13">
        <f t="shared" si="122"/>
        <v>12</v>
      </c>
      <c r="AR316" s="172">
        <f t="shared" si="123"/>
        <v>43416</v>
      </c>
      <c r="AS316" s="753">
        <f t="shared" si="124"/>
        <v>0.5</v>
      </c>
      <c r="AT316" s="769">
        <f t="shared" si="125"/>
        <v>36.623643750231714</v>
      </c>
      <c r="AU316" s="13">
        <f t="shared" si="126"/>
        <v>13</v>
      </c>
      <c r="AV316" s="13">
        <f t="shared" si="127"/>
        <v>12</v>
      </c>
      <c r="AW316" s="172">
        <f t="shared" si="128"/>
        <v>43430</v>
      </c>
      <c r="AX316" s="753">
        <f t="shared" si="129"/>
        <v>1</v>
      </c>
      <c r="AY316" s="769">
        <f t="shared" si="130"/>
        <v>36.468799999728802</v>
      </c>
      <c r="AZ316" s="746">
        <f t="shared" si="134"/>
        <v>36.546221874980262</v>
      </c>
      <c r="BA316" s="641">
        <f t="shared" si="131"/>
        <v>0.83330359595976755</v>
      </c>
      <c r="BC316" s="11">
        <v>43402</v>
      </c>
      <c r="BD316" s="289">
        <f>[2]!FeuilCaduc*(1-Persistant)+Persistant</f>
        <v>0.80205804176065143</v>
      </c>
      <c r="BE316" s="290">
        <f>[2]!CroissVégét</f>
        <v>0.99729102250050727</v>
      </c>
      <c r="BF316" s="819">
        <f>1+[2]!Salcycl*Ksac</f>
        <v>1.0252572552200814</v>
      </c>
      <c r="BH316" s="1044">
        <f t="shared" si="132"/>
        <v>1.7223321280211062E-2</v>
      </c>
      <c r="BI316" s="11">
        <v>44498</v>
      </c>
      <c r="BJ316" s="726">
        <v>8.5274758400029974E-3</v>
      </c>
      <c r="BK316" s="726">
        <v>1.0236739043835395E-2</v>
      </c>
      <c r="BL316" s="726">
        <v>1.1904573602898368E-2</v>
      </c>
      <c r="BM316" s="726">
        <v>1.3655404830330795E-2</v>
      </c>
      <c r="BN316" s="726">
        <v>1.5810848462505824E-2</v>
      </c>
      <c r="BO316" s="727">
        <v>1.8452091691566558E-2</v>
      </c>
      <c r="BP316" s="726">
        <v>2.1585424391266206E-2</v>
      </c>
      <c r="BQ316" s="726">
        <v>2.5828391442686949E-2</v>
      </c>
      <c r="BR316" s="726">
        <v>3.1055950838674393E-2</v>
      </c>
      <c r="BS316" s="726">
        <v>3.8816737032341925E-2</v>
      </c>
      <c r="BT316" s="726">
        <v>4.8303475101441902E-2</v>
      </c>
      <c r="BW316" s="1208">
        <f>'2018'!R\Max</f>
        <v>0.13022253613932008</v>
      </c>
      <c r="BX316" s="1206">
        <f>'2019'!R\Max</f>
        <v>0.83330359595976755</v>
      </c>
      <c r="BY316" s="1206">
        <f>'2020'!R\Max</f>
        <v>0.33100549632324255</v>
      </c>
      <c r="BZ316" s="1206">
        <f>'2021'!R\Max</f>
        <v>0.51415437977963552</v>
      </c>
      <c r="CA316" s="1206">
        <f>'2022'!R\Max</f>
        <v>0.80402977070081905</v>
      </c>
      <c r="CB316" s="1206">
        <f>'2023'!R\Max</f>
        <v>0.8040014044447632</v>
      </c>
      <c r="CC316" s="1206">
        <f>'2024'!R\Max</f>
        <v>0.80397303303899859</v>
      </c>
      <c r="CD316" s="1206">
        <f>'2025'!R\Max</f>
        <v>0.80411343351614784</v>
      </c>
      <c r="CE316" s="1206">
        <f>'2026'!R\Max</f>
        <v>0.80409448162091279</v>
      </c>
      <c r="CF316" s="1207">
        <f>'2027'!R\Max</f>
        <v>0.80407354297025202</v>
      </c>
    </row>
    <row r="317" spans="1:84" s="6" customFormat="1" ht="11.25" x14ac:dyDescent="0.2">
      <c r="A317" s="11">
        <v>43403</v>
      </c>
      <c r="B317" s="379">
        <f>'2022'!Maxi_hp</f>
        <v>32.225870251285528</v>
      </c>
      <c r="C317" s="13">
        <f>'2022'!An_max</f>
        <v>2018</v>
      </c>
      <c r="D317" s="1053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2">
        <f t="shared" si="118"/>
        <v>43402</v>
      </c>
      <c r="I317" s="753">
        <f t="shared" si="119"/>
        <v>7.1428571428571425E-2</v>
      </c>
      <c r="J317" s="746">
        <f t="shared" si="120"/>
        <v>36.147989030581499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46">
        <v>43403</v>
      </c>
      <c r="AP317" s="13">
        <f t="shared" si="121"/>
        <v>13</v>
      </c>
      <c r="AQ317" s="13">
        <f t="shared" si="122"/>
        <v>12</v>
      </c>
      <c r="AR317" s="172">
        <f t="shared" si="123"/>
        <v>43416</v>
      </c>
      <c r="AS317" s="753">
        <f t="shared" si="124"/>
        <v>0.4642857142857143</v>
      </c>
      <c r="AT317" s="769">
        <f t="shared" si="125"/>
        <v>36.286637388755167</v>
      </c>
      <c r="AU317" s="13">
        <f t="shared" si="126"/>
        <v>13</v>
      </c>
      <c r="AV317" s="13">
        <f t="shared" si="127"/>
        <v>12</v>
      </c>
      <c r="AW317" s="172">
        <f t="shared" si="128"/>
        <v>43430</v>
      </c>
      <c r="AX317" s="753">
        <f t="shared" si="129"/>
        <v>0.9642857142857143</v>
      </c>
      <c r="AY317" s="769">
        <f t="shared" si="130"/>
        <v>36.164383056147827</v>
      </c>
      <c r="AZ317" s="746">
        <f t="shared" si="134"/>
        <v>36.225510222451497</v>
      </c>
      <c r="BA317" s="641">
        <f t="shared" si="131"/>
        <v>0.89149828567288136</v>
      </c>
      <c r="BC317" s="11">
        <v>43403</v>
      </c>
      <c r="BD317" s="289">
        <f>[2]!FeuilCaduc*(1-Persistant)+Persistant</f>
        <v>0.7963047856257206</v>
      </c>
      <c r="BE317" s="290">
        <f>[2]!CroissVégét</f>
        <v>0.99741307246059263</v>
      </c>
      <c r="BF317" s="819">
        <f>1+[2]!Salcycl*Ksac</f>
        <v>1.0245380982032151</v>
      </c>
      <c r="BH317" s="1044">
        <f t="shared" si="132"/>
        <v>1.7365281651298154E-2</v>
      </c>
      <c r="BI317" s="11">
        <v>44499</v>
      </c>
      <c r="BJ317" s="726">
        <v>8.9047292756828187E-3</v>
      </c>
      <c r="BK317" s="726">
        <v>1.057047815241843E-2</v>
      </c>
      <c r="BL317" s="726">
        <v>1.2183622129170237E-2</v>
      </c>
      <c r="BM317" s="726">
        <v>1.3870129569435128E-2</v>
      </c>
      <c r="BN317" s="726">
        <v>1.5966386935753068E-2</v>
      </c>
      <c r="BO317" s="727">
        <v>1.8582239891851052E-2</v>
      </c>
      <c r="BP317" s="726">
        <v>2.1734805312230005E-2</v>
      </c>
      <c r="BQ317" s="726">
        <v>2.6154315502374091E-2</v>
      </c>
      <c r="BR317" s="726">
        <v>3.1657627792195005E-2</v>
      </c>
      <c r="BS317" s="726">
        <v>3.9702388049539981E-2</v>
      </c>
      <c r="BT317" s="726">
        <v>4.9361676247639118E-2</v>
      </c>
      <c r="BW317" s="1208">
        <f>'2018'!R\Max</f>
        <v>0.89149828567288136</v>
      </c>
      <c r="BX317" s="1206">
        <f>'2019'!R\Max</f>
        <v>0.64998667232840968</v>
      </c>
      <c r="BY317" s="1206">
        <f>'2020'!R\Max</f>
        <v>0.83331868449665314</v>
      </c>
      <c r="BZ317" s="1206">
        <f>'2021'!R\Max</f>
        <v>0.33561037740003213</v>
      </c>
      <c r="CA317" s="1206">
        <f>'2022'!R\Max</f>
        <v>0.68113036577109154</v>
      </c>
      <c r="CB317" s="1206">
        <f>'2023'!R\Max</f>
        <v>0.68108957229327571</v>
      </c>
      <c r="CC317" s="1206">
        <f>'2024'!R\Max</f>
        <v>0.68104877297259458</v>
      </c>
      <c r="CD317" s="1206">
        <f>'2025'!R\Max</f>
        <v>0.68124652125272633</v>
      </c>
      <c r="CE317" s="1206">
        <f>'2026'!R\Max</f>
        <v>0.6812204222130368</v>
      </c>
      <c r="CF317" s="1207">
        <f>'2027'!R\Max</f>
        <v>0.68119133283354238</v>
      </c>
    </row>
    <row r="318" spans="1:84" s="6" customFormat="1" ht="11.25" x14ac:dyDescent="0.2">
      <c r="A318" s="11">
        <v>43404</v>
      </c>
      <c r="B318" s="379">
        <f>'2022'!Maxi_hp</f>
        <v>35.005693815920047</v>
      </c>
      <c r="C318" s="13">
        <f>'2022'!An_max</f>
        <v>2020</v>
      </c>
      <c r="D318" s="1053">
        <f t="shared" si="116"/>
        <v>0.9770019797630568</v>
      </c>
      <c r="E318" s="13"/>
      <c r="F318" s="13">
        <f t="shared" si="133"/>
        <v>23</v>
      </c>
      <c r="G318" s="13">
        <f t="shared" si="117"/>
        <v>24</v>
      </c>
      <c r="H318" s="172">
        <f t="shared" si="118"/>
        <v>43402</v>
      </c>
      <c r="I318" s="753">
        <f t="shared" si="119"/>
        <v>0.14285714285714285</v>
      </c>
      <c r="J318" s="746">
        <f t="shared" si="120"/>
        <v>35.82970612240689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46">
        <v>43404</v>
      </c>
      <c r="AP318" s="13">
        <f t="shared" si="121"/>
        <v>13</v>
      </c>
      <c r="AQ318" s="13">
        <f t="shared" si="122"/>
        <v>12</v>
      </c>
      <c r="AR318" s="172">
        <f t="shared" si="123"/>
        <v>43416</v>
      </c>
      <c r="AS318" s="753">
        <f t="shared" si="124"/>
        <v>0.42857142857142855</v>
      </c>
      <c r="AT318" s="769">
        <f t="shared" si="125"/>
        <v>35.951053061336282</v>
      </c>
      <c r="AU318" s="13">
        <f t="shared" si="126"/>
        <v>13</v>
      </c>
      <c r="AV318" s="13">
        <f t="shared" si="127"/>
        <v>12</v>
      </c>
      <c r="AW318" s="172">
        <f t="shared" si="128"/>
        <v>43430</v>
      </c>
      <c r="AX318" s="753">
        <f t="shared" si="129"/>
        <v>0.9285714285714286</v>
      </c>
      <c r="AY318" s="769">
        <f t="shared" si="130"/>
        <v>35.856702204860213</v>
      </c>
      <c r="AZ318" s="746">
        <f t="shared" si="134"/>
        <v>35.903877633098247</v>
      </c>
      <c r="BA318" s="641">
        <f t="shared" si="131"/>
        <v>0.9770019797630568</v>
      </c>
      <c r="BC318" s="11">
        <v>43404</v>
      </c>
      <c r="BD318" s="289">
        <f>[2]!FeuilCaduc*(1-Persistant)+Persistant</f>
        <v>0.79053155513041851</v>
      </c>
      <c r="BE318" s="290">
        <f>[2]!CroissVégét</f>
        <v>0.99753023639231442</v>
      </c>
      <c r="BF318" s="819">
        <f>1+[2]!Salcycl*Ksac</f>
        <v>1.0238164443913023</v>
      </c>
      <c r="BH318" s="1044">
        <f t="shared" si="132"/>
        <v>1.7508832021672811E-2</v>
      </c>
      <c r="BI318" s="11">
        <v>44500</v>
      </c>
      <c r="BJ318" s="726">
        <v>9.2910405104438595E-3</v>
      </c>
      <c r="BK318" s="726">
        <v>1.0905087394587393E-2</v>
      </c>
      <c r="BL318" s="726">
        <v>1.245830336244539E-2</v>
      </c>
      <c r="BM318" s="726">
        <v>1.4079845166006764E-2</v>
      </c>
      <c r="BN318" s="726">
        <v>1.6119523394878276E-2</v>
      </c>
      <c r="BO318" s="727">
        <v>1.8717450914331957E-2</v>
      </c>
      <c r="BP318" s="726">
        <v>2.1906115956773324E-2</v>
      </c>
      <c r="BQ318" s="726">
        <v>2.6523168914388426E-2</v>
      </c>
      <c r="BR318" s="726">
        <v>3.2319442403043658E-2</v>
      </c>
      <c r="BS318" s="726">
        <v>4.0634265452514966E-2</v>
      </c>
      <c r="BT318" s="726">
        <v>5.042513008803292E-2</v>
      </c>
      <c r="BW318" s="1208">
        <f>'2018'!R\Max</f>
        <v>0.34065994844219466</v>
      </c>
      <c r="BX318" s="1206">
        <f>'2019'!R\Max</f>
        <v>0.56626591457295283</v>
      </c>
      <c r="BY318" s="1206">
        <f>'2020'!R\Max</f>
        <v>0.9770019797630568</v>
      </c>
      <c r="BZ318" s="1206">
        <f>'2021'!R\Max</f>
        <v>0.55062637583956231</v>
      </c>
      <c r="CA318" s="1206">
        <f>'2022'!R\Max</f>
        <v>0.6604993648980223</v>
      </c>
      <c r="CB318" s="1206">
        <f>'2023'!R\Max</f>
        <v>0.66045529596581798</v>
      </c>
      <c r="CC318" s="1206">
        <f>'2024'!R\Max</f>
        <v>0.66041122078648107</v>
      </c>
      <c r="CD318" s="1206">
        <f>'2025'!R\Max</f>
        <v>0.66062074018071626</v>
      </c>
      <c r="CE318" s="1206">
        <f>'2026'!R\Max</f>
        <v>0.66059371734204198</v>
      </c>
      <c r="CF318" s="1207">
        <f>'2027'!R\Max</f>
        <v>0.66056329201644692</v>
      </c>
    </row>
    <row r="319" spans="1:84" s="6" customFormat="1" ht="11.25" x14ac:dyDescent="0.2">
      <c r="A319" s="11">
        <v>43405</v>
      </c>
      <c r="B319" s="379">
        <f>'2022'!Maxi_hp</f>
        <v>32.902406059457448</v>
      </c>
      <c r="C319" s="13">
        <f>'2022'!An_max</f>
        <v>2020</v>
      </c>
      <c r="D319" s="1053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2">
        <f t="shared" si="118"/>
        <v>43402</v>
      </c>
      <c r="I319" s="753">
        <f t="shared" si="119"/>
        <v>0.21428571428571427</v>
      </c>
      <c r="J319" s="746">
        <f t="shared" si="120"/>
        <v>35.513951275364626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46">
        <v>43405</v>
      </c>
      <c r="AP319" s="13">
        <f t="shared" si="121"/>
        <v>13</v>
      </c>
      <c r="AQ319" s="13">
        <f t="shared" si="122"/>
        <v>12</v>
      </c>
      <c r="AR319" s="172">
        <f t="shared" si="123"/>
        <v>43416</v>
      </c>
      <c r="AS319" s="753">
        <f t="shared" si="124"/>
        <v>0.39285714285714285</v>
      </c>
      <c r="AT319" s="769">
        <f t="shared" si="125"/>
        <v>35.617364780511707</v>
      </c>
      <c r="AU319" s="13">
        <f t="shared" si="126"/>
        <v>13</v>
      </c>
      <c r="AV319" s="13">
        <f t="shared" si="127"/>
        <v>12</v>
      </c>
      <c r="AW319" s="172">
        <f t="shared" si="128"/>
        <v>43430</v>
      </c>
      <c r="AX319" s="753">
        <f t="shared" si="129"/>
        <v>0.8928571428571429</v>
      </c>
      <c r="AY319" s="769">
        <f t="shared" si="130"/>
        <v>35.546285629990905</v>
      </c>
      <c r="AZ319" s="746">
        <f t="shared" si="134"/>
        <v>35.581825205251306</v>
      </c>
      <c r="BA319" s="641">
        <f t="shared" si="131"/>
        <v>0.92646424511713632</v>
      </c>
      <c r="BC319" s="11">
        <v>43405</v>
      </c>
      <c r="BD319" s="289">
        <f>[2]!FeuilCaduc*(1-Persistant)+Persistant</f>
        <v>0.78474652459248617</v>
      </c>
      <c r="BE319" s="290">
        <f>[2]!CroissVégét</f>
        <v>0.99764270881659778</v>
      </c>
      <c r="BF319" s="819">
        <f>1+[2]!Salcycl*Ksac</f>
        <v>1.0230933155740607</v>
      </c>
      <c r="BH319" s="1044">
        <f t="shared" si="132"/>
        <v>1.7653501824268721E-2</v>
      </c>
      <c r="BI319" s="11">
        <v>44501</v>
      </c>
      <c r="BJ319" s="726">
        <v>9.6690539457134524E-3</v>
      </c>
      <c r="BK319" s="726">
        <v>1.1225669194281659E-2</v>
      </c>
      <c r="BL319" s="726">
        <v>1.271731890477493E-2</v>
      </c>
      <c r="BM319" s="726">
        <v>1.4277910041743962E-2</v>
      </c>
      <c r="BN319" s="726">
        <v>1.6268170711469271E-2</v>
      </c>
      <c r="BO319" s="727">
        <v>1.885866050767878E-2</v>
      </c>
      <c r="BP319" s="726">
        <v>2.2100683300088065E-2</v>
      </c>
      <c r="BQ319" s="726">
        <v>2.6928285269223237E-2</v>
      </c>
      <c r="BR319" s="726">
        <v>3.3019331526079762E-2</v>
      </c>
      <c r="BS319" s="726">
        <v>4.1573428562959404E-2</v>
      </c>
      <c r="BT319" s="726">
        <v>5.1442704744853539E-2</v>
      </c>
      <c r="BW319" s="1208">
        <f>'2018'!R\Max</f>
        <v>0.69562780890342213</v>
      </c>
      <c r="BX319" s="1206">
        <f>'2019'!R\Max</f>
        <v>0.21758570111752887</v>
      </c>
      <c r="BY319" s="1206">
        <f>'2020'!R\Max</f>
        <v>0.92646424511713632</v>
      </c>
      <c r="BZ319" s="1206">
        <f>'2021'!R\Max</f>
        <v>0.53264424343988281</v>
      </c>
      <c r="CA319" s="1206">
        <f>'2022'!R\Max</f>
        <v>0.63318433653525308</v>
      </c>
      <c r="CB319" s="1206">
        <f>'2023'!R\Max</f>
        <v>0.63313653749200627</v>
      </c>
      <c r="CC319" s="1206">
        <f>'2024'!R\Max</f>
        <v>0.63308873189056947</v>
      </c>
      <c r="CD319" s="1206">
        <f>'2025'!R\Max</f>
        <v>0.63331220052964443</v>
      </c>
      <c r="CE319" s="1206">
        <f>'2026'!R\Max</f>
        <v>0.6332840022151911</v>
      </c>
      <c r="CF319" s="1207">
        <f>'2027'!R\Max</f>
        <v>0.633251912210546</v>
      </c>
    </row>
    <row r="320" spans="1:84" s="6" customFormat="1" ht="11.25" x14ac:dyDescent="0.2">
      <c r="A320" s="11">
        <v>43406</v>
      </c>
      <c r="B320" s="379">
        <f>'2022'!Maxi_hp</f>
        <v>32.454853760099304</v>
      </c>
      <c r="C320" s="13">
        <f>'2022'!An_max</f>
        <v>2022</v>
      </c>
      <c r="D320" s="1053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2">
        <f t="shared" si="118"/>
        <v>43402</v>
      </c>
      <c r="I320" s="753">
        <f t="shared" si="119"/>
        <v>0.2857142857142857</v>
      </c>
      <c r="J320" s="746">
        <f t="shared" si="120"/>
        <v>35.200724489720798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46">
        <v>43406</v>
      </c>
      <c r="AP320" s="13">
        <f t="shared" si="121"/>
        <v>13</v>
      </c>
      <c r="AQ320" s="13">
        <f t="shared" si="122"/>
        <v>12</v>
      </c>
      <c r="AR320" s="172">
        <f t="shared" si="123"/>
        <v>43416</v>
      </c>
      <c r="AS320" s="753">
        <f t="shared" si="124"/>
        <v>0.35714285714285715</v>
      </c>
      <c r="AT320" s="769">
        <f t="shared" si="125"/>
        <v>35.286046556569637</v>
      </c>
      <c r="AU320" s="13">
        <f t="shared" si="126"/>
        <v>13</v>
      </c>
      <c r="AV320" s="13">
        <f t="shared" si="127"/>
        <v>12</v>
      </c>
      <c r="AW320" s="172">
        <f t="shared" si="128"/>
        <v>43430</v>
      </c>
      <c r="AX320" s="753">
        <f t="shared" si="129"/>
        <v>0.8571428571428571</v>
      </c>
      <c r="AY320" s="769">
        <f t="shared" si="130"/>
        <v>35.233661516117195</v>
      </c>
      <c r="AZ320" s="746">
        <f t="shared" si="134"/>
        <v>35.259854036343413</v>
      </c>
      <c r="BA320" s="641">
        <f t="shared" si="131"/>
        <v>0.92199391434618527</v>
      </c>
      <c r="BC320" s="11">
        <v>43406</v>
      </c>
      <c r="BD320" s="289">
        <f>[2]!FeuilCaduc*(1-Persistant)+Persistant</f>
        <v>0.77895800540929394</v>
      </c>
      <c r="BE320" s="290">
        <f>[2]!CroissVégét</f>
        <v>0.99775067659530603</v>
      </c>
      <c r="BF320" s="819">
        <f>1+[2]!Salcycl*Ksac</f>
        <v>1.0223697506761618</v>
      </c>
      <c r="BH320" s="1044">
        <f t="shared" si="132"/>
        <v>1.7799276217697939E-2</v>
      </c>
      <c r="BI320" s="11">
        <v>44502</v>
      </c>
      <c r="BJ320" s="726">
        <v>1.0038748299149868E-2</v>
      </c>
      <c r="BK320" s="726">
        <v>1.1532192724779284E-2</v>
      </c>
      <c r="BL320" s="726">
        <v>1.2960634300060772E-2</v>
      </c>
      <c r="BM320" s="726">
        <v>1.4464294129362516E-2</v>
      </c>
      <c r="BN320" s="726">
        <v>1.6412307294529898E-2</v>
      </c>
      <c r="BO320" s="727">
        <v>1.9005859702275928E-2</v>
      </c>
      <c r="BP320" s="726">
        <v>2.2318519990117212E-2</v>
      </c>
      <c r="BQ320" s="726">
        <v>2.7369691077110656E-2</v>
      </c>
      <c r="BR320" s="726">
        <v>3.3757318249719136E-2</v>
      </c>
      <c r="BS320" s="726">
        <v>4.2519848249090941E-2</v>
      </c>
      <c r="BT320" s="726">
        <v>5.2414285887396266E-2</v>
      </c>
      <c r="BW320" s="1208">
        <f>'2018'!R\Max</f>
        <v>0.23417805031199748</v>
      </c>
      <c r="BX320" s="1206">
        <f>'2019'!R\Max</f>
        <v>0.15523369880470375</v>
      </c>
      <c r="BY320" s="1206">
        <f>'2020'!R\Max</f>
        <v>0.85674833528664862</v>
      </c>
      <c r="BZ320" s="1206">
        <f>'2021'!R\Max</f>
        <v>0.87057752318277914</v>
      </c>
      <c r="CA320" s="1206">
        <f>'2022'!R\Max</f>
        <v>0.92199391434618527</v>
      </c>
      <c r="CB320" s="1206">
        <f>'2023'!R\Max</f>
        <v>0.92197840401815156</v>
      </c>
      <c r="CC320" s="1206">
        <f>'2024'!R\Max</f>
        <v>0.92196288952758532</v>
      </c>
      <c r="CD320" s="1206">
        <f>'2025'!R\Max</f>
        <v>0.92203436643052405</v>
      </c>
      <c r="CE320" s="1206">
        <f>'2026'!R\Max</f>
        <v>0.92202553257702557</v>
      </c>
      <c r="CF320" s="1207">
        <f>'2027'!R\Max</f>
        <v>0.92201536662290973</v>
      </c>
    </row>
    <row r="321" spans="1:84" s="6" customFormat="1" ht="11.25" x14ac:dyDescent="0.2">
      <c r="A321" s="11">
        <v>43407</v>
      </c>
      <c r="B321" s="379">
        <f>'2022'!Maxi_hp</f>
        <v>31.704368019491852</v>
      </c>
      <c r="C321" s="13">
        <f>'2022'!An_max</f>
        <v>2020</v>
      </c>
      <c r="D321" s="1053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2">
        <f t="shared" si="118"/>
        <v>43402</v>
      </c>
      <c r="I321" s="753">
        <f t="shared" si="119"/>
        <v>0.35714285714285715</v>
      </c>
      <c r="J321" s="746">
        <f t="shared" si="120"/>
        <v>34.890025765342372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46">
        <v>43407</v>
      </c>
      <c r="AP321" s="13">
        <f t="shared" si="121"/>
        <v>13</v>
      </c>
      <c r="AQ321" s="13">
        <f t="shared" si="122"/>
        <v>12</v>
      </c>
      <c r="AR321" s="172">
        <f t="shared" si="123"/>
        <v>43416</v>
      </c>
      <c r="AS321" s="753">
        <f t="shared" si="124"/>
        <v>0.32142857142857145</v>
      </c>
      <c r="AT321" s="769">
        <f t="shared" si="125"/>
        <v>34.957572401760686</v>
      </c>
      <c r="AU321" s="13">
        <f t="shared" si="126"/>
        <v>13</v>
      </c>
      <c r="AV321" s="13">
        <f t="shared" si="127"/>
        <v>12</v>
      </c>
      <c r="AW321" s="172">
        <f t="shared" si="128"/>
        <v>43430</v>
      </c>
      <c r="AX321" s="753">
        <f t="shared" si="129"/>
        <v>0.8214285714285714</v>
      </c>
      <c r="AY321" s="769">
        <f t="shared" si="130"/>
        <v>34.919358047137834</v>
      </c>
      <c r="AZ321" s="746">
        <f t="shared" si="134"/>
        <v>34.93846522444926</v>
      </c>
      <c r="BA321" s="641">
        <f t="shared" si="131"/>
        <v>0.90869431374811538</v>
      </c>
      <c r="BC321" s="11">
        <v>43407</v>
      </c>
      <c r="BD321" s="289">
        <f>[2]!FeuilCaduc*(1-Persistant)+Persistant</f>
        <v>0.77317440998061149</v>
      </c>
      <c r="BE321" s="290">
        <f>[2]!CroissVégét</f>
        <v>0.99785431922609247</v>
      </c>
      <c r="BF321" s="819">
        <f>1+[2]!Salcycl*Ksac</f>
        <v>1.0216468012475763</v>
      </c>
      <c r="BH321" s="1044">
        <f t="shared" si="132"/>
        <v>1.7946139853284408E-2</v>
      </c>
      <c r="BI321" s="11">
        <v>44503</v>
      </c>
      <c r="BJ321" s="726">
        <v>1.0400100961461543E-2</v>
      </c>
      <c r="BK321" s="726">
        <v>1.1824626078258266E-2</v>
      </c>
      <c r="BL321" s="726">
        <v>1.318821424925487E-2</v>
      </c>
      <c r="BM321" s="726">
        <v>1.4638966723144924E-2</v>
      </c>
      <c r="BN321" s="726">
        <v>1.6551911059960605E-2</v>
      </c>
      <c r="BO321" s="727">
        <v>1.915903900887982E-2</v>
      </c>
      <c r="BP321" s="726">
        <v>2.2559637868506816E-2</v>
      </c>
      <c r="BQ321" s="726">
        <v>2.7847411203717018E-2</v>
      </c>
      <c r="BR321" s="726">
        <v>3.4533422934387589E-2</v>
      </c>
      <c r="BS321" s="726">
        <v>4.3473491957724986E-2</v>
      </c>
      <c r="BT321" s="726">
        <v>5.3339755788658745E-2</v>
      </c>
      <c r="BW321" s="1208">
        <f>'2018'!R\Max</f>
        <v>0.82398200629770757</v>
      </c>
      <c r="BX321" s="1206">
        <f>'2019'!R\Max</f>
        <v>0.42542714302070261</v>
      </c>
      <c r="BY321" s="1206">
        <f>'2020'!R\Max</f>
        <v>0.90869431374811538</v>
      </c>
      <c r="BZ321" s="1206">
        <f>'2021'!R\Max</f>
        <v>0.51231336262631177</v>
      </c>
      <c r="CA321" s="1206">
        <f>'2022'!R\Max</f>
        <v>0.30005321203381857</v>
      </c>
      <c r="CB321" s="1206">
        <f>'2023'!R\Max</f>
        <v>0.30000573684548842</v>
      </c>
      <c r="CC321" s="1206">
        <f>'2024'!R\Max</f>
        <v>0.29995826165293776</v>
      </c>
      <c r="CD321" s="1206">
        <f>'2025'!R\Max</f>
        <v>0.30017449705636606</v>
      </c>
      <c r="CE321" s="1206">
        <f>'2026'!R\Max</f>
        <v>0.30014826033537689</v>
      </c>
      <c r="CF321" s="1207">
        <f>'2027'!R\Max</f>
        <v>0.30011772876192111</v>
      </c>
    </row>
    <row r="322" spans="1:84" s="6" customFormat="1" ht="11.25" x14ac:dyDescent="0.2">
      <c r="A322" s="11">
        <v>43408</v>
      </c>
      <c r="B322" s="379">
        <f>'2022'!Maxi_hp</f>
        <v>22.319752291324583</v>
      </c>
      <c r="C322" s="13">
        <f>'2022'!An_max</f>
        <v>2018</v>
      </c>
      <c r="D322" s="1053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2">
        <f t="shared" si="118"/>
        <v>43402</v>
      </c>
      <c r="I322" s="753">
        <f t="shared" si="119"/>
        <v>0.42857142857142855</v>
      </c>
      <c r="J322" s="746">
        <f t="shared" si="120"/>
        <v>34.581855101989845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46">
        <v>43408</v>
      </c>
      <c r="AP322" s="13">
        <f t="shared" si="121"/>
        <v>13</v>
      </c>
      <c r="AQ322" s="13">
        <f t="shared" si="122"/>
        <v>12</v>
      </c>
      <c r="AR322" s="172">
        <f t="shared" si="123"/>
        <v>43416</v>
      </c>
      <c r="AS322" s="753">
        <f t="shared" si="124"/>
        <v>0.2857142857142857</v>
      </c>
      <c r="AT322" s="769">
        <f t="shared" si="125"/>
        <v>34.632416326765501</v>
      </c>
      <c r="AU322" s="13">
        <f t="shared" si="126"/>
        <v>13</v>
      </c>
      <c r="AV322" s="13">
        <f t="shared" si="127"/>
        <v>12</v>
      </c>
      <c r="AW322" s="172">
        <f t="shared" si="128"/>
        <v>43430</v>
      </c>
      <c r="AX322" s="753">
        <f t="shared" si="129"/>
        <v>0.7857142857142857</v>
      </c>
      <c r="AY322" s="769">
        <f t="shared" si="130"/>
        <v>34.603903407643415</v>
      </c>
      <c r="AZ322" s="746">
        <f t="shared" si="134"/>
        <v>34.618159867204454</v>
      </c>
      <c r="BA322" s="641">
        <f t="shared" si="131"/>
        <v>0.64541801547367827</v>
      </c>
      <c r="BC322" s="11">
        <v>43408</v>
      </c>
      <c r="BD322" s="289">
        <f>[2]!FeuilCaduc*(1-Persistant)+Persistant</f>
        <v>0.76740421455885688</v>
      </c>
      <c r="BE322" s="290">
        <f>[2]!CroissVégét</f>
        <v>0.99795380912643716</v>
      </c>
      <c r="BF322" s="819">
        <f>1+[2]!Salcycl*Ksac</f>
        <v>1.0209255268198572</v>
      </c>
      <c r="BH322" s="1044">
        <f t="shared" si="132"/>
        <v>1.8094076866031816E-2</v>
      </c>
      <c r="BI322" s="11">
        <v>44504</v>
      </c>
      <c r="BJ322" s="726">
        <v>1.0753088076165632E-2</v>
      </c>
      <c r="BK322" s="726">
        <v>1.2102936397828919E-2</v>
      </c>
      <c r="BL322" s="726">
        <v>1.3400022756942019E-2</v>
      </c>
      <c r="BM322" s="726">
        <v>1.4801896588005431E-2</v>
      </c>
      <c r="BN322" s="726">
        <v>1.6686959473222879E-2</v>
      </c>
      <c r="BO322" s="727">
        <v>1.931818836461368E-2</v>
      </c>
      <c r="BP322" s="726">
        <v>2.2824047758101072E-2</v>
      </c>
      <c r="BQ322" s="726">
        <v>2.8361468539685093E-2</v>
      </c>
      <c r="BR322" s="726">
        <v>3.5347662867968324E-2</v>
      </c>
      <c r="BS322" s="726">
        <v>4.4434323655433143E-2</v>
      </c>
      <c r="BT322" s="726">
        <v>5.4218993756911228E-2</v>
      </c>
      <c r="BW322" s="1208">
        <f>'2018'!R\Max</f>
        <v>0.64541801547367827</v>
      </c>
      <c r="BX322" s="1206">
        <f>'2019'!R\Max</f>
        <v>0.4149688965753966</v>
      </c>
      <c r="BY322" s="1206">
        <f>'2020'!R\Max</f>
        <v>0.17553960207384997</v>
      </c>
      <c r="BZ322" s="1206">
        <f>'2021'!R\Max</f>
        <v>0.40671982224943604</v>
      </c>
      <c r="CA322" s="1206">
        <f>'2022'!R\Max</f>
        <v>0.44691376198628591</v>
      </c>
      <c r="CB322" s="1206">
        <f>'2023'!R\Max</f>
        <v>0.44685516533881825</v>
      </c>
      <c r="CC322" s="1206">
        <f>'2024'!R\Max</f>
        <v>0.44679656460559897</v>
      </c>
      <c r="CD322" s="1206">
        <f>'2025'!R\Max</f>
        <v>0.44706086240005916</v>
      </c>
      <c r="CE322" s="1206">
        <f>'2026'!R\Max</f>
        <v>0.44702934844445152</v>
      </c>
      <c r="CF322" s="1207">
        <f>'2027'!R\Max</f>
        <v>0.44699225523188246</v>
      </c>
    </row>
    <row r="323" spans="1:84" s="6" customFormat="1" ht="11.25" x14ac:dyDescent="0.2">
      <c r="A323" s="11">
        <v>43409</v>
      </c>
      <c r="B323" s="379">
        <f>'2022'!Maxi_hp</f>
        <v>32.930013099566573</v>
      </c>
      <c r="C323" s="13">
        <f>'2022'!An_max</f>
        <v>2022</v>
      </c>
      <c r="D323" s="1053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2">
        <f t="shared" si="118"/>
        <v>43402</v>
      </c>
      <c r="I323" s="753">
        <f t="shared" si="119"/>
        <v>0.5</v>
      </c>
      <c r="J323" s="746">
        <f t="shared" si="120"/>
        <v>34.27621250022203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46">
        <v>43409</v>
      </c>
      <c r="AP323" s="13">
        <f t="shared" si="121"/>
        <v>13</v>
      </c>
      <c r="AQ323" s="13">
        <f t="shared" si="122"/>
        <v>12</v>
      </c>
      <c r="AR323" s="172">
        <f t="shared" si="123"/>
        <v>43416</v>
      </c>
      <c r="AS323" s="753">
        <f t="shared" si="124"/>
        <v>0.25</v>
      </c>
      <c r="AT323" s="769">
        <f t="shared" si="125"/>
        <v>34.311052344087514</v>
      </c>
      <c r="AU323" s="13">
        <f t="shared" si="126"/>
        <v>13</v>
      </c>
      <c r="AV323" s="13">
        <f t="shared" si="127"/>
        <v>12</v>
      </c>
      <c r="AW323" s="172">
        <f t="shared" si="128"/>
        <v>43430</v>
      </c>
      <c r="AX323" s="753">
        <f t="shared" si="129"/>
        <v>0.75</v>
      </c>
      <c r="AY323" s="769">
        <f t="shared" si="130"/>
        <v>34.287825781339777</v>
      </c>
      <c r="AZ323" s="746">
        <f t="shared" si="134"/>
        <v>34.299439062713645</v>
      </c>
      <c r="BA323" s="641">
        <f t="shared" si="131"/>
        <v>0.96072496631164439</v>
      </c>
      <c r="BC323" s="11">
        <v>43409</v>
      </c>
      <c r="BD323" s="289">
        <f>[2]!FeuilCaduc*(1-Persistant)+Persistant</f>
        <v>0.76165592127670301</v>
      </c>
      <c r="BE323" s="290">
        <f>[2]!CroissVégét</f>
        <v>0.99804931190721602</v>
      </c>
      <c r="BF323" s="819">
        <f>1+[2]!Salcycl*Ksac</f>
        <v>1.0202069901595878</v>
      </c>
      <c r="BH323" s="1044">
        <f t="shared" si="132"/>
        <v>1.824307086543988E-2</v>
      </c>
      <c r="BI323" s="11">
        <v>44505</v>
      </c>
      <c r="BJ323" s="726">
        <v>1.109768461925721E-2</v>
      </c>
      <c r="BK323" s="726">
        <v>1.2367090009465282E-2</v>
      </c>
      <c r="BL323" s="726">
        <v>1.3596023277810487E-2</v>
      </c>
      <c r="BM323" s="726">
        <v>1.4953052068431073E-2</v>
      </c>
      <c r="BN323" s="726">
        <v>1.6817429591863824E-2</v>
      </c>
      <c r="BO323" s="727">
        <v>1.9483297078800532E-2</v>
      </c>
      <c r="BP323" s="726">
        <v>2.3111759250246656E-2</v>
      </c>
      <c r="BQ323" s="726">
        <v>2.8911883669939867E-2</v>
      </c>
      <c r="BR323" s="726">
        <v>3.6200051920955073E-2</v>
      </c>
      <c r="BS323" s="726">
        <v>4.5402303769331208E-2</v>
      </c>
      <c r="BT323" s="726">
        <v>5.5051876566813339E-2</v>
      </c>
      <c r="BW323" s="1208">
        <f>'2018'!R\Max</f>
        <v>0.33673154167216535</v>
      </c>
      <c r="BX323" s="1206">
        <f>'2019'!R\Max</f>
        <v>0.40088251299074207</v>
      </c>
      <c r="BY323" s="1206">
        <f>'2020'!R\Max</f>
        <v>0.42809926532295028</v>
      </c>
      <c r="BZ323" s="1206">
        <f>'2021'!R\Max</f>
        <v>0.37057627852329006</v>
      </c>
      <c r="CA323" s="1206">
        <f>'2022'!R\Max</f>
        <v>0.96072496631164439</v>
      </c>
      <c r="CB323" s="1206">
        <f>'2023'!R\Max</f>
        <v>0.9607155830941071</v>
      </c>
      <c r="CC323" s="1206">
        <f>'2024'!R\Max</f>
        <v>0.96070619679189129</v>
      </c>
      <c r="CD323" s="1206">
        <f>'2025'!R\Max</f>
        <v>0.96074818823058072</v>
      </c>
      <c r="CE323" s="1206">
        <f>'2026'!R\Max</f>
        <v>0.96074326115351882</v>
      </c>
      <c r="CF323" s="1207">
        <f>'2027'!R\Max</f>
        <v>0.96073739528977298</v>
      </c>
    </row>
    <row r="324" spans="1:84" s="6" customFormat="1" ht="11.25" x14ac:dyDescent="0.2">
      <c r="A324" s="11">
        <v>43410</v>
      </c>
      <c r="B324" s="379">
        <f>'2022'!Maxi_hp</f>
        <v>33.904590428179517</v>
      </c>
      <c r="C324" s="13">
        <f>'2022'!An_max</f>
        <v>2022</v>
      </c>
      <c r="D324" s="1053">
        <f t="shared" si="116"/>
        <v>0.99798347706540957</v>
      </c>
      <c r="E324" s="13"/>
      <c r="F324" s="13">
        <f t="shared" si="133"/>
        <v>23</v>
      </c>
      <c r="G324" s="13">
        <f t="shared" si="117"/>
        <v>24</v>
      </c>
      <c r="H324" s="172">
        <f t="shared" si="118"/>
        <v>43402</v>
      </c>
      <c r="I324" s="753">
        <f t="shared" si="119"/>
        <v>0.5714285714285714</v>
      </c>
      <c r="J324" s="746">
        <f t="shared" si="120"/>
        <v>33.973097959373682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46">
        <v>43410</v>
      </c>
      <c r="AP324" s="13">
        <f t="shared" si="121"/>
        <v>13</v>
      </c>
      <c r="AQ324" s="13">
        <f t="shared" si="122"/>
        <v>12</v>
      </c>
      <c r="AR324" s="172">
        <f t="shared" si="123"/>
        <v>43416</v>
      </c>
      <c r="AS324" s="753">
        <f t="shared" si="124"/>
        <v>0.21428571428571427</v>
      </c>
      <c r="AT324" s="769">
        <f t="shared" si="125"/>
        <v>33.993954464939556</v>
      </c>
      <c r="AU324" s="13">
        <f t="shared" si="126"/>
        <v>13</v>
      </c>
      <c r="AV324" s="13">
        <f t="shared" si="127"/>
        <v>12</v>
      </c>
      <c r="AW324" s="172">
        <f t="shared" si="128"/>
        <v>43430</v>
      </c>
      <c r="AX324" s="753">
        <f t="shared" si="129"/>
        <v>0.7142857142857143</v>
      </c>
      <c r="AY324" s="769">
        <f t="shared" si="130"/>
        <v>33.971653352864088</v>
      </c>
      <c r="AZ324" s="746">
        <f t="shared" si="134"/>
        <v>33.982803908901822</v>
      </c>
      <c r="BA324" s="641">
        <f t="shared" si="131"/>
        <v>0.99798347706540957</v>
      </c>
      <c r="BC324" s="11">
        <v>43410</v>
      </c>
      <c r="BD324" s="289">
        <f>[2]!FeuilCaduc*(1-Persistant)+Persistant</f>
        <v>0.75593801961083673</v>
      </c>
      <c r="BE324" s="290">
        <f>[2]!CroissVégét</f>
        <v>0.99814098663615436</v>
      </c>
      <c r="BF324" s="819">
        <f>1+[2]!Salcycl*Ksac</f>
        <v>1.0194922524513546</v>
      </c>
      <c r="BH324" s="1044">
        <f t="shared" si="132"/>
        <v>1.8403112026039919E-2</v>
      </c>
      <c r="BI324" s="11">
        <v>44506</v>
      </c>
      <c r="BJ324" s="726">
        <v>1.1422008700021436E-2</v>
      </c>
      <c r="BK324" s="726">
        <v>1.2608922220829787E-2</v>
      </c>
      <c r="BL324" s="726">
        <v>1.3774360787771403E-2</v>
      </c>
      <c r="BM324" s="726">
        <v>1.5096902013107436E-2</v>
      </c>
      <c r="BN324" s="726">
        <v>1.6954026914192906E-2</v>
      </c>
      <c r="BO324" s="727">
        <v>1.9663733035275476E-2</v>
      </c>
      <c r="BP324" s="726">
        <v>2.3425779486610652E-2</v>
      </c>
      <c r="BQ324" s="726">
        <v>2.9481598911766747E-2</v>
      </c>
      <c r="BR324" s="726">
        <v>3.7054090418913881E-2</v>
      </c>
      <c r="BS324" s="726">
        <v>4.6335228731549188E-2</v>
      </c>
      <c r="BT324" s="726">
        <v>5.5813827776842857E-2</v>
      </c>
      <c r="BW324" s="1208">
        <f>'2018'!R\Max</f>
        <v>0.70324137789598851</v>
      </c>
      <c r="BX324" s="1206">
        <f>'2019'!R\Max</f>
        <v>0.44151518155660663</v>
      </c>
      <c r="BY324" s="1206">
        <f>'2020'!R\Max</f>
        <v>0.70305821486719511</v>
      </c>
      <c r="BZ324" s="1206">
        <f>'2021'!R\Max</f>
        <v>0.636254262068082</v>
      </c>
      <c r="CA324" s="1206">
        <f>'2022'!R\Max</f>
        <v>0.99798347706540957</v>
      </c>
      <c r="CB324" s="1206">
        <f>'2023'!R\Max</f>
        <v>0.99798295383258195</v>
      </c>
      <c r="CC324" s="1206">
        <f>'2024'!R\Max</f>
        <v>0.99798243040977153</v>
      </c>
      <c r="CD324" s="1206">
        <f>'2025'!R\Max</f>
        <v>0.9979847605092157</v>
      </c>
      <c r="CE324" s="1206">
        <f>'2026'!R\Max</f>
        <v>0.99798449051569327</v>
      </c>
      <c r="CF324" s="1207">
        <f>'2027'!R\Max</f>
        <v>0.99798416571951043</v>
      </c>
    </row>
    <row r="325" spans="1:84" s="6" customFormat="1" ht="11.25" x14ac:dyDescent="0.2">
      <c r="A325" s="11">
        <v>43411</v>
      </c>
      <c r="B325" s="379">
        <f>'2022'!Maxi_hp</f>
        <v>32.739164201753397</v>
      </c>
      <c r="C325" s="13">
        <f>'2022'!An_max</f>
        <v>2022</v>
      </c>
      <c r="D325" s="1053">
        <f t="shared" si="116"/>
        <v>0.97228162566839527</v>
      </c>
      <c r="E325" s="13"/>
      <c r="F325" s="13">
        <f t="shared" si="133"/>
        <v>23</v>
      </c>
      <c r="G325" s="13">
        <f t="shared" si="117"/>
        <v>24</v>
      </c>
      <c r="H325" s="172">
        <f t="shared" si="118"/>
        <v>43402</v>
      </c>
      <c r="I325" s="753">
        <f t="shared" si="119"/>
        <v>0.6428571428571429</v>
      </c>
      <c r="J325" s="746">
        <f t="shared" si="120"/>
        <v>33.672511479631069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46">
        <v>43411</v>
      </c>
      <c r="AP325" s="13">
        <f t="shared" si="121"/>
        <v>13</v>
      </c>
      <c r="AQ325" s="13">
        <f t="shared" si="122"/>
        <v>12</v>
      </c>
      <c r="AR325" s="172">
        <f t="shared" si="123"/>
        <v>43416</v>
      </c>
      <c r="AS325" s="753">
        <f t="shared" si="124"/>
        <v>0.17857142857142858</v>
      </c>
      <c r="AT325" s="769">
        <f t="shared" si="125"/>
        <v>33.681596700042221</v>
      </c>
      <c r="AU325" s="13">
        <f t="shared" si="126"/>
        <v>13</v>
      </c>
      <c r="AV325" s="13">
        <f t="shared" si="127"/>
        <v>12</v>
      </c>
      <c r="AW325" s="172">
        <f t="shared" si="128"/>
        <v>43430</v>
      </c>
      <c r="AX325" s="753">
        <f t="shared" si="129"/>
        <v>0.6785714285714286</v>
      </c>
      <c r="AY325" s="769">
        <f t="shared" si="130"/>
        <v>33.655914306507576</v>
      </c>
      <c r="AZ325" s="746">
        <f t="shared" si="134"/>
        <v>33.668755503274895</v>
      </c>
      <c r="BA325" s="641">
        <f t="shared" si="131"/>
        <v>0.97228162566839527</v>
      </c>
      <c r="BC325" s="11">
        <v>43411</v>
      </c>
      <c r="BD325" s="289">
        <f>[2]!FeuilCaduc*(1-Persistant)+Persistant</f>
        <v>0.75025894754742239</v>
      </c>
      <c r="BE325" s="290">
        <f>[2]!CroissVégét</f>
        <v>0.99822898609149657</v>
      </c>
      <c r="BF325" s="819">
        <f>1+[2]!Salcycl*Ksac</f>
        <v>1.0187823684434278</v>
      </c>
      <c r="BH325" s="1044">
        <f t="shared" si="132"/>
        <v>1.8576358646690494E-2</v>
      </c>
      <c r="BI325" s="11">
        <v>44507</v>
      </c>
      <c r="BJ325" s="726">
        <v>1.1721316057391068E-2</v>
      </c>
      <c r="BK325" s="726">
        <v>1.2829557560386732E-2</v>
      </c>
      <c r="BL325" s="726">
        <v>1.3939514219522478E-2</v>
      </c>
      <c r="BM325" s="726">
        <v>1.5238231832781045E-2</v>
      </c>
      <c r="BN325" s="726">
        <v>1.7101015335988668E-2</v>
      </c>
      <c r="BO325" s="727">
        <v>1.9859822784235384E-2</v>
      </c>
      <c r="BP325" s="726">
        <v>2.3759350180931612E-2</v>
      </c>
      <c r="BQ325" s="726">
        <v>3.0048113624651089E-2</v>
      </c>
      <c r="BR325" s="726">
        <v>3.7871785015705012E-2</v>
      </c>
      <c r="BS325" s="726">
        <v>4.7206457612488137E-2</v>
      </c>
      <c r="BT325" s="726">
        <v>5.6522138306346968E-2</v>
      </c>
      <c r="BW325" s="1208">
        <f>'2018'!R\Max</f>
        <v>0.34399810659178154</v>
      </c>
      <c r="BX325" s="1206">
        <f>'2019'!R\Max</f>
        <v>0.1302486960521122</v>
      </c>
      <c r="BY325" s="1206">
        <f>'2020'!R\Max</f>
        <v>0.47740482870429596</v>
      </c>
      <c r="BZ325" s="1206">
        <f>'2021'!R\Max</f>
        <v>0.32303316141333344</v>
      </c>
      <c r="CA325" s="1206">
        <f>'2022'!R\Max</f>
        <v>0.97228162566839527</v>
      </c>
      <c r="CB325" s="1206">
        <f>'2023'!R\Max</f>
        <v>0.9722743393226142</v>
      </c>
      <c r="CC325" s="1206">
        <f>'2024'!R\Max</f>
        <v>0.9722670503269617</v>
      </c>
      <c r="CD325" s="1206">
        <f>'2025'!R\Max</f>
        <v>0.97229943242699546</v>
      </c>
      <c r="CE325" s="1206">
        <f>'2026'!R\Max</f>
        <v>0.97229571425783845</v>
      </c>
      <c r="CF325" s="1207">
        <f>'2027'!R\Max</f>
        <v>0.97229119963898314</v>
      </c>
    </row>
    <row r="326" spans="1:84" s="6" customFormat="1" ht="11.25" x14ac:dyDescent="0.2">
      <c r="A326" s="11">
        <v>43412</v>
      </c>
      <c r="B326" s="379">
        <f>'2022'!Maxi_hp</f>
        <v>25.868696727513875</v>
      </c>
      <c r="C326" s="13">
        <f>'2022'!An_max</f>
        <v>2021</v>
      </c>
      <c r="D326" s="1053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2">
        <f t="shared" si="118"/>
        <v>43402</v>
      </c>
      <c r="I326" s="753">
        <f t="shared" si="119"/>
        <v>0.7142857142857143</v>
      </c>
      <c r="J326" s="746">
        <f t="shared" si="120"/>
        <v>33.374453061499764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46">
        <v>43412</v>
      </c>
      <c r="AP326" s="13">
        <f t="shared" si="121"/>
        <v>13</v>
      </c>
      <c r="AQ326" s="13">
        <f t="shared" si="122"/>
        <v>12</v>
      </c>
      <c r="AR326" s="172">
        <f t="shared" si="123"/>
        <v>43416</v>
      </c>
      <c r="AS326" s="753">
        <f t="shared" si="124"/>
        <v>0.14285714285714285</v>
      </c>
      <c r="AT326" s="769">
        <f t="shared" si="125"/>
        <v>33.374453061765863</v>
      </c>
      <c r="AU326" s="13">
        <f t="shared" si="126"/>
        <v>13</v>
      </c>
      <c r="AV326" s="13">
        <f t="shared" si="127"/>
        <v>12</v>
      </c>
      <c r="AW326" s="172">
        <f t="shared" si="128"/>
        <v>43430</v>
      </c>
      <c r="AX326" s="753">
        <f t="shared" si="129"/>
        <v>0.6428571428571429</v>
      </c>
      <c r="AY326" s="769">
        <f t="shared" si="130"/>
        <v>33.341136825696694</v>
      </c>
      <c r="AZ326" s="746">
        <f t="shared" si="134"/>
        <v>33.357794943731278</v>
      </c>
      <c r="BA326" s="641">
        <f t="shared" si="131"/>
        <v>0.77510473894044396</v>
      </c>
      <c r="BC326" s="11">
        <v>43412</v>
      </c>
      <c r="BD326" s="289">
        <f>[2]!FeuilCaduc*(1-Persistant)+Persistant</f>
        <v>0.74462705271936014</v>
      </c>
      <c r="BE326" s="290">
        <f>[2]!CroissVégét</f>
        <v>0.99831345700622864</v>
      </c>
      <c r="BF326" s="819">
        <f>1+[2]!Salcycl*Ksac</f>
        <v>1.0180783815899199</v>
      </c>
      <c r="BH326" s="1044">
        <f t="shared" si="132"/>
        <v>1.8762809010943949E-2</v>
      </c>
      <c r="BI326" s="11">
        <v>44508</v>
      </c>
      <c r="BJ326" s="726">
        <v>1.1995556428902628E-2</v>
      </c>
      <c r="BK326" s="726">
        <v>1.302895141279096E-2</v>
      </c>
      <c r="BL326" s="726">
        <v>1.4091449947679826E-2</v>
      </c>
      <c r="BM326" s="726">
        <v>1.5377021798066607E-2</v>
      </c>
      <c r="BN326" s="726">
        <v>1.7258391075408049E-2</v>
      </c>
      <c r="BO326" s="727">
        <v>2.007156640600824E-2</v>
      </c>
      <c r="BP326" s="726">
        <v>2.4112470795736623E-2</v>
      </c>
      <c r="BQ326" s="726">
        <v>3.061138620457772E-2</v>
      </c>
      <c r="BR326" s="726">
        <v>3.8653037060280351E-2</v>
      </c>
      <c r="BS326" s="726">
        <v>4.8015847571061206E-2</v>
      </c>
      <c r="BT326" s="726">
        <v>5.7176670872549046E-2</v>
      </c>
      <c r="BW326" s="1208">
        <f>'2018'!R\Max</f>
        <v>0.47692452799264506</v>
      </c>
      <c r="BX326" s="1206">
        <f>'2019'!R\Max</f>
        <v>0.50444164387370993</v>
      </c>
      <c r="BY326" s="1206">
        <f>'2020'!R\Max</f>
        <v>0.10805726189165844</v>
      </c>
      <c r="BZ326" s="1206">
        <f>'2021'!R\Max</f>
        <v>0.77510473894044396</v>
      </c>
      <c r="CA326" s="1206">
        <f>'2022'!R\Max</f>
        <v>0.59459401326824945</v>
      </c>
      <c r="CB326" s="1206">
        <f>'2023'!R\Max</f>
        <v>0.59452657807250364</v>
      </c>
      <c r="CC326" s="1206">
        <f>'2024'!R\Max</f>
        <v>0.59445913175432907</v>
      </c>
      <c r="CD326" s="1206">
        <f>'2025'!R\Max</f>
        <v>0.59475902082787158</v>
      </c>
      <c r="CE326" s="1206">
        <f>'2026'!R\Max</f>
        <v>0.59472478042703747</v>
      </c>
      <c r="CF326" s="1207">
        <f>'2027'!R\Max</f>
        <v>0.59468286519612146</v>
      </c>
    </row>
    <row r="327" spans="1:84" s="6" customFormat="1" ht="11.25" x14ac:dyDescent="0.2">
      <c r="A327" s="11">
        <v>43413</v>
      </c>
      <c r="B327" s="379">
        <f>'2022'!Maxi_hp</f>
        <v>23.871171034928089</v>
      </c>
      <c r="C327" s="13">
        <f>'2022'!An_max</f>
        <v>2020</v>
      </c>
      <c r="D327" s="1053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2">
        <f t="shared" si="118"/>
        <v>43402</v>
      </c>
      <c r="I327" s="753">
        <f t="shared" si="119"/>
        <v>0.7857142857142857</v>
      </c>
      <c r="J327" s="746">
        <f t="shared" si="120"/>
        <v>33.078922704154891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46">
        <v>43413</v>
      </c>
      <c r="AP327" s="13">
        <f t="shared" si="121"/>
        <v>13</v>
      </c>
      <c r="AQ327" s="13">
        <f t="shared" si="122"/>
        <v>12</v>
      </c>
      <c r="AR327" s="172">
        <f t="shared" si="123"/>
        <v>43416</v>
      </c>
      <c r="AS327" s="753">
        <f t="shared" si="124"/>
        <v>0.10714285714285714</v>
      </c>
      <c r="AT327" s="769">
        <f t="shared" si="125"/>
        <v>33.072997560997365</v>
      </c>
      <c r="AU327" s="13">
        <f t="shared" si="126"/>
        <v>13</v>
      </c>
      <c r="AV327" s="13">
        <f t="shared" si="127"/>
        <v>12</v>
      </c>
      <c r="AW327" s="172">
        <f t="shared" si="128"/>
        <v>43430</v>
      </c>
      <c r="AX327" s="753">
        <f t="shared" si="129"/>
        <v>0.6071428571428571</v>
      </c>
      <c r="AY327" s="769">
        <f t="shared" si="130"/>
        <v>33.027849095753794</v>
      </c>
      <c r="AZ327" s="746">
        <f t="shared" si="134"/>
        <v>33.05042332837558</v>
      </c>
      <c r="BA327" s="641">
        <f t="shared" si="131"/>
        <v>0.72164294008068597</v>
      </c>
      <c r="BC327" s="11">
        <v>43413</v>
      </c>
      <c r="BD327" s="289">
        <f>[2]!FeuilCaduc*(1-Persistant)+Persistant</f>
        <v>0.73905055378765083</v>
      </c>
      <c r="BE327" s="290">
        <f>[2]!CroissVégét</f>
        <v>0.99839454030316765</v>
      </c>
      <c r="BF327" s="819">
        <f>1+[2]!Salcycl*Ksac</f>
        <v>1.0173813192234564</v>
      </c>
      <c r="BH327" s="1044">
        <f t="shared" si="132"/>
        <v>1.8962460289445711E-2</v>
      </c>
      <c r="BI327" s="11">
        <v>44509</v>
      </c>
      <c r="BJ327" s="726">
        <v>1.2244679446927547E-2</v>
      </c>
      <c r="BK327" s="726">
        <v>1.3207059197722667E-2</v>
      </c>
      <c r="BL327" s="726">
        <v>1.4230134275808014E-2</v>
      </c>
      <c r="BM327" s="726">
        <v>1.5513251785206329E-2</v>
      </c>
      <c r="BN327" s="726">
        <v>1.7426149439730861E-2</v>
      </c>
      <c r="BO327" s="727">
        <v>2.0298962692260784E-2</v>
      </c>
      <c r="BP327" s="726">
        <v>2.4485138860129558E-2</v>
      </c>
      <c r="BQ327" s="726">
        <v>3.1171373154839803E-2</v>
      </c>
      <c r="BR327" s="726">
        <v>3.9397746386923692E-2</v>
      </c>
      <c r="BS327" s="726">
        <v>4.876325504959747E-2</v>
      </c>
      <c r="BT327" s="726">
        <v>5.7777287771055667E-2</v>
      </c>
      <c r="BW327" s="1208">
        <f>'2018'!R\Max</f>
        <v>0.13516176812912459</v>
      </c>
      <c r="BX327" s="1206">
        <f>'2019'!R\Max</f>
        <v>0.62860290372172356</v>
      </c>
      <c r="BY327" s="1206">
        <f>'2020'!R\Max</f>
        <v>0.72164294008068597</v>
      </c>
      <c r="BZ327" s="1206">
        <f>'2021'!R\Max</f>
        <v>0.65523419191128296</v>
      </c>
      <c r="CA327" s="1206">
        <f>'2022'!R\Max</f>
        <v>0.29882995490163844</v>
      </c>
      <c r="CB327" s="1206">
        <f>'2023'!R\Max</f>
        <v>0.29876965543990813</v>
      </c>
      <c r="CC327" s="1206">
        <f>'2024'!R\Max</f>
        <v>0.29870935597817788</v>
      </c>
      <c r="CD327" s="1206">
        <f>'2025'!R\Max</f>
        <v>0.29897829599669212</v>
      </c>
      <c r="CE327" s="1206">
        <f>'2026'!R\Max</f>
        <v>0.29894767746815043</v>
      </c>
      <c r="CF327" s="1207">
        <f>'2027'!R\Max</f>
        <v>0.29890992465266353</v>
      </c>
    </row>
    <row r="328" spans="1:84" s="6" customFormat="1" ht="11.25" x14ac:dyDescent="0.2">
      <c r="A328" s="11">
        <v>43414</v>
      </c>
      <c r="B328" s="379">
        <f>'2022'!Maxi_hp</f>
        <v>26.592469844178034</v>
      </c>
      <c r="C328" s="13">
        <f>'2022'!An_max</f>
        <v>2022</v>
      </c>
      <c r="D328" s="1053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2">
        <f t="shared" si="118"/>
        <v>43402</v>
      </c>
      <c r="I328" s="753">
        <f t="shared" si="119"/>
        <v>0.8571428571428571</v>
      </c>
      <c r="J328" s="746">
        <f t="shared" si="120"/>
        <v>32.785920408634205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46">
        <v>43414</v>
      </c>
      <c r="AP328" s="13">
        <f t="shared" si="121"/>
        <v>13</v>
      </c>
      <c r="AQ328" s="13">
        <f t="shared" si="122"/>
        <v>12</v>
      </c>
      <c r="AR328" s="172">
        <f t="shared" si="123"/>
        <v>43416</v>
      </c>
      <c r="AS328" s="753">
        <f t="shared" si="124"/>
        <v>7.1428571428571425E-2</v>
      </c>
      <c r="AT328" s="769">
        <f t="shared" si="125"/>
        <v>32.777704210220172</v>
      </c>
      <c r="AU328" s="13">
        <f t="shared" si="126"/>
        <v>13</v>
      </c>
      <c r="AV328" s="13">
        <f t="shared" si="127"/>
        <v>12</v>
      </c>
      <c r="AW328" s="172">
        <f t="shared" si="128"/>
        <v>43430</v>
      </c>
      <c r="AX328" s="753">
        <f t="shared" si="129"/>
        <v>0.5714285714285714</v>
      </c>
      <c r="AY328" s="769">
        <f t="shared" si="130"/>
        <v>32.716579300378058</v>
      </c>
      <c r="AZ328" s="746">
        <f t="shared" si="134"/>
        <v>32.747141755299111</v>
      </c>
      <c r="BA328" s="641">
        <f t="shared" si="131"/>
        <v>0.81109419875169586</v>
      </c>
      <c r="BC328" s="11">
        <v>43414</v>
      </c>
      <c r="BD328" s="289">
        <f>[2]!FeuilCaduc*(1-Persistant)+Persistant</f>
        <v>0.73353750233911663</v>
      </c>
      <c r="BE328" s="290">
        <f>[2]!CroissVégét</f>
        <v>0.99847237132123801</v>
      </c>
      <c r="BF328" s="819">
        <f>1+[2]!Salcycl*Ksac</f>
        <v>1.0166921877923896</v>
      </c>
      <c r="BH328" s="1044">
        <f t="shared" si="132"/>
        <v>1.9175308419230347E-2</v>
      </c>
      <c r="BI328" s="11">
        <v>44510</v>
      </c>
      <c r="BJ328" s="726">
        <v>1.2468634870443994E-2</v>
      </c>
      <c r="BK328" s="726">
        <v>1.3363836565851257E-2</v>
      </c>
      <c r="BL328" s="726">
        <v>1.435553355826024E-2</v>
      </c>
      <c r="BM328" s="726">
        <v>1.5646901299695391E-2</v>
      </c>
      <c r="BN328" s="726">
        <v>1.7604284730353019E-2</v>
      </c>
      <c r="BO328" s="727">
        <v>2.0542009002939465E-2</v>
      </c>
      <c r="BP328" s="726">
        <v>2.4877349791924533E-2</v>
      </c>
      <c r="BQ328" s="726">
        <v>3.1728029118826606E-2</v>
      </c>
      <c r="BR328" s="726">
        <v>4.0105811654230938E-2</v>
      </c>
      <c r="BS328" s="726">
        <v>4.9448536345698152E-2</v>
      </c>
      <c r="BT328" s="726">
        <v>5.8323851371893554E-2</v>
      </c>
      <c r="BW328" s="1208">
        <f>'2018'!R\Max</f>
        <v>0.60387384143396017</v>
      </c>
      <c r="BX328" s="1206">
        <f>'2019'!R\Max</f>
        <v>0.67213321541772353</v>
      </c>
      <c r="BY328" s="1206">
        <f>'2020'!R\Max</f>
        <v>0.69714301739308238</v>
      </c>
      <c r="BZ328" s="1206">
        <f>'2021'!R\Max</f>
        <v>0.17911927890182586</v>
      </c>
      <c r="CA328" s="1206">
        <f>'2022'!R\Max</f>
        <v>0.81109419875169586</v>
      </c>
      <c r="CB328" s="1206">
        <f>'2023'!R\Max</f>
        <v>0.81104888448753032</v>
      </c>
      <c r="CC328" s="1206">
        <f>'2024'!R\Max</f>
        <v>0.81100355651763245</v>
      </c>
      <c r="CD328" s="1206">
        <f>'2025'!R\Max</f>
        <v>0.81120661390834758</v>
      </c>
      <c r="CE328" s="1206">
        <f>'2026'!R\Max</f>
        <v>0.81118352414877903</v>
      </c>
      <c r="CF328" s="1207">
        <f>'2027'!R\Max</f>
        <v>0.8111548664392163</v>
      </c>
    </row>
    <row r="329" spans="1:84" s="6" customFormat="1" ht="11.25" x14ac:dyDescent="0.2">
      <c r="A329" s="11">
        <v>43415</v>
      </c>
      <c r="B329" s="379">
        <f>'2022'!Maxi_hp</f>
        <v>31.015099805009147</v>
      </c>
      <c r="C329" s="13">
        <f>'2022'!An_max</f>
        <v>2022</v>
      </c>
      <c r="D329" s="1053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2">
        <f t="shared" si="118"/>
        <v>43402</v>
      </c>
      <c r="I329" s="753">
        <f t="shared" si="119"/>
        <v>0.9285714285714286</v>
      </c>
      <c r="J329" s="746">
        <f t="shared" si="120"/>
        <v>32.495446173500802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46">
        <v>43415</v>
      </c>
      <c r="AP329" s="13">
        <f t="shared" si="121"/>
        <v>13</v>
      </c>
      <c r="AQ329" s="13">
        <f t="shared" si="122"/>
        <v>12</v>
      </c>
      <c r="AR329" s="172">
        <f t="shared" si="123"/>
        <v>43416</v>
      </c>
      <c r="AS329" s="753">
        <f t="shared" si="124"/>
        <v>3.5714285714285712E-2</v>
      </c>
      <c r="AT329" s="769">
        <f t="shared" si="125"/>
        <v>32.489047019137068</v>
      </c>
      <c r="AU329" s="13">
        <f t="shared" si="126"/>
        <v>13</v>
      </c>
      <c r="AV329" s="13">
        <f t="shared" si="127"/>
        <v>12</v>
      </c>
      <c r="AW329" s="172">
        <f t="shared" si="128"/>
        <v>43430</v>
      </c>
      <c r="AX329" s="753">
        <f t="shared" si="129"/>
        <v>0.5357142857142857</v>
      </c>
      <c r="AY329" s="769">
        <f t="shared" si="130"/>
        <v>32.407855624053624</v>
      </c>
      <c r="AZ329" s="746">
        <f t="shared" si="134"/>
        <v>32.448451321595343</v>
      </c>
      <c r="BA329" s="641">
        <f t="shared" si="131"/>
        <v>0.95444449783555085</v>
      </c>
      <c r="BC329" s="11">
        <v>43415</v>
      </c>
      <c r="BD329" s="289">
        <f>[2]!FeuilCaduc*(1-Persistant)+Persistant</f>
        <v>0.72809574557030932</v>
      </c>
      <c r="BE329" s="290">
        <f>[2]!CroissVégét</f>
        <v>0.99854708003323223</v>
      </c>
      <c r="BF329" s="819">
        <f>1+[2]!Salcycl*Ksac</f>
        <v>1.0160119681962887</v>
      </c>
      <c r="BH329" s="1044">
        <f t="shared" si="132"/>
        <v>1.9401347982845329E-2</v>
      </c>
      <c r="BI329" s="11">
        <v>44511</v>
      </c>
      <c r="BJ329" s="726">
        <v>1.2667372816698752E-2</v>
      </c>
      <c r="BK329" s="726">
        <v>1.3499239594679959E-2</v>
      </c>
      <c r="BL329" s="726">
        <v>1.4467614321889557E-2</v>
      </c>
      <c r="BM329" s="726">
        <v>1.5777949499766585E-2</v>
      </c>
      <c r="BN329" s="726">
        <v>1.7792790147621376E-2</v>
      </c>
      <c r="BO329" s="727">
        <v>2.0800701123027111E-2</v>
      </c>
      <c r="BP329" s="726">
        <v>2.5289096719557751E-2</v>
      </c>
      <c r="BQ329" s="726">
        <v>3.2281306912530262E-2</v>
      </c>
      <c r="BR329" s="726">
        <v>4.0777130683735771E-2</v>
      </c>
      <c r="BS329" s="726">
        <v>5.0071548183652663E-2</v>
      </c>
      <c r="BT329" s="726">
        <v>5.8816224615023165E-2</v>
      </c>
      <c r="BW329" s="1208">
        <f>'2018'!R\Max</f>
        <v>0.82546731642908666</v>
      </c>
      <c r="BX329" s="1206">
        <f>'2019'!R\Max</f>
        <v>0.8022266715964812</v>
      </c>
      <c r="BY329" s="1206">
        <f>'2020'!R\Max</f>
        <v>0.44926423786382869</v>
      </c>
      <c r="BZ329" s="1206">
        <f>'2021'!R\Max</f>
        <v>0.2839686789592788</v>
      </c>
      <c r="CA329" s="1206">
        <f>'2022'!R\Max</f>
        <v>0.95444449783555085</v>
      </c>
      <c r="CB329" s="1206">
        <f>'2023'!R\Max</f>
        <v>0.95443135324652506</v>
      </c>
      <c r="CC329" s="1206">
        <f>'2024'!R\Max</f>
        <v>0.95441820345377482</v>
      </c>
      <c r="CD329" s="1206">
        <f>'2025'!R\Max</f>
        <v>0.95447751016500604</v>
      </c>
      <c r="CE329" s="1206">
        <f>'2026'!R\Max</f>
        <v>0.95447075578991381</v>
      </c>
      <c r="CF329" s="1207">
        <f>'2027'!R\Max</f>
        <v>0.95446232536595099</v>
      </c>
    </row>
    <row r="330" spans="1:84" s="6" customFormat="1" ht="11.25" x14ac:dyDescent="0.2">
      <c r="A330" s="11">
        <v>43416</v>
      </c>
      <c r="B330" s="379">
        <f>'2022'!Maxi_hp</f>
        <v>30.869369637269219</v>
      </c>
      <c r="C330" s="13">
        <f>'2022'!An_max</f>
        <v>2022</v>
      </c>
      <c r="D330" s="1053" t="str">
        <f t="shared" si="116"/>
        <v/>
      </c>
      <c r="E330" s="1048">
        <f>AJ$13/10</f>
        <v>32.207499999999996</v>
      </c>
      <c r="F330" s="13">
        <f t="shared" si="133"/>
        <v>25</v>
      </c>
      <c r="G330" s="13">
        <f t="shared" si="117"/>
        <v>24</v>
      </c>
      <c r="H330" s="172">
        <f t="shared" si="118"/>
        <v>43430</v>
      </c>
      <c r="I330" s="753">
        <f t="shared" si="119"/>
        <v>1</v>
      </c>
      <c r="J330" s="746">
        <f t="shared" si="120"/>
        <v>32.207500000670549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46">
        <v>43416</v>
      </c>
      <c r="AP330" s="13">
        <f t="shared" si="121"/>
        <v>13</v>
      </c>
      <c r="AQ330" s="13">
        <f t="shared" si="122"/>
        <v>14</v>
      </c>
      <c r="AR330" s="172">
        <f t="shared" si="123"/>
        <v>43416</v>
      </c>
      <c r="AS330" s="753">
        <f t="shared" si="124"/>
        <v>0</v>
      </c>
      <c r="AT330" s="769">
        <f t="shared" si="125"/>
        <v>32.207500000670549</v>
      </c>
      <c r="AU330" s="13">
        <f t="shared" si="126"/>
        <v>13</v>
      </c>
      <c r="AV330" s="13">
        <f t="shared" si="127"/>
        <v>12</v>
      </c>
      <c r="AW330" s="172">
        <f t="shared" si="128"/>
        <v>43430</v>
      </c>
      <c r="AX330" s="753">
        <f t="shared" si="129"/>
        <v>0.5</v>
      </c>
      <c r="AY330" s="769">
        <f t="shared" si="130"/>
        <v>32.102206250652671</v>
      </c>
      <c r="AZ330" s="746">
        <f t="shared" si="134"/>
        <v>32.15485312566161</v>
      </c>
      <c r="BA330" s="641">
        <f t="shared" si="131"/>
        <v>0.95845283355201516</v>
      </c>
      <c r="BC330" s="11">
        <v>43416</v>
      </c>
      <c r="BD330" s="289">
        <f>[2]!FeuilCaduc*(1-Persistant)+Persistant</f>
        <v>0.72273289002272234</v>
      </c>
      <c r="BE330" s="290">
        <f>[2]!CroissVégét</f>
        <v>0.99861879125535868</v>
      </c>
      <c r="BF330" s="819">
        <f>1+[2]!Salcycl*Ksac</f>
        <v>1.0153416112528404</v>
      </c>
      <c r="BH330" s="1044">
        <f t="shared" si="132"/>
        <v>1.9640572087715111E-2</v>
      </c>
      <c r="BI330" s="11">
        <v>44512</v>
      </c>
      <c r="BJ330" s="726">
        <v>1.2840843993024679E-2</v>
      </c>
      <c r="BK330" s="726">
        <v>1.3613224984557623E-2</v>
      </c>
      <c r="BL330" s="726">
        <v>1.4566343387939924E-2</v>
      </c>
      <c r="BM330" s="726">
        <v>1.5906375220071021E-2</v>
      </c>
      <c r="BN330" s="726">
        <v>1.7991657695889184E-2</v>
      </c>
      <c r="BO330" s="727">
        <v>2.1075033119556899E-2</v>
      </c>
      <c r="BP330" s="726">
        <v>2.5720370304310531E-2</v>
      </c>
      <c r="BQ330" s="726">
        <v>3.2831157557448844E-2</v>
      </c>
      <c r="BR330" s="726">
        <v>4.1411600799036129E-2</v>
      </c>
      <c r="BS330" s="726">
        <v>5.0632148286473132E-2</v>
      </c>
      <c r="BT330" s="726">
        <v>5.925427150658269E-2</v>
      </c>
      <c r="BW330" s="1208">
        <f>'2018'!R\Max</f>
        <v>0.85157859854942597</v>
      </c>
      <c r="BX330" s="1206">
        <f>'2019'!R\Max</f>
        <v>0.58144240927307245</v>
      </c>
      <c r="BY330" s="1206">
        <f>'2020'!R\Max</f>
        <v>0.73587285924583901</v>
      </c>
      <c r="BZ330" s="1206">
        <f>'2021'!R\Max</f>
        <v>0.26615755465796614</v>
      </c>
      <c r="CA330" s="1206">
        <f>'2022'!R\Max</f>
        <v>0.95845283355201516</v>
      </c>
      <c r="CB330" s="1206">
        <f>'2023'!R\Max</f>
        <v>0.95844057235250246</v>
      </c>
      <c r="CC330" s="1206">
        <f>'2024'!R\Max</f>
        <v>0.95842830617879415</v>
      </c>
      <c r="CD330" s="1206">
        <f>'2025'!R\Max</f>
        <v>0.95848411658718902</v>
      </c>
      <c r="CE330" s="1206">
        <f>'2026'!R\Max</f>
        <v>0.95847773546964365</v>
      </c>
      <c r="CF330" s="1207">
        <f>'2027'!R\Max</f>
        <v>0.95846973262975832</v>
      </c>
    </row>
    <row r="331" spans="1:84" s="6" customFormat="1" ht="11.25" x14ac:dyDescent="0.2">
      <c r="A331" s="11">
        <v>43417</v>
      </c>
      <c r="B331" s="379">
        <f>'2022'!Maxi_hp</f>
        <v>31.04926746236552</v>
      </c>
      <c r="C331" s="13">
        <f>'2022'!An_max</f>
        <v>2020</v>
      </c>
      <c r="D331" s="1053">
        <f t="shared" si="116"/>
        <v>0.97269373793866243</v>
      </c>
      <c r="E331" s="13"/>
      <c r="F331" s="13">
        <f t="shared" si="133"/>
        <v>25</v>
      </c>
      <c r="G331" s="13">
        <f t="shared" si="117"/>
        <v>24</v>
      </c>
      <c r="H331" s="172">
        <f t="shared" si="118"/>
        <v>43430</v>
      </c>
      <c r="I331" s="753">
        <f t="shared" si="119"/>
        <v>0.9285714285714286</v>
      </c>
      <c r="J331" s="746">
        <f t="shared" si="120"/>
        <v>31.920908145420253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46">
        <v>43417</v>
      </c>
      <c r="AP331" s="13">
        <f t="shared" si="121"/>
        <v>13</v>
      </c>
      <c r="AQ331" s="13">
        <f t="shared" si="122"/>
        <v>14</v>
      </c>
      <c r="AR331" s="172">
        <f t="shared" si="123"/>
        <v>43416</v>
      </c>
      <c r="AS331" s="753">
        <f t="shared" si="124"/>
        <v>3.5714285714285712E-2</v>
      </c>
      <c r="AT331" s="769">
        <f t="shared" si="125"/>
        <v>31.927835181794528</v>
      </c>
      <c r="AU331" s="13">
        <f t="shared" si="126"/>
        <v>13</v>
      </c>
      <c r="AV331" s="13">
        <f t="shared" si="127"/>
        <v>12</v>
      </c>
      <c r="AW331" s="172">
        <f t="shared" si="128"/>
        <v>43430</v>
      </c>
      <c r="AX331" s="753">
        <f t="shared" si="129"/>
        <v>0.4642857142857143</v>
      </c>
      <c r="AY331" s="769">
        <f t="shared" si="130"/>
        <v>31.800159364473075</v>
      </c>
      <c r="AZ331" s="746">
        <f t="shared" si="134"/>
        <v>31.863997273133801</v>
      </c>
      <c r="BA331" s="641">
        <f t="shared" si="131"/>
        <v>0.97269373793866243</v>
      </c>
      <c r="BC331" s="11">
        <v>43417</v>
      </c>
      <c r="BD331" s="289">
        <f>[2]!FeuilCaduc*(1-Persistant)+Persistant</f>
        <v>0.71745626662741557</v>
      </c>
      <c r="BE331" s="290">
        <f>[2]!CroissVégét</f>
        <v>0.99868762484886009</v>
      </c>
      <c r="BF331" s="819">
        <f>1+[2]!Salcycl*Ksac</f>
        <v>1.014682033328427</v>
      </c>
      <c r="BH331" s="1044">
        <f t="shared" si="132"/>
        <v>1.989297224520821E-2</v>
      </c>
      <c r="BI331" s="11">
        <v>44513</v>
      </c>
      <c r="BJ331" s="726">
        <v>1.2988999928465209E-2</v>
      </c>
      <c r="BK331" s="726">
        <v>1.3705750254483706E-2</v>
      </c>
      <c r="BL331" s="726">
        <v>1.4651687993715147E-2</v>
      </c>
      <c r="BM331" s="726">
        <v>1.6032156995116717E-2</v>
      </c>
      <c r="BN331" s="726">
        <v>1.8200878088299007E-2</v>
      </c>
      <c r="BO331" s="727">
        <v>2.1364997198308183E-2</v>
      </c>
      <c r="BP331" s="726">
        <v>2.617115856214693E-2</v>
      </c>
      <c r="BQ331" s="726">
        <v>3.3377530312998033E-2</v>
      </c>
      <c r="BR331" s="726">
        <v>4.200911916429953E-2</v>
      </c>
      <c r="BS331" s="726">
        <v>5.1130195947163275E-2</v>
      </c>
      <c r="BT331" s="726">
        <v>5.9637857614229579E-2</v>
      </c>
      <c r="BW331" s="1208">
        <f>'2018'!R\Max</f>
        <v>0.23467033568035039</v>
      </c>
      <c r="BX331" s="1206">
        <f>'2019'!R\Max</f>
        <v>0.68191637384880321</v>
      </c>
      <c r="BY331" s="1206">
        <f>'2020'!R\Max</f>
        <v>0.97269373793866243</v>
      </c>
      <c r="BZ331" s="1206">
        <f>'2021'!R\Max</f>
        <v>0.17606751140959406</v>
      </c>
      <c r="CA331" s="1206">
        <f>'2022'!R\Max</f>
        <v>0.84786944860586844</v>
      </c>
      <c r="CB331" s="1206">
        <f>'2023'!R\Max</f>
        <v>0.84782913457300357</v>
      </c>
      <c r="CC331" s="1206">
        <f>'2024'!R\Max</f>
        <v>0.84778880672658352</v>
      </c>
      <c r="CD331" s="1206">
        <f>'2025'!R\Max</f>
        <v>0.84797428310503287</v>
      </c>
      <c r="CE331" s="1206">
        <f>'2026'!R\Max</f>
        <v>0.84795294739218352</v>
      </c>
      <c r="CF331" s="1207">
        <f>'2027'!R\Max</f>
        <v>0.84792608127422775</v>
      </c>
    </row>
    <row r="332" spans="1:84" s="6" customFormat="1" ht="11.25" x14ac:dyDescent="0.2">
      <c r="A332" s="11">
        <v>43418</v>
      </c>
      <c r="B332" s="379">
        <f>'2022'!Maxi_hp</f>
        <v>19.84263142805246</v>
      </c>
      <c r="C332" s="13">
        <f>'2022'!An_max</f>
        <v>2020</v>
      </c>
      <c r="D332" s="1053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2">
        <f t="shared" si="118"/>
        <v>43430</v>
      </c>
      <c r="I332" s="753">
        <f t="shared" si="119"/>
        <v>0.8571428571428571</v>
      </c>
      <c r="J332" s="746">
        <f t="shared" si="120"/>
        <v>31.634858017521246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46">
        <v>43418</v>
      </c>
      <c r="AP332" s="13">
        <f t="shared" si="121"/>
        <v>13</v>
      </c>
      <c r="AQ332" s="13">
        <f t="shared" si="122"/>
        <v>14</v>
      </c>
      <c r="AR332" s="172">
        <f t="shared" si="123"/>
        <v>43416</v>
      </c>
      <c r="AS332" s="753">
        <f t="shared" si="124"/>
        <v>7.1428571428571425E-2</v>
      </c>
      <c r="AT332" s="769">
        <f t="shared" si="125"/>
        <v>31.645013904837622</v>
      </c>
      <c r="AU332" s="13">
        <f t="shared" si="126"/>
        <v>13</v>
      </c>
      <c r="AV332" s="13">
        <f t="shared" si="127"/>
        <v>12</v>
      </c>
      <c r="AW332" s="172">
        <f t="shared" si="128"/>
        <v>43430</v>
      </c>
      <c r="AX332" s="753">
        <f t="shared" si="129"/>
        <v>0.42857142857142855</v>
      </c>
      <c r="AY332" s="769">
        <f t="shared" si="130"/>
        <v>31.502243149892557</v>
      </c>
      <c r="AZ332" s="746">
        <f t="shared" si="134"/>
        <v>31.573628527365088</v>
      </c>
      <c r="BA332" s="641">
        <f t="shared" si="131"/>
        <v>0.62723946530951535</v>
      </c>
      <c r="BC332" s="11">
        <v>43418</v>
      </c>
      <c r="BD332" s="289">
        <f>[2]!FeuilCaduc*(1-Persistant)+Persistant</f>
        <v>0.71227289730794707</v>
      </c>
      <c r="BE332" s="290">
        <f>[2]!CroissVégét</f>
        <v>0.99875369591398344</v>
      </c>
      <c r="BF332" s="819">
        <f>1+[2]!Salcycl*Ksac</f>
        <v>1.0140341121634935</v>
      </c>
      <c r="BH332" s="1044">
        <f t="shared" si="132"/>
        <v>2.0160458867827101E-2</v>
      </c>
      <c r="BI332" s="11">
        <v>44514</v>
      </c>
      <c r="BJ332" s="726">
        <v>1.311456412550008E-2</v>
      </c>
      <c r="BK332" s="726">
        <v>1.3782968287923579E-2</v>
      </c>
      <c r="BL332" s="726">
        <v>1.4732239792998227E-2</v>
      </c>
      <c r="BM332" s="726">
        <v>1.6163910024338413E-2</v>
      </c>
      <c r="BN332" s="726">
        <v>1.8425346506510381E-2</v>
      </c>
      <c r="BO332" s="727">
        <v>2.1669907193655396E-2</v>
      </c>
      <c r="BP332" s="726">
        <v>2.6623610137841817E-2</v>
      </c>
      <c r="BQ332" s="726">
        <v>3.3890477758688448E-2</v>
      </c>
      <c r="BR332" s="726">
        <v>4.2531516108871528E-2</v>
      </c>
      <c r="BS332" s="726">
        <v>5.1529254056971681E-2</v>
      </c>
      <c r="BT332" s="726">
        <v>5.9927195554303397E-2</v>
      </c>
      <c r="BW332" s="1208">
        <f>'2018'!R\Max</f>
        <v>0.61911230359582425</v>
      </c>
      <c r="BX332" s="1206">
        <f>'2019'!R\Max</f>
        <v>0.17806995527837752</v>
      </c>
      <c r="BY332" s="1206">
        <f>'2020'!R\Max</f>
        <v>0.62723946530951535</v>
      </c>
      <c r="BZ332" s="1206">
        <f>'2021'!R\Max</f>
        <v>0.15186011010772588</v>
      </c>
      <c r="CA332" s="1206">
        <f>'2022'!R\Max</f>
        <v>0.40152394330995383</v>
      </c>
      <c r="CB332" s="1206">
        <f>'2023'!R\Max</f>
        <v>0.40144808476114063</v>
      </c>
      <c r="CC332" s="1206">
        <f>'2024'!R\Max</f>
        <v>0.4013722213400136</v>
      </c>
      <c r="CD332" s="1206">
        <f>'2025'!R\Max</f>
        <v>0.40172537890123067</v>
      </c>
      <c r="CE332" s="1206">
        <f>'2026'!R\Max</f>
        <v>0.40168441513316838</v>
      </c>
      <c r="CF332" s="1207">
        <f>'2027'!R\Max</f>
        <v>0.40163271117476917</v>
      </c>
    </row>
    <row r="333" spans="1:84" s="6" customFormat="1" ht="11.25" x14ac:dyDescent="0.2">
      <c r="A333" s="11">
        <v>43419</v>
      </c>
      <c r="B333" s="379">
        <f>'2022'!Maxi_hp</f>
        <v>29.001692225643055</v>
      </c>
      <c r="C333" s="13">
        <f>'2022'!An_max</f>
        <v>2020</v>
      </c>
      <c r="D333" s="1053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2">
        <f t="shared" si="118"/>
        <v>43430</v>
      </c>
      <c r="I333" s="753">
        <f t="shared" si="119"/>
        <v>0.7857142857142857</v>
      </c>
      <c r="J333" s="746">
        <f t="shared" si="120"/>
        <v>31.349891345335969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46">
        <v>43419</v>
      </c>
      <c r="AP333" s="13">
        <f t="shared" si="121"/>
        <v>13</v>
      </c>
      <c r="AQ333" s="13">
        <f t="shared" si="122"/>
        <v>14</v>
      </c>
      <c r="AR333" s="172">
        <f t="shared" si="123"/>
        <v>43416</v>
      </c>
      <c r="AS333" s="753">
        <f t="shared" si="124"/>
        <v>0.10714285714285714</v>
      </c>
      <c r="AT333" s="769">
        <f t="shared" si="125"/>
        <v>31.359794154723311</v>
      </c>
      <c r="AU333" s="13">
        <f t="shared" si="126"/>
        <v>13</v>
      </c>
      <c r="AV333" s="13">
        <f t="shared" si="127"/>
        <v>12</v>
      </c>
      <c r="AW333" s="172">
        <f t="shared" si="128"/>
        <v>43430</v>
      </c>
      <c r="AX333" s="753">
        <f t="shared" si="129"/>
        <v>0.39285714285714285</v>
      </c>
      <c r="AY333" s="769">
        <f t="shared" si="130"/>
        <v>31.208985790177916</v>
      </c>
      <c r="AZ333" s="746">
        <f t="shared" si="134"/>
        <v>31.284389972450612</v>
      </c>
      <c r="BA333" s="641">
        <f t="shared" si="131"/>
        <v>0.92509705715320556</v>
      </c>
      <c r="BC333" s="11">
        <v>43419</v>
      </c>
      <c r="BD333" s="289">
        <f>[2]!FeuilCaduc*(1-Persistant)+Persistant</f>
        <v>0.70718946337911481</v>
      </c>
      <c r="BE333" s="290">
        <f>[2]!CroissVégét</f>
        <v>0.99881711497657366</v>
      </c>
      <c r="BF333" s="819">
        <f>1+[2]!Salcycl*Ksac</f>
        <v>1.0133986829223893</v>
      </c>
      <c r="BH333" s="1044">
        <f t="shared" si="132"/>
        <v>2.0439861453597365E-2</v>
      </c>
      <c r="BI333" s="11">
        <v>44515</v>
      </c>
      <c r="BJ333" s="726">
        <v>1.3230928587816423E-2</v>
      </c>
      <c r="BK333" s="726">
        <v>1.3858104908593523E-2</v>
      </c>
      <c r="BL333" s="726">
        <v>1.4819467443782245E-2</v>
      </c>
      <c r="BM333" s="726">
        <v>1.6308716419053217E-2</v>
      </c>
      <c r="BN333" s="726">
        <v>1.8665430571745151E-2</v>
      </c>
      <c r="BO333" s="727">
        <v>2.1983514639191223E-2</v>
      </c>
      <c r="BP333" s="726">
        <v>2.7061238831875511E-2</v>
      </c>
      <c r="BQ333" s="726">
        <v>3.4356341776083023E-2</v>
      </c>
      <c r="BR333" s="726">
        <v>4.2979042579383259E-2</v>
      </c>
      <c r="BS333" s="726">
        <v>5.1849327539290037E-2</v>
      </c>
      <c r="BT333" s="726">
        <v>6.0151775274336967E-2</v>
      </c>
      <c r="BW333" s="1208">
        <f>'2018'!R\Max</f>
        <v>0.60324684481290314</v>
      </c>
      <c r="BX333" s="1206">
        <f>'2019'!R\Max</f>
        <v>0.55215180459877289</v>
      </c>
      <c r="BY333" s="1206">
        <f>'2020'!R\Max</f>
        <v>0.92509705715320556</v>
      </c>
      <c r="BZ333" s="1206">
        <f>'2021'!R\Max</f>
        <v>0.21621784691988741</v>
      </c>
      <c r="CA333" s="1206">
        <f>'2022'!R\Max</f>
        <v>0.43887733666012685</v>
      </c>
      <c r="CB333" s="1206">
        <f>'2023'!R\Max</f>
        <v>0.43879914503749839</v>
      </c>
      <c r="CC333" s="1206">
        <f>'2024'!R\Max</f>
        <v>0.43872094650843318</v>
      </c>
      <c r="CD333" s="1206">
        <f>'2025'!R\Max</f>
        <v>0.43908909630515641</v>
      </c>
      <c r="CE333" s="1206">
        <f>'2026'!R\Max</f>
        <v>0.4390460347752928</v>
      </c>
      <c r="CF333" s="1207">
        <f>'2027'!R\Max</f>
        <v>0.43899162094273209</v>
      </c>
    </row>
    <row r="334" spans="1:84" s="6" customFormat="1" ht="11.25" x14ac:dyDescent="0.2">
      <c r="A334" s="11">
        <v>43420</v>
      </c>
      <c r="B334" s="379">
        <f>'2022'!Maxi_hp</f>
        <v>30.583445229560123</v>
      </c>
      <c r="C334" s="13">
        <f>'2022'!An_max</f>
        <v>2022</v>
      </c>
      <c r="D334" s="1053">
        <f t="shared" si="116"/>
        <v>0.98444936346232936</v>
      </c>
      <c r="E334" s="13"/>
      <c r="F334" s="13">
        <f t="shared" si="133"/>
        <v>25</v>
      </c>
      <c r="G334" s="13">
        <f t="shared" si="117"/>
        <v>24</v>
      </c>
      <c r="H334" s="172">
        <f t="shared" si="118"/>
        <v>43430</v>
      </c>
      <c r="I334" s="753">
        <f t="shared" si="119"/>
        <v>0.7142857142857143</v>
      </c>
      <c r="J334" s="746">
        <f t="shared" si="120"/>
        <v>31.06654985483204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46">
        <v>43420</v>
      </c>
      <c r="AP334" s="13">
        <f t="shared" si="121"/>
        <v>13</v>
      </c>
      <c r="AQ334" s="13">
        <f t="shared" si="122"/>
        <v>14</v>
      </c>
      <c r="AR334" s="172">
        <f t="shared" si="123"/>
        <v>43416</v>
      </c>
      <c r="AS334" s="753">
        <f t="shared" si="124"/>
        <v>0.14285714285714285</v>
      </c>
      <c r="AT334" s="769">
        <f t="shared" si="125"/>
        <v>31.072933914086651</v>
      </c>
      <c r="AU334" s="13">
        <f t="shared" si="126"/>
        <v>13</v>
      </c>
      <c r="AV334" s="13">
        <f t="shared" si="127"/>
        <v>12</v>
      </c>
      <c r="AW334" s="172">
        <f t="shared" si="128"/>
        <v>43430</v>
      </c>
      <c r="AX334" s="753">
        <f t="shared" si="129"/>
        <v>0.35714285714285715</v>
      </c>
      <c r="AY334" s="769">
        <f t="shared" si="130"/>
        <v>30.920915471057278</v>
      </c>
      <c r="AZ334" s="746">
        <f t="shared" si="134"/>
        <v>30.996924692571966</v>
      </c>
      <c r="BA334" s="641">
        <f t="shared" si="131"/>
        <v>0.98444936346232936</v>
      </c>
      <c r="BC334" s="11">
        <v>43420</v>
      </c>
      <c r="BD334" s="289">
        <f>[2]!FeuilCaduc*(1-Persistant)+Persistant</f>
        <v>0.70221227596561042</v>
      </c>
      <c r="BE334" s="290">
        <f>[2]!CroissVégét</f>
        <v>0.9988779881675528</v>
      </c>
      <c r="BF334" s="819">
        <f>1+[2]!Salcycl*Ksac</f>
        <v>1.0127765344957014</v>
      </c>
      <c r="BH334" s="1044">
        <f t="shared" si="132"/>
        <v>2.0731164554951907E-2</v>
      </c>
      <c r="BI334" s="11">
        <v>44516</v>
      </c>
      <c r="BJ334" s="726">
        <v>1.3338066491019776E-2</v>
      </c>
      <c r="BK334" s="726">
        <v>1.3931142508768682E-2</v>
      </c>
      <c r="BL334" s="726">
        <v>1.4913362037315307E-2</v>
      </c>
      <c r="BM334" s="726">
        <v>1.6466570987645982E-2</v>
      </c>
      <c r="BN334" s="726">
        <v>1.892112219015412E-2</v>
      </c>
      <c r="BO334" s="727">
        <v>2.230579769003542E-2</v>
      </c>
      <c r="BP334" s="726">
        <v>2.7483986496288675E-2</v>
      </c>
      <c r="BQ334" s="726">
        <v>3.4775019714257289E-2</v>
      </c>
      <c r="BR334" s="726">
        <v>4.3351557200950665E-2</v>
      </c>
      <c r="BS334" s="726">
        <v>5.2090267472161722E-2</v>
      </c>
      <c r="BT334" s="726">
        <v>6.0311460547681793E-2</v>
      </c>
      <c r="BW334" s="1208">
        <f>'2018'!R\Max</f>
        <v>0.86639949762413215</v>
      </c>
      <c r="BX334" s="1206">
        <f>'2019'!R\Max</f>
        <v>0.57290852712130058</v>
      </c>
      <c r="BY334" s="1206">
        <f>'2020'!R\Max</f>
        <v>0.70087534413666319</v>
      </c>
      <c r="BZ334" s="1206">
        <f>'2021'!R\Max</f>
        <v>0.29710576429896846</v>
      </c>
      <c r="CA334" s="1206">
        <f>'2022'!R\Max</f>
        <v>0.98444936346232936</v>
      </c>
      <c r="CB334" s="1206">
        <f>'2023'!R\Max</f>
        <v>0.98444449476062534</v>
      </c>
      <c r="CC334" s="1206">
        <f>'2024'!R\Max</f>
        <v>0.98443962393818729</v>
      </c>
      <c r="CD334" s="1206">
        <f>'2025'!R\Max</f>
        <v>0.98446279770048573</v>
      </c>
      <c r="CE334" s="1206">
        <f>'2026'!R\Max</f>
        <v>0.98446006423113797</v>
      </c>
      <c r="CF334" s="1207">
        <f>'2027'!R\Max</f>
        <v>0.98445660994148454</v>
      </c>
    </row>
    <row r="335" spans="1:84" s="6" customFormat="1" ht="11.25" x14ac:dyDescent="0.2">
      <c r="A335" s="11">
        <v>43421</v>
      </c>
      <c r="B335" s="379">
        <f>'2022'!Maxi_hp</f>
        <v>29.428386616561589</v>
      </c>
      <c r="C335" s="13">
        <f>'2022'!An_max</f>
        <v>2018</v>
      </c>
      <c r="D335" s="1053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2">
        <f t="shared" ref="H335:H380" si="137">INDEX(x.2m,F335)</f>
        <v>43430</v>
      </c>
      <c r="I335" s="753">
        <f t="shared" ref="I335:I380" si="138">($A335-H335)/(INDEX(x.2m,G335)-H335)</f>
        <v>0.6428571428571429</v>
      </c>
      <c r="J335" s="746">
        <f t="shared" ref="J335:J380" si="139">((1-I335)*(INDEX(a.m,F335)*$A335*$A335+INDEX(b.m,F335)*$A335+INDEX(c.m,F335))+I335*(INDEX(a.m,G335)*$A335*$A335+INDEX(b.m,G335)*$A335+INDEX(c.m,G335)))/10</f>
        <v>30.785375273813095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46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2">
        <f t="shared" ref="AR335:AR380" si="142">INDEX(x.2lg,AP335)</f>
        <v>43416</v>
      </c>
      <c r="AS335" s="753">
        <f t="shared" ref="AS335:AS380" si="143">($A335-AR335)/(INDEX(x.2lg,AQ335)-AR335)</f>
        <v>0.17857142857142858</v>
      </c>
      <c r="AT335" s="769">
        <f t="shared" ref="AT335:AT380" si="144">((1-AS335)*(INDEX(a.lg,AP335)*$A335*$A335+INDEX(b.lg,AP335)*$A335+INDEX(c.lg,AP335))+AS335*(INDEX(a.lg,AQ335)*$A335*$A335+INDEX(b.lg,AQ335)*$A335+INDEX(c.lg,AQ335)))/10</f>
        <v>30.785191168556253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2">
        <f t="shared" ref="AW335:AW380" si="147">INDEX(x.2ld,AU335)</f>
        <v>43430</v>
      </c>
      <c r="AX335" s="753">
        <f t="shared" ref="AX335:AX380" si="148">($A335-AW335)/(INDEX(x.2ld,AV335)-AW335)</f>
        <v>0.32142857142857145</v>
      </c>
      <c r="AY335" s="769">
        <f t="shared" ref="AY335:AY380" si="149">((1-AX335)*(INDEX(a.ld,AU335)*$A335*$A335+INDEX(b.ld,AU335)*$A335+INDEX(c.ld,AU335))+AX335*(INDEX(a.ld,AV335)*$A335*$A335+INDEX(b.ld,AV335)*$A335+INDEX(c.ld,AV335)))/10</f>
        <v>30.638560376090133</v>
      </c>
      <c r="AZ335" s="746">
        <f t="shared" si="134"/>
        <v>30.711875772323193</v>
      </c>
      <c r="BA335" s="641">
        <f t="shared" ref="BA335:BA380" si="150">+B335/J335</f>
        <v>0.9559209967336082</v>
      </c>
      <c r="BC335" s="11">
        <v>43421</v>
      </c>
      <c r="BD335" s="289">
        <f>[2]!FeuilCaduc*(1-Persistant)+Persistant</f>
        <v>0.69734724864930842</v>
      </c>
      <c r="BE335" s="290">
        <f>[2]!CroissVégét</f>
        <v>0.99893641739554129</v>
      </c>
      <c r="BF335" s="819">
        <f>1+[2]!Salcycl*Ksac</f>
        <v>1.0121684060811635</v>
      </c>
      <c r="BH335" s="1044">
        <f t="shared" ref="BH335:BH380" si="151">INDEX($BJ335:$BT335,,$BH$10)*(1-Ratini)+INDEX($BJ335:$BT335,,$BH$10+1)*Ratini</f>
        <v>2.1034350744716143E-2</v>
      </c>
      <c r="BI335" s="11">
        <v>44517</v>
      </c>
      <c r="BJ335" s="726">
        <v>1.3435951355133854E-2</v>
      </c>
      <c r="BK335" s="726">
        <v>1.4002063386861129E-2</v>
      </c>
      <c r="BL335" s="726">
        <v>1.5013913806060966E-2</v>
      </c>
      <c r="BM335" s="726">
        <v>1.6637466947596477E-2</v>
      </c>
      <c r="BN335" s="726">
        <v>1.9192411124091077E-2</v>
      </c>
      <c r="BO335" s="727">
        <v>2.263673266453569E-2</v>
      </c>
      <c r="BP335" s="726">
        <v>2.7891794640803984E-2</v>
      </c>
      <c r="BQ335" s="726">
        <v>3.5146411139879208E-2</v>
      </c>
      <c r="BR335" s="726">
        <v>4.3648923175351011E-2</v>
      </c>
      <c r="BS335" s="726">
        <v>5.2251930310549199E-2</v>
      </c>
      <c r="BT335" s="726">
        <v>6.0406119698141608E-2</v>
      </c>
      <c r="BW335" s="1208">
        <f>'2018'!R\Max</f>
        <v>0.9559209967336082</v>
      </c>
      <c r="BX335" s="1206">
        <f>'2019'!R\Max</f>
        <v>0.3152328786671883</v>
      </c>
      <c r="BY335" s="1206">
        <f>'2020'!R\Max</f>
        <v>0.67101505838860842</v>
      </c>
      <c r="BZ335" s="1206">
        <f>'2021'!R\Max</f>
        <v>9.3760104308769826E-2</v>
      </c>
      <c r="CA335" s="1206">
        <f>'2022'!R\Max</f>
        <v>0.51162051705342226</v>
      </c>
      <c r="CB335" s="1206">
        <f>'2023'!R\Max</f>
        <v>0.51154129078116384</v>
      </c>
      <c r="CC335" s="1206">
        <f>'2024'!R\Max</f>
        <v>0.51146205386512678</v>
      </c>
      <c r="CD335" s="1206">
        <f>'2025'!R\Max</f>
        <v>0.51184349397677764</v>
      </c>
      <c r="CE335" s="1206">
        <f>'2026'!R\Max</f>
        <v>0.51179802314764411</v>
      </c>
      <c r="CF335" s="1207">
        <f>'2027'!R\Max</f>
        <v>0.51174065196046969</v>
      </c>
    </row>
    <row r="336" spans="1:84" s="6" customFormat="1" ht="11.25" x14ac:dyDescent="0.2">
      <c r="A336" s="11">
        <v>43422</v>
      </c>
      <c r="B336" s="379">
        <f>'2022'!Maxi_hp</f>
        <v>28.461608184939823</v>
      </c>
      <c r="C336" s="13">
        <f>'2022'!An_max</f>
        <v>2020</v>
      </c>
      <c r="D336" s="1053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2">
        <f t="shared" si="137"/>
        <v>43430</v>
      </c>
      <c r="I336" s="753">
        <f t="shared" si="138"/>
        <v>0.5714285714285714</v>
      </c>
      <c r="J336" s="746">
        <f t="shared" si="139"/>
        <v>30.506909329763481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46">
        <v>43422</v>
      </c>
      <c r="AP336" s="13">
        <f t="shared" si="140"/>
        <v>13</v>
      </c>
      <c r="AQ336" s="13">
        <f t="shared" si="141"/>
        <v>14</v>
      </c>
      <c r="AR336" s="172">
        <f t="shared" si="142"/>
        <v>43416</v>
      </c>
      <c r="AS336" s="753">
        <f t="shared" si="143"/>
        <v>0.21428571428571427</v>
      </c>
      <c r="AT336" s="769">
        <f t="shared" si="144"/>
        <v>30.497323901126428</v>
      </c>
      <c r="AU336" s="13">
        <f t="shared" si="145"/>
        <v>13</v>
      </c>
      <c r="AV336" s="13">
        <f t="shared" si="146"/>
        <v>12</v>
      </c>
      <c r="AW336" s="172">
        <f t="shared" si="147"/>
        <v>43430</v>
      </c>
      <c r="AX336" s="753">
        <f t="shared" si="148"/>
        <v>0.2857142857142857</v>
      </c>
      <c r="AY336" s="769">
        <f t="shared" si="149"/>
        <v>30.362448688862578</v>
      </c>
      <c r="AZ336" s="746">
        <f t="shared" ref="AZ336:AZ380" si="153">(AY336+AT336)/2</f>
        <v>30.429886294994503</v>
      </c>
      <c r="BA336" s="641">
        <f t="shared" si="150"/>
        <v>0.93295613388052401</v>
      </c>
      <c r="BC336" s="11">
        <v>43422</v>
      </c>
      <c r="BD336" s="289">
        <f>[2]!FeuilCaduc*(1-Persistant)+Persistant</f>
        <v>0.69259987253677058</v>
      </c>
      <c r="BE336" s="290">
        <f>[2]!CroissVégét</f>
        <v>0.99899250051286803</v>
      </c>
      <c r="BF336" s="819">
        <f>1+[2]!Salcycl*Ksac</f>
        <v>1.0115749840670962</v>
      </c>
      <c r="BH336" s="1044">
        <f t="shared" si="151"/>
        <v>2.1349400506713918E-2</v>
      </c>
      <c r="BI336" s="11">
        <v>44518</v>
      </c>
      <c r="BJ336" s="726">
        <v>1.3524557128130202E-2</v>
      </c>
      <c r="BK336" s="726">
        <v>1.4070849765425796E-2</v>
      </c>
      <c r="BL336" s="726">
        <v>1.512111206152527E-2</v>
      </c>
      <c r="BM336" s="726">
        <v>1.6821395805177174E-2</v>
      </c>
      <c r="BN336" s="726">
        <v>1.9479284848774932E-2</v>
      </c>
      <c r="BO336" s="727">
        <v>2.2976293964402799E-2</v>
      </c>
      <c r="BP336" s="726">
        <v>2.8284604568557446E-2</v>
      </c>
      <c r="BQ336" s="726">
        <v>3.5470418267591966E-2</v>
      </c>
      <c r="BR336" s="726">
        <v>4.3871008964622787E-2</v>
      </c>
      <c r="BS336" s="726">
        <v>5.2334178605656118E-2</v>
      </c>
      <c r="BT336" s="726">
        <v>6.0435626187439605E-2</v>
      </c>
      <c r="BW336" s="1208">
        <f>'2018'!R\Max</f>
        <v>0.78190037195871531</v>
      </c>
      <c r="BX336" s="1206">
        <f>'2019'!R\Max</f>
        <v>0.35439732502756915</v>
      </c>
      <c r="BY336" s="1206">
        <f>'2020'!R\Max</f>
        <v>0.93295613388052401</v>
      </c>
      <c r="BZ336" s="1206">
        <f>'2021'!R\Max</f>
        <v>0.67507619106711436</v>
      </c>
      <c r="CA336" s="1206">
        <f>'2022'!R\Max</f>
        <v>0.46069796068224433</v>
      </c>
      <c r="CB336" s="1206">
        <f>'2023'!R\Max</f>
        <v>0.46061975318042253</v>
      </c>
      <c r="CC336" s="1206">
        <f>'2024'!R\Max</f>
        <v>0.46054153775531381</v>
      </c>
      <c r="CD336" s="1206">
        <f>'2025'!R\Max</f>
        <v>0.46092238392240342</v>
      </c>
      <c r="CE336" s="1206">
        <f>'2026'!R\Max</f>
        <v>0.46087648692989092</v>
      </c>
      <c r="CF336" s="1207">
        <f>'2027'!R\Max</f>
        <v>0.46081872753972264</v>
      </c>
    </row>
    <row r="337" spans="1:84" s="6" customFormat="1" ht="11.25" x14ac:dyDescent="0.2">
      <c r="A337" s="11">
        <v>43423</v>
      </c>
      <c r="B337" s="379">
        <f>'2022'!Maxi_hp</f>
        <v>29.760900399703338</v>
      </c>
      <c r="C337" s="13">
        <f>'2022'!An_max</f>
        <v>2021</v>
      </c>
      <c r="D337" s="1053">
        <f t="shared" si="135"/>
        <v>0.98442715928025082</v>
      </c>
      <c r="E337" s="13"/>
      <c r="F337" s="13">
        <f t="shared" si="152"/>
        <v>25</v>
      </c>
      <c r="G337" s="13">
        <f t="shared" si="136"/>
        <v>24</v>
      </c>
      <c r="H337" s="172">
        <f t="shared" si="137"/>
        <v>43430</v>
      </c>
      <c r="I337" s="753">
        <f t="shared" si="138"/>
        <v>0.5</v>
      </c>
      <c r="J337" s="746">
        <f t="shared" si="139"/>
        <v>30.231693751178682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46">
        <v>43423</v>
      </c>
      <c r="AP337" s="13">
        <f t="shared" si="140"/>
        <v>13</v>
      </c>
      <c r="AQ337" s="13">
        <f t="shared" si="141"/>
        <v>14</v>
      </c>
      <c r="AR337" s="172">
        <f t="shared" si="142"/>
        <v>43416</v>
      </c>
      <c r="AS337" s="753">
        <f t="shared" si="143"/>
        <v>0.25</v>
      </c>
      <c r="AT337" s="769">
        <f t="shared" si="144"/>
        <v>30.210090097039938</v>
      </c>
      <c r="AU337" s="13">
        <f t="shared" si="145"/>
        <v>13</v>
      </c>
      <c r="AV337" s="13">
        <f t="shared" si="146"/>
        <v>12</v>
      </c>
      <c r="AW337" s="172">
        <f t="shared" si="147"/>
        <v>43430</v>
      </c>
      <c r="AX337" s="753">
        <f t="shared" si="148"/>
        <v>0.25</v>
      </c>
      <c r="AY337" s="769">
        <f t="shared" si="149"/>
        <v>30.093108594464137</v>
      </c>
      <c r="AZ337" s="746">
        <f t="shared" si="153"/>
        <v>30.151599345752039</v>
      </c>
      <c r="BA337" s="641">
        <f t="shared" si="150"/>
        <v>0.98442715928025082</v>
      </c>
      <c r="BC337" s="11">
        <v>43423</v>
      </c>
      <c r="BD337" s="289">
        <f>[2]!FeuilCaduc*(1-Persistant)+Persistant</f>
        <v>0.68797519391974316</v>
      </c>
      <c r="BE337" s="290">
        <f>[2]!CroissVégét</f>
        <v>0.99904633147520905</v>
      </c>
      <c r="BF337" s="819">
        <f>1+[2]!Salcycl*Ksac</f>
        <v>1.0109968992399678</v>
      </c>
      <c r="BH337" s="1044">
        <f t="shared" si="151"/>
        <v>2.1676292126469633E-2</v>
      </c>
      <c r="BI337" s="11">
        <v>44519</v>
      </c>
      <c r="BJ337" s="726">
        <v>1.3603858269516884E-2</v>
      </c>
      <c r="BK337" s="726">
        <v>1.4137483809227172E-2</v>
      </c>
      <c r="BL337" s="726">
        <v>1.5234945132149603E-2</v>
      </c>
      <c r="BM337" s="726">
        <v>1.7018347235225426E-2</v>
      </c>
      <c r="BN337" s="726">
        <v>1.9781728409039519E-2</v>
      </c>
      <c r="BO337" s="727">
        <v>2.3324453994949292E-2</v>
      </c>
      <c r="BP337" s="726">
        <v>2.8662357511957424E-2</v>
      </c>
      <c r="BQ337" s="726">
        <v>3.5746946390554202E-2</v>
      </c>
      <c r="BR337" s="726">
        <v>4.4017688974857277E-2</v>
      </c>
      <c r="BS337" s="726">
        <v>5.233688172447399E-2</v>
      </c>
      <c r="BT337" s="726">
        <v>6.0399859202942739E-2</v>
      </c>
      <c r="BW337" s="1208">
        <f>'2018'!R\Max</f>
        <v>0.55639965703466931</v>
      </c>
      <c r="BX337" s="1206">
        <f>'2019'!R\Max</f>
        <v>0.63482376635795323</v>
      </c>
      <c r="BY337" s="1206">
        <f>'2020'!R\Max</f>
        <v>0.98264692977204382</v>
      </c>
      <c r="BZ337" s="1206">
        <f>'2021'!R\Max</f>
        <v>0.98442715928025082</v>
      </c>
      <c r="CA337" s="1206">
        <f>'2022'!R\Max</f>
        <v>0.30914178846096452</v>
      </c>
      <c r="CB337" s="1206">
        <f>'2023'!R\Max</f>
        <v>0.30907535415367682</v>
      </c>
      <c r="CC337" s="1206">
        <f>'2024'!R\Max</f>
        <v>0.30900891945937475</v>
      </c>
      <c r="CD337" s="1206">
        <f>'2025'!R\Max</f>
        <v>0.30933626270952419</v>
      </c>
      <c r="CE337" s="1206">
        <f>'2026'!R\Max</f>
        <v>0.30929633691096658</v>
      </c>
      <c r="CF337" s="1207">
        <f>'2027'!R\Max</f>
        <v>0.30924628250864139</v>
      </c>
    </row>
    <row r="338" spans="1:84" s="6" customFormat="1" ht="11.25" x14ac:dyDescent="0.2">
      <c r="A338" s="11">
        <v>43424</v>
      </c>
      <c r="B338" s="379">
        <f>'2022'!Maxi_hp</f>
        <v>30.755738511673645</v>
      </c>
      <c r="C338" s="13">
        <f>'2022'!An_max</f>
        <v>2019</v>
      </c>
      <c r="D338" s="1053">
        <f t="shared" si="135"/>
        <v>1.0265507701303029</v>
      </c>
      <c r="E338" s="13"/>
      <c r="F338" s="13">
        <f t="shared" si="152"/>
        <v>25</v>
      </c>
      <c r="G338" s="13">
        <f t="shared" si="136"/>
        <v>24</v>
      </c>
      <c r="H338" s="172">
        <f t="shared" si="137"/>
        <v>43430</v>
      </c>
      <c r="I338" s="753">
        <f t="shared" si="138"/>
        <v>0.42857142857142855</v>
      </c>
      <c r="J338" s="746">
        <f t="shared" si="139"/>
        <v>29.960270262882112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46">
        <v>43424</v>
      </c>
      <c r="AP338" s="13">
        <f t="shared" si="140"/>
        <v>13</v>
      </c>
      <c r="AQ338" s="13">
        <f t="shared" si="141"/>
        <v>14</v>
      </c>
      <c r="AR338" s="172">
        <f t="shared" si="142"/>
        <v>43416</v>
      </c>
      <c r="AS338" s="753">
        <f t="shared" si="143"/>
        <v>0.2857142857142857</v>
      </c>
      <c r="AT338" s="769">
        <f t="shared" si="144"/>
        <v>29.924247739570482</v>
      </c>
      <c r="AU338" s="13">
        <f t="shared" si="145"/>
        <v>13</v>
      </c>
      <c r="AV338" s="13">
        <f t="shared" si="146"/>
        <v>12</v>
      </c>
      <c r="AW338" s="172">
        <f t="shared" si="147"/>
        <v>43430</v>
      </c>
      <c r="AX338" s="753">
        <f t="shared" si="148"/>
        <v>0.21428571428571427</v>
      </c>
      <c r="AY338" s="769">
        <f t="shared" si="149"/>
        <v>29.831068277385619</v>
      </c>
      <c r="AZ338" s="746">
        <f t="shared" si="153"/>
        <v>29.877658008478051</v>
      </c>
      <c r="BA338" s="641">
        <f t="shared" si="150"/>
        <v>1.0265507701303029</v>
      </c>
      <c r="BC338" s="11">
        <v>43424</v>
      </c>
      <c r="BD338" s="289">
        <f>[2]!FeuilCaduc*(1-Persistant)+Persistant</f>
        <v>0.6834777946811299</v>
      </c>
      <c r="BE338" s="290">
        <f>[2]!CroissVégét</f>
        <v>0.99909800049508712</v>
      </c>
      <c r="BF338" s="819">
        <f>1+[2]!Salcycl*Ksac</f>
        <v>1.0104347243351413</v>
      </c>
      <c r="BH338" s="1044">
        <f t="shared" si="151"/>
        <v>2.1998023888230758E-2</v>
      </c>
      <c r="BI338" s="11">
        <v>44520</v>
      </c>
      <c r="BJ338" s="726">
        <v>1.3680103163371806E-2</v>
      </c>
      <c r="BK338" s="726">
        <v>1.4210085867752501E-2</v>
      </c>
      <c r="BL338" s="726">
        <v>1.5358208984631784E-2</v>
      </c>
      <c r="BM338" s="726">
        <v>1.7223022516940543E-2</v>
      </c>
      <c r="BN338" s="726">
        <v>2.0084369417292889E-2</v>
      </c>
      <c r="BO338" s="727">
        <v>2.3662793618289598E-2</v>
      </c>
      <c r="BP338" s="726">
        <v>2.9005876967219964E-2</v>
      </c>
      <c r="BQ338" s="726">
        <v>3.5962248720204565E-2</v>
      </c>
      <c r="BR338" s="726">
        <v>4.4079869601589258E-2</v>
      </c>
      <c r="BS338" s="726">
        <v>5.2254829924397117E-2</v>
      </c>
      <c r="BT338" s="726">
        <v>6.029233737398846E-2</v>
      </c>
      <c r="BW338" s="1208">
        <f>'2018'!R\Max</f>
        <v>0.39922426101158853</v>
      </c>
      <c r="BX338" s="1206">
        <f>'2019'!R\Max</f>
        <v>1.0265507701303029</v>
      </c>
      <c r="BY338" s="1206">
        <f>'2020'!R\Max</f>
        <v>0.22999113558861553</v>
      </c>
      <c r="BZ338" s="1206">
        <f>'2021'!R\Max</f>
        <v>0.76651335753497873</v>
      </c>
      <c r="CA338" s="1206">
        <f>'2022'!R\Max</f>
        <v>0.64175138940352605</v>
      </c>
      <c r="CB338" s="1206">
        <f>'2023'!R\Max</f>
        <v>0.64168098841986232</v>
      </c>
      <c r="CC338" s="1206">
        <f>'2024'!R\Max</f>
        <v>0.64161057269015731</v>
      </c>
      <c r="CD338" s="1206">
        <f>'2025'!R\Max</f>
        <v>0.64196143332225475</v>
      </c>
      <c r="CE338" s="1206">
        <f>'2026'!R\Max</f>
        <v>0.64191813263917441</v>
      </c>
      <c r="CF338" s="1207">
        <f>'2027'!R\Max</f>
        <v>0.64186408684767193</v>
      </c>
    </row>
    <row r="339" spans="1:84" s="6" customFormat="1" ht="11.25" x14ac:dyDescent="0.2">
      <c r="A339" s="11">
        <v>43425</v>
      </c>
      <c r="B339" s="379">
        <f>'2022'!Maxi_hp</f>
        <v>29.244111126722764</v>
      </c>
      <c r="C339" s="13">
        <f>'2022'!An_max</f>
        <v>2019</v>
      </c>
      <c r="D339" s="1053">
        <f t="shared" si="135"/>
        <v>0.98487634336324814</v>
      </c>
      <c r="E339" s="13"/>
      <c r="F339" s="13">
        <f>INT(MATCH($A339,x.2m)/2)*2+1</f>
        <v>25</v>
      </c>
      <c r="G339" s="13">
        <f>INT((MATCH($A339,x.2m)+1)/2)*2</f>
        <v>24</v>
      </c>
      <c r="H339" s="172">
        <f t="shared" si="137"/>
        <v>43430</v>
      </c>
      <c r="I339" s="753">
        <f t="shared" si="138"/>
        <v>0.35714285714285715</v>
      </c>
      <c r="J339" s="746">
        <f t="shared" si="139"/>
        <v>29.693180594486847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46">
        <v>43425</v>
      </c>
      <c r="AP339" s="13">
        <f t="shared" si="140"/>
        <v>13</v>
      </c>
      <c r="AQ339" s="13">
        <f t="shared" si="141"/>
        <v>14</v>
      </c>
      <c r="AR339" s="172">
        <f t="shared" si="142"/>
        <v>43416</v>
      </c>
      <c r="AS339" s="753">
        <f t="shared" si="143"/>
        <v>0.32142857142857145</v>
      </c>
      <c r="AT339" s="769">
        <f t="shared" si="144"/>
        <v>29.640554812284456</v>
      </c>
      <c r="AU339" s="13">
        <f t="shared" si="145"/>
        <v>13</v>
      </c>
      <c r="AV339" s="13">
        <f t="shared" si="146"/>
        <v>12</v>
      </c>
      <c r="AW339" s="172">
        <f t="shared" si="147"/>
        <v>43430</v>
      </c>
      <c r="AX339" s="753">
        <f t="shared" si="148"/>
        <v>0.17857142857142858</v>
      </c>
      <c r="AY339" s="769">
        <f t="shared" si="149"/>
        <v>29.576855919975788</v>
      </c>
      <c r="AZ339" s="746">
        <f t="shared" si="153"/>
        <v>29.608705366130124</v>
      </c>
      <c r="BA339" s="641">
        <f t="shared" si="150"/>
        <v>0.98487634336324814</v>
      </c>
      <c r="BC339" s="11">
        <v>43425</v>
      </c>
      <c r="BD339" s="289">
        <f>[2]!FeuilCaduc*(1-Persistant)+Persistant</f>
        <v>0.67911177557735525</v>
      </c>
      <c r="BE339" s="290">
        <f>[2]!CroissVégét</f>
        <v>0.99914759418945731</v>
      </c>
      <c r="BF339" s="819">
        <f>1+[2]!Salcycl*Ksac</f>
        <v>1.0098889719471693</v>
      </c>
      <c r="BH339" s="1044">
        <f t="shared" si="151"/>
        <v>2.2304489538058279E-2</v>
      </c>
      <c r="BI339" s="11">
        <v>44521</v>
      </c>
      <c r="BJ339" s="726">
        <v>1.3765197556769504E-2</v>
      </c>
      <c r="BK339" s="726">
        <v>1.4296822587168653E-2</v>
      </c>
      <c r="BL339" s="726">
        <v>1.5492720843301925E-2</v>
      </c>
      <c r="BM339" s="726">
        <v>1.7430875803366858E-2</v>
      </c>
      <c r="BN339" s="726">
        <v>2.0376383312955181E-2</v>
      </c>
      <c r="BO339" s="727">
        <v>2.398183146610056E-2</v>
      </c>
      <c r="BP339" s="726">
        <v>2.9312071570688342E-2</v>
      </c>
      <c r="BQ339" s="726">
        <v>3.6133401018220129E-2</v>
      </c>
      <c r="BR339" s="726">
        <v>4.4094153226933337E-2</v>
      </c>
      <c r="BS339" s="726">
        <v>5.2130309167006401E-2</v>
      </c>
      <c r="BT339" s="726">
        <v>6.013754070032673E-2</v>
      </c>
      <c r="BW339" s="1208">
        <f>'2018'!R\Max</f>
        <v>0.97377794473349466</v>
      </c>
      <c r="BX339" s="1206">
        <f>'2019'!R\Max</f>
        <v>0.98487634336324814</v>
      </c>
      <c r="BY339" s="1206">
        <f>'2020'!R\Max</f>
        <v>0.7961596350146658</v>
      </c>
      <c r="BZ339" s="1206">
        <f>'2021'!R\Max</f>
        <v>0.34700409429831319</v>
      </c>
      <c r="CA339" s="1206">
        <f>'2022'!R\Max</f>
        <v>0.11079924243815424</v>
      </c>
      <c r="CB339" s="1206">
        <f>'2023'!R\Max</f>
        <v>0.11077588915611977</v>
      </c>
      <c r="CC339" s="1206">
        <f>'2024'!R\Max</f>
        <v>0.11075253587408526</v>
      </c>
      <c r="CD339" s="1206">
        <f>'2025'!R\Max</f>
        <v>0.11087018329629333</v>
      </c>
      <c r="CE339" s="1206">
        <f>'2026'!R\Max</f>
        <v>0.11085548713191415</v>
      </c>
      <c r="CF339" s="1207">
        <f>'2027'!R\Max</f>
        <v>0.11083723869494426</v>
      </c>
    </row>
    <row r="340" spans="1:84" s="6" customFormat="1" ht="11.25" x14ac:dyDescent="0.2">
      <c r="A340" s="11">
        <v>43426</v>
      </c>
      <c r="B340" s="379">
        <f>'2022'!Maxi_hp</f>
        <v>30.738398160711071</v>
      </c>
      <c r="C340" s="13">
        <f>'2022'!An_max</f>
        <v>2020</v>
      </c>
      <c r="D340" s="1053">
        <f t="shared" si="135"/>
        <v>1.0444236749325095</v>
      </c>
      <c r="E340" s="13"/>
      <c r="F340" s="13">
        <f t="shared" si="152"/>
        <v>25</v>
      </c>
      <c r="G340" s="13">
        <f t="shared" si="136"/>
        <v>24</v>
      </c>
      <c r="H340" s="172">
        <f t="shared" si="137"/>
        <v>43430</v>
      </c>
      <c r="I340" s="753">
        <f t="shared" si="138"/>
        <v>0.2857142857142857</v>
      </c>
      <c r="J340" s="746">
        <f t="shared" si="139"/>
        <v>29.430966473157916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46">
        <v>43426</v>
      </c>
      <c r="AP340" s="13">
        <f t="shared" si="140"/>
        <v>13</v>
      </c>
      <c r="AQ340" s="13">
        <f t="shared" si="141"/>
        <v>14</v>
      </c>
      <c r="AR340" s="172">
        <f t="shared" si="142"/>
        <v>43416</v>
      </c>
      <c r="AS340" s="753">
        <f t="shared" si="143"/>
        <v>0.35714285714285715</v>
      </c>
      <c r="AT340" s="769">
        <f t="shared" si="144"/>
        <v>29.359769302393705</v>
      </c>
      <c r="AU340" s="13">
        <f t="shared" si="145"/>
        <v>13</v>
      </c>
      <c r="AV340" s="13">
        <f t="shared" si="146"/>
        <v>12</v>
      </c>
      <c r="AW340" s="172">
        <f t="shared" si="147"/>
        <v>43430</v>
      </c>
      <c r="AX340" s="753">
        <f t="shared" si="148"/>
        <v>0.14285714285714285</v>
      </c>
      <c r="AY340" s="769">
        <f t="shared" si="149"/>
        <v>29.330999708867502</v>
      </c>
      <c r="AZ340" s="746">
        <f t="shared" si="153"/>
        <v>29.345384505630605</v>
      </c>
      <c r="BA340" s="641">
        <f t="shared" si="150"/>
        <v>1.0444236749325095</v>
      </c>
      <c r="BC340" s="11">
        <v>43426</v>
      </c>
      <c r="BD340" s="289">
        <f>[2]!FeuilCaduc*(1-Persistant)+Persistant</f>
        <v>0.67488074250533581</v>
      </c>
      <c r="BE340" s="290">
        <f>[2]!CroissVégét</f>
        <v>0.99919519572159454</v>
      </c>
      <c r="BF340" s="819">
        <f>1+[2]!Salcycl*Ksac</f>
        <v>1.009360092813167</v>
      </c>
      <c r="BH340" s="1044">
        <f t="shared" si="151"/>
        <v>2.2595638010824391E-2</v>
      </c>
      <c r="BI340" s="11">
        <v>44522</v>
      </c>
      <c r="BJ340" s="726">
        <v>1.3859131410193862E-2</v>
      </c>
      <c r="BK340" s="726">
        <v>1.4397687882514141E-2</v>
      </c>
      <c r="BL340" s="726">
        <v>1.5638468370648216E-2</v>
      </c>
      <c r="BM340" s="726">
        <v>1.7641881933210889E-2</v>
      </c>
      <c r="BN340" s="726">
        <v>2.0657725632873655E-2</v>
      </c>
      <c r="BO340" s="727">
        <v>2.4281510729914375E-2</v>
      </c>
      <c r="BP340" s="726">
        <v>2.9580864716264102E-2</v>
      </c>
      <c r="BQ340" s="726">
        <v>3.6260321877837759E-2</v>
      </c>
      <c r="BR340" s="726">
        <v>4.406045642873254E-2</v>
      </c>
      <c r="BS340" s="726">
        <v>5.1963240833703551E-2</v>
      </c>
      <c r="BT340" s="726">
        <v>5.9935380581960414E-2</v>
      </c>
      <c r="BW340" s="1208">
        <f>'2018'!R\Max</f>
        <v>0.83895561552523101</v>
      </c>
      <c r="BX340" s="1206">
        <f>'2019'!R\Max</f>
        <v>0.40304579895425535</v>
      </c>
      <c r="BY340" s="1206">
        <f>'2020'!R\Max</f>
        <v>1.0444236749325095</v>
      </c>
      <c r="BZ340" s="1206">
        <f>'2021'!R\Max</f>
        <v>0.65225893825867032</v>
      </c>
      <c r="CA340" s="1206">
        <f>'2022'!R\Max</f>
        <v>0.34923644624327754</v>
      </c>
      <c r="CB340" s="1206">
        <f>'2023'!R\Max</f>
        <v>0.34916928273061415</v>
      </c>
      <c r="CC340" s="1206">
        <f>'2024'!R\Max</f>
        <v>0.34910211725453183</v>
      </c>
      <c r="CD340" s="1206">
        <f>'2025'!R\Max</f>
        <v>0.34944370467867486</v>
      </c>
      <c r="CE340" s="1206">
        <f>'2026'!R\Max</f>
        <v>0.34940055724436736</v>
      </c>
      <c r="CF340" s="1207">
        <f>'2027'!R\Max</f>
        <v>0.34934727496078782</v>
      </c>
    </row>
    <row r="341" spans="1:84" s="6" customFormat="1" ht="11.25" x14ac:dyDescent="0.2">
      <c r="A341" s="11">
        <v>43427</v>
      </c>
      <c r="B341" s="379">
        <f>'2022'!Maxi_hp</f>
        <v>30.216505837462773</v>
      </c>
      <c r="C341" s="13">
        <f>'2022'!An_max</f>
        <v>2020</v>
      </c>
      <c r="D341" s="1053">
        <f t="shared" si="135"/>
        <v>1.0357280507154556</v>
      </c>
      <c r="E341" s="13"/>
      <c r="F341" s="13">
        <f t="shared" si="152"/>
        <v>25</v>
      </c>
      <c r="G341" s="13">
        <f t="shared" si="136"/>
        <v>24</v>
      </c>
      <c r="H341" s="172">
        <f t="shared" si="137"/>
        <v>43430</v>
      </c>
      <c r="I341" s="753">
        <f t="shared" si="138"/>
        <v>0.21428571428571427</v>
      </c>
      <c r="J341" s="746">
        <f t="shared" si="139"/>
        <v>29.174169625501548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46">
        <v>43427</v>
      </c>
      <c r="AP341" s="13">
        <f t="shared" si="140"/>
        <v>13</v>
      </c>
      <c r="AQ341" s="13">
        <f t="shared" si="141"/>
        <v>14</v>
      </c>
      <c r="AR341" s="172">
        <f t="shared" si="142"/>
        <v>43416</v>
      </c>
      <c r="AS341" s="753">
        <f t="shared" si="143"/>
        <v>0.39285714285714285</v>
      </c>
      <c r="AT341" s="769">
        <f t="shared" si="144"/>
        <v>29.082649189632917</v>
      </c>
      <c r="AU341" s="13">
        <f t="shared" si="145"/>
        <v>13</v>
      </c>
      <c r="AV341" s="13">
        <f t="shared" si="146"/>
        <v>12</v>
      </c>
      <c r="AW341" s="172">
        <f t="shared" si="147"/>
        <v>43430</v>
      </c>
      <c r="AX341" s="753">
        <f t="shared" si="148"/>
        <v>0.10714285714285714</v>
      </c>
      <c r="AY341" s="769">
        <f t="shared" si="149"/>
        <v>29.094027827746636</v>
      </c>
      <c r="AZ341" s="746">
        <f t="shared" si="153"/>
        <v>29.088338508689777</v>
      </c>
      <c r="BA341" s="641">
        <f t="shared" si="150"/>
        <v>1.0357280507154556</v>
      </c>
      <c r="BC341" s="11">
        <v>43427</v>
      </c>
      <c r="BD341" s="289">
        <f>[2]!FeuilCaduc*(1-Persistant)+Persistant</f>
        <v>0.67078779583869075</v>
      </c>
      <c r="BE341" s="290">
        <f>[2]!CroissVégét</f>
        <v>0.99924088493749397</v>
      </c>
      <c r="BF341" s="819">
        <f>1+[2]!Salcycl*Ksac</f>
        <v>1.0088484744798363</v>
      </c>
      <c r="BH341" s="1044">
        <f t="shared" si="151"/>
        <v>2.2871276563412972E-2</v>
      </c>
      <c r="BI341" s="11">
        <v>44523</v>
      </c>
      <c r="BJ341" s="726">
        <v>1.3961806485411558E-2</v>
      </c>
      <c r="BK341" s="726">
        <v>1.4512583426765884E-2</v>
      </c>
      <c r="BL341" s="726">
        <v>1.5795339159020403E-2</v>
      </c>
      <c r="BM341" s="726">
        <v>1.7855903510136894E-2</v>
      </c>
      <c r="BN341" s="726">
        <v>2.0928221841845184E-2</v>
      </c>
      <c r="BO341" s="727">
        <v>2.4561622826774002E-2</v>
      </c>
      <c r="BP341" s="726">
        <v>2.9811997494895843E-2</v>
      </c>
      <c r="BQ341" s="726">
        <v>3.6342708268012093E-2</v>
      </c>
      <c r="BR341" s="726">
        <v>4.3978427692787127E-2</v>
      </c>
      <c r="BS341" s="726">
        <v>5.175322975150471E-2</v>
      </c>
      <c r="BT341" s="726">
        <v>5.9685403192279635E-2</v>
      </c>
      <c r="BW341" s="1208">
        <f>'2018'!R\Max</f>
        <v>0.53028416618839047</v>
      </c>
      <c r="BX341" s="1206">
        <f>'2019'!R\Max</f>
        <v>0.22305312218364065</v>
      </c>
      <c r="BY341" s="1206">
        <f>'2020'!R\Max</f>
        <v>1.0357280507154556</v>
      </c>
      <c r="BZ341" s="1206">
        <f>'2021'!R\Max</f>
        <v>0.42621267019110237</v>
      </c>
      <c r="CA341" s="1206">
        <f>'2022'!R\Max</f>
        <v>0.57693659589440349</v>
      </c>
      <c r="CB341" s="1206">
        <f>'2023'!R\Max</f>
        <v>0.57686587702100178</v>
      </c>
      <c r="CC341" s="1206">
        <f>'2024'!R\Max</f>
        <v>0.57679514678883692</v>
      </c>
      <c r="CD341" s="1206">
        <f>'2025'!R\Max</f>
        <v>0.57715784691703276</v>
      </c>
      <c r="CE341" s="1206">
        <f>'2026'!R\Max</f>
        <v>0.57711154869409642</v>
      </c>
      <c r="CF341" s="1207">
        <f>'2027'!R\Max</f>
        <v>0.57705471763327953</v>
      </c>
    </row>
    <row r="342" spans="1:84" s="6" customFormat="1" ht="11.25" x14ac:dyDescent="0.2">
      <c r="A342" s="11">
        <v>43428</v>
      </c>
      <c r="B342" s="379">
        <f>'2022'!Maxi_hp</f>
        <v>28.331820487180057</v>
      </c>
      <c r="C342" s="13">
        <f>'2022'!An_max</f>
        <v>2020</v>
      </c>
      <c r="D342" s="1053">
        <f t="shared" si="135"/>
        <v>0.97954899190061218</v>
      </c>
      <c r="E342" s="13"/>
      <c r="F342" s="13">
        <f t="shared" si="152"/>
        <v>25</v>
      </c>
      <c r="G342" s="13">
        <f t="shared" si="136"/>
        <v>24</v>
      </c>
      <c r="H342" s="172">
        <f t="shared" si="137"/>
        <v>43430</v>
      </c>
      <c r="I342" s="753">
        <f t="shared" si="138"/>
        <v>0.14285714285714285</v>
      </c>
      <c r="J342" s="746">
        <f t="shared" si="139"/>
        <v>28.923331779667315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46">
        <v>43428</v>
      </c>
      <c r="AP342" s="13">
        <f t="shared" si="140"/>
        <v>13</v>
      </c>
      <c r="AQ342" s="13">
        <f t="shared" si="141"/>
        <v>14</v>
      </c>
      <c r="AR342" s="172">
        <f t="shared" si="142"/>
        <v>43416</v>
      </c>
      <c r="AS342" s="753">
        <f t="shared" si="143"/>
        <v>0.42857142857142855</v>
      </c>
      <c r="AT342" s="769">
        <f t="shared" si="144"/>
        <v>28.809952460655143</v>
      </c>
      <c r="AU342" s="13">
        <f t="shared" si="145"/>
        <v>13</v>
      </c>
      <c r="AV342" s="13">
        <f t="shared" si="146"/>
        <v>12</v>
      </c>
      <c r="AW342" s="172">
        <f t="shared" si="147"/>
        <v>43430</v>
      </c>
      <c r="AX342" s="753">
        <f t="shared" si="148"/>
        <v>7.1428571428571425E-2</v>
      </c>
      <c r="AY342" s="769">
        <f t="shared" si="149"/>
        <v>28.866468458769042</v>
      </c>
      <c r="AZ342" s="746">
        <f t="shared" si="153"/>
        <v>28.838210459712094</v>
      </c>
      <c r="BA342" s="641">
        <f t="shared" si="150"/>
        <v>0.97954899190061218</v>
      </c>
      <c r="BC342" s="11">
        <v>43428</v>
      </c>
      <c r="BD342" s="289">
        <f>[2]!FeuilCaduc*(1-Persistant)+Persistant</f>
        <v>0.66683552289354608</v>
      </c>
      <c r="BE342" s="290">
        <f>[2]!CroissVégét</f>
        <v>0.99928473849698995</v>
      </c>
      <c r="BF342" s="819">
        <f>1+[2]!Salcycl*Ksac</f>
        <v>1.0083544403616933</v>
      </c>
      <c r="BH342" s="1044">
        <f t="shared" si="151"/>
        <v>2.3131302659806549E-2</v>
      </c>
      <c r="BI342" s="11">
        <v>44524</v>
      </c>
      <c r="BJ342" s="726">
        <v>1.4073178704715019E-2</v>
      </c>
      <c r="BK342" s="726">
        <v>1.4641466306092525E-2</v>
      </c>
      <c r="BL342" s="726">
        <v>1.5963280903908819E-2</v>
      </c>
      <c r="BM342" s="726">
        <v>1.8072871502148799E-2</v>
      </c>
      <c r="BN342" s="726">
        <v>2.1187779037018725E-2</v>
      </c>
      <c r="BO342" s="727">
        <v>2.4822056840359194E-2</v>
      </c>
      <c r="BP342" s="726">
        <v>3.0005334136628245E-2</v>
      </c>
      <c r="BQ342" s="726">
        <v>3.6380411976473501E-2</v>
      </c>
      <c r="BR342" s="726">
        <v>4.3847906544437973E-2</v>
      </c>
      <c r="BS342" s="726">
        <v>5.1500106420324092E-2</v>
      </c>
      <c r="BT342" s="726">
        <v>5.9387414921249791E-2</v>
      </c>
      <c r="BW342" s="1208">
        <f>'2018'!R\Max</f>
        <v>0.78708393900494</v>
      </c>
      <c r="BX342" s="1206">
        <f>'2019'!R\Max</f>
        <v>0.41770719081216184</v>
      </c>
      <c r="BY342" s="1206">
        <f>'2020'!R\Max</f>
        <v>0.97954899190061218</v>
      </c>
      <c r="BZ342" s="1206">
        <f>'2021'!R\Max</f>
        <v>3.5326049854358728E-2</v>
      </c>
      <c r="CA342" s="1206">
        <f>'2022'!R\Max</f>
        <v>0.52066698880162909</v>
      </c>
      <c r="CB342" s="1206">
        <f>'2023'!R\Max</f>
        <v>0.52059621069395079</v>
      </c>
      <c r="CC342" s="1206">
        <f>'2024'!R\Max</f>
        <v>0.52052542371819543</v>
      </c>
      <c r="CD342" s="1206">
        <f>'2025'!R\Max</f>
        <v>0.52089117278165742</v>
      </c>
      <c r="CE342" s="1206">
        <f>'2026'!R\Max</f>
        <v>0.52084398936584497</v>
      </c>
      <c r="CF342" s="1207">
        <f>'2027'!R\Max</f>
        <v>0.52078646170327736</v>
      </c>
    </row>
    <row r="343" spans="1:84" s="6" customFormat="1" ht="11.25" x14ac:dyDescent="0.2">
      <c r="A343" s="11">
        <v>43429</v>
      </c>
      <c r="B343" s="379">
        <f>'2022'!Maxi_hp</f>
        <v>25.716385889252038</v>
      </c>
      <c r="C343" s="13">
        <f>'2022'!An_max</f>
        <v>2020</v>
      </c>
      <c r="D343" s="1053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2">
        <f t="shared" si="137"/>
        <v>43430</v>
      </c>
      <c r="I343" s="753">
        <f t="shared" si="138"/>
        <v>7.1428571428571425E-2</v>
      </c>
      <c r="J343" s="746">
        <f t="shared" si="139"/>
        <v>28.678994661409938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46">
        <v>43429</v>
      </c>
      <c r="AP343" s="13">
        <f t="shared" si="140"/>
        <v>13</v>
      </c>
      <c r="AQ343" s="13">
        <f t="shared" si="141"/>
        <v>14</v>
      </c>
      <c r="AR343" s="172">
        <f t="shared" si="142"/>
        <v>43416</v>
      </c>
      <c r="AS343" s="753">
        <f t="shared" si="143"/>
        <v>0.4642857142857143</v>
      </c>
      <c r="AT343" s="769">
        <f t="shared" si="144"/>
        <v>28.542437099971409</v>
      </c>
      <c r="AU343" s="13">
        <f t="shared" si="145"/>
        <v>13</v>
      </c>
      <c r="AV343" s="13">
        <f t="shared" si="146"/>
        <v>12</v>
      </c>
      <c r="AW343" s="172">
        <f t="shared" si="147"/>
        <v>43430</v>
      </c>
      <c r="AX343" s="753">
        <f t="shared" si="148"/>
        <v>3.5714285714285712E-2</v>
      </c>
      <c r="AY343" s="769">
        <f t="shared" si="149"/>
        <v>28.64884978892681</v>
      </c>
      <c r="AZ343" s="746">
        <f t="shared" si="153"/>
        <v>28.595643444449109</v>
      </c>
      <c r="BA343" s="641">
        <f t="shared" si="150"/>
        <v>0.89669760718131641</v>
      </c>
      <c r="BC343" s="11">
        <v>43429</v>
      </c>
      <c r="BD343" s="289">
        <f>[2]!FeuilCaduc*(1-Persistant)+Persistant</f>
        <v>0.66302599355952796</v>
      </c>
      <c r="BE343" s="290">
        <f>[2]!CroissVégét</f>
        <v>0.99932682999978462</v>
      </c>
      <c r="BF343" s="819">
        <f>1+[2]!Salcycl*Ksac</f>
        <v>1.007878249194941</v>
      </c>
      <c r="BH343" s="1044">
        <f t="shared" si="151"/>
        <v>2.337573302561791E-2</v>
      </c>
      <c r="BI343" s="11">
        <v>44525</v>
      </c>
      <c r="BJ343" s="726">
        <v>1.4193273896679619E-2</v>
      </c>
      <c r="BK343" s="726">
        <v>1.4784365436202136E-2</v>
      </c>
      <c r="BL343" s="726">
        <v>1.6142320108042282E-2</v>
      </c>
      <c r="BM343" s="726">
        <v>1.8292807481907262E-2</v>
      </c>
      <c r="BN343" s="726">
        <v>2.1436412856954759E-2</v>
      </c>
      <c r="BO343" s="727">
        <v>2.5062830441955952E-2</v>
      </c>
      <c r="BP343" s="726">
        <v>3.0160897452267528E-2</v>
      </c>
      <c r="BQ343" s="726">
        <v>3.6373478249920557E-2</v>
      </c>
      <c r="BR343" s="726">
        <v>4.366896602749952E-2</v>
      </c>
      <c r="BS343" s="726">
        <v>5.1203974041135449E-2</v>
      </c>
      <c r="BT343" s="726">
        <v>5.9041536387918647E-2</v>
      </c>
      <c r="BW343" s="1208">
        <f>'2018'!R\Max</f>
        <v>0.39546573458937873</v>
      </c>
      <c r="BX343" s="1206">
        <f>'2019'!R\Max</f>
        <v>0.44437441967459812</v>
      </c>
      <c r="BY343" s="1206">
        <f>'2020'!R\Max</f>
        <v>0.89669760718131641</v>
      </c>
      <c r="BZ343" s="1206">
        <f>'2021'!R\Max</f>
        <v>0.53396151409853732</v>
      </c>
      <c r="CA343" s="1206">
        <f>'2022'!R\Max</f>
        <v>0.17254439259970791</v>
      </c>
      <c r="CB343" s="1206">
        <f>'2023'!R\Max</f>
        <v>0.17251091227827828</v>
      </c>
      <c r="CC343" s="1206">
        <f>'2024'!R\Max</f>
        <v>0.17247743195684861</v>
      </c>
      <c r="CD343" s="1206">
        <f>'2025'!R\Max</f>
        <v>0.17265158453616058</v>
      </c>
      <c r="CE343" s="1206">
        <f>'2026'!R\Max</f>
        <v>0.17262888007282773</v>
      </c>
      <c r="CF343" s="1207">
        <f>'2027'!R\Max</f>
        <v>0.17260140599599325</v>
      </c>
    </row>
    <row r="344" spans="1:84" s="6" customFormat="1" ht="11.25" x14ac:dyDescent="0.2">
      <c r="A344" s="11">
        <v>43430</v>
      </c>
      <c r="B344" s="379">
        <f>'2022'!Maxi_hp</f>
        <v>27.213789763808492</v>
      </c>
      <c r="C344" s="13">
        <f>'2022'!An_max</f>
        <v>2020</v>
      </c>
      <c r="D344" s="1053" t="str">
        <f t="shared" si="135"/>
        <v/>
      </c>
      <c r="E344" s="1048">
        <f>AK$13/10</f>
        <v>28.441699999999997</v>
      </c>
      <c r="F344" s="13">
        <f t="shared" si="152"/>
        <v>25</v>
      </c>
      <c r="G344" s="13">
        <f t="shared" si="136"/>
        <v>26</v>
      </c>
      <c r="H344" s="172">
        <f t="shared" si="137"/>
        <v>43430</v>
      </c>
      <c r="I344" s="753">
        <f t="shared" si="138"/>
        <v>0</v>
      </c>
      <c r="J344" s="746">
        <f t="shared" si="139"/>
        <v>28.441700000315905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46">
        <v>43430</v>
      </c>
      <c r="AP344" s="13">
        <f t="shared" si="140"/>
        <v>13</v>
      </c>
      <c r="AQ344" s="13">
        <f t="shared" si="141"/>
        <v>14</v>
      </c>
      <c r="AR344" s="172">
        <f t="shared" si="142"/>
        <v>43416</v>
      </c>
      <c r="AS344" s="753">
        <f t="shared" si="143"/>
        <v>0.5</v>
      </c>
      <c r="AT344" s="769">
        <f t="shared" si="144"/>
        <v>28.280861091241242</v>
      </c>
      <c r="AU344" s="13">
        <f t="shared" si="145"/>
        <v>13</v>
      </c>
      <c r="AV344" s="13">
        <f t="shared" si="146"/>
        <v>14</v>
      </c>
      <c r="AW344" s="172">
        <f t="shared" si="147"/>
        <v>43430</v>
      </c>
      <c r="AX344" s="753">
        <f t="shared" si="148"/>
        <v>0</v>
      </c>
      <c r="AY344" s="769">
        <f t="shared" si="149"/>
        <v>28.441700001060962</v>
      </c>
      <c r="AZ344" s="746">
        <f t="shared" si="153"/>
        <v>28.3612805461511</v>
      </c>
      <c r="BA344" s="641">
        <f t="shared" si="150"/>
        <v>0.95682711523946273</v>
      </c>
      <c r="BC344" s="11">
        <v>43430</v>
      </c>
      <c r="BD344" s="289">
        <f>[2]!FeuilCaduc*(1-Persistant)+Persistant</f>
        <v>0.65936075910655212</v>
      </c>
      <c r="BE344" s="290">
        <f>[2]!CroissVégét</f>
        <v>0.99936723010658135</v>
      </c>
      <c r="BF344" s="819">
        <f>1+[2]!Salcycl*Ksac</f>
        <v>1.007420094888319</v>
      </c>
      <c r="BH344" s="1044">
        <f t="shared" si="151"/>
        <v>2.3604588895473767E-2</v>
      </c>
      <c r="BI344" s="11">
        <v>44526</v>
      </c>
      <c r="BJ344" s="726">
        <v>1.4322117358781103E-2</v>
      </c>
      <c r="BK344" s="726">
        <v>1.4941308507645424E-2</v>
      </c>
      <c r="BL344" s="726">
        <v>1.6332482830508976E-2</v>
      </c>
      <c r="BM344" s="726">
        <v>1.8515734263257939E-2</v>
      </c>
      <c r="BN344" s="726">
        <v>2.1674142717795455E-2</v>
      </c>
      <c r="BO344" s="727">
        <v>2.5283966448168334E-2</v>
      </c>
      <c r="BP344" s="726">
        <v>3.0278717669470608E-2</v>
      </c>
      <c r="BQ344" s="726">
        <v>3.6321959493551131E-2</v>
      </c>
      <c r="BR344" s="726">
        <v>4.3441685485987071E-2</v>
      </c>
      <c r="BS344" s="726">
        <v>5.0864940184030046E-2</v>
      </c>
      <c r="BT344" s="726">
        <v>5.8647892928538177E-2</v>
      </c>
      <c r="BW344" s="1208">
        <f>'2018'!R\Max</f>
        <v>0.14636606960052501</v>
      </c>
      <c r="BX344" s="1206">
        <f>'2019'!R\Max</f>
        <v>0.77128333114411607</v>
      </c>
      <c r="BY344" s="1206">
        <f>'2020'!R\Max</f>
        <v>0.95682711523946273</v>
      </c>
      <c r="BZ344" s="1206">
        <f>'2021'!R\Max</f>
        <v>0.27755162053578775</v>
      </c>
      <c r="CA344" s="1206">
        <f>'2022'!R\Max</f>
        <v>0.40620325472687396</v>
      </c>
      <c r="CB344" s="1206">
        <f>'2023'!R\Max</f>
        <v>0.406138055083623</v>
      </c>
      <c r="CC344" s="1206">
        <f>'2024'!R\Max</f>
        <v>0.40607285168917773</v>
      </c>
      <c r="CD344" s="1206">
        <f>'2025'!R\Max</f>
        <v>0.4064137915213783</v>
      </c>
      <c r="CE344" s="1206">
        <f>'2026'!R\Max</f>
        <v>0.40636889796874248</v>
      </c>
      <c r="CF344" s="1207">
        <f>'2027'!R\Max</f>
        <v>0.40631501848085</v>
      </c>
    </row>
    <row r="345" spans="1:84" s="6" customFormat="1" ht="11.25" x14ac:dyDescent="0.2">
      <c r="A345" s="11">
        <v>43431</v>
      </c>
      <c r="B345" s="379">
        <f>'2022'!Maxi_hp</f>
        <v>25.74929122512259</v>
      </c>
      <c r="C345" s="13">
        <f>'2022'!An_max</f>
        <v>2018</v>
      </c>
      <c r="D345" s="1053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2">
        <f t="shared" si="137"/>
        <v>43430</v>
      </c>
      <c r="I345" s="753">
        <f t="shared" si="138"/>
        <v>7.1428571428571425E-2</v>
      </c>
      <c r="J345" s="746">
        <f t="shared" si="139"/>
        <v>28.207583473516365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46">
        <v>43431</v>
      </c>
      <c r="AP345" s="13">
        <f t="shared" si="140"/>
        <v>13</v>
      </c>
      <c r="AQ345" s="13">
        <f t="shared" si="141"/>
        <v>14</v>
      </c>
      <c r="AR345" s="172">
        <f t="shared" si="142"/>
        <v>43416</v>
      </c>
      <c r="AS345" s="753">
        <f t="shared" si="143"/>
        <v>0.5357142857142857</v>
      </c>
      <c r="AT345" s="769">
        <f t="shared" si="144"/>
        <v>28.025982416833621</v>
      </c>
      <c r="AU345" s="13">
        <f t="shared" si="145"/>
        <v>13</v>
      </c>
      <c r="AV345" s="13">
        <f t="shared" si="146"/>
        <v>14</v>
      </c>
      <c r="AW345" s="172">
        <f t="shared" si="147"/>
        <v>43430</v>
      </c>
      <c r="AX345" s="753">
        <f t="shared" si="148"/>
        <v>3.5714285714285712E-2</v>
      </c>
      <c r="AY345" s="769">
        <f t="shared" si="149"/>
        <v>28.240359586477279</v>
      </c>
      <c r="AZ345" s="746">
        <f t="shared" si="153"/>
        <v>28.133171001655448</v>
      </c>
      <c r="BA345" s="641">
        <f t="shared" si="150"/>
        <v>0.91284995218743836</v>
      </c>
      <c r="BC345" s="11">
        <v>43431</v>
      </c>
      <c r="BD345" s="289">
        <f>[2]!FeuilCaduc*(1-Persistant)+Persistant</f>
        <v>0.65584085415297422</v>
      </c>
      <c r="BE345" s="290">
        <f>[2]!CroissVégét</f>
        <v>0.9994060066555025</v>
      </c>
      <c r="BF345" s="819">
        <f>1+[2]!Salcycl*Ksac</f>
        <v>1.0069801067691218</v>
      </c>
      <c r="BH345" s="1044">
        <f t="shared" si="151"/>
        <v>2.3817895699200849E-2</v>
      </c>
      <c r="BI345" s="11">
        <v>44527</v>
      </c>
      <c r="BJ345" s="726">
        <v>1.4459734045829134E-2</v>
      </c>
      <c r="BK345" s="726">
        <v>1.5112322284570771E-2</v>
      </c>
      <c r="BL345" s="726">
        <v>1.6533794925185197E-2</v>
      </c>
      <c r="BM345" s="726">
        <v>1.8741675971258552E-2</v>
      </c>
      <c r="BN345" s="726">
        <v>2.1900991595601525E-2</v>
      </c>
      <c r="BO345" s="727">
        <v>2.5485492423458881E-2</v>
      </c>
      <c r="BP345" s="726">
        <v>3.0358831661808489E-2</v>
      </c>
      <c r="BQ345" s="726">
        <v>3.6225914362128228E-2</v>
      </c>
      <c r="BR345" s="726">
        <v>4.3166149582036399E-2</v>
      </c>
      <c r="BS345" s="726">
        <v>5.048311592400017E-2</v>
      </c>
      <c r="BT345" s="726">
        <v>5.8206613635536947E-2</v>
      </c>
      <c r="BW345" s="1208">
        <f>'2018'!R\Max</f>
        <v>0.91284995218743836</v>
      </c>
      <c r="BX345" s="1206">
        <f>'2019'!R\Max</f>
        <v>0.73943074088068472</v>
      </c>
      <c r="BY345" s="1206">
        <f>'2020'!R\Max</f>
        <v>0.78762362155124044</v>
      </c>
      <c r="BZ345" s="1206">
        <f>'2021'!R\Max</f>
        <v>0.46801072896515628</v>
      </c>
      <c r="CA345" s="1206">
        <f>'2022'!R\Max</f>
        <v>0.56356167998249507</v>
      </c>
      <c r="CB345" s="1206">
        <f>'2023'!R\Max</f>
        <v>0.56349694184929289</v>
      </c>
      <c r="CC345" s="1206">
        <f>'2024'!R\Max</f>
        <v>0.56343219472635186</v>
      </c>
      <c r="CD345" s="1206">
        <f>'2025'!R\Max</f>
        <v>0.56377211049246445</v>
      </c>
      <c r="CE345" s="1206">
        <f>'2026'!R\Max</f>
        <v>0.56372691026969957</v>
      </c>
      <c r="CF345" s="1207">
        <f>'2027'!R\Max</f>
        <v>0.56367315691544817</v>
      </c>
    </row>
    <row r="346" spans="1:84" s="6" customFormat="1" ht="11.25" x14ac:dyDescent="0.2">
      <c r="A346" s="11">
        <v>43432</v>
      </c>
      <c r="B346" s="379">
        <f>'2022'!Maxi_hp</f>
        <v>19.489438693359329</v>
      </c>
      <c r="C346" s="13">
        <f>'2022'!An_max</f>
        <v>2018</v>
      </c>
      <c r="D346" s="1053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2">
        <f t="shared" si="137"/>
        <v>43430</v>
      </c>
      <c r="I346" s="753">
        <f t="shared" si="138"/>
        <v>0.14285714285714285</v>
      </c>
      <c r="J346" s="746">
        <f t="shared" si="139"/>
        <v>27.973358600693093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46">
        <v>43432</v>
      </c>
      <c r="AP346" s="13">
        <f t="shared" si="140"/>
        <v>13</v>
      </c>
      <c r="AQ346" s="13">
        <f t="shared" si="141"/>
        <v>14</v>
      </c>
      <c r="AR346" s="172">
        <f t="shared" si="142"/>
        <v>43416</v>
      </c>
      <c r="AS346" s="753">
        <f t="shared" si="143"/>
        <v>0.5714285714285714</v>
      </c>
      <c r="AT346" s="769">
        <f t="shared" si="144"/>
        <v>27.778559063002469</v>
      </c>
      <c r="AU346" s="13">
        <f t="shared" si="145"/>
        <v>13</v>
      </c>
      <c r="AV346" s="13">
        <f t="shared" si="146"/>
        <v>14</v>
      </c>
      <c r="AW346" s="172">
        <f t="shared" si="147"/>
        <v>43430</v>
      </c>
      <c r="AX346" s="753">
        <f t="shared" si="148"/>
        <v>7.1428571428571425E-2</v>
      </c>
      <c r="AY346" s="769">
        <f t="shared" si="149"/>
        <v>28.040207260208469</v>
      </c>
      <c r="AZ346" s="746">
        <f t="shared" si="153"/>
        <v>27.909383161605469</v>
      </c>
      <c r="BA346" s="641">
        <f t="shared" si="150"/>
        <v>0.69671429060636436</v>
      </c>
      <c r="BC346" s="11">
        <v>43432</v>
      </c>
      <c r="BD346" s="289">
        <f>[2]!FeuilCaduc*(1-Persistant)+Persistant</f>
        <v>0.65246680175585481</v>
      </c>
      <c r="BE346" s="290">
        <f>[2]!CroissVégét</f>
        <v>0.99944322477397196</v>
      </c>
      <c r="BF346" s="819">
        <f>1+[2]!Salcycl*Ksac</f>
        <v>1.0065583502194819</v>
      </c>
      <c r="BH346" s="1044">
        <f t="shared" si="151"/>
        <v>2.4003721685152392E-2</v>
      </c>
      <c r="BI346" s="11">
        <v>44528</v>
      </c>
      <c r="BJ346" s="726">
        <v>1.4602702878084961E-2</v>
      </c>
      <c r="BK346" s="726">
        <v>1.5291755478814534E-2</v>
      </c>
      <c r="BL346" s="726">
        <v>1.6738210979057758E-2</v>
      </c>
      <c r="BM346" s="726">
        <v>1.8960095212743319E-2</v>
      </c>
      <c r="BN346" s="726">
        <v>2.2105101432797536E-2</v>
      </c>
      <c r="BO346" s="727">
        <v>2.5655412506561739E-2</v>
      </c>
      <c r="BP346" s="726">
        <v>3.0395912578901688E-2</v>
      </c>
      <c r="BQ346" s="726">
        <v>3.6087437934949819E-2</v>
      </c>
      <c r="BR346" s="726">
        <v>4.2852362527448652E-2</v>
      </c>
      <c r="BS346" s="726">
        <v>5.0072101967165356E-2</v>
      </c>
      <c r="BT346" s="726">
        <v>5.7735595861300927E-2</v>
      </c>
      <c r="BW346" s="1208">
        <f>'2018'!R\Max</f>
        <v>0.69671429060636436</v>
      </c>
      <c r="BX346" s="1206">
        <f>'2019'!R\Max</f>
        <v>0.35379688916984237</v>
      </c>
      <c r="BY346" s="1206">
        <f>'2020'!R\Max</f>
        <v>0.51460508099563229</v>
      </c>
      <c r="BZ346" s="1206">
        <f>'2021'!R\Max</f>
        <v>0.22105936291488593</v>
      </c>
      <c r="CA346" s="1206">
        <f>'2022'!R\Max</f>
        <v>0.40150499614532414</v>
      </c>
      <c r="CB346" s="1206">
        <f>'2023'!R\Max</f>
        <v>0.40144344832227313</v>
      </c>
      <c r="CC346" s="1206">
        <f>'2024'!R\Max</f>
        <v>0.40138189729229229</v>
      </c>
      <c r="CD346" s="1206">
        <f>'2025'!R\Max</f>
        <v>0.40170603727460169</v>
      </c>
      <c r="CE346" s="1206">
        <f>'2026'!R\Max</f>
        <v>0.40166252038548678</v>
      </c>
      <c r="CF346" s="1207">
        <f>'2027'!R\Max</f>
        <v>0.40161126395342273</v>
      </c>
    </row>
    <row r="347" spans="1:84" s="6" customFormat="1" ht="11.25" x14ac:dyDescent="0.2">
      <c r="A347" s="11">
        <v>43433</v>
      </c>
      <c r="B347" s="379">
        <f>'2022'!Maxi_hp</f>
        <v>27.334557288633277</v>
      </c>
      <c r="C347" s="13">
        <f>'2022'!An_max</f>
        <v>2018</v>
      </c>
      <c r="D347" s="1053">
        <f t="shared" si="135"/>
        <v>0.98536877297175074</v>
      </c>
      <c r="E347" s="13"/>
      <c r="F347" s="13">
        <f t="shared" si="152"/>
        <v>25</v>
      </c>
      <c r="G347" s="13">
        <f t="shared" si="136"/>
        <v>26</v>
      </c>
      <c r="H347" s="172">
        <f t="shared" si="137"/>
        <v>43430</v>
      </c>
      <c r="I347" s="753">
        <f t="shared" si="138"/>
        <v>0.21428571428571427</v>
      </c>
      <c r="J347" s="746">
        <f t="shared" si="139"/>
        <v>27.740433874513421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46">
        <v>43433</v>
      </c>
      <c r="AP347" s="13">
        <f t="shared" si="140"/>
        <v>13</v>
      </c>
      <c r="AQ347" s="13">
        <f t="shared" si="141"/>
        <v>14</v>
      </c>
      <c r="AR347" s="172">
        <f t="shared" si="142"/>
        <v>43416</v>
      </c>
      <c r="AS347" s="753">
        <f t="shared" si="143"/>
        <v>0.6071428571428571</v>
      </c>
      <c r="AT347" s="769">
        <f t="shared" si="144"/>
        <v>27.539349013300875</v>
      </c>
      <c r="AU347" s="13">
        <f t="shared" si="145"/>
        <v>13</v>
      </c>
      <c r="AV347" s="13">
        <f t="shared" si="146"/>
        <v>14</v>
      </c>
      <c r="AW347" s="172">
        <f t="shared" si="147"/>
        <v>43430</v>
      </c>
      <c r="AX347" s="753">
        <f t="shared" si="148"/>
        <v>0.10714285714285714</v>
      </c>
      <c r="AY347" s="769">
        <f t="shared" si="149"/>
        <v>27.841828530335</v>
      </c>
      <c r="AZ347" s="746">
        <f t="shared" si="153"/>
        <v>27.690588771817936</v>
      </c>
      <c r="BA347" s="641">
        <f t="shared" si="150"/>
        <v>0.98536877297175074</v>
      </c>
      <c r="BC347" s="11">
        <v>43433</v>
      </c>
      <c r="BD347" s="289">
        <f>[2]!FeuilCaduc*(1-Persistant)+Persistant</f>
        <v>0.64923862155967649</v>
      </c>
      <c r="BE347" s="290">
        <f>[2]!CroissVégét</f>
        <v>0.9994789469862303</v>
      </c>
      <c r="BF347" s="819">
        <f>1+[2]!Salcycl*Ksac</f>
        <v>1.0061548276949595</v>
      </c>
      <c r="BH347" s="1044">
        <f t="shared" si="151"/>
        <v>2.4160168339754901E-2</v>
      </c>
      <c r="BI347" s="11">
        <v>44529</v>
      </c>
      <c r="BJ347" s="726">
        <v>1.4748266278957305E-2</v>
      </c>
      <c r="BK347" s="726">
        <v>1.5473414453284037E-2</v>
      </c>
      <c r="BL347" s="726">
        <v>1.6937098285609048E-2</v>
      </c>
      <c r="BM347" s="726">
        <v>1.9162346236461545E-2</v>
      </c>
      <c r="BN347" s="726">
        <v>2.2281573774482488E-2</v>
      </c>
      <c r="BO347" s="727">
        <v>2.5794437960950326E-2</v>
      </c>
      <c r="BP347" s="726">
        <v>3.0407910709381165E-2</v>
      </c>
      <c r="BQ347" s="726">
        <v>3.5936607258753736E-2</v>
      </c>
      <c r="BR347" s="726">
        <v>4.2538630581422925E-2</v>
      </c>
      <c r="BS347" s="726">
        <v>4.9668453601767318E-2</v>
      </c>
      <c r="BT347" s="726">
        <v>5.7274783540176309E-2</v>
      </c>
      <c r="BW347" s="1208">
        <f>'2018'!R\Max</f>
        <v>0.98536877297175074</v>
      </c>
      <c r="BX347" s="1206">
        <f>'2019'!R\Max</f>
        <v>0.661951290345836</v>
      </c>
      <c r="BY347" s="1206">
        <f>'2020'!R\Max</f>
        <v>0.40016998934699016</v>
      </c>
      <c r="BZ347" s="1206">
        <f>'2021'!R\Max</f>
        <v>0.25773635411266593</v>
      </c>
      <c r="CA347" s="1206">
        <f>'2022'!R\Max</f>
        <v>0.49417740981243341</v>
      </c>
      <c r="CB347" s="1206">
        <f>'2023'!R\Max</f>
        <v>0.49411500470817021</v>
      </c>
      <c r="CC347" s="1206">
        <f>'2024'!R\Max</f>
        <v>0.49405259354682174</v>
      </c>
      <c r="CD347" s="1206">
        <f>'2025'!R\Max</f>
        <v>0.49438199071366906</v>
      </c>
      <c r="CE347" s="1206">
        <f>'2026'!R\Max</f>
        <v>0.49433740032689333</v>
      </c>
      <c r="CF347" s="1207">
        <f>'2027'!R\Max</f>
        <v>0.49428533917687889</v>
      </c>
    </row>
    <row r="348" spans="1:84" s="6" customFormat="1" ht="11.25" x14ac:dyDescent="0.2">
      <c r="A348" s="11">
        <v>43434</v>
      </c>
      <c r="B348" s="379">
        <f>'2022'!Maxi_hp</f>
        <v>26.225428056883853</v>
      </c>
      <c r="C348" s="13">
        <f>'2022'!An_max</f>
        <v>2020</v>
      </c>
      <c r="D348" s="1053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2">
        <f t="shared" si="137"/>
        <v>43430</v>
      </c>
      <c r="I348" s="753">
        <f t="shared" si="138"/>
        <v>0.2857142857142857</v>
      </c>
      <c r="J348" s="746">
        <f t="shared" si="139"/>
        <v>27.510217784664462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46">
        <v>43434</v>
      </c>
      <c r="AP348" s="13">
        <f t="shared" si="140"/>
        <v>13</v>
      </c>
      <c r="AQ348" s="13">
        <f t="shared" si="141"/>
        <v>14</v>
      </c>
      <c r="AR348" s="172">
        <f t="shared" si="142"/>
        <v>43416</v>
      </c>
      <c r="AS348" s="753">
        <f t="shared" si="143"/>
        <v>0.6428571428571429</v>
      </c>
      <c r="AT348" s="769">
        <f t="shared" si="144"/>
        <v>27.309110252772058</v>
      </c>
      <c r="AU348" s="13">
        <f t="shared" si="145"/>
        <v>13</v>
      </c>
      <c r="AV348" s="13">
        <f t="shared" si="146"/>
        <v>14</v>
      </c>
      <c r="AW348" s="172">
        <f t="shared" si="147"/>
        <v>43430</v>
      </c>
      <c r="AX348" s="753">
        <f t="shared" si="148"/>
        <v>0.14285714285714285</v>
      </c>
      <c r="AY348" s="769">
        <f t="shared" si="149"/>
        <v>27.645808908769062</v>
      </c>
      <c r="AZ348" s="746">
        <f t="shared" si="153"/>
        <v>27.47745958077056</v>
      </c>
      <c r="BA348" s="641">
        <f t="shared" si="150"/>
        <v>0.95329772603629426</v>
      </c>
      <c r="BC348" s="11">
        <v>43434</v>
      </c>
      <c r="BD348" s="289">
        <f>[2]!FeuilCaduc*(1-Persistant)+Persistant</f>
        <v>0.64615584091608813</v>
      </c>
      <c r="BE348" s="290">
        <f>[2]!CroissVégét</f>
        <v>0.99951323331664843</v>
      </c>
      <c r="BF348" s="819">
        <f>1+[2]!Salcycl*Ksac</f>
        <v>1.0057694801145109</v>
      </c>
      <c r="BH348" s="1044">
        <f t="shared" si="151"/>
        <v>2.4287269011972954E-2</v>
      </c>
      <c r="BI348" s="11">
        <v>44530</v>
      </c>
      <c r="BJ348" s="726">
        <v>1.4896447962363585E-2</v>
      </c>
      <c r="BK348" s="726">
        <v>1.5657322373022326E-2</v>
      </c>
      <c r="BL348" s="726">
        <v>1.7130479843897001E-2</v>
      </c>
      <c r="BM348" s="726">
        <v>1.9348453366077972E-2</v>
      </c>
      <c r="BN348" s="726">
        <v>2.243043747181914E-2</v>
      </c>
      <c r="BO348" s="727">
        <v>2.5902606048419055E-2</v>
      </c>
      <c r="BP348" s="726">
        <v>3.0394881562077598E-2</v>
      </c>
      <c r="BQ348" s="726">
        <v>3.5773501987765348E-2</v>
      </c>
      <c r="BR348" s="726">
        <v>4.2225059697172843E-2</v>
      </c>
      <c r="BS348" s="726">
        <v>4.9272298721169387E-2</v>
      </c>
      <c r="BT348" s="726">
        <v>5.6824324405431094E-2</v>
      </c>
      <c r="BW348" s="1208">
        <f>'2018'!R\Max</f>
        <v>0.32617050049397789</v>
      </c>
      <c r="BX348" s="1206">
        <f>'2019'!R\Max</f>
        <v>0.52587825758369622</v>
      </c>
      <c r="BY348" s="1206">
        <f>'2020'!R\Max</f>
        <v>0.95329772603629426</v>
      </c>
      <c r="BZ348" s="1206">
        <f>'2021'!R\Max</f>
        <v>0.86918643645359706</v>
      </c>
      <c r="CA348" s="1206">
        <f>'2022'!R\Max</f>
        <v>0.15536548261034056</v>
      </c>
      <c r="CB348" s="1206">
        <f>'2023'!R\Max</f>
        <v>0.15533896762536259</v>
      </c>
      <c r="CC348" s="1206">
        <f>'2024'!R\Max</f>
        <v>0.15531245264038451</v>
      </c>
      <c r="CD348" s="1206">
        <f>'2025'!R\Max</f>
        <v>0.15545265263309768</v>
      </c>
      <c r="CE348" s="1206">
        <f>'2026'!R\Max</f>
        <v>0.15543353044314692</v>
      </c>
      <c r="CF348" s="1207">
        <f>'2027'!R\Max</f>
        <v>0.15541138487265957</v>
      </c>
    </row>
    <row r="349" spans="1:84" s="6" customFormat="1" ht="11.25" x14ac:dyDescent="0.2">
      <c r="A349" s="11">
        <v>43435</v>
      </c>
      <c r="B349" s="379">
        <f>'2022'!Maxi_hp</f>
        <v>26.861538170544915</v>
      </c>
      <c r="C349" s="13">
        <f>'2022'!An_max</f>
        <v>2020</v>
      </c>
      <c r="D349" s="1053">
        <f t="shared" si="135"/>
        <v>0.98451184534920178</v>
      </c>
      <c r="E349" s="13"/>
      <c r="F349" s="13">
        <f t="shared" si="152"/>
        <v>25</v>
      </c>
      <c r="G349" s="13">
        <f t="shared" si="136"/>
        <v>26</v>
      </c>
      <c r="H349" s="172">
        <f t="shared" si="137"/>
        <v>43430</v>
      </c>
      <c r="I349" s="753">
        <f t="shared" si="138"/>
        <v>0.35714285714285715</v>
      </c>
      <c r="J349" s="746">
        <f t="shared" si="139"/>
        <v>27.284118822376637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46">
        <v>43435</v>
      </c>
      <c r="AP349" s="13">
        <f t="shared" si="140"/>
        <v>13</v>
      </c>
      <c r="AQ349" s="13">
        <f t="shared" si="141"/>
        <v>14</v>
      </c>
      <c r="AR349" s="172">
        <f t="shared" si="142"/>
        <v>43416</v>
      </c>
      <c r="AS349" s="753">
        <f t="shared" si="143"/>
        <v>0.6785714285714286</v>
      </c>
      <c r="AT349" s="769">
        <f t="shared" si="144"/>
        <v>27.088600764596567</v>
      </c>
      <c r="AU349" s="13">
        <f t="shared" si="145"/>
        <v>13</v>
      </c>
      <c r="AV349" s="13">
        <f t="shared" si="146"/>
        <v>14</v>
      </c>
      <c r="AW349" s="172">
        <f t="shared" si="147"/>
        <v>43430</v>
      </c>
      <c r="AX349" s="753">
        <f t="shared" si="148"/>
        <v>0.17857142857142858</v>
      </c>
      <c r="AY349" s="769">
        <f t="shared" si="149"/>
        <v>27.452733909551586</v>
      </c>
      <c r="AZ349" s="746">
        <f t="shared" si="153"/>
        <v>27.270667337074077</v>
      </c>
      <c r="BA349" s="641">
        <f t="shared" si="150"/>
        <v>0.98451184534920178</v>
      </c>
      <c r="BC349" s="11">
        <v>43435</v>
      </c>
      <c r="BD349" s="289">
        <f>[2]!FeuilCaduc*(1-Persistant)+Persistant</f>
        <v>0.64321750886433393</v>
      </c>
      <c r="BE349" s="290">
        <f>[2]!CroissVégét</f>
        <v>0.99954614138899944</v>
      </c>
      <c r="BF349" s="819">
        <f>1+[2]!Salcycl*Ksac</f>
        <v>1.0054021886080418</v>
      </c>
      <c r="BH349" s="1044">
        <f t="shared" si="151"/>
        <v>2.4385061106357235E-2</v>
      </c>
      <c r="BI349" s="11">
        <v>44531</v>
      </c>
      <c r="BJ349" s="726">
        <v>1.5047272569558658E-2</v>
      </c>
      <c r="BK349" s="726">
        <v>1.5843503664964922E-2</v>
      </c>
      <c r="BL349" s="726">
        <v>1.7318380797408148E-2</v>
      </c>
      <c r="BM349" s="726">
        <v>1.9518444110846907E-2</v>
      </c>
      <c r="BN349" s="726">
        <v>2.2551725436725858E-2</v>
      </c>
      <c r="BO349" s="727">
        <v>2.5979958081851287E-2</v>
      </c>
      <c r="BP349" s="726">
        <v>3.0356883068509026E-2</v>
      </c>
      <c r="BQ349" s="726">
        <v>3.5598201607025128E-2</v>
      </c>
      <c r="BR349" s="726">
        <v>4.1911753094010268E-2</v>
      </c>
      <c r="BS349" s="726">
        <v>4.8883761015932579E-2</v>
      </c>
      <c r="BT349" s="726">
        <v>5.6384361218768907E-2</v>
      </c>
      <c r="BW349" s="1208">
        <f>'2018'!R\Max</f>
        <v>0.72439881411161566</v>
      </c>
      <c r="BX349" s="1206">
        <f>'2019'!R\Max</f>
        <v>0.30383325279657497</v>
      </c>
      <c r="BY349" s="1206">
        <f>'2020'!R\Max</f>
        <v>0.98451184534920178</v>
      </c>
      <c r="BZ349" s="1206">
        <f>'2021'!R\Max</f>
        <v>0.16791601935758266</v>
      </c>
      <c r="CA349" s="1206">
        <f>'2022'!R\Max</f>
        <v>0.13860845707654276</v>
      </c>
      <c r="CB349" s="1206">
        <f>'2023'!R\Max</f>
        <v>0.13858532069133639</v>
      </c>
      <c r="CC349" s="1206">
        <f>'2024'!R\Max</f>
        <v>0.13856218430613002</v>
      </c>
      <c r="CD349" s="1206">
        <f>'2025'!R\Max</f>
        <v>0.13868462865936121</v>
      </c>
      <c r="CE349" s="1206">
        <f>'2026'!R\Max</f>
        <v>0.13866782548557283</v>
      </c>
      <c r="CF349" s="1207">
        <f>'2027'!R\Max</f>
        <v>0.13864850473226112</v>
      </c>
    </row>
    <row r="350" spans="1:84" s="6" customFormat="1" ht="11.25" x14ac:dyDescent="0.2">
      <c r="A350" s="11">
        <v>43436</v>
      </c>
      <c r="B350" s="379">
        <f>'2022'!Maxi_hp</f>
        <v>9.5659847348518507</v>
      </c>
      <c r="C350" s="13">
        <f>'2022'!An_max</f>
        <v>2021</v>
      </c>
      <c r="D350" s="1053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2">
        <f t="shared" si="137"/>
        <v>43430</v>
      </c>
      <c r="I350" s="753">
        <f t="shared" si="138"/>
        <v>0.42857142857142855</v>
      </c>
      <c r="J350" s="746">
        <f t="shared" si="139"/>
        <v>27.063545481434893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46">
        <v>43436</v>
      </c>
      <c r="AP350" s="13">
        <f t="shared" si="140"/>
        <v>13</v>
      </c>
      <c r="AQ350" s="13">
        <f t="shared" si="141"/>
        <v>14</v>
      </c>
      <c r="AR350" s="172">
        <f t="shared" si="142"/>
        <v>43416</v>
      </c>
      <c r="AS350" s="753">
        <f t="shared" si="143"/>
        <v>0.7142857142857143</v>
      </c>
      <c r="AT350" s="769">
        <f t="shared" si="144"/>
        <v>26.8785785308906</v>
      </c>
      <c r="AU350" s="13">
        <f t="shared" si="145"/>
        <v>13</v>
      </c>
      <c r="AV350" s="13">
        <f t="shared" si="146"/>
        <v>14</v>
      </c>
      <c r="AW350" s="172">
        <f t="shared" si="147"/>
        <v>43430</v>
      </c>
      <c r="AX350" s="753">
        <f t="shared" si="148"/>
        <v>0.21428571428571427</v>
      </c>
      <c r="AY350" s="769">
        <f t="shared" si="149"/>
        <v>27.26318903969867</v>
      </c>
      <c r="AZ350" s="746">
        <f t="shared" si="153"/>
        <v>27.070883785294633</v>
      </c>
      <c r="BA350" s="641">
        <f t="shared" si="150"/>
        <v>0.35346384092261468</v>
      </c>
      <c r="BC350" s="11">
        <v>43436</v>
      </c>
      <c r="BD350" s="289">
        <f>[2]!FeuilCaduc*(1-Persistant)+Persistant</f>
        <v>0.64042221284015988</v>
      </c>
      <c r="BE350" s="290">
        <f>[2]!CroissVégét</f>
        <v>0.99957772652184329</v>
      </c>
      <c r="BF350" s="819">
        <f>1+[2]!Salcycl*Ksac</f>
        <v>1.0050527766050199</v>
      </c>
      <c r="BH350" s="1044">
        <f t="shared" si="151"/>
        <v>2.4453585480725452E-2</v>
      </c>
      <c r="BI350" s="11">
        <v>44532</v>
      </c>
      <c r="BJ350" s="726">
        <v>1.5200765728280476E-2</v>
      </c>
      <c r="BK350" s="726">
        <v>1.6031984069527227E-2</v>
      </c>
      <c r="BL350" s="726">
        <v>1.7500828324825045E-2</v>
      </c>
      <c r="BM350" s="726">
        <v>1.9672348835914028E-2</v>
      </c>
      <c r="BN350" s="726">
        <v>2.2645474074947703E-2</v>
      </c>
      <c r="BO350" s="727">
        <v>2.6026538792112801E-2</v>
      </c>
      <c r="BP350" s="726">
        <v>3.0293975073134454E-2</v>
      </c>
      <c r="BQ350" s="726">
        <v>3.5410785190430831E-2</v>
      </c>
      <c r="BR350" s="726">
        <v>4.1598811276963923E-2</v>
      </c>
      <c r="BS350" s="726">
        <v>4.8502960148793586E-2</v>
      </c>
      <c r="BT350" s="726">
        <v>5.5955032007693563E-2</v>
      </c>
      <c r="BW350" s="1208">
        <f>'2018'!R\Max</f>
        <v>0.29936872160378336</v>
      </c>
      <c r="BX350" s="1206">
        <f>'2019'!R\Max</f>
        <v>0.13380758619190702</v>
      </c>
      <c r="BY350" s="1206">
        <f>'2020'!R\Max</f>
        <v>0.16101307591709796</v>
      </c>
      <c r="BZ350" s="1206">
        <f>'2021'!R\Max</f>
        <v>0.35346384092261468</v>
      </c>
      <c r="CA350" s="1206">
        <f>'2022'!R\Max</f>
        <v>0.20227702433171124</v>
      </c>
      <c r="CB350" s="1206">
        <f>'2023'!R\Max</f>
        <v>0.2022439386841218</v>
      </c>
      <c r="CC350" s="1206">
        <f>'2024'!R\Max</f>
        <v>0.2022108530365323</v>
      </c>
      <c r="CD350" s="1206">
        <f>'2025'!R\Max</f>
        <v>0.20238596644912513</v>
      </c>
      <c r="CE350" s="1206">
        <f>'2026'!R\Max</f>
        <v>0.20236181828394909</v>
      </c>
      <c r="CF350" s="1207">
        <f>'2027'!R\Max</f>
        <v>0.20233422474624338</v>
      </c>
    </row>
    <row r="351" spans="1:84" s="6" customFormat="1" ht="11.25" x14ac:dyDescent="0.2">
      <c r="A351" s="11">
        <v>43437</v>
      </c>
      <c r="B351" s="379">
        <f>'2022'!Maxi_hp</f>
        <v>16.831353899278419</v>
      </c>
      <c r="C351" s="13">
        <f>'2022'!An_max</f>
        <v>2021</v>
      </c>
      <c r="D351" s="1053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2">
        <f t="shared" si="137"/>
        <v>43430</v>
      </c>
      <c r="I351" s="753">
        <f t="shared" si="138"/>
        <v>0.5</v>
      </c>
      <c r="J351" s="746">
        <f t="shared" si="139"/>
        <v>26.849906250834465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46">
        <v>43437</v>
      </c>
      <c r="AP351" s="13">
        <f t="shared" si="140"/>
        <v>13</v>
      </c>
      <c r="AQ351" s="13">
        <f t="shared" si="141"/>
        <v>14</v>
      </c>
      <c r="AR351" s="172">
        <f t="shared" si="142"/>
        <v>43416</v>
      </c>
      <c r="AS351" s="753">
        <f t="shared" si="143"/>
        <v>0.75</v>
      </c>
      <c r="AT351" s="769">
        <f t="shared" si="144"/>
        <v>26.679801537282763</v>
      </c>
      <c r="AU351" s="13">
        <f t="shared" si="145"/>
        <v>13</v>
      </c>
      <c r="AV351" s="13">
        <f t="shared" si="146"/>
        <v>14</v>
      </c>
      <c r="AW351" s="172">
        <f t="shared" si="147"/>
        <v>43430</v>
      </c>
      <c r="AX351" s="753">
        <f t="shared" si="148"/>
        <v>0.25</v>
      </c>
      <c r="AY351" s="769">
        <f t="shared" si="149"/>
        <v>27.077759812772275</v>
      </c>
      <c r="AZ351" s="746">
        <f t="shared" si="153"/>
        <v>26.878780675027521</v>
      </c>
      <c r="BA351" s="641">
        <f t="shared" si="150"/>
        <v>0.62686825577855865</v>
      </c>
      <c r="BC351" s="11">
        <v>43437</v>
      </c>
      <c r="BD351" s="289">
        <f>[2]!FeuilCaduc*(1-Persistant)+Persistant</f>
        <v>0.63776809796037026</v>
      </c>
      <c r="BE351" s="290">
        <f>[2]!CroissVégét</f>
        <v>0.99960804182016849</v>
      </c>
      <c r="BF351" s="819">
        <f>1+[2]!Salcycl*Ksac</f>
        <v>1.0047210122450463</v>
      </c>
      <c r="BH351" s="1044">
        <f t="shared" si="151"/>
        <v>2.4492885843525193E-2</v>
      </c>
      <c r="BI351" s="11">
        <v>44533</v>
      </c>
      <c r="BJ351" s="726">
        <v>1.5356954111701149E-2</v>
      </c>
      <c r="BK351" s="726">
        <v>1.6222790691987673E-2</v>
      </c>
      <c r="BL351" s="726">
        <v>1.7677851530570166E-2</v>
      </c>
      <c r="BM351" s="726">
        <v>1.9810200432365577E-2</v>
      </c>
      <c r="BN351" s="726">
        <v>2.2711722718834152E-2</v>
      </c>
      <c r="BO351" s="727">
        <v>2.6042395694605792E-2</v>
      </c>
      <c r="BP351" s="726">
        <v>3.020621882320744E-2</v>
      </c>
      <c r="BQ351" s="726">
        <v>3.5211331158307019E-2</v>
      </c>
      <c r="BR351" s="726">
        <v>4.1286332055838877E-2</v>
      </c>
      <c r="BS351" s="726">
        <v>4.8130011928989885E-2</v>
      </c>
      <c r="BT351" s="726">
        <v>5.5536470302120798E-2</v>
      </c>
      <c r="BW351" s="1208">
        <f>'2018'!R\Max</f>
        <v>0.36389049942174262</v>
      </c>
      <c r="BX351" s="1206">
        <f>'2019'!R\Max</f>
        <v>0.14771782798556776</v>
      </c>
      <c r="BY351" s="1206">
        <f>'2020'!R\Max</f>
        <v>4.0604829732938705E-2</v>
      </c>
      <c r="BZ351" s="1206">
        <f>'2021'!R\Max</f>
        <v>0.62686825577855865</v>
      </c>
      <c r="CA351" s="1206">
        <f>'2022'!R\Max</f>
        <v>0.40190150305144279</v>
      </c>
      <c r="CB351" s="1206">
        <f>'2023'!R\Max</f>
        <v>0.40184636793747003</v>
      </c>
      <c r="CC351" s="1206">
        <f>'2024'!R\Max</f>
        <v>0.40179123024130409</v>
      </c>
      <c r="CD351" s="1206">
        <f>'2025'!R\Max</f>
        <v>0.40208280156181825</v>
      </c>
      <c r="CE351" s="1206">
        <f>'2026'!R\Max</f>
        <v>0.40204245726401011</v>
      </c>
      <c r="CF351" s="1207">
        <f>'2027'!R\Max</f>
        <v>0.40199659526174314</v>
      </c>
    </row>
    <row r="352" spans="1:84" s="6" customFormat="1" ht="11.25" x14ac:dyDescent="0.2">
      <c r="A352" s="11">
        <v>43438</v>
      </c>
      <c r="B352" s="379">
        <f>'2022'!Maxi_hp</f>
        <v>19.591985764484328</v>
      </c>
      <c r="C352" s="13">
        <f>'2022'!An_max</f>
        <v>2022</v>
      </c>
      <c r="D352" s="1053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2">
        <f t="shared" si="137"/>
        <v>43430</v>
      </c>
      <c r="I352" s="753">
        <f t="shared" si="138"/>
        <v>0.5714285714285714</v>
      </c>
      <c r="J352" s="746">
        <f t="shared" si="139"/>
        <v>26.644609620528563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46">
        <v>43438</v>
      </c>
      <c r="AP352" s="13">
        <f t="shared" si="140"/>
        <v>13</v>
      </c>
      <c r="AQ352" s="13">
        <f t="shared" si="141"/>
        <v>14</v>
      </c>
      <c r="AR352" s="172">
        <f t="shared" si="142"/>
        <v>43416</v>
      </c>
      <c r="AS352" s="753">
        <f t="shared" si="143"/>
        <v>0.7857142857142857</v>
      </c>
      <c r="AT352" s="769">
        <f t="shared" si="144"/>
        <v>26.493027773712363</v>
      </c>
      <c r="AU352" s="13">
        <f t="shared" si="145"/>
        <v>13</v>
      </c>
      <c r="AV352" s="13">
        <f t="shared" si="146"/>
        <v>14</v>
      </c>
      <c r="AW352" s="172">
        <f t="shared" si="147"/>
        <v>43430</v>
      </c>
      <c r="AX352" s="753">
        <f t="shared" si="148"/>
        <v>0.2857142857142857</v>
      </c>
      <c r="AY352" s="769">
        <f t="shared" si="149"/>
        <v>26.897031739247694</v>
      </c>
      <c r="AZ352" s="746">
        <f t="shared" si="153"/>
        <v>26.695029756480029</v>
      </c>
      <c r="BA352" s="641">
        <f t="shared" si="150"/>
        <v>0.73530766798660541</v>
      </c>
      <c r="BC352" s="11">
        <v>43438</v>
      </c>
      <c r="BD352" s="289">
        <f>[2]!FeuilCaduc*(1-Persistant)+Persistant</f>
        <v>0.63525288871101571</v>
      </c>
      <c r="BE352" s="290">
        <f>[2]!CroissVégét</f>
        <v>0.99963713826343847</v>
      </c>
      <c r="BF352" s="819">
        <f>1+[2]!Salcycl*Ksac</f>
        <v>1.004406611088877</v>
      </c>
      <c r="BH352" s="1044">
        <f t="shared" si="151"/>
        <v>2.4505521339382674E-2</v>
      </c>
      <c r="BI352" s="11">
        <v>44534</v>
      </c>
      <c r="BJ352" s="726">
        <v>1.5510596105688565E-2</v>
      </c>
      <c r="BK352" s="726">
        <v>1.6408600509901741E-2</v>
      </c>
      <c r="BL352" s="726">
        <v>1.7843602591867555E-2</v>
      </c>
      <c r="BM352" s="726">
        <v>1.9929060274234824E-2</v>
      </c>
      <c r="BN352" s="726">
        <v>2.275193655603993E-2</v>
      </c>
      <c r="BO352" s="727">
        <v>2.6031039613833785E-2</v>
      </c>
      <c r="BP352" s="726">
        <v>3.0098791202811004E-2</v>
      </c>
      <c r="BQ352" s="726">
        <v>3.500629712283327E-2</v>
      </c>
      <c r="BR352" s="726">
        <v>4.0981324407919233E-2</v>
      </c>
      <c r="BS352" s="726">
        <v>4.7773212944656945E-2</v>
      </c>
      <c r="BT352" s="726">
        <v>5.5138997768596126E-2</v>
      </c>
      <c r="BW352" s="1208">
        <f>'2018'!R\Max</f>
        <v>0.18141334862915212</v>
      </c>
      <c r="BX352" s="1206">
        <f>'2019'!R\Max</f>
        <v>0.25597415022425984</v>
      </c>
      <c r="BY352" s="1206">
        <f>'2020'!R\Max</f>
        <v>0.47201325305528691</v>
      </c>
      <c r="BZ352" s="1206">
        <f>'2021'!R\Max</f>
        <v>0.27714856274668298</v>
      </c>
      <c r="CA352" s="1206">
        <f>'2022'!R\Max</f>
        <v>0.73530766798660541</v>
      </c>
      <c r="CB352" s="1206">
        <f>'2023'!R\Max</f>
        <v>0.73526372996670619</v>
      </c>
      <c r="CC352" s="1206">
        <f>'2024'!R\Max</f>
        <v>0.73521978330659188</v>
      </c>
      <c r="CD352" s="1206">
        <f>'2025'!R\Max</f>
        <v>0.7354517300707617</v>
      </c>
      <c r="CE352" s="1206">
        <f>'2026'!R\Max</f>
        <v>0.73541957639282418</v>
      </c>
      <c r="CF352" s="1207">
        <f>'2027'!R\Max</f>
        <v>0.7353831757346837</v>
      </c>
    </row>
    <row r="353" spans="1:84" s="6" customFormat="1" ht="11.25" x14ac:dyDescent="0.2">
      <c r="A353" s="11">
        <v>43439</v>
      </c>
      <c r="B353" s="379">
        <f>'2022'!Maxi_hp</f>
        <v>27.630023642459491</v>
      </c>
      <c r="C353" s="13">
        <f>'2022'!An_max</f>
        <v>2022</v>
      </c>
      <c r="D353" s="1053">
        <f t="shared" si="135"/>
        <v>1.0446503344484388</v>
      </c>
      <c r="E353" s="13"/>
      <c r="F353" s="13">
        <f t="shared" si="152"/>
        <v>25</v>
      </c>
      <c r="G353" s="13">
        <f t="shared" si="136"/>
        <v>26</v>
      </c>
      <c r="H353" s="172">
        <f t="shared" si="137"/>
        <v>43430</v>
      </c>
      <c r="I353" s="753">
        <f t="shared" si="138"/>
        <v>0.6428571428571429</v>
      </c>
      <c r="J353" s="746">
        <f t="shared" si="139"/>
        <v>26.449064085206818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46">
        <v>43439</v>
      </c>
      <c r="AP353" s="13">
        <f t="shared" si="140"/>
        <v>13</v>
      </c>
      <c r="AQ353" s="13">
        <f t="shared" si="141"/>
        <v>14</v>
      </c>
      <c r="AR353" s="172">
        <f t="shared" si="142"/>
        <v>43416</v>
      </c>
      <c r="AS353" s="753">
        <f t="shared" si="143"/>
        <v>0.8214285714285714</v>
      </c>
      <c r="AT353" s="769">
        <f t="shared" si="144"/>
        <v>26.319015213660897</v>
      </c>
      <c r="AU353" s="13">
        <f t="shared" si="145"/>
        <v>13</v>
      </c>
      <c r="AV353" s="13">
        <f t="shared" si="146"/>
        <v>14</v>
      </c>
      <c r="AW353" s="172">
        <f t="shared" si="147"/>
        <v>43430</v>
      </c>
      <c r="AX353" s="753">
        <f t="shared" si="148"/>
        <v>0.32142857142857145</v>
      </c>
      <c r="AY353" s="769">
        <f t="shared" si="149"/>
        <v>26.721590331010521</v>
      </c>
      <c r="AZ353" s="746">
        <f t="shared" si="153"/>
        <v>26.520302772335711</v>
      </c>
      <c r="BA353" s="641">
        <f t="shared" si="150"/>
        <v>1.0446503344484388</v>
      </c>
      <c r="BC353" s="11">
        <v>43439</v>
      </c>
      <c r="BD353" s="289">
        <f>[2]!FeuilCaduc*(1-Persistant)+Persistant</f>
        <v>0.63287391284958383</v>
      </c>
      <c r="BE353" s="290">
        <f>[2]!CroissVégét</f>
        <v>0.99966506479017636</v>
      </c>
      <c r="BF353" s="819">
        <f>1+[2]!Salcycl*Ksac</f>
        <v>1.0041092391061979</v>
      </c>
      <c r="BH353" s="1044">
        <f t="shared" si="151"/>
        <v>2.4508551752172751E-2</v>
      </c>
      <c r="BI353" s="11">
        <v>44535</v>
      </c>
      <c r="BJ353" s="726">
        <v>1.565543419892404E-2</v>
      </c>
      <c r="BK353" s="726">
        <v>1.6581288219114101E-2</v>
      </c>
      <c r="BL353" s="726">
        <v>1.7995299270100171E-2</v>
      </c>
      <c r="BM353" s="726">
        <v>2.0034262169369974E-2</v>
      </c>
      <c r="BN353" s="726">
        <v>2.2781545046832719E-2</v>
      </c>
      <c r="BO353" s="727">
        <v>2.6010948621786146E-2</v>
      </c>
      <c r="BP353" s="726">
        <v>2.999091157101403E-2</v>
      </c>
      <c r="BQ353" s="726">
        <v>3.4809443181215552E-2</v>
      </c>
      <c r="BR353" s="726">
        <v>4.0692874166918386E-2</v>
      </c>
      <c r="BS353" s="726">
        <v>4.7437769447885483E-2</v>
      </c>
      <c r="BT353" s="726">
        <v>5.4769120264492786E-2</v>
      </c>
      <c r="BW353" s="1208">
        <f>'2018'!R\Max</f>
        <v>0.79981394004615836</v>
      </c>
      <c r="BX353" s="1206">
        <f>'2019'!R\Max</f>
        <v>0.36634930853442904</v>
      </c>
      <c r="BY353" s="1206">
        <f>'2020'!R\Max</f>
        <v>0.31304900759769433</v>
      </c>
      <c r="BZ353" s="1206">
        <f>'2021'!R\Max</f>
        <v>0.2768378307364272</v>
      </c>
      <c r="CA353" s="1206">
        <f>'2022'!R\Max</f>
        <v>1.0446503344484388</v>
      </c>
      <c r="CB353" s="1206">
        <f>'2023'!R\Max</f>
        <v>1.0446503344484388</v>
      </c>
      <c r="CC353" s="1206">
        <f>'2024'!R\Max</f>
        <v>1.0446503344484388</v>
      </c>
      <c r="CD353" s="1206">
        <f>'2025'!R\Max</f>
        <v>1.0446503344484388</v>
      </c>
      <c r="CE353" s="1206">
        <f>'2026'!R\Max</f>
        <v>1.0446503344484388</v>
      </c>
      <c r="CF353" s="1207">
        <f>'2027'!R\Max</f>
        <v>1.0446503344484388</v>
      </c>
    </row>
    <row r="354" spans="1:84" s="6" customFormat="1" ht="11.25" x14ac:dyDescent="0.2">
      <c r="A354" s="11">
        <v>43440</v>
      </c>
      <c r="B354" s="379">
        <f>'2022'!Maxi_hp</f>
        <v>23.185833675036029</v>
      </c>
      <c r="C354" s="13">
        <f>'2022'!An_max</f>
        <v>2020</v>
      </c>
      <c r="D354" s="1053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2">
        <f t="shared" si="137"/>
        <v>43430</v>
      </c>
      <c r="I354" s="753">
        <f t="shared" si="138"/>
        <v>0.7142857142857143</v>
      </c>
      <c r="J354" s="746">
        <f t="shared" si="139"/>
        <v>26.264678132959773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46">
        <v>43440</v>
      </c>
      <c r="AP354" s="13">
        <f t="shared" si="140"/>
        <v>13</v>
      </c>
      <c r="AQ354" s="13">
        <f t="shared" si="141"/>
        <v>14</v>
      </c>
      <c r="AR354" s="172">
        <f t="shared" si="142"/>
        <v>43416</v>
      </c>
      <c r="AS354" s="753">
        <f t="shared" si="143"/>
        <v>0.8571428571428571</v>
      </c>
      <c r="AT354" s="769">
        <f t="shared" si="144"/>
        <v>26.158521848438038</v>
      </c>
      <c r="AU354" s="13">
        <f t="shared" si="145"/>
        <v>13</v>
      </c>
      <c r="AV354" s="13">
        <f t="shared" si="146"/>
        <v>14</v>
      </c>
      <c r="AW354" s="172">
        <f t="shared" si="147"/>
        <v>43430</v>
      </c>
      <c r="AX354" s="753">
        <f t="shared" si="148"/>
        <v>0.35714285714285715</v>
      </c>
      <c r="AY354" s="769">
        <f t="shared" si="149"/>
        <v>26.55202109952058</v>
      </c>
      <c r="AZ354" s="746">
        <f t="shared" si="153"/>
        <v>26.355271473979307</v>
      </c>
      <c r="BA354" s="641">
        <f t="shared" si="150"/>
        <v>0.88277623497467972</v>
      </c>
      <c r="BC354" s="11">
        <v>43440</v>
      </c>
      <c r="BD354" s="289">
        <f>[2]!FeuilCaduc*(1-Persistant)+Persistant</f>
        <v>0.6306281273157095</v>
      </c>
      <c r="BE354" s="290">
        <f>[2]!CroissVégét</f>
        <v>0.9996918683792223</v>
      </c>
      <c r="BF354" s="819">
        <f>1+[2]!Salcycl*Ksac</f>
        <v>1.0038285159144638</v>
      </c>
      <c r="BH354" s="1044">
        <f t="shared" si="151"/>
        <v>2.4502027157057765E-2</v>
      </c>
      <c r="BI354" s="11">
        <v>44536</v>
      </c>
      <c r="BJ354" s="726">
        <v>1.579149775630263E-2</v>
      </c>
      <c r="BK354" s="726">
        <v>1.6740884259918473E-2</v>
      </c>
      <c r="BL354" s="726">
        <v>1.8132975213796677E-2</v>
      </c>
      <c r="BM354" s="726">
        <v>2.0125844818768817E-2</v>
      </c>
      <c r="BN354" s="726">
        <v>2.2800594141012657E-2</v>
      </c>
      <c r="BO354" s="727">
        <v>2.5982176382453943E-2</v>
      </c>
      <c r="BP354" s="726">
        <v>2.9882644076074064E-2</v>
      </c>
      <c r="BQ354" s="726">
        <v>3.4620845761441449E-2</v>
      </c>
      <c r="BR354" s="726">
        <v>4.0421072276785777E-2</v>
      </c>
      <c r="BS354" s="726">
        <v>4.7123787626727552E-2</v>
      </c>
      <c r="BT354" s="726">
        <v>5.442696036142141E-2</v>
      </c>
      <c r="BW354" s="1208">
        <f>'2018'!R\Max</f>
        <v>0.62856102141982895</v>
      </c>
      <c r="BX354" s="1206">
        <f>'2019'!R\Max</f>
        <v>0.53086535686199654</v>
      </c>
      <c r="BY354" s="1206">
        <f>'2020'!R\Max</f>
        <v>0.88277623497467972</v>
      </c>
      <c r="BZ354" s="1206">
        <f>'2021'!R\Max</f>
        <v>0.42839622920146625</v>
      </c>
      <c r="CA354" s="1206">
        <f>'2022'!R\Max</f>
        <v>0.5878975353702145</v>
      </c>
      <c r="CB354" s="1206">
        <f>'2023'!R\Max</f>
        <v>0.58784435718110073</v>
      </c>
      <c r="CC354" s="1206">
        <f>'2024'!R\Max</f>
        <v>0.58779117226645428</v>
      </c>
      <c r="CD354" s="1206">
        <f>'2025'!R\Max</f>
        <v>0.58807101831719699</v>
      </c>
      <c r="CE354" s="1206">
        <f>'2026'!R\Max</f>
        <v>0.58803210825340668</v>
      </c>
      <c r="CF354" s="1207">
        <f>'2027'!R\Max</f>
        <v>0.58798834668995403</v>
      </c>
    </row>
    <row r="355" spans="1:84" s="6" customFormat="1" ht="11.25" x14ac:dyDescent="0.2">
      <c r="A355" s="11">
        <v>43441</v>
      </c>
      <c r="B355" s="379">
        <f>'2022'!Maxi_hp</f>
        <v>22.326722541325999</v>
      </c>
      <c r="C355" s="13">
        <f>'2022'!An_max</f>
        <v>2018</v>
      </c>
      <c r="D355" s="1053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2">
        <f t="shared" si="137"/>
        <v>43430</v>
      </c>
      <c r="I355" s="753">
        <f t="shared" si="138"/>
        <v>0.7857142857142857</v>
      </c>
      <c r="J355" s="746">
        <f t="shared" si="139"/>
        <v>26.092860257838453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46">
        <v>43441</v>
      </c>
      <c r="AP355" s="13">
        <f t="shared" si="140"/>
        <v>13</v>
      </c>
      <c r="AQ355" s="13">
        <f t="shared" si="141"/>
        <v>14</v>
      </c>
      <c r="AR355" s="172">
        <f t="shared" si="142"/>
        <v>43416</v>
      </c>
      <c r="AS355" s="753">
        <f t="shared" si="143"/>
        <v>0.8928571428571429</v>
      </c>
      <c r="AT355" s="769">
        <f t="shared" si="144"/>
        <v>26.01230565954798</v>
      </c>
      <c r="AU355" s="13">
        <f t="shared" si="145"/>
        <v>13</v>
      </c>
      <c r="AV355" s="13">
        <f t="shared" si="146"/>
        <v>14</v>
      </c>
      <c r="AW355" s="172">
        <f t="shared" si="147"/>
        <v>43430</v>
      </c>
      <c r="AX355" s="753">
        <f t="shared" si="148"/>
        <v>0.39285714285714285</v>
      </c>
      <c r="AY355" s="769">
        <f t="shared" si="149"/>
        <v>26.388909555785357</v>
      </c>
      <c r="AZ355" s="746">
        <f t="shared" si="153"/>
        <v>26.200607607666669</v>
      </c>
      <c r="BA355" s="641">
        <f t="shared" si="150"/>
        <v>0.85566405218526842</v>
      </c>
      <c r="BC355" s="11">
        <v>43441</v>
      </c>
      <c r="BD355" s="289">
        <f>[2]!FeuilCaduc*(1-Persistant)+Persistant</f>
        <v>0.62851214593092741</v>
      </c>
      <c r="BE355" s="290">
        <f>[2]!CroissVégét</f>
        <v>0.99971759412779237</v>
      </c>
      <c r="BF355" s="819">
        <f>1+[2]!Salcycl*Ksac</f>
        <v>1.0035640182413659</v>
      </c>
      <c r="BH355" s="1044">
        <f t="shared" si="151"/>
        <v>2.4485997845625218E-2</v>
      </c>
      <c r="BI355" s="11">
        <v>44537</v>
      </c>
      <c r="BJ355" s="726">
        <v>1.5918817525403105E-2</v>
      </c>
      <c r="BK355" s="726">
        <v>1.6887420776721541E-2</v>
      </c>
      <c r="BL355" s="726">
        <v>1.8256665619903367E-2</v>
      </c>
      <c r="BM355" s="726">
        <v>2.0203848076034089E-2</v>
      </c>
      <c r="BN355" s="726">
        <v>2.2809130247419849E-2</v>
      </c>
      <c r="BO355" s="727">
        <v>2.5944776565192403E-2</v>
      </c>
      <c r="BP355" s="726">
        <v>2.9774051966999022E-2</v>
      </c>
      <c r="BQ355" s="726">
        <v>3.4440579470170332E-2</v>
      </c>
      <c r="BR355" s="726">
        <v>4.0166006921169062E-2</v>
      </c>
      <c r="BS355" s="726">
        <v>4.6831370415359702E-2</v>
      </c>
      <c r="BT355" s="726">
        <v>5.4112636957721123E-2</v>
      </c>
      <c r="BW355" s="1208">
        <f>'2018'!R\Max</f>
        <v>0.85566405218526842</v>
      </c>
      <c r="BX355" s="1206">
        <f>'2019'!R\Max</f>
        <v>0.60760562475666657</v>
      </c>
      <c r="BY355" s="1206">
        <f>'2020'!R\Max</f>
        <v>0.68998074152123168</v>
      </c>
      <c r="BZ355" s="1206">
        <f>'2021'!R\Max</f>
        <v>0.23872722543819094</v>
      </c>
      <c r="CA355" s="1206">
        <f>'2022'!R\Max</f>
        <v>0.83649336836531862</v>
      </c>
      <c r="CB355" s="1206">
        <f>'2023'!R\Max</f>
        <v>0.83646370526162916</v>
      </c>
      <c r="CC355" s="1206">
        <f>'2024'!R\Max</f>
        <v>0.83643403525198612</v>
      </c>
      <c r="CD355" s="1206">
        <f>'2025'!R\Max</f>
        <v>0.83658986678720559</v>
      </c>
      <c r="CE355" s="1206">
        <f>'2026'!R\Max</f>
        <v>0.83656819273340477</v>
      </c>
      <c r="CF355" s="1207">
        <f>'2027'!R\Max</f>
        <v>0.8365438664799506</v>
      </c>
    </row>
    <row r="356" spans="1:84" s="6" customFormat="1" ht="11.25" x14ac:dyDescent="0.2">
      <c r="A356" s="11">
        <v>43442</v>
      </c>
      <c r="B356" s="379">
        <f>'2022'!Maxi_hp</f>
        <v>18.567301939285336</v>
      </c>
      <c r="C356" s="13">
        <f>'2022'!An_max</f>
        <v>2019</v>
      </c>
      <c r="D356" s="1053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2">
        <f t="shared" si="137"/>
        <v>43430</v>
      </c>
      <c r="I356" s="753">
        <f t="shared" si="138"/>
        <v>0.8571428571428571</v>
      </c>
      <c r="J356" s="746">
        <f t="shared" si="139"/>
        <v>25.935018950594319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46">
        <v>43442</v>
      </c>
      <c r="AP356" s="13">
        <f t="shared" si="140"/>
        <v>13</v>
      </c>
      <c r="AQ356" s="13">
        <f t="shared" si="141"/>
        <v>14</v>
      </c>
      <c r="AR356" s="172">
        <f t="shared" si="142"/>
        <v>43416</v>
      </c>
      <c r="AS356" s="753">
        <f t="shared" si="143"/>
        <v>0.9285714285714286</v>
      </c>
      <c r="AT356" s="769">
        <f t="shared" si="144"/>
        <v>25.881124635493119</v>
      </c>
      <c r="AU356" s="13">
        <f t="shared" si="145"/>
        <v>13</v>
      </c>
      <c r="AV356" s="13">
        <f t="shared" si="146"/>
        <v>14</v>
      </c>
      <c r="AW356" s="172">
        <f t="shared" si="147"/>
        <v>43430</v>
      </c>
      <c r="AX356" s="753">
        <f t="shared" si="148"/>
        <v>0.42857142857142855</v>
      </c>
      <c r="AY356" s="769">
        <f t="shared" si="149"/>
        <v>26.232841210918764</v>
      </c>
      <c r="AZ356" s="746">
        <f t="shared" si="153"/>
        <v>26.056982923205943</v>
      </c>
      <c r="BA356" s="641">
        <f t="shared" si="150"/>
        <v>0.7159162665219434</v>
      </c>
      <c r="BC356" s="11">
        <v>43442</v>
      </c>
      <c r="BD356" s="289">
        <f>[2]!FeuilCaduc*(1-Persistant)+Persistant</f>
        <v>0.62652226865599625</v>
      </c>
      <c r="BE356" s="290">
        <f>[2]!CroissVégét</f>
        <v>0.99974228532646048</v>
      </c>
      <c r="BF356" s="819">
        <f>1+[2]!Salcycl*Ksac</f>
        <v>1.0033152835819996</v>
      </c>
      <c r="BH356" s="1044">
        <f t="shared" si="151"/>
        <v>2.4460514129440687E-2</v>
      </c>
      <c r="BI356" s="11">
        <v>44538</v>
      </c>
      <c r="BJ356" s="726">
        <v>1.6037425455305662E-2</v>
      </c>
      <c r="BK356" s="726">
        <v>1.7020931347152071E-2</v>
      </c>
      <c r="BL356" s="726">
        <v>1.8366406943728181E-2</v>
      </c>
      <c r="BM356" s="726">
        <v>2.0268312665902552E-2</v>
      </c>
      <c r="BN356" s="726">
        <v>2.280720001641761E-2</v>
      </c>
      <c r="BO356" s="727">
        <v>2.5898802666603288E-2</v>
      </c>
      <c r="BP356" s="726">
        <v>2.9665197588324248E-2</v>
      </c>
      <c r="BQ356" s="726">
        <v>3.4268717267780302E-2</v>
      </c>
      <c r="BR356" s="726">
        <v>3.9927763873579471E-2</v>
      </c>
      <c r="BS356" s="726">
        <v>4.6560617944990834E-2</v>
      </c>
      <c r="BT356" s="726">
        <v>5.3826265860143302E-2</v>
      </c>
      <c r="BW356" s="1208">
        <f>'2018'!R\Max</f>
        <v>0.65277619282187993</v>
      </c>
      <c r="BX356" s="1206">
        <f>'2019'!R\Max</f>
        <v>0.7159162665219434</v>
      </c>
      <c r="BY356" s="1206">
        <f>'2020'!R\Max</f>
        <v>9.4581374175497404E-2</v>
      </c>
      <c r="BZ356" s="1206">
        <f>'2021'!R\Max</f>
        <v>0.41033619167380087</v>
      </c>
      <c r="CA356" s="1206">
        <f>'2022'!R\Max</f>
        <v>0.1550468604068452</v>
      </c>
      <c r="CB356" s="1206">
        <f>'2023'!R\Max</f>
        <v>0.155023569309027</v>
      </c>
      <c r="CC356" s="1206">
        <f>'2024'!R\Max</f>
        <v>0.15500027821120879</v>
      </c>
      <c r="CD356" s="1206">
        <f>'2025'!R\Max</f>
        <v>0.15512247378264438</v>
      </c>
      <c r="CE356" s="1206">
        <f>'2026'!R\Max</f>
        <v>0.15510546982484955</v>
      </c>
      <c r="CF356" s="1207">
        <f>'2027'!R\Max</f>
        <v>0.15508641408518684</v>
      </c>
    </row>
    <row r="357" spans="1:84" s="6" customFormat="1" ht="11.25" x14ac:dyDescent="0.2">
      <c r="A357" s="11">
        <v>43443</v>
      </c>
      <c r="B357" s="379">
        <f>'2022'!Maxi_hp</f>
        <v>10.545859216009614</v>
      </c>
      <c r="C357" s="13">
        <f>'2022'!An_max</f>
        <v>2020</v>
      </c>
      <c r="D357" s="1053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2">
        <f t="shared" si="137"/>
        <v>43430</v>
      </c>
      <c r="I357" s="753">
        <f t="shared" si="138"/>
        <v>0.9285714285714286</v>
      </c>
      <c r="J357" s="746">
        <f t="shared" si="139"/>
        <v>25.79256269814713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46">
        <v>43443</v>
      </c>
      <c r="AP357" s="13">
        <f t="shared" si="140"/>
        <v>13</v>
      </c>
      <c r="AQ357" s="13">
        <f t="shared" si="141"/>
        <v>14</v>
      </c>
      <c r="AR357" s="172">
        <f t="shared" si="142"/>
        <v>43416</v>
      </c>
      <c r="AS357" s="753">
        <f t="shared" si="143"/>
        <v>0.9642857142857143</v>
      </c>
      <c r="AT357" s="769">
        <f t="shared" si="144"/>
        <v>25.765736751923601</v>
      </c>
      <c r="AU357" s="13">
        <f t="shared" si="145"/>
        <v>13</v>
      </c>
      <c r="AV357" s="13">
        <f t="shared" si="146"/>
        <v>14</v>
      </c>
      <c r="AW357" s="172">
        <f t="shared" si="147"/>
        <v>43430</v>
      </c>
      <c r="AX357" s="753">
        <f t="shared" si="148"/>
        <v>0.4642857142857143</v>
      </c>
      <c r="AY357" s="769">
        <f t="shared" si="149"/>
        <v>26.084401577365185</v>
      </c>
      <c r="AZ357" s="746">
        <f t="shared" si="153"/>
        <v>25.925069164644391</v>
      </c>
      <c r="BA357" s="641">
        <f t="shared" si="150"/>
        <v>0.40887209772168942</v>
      </c>
      <c r="BC357" s="11">
        <v>43443</v>
      </c>
      <c r="BD357" s="289">
        <f>[2]!FeuilCaduc*(1-Persistant)+Persistant</f>
        <v>0.62465451216441836</v>
      </c>
      <c r="BE357" s="290">
        <f>[2]!CroissVégét</f>
        <v>0.99976598353118062</v>
      </c>
      <c r="BF357" s="819">
        <f>1+[2]!Salcycl*Ksac</f>
        <v>1.0030818140205524</v>
      </c>
      <c r="BH357" s="1044">
        <f t="shared" si="151"/>
        <v>2.442562614358109E-2</v>
      </c>
      <c r="BI357" s="11">
        <v>44539</v>
      </c>
      <c r="BJ357" s="726">
        <v>1.6147354515399729E-2</v>
      </c>
      <c r="BK357" s="726">
        <v>1.7141450711159894E-2</v>
      </c>
      <c r="BL357" s="726">
        <v>1.8462236608873028E-2</v>
      </c>
      <c r="BM357" s="726">
        <v>2.031927990275971E-2</v>
      </c>
      <c r="BN357" s="726">
        <v>2.2794850122357935E-2</v>
      </c>
      <c r="BO357" s="727">
        <v>2.5844307832395875E-2</v>
      </c>
      <c r="BP357" s="726">
        <v>2.9556142374863467E-2</v>
      </c>
      <c r="BQ357" s="726">
        <v>3.4105330643383835E-2</v>
      </c>
      <c r="BR357" s="726">
        <v>3.9706426847519627E-2</v>
      </c>
      <c r="BS357" s="726">
        <v>4.6311627994726413E-2</v>
      </c>
      <c r="BT357" s="726">
        <v>5.3567960365485306E-2</v>
      </c>
      <c r="BW357" s="1208">
        <f>'2018'!R\Max</f>
        <v>0.19635617366504685</v>
      </c>
      <c r="BX357" s="1206">
        <f>'2019'!R\Max</f>
        <v>0.39828717258920582</v>
      </c>
      <c r="BY357" s="1206">
        <f>'2020'!R\Max</f>
        <v>0.40887209772168942</v>
      </c>
      <c r="BZ357" s="1206">
        <f>'2021'!R\Max</f>
        <v>0.32917864805185498</v>
      </c>
      <c r="CA357" s="1206">
        <f>'2022'!R\Max</f>
        <v>0.35206658801097968</v>
      </c>
      <c r="CB357" s="1206">
        <f>'2023'!R\Max</f>
        <v>0.35201810181826615</v>
      </c>
      <c r="CC357" s="1206">
        <f>'2024'!R\Max</f>
        <v>0.35196961454880316</v>
      </c>
      <c r="CD357" s="1206">
        <f>'2025'!R\Max</f>
        <v>0.35222359360514072</v>
      </c>
      <c r="CE357" s="1206">
        <f>'2026'!R\Max</f>
        <v>0.35218827736043551</v>
      </c>
      <c r="CF357" s="1207">
        <f>'2027'!R\Max</f>
        <v>0.35214871814330223</v>
      </c>
    </row>
    <row r="358" spans="1:84" s="6" customFormat="1" ht="11.25" x14ac:dyDescent="0.2">
      <c r="A358" s="11">
        <v>43444</v>
      </c>
      <c r="B358" s="379">
        <f>'2022'!Maxi_hp</f>
        <v>22.599335595679641</v>
      </c>
      <c r="C358" s="13">
        <f>'2022'!An_max</f>
        <v>2019</v>
      </c>
      <c r="D358" s="1053" t="str">
        <f t="shared" si="135"/>
        <v/>
      </c>
      <c r="E358" s="1048">
        <f>AL$13/10</f>
        <v>25.666899999999998</v>
      </c>
      <c r="F358" s="13">
        <f t="shared" si="152"/>
        <v>27</v>
      </c>
      <c r="G358" s="13">
        <f t="shared" si="136"/>
        <v>26</v>
      </c>
      <c r="H358" s="172">
        <f t="shared" si="137"/>
        <v>43458</v>
      </c>
      <c r="I358" s="753">
        <f t="shared" si="138"/>
        <v>1</v>
      </c>
      <c r="J358" s="746">
        <f t="shared" si="139"/>
        <v>25.66689999997616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46">
        <v>43444</v>
      </c>
      <c r="AP358" s="13">
        <f t="shared" si="140"/>
        <v>15</v>
      </c>
      <c r="AQ358" s="13">
        <f t="shared" si="141"/>
        <v>14</v>
      </c>
      <c r="AR358" s="172">
        <f t="shared" si="142"/>
        <v>43473</v>
      </c>
      <c r="AS358" s="753">
        <f t="shared" si="143"/>
        <v>1</v>
      </c>
      <c r="AT358" s="769">
        <f t="shared" si="144"/>
        <v>25.666899998486041</v>
      </c>
      <c r="AU358" s="13">
        <f t="shared" si="145"/>
        <v>13</v>
      </c>
      <c r="AV358" s="13">
        <f t="shared" si="146"/>
        <v>14</v>
      </c>
      <c r="AW358" s="172">
        <f t="shared" si="147"/>
        <v>43430</v>
      </c>
      <c r="AX358" s="753">
        <f t="shared" si="148"/>
        <v>0.5</v>
      </c>
      <c r="AY358" s="769">
        <f t="shared" si="149"/>
        <v>25.94417616389692</v>
      </c>
      <c r="AZ358" s="746">
        <f t="shared" si="153"/>
        <v>25.805538081191479</v>
      </c>
      <c r="BA358" s="641">
        <f t="shared" si="150"/>
        <v>0.88048559022323036</v>
      </c>
      <c r="BC358" s="11">
        <v>43444</v>
      </c>
      <c r="BD358" s="289">
        <f>[2]!FeuilCaduc*(1-Persistant)+Persistant</f>
        <v>0.62290464148302538</v>
      </c>
      <c r="BE358" s="290">
        <f>[2]!CroissVégét</f>
        <v>0.9997887286324697</v>
      </c>
      <c r="BF358" s="819">
        <f>1+[2]!Salcycl*Ksac</f>
        <v>1.0028630801853782</v>
      </c>
      <c r="BH358" s="1044">
        <f t="shared" si="151"/>
        <v>2.4381383649872732E-2</v>
      </c>
      <c r="BI358" s="11">
        <v>44540</v>
      </c>
      <c r="BJ358" s="726">
        <v>1.6248638513997639E-2</v>
      </c>
      <c r="BK358" s="726">
        <v>1.7249014499908569E-2</v>
      </c>
      <c r="BL358" s="726">
        <v>1.8544192716943613E-2</v>
      </c>
      <c r="BM358" s="726">
        <v>2.0356791408909468E-2</v>
      </c>
      <c r="BN358" s="726">
        <v>2.2772127045771542E-2</v>
      </c>
      <c r="BO358" s="727">
        <v>2.5781344678935607E-2</v>
      </c>
      <c r="BP358" s="726">
        <v>2.9446946846102471E-2</v>
      </c>
      <c r="BQ358" s="726">
        <v>3.3950489789431035E-2</v>
      </c>
      <c r="BR358" s="726">
        <v>3.9502077846131141E-2</v>
      </c>
      <c r="BS358" s="726">
        <v>4.6084496441872777E-2</v>
      </c>
      <c r="BT358" s="726">
        <v>5.3337831841576977E-2</v>
      </c>
      <c r="BW358" s="1208">
        <f>'2018'!R\Max</f>
        <v>0.50571600620233403</v>
      </c>
      <c r="BX358" s="1206">
        <f>'2019'!R\Max</f>
        <v>0.88048559022323036</v>
      </c>
      <c r="BY358" s="1206">
        <f>'2020'!R\Max</f>
        <v>0.34365254846675924</v>
      </c>
      <c r="BZ358" s="1206">
        <f>'2021'!R\Max</f>
        <v>9.0518646872513556E-2</v>
      </c>
      <c r="CA358" s="1206">
        <f>'2022'!R\Max</f>
        <v>0.65447522802321823</v>
      </c>
      <c r="CB358" s="1206">
        <f>'2023'!R\Max</f>
        <v>0.65442754271368309</v>
      </c>
      <c r="CC358" s="1206">
        <f>'2024'!R\Max</f>
        <v>0.65437985027143541</v>
      </c>
      <c r="CD358" s="1206">
        <f>'2025'!R\Max</f>
        <v>0.65462922053031503</v>
      </c>
      <c r="CE358" s="1206">
        <f>'2026'!R\Max</f>
        <v>0.65459460164427108</v>
      </c>
      <c r="CF358" s="1207">
        <f>'2027'!R\Max</f>
        <v>0.65455580385732326</v>
      </c>
    </row>
    <row r="359" spans="1:84" s="6" customFormat="1" ht="11.25" x14ac:dyDescent="0.2">
      <c r="A359" s="11">
        <v>43445</v>
      </c>
      <c r="B359" s="379">
        <f>'2022'!Maxi_hp</f>
        <v>18.967198725102847</v>
      </c>
      <c r="C359" s="13">
        <f>'2022'!An_max</f>
        <v>2018</v>
      </c>
      <c r="D359" s="1053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2">
        <f t="shared" si="137"/>
        <v>43458</v>
      </c>
      <c r="I359" s="753">
        <f t="shared" si="138"/>
        <v>0.9285714285714286</v>
      </c>
      <c r="J359" s="746">
        <f t="shared" si="139"/>
        <v>25.555530099996496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46">
        <v>43445</v>
      </c>
      <c r="AP359" s="13">
        <f t="shared" si="140"/>
        <v>15</v>
      </c>
      <c r="AQ359" s="13">
        <f t="shared" si="141"/>
        <v>14</v>
      </c>
      <c r="AR359" s="172">
        <f t="shared" si="142"/>
        <v>43473</v>
      </c>
      <c r="AS359" s="753">
        <f t="shared" si="143"/>
        <v>0.96551724137931039</v>
      </c>
      <c r="AT359" s="769">
        <f t="shared" si="144"/>
        <v>25.582297950571981</v>
      </c>
      <c r="AU359" s="13">
        <f t="shared" si="145"/>
        <v>13</v>
      </c>
      <c r="AV359" s="13">
        <f t="shared" si="146"/>
        <v>14</v>
      </c>
      <c r="AW359" s="172">
        <f t="shared" si="147"/>
        <v>43430</v>
      </c>
      <c r="AX359" s="753">
        <f t="shared" si="148"/>
        <v>0.5357142857142857</v>
      </c>
      <c r="AY359" s="769">
        <f t="shared" si="149"/>
        <v>25.812750484342018</v>
      </c>
      <c r="AZ359" s="746">
        <f t="shared" si="153"/>
        <v>25.697524217457001</v>
      </c>
      <c r="BA359" s="641">
        <f t="shared" si="150"/>
        <v>0.74219547201274638</v>
      </c>
      <c r="BC359" s="11">
        <v>43445</v>
      </c>
      <c r="BD359" s="289">
        <f>[2]!FeuilCaduc*(1-Persistant)+Persistant</f>
        <v>0.62126820244498304</v>
      </c>
      <c r="BE359" s="290">
        <f>[2]!CroissVégét</f>
        <v>0.99981055892185233</v>
      </c>
      <c r="BF359" s="819">
        <f>1+[2]!Salcycl*Ksac</f>
        <v>1.0026585253056228</v>
      </c>
      <c r="BH359" s="1044">
        <f t="shared" si="151"/>
        <v>2.4327835840513793E-2</v>
      </c>
      <c r="BI359" s="11">
        <v>44541</v>
      </c>
      <c r="BJ359" s="726">
        <v>1.6341311917199366E-2</v>
      </c>
      <c r="BK359" s="726">
        <v>1.7343658964934665E-2</v>
      </c>
      <c r="BL359" s="726">
        <v>1.8612313757547239E-2</v>
      </c>
      <c r="BM359" s="726">
        <v>2.0380888833161807E-2</v>
      </c>
      <c r="BN359" s="726">
        <v>2.2739076855916265E-2</v>
      </c>
      <c r="BO359" s="727">
        <v>2.5709965115199795E-2</v>
      </c>
      <c r="BP359" s="726">
        <v>2.9337670601059327E-2</v>
      </c>
      <c r="BQ359" s="726">
        <v>3.380426377685207E-2</v>
      </c>
      <c r="BR359" s="726">
        <v>3.9314797512470738E-2</v>
      </c>
      <c r="BS359" s="726">
        <v>4.5879317712974127E-2</v>
      </c>
      <c r="BT359" s="726">
        <v>5.3135990309113847E-2</v>
      </c>
      <c r="BW359" s="1208">
        <f>'2018'!R\Max</f>
        <v>0.74219547201274638</v>
      </c>
      <c r="BX359" s="1206">
        <f>'2019'!R\Max</f>
        <v>6.9231275777534962E-2</v>
      </c>
      <c r="BY359" s="1206">
        <f>'2020'!R\Max</f>
        <v>0.21863596312396499</v>
      </c>
      <c r="BZ359" s="1206">
        <f>'2021'!R\Max</f>
        <v>0.52451104224135325</v>
      </c>
      <c r="CA359" s="1206">
        <f>'2022'!R\Max</f>
        <v>0.70533886436343962</v>
      </c>
      <c r="CB359" s="1206">
        <f>'2023'!R\Max</f>
        <v>0.70529532278573559</v>
      </c>
      <c r="CC359" s="1206">
        <f>'2024'!R\Max</f>
        <v>0.70525177380934956</v>
      </c>
      <c r="CD359" s="1206">
        <f>'2025'!R\Max</f>
        <v>0.70547913572625509</v>
      </c>
      <c r="CE359" s="1206">
        <f>'2026'!R\Max</f>
        <v>0.70544763739284055</v>
      </c>
      <c r="CF359" s="1207">
        <f>'2027'!R\Max</f>
        <v>0.70541228909611753</v>
      </c>
    </row>
    <row r="360" spans="1:84" s="6" customFormat="1" ht="11.25" x14ac:dyDescent="0.2">
      <c r="A360" s="11">
        <v>43446</v>
      </c>
      <c r="B360" s="379">
        <f>'2022'!Maxi_hp</f>
        <v>25.182974084445021</v>
      </c>
      <c r="C360" s="13">
        <f>'2022'!An_max</f>
        <v>2021</v>
      </c>
      <c r="D360" s="1053">
        <f t="shared" si="135"/>
        <v>0.98930830281771176</v>
      </c>
      <c r="E360" s="13"/>
      <c r="F360" s="13">
        <f t="shared" si="152"/>
        <v>27</v>
      </c>
      <c r="G360" s="13">
        <f t="shared" si="136"/>
        <v>26</v>
      </c>
      <c r="H360" s="172">
        <f t="shared" si="137"/>
        <v>43458</v>
      </c>
      <c r="I360" s="753">
        <f t="shared" si="138"/>
        <v>0.8571428571428571</v>
      </c>
      <c r="J360" s="746">
        <f t="shared" si="139"/>
        <v>25.455132654522149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46">
        <v>43446</v>
      </c>
      <c r="AP360" s="13">
        <f t="shared" si="140"/>
        <v>15</v>
      </c>
      <c r="AQ360" s="13">
        <f t="shared" si="141"/>
        <v>14</v>
      </c>
      <c r="AR360" s="172">
        <f t="shared" si="142"/>
        <v>43473</v>
      </c>
      <c r="AS360" s="753">
        <f t="shared" si="143"/>
        <v>0.93103448275862066</v>
      </c>
      <c r="AT360" s="769">
        <f t="shared" si="144"/>
        <v>25.509024690297146</v>
      </c>
      <c r="AU360" s="13">
        <f t="shared" si="145"/>
        <v>13</v>
      </c>
      <c r="AV360" s="13">
        <f t="shared" si="146"/>
        <v>14</v>
      </c>
      <c r="AW360" s="172">
        <f t="shared" si="147"/>
        <v>43430</v>
      </c>
      <c r="AX360" s="753">
        <f t="shared" si="148"/>
        <v>0.5714285714285714</v>
      </c>
      <c r="AY360" s="769">
        <f t="shared" si="149"/>
        <v>25.690710050186944</v>
      </c>
      <c r="AZ360" s="746">
        <f t="shared" si="153"/>
        <v>25.599867370242045</v>
      </c>
      <c r="BA360" s="641">
        <f t="shared" si="150"/>
        <v>0.98930830281771176</v>
      </c>
      <c r="BC360" s="11">
        <v>43446</v>
      </c>
      <c r="BD360" s="289">
        <f>[2]!FeuilCaduc*(1-Persistant)+Persistant</f>
        <v>0.61974055469729172</v>
      </c>
      <c r="BE360" s="290">
        <f>[2]!CroissVégét</f>
        <v>0.99983151115568181</v>
      </c>
      <c r="BF360" s="819">
        <f>1+[2]!Salcycl*Ksac</f>
        <v>1.0024675693371614</v>
      </c>
      <c r="BH360" s="1044">
        <f t="shared" si="151"/>
        <v>2.4265031141438735E-2</v>
      </c>
      <c r="BI360" s="11">
        <v>44542</v>
      </c>
      <c r="BJ360" s="726">
        <v>1.6425409667588011E-2</v>
      </c>
      <c r="BK360" s="726">
        <v>1.7425420707127322E-2</v>
      </c>
      <c r="BL360" s="726">
        <v>1.8666638318096663E-2</v>
      </c>
      <c r="BM360" s="726">
        <v>2.0391613569206619E-2</v>
      </c>
      <c r="BN360" s="726">
        <v>2.2695744993084816E-2</v>
      </c>
      <c r="BO360" s="727">
        <v>2.5630220164460153E-2</v>
      </c>
      <c r="BP360" s="726">
        <v>2.9228372312831635E-2</v>
      </c>
      <c r="BQ360" s="726">
        <v>3.3666720729838041E-2</v>
      </c>
      <c r="BR360" s="726">
        <v>3.9144665479364925E-2</v>
      </c>
      <c r="BS360" s="726">
        <v>4.5696185234358179E-2</v>
      </c>
      <c r="BT360" s="726">
        <v>5.2962545022922407E-2</v>
      </c>
      <c r="BW360" s="1208">
        <f>'2018'!R\Max</f>
        <v>0.13980059103909567</v>
      </c>
      <c r="BX360" s="1206">
        <f>'2019'!R\Max</f>
        <v>0.25216797121448559</v>
      </c>
      <c r="BY360" s="1206">
        <f>'2020'!R\Max</f>
        <v>0.3150936737929953</v>
      </c>
      <c r="BZ360" s="1206">
        <f>'2021'!R\Max</f>
        <v>0.98930830281771176</v>
      </c>
      <c r="CA360" s="1206">
        <f>'2022'!R\Max</f>
        <v>0.22756462310205675</v>
      </c>
      <c r="CB360" s="1206">
        <f>'2023'!R\Max</f>
        <v>0.2275314078192732</v>
      </c>
      <c r="CC360" s="1206">
        <f>'2024'!R\Max</f>
        <v>0.22749819253648967</v>
      </c>
      <c r="CD360" s="1206">
        <f>'2025'!R\Max</f>
        <v>0.22767142217176248</v>
      </c>
      <c r="CE360" s="1206">
        <f>'2026'!R\Max</f>
        <v>0.22764747915745379</v>
      </c>
      <c r="CF360" s="1207">
        <f>'2027'!R\Max</f>
        <v>0.22762055165427522</v>
      </c>
    </row>
    <row r="361" spans="1:84" s="6" customFormat="1" ht="11.25" x14ac:dyDescent="0.2">
      <c r="A361" s="11">
        <v>43447</v>
      </c>
      <c r="B361" s="379">
        <f>'2022'!Maxi_hp</f>
        <v>25.628630345535896</v>
      </c>
      <c r="C361" s="13">
        <f>'2022'!An_max</f>
        <v>2021</v>
      </c>
      <c r="D361" s="1053">
        <f t="shared" si="135"/>
        <v>1.0103581479326669</v>
      </c>
      <c r="E361" s="13"/>
      <c r="F361" s="13">
        <f t="shared" si="152"/>
        <v>27</v>
      </c>
      <c r="G361" s="13">
        <f t="shared" si="136"/>
        <v>26</v>
      </c>
      <c r="H361" s="172">
        <f t="shared" si="137"/>
        <v>43458</v>
      </c>
      <c r="I361" s="753">
        <f t="shared" si="138"/>
        <v>0.7857142857142857</v>
      </c>
      <c r="J361" s="746">
        <f t="shared" si="139"/>
        <v>25.36588673825775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46">
        <v>43447</v>
      </c>
      <c r="AP361" s="13">
        <f t="shared" si="140"/>
        <v>15</v>
      </c>
      <c r="AQ361" s="13">
        <f t="shared" si="141"/>
        <v>14</v>
      </c>
      <c r="AR361" s="172">
        <f t="shared" si="142"/>
        <v>43473</v>
      </c>
      <c r="AS361" s="753">
        <f t="shared" si="143"/>
        <v>0.89655172413793105</v>
      </c>
      <c r="AT361" s="769">
        <f t="shared" si="144"/>
        <v>25.446953958170166</v>
      </c>
      <c r="AU361" s="13">
        <f t="shared" si="145"/>
        <v>13</v>
      </c>
      <c r="AV361" s="13">
        <f t="shared" si="146"/>
        <v>14</v>
      </c>
      <c r="AW361" s="172">
        <f t="shared" si="147"/>
        <v>43430</v>
      </c>
      <c r="AX361" s="753">
        <f t="shared" si="148"/>
        <v>0.6071428571428571</v>
      </c>
      <c r="AY361" s="769">
        <f t="shared" si="149"/>
        <v>25.578640368607427</v>
      </c>
      <c r="AZ361" s="746">
        <f t="shared" si="153"/>
        <v>25.512797163388797</v>
      </c>
      <c r="BA361" s="641">
        <f t="shared" si="150"/>
        <v>1.0103581479326669</v>
      </c>
      <c r="BC361" s="11">
        <v>43447</v>
      </c>
      <c r="BD361" s="289">
        <f>[2]!FeuilCaduc*(1-Persistant)+Persistant</f>
        <v>0.61831690500385694</v>
      </c>
      <c r="BE361" s="290">
        <f>[2]!CroissVégét</f>
        <v>0.99985162061643362</v>
      </c>
      <c r="BF361" s="819">
        <f>1+[2]!Salcycl*Ksac</f>
        <v>1.0022896131254821</v>
      </c>
      <c r="BH361" s="1044">
        <f t="shared" si="151"/>
        <v>2.420823836501601E-2</v>
      </c>
      <c r="BI361" s="11">
        <v>44543</v>
      </c>
      <c r="BJ361" s="726">
        <v>1.6500964196946469E-2</v>
      </c>
      <c r="BK361" s="726">
        <v>1.7497558383397439E-2</v>
      </c>
      <c r="BL361" s="726">
        <v>1.8714065881120585E-2</v>
      </c>
      <c r="BM361" s="726">
        <v>2.0400110424279749E-2</v>
      </c>
      <c r="BN361" s="726">
        <v>2.2656453788848691E-2</v>
      </c>
      <c r="BO361" s="727">
        <v>2.5558202023141536E-2</v>
      </c>
      <c r="BP361" s="726">
        <v>2.9129808596759305E-2</v>
      </c>
      <c r="BQ361" s="726">
        <v>3.35426110464387E-2</v>
      </c>
      <c r="BR361" s="726">
        <v>3.899052955155493E-2</v>
      </c>
      <c r="BS361" s="726">
        <v>4.5530763985610741E-2</v>
      </c>
      <c r="BT361" s="726">
        <v>5.2807467664543972E-2</v>
      </c>
      <c r="BW361" s="1208">
        <f>'2018'!R\Max</f>
        <v>6.190697110541378E-2</v>
      </c>
      <c r="BX361" s="1206">
        <f>'2019'!R\Max</f>
        <v>7.560784492197907E-2</v>
      </c>
      <c r="BY361" s="1206">
        <f>'2020'!R\Max</f>
        <v>0.41337938690018233</v>
      </c>
      <c r="BZ361" s="1206">
        <f>'2021'!R\Max</f>
        <v>1.0103581479326669</v>
      </c>
      <c r="CA361" s="1206">
        <f>'2022'!R\Max</f>
        <v>0.21377160758570871</v>
      </c>
      <c r="CB361" s="1206">
        <f>'2023'!R\Max</f>
        <v>0.21374054761041197</v>
      </c>
      <c r="CC361" s="1206">
        <f>'2024'!R\Max</f>
        <v>0.21370948763511516</v>
      </c>
      <c r="CD361" s="1206">
        <f>'2025'!R\Max</f>
        <v>0.21387127288613614</v>
      </c>
      <c r="CE361" s="1206">
        <f>'2026'!R\Max</f>
        <v>0.21384896679016149</v>
      </c>
      <c r="CF361" s="1207">
        <f>'2027'!R\Max</f>
        <v>0.21382382766072819</v>
      </c>
    </row>
    <row r="362" spans="1:84" s="6" customFormat="1" ht="11.25" x14ac:dyDescent="0.2">
      <c r="A362" s="11">
        <v>43448</v>
      </c>
      <c r="B362" s="379">
        <f>'2022'!Maxi_hp</f>
        <v>25.793549080224839</v>
      </c>
      <c r="C362" s="13">
        <f>'2022'!An_max</f>
        <v>2021</v>
      </c>
      <c r="D362" s="1053">
        <f t="shared" si="135"/>
        <v>1.0199928114879837</v>
      </c>
      <c r="E362" s="13"/>
      <c r="F362" s="13">
        <f t="shared" si="152"/>
        <v>27</v>
      </c>
      <c r="G362" s="13">
        <f t="shared" si="136"/>
        <v>26</v>
      </c>
      <c r="H362" s="172">
        <f t="shared" si="137"/>
        <v>43458</v>
      </c>
      <c r="I362" s="753">
        <f t="shared" si="138"/>
        <v>0.7142857142857143</v>
      </c>
      <c r="J362" s="746">
        <f t="shared" si="139"/>
        <v>25.287971434422904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46">
        <v>43448</v>
      </c>
      <c r="AP362" s="13">
        <f t="shared" si="140"/>
        <v>15</v>
      </c>
      <c r="AQ362" s="13">
        <f t="shared" si="141"/>
        <v>14</v>
      </c>
      <c r="AR362" s="172">
        <f t="shared" si="142"/>
        <v>43473</v>
      </c>
      <c r="AS362" s="753">
        <f t="shared" si="143"/>
        <v>0.86206896551724133</v>
      </c>
      <c r="AT362" s="769">
        <f t="shared" si="144"/>
        <v>25.395959509652236</v>
      </c>
      <c r="AU362" s="13">
        <f t="shared" si="145"/>
        <v>13</v>
      </c>
      <c r="AV362" s="13">
        <f t="shared" si="146"/>
        <v>14</v>
      </c>
      <c r="AW362" s="172">
        <f t="shared" si="147"/>
        <v>43430</v>
      </c>
      <c r="AX362" s="753">
        <f t="shared" si="148"/>
        <v>0.6428571428571429</v>
      </c>
      <c r="AY362" s="769">
        <f t="shared" si="149"/>
        <v>25.477126957050391</v>
      </c>
      <c r="AZ362" s="746">
        <f t="shared" si="153"/>
        <v>25.436543233351316</v>
      </c>
      <c r="BA362" s="641">
        <f t="shared" si="150"/>
        <v>1.0199928114879837</v>
      </c>
      <c r="BC362" s="11">
        <v>43448</v>
      </c>
      <c r="BD362" s="289">
        <f>[2]!FeuilCaduc*(1-Persistant)+Persistant</f>
        <v>0.61699234058646302</v>
      </c>
      <c r="BE362" s="290">
        <f>[2]!CroissVégét</f>
        <v>0.99987092117157228</v>
      </c>
      <c r="BF362" s="819">
        <f>1+[2]!Salcycl*Ksac</f>
        <v>1.0021240425733078</v>
      </c>
      <c r="BH362" s="1044">
        <f t="shared" si="151"/>
        <v>2.4157506847898989E-2</v>
      </c>
      <c r="BI362" s="11">
        <v>44544</v>
      </c>
      <c r="BJ362" s="726">
        <v>1.6568010856568612E-2</v>
      </c>
      <c r="BK362" s="726">
        <v>1.7560109122481921E-2</v>
      </c>
      <c r="BL362" s="726">
        <v>1.8754635726361792E-2</v>
      </c>
      <c r="BM362" s="726">
        <v>2.0406421649666804E-2</v>
      </c>
      <c r="BN362" s="726">
        <v>2.2621249617612176E-2</v>
      </c>
      <c r="BO362" s="727">
        <v>2.5493962604884259E-2</v>
      </c>
      <c r="BP362" s="726">
        <v>2.9042038389866569E-2</v>
      </c>
      <c r="BQ362" s="726">
        <v>3.3432002415252828E-2</v>
      </c>
      <c r="BR362" s="726">
        <v>3.8852468146192261E-2</v>
      </c>
      <c r="BS362" s="726">
        <v>4.5383145862630397E-2</v>
      </c>
      <c r="BT362" s="726">
        <v>5.2670865681720434E-2</v>
      </c>
      <c r="BW362" s="1208">
        <f>'2018'!R\Max</f>
        <v>6.9387609116578958E-2</v>
      </c>
      <c r="BX362" s="1206">
        <f>'2019'!R\Max</f>
        <v>0.67577705979796587</v>
      </c>
      <c r="BY362" s="1206">
        <f>'2020'!R\Max</f>
        <v>0.3971948551405815</v>
      </c>
      <c r="BZ362" s="1206">
        <f>'2021'!R\Max</f>
        <v>1.0199928114879837</v>
      </c>
      <c r="CA362" s="1206">
        <f>'2022'!R\Max</f>
        <v>0.69649660629189492</v>
      </c>
      <c r="CB362" s="1206">
        <f>'2023'!R\Max</f>
        <v>0.69645292274625736</v>
      </c>
      <c r="CC362" s="1206">
        <f>'2024'!R\Max</f>
        <v>0.69640923203852634</v>
      </c>
      <c r="CD362" s="1206">
        <f>'2025'!R\Max</f>
        <v>0.69663647904518766</v>
      </c>
      <c r="CE362" s="1206">
        <f>'2026'!R\Max</f>
        <v>0.69660522804216163</v>
      </c>
      <c r="CF362" s="1207">
        <f>'2027'!R\Max</f>
        <v>0.69656993688349034</v>
      </c>
    </row>
    <row r="363" spans="1:84" s="6" customFormat="1" ht="11.25" x14ac:dyDescent="0.2">
      <c r="A363" s="11">
        <v>43449</v>
      </c>
      <c r="B363" s="379">
        <f>'2022'!Maxi_hp</f>
        <v>25.480565606345994</v>
      </c>
      <c r="C363" s="13">
        <f>'2022'!An_max</f>
        <v>2019</v>
      </c>
      <c r="D363" s="1053">
        <f t="shared" si="135"/>
        <v>1.0102689810153267</v>
      </c>
      <c r="E363" s="13"/>
      <c r="F363" s="13">
        <f t="shared" si="152"/>
        <v>27</v>
      </c>
      <c r="G363" s="13">
        <f t="shared" si="136"/>
        <v>26</v>
      </c>
      <c r="H363" s="172">
        <f t="shared" si="137"/>
        <v>43458</v>
      </c>
      <c r="I363" s="753">
        <f t="shared" si="138"/>
        <v>0.6428571428571429</v>
      </c>
      <c r="J363" s="746">
        <f t="shared" si="139"/>
        <v>25.221565825705017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46">
        <v>43449</v>
      </c>
      <c r="AP363" s="13">
        <f t="shared" si="140"/>
        <v>15</v>
      </c>
      <c r="AQ363" s="13">
        <f t="shared" si="141"/>
        <v>14</v>
      </c>
      <c r="AR363" s="172">
        <f t="shared" si="142"/>
        <v>43473</v>
      </c>
      <c r="AS363" s="753">
        <f t="shared" si="143"/>
        <v>0.82758620689655171</v>
      </c>
      <c r="AT363" s="769">
        <f t="shared" si="144"/>
        <v>25.355915086433804</v>
      </c>
      <c r="AU363" s="13">
        <f t="shared" si="145"/>
        <v>13</v>
      </c>
      <c r="AV363" s="13">
        <f t="shared" si="146"/>
        <v>14</v>
      </c>
      <c r="AW363" s="172">
        <f t="shared" si="147"/>
        <v>43430</v>
      </c>
      <c r="AX363" s="753">
        <f t="shared" si="148"/>
        <v>0.6785714285714286</v>
      </c>
      <c r="AY363" s="769">
        <f t="shared" si="149"/>
        <v>25.386755323622907</v>
      </c>
      <c r="AZ363" s="746">
        <f t="shared" si="153"/>
        <v>25.371335205028355</v>
      </c>
      <c r="BA363" s="641">
        <f t="shared" si="150"/>
        <v>1.0102689810153267</v>
      </c>
      <c r="BC363" s="11">
        <v>43449</v>
      </c>
      <c r="BD363" s="289">
        <f>[2]!FeuilCaduc*(1-Persistant)+Persistant</f>
        <v>0.6157618622494625</v>
      </c>
      <c r="BE363" s="290">
        <f>[2]!CroissVégét</f>
        <v>0.99988944533008528</v>
      </c>
      <c r="BF363" s="819">
        <f>1+[2]!Salcycl*Ksac</f>
        <v>1.0019702327811828</v>
      </c>
      <c r="BH363" s="1044">
        <f t="shared" si="151"/>
        <v>2.411288589879039E-2</v>
      </c>
      <c r="BI363" s="11">
        <v>44545</v>
      </c>
      <c r="BJ363" s="726">
        <v>1.6626584930352569E-2</v>
      </c>
      <c r="BK363" s="726">
        <v>1.7613109870767668E-2</v>
      </c>
      <c r="BL363" s="726">
        <v>1.8788386959610853E-2</v>
      </c>
      <c r="BM363" s="726">
        <v>2.0410589365633117E-2</v>
      </c>
      <c r="BN363" s="726">
        <v>2.2590178817615995E-2</v>
      </c>
      <c r="BO363" s="727">
        <v>2.5437553802522783E-2</v>
      </c>
      <c r="BP363" s="726">
        <v>2.89651206206979E-2</v>
      </c>
      <c r="BQ363" s="726">
        <v>3.3334962511581967E-2</v>
      </c>
      <c r="BR363" s="726">
        <v>3.8730559613043988E-2</v>
      </c>
      <c r="BS363" s="726">
        <v>4.5253422727271585E-2</v>
      </c>
      <c r="BT363" s="726">
        <v>5.2552846616725636E-2</v>
      </c>
      <c r="BW363" s="1208">
        <f>'2018'!R\Max</f>
        <v>0.23152957112332292</v>
      </c>
      <c r="BX363" s="1206">
        <f>'2019'!R\Max</f>
        <v>1.0102689810153267</v>
      </c>
      <c r="BY363" s="1206">
        <f>'2020'!R\Max</f>
        <v>8.2559500114279691E-2</v>
      </c>
      <c r="BZ363" s="1206">
        <f>'2021'!R\Max</f>
        <v>0.94720552370117428</v>
      </c>
      <c r="CA363" s="1206">
        <f>'2022'!R\Max</f>
        <v>0.25479568516014434</v>
      </c>
      <c r="CB363" s="1206">
        <f>'2023'!R\Max</f>
        <v>0.25475896783289986</v>
      </c>
      <c r="CC363" s="1206">
        <f>'2024'!R\Max</f>
        <v>0.2547222505056555</v>
      </c>
      <c r="CD363" s="1206">
        <f>'2025'!R\Max</f>
        <v>0.25491311277652567</v>
      </c>
      <c r="CE363" s="1206">
        <f>'2026'!R\Max</f>
        <v>0.25488690654437279</v>
      </c>
      <c r="CF363" s="1207">
        <f>'2027'!R\Max</f>
        <v>0.25485726638153083</v>
      </c>
    </row>
    <row r="364" spans="1:84" s="6" customFormat="1" ht="11.25" x14ac:dyDescent="0.2">
      <c r="A364" s="11">
        <v>43450</v>
      </c>
      <c r="B364" s="379">
        <f>'2022'!Maxi_hp</f>
        <v>25.377084616872267</v>
      </c>
      <c r="C364" s="13">
        <f>'2022'!An_max</f>
        <v>2021</v>
      </c>
      <c r="D364" s="1053">
        <f t="shared" si="135"/>
        <v>1.0083536729347424</v>
      </c>
      <c r="E364" s="13"/>
      <c r="F364" s="13">
        <f t="shared" si="152"/>
        <v>27</v>
      </c>
      <c r="G364" s="13">
        <f t="shared" si="136"/>
        <v>26</v>
      </c>
      <c r="H364" s="172">
        <f t="shared" si="137"/>
        <v>43458</v>
      </c>
      <c r="I364" s="753">
        <f t="shared" si="138"/>
        <v>0.5714285714285714</v>
      </c>
      <c r="J364" s="746">
        <f t="shared" si="139"/>
        <v>25.166848991598403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46">
        <v>43450</v>
      </c>
      <c r="AP364" s="13">
        <f t="shared" si="140"/>
        <v>15</v>
      </c>
      <c r="AQ364" s="13">
        <f t="shared" si="141"/>
        <v>14</v>
      </c>
      <c r="AR364" s="172">
        <f t="shared" si="142"/>
        <v>43473</v>
      </c>
      <c r="AS364" s="753">
        <f t="shared" si="143"/>
        <v>0.7931034482758621</v>
      </c>
      <c r="AT364" s="769">
        <f t="shared" si="144"/>
        <v>25.32669443971124</v>
      </c>
      <c r="AU364" s="13">
        <f t="shared" si="145"/>
        <v>13</v>
      </c>
      <c r="AV364" s="13">
        <f t="shared" si="146"/>
        <v>14</v>
      </c>
      <c r="AW364" s="172">
        <f t="shared" si="147"/>
        <v>43430</v>
      </c>
      <c r="AX364" s="753">
        <f t="shared" si="148"/>
        <v>0.7142857142857143</v>
      </c>
      <c r="AY364" s="769">
        <f t="shared" si="149"/>
        <v>25.308110976219176</v>
      </c>
      <c r="AZ364" s="746">
        <f t="shared" si="153"/>
        <v>25.317402707965208</v>
      </c>
      <c r="BA364" s="641">
        <f t="shared" si="150"/>
        <v>1.0083536729347424</v>
      </c>
      <c r="BC364" s="11">
        <v>43450</v>
      </c>
      <c r="BD364" s="289">
        <f>[2]!FeuilCaduc*(1-Persistant)+Persistant</f>
        <v>0.61462041703967107</v>
      </c>
      <c r="BE364" s="290">
        <f>[2]!CroissVégét</f>
        <v>0.9999072242967757</v>
      </c>
      <c r="BF364" s="819">
        <f>1+[2]!Salcycl*Ksac</f>
        <v>1.0018275521299589</v>
      </c>
      <c r="BH364" s="1044">
        <f t="shared" si="151"/>
        <v>2.4074424918102078E-2</v>
      </c>
      <c r="BI364" s="11">
        <v>44546</v>
      </c>
      <c r="BJ364" s="726">
        <v>1.6676721453360157E-2</v>
      </c>
      <c r="BK364" s="726">
        <v>1.7656597188164199E-2</v>
      </c>
      <c r="BL364" s="726">
        <v>1.8815358365044041E-2</v>
      </c>
      <c r="BM364" s="726">
        <v>2.0412655510520891E-2</v>
      </c>
      <c r="BN364" s="726">
        <v>2.2563287769932373E-2</v>
      </c>
      <c r="BO364" s="727">
        <v>2.5389027643121415E-2</v>
      </c>
      <c r="BP364" s="726">
        <v>2.8899114426129881E-2</v>
      </c>
      <c r="BQ364" s="726">
        <v>3.325155926940486E-2</v>
      </c>
      <c r="BR364" s="726">
        <v>3.8624882558577732E-2</v>
      </c>
      <c r="BS364" s="726">
        <v>4.51416867656401E-2</v>
      </c>
      <c r="BT364" s="726">
        <v>5.245351847666338E-2</v>
      </c>
      <c r="BW364" s="1208">
        <f>'2018'!R\Max</f>
        <v>0.12559185163735656</v>
      </c>
      <c r="BX364" s="1206">
        <f>'2019'!R\Max</f>
        <v>0.57262321758441725</v>
      </c>
      <c r="BY364" s="1206">
        <f>'2020'!R\Max</f>
        <v>8.672924853902178E-2</v>
      </c>
      <c r="BZ364" s="1206">
        <f>'2021'!R\Max</f>
        <v>1.0083536729347424</v>
      </c>
      <c r="CA364" s="1206">
        <f>'2022'!R\Max</f>
        <v>0.21134709569200671</v>
      </c>
      <c r="CB364" s="1206">
        <f>'2023'!R\Max</f>
        <v>0.21131675126380717</v>
      </c>
      <c r="CC364" s="1206">
        <f>'2024'!R\Max</f>
        <v>0.21128640683560762</v>
      </c>
      <c r="CD364" s="1206">
        <f>'2025'!R\Max</f>
        <v>0.21144401899562387</v>
      </c>
      <c r="CE364" s="1206">
        <f>'2026'!R\Max</f>
        <v>0.21142241390866395</v>
      </c>
      <c r="CF364" s="1207">
        <f>'2027'!R\Max</f>
        <v>0.21139794224269307</v>
      </c>
    </row>
    <row r="365" spans="1:84" s="6" customFormat="1" ht="11.25" x14ac:dyDescent="0.2">
      <c r="A365" s="11">
        <v>43451</v>
      </c>
      <c r="B365" s="379">
        <f>'2022'!Maxi_hp</f>
        <v>25.511567876955379</v>
      </c>
      <c r="C365" s="13">
        <f>'2022'!An_max</f>
        <v>2021</v>
      </c>
      <c r="D365" s="1053">
        <f t="shared" si="135"/>
        <v>1.0154262005701966</v>
      </c>
      <c r="E365" s="13"/>
      <c r="F365" s="13">
        <f t="shared" si="152"/>
        <v>27</v>
      </c>
      <c r="G365" s="13">
        <f t="shared" si="136"/>
        <v>26</v>
      </c>
      <c r="H365" s="172">
        <f t="shared" si="137"/>
        <v>43458</v>
      </c>
      <c r="I365" s="753">
        <f t="shared" si="138"/>
        <v>0.5</v>
      </c>
      <c r="J365" s="746">
        <f t="shared" si="139"/>
        <v>25.124000013619661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46">
        <v>43451</v>
      </c>
      <c r="AP365" s="13">
        <f t="shared" si="140"/>
        <v>15</v>
      </c>
      <c r="AQ365" s="13">
        <f t="shared" si="141"/>
        <v>14</v>
      </c>
      <c r="AR365" s="172">
        <f t="shared" si="142"/>
        <v>43473</v>
      </c>
      <c r="AS365" s="753">
        <f t="shared" si="143"/>
        <v>0.75862068965517238</v>
      </c>
      <c r="AT365" s="769">
        <f t="shared" si="144"/>
        <v>25.308171314257997</v>
      </c>
      <c r="AU365" s="13">
        <f t="shared" si="145"/>
        <v>13</v>
      </c>
      <c r="AV365" s="13">
        <f t="shared" si="146"/>
        <v>14</v>
      </c>
      <c r="AW365" s="172">
        <f t="shared" si="147"/>
        <v>43430</v>
      </c>
      <c r="AX365" s="753">
        <f t="shared" si="148"/>
        <v>0.75</v>
      </c>
      <c r="AY365" s="769">
        <f t="shared" si="149"/>
        <v>25.241779432818294</v>
      </c>
      <c r="AZ365" s="746">
        <f t="shared" si="153"/>
        <v>25.274975373538147</v>
      </c>
      <c r="BA365" s="641">
        <f t="shared" si="150"/>
        <v>1.0154262005701966</v>
      </c>
      <c r="BC365" s="11">
        <v>43451</v>
      </c>
      <c r="BD365" s="289">
        <f>[2]!FeuilCaduc*(1-Persistant)+Persistant</f>
        <v>0.61356293020072572</v>
      </c>
      <c r="BE365" s="290">
        <f>[2]!CroissVégét</f>
        <v>0.99992428802440059</v>
      </c>
      <c r="BF365" s="819">
        <f>1+[2]!Salcycl*Ksac</f>
        <v>1.0016953662750907</v>
      </c>
      <c r="BH365" s="1044">
        <f t="shared" si="151"/>
        <v>2.4042173518179784E-2</v>
      </c>
      <c r="BI365" s="11">
        <v>44547</v>
      </c>
      <c r="BJ365" s="726">
        <v>1.6718455030765238E-2</v>
      </c>
      <c r="BK365" s="726">
        <v>1.7690607044388251E-2</v>
      </c>
      <c r="BL365" s="726">
        <v>1.8835588258000933E-2</v>
      </c>
      <c r="BM365" s="726">
        <v>2.0412661790324242E-2</v>
      </c>
      <c r="BN365" s="726">
        <v>2.2540622977989387E-2</v>
      </c>
      <c r="BO365" s="727">
        <v>2.5348436443606109E-2</v>
      </c>
      <c r="BP365" s="726">
        <v>2.8844079368862057E-2</v>
      </c>
      <c r="BQ365" s="726">
        <v>3.3181861154133449E-2</v>
      </c>
      <c r="BR365" s="726">
        <v>3.8535516170954534E-2</v>
      </c>
      <c r="BS365" s="726">
        <v>4.5048030847449336E-2</v>
      </c>
      <c r="BT365" s="726">
        <v>5.2372990104997123E-2</v>
      </c>
      <c r="BW365" s="1208">
        <f>'2018'!R\Max</f>
        <v>0.84167143946375156</v>
      </c>
      <c r="BX365" s="1206">
        <f>'2019'!R\Max</f>
        <v>0.49917808944739878</v>
      </c>
      <c r="BY365" s="1206">
        <f>'2020'!R\Max</f>
        <v>0.70562672438754748</v>
      </c>
      <c r="BZ365" s="1206">
        <f>'2021'!R\Max</f>
        <v>1.0154262005701966</v>
      </c>
      <c r="CA365" s="1206">
        <f>'2022'!R\Max</f>
        <v>0.12512888675179765</v>
      </c>
      <c r="CB365" s="1206">
        <f>'2023'!R\Max</f>
        <v>0.12511098210525584</v>
      </c>
      <c r="CC365" s="1206">
        <f>'2024'!R\Max</f>
        <v>0.12509307745871401</v>
      </c>
      <c r="CD365" s="1206">
        <f>'2025'!R\Max</f>
        <v>0.12518601931162573</v>
      </c>
      <c r="CE365" s="1206">
        <f>'2026'!R\Max</f>
        <v>0.12517329640366162</v>
      </c>
      <c r="CF365" s="1207">
        <f>'2027'!R\Max</f>
        <v>0.12515886777305935</v>
      </c>
    </row>
    <row r="366" spans="1:84" s="6" customFormat="1" ht="11.25" x14ac:dyDescent="0.2">
      <c r="A366" s="11">
        <v>43452</v>
      </c>
      <c r="B366" s="379">
        <f>'2022'!Maxi_hp</f>
        <v>25.730204802155043</v>
      </c>
      <c r="C366" s="13">
        <f>'2022'!An_max</f>
        <v>2021</v>
      </c>
      <c r="D366" s="1053">
        <f t="shared" si="135"/>
        <v>1.0253856374950641</v>
      </c>
      <c r="E366" s="13"/>
      <c r="F366" s="13">
        <f t="shared" si="152"/>
        <v>27</v>
      </c>
      <c r="G366" s="13">
        <f t="shared" si="136"/>
        <v>26</v>
      </c>
      <c r="H366" s="172">
        <f t="shared" si="137"/>
        <v>43458</v>
      </c>
      <c r="I366" s="753">
        <f t="shared" si="138"/>
        <v>0.42857142857142855</v>
      </c>
      <c r="J366" s="746">
        <f t="shared" si="139"/>
        <v>25.093197974775517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46">
        <v>43452</v>
      </c>
      <c r="AP366" s="13">
        <f t="shared" si="140"/>
        <v>15</v>
      </c>
      <c r="AQ366" s="13">
        <f t="shared" si="141"/>
        <v>14</v>
      </c>
      <c r="AR366" s="172">
        <f t="shared" si="142"/>
        <v>43473</v>
      </c>
      <c r="AS366" s="753">
        <f t="shared" si="143"/>
        <v>0.72413793103448276</v>
      </c>
      <c r="AT366" s="769">
        <f t="shared" si="144"/>
        <v>25.300219456748714</v>
      </c>
      <c r="AU366" s="13">
        <f t="shared" si="145"/>
        <v>13</v>
      </c>
      <c r="AV366" s="13">
        <f t="shared" si="146"/>
        <v>14</v>
      </c>
      <c r="AW366" s="172">
        <f t="shared" si="147"/>
        <v>43430</v>
      </c>
      <c r="AX366" s="753">
        <f t="shared" si="148"/>
        <v>0.7857142857142857</v>
      </c>
      <c r="AY366" s="769">
        <f t="shared" si="149"/>
        <v>25.188346202777964</v>
      </c>
      <c r="AZ366" s="746">
        <f t="shared" si="153"/>
        <v>25.244282829763339</v>
      </c>
      <c r="BA366" s="641">
        <f t="shared" si="150"/>
        <v>1.0253856374950641</v>
      </c>
      <c r="BC366" s="11">
        <v>43452</v>
      </c>
      <c r="BD366" s="289">
        <f>[2]!FeuilCaduc*(1-Persistant)+Persistant</f>
        <v>0.61258433619096941</v>
      </c>
      <c r="BE366" s="290">
        <f>[2]!CroissVégét</f>
        <v>0.99994066526373915</v>
      </c>
      <c r="BF366" s="819">
        <f>1+[2]!Salcycl*Ksac</f>
        <v>1.0015730420238711</v>
      </c>
      <c r="BH366" s="1044">
        <f t="shared" si="151"/>
        <v>2.4019435588150763E-2</v>
      </c>
      <c r="BI366" s="11">
        <v>44548</v>
      </c>
      <c r="BJ366" s="726">
        <v>1.6748366956519416E-2</v>
      </c>
      <c r="BK366" s="726">
        <v>1.7712714163176949E-2</v>
      </c>
      <c r="BL366" s="726">
        <v>1.8847898146394738E-2</v>
      </c>
      <c r="BM366" s="726">
        <v>2.0411183913674066E-2</v>
      </c>
      <c r="BN366" s="726">
        <v>2.2524617786522726E-2</v>
      </c>
      <c r="BO366" s="727">
        <v>2.5319841416839291E-2</v>
      </c>
      <c r="BP366" s="726">
        <v>2.8805404007338734E-2</v>
      </c>
      <c r="BQ366" s="726">
        <v>3.3132656260433234E-2</v>
      </c>
      <c r="BR366" s="726">
        <v>3.8471235517232555E-2</v>
      </c>
      <c r="BS366" s="726">
        <v>4.4981621469787174E-2</v>
      </c>
      <c r="BT366" s="726">
        <v>5.2319015255637313E-2</v>
      </c>
      <c r="BW366" s="1208">
        <f>'2018'!R\Max</f>
        <v>0.5180577644804869</v>
      </c>
      <c r="BX366" s="1206">
        <f>'2019'!R\Max</f>
        <v>0.75365917099685842</v>
      </c>
      <c r="BY366" s="1206">
        <f>'2020'!R\Max</f>
        <v>0.38175612013697008</v>
      </c>
      <c r="BZ366" s="1206">
        <f>'2021'!R\Max</f>
        <v>1.0253856374950641</v>
      </c>
      <c r="CA366" s="1206">
        <f>'2022'!R\Max</f>
        <v>0.83053218885434021</v>
      </c>
      <c r="CB366" s="1206">
        <f>'2023'!R\Max</f>
        <v>0.83050350199098433</v>
      </c>
      <c r="CC366" s="1206">
        <f>'2024'!R\Max</f>
        <v>0.83047480892116332</v>
      </c>
      <c r="CD366" s="1206">
        <f>'2025'!R\Max</f>
        <v>0.83062362725731953</v>
      </c>
      <c r="CE366" s="1206">
        <f>'2026'!R\Max</f>
        <v>0.83060328440510722</v>
      </c>
      <c r="CF366" s="1207">
        <f>'2027'!R\Max</f>
        <v>0.83058019026909347</v>
      </c>
    </row>
    <row r="367" spans="1:84" s="6" customFormat="1" ht="11.25" x14ac:dyDescent="0.2">
      <c r="A367" s="11">
        <v>43453</v>
      </c>
      <c r="B367" s="379">
        <f>'2022'!Maxi_hp</f>
        <v>25.266435662050515</v>
      </c>
      <c r="C367" s="13">
        <f>'2022'!An_max</f>
        <v>2021</v>
      </c>
      <c r="D367" s="1053">
        <f t="shared" si="135"/>
        <v>1.0076497147343264</v>
      </c>
      <c r="E367" s="13"/>
      <c r="F367" s="13">
        <f t="shared" si="152"/>
        <v>27</v>
      </c>
      <c r="G367" s="13">
        <f t="shared" si="136"/>
        <v>26</v>
      </c>
      <c r="H367" s="172">
        <f t="shared" si="137"/>
        <v>43458</v>
      </c>
      <c r="I367" s="753">
        <f t="shared" si="138"/>
        <v>0.35714285714285715</v>
      </c>
      <c r="J367" s="746">
        <f t="shared" si="139"/>
        <v>25.074621957008326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46">
        <v>43453</v>
      </c>
      <c r="AP367" s="13">
        <f t="shared" si="140"/>
        <v>15</v>
      </c>
      <c r="AQ367" s="13">
        <f t="shared" si="141"/>
        <v>14</v>
      </c>
      <c r="AR367" s="172">
        <f t="shared" si="142"/>
        <v>43473</v>
      </c>
      <c r="AS367" s="753">
        <f t="shared" si="143"/>
        <v>0.68965517241379315</v>
      </c>
      <c r="AT367" s="769">
        <f t="shared" si="144"/>
        <v>25.302712615502294</v>
      </c>
      <c r="AU367" s="13">
        <f t="shared" si="145"/>
        <v>13</v>
      </c>
      <c r="AV367" s="13">
        <f t="shared" si="146"/>
        <v>14</v>
      </c>
      <c r="AW367" s="172">
        <f t="shared" si="147"/>
        <v>43430</v>
      </c>
      <c r="AX367" s="753">
        <f t="shared" si="148"/>
        <v>0.8214285714285714</v>
      </c>
      <c r="AY367" s="769">
        <f t="shared" si="149"/>
        <v>25.148396793540037</v>
      </c>
      <c r="AZ367" s="746">
        <f t="shared" si="153"/>
        <v>25.225554704521166</v>
      </c>
      <c r="BA367" s="641">
        <f t="shared" si="150"/>
        <v>1.0076497147343264</v>
      </c>
      <c r="BC367" s="11">
        <v>43453</v>
      </c>
      <c r="BD367" s="289">
        <f>[2]!FeuilCaduc*(1-Persistant)+Persistant</f>
        <v>0.61167960854563364</v>
      </c>
      <c r="BE367" s="290">
        <f>[2]!CroissVégét</f>
        <v>0.99995638361167161</v>
      </c>
      <c r="BF367" s="819">
        <f>1+[2]!Salcycl*Ksac</f>
        <v>1.0014599510682043</v>
      </c>
      <c r="BH367" s="1044">
        <f t="shared" si="151"/>
        <v>2.4003747520493078E-2</v>
      </c>
      <c r="BI367" s="11">
        <v>44549</v>
      </c>
      <c r="BJ367" s="726">
        <v>1.6771763147118601E-2</v>
      </c>
      <c r="BK367" s="726">
        <v>1.7730310032358483E-2</v>
      </c>
      <c r="BL367" s="726">
        <v>1.8858208680207992E-2</v>
      </c>
      <c r="BM367" s="726">
        <v>2.0411239748318332E-2</v>
      </c>
      <c r="BN367" s="726">
        <v>2.2513895484024229E-2</v>
      </c>
      <c r="BO367" s="727">
        <v>2.5299833418050283E-2</v>
      </c>
      <c r="BP367" s="726">
        <v>2.8778032384007519E-2</v>
      </c>
      <c r="BQ367" s="726">
        <v>3.3097632037551131E-2</v>
      </c>
      <c r="BR367" s="726">
        <v>3.8425205713621374E-2</v>
      </c>
      <c r="BS367" s="726">
        <v>4.4934366102907408E-2</v>
      </c>
      <c r="BT367" s="726">
        <v>5.2281507192194682E-2</v>
      </c>
      <c r="BW367" s="1208">
        <f>'2018'!R\Max</f>
        <v>0.92814657006781587</v>
      </c>
      <c r="BX367" s="1206">
        <f>'2019'!R\Max</f>
        <v>0.47599077650492622</v>
      </c>
      <c r="BY367" s="1206">
        <f>'2020'!R\Max</f>
        <v>0.40028113458093434</v>
      </c>
      <c r="BZ367" s="1206">
        <f>'2021'!R\Max</f>
        <v>1.0076497147343264</v>
      </c>
      <c r="CA367" s="1206">
        <f>'2022'!R\Max</f>
        <v>0.78138731656413851</v>
      </c>
      <c r="CB367" s="1206">
        <f>'2023'!R\Max</f>
        <v>0.78135258796817164</v>
      </c>
      <c r="CC367" s="1206">
        <f>'2024'!R\Max</f>
        <v>0.78131785257162156</v>
      </c>
      <c r="CD367" s="1206">
        <f>'2025'!R\Max</f>
        <v>0.78149796465288879</v>
      </c>
      <c r="CE367" s="1206">
        <f>'2026'!R\Max</f>
        <v>0.78147336042867099</v>
      </c>
      <c r="CF367" s="1207">
        <f>'2027'!R\Max</f>
        <v>0.78144541060006378</v>
      </c>
    </row>
    <row r="368" spans="1:84" s="6" customFormat="1" ht="11.25" x14ac:dyDescent="0.2">
      <c r="A368" s="11">
        <v>43454</v>
      </c>
      <c r="B368" s="379">
        <f>'2022'!Maxi_hp</f>
        <v>25.824781167990668</v>
      </c>
      <c r="C368" s="13">
        <f>'2022'!An_max</f>
        <v>2021</v>
      </c>
      <c r="D368" s="1053">
        <f t="shared" si="135"/>
        <v>1.030170596826395</v>
      </c>
      <c r="E368" s="13"/>
      <c r="F368" s="13">
        <f t="shared" si="152"/>
        <v>27</v>
      </c>
      <c r="G368" s="13">
        <f t="shared" si="136"/>
        <v>26</v>
      </c>
      <c r="H368" s="172">
        <f t="shared" si="137"/>
        <v>43458</v>
      </c>
      <c r="I368" s="753">
        <f t="shared" si="138"/>
        <v>0.2857142857142857</v>
      </c>
      <c r="J368" s="746">
        <f t="shared" si="139"/>
        <v>25.068451038641591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46">
        <v>43454</v>
      </c>
      <c r="AP368" s="13">
        <f t="shared" si="140"/>
        <v>15</v>
      </c>
      <c r="AQ368" s="13">
        <f t="shared" si="141"/>
        <v>14</v>
      </c>
      <c r="AR368" s="172">
        <f t="shared" si="142"/>
        <v>43473</v>
      </c>
      <c r="AS368" s="753">
        <f t="shared" si="143"/>
        <v>0.65517241379310343</v>
      </c>
      <c r="AT368" s="769">
        <f t="shared" si="144"/>
        <v>25.315524540892959</v>
      </c>
      <c r="AU368" s="13">
        <f t="shared" si="145"/>
        <v>13</v>
      </c>
      <c r="AV368" s="13">
        <f t="shared" si="146"/>
        <v>14</v>
      </c>
      <c r="AW368" s="172">
        <f t="shared" si="147"/>
        <v>43430</v>
      </c>
      <c r="AX368" s="753">
        <f t="shared" si="148"/>
        <v>0.8571428571428571</v>
      </c>
      <c r="AY368" s="769">
        <f t="shared" si="149"/>
        <v>25.122516718826123</v>
      </c>
      <c r="AZ368" s="746">
        <f t="shared" si="153"/>
        <v>25.219020629859543</v>
      </c>
      <c r="BA368" s="641">
        <f t="shared" si="150"/>
        <v>1.030170596826395</v>
      </c>
      <c r="BC368" s="11">
        <v>43454</v>
      </c>
      <c r="BD368" s="289">
        <f>[2]!FeuilCaduc*(1-Persistant)+Persistant</f>
        <v>0.61084378837758946</v>
      </c>
      <c r="BE368" s="290">
        <f>[2]!CroissVégét</f>
        <v>0.99997146955734828</v>
      </c>
      <c r="BF368" s="819">
        <f>1+[2]!Salcycl*Ksac</f>
        <v>1.0013554735471988</v>
      </c>
      <c r="BH368" s="1044">
        <f t="shared" si="151"/>
        <v>2.3995160934083482E-2</v>
      </c>
      <c r="BI368" s="11">
        <v>44550</v>
      </c>
      <c r="BJ368" s="726">
        <v>1.6788676580463763E-2</v>
      </c>
      <c r="BK368" s="726">
        <v>1.7743430156299853E-2</v>
      </c>
      <c r="BL368" s="726">
        <v>1.8866558378016537E-2</v>
      </c>
      <c r="BM368" s="726">
        <v>2.0412871983250203E-2</v>
      </c>
      <c r="BN368" s="726">
        <v>2.2508504126609586E-2</v>
      </c>
      <c r="BO368" s="727">
        <v>2.5288467165513809E-2</v>
      </c>
      <c r="BP368" s="726">
        <v>2.876202715449341E-2</v>
      </c>
      <c r="BQ368" s="726">
        <v>3.3076860864393424E-2</v>
      </c>
      <c r="BR368" s="726">
        <v>3.8397511272131098E-2</v>
      </c>
      <c r="BS368" s="726">
        <v>4.4906362984159572E-2</v>
      </c>
      <c r="BT368" s="726">
        <v>5.2260578643632059E-2</v>
      </c>
      <c r="BW368" s="1208">
        <f>'2018'!R\Max</f>
        <v>0.61663951108437987</v>
      </c>
      <c r="BX368" s="1206">
        <f>'2019'!R\Max</f>
        <v>0.29980761051164978</v>
      </c>
      <c r="BY368" s="1206">
        <f>'2020'!R\Max</f>
        <v>0.3421735936111503</v>
      </c>
      <c r="BZ368" s="1206">
        <f>'2021'!R\Max</f>
        <v>1.030170596826395</v>
      </c>
      <c r="CA368" s="1206">
        <f>'2022'!R\Max</f>
        <v>0.15507603208784365</v>
      </c>
      <c r="CB368" s="1206">
        <f>'2023'!R\Max</f>
        <v>0.15505400894393315</v>
      </c>
      <c r="CC368" s="1206">
        <f>'2024'!R\Max</f>
        <v>0.15503198580002267</v>
      </c>
      <c r="CD368" s="1206">
        <f>'2025'!R\Max</f>
        <v>0.15514620594183939</v>
      </c>
      <c r="CE368" s="1206">
        <f>'2026'!R\Max</f>
        <v>0.1551306034615581</v>
      </c>
      <c r="CF368" s="1207">
        <f>'2027'!R\Max</f>
        <v>0.15511287422408052</v>
      </c>
    </row>
    <row r="369" spans="1:84" s="6" customFormat="1" ht="11.25" x14ac:dyDescent="0.2">
      <c r="A369" s="11">
        <v>43455</v>
      </c>
      <c r="B369" s="379">
        <f>'2022'!Maxi_hp</f>
        <v>23.167622051420128</v>
      </c>
      <c r="C369" s="13">
        <f>'2022'!An_max</f>
        <v>2022</v>
      </c>
      <c r="D369" s="1053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2">
        <f t="shared" si="137"/>
        <v>43458</v>
      </c>
      <c r="I369" s="753">
        <f t="shared" si="138"/>
        <v>0.21428571428571427</v>
      </c>
      <c r="J369" s="746">
        <f t="shared" si="139"/>
        <v>25.074864302894898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46">
        <v>43455</v>
      </c>
      <c r="AP369" s="13">
        <f t="shared" si="140"/>
        <v>15</v>
      </c>
      <c r="AQ369" s="13">
        <f t="shared" si="141"/>
        <v>14</v>
      </c>
      <c r="AR369" s="172">
        <f t="shared" si="142"/>
        <v>43473</v>
      </c>
      <c r="AS369" s="753">
        <f t="shared" si="143"/>
        <v>0.62068965517241381</v>
      </c>
      <c r="AT369" s="769">
        <f t="shared" si="144"/>
        <v>25.338528973069685</v>
      </c>
      <c r="AU369" s="13">
        <f t="shared" si="145"/>
        <v>13</v>
      </c>
      <c r="AV369" s="13">
        <f t="shared" si="146"/>
        <v>14</v>
      </c>
      <c r="AW369" s="172">
        <f t="shared" si="147"/>
        <v>43430</v>
      </c>
      <c r="AX369" s="753">
        <f t="shared" si="148"/>
        <v>0.8928571428571429</v>
      </c>
      <c r="AY369" s="769">
        <f t="shared" si="149"/>
        <v>25.111291492677161</v>
      </c>
      <c r="AZ369" s="746">
        <f t="shared" si="153"/>
        <v>25.224910232873423</v>
      </c>
      <c r="BA369" s="641">
        <f t="shared" si="150"/>
        <v>0.9239380828372189</v>
      </c>
      <c r="BC369" s="11">
        <v>43455</v>
      </c>
      <c r="BD369" s="289">
        <f>[2]!FeuilCaduc*(1-Persistant)+Persistant</f>
        <v>0.61007201132608702</v>
      </c>
      <c r="BE369" s="290">
        <f>[2]!CroissVégét</f>
        <v>0.99998594852652212</v>
      </c>
      <c r="BF369" s="819">
        <f>1+[2]!Salcycl*Ksac</f>
        <v>1.001259001415761</v>
      </c>
      <c r="BH369" s="1044">
        <f t="shared" si="151"/>
        <v>2.3993728286203671E-2</v>
      </c>
      <c r="BI369" s="11">
        <v>44551</v>
      </c>
      <c r="BJ369" s="726">
        <v>1.6799139345828922E-2</v>
      </c>
      <c r="BK369" s="726">
        <v>1.7752109406252926E-2</v>
      </c>
      <c r="BL369" s="726">
        <v>1.8872985445686358E-2</v>
      </c>
      <c r="BM369" s="726">
        <v>2.04161234455114E-2</v>
      </c>
      <c r="BN369" s="726">
        <v>2.250849238544619E-2</v>
      </c>
      <c r="BO369" s="727">
        <v>2.5285798410214059E-2</v>
      </c>
      <c r="BP369" s="726">
        <v>2.8757452347067676E-2</v>
      </c>
      <c r="BQ369" s="726">
        <v>3.3070416850640084E-2</v>
      </c>
      <c r="BR369" s="726">
        <v>3.8388238944499144E-2</v>
      </c>
      <c r="BS369" s="726">
        <v>4.4897712688002446E-2</v>
      </c>
      <c r="BT369" s="726">
        <v>5.2256344308277462E-2</v>
      </c>
      <c r="BW369" s="1208">
        <f>'2018'!R\Max</f>
        <v>0.36698277827834747</v>
      </c>
      <c r="BX369" s="1206">
        <f>'2019'!R\Max</f>
        <v>0.86397700684601553</v>
      </c>
      <c r="BY369" s="1206">
        <f>'2020'!R\Max</f>
        <v>0.23493259453677925</v>
      </c>
      <c r="BZ369" s="1206">
        <f>'2021'!R\Max</f>
        <v>0.79723630857620864</v>
      </c>
      <c r="CA369" s="1206">
        <f>'2022'!R\Max</f>
        <v>0.9239380828372189</v>
      </c>
      <c r="CB369" s="1206">
        <f>'2023'!R\Max</f>
        <v>0.92392385454926806</v>
      </c>
      <c r="CC369" s="1206">
        <f>'2024'!R\Max</f>
        <v>0.92390962266519994</v>
      </c>
      <c r="CD369" s="1206">
        <f>'2025'!R\Max</f>
        <v>0.92398338822606185</v>
      </c>
      <c r="CE369" s="1206">
        <f>'2026'!R\Max</f>
        <v>0.92397331992957532</v>
      </c>
      <c r="CF369" s="1207">
        <f>'2027'!R\Max</f>
        <v>0.9239618745388557</v>
      </c>
    </row>
    <row r="370" spans="1:84" s="6" customFormat="1" ht="11.25" x14ac:dyDescent="0.2">
      <c r="A370" s="11">
        <v>43456</v>
      </c>
      <c r="B370" s="379">
        <f>'2022'!Maxi_hp</f>
        <v>25.028510849440355</v>
      </c>
      <c r="C370" s="13">
        <f>'2022'!An_max</f>
        <v>2021</v>
      </c>
      <c r="D370" s="1053">
        <f t="shared" si="135"/>
        <v>0.99738862383358073</v>
      </c>
      <c r="E370" s="13"/>
      <c r="F370" s="13">
        <f t="shared" si="152"/>
        <v>27</v>
      </c>
      <c r="G370" s="13">
        <f t="shared" si="136"/>
        <v>26</v>
      </c>
      <c r="H370" s="172">
        <f t="shared" si="137"/>
        <v>43458</v>
      </c>
      <c r="I370" s="753">
        <f t="shared" si="138"/>
        <v>0.14285714285714285</v>
      </c>
      <c r="J370" s="746">
        <f t="shared" si="139"/>
        <v>25.094040829581878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46">
        <v>43456</v>
      </c>
      <c r="AP370" s="13">
        <f t="shared" si="140"/>
        <v>15</v>
      </c>
      <c r="AQ370" s="13">
        <f t="shared" si="141"/>
        <v>14</v>
      </c>
      <c r="AR370" s="172">
        <f t="shared" si="142"/>
        <v>43473</v>
      </c>
      <c r="AS370" s="753">
        <f t="shared" si="143"/>
        <v>0.58620689655172409</v>
      </c>
      <c r="AT370" s="769">
        <f t="shared" si="144"/>
        <v>25.371599664924474</v>
      </c>
      <c r="AU370" s="13">
        <f t="shared" si="145"/>
        <v>13</v>
      </c>
      <c r="AV370" s="13">
        <f t="shared" si="146"/>
        <v>14</v>
      </c>
      <c r="AW370" s="172">
        <f t="shared" si="147"/>
        <v>43430</v>
      </c>
      <c r="AX370" s="753">
        <f t="shared" si="148"/>
        <v>0.9285714285714286</v>
      </c>
      <c r="AY370" s="769">
        <f t="shared" si="149"/>
        <v>25.115306622588207</v>
      </c>
      <c r="AZ370" s="746">
        <f t="shared" si="153"/>
        <v>25.243453143756341</v>
      </c>
      <c r="BA370" s="641">
        <f t="shared" si="150"/>
        <v>0.99738862383358073</v>
      </c>
      <c r="BC370" s="11">
        <v>43456</v>
      </c>
      <c r="BD370" s="289">
        <f>[2]!FeuilCaduc*(1-Persistant)+Persistant</f>
        <v>0.60935953277953325</v>
      </c>
      <c r="BE370" s="290">
        <f>[2]!CroissVégét</f>
        <v>0.99999984492411664</v>
      </c>
      <c r="BF370" s="819">
        <f>1+[2]!Salcycl*Ksac</f>
        <v>1.0011699415974418</v>
      </c>
      <c r="BH370" s="1044">
        <f t="shared" si="151"/>
        <v>2.3999503006551251E-2</v>
      </c>
      <c r="BI370" s="11">
        <v>44552</v>
      </c>
      <c r="BJ370" s="728">
        <v>1.6803182499549974E-2</v>
      </c>
      <c r="BK370" s="728">
        <v>1.7756381917226546E-2</v>
      </c>
      <c r="BL370" s="728">
        <v>1.8877527724892526E-2</v>
      </c>
      <c r="BM370" s="728">
        <v>2.0421037121371739E-2</v>
      </c>
      <c r="BN370" s="728">
        <v>2.2513909644799181E-2</v>
      </c>
      <c r="BO370" s="729">
        <v>2.529188410114306E-2</v>
      </c>
      <c r="BP370" s="728">
        <v>2.8764373582618574E-2</v>
      </c>
      <c r="BQ370" s="728">
        <v>3.3078376114278163E-2</v>
      </c>
      <c r="BR370" s="728">
        <v>3.839747808157265E-2</v>
      </c>
      <c r="BS370" s="728">
        <v>4.4908518500751803E-2</v>
      </c>
      <c r="BT370" s="728">
        <v>5.2268921168829002E-2</v>
      </c>
      <c r="BW370" s="1208">
        <f>'2018'!R\Max</f>
        <v>0.28194612038938927</v>
      </c>
      <c r="BX370" s="1206">
        <f>'2019'!R\Max</f>
        <v>0.29045375183371874</v>
      </c>
      <c r="BY370" s="1206">
        <f>'2020'!R\Max</f>
        <v>0.3767923191856325</v>
      </c>
      <c r="BZ370" s="1206">
        <f>'2021'!R\Max</f>
        <v>0.99738862383358073</v>
      </c>
      <c r="CA370" s="1206">
        <f>'2022'!R\Max</f>
        <v>0.80618113245940581</v>
      </c>
      <c r="CB370" s="1206">
        <f>'2023'!R\Max</f>
        <v>0.80614955148336909</v>
      </c>
      <c r="CC370" s="1206">
        <f>'2024'!R\Max</f>
        <v>0.80611796404274128</v>
      </c>
      <c r="CD370" s="1206">
        <f>'2025'!R\Max</f>
        <v>0.80628170214179817</v>
      </c>
      <c r="CE370" s="1206">
        <f>'2026'!R\Max</f>
        <v>0.80625935099867563</v>
      </c>
      <c r="CF370" s="1207">
        <f>'2027'!R\Max</f>
        <v>0.80623394377422553</v>
      </c>
    </row>
    <row r="371" spans="1:84" s="6" customFormat="1" ht="11.25" x14ac:dyDescent="0.2">
      <c r="A371" s="11">
        <v>43457</v>
      </c>
      <c r="B371" s="379">
        <f>'2022'!Maxi_hp</f>
        <v>21.278593952413768</v>
      </c>
      <c r="C371" s="13">
        <f>'2022'!An_max</f>
        <v>2020</v>
      </c>
      <c r="D371" s="1053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2">
        <f t="shared" si="137"/>
        <v>43458</v>
      </c>
      <c r="I371" s="753">
        <f t="shared" si="138"/>
        <v>7.1428571428571425E-2</v>
      </c>
      <c r="J371" s="746">
        <f t="shared" si="139"/>
        <v>25.126159702028549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46">
        <v>43457</v>
      </c>
      <c r="AP371" s="13">
        <f t="shared" si="140"/>
        <v>15</v>
      </c>
      <c r="AQ371" s="13">
        <f t="shared" si="141"/>
        <v>14</v>
      </c>
      <c r="AR371" s="172">
        <f t="shared" si="142"/>
        <v>43473</v>
      </c>
      <c r="AS371" s="753">
        <f t="shared" si="143"/>
        <v>0.55172413793103448</v>
      </c>
      <c r="AT371" s="769">
        <f t="shared" si="144"/>
        <v>25.414610363286119</v>
      </c>
      <c r="AU371" s="13">
        <f t="shared" si="145"/>
        <v>13</v>
      </c>
      <c r="AV371" s="13">
        <f t="shared" si="146"/>
        <v>14</v>
      </c>
      <c r="AW371" s="172">
        <f t="shared" si="147"/>
        <v>43430</v>
      </c>
      <c r="AX371" s="753">
        <f t="shared" si="148"/>
        <v>0.9642857142857143</v>
      </c>
      <c r="AY371" s="769">
        <f t="shared" si="149"/>
        <v>25.135147619274044</v>
      </c>
      <c r="AZ371" s="746">
        <f t="shared" si="153"/>
        <v>25.274878991280083</v>
      </c>
      <c r="BA371" s="641">
        <f t="shared" si="150"/>
        <v>0.84687012280256468</v>
      </c>
      <c r="BC371" s="11">
        <v>43457</v>
      </c>
      <c r="BD371" s="289">
        <f>[2]!FeuilCaduc*(1-Persistant)+Persistant</f>
        <v>0.60870175121632608</v>
      </c>
      <c r="BE371" s="290">
        <f>[2]!CroissVégét</f>
        <v>0.99999984492411664</v>
      </c>
      <c r="BF371" s="819">
        <f>1+[2]!Salcycl*Ksac</f>
        <v>1.0010877189020408</v>
      </c>
      <c r="BH371" s="1044">
        <f t="shared" si="151"/>
        <v>2.401255622651979E-2</v>
      </c>
      <c r="BI371" s="11">
        <v>44553</v>
      </c>
      <c r="BJ371" s="726">
        <v>1.6800847531912601E-2</v>
      </c>
      <c r="BK371" s="726">
        <v>1.7756293256374074E-2</v>
      </c>
      <c r="BL371" s="726">
        <v>1.8880235689919297E-2</v>
      </c>
      <c r="BM371" s="726">
        <v>2.0427670295234405E-2</v>
      </c>
      <c r="BN371" s="726">
        <v>2.2524821667161278E-2</v>
      </c>
      <c r="BO371" s="727">
        <v>2.5306800040330465E-2</v>
      </c>
      <c r="BP371" s="726">
        <v>2.8782878186698946E-2</v>
      </c>
      <c r="BQ371" s="726">
        <v>3.3100839935389946E-2</v>
      </c>
      <c r="BR371" s="726">
        <v>3.8425347548755373E-2</v>
      </c>
      <c r="BS371" s="726">
        <v>4.4938917852972764E-2</v>
      </c>
      <c r="BT371" s="726">
        <v>5.2298464951246092E-2</v>
      </c>
      <c r="BW371" s="1208">
        <f>'2018'!R\Max</f>
        <v>0.17041632289274433</v>
      </c>
      <c r="BX371" s="1206">
        <f>'2019'!R\Max</f>
        <v>0.3501228263232285</v>
      </c>
      <c r="BY371" s="1206">
        <f>'2020'!R\Max</f>
        <v>0.84687012280256468</v>
      </c>
      <c r="BZ371" s="1206">
        <f>'2021'!R\Max</f>
        <v>0.22944416244221874</v>
      </c>
      <c r="CA371" s="1206">
        <f>'2022'!R\Max</f>
        <v>0.84102145426234332</v>
      </c>
      <c r="CB371" s="1206">
        <f>'2023'!R\Max</f>
        <v>0.84099446946822021</v>
      </c>
      <c r="CC371" s="1206">
        <f>'2024'!R\Max</f>
        <v>0.84096747877869138</v>
      </c>
      <c r="CD371" s="1206">
        <f>'2025'!R\Max</f>
        <v>0.84110739873681573</v>
      </c>
      <c r="CE371" s="1206">
        <f>'2026'!R\Max</f>
        <v>0.84108829491836423</v>
      </c>
      <c r="CF371" s="1207">
        <f>'2027'!R\Max</f>
        <v>0.84106658363142783</v>
      </c>
    </row>
    <row r="372" spans="1:84" s="6" customFormat="1" ht="11.25" x14ac:dyDescent="0.2">
      <c r="A372" s="11">
        <v>43458</v>
      </c>
      <c r="B372" s="379">
        <f>'2022'!Maxi_hp</f>
        <v>24.134963342063681</v>
      </c>
      <c r="C372" s="13">
        <f>'2022'!An_max</f>
        <v>2022</v>
      </c>
      <c r="D372" s="1053" t="str">
        <f t="shared" si="135"/>
        <v/>
      </c>
      <c r="E372" s="1048">
        <f>AM$13/10</f>
        <v>25.171399999999998</v>
      </c>
      <c r="F372" s="13">
        <f t="shared" si="152"/>
        <v>27</v>
      </c>
      <c r="G372" s="13">
        <f t="shared" si="136"/>
        <v>28</v>
      </c>
      <c r="H372" s="172">
        <f t="shared" si="137"/>
        <v>43458</v>
      </c>
      <c r="I372" s="753">
        <f t="shared" si="138"/>
        <v>0</v>
      </c>
      <c r="J372" s="746">
        <f t="shared" si="139"/>
        <v>25.171400003135204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46">
        <v>43458</v>
      </c>
      <c r="AP372" s="13">
        <f t="shared" si="140"/>
        <v>15</v>
      </c>
      <c r="AQ372" s="13">
        <f t="shared" si="141"/>
        <v>14</v>
      </c>
      <c r="AR372" s="172">
        <f t="shared" si="142"/>
        <v>43473</v>
      </c>
      <c r="AS372" s="753">
        <f t="shared" si="143"/>
        <v>0.51724137931034486</v>
      </c>
      <c r="AT372" s="769">
        <f t="shared" si="144"/>
        <v>25.4674348140585</v>
      </c>
      <c r="AU372" s="13">
        <f t="shared" si="145"/>
        <v>15</v>
      </c>
      <c r="AV372" s="13">
        <f t="shared" si="146"/>
        <v>14</v>
      </c>
      <c r="AW372" s="172">
        <f t="shared" si="147"/>
        <v>43487</v>
      </c>
      <c r="AX372" s="753">
        <f t="shared" si="148"/>
        <v>1</v>
      </c>
      <c r="AY372" s="769">
        <f t="shared" si="149"/>
        <v>25.171399998664857</v>
      </c>
      <c r="AZ372" s="746">
        <f t="shared" si="153"/>
        <v>25.31941740636168</v>
      </c>
      <c r="BA372" s="641">
        <f t="shared" si="150"/>
        <v>0.95882483052422862</v>
      </c>
      <c r="BC372" s="11">
        <v>43458</v>
      </c>
      <c r="BD372" s="289">
        <f>[2]!FeuilCaduc*(1-Persistant)+Persistant</f>
        <v>0.60809422952685477</v>
      </c>
      <c r="BE372" s="290">
        <f>[2]!CroissVégét</f>
        <v>0.99999984492411664</v>
      </c>
      <c r="BF372" s="819">
        <f>1+[2]!Salcycl*Ksac</f>
        <v>1.0010117786908568</v>
      </c>
      <c r="BH372" s="1044">
        <f t="shared" si="151"/>
        <v>2.4032890214526516E-2</v>
      </c>
      <c r="BI372" s="11">
        <v>44554</v>
      </c>
      <c r="BJ372" s="726">
        <v>1.6792125566002587E-2</v>
      </c>
      <c r="BK372" s="726">
        <v>1.7751836212799674E-2</v>
      </c>
      <c r="BL372" s="726">
        <v>1.8881104230376429E-2</v>
      </c>
      <c r="BM372" s="726">
        <v>2.0436020816954406E-2</v>
      </c>
      <c r="BN372" s="726">
        <v>2.2541229364578984E-2</v>
      </c>
      <c r="BO372" s="727">
        <v>2.5330549676158297E-2</v>
      </c>
      <c r="BP372" s="726">
        <v>2.8812971486409569E-2</v>
      </c>
      <c r="BQ372" s="726">
        <v>3.3137815519854383E-2</v>
      </c>
      <c r="BR372" s="726">
        <v>3.8471857346343626E-2</v>
      </c>
      <c r="BS372" s="726">
        <v>4.498892043788387E-2</v>
      </c>
      <c r="BT372" s="726">
        <v>5.2344981612862052E-2</v>
      </c>
      <c r="BW372" s="1208">
        <f>'2018'!R\Max</f>
        <v>0.19274494240999884</v>
      </c>
      <c r="BX372" s="1206">
        <f>'2019'!R\Max</f>
        <v>0.65429402311218354</v>
      </c>
      <c r="BY372" s="1206">
        <f>'2020'!R\Max</f>
        <v>0.47821945999271925</v>
      </c>
      <c r="BZ372" s="1206">
        <f>'2021'!R\Max</f>
        <v>0.44556586833201922</v>
      </c>
      <c r="CA372" s="1206">
        <f>'2022'!R\Max</f>
        <v>0.95882483052422862</v>
      </c>
      <c r="CB372" s="1206">
        <f>'2023'!R\Max</f>
        <v>0.95881687195366716</v>
      </c>
      <c r="CC372" s="1206">
        <f>'2024'!R\Max</f>
        <v>0.95880891126835521</v>
      </c>
      <c r="CD372" s="1206">
        <f>'2025'!R\Max</f>
        <v>0.95885018358230867</v>
      </c>
      <c r="CE372" s="1206">
        <f>'2026'!R\Max</f>
        <v>0.95884454641812655</v>
      </c>
      <c r="CF372" s="1207">
        <f>'2027'!R\Max</f>
        <v>0.95883814245460819</v>
      </c>
    </row>
    <row r="373" spans="1:84" s="6" customFormat="1" ht="11.25" x14ac:dyDescent="0.2">
      <c r="A373" s="11">
        <v>43459</v>
      </c>
      <c r="B373" s="379">
        <f>'2022'!Maxi_hp</f>
        <v>16.698245889929026</v>
      </c>
      <c r="C373" s="13">
        <f>'2022'!An_max</f>
        <v>2018</v>
      </c>
      <c r="D373" s="1053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2">
        <f t="shared" si="137"/>
        <v>43458</v>
      </c>
      <c r="I373" s="753">
        <f t="shared" si="138"/>
        <v>6.6666666666666666E-2</v>
      </c>
      <c r="J373" s="746">
        <f t="shared" si="139"/>
        <v>25.230875189503035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46">
        <v>43459</v>
      </c>
      <c r="AP373" s="13">
        <f t="shared" si="140"/>
        <v>15</v>
      </c>
      <c r="AQ373" s="13">
        <f t="shared" si="141"/>
        <v>14</v>
      </c>
      <c r="AR373" s="172">
        <f t="shared" si="142"/>
        <v>43473</v>
      </c>
      <c r="AS373" s="753">
        <f t="shared" si="143"/>
        <v>0.48275862068965519</v>
      </c>
      <c r="AT373" s="769">
        <f t="shared" si="144"/>
        <v>25.529946762837209</v>
      </c>
      <c r="AU373" s="13">
        <f t="shared" si="145"/>
        <v>15</v>
      </c>
      <c r="AV373" s="13">
        <f t="shared" si="146"/>
        <v>14</v>
      </c>
      <c r="AW373" s="172">
        <f t="shared" si="147"/>
        <v>43487</v>
      </c>
      <c r="AX373" s="753">
        <f t="shared" si="148"/>
        <v>0.96551724137931039</v>
      </c>
      <c r="AY373" s="769">
        <f t="shared" si="149"/>
        <v>25.224800338339186</v>
      </c>
      <c r="AZ373" s="746">
        <f t="shared" si="153"/>
        <v>25.377373550588196</v>
      </c>
      <c r="BA373" s="641">
        <f t="shared" si="150"/>
        <v>0.66181794188717269</v>
      </c>
      <c r="BC373" s="11">
        <v>43459</v>
      </c>
      <c r="BD373" s="289">
        <f>[2]!FeuilCaduc*(1-Persistant)+Persistant</f>
        <v>0.60753271419984134</v>
      </c>
      <c r="BE373" s="290">
        <f>[2]!CroissVégét</f>
        <v>0.99999984492411664</v>
      </c>
      <c r="BF373" s="819">
        <f>1+[2]!Salcycl*Ksac</f>
        <v>1.0009415892749802</v>
      </c>
      <c r="BH373" s="1044">
        <f t="shared" si="151"/>
        <v>2.4060450530765751E-2</v>
      </c>
      <c r="BI373" s="11">
        <v>44555</v>
      </c>
      <c r="BJ373" s="726">
        <v>1.6776966017771098E-2</v>
      </c>
      <c r="BK373" s="726">
        <v>1.7742959917798957E-2</v>
      </c>
      <c r="BL373" s="726">
        <v>1.8880082310674975E-2</v>
      </c>
      <c r="BM373" s="726">
        <v>2.0446037502712448E-2</v>
      </c>
      <c r="BN373" s="726">
        <v>2.2563080218437424E-2</v>
      </c>
      <c r="BO373" s="727">
        <v>2.5363076897494986E-2</v>
      </c>
      <c r="BP373" s="726">
        <v>2.8854591340988875E-2</v>
      </c>
      <c r="BQ373" s="726">
        <v>3.3189232693722703E-2</v>
      </c>
      <c r="BR373" s="726">
        <v>3.8536927964970394E-2</v>
      </c>
      <c r="BS373" s="726">
        <v>4.5058430877591177E-2</v>
      </c>
      <c r="BT373" s="726">
        <v>5.2408353799855277E-2</v>
      </c>
      <c r="BW373" s="1208">
        <f>'2018'!R\Max</f>
        <v>0.66181794188717269</v>
      </c>
      <c r="BX373" s="1206">
        <f>'2019'!R\Max</f>
        <v>0.42661371904825296</v>
      </c>
      <c r="BY373" s="1206">
        <f>'2020'!R\Max</f>
        <v>0.45671049363836436</v>
      </c>
      <c r="BZ373" s="1206">
        <f>'2021'!R\Max</f>
        <v>0.37567557801046714</v>
      </c>
      <c r="CA373" s="1206">
        <f>'2022'!R\Max</f>
        <v>0.46705984429538183</v>
      </c>
      <c r="CB373" s="1206">
        <f>'2023'!R\Max</f>
        <v>0.46700972270701363</v>
      </c>
      <c r="CC373" s="1206">
        <f>'2024'!R\Max</f>
        <v>0.46695959774318457</v>
      </c>
      <c r="CD373" s="1206">
        <f>'2025'!R\Max</f>
        <v>0.46721965605181109</v>
      </c>
      <c r="CE373" s="1206">
        <f>'2026'!R\Max</f>
        <v>0.4671840949634834</v>
      </c>
      <c r="CF373" s="1207">
        <f>'2027'!R\Max</f>
        <v>0.46714372948100569</v>
      </c>
    </row>
    <row r="374" spans="1:84" s="6" customFormat="1" ht="11.25" x14ac:dyDescent="0.2">
      <c r="A374" s="11">
        <v>43460</v>
      </c>
      <c r="B374" s="379">
        <f>'2022'!Maxi_hp</f>
        <v>24.848198087219174</v>
      </c>
      <c r="C374" s="13">
        <f>'2022'!An_max</f>
        <v>2018</v>
      </c>
      <c r="D374" s="1053">
        <f t="shared" si="135"/>
        <v>0.98194099820079339</v>
      </c>
      <c r="E374" s="13"/>
      <c r="F374" s="13">
        <f t="shared" si="152"/>
        <v>27</v>
      </c>
      <c r="G374" s="13">
        <f t="shared" si="136"/>
        <v>28</v>
      </c>
      <c r="H374" s="172">
        <f t="shared" si="137"/>
        <v>43458</v>
      </c>
      <c r="I374" s="753">
        <f t="shared" si="138"/>
        <v>0.13333333333333333</v>
      </c>
      <c r="J374" s="746">
        <f t="shared" si="139"/>
        <v>25.305184458891553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46">
        <v>43460</v>
      </c>
      <c r="AP374" s="13">
        <f t="shared" si="140"/>
        <v>15</v>
      </c>
      <c r="AQ374" s="13">
        <f t="shared" si="141"/>
        <v>14</v>
      </c>
      <c r="AR374" s="172">
        <f t="shared" si="142"/>
        <v>43473</v>
      </c>
      <c r="AS374" s="753">
        <f t="shared" si="143"/>
        <v>0.44827586206896552</v>
      </c>
      <c r="AT374" s="769">
        <f t="shared" si="144"/>
        <v>25.602019960613084</v>
      </c>
      <c r="AU374" s="13">
        <f t="shared" si="145"/>
        <v>15</v>
      </c>
      <c r="AV374" s="13">
        <f t="shared" si="146"/>
        <v>14</v>
      </c>
      <c r="AW374" s="172">
        <f t="shared" si="147"/>
        <v>43487</v>
      </c>
      <c r="AX374" s="753">
        <f t="shared" si="148"/>
        <v>0.93103448275862066</v>
      </c>
      <c r="AY374" s="769">
        <f t="shared" si="149"/>
        <v>25.295269020261436</v>
      </c>
      <c r="AZ374" s="746">
        <f t="shared" si="153"/>
        <v>25.44864449043726</v>
      </c>
      <c r="BA374" s="641">
        <f t="shared" si="150"/>
        <v>0.98194099820079339</v>
      </c>
      <c r="BC374" s="11">
        <v>43460</v>
      </c>
      <c r="BD374" s="289">
        <f>[2]!FeuilCaduc*(1-Persistant)+Persistant</f>
        <v>0.60701315227700314</v>
      </c>
      <c r="BE374" s="290">
        <f>[2]!CroissVégét</f>
        <v>0.99999984492411664</v>
      </c>
      <c r="BF374" s="819">
        <f>1+[2]!Salcycl*Ksac</f>
        <v>1.0008766440346255</v>
      </c>
      <c r="BH374" s="1044">
        <f t="shared" si="151"/>
        <v>2.4095183705393954E-2</v>
      </c>
      <c r="BI374" s="11">
        <v>44556</v>
      </c>
      <c r="BJ374" s="726">
        <v>1.6755317273292627E-2</v>
      </c>
      <c r="BK374" s="726">
        <v>1.7729612768668804E-2</v>
      </c>
      <c r="BL374" s="726">
        <v>1.8877118532253837E-2</v>
      </c>
      <c r="BM374" s="726">
        <v>2.0457669327692961E-2</v>
      </c>
      <c r="BN374" s="726">
        <v>2.2590322421472891E-2</v>
      </c>
      <c r="BO374" s="727">
        <v>2.5404326788147795E-2</v>
      </c>
      <c r="BP374" s="726">
        <v>2.8907677198160134E-2</v>
      </c>
      <c r="BQ374" s="726">
        <v>3.3255023286108146E-2</v>
      </c>
      <c r="BR374" s="726">
        <v>3.8620482487542872E-2</v>
      </c>
      <c r="BS374" s="726">
        <v>4.5147356498977796E-2</v>
      </c>
      <c r="BT374" s="726">
        <v>5.2488466436965746E-2</v>
      </c>
      <c r="BW374" s="1208">
        <f>'2018'!R\Max</f>
        <v>0.98194099820079339</v>
      </c>
      <c r="BX374" s="1206">
        <f>'2019'!R\Max</f>
        <v>0.28954745321170627</v>
      </c>
      <c r="BY374" s="1206">
        <f>'2020'!R\Max</f>
        <v>0.12845106042632989</v>
      </c>
      <c r="BZ374" s="1206">
        <f>'2021'!R\Max</f>
        <v>0.48132468298128034</v>
      </c>
      <c r="CA374" s="1206">
        <f>'2022'!R\Max</f>
        <v>0.85699530676502045</v>
      </c>
      <c r="CB374" s="1206">
        <f>'2023'!R\Max</f>
        <v>0.85697064870364714</v>
      </c>
      <c r="CC374" s="1206">
        <f>'2024'!R\Max</f>
        <v>0.85694598511329867</v>
      </c>
      <c r="CD374" s="1206">
        <f>'2025'!R\Max</f>
        <v>0.8570739527398803</v>
      </c>
      <c r="CE374" s="1206">
        <f>'2026'!R\Max</f>
        <v>0.85705644370640532</v>
      </c>
      <c r="CF374" s="1207">
        <f>'2027'!R\Max</f>
        <v>0.85703658424893525</v>
      </c>
    </row>
    <row r="375" spans="1:84" s="6" customFormat="1" ht="11.25" x14ac:dyDescent="0.2">
      <c r="A375" s="11">
        <v>43461</v>
      </c>
      <c r="B375" s="379">
        <f>'2022'!Maxi_hp</f>
        <v>25.062175747198527</v>
      </c>
      <c r="C375" s="13">
        <f>'2022'!An_max</f>
        <v>2018</v>
      </c>
      <c r="D375" s="1053">
        <f t="shared" si="135"/>
        <v>0.98694324665173627</v>
      </c>
      <c r="E375" s="13"/>
      <c r="F375" s="13">
        <f t="shared" si="152"/>
        <v>27</v>
      </c>
      <c r="G375" s="13">
        <f t="shared" si="136"/>
        <v>28</v>
      </c>
      <c r="H375" s="172">
        <f t="shared" si="137"/>
        <v>43458</v>
      </c>
      <c r="I375" s="753">
        <f t="shared" si="138"/>
        <v>0.2</v>
      </c>
      <c r="J375" s="746">
        <f t="shared" si="139"/>
        <v>25.393735488057139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46">
        <v>43461</v>
      </c>
      <c r="AP375" s="13">
        <f t="shared" si="140"/>
        <v>15</v>
      </c>
      <c r="AQ375" s="13">
        <f t="shared" si="141"/>
        <v>14</v>
      </c>
      <c r="AR375" s="172">
        <f t="shared" si="142"/>
        <v>43473</v>
      </c>
      <c r="AS375" s="753">
        <f t="shared" si="143"/>
        <v>0.41379310344827586</v>
      </c>
      <c r="AT375" s="769">
        <f t="shared" si="144"/>
        <v>25.683528151234679</v>
      </c>
      <c r="AU375" s="13">
        <f t="shared" si="145"/>
        <v>15</v>
      </c>
      <c r="AV375" s="13">
        <f t="shared" si="146"/>
        <v>14</v>
      </c>
      <c r="AW375" s="172">
        <f t="shared" si="147"/>
        <v>43487</v>
      </c>
      <c r="AX375" s="753">
        <f t="shared" si="148"/>
        <v>0.89655172413793105</v>
      </c>
      <c r="AY375" s="769">
        <f t="shared" si="149"/>
        <v>25.382167241285586</v>
      </c>
      <c r="AZ375" s="746">
        <f t="shared" si="153"/>
        <v>25.532847696260134</v>
      </c>
      <c r="BA375" s="641">
        <f t="shared" si="150"/>
        <v>0.98694324665173627</v>
      </c>
      <c r="BC375" s="11">
        <v>43461</v>
      </c>
      <c r="BD375" s="289">
        <f>[2]!FeuilCaduc*(1-Persistant)+Persistant</f>
        <v>0.60653170600139006</v>
      </c>
      <c r="BE375" s="290">
        <f>[2]!CroissVégét</f>
        <v>0.99999984492411664</v>
      </c>
      <c r="BF375" s="819">
        <f>1+[2]!Salcycl*Ksac</f>
        <v>1.0008164632501737</v>
      </c>
      <c r="BH375" s="1044">
        <f t="shared" si="151"/>
        <v>2.4139558399370736E-2</v>
      </c>
      <c r="BI375" s="11">
        <v>44557</v>
      </c>
      <c r="BJ375" s="726">
        <v>1.6721840409601074E-2</v>
      </c>
      <c r="BK375" s="726">
        <v>1.7704367203279239E-2</v>
      </c>
      <c r="BL375" s="726">
        <v>1.8866263414522973E-2</v>
      </c>
      <c r="BM375" s="726">
        <v>2.0467882055697398E-2</v>
      </c>
      <c r="BN375" s="726">
        <v>2.2624332861822284E-2</v>
      </c>
      <c r="BO375" s="727">
        <v>2.5457717788869374E-2</v>
      </c>
      <c r="BP375" s="726">
        <v>2.8977301129843827E-2</v>
      </c>
      <c r="BQ375" s="726">
        <v>3.3341521535178401E-2</v>
      </c>
      <c r="BR375" s="726">
        <v>3.872938237833215E-2</v>
      </c>
      <c r="BS375" s="726">
        <v>4.5263817832919502E-2</v>
      </c>
      <c r="BT375" s="726">
        <v>5.2595431742496201E-2</v>
      </c>
      <c r="BW375" s="1208">
        <f>'2018'!R\Max</f>
        <v>0.98694324665173627</v>
      </c>
      <c r="BX375" s="1206">
        <f>'2019'!R\Max</f>
        <v>0.84791674679640305</v>
      </c>
      <c r="BY375" s="1206">
        <f>'2020'!R\Max</f>
        <v>0.59979614181312224</v>
      </c>
      <c r="BZ375" s="1206">
        <f>'2021'!R\Max</f>
        <v>0.52816623287581765</v>
      </c>
      <c r="CA375" s="1206">
        <f>'2022'!R\Max</f>
        <v>0.2730477615380858</v>
      </c>
      <c r="CB375" s="1206">
        <f>'2023'!R\Max</f>
        <v>0.27300931662503791</v>
      </c>
      <c r="CC375" s="1206">
        <f>'2024'!R\Max</f>
        <v>0.27297087171199003</v>
      </c>
      <c r="CD375" s="1206">
        <f>'2025'!R\Max</f>
        <v>0.27317055989355593</v>
      </c>
      <c r="CE375" s="1206">
        <f>'2026'!R\Max</f>
        <v>0.27314318674046384</v>
      </c>
      <c r="CF375" s="1207">
        <f>'2027'!R\Max</f>
        <v>0.27311218233121287</v>
      </c>
    </row>
    <row r="376" spans="1:84" s="6" customFormat="1" ht="11.25" x14ac:dyDescent="0.2">
      <c r="A376" s="11">
        <v>43462</v>
      </c>
      <c r="B376" s="379">
        <f>'2022'!Maxi_hp</f>
        <v>21.18504333390667</v>
      </c>
      <c r="C376" s="13">
        <f>'2022'!An_max</f>
        <v>2022</v>
      </c>
      <c r="D376" s="1053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2">
        <f t="shared" si="137"/>
        <v>43458</v>
      </c>
      <c r="I376" s="753">
        <f t="shared" si="138"/>
        <v>0.26666666666666666</v>
      </c>
      <c r="J376" s="746">
        <f t="shared" si="139"/>
        <v>25.495935955742993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46">
        <v>43462</v>
      </c>
      <c r="AP376" s="13">
        <f t="shared" si="140"/>
        <v>15</v>
      </c>
      <c r="AQ376" s="13">
        <f t="shared" si="141"/>
        <v>14</v>
      </c>
      <c r="AR376" s="172">
        <f t="shared" si="142"/>
        <v>43473</v>
      </c>
      <c r="AS376" s="753">
        <f t="shared" si="143"/>
        <v>0.37931034482758619</v>
      </c>
      <c r="AT376" s="769">
        <f t="shared" si="144"/>
        <v>25.774345085744198</v>
      </c>
      <c r="AU376" s="13">
        <f t="shared" si="145"/>
        <v>15</v>
      </c>
      <c r="AV376" s="13">
        <f t="shared" si="146"/>
        <v>14</v>
      </c>
      <c r="AW376" s="172">
        <f t="shared" si="147"/>
        <v>43487</v>
      </c>
      <c r="AX376" s="753">
        <f t="shared" si="148"/>
        <v>0.86206896551724133</v>
      </c>
      <c r="AY376" s="769">
        <f t="shared" si="149"/>
        <v>25.484856217894059</v>
      </c>
      <c r="AZ376" s="746">
        <f t="shared" si="153"/>
        <v>25.629600651819128</v>
      </c>
      <c r="BA376" s="641">
        <f t="shared" si="150"/>
        <v>0.83091844012632576</v>
      </c>
      <c r="BC376" s="11">
        <v>43462</v>
      </c>
      <c r="BD376" s="289">
        <f>[2]!FeuilCaduc*(1-Persistant)+Persistant</f>
        <v>0.60608476510646603</v>
      </c>
      <c r="BE376" s="290">
        <f>[2]!CroissVégét</f>
        <v>0.99999984492411664</v>
      </c>
      <c r="BF376" s="819">
        <f>1+[2]!Salcycl*Ksac</f>
        <v>1.0007605956383083</v>
      </c>
      <c r="BH376" s="1044">
        <f t="shared" si="151"/>
        <v>2.4190262399798032E-2</v>
      </c>
      <c r="BI376" s="11">
        <v>44558</v>
      </c>
      <c r="BJ376" s="726">
        <v>1.6679938434823873E-2</v>
      </c>
      <c r="BK376" s="726">
        <v>1.7669629062181898E-2</v>
      </c>
      <c r="BL376" s="726">
        <v>1.8848677529914811E-2</v>
      </c>
      <c r="BM376" s="726">
        <v>2.0476085465736826E-2</v>
      </c>
      <c r="BN376" s="726">
        <v>2.2662669062101071E-2</v>
      </c>
      <c r="BO376" s="727">
        <v>2.551918106670403E-2</v>
      </c>
      <c r="BP376" s="726">
        <v>2.9058067590807608E-2</v>
      </c>
      <c r="BQ376" s="726">
        <v>3.3441931987205652E-2</v>
      </c>
      <c r="BR376" s="726">
        <v>3.8854843168214623E-2</v>
      </c>
      <c r="BS376" s="726">
        <v>4.5398637676819863E-2</v>
      </c>
      <c r="BT376" s="726">
        <v>5.2721484887825222E-2</v>
      </c>
      <c r="BW376" s="1208">
        <f>'2018'!R\Max</f>
        <v>0.10830508945070923</v>
      </c>
      <c r="BX376" s="1206">
        <f>'2019'!R\Max</f>
        <v>0.13207620994446126</v>
      </c>
      <c r="BY376" s="1206">
        <f>'2020'!R\Max</f>
        <v>0.25278450910679406</v>
      </c>
      <c r="BZ376" s="1206">
        <f>'2021'!R\Max</f>
        <v>0.2069013348059966</v>
      </c>
      <c r="CA376" s="1206">
        <f>'2022'!R\Max</f>
        <v>0.83091844012632576</v>
      </c>
      <c r="CB376" s="1206">
        <f>'2023'!R\Max</f>
        <v>0.83089019200664815</v>
      </c>
      <c r="CC376" s="1206">
        <f>'2024'!R\Max</f>
        <v>0.8308619378535943</v>
      </c>
      <c r="CD376" s="1206">
        <f>'2025'!R\Max</f>
        <v>0.83100874252940549</v>
      </c>
      <c r="CE376" s="1206">
        <f>'2026'!R\Max</f>
        <v>0.83098859491213628</v>
      </c>
      <c r="CF376" s="1207">
        <f>'2027'!R\Max</f>
        <v>0.83096580410285303</v>
      </c>
    </row>
    <row r="377" spans="1:84" s="6" customFormat="1" ht="11.25" x14ac:dyDescent="0.2">
      <c r="A377" s="11">
        <v>43463</v>
      </c>
      <c r="B377" s="379">
        <f>'2022'!Maxi_hp</f>
        <v>24.833306177671162</v>
      </c>
      <c r="C377" s="13">
        <f>'2022'!An_max</f>
        <v>2019</v>
      </c>
      <c r="D377" s="1053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2">
        <f t="shared" si="137"/>
        <v>43458</v>
      </c>
      <c r="I377" s="753">
        <f t="shared" si="138"/>
        <v>0.33333333333333331</v>
      </c>
      <c r="J377" s="746">
        <f t="shared" si="139"/>
        <v>25.611193542182445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46">
        <v>43463</v>
      </c>
      <c r="AP377" s="13">
        <f t="shared" si="140"/>
        <v>15</v>
      </c>
      <c r="AQ377" s="13">
        <f t="shared" si="141"/>
        <v>14</v>
      </c>
      <c r="AR377" s="172">
        <f t="shared" si="142"/>
        <v>43473</v>
      </c>
      <c r="AS377" s="753">
        <f t="shared" si="143"/>
        <v>0.34482758620689657</v>
      </c>
      <c r="AT377" s="769">
        <f t="shared" si="144"/>
        <v>25.874344506345942</v>
      </c>
      <c r="AU377" s="13">
        <f t="shared" si="145"/>
        <v>15</v>
      </c>
      <c r="AV377" s="13">
        <f t="shared" si="146"/>
        <v>14</v>
      </c>
      <c r="AW377" s="172">
        <f t="shared" si="147"/>
        <v>43487</v>
      </c>
      <c r="AX377" s="753">
        <f t="shared" si="148"/>
        <v>0.82758620689655171</v>
      </c>
      <c r="AY377" s="769">
        <f t="shared" si="149"/>
        <v>25.602697148276814</v>
      </c>
      <c r="AZ377" s="746">
        <f t="shared" si="153"/>
        <v>25.738520827311376</v>
      </c>
      <c r="BA377" s="641">
        <f t="shared" si="150"/>
        <v>0.96962705532523985</v>
      </c>
      <c r="BC377" s="11">
        <v>43463</v>
      </c>
      <c r="BD377" s="289">
        <f>[2]!FeuilCaduc*(1-Persistant)+Persistant</f>
        <v>0.60566895671486809</v>
      </c>
      <c r="BE377" s="290">
        <f>[2]!CroissVégét</f>
        <v>0.99999984492411664</v>
      </c>
      <c r="BF377" s="819">
        <f>1+[2]!Salcycl*Ksac</f>
        <v>1.0007086195893584</v>
      </c>
      <c r="BH377" s="1044">
        <f t="shared" si="151"/>
        <v>2.4247243348482585E-2</v>
      </c>
      <c r="BI377" s="11">
        <v>44559</v>
      </c>
      <c r="BJ377" s="726">
        <v>1.6629555093118375E-2</v>
      </c>
      <c r="BK377" s="726">
        <v>1.7625338649371394E-2</v>
      </c>
      <c r="BL377" s="726">
        <v>1.8824302492489613E-2</v>
      </c>
      <c r="BM377" s="726">
        <v>2.0482224209914603E-2</v>
      </c>
      <c r="BN377" s="726">
        <v>2.2705279471863845E-2</v>
      </c>
      <c r="BO377" s="727">
        <v>2.5588663560764162E-2</v>
      </c>
      <c r="BP377" s="726">
        <v>2.9149919178696724E-2</v>
      </c>
      <c r="BQ377" s="726">
        <v>3.3556190350834778E-2</v>
      </c>
      <c r="BR377" s="726">
        <v>3.8996791173913074E-2</v>
      </c>
      <c r="BS377" s="726">
        <v>4.5551728023067277E-2</v>
      </c>
      <c r="BT377" s="726">
        <v>5.2866519115609349E-2</v>
      </c>
      <c r="BW377" s="1208">
        <f>'2018'!R\Max</f>
        <v>0.1198425015995124</v>
      </c>
      <c r="BX377" s="1206">
        <f>'2019'!R\Max</f>
        <v>0.96962705532523985</v>
      </c>
      <c r="BY377" s="1206">
        <f>'2020'!R\Max</f>
        <v>0.30003093757528648</v>
      </c>
      <c r="BZ377" s="1206">
        <f>'2021'!R\Max</f>
        <v>0.2242651919328591</v>
      </c>
      <c r="CA377" s="1206">
        <f>'2022'!R\Max</f>
        <v>0.45310565696263294</v>
      </c>
      <c r="CB377" s="1206">
        <f>'2023'!R\Max</f>
        <v>0.45305584171714375</v>
      </c>
      <c r="CC377" s="1206">
        <f>'2024'!R\Max</f>
        <v>0.45300602340182761</v>
      </c>
      <c r="CD377" s="1206">
        <f>'2025'!R\Max</f>
        <v>0.45326519965627426</v>
      </c>
      <c r="CE377" s="1206">
        <f>'2026'!R\Max</f>
        <v>0.45322954887941941</v>
      </c>
      <c r="CF377" s="1207">
        <f>'2027'!R\Max</f>
        <v>0.4531892933935221</v>
      </c>
    </row>
    <row r="378" spans="1:84" s="6" customFormat="1" ht="11.25" x14ac:dyDescent="0.2">
      <c r="A378" s="11">
        <v>43464</v>
      </c>
      <c r="B378" s="379">
        <f>'2022'!Maxi_hp</f>
        <v>25.966265464195352</v>
      </c>
      <c r="C378" s="13">
        <f>'2022'!An_max</f>
        <v>2019</v>
      </c>
      <c r="D378" s="1053">
        <f t="shared" si="135"/>
        <v>1.0088329105443894</v>
      </c>
      <c r="E378" s="13"/>
      <c r="F378" s="13">
        <f t="shared" si="152"/>
        <v>27</v>
      </c>
      <c r="G378" s="13">
        <f t="shared" si="136"/>
        <v>28</v>
      </c>
      <c r="H378" s="172">
        <f t="shared" si="137"/>
        <v>43458</v>
      </c>
      <c r="I378" s="753">
        <f t="shared" si="138"/>
        <v>0.4</v>
      </c>
      <c r="J378" s="746">
        <f t="shared" si="139"/>
        <v>25.738915922343732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46">
        <v>43464</v>
      </c>
      <c r="AP378" s="13">
        <f t="shared" si="140"/>
        <v>15</v>
      </c>
      <c r="AQ378" s="13">
        <f t="shared" si="141"/>
        <v>14</v>
      </c>
      <c r="AR378" s="172">
        <f t="shared" si="142"/>
        <v>43473</v>
      </c>
      <c r="AS378" s="753">
        <f t="shared" si="143"/>
        <v>0.31034482758620691</v>
      </c>
      <c r="AT378" s="769">
        <f t="shared" si="144"/>
        <v>25.983400164339049</v>
      </c>
      <c r="AU378" s="13">
        <f t="shared" si="145"/>
        <v>15</v>
      </c>
      <c r="AV378" s="13">
        <f t="shared" si="146"/>
        <v>14</v>
      </c>
      <c r="AW378" s="172">
        <f t="shared" si="147"/>
        <v>43487</v>
      </c>
      <c r="AX378" s="753">
        <f t="shared" si="148"/>
        <v>0.7931034482758621</v>
      </c>
      <c r="AY378" s="769">
        <f t="shared" si="149"/>
        <v>25.735051237355016</v>
      </c>
      <c r="AZ378" s="746">
        <f t="shared" si="153"/>
        <v>25.859225700847034</v>
      </c>
      <c r="BA378" s="641">
        <f t="shared" si="150"/>
        <v>1.0088329105443894</v>
      </c>
      <c r="BC378" s="11">
        <v>43464</v>
      </c>
      <c r="BD378" s="289">
        <f>[2]!FeuilCaduc*(1-Persistant)+Persistant</f>
        <v>0.60528115283757489</v>
      </c>
      <c r="BE378" s="290">
        <f>[2]!CroissVégét</f>
        <v>0.99999984492411664</v>
      </c>
      <c r="BF378" s="819">
        <f>1+[2]!Salcycl*Ksac</f>
        <v>1.0006601441046969</v>
      </c>
      <c r="BH378" s="1044">
        <f t="shared" si="151"/>
        <v>2.4310449091339587E-2</v>
      </c>
      <c r="BI378" s="11">
        <v>44560</v>
      </c>
      <c r="BJ378" s="726">
        <v>1.6570633683431965E-2</v>
      </c>
      <c r="BK378" s="726">
        <v>1.7571435636433777E-2</v>
      </c>
      <c r="BL378" s="726">
        <v>1.8793079406901985E-2</v>
      </c>
      <c r="BM378" s="726">
        <v>2.0486242676949568E-2</v>
      </c>
      <c r="BN378" s="726">
        <v>2.2752112653519372E-2</v>
      </c>
      <c r="BO378" s="727">
        <v>2.5666112493656607E-2</v>
      </c>
      <c r="BP378" s="726">
        <v>2.9252798913090787E-2</v>
      </c>
      <c r="BQ378" s="726">
        <v>3.3684232860721558E-2</v>
      </c>
      <c r="BR378" s="726">
        <v>3.9155153275310245E-2</v>
      </c>
      <c r="BS378" s="726">
        <v>4.5723001536599243E-2</v>
      </c>
      <c r="BT378" s="726">
        <v>5.3030428523732374E-2</v>
      </c>
      <c r="BW378" s="1208">
        <f>'2018'!R\Max</f>
        <v>0.1178716805722877</v>
      </c>
      <c r="BX378" s="1206">
        <f>'2019'!R\Max</f>
        <v>1.0088329105443894</v>
      </c>
      <c r="BY378" s="1206">
        <f>'2020'!R\Max</f>
        <v>0.26585844375103218</v>
      </c>
      <c r="BZ378" s="1206">
        <f>'2021'!R\Max</f>
        <v>0.73673925066321266</v>
      </c>
      <c r="CA378" s="1206">
        <f>'2022'!R\Max</f>
        <v>0.637034360156153</v>
      </c>
      <c r="CB378" s="1206">
        <f>'2023'!R\Max</f>
        <v>0.6369878724012672</v>
      </c>
      <c r="CC378" s="1206">
        <f>'2024'!R\Max</f>
        <v>0.63694137834274944</v>
      </c>
      <c r="CD378" s="1206">
        <f>'2025'!R\Max</f>
        <v>0.63718348994883034</v>
      </c>
      <c r="CE378" s="1206">
        <f>'2026'!R\Max</f>
        <v>0.63715011831908142</v>
      </c>
      <c r="CF378" s="1207">
        <f>'2027'!R\Max</f>
        <v>0.63711250553831866</v>
      </c>
    </row>
    <row r="379" spans="1:84" s="6" customFormat="1" ht="11.25" x14ac:dyDescent="0.2">
      <c r="A379" s="11">
        <v>43465</v>
      </c>
      <c r="B379" s="379">
        <f>'2022'!Maxi_hp</f>
        <v>25.625929752628863</v>
      </c>
      <c r="C379" s="13">
        <f>'2022'!An_max</f>
        <v>2021</v>
      </c>
      <c r="D379" s="1053">
        <f t="shared" si="135"/>
        <v>0.99023973890367734</v>
      </c>
      <c r="E379" s="13"/>
      <c r="F379" s="13">
        <f t="shared" si="152"/>
        <v>27</v>
      </c>
      <c r="G379" s="13">
        <f t="shared" si="136"/>
        <v>28</v>
      </c>
      <c r="H379" s="172">
        <f t="shared" si="137"/>
        <v>43458</v>
      </c>
      <c r="I379" s="753">
        <f t="shared" si="138"/>
        <v>0.46666666666666667</v>
      </c>
      <c r="J379" s="746">
        <f t="shared" si="139"/>
        <v>25.878510774572693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46">
        <v>43465</v>
      </c>
      <c r="AP379" s="13">
        <f t="shared" si="140"/>
        <v>15</v>
      </c>
      <c r="AQ379" s="13">
        <f t="shared" si="141"/>
        <v>14</v>
      </c>
      <c r="AR379" s="172">
        <f t="shared" si="142"/>
        <v>43473</v>
      </c>
      <c r="AS379" s="753">
        <f t="shared" si="143"/>
        <v>0.27586206896551724</v>
      </c>
      <c r="AT379" s="769">
        <f t="shared" si="144"/>
        <v>26.101385805113562</v>
      </c>
      <c r="AU379" s="13">
        <f t="shared" si="145"/>
        <v>15</v>
      </c>
      <c r="AV379" s="13">
        <f t="shared" si="146"/>
        <v>14</v>
      </c>
      <c r="AW379" s="172">
        <f t="shared" si="147"/>
        <v>43487</v>
      </c>
      <c r="AX379" s="753">
        <f t="shared" si="148"/>
        <v>0.75862068965517238</v>
      </c>
      <c r="AY379" s="769">
        <f t="shared" si="149"/>
        <v>25.881279695933234</v>
      </c>
      <c r="AZ379" s="746">
        <f t="shared" si="153"/>
        <v>25.991332750523398</v>
      </c>
      <c r="BA379" s="641">
        <f t="shared" si="150"/>
        <v>0.99023973890367734</v>
      </c>
      <c r="BC379" s="11">
        <v>43465</v>
      </c>
      <c r="BD379" s="289">
        <f>[2]!FeuilCaduc*(1-Persistant)+Persistant</f>
        <v>0.60491847548575273</v>
      </c>
      <c r="BE379" s="290">
        <f>[2]!CroissVégét</f>
        <v>0.99999984492411664</v>
      </c>
      <c r="BF379" s="819">
        <f>1+[2]!Salcycl*Ksac</f>
        <v>1.000614809435719</v>
      </c>
      <c r="BH379" s="1044">
        <f t="shared" si="151"/>
        <v>2.4379827530798585E-2</v>
      </c>
      <c r="BI379" s="11">
        <v>44561</v>
      </c>
      <c r="BJ379" s="726">
        <v>1.6503117283646881E-2</v>
      </c>
      <c r="BK379" s="726">
        <v>1.7507859314710172E-2</v>
      </c>
      <c r="BL379" s="726">
        <v>1.8754949050850855E-2</v>
      </c>
      <c r="BM379" s="726">
        <v>2.0488085055161916E-2</v>
      </c>
      <c r="BN379" s="726">
        <v>2.2803117184937834E-2</v>
      </c>
      <c r="BO379" s="727">
        <v>2.5751475180216275E-2</v>
      </c>
      <c r="BP379" s="726">
        <v>2.9366649967981575E-2</v>
      </c>
      <c r="BQ379" s="726">
        <v>3.3825995941925938E-2</v>
      </c>
      <c r="BR379" s="726">
        <v>3.9329856515532863E-2</v>
      </c>
      <c r="BS379" s="726">
        <v>4.591237111278737E-2</v>
      </c>
      <c r="BT379" s="726">
        <v>5.3213107608418408E-2</v>
      </c>
      <c r="BW379" s="1208">
        <f>'2018'!R\Max</f>
        <v>0.1974306081586025</v>
      </c>
      <c r="BX379" s="1206">
        <f>'2019'!R\Max</f>
        <v>0.74103196876425692</v>
      </c>
      <c r="BY379" s="1206">
        <f>'2020'!R\Max</f>
        <v>0.35541189360927733</v>
      </c>
      <c r="BZ379" s="1206">
        <f>'2021'!R\Max</f>
        <v>0.99023973890367734</v>
      </c>
      <c r="CA379" s="1206">
        <f>'2022'!R\Max</f>
        <v>0.51041510333691542</v>
      </c>
      <c r="CB379" s="1206">
        <f>'2023'!R\Max</f>
        <v>0.51036484957021555</v>
      </c>
      <c r="CC379" s="1206">
        <f>'2024'!R\Max</f>
        <v>0.51031459154708281</v>
      </c>
      <c r="CD379" s="1206">
        <f>'2025'!R\Max</f>
        <v>0.51057666128120893</v>
      </c>
      <c r="CE379" s="1206">
        <f>'2026'!R\Max</f>
        <v>0.51054044521618691</v>
      </c>
      <c r="CF379" s="1207">
        <f>'2027'!R\Max</f>
        <v>0.51049971361147994</v>
      </c>
    </row>
    <row r="380" spans="1:84" s="6" customFormat="1" ht="12" customHeight="1" thickBot="1" x14ac:dyDescent="0.25">
      <c r="A380" s="11">
        <v>43466</v>
      </c>
      <c r="B380" s="380">
        <f>'2022'!Maxi_hp</f>
        <v>16.672977949317147</v>
      </c>
      <c r="C380" s="14">
        <f>'2022'!An_max</f>
        <v>2020</v>
      </c>
      <c r="D380" s="1054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8">
        <f t="shared" si="137"/>
        <v>43458</v>
      </c>
      <c r="I380" s="749">
        <f t="shared" si="138"/>
        <v>0.53333333333333333</v>
      </c>
      <c r="J380" s="747">
        <f t="shared" si="139"/>
        <v>26.029385776917138</v>
      </c>
      <c r="M380" s="809" t="s">
        <v>237</v>
      </c>
      <c r="N380" s="810">
        <f>$AZ22*10</f>
        <v>274.12764590824474</v>
      </c>
      <c r="O380" s="810">
        <f>$AZ36*10</f>
        <v>312.74372032377869</v>
      </c>
      <c r="P380" s="810">
        <f>$AZ50*10</f>
        <v>361.85804077796638</v>
      </c>
      <c r="Q380" s="810">
        <f>$AZ64*10</f>
        <v>413.9592812503688</v>
      </c>
      <c r="R380" s="810">
        <f>$AZ78*10</f>
        <v>464.22156249964615</v>
      </c>
      <c r="S380" s="810">
        <f>$AZ92*10</f>
        <v>511.13921874435619</v>
      </c>
      <c r="T380" s="810">
        <f>$AZ106*10</f>
        <v>552.04893749207258</v>
      </c>
      <c r="U380" s="810">
        <f>$AZ120*10</f>
        <v>581.84087499789894</v>
      </c>
      <c r="V380" s="810">
        <f>$AZ134*10</f>
        <v>598.53303124941885</v>
      </c>
      <c r="W380" s="810">
        <f>$AZ148*10</f>
        <v>604.88162500131875</v>
      </c>
      <c r="X380" s="810">
        <f>$AZ162*10</f>
        <v>604.26224999595433</v>
      </c>
      <c r="Y380" s="810">
        <f>$AZ176*10</f>
        <v>598.90465624746867</v>
      </c>
      <c r="Z380" s="810">
        <f>$AZ190*10</f>
        <v>590.66696875030175</v>
      </c>
      <c r="AA380" s="810">
        <f>$AZ204*10</f>
        <v>580.91181250009686</v>
      </c>
      <c r="AB380" s="810">
        <f>$AZ218*10</f>
        <v>570.134687500773</v>
      </c>
      <c r="AC380" s="810">
        <f>$AZ232*10</f>
        <v>557.84009375376627</v>
      </c>
      <c r="AD380" s="810">
        <f>$AZ246*10</f>
        <v>542.51056250417605</v>
      </c>
      <c r="AE380" s="810">
        <f>$AZ260*10</f>
        <v>521.42084374278784</v>
      </c>
      <c r="AF380" s="810">
        <f>$AZ274*10</f>
        <v>491.96956249698997</v>
      </c>
      <c r="AG380" s="810">
        <f>$AZ288*10</f>
        <v>454.40446874685591</v>
      </c>
      <c r="AH380" s="810">
        <f>$AZ302*10</f>
        <v>411.14112499821931</v>
      </c>
      <c r="AI380" s="810">
        <f>$AZ316*10</f>
        <v>365.46221874980262</v>
      </c>
      <c r="AJ380" s="810">
        <f>$AZ330*10</f>
        <v>321.54853125661612</v>
      </c>
      <c r="AK380" s="810">
        <f>$AZ344*10</f>
        <v>283.61280546151102</v>
      </c>
      <c r="AL380" s="810">
        <f>$AZ358*10</f>
        <v>258.0553808119148</v>
      </c>
      <c r="AM380" s="810">
        <f>$AZ372*10</f>
        <v>253.1941740636168</v>
      </c>
      <c r="AO380" s="1046">
        <v>43466</v>
      </c>
      <c r="AP380" s="14">
        <f t="shared" si="140"/>
        <v>15</v>
      </c>
      <c r="AQ380" s="14">
        <f t="shared" si="141"/>
        <v>14</v>
      </c>
      <c r="AR380" s="748">
        <f t="shared" si="142"/>
        <v>43473</v>
      </c>
      <c r="AS380" s="749">
        <f t="shared" si="143"/>
        <v>0.2413793103448276</v>
      </c>
      <c r="AT380" s="770">
        <f t="shared" si="144"/>
        <v>26.228175176782855</v>
      </c>
      <c r="AU380" s="14">
        <f t="shared" si="145"/>
        <v>15</v>
      </c>
      <c r="AV380" s="14">
        <f t="shared" si="146"/>
        <v>14</v>
      </c>
      <c r="AW380" s="748">
        <f t="shared" si="147"/>
        <v>43487</v>
      </c>
      <c r="AX380" s="749">
        <f t="shared" si="148"/>
        <v>0.72413793103448276</v>
      </c>
      <c r="AY380" s="770">
        <f t="shared" si="149"/>
        <v>26.040743725772565</v>
      </c>
      <c r="AZ380" s="747">
        <f t="shared" si="153"/>
        <v>26.13445945127771</v>
      </c>
      <c r="BA380" s="641">
        <f t="shared" si="150"/>
        <v>0.64054442514362919</v>
      </c>
      <c r="BC380" s="11">
        <v>43466</v>
      </c>
      <c r="BD380" s="291">
        <f>[2]!FeuilCaduc*(1-Persistant)+Persistant</f>
        <v>0.60457829942861385</v>
      </c>
      <c r="BE380" s="292">
        <f>[2]!CroissVégét</f>
        <v>0.99999984492411664</v>
      </c>
      <c r="BF380" s="820">
        <f>1+[2]!Salcycl*Ksac</f>
        <v>1.0005722874285767</v>
      </c>
      <c r="BH380" s="1045">
        <f t="shared" si="151"/>
        <v>2.445532647791427E-2</v>
      </c>
      <c r="BI380" s="11">
        <v>44562</v>
      </c>
      <c r="BJ380" s="824">
        <v>1.6426948974516825E-2</v>
      </c>
      <c r="BK380" s="730">
        <v>1.7434548847240341E-2</v>
      </c>
      <c r="BL380" s="730">
        <v>1.8709852057295868E-2</v>
      </c>
      <c r="BM380" s="730">
        <v>2.0487695395207128E-2</v>
      </c>
      <c r="BN380" s="730">
        <v>2.285824156178095E-2</v>
      </c>
      <c r="BO380" s="731">
        <v>2.5844698835928964E-2</v>
      </c>
      <c r="BP380" s="730">
        <v>2.9491415403897301E-2</v>
      </c>
      <c r="BQ380" s="730">
        <v>3.3981415873899169E-2</v>
      </c>
      <c r="BR380" s="730">
        <v>3.9520827700564511E-2</v>
      </c>
      <c r="BS380" s="730">
        <v>4.6119749434770992E-2</v>
      </c>
      <c r="BT380" s="730">
        <v>5.3414450806702922E-2</v>
      </c>
      <c r="BW380" s="1209">
        <f>'2018'!R\Max</f>
        <v>0</v>
      </c>
      <c r="BX380" s="1210">
        <f>'2019'!R\Max</f>
        <v>0</v>
      </c>
      <c r="BY380" s="1210">
        <f>'2020'!R\Max</f>
        <v>0.64054442514362919</v>
      </c>
      <c r="BZ380" s="1210">
        <f>'2021'!R\Max</f>
        <v>0</v>
      </c>
      <c r="CA380" s="1210">
        <f>'2022'!R\Max</f>
        <v>0</v>
      </c>
      <c r="CB380" s="1210">
        <f>'2023'!R\Max</f>
        <v>0</v>
      </c>
      <c r="CC380" s="1210">
        <f>'2024'!R\Max</f>
        <v>0.64739017021834111</v>
      </c>
      <c r="CD380" s="1210">
        <f>'2025'!R\Max</f>
        <v>0</v>
      </c>
      <c r="CE380" s="1210">
        <f>'2026'!R\Max</f>
        <v>0</v>
      </c>
      <c r="CF380" s="1211">
        <f>'2027'!R\Max</f>
        <v>0</v>
      </c>
    </row>
    <row r="381" spans="1:84" ht="12" customHeight="1" x14ac:dyDescent="0.25">
      <c r="B381" s="633" t="s">
        <v>162</v>
      </c>
      <c r="M381" s="136" t="s">
        <v>238</v>
      </c>
      <c r="N381" s="811">
        <f t="shared" ref="N381:AM381" si="154">1-N3/N380*Ajust_M</f>
        <v>2.2312448867324308E-3</v>
      </c>
      <c r="O381" s="811">
        <f t="shared" si="154"/>
        <v>-1.3182668409599252E-3</v>
      </c>
      <c r="P381" s="811">
        <f t="shared" si="154"/>
        <v>3.9529528667880953E-4</v>
      </c>
      <c r="Q381" s="811">
        <f t="shared" si="154"/>
        <v>-3.0672551797750192E-3</v>
      </c>
      <c r="R381" s="811">
        <f t="shared" si="154"/>
        <v>9.339559698856581E-4</v>
      </c>
      <c r="S381" s="811">
        <f t="shared" si="154"/>
        <v>1.514692506394133E-3</v>
      </c>
      <c r="T381" s="811">
        <f t="shared" si="154"/>
        <v>-1.6829350530915832E-3</v>
      </c>
      <c r="U381" s="811">
        <f t="shared" si="154"/>
        <v>-1.4903129693391026E-3</v>
      </c>
      <c r="V381" s="811">
        <f t="shared" si="154"/>
        <v>-5.1741088568757476E-5</v>
      </c>
      <c r="W381" s="811">
        <f t="shared" si="154"/>
        <v>6.1437641012473954E-4</v>
      </c>
      <c r="X381" s="811">
        <f t="shared" si="154"/>
        <v>-4.1000410673897036E-4</v>
      </c>
      <c r="Y381" s="811">
        <f t="shared" si="154"/>
        <v>5.6879879612736772E-4</v>
      </c>
      <c r="Z381" s="811">
        <f t="shared" si="154"/>
        <v>5.243013735334312E-5</v>
      </c>
      <c r="AA381" s="811">
        <f t="shared" si="154"/>
        <v>3.1986352506285787E-4</v>
      </c>
      <c r="AB381" s="811">
        <f t="shared" si="154"/>
        <v>5.4318305404388312E-4</v>
      </c>
      <c r="AC381" s="811">
        <f t="shared" si="154"/>
        <v>-1.6654637641511094E-4</v>
      </c>
      <c r="AD381" s="811">
        <f t="shared" si="154"/>
        <v>7.9917799604622974E-4</v>
      </c>
      <c r="AE381" s="811">
        <f t="shared" si="154"/>
        <v>-1.6036111084669624E-3</v>
      </c>
      <c r="AF381" s="811">
        <f t="shared" si="154"/>
        <v>-1.1330731522918303E-3</v>
      </c>
      <c r="AG381" s="811">
        <f t="shared" si="154"/>
        <v>1.1585906016896574E-3</v>
      </c>
      <c r="AH381" s="811">
        <f t="shared" si="154"/>
        <v>-2.7116601429388876E-3</v>
      </c>
      <c r="AI381" s="811">
        <f t="shared" si="154"/>
        <v>2.1184645363647725E-3</v>
      </c>
      <c r="AJ381" s="811">
        <f t="shared" si="154"/>
        <v>-1.6372917062517089E-3</v>
      </c>
      <c r="AK381" s="811">
        <f t="shared" si="154"/>
        <v>-2.8355367705641399E-3</v>
      </c>
      <c r="AL381" s="811">
        <f t="shared" si="154"/>
        <v>5.3724158262186128E-3</v>
      </c>
      <c r="AM381" s="811">
        <f t="shared" si="154"/>
        <v>5.8460036416354555E-3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W2" sqref="W2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81" t="s">
        <v>24</v>
      </c>
      <c r="I1" s="1281"/>
      <c r="J1" s="1281"/>
      <c r="K1" s="1281"/>
      <c r="L1" s="15"/>
      <c r="M1" s="34"/>
      <c r="N1" s="538"/>
      <c r="O1" s="539"/>
      <c r="P1" s="540" t="s">
        <v>4</v>
      </c>
      <c r="Q1" s="418">
        <v>8.0000000000000002E-3</v>
      </c>
      <c r="R1" s="541"/>
      <c r="S1" s="542" t="s">
        <v>105</v>
      </c>
      <c r="T1" s="822">
        <f>PertePVan/365.25</f>
        <v>2.1902806297056812E-5</v>
      </c>
      <c r="U1" s="539"/>
      <c r="V1" s="543"/>
      <c r="W1" s="207"/>
      <c r="X1" s="544"/>
      <c r="Y1" s="536" t="s">
        <v>160</v>
      </c>
      <c r="Z1" s="1274">
        <v>7.0000000000000007E-2</v>
      </c>
      <c r="AA1" s="1275"/>
      <c r="AB1" s="627"/>
      <c r="AC1" s="628"/>
      <c r="AE1" s="536" t="s">
        <v>241</v>
      </c>
      <c r="AF1" s="1160">
        <v>0.05</v>
      </c>
      <c r="AG1" s="539"/>
      <c r="AH1" s="207"/>
      <c r="AI1" s="207"/>
      <c r="AJ1" s="207"/>
      <c r="AK1" s="207"/>
      <c r="AL1" s="536" t="s">
        <v>123</v>
      </c>
      <c r="AM1" s="645">
        <v>0.5</v>
      </c>
      <c r="AN1" s="626"/>
      <c r="AO1" s="207"/>
      <c r="AP1" s="207"/>
      <c r="AQ1" s="207"/>
      <c r="AR1" s="536" t="s">
        <v>104</v>
      </c>
      <c r="AS1" s="367">
        <v>0.6</v>
      </c>
      <c r="AT1" s="646" t="s">
        <v>54</v>
      </c>
      <c r="AU1" s="537"/>
    </row>
    <row r="2" spans="1:78" s="533" customFormat="1" ht="18" customHeight="1" thickBot="1" x14ac:dyDescent="0.35">
      <c r="A2" s="83" t="s">
        <v>132</v>
      </c>
      <c r="B2" s="1231" t="str">
        <f>Station</f>
        <v>Ayguesvives M.J.C.</v>
      </c>
      <c r="C2" s="1232"/>
      <c r="D2" s="1232"/>
      <c r="E2" s="1232"/>
      <c r="F2" s="1233"/>
      <c r="G2" s="821" t="s">
        <v>242</v>
      </c>
      <c r="K2" s="81"/>
      <c r="L2" s="534"/>
      <c r="M2" s="38"/>
      <c r="U2" s="35"/>
      <c r="V2" s="35"/>
      <c r="W2" s="35">
        <f>+U5/Recap!L38</f>
        <v>0.13180549729787483</v>
      </c>
      <c r="X2" s="535"/>
      <c r="AA2" s="537"/>
      <c r="AB2" s="537"/>
      <c r="AC2" s="537"/>
      <c r="AD2" s="537"/>
      <c r="AE2" s="536" t="s">
        <v>161</v>
      </c>
      <c r="AF2" s="651">
        <v>2.6</v>
      </c>
      <c r="AG2" s="652">
        <f>+Tau_i*365</f>
        <v>949</v>
      </c>
      <c r="AH2" s="543"/>
      <c r="AI2" s="239"/>
      <c r="AJ2" s="544"/>
      <c r="AL2" s="643" t="s">
        <v>191</v>
      </c>
      <c r="AM2" s="1283">
        <v>0.3</v>
      </c>
      <c r="AN2" s="1284"/>
      <c r="AS2" s="208" t="s">
        <v>124</v>
      </c>
      <c r="AT2" s="647">
        <f>H_i</f>
        <v>-0.46522425418292995</v>
      </c>
      <c r="AU2" s="644"/>
      <c r="AY2" s="654"/>
      <c r="AZ2" s="654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78">
        <f>'2018'!An</f>
        <v>2018</v>
      </c>
      <c r="B3" s="1279"/>
      <c r="C3" s="1279"/>
      <c r="D3" s="1279"/>
      <c r="E3" s="1279"/>
      <c r="F3" s="1280"/>
      <c r="G3" s="1278">
        <f>'2019'!An</f>
        <v>2019</v>
      </c>
      <c r="H3" s="1279"/>
      <c r="I3" s="1279"/>
      <c r="J3" s="1279"/>
      <c r="K3" s="1279"/>
      <c r="L3" s="1280"/>
      <c r="M3" s="1278">
        <f>'2020'!An</f>
        <v>2020</v>
      </c>
      <c r="N3" s="1279"/>
      <c r="O3" s="1279"/>
      <c r="P3" s="1279"/>
      <c r="Q3" s="1279"/>
      <c r="R3" s="1280"/>
      <c r="S3" s="1278">
        <f>'2021'!An</f>
        <v>2021</v>
      </c>
      <c r="T3" s="1279"/>
      <c r="U3" s="1279"/>
      <c r="V3" s="1279"/>
      <c r="W3" s="1279"/>
      <c r="X3" s="1280"/>
      <c r="Y3" s="1278">
        <f>'2022'!An</f>
        <v>2022</v>
      </c>
      <c r="Z3" s="1279"/>
      <c r="AA3" s="1279"/>
      <c r="AB3" s="1279"/>
      <c r="AC3" s="1279"/>
      <c r="AD3" s="1280"/>
      <c r="AE3" s="1278">
        <f>'2023'!An</f>
        <v>2023</v>
      </c>
      <c r="AF3" s="1279"/>
      <c r="AG3" s="1279"/>
      <c r="AH3" s="1279"/>
      <c r="AI3" s="1279"/>
      <c r="AJ3" s="1280"/>
      <c r="AK3" s="1278">
        <f>'2024'!An</f>
        <v>2024</v>
      </c>
      <c r="AL3" s="1279"/>
      <c r="AM3" s="1286"/>
      <c r="AN3" s="1286"/>
      <c r="AO3" s="1279"/>
      <c r="AP3" s="1280"/>
      <c r="AQ3" s="1278">
        <f>'2025'!An</f>
        <v>2025</v>
      </c>
      <c r="AR3" s="1279"/>
      <c r="AS3" s="1279"/>
      <c r="AT3" s="1279"/>
      <c r="AU3" s="1279"/>
      <c r="AV3" s="1280"/>
      <c r="AW3" s="1278">
        <f>'2026'!An</f>
        <v>2026</v>
      </c>
      <c r="AX3" s="1279"/>
      <c r="AY3" s="1279"/>
      <c r="AZ3" s="1279"/>
      <c r="BA3" s="1279"/>
      <c r="BB3" s="1280"/>
      <c r="BC3" s="1278">
        <f>'2027'!An</f>
        <v>2027</v>
      </c>
      <c r="BD3" s="1279"/>
      <c r="BE3" s="1279"/>
      <c r="BF3" s="1279"/>
      <c r="BG3" s="1279"/>
      <c r="BH3" s="1280"/>
      <c r="BI3" s="1287" t="e">
        <v>#NAME?</v>
      </c>
      <c r="BJ3" s="1288"/>
      <c r="BK3" s="1288"/>
      <c r="BL3" s="1288"/>
      <c r="BM3" s="1288"/>
      <c r="BN3" s="1289"/>
      <c r="BO3" s="1287" t="e">
        <v>#NAME?</v>
      </c>
      <c r="BP3" s="1288"/>
      <c r="BQ3" s="1288"/>
      <c r="BR3" s="1288"/>
      <c r="BS3" s="1288"/>
      <c r="BT3" s="1289"/>
      <c r="BU3" s="1287" t="e">
        <v>#NAME?</v>
      </c>
      <c r="BV3" s="1288"/>
      <c r="BW3" s="1288"/>
      <c r="BX3" s="1288"/>
      <c r="BY3" s="1288"/>
      <c r="BZ3" s="1289"/>
    </row>
    <row r="4" spans="1:78" s="427" customFormat="1" ht="15" customHeight="1" x14ac:dyDescent="0.25">
      <c r="A4" s="212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7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7" t="s">
        <v>92</v>
      </c>
      <c r="N4" s="441" t="s">
        <v>135</v>
      </c>
      <c r="O4" s="442" t="s">
        <v>135</v>
      </c>
      <c r="P4" s="443" t="s">
        <v>80</v>
      </c>
      <c r="Q4" s="576" t="s">
        <v>80</v>
      </c>
      <c r="R4" s="431"/>
      <c r="S4" s="357" t="s">
        <v>92</v>
      </c>
      <c r="T4" s="441">
        <v>44375</v>
      </c>
      <c r="U4" s="442">
        <v>-1.1999999999999999E-3</v>
      </c>
      <c r="V4" s="443" t="s">
        <v>80</v>
      </c>
      <c r="W4" s="576" t="s">
        <v>80</v>
      </c>
      <c r="X4" s="431"/>
      <c r="Y4" s="357" t="s">
        <v>92</v>
      </c>
      <c r="Z4" s="441" t="s">
        <v>135</v>
      </c>
      <c r="AA4" s="442" t="s">
        <v>135</v>
      </c>
      <c r="AB4" s="443" t="s">
        <v>80</v>
      </c>
      <c r="AC4" s="576" t="s">
        <v>80</v>
      </c>
      <c r="AD4" s="431"/>
      <c r="AE4" s="357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7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7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7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7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7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7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7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2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6"/>
      <c r="G5" s="357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6"/>
      <c r="M5" s="357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6"/>
      <c r="S5" s="357" t="s">
        <v>93</v>
      </c>
      <c r="T5" s="432">
        <v>44306</v>
      </c>
      <c r="U5" s="438">
        <v>5.4999999999999997E-3</v>
      </c>
      <c r="V5" s="439">
        <v>0.08</v>
      </c>
      <c r="W5" s="440" t="s">
        <v>135</v>
      </c>
      <c r="X5" s="186"/>
      <c r="Y5" s="357" t="s">
        <v>93</v>
      </c>
      <c r="Z5" s="432">
        <v>44562</v>
      </c>
      <c r="AA5" s="438" t="s">
        <v>389</v>
      </c>
      <c r="AB5" s="1212">
        <v>0.12</v>
      </c>
      <c r="AC5" s="440" t="s">
        <v>135</v>
      </c>
      <c r="AD5" s="186"/>
      <c r="AE5" s="357" t="s">
        <v>93</v>
      </c>
      <c r="AF5" s="432">
        <v>44927</v>
      </c>
      <c r="AG5" s="438" t="s">
        <v>389</v>
      </c>
      <c r="AH5" s="439">
        <v>0.1</v>
      </c>
      <c r="AI5" s="440" t="s">
        <v>135</v>
      </c>
      <c r="AJ5" s="186"/>
      <c r="AK5" s="357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6"/>
      <c r="AQ5" s="357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6"/>
      <c r="AW5" s="357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6"/>
      <c r="BC5" s="357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6"/>
      <c r="BI5" s="357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6"/>
      <c r="BO5" s="357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6"/>
      <c r="BU5" s="357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6"/>
    </row>
    <row r="6" spans="1:78" s="427" customFormat="1" ht="15" customHeight="1" x14ac:dyDescent="0.25">
      <c r="A6" s="212" t="s">
        <v>18</v>
      </c>
      <c r="B6" s="419" t="s">
        <v>135</v>
      </c>
      <c r="C6" s="433" t="s">
        <v>135</v>
      </c>
      <c r="D6" s="1285" t="s">
        <v>135</v>
      </c>
      <c r="E6" s="1285"/>
      <c r="F6" s="187"/>
      <c r="G6" s="357" t="s">
        <v>94</v>
      </c>
      <c r="H6" s="419" t="s">
        <v>135</v>
      </c>
      <c r="I6" s="433" t="s">
        <v>135</v>
      </c>
      <c r="J6" s="1285" t="s">
        <v>135</v>
      </c>
      <c r="K6" s="1285"/>
      <c r="L6" s="187"/>
      <c r="M6" s="357" t="s">
        <v>94</v>
      </c>
      <c r="N6" s="419" t="s">
        <v>135</v>
      </c>
      <c r="O6" s="433" t="s">
        <v>135</v>
      </c>
      <c r="P6" s="1285" t="s">
        <v>135</v>
      </c>
      <c r="Q6" s="1285"/>
      <c r="R6" s="187"/>
      <c r="S6" s="357" t="s">
        <v>94</v>
      </c>
      <c r="T6" s="419" t="s">
        <v>135</v>
      </c>
      <c r="U6" s="433" t="s">
        <v>135</v>
      </c>
      <c r="V6" s="1285" t="s">
        <v>135</v>
      </c>
      <c r="W6" s="1285"/>
      <c r="X6" s="187"/>
      <c r="Y6" s="357" t="s">
        <v>94</v>
      </c>
      <c r="Z6" s="419" t="s">
        <v>135</v>
      </c>
      <c r="AA6" s="433" t="s">
        <v>135</v>
      </c>
      <c r="AB6" s="1285" t="s">
        <v>135</v>
      </c>
      <c r="AC6" s="1285"/>
      <c r="AD6" s="187"/>
      <c r="AE6" s="357" t="s">
        <v>94</v>
      </c>
      <c r="AF6" s="419" t="s">
        <v>135</v>
      </c>
      <c r="AG6" s="433" t="s">
        <v>135</v>
      </c>
      <c r="AH6" s="1285" t="s">
        <v>135</v>
      </c>
      <c r="AI6" s="1285"/>
      <c r="AJ6" s="187"/>
      <c r="AK6" s="357" t="s">
        <v>94</v>
      </c>
      <c r="AL6" s="419" t="s">
        <v>135</v>
      </c>
      <c r="AM6" s="433" t="s">
        <v>135</v>
      </c>
      <c r="AN6" s="1285" t="s">
        <v>135</v>
      </c>
      <c r="AO6" s="1285"/>
      <c r="AP6" s="187"/>
      <c r="AQ6" s="357" t="s">
        <v>94</v>
      </c>
      <c r="AR6" s="419" t="s">
        <v>135</v>
      </c>
      <c r="AS6" s="433" t="s">
        <v>135</v>
      </c>
      <c r="AT6" s="1285" t="s">
        <v>135</v>
      </c>
      <c r="AU6" s="1285"/>
      <c r="AV6" s="187"/>
      <c r="AW6" s="357" t="s">
        <v>94</v>
      </c>
      <c r="AX6" s="419" t="s">
        <v>135</v>
      </c>
      <c r="AY6" s="433" t="s">
        <v>135</v>
      </c>
      <c r="AZ6" s="1285" t="s">
        <v>135</v>
      </c>
      <c r="BA6" s="1285"/>
      <c r="BB6" s="187"/>
      <c r="BC6" s="357" t="s">
        <v>94</v>
      </c>
      <c r="BD6" s="419" t="s">
        <v>135</v>
      </c>
      <c r="BE6" s="433" t="s">
        <v>135</v>
      </c>
      <c r="BF6" s="1285" t="s">
        <v>135</v>
      </c>
      <c r="BG6" s="1285"/>
      <c r="BH6" s="187"/>
      <c r="BI6" s="357" t="s">
        <v>94</v>
      </c>
      <c r="BJ6" s="419" t="s">
        <v>135</v>
      </c>
      <c r="BK6" s="433" t="s">
        <v>135</v>
      </c>
      <c r="BL6" s="1285" t="s">
        <v>135</v>
      </c>
      <c r="BM6" s="1285"/>
      <c r="BN6" s="187"/>
      <c r="BO6" s="357" t="s">
        <v>94</v>
      </c>
      <c r="BP6" s="419" t="s">
        <v>135</v>
      </c>
      <c r="BQ6" s="433" t="s">
        <v>135</v>
      </c>
      <c r="BR6" s="1285" t="s">
        <v>135</v>
      </c>
      <c r="BS6" s="1285"/>
      <c r="BT6" s="187"/>
      <c r="BU6" s="357" t="s">
        <v>94</v>
      </c>
      <c r="BV6" s="419" t="s">
        <v>135</v>
      </c>
      <c r="BW6" s="433" t="s">
        <v>135</v>
      </c>
      <c r="BX6" s="1285" t="s">
        <v>135</v>
      </c>
      <c r="BY6" s="1285"/>
      <c r="BZ6" s="187"/>
    </row>
    <row r="7" spans="1:78" ht="15.75" x14ac:dyDescent="0.25">
      <c r="A7" s="830" t="s">
        <v>247</v>
      </c>
      <c r="B7" s="430"/>
      <c r="C7" s="430"/>
      <c r="D7" s="220"/>
      <c r="E7" s="1276">
        <f>'2018'!Dépas_env</f>
        <v>1.0703898995348737E-2</v>
      </c>
      <c r="F7" s="1277"/>
      <c r="G7" s="830" t="s">
        <v>246</v>
      </c>
      <c r="H7" s="430"/>
      <c r="I7" s="430"/>
      <c r="J7" s="220"/>
      <c r="K7" s="1276">
        <f>'2019'!Dépas_env</f>
        <v>4.6036658073012493E-2</v>
      </c>
      <c r="L7" s="1277"/>
      <c r="M7" s="830" t="s">
        <v>246</v>
      </c>
      <c r="N7" s="430"/>
      <c r="O7" s="430"/>
      <c r="P7" s="220"/>
      <c r="Q7" s="1276">
        <f>'2020'!Dépas_env</f>
        <v>4.6976720512020398E-2</v>
      </c>
      <c r="R7" s="1277"/>
      <c r="S7" s="830" t="s">
        <v>246</v>
      </c>
      <c r="T7" s="430"/>
      <c r="U7" s="430"/>
      <c r="V7" s="220"/>
      <c r="W7" s="1276">
        <f>'2021'!Dépas_env</f>
        <v>4.6119466503605766E-2</v>
      </c>
      <c r="X7" s="1277"/>
      <c r="Y7" s="830" t="s">
        <v>246</v>
      </c>
      <c r="Z7" s="430"/>
      <c r="AA7" s="430"/>
      <c r="AB7" s="220"/>
      <c r="AC7" s="1276">
        <f>'2022'!Dépas_env</f>
        <v>4.46503344484388E-2</v>
      </c>
      <c r="AD7" s="1277"/>
      <c r="AE7" s="830" t="s">
        <v>246</v>
      </c>
      <c r="AF7" s="430"/>
      <c r="AG7" s="430"/>
      <c r="AH7" s="220"/>
      <c r="AI7" s="1276">
        <f>'2023'!Dépas_env</f>
        <v>4.46503344484388E-2</v>
      </c>
      <c r="AJ7" s="1277"/>
      <c r="AK7" s="830" t="s">
        <v>246</v>
      </c>
      <c r="AL7" s="430"/>
      <c r="AM7" s="430"/>
      <c r="AN7" s="220"/>
      <c r="AO7" s="1276">
        <f>'2024'!Dépas_env</f>
        <v>4.46503344484388E-2</v>
      </c>
      <c r="AP7" s="1277"/>
      <c r="AQ7" s="830" t="s">
        <v>246</v>
      </c>
      <c r="AR7" s="430"/>
      <c r="AS7" s="430"/>
      <c r="AT7" s="220"/>
      <c r="AU7" s="1276">
        <f>'2025'!Dépas_env</f>
        <v>4.46503344484388E-2</v>
      </c>
      <c r="AV7" s="1277"/>
      <c r="AW7" s="830" t="s">
        <v>246</v>
      </c>
      <c r="AX7" s="430"/>
      <c r="AY7" s="430"/>
      <c r="AZ7" s="220"/>
      <c r="BA7" s="1276">
        <f>'2026'!Dépas_env</f>
        <v>4.46503344484388E-2</v>
      </c>
      <c r="BB7" s="1277"/>
      <c r="BC7" s="830" t="s">
        <v>246</v>
      </c>
      <c r="BD7" s="430"/>
      <c r="BE7" s="430"/>
      <c r="BF7" s="220"/>
      <c r="BG7" s="1276">
        <f>'2027'!Dépas_env</f>
        <v>4.46503344484388E-2</v>
      </c>
      <c r="BH7" s="1277"/>
      <c r="BI7" s="830" t="s">
        <v>246</v>
      </c>
      <c r="BJ7" s="430"/>
      <c r="BK7" s="430"/>
      <c r="BL7" s="220"/>
      <c r="BM7" s="1276"/>
      <c r="BN7" s="1277"/>
      <c r="BO7" s="830" t="s">
        <v>246</v>
      </c>
      <c r="BP7" s="430"/>
      <c r="BQ7" s="430"/>
      <c r="BR7" s="220"/>
      <c r="BS7" s="1276"/>
      <c r="BT7" s="1277"/>
      <c r="BU7" s="830" t="s">
        <v>246</v>
      </c>
      <c r="BV7" s="430"/>
      <c r="BW7" s="430"/>
      <c r="BX7" s="220"/>
      <c r="BY7" s="1276"/>
      <c r="BZ7" s="1277"/>
    </row>
    <row r="8" spans="1:78" ht="15.75" x14ac:dyDescent="0.25">
      <c r="A8" s="426" t="s">
        <v>134</v>
      </c>
      <c r="T8" s="653" t="s">
        <v>188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43250</v>
      </c>
      <c r="C9" s="580">
        <f>IF(B9&gt;T0,IF(C4="D",0,C4),0)</f>
        <v>0</v>
      </c>
      <c r="D9" s="581" t="s">
        <v>80</v>
      </c>
      <c r="E9" s="462" t="s">
        <v>80</v>
      </c>
      <c r="F9" s="1213">
        <f>IF(C5="I",T0,B10)</f>
        <v>43250</v>
      </c>
      <c r="G9" s="446" t="s">
        <v>92</v>
      </c>
      <c r="H9" s="579">
        <f>IF(H4="D",B9,IF(YEAR(H4)=G3,H4, "err."))</f>
        <v>43250</v>
      </c>
      <c r="I9" s="580">
        <f>IF(YEAR(H9)=G3,IF(I4="D",C9,I4),C9)</f>
        <v>0</v>
      </c>
      <c r="J9" s="582" t="s">
        <v>80</v>
      </c>
      <c r="K9" s="450" t="s">
        <v>80</v>
      </c>
      <c r="L9" s="1213">
        <f>IF(I5="I",F9,IF(YEAR(H10)=G3,H10,F9))</f>
        <v>43250</v>
      </c>
      <c r="M9" s="448" t="s">
        <v>92</v>
      </c>
      <c r="N9" s="579">
        <f>IF(N4="D",H9,IF(YEAR(N4)=M3,N4, "err."))</f>
        <v>43250</v>
      </c>
      <c r="O9" s="580">
        <f>IF(YEAR(N9)=M3,IF(O4="D",I9,O4),I9)</f>
        <v>0</v>
      </c>
      <c r="P9" s="582" t="s">
        <v>80</v>
      </c>
      <c r="Q9" s="450" t="s">
        <v>80</v>
      </c>
      <c r="R9" s="1213">
        <f>IF(O5="I",L9,IF(YEAR(N10)=M3,N10,L9))</f>
        <v>43250</v>
      </c>
      <c r="S9" s="446" t="s">
        <v>92</v>
      </c>
      <c r="T9" s="579">
        <f>IF(T4="D",N9,IF(YEAR(T4)=S3,T4, "err."))</f>
        <v>44375</v>
      </c>
      <c r="U9" s="580">
        <f>IF(YEAR(T9)=S3,IF(U4="D",O9,U4),O9)</f>
        <v>-1.1999999999999999E-3</v>
      </c>
      <c r="V9" s="582" t="s">
        <v>80</v>
      </c>
      <c r="W9" s="450" t="s">
        <v>80</v>
      </c>
      <c r="X9" s="1213">
        <f>IF(U5="I",R9,IF(YEAR(T10)=S3,T10,R9))</f>
        <v>44306</v>
      </c>
      <c r="Y9" s="446" t="s">
        <v>92</v>
      </c>
      <c r="Z9" s="579">
        <f>IF(Z4="D",T9,IF(YEAR(Z4)=Y3,Z4, "err."))</f>
        <v>44375</v>
      </c>
      <c r="AA9" s="580">
        <f>IF(YEAR(Z9)=Y3,IF(AA4="D",U9,AA4),U9)</f>
        <v>-1.1999999999999999E-3</v>
      </c>
      <c r="AB9" s="582" t="s">
        <v>80</v>
      </c>
      <c r="AC9" s="450" t="s">
        <v>80</v>
      </c>
      <c r="AD9" s="1213">
        <f>IF(AA5="I",X9,IF(YEAR(Z10)=Y3,Z10,X9))</f>
        <v>44306</v>
      </c>
      <c r="AE9" s="446" t="s">
        <v>92</v>
      </c>
      <c r="AF9" s="579">
        <f>IF(AF4="D",Z9,IF(YEAR(AF4)=AE3,AF4, "err."))</f>
        <v>44375</v>
      </c>
      <c r="AG9" s="580">
        <f>IF(YEAR(AF9)=AE3,IF(AG4="D",AA9,AG4),AA9)</f>
        <v>-1.1999999999999999E-3</v>
      </c>
      <c r="AH9" s="582" t="s">
        <v>80</v>
      </c>
      <c r="AI9" s="450" t="s">
        <v>80</v>
      </c>
      <c r="AJ9" s="1213">
        <f>IF(AG5="I",AD9,IF(YEAR(AF10)=AE3,AF10,AD9))</f>
        <v>44306</v>
      </c>
      <c r="AK9" s="446" t="s">
        <v>92</v>
      </c>
      <c r="AL9" s="595">
        <f>IF(AL4="D",AF9,AL4)</f>
        <v>44375</v>
      </c>
      <c r="AM9" s="596">
        <f>IF(AM4="D",AG9,AM4)</f>
        <v>-1.1999999999999999E-3</v>
      </c>
      <c r="AN9" s="582" t="s">
        <v>80</v>
      </c>
      <c r="AO9" s="597" t="s">
        <v>80</v>
      </c>
      <c r="AP9" s="1213">
        <f>IF(AM5="I",AJ9,IF(YEAR(AL10)=AK3,AL10,AJ9))</f>
        <v>45412</v>
      </c>
      <c r="AQ9" s="446" t="s">
        <v>92</v>
      </c>
      <c r="AR9" s="579">
        <f>IF(AR4="D",AL9,AR4)</f>
        <v>44375</v>
      </c>
      <c r="AS9" s="580">
        <f>IF(AS4="D",AM9,AS4)</f>
        <v>-1.1999999999999999E-3</v>
      </c>
      <c r="AT9" s="582" t="s">
        <v>80</v>
      </c>
      <c r="AU9" s="450" t="s">
        <v>80</v>
      </c>
      <c r="AV9" s="1213">
        <f>IF(AS5="I",AP9,IF(YEAR(AR10)=AQ3,AR10,AP9))</f>
        <v>45412</v>
      </c>
      <c r="AW9" s="446" t="s">
        <v>92</v>
      </c>
      <c r="AX9" s="579">
        <f>IF(AX4="D",AR9,AX4)</f>
        <v>44375</v>
      </c>
      <c r="AY9" s="580">
        <f>IF(AY4="D",AS9,AY4)</f>
        <v>-1.1999999999999999E-3</v>
      </c>
      <c r="AZ9" s="582" t="s">
        <v>80</v>
      </c>
      <c r="BA9" s="450" t="s">
        <v>80</v>
      </c>
      <c r="BB9" s="1213">
        <f>IF(AY5="I",AV9,IF(YEAR(AX10)=AW3,AX10,AV9))</f>
        <v>46142</v>
      </c>
      <c r="BC9" s="446" t="s">
        <v>92</v>
      </c>
      <c r="BD9" s="579">
        <f>IF(BD4="D",AX9,BD4)</f>
        <v>44375</v>
      </c>
      <c r="BE9" s="580">
        <f>IF(BE4="D",AY9,BE4)</f>
        <v>-1.1999999999999999E-3</v>
      </c>
      <c r="BF9" s="582" t="s">
        <v>80</v>
      </c>
      <c r="BG9" s="450" t="s">
        <v>80</v>
      </c>
      <c r="BH9" s="1213">
        <f>IF(BE5="I",BB9,IF(YEAR(BD10)=BC3,BD10,BB9))</f>
        <v>46142</v>
      </c>
      <c r="BI9" s="446" t="s">
        <v>92</v>
      </c>
      <c r="BJ9" s="579">
        <f>IF(BJ4="D",BD9,BJ4)</f>
        <v>44375</v>
      </c>
      <c r="BK9" s="580">
        <f>IF(BK4="D",BE9,BK4)</f>
        <v>-1.1999999999999999E-3</v>
      </c>
      <c r="BL9" s="582" t="s">
        <v>80</v>
      </c>
      <c r="BM9" s="450" t="s">
        <v>80</v>
      </c>
      <c r="BN9" s="1213" t="e">
        <f>IF(BK5="I",BH9,IF(YEAR(BJ10)=BI3,BJ10,BH9))</f>
        <v>#NAME?</v>
      </c>
      <c r="BO9" s="446" t="s">
        <v>92</v>
      </c>
      <c r="BP9" s="579">
        <f>IF(BP4="D",BJ9,BP4)</f>
        <v>44375</v>
      </c>
      <c r="BQ9" s="580">
        <f>IF(BQ4="D",BK9,BQ4)</f>
        <v>-1.1999999999999999E-3</v>
      </c>
      <c r="BR9" s="582" t="s">
        <v>80</v>
      </c>
      <c r="BS9" s="450" t="s">
        <v>80</v>
      </c>
      <c r="BT9" s="1213" t="e">
        <f>IF(BQ5="I",BN9,IF(YEAR(BP10)=BO3,BP10,BN9))</f>
        <v>#NAME?</v>
      </c>
      <c r="BU9" s="446" t="s">
        <v>92</v>
      </c>
      <c r="BV9" s="579">
        <f>IF(BV4="D",BP9,BV4)</f>
        <v>44375</v>
      </c>
      <c r="BW9" s="580">
        <f>IF(BW4="D",BQ9,BW4)</f>
        <v>-1.1999999999999999E-3</v>
      </c>
      <c r="BX9" s="582" t="s">
        <v>80</v>
      </c>
      <c r="BY9" s="450" t="s">
        <v>80</v>
      </c>
      <c r="BZ9" s="1213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43250</v>
      </c>
      <c r="C10" s="583">
        <f>IF(B10&gt;T0,IF(C5="D",0,C5),0)</f>
        <v>0</v>
      </c>
      <c r="D10" s="584">
        <f>IF(YEAR(B10)=A3,IF(D5="D",Salim_i,D5),Salim_i)</f>
        <v>7.0000000000000007E-2</v>
      </c>
      <c r="E10" s="585">
        <f>IF(E5="D",Tau_i,IF(YEAR(B10)=A3,E5,Tau_i))</f>
        <v>2.6</v>
      </c>
      <c r="F10" s="1214">
        <f>C10</f>
        <v>0</v>
      </c>
      <c r="G10" s="448" t="s">
        <v>93</v>
      </c>
      <c r="H10" s="577">
        <f>IF(H5="D",IF(AND(G3&gt;=YEAR(F9)+Inter_net,G3&gt;Amaj),DATE(G3,4,30),B10),IF(YEAR(H5)=G3,H5,"err."))</f>
        <v>43250</v>
      </c>
      <c r="I10" s="583">
        <f>IF(G3=YEAR(H10),IF(I5="D",F10,I5),C13)</f>
        <v>0</v>
      </c>
      <c r="J10" s="584">
        <f>IF(G3=YEAR(H10),IF(J5="D",D10,J5),D10)</f>
        <v>7.0000000000000007E-2</v>
      </c>
      <c r="K10" s="585">
        <f>IF(G3=YEAR(H10),IF(K5="D",E10,K5),E10)</f>
        <v>2.6</v>
      </c>
      <c r="L10" s="1214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43250</v>
      </c>
      <c r="O10" s="583">
        <f>IF(M3=YEAR(N10),IF(O5="D",L10,O5),I13)</f>
        <v>0</v>
      </c>
      <c r="P10" s="584">
        <f>IF(M3=YEAR(N10),IF(P5="D",J10,P5),J10)</f>
        <v>7.0000000000000007E-2</v>
      </c>
      <c r="Q10" s="585">
        <f>IF(M3=YEAR(N10),IF(Q5="D",K10,Q5),K10)</f>
        <v>2.6</v>
      </c>
      <c r="R10" s="1214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44306</v>
      </c>
      <c r="U10" s="583">
        <f>IF(S3=YEAR(T10),IF(U5="D",R10,U5),O13)</f>
        <v>5.4999999999999997E-3</v>
      </c>
      <c r="V10" s="584">
        <f>IF(S3=YEAR(T10),IF(V5="D",P10,V5),P10)</f>
        <v>0.08</v>
      </c>
      <c r="W10" s="585">
        <f>IF(S3=YEAR(T10),IF(W5="D",Q10,W5),Q10)</f>
        <v>2.6</v>
      </c>
      <c r="X10" s="1214">
        <f>IF(U5="I",R10,IF(U5="D",R10,U5))</f>
        <v>5.4999999999999997E-3</v>
      </c>
      <c r="Y10" s="448" t="s">
        <v>93</v>
      </c>
      <c r="Z10" s="577">
        <f>IF(Z5="D",IF(AND(Y3&gt;=YEAR(X9)+Inter_net,Y3&gt;Amaj),DATE(Y3,4,30),T10),IF(YEAR(Z5)=Y3,Z5,"err."))</f>
        <v>44562</v>
      </c>
      <c r="AA10" s="583" t="str">
        <f>IF(Y3=YEAR(Z10),IF(AA5="D",X10,AA5),U13)</f>
        <v>I</v>
      </c>
      <c r="AB10" s="584">
        <f>IF(Y3=YEAR(Z10),IF(AB5="D",V10,AB5),V10)</f>
        <v>0.12</v>
      </c>
      <c r="AC10" s="585">
        <f>IF(Y3=YEAR(Z10),IF(AC5="D",W10,AC5),W10)</f>
        <v>2.6</v>
      </c>
      <c r="AD10" s="1214">
        <f>IF(AA5="I",X10,IF(AA5="D",X10,AA5))</f>
        <v>5.4999999999999997E-3</v>
      </c>
      <c r="AE10" s="448" t="s">
        <v>93</v>
      </c>
      <c r="AF10" s="577">
        <f>IF(AF5="D",IF(AND(AE3&gt;=YEAR(AD9)+Inter_net,AE3&gt;Amaj),DATE(AE3,4,30),Z10),IF(YEAR(AF5)=AE3,AF5,"err."))</f>
        <v>44927</v>
      </c>
      <c r="AG10" s="583" t="str">
        <f>IF(AE3=YEAR(AF10),IF(AG5="D",AD10,AG5),AA13)</f>
        <v>I</v>
      </c>
      <c r="AH10" s="584">
        <f>IF(AE3=YEAR(AF10),IF(AH5="D",AB10,AH5),AB10)</f>
        <v>0.1</v>
      </c>
      <c r="AI10" s="585">
        <f>IF(AE3=YEAR(AF10),IF(AI5="D",AC10,AI5),AC10)</f>
        <v>2.6</v>
      </c>
      <c r="AJ10" s="1214">
        <f>IF(AG5="I",AD10,IF(AG5="D",AD10,AG5))</f>
        <v>5.4999999999999997E-3</v>
      </c>
      <c r="AK10" s="448" t="s">
        <v>93</v>
      </c>
      <c r="AL10" s="577">
        <f>IF(AL5="D",IF(AND(AK3&gt;=YEAR(AJ9)+Inter_net,AK3&gt;Amaj),DATE(AK3,4,30),AF10),IF(YEAR(AL5)=AK3,AL5,"err."))</f>
        <v>45412</v>
      </c>
      <c r="AM10" s="583">
        <f>IF(AK3=YEAR(AL10),IF(AM5="D",AJ10,AM5),AG13)</f>
        <v>5.4999999999999997E-3</v>
      </c>
      <c r="AN10" s="584">
        <f>IF(AN5="D",AH10,AN5)</f>
        <v>0.1</v>
      </c>
      <c r="AO10" s="585">
        <f>IF(AO5="D",AI10,AO5)</f>
        <v>2.6</v>
      </c>
      <c r="AP10" s="1214">
        <f>IF(AM5="I",AJ10,IF(AM5="D",AJ10,AM5))</f>
        <v>5.4999999999999997E-3</v>
      </c>
      <c r="AQ10" s="448" t="s">
        <v>93</v>
      </c>
      <c r="AR10" s="577">
        <f>IF(AR5="D",IF(AND(AQ3&gt;=YEAR(AP9)+Inter_net,AQ3&gt;Amaj),DATE(AQ3,4,30),AL10),IF(YEAR(AR5)=AQ3,AR5,"err."))</f>
        <v>45412</v>
      </c>
      <c r="AS10" s="583">
        <f>IF(AQ3=YEAR(AR10),IF(AS5="D",AP10,AS5),AM13)</f>
        <v>5.4999999999999997E-3</v>
      </c>
      <c r="AT10" s="584">
        <f>IF(AT5="D",AN10,AT5)</f>
        <v>0.1</v>
      </c>
      <c r="AU10" s="585">
        <f>IF(AU5="D",AO10,AU5)</f>
        <v>2.6</v>
      </c>
      <c r="AV10" s="1214">
        <f>IF(AS5="I",AP10,IF(AS5="D",AP10,AS5))</f>
        <v>5.4999999999999997E-3</v>
      </c>
      <c r="AW10" s="448" t="s">
        <v>93</v>
      </c>
      <c r="AX10" s="577">
        <f>IF(AX5="D",IF(AND(AW3&gt;=YEAR(AV9)+Inter_net,AW3&gt;Amaj),DATE(AW3,4,30),AR10),IF(YEAR(AX5)=AW3,AX5,"err."))</f>
        <v>46142</v>
      </c>
      <c r="AY10" s="583">
        <f>IF(AW3=YEAR(AX10),IF(AY5="D",AV10,AY5),AS13)</f>
        <v>5.4999999999999997E-3</v>
      </c>
      <c r="AZ10" s="584">
        <f>IF(AZ5="D",AT10,AZ5)</f>
        <v>0.1</v>
      </c>
      <c r="BA10" s="585">
        <f>IF(BA5="D",AU10,BA5)</f>
        <v>2.6</v>
      </c>
      <c r="BB10" s="1214">
        <f>IF(AY5="I",AV10,IF(AY5="D",AV10,AY5))</f>
        <v>5.4999999999999997E-3</v>
      </c>
      <c r="BC10" s="448" t="s">
        <v>93</v>
      </c>
      <c r="BD10" s="577">
        <f>IF(BD5="D",IF(AND(BC3&gt;=YEAR(BB9)+Inter_net,BC3&gt;Amaj),DATE(BC3,4,30),AX10),IF(YEAR(BD5)=BC3,BD5,"err."))</f>
        <v>46142</v>
      </c>
      <c r="BE10" s="583">
        <f>IF(BC3=YEAR(BD10),IF(BE5="D",BB10,BE5),AY13)</f>
        <v>5.4999999999999997E-3</v>
      </c>
      <c r="BF10" s="584">
        <f>IF(BF5="D",AZ10,BF5)</f>
        <v>0.1</v>
      </c>
      <c r="BG10" s="585">
        <f>IF(BG5="D",BA10,BG5)</f>
        <v>2.6</v>
      </c>
      <c r="BH10" s="1214">
        <f>IF(BE5="I",BB10,IF(BE5="D",BB10,BE5))</f>
        <v>5.4999999999999997E-3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0.1</v>
      </c>
      <c r="BM10" s="585">
        <f>IF(BM5="D",BG10,BM5)</f>
        <v>2.6</v>
      </c>
      <c r="BN10" s="1214">
        <f>IF(BK5="I",BH10,IF(BK5="D",BH10,BK5))</f>
        <v>5.4999999999999997E-3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0.1</v>
      </c>
      <c r="BS10" s="585">
        <f>IF(BS5="D",BM10,BS5)</f>
        <v>2.6</v>
      </c>
      <c r="BT10" s="1214">
        <f>IF(BQ5="I",BN10,IF(BQ5="D",BN10,BQ5))</f>
        <v>5.4999999999999997E-3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0.1</v>
      </c>
      <c r="BY10" s="585">
        <f>IF(BY5="D",BS10,BY5)</f>
        <v>2.6</v>
      </c>
      <c r="BZ10" s="1214">
        <f>IF(BW5="I",BT10,IF(BW5="D",BT10,BW5))</f>
        <v>5.4999999999999997E-3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0.5</v>
      </c>
      <c r="D11" s="1282">
        <f>IF(D6="D",IF(B11&gt;DATE(A3,1,1),H_i,H_i+PousHi),D6)</f>
        <v>-0.16522425418292996</v>
      </c>
      <c r="E11" s="1282"/>
      <c r="F11" s="187"/>
      <c r="G11" s="448" t="s">
        <v>94</v>
      </c>
      <c r="H11" s="578">
        <f>IF(H6="D",IF(AND(G3&gt;=YEAR(B11)+Inter_tai,G3&gt;Amaj),DATE(G3,3,31),B11),IF(YEAR(H6)=G3,H6,"err."))</f>
        <v>43101</v>
      </c>
      <c r="I11" s="586">
        <f>IF(I6="D",IF(G3=YEAR(H11),D_i,C11),I6)</f>
        <v>0.5</v>
      </c>
      <c r="J11" s="1282">
        <f>IF(J6="D",IF(G3=YEAR(H11),H_i,D16+E16),J6)</f>
        <v>0.134775699294305</v>
      </c>
      <c r="K11" s="1282"/>
      <c r="L11" s="187"/>
      <c r="M11" s="448" t="s">
        <v>94</v>
      </c>
      <c r="N11" s="578">
        <f>IF(N6="D",IF(AND(M3&gt;=YEAR(H11)+Inter_tai,M3&gt;Amaj),DATE(M3,3,31),H11),IF(YEAR(N6)=M3,N6,"err."))</f>
        <v>43101</v>
      </c>
      <c r="O11" s="586">
        <f>IF(O6="D",IF(M3=YEAR(N11),D_i,I11),O6)</f>
        <v>0.5</v>
      </c>
      <c r="P11" s="1282">
        <f>IF(P6="D",IF(M3=YEAR(N11),H_i,J16+K16),P6)</f>
        <v>0.43477565277153996</v>
      </c>
      <c r="Q11" s="1282"/>
      <c r="R11" s="187"/>
      <c r="S11" s="448" t="s">
        <v>94</v>
      </c>
      <c r="T11" s="578">
        <f>IF(T6="D",IF(AND(S3&gt;=YEAR(N11)+Inter_tai,S3&gt;Amaj),DATE(S3,3,31),N11),IF(YEAR(T6)=S3,T6,"err."))</f>
        <v>43101</v>
      </c>
      <c r="U11" s="586">
        <f>IF(U6="D",IF(S3=YEAR(T11),D_i,O11),U6)</f>
        <v>0.5</v>
      </c>
      <c r="V11" s="1282">
        <f>IF(V6="D",IF(S3=YEAR(T11),H_i,P16+Q16),V6)</f>
        <v>0.73477560624877492</v>
      </c>
      <c r="W11" s="1282"/>
      <c r="X11" s="187"/>
      <c r="Y11" s="448" t="s">
        <v>94</v>
      </c>
      <c r="Z11" s="578">
        <f>IF(Z6="D",IF(AND(Y3&gt;=YEAR(T11)+Inter_tai,Y3&gt;Amaj),DATE(Y3,3,31),T11),IF(YEAR(Z6)=Y3,Z6,"err."))</f>
        <v>43101</v>
      </c>
      <c r="AA11" s="586">
        <f>IF(AA6="D",IF(Y3=YEAR(Z11),D_i,U11),AA6)</f>
        <v>0.5</v>
      </c>
      <c r="AB11" s="1282">
        <f>IF(AB6="D",IF(Y3=YEAR(Z11),H_i,V16+W16),AB6)</f>
        <v>1.03477555972601</v>
      </c>
      <c r="AC11" s="1282"/>
      <c r="AD11" s="187"/>
      <c r="AE11" s="448" t="s">
        <v>94</v>
      </c>
      <c r="AF11" s="578">
        <f>IF(AF6="D",IF(AND(AE3&gt;=YEAR(Z11)+Inter_tai,AE3&gt;Amaj),DATE(AE3,3,31),Z11),IF(YEAR(AF6)=AE3,AF6,"err."))</f>
        <v>43101</v>
      </c>
      <c r="AG11" s="586">
        <f>IF(AG6="D",IF(AE3=YEAR(AF11),D_i,AA11),AG6)</f>
        <v>0.5</v>
      </c>
      <c r="AH11" s="1282">
        <f>IF(AH6="D",IF(AE3=YEAR(AF11),H_i,AB16+AC16),AH6)</f>
        <v>1.3347755132032451</v>
      </c>
      <c r="AI11" s="1282"/>
      <c r="AJ11" s="187"/>
      <c r="AK11" s="448" t="s">
        <v>94</v>
      </c>
      <c r="AL11" s="578">
        <f>IF(AL6="D",IF(AND(AK3&gt;=YEAR(AF11)+Inter_tai,AK3&gt;Amaj),DATE(AK3,3,31),AF11),IF(YEAR(AL6)=AK3,AL6,"err."))</f>
        <v>43101</v>
      </c>
      <c r="AM11" s="586">
        <f>IF(AM6="D",IF(AK3=YEAR(AL11),D_i,AG11),AM6)</f>
        <v>0.5</v>
      </c>
      <c r="AN11" s="1282">
        <f>IF(AN6="D",IF(AK3=YEAR(AL11),H_i,AH16+PousHi),AN6)</f>
        <v>1.6347754666804801</v>
      </c>
      <c r="AO11" s="1282"/>
      <c r="AP11" s="187"/>
      <c r="AQ11" s="448" t="s">
        <v>94</v>
      </c>
      <c r="AR11" s="578">
        <f>IF(AR6="D",IF(AND(AQ3&gt;=YEAR(AL11)+Inter_tai,AQ3&gt;Amaj),DATE(AQ3,3,31),AL11),IF(YEAR(AR6)=AQ3,AR6,"err."))</f>
        <v>45747</v>
      </c>
      <c r="AS11" s="586">
        <f>IF(AS6="D",IF(AQ3=YEAR(AR11),D_i,AM11),AS6)</f>
        <v>0.5</v>
      </c>
      <c r="AT11" s="1282">
        <f>IF(AT6="D",IF(AQ3=YEAR(AR11),H_i,AN16+PousHi),AT6)</f>
        <v>-0.46522425418292995</v>
      </c>
      <c r="AU11" s="1282"/>
      <c r="AV11" s="187"/>
      <c r="AW11" s="448" t="s">
        <v>94</v>
      </c>
      <c r="AX11" s="578">
        <f>IF(AX6="D",IF(AND(AW3&gt;=YEAR(AR11)+Inter_tai,AW3&gt;Amaj),DATE(AW3,3,31),AR11),IF(YEAR(AX6)=AW3,AX6,"err."))</f>
        <v>45747</v>
      </c>
      <c r="AY11" s="586">
        <f>IF(AY6="D",IF(AW3=YEAR(AX11),D_i,AS11),AY6)</f>
        <v>0.5</v>
      </c>
      <c r="AZ11" s="1282">
        <f>IF(AZ6="D",IF(AW3=YEAR(AX11),H_i,AT16+PousHi),AZ6)</f>
        <v>0.11978283381056282</v>
      </c>
      <c r="BA11" s="1282"/>
      <c r="BB11" s="187"/>
      <c r="BC11" s="448" t="s">
        <v>94</v>
      </c>
      <c r="BD11" s="578">
        <f>IF(BD6="D",IF(AND(BC3&gt;=YEAR(AX11)+Inter_tai,BC3&gt;Amaj),DATE(BC3,3,31),AX11),IF(YEAR(BD6)=BC3,BD6,"err."))</f>
        <v>45747</v>
      </c>
      <c r="BE11" s="586">
        <f>IF(BE6="D",IF(BC3=YEAR(BD11),D_i,AY11),BE6)</f>
        <v>0.5</v>
      </c>
      <c r="BF11" s="1282">
        <f>IF(BF6="D",IF(BC3=YEAR(BD11),H_i,AZ16+PousHi),BF6)</f>
        <v>0.41978278728779778</v>
      </c>
      <c r="BG11" s="1282"/>
      <c r="BH11" s="187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82" t="e">
        <f>IF(BL6="D",IF(BI3=YEAR(BJ11),H_i,BF16+PousHi),BL6)</f>
        <v>#NAME?</v>
      </c>
      <c r="BM11" s="1282"/>
      <c r="BN11" s="187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82" t="e">
        <f>IF(BR6="D",IF(BO3=YEAR(BP11),H_i,BL16+PousHi),BR6)</f>
        <v>#NAME?</v>
      </c>
      <c r="BS11" s="1282"/>
      <c r="BT11" s="187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82" t="e">
        <f>IF(BX6="D",IF(BU3=YEAR(BV11),H_i,BR16+PousHi),BX6)</f>
        <v>#NAME?</v>
      </c>
      <c r="BY11" s="1282"/>
      <c r="BZ11" s="187"/>
    </row>
    <row r="12" spans="1:78" x14ac:dyDescent="0.25">
      <c r="A12" s="8" t="s">
        <v>159</v>
      </c>
      <c r="B12" s="444"/>
      <c r="C12" s="454"/>
      <c r="D12" s="402"/>
      <c r="E12" s="455"/>
      <c r="H12" s="444"/>
      <c r="L12" s="465"/>
      <c r="M12" s="455"/>
      <c r="AL12" s="455"/>
      <c r="AM12" s="454"/>
      <c r="AN12" s="402"/>
      <c r="AO12" s="455"/>
    </row>
    <row r="13" spans="1:78" s="408" customFormat="1" ht="15" customHeight="1" x14ac:dyDescent="0.25">
      <c r="A13" s="459" t="s">
        <v>16</v>
      </c>
      <c r="B13" s="587">
        <f>+'2018'!Tnet</f>
        <v>43250</v>
      </c>
      <c r="C13" s="588">
        <f>+'2018'!Resal</f>
        <v>0</v>
      </c>
      <c r="D13" s="589">
        <f>+'2018'!Salim</f>
        <v>7.0000000000000007E-2</v>
      </c>
      <c r="E13" s="590">
        <f>+'2018'!Tau_j/365</f>
        <v>2.6</v>
      </c>
      <c r="F13" s="464"/>
      <c r="G13" s="466" t="s">
        <v>93</v>
      </c>
      <c r="H13" s="587">
        <f>+'2019'!Tnet</f>
        <v>43250</v>
      </c>
      <c r="I13" s="588">
        <f>+'2019'!Resal</f>
        <v>0</v>
      </c>
      <c r="J13" s="589">
        <f>+'2019'!Salim</f>
        <v>7.0000000000000007E-2</v>
      </c>
      <c r="K13" s="590">
        <f>+'2019'!Tau_j/365</f>
        <v>2.6</v>
      </c>
      <c r="L13" s="467"/>
      <c r="M13" s="448" t="s">
        <v>93</v>
      </c>
      <c r="N13" s="587">
        <f>+'2020'!Tnet</f>
        <v>43250</v>
      </c>
      <c r="O13" s="588">
        <f>+'2020'!Resal</f>
        <v>0</v>
      </c>
      <c r="P13" s="589">
        <f>+'2020'!Salim</f>
        <v>7.0000000000000007E-2</v>
      </c>
      <c r="Q13" s="590">
        <f>+'2020'!Tau_j/365</f>
        <v>2.6</v>
      </c>
      <c r="R13" s="467"/>
      <c r="S13" s="448" t="s">
        <v>93</v>
      </c>
      <c r="T13" s="587">
        <f>+'2021'!Tnet</f>
        <v>44306</v>
      </c>
      <c r="U13" s="588">
        <f>+'2021'!Resal</f>
        <v>5.4999999999999997E-3</v>
      </c>
      <c r="V13" s="589">
        <f>+'2021'!Salim</f>
        <v>0.08</v>
      </c>
      <c r="W13" s="590">
        <f>+'2021'!Tau_j/365</f>
        <v>2.6</v>
      </c>
      <c r="X13" s="467"/>
      <c r="Y13" s="448" t="s">
        <v>93</v>
      </c>
      <c r="Z13" s="587">
        <f>+'2022'!Tnet</f>
        <v>44562</v>
      </c>
      <c r="AA13" s="588">
        <f>+'2022'!Resal</f>
        <v>2.3114442537171119E-2</v>
      </c>
      <c r="AB13" s="589">
        <f>+'2022'!Salim</f>
        <v>0.12</v>
      </c>
      <c r="AC13" s="590">
        <f>+'2022'!Tau_j/365</f>
        <v>2.6</v>
      </c>
      <c r="AD13" s="467"/>
      <c r="AE13" s="448" t="s">
        <v>93</v>
      </c>
      <c r="AF13" s="587">
        <f>+'2023'!Tnet</f>
        <v>44927</v>
      </c>
      <c r="AG13" s="588">
        <f>+'2023'!Resal</f>
        <v>5.4048799816579576E-2</v>
      </c>
      <c r="AH13" s="589">
        <f>+'2023'!Salim</f>
        <v>0.1</v>
      </c>
      <c r="AI13" s="590">
        <f>+'2023'!Tau_j/365</f>
        <v>2.6</v>
      </c>
      <c r="AJ13" s="467"/>
      <c r="AK13" s="448" t="s">
        <v>93</v>
      </c>
      <c r="AL13" s="587">
        <f>+'2024'!Tnet</f>
        <v>45412</v>
      </c>
      <c r="AM13" s="588">
        <f>+'2024'!Resal</f>
        <v>5.4999999999999997E-3</v>
      </c>
      <c r="AN13" s="589">
        <f>+'2024'!Salim</f>
        <v>0.1</v>
      </c>
      <c r="AO13" s="590">
        <f>+'2024'!Tau_j/365</f>
        <v>2.6</v>
      </c>
      <c r="AP13" s="464"/>
      <c r="AQ13" s="448" t="s">
        <v>93</v>
      </c>
      <c r="AR13" s="587">
        <f>+'2025'!Tnet</f>
        <v>45412</v>
      </c>
      <c r="AS13" s="588">
        <f>+'2025'!Resal</f>
        <v>5.4999999999999997E-3</v>
      </c>
      <c r="AT13" s="589">
        <f>+'2025'!Salim</f>
        <v>0.1</v>
      </c>
      <c r="AU13" s="590">
        <f>+'2025'!Tau_j/365</f>
        <v>2.6</v>
      </c>
      <c r="AV13" s="464"/>
      <c r="AW13" s="448" t="s">
        <v>93</v>
      </c>
      <c r="AX13" s="587">
        <f>+'2026'!Tnet</f>
        <v>46142</v>
      </c>
      <c r="AY13" s="588">
        <f>+'2026'!Resal</f>
        <v>5.4999999999999997E-3</v>
      </c>
      <c r="AZ13" s="589">
        <f>+'2026'!Salim</f>
        <v>0.1</v>
      </c>
      <c r="BA13" s="590">
        <f>+'2026'!Tau_j/365</f>
        <v>2.6</v>
      </c>
      <c r="BB13" s="464"/>
      <c r="BC13" s="448" t="s">
        <v>93</v>
      </c>
      <c r="BD13" s="587">
        <f>+'2027'!Tnet</f>
        <v>46142</v>
      </c>
      <c r="BE13" s="588">
        <f>+'2027'!Resal</f>
        <v>5.4999999999999997E-3</v>
      </c>
      <c r="BF13" s="589">
        <f>+'2027'!Salim</f>
        <v>0.1</v>
      </c>
      <c r="BG13" s="590">
        <f>+'2027'!Tau_j/365</f>
        <v>2.6</v>
      </c>
      <c r="BH13" s="464"/>
      <c r="BI13" s="448" t="s">
        <v>93</v>
      </c>
      <c r="BJ13" s="587">
        <f>+'2018'!Tnet</f>
        <v>43250</v>
      </c>
      <c r="BK13" s="588">
        <f>+'2018'!Resal</f>
        <v>0</v>
      </c>
      <c r="BL13" s="589">
        <f>+'2018'!Salim</f>
        <v>7.0000000000000007E-2</v>
      </c>
      <c r="BM13" s="590">
        <f>+'2018'!Tau_j/365</f>
        <v>2.6</v>
      </c>
      <c r="BN13" s="464"/>
      <c r="BO13" s="448" t="s">
        <v>93</v>
      </c>
      <c r="BP13" s="587">
        <f>+'2018'!Tnet</f>
        <v>43250</v>
      </c>
      <c r="BQ13" s="588">
        <f>+'2018'!Resal</f>
        <v>0</v>
      </c>
      <c r="BR13" s="589">
        <f>+'2018'!Salim</f>
        <v>7.0000000000000007E-2</v>
      </c>
      <c r="BS13" s="590">
        <f>+'2018'!Tau_j/365</f>
        <v>2.6</v>
      </c>
      <c r="BT13" s="464"/>
      <c r="BU13" s="448" t="s">
        <v>93</v>
      </c>
      <c r="BV13" s="587">
        <f>+'2018'!Tnet</f>
        <v>43250</v>
      </c>
      <c r="BW13" s="588">
        <f>+'2018'!Resal</f>
        <v>0</v>
      </c>
      <c r="BX13" s="589">
        <f>+'2018'!Salim</f>
        <v>7.0000000000000007E-2</v>
      </c>
      <c r="BY13" s="590">
        <f>+'2018'!Tau_j/365</f>
        <v>2.6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0.5</v>
      </c>
      <c r="D15" s="592">
        <f>'2018'!Df</f>
        <v>0.5</v>
      </c>
      <c r="E15" s="592">
        <f>'2018'!PousD</f>
        <v>0</v>
      </c>
      <c r="F15" s="468"/>
      <c r="G15" s="484" t="s">
        <v>128</v>
      </c>
      <c r="H15" s="591">
        <f>H11</f>
        <v>43101</v>
      </c>
      <c r="I15" s="592">
        <f>'2019'!Dd</f>
        <v>0.5</v>
      </c>
      <c r="J15" s="592">
        <f>'2019'!Df</f>
        <v>0.5</v>
      </c>
      <c r="K15" s="592">
        <f>'2019'!PousD</f>
        <v>0</v>
      </c>
      <c r="L15" s="468"/>
      <c r="M15" s="484" t="s">
        <v>128</v>
      </c>
      <c r="N15" s="591">
        <f>N11</f>
        <v>43101</v>
      </c>
      <c r="O15" s="592">
        <f>'2020'!Dd</f>
        <v>0.5</v>
      </c>
      <c r="P15" s="592">
        <f>'2020'!Df</f>
        <v>0.5</v>
      </c>
      <c r="Q15" s="592">
        <f>'2020'!PousD</f>
        <v>0</v>
      </c>
      <c r="R15" s="468"/>
      <c r="S15" s="485" t="s">
        <v>128</v>
      </c>
      <c r="T15" s="591">
        <f>T11</f>
        <v>43101</v>
      </c>
      <c r="U15" s="592">
        <f>'2021'!Dd</f>
        <v>0.5</v>
      </c>
      <c r="V15" s="592">
        <f>'2021'!Df</f>
        <v>0.5</v>
      </c>
      <c r="W15" s="592">
        <f>'2021'!PousD</f>
        <v>0</v>
      </c>
      <c r="X15" s="468"/>
      <c r="Y15" s="485" t="s">
        <v>128</v>
      </c>
      <c r="Z15" s="591">
        <f>Z11</f>
        <v>43101</v>
      </c>
      <c r="AA15" s="592">
        <f>'2022'!Dd</f>
        <v>0.5</v>
      </c>
      <c r="AB15" s="592">
        <f>'2022'!Df</f>
        <v>0.5</v>
      </c>
      <c r="AC15" s="592">
        <f>'2022'!PousD</f>
        <v>0</v>
      </c>
      <c r="AD15" s="468"/>
      <c r="AE15" s="485" t="s">
        <v>128</v>
      </c>
      <c r="AF15" s="591">
        <f>AF11</f>
        <v>43101</v>
      </c>
      <c r="AG15" s="592">
        <f>'2023'!Dd</f>
        <v>0.5</v>
      </c>
      <c r="AH15" s="592">
        <f>'2023'!Df</f>
        <v>0.5</v>
      </c>
      <c r="AI15" s="592">
        <f>'2023'!PousD</f>
        <v>0</v>
      </c>
      <c r="AJ15" s="468"/>
      <c r="AK15" s="485" t="s">
        <v>128</v>
      </c>
      <c r="AL15" s="591">
        <f>AL11</f>
        <v>43101</v>
      </c>
      <c r="AM15" s="592">
        <f>'2024'!Dd</f>
        <v>0.5</v>
      </c>
      <c r="AN15" s="592">
        <f>'2024'!Df</f>
        <v>0.5</v>
      </c>
      <c r="AO15" s="592">
        <f>'2024'!PousD</f>
        <v>0</v>
      </c>
      <c r="AP15" s="468"/>
      <c r="AQ15" s="485" t="s">
        <v>128</v>
      </c>
      <c r="AR15" s="591">
        <f>AR11</f>
        <v>45747</v>
      </c>
      <c r="AS15" s="592">
        <f>'2025'!Dd</f>
        <v>0.5</v>
      </c>
      <c r="AT15" s="592">
        <f>'2025'!Df</f>
        <v>0.5</v>
      </c>
      <c r="AU15" s="592">
        <f>'2025'!PousD</f>
        <v>0</v>
      </c>
      <c r="AV15" s="468"/>
      <c r="AW15" s="485" t="s">
        <v>128</v>
      </c>
      <c r="AX15" s="591">
        <f>AX11</f>
        <v>45747</v>
      </c>
      <c r="AY15" s="592">
        <f>'2026'!Dd</f>
        <v>0.5</v>
      </c>
      <c r="AZ15" s="592">
        <f>'2026'!Df</f>
        <v>0.5</v>
      </c>
      <c r="BA15" s="592">
        <f>'2026'!PousD</f>
        <v>0</v>
      </c>
      <c r="BB15" s="468"/>
      <c r="BC15" s="485" t="s">
        <v>128</v>
      </c>
      <c r="BD15" s="591">
        <f>BD11</f>
        <v>45747</v>
      </c>
      <c r="BE15" s="592">
        <f>'2027'!Dd</f>
        <v>0.5</v>
      </c>
      <c r="BF15" s="592">
        <f>'2027'!Df</f>
        <v>0.5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0.5</v>
      </c>
      <c r="BL15" s="592">
        <f>'2018'!Df</f>
        <v>0.5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0.5</v>
      </c>
      <c r="BR15" s="592">
        <f>'2018'!Df</f>
        <v>0.5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0.5</v>
      </c>
      <c r="BX15" s="592">
        <f>'2018'!Df</f>
        <v>0.5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-0.46522425418292995</v>
      </c>
      <c r="D16" s="594">
        <f>'2018'!Hdf</f>
        <v>-0.16522430070569499</v>
      </c>
      <c r="E16" s="594">
        <f>'2018'!PousH</f>
        <v>0.3</v>
      </c>
      <c r="F16" s="460"/>
      <c r="G16" s="474" t="s">
        <v>127</v>
      </c>
      <c r="H16" s="593"/>
      <c r="I16" s="594">
        <f>'2019'!Hdd</f>
        <v>-0.16522430070569499</v>
      </c>
      <c r="J16" s="594">
        <f>'2019'!Hdf</f>
        <v>0.13477565277153997</v>
      </c>
      <c r="K16" s="594">
        <f>'2019'!PousH</f>
        <v>0.3</v>
      </c>
      <c r="L16" s="460"/>
      <c r="M16" s="474" t="s">
        <v>127</v>
      </c>
      <c r="N16" s="593"/>
      <c r="O16" s="594">
        <f>'2020'!Hdd</f>
        <v>0.13477565277153997</v>
      </c>
      <c r="P16" s="594">
        <f>'2020'!Hdf</f>
        <v>0.43477560624877493</v>
      </c>
      <c r="Q16" s="594">
        <f>'2020'!PousH</f>
        <v>0.3</v>
      </c>
      <c r="R16" s="460"/>
      <c r="S16" s="475" t="s">
        <v>127</v>
      </c>
      <c r="T16" s="593"/>
      <c r="U16" s="594">
        <f>'2021'!Hdd</f>
        <v>0.43477560624877493</v>
      </c>
      <c r="V16" s="594">
        <f>'2021'!Hdf</f>
        <v>0.73477555972600994</v>
      </c>
      <c r="W16" s="594">
        <f>'2021'!PousH</f>
        <v>0.3</v>
      </c>
      <c r="X16" s="460"/>
      <c r="Y16" s="475" t="s">
        <v>127</v>
      </c>
      <c r="Z16" s="593"/>
      <c r="AA16" s="594">
        <f>'2022'!Hdd</f>
        <v>0.73477555972600994</v>
      </c>
      <c r="AB16" s="594">
        <f>'2022'!Hdf</f>
        <v>1.034775513203245</v>
      </c>
      <c r="AC16" s="594">
        <f>'2022'!PousH</f>
        <v>0.30000000000000004</v>
      </c>
      <c r="AD16" s="460"/>
      <c r="AE16" s="475" t="s">
        <v>127</v>
      </c>
      <c r="AF16" s="593"/>
      <c r="AG16" s="594">
        <f>'2023'!Hdd</f>
        <v>1.034775513203245</v>
      </c>
      <c r="AH16" s="594">
        <f>'2023'!Hdf</f>
        <v>1.3347754666804801</v>
      </c>
      <c r="AI16" s="594">
        <f>'2023'!PousH</f>
        <v>0.30000000000000004</v>
      </c>
      <c r="AJ16" s="460"/>
      <c r="AK16" s="475" t="s">
        <v>127</v>
      </c>
      <c r="AL16" s="593"/>
      <c r="AM16" s="594">
        <f>'2024'!Hdd</f>
        <v>1.3347754666804801</v>
      </c>
      <c r="AN16" s="594">
        <f>'2024'!Hdf</f>
        <v>1.6347754201577152</v>
      </c>
      <c r="AO16" s="594">
        <f>'2024'!PousH</f>
        <v>0.30000000000000004</v>
      </c>
      <c r="AP16" s="460"/>
      <c r="AQ16" s="475" t="s">
        <v>127</v>
      </c>
      <c r="AR16" s="593"/>
      <c r="AS16" s="594">
        <f>'2025'!Hdd</f>
        <v>1.6347754201577152</v>
      </c>
      <c r="AT16" s="594">
        <f>'2025'!Hdf</f>
        <v>-0.18021716618943717</v>
      </c>
      <c r="AU16" s="594">
        <f>'2025'!PousH</f>
        <v>0.30000000000000004</v>
      </c>
      <c r="AV16" s="460"/>
      <c r="AW16" s="475" t="s">
        <v>127</v>
      </c>
      <c r="AX16" s="593"/>
      <c r="AY16" s="594">
        <f>'2026'!Hdd</f>
        <v>-0.18021716618943717</v>
      </c>
      <c r="AZ16" s="594">
        <f>'2026'!Hdf</f>
        <v>0.11978278728779779</v>
      </c>
      <c r="BA16" s="594">
        <f>'2026'!PousH</f>
        <v>0.3</v>
      </c>
      <c r="BB16" s="460"/>
      <c r="BC16" s="475" t="s">
        <v>127</v>
      </c>
      <c r="BD16" s="593"/>
      <c r="BE16" s="594">
        <f>'2027'!Hdd</f>
        <v>0.11978278728779779</v>
      </c>
      <c r="BF16" s="594">
        <f>'2027'!Hdf</f>
        <v>0.41978274076503275</v>
      </c>
      <c r="BG16" s="594">
        <f>'2027'!PousH</f>
        <v>0.3</v>
      </c>
      <c r="BH16" s="460"/>
      <c r="BI16" s="475" t="s">
        <v>127</v>
      </c>
      <c r="BJ16" s="593"/>
      <c r="BK16" s="594">
        <f>'2018'!Hdd</f>
        <v>-0.46522425418292995</v>
      </c>
      <c r="BL16" s="594">
        <f>'2018'!Hdf</f>
        <v>-0.16522430070569499</v>
      </c>
      <c r="BM16" s="594">
        <f>'2018'!PousH</f>
        <v>0.3</v>
      </c>
      <c r="BN16" s="460"/>
      <c r="BO16" s="475" t="s">
        <v>127</v>
      </c>
      <c r="BP16" s="593"/>
      <c r="BQ16" s="594">
        <f>'2018'!Hdd</f>
        <v>-0.46522425418292995</v>
      </c>
      <c r="BR16" s="594">
        <f>'2018'!Hdf</f>
        <v>-0.16522430070569499</v>
      </c>
      <c r="BS16" s="594">
        <f>'2018'!PousH</f>
        <v>0.3</v>
      </c>
      <c r="BT16" s="460"/>
      <c r="BU16" s="475" t="s">
        <v>127</v>
      </c>
      <c r="BV16" s="593"/>
      <c r="BW16" s="594">
        <f>'2018'!Hdd</f>
        <v>-0.46522425418292995</v>
      </c>
      <c r="BX16" s="594">
        <f>'2018'!Hdf</f>
        <v>-0.16522430070569499</v>
      </c>
      <c r="BY16" s="594">
        <f>'2018'!PousH</f>
        <v>0.3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1.0952536303201412E-7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'2023'!A29</f>
        <v>44941</v>
      </c>
      <c r="AF20" s="91">
        <f>'2023'!L29</f>
        <v>3.5160141988257433E-2</v>
      </c>
      <c r="AG20" s="48">
        <f>'2023'!O29</f>
        <v>5.4730442030563778E-2</v>
      </c>
      <c r="AH20" s="66">
        <f>'2023'!P29</f>
        <v>6.3363950671093934E-4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4.1501499952006763E-7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'2023'!A60</f>
        <v>44972</v>
      </c>
      <c r="AF21" s="91">
        <f>'2023'!L60</f>
        <v>3.5814218839945379E-2</v>
      </c>
      <c r="AG21" s="48">
        <f>'2023'!O60</f>
        <v>5.6186122396455318E-2</v>
      </c>
      <c r="AH21" s="66">
        <f>'2023'!P60</f>
        <v>3.1296312822405424E-4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1.3000048192398459E-6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'2023'!A88</f>
        <v>45000</v>
      </c>
      <c r="AF22" s="91">
        <f>'2023'!L88</f>
        <v>3.6404616331258334E-2</v>
      </c>
      <c r="AG22" s="48">
        <f>'2023'!O88</f>
        <v>5.7486637756741392E-2</v>
      </c>
      <c r="AH22" s="66">
        <f>'2023'!P88</f>
        <v>2.833876236630978E-4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2.7435424340511193E-6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'2023'!A119</f>
        <v>45031</v>
      </c>
      <c r="AF23" s="91">
        <f>'2023'!L119</f>
        <v>3.7057848487852409E-2</v>
      </c>
      <c r="AG23" s="48">
        <f>'2023'!O119</f>
        <v>5.9109749789824577E-2</v>
      </c>
      <c r="AH23" s="66">
        <f>'2023'!P119</f>
        <v>2.2296188600795733E-4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1.3696452199134055E-5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'2023'!A149</f>
        <v>45061</v>
      </c>
      <c r="AF24" s="91">
        <f>'2023'!L149</f>
        <v>3.7689586474169957E-2</v>
      </c>
      <c r="AG24" s="48">
        <f>'2023'!O149</f>
        <v>6.1309610311627141E-2</v>
      </c>
      <c r="AH24" s="66">
        <f>'2023'!P149</f>
        <v>3.2205723522763045E-4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3.5038350211114011E-4</v>
      </c>
      <c r="C25" s="48">
        <f>'2018'!O180</f>
        <v>1.218174743324718E-3</v>
      </c>
      <c r="D25" s="66">
        <f>'2018'!P180</f>
        <v>6.710155057241621E-5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'2023'!A180</f>
        <v>45092</v>
      </c>
      <c r="AF25" s="91">
        <f>'2023'!L180</f>
        <v>3.8341946448881427E-2</v>
      </c>
      <c r="AG25" s="48">
        <f>'2023'!O180</f>
        <v>6.3893446223477604E-2</v>
      </c>
      <c r="AH25" s="66">
        <f>'2023'!P180</f>
        <v>7.4583414138634828E-4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1.0070217026481032E-3</v>
      </c>
      <c r="C26" s="48">
        <f>'2018'!O210</f>
        <v>3.4761788195418974E-3</v>
      </c>
      <c r="D26" s="66">
        <f>'2018'!P210</f>
        <v>8.787701218205262E-5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'2023'!A210</f>
        <v>45122</v>
      </c>
      <c r="AF26" s="91">
        <f>'2023'!L210</f>
        <v>3.8972840951881783E-2</v>
      </c>
      <c r="AG26" s="48">
        <f>'2023'!O210</f>
        <v>6.5683802260677604E-2</v>
      </c>
      <c r="AH26" s="66">
        <f>'2023'!P210</f>
        <v>7.1124947235995742E-4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1.6850947157873719E-3</v>
      </c>
      <c r="C27" s="48">
        <f>'2018'!O241</f>
        <v>5.7254983312409009E-3</v>
      </c>
      <c r="D27" s="66">
        <f>'2018'!P241</f>
        <v>3.6258918325373811E-5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'2023'!A241</f>
        <v>45153</v>
      </c>
      <c r="AF27" s="91">
        <f>'2023'!L241</f>
        <v>3.9624329909229573E-2</v>
      </c>
      <c r="AG27" s="48">
        <f>'2023'!O241</f>
        <v>6.6945078573521569E-2</v>
      </c>
      <c r="AH27" s="66">
        <f>'2023'!P241</f>
        <v>3.0475424657698091E-4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2.3627074824372762E-3</v>
      </c>
      <c r="C28" s="48">
        <f>'2018'!O272</f>
        <v>7.8764239561840248E-3</v>
      </c>
      <c r="D28" s="66">
        <f>'2018'!P272</f>
        <v>7.6071760573930046E-5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'2023'!A272</f>
        <v>45184</v>
      </c>
      <c r="AF28" s="91">
        <f>'2023'!L272</f>
        <v>4.0275376664189545E-2</v>
      </c>
      <c r="AG28" s="48">
        <f>'2023'!O272</f>
        <v>6.7941040189340982E-2</v>
      </c>
      <c r="AH28" s="66">
        <f>'2023'!P272</f>
        <v>5.7017126436372705E-4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3.0180238510286728E-3</v>
      </c>
      <c r="C29" s="48">
        <f>'2018'!O302</f>
        <v>9.8010917956628911E-3</v>
      </c>
      <c r="D29" s="66">
        <f>'2018'!P302</f>
        <v>8.3877925552331225E-5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'2023'!A302</f>
        <v>45214</v>
      </c>
      <c r="AF29" s="91">
        <f>'2023'!L302</f>
        <v>4.0905001158062261E-2</v>
      </c>
      <c r="AG29" s="48">
        <f>'2023'!O302</f>
        <v>6.8323607499834071E-2</v>
      </c>
      <c r="AH29" s="66">
        <f>'2023'!P302</f>
        <v>5.7252789720660152E-4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3.6947318833164822E-3</v>
      </c>
      <c r="C30" s="48">
        <f>'2018'!O333</f>
        <v>1.1571842932511053E-2</v>
      </c>
      <c r="D30" s="66">
        <f>'2018'!P333</f>
        <v>1.0092688526507399E-4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'2023'!A333</f>
        <v>45245</v>
      </c>
      <c r="AF30" s="91">
        <f>'2023'!L333</f>
        <v>4.1555178649042103E-2</v>
      </c>
      <c r="AG30" s="48">
        <f>'2023'!O333</f>
        <v>6.8031784827218222E-2</v>
      </c>
      <c r="AH30" s="66">
        <f>'2023'!P333</f>
        <v>9.197904276127889E-4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4.3491732872290578E-3</v>
      </c>
      <c r="C31" s="49">
        <f>'2018'!O363</f>
        <v>1.3267850326868551E-2</v>
      </c>
      <c r="D31" s="67">
        <f>'2018'!P363</f>
        <v>9.3836361471388941E-5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'2023'!A363</f>
        <v>45275</v>
      </c>
      <c r="AF31" s="92">
        <f>'2023'!L363</f>
        <v>4.2183962481488459E-2</v>
      </c>
      <c r="AG31" s="49">
        <f>'2023'!O363</f>
        <v>6.8289351647876653E-2</v>
      </c>
      <c r="AH31" s="67">
        <f>'2023'!P363</f>
        <v>6.9378836571088842E-4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5.0249777931370421E-3</v>
      </c>
      <c r="C32" s="48">
        <f>'2019'!O29</f>
        <v>1.5068271461392111E-2</v>
      </c>
      <c r="D32" s="66">
        <f>'2019'!P29</f>
        <v>1.0110209356053965E-4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'2024'!A29</f>
        <v>45306</v>
      </c>
      <c r="AF32" s="91">
        <f>'2024'!L29</f>
        <v>4.2833271869111102E-2</v>
      </c>
      <c r="AG32" s="48">
        <f>'2024'!O29</f>
        <v>6.9189543663199585E-2</v>
      </c>
      <c r="AH32" s="66">
        <f>'2024'!P29</f>
        <v>7.9894334626581733E-4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5.7003235923197559E-3</v>
      </c>
      <c r="C33" s="48">
        <f>'2019'!O60</f>
        <v>1.6834122511342253E-2</v>
      </c>
      <c r="D33" s="66">
        <f>'2019'!P60</f>
        <v>5.6448816181937003E-5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'2024'!A60</f>
        <v>45337</v>
      </c>
      <c r="AF33" s="91">
        <f>'2024'!L60</f>
        <v>4.3482140533743198E-2</v>
      </c>
      <c r="AG33" s="48">
        <f>'2024'!O60</f>
        <v>7.0180605825164055E-2</v>
      </c>
      <c r="AH33" s="66">
        <f>'2024'!P60</f>
        <v>3.9533466059675618E-4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6.3099193371884965E-3</v>
      </c>
      <c r="C34" s="48">
        <f>'2019'!O88</f>
        <v>1.8388569730501327E-2</v>
      </c>
      <c r="D34" s="66">
        <f>'2019'!P88</f>
        <v>5.149820712388836E-5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'2024'!A88</f>
        <v>45365</v>
      </c>
      <c r="AF34" s="91">
        <f>'2024'!L88</f>
        <v>4.4067836894654967E-2</v>
      </c>
      <c r="AG34" s="48">
        <f>'2024'!O88</f>
        <v>7.1080445864866448E-2</v>
      </c>
      <c r="AH34" s="66">
        <f>'2024'!P88</f>
        <v>3.4922852330491284E-4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6.9843929739001887E-3</v>
      </c>
      <c r="C35" s="48">
        <f>'2019'!O119</f>
        <v>2.0135465677545056E-2</v>
      </c>
      <c r="D35" s="66">
        <f>'2019'!P119</f>
        <v>3.3304069358455921E-5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'2024'!A119</f>
        <v>45396</v>
      </c>
      <c r="AF35" s="91">
        <f>'2024'!L119</f>
        <v>4.4715867590207271E-2</v>
      </c>
      <c r="AG35" s="48">
        <f>'2024'!O119</f>
        <v>7.2323640833670502E-2</v>
      </c>
      <c r="AH35" s="66">
        <f>'2024'!P119</f>
        <v>2.8476224897773576E-4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7.6366735035391375E-3</v>
      </c>
      <c r="C36" s="48">
        <f>'2019'!O149</f>
        <v>2.2025577830258363E-2</v>
      </c>
      <c r="D36" s="66">
        <f>'2019'!P149</f>
        <v>6.7463250819753125E-5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'2024'!A149</f>
        <v>45426</v>
      </c>
      <c r="AF36" s="91">
        <f>'2024'!L149</f>
        <v>4.5342575266103836E-2</v>
      </c>
      <c r="AG36" s="48">
        <f>'2024'!O149</f>
        <v>7.0224264052039676E-3</v>
      </c>
      <c r="AH36" s="66">
        <f>'2024'!P149</f>
        <v>3.9346389524435584E-4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8.3102465971891526E-3</v>
      </c>
      <c r="C37" s="48">
        <f>'2019'!O180</f>
        <v>2.4093730881663968E-2</v>
      </c>
      <c r="D37" s="66">
        <f>'2019'!P180</f>
        <v>1.889387599429462E-4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'2024'!A180</f>
        <v>45457</v>
      </c>
      <c r="AF37" s="91">
        <f>'2024'!L180</f>
        <v>4.5989740724655205E-2</v>
      </c>
      <c r="AG37" s="48">
        <f>'2024'!O180</f>
        <v>1.0280508719457E-2</v>
      </c>
      <c r="AH37" s="66">
        <f>'2024'!P180</f>
        <v>8.9624238028805777E-4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8.9616562155379054E-3</v>
      </c>
      <c r="C38" s="48">
        <f>'2019'!O210</f>
        <v>2.5823447545453678E-2</v>
      </c>
      <c r="D38" s="66">
        <f>'2019'!P210</f>
        <v>2.0068047781357509E-4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'2024'!A210</f>
        <v>45487</v>
      </c>
      <c r="AF38" s="91">
        <f>'2024'!L210</f>
        <v>4.6615611633599709E-2</v>
      </c>
      <c r="AG38" s="48">
        <f>'2024'!O210</f>
        <v>1.3309000339256701E-2</v>
      </c>
      <c r="AH38" s="66">
        <f>'2024'!P210</f>
        <v>8.4919289216655442E-4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9.634329968512434E-3</v>
      </c>
      <c r="C39" s="48">
        <f>'2019'!O241</f>
        <v>2.735431747249736E-2</v>
      </c>
      <c r="D39" s="66">
        <f>'2019'!P241</f>
        <v>8.0515062386833869E-5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'2024'!A241</f>
        <v>45518</v>
      </c>
      <c r="AF39" s="91">
        <f>'2024'!L241</f>
        <v>4.7261913010396485E-2</v>
      </c>
      <c r="AG39" s="48">
        <f>'2024'!O241</f>
        <v>1.6254091132893046E-2</v>
      </c>
      <c r="AH39" s="66">
        <f>'2024'!P241</f>
        <v>3.6903991684370945E-4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1.0306547139780742E-2</v>
      </c>
      <c r="C40" s="48">
        <f>'2019'!O272</f>
        <v>2.8740878393790754E-2</v>
      </c>
      <c r="D40" s="66">
        <f>'2019'!P272</f>
        <v>1.6205114308900752E-4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'2024'!A272</f>
        <v>45549</v>
      </c>
      <c r="AF40" s="91">
        <f>'2024'!L272</f>
        <v>4.7907775705909629E-2</v>
      </c>
      <c r="AG40" s="48">
        <f>'2024'!O272</f>
        <v>1.9041477483448015E-2</v>
      </c>
      <c r="AH40" s="66">
        <f>'2024'!P272</f>
        <v>6.8493821776458908E-4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1.0956645451473124E-2</v>
      </c>
      <c r="C41" s="48">
        <f>'2019'!O302</f>
        <v>2.9794384530125322E-2</v>
      </c>
      <c r="D41" s="66">
        <f>'2019'!P302</f>
        <v>1.7337945507877028E-4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'2024'!A302</f>
        <v>45579</v>
      </c>
      <c r="AF41" s="91">
        <f>'2024'!L302</f>
        <v>4.8532386718368549E-2</v>
      </c>
      <c r="AG41" s="48">
        <f>'2024'!O302</f>
        <v>2.1465767306133633E-2</v>
      </c>
      <c r="AH41" s="66">
        <f>'2024'!P302</f>
        <v>6.8215315328252622E-4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1.1627965092465109E-2</v>
      </c>
      <c r="C42" s="48">
        <f>'2019'!O333</f>
        <v>3.0526691406488202E-2</v>
      </c>
      <c r="D42" s="66">
        <f>'2019'!P333</f>
        <v>2.2598386367792586E-4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'2024'!A333</f>
        <v>45610</v>
      </c>
      <c r="AF42" s="91">
        <f>'2024'!L333</f>
        <v>4.917738707154904E-2</v>
      </c>
      <c r="AG42" s="48">
        <f>'2024'!O333</f>
        <v>2.3607723593999416E-2</v>
      </c>
      <c r="AH42" s="66">
        <f>'2024'!P333</f>
        <v>1.1419499163771915E-3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1.2277195406518948E-2</v>
      </c>
      <c r="C43" s="49">
        <f>'2019'!O363</f>
        <v>3.1425757296922818E-2</v>
      </c>
      <c r="D43" s="67">
        <f>'2019'!P363</f>
        <v>1.9775215394683763E-4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'2024'!A363</f>
        <v>45640</v>
      </c>
      <c r="AF43" s="92">
        <f>'2024'!L363</f>
        <v>4.9801164116477038E-2</v>
      </c>
      <c r="AG43" s="49">
        <f>'2024'!O363</f>
        <v>2.5733064679282974E-2</v>
      </c>
      <c r="AH43" s="67">
        <f>'2024'!P363</f>
        <v>8.3781412269247119E-4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1.2947618715598241E-2</v>
      </c>
      <c r="C44" s="48">
        <f>'2020'!O29</f>
        <v>3.2610856450164899E-2</v>
      </c>
      <c r="D44" s="66">
        <f>'2020'!P29</f>
        <v>2.1844762936917963E-4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'2025'!A29</f>
        <v>45672</v>
      </c>
      <c r="AF44" s="91">
        <f>'2025'!L29</f>
        <v>5.0466074680452479E-2</v>
      </c>
      <c r="AG44" s="48">
        <f>'2025'!O29</f>
        <v>2.8151140075323482E-2</v>
      </c>
      <c r="AH44" s="66">
        <f>'2025'!P29</f>
        <v>9.6424718582069509E-4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1.3617586970474771E-2</v>
      </c>
      <c r="C45" s="48">
        <f>'2020'!O60</f>
        <v>3.3813006895692652E-2</v>
      </c>
      <c r="D45" s="66">
        <f>'2020'!P60</f>
        <v>1.1647349586399969E-4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'2025'!A60</f>
        <v>45703</v>
      </c>
      <c r="AF45" s="91">
        <f>'2025'!L60</f>
        <v>5.1109762530290627E-2</v>
      </c>
      <c r="AG45" s="48">
        <f>'2025'!O60</f>
        <v>3.0460900303839761E-2</v>
      </c>
      <c r="AH45" s="66">
        <f>'2025'!P60</f>
        <v>4.7770619296945844E-4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1.4222328715909782E-2</v>
      </c>
      <c r="C46" s="48">
        <f>'2020'!O88</f>
        <v>3.4881332567135506E-2</v>
      </c>
      <c r="D46" s="66">
        <f>'2020'!P88</f>
        <v>1.0581285265297113E-4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'2025'!A88</f>
        <v>45731</v>
      </c>
      <c r="AF46" s="91">
        <f>'2025'!L88</f>
        <v>5.1690782468165365E-2</v>
      </c>
      <c r="AG46" s="48">
        <f>'2025'!O88</f>
        <v>3.2497953147738866E-2</v>
      </c>
      <c r="AH46" s="66">
        <f>'2025'!P88</f>
        <v>4.1506942294672761E-4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1.4891431753042528E-2</v>
      </c>
      <c r="C47" s="48">
        <f>'2020'!O119</f>
        <v>3.6167292035680559E-2</v>
      </c>
      <c r="D47" s="66">
        <f>'2020'!P119</f>
        <v>7.3727144510644425E-5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'2025'!A119</f>
        <v>45762</v>
      </c>
      <c r="AF47" s="91">
        <f>'2025'!L119</f>
        <v>5.2333639039588299E-2</v>
      </c>
      <c r="AG47" s="48">
        <f>'2025'!O119</f>
        <v>3.4819444003101774E-2</v>
      </c>
      <c r="AH47" s="66">
        <f>'2025'!P119</f>
        <v>1.2162426329041439E-6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1.5538518399114909E-2</v>
      </c>
      <c r="C48" s="48">
        <f>'2020'!O149</f>
        <v>3.7793084826577221E-2</v>
      </c>
      <c r="D48" s="66">
        <f>'2020'!P149</f>
        <v>1.2819711572777104E-4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'2025'!A149</f>
        <v>45792</v>
      </c>
      <c r="AF48" s="91">
        <f>'2025'!L149</f>
        <v>5.2955342842473697E-2</v>
      </c>
      <c r="AG48" s="48">
        <f>'2025'!O149</f>
        <v>3.7419782797338978E-2</v>
      </c>
      <c r="AH48" s="66">
        <f>'2025'!P149</f>
        <v>1.1009390518400914E-5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1.6206728063897891E-2</v>
      </c>
      <c r="C49" s="48">
        <f>'2020'!O180</f>
        <v>3.9665405563574119E-2</v>
      </c>
      <c r="D49" s="66">
        <f>'2020'!P180</f>
        <v>3.2592572765678066E-4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'2025'!A180</f>
        <v>45823</v>
      </c>
      <c r="AF49" s="91">
        <f>'2025'!L180</f>
        <v>5.3597341085277785E-2</v>
      </c>
      <c r="AG49" s="48">
        <f>'2025'!O180</f>
        <v>4.0300330181335282E-2</v>
      </c>
      <c r="AH49" s="66">
        <f>'2025'!P180</f>
        <v>6.1012586658142094E-5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1.6852950733444394E-2</v>
      </c>
      <c r="C50" s="48">
        <f>'2020'!O210</f>
        <v>4.1035510435846266E-2</v>
      </c>
      <c r="D50" s="66">
        <f>'2020'!P210</f>
        <v>3.2522783773882984E-4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'2025'!A210</f>
        <v>45853</v>
      </c>
      <c r="AF50" s="91">
        <f>'2025'!L210</f>
        <v>5.4218214802277599E-2</v>
      </c>
      <c r="AG50" s="48">
        <f>'2025'!O210</f>
        <v>4.2635544938018591E-2</v>
      </c>
      <c r="AH50" s="66">
        <f>'2025'!P210</f>
        <v>8.244301369603573E-5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1.7520268218689794E-2</v>
      </c>
      <c r="C51" s="48">
        <f>'2020'!O241</f>
        <v>4.2077322823044792E-2</v>
      </c>
      <c r="D51" s="66">
        <f>'2020'!P241</f>
        <v>1.3363226752323838E-4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'2025'!A241</f>
        <v>45884</v>
      </c>
      <c r="AF51" s="91">
        <f>'2025'!L241</f>
        <v>5.4859355862485117E-2</v>
      </c>
      <c r="AG51" s="48">
        <f>'2025'!O241</f>
        <v>4.4637807145093689E-2</v>
      </c>
      <c r="AH51" s="66">
        <f>'2025'!P241</f>
        <v>3.4327006195214025E-5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1.8187132757830682E-2</v>
      </c>
      <c r="C52" s="48">
        <f>'2020'!O272</f>
        <v>4.2943571213723032E-2</v>
      </c>
      <c r="D52" s="66">
        <f>'2020'!P272</f>
        <v>2.5926210354748993E-4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'2025'!A272</f>
        <v>45915</v>
      </c>
      <c r="AF52" s="91">
        <f>'2025'!L272</f>
        <v>5.5500061744007768E-2</v>
      </c>
      <c r="AG52" s="48">
        <f>'2025'!O272</f>
        <v>4.6422110038505104E-2</v>
      </c>
      <c r="AH52" s="66">
        <f>'2025'!P272</f>
        <v>7.2200571293503694E-5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1.8832054562200939E-2</v>
      </c>
      <c r="C53" s="48">
        <f>'2020'!O302</f>
        <v>4.3404066777782767E-2</v>
      </c>
      <c r="D53" s="66">
        <f>'2020'!P302</f>
        <v>2.6938385767338532E-4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'2025'!A302</f>
        <v>45945</v>
      </c>
      <c r="AF53" s="91">
        <f>'2025'!L302</f>
        <v>5.6119685624015904E-2</v>
      </c>
      <c r="AG53" s="48">
        <f>'2025'!O302</f>
        <v>4.7703165631838518E-2</v>
      </c>
      <c r="AH53" s="66">
        <f>'2025'!P302</f>
        <v>7.9664702096145018E-5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1.9498028717787719E-2</v>
      </c>
      <c r="C54" s="48">
        <f>'2020'!O333</f>
        <v>4.3429491771065538E-2</v>
      </c>
      <c r="D54" s="66">
        <f>'2020'!P333</f>
        <v>3.8061699488398966E-4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'2025'!A333</f>
        <v>45976</v>
      </c>
      <c r="AF54" s="91">
        <f>'2025'!L333</f>
        <v>5.6759536048475702E-2</v>
      </c>
      <c r="AG54" s="48">
        <f>'2025'!O333</f>
        <v>4.8482361114705393E-2</v>
      </c>
      <c r="AH54" s="66">
        <f>'2025'!P333</f>
        <v>9.5876967745029174E-5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2.014208943608331E-2</v>
      </c>
      <c r="C55" s="49">
        <f>'2020'!O363</f>
        <v>4.3786069699041384E-2</v>
      </c>
      <c r="D55" s="67">
        <f>'2020'!P363</f>
        <v>3.1401734018862075E-4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'2025'!A363</f>
        <v>46006</v>
      </c>
      <c r="AF55" s="92">
        <f>'2025'!L363</f>
        <v>5.7378332619667495E-2</v>
      </c>
      <c r="AG55" s="49">
        <f>'2025'!O363</f>
        <v>4.9561867881529317E-2</v>
      </c>
      <c r="AH55" s="67">
        <f>'2025'!P363</f>
        <v>8.9146256474964913E-5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2.0828621232850342E-2</v>
      </c>
      <c r="C56" s="48">
        <f>'2021'!O29</f>
        <v>4.4579124454273499E-2</v>
      </c>
      <c r="D56" s="66">
        <f>'2021'!P29</f>
        <v>3.557529527641835E-4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'2026'!A29</f>
        <v>46037</v>
      </c>
      <c r="AF56" s="91">
        <f>'2026'!L29</f>
        <v>5.8017328729253005E-2</v>
      </c>
      <c r="AG56" s="48">
        <f>'2026'!O29</f>
        <v>5.1096683283486502E-2</v>
      </c>
      <c r="AH56" s="66">
        <f>'2026'!P29</f>
        <v>9.6054866145026929E-5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2.1493240205760378E-2</v>
      </c>
      <c r="C57" s="48">
        <f>'2021'!O60</f>
        <v>4.5396695323181108E-2</v>
      </c>
      <c r="D57" s="66">
        <f>'2021'!P60</f>
        <v>1.8124659841048523E-4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'2026'!A60</f>
        <v>46068</v>
      </c>
      <c r="AF57" s="91">
        <f>'2026'!L60</f>
        <v>5.8655891116052718E-2</v>
      </c>
      <c r="AG57" s="48">
        <f>'2026'!O60</f>
        <v>5.2669128197097972E-2</v>
      </c>
      <c r="AH57" s="66">
        <f>'2026'!P60</f>
        <v>5.3648458268766581E-5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2.2093153462547366E-2</v>
      </c>
      <c r="C58" s="48">
        <f>'2021'!O88</f>
        <v>4.6133369019195965E-2</v>
      </c>
      <c r="D58" s="66">
        <f>'2021'!P88</f>
        <v>1.6467452116401815E-4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'2026'!A88</f>
        <v>46096</v>
      </c>
      <c r="AF58" s="91">
        <f>'2026'!L88</f>
        <v>5.9232284593731178E-2</v>
      </c>
      <c r="AG58" s="48">
        <f>'2026'!O88</f>
        <v>5.4070338433725669E-2</v>
      </c>
      <c r="AH58" s="66">
        <f>'2026'!P88</f>
        <v>4.8989490419249218E-5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2.2756914125941941E-2</v>
      </c>
      <c r="C59" s="48">
        <f>'2021'!O119</f>
        <v>4.7104858795214373E-2</v>
      </c>
      <c r="D59" s="66">
        <f>'2021'!P119</f>
        <v>1.2258464175326749E-4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'2026'!A119</f>
        <v>46127</v>
      </c>
      <c r="AF59" s="91">
        <f>'2026'!L119</f>
        <v>5.9870022321297324E-2</v>
      </c>
      <c r="AG59" s="48">
        <f>'2026'!O119</f>
        <v>5.5788928525582024E-2</v>
      </c>
      <c r="AH59" s="66">
        <f>'2026'!P119</f>
        <v>3.1776769557308945E-5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2.3398834185535899E-2</v>
      </c>
      <c r="C60" s="48">
        <f>'2021'!O149</f>
        <v>7.5866599697945632E-3</v>
      </c>
      <c r="D60" s="66">
        <f>'2021'!P149</f>
        <v>1.9186045102296642E-4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'2026'!A149</f>
        <v>46157</v>
      </c>
      <c r="AF60" s="91">
        <f>'2026'!L149</f>
        <v>6.0486775712483488E-2</v>
      </c>
      <c r="AG60" s="48">
        <f>'2026'!O149</f>
        <v>7.1224689420184284E-3</v>
      </c>
      <c r="AH60" s="66">
        <f>'2026'!P149</f>
        <v>6.4776189139020084E-5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2.4061708609606214E-2</v>
      </c>
      <c r="C61" s="48">
        <f>'2021'!O180</f>
        <v>1.0168674348427697E-2</v>
      </c>
      <c r="D61" s="66">
        <f>'2021'!P180</f>
        <v>4.6291269771997853E-4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'2026'!A180</f>
        <v>46188</v>
      </c>
      <c r="AF61" s="91">
        <f>'2026'!L180</f>
        <v>6.1123661946003917E-2</v>
      </c>
      <c r="AG61" s="48">
        <f>'2026'!O180</f>
        <v>1.0379308728741371E-2</v>
      </c>
      <c r="AH61" s="66">
        <f>'2026'!P180</f>
        <v>1.8284979602867159E-4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2.3502771590992434E-2</v>
      </c>
      <c r="C62" s="48">
        <f>'2021'!O210</f>
        <v>1.254656679144164E-2</v>
      </c>
      <c r="D62" s="66">
        <f>'2021'!P210</f>
        <v>4.4977519766408494E-4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'2026'!A210</f>
        <v>46218</v>
      </c>
      <c r="AF62" s="91">
        <f>'2026'!L210</f>
        <v>6.1739591860990296E-2</v>
      </c>
      <c r="AG62" s="48">
        <f>'2026'!O210</f>
        <v>1.3405518664068042E-2</v>
      </c>
      <c r="AH62" s="66">
        <f>'2026'!P210</f>
        <v>1.9445607080260417E-4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2.4164760959026622E-2</v>
      </c>
      <c r="C63" s="48">
        <f>'2021'!O241</f>
        <v>1.4841576076544299E-2</v>
      </c>
      <c r="D63" s="66">
        <f>'2021'!P241</f>
        <v>1.8674947265964292E-4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'2026'!A241</f>
        <v>46249</v>
      </c>
      <c r="AF63" s="91">
        <f>'2026'!L241</f>
        <v>6.2375627737361806E-2</v>
      </c>
      <c r="AG63" s="48">
        <f>'2026'!O241</f>
        <v>1.634750645880002E-2</v>
      </c>
      <c r="AH63" s="66">
        <f>'2026'!P241</f>
        <v>7.7860464936894895E-5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2.4826300997450736E-2</v>
      </c>
      <c r="C64" s="48">
        <f>'2021'!O272</f>
        <v>1.7006519332975683E-2</v>
      </c>
      <c r="D64" s="66">
        <f>'2021'!P272</f>
        <v>3.5647306400597223E-4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'2026'!A272</f>
        <v>46280</v>
      </c>
      <c r="AF64" s="91">
        <f>'2026'!L272</f>
        <v>6.3011231900225367E-2</v>
      </c>
      <c r="AG64" s="48">
        <f>'2026'!O272</f>
        <v>1.9131591502083566E-2</v>
      </c>
      <c r="AH64" s="66">
        <f>'2026'!P272</f>
        <v>1.5719290615661411E-4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2.5466073500264065E-2</v>
      </c>
      <c r="C65" s="48">
        <f>'2021'!O302</f>
        <v>1.8871908345316744E-2</v>
      </c>
      <c r="D65" s="66">
        <f>'2021'!P302</f>
        <v>3.6538826026800069E-4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'2026'!A302</f>
        <v>46310</v>
      </c>
      <c r="AF65" s="91">
        <f>'2026'!L302</f>
        <v>6.3625921930238388E-2</v>
      </c>
      <c r="AG65" s="48">
        <f>'2026'!O302</f>
        <v>2.1552118759005173E-2</v>
      </c>
      <c r="AH65" s="66">
        <f>'2026'!P302</f>
        <v>1.6858151735489902E-4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2.6126730264295885E-2</v>
      </c>
      <c r="C66" s="48">
        <f>'2021'!O333</f>
        <v>2.0497212645160336E-2</v>
      </c>
      <c r="D66" s="66">
        <f>'2021'!P333</f>
        <v>5.3525012609005314E-4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'2026'!A333</f>
        <v>46341</v>
      </c>
      <c r="AF66" s="91">
        <f>'2026'!L333</f>
        <v>6.4260677447746967E-2</v>
      </c>
      <c r="AG66" s="48">
        <f>'2026'!O333</f>
        <v>2.3689589984214689E-2</v>
      </c>
      <c r="AH66" s="66">
        <f>'2026'!P333</f>
        <v>2.1825588336116104E-4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2.6765648556274148E-2</v>
      </c>
      <c r="C67" s="49">
        <f>'2021'!O363</f>
        <v>2.2129750881940996E-2</v>
      </c>
      <c r="D67" s="67">
        <f>'2021'!P363</f>
        <v>4.3028252643040462E-4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'2026'!A363</f>
        <v>46371</v>
      </c>
      <c r="AF67" s="92">
        <f>'2026'!L363</f>
        <v>6.487454675651691E-2</v>
      </c>
      <c r="AG67" s="49">
        <f>'2026'!O363</f>
        <v>2.5811489062339581E-2</v>
      </c>
      <c r="AH67" s="67">
        <f>'2026'!P363</f>
        <v>1.9194165871988568E-4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2.7425423225242974E-2</v>
      </c>
      <c r="C68" s="48">
        <f>'2022'!O29</f>
        <v>2.453715651101741E-2</v>
      </c>
      <c r="D68" s="66">
        <f>'2022'!P29</f>
        <v>4.9305827615918796E-4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'2027'!A29</f>
        <v>46402</v>
      </c>
      <c r="AF68" s="91">
        <f>'2027'!L29</f>
        <v>6.5508454761763896E-2</v>
      </c>
      <c r="AG68" s="48">
        <f>'2027'!O29</f>
        <v>2.8151140075323482E-2</v>
      </c>
      <c r="AH68" s="66">
        <f>'2027'!P29</f>
        <v>2.1158562749217189E-4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2.8084750067843146E-2</v>
      </c>
      <c r="C69" s="48">
        <f>'2022'!O60</f>
        <v>2.7605915523675709E-2</v>
      </c>
      <c r="D69" s="66">
        <f>'2022'!P60</f>
        <v>2.4601970095697079E-4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'2027'!A60</f>
        <v>46433</v>
      </c>
      <c r="AF69" s="91">
        <f>'2027'!L60</f>
        <v>6.6141932497809391E-2</v>
      </c>
      <c r="AG69" s="48">
        <f>'2027'!O60</f>
        <v>3.0460900303839761E-2</v>
      </c>
      <c r="AH69" s="66">
        <f>'2027'!P60</f>
        <v>1.1323638065052088E-4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2.8679886423489821E-2</v>
      </c>
      <c r="C70" s="48">
        <f>'2022'!O88</f>
        <v>3.0306544743346927E-2</v>
      </c>
      <c r="D70" s="66">
        <f>'2022'!P88</f>
        <v>2.2353618967506554E-4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'2027'!A88</f>
        <v>46461</v>
      </c>
      <c r="AF70" s="91">
        <f>'2027'!L88</f>
        <v>6.6713736354188952E-2</v>
      </c>
      <c r="AG70" s="48">
        <f>'2027'!O88</f>
        <v>3.2497953147738866E-2</v>
      </c>
      <c r="AH70" s="66">
        <f>'2027'!P88</f>
        <v>1.0287116860300424E-4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2.9338361790995339E-2</v>
      </c>
      <c r="C71" s="48">
        <f>'2022'!O119</f>
        <v>3.3335228094342841E-2</v>
      </c>
      <c r="D71" s="66">
        <f>'2022'!P119</f>
        <v>1.7144213899589054E-4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'2027'!A119</f>
        <v>46492</v>
      </c>
      <c r="AF71" s="91">
        <f>'2027'!L119</f>
        <v>6.7346395997476133E-2</v>
      </c>
      <c r="AG71" s="48">
        <f>'2027'!O119</f>
        <v>3.4819444003101774E-2</v>
      </c>
      <c r="AH71" s="66">
        <f>'2027'!P119</f>
        <v>7.1285431185223749E-5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2.9975170463851432E-2</v>
      </c>
      <c r="C72" s="48">
        <f>'2022'!O149</f>
        <v>3.6594919941283603E-2</v>
      </c>
      <c r="D72" s="66">
        <f>'2022'!P149</f>
        <v>2.5552378631816175E-4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'2027'!A149</f>
        <v>46522</v>
      </c>
      <c r="AF72" s="91">
        <f>'2027'!L149</f>
        <v>6.7958238395374154E-2</v>
      </c>
      <c r="AG72" s="48">
        <f>'2027'!O149</f>
        <v>3.7419782797338978E-2</v>
      </c>
      <c r="AH72" s="66">
        <f>'2027'!P149</f>
        <v>1.2501546249328263E-4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3.0632766648849043E-2</v>
      </c>
      <c r="C73" s="48">
        <f>'2022'!O180</f>
        <v>4.0154772274675184E-2</v>
      </c>
      <c r="D73" s="66">
        <f>'2022'!P180</f>
        <v>5.9989966778317618E-4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'2027'!A180</f>
        <v>46553</v>
      </c>
      <c r="AF73" s="91">
        <f>'2027'!L180</f>
        <v>6.859005332476717E-2</v>
      </c>
      <c r="AG73" s="48">
        <f>'2027'!O180</f>
        <v>4.0300330181335282E-2</v>
      </c>
      <c r="AH73" s="66">
        <f>'2027'!P180</f>
        <v>3.1907963587784083E-4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3.1268725068113713E-2</v>
      </c>
      <c r="C74" s="48">
        <f>'2022'!O210</f>
        <v>4.3146530417742357E-2</v>
      </c>
      <c r="D74" s="66">
        <f>'2022'!P210</f>
        <v>5.7432255758933998E-4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'2027'!A210</f>
        <v>46583</v>
      </c>
      <c r="AF74" s="91">
        <f>'2027'!L210</f>
        <v>6.9201078803520638E-2</v>
      </c>
      <c r="AG74" s="48">
        <f>'2027'!O210</f>
        <v>4.2635544938018591E-2</v>
      </c>
      <c r="AH74" s="66">
        <f>'2027'!P210</f>
        <v>3.190034307278593E-4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3.1925443244469311E-2</v>
      </c>
      <c r="C75" s="48">
        <f>'2022'!O241</f>
        <v>4.5806958018782422E-2</v>
      </c>
      <c r="D75" s="66">
        <f>'2022'!P241</f>
        <v>2.4046857631025245E-4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'2027'!A241</f>
        <v>46614</v>
      </c>
      <c r="AF75" s="91">
        <f>'2027'!L241</f>
        <v>6.9832050146863861E-2</v>
      </c>
      <c r="AG75" s="48">
        <f>'2027'!O241</f>
        <v>4.4637807145093689E-2</v>
      </c>
      <c r="AH75" s="66">
        <f>'2027'!P241</f>
        <v>1.3097767007329953E-4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3.2581715669070734E-2</v>
      </c>
      <c r="C76" s="48">
        <f>'2022'!O272</f>
        <v>4.8222304521682746E-2</v>
      </c>
      <c r="D76" s="66">
        <f>'2022'!P272</f>
        <v>4.5540431096286442E-4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'2027'!A272</f>
        <v>46645</v>
      </c>
      <c r="AF76" s="91">
        <f>'2027'!L272</f>
        <v>7.0462593214283914E-2</v>
      </c>
      <c r="AG76" s="48">
        <f>'2027'!O272</f>
        <v>4.6422110038505104E-2</v>
      </c>
      <c r="AH76" s="66">
        <f>'2027'!P272</f>
        <v>2.544038666150963E-4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3.3216393885395747E-2</v>
      </c>
      <c r="C77" s="48">
        <f>'2022'!O302</f>
        <v>5.0072063104317693E-2</v>
      </c>
      <c r="D77" s="66">
        <f>'2022'!P302</f>
        <v>4.6290264113067661E-4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'2027'!A302</f>
        <v>46675</v>
      </c>
      <c r="AF77" s="91">
        <f>'2027'!L302</f>
        <v>7.1072388680837956E-2</v>
      </c>
      <c r="AG77" s="48">
        <f>'2027'!O302</f>
        <v>4.7703165631838518E-2</v>
      </c>
      <c r="AH77" s="66">
        <f>'2027'!P302</f>
        <v>2.645859199495141E-4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3.3871790068812337E-2</v>
      </c>
      <c r="C78" s="48">
        <f>'2022'!O333</f>
        <v>5.1379594992050789E-2</v>
      </c>
      <c r="D78" s="66">
        <f>'2022'!P333</f>
        <v>6.9763093884838594E-4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'2027'!A333</f>
        <v>46706</v>
      </c>
      <c r="AF78" s="91">
        <f>'2027'!L333</f>
        <v>7.1702089860371604E-2</v>
      </c>
      <c r="AG78" s="48">
        <f>'2027'!O333</f>
        <v>4.8482361114705393E-2</v>
      </c>
      <c r="AH78" s="66">
        <f>'2027'!P333</f>
        <v>3.7288901456722481E-4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3.4505620876086752E-2</v>
      </c>
      <c r="C79" s="49">
        <f>'2022'!O363</f>
        <v>5.2960871671943792E-2</v>
      </c>
      <c r="D79" s="67">
        <f>'2022'!P363</f>
        <v>5.4976260872930608E-4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'2027'!A363</f>
        <v>46736</v>
      </c>
      <c r="AF79" s="92">
        <f>'2027'!L363</f>
        <v>7.2311071140801014E-2</v>
      </c>
      <c r="AG79" s="49">
        <f>'2027'!O363</f>
        <v>4.9561867881529317E-2</v>
      </c>
      <c r="AH79" s="67">
        <f>'2027'!P363</f>
        <v>3.0820684496166839E-4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C367" activePane="bottomRight" state="frozen"/>
      <selection pane="topRight"/>
      <selection pane="bottomLeft"/>
      <selection pane="bottomRight" activeCell="G3" sqref="G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0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YEAR(E6)</f>
        <v>2018</v>
      </c>
      <c r="K1" s="1295"/>
      <c r="L1" s="113" t="str">
        <f>"Calcul pertes et enveloppes en "&amp;TEXT(An,0)</f>
        <v>Calcul pertes et enveloppes en 2018</v>
      </c>
      <c r="M1" s="242"/>
      <c r="N1" s="242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31" t="s">
        <v>261</v>
      </c>
    </row>
    <row r="2" spans="1:40" s="6" customFormat="1" ht="16.5" thickBot="1" x14ac:dyDescent="0.3"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99">
        <v>44926</v>
      </c>
      <c r="F3" s="1300"/>
      <c r="G3" s="614">
        <f>YEAR(Tmaj)</f>
        <v>2022</v>
      </c>
      <c r="H3" s="564"/>
      <c r="I3" s="56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thickBot="1" x14ac:dyDescent="0.3">
      <c r="D4" s="105" t="s">
        <v>133</v>
      </c>
      <c r="E4" s="1301" t="s">
        <v>318</v>
      </c>
      <c r="F4" s="1302"/>
      <c r="G4" s="1302"/>
      <c r="H4" s="1302"/>
      <c r="I4" s="1303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99">
        <v>43250</v>
      </c>
      <c r="F5" s="1300"/>
      <c r="G5" s="559"/>
      <c r="H5" s="559"/>
      <c r="I5" s="559"/>
      <c r="J5" s="19"/>
      <c r="K5" s="191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thickBot="1" x14ac:dyDescent="0.3">
      <c r="A6" s="35"/>
      <c r="B6" s="177"/>
      <c r="C6" s="177"/>
      <c r="D6" s="106" t="s">
        <v>11</v>
      </c>
      <c r="E6" s="1299">
        <v>43297</v>
      </c>
      <c r="F6" s="1300"/>
      <c r="G6" s="575"/>
      <c r="H6" s="556"/>
      <c r="I6" s="556"/>
      <c r="J6" s="35"/>
      <c r="K6" s="192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4357.929335365</v>
      </c>
      <c r="AK6" s="515">
        <f>SUMIF(AK15:AK380,"FAUX",Wh)</f>
        <v>4357.929335365</v>
      </c>
      <c r="AL6" s="515">
        <f>SUMIF(AJ15:AJ380,"FAUX",Wh_s)</f>
        <v>4357.929335365</v>
      </c>
      <c r="AM6" s="515">
        <f>SUMIF(AK15:AK380,"FAUX",Wh_s)</f>
        <v>4357.929335365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AND(YEAR(Tnet)=An,Resal_2018="I")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497"/>
      <c r="P7" s="247"/>
      <c r="Q7" s="247"/>
      <c r="R7" s="516"/>
      <c r="S7" s="516"/>
      <c r="T7" s="516"/>
      <c r="U7" s="247"/>
      <c r="V7" s="427"/>
      <c r="W7" s="517"/>
      <c r="X7" s="518"/>
      <c r="Y7" s="247"/>
      <c r="Z7" s="517"/>
      <c r="AA7" s="517"/>
      <c r="AB7" s="247"/>
      <c r="AC7" s="497"/>
      <c r="AD7" s="247"/>
      <c r="AE7" s="247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AND(YEAR(Tnet)=An,Tnet&gt;T0,Resal_2018&lt;&gt;"I")</f>
        <v>0</v>
      </c>
      <c r="F8" s="320" t="b">
        <f>AND(YEAR(Ttai)=An,Ttai&gt;DATE(An,1,1))</f>
        <v>0</v>
      </c>
      <c r="H8" s="178" t="s">
        <v>76</v>
      </c>
      <c r="I8" s="98"/>
      <c r="J8" s="158"/>
      <c r="K8" s="190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3"/>
      <c r="X8" s="1292" t="s">
        <v>102</v>
      </c>
      <c r="Y8" s="1293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4369.2065132738062</v>
      </c>
      <c r="AK8" s="515">
        <f>SUMIF(AK15:AK380,"FAUX",Wh_sa)</f>
        <v>4406.2346915645958</v>
      </c>
      <c r="AL8" s="515">
        <f>SUMIF(AJ15:AJ380,"FAUX",Wh_pvt_s)</f>
        <v>4369.2065132738062</v>
      </c>
      <c r="AM8" s="515">
        <f>SUMIF(AK15:AK380,"FAUX",Wh_sa_s)</f>
        <v>4406.2346915645958</v>
      </c>
      <c r="AN8" s="834" t="s">
        <v>252</v>
      </c>
    </row>
    <row r="9" spans="1:40" s="19" customFormat="1" ht="15" customHeight="1" x14ac:dyDescent="0.25">
      <c r="A9" s="182"/>
      <c r="D9" s="73">
        <f>SUM(D$15:D$380)</f>
        <v>4369.2065132738062</v>
      </c>
      <c r="E9" s="73">
        <f>SUM(E$15:E$380)</f>
        <v>4406.2346915645958</v>
      </c>
      <c r="F9" s="73">
        <f>SUM(F$15:F$380)</f>
        <v>4406.4542317714358</v>
      </c>
      <c r="H9" s="1296">
        <f>+SUM(Wh)</f>
        <v>4357.929335365</v>
      </c>
      <c r="I9" s="1297"/>
      <c r="J9" s="1298"/>
      <c r="K9" s="190"/>
      <c r="L9" s="114"/>
      <c r="M9" s="114"/>
      <c r="N9" s="114"/>
      <c r="O9" s="324">
        <f>MAX(T0,Tnet_2018)</f>
        <v>43250</v>
      </c>
      <c r="P9" s="243" t="s">
        <v>112</v>
      </c>
      <c r="Q9" s="244"/>
      <c r="R9" s="244"/>
      <c r="S9" s="244"/>
      <c r="T9" s="244"/>
      <c r="U9" s="244"/>
      <c r="V9" s="461"/>
      <c r="W9" s="520"/>
      <c r="X9" s="1290">
        <f>+SUM(Wh_s)</f>
        <v>4357.929335365</v>
      </c>
      <c r="Y9" s="1291"/>
      <c r="Z9" s="515">
        <f>SUM(Z$15:Z$380)</f>
        <v>4369.2065132738062</v>
      </c>
      <c r="AA9" s="515">
        <f>SUM(AA$15:AA$380)</f>
        <v>4406.2346915645958</v>
      </c>
      <c r="AB9" s="515">
        <f>F9</f>
        <v>4406.4542317714358</v>
      </c>
      <c r="AC9" s="324">
        <f>IF(An_Tnet,Tnet,T0)</f>
        <v>43250</v>
      </c>
      <c r="AD9" s="314" t="s">
        <v>103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114"/>
      <c r="M10" s="114"/>
      <c r="N10" s="114"/>
      <c r="O10" s="317">
        <f>IF(Inflex,Salim_i*(1-EXP((T0-Tnet)/Tau_j)),IF(Acti_net,Resal_2018,0))</f>
        <v>0</v>
      </c>
      <c r="P10" s="420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IF(Acti_tai,PousHi,Htf_2018-H_i)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IF(OR(Inflex,GainD),Salim_i*(1-EXP((T0-Tnet)/Tau_ij)),IF(Acti_net,Salim_i*(1-EXP((T0-Tnet)/Tau_ij)),0))</f>
        <v>0</v>
      </c>
      <c r="AD10" s="427"/>
      <c r="AE10" s="427"/>
      <c r="AF10" s="259"/>
      <c r="AG10" s="260"/>
      <c r="AH10" s="261"/>
      <c r="AI10" s="427"/>
      <c r="AJ10" s="515">
        <f>SUMIF(AJ15:AJ380,"FAUX",Wh_sa)</f>
        <v>4406.2346915645958</v>
      </c>
      <c r="AK10" s="515">
        <f>SUMIF(AK15:AK380,"FAUX",Wh_hp)</f>
        <v>4406.4542317714358</v>
      </c>
      <c r="AL10" s="515">
        <f>SUMIF(AJ15:AJ380,"FAUX",Wh_sa_s)</f>
        <v>4406.2346915645958</v>
      </c>
      <c r="AM10" s="515">
        <f>SUMIF(AK15:AK380,"FAUX",Wh_hp)</f>
        <v>4406.4542317714358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217">
        <f>D$9-Prod_an</f>
        <v>11.277177908806152</v>
      </c>
      <c r="E11" s="218">
        <f>(E$9-D$9)*Prod_an/D$9</f>
        <v>36.932606393934712</v>
      </c>
      <c r="F11" s="219">
        <f>(F$9-E$9)*Prod_an/E$9</f>
        <v>0.21713339725458305</v>
      </c>
      <c r="G11" s="184" t="s">
        <v>6</v>
      </c>
      <c r="K11" s="193"/>
      <c r="L11" s="181">
        <f>Tvie_2018</f>
        <v>43250</v>
      </c>
      <c r="M11" s="846"/>
      <c r="N11" s="846"/>
      <c r="O11" s="317">
        <f>Salim_2018</f>
        <v>7.0000000000000007E-2</v>
      </c>
      <c r="P11" s="255">
        <f>Ttai_2018</f>
        <v>43101</v>
      </c>
      <c r="Q11" s="271">
        <f>Dens_2018</f>
        <v>0.5</v>
      </c>
      <c r="R11" s="523"/>
      <c r="S11" s="246"/>
      <c r="T11" s="524"/>
      <c r="U11" s="265">
        <f>Htf_2018</f>
        <v>-0.16522425418292996</v>
      </c>
      <c r="V11" s="427"/>
      <c r="W11" s="518"/>
      <c r="X11" s="525" t="s">
        <v>43</v>
      </c>
      <c r="Y11" s="50">
        <f>Z$9-Prod_an_s</f>
        <v>11.277177908806152</v>
      </c>
      <c r="Z11" s="51">
        <f>(AA$9-Z$9)*Prod_an_s/Z$9</f>
        <v>36.932606393934712</v>
      </c>
      <c r="AA11" s="185">
        <f>(AB$9-AA$9)*Prod_an_s/AA$9</f>
        <v>0.21713339725458305</v>
      </c>
      <c r="AB11" s="526" t="s">
        <v>6</v>
      </c>
      <c r="AC11" s="472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1.0703898995348737E-2</v>
      </c>
      <c r="I12" s="102"/>
      <c r="J12" s="99"/>
      <c r="K12" s="190"/>
      <c r="L12" s="203">
        <f>Pspv_2018</f>
        <v>0</v>
      </c>
      <c r="M12" s="211"/>
      <c r="N12" s="211"/>
      <c r="O12" s="527">
        <f>Tau_2018*365</f>
        <v>949</v>
      </c>
      <c r="P12" s="528">
        <f>INDEX(Croivg,MIN(MAX(Ttai-$A$15,0)+1,366))</f>
        <v>2.3909964587625958E-6</v>
      </c>
      <c r="Q12" s="295">
        <f>D_i</f>
        <v>0.5</v>
      </c>
      <c r="R12" s="277"/>
      <c r="S12" s="278"/>
      <c r="T12" s="529"/>
      <c r="U12" s="296">
        <f>H_i</f>
        <v>-0.46522425418292995</v>
      </c>
      <c r="V12" s="517"/>
      <c r="W12" s="504"/>
      <c r="X12" s="505"/>
      <c r="Y12" s="504"/>
      <c r="Z12" s="427"/>
      <c r="AA12" s="427"/>
      <c r="AB12" s="504"/>
      <c r="AC12" s="317" t="b">
        <f>NOT(An_Tnet)</f>
        <v>0</v>
      </c>
      <c r="AD12" s="427"/>
      <c r="AE12" s="295">
        <f>D_i</f>
        <v>0.5</v>
      </c>
      <c r="AF12" s="202"/>
      <c r="AG12" s="202"/>
      <c r="AH12" s="202"/>
      <c r="AI12" s="296">
        <f>H_i</f>
        <v>-0.46522425418292995</v>
      </c>
      <c r="AJ12" s="835">
        <f>IF($AJ8=0,0,($AJ10-$AJ8)*$AJ6/$AJ8)</f>
        <v>36.932606393934712</v>
      </c>
      <c r="AK12" s="836">
        <f>IF($AK8=0,0,($AK10-$AK8)*$AK6/$AK8)</f>
        <v>0.21713339725458305</v>
      </c>
      <c r="AL12" s="835">
        <f>IF($AL8=0,0,($AL10-$AL8)*$AL6/$AL8)</f>
        <v>36.932606393934712</v>
      </c>
      <c r="AM12" s="836">
        <f>IF($AM8=0,0,($AM10-$AM8)*$AM6/$AM8)</f>
        <v>0.21713339725458305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36.932606393934712</v>
      </c>
      <c r="AK13" s="73">
        <f>+AK11+AK12</f>
        <v>0.21713339725458305</v>
      </c>
      <c r="AL13" s="73">
        <f>+AL11+AL12</f>
        <v>36.932606393934712</v>
      </c>
      <c r="AM13" s="73">
        <f>+AM11+AM12</f>
        <v>0.21713339725458305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202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43101</v>
      </c>
      <c r="B15" s="619"/>
      <c r="C15" s="856"/>
      <c r="D15" s="392"/>
      <c r="E15" s="384"/>
      <c r="F15" s="384"/>
      <c r="G15" s="110"/>
      <c r="I15" s="378">
        <f t="shared" ref="I15:I78" si="0">Wh_hp</f>
        <v>0</v>
      </c>
      <c r="J15" s="84">
        <v>2018</v>
      </c>
      <c r="K15" s="196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8"/>
      <c r="N15" s="858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2.2390182886966246E-10</v>
      </c>
      <c r="Q15" s="302">
        <f>IF(OR(t&lt;Ttai,Notai),Dd+PousD*Croivg,Dens+PousD*(Croivg-Croi_tai))</f>
        <v>0.5</v>
      </c>
      <c r="R15" s="303">
        <f t="shared" ref="R15:R78" si="4">(Hp_vg-S15)/(INDEX(Echel_vg,T15+1)-S15)</f>
        <v>0.53477646311600768</v>
      </c>
      <c r="S15" s="813">
        <f>INDEX(Echel_vg,T15)</f>
        <v>-1</v>
      </c>
      <c r="T15" s="248">
        <f>MIN(MATCH(Hp_vg,Echel_vg),10)</f>
        <v>5</v>
      </c>
      <c r="U15" s="249">
        <f>IF(OR(t&lt;Ttai,Notai),Hdd+PousH*Croivg,Hdtf+PousH*(Croivg-Croi_tai))</f>
        <v>-0.46522353688399232</v>
      </c>
      <c r="V15" s="381">
        <f t="shared" ref="V15:V78" si="5">MaxiM*(1-Ppv)*(1-Pvg)*(1-Psa)</f>
        <v>26.029385772777914</v>
      </c>
      <c r="W15" s="58"/>
      <c r="X15" s="156">
        <f t="shared" ref="X15:X78" si="6">t</f>
        <v>43101</v>
      </c>
      <c r="Y15" s="384">
        <f t="shared" ref="Y15:Y78" si="7">Wh_pvt_s*(1-Ppv)</f>
        <v>0</v>
      </c>
      <c r="Z15" s="384">
        <f t="shared" ref="Z15:Z78" si="8">Wh_sa_s*(1-Psa_s)</f>
        <v>0</v>
      </c>
      <c r="AA15" s="385">
        <f t="shared" ref="AA15:AA78" si="9">Wh_hp*(1-Pvg_s*MEDIAN((-Sdif+Wh/Env_an)/Csdif,0,1))</f>
        <v>0</v>
      </c>
      <c r="AB15" s="196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2.2390182886966246E-10</v>
      </c>
      <c r="AE15" s="302">
        <f t="shared" ref="AE15:AE78" si="12">Dd+PousD*Croivg</f>
        <v>0.5</v>
      </c>
      <c r="AF15" s="303">
        <f t="shared" ref="AF15:AF78" si="13">(Hp_vg_s-AG15)/(INDEX(Echel_vg,AH15+1)-AG15)</f>
        <v>0.53477646311600768</v>
      </c>
      <c r="AG15" s="813">
        <f>INDEX(Echel_vg,AH15)</f>
        <v>-1</v>
      </c>
      <c r="AH15" s="248">
        <f t="shared" ref="AH15:AH78" si="14">MIN(MATCH(Hp_vg_s,Echel_vg),10)</f>
        <v>5</v>
      </c>
      <c r="AI15" s="223">
        <f t="shared" ref="AI15:AI78" si="15">Hdd+PousH*Croivg</f>
        <v>-0.46522353688399232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89"/>
      <c r="D16" s="392"/>
      <c r="E16" s="384"/>
      <c r="F16" s="384"/>
      <c r="G16" s="110"/>
      <c r="I16" s="379">
        <f t="shared" si="0"/>
        <v>0</v>
      </c>
      <c r="J16" s="85">
        <v>2018</v>
      </c>
      <c r="K16" s="196">
        <f t="shared" si="1"/>
        <v>43102</v>
      </c>
      <c r="L16" s="436">
        <f t="shared" si="2"/>
        <v>0</v>
      </c>
      <c r="M16" s="858"/>
      <c r="N16" s="858"/>
      <c r="O16" s="323">
        <f t="shared" si="3"/>
        <v>0</v>
      </c>
      <c r="P16" s="168">
        <f>(INDEX(Models!$BJ16:$BT16,,T16)*(1-R16)+INDEX(Models!$BJ16:$BT16,,T16+1)*R16-ERP_i)*Q16*Ramure*Pc/MaxiM</f>
        <v>5.733198338658278E-9</v>
      </c>
      <c r="Q16" s="304">
        <f t="shared" ref="Q16:Q78" si="19">IF(OR(t&lt;Ttai,Notai),Dd+PousD*Croivg,Dens+PousD*(Croivg-Croi_tai))</f>
        <v>0.5</v>
      </c>
      <c r="R16" s="176">
        <f t="shared" si="4"/>
        <v>0.53479399188440424</v>
      </c>
      <c r="S16" s="814">
        <f t="shared" ref="S16:S79" si="20">INDEX(Echel_vg,T16)</f>
        <v>-1</v>
      </c>
      <c r="T16" s="175">
        <f t="shared" ref="T16:T78" si="21">MIN(MATCH(Hp_vg,Echel_vg),10)</f>
        <v>5</v>
      </c>
      <c r="U16" s="250">
        <f t="shared" ref="U16:U78" si="22">IF(OR(t&lt;Ttai,Notai),Hdd+PousH*Croivg,Hdtf+PousH*(Croivg-Croi_tai))</f>
        <v>-0.46520600811559576</v>
      </c>
      <c r="V16" s="382">
        <f t="shared" si="5"/>
        <v>26.190948461041952</v>
      </c>
      <c r="W16" s="58"/>
      <c r="X16" s="157">
        <f t="shared" si="6"/>
        <v>43102</v>
      </c>
      <c r="Y16" s="384">
        <f t="shared" si="7"/>
        <v>0</v>
      </c>
      <c r="Z16" s="384">
        <f t="shared" si="8"/>
        <v>0</v>
      </c>
      <c r="AA16" s="385">
        <f t="shared" si="9"/>
        <v>0</v>
      </c>
      <c r="AB16" s="196">
        <f t="shared" si="10"/>
        <v>43102</v>
      </c>
      <c r="AC16" s="425">
        <f t="shared" si="11"/>
        <v>0</v>
      </c>
      <c r="AD16" s="168">
        <f>(INDEX(Models!$BJ16:$BT16,,AH16)*(1-AF16)+INDEX(Models!$BJ16:$BT16,,AH16+1)*AF16-ERP_i)*AE16*Ramure*Pc/MaxiM</f>
        <v>5.733198338658278E-9</v>
      </c>
      <c r="AE16" s="304">
        <f t="shared" si="12"/>
        <v>0.5</v>
      </c>
      <c r="AF16" s="176">
        <f t="shared" si="13"/>
        <v>0.53479399188440424</v>
      </c>
      <c r="AG16" s="814">
        <f t="shared" ref="AG16:AG78" si="23">INDEX(Echel_vg,AH16)</f>
        <v>-1</v>
      </c>
      <c r="AH16" s="175">
        <f t="shared" si="14"/>
        <v>5</v>
      </c>
      <c r="AI16" s="224">
        <f t="shared" si="15"/>
        <v>-0.46520600811559576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89"/>
      <c r="D17" s="392"/>
      <c r="E17" s="384"/>
      <c r="F17" s="384"/>
      <c r="G17" s="110"/>
      <c r="I17" s="379">
        <f t="shared" si="0"/>
        <v>0</v>
      </c>
      <c r="J17" s="85">
        <v>2018</v>
      </c>
      <c r="K17" s="196">
        <f t="shared" si="1"/>
        <v>43103</v>
      </c>
      <c r="L17" s="436">
        <f t="shared" si="2"/>
        <v>0</v>
      </c>
      <c r="M17" s="858"/>
      <c r="N17" s="858"/>
      <c r="O17" s="323">
        <f t="shared" si="3"/>
        <v>0</v>
      </c>
      <c r="P17" s="168">
        <f>(INDEX(Models!$BJ17:$BT17,,T17)*(1-R17)+INDEX(Models!$BJ17:$BT17,,T17+1)*R17-ERP_i)*Q17*Ramure*Pc/MaxiM</f>
        <v>1.1549171256913235E-8</v>
      </c>
      <c r="Q17" s="304">
        <f t="shared" si="19"/>
        <v>0.5</v>
      </c>
      <c r="R17" s="176">
        <f t="shared" si="4"/>
        <v>0.53481225384169795</v>
      </c>
      <c r="S17" s="814">
        <f t="shared" si="20"/>
        <v>-1</v>
      </c>
      <c r="T17" s="175">
        <f t="shared" si="21"/>
        <v>5</v>
      </c>
      <c r="U17" s="250">
        <f t="shared" si="22"/>
        <v>-0.46518774615830205</v>
      </c>
      <c r="V17" s="382">
        <f t="shared" si="5"/>
        <v>26.362606648121503</v>
      </c>
      <c r="W17" s="58"/>
      <c r="X17" s="157">
        <f t="shared" si="6"/>
        <v>43103</v>
      </c>
      <c r="Y17" s="384">
        <f t="shared" si="7"/>
        <v>0</v>
      </c>
      <c r="Z17" s="384">
        <f t="shared" si="8"/>
        <v>0</v>
      </c>
      <c r="AA17" s="385">
        <f t="shared" si="9"/>
        <v>0</v>
      </c>
      <c r="AB17" s="196">
        <f t="shared" si="10"/>
        <v>43103</v>
      </c>
      <c r="AC17" s="425">
        <f t="shared" si="11"/>
        <v>0</v>
      </c>
      <c r="AD17" s="168">
        <f>(INDEX(Models!$BJ17:$BT17,,AH17)*(1-AF17)+INDEX(Models!$BJ17:$BT17,,AH17+1)*AF17-ERP_i)*AE17*Ramure*Pc/MaxiM</f>
        <v>1.1549171256913235E-8</v>
      </c>
      <c r="AE17" s="304">
        <f t="shared" si="12"/>
        <v>0.5</v>
      </c>
      <c r="AF17" s="176">
        <f t="shared" si="13"/>
        <v>0.53481225384169795</v>
      </c>
      <c r="AG17" s="814">
        <f t="shared" si="23"/>
        <v>-1</v>
      </c>
      <c r="AH17" s="175">
        <f t="shared" si="14"/>
        <v>5</v>
      </c>
      <c r="AI17" s="224">
        <f t="shared" si="15"/>
        <v>-0.46518774615830205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89"/>
      <c r="D18" s="392"/>
      <c r="E18" s="384"/>
      <c r="F18" s="384"/>
      <c r="G18" s="110"/>
      <c r="I18" s="379">
        <f t="shared" si="0"/>
        <v>0</v>
      </c>
      <c r="J18" s="85">
        <v>2018</v>
      </c>
      <c r="K18" s="196">
        <f t="shared" si="1"/>
        <v>43104</v>
      </c>
      <c r="L18" s="436">
        <f t="shared" si="2"/>
        <v>0</v>
      </c>
      <c r="M18" s="858"/>
      <c r="N18" s="858"/>
      <c r="O18" s="323">
        <f t="shared" si="3"/>
        <v>0</v>
      </c>
      <c r="P18" s="168">
        <f>(INDEX(Models!$BJ18:$BT18,,T18)*(1-R18)+INDEX(Models!$BJ18:$BT18,,T18+1)*R18-ERP_i)*Q18*Ramure*Pc/MaxiM</f>
        <v>1.7689691860309744E-8</v>
      </c>
      <c r="Q18" s="304">
        <f t="shared" si="19"/>
        <v>0.5</v>
      </c>
      <c r="R18" s="176">
        <f t="shared" si="4"/>
        <v>0.53483127956047505</v>
      </c>
      <c r="S18" s="814">
        <f t="shared" si="20"/>
        <v>-1</v>
      </c>
      <c r="T18" s="175">
        <f t="shared" si="21"/>
        <v>5</v>
      </c>
      <c r="U18" s="250">
        <f t="shared" si="22"/>
        <v>-0.46516872043952495</v>
      </c>
      <c r="V18" s="382">
        <f t="shared" si="5"/>
        <v>26.543768008782866</v>
      </c>
      <c r="W18" s="58"/>
      <c r="X18" s="157">
        <f t="shared" si="6"/>
        <v>43104</v>
      </c>
      <c r="Y18" s="384">
        <f t="shared" si="7"/>
        <v>0</v>
      </c>
      <c r="Z18" s="384">
        <f t="shared" si="8"/>
        <v>0</v>
      </c>
      <c r="AA18" s="385">
        <f t="shared" si="9"/>
        <v>0</v>
      </c>
      <c r="AB18" s="196">
        <f t="shared" si="10"/>
        <v>43104</v>
      </c>
      <c r="AC18" s="425">
        <f t="shared" si="11"/>
        <v>0</v>
      </c>
      <c r="AD18" s="168">
        <f>(INDEX(Models!$BJ18:$BT18,,AH18)*(1-AF18)+INDEX(Models!$BJ18:$BT18,,AH18+1)*AF18-ERP_i)*AE18*Ramure*Pc/MaxiM</f>
        <v>1.7689691860309744E-8</v>
      </c>
      <c r="AE18" s="304">
        <f t="shared" si="12"/>
        <v>0.5</v>
      </c>
      <c r="AF18" s="176">
        <f t="shared" si="13"/>
        <v>0.53483127956047505</v>
      </c>
      <c r="AG18" s="814">
        <f t="shared" si="23"/>
        <v>-1</v>
      </c>
      <c r="AH18" s="175">
        <f t="shared" si="14"/>
        <v>5</v>
      </c>
      <c r="AI18" s="224">
        <f t="shared" si="15"/>
        <v>-0.46516872043952495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89"/>
      <c r="D19" s="392"/>
      <c r="E19" s="384"/>
      <c r="F19" s="384"/>
      <c r="G19" s="110"/>
      <c r="I19" s="379">
        <f t="shared" si="0"/>
        <v>0</v>
      </c>
      <c r="J19" s="85">
        <v>2018</v>
      </c>
      <c r="K19" s="196">
        <f t="shared" si="1"/>
        <v>43105</v>
      </c>
      <c r="L19" s="436">
        <f t="shared" si="2"/>
        <v>0</v>
      </c>
      <c r="M19" s="858"/>
      <c r="N19" s="858"/>
      <c r="O19" s="323">
        <f t="shared" si="3"/>
        <v>0</v>
      </c>
      <c r="P19" s="168">
        <f>(INDEX(Models!$BJ19:$BT19,,T19)*(1-R19)+INDEX(Models!$BJ19:$BT19,,T19+1)*R19-ERP_i)*Q19*Ramure*Pc/MaxiM</f>
        <v>2.4173754950134509E-8</v>
      </c>
      <c r="Q19" s="304">
        <f t="shared" si="19"/>
        <v>0.5</v>
      </c>
      <c r="R19" s="176">
        <f t="shared" si="4"/>
        <v>0.53485110088001209</v>
      </c>
      <c r="S19" s="814">
        <f t="shared" si="20"/>
        <v>-1</v>
      </c>
      <c r="T19" s="175">
        <f t="shared" si="21"/>
        <v>5</v>
      </c>
      <c r="U19" s="250">
        <f t="shared" si="22"/>
        <v>-0.46514889911998797</v>
      </c>
      <c r="V19" s="382">
        <f t="shared" si="5"/>
        <v>26.733840222215736</v>
      </c>
      <c r="W19" s="58"/>
      <c r="X19" s="157">
        <f t="shared" si="6"/>
        <v>43105</v>
      </c>
      <c r="Y19" s="384">
        <f t="shared" si="7"/>
        <v>0</v>
      </c>
      <c r="Z19" s="384">
        <f t="shared" si="8"/>
        <v>0</v>
      </c>
      <c r="AA19" s="385">
        <f t="shared" si="9"/>
        <v>0</v>
      </c>
      <c r="AB19" s="196">
        <f t="shared" si="10"/>
        <v>43105</v>
      </c>
      <c r="AC19" s="425">
        <f t="shared" si="11"/>
        <v>0</v>
      </c>
      <c r="AD19" s="168">
        <f>(INDEX(Models!$BJ19:$BT19,,AH19)*(1-AF19)+INDEX(Models!$BJ19:$BT19,,AH19+1)*AF19-ERP_i)*AE19*Ramure*Pc/MaxiM</f>
        <v>2.4173754950134509E-8</v>
      </c>
      <c r="AE19" s="304">
        <f t="shared" si="12"/>
        <v>0.5</v>
      </c>
      <c r="AF19" s="176">
        <f t="shared" si="13"/>
        <v>0.53485110088001209</v>
      </c>
      <c r="AG19" s="814">
        <f t="shared" si="23"/>
        <v>-1</v>
      </c>
      <c r="AH19" s="175">
        <f t="shared" si="14"/>
        <v>5</v>
      </c>
      <c r="AI19" s="224">
        <f t="shared" si="15"/>
        <v>-0.46514889911998797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89"/>
      <c r="D20" s="392"/>
      <c r="E20" s="384"/>
      <c r="F20" s="384"/>
      <c r="G20" s="110"/>
      <c r="I20" s="379">
        <f t="shared" si="0"/>
        <v>0</v>
      </c>
      <c r="J20" s="85">
        <v>2018</v>
      </c>
      <c r="K20" s="196">
        <f t="shared" si="1"/>
        <v>43106</v>
      </c>
      <c r="L20" s="436">
        <f t="shared" si="2"/>
        <v>0</v>
      </c>
      <c r="M20" s="858"/>
      <c r="N20" s="858"/>
      <c r="O20" s="323">
        <f t="shared" si="3"/>
        <v>0</v>
      </c>
      <c r="P20" s="168">
        <f>(INDEX(Models!$BJ20:$BT20,,T20)*(1-R20)+INDEX(Models!$BJ20:$BT20,,T20+1)*R20-ERP_i)*Q20*Ramure*Pc/MaxiM</f>
        <v>3.1021553522601512E-8</v>
      </c>
      <c r="Q20" s="304">
        <f t="shared" si="19"/>
        <v>0.5</v>
      </c>
      <c r="R20" s="176">
        <f t="shared" si="4"/>
        <v>0.5348717509580625</v>
      </c>
      <c r="S20" s="814">
        <f t="shared" si="20"/>
        <v>-1</v>
      </c>
      <c r="T20" s="175">
        <f t="shared" si="21"/>
        <v>5</v>
      </c>
      <c r="U20" s="250">
        <f t="shared" si="22"/>
        <v>-0.46512824904193756</v>
      </c>
      <c r="V20" s="382">
        <f t="shared" si="5"/>
        <v>26.932230964381123</v>
      </c>
      <c r="W20" s="58"/>
      <c r="X20" s="157">
        <f t="shared" si="6"/>
        <v>43106</v>
      </c>
      <c r="Y20" s="384">
        <f t="shared" si="7"/>
        <v>0</v>
      </c>
      <c r="Z20" s="384">
        <f t="shared" si="8"/>
        <v>0</v>
      </c>
      <c r="AA20" s="385">
        <f t="shared" si="9"/>
        <v>0</v>
      </c>
      <c r="AB20" s="196">
        <f t="shared" si="10"/>
        <v>43106</v>
      </c>
      <c r="AC20" s="425">
        <f t="shared" si="11"/>
        <v>0</v>
      </c>
      <c r="AD20" s="168">
        <f>(INDEX(Models!$BJ20:$BT20,,AH20)*(1-AF20)+INDEX(Models!$BJ20:$BT20,,AH20+1)*AF20-ERP_i)*AE20*Ramure*Pc/MaxiM</f>
        <v>3.1021553522601512E-8</v>
      </c>
      <c r="AE20" s="304">
        <f t="shared" si="12"/>
        <v>0.5</v>
      </c>
      <c r="AF20" s="176">
        <f t="shared" si="13"/>
        <v>0.5348717509580625</v>
      </c>
      <c r="AG20" s="814">
        <f t="shared" si="23"/>
        <v>-1</v>
      </c>
      <c r="AH20" s="175">
        <f t="shared" si="14"/>
        <v>5</v>
      </c>
      <c r="AI20" s="224">
        <f t="shared" si="15"/>
        <v>-0.46512824904193756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89"/>
      <c r="D21" s="392"/>
      <c r="E21" s="384"/>
      <c r="F21" s="384"/>
      <c r="G21" s="110"/>
      <c r="I21" s="379">
        <f t="shared" si="0"/>
        <v>0</v>
      </c>
      <c r="J21" s="85">
        <v>2018</v>
      </c>
      <c r="K21" s="196">
        <f t="shared" si="1"/>
        <v>43107</v>
      </c>
      <c r="L21" s="436">
        <f t="shared" si="2"/>
        <v>0</v>
      </c>
      <c r="M21" s="858"/>
      <c r="N21" s="858"/>
      <c r="O21" s="323">
        <f t="shared" si="3"/>
        <v>0</v>
      </c>
      <c r="P21" s="168">
        <f>(INDEX(Models!$BJ21:$BT21,,T21)*(1-R21)+INDEX(Models!$BJ21:$BT21,,T21+1)*R21-ERP_i)*Q21*Ramure*Pc/MaxiM</f>
        <v>3.8254558249911776E-8</v>
      </c>
      <c r="Q21" s="304">
        <f t="shared" si="19"/>
        <v>0.5</v>
      </c>
      <c r="R21" s="176">
        <f t="shared" si="4"/>
        <v>0.53489326432470041</v>
      </c>
      <c r="S21" s="814">
        <f t="shared" si="20"/>
        <v>-1</v>
      </c>
      <c r="T21" s="175">
        <f t="shared" si="21"/>
        <v>5</v>
      </c>
      <c r="U21" s="250">
        <f t="shared" si="22"/>
        <v>-0.46510673567529964</v>
      </c>
      <c r="V21" s="382">
        <f t="shared" si="5"/>
        <v>27.138347914763628</v>
      </c>
      <c r="W21" s="58"/>
      <c r="X21" s="157">
        <f t="shared" si="6"/>
        <v>43107</v>
      </c>
      <c r="Y21" s="384">
        <f t="shared" si="7"/>
        <v>0</v>
      </c>
      <c r="Z21" s="384">
        <f t="shared" si="8"/>
        <v>0</v>
      </c>
      <c r="AA21" s="385">
        <f t="shared" si="9"/>
        <v>0</v>
      </c>
      <c r="AB21" s="196">
        <f t="shared" si="10"/>
        <v>43107</v>
      </c>
      <c r="AC21" s="425">
        <f t="shared" si="11"/>
        <v>0</v>
      </c>
      <c r="AD21" s="168">
        <f>(INDEX(Models!$BJ21:$BT21,,AH21)*(1-AF21)+INDEX(Models!$BJ21:$BT21,,AH21+1)*AF21-ERP_i)*AE21*Ramure*Pc/MaxiM</f>
        <v>3.8254558249911776E-8</v>
      </c>
      <c r="AE21" s="304">
        <f t="shared" si="12"/>
        <v>0.5</v>
      </c>
      <c r="AF21" s="176">
        <f t="shared" si="13"/>
        <v>0.53489326432470041</v>
      </c>
      <c r="AG21" s="814">
        <f t="shared" si="23"/>
        <v>-1</v>
      </c>
      <c r="AH21" s="175">
        <f t="shared" si="14"/>
        <v>5</v>
      </c>
      <c r="AI21" s="224">
        <f t="shared" si="15"/>
        <v>-0.46510673567529964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89"/>
      <c r="D22" s="392"/>
      <c r="E22" s="384"/>
      <c r="F22" s="384"/>
      <c r="G22" s="110"/>
      <c r="I22" s="379">
        <f t="shared" si="0"/>
        <v>0</v>
      </c>
      <c r="J22" s="85">
        <v>2018</v>
      </c>
      <c r="K22" s="196">
        <f t="shared" si="1"/>
        <v>43108</v>
      </c>
      <c r="L22" s="436">
        <f t="shared" si="2"/>
        <v>0</v>
      </c>
      <c r="M22" s="858"/>
      <c r="N22" s="858"/>
      <c r="O22" s="323">
        <f t="shared" si="3"/>
        <v>0</v>
      </c>
      <c r="P22" s="168">
        <f>(INDEX(Models!$BJ22:$BT22,,T22)*(1-R22)+INDEX(Models!$BJ22:$BT22,,T22+1)*R22-ERP_i)*Q22*Ramure*Pc/MaxiM</f>
        <v>4.5895602169879732E-8</v>
      </c>
      <c r="Q22" s="304">
        <f t="shared" si="19"/>
        <v>0.5</v>
      </c>
      <c r="R22" s="176">
        <f t="shared" si="4"/>
        <v>0.53491567693829867</v>
      </c>
      <c r="S22" s="814">
        <f t="shared" si="20"/>
        <v>-1</v>
      </c>
      <c r="T22" s="175">
        <f t="shared" si="21"/>
        <v>5</v>
      </c>
      <c r="U22" s="250">
        <f t="shared" si="22"/>
        <v>-0.46508432306170133</v>
      </c>
      <c r="V22" s="382">
        <f t="shared" si="5"/>
        <v>27.351598746434224</v>
      </c>
      <c r="W22" s="58"/>
      <c r="X22" s="157">
        <f t="shared" si="6"/>
        <v>43108</v>
      </c>
      <c r="Y22" s="384">
        <f t="shared" si="7"/>
        <v>0</v>
      </c>
      <c r="Z22" s="384">
        <f t="shared" si="8"/>
        <v>0</v>
      </c>
      <c r="AA22" s="385">
        <f t="shared" si="9"/>
        <v>0</v>
      </c>
      <c r="AB22" s="196">
        <f t="shared" si="10"/>
        <v>43108</v>
      </c>
      <c r="AC22" s="425">
        <f t="shared" si="11"/>
        <v>0</v>
      </c>
      <c r="AD22" s="168">
        <f>(INDEX(Models!$BJ22:$BT22,,AH22)*(1-AF22)+INDEX(Models!$BJ22:$BT22,,AH22+1)*AF22-ERP_i)*AE22*Ramure*Pc/MaxiM</f>
        <v>4.5895602169879732E-8</v>
      </c>
      <c r="AE22" s="304">
        <f t="shared" si="12"/>
        <v>0.5</v>
      </c>
      <c r="AF22" s="176">
        <f t="shared" si="13"/>
        <v>0.53491567693829867</v>
      </c>
      <c r="AG22" s="814">
        <f t="shared" si="23"/>
        <v>-1</v>
      </c>
      <c r="AH22" s="175">
        <f t="shared" si="14"/>
        <v>5</v>
      </c>
      <c r="AI22" s="224">
        <f t="shared" si="15"/>
        <v>-0.46508432306170133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89"/>
      <c r="D23" s="392"/>
      <c r="E23" s="384"/>
      <c r="F23" s="384"/>
      <c r="G23" s="110"/>
      <c r="I23" s="379">
        <f t="shared" si="0"/>
        <v>0</v>
      </c>
      <c r="J23" s="85">
        <v>2018</v>
      </c>
      <c r="K23" s="196">
        <f t="shared" si="1"/>
        <v>43109</v>
      </c>
      <c r="L23" s="436">
        <f t="shared" si="2"/>
        <v>0</v>
      </c>
      <c r="M23" s="858"/>
      <c r="N23" s="858"/>
      <c r="O23" s="323">
        <f t="shared" si="3"/>
        <v>0</v>
      </c>
      <c r="P23" s="168">
        <f>(INDEX(Models!$BJ23:$BT23,,T23)*(1-R23)+INDEX(Models!$BJ23:$BT23,,T23+1)*R23-ERP_i)*Q23*Ramure*Pc/MaxiM</f>
        <v>5.3961379193183189E-8</v>
      </c>
      <c r="Q23" s="304">
        <f t="shared" si="19"/>
        <v>0.5</v>
      </c>
      <c r="R23" s="176">
        <f t="shared" si="4"/>
        <v>0.5349390262437197</v>
      </c>
      <c r="S23" s="814">
        <f t="shared" si="20"/>
        <v>-1</v>
      </c>
      <c r="T23" s="175">
        <f t="shared" si="21"/>
        <v>5</v>
      </c>
      <c r="U23" s="250">
        <f t="shared" si="22"/>
        <v>-0.46506097375628025</v>
      </c>
      <c r="V23" s="382">
        <f t="shared" si="5"/>
        <v>27.575270121372643</v>
      </c>
      <c r="W23" s="58"/>
      <c r="X23" s="157">
        <f t="shared" si="6"/>
        <v>43109</v>
      </c>
      <c r="Y23" s="384">
        <f t="shared" si="7"/>
        <v>0</v>
      </c>
      <c r="Z23" s="384">
        <f t="shared" si="8"/>
        <v>0</v>
      </c>
      <c r="AA23" s="385">
        <f t="shared" si="9"/>
        <v>0</v>
      </c>
      <c r="AB23" s="196">
        <f t="shared" si="10"/>
        <v>43109</v>
      </c>
      <c r="AC23" s="425">
        <f t="shared" si="11"/>
        <v>0</v>
      </c>
      <c r="AD23" s="168">
        <f>(INDEX(Models!$BJ23:$BT23,,AH23)*(1-AF23)+INDEX(Models!$BJ23:$BT23,,AH23+1)*AF23-ERP_i)*AE23*Ramure*Pc/MaxiM</f>
        <v>5.3961379193183189E-8</v>
      </c>
      <c r="AE23" s="304">
        <f t="shared" si="12"/>
        <v>0.5</v>
      </c>
      <c r="AF23" s="176">
        <f t="shared" si="13"/>
        <v>0.5349390262437197</v>
      </c>
      <c r="AG23" s="814">
        <f t="shared" si="23"/>
        <v>-1</v>
      </c>
      <c r="AH23" s="175">
        <f t="shared" si="14"/>
        <v>5</v>
      </c>
      <c r="AI23" s="224">
        <f t="shared" si="15"/>
        <v>-0.46506097375628025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89"/>
      <c r="D24" s="392"/>
      <c r="E24" s="384"/>
      <c r="F24" s="384"/>
      <c r="G24" s="110"/>
      <c r="I24" s="379">
        <f t="shared" si="0"/>
        <v>0</v>
      </c>
      <c r="J24" s="85">
        <v>2018</v>
      </c>
      <c r="K24" s="196">
        <f t="shared" si="1"/>
        <v>43110</v>
      </c>
      <c r="L24" s="436">
        <f t="shared" si="2"/>
        <v>0</v>
      </c>
      <c r="M24" s="858"/>
      <c r="N24" s="858"/>
      <c r="O24" s="323">
        <f t="shared" si="3"/>
        <v>0</v>
      </c>
      <c r="P24" s="168">
        <f>(INDEX(Models!$BJ24:$BT24,,T24)*(1-R24)+INDEX(Models!$BJ24:$BT24,,T24+1)*R24-ERP_i)*Q24*Ramure*Pc/MaxiM</f>
        <v>6.2410211967912502E-8</v>
      </c>
      <c r="Q24" s="304">
        <f t="shared" si="19"/>
        <v>0.5</v>
      </c>
      <c r="R24" s="176">
        <f t="shared" si="4"/>
        <v>0.53496335123280148</v>
      </c>
      <c r="S24" s="814">
        <f t="shared" si="20"/>
        <v>-1</v>
      </c>
      <c r="T24" s="175">
        <f t="shared" si="21"/>
        <v>5</v>
      </c>
      <c r="U24" s="250">
        <f t="shared" si="22"/>
        <v>-0.46503664876719852</v>
      </c>
      <c r="V24" s="382">
        <f t="shared" si="5"/>
        <v>27.812336053484891</v>
      </c>
      <c r="W24" s="58"/>
      <c r="X24" s="157">
        <f t="shared" si="6"/>
        <v>43110</v>
      </c>
      <c r="Y24" s="384">
        <f t="shared" si="7"/>
        <v>0</v>
      </c>
      <c r="Z24" s="384">
        <f t="shared" si="8"/>
        <v>0</v>
      </c>
      <c r="AA24" s="385">
        <f t="shared" si="9"/>
        <v>0</v>
      </c>
      <c r="AB24" s="196">
        <f t="shared" si="10"/>
        <v>43110</v>
      </c>
      <c r="AC24" s="425">
        <f t="shared" si="11"/>
        <v>0</v>
      </c>
      <c r="AD24" s="168">
        <f>(INDEX(Models!$BJ24:$BT24,,AH24)*(1-AF24)+INDEX(Models!$BJ24:$BT24,,AH24+1)*AF24-ERP_i)*AE24*Ramure*Pc/MaxiM</f>
        <v>6.2410211967912502E-8</v>
      </c>
      <c r="AE24" s="304">
        <f t="shared" si="12"/>
        <v>0.5</v>
      </c>
      <c r="AF24" s="176">
        <f t="shared" si="13"/>
        <v>0.53496335123280148</v>
      </c>
      <c r="AG24" s="814">
        <f t="shared" si="23"/>
        <v>-1</v>
      </c>
      <c r="AH24" s="175">
        <f t="shared" si="14"/>
        <v>5</v>
      </c>
      <c r="AI24" s="224">
        <f t="shared" si="15"/>
        <v>-0.46503664876719852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89"/>
      <c r="D25" s="392"/>
      <c r="E25" s="384"/>
      <c r="F25" s="384"/>
      <c r="G25" s="110"/>
      <c r="I25" s="379">
        <f t="shared" si="0"/>
        <v>0</v>
      </c>
      <c r="J25" s="85">
        <v>2018</v>
      </c>
      <c r="K25" s="196">
        <f t="shared" si="1"/>
        <v>43111</v>
      </c>
      <c r="L25" s="436">
        <f t="shared" si="2"/>
        <v>0</v>
      </c>
      <c r="M25" s="858"/>
      <c r="N25" s="858"/>
      <c r="O25" s="323">
        <f t="shared" si="3"/>
        <v>0</v>
      </c>
      <c r="P25" s="168">
        <f>(INDEX(Models!$BJ25:$BT25,,T25)*(1-R25)+INDEX(Models!$BJ25:$BT25,,T25+1)*R25-ERP_i)*Q25*Ramure*Pc/MaxiM</f>
        <v>7.1200544091090549E-8</v>
      </c>
      <c r="Q25" s="304">
        <f t="shared" si="19"/>
        <v>0.5</v>
      </c>
      <c r="R25" s="176">
        <f t="shared" si="4"/>
        <v>0.53498869250722114</v>
      </c>
      <c r="S25" s="814">
        <f t="shared" si="20"/>
        <v>-1</v>
      </c>
      <c r="T25" s="175">
        <f t="shared" si="21"/>
        <v>5</v>
      </c>
      <c r="U25" s="250">
        <f t="shared" si="22"/>
        <v>-0.46501130749277891</v>
      </c>
      <c r="V25" s="382">
        <f t="shared" si="5"/>
        <v>28.061735257900782</v>
      </c>
      <c r="W25" s="58"/>
      <c r="X25" s="157">
        <f t="shared" si="6"/>
        <v>43111</v>
      </c>
      <c r="Y25" s="384">
        <f t="shared" si="7"/>
        <v>0</v>
      </c>
      <c r="Z25" s="384">
        <f t="shared" si="8"/>
        <v>0</v>
      </c>
      <c r="AA25" s="385">
        <f t="shared" si="9"/>
        <v>0</v>
      </c>
      <c r="AB25" s="196">
        <f t="shared" si="10"/>
        <v>43111</v>
      </c>
      <c r="AC25" s="425">
        <f t="shared" si="11"/>
        <v>0</v>
      </c>
      <c r="AD25" s="168">
        <f>(INDEX(Models!$BJ25:$BT25,,AH25)*(1-AF25)+INDEX(Models!$BJ25:$BT25,,AH25+1)*AF25-ERP_i)*AE25*Ramure*Pc/MaxiM</f>
        <v>7.1200544091090549E-8</v>
      </c>
      <c r="AE25" s="304">
        <f t="shared" si="12"/>
        <v>0.5</v>
      </c>
      <c r="AF25" s="176">
        <f t="shared" si="13"/>
        <v>0.53498869250722114</v>
      </c>
      <c r="AG25" s="814">
        <f t="shared" si="23"/>
        <v>-1</v>
      </c>
      <c r="AH25" s="175">
        <f t="shared" si="14"/>
        <v>5</v>
      </c>
      <c r="AI25" s="224">
        <f t="shared" si="15"/>
        <v>-0.46501130749277891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89"/>
      <c r="D26" s="392"/>
      <c r="E26" s="384"/>
      <c r="F26" s="384"/>
      <c r="G26" s="110"/>
      <c r="I26" s="379">
        <f t="shared" si="0"/>
        <v>0</v>
      </c>
      <c r="J26" s="85">
        <v>2018</v>
      </c>
      <c r="K26" s="196">
        <f t="shared" si="1"/>
        <v>43112</v>
      </c>
      <c r="L26" s="436">
        <f t="shared" si="2"/>
        <v>0</v>
      </c>
      <c r="M26" s="858"/>
      <c r="N26" s="858"/>
      <c r="O26" s="323">
        <f t="shared" si="3"/>
        <v>0</v>
      </c>
      <c r="P26" s="168">
        <f>(INDEX(Models!$BJ26:$BT26,,T26)*(1-R26)+INDEX(Models!$BJ26:$BT26,,T26+1)*R26-ERP_i)*Q26*Ramure*Pc/MaxiM</f>
        <v>8.0319550279913713E-8</v>
      </c>
      <c r="Q26" s="304">
        <f t="shared" si="19"/>
        <v>0.5</v>
      </c>
      <c r="R26" s="176">
        <f t="shared" si="4"/>
        <v>0.53501509234382372</v>
      </c>
      <c r="S26" s="814">
        <f t="shared" si="20"/>
        <v>-1</v>
      </c>
      <c r="T26" s="175">
        <f t="shared" si="21"/>
        <v>5</v>
      </c>
      <c r="U26" s="250">
        <f t="shared" si="22"/>
        <v>-0.46498490765617623</v>
      </c>
      <c r="V26" s="382">
        <f t="shared" si="5"/>
        <v>28.322406445156322</v>
      </c>
      <c r="W26" s="58"/>
      <c r="X26" s="157">
        <f t="shared" si="6"/>
        <v>43112</v>
      </c>
      <c r="Y26" s="384">
        <f t="shared" si="7"/>
        <v>0</v>
      </c>
      <c r="Z26" s="384">
        <f t="shared" si="8"/>
        <v>0</v>
      </c>
      <c r="AA26" s="385">
        <f t="shared" si="9"/>
        <v>0</v>
      </c>
      <c r="AB26" s="196">
        <f t="shared" si="10"/>
        <v>43112</v>
      </c>
      <c r="AC26" s="425">
        <f t="shared" si="11"/>
        <v>0</v>
      </c>
      <c r="AD26" s="168">
        <f>(INDEX(Models!$BJ26:$BT26,,AH26)*(1-AF26)+INDEX(Models!$BJ26:$BT26,,AH26+1)*AF26-ERP_i)*AE26*Ramure*Pc/MaxiM</f>
        <v>8.0319550279913713E-8</v>
      </c>
      <c r="AE26" s="304">
        <f t="shared" si="12"/>
        <v>0.5</v>
      </c>
      <c r="AF26" s="176">
        <f t="shared" si="13"/>
        <v>0.53501509234382372</v>
      </c>
      <c r="AG26" s="814">
        <f t="shared" si="23"/>
        <v>-1</v>
      </c>
      <c r="AH26" s="175">
        <f t="shared" si="14"/>
        <v>5</v>
      </c>
      <c r="AI26" s="224">
        <f t="shared" si="15"/>
        <v>-0.46498490765617623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89"/>
      <c r="D27" s="392"/>
      <c r="E27" s="384"/>
      <c r="F27" s="384"/>
      <c r="G27" s="110"/>
      <c r="I27" s="379">
        <f t="shared" si="0"/>
        <v>0</v>
      </c>
      <c r="J27" s="85">
        <v>2018</v>
      </c>
      <c r="K27" s="196">
        <f t="shared" si="1"/>
        <v>43113</v>
      </c>
      <c r="L27" s="436">
        <f t="shared" si="2"/>
        <v>0</v>
      </c>
      <c r="M27" s="858"/>
      <c r="N27" s="858"/>
      <c r="O27" s="323">
        <f t="shared" si="3"/>
        <v>0</v>
      </c>
      <c r="P27" s="168">
        <f>(INDEX(Models!$BJ27:$BT27,,T27)*(1-R27)+INDEX(Models!$BJ27:$BT27,,T27+1)*R27-ERP_i)*Q27*Ramure*Pc/MaxiM</f>
        <v>8.9754710929359817E-8</v>
      </c>
      <c r="Q27" s="304">
        <f t="shared" si="19"/>
        <v>0.5</v>
      </c>
      <c r="R27" s="176">
        <f t="shared" si="4"/>
        <v>0.53504259476250526</v>
      </c>
      <c r="S27" s="814">
        <f t="shared" si="20"/>
        <v>-1</v>
      </c>
      <c r="T27" s="175">
        <f t="shared" si="21"/>
        <v>5</v>
      </c>
      <c r="U27" s="250">
        <f t="shared" si="22"/>
        <v>-0.46495740523749479</v>
      </c>
      <c r="V27" s="382">
        <f t="shared" si="5"/>
        <v>28.593288328947498</v>
      </c>
      <c r="W27" s="58"/>
      <c r="X27" s="157">
        <f t="shared" si="6"/>
        <v>43113</v>
      </c>
      <c r="Y27" s="384">
        <f t="shared" si="7"/>
        <v>0</v>
      </c>
      <c r="Z27" s="384">
        <f t="shared" si="8"/>
        <v>0</v>
      </c>
      <c r="AA27" s="385">
        <f t="shared" si="9"/>
        <v>0</v>
      </c>
      <c r="AB27" s="196">
        <f t="shared" si="10"/>
        <v>43113</v>
      </c>
      <c r="AC27" s="425">
        <f t="shared" si="11"/>
        <v>0</v>
      </c>
      <c r="AD27" s="168">
        <f>(INDEX(Models!$BJ27:$BT27,,AH27)*(1-AF27)+INDEX(Models!$BJ27:$BT27,,AH27+1)*AF27-ERP_i)*AE27*Ramure*Pc/MaxiM</f>
        <v>8.9754710929359817E-8</v>
      </c>
      <c r="AE27" s="304">
        <f t="shared" si="12"/>
        <v>0.5</v>
      </c>
      <c r="AF27" s="176">
        <f t="shared" si="13"/>
        <v>0.53504259476250526</v>
      </c>
      <c r="AG27" s="814">
        <f t="shared" si="23"/>
        <v>-1</v>
      </c>
      <c r="AH27" s="175">
        <f t="shared" si="14"/>
        <v>5</v>
      </c>
      <c r="AI27" s="224">
        <f t="shared" si="15"/>
        <v>-0.46495740523749479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89"/>
      <c r="D28" s="392"/>
      <c r="E28" s="384"/>
      <c r="F28" s="384"/>
      <c r="G28" s="110"/>
      <c r="I28" s="379">
        <f t="shared" si="0"/>
        <v>0</v>
      </c>
      <c r="J28" s="85">
        <v>2018</v>
      </c>
      <c r="K28" s="196">
        <f t="shared" si="1"/>
        <v>43114</v>
      </c>
      <c r="L28" s="436">
        <f t="shared" si="2"/>
        <v>0</v>
      </c>
      <c r="M28" s="858"/>
      <c r="N28" s="858"/>
      <c r="O28" s="323">
        <f t="shared" si="3"/>
        <v>0</v>
      </c>
      <c r="P28" s="168">
        <f>(INDEX(Models!$BJ28:$BT28,,T28)*(1-R28)+INDEX(Models!$BJ28:$BT28,,T28+1)*R28-ERP_i)*Q28*Ramure*Pc/MaxiM</f>
        <v>9.9493885165055789E-8</v>
      </c>
      <c r="Q28" s="304">
        <f t="shared" si="19"/>
        <v>0.5</v>
      </c>
      <c r="R28" s="176">
        <f t="shared" si="4"/>
        <v>0.53507124559673891</v>
      </c>
      <c r="S28" s="814">
        <f t="shared" si="20"/>
        <v>-1</v>
      </c>
      <c r="T28" s="175">
        <f t="shared" si="21"/>
        <v>5</v>
      </c>
      <c r="U28" s="250">
        <f t="shared" si="22"/>
        <v>-0.46492875440326109</v>
      </c>
      <c r="V28" s="382">
        <f t="shared" si="5"/>
        <v>28.873319620544621</v>
      </c>
      <c r="W28" s="58"/>
      <c r="X28" s="157">
        <f t="shared" si="6"/>
        <v>43114</v>
      </c>
      <c r="Y28" s="384">
        <f t="shared" si="7"/>
        <v>0</v>
      </c>
      <c r="Z28" s="384">
        <f t="shared" si="8"/>
        <v>0</v>
      </c>
      <c r="AA28" s="385">
        <f t="shared" si="9"/>
        <v>0</v>
      </c>
      <c r="AB28" s="196">
        <f t="shared" si="10"/>
        <v>43114</v>
      </c>
      <c r="AC28" s="425">
        <f t="shared" si="11"/>
        <v>0</v>
      </c>
      <c r="AD28" s="168">
        <f>(INDEX(Models!$BJ28:$BT28,,AH28)*(1-AF28)+INDEX(Models!$BJ28:$BT28,,AH28+1)*AF28-ERP_i)*AE28*Ramure*Pc/MaxiM</f>
        <v>9.9493885165055789E-8</v>
      </c>
      <c r="AE28" s="304">
        <f t="shared" si="12"/>
        <v>0.5</v>
      </c>
      <c r="AF28" s="176">
        <f t="shared" si="13"/>
        <v>0.53507124559673891</v>
      </c>
      <c r="AG28" s="814">
        <f t="shared" si="23"/>
        <v>-1</v>
      </c>
      <c r="AH28" s="175">
        <f t="shared" si="14"/>
        <v>5</v>
      </c>
      <c r="AI28" s="224">
        <f t="shared" si="15"/>
        <v>-0.46492875440326109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89"/>
      <c r="D29" s="392"/>
      <c r="E29" s="384"/>
      <c r="F29" s="384"/>
      <c r="G29" s="110"/>
      <c r="I29" s="379">
        <f t="shared" si="0"/>
        <v>0</v>
      </c>
      <c r="J29" s="85">
        <v>2018</v>
      </c>
      <c r="K29" s="196">
        <f t="shared" si="1"/>
        <v>43115</v>
      </c>
      <c r="L29" s="436">
        <f t="shared" si="2"/>
        <v>0</v>
      </c>
      <c r="M29" s="858"/>
      <c r="N29" s="858"/>
      <c r="O29" s="323">
        <f t="shared" si="3"/>
        <v>0</v>
      </c>
      <c r="P29" s="168">
        <f>(INDEX(Models!$BJ29:$BT29,,T29)*(1-R29)+INDEX(Models!$BJ29:$BT29,,T29+1)*R29-ERP_i)*Q29*Ramure*Pc/MaxiM</f>
        <v>1.0952536303201412E-7</v>
      </c>
      <c r="Q29" s="304">
        <f t="shared" si="19"/>
        <v>0.5</v>
      </c>
      <c r="R29" s="176">
        <f t="shared" si="4"/>
        <v>0.53510109256684224</v>
      </c>
      <c r="S29" s="814">
        <f t="shared" si="20"/>
        <v>-1</v>
      </c>
      <c r="T29" s="175">
        <f t="shared" si="21"/>
        <v>5</v>
      </c>
      <c r="U29" s="250">
        <f t="shared" si="22"/>
        <v>-0.4648989074331577</v>
      </c>
      <c r="V29" s="382">
        <f t="shared" si="5"/>
        <v>29.161439034116594</v>
      </c>
      <c r="W29" s="58"/>
      <c r="X29" s="157">
        <f t="shared" si="6"/>
        <v>43115</v>
      </c>
      <c r="Y29" s="384">
        <f t="shared" si="7"/>
        <v>0</v>
      </c>
      <c r="Z29" s="384">
        <f t="shared" si="8"/>
        <v>0</v>
      </c>
      <c r="AA29" s="385">
        <f t="shared" si="9"/>
        <v>0</v>
      </c>
      <c r="AB29" s="196">
        <f t="shared" si="10"/>
        <v>43115</v>
      </c>
      <c r="AC29" s="425">
        <f t="shared" si="11"/>
        <v>0</v>
      </c>
      <c r="AD29" s="168">
        <f>(INDEX(Models!$BJ29:$BT29,,AH29)*(1-AF29)+INDEX(Models!$BJ29:$BT29,,AH29+1)*AF29-ERP_i)*AE29*Ramure*Pc/MaxiM</f>
        <v>1.0952536303201412E-7</v>
      </c>
      <c r="AE29" s="304">
        <f t="shared" si="12"/>
        <v>0.5</v>
      </c>
      <c r="AF29" s="176">
        <f t="shared" si="13"/>
        <v>0.53510109256684224</v>
      </c>
      <c r="AG29" s="814">
        <f t="shared" si="23"/>
        <v>-1</v>
      </c>
      <c r="AH29" s="175">
        <f t="shared" si="14"/>
        <v>5</v>
      </c>
      <c r="AI29" s="224">
        <f t="shared" si="15"/>
        <v>-0.4648989074331577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89"/>
      <c r="D30" s="392"/>
      <c r="E30" s="384"/>
      <c r="F30" s="384"/>
      <c r="G30" s="110"/>
      <c r="I30" s="379">
        <f t="shared" si="0"/>
        <v>0</v>
      </c>
      <c r="J30" s="85">
        <v>2018</v>
      </c>
      <c r="K30" s="196">
        <f t="shared" si="1"/>
        <v>43116</v>
      </c>
      <c r="L30" s="436">
        <f t="shared" si="2"/>
        <v>0</v>
      </c>
      <c r="M30" s="858"/>
      <c r="N30" s="858"/>
      <c r="O30" s="323">
        <f t="shared" si="3"/>
        <v>0</v>
      </c>
      <c r="P30" s="168">
        <f>(INDEX(Models!$BJ30:$BT30,,T30)*(1-R30)+INDEX(Models!$BJ30:$BT30,,T30+1)*R30-ERP_i)*Q30*Ramure*Pc/MaxiM</f>
        <v>1.1965223342594054E-7</v>
      </c>
      <c r="Q30" s="304">
        <f t="shared" si="19"/>
        <v>0.5</v>
      </c>
      <c r="R30" s="176">
        <f t="shared" si="4"/>
        <v>0.5351321853560782</v>
      </c>
      <c r="S30" s="814">
        <f t="shared" si="20"/>
        <v>-1</v>
      </c>
      <c r="T30" s="175">
        <f t="shared" si="21"/>
        <v>5</v>
      </c>
      <c r="U30" s="250">
        <f t="shared" si="22"/>
        <v>-0.46486781464392174</v>
      </c>
      <c r="V30" s="382">
        <f t="shared" si="5"/>
        <v>29.456585284219791</v>
      </c>
      <c r="W30" s="58"/>
      <c r="X30" s="157">
        <f t="shared" si="6"/>
        <v>43116</v>
      </c>
      <c r="Y30" s="384">
        <f t="shared" si="7"/>
        <v>0</v>
      </c>
      <c r="Z30" s="384">
        <f t="shared" si="8"/>
        <v>0</v>
      </c>
      <c r="AA30" s="385">
        <f t="shared" si="9"/>
        <v>0</v>
      </c>
      <c r="AB30" s="196">
        <f t="shared" si="10"/>
        <v>43116</v>
      </c>
      <c r="AC30" s="425">
        <f t="shared" si="11"/>
        <v>0</v>
      </c>
      <c r="AD30" s="168">
        <f>(INDEX(Models!$BJ30:$BT30,,AH30)*(1-AF30)+INDEX(Models!$BJ30:$BT30,,AH30+1)*AF30-ERP_i)*AE30*Ramure*Pc/MaxiM</f>
        <v>1.1965223342594054E-7</v>
      </c>
      <c r="AE30" s="304">
        <f t="shared" si="12"/>
        <v>0.5</v>
      </c>
      <c r="AF30" s="176">
        <f t="shared" si="13"/>
        <v>0.5351321853560782</v>
      </c>
      <c r="AG30" s="814">
        <f t="shared" si="23"/>
        <v>-1</v>
      </c>
      <c r="AH30" s="175">
        <f t="shared" si="14"/>
        <v>5</v>
      </c>
      <c r="AI30" s="224">
        <f t="shared" si="15"/>
        <v>-0.46486781464392174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43117</v>
      </c>
      <c r="B31" s="616"/>
      <c r="C31" s="389"/>
      <c r="D31" s="392"/>
      <c r="E31" s="384"/>
      <c r="F31" s="384"/>
      <c r="G31" s="110"/>
      <c r="I31" s="379">
        <f t="shared" si="0"/>
        <v>0</v>
      </c>
      <c r="J31" s="85">
        <v>2018</v>
      </c>
      <c r="K31" s="196">
        <f t="shared" si="1"/>
        <v>43117</v>
      </c>
      <c r="L31" s="436">
        <f t="shared" si="2"/>
        <v>0</v>
      </c>
      <c r="M31" s="858"/>
      <c r="N31" s="858"/>
      <c r="O31" s="323">
        <f t="shared" si="3"/>
        <v>0</v>
      </c>
      <c r="P31" s="168">
        <f>(INDEX(Models!$BJ31:$BT31,,T31)*(1-R31)+INDEX(Models!$BJ31:$BT31,,T31+1)*R31-ERP_i)*Q31*Ramure*Pc/MaxiM</f>
        <v>1.2982436738767474E-7</v>
      </c>
      <c r="Q31" s="304">
        <f t="shared" si="19"/>
        <v>0.5</v>
      </c>
      <c r="R31" s="176">
        <f t="shared" si="4"/>
        <v>0.53516457568969078</v>
      </c>
      <c r="S31" s="814">
        <f t="shared" si="20"/>
        <v>-1</v>
      </c>
      <c r="T31" s="175">
        <f t="shared" si="21"/>
        <v>5</v>
      </c>
      <c r="U31" s="250">
        <f t="shared" si="22"/>
        <v>-0.46483542431030928</v>
      </c>
      <c r="V31" s="382">
        <f t="shared" si="5"/>
        <v>29.757697087537313</v>
      </c>
      <c r="W31" s="58"/>
      <c r="X31" s="157">
        <f t="shared" si="6"/>
        <v>43117</v>
      </c>
      <c r="Y31" s="384">
        <f t="shared" si="7"/>
        <v>0</v>
      </c>
      <c r="Z31" s="384">
        <f t="shared" si="8"/>
        <v>0</v>
      </c>
      <c r="AA31" s="385">
        <f t="shared" si="9"/>
        <v>0</v>
      </c>
      <c r="AB31" s="196">
        <f t="shared" si="10"/>
        <v>43117</v>
      </c>
      <c r="AC31" s="425">
        <f t="shared" si="11"/>
        <v>0</v>
      </c>
      <c r="AD31" s="168">
        <f>(INDEX(Models!$BJ31:$BT31,,AH31)*(1-AF31)+INDEX(Models!$BJ31:$BT31,,AH31+1)*AF31-ERP_i)*AE31*Ramure*Pc/MaxiM</f>
        <v>1.2982436738767474E-7</v>
      </c>
      <c r="AE31" s="304">
        <f t="shared" si="12"/>
        <v>0.5</v>
      </c>
      <c r="AF31" s="176">
        <f t="shared" si="13"/>
        <v>0.53516457568969078</v>
      </c>
      <c r="AG31" s="814">
        <f t="shared" si="23"/>
        <v>-1</v>
      </c>
      <c r="AH31" s="175">
        <f t="shared" si="14"/>
        <v>5</v>
      </c>
      <c r="AI31" s="224">
        <f t="shared" si="15"/>
        <v>-0.46483542431030928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89"/>
      <c r="D32" s="392"/>
      <c r="E32" s="384"/>
      <c r="F32" s="384"/>
      <c r="G32" s="110"/>
      <c r="I32" s="379">
        <f t="shared" si="0"/>
        <v>0</v>
      </c>
      <c r="J32" s="85">
        <v>2018</v>
      </c>
      <c r="K32" s="196">
        <f t="shared" si="1"/>
        <v>43118</v>
      </c>
      <c r="L32" s="436">
        <f t="shared" si="2"/>
        <v>0</v>
      </c>
      <c r="M32" s="858"/>
      <c r="N32" s="858"/>
      <c r="O32" s="323">
        <f t="shared" si="3"/>
        <v>0</v>
      </c>
      <c r="P32" s="168">
        <f>(INDEX(Models!$BJ32:$BT32,,T32)*(1-R32)+INDEX(Models!$BJ32:$BT32,,T32+1)*R32-ERP_i)*Q32*Ramure*Pc/MaxiM</f>
        <v>1.3998601032043034E-7</v>
      </c>
      <c r="Q32" s="304">
        <f t="shared" si="19"/>
        <v>0.5</v>
      </c>
      <c r="R32" s="176">
        <f t="shared" si="4"/>
        <v>0.53519831741697577</v>
      </c>
      <c r="S32" s="814">
        <f t="shared" si="20"/>
        <v>-1</v>
      </c>
      <c r="T32" s="175">
        <f t="shared" si="21"/>
        <v>5</v>
      </c>
      <c r="U32" s="250">
        <f t="shared" si="22"/>
        <v>-0.46480168258302423</v>
      </c>
      <c r="V32" s="382">
        <f t="shared" si="5"/>
        <v>30.063713156977915</v>
      </c>
      <c r="W32" s="58"/>
      <c r="X32" s="157">
        <f t="shared" si="6"/>
        <v>43118</v>
      </c>
      <c r="Y32" s="384">
        <f t="shared" si="7"/>
        <v>0</v>
      </c>
      <c r="Z32" s="384">
        <f t="shared" si="8"/>
        <v>0</v>
      </c>
      <c r="AA32" s="385">
        <f t="shared" si="9"/>
        <v>0</v>
      </c>
      <c r="AB32" s="196">
        <f t="shared" si="10"/>
        <v>43118</v>
      </c>
      <c r="AC32" s="425">
        <f t="shared" si="11"/>
        <v>0</v>
      </c>
      <c r="AD32" s="168">
        <f>(INDEX(Models!$BJ32:$BT32,,AH32)*(1-AF32)+INDEX(Models!$BJ32:$BT32,,AH32+1)*AF32-ERP_i)*AE32*Ramure*Pc/MaxiM</f>
        <v>1.3998601032043034E-7</v>
      </c>
      <c r="AE32" s="304">
        <f t="shared" si="12"/>
        <v>0.5</v>
      </c>
      <c r="AF32" s="176">
        <f t="shared" si="13"/>
        <v>0.53519831741697577</v>
      </c>
      <c r="AG32" s="814">
        <f t="shared" si="23"/>
        <v>-1</v>
      </c>
      <c r="AH32" s="175">
        <f t="shared" si="14"/>
        <v>5</v>
      </c>
      <c r="AI32" s="224">
        <f t="shared" si="15"/>
        <v>-0.46480168258302423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89"/>
      <c r="D33" s="392"/>
      <c r="E33" s="384"/>
      <c r="F33" s="384"/>
      <c r="G33" s="110"/>
      <c r="I33" s="379">
        <f t="shared" si="0"/>
        <v>0</v>
      </c>
      <c r="J33" s="85">
        <v>2018</v>
      </c>
      <c r="K33" s="196">
        <f t="shared" si="1"/>
        <v>43119</v>
      </c>
      <c r="L33" s="436">
        <f t="shared" si="2"/>
        <v>0</v>
      </c>
      <c r="M33" s="858"/>
      <c r="N33" s="858"/>
      <c r="O33" s="323">
        <f t="shared" si="3"/>
        <v>0</v>
      </c>
      <c r="P33" s="168">
        <f>(INDEX(Models!$BJ33:$BT33,,T33)*(1-R33)+INDEX(Models!$BJ33:$BT33,,T33+1)*R33-ERP_i)*Q33*Ramure*Pc/MaxiM</f>
        <v>1.5007961323520125E-7</v>
      </c>
      <c r="Q33" s="304">
        <f t="shared" si="19"/>
        <v>0.5</v>
      </c>
      <c r="R33" s="176">
        <f t="shared" si="4"/>
        <v>0.53523346659649229</v>
      </c>
      <c r="S33" s="814">
        <f t="shared" si="20"/>
        <v>-1</v>
      </c>
      <c r="T33" s="175">
        <f t="shared" si="21"/>
        <v>5</v>
      </c>
      <c r="U33" s="250">
        <f t="shared" si="22"/>
        <v>-0.46476653340350771</v>
      </c>
      <c r="V33" s="382">
        <f t="shared" si="5"/>
        <v>30.373572207159242</v>
      </c>
      <c r="W33" s="58"/>
      <c r="X33" s="157">
        <f t="shared" si="6"/>
        <v>43119</v>
      </c>
      <c r="Y33" s="384">
        <f t="shared" si="7"/>
        <v>0</v>
      </c>
      <c r="Z33" s="384">
        <f t="shared" si="8"/>
        <v>0</v>
      </c>
      <c r="AA33" s="385">
        <f t="shared" si="9"/>
        <v>0</v>
      </c>
      <c r="AB33" s="196">
        <f t="shared" si="10"/>
        <v>43119</v>
      </c>
      <c r="AC33" s="425">
        <f t="shared" si="11"/>
        <v>0</v>
      </c>
      <c r="AD33" s="168">
        <f>(INDEX(Models!$BJ33:$BT33,,AH33)*(1-AF33)+INDEX(Models!$BJ33:$BT33,,AH33+1)*AF33-ERP_i)*AE33*Ramure*Pc/MaxiM</f>
        <v>1.5007961323520125E-7</v>
      </c>
      <c r="AE33" s="304">
        <f t="shared" si="12"/>
        <v>0.5</v>
      </c>
      <c r="AF33" s="176">
        <f t="shared" si="13"/>
        <v>0.53523346659649229</v>
      </c>
      <c r="AG33" s="814">
        <f t="shared" si="23"/>
        <v>-1</v>
      </c>
      <c r="AH33" s="175">
        <f t="shared" si="14"/>
        <v>5</v>
      </c>
      <c r="AI33" s="224">
        <f t="shared" si="15"/>
        <v>-0.46476653340350771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89"/>
      <c r="D34" s="392"/>
      <c r="E34" s="384"/>
      <c r="F34" s="384"/>
      <c r="G34" s="110"/>
      <c r="I34" s="379">
        <f t="shared" si="0"/>
        <v>0</v>
      </c>
      <c r="J34" s="85">
        <v>2018</v>
      </c>
      <c r="K34" s="196">
        <f t="shared" si="1"/>
        <v>43120</v>
      </c>
      <c r="L34" s="436">
        <f t="shared" si="2"/>
        <v>0</v>
      </c>
      <c r="M34" s="858"/>
      <c r="N34" s="858"/>
      <c r="O34" s="323">
        <f t="shared" si="3"/>
        <v>0</v>
      </c>
      <c r="P34" s="168">
        <f>(INDEX(Models!$BJ34:$BT34,,T34)*(1-R34)+INDEX(Models!$BJ34:$BT34,,T34+1)*R34-ERP_i)*Q34*Ramure*Pc/MaxiM</f>
        <v>1.6004649207228575E-7</v>
      </c>
      <c r="Q34" s="304">
        <f t="shared" si="19"/>
        <v>0.5</v>
      </c>
      <c r="R34" s="176">
        <f t="shared" si="4"/>
        <v>0.53527008158451794</v>
      </c>
      <c r="S34" s="814">
        <f t="shared" si="20"/>
        <v>-1</v>
      </c>
      <c r="T34" s="175">
        <f t="shared" si="21"/>
        <v>5</v>
      </c>
      <c r="U34" s="250">
        <f t="shared" si="22"/>
        <v>-0.46472991841548211</v>
      </c>
      <c r="V34" s="382">
        <f t="shared" si="5"/>
        <v>30.686212951571857</v>
      </c>
      <c r="W34" s="58"/>
      <c r="X34" s="157">
        <f t="shared" si="6"/>
        <v>43120</v>
      </c>
      <c r="Y34" s="384">
        <f t="shared" si="7"/>
        <v>0</v>
      </c>
      <c r="Z34" s="384">
        <f t="shared" si="8"/>
        <v>0</v>
      </c>
      <c r="AA34" s="385">
        <f t="shared" si="9"/>
        <v>0</v>
      </c>
      <c r="AB34" s="196">
        <f t="shared" si="10"/>
        <v>43120</v>
      </c>
      <c r="AC34" s="425">
        <f t="shared" si="11"/>
        <v>0</v>
      </c>
      <c r="AD34" s="168">
        <f>(INDEX(Models!$BJ34:$BT34,,AH34)*(1-AF34)+INDEX(Models!$BJ34:$BT34,,AH34+1)*AF34-ERP_i)*AE34*Ramure*Pc/MaxiM</f>
        <v>1.6004649207228575E-7</v>
      </c>
      <c r="AE34" s="304">
        <f t="shared" si="12"/>
        <v>0.5</v>
      </c>
      <c r="AF34" s="176">
        <f t="shared" si="13"/>
        <v>0.53527008158451794</v>
      </c>
      <c r="AG34" s="814">
        <f t="shared" si="23"/>
        <v>-1</v>
      </c>
      <c r="AH34" s="175">
        <f t="shared" si="14"/>
        <v>5</v>
      </c>
      <c r="AI34" s="224">
        <f t="shared" si="15"/>
        <v>-0.46472991841548211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89"/>
      <c r="D35" s="392"/>
      <c r="E35" s="384"/>
      <c r="F35" s="384"/>
      <c r="G35" s="110"/>
      <c r="I35" s="379">
        <f t="shared" si="0"/>
        <v>0</v>
      </c>
      <c r="J35" s="85">
        <v>2018</v>
      </c>
      <c r="K35" s="196">
        <f t="shared" si="1"/>
        <v>43121</v>
      </c>
      <c r="L35" s="436">
        <f t="shared" si="2"/>
        <v>0</v>
      </c>
      <c r="M35" s="858"/>
      <c r="N35" s="858"/>
      <c r="O35" s="323">
        <f t="shared" si="3"/>
        <v>0</v>
      </c>
      <c r="P35" s="168">
        <f>(INDEX(Models!$BJ35:$BT35,,T35)*(1-R35)+INDEX(Models!$BJ35:$BT35,,T35+1)*R35-ERP_i)*Q35*Ramure*Pc/MaxiM</f>
        <v>1.6982630223048035E-7</v>
      </c>
      <c r="Q35" s="304">
        <f t="shared" si="19"/>
        <v>0.5</v>
      </c>
      <c r="R35" s="176">
        <f t="shared" si="4"/>
        <v>0.53530822312685955</v>
      </c>
      <c r="S35" s="814">
        <f t="shared" si="20"/>
        <v>-1</v>
      </c>
      <c r="T35" s="175">
        <f t="shared" si="21"/>
        <v>5</v>
      </c>
      <c r="U35" s="250">
        <f t="shared" si="22"/>
        <v>-0.46469177687314039</v>
      </c>
      <c r="V35" s="382">
        <f t="shared" si="5"/>
        <v>31.00057410573806</v>
      </c>
      <c r="W35" s="58"/>
      <c r="X35" s="157">
        <f t="shared" si="6"/>
        <v>43121</v>
      </c>
      <c r="Y35" s="384">
        <f t="shared" si="7"/>
        <v>0</v>
      </c>
      <c r="Z35" s="384">
        <f t="shared" si="8"/>
        <v>0</v>
      </c>
      <c r="AA35" s="385">
        <f t="shared" si="9"/>
        <v>0</v>
      </c>
      <c r="AB35" s="196">
        <f t="shared" si="10"/>
        <v>43121</v>
      </c>
      <c r="AC35" s="425">
        <f t="shared" si="11"/>
        <v>0</v>
      </c>
      <c r="AD35" s="168">
        <f>(INDEX(Models!$BJ35:$BT35,,AH35)*(1-AF35)+INDEX(Models!$BJ35:$BT35,,AH35+1)*AF35-ERP_i)*AE35*Ramure*Pc/MaxiM</f>
        <v>1.6982630223048035E-7</v>
      </c>
      <c r="AE35" s="304">
        <f t="shared" si="12"/>
        <v>0.5</v>
      </c>
      <c r="AF35" s="176">
        <f t="shared" si="13"/>
        <v>0.53530822312685955</v>
      </c>
      <c r="AG35" s="814">
        <f t="shared" si="23"/>
        <v>-1</v>
      </c>
      <c r="AH35" s="175">
        <f t="shared" si="14"/>
        <v>5</v>
      </c>
      <c r="AI35" s="224">
        <f t="shared" si="15"/>
        <v>-0.46469177687314039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89"/>
      <c r="D36" s="392"/>
      <c r="E36" s="384"/>
      <c r="F36" s="384"/>
      <c r="G36" s="110"/>
      <c r="I36" s="379">
        <f t="shared" si="0"/>
        <v>0</v>
      </c>
      <c r="J36" s="85">
        <v>2018</v>
      </c>
      <c r="K36" s="196">
        <f t="shared" si="1"/>
        <v>43122</v>
      </c>
      <c r="L36" s="436">
        <f t="shared" si="2"/>
        <v>0</v>
      </c>
      <c r="M36" s="858"/>
      <c r="N36" s="858"/>
      <c r="O36" s="323">
        <f t="shared" si="3"/>
        <v>0</v>
      </c>
      <c r="P36" s="168">
        <f>(INDEX(Models!$BJ36:$BT36,,T36)*(1-R36)+INDEX(Models!$BJ36:$BT36,,T36+1)*R36-ERP_i)*Q36*Ramure*Pc/MaxiM</f>
        <v>1.7935559430463965E-7</v>
      </c>
      <c r="Q36" s="304">
        <f t="shared" si="19"/>
        <v>0.5</v>
      </c>
      <c r="R36" s="176">
        <f t="shared" si="4"/>
        <v>0.53534795445412886</v>
      </c>
      <c r="S36" s="814">
        <f t="shared" si="20"/>
        <v>-1</v>
      </c>
      <c r="T36" s="175">
        <f t="shared" si="21"/>
        <v>5</v>
      </c>
      <c r="U36" s="250">
        <f t="shared" si="22"/>
        <v>-0.46465204554587114</v>
      </c>
      <c r="V36" s="382">
        <f t="shared" si="5"/>
        <v>31.315594383693817</v>
      </c>
      <c r="W36" s="58"/>
      <c r="X36" s="157">
        <f t="shared" si="6"/>
        <v>43122</v>
      </c>
      <c r="Y36" s="384">
        <f t="shared" si="7"/>
        <v>0</v>
      </c>
      <c r="Z36" s="384">
        <f t="shared" si="8"/>
        <v>0</v>
      </c>
      <c r="AA36" s="385">
        <f t="shared" si="9"/>
        <v>0</v>
      </c>
      <c r="AB36" s="196">
        <f t="shared" si="10"/>
        <v>43122</v>
      </c>
      <c r="AC36" s="425">
        <f t="shared" si="11"/>
        <v>0</v>
      </c>
      <c r="AD36" s="168">
        <f>(INDEX(Models!$BJ36:$BT36,,AH36)*(1-AF36)+INDEX(Models!$BJ36:$BT36,,AH36+1)*AF36-ERP_i)*AE36*Ramure*Pc/MaxiM</f>
        <v>1.7935559430463965E-7</v>
      </c>
      <c r="AE36" s="304">
        <f t="shared" si="12"/>
        <v>0.5</v>
      </c>
      <c r="AF36" s="176">
        <f t="shared" si="13"/>
        <v>0.53534795445412886</v>
      </c>
      <c r="AG36" s="814">
        <f t="shared" si="23"/>
        <v>-1</v>
      </c>
      <c r="AH36" s="175">
        <f t="shared" si="14"/>
        <v>5</v>
      </c>
      <c r="AI36" s="224">
        <f t="shared" si="15"/>
        <v>-0.46465204554587114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89"/>
      <c r="D37" s="392"/>
      <c r="E37" s="384"/>
      <c r="F37" s="384"/>
      <c r="G37" s="110"/>
      <c r="I37" s="379">
        <f t="shared" si="0"/>
        <v>0</v>
      </c>
      <c r="J37" s="85">
        <v>2018</v>
      </c>
      <c r="K37" s="196">
        <f t="shared" si="1"/>
        <v>43123</v>
      </c>
      <c r="L37" s="436">
        <f t="shared" si="2"/>
        <v>0</v>
      </c>
      <c r="M37" s="858"/>
      <c r="N37" s="858"/>
      <c r="O37" s="323">
        <f t="shared" si="3"/>
        <v>0</v>
      </c>
      <c r="P37" s="168">
        <f>(INDEX(Models!$BJ37:$BT37,,T37)*(1-R37)+INDEX(Models!$BJ37:$BT37,,T37+1)*R37-ERP_i)*Q37*Ramure*Pc/MaxiM</f>
        <v>1.8854661804189527E-7</v>
      </c>
      <c r="Q37" s="304">
        <f t="shared" si="19"/>
        <v>0.5</v>
      </c>
      <c r="R37" s="176">
        <f t="shared" si="4"/>
        <v>0.53538934138059524</v>
      </c>
      <c r="S37" s="814">
        <f t="shared" si="20"/>
        <v>-1</v>
      </c>
      <c r="T37" s="175">
        <f t="shared" si="21"/>
        <v>5</v>
      </c>
      <c r="U37" s="250">
        <f t="shared" si="22"/>
        <v>-0.46461065861940476</v>
      </c>
      <c r="V37" s="382">
        <f t="shared" si="5"/>
        <v>31.633804712745082</v>
      </c>
      <c r="W37" s="58"/>
      <c r="X37" s="157">
        <f t="shared" si="6"/>
        <v>43123</v>
      </c>
      <c r="Y37" s="384">
        <f t="shared" si="7"/>
        <v>0</v>
      </c>
      <c r="Z37" s="384">
        <f t="shared" si="8"/>
        <v>0</v>
      </c>
      <c r="AA37" s="385">
        <f t="shared" si="9"/>
        <v>0</v>
      </c>
      <c r="AB37" s="196">
        <f t="shared" si="10"/>
        <v>43123</v>
      </c>
      <c r="AC37" s="425">
        <f t="shared" si="11"/>
        <v>0</v>
      </c>
      <c r="AD37" s="168">
        <f>(INDEX(Models!$BJ37:$BT37,,AH37)*(1-AF37)+INDEX(Models!$BJ37:$BT37,,AH37+1)*AF37-ERP_i)*AE37*Ramure*Pc/MaxiM</f>
        <v>1.8854661804189527E-7</v>
      </c>
      <c r="AE37" s="304">
        <f t="shared" si="12"/>
        <v>0.5</v>
      </c>
      <c r="AF37" s="176">
        <f t="shared" si="13"/>
        <v>0.53538934138059524</v>
      </c>
      <c r="AG37" s="814">
        <f t="shared" si="23"/>
        <v>-1</v>
      </c>
      <c r="AH37" s="175">
        <f t="shared" si="14"/>
        <v>5</v>
      </c>
      <c r="AI37" s="224">
        <f t="shared" si="15"/>
        <v>-0.46461065861940476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89"/>
      <c r="D38" s="392"/>
      <c r="E38" s="384"/>
      <c r="F38" s="384"/>
      <c r="G38" s="110"/>
      <c r="I38" s="379">
        <f t="shared" si="0"/>
        <v>0</v>
      </c>
      <c r="J38" s="85">
        <v>2018</v>
      </c>
      <c r="K38" s="196">
        <f t="shared" si="1"/>
        <v>43124</v>
      </c>
      <c r="L38" s="436">
        <f t="shared" si="2"/>
        <v>0</v>
      </c>
      <c r="M38" s="858"/>
      <c r="N38" s="858"/>
      <c r="O38" s="323">
        <f t="shared" si="3"/>
        <v>0</v>
      </c>
      <c r="P38" s="168">
        <f>(INDEX(Models!$BJ38:$BT38,,T38)*(1-R38)+INDEX(Models!$BJ38:$BT38,,T38+1)*R38-ERP_i)*Q38*Ramure*Pc/MaxiM</f>
        <v>1.9722612744088121E-7</v>
      </c>
      <c r="Q38" s="304">
        <f t="shared" si="19"/>
        <v>0.5</v>
      </c>
      <c r="R38" s="176">
        <f t="shared" si="4"/>
        <v>0.53543245240673287</v>
      </c>
      <c r="S38" s="814">
        <f t="shared" si="20"/>
        <v>-1</v>
      </c>
      <c r="T38" s="175">
        <f t="shared" si="21"/>
        <v>5</v>
      </c>
      <c r="U38" s="250">
        <f t="shared" si="22"/>
        <v>-0.46456754759326707</v>
      </c>
      <c r="V38" s="382">
        <f t="shared" si="5"/>
        <v>31.958154629484198</v>
      </c>
      <c r="W38" s="58"/>
      <c r="X38" s="157">
        <f t="shared" si="6"/>
        <v>43124</v>
      </c>
      <c r="Y38" s="384">
        <f t="shared" si="7"/>
        <v>0</v>
      </c>
      <c r="Z38" s="384">
        <f t="shared" si="8"/>
        <v>0</v>
      </c>
      <c r="AA38" s="385">
        <f t="shared" si="9"/>
        <v>0</v>
      </c>
      <c r="AB38" s="196">
        <f t="shared" si="10"/>
        <v>43124</v>
      </c>
      <c r="AC38" s="425">
        <f t="shared" si="11"/>
        <v>0</v>
      </c>
      <c r="AD38" s="168">
        <f>(INDEX(Models!$BJ38:$BT38,,AH38)*(1-AF38)+INDEX(Models!$BJ38:$BT38,,AH38+1)*AF38-ERP_i)*AE38*Ramure*Pc/MaxiM</f>
        <v>1.9722612744088121E-7</v>
      </c>
      <c r="AE38" s="304">
        <f t="shared" si="12"/>
        <v>0.5</v>
      </c>
      <c r="AF38" s="176">
        <f t="shared" si="13"/>
        <v>0.53543245240673287</v>
      </c>
      <c r="AG38" s="814">
        <f t="shared" si="23"/>
        <v>-1</v>
      </c>
      <c r="AH38" s="175">
        <f t="shared" si="14"/>
        <v>5</v>
      </c>
      <c r="AI38" s="224">
        <f t="shared" si="15"/>
        <v>-0.46456754759326707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89"/>
      <c r="D39" s="392"/>
      <c r="E39" s="384"/>
      <c r="F39" s="384"/>
      <c r="G39" s="110"/>
      <c r="I39" s="379">
        <f t="shared" si="0"/>
        <v>0</v>
      </c>
      <c r="J39" s="85">
        <v>2018</v>
      </c>
      <c r="K39" s="196">
        <f t="shared" si="1"/>
        <v>43125</v>
      </c>
      <c r="L39" s="436">
        <f t="shared" si="2"/>
        <v>0</v>
      </c>
      <c r="M39" s="858"/>
      <c r="N39" s="858"/>
      <c r="O39" s="323">
        <f t="shared" si="3"/>
        <v>0</v>
      </c>
      <c r="P39" s="168">
        <f>(INDEX(Models!$BJ39:$BT39,,T39)*(1-R39)+INDEX(Models!$BJ39:$BT39,,T39+1)*R39-ERP_i)*Q39*Ramure*Pc/MaxiM</f>
        <v>2.0548006694201362E-7</v>
      </c>
      <c r="Q39" s="304">
        <f t="shared" si="19"/>
        <v>0.5</v>
      </c>
      <c r="R39" s="176">
        <f t="shared" si="4"/>
        <v>0.5354773588255779</v>
      </c>
      <c r="S39" s="814">
        <f t="shared" si="20"/>
        <v>-1</v>
      </c>
      <c r="T39" s="175">
        <f t="shared" si="21"/>
        <v>5</v>
      </c>
      <c r="U39" s="250">
        <f t="shared" si="22"/>
        <v>-0.46452264117442216</v>
      </c>
      <c r="V39" s="382">
        <f t="shared" si="5"/>
        <v>32.288210748319607</v>
      </c>
      <c r="W39" s="58"/>
      <c r="X39" s="157">
        <f t="shared" si="6"/>
        <v>43125</v>
      </c>
      <c r="Y39" s="384">
        <f t="shared" si="7"/>
        <v>0</v>
      </c>
      <c r="Z39" s="384">
        <f t="shared" si="8"/>
        <v>0</v>
      </c>
      <c r="AA39" s="385">
        <f t="shared" si="9"/>
        <v>0</v>
      </c>
      <c r="AB39" s="196">
        <f t="shared" si="10"/>
        <v>43125</v>
      </c>
      <c r="AC39" s="425">
        <f t="shared" si="11"/>
        <v>0</v>
      </c>
      <c r="AD39" s="168">
        <f>(INDEX(Models!$BJ39:$BT39,,AH39)*(1-AF39)+INDEX(Models!$BJ39:$BT39,,AH39+1)*AF39-ERP_i)*AE39*Ramure*Pc/MaxiM</f>
        <v>2.0548006694201362E-7</v>
      </c>
      <c r="AE39" s="304">
        <f t="shared" si="12"/>
        <v>0.5</v>
      </c>
      <c r="AF39" s="176">
        <f t="shared" si="13"/>
        <v>0.5354773588255779</v>
      </c>
      <c r="AG39" s="814">
        <f t="shared" si="23"/>
        <v>-1</v>
      </c>
      <c r="AH39" s="175">
        <f t="shared" si="14"/>
        <v>5</v>
      </c>
      <c r="AI39" s="224">
        <f t="shared" si="15"/>
        <v>-0.46452264117442216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43126</v>
      </c>
      <c r="B40" s="616"/>
      <c r="C40" s="389"/>
      <c r="D40" s="392"/>
      <c r="E40" s="384"/>
      <c r="F40" s="384"/>
      <c r="G40" s="110"/>
      <c r="I40" s="379">
        <f t="shared" si="0"/>
        <v>0</v>
      </c>
      <c r="J40" s="85">
        <v>2018</v>
      </c>
      <c r="K40" s="196">
        <f t="shared" si="1"/>
        <v>43126</v>
      </c>
      <c r="L40" s="436">
        <f t="shared" si="2"/>
        <v>0</v>
      </c>
      <c r="M40" s="858"/>
      <c r="N40" s="858"/>
      <c r="O40" s="323">
        <f t="shared" si="3"/>
        <v>0</v>
      </c>
      <c r="P40" s="168">
        <f>(INDEX(Models!$BJ40:$BT40,,T40)*(1-R40)+INDEX(Models!$BJ40:$BT40,,T40+1)*R40-ERP_i)*Q40*Ramure*Pc/MaxiM</f>
        <v>2.132392679021932E-7</v>
      </c>
      <c r="Q40" s="304">
        <f t="shared" si="19"/>
        <v>0.5</v>
      </c>
      <c r="R40" s="176">
        <f t="shared" si="4"/>
        <v>0.53552413483301342</v>
      </c>
      <c r="S40" s="814">
        <f t="shared" si="20"/>
        <v>-1</v>
      </c>
      <c r="T40" s="175">
        <f t="shared" si="21"/>
        <v>5</v>
      </c>
      <c r="U40" s="250">
        <f t="shared" si="22"/>
        <v>-0.46447586516698658</v>
      </c>
      <c r="V40" s="382">
        <f t="shared" si="5"/>
        <v>32.623539690446378</v>
      </c>
      <c r="W40" s="58"/>
      <c r="X40" s="157">
        <f t="shared" si="6"/>
        <v>43126</v>
      </c>
      <c r="Y40" s="384">
        <f t="shared" si="7"/>
        <v>0</v>
      </c>
      <c r="Z40" s="384">
        <f t="shared" si="8"/>
        <v>0</v>
      </c>
      <c r="AA40" s="385">
        <f t="shared" si="9"/>
        <v>0</v>
      </c>
      <c r="AB40" s="196">
        <f t="shared" si="10"/>
        <v>43126</v>
      </c>
      <c r="AC40" s="425">
        <f t="shared" si="11"/>
        <v>0</v>
      </c>
      <c r="AD40" s="168">
        <f>(INDEX(Models!$BJ40:$BT40,,AH40)*(1-AF40)+INDEX(Models!$BJ40:$BT40,,AH40+1)*AF40-ERP_i)*AE40*Ramure*Pc/MaxiM</f>
        <v>2.132392679021932E-7</v>
      </c>
      <c r="AE40" s="304">
        <f t="shared" si="12"/>
        <v>0.5</v>
      </c>
      <c r="AF40" s="176">
        <f t="shared" si="13"/>
        <v>0.53552413483301342</v>
      </c>
      <c r="AG40" s="814">
        <f t="shared" si="23"/>
        <v>-1</v>
      </c>
      <c r="AH40" s="175">
        <f t="shared" si="14"/>
        <v>5</v>
      </c>
      <c r="AI40" s="224">
        <f t="shared" si="15"/>
        <v>-0.46447586516698658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89"/>
      <c r="D41" s="392"/>
      <c r="E41" s="384"/>
      <c r="F41" s="384"/>
      <c r="G41" s="110"/>
      <c r="I41" s="379">
        <f t="shared" si="0"/>
        <v>0</v>
      </c>
      <c r="J41" s="85">
        <v>2018</v>
      </c>
      <c r="K41" s="196">
        <f t="shared" si="1"/>
        <v>43127</v>
      </c>
      <c r="L41" s="436">
        <f t="shared" si="2"/>
        <v>0</v>
      </c>
      <c r="M41" s="858"/>
      <c r="N41" s="858"/>
      <c r="O41" s="323">
        <f t="shared" si="3"/>
        <v>0</v>
      </c>
      <c r="P41" s="168">
        <f>(INDEX(Models!$BJ41:$BT41,,T41)*(1-R41)+INDEX(Models!$BJ41:$BT41,,T41+1)*R41-ERP_i)*Q41*Ramure*Pc/MaxiM</f>
        <v>2.2043128169364111E-7</v>
      </c>
      <c r="Q41" s="304">
        <f t="shared" si="19"/>
        <v>0.5</v>
      </c>
      <c r="R41" s="176">
        <f t="shared" si="4"/>
        <v>0.53557285764210649</v>
      </c>
      <c r="S41" s="814">
        <f t="shared" si="20"/>
        <v>-1</v>
      </c>
      <c r="T41" s="175">
        <f t="shared" si="21"/>
        <v>5</v>
      </c>
      <c r="U41" s="250">
        <f t="shared" si="22"/>
        <v>-0.46442714235789351</v>
      </c>
      <c r="V41" s="382">
        <f t="shared" si="5"/>
        <v>32.963708076038586</v>
      </c>
      <c r="W41" s="58"/>
      <c r="X41" s="157">
        <f t="shared" si="6"/>
        <v>43127</v>
      </c>
      <c r="Y41" s="384">
        <f t="shared" si="7"/>
        <v>0</v>
      </c>
      <c r="Z41" s="384">
        <f t="shared" si="8"/>
        <v>0</v>
      </c>
      <c r="AA41" s="385">
        <f t="shared" si="9"/>
        <v>0</v>
      </c>
      <c r="AB41" s="196">
        <f t="shared" si="10"/>
        <v>43127</v>
      </c>
      <c r="AC41" s="425">
        <f t="shared" si="11"/>
        <v>0</v>
      </c>
      <c r="AD41" s="168">
        <f>(INDEX(Models!$BJ41:$BT41,,AH41)*(1-AF41)+INDEX(Models!$BJ41:$BT41,,AH41+1)*AF41-ERP_i)*AE41*Ramure*Pc/MaxiM</f>
        <v>2.2043128169364111E-7</v>
      </c>
      <c r="AE41" s="304">
        <f t="shared" si="12"/>
        <v>0.5</v>
      </c>
      <c r="AF41" s="176">
        <f t="shared" si="13"/>
        <v>0.53557285764210649</v>
      </c>
      <c r="AG41" s="814">
        <f t="shared" si="23"/>
        <v>-1</v>
      </c>
      <c r="AH41" s="175">
        <f t="shared" si="14"/>
        <v>5</v>
      </c>
      <c r="AI41" s="224">
        <f t="shared" si="15"/>
        <v>-0.46442714235789351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43128</v>
      </c>
      <c r="B42" s="616"/>
      <c r="C42" s="389"/>
      <c r="D42" s="392"/>
      <c r="E42" s="384"/>
      <c r="F42" s="384"/>
      <c r="G42" s="110"/>
      <c r="I42" s="379">
        <f t="shared" si="0"/>
        <v>0</v>
      </c>
      <c r="J42" s="85">
        <v>2018</v>
      </c>
      <c r="K42" s="196">
        <f t="shared" si="1"/>
        <v>43128</v>
      </c>
      <c r="L42" s="436">
        <f t="shared" si="2"/>
        <v>0</v>
      </c>
      <c r="M42" s="858"/>
      <c r="N42" s="858"/>
      <c r="O42" s="323">
        <f t="shared" si="3"/>
        <v>0</v>
      </c>
      <c r="P42" s="168">
        <f>(INDEX(Models!$BJ42:$BT42,,T42)*(1-R42)+INDEX(Models!$BJ42:$BT42,,T42+1)*R42-ERP_i)*Q42*Ramure*Pc/MaxiM</f>
        <v>2.269800890255279E-7</v>
      </c>
      <c r="Q42" s="304">
        <f t="shared" si="19"/>
        <v>0.5</v>
      </c>
      <c r="R42" s="176">
        <f t="shared" si="4"/>
        <v>0.53562360760161409</v>
      </c>
      <c r="S42" s="814">
        <f t="shared" si="20"/>
        <v>-1</v>
      </c>
      <c r="T42" s="175">
        <f t="shared" si="21"/>
        <v>5</v>
      </c>
      <c r="U42" s="250">
        <f t="shared" si="22"/>
        <v>-0.46437639239838596</v>
      </c>
      <c r="V42" s="382">
        <f t="shared" si="5"/>
        <v>33.308282526846924</v>
      </c>
      <c r="W42" s="58"/>
      <c r="X42" s="157">
        <f t="shared" si="6"/>
        <v>43128</v>
      </c>
      <c r="Y42" s="384">
        <f t="shared" si="7"/>
        <v>0</v>
      </c>
      <c r="Z42" s="384">
        <f t="shared" si="8"/>
        <v>0</v>
      </c>
      <c r="AA42" s="385">
        <f t="shared" si="9"/>
        <v>0</v>
      </c>
      <c r="AB42" s="196">
        <f t="shared" si="10"/>
        <v>43128</v>
      </c>
      <c r="AC42" s="425">
        <f t="shared" si="11"/>
        <v>0</v>
      </c>
      <c r="AD42" s="168">
        <f>(INDEX(Models!$BJ42:$BT42,,AH42)*(1-AF42)+INDEX(Models!$BJ42:$BT42,,AH42+1)*AF42-ERP_i)*AE42*Ramure*Pc/MaxiM</f>
        <v>2.269800890255279E-7</v>
      </c>
      <c r="AE42" s="304">
        <f t="shared" si="12"/>
        <v>0.5</v>
      </c>
      <c r="AF42" s="176">
        <f t="shared" si="13"/>
        <v>0.53562360760161409</v>
      </c>
      <c r="AG42" s="814">
        <f t="shared" si="23"/>
        <v>-1</v>
      </c>
      <c r="AH42" s="175">
        <f t="shared" si="14"/>
        <v>5</v>
      </c>
      <c r="AI42" s="224">
        <f t="shared" si="15"/>
        <v>-0.46437639239838596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89"/>
      <c r="D43" s="392"/>
      <c r="E43" s="384"/>
      <c r="F43" s="384"/>
      <c r="G43" s="110"/>
      <c r="I43" s="379">
        <f t="shared" si="0"/>
        <v>0</v>
      </c>
      <c r="J43" s="85">
        <v>2018</v>
      </c>
      <c r="K43" s="196">
        <f t="shared" si="1"/>
        <v>43129</v>
      </c>
      <c r="L43" s="436">
        <f t="shared" si="2"/>
        <v>0</v>
      </c>
      <c r="M43" s="858"/>
      <c r="N43" s="858"/>
      <c r="O43" s="323">
        <f t="shared" si="3"/>
        <v>0</v>
      </c>
      <c r="P43" s="168">
        <f>(INDEX(Models!$BJ43:$BT43,,T43)*(1-R43)+INDEX(Models!$BJ43:$BT43,,T43+1)*R43-ERP_i)*Q43*Ramure*Pc/MaxiM</f>
        <v>2.3280578415675971E-7</v>
      </c>
      <c r="Q43" s="304">
        <f t="shared" si="19"/>
        <v>0.5</v>
      </c>
      <c r="R43" s="176">
        <f t="shared" si="4"/>
        <v>0.53567646831878524</v>
      </c>
      <c r="S43" s="814">
        <f t="shared" si="20"/>
        <v>-1</v>
      </c>
      <c r="T43" s="175">
        <f t="shared" si="21"/>
        <v>5</v>
      </c>
      <c r="U43" s="250">
        <f t="shared" si="22"/>
        <v>-0.46432353168121476</v>
      </c>
      <c r="V43" s="382">
        <f t="shared" si="5"/>
        <v>33.656829664380304</v>
      </c>
      <c r="W43" s="58"/>
      <c r="X43" s="157">
        <f t="shared" si="6"/>
        <v>43129</v>
      </c>
      <c r="Y43" s="384">
        <f t="shared" si="7"/>
        <v>0</v>
      </c>
      <c r="Z43" s="384">
        <f t="shared" si="8"/>
        <v>0</v>
      </c>
      <c r="AA43" s="385">
        <f t="shared" si="9"/>
        <v>0</v>
      </c>
      <c r="AB43" s="196">
        <f t="shared" si="10"/>
        <v>43129</v>
      </c>
      <c r="AC43" s="425">
        <f t="shared" si="11"/>
        <v>0</v>
      </c>
      <c r="AD43" s="168">
        <f>(INDEX(Models!$BJ43:$BT43,,AH43)*(1-AF43)+INDEX(Models!$BJ43:$BT43,,AH43+1)*AF43-ERP_i)*AE43*Ramure*Pc/MaxiM</f>
        <v>2.3280578415675971E-7</v>
      </c>
      <c r="AE43" s="304">
        <f t="shared" si="12"/>
        <v>0.5</v>
      </c>
      <c r="AF43" s="176">
        <f t="shared" si="13"/>
        <v>0.53567646831878524</v>
      </c>
      <c r="AG43" s="814">
        <f t="shared" si="23"/>
        <v>-1</v>
      </c>
      <c r="AH43" s="175">
        <f t="shared" si="14"/>
        <v>5</v>
      </c>
      <c r="AI43" s="224">
        <f t="shared" si="15"/>
        <v>-0.46432353168121476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43130</v>
      </c>
      <c r="B44" s="616"/>
      <c r="C44" s="389"/>
      <c r="D44" s="392"/>
      <c r="E44" s="384"/>
      <c r="F44" s="384"/>
      <c r="G44" s="110"/>
      <c r="I44" s="379">
        <f t="shared" si="0"/>
        <v>0</v>
      </c>
      <c r="J44" s="85">
        <v>2018</v>
      </c>
      <c r="K44" s="196">
        <f t="shared" si="1"/>
        <v>43130</v>
      </c>
      <c r="L44" s="436">
        <f t="shared" si="2"/>
        <v>0</v>
      </c>
      <c r="M44" s="858"/>
      <c r="N44" s="858"/>
      <c r="O44" s="323">
        <f t="shared" si="3"/>
        <v>0</v>
      </c>
      <c r="P44" s="168">
        <f>(INDEX(Models!$BJ44:$BT44,,T44)*(1-R44)+INDEX(Models!$BJ44:$BT44,,T44+1)*R44-ERP_i)*Q44*Ramure*Pc/MaxiM</f>
        <v>2.3833455325710898E-7</v>
      </c>
      <c r="Q44" s="304">
        <f t="shared" si="19"/>
        <v>0.5</v>
      </c>
      <c r="R44" s="176">
        <f t="shared" si="4"/>
        <v>0.53573152678658131</v>
      </c>
      <c r="S44" s="814">
        <f t="shared" si="20"/>
        <v>-1</v>
      </c>
      <c r="T44" s="175">
        <f t="shared" si="21"/>
        <v>5</v>
      </c>
      <c r="U44" s="250">
        <f t="shared" si="22"/>
        <v>-0.46426847321341869</v>
      </c>
      <c r="V44" s="382">
        <f t="shared" si="5"/>
        <v>34.008916092648882</v>
      </c>
      <c r="W44" s="58"/>
      <c r="X44" s="157">
        <f t="shared" si="6"/>
        <v>43130</v>
      </c>
      <c r="Y44" s="384">
        <f t="shared" si="7"/>
        <v>0</v>
      </c>
      <c r="Z44" s="384">
        <f t="shared" si="8"/>
        <v>0</v>
      </c>
      <c r="AA44" s="385">
        <f t="shared" si="9"/>
        <v>0</v>
      </c>
      <c r="AB44" s="196">
        <f t="shared" si="10"/>
        <v>43130</v>
      </c>
      <c r="AC44" s="425">
        <f t="shared" si="11"/>
        <v>0</v>
      </c>
      <c r="AD44" s="168">
        <f>(INDEX(Models!$BJ44:$BT44,,AH44)*(1-AF44)+INDEX(Models!$BJ44:$BT44,,AH44+1)*AF44-ERP_i)*AE44*Ramure*Pc/MaxiM</f>
        <v>2.3833455325710898E-7</v>
      </c>
      <c r="AE44" s="304">
        <f t="shared" si="12"/>
        <v>0.5</v>
      </c>
      <c r="AF44" s="176">
        <f t="shared" si="13"/>
        <v>0.53573152678658131</v>
      </c>
      <c r="AG44" s="814">
        <f t="shared" si="23"/>
        <v>-1</v>
      </c>
      <c r="AH44" s="175">
        <f t="shared" si="14"/>
        <v>5</v>
      </c>
      <c r="AI44" s="224">
        <f t="shared" si="15"/>
        <v>-0.46426847321341869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43131</v>
      </c>
      <c r="B45" s="616"/>
      <c r="C45" s="389"/>
      <c r="D45" s="392"/>
      <c r="E45" s="384"/>
      <c r="F45" s="384"/>
      <c r="G45" s="110"/>
      <c r="I45" s="379">
        <f t="shared" si="0"/>
        <v>0</v>
      </c>
      <c r="J45" s="85">
        <v>2018</v>
      </c>
      <c r="K45" s="196">
        <f t="shared" si="1"/>
        <v>43131</v>
      </c>
      <c r="L45" s="436">
        <f t="shared" si="2"/>
        <v>0</v>
      </c>
      <c r="M45" s="858"/>
      <c r="N45" s="858"/>
      <c r="O45" s="323">
        <f t="shared" si="3"/>
        <v>0</v>
      </c>
      <c r="P45" s="168">
        <f>(INDEX(Models!$BJ45:$BT45,,T45)*(1-R45)+INDEX(Models!$BJ45:$BT45,,T45+1)*R45-ERP_i)*Q45*Ramure*Pc/MaxiM</f>
        <v>2.4400503149376711E-7</v>
      </c>
      <c r="Q45" s="304">
        <f t="shared" si="19"/>
        <v>0.5</v>
      </c>
      <c r="R45" s="176">
        <f t="shared" si="4"/>
        <v>0.53578887351543936</v>
      </c>
      <c r="S45" s="814">
        <f t="shared" si="20"/>
        <v>-1</v>
      </c>
      <c r="T45" s="175">
        <f t="shared" si="21"/>
        <v>5</v>
      </c>
      <c r="U45" s="250">
        <f t="shared" si="22"/>
        <v>-0.46421112648456064</v>
      </c>
      <c r="V45" s="382">
        <f t="shared" si="5"/>
        <v>34.364108415239734</v>
      </c>
      <c r="W45" s="58"/>
      <c r="X45" s="157">
        <f t="shared" si="6"/>
        <v>43131</v>
      </c>
      <c r="Y45" s="384">
        <f t="shared" si="7"/>
        <v>0</v>
      </c>
      <c r="Z45" s="384">
        <f t="shared" si="8"/>
        <v>0</v>
      </c>
      <c r="AA45" s="385">
        <f t="shared" si="9"/>
        <v>0</v>
      </c>
      <c r="AB45" s="196">
        <f t="shared" si="10"/>
        <v>43131</v>
      </c>
      <c r="AC45" s="425">
        <f t="shared" si="11"/>
        <v>0</v>
      </c>
      <c r="AD45" s="168">
        <f>(INDEX(Models!$BJ45:$BT45,,AH45)*(1-AF45)+INDEX(Models!$BJ45:$BT45,,AH45+1)*AF45-ERP_i)*AE45*Ramure*Pc/MaxiM</f>
        <v>2.4400503149376711E-7</v>
      </c>
      <c r="AE45" s="304">
        <f t="shared" si="12"/>
        <v>0.5</v>
      </c>
      <c r="AF45" s="176">
        <f t="shared" si="13"/>
        <v>0.53578887351543936</v>
      </c>
      <c r="AG45" s="814">
        <f t="shared" si="23"/>
        <v>-1</v>
      </c>
      <c r="AH45" s="175">
        <f t="shared" si="14"/>
        <v>5</v>
      </c>
      <c r="AI45" s="224">
        <f t="shared" si="15"/>
        <v>-0.46421112648456064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43132</v>
      </c>
      <c r="B46" s="616"/>
      <c r="C46" s="389"/>
      <c r="D46" s="392"/>
      <c r="E46" s="384"/>
      <c r="F46" s="384"/>
      <c r="G46" s="110"/>
      <c r="I46" s="379">
        <f t="shared" si="0"/>
        <v>0</v>
      </c>
      <c r="J46" s="85">
        <v>2018</v>
      </c>
      <c r="K46" s="196">
        <f t="shared" si="1"/>
        <v>43132</v>
      </c>
      <c r="L46" s="436">
        <f t="shared" si="2"/>
        <v>0</v>
      </c>
      <c r="M46" s="858"/>
      <c r="N46" s="858"/>
      <c r="O46" s="323">
        <f t="shared" si="3"/>
        <v>0</v>
      </c>
      <c r="P46" s="168">
        <f>(INDEX(Models!$BJ46:$BT46,,T46)*(1-R46)+INDEX(Models!$BJ46:$BT46,,T46+1)*R46-ERP_i)*Q46*Ramure*Pc/MaxiM</f>
        <v>2.4986794189781876E-7</v>
      </c>
      <c r="Q46" s="304">
        <f t="shared" si="19"/>
        <v>0.5</v>
      </c>
      <c r="R46" s="176">
        <f t="shared" si="4"/>
        <v>0.53584860266970358</v>
      </c>
      <c r="S46" s="814">
        <f t="shared" si="20"/>
        <v>-1</v>
      </c>
      <c r="T46" s="175">
        <f t="shared" si="21"/>
        <v>5</v>
      </c>
      <c r="U46" s="250">
        <f t="shared" si="22"/>
        <v>-0.46415139733029637</v>
      </c>
      <c r="V46" s="382">
        <f t="shared" si="5"/>
        <v>34.721973248808887</v>
      </c>
      <c r="W46" s="58"/>
      <c r="X46" s="157">
        <f t="shared" si="6"/>
        <v>43132</v>
      </c>
      <c r="Y46" s="384">
        <f t="shared" si="7"/>
        <v>0</v>
      </c>
      <c r="Z46" s="384">
        <f t="shared" si="8"/>
        <v>0</v>
      </c>
      <c r="AA46" s="385">
        <f t="shared" si="9"/>
        <v>0</v>
      </c>
      <c r="AB46" s="196">
        <f t="shared" si="10"/>
        <v>43132</v>
      </c>
      <c r="AC46" s="425">
        <f t="shared" si="11"/>
        <v>0</v>
      </c>
      <c r="AD46" s="168">
        <f>(INDEX(Models!$BJ46:$BT46,,AH46)*(1-AF46)+INDEX(Models!$BJ46:$BT46,,AH46+1)*AF46-ERP_i)*AE46*Ramure*Pc/MaxiM</f>
        <v>2.4986794189781876E-7</v>
      </c>
      <c r="AE46" s="304">
        <f t="shared" si="12"/>
        <v>0.5</v>
      </c>
      <c r="AF46" s="176">
        <f t="shared" si="13"/>
        <v>0.53584860266970358</v>
      </c>
      <c r="AG46" s="814">
        <f t="shared" si="23"/>
        <v>-1</v>
      </c>
      <c r="AH46" s="175">
        <f t="shared" si="14"/>
        <v>5</v>
      </c>
      <c r="AI46" s="224">
        <f t="shared" si="15"/>
        <v>-0.46415139733029637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43133</v>
      </c>
      <c r="B47" s="616"/>
      <c r="C47" s="389"/>
      <c r="D47" s="392"/>
      <c r="E47" s="384"/>
      <c r="F47" s="384"/>
      <c r="G47" s="110"/>
      <c r="I47" s="379">
        <f t="shared" si="0"/>
        <v>0</v>
      </c>
      <c r="J47" s="85">
        <v>2018</v>
      </c>
      <c r="K47" s="196">
        <f t="shared" si="1"/>
        <v>43133</v>
      </c>
      <c r="L47" s="436">
        <f t="shared" si="2"/>
        <v>0</v>
      </c>
      <c r="M47" s="858"/>
      <c r="N47" s="858"/>
      <c r="O47" s="323">
        <f t="shared" si="3"/>
        <v>0</v>
      </c>
      <c r="P47" s="168">
        <f>(INDEX(Models!$BJ47:$BT47,,T47)*(1-R47)+INDEX(Models!$BJ47:$BT47,,T47+1)*R47-ERP_i)*Q47*Ramure*Pc/MaxiM</f>
        <v>2.5597677247012476E-7</v>
      </c>
      <c r="Q47" s="304">
        <f t="shared" si="19"/>
        <v>0.5</v>
      </c>
      <c r="R47" s="176">
        <f t="shared" si="4"/>
        <v>0.53591081220885051</v>
      </c>
      <c r="S47" s="814">
        <f t="shared" si="20"/>
        <v>-1</v>
      </c>
      <c r="T47" s="175">
        <f t="shared" si="21"/>
        <v>5</v>
      </c>
      <c r="U47" s="250">
        <f t="shared" si="22"/>
        <v>-0.46408918779114944</v>
      </c>
      <c r="V47" s="382">
        <f t="shared" si="5"/>
        <v>35.082077208067126</v>
      </c>
      <c r="W47" s="58"/>
      <c r="X47" s="157">
        <f t="shared" si="6"/>
        <v>43133</v>
      </c>
      <c r="Y47" s="384">
        <f t="shared" si="7"/>
        <v>0</v>
      </c>
      <c r="Z47" s="384">
        <f t="shared" si="8"/>
        <v>0</v>
      </c>
      <c r="AA47" s="385">
        <f t="shared" si="9"/>
        <v>0</v>
      </c>
      <c r="AB47" s="196">
        <f t="shared" si="10"/>
        <v>43133</v>
      </c>
      <c r="AC47" s="425">
        <f t="shared" si="11"/>
        <v>0</v>
      </c>
      <c r="AD47" s="168">
        <f>(INDEX(Models!$BJ47:$BT47,,AH47)*(1-AF47)+INDEX(Models!$BJ47:$BT47,,AH47+1)*AF47-ERP_i)*AE47*Ramure*Pc/MaxiM</f>
        <v>2.5597677247012476E-7</v>
      </c>
      <c r="AE47" s="304">
        <f t="shared" si="12"/>
        <v>0.5</v>
      </c>
      <c r="AF47" s="176">
        <f t="shared" si="13"/>
        <v>0.53591081220885051</v>
      </c>
      <c r="AG47" s="814">
        <f t="shared" si="23"/>
        <v>-1</v>
      </c>
      <c r="AH47" s="175">
        <f t="shared" si="14"/>
        <v>5</v>
      </c>
      <c r="AI47" s="224">
        <f t="shared" si="15"/>
        <v>-0.46408918779114944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43134</v>
      </c>
      <c r="B48" s="616"/>
      <c r="C48" s="389"/>
      <c r="D48" s="392"/>
      <c r="E48" s="384"/>
      <c r="F48" s="384"/>
      <c r="G48" s="110"/>
      <c r="I48" s="379">
        <f t="shared" si="0"/>
        <v>0</v>
      </c>
      <c r="J48" s="85">
        <v>2018</v>
      </c>
      <c r="K48" s="196">
        <f t="shared" si="1"/>
        <v>43134</v>
      </c>
      <c r="L48" s="436">
        <f t="shared" si="2"/>
        <v>0</v>
      </c>
      <c r="M48" s="858"/>
      <c r="N48" s="858"/>
      <c r="O48" s="323">
        <f t="shared" si="3"/>
        <v>0</v>
      </c>
      <c r="P48" s="168">
        <f>(INDEX(Models!$BJ48:$BT48,,T48)*(1-R48)+INDEX(Models!$BJ48:$BT48,,T48+1)*R48-ERP_i)*Q48*Ramure*Pc/MaxiM</f>
        <v>2.6238795795142003E-7</v>
      </c>
      <c r="Q48" s="304">
        <f t="shared" si="19"/>
        <v>0.5</v>
      </c>
      <c r="R48" s="176">
        <f t="shared" si="4"/>
        <v>0.53597560403363032</v>
      </c>
      <c r="S48" s="814">
        <f t="shared" si="20"/>
        <v>-1</v>
      </c>
      <c r="T48" s="175">
        <f t="shared" si="21"/>
        <v>5</v>
      </c>
      <c r="U48" s="250">
        <f t="shared" si="22"/>
        <v>-0.46402439596636963</v>
      </c>
      <c r="V48" s="382">
        <f t="shared" si="5"/>
        <v>35.44398690999919</v>
      </c>
      <c r="W48" s="58"/>
      <c r="X48" s="157">
        <f t="shared" si="6"/>
        <v>43134</v>
      </c>
      <c r="Y48" s="384">
        <f t="shared" si="7"/>
        <v>0</v>
      </c>
      <c r="Z48" s="384">
        <f t="shared" si="8"/>
        <v>0</v>
      </c>
      <c r="AA48" s="385">
        <f t="shared" si="9"/>
        <v>0</v>
      </c>
      <c r="AB48" s="196">
        <f t="shared" si="10"/>
        <v>43134</v>
      </c>
      <c r="AC48" s="425">
        <f t="shared" si="11"/>
        <v>0</v>
      </c>
      <c r="AD48" s="168">
        <f>(INDEX(Models!$BJ48:$BT48,,AH48)*(1-AF48)+INDEX(Models!$BJ48:$BT48,,AH48+1)*AF48-ERP_i)*AE48*Ramure*Pc/MaxiM</f>
        <v>2.6238795795142003E-7</v>
      </c>
      <c r="AE48" s="304">
        <f t="shared" si="12"/>
        <v>0.5</v>
      </c>
      <c r="AF48" s="176">
        <f t="shared" si="13"/>
        <v>0.53597560403363032</v>
      </c>
      <c r="AG48" s="814">
        <f t="shared" si="23"/>
        <v>-1</v>
      </c>
      <c r="AH48" s="175">
        <f t="shared" si="14"/>
        <v>5</v>
      </c>
      <c r="AI48" s="224">
        <f t="shared" si="15"/>
        <v>-0.46402439596636963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43135</v>
      </c>
      <c r="B49" s="616"/>
      <c r="C49" s="389"/>
      <c r="D49" s="392"/>
      <c r="E49" s="384"/>
      <c r="F49" s="384"/>
      <c r="G49" s="110"/>
      <c r="I49" s="379">
        <f t="shared" si="0"/>
        <v>0</v>
      </c>
      <c r="J49" s="85">
        <v>2018</v>
      </c>
      <c r="K49" s="196">
        <f t="shared" si="1"/>
        <v>43135</v>
      </c>
      <c r="L49" s="436">
        <f t="shared" si="2"/>
        <v>0</v>
      </c>
      <c r="M49" s="858"/>
      <c r="N49" s="858"/>
      <c r="O49" s="323">
        <f t="shared" si="3"/>
        <v>0</v>
      </c>
      <c r="P49" s="168">
        <f>(INDEX(Models!$BJ49:$BT49,,T49)*(1-R49)+INDEX(Models!$BJ49:$BT49,,T49+1)*R49-ERP_i)*Q49*Ramure*Pc/MaxiM</f>
        <v>2.6916108305160116E-7</v>
      </c>
      <c r="Q49" s="304">
        <f t="shared" si="19"/>
        <v>0.5</v>
      </c>
      <c r="R49" s="176">
        <f t="shared" si="4"/>
        <v>0.53604308413724988</v>
      </c>
      <c r="S49" s="814">
        <f t="shared" si="20"/>
        <v>-1</v>
      </c>
      <c r="T49" s="175">
        <f t="shared" si="21"/>
        <v>5</v>
      </c>
      <c r="U49" s="250">
        <f t="shared" si="22"/>
        <v>-0.46395691586275006</v>
      </c>
      <c r="V49" s="382">
        <f t="shared" si="5"/>
        <v>35.807268970418605</v>
      </c>
      <c r="W49" s="58"/>
      <c r="X49" s="157">
        <f t="shared" si="6"/>
        <v>43135</v>
      </c>
      <c r="Y49" s="384">
        <f t="shared" si="7"/>
        <v>0</v>
      </c>
      <c r="Z49" s="384">
        <f t="shared" si="8"/>
        <v>0</v>
      </c>
      <c r="AA49" s="385">
        <f t="shared" si="9"/>
        <v>0</v>
      </c>
      <c r="AB49" s="196">
        <f t="shared" si="10"/>
        <v>43135</v>
      </c>
      <c r="AC49" s="425">
        <f t="shared" si="11"/>
        <v>0</v>
      </c>
      <c r="AD49" s="168">
        <f>(INDEX(Models!$BJ49:$BT49,,AH49)*(1-AF49)+INDEX(Models!$BJ49:$BT49,,AH49+1)*AF49-ERP_i)*AE49*Ramure*Pc/MaxiM</f>
        <v>2.6916108305160116E-7</v>
      </c>
      <c r="AE49" s="304">
        <f t="shared" si="12"/>
        <v>0.5</v>
      </c>
      <c r="AF49" s="176">
        <f t="shared" si="13"/>
        <v>0.53604308413724988</v>
      </c>
      <c r="AG49" s="814">
        <f t="shared" si="23"/>
        <v>-1</v>
      </c>
      <c r="AH49" s="175">
        <f t="shared" si="14"/>
        <v>5</v>
      </c>
      <c r="AI49" s="224">
        <f t="shared" si="15"/>
        <v>-0.46395691586275006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43136</v>
      </c>
      <c r="B50" s="616"/>
      <c r="C50" s="389"/>
      <c r="D50" s="392"/>
      <c r="E50" s="384"/>
      <c r="F50" s="384"/>
      <c r="G50" s="110"/>
      <c r="I50" s="379">
        <f t="shared" si="0"/>
        <v>0</v>
      </c>
      <c r="J50" s="85">
        <v>2018</v>
      </c>
      <c r="K50" s="196">
        <f t="shared" si="1"/>
        <v>43136</v>
      </c>
      <c r="L50" s="436">
        <f t="shared" si="2"/>
        <v>0</v>
      </c>
      <c r="M50" s="858"/>
      <c r="N50" s="858"/>
      <c r="O50" s="323">
        <f t="shared" si="3"/>
        <v>0</v>
      </c>
      <c r="P50" s="168">
        <f>(INDEX(Models!$BJ50:$BT50,,T50)*(1-R50)+INDEX(Models!$BJ50:$BT50,,T50+1)*R50-ERP_i)*Q50*Ramure*Pc/MaxiM</f>
        <v>2.7635910776433258E-7</v>
      </c>
      <c r="Q50" s="304">
        <f t="shared" si="19"/>
        <v>0.5</v>
      </c>
      <c r="R50" s="176">
        <f t="shared" si="4"/>
        <v>0.5361133627617185</v>
      </c>
      <c r="S50" s="814">
        <f t="shared" si="20"/>
        <v>-1</v>
      </c>
      <c r="T50" s="175">
        <f t="shared" si="21"/>
        <v>5</v>
      </c>
      <c r="U50" s="250">
        <f t="shared" si="22"/>
        <v>-0.46388663723828155</v>
      </c>
      <c r="V50" s="382">
        <f t="shared" si="5"/>
        <v>36.171490004406692</v>
      </c>
      <c r="W50" s="58"/>
      <c r="X50" s="157">
        <f t="shared" si="6"/>
        <v>43136</v>
      </c>
      <c r="Y50" s="384">
        <f t="shared" si="7"/>
        <v>0</v>
      </c>
      <c r="Z50" s="384">
        <f t="shared" si="8"/>
        <v>0</v>
      </c>
      <c r="AA50" s="385">
        <f t="shared" si="9"/>
        <v>0</v>
      </c>
      <c r="AB50" s="196">
        <f t="shared" si="10"/>
        <v>43136</v>
      </c>
      <c r="AC50" s="425">
        <f t="shared" si="11"/>
        <v>0</v>
      </c>
      <c r="AD50" s="168">
        <f>(INDEX(Models!$BJ50:$BT50,,AH50)*(1-AF50)+INDEX(Models!$BJ50:$BT50,,AH50+1)*AF50-ERP_i)*AE50*Ramure*Pc/MaxiM</f>
        <v>2.7635910776433258E-7</v>
      </c>
      <c r="AE50" s="304">
        <f t="shared" si="12"/>
        <v>0.5</v>
      </c>
      <c r="AF50" s="176">
        <f t="shared" si="13"/>
        <v>0.5361133627617185</v>
      </c>
      <c r="AG50" s="814">
        <f t="shared" si="23"/>
        <v>-1</v>
      </c>
      <c r="AH50" s="175">
        <f t="shared" si="14"/>
        <v>5</v>
      </c>
      <c r="AI50" s="224">
        <f t="shared" si="15"/>
        <v>-0.46388663723828155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43137</v>
      </c>
      <c r="B51" s="616"/>
      <c r="C51" s="389"/>
      <c r="D51" s="392"/>
      <c r="E51" s="384"/>
      <c r="F51" s="384"/>
      <c r="G51" s="110"/>
      <c r="I51" s="379">
        <f t="shared" si="0"/>
        <v>0</v>
      </c>
      <c r="J51" s="85">
        <v>2018</v>
      </c>
      <c r="K51" s="196">
        <f t="shared" si="1"/>
        <v>43137</v>
      </c>
      <c r="L51" s="436">
        <f t="shared" si="2"/>
        <v>0</v>
      </c>
      <c r="M51" s="858"/>
      <c r="N51" s="858"/>
      <c r="O51" s="323">
        <f t="shared" si="3"/>
        <v>0</v>
      </c>
      <c r="P51" s="168">
        <f>(INDEX(Models!$BJ51:$BT51,,T51)*(1-R51)+INDEX(Models!$BJ51:$BT51,,T51+1)*R51-ERP_i)*Q51*Ramure*Pc/MaxiM</f>
        <v>2.8402194446929991E-7</v>
      </c>
      <c r="Q51" s="304">
        <f t="shared" si="19"/>
        <v>0.5</v>
      </c>
      <c r="R51" s="176">
        <f t="shared" si="4"/>
        <v>0.53618655455947495</v>
      </c>
      <c r="S51" s="814">
        <f t="shared" si="20"/>
        <v>-1</v>
      </c>
      <c r="T51" s="175">
        <f t="shared" si="21"/>
        <v>5</v>
      </c>
      <c r="U51" s="250">
        <f t="shared" si="22"/>
        <v>-0.46381344544052505</v>
      </c>
      <c r="V51" s="382">
        <f t="shared" si="5"/>
        <v>36.53964756677528</v>
      </c>
      <c r="W51" s="58"/>
      <c r="X51" s="157">
        <f t="shared" si="6"/>
        <v>43137</v>
      </c>
      <c r="Y51" s="384">
        <f t="shared" si="7"/>
        <v>0</v>
      </c>
      <c r="Z51" s="384">
        <f t="shared" si="8"/>
        <v>0</v>
      </c>
      <c r="AA51" s="385">
        <f t="shared" si="9"/>
        <v>0</v>
      </c>
      <c r="AB51" s="196">
        <f t="shared" si="10"/>
        <v>43137</v>
      </c>
      <c r="AC51" s="425">
        <f t="shared" si="11"/>
        <v>0</v>
      </c>
      <c r="AD51" s="168">
        <f>(INDEX(Models!$BJ51:$BT51,,AH51)*(1-AF51)+INDEX(Models!$BJ51:$BT51,,AH51+1)*AF51-ERP_i)*AE51*Ramure*Pc/MaxiM</f>
        <v>2.8402194446929991E-7</v>
      </c>
      <c r="AE51" s="304">
        <f t="shared" si="12"/>
        <v>0.5</v>
      </c>
      <c r="AF51" s="176">
        <f t="shared" si="13"/>
        <v>0.53618655455947495</v>
      </c>
      <c r="AG51" s="814">
        <f t="shared" si="23"/>
        <v>-1</v>
      </c>
      <c r="AH51" s="175">
        <f t="shared" si="14"/>
        <v>5</v>
      </c>
      <c r="AI51" s="224">
        <f t="shared" si="15"/>
        <v>-0.46381344544052505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43138</v>
      </c>
      <c r="B52" s="616"/>
      <c r="C52" s="389"/>
      <c r="D52" s="392"/>
      <c r="E52" s="384"/>
      <c r="F52" s="384"/>
      <c r="G52" s="110"/>
      <c r="I52" s="379">
        <f t="shared" si="0"/>
        <v>0</v>
      </c>
      <c r="J52" s="85">
        <v>2018</v>
      </c>
      <c r="K52" s="196">
        <f t="shared" si="1"/>
        <v>43138</v>
      </c>
      <c r="L52" s="436">
        <f t="shared" si="2"/>
        <v>0</v>
      </c>
      <c r="M52" s="858"/>
      <c r="N52" s="858"/>
      <c r="O52" s="323">
        <f t="shared" si="3"/>
        <v>0</v>
      </c>
      <c r="P52" s="168">
        <f>(INDEX(Models!$BJ52:$BT52,,T52)*(1-R52)+INDEX(Models!$BJ52:$BT52,,T52+1)*R52-ERP_i)*Q52*Ramure*Pc/MaxiM</f>
        <v>2.9263320761595101E-7</v>
      </c>
      <c r="Q52" s="304">
        <f t="shared" si="19"/>
        <v>0.5</v>
      </c>
      <c r="R52" s="176">
        <f t="shared" si="4"/>
        <v>0.53626277876041573</v>
      </c>
      <c r="S52" s="814">
        <f t="shared" si="20"/>
        <v>-1</v>
      </c>
      <c r="T52" s="175">
        <f t="shared" si="21"/>
        <v>5</v>
      </c>
      <c r="U52" s="250">
        <f t="shared" si="22"/>
        <v>-0.46373722123958422</v>
      </c>
      <c r="V52" s="382">
        <f t="shared" si="5"/>
        <v>36.914305815981223</v>
      </c>
      <c r="W52" s="58"/>
      <c r="X52" s="157">
        <f t="shared" si="6"/>
        <v>43138</v>
      </c>
      <c r="Y52" s="384">
        <f t="shared" si="7"/>
        <v>0</v>
      </c>
      <c r="Z52" s="384">
        <f t="shared" si="8"/>
        <v>0</v>
      </c>
      <c r="AA52" s="385">
        <f t="shared" si="9"/>
        <v>0</v>
      </c>
      <c r="AB52" s="196">
        <f t="shared" si="10"/>
        <v>43138</v>
      </c>
      <c r="AC52" s="425">
        <f t="shared" si="11"/>
        <v>0</v>
      </c>
      <c r="AD52" s="168">
        <f>(INDEX(Models!$BJ52:$BT52,,AH52)*(1-AF52)+INDEX(Models!$BJ52:$BT52,,AH52+1)*AF52-ERP_i)*AE52*Ramure*Pc/MaxiM</f>
        <v>2.9263320761595101E-7</v>
      </c>
      <c r="AE52" s="304">
        <f t="shared" si="12"/>
        <v>0.5</v>
      </c>
      <c r="AF52" s="176">
        <f t="shared" si="13"/>
        <v>0.53626277876041573</v>
      </c>
      <c r="AG52" s="814">
        <f t="shared" si="23"/>
        <v>-1</v>
      </c>
      <c r="AH52" s="175">
        <f t="shared" si="14"/>
        <v>5</v>
      </c>
      <c r="AI52" s="224">
        <f t="shared" si="15"/>
        <v>-0.46373722123958422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43139</v>
      </c>
      <c r="B53" s="616"/>
      <c r="C53" s="389"/>
      <c r="D53" s="392"/>
      <c r="E53" s="384"/>
      <c r="F53" s="384"/>
      <c r="G53" s="110"/>
      <c r="I53" s="379">
        <f t="shared" si="0"/>
        <v>0</v>
      </c>
      <c r="J53" s="85">
        <v>2018</v>
      </c>
      <c r="K53" s="196">
        <f t="shared" si="1"/>
        <v>43139</v>
      </c>
      <c r="L53" s="436">
        <f t="shared" si="2"/>
        <v>0</v>
      </c>
      <c r="M53" s="858"/>
      <c r="N53" s="858"/>
      <c r="O53" s="323">
        <f t="shared" si="3"/>
        <v>0</v>
      </c>
      <c r="P53" s="168">
        <f>(INDEX(Models!$BJ53:$BT53,,T53)*(1-R53)+INDEX(Models!$BJ53:$BT53,,T53+1)*R53-ERP_i)*Q53*Ramure*Pc/MaxiM</f>
        <v>3.0248218288575323E-7</v>
      </c>
      <c r="Q53" s="304">
        <f t="shared" si="19"/>
        <v>0.5</v>
      </c>
      <c r="R53" s="176">
        <f t="shared" si="4"/>
        <v>0.53634215934443552</v>
      </c>
      <c r="S53" s="814">
        <f t="shared" si="20"/>
        <v>-1</v>
      </c>
      <c r="T53" s="175">
        <f t="shared" si="21"/>
        <v>5</v>
      </c>
      <c r="U53" s="250">
        <f t="shared" si="22"/>
        <v>-0.46365784065556442</v>
      </c>
      <c r="V53" s="382">
        <f t="shared" si="5"/>
        <v>37.294381285307345</v>
      </c>
      <c r="W53" s="58"/>
      <c r="X53" s="157">
        <f t="shared" si="6"/>
        <v>43139</v>
      </c>
      <c r="Y53" s="384">
        <f t="shared" si="7"/>
        <v>0</v>
      </c>
      <c r="Z53" s="384">
        <f t="shared" si="8"/>
        <v>0</v>
      </c>
      <c r="AA53" s="385">
        <f t="shared" si="9"/>
        <v>0</v>
      </c>
      <c r="AB53" s="196">
        <f t="shared" si="10"/>
        <v>43139</v>
      </c>
      <c r="AC53" s="425">
        <f t="shared" si="11"/>
        <v>0</v>
      </c>
      <c r="AD53" s="168">
        <f>(INDEX(Models!$BJ53:$BT53,,AH53)*(1-AF53)+INDEX(Models!$BJ53:$BT53,,AH53+1)*AF53-ERP_i)*AE53*Ramure*Pc/MaxiM</f>
        <v>3.0248218288575323E-7</v>
      </c>
      <c r="AE53" s="304">
        <f t="shared" si="12"/>
        <v>0.5</v>
      </c>
      <c r="AF53" s="176">
        <f t="shared" si="13"/>
        <v>0.53634215934443552</v>
      </c>
      <c r="AG53" s="814">
        <f t="shared" si="23"/>
        <v>-1</v>
      </c>
      <c r="AH53" s="175">
        <f t="shared" si="14"/>
        <v>5</v>
      </c>
      <c r="AI53" s="224">
        <f t="shared" si="15"/>
        <v>-0.46365784065556442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43140</v>
      </c>
      <c r="B54" s="616"/>
      <c r="C54" s="389"/>
      <c r="D54" s="392"/>
      <c r="E54" s="384"/>
      <c r="F54" s="384"/>
      <c r="G54" s="110"/>
      <c r="I54" s="379">
        <f t="shared" si="0"/>
        <v>0</v>
      </c>
      <c r="J54" s="85">
        <v>2018</v>
      </c>
      <c r="K54" s="196">
        <f t="shared" si="1"/>
        <v>43140</v>
      </c>
      <c r="L54" s="436">
        <f t="shared" si="2"/>
        <v>0</v>
      </c>
      <c r="M54" s="858"/>
      <c r="N54" s="858"/>
      <c r="O54" s="323">
        <f t="shared" si="3"/>
        <v>0</v>
      </c>
      <c r="P54" s="168">
        <f>(INDEX(Models!$BJ54:$BT54,,T54)*(1-R54)+INDEX(Models!$BJ54:$BT54,,T54+1)*R54-ERP_i)*Q54*Ramure*Pc/MaxiM</f>
        <v>3.1372906531526486E-7</v>
      </c>
      <c r="Q54" s="304">
        <f t="shared" si="19"/>
        <v>0.5</v>
      </c>
      <c r="R54" s="176">
        <f t="shared" si="4"/>
        <v>0.53642482521959023</v>
      </c>
      <c r="S54" s="814">
        <f t="shared" si="20"/>
        <v>-1</v>
      </c>
      <c r="T54" s="175">
        <f t="shared" si="21"/>
        <v>5</v>
      </c>
      <c r="U54" s="250">
        <f t="shared" si="22"/>
        <v>-0.46357517478040977</v>
      </c>
      <c r="V54" s="382">
        <f t="shared" si="5"/>
        <v>37.678790511346634</v>
      </c>
      <c r="W54" s="58"/>
      <c r="X54" s="157">
        <f t="shared" si="6"/>
        <v>43140</v>
      </c>
      <c r="Y54" s="384">
        <f t="shared" si="7"/>
        <v>0</v>
      </c>
      <c r="Z54" s="384">
        <f t="shared" si="8"/>
        <v>0</v>
      </c>
      <c r="AA54" s="385">
        <f t="shared" si="9"/>
        <v>0</v>
      </c>
      <c r="AB54" s="196">
        <f t="shared" si="10"/>
        <v>43140</v>
      </c>
      <c r="AC54" s="425">
        <f t="shared" si="11"/>
        <v>0</v>
      </c>
      <c r="AD54" s="168">
        <f>(INDEX(Models!$BJ54:$BT54,,AH54)*(1-AF54)+INDEX(Models!$BJ54:$BT54,,AH54+1)*AF54-ERP_i)*AE54*Ramure*Pc/MaxiM</f>
        <v>3.1372906531526486E-7</v>
      </c>
      <c r="AE54" s="304">
        <f t="shared" si="12"/>
        <v>0.5</v>
      </c>
      <c r="AF54" s="176">
        <f t="shared" si="13"/>
        <v>0.53642482521959023</v>
      </c>
      <c r="AG54" s="814">
        <f t="shared" si="23"/>
        <v>-1</v>
      </c>
      <c r="AH54" s="175">
        <f t="shared" si="14"/>
        <v>5</v>
      </c>
      <c r="AI54" s="224">
        <f t="shared" si="15"/>
        <v>-0.46357517478040977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89"/>
      <c r="D55" s="392"/>
      <c r="E55" s="384"/>
      <c r="F55" s="384"/>
      <c r="G55" s="110"/>
      <c r="I55" s="379">
        <f t="shared" si="0"/>
        <v>0</v>
      </c>
      <c r="J55" s="85">
        <v>2018</v>
      </c>
      <c r="K55" s="196">
        <f t="shared" si="1"/>
        <v>43141</v>
      </c>
      <c r="L55" s="436">
        <f t="shared" si="2"/>
        <v>0</v>
      </c>
      <c r="M55" s="858"/>
      <c r="N55" s="858"/>
      <c r="O55" s="323">
        <f t="shared" si="3"/>
        <v>0</v>
      </c>
      <c r="P55" s="168">
        <f>(INDEX(Models!$BJ55:$BT55,,T55)*(1-R55)+INDEX(Models!$BJ55:$BT55,,T55+1)*R55-ERP_i)*Q55*Ramure*Pc/MaxiM</f>
        <v>3.265433422296389E-7</v>
      </c>
      <c r="Q55" s="304">
        <f t="shared" si="19"/>
        <v>0.5</v>
      </c>
      <c r="R55" s="176">
        <f t="shared" si="4"/>
        <v>0.53651091040598775</v>
      </c>
      <c r="S55" s="814">
        <f t="shared" si="20"/>
        <v>-1</v>
      </c>
      <c r="T55" s="175">
        <f t="shared" si="21"/>
        <v>5</v>
      </c>
      <c r="U55" s="250">
        <f t="shared" si="22"/>
        <v>-0.46348908959401225</v>
      </c>
      <c r="V55" s="382">
        <f t="shared" si="5"/>
        <v>38.06645003345583</v>
      </c>
      <c r="W55" s="58"/>
      <c r="X55" s="157">
        <f t="shared" si="6"/>
        <v>43141</v>
      </c>
      <c r="Y55" s="384">
        <f t="shared" si="7"/>
        <v>0</v>
      </c>
      <c r="Z55" s="384">
        <f t="shared" si="8"/>
        <v>0</v>
      </c>
      <c r="AA55" s="385">
        <f t="shared" si="9"/>
        <v>0</v>
      </c>
      <c r="AB55" s="196">
        <f t="shared" si="10"/>
        <v>43141</v>
      </c>
      <c r="AC55" s="425">
        <f t="shared" si="11"/>
        <v>0</v>
      </c>
      <c r="AD55" s="168">
        <f>(INDEX(Models!$BJ55:$BT55,,AH55)*(1-AF55)+INDEX(Models!$BJ55:$BT55,,AH55+1)*AF55-ERP_i)*AE55*Ramure*Pc/MaxiM</f>
        <v>3.265433422296389E-7</v>
      </c>
      <c r="AE55" s="304">
        <f t="shared" si="12"/>
        <v>0.5</v>
      </c>
      <c r="AF55" s="176">
        <f t="shared" si="13"/>
        <v>0.53651091040598775</v>
      </c>
      <c r="AG55" s="814">
        <f t="shared" si="23"/>
        <v>-1</v>
      </c>
      <c r="AH55" s="175">
        <f t="shared" si="14"/>
        <v>5</v>
      </c>
      <c r="AI55" s="224">
        <f t="shared" si="15"/>
        <v>-0.46348908959401225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89"/>
      <c r="D56" s="392"/>
      <c r="E56" s="384"/>
      <c r="F56" s="384"/>
      <c r="G56" s="110"/>
      <c r="I56" s="379">
        <f t="shared" si="0"/>
        <v>0</v>
      </c>
      <c r="J56" s="85">
        <v>2018</v>
      </c>
      <c r="K56" s="196">
        <f t="shared" si="1"/>
        <v>43142</v>
      </c>
      <c r="L56" s="436">
        <f t="shared" si="2"/>
        <v>0</v>
      </c>
      <c r="M56" s="858"/>
      <c r="N56" s="858"/>
      <c r="O56" s="323">
        <f t="shared" si="3"/>
        <v>0</v>
      </c>
      <c r="P56" s="168">
        <f>(INDEX(Models!$BJ56:$BT56,,T56)*(1-R56)+INDEX(Models!$BJ56:$BT56,,T56+1)*R56-ERP_i)*Q56*Ramure*Pc/MaxiM</f>
        <v>3.4110463061084984E-7</v>
      </c>
      <c r="Q56" s="304">
        <f t="shared" si="19"/>
        <v>0.5</v>
      </c>
      <c r="R56" s="176">
        <f t="shared" si="4"/>
        <v>0.53660055422550446</v>
      </c>
      <c r="S56" s="814">
        <f t="shared" si="20"/>
        <v>-1</v>
      </c>
      <c r="T56" s="175">
        <f t="shared" si="21"/>
        <v>5</v>
      </c>
      <c r="U56" s="250">
        <f t="shared" si="22"/>
        <v>-0.46339944577449554</v>
      </c>
      <c r="V56" s="382">
        <f t="shared" si="5"/>
        <v>38.456276387116105</v>
      </c>
      <c r="W56" s="58"/>
      <c r="X56" s="157">
        <f t="shared" si="6"/>
        <v>43142</v>
      </c>
      <c r="Y56" s="384">
        <f t="shared" si="7"/>
        <v>0</v>
      </c>
      <c r="Z56" s="384">
        <f t="shared" si="8"/>
        <v>0</v>
      </c>
      <c r="AA56" s="385">
        <f t="shared" si="9"/>
        <v>0</v>
      </c>
      <c r="AB56" s="196">
        <f t="shared" si="10"/>
        <v>43142</v>
      </c>
      <c r="AC56" s="425">
        <f t="shared" si="11"/>
        <v>0</v>
      </c>
      <c r="AD56" s="168">
        <f>(INDEX(Models!$BJ56:$BT56,,AH56)*(1-AF56)+INDEX(Models!$BJ56:$BT56,,AH56+1)*AF56-ERP_i)*AE56*Ramure*Pc/MaxiM</f>
        <v>3.4110463061084984E-7</v>
      </c>
      <c r="AE56" s="304">
        <f t="shared" si="12"/>
        <v>0.5</v>
      </c>
      <c r="AF56" s="176">
        <f t="shared" si="13"/>
        <v>0.53660055422550446</v>
      </c>
      <c r="AG56" s="814">
        <f t="shared" si="23"/>
        <v>-1</v>
      </c>
      <c r="AH56" s="175">
        <f t="shared" si="14"/>
        <v>5</v>
      </c>
      <c r="AI56" s="224">
        <f t="shared" si="15"/>
        <v>-0.46339944577449554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89"/>
      <c r="D57" s="392"/>
      <c r="E57" s="384"/>
      <c r="F57" s="384"/>
      <c r="G57" s="110"/>
      <c r="I57" s="379">
        <f t="shared" si="0"/>
        <v>0</v>
      </c>
      <c r="J57" s="85">
        <v>2018</v>
      </c>
      <c r="K57" s="196">
        <f t="shared" si="1"/>
        <v>43143</v>
      </c>
      <c r="L57" s="436">
        <f t="shared" si="2"/>
        <v>0</v>
      </c>
      <c r="M57" s="858"/>
      <c r="N57" s="858"/>
      <c r="O57" s="323">
        <f t="shared" si="3"/>
        <v>0</v>
      </c>
      <c r="P57" s="168">
        <f>(INDEX(Models!$BJ57:$BT57,,T57)*(1-R57)+INDEX(Models!$BJ57:$BT57,,T57+1)*R57-ERP_i)*Q57*Ramure*Pc/MaxiM</f>
        <v>3.5760361219513315E-7</v>
      </c>
      <c r="Q57" s="304">
        <f t="shared" si="19"/>
        <v>0.5</v>
      </c>
      <c r="R57" s="176">
        <f t="shared" si="4"/>
        <v>0.53669390149741814</v>
      </c>
      <c r="S57" s="814">
        <f t="shared" si="20"/>
        <v>-1</v>
      </c>
      <c r="T57" s="175">
        <f t="shared" si="21"/>
        <v>5</v>
      </c>
      <c r="U57" s="250">
        <f t="shared" si="22"/>
        <v>-0.46330609850258181</v>
      </c>
      <c r="V57" s="382">
        <f t="shared" si="5"/>
        <v>38.847186108200795</v>
      </c>
      <c r="W57" s="58"/>
      <c r="X57" s="157">
        <f t="shared" si="6"/>
        <v>43143</v>
      </c>
      <c r="Y57" s="384">
        <f t="shared" si="7"/>
        <v>0</v>
      </c>
      <c r="Z57" s="384">
        <f t="shared" si="8"/>
        <v>0</v>
      </c>
      <c r="AA57" s="385">
        <f t="shared" si="9"/>
        <v>0</v>
      </c>
      <c r="AB57" s="196">
        <f t="shared" si="10"/>
        <v>43143</v>
      </c>
      <c r="AC57" s="425">
        <f t="shared" si="11"/>
        <v>0</v>
      </c>
      <c r="AD57" s="168">
        <f>(INDEX(Models!$BJ57:$BT57,,AH57)*(1-AF57)+INDEX(Models!$BJ57:$BT57,,AH57+1)*AF57-ERP_i)*AE57*Ramure*Pc/MaxiM</f>
        <v>3.5760361219513315E-7</v>
      </c>
      <c r="AE57" s="304">
        <f t="shared" si="12"/>
        <v>0.5</v>
      </c>
      <c r="AF57" s="176">
        <f t="shared" si="13"/>
        <v>0.53669390149741814</v>
      </c>
      <c r="AG57" s="814">
        <f t="shared" si="23"/>
        <v>-1</v>
      </c>
      <c r="AH57" s="175">
        <f t="shared" si="14"/>
        <v>5</v>
      </c>
      <c r="AI57" s="224">
        <f t="shared" si="15"/>
        <v>-0.46330609850258181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89"/>
      <c r="D58" s="392"/>
      <c r="E58" s="384"/>
      <c r="F58" s="384"/>
      <c r="G58" s="110"/>
      <c r="I58" s="379">
        <f t="shared" si="0"/>
        <v>0</v>
      </c>
      <c r="J58" s="85">
        <v>2018</v>
      </c>
      <c r="K58" s="196">
        <f t="shared" si="1"/>
        <v>43144</v>
      </c>
      <c r="L58" s="436">
        <f t="shared" si="2"/>
        <v>0</v>
      </c>
      <c r="M58" s="858"/>
      <c r="N58" s="858"/>
      <c r="O58" s="323">
        <f t="shared" si="3"/>
        <v>0</v>
      </c>
      <c r="P58" s="168">
        <f>(INDEX(Models!$BJ58:$BT58,,T58)*(1-R58)+INDEX(Models!$BJ58:$BT58,,T58+1)*R58-ERP_i)*Q58*Ramure*Pc/MaxiM</f>
        <v>3.7581474191094822E-7</v>
      </c>
      <c r="Q58" s="304">
        <f t="shared" si="19"/>
        <v>0.5</v>
      </c>
      <c r="R58" s="176">
        <f t="shared" si="4"/>
        <v>0.5367911027400416</v>
      </c>
      <c r="S58" s="814">
        <f t="shared" si="20"/>
        <v>-1</v>
      </c>
      <c r="T58" s="175">
        <f t="shared" si="21"/>
        <v>5</v>
      </c>
      <c r="U58" s="250">
        <f t="shared" si="22"/>
        <v>-0.46320889725995834</v>
      </c>
      <c r="V58" s="382">
        <f t="shared" si="5"/>
        <v>39.238095749577298</v>
      </c>
      <c r="W58" s="58"/>
      <c r="X58" s="157">
        <f t="shared" si="6"/>
        <v>43144</v>
      </c>
      <c r="Y58" s="384">
        <f t="shared" si="7"/>
        <v>0</v>
      </c>
      <c r="Z58" s="384">
        <f t="shared" si="8"/>
        <v>0</v>
      </c>
      <c r="AA58" s="385">
        <f t="shared" si="9"/>
        <v>0</v>
      </c>
      <c r="AB58" s="196">
        <f t="shared" si="10"/>
        <v>43144</v>
      </c>
      <c r="AC58" s="425">
        <f t="shared" si="11"/>
        <v>0</v>
      </c>
      <c r="AD58" s="168">
        <f>(INDEX(Models!$BJ58:$BT58,,AH58)*(1-AF58)+INDEX(Models!$BJ58:$BT58,,AH58+1)*AF58-ERP_i)*AE58*Ramure*Pc/MaxiM</f>
        <v>3.7581474191094822E-7</v>
      </c>
      <c r="AE58" s="304">
        <f t="shared" si="12"/>
        <v>0.5</v>
      </c>
      <c r="AF58" s="176">
        <f t="shared" si="13"/>
        <v>0.5367911027400416</v>
      </c>
      <c r="AG58" s="814">
        <f t="shared" si="23"/>
        <v>-1</v>
      </c>
      <c r="AH58" s="175">
        <f t="shared" si="14"/>
        <v>5</v>
      </c>
      <c r="AI58" s="224">
        <f t="shared" si="15"/>
        <v>-0.46320889725995834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43145</v>
      </c>
      <c r="B59" s="616"/>
      <c r="C59" s="389"/>
      <c r="D59" s="392"/>
      <c r="E59" s="384"/>
      <c r="F59" s="384"/>
      <c r="G59" s="110"/>
      <c r="I59" s="379">
        <f t="shared" si="0"/>
        <v>0</v>
      </c>
      <c r="J59" s="85">
        <v>2018</v>
      </c>
      <c r="K59" s="196">
        <f t="shared" si="1"/>
        <v>43145</v>
      </c>
      <c r="L59" s="436">
        <f t="shared" si="2"/>
        <v>0</v>
      </c>
      <c r="M59" s="858"/>
      <c r="N59" s="858"/>
      <c r="O59" s="323">
        <f t="shared" si="3"/>
        <v>0</v>
      </c>
      <c r="P59" s="168">
        <f>(INDEX(Models!$BJ59:$BT59,,T59)*(1-R59)+INDEX(Models!$BJ59:$BT59,,T59+1)*R59-ERP_i)*Q59*Ramure*Pc/MaxiM</f>
        <v>3.9493189414368145E-7</v>
      </c>
      <c r="Q59" s="304">
        <f t="shared" si="19"/>
        <v>0.5</v>
      </c>
      <c r="R59" s="176">
        <f t="shared" si="4"/>
        <v>0.53689231437843077</v>
      </c>
      <c r="S59" s="814">
        <f t="shared" si="20"/>
        <v>-1</v>
      </c>
      <c r="T59" s="175">
        <f t="shared" si="21"/>
        <v>5</v>
      </c>
      <c r="U59" s="250">
        <f t="shared" si="22"/>
        <v>-0.46310768562156929</v>
      </c>
      <c r="V59" s="382">
        <f t="shared" si="5"/>
        <v>39.627921886536484</v>
      </c>
      <c r="W59" s="58"/>
      <c r="X59" s="157">
        <f t="shared" si="6"/>
        <v>43145</v>
      </c>
      <c r="Y59" s="384">
        <f t="shared" si="7"/>
        <v>0</v>
      </c>
      <c r="Z59" s="384">
        <f t="shared" si="8"/>
        <v>0</v>
      </c>
      <c r="AA59" s="385">
        <f t="shared" si="9"/>
        <v>0</v>
      </c>
      <c r="AB59" s="196">
        <f t="shared" si="10"/>
        <v>43145</v>
      </c>
      <c r="AC59" s="425">
        <f t="shared" si="11"/>
        <v>0</v>
      </c>
      <c r="AD59" s="168">
        <f>(INDEX(Models!$BJ59:$BT59,,AH59)*(1-AF59)+INDEX(Models!$BJ59:$BT59,,AH59+1)*AF59-ERP_i)*AE59*Ramure*Pc/MaxiM</f>
        <v>3.9493189414368145E-7</v>
      </c>
      <c r="AE59" s="304">
        <f t="shared" si="12"/>
        <v>0.5</v>
      </c>
      <c r="AF59" s="176">
        <f t="shared" si="13"/>
        <v>0.53689231437843077</v>
      </c>
      <c r="AG59" s="814">
        <f t="shared" si="23"/>
        <v>-1</v>
      </c>
      <c r="AH59" s="175">
        <f t="shared" si="14"/>
        <v>5</v>
      </c>
      <c r="AI59" s="224">
        <f t="shared" si="15"/>
        <v>-0.46310768562156929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43146</v>
      </c>
      <c r="B60" s="616"/>
      <c r="C60" s="389"/>
      <c r="D60" s="392"/>
      <c r="E60" s="384"/>
      <c r="F60" s="384"/>
      <c r="G60" s="110"/>
      <c r="I60" s="379">
        <f t="shared" si="0"/>
        <v>0</v>
      </c>
      <c r="J60" s="85">
        <v>2018</v>
      </c>
      <c r="K60" s="196">
        <f t="shared" si="1"/>
        <v>43146</v>
      </c>
      <c r="L60" s="436">
        <f t="shared" si="2"/>
        <v>0</v>
      </c>
      <c r="M60" s="858"/>
      <c r="N60" s="858"/>
      <c r="O60" s="323">
        <f t="shared" si="3"/>
        <v>0</v>
      </c>
      <c r="P60" s="168">
        <f>(INDEX(Models!$BJ60:$BT60,,T60)*(1-R60)+INDEX(Models!$BJ60:$BT60,,T60+1)*R60-ERP_i)*Q60*Ramure*Pc/MaxiM</f>
        <v>4.1501499952006763E-7</v>
      </c>
      <c r="Q60" s="304">
        <f t="shared" si="19"/>
        <v>0.5</v>
      </c>
      <c r="R60" s="176">
        <f t="shared" si="4"/>
        <v>0.53699769895822902</v>
      </c>
      <c r="S60" s="814">
        <f t="shared" si="20"/>
        <v>-1</v>
      </c>
      <c r="T60" s="175">
        <f t="shared" si="21"/>
        <v>5</v>
      </c>
      <c r="U60" s="250">
        <f t="shared" si="22"/>
        <v>-0.46300230104177104</v>
      </c>
      <c r="V60" s="382">
        <f t="shared" si="5"/>
        <v>40.015581060471838</v>
      </c>
      <c r="W60" s="58"/>
      <c r="X60" s="157">
        <f t="shared" si="6"/>
        <v>43146</v>
      </c>
      <c r="Y60" s="384">
        <f t="shared" si="7"/>
        <v>0</v>
      </c>
      <c r="Z60" s="384">
        <f t="shared" si="8"/>
        <v>0</v>
      </c>
      <c r="AA60" s="385">
        <f t="shared" si="9"/>
        <v>0</v>
      </c>
      <c r="AB60" s="196">
        <f t="shared" si="10"/>
        <v>43146</v>
      </c>
      <c r="AC60" s="425">
        <f t="shared" si="11"/>
        <v>0</v>
      </c>
      <c r="AD60" s="168">
        <f>(INDEX(Models!$BJ60:$BT60,,AH60)*(1-AF60)+INDEX(Models!$BJ60:$BT60,,AH60+1)*AF60-ERP_i)*AE60*Ramure*Pc/MaxiM</f>
        <v>4.1501499952006763E-7</v>
      </c>
      <c r="AE60" s="304">
        <f t="shared" si="12"/>
        <v>0.5</v>
      </c>
      <c r="AF60" s="176">
        <f t="shared" si="13"/>
        <v>0.53699769895822902</v>
      </c>
      <c r="AG60" s="814">
        <f t="shared" si="23"/>
        <v>-1</v>
      </c>
      <c r="AH60" s="175">
        <f t="shared" si="14"/>
        <v>5</v>
      </c>
      <c r="AI60" s="224">
        <f t="shared" si="15"/>
        <v>-0.46300230104177104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89"/>
      <c r="D61" s="392"/>
      <c r="E61" s="384"/>
      <c r="F61" s="384"/>
      <c r="G61" s="110"/>
      <c r="I61" s="379">
        <f t="shared" si="0"/>
        <v>0</v>
      </c>
      <c r="J61" s="85">
        <v>2018</v>
      </c>
      <c r="K61" s="196">
        <f t="shared" si="1"/>
        <v>43147</v>
      </c>
      <c r="L61" s="436">
        <f t="shared" si="2"/>
        <v>0</v>
      </c>
      <c r="M61" s="858"/>
      <c r="N61" s="858"/>
      <c r="O61" s="323">
        <f t="shared" si="3"/>
        <v>0</v>
      </c>
      <c r="P61" s="168">
        <f>(INDEX(Models!$BJ61:$BT61,,T61)*(1-R61)+INDEX(Models!$BJ61:$BT61,,T61+1)*R61-ERP_i)*Q61*Ramure*Pc/MaxiM</f>
        <v>4.3612822724119046E-7</v>
      </c>
      <c r="Q61" s="304">
        <f t="shared" si="19"/>
        <v>0.5</v>
      </c>
      <c r="R61" s="176">
        <f t="shared" si="4"/>
        <v>0.53710742536570177</v>
      </c>
      <c r="S61" s="814">
        <f t="shared" si="20"/>
        <v>-1</v>
      </c>
      <c r="T61" s="175">
        <f t="shared" si="21"/>
        <v>5</v>
      </c>
      <c r="U61" s="250">
        <f t="shared" si="22"/>
        <v>-0.46289257463429817</v>
      </c>
      <c r="V61" s="382">
        <f t="shared" si="5"/>
        <v>40.399989814712129</v>
      </c>
      <c r="W61" s="58"/>
      <c r="X61" s="157">
        <f t="shared" si="6"/>
        <v>43147</v>
      </c>
      <c r="Y61" s="384">
        <f t="shared" si="7"/>
        <v>0</v>
      </c>
      <c r="Z61" s="384">
        <f t="shared" si="8"/>
        <v>0</v>
      </c>
      <c r="AA61" s="385">
        <f t="shared" si="9"/>
        <v>0</v>
      </c>
      <c r="AB61" s="196">
        <f t="shared" si="10"/>
        <v>43147</v>
      </c>
      <c r="AC61" s="425">
        <f t="shared" si="11"/>
        <v>0</v>
      </c>
      <c r="AD61" s="168">
        <f>(INDEX(Models!$BJ61:$BT61,,AH61)*(1-AF61)+INDEX(Models!$BJ61:$BT61,,AH61+1)*AF61-ERP_i)*AE61*Ramure*Pc/MaxiM</f>
        <v>4.3612822724119046E-7</v>
      </c>
      <c r="AE61" s="304">
        <f t="shared" si="12"/>
        <v>0.5</v>
      </c>
      <c r="AF61" s="176">
        <f t="shared" si="13"/>
        <v>0.53710742536570177</v>
      </c>
      <c r="AG61" s="814">
        <f t="shared" si="23"/>
        <v>-1</v>
      </c>
      <c r="AH61" s="175">
        <f t="shared" si="14"/>
        <v>5</v>
      </c>
      <c r="AI61" s="224">
        <f t="shared" si="15"/>
        <v>-0.46289257463429817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43148</v>
      </c>
      <c r="B62" s="616"/>
      <c r="C62" s="389"/>
      <c r="D62" s="392"/>
      <c r="E62" s="384"/>
      <c r="F62" s="384"/>
      <c r="G62" s="110"/>
      <c r="I62" s="379">
        <f t="shared" si="0"/>
        <v>0</v>
      </c>
      <c r="J62" s="85">
        <v>2018</v>
      </c>
      <c r="K62" s="196">
        <f t="shared" si="1"/>
        <v>43148</v>
      </c>
      <c r="L62" s="436">
        <f t="shared" si="2"/>
        <v>0</v>
      </c>
      <c r="M62" s="858"/>
      <c r="N62" s="858"/>
      <c r="O62" s="323">
        <f t="shared" si="3"/>
        <v>0</v>
      </c>
      <c r="P62" s="168">
        <f>(INDEX(Models!$BJ62:$BT62,,T62)*(1-R62)+INDEX(Models!$BJ62:$BT62,,T62+1)*R62-ERP_i)*Q62*Ramure*Pc/MaxiM</f>
        <v>4.5834032571645655E-7</v>
      </c>
      <c r="Q62" s="304">
        <f t="shared" si="19"/>
        <v>0.5</v>
      </c>
      <c r="R62" s="176">
        <f t="shared" si="4"/>
        <v>0.5372216690539956</v>
      </c>
      <c r="S62" s="814">
        <f t="shared" si="20"/>
        <v>-1</v>
      </c>
      <c r="T62" s="175">
        <f t="shared" si="21"/>
        <v>5</v>
      </c>
      <c r="U62" s="250">
        <f t="shared" si="22"/>
        <v>-0.4627783309460044</v>
      </c>
      <c r="V62" s="382">
        <f t="shared" si="5"/>
        <v>40.78006469070688</v>
      </c>
      <c r="W62" s="58"/>
      <c r="X62" s="157">
        <f t="shared" si="6"/>
        <v>43148</v>
      </c>
      <c r="Y62" s="384">
        <f t="shared" si="7"/>
        <v>0</v>
      </c>
      <c r="Z62" s="384">
        <f t="shared" si="8"/>
        <v>0</v>
      </c>
      <c r="AA62" s="385">
        <f t="shared" si="9"/>
        <v>0</v>
      </c>
      <c r="AB62" s="196">
        <f t="shared" si="10"/>
        <v>43148</v>
      </c>
      <c r="AC62" s="425">
        <f t="shared" si="11"/>
        <v>0</v>
      </c>
      <c r="AD62" s="168">
        <f>(INDEX(Models!$BJ62:$BT62,,AH62)*(1-AF62)+INDEX(Models!$BJ62:$BT62,,AH62+1)*AF62-ERP_i)*AE62*Ramure*Pc/MaxiM</f>
        <v>4.5834032571645655E-7</v>
      </c>
      <c r="AE62" s="304">
        <f t="shared" si="12"/>
        <v>0.5</v>
      </c>
      <c r="AF62" s="176">
        <f t="shared" si="13"/>
        <v>0.5372216690539956</v>
      </c>
      <c r="AG62" s="814">
        <f t="shared" si="23"/>
        <v>-1</v>
      </c>
      <c r="AH62" s="175">
        <f t="shared" si="14"/>
        <v>5</v>
      </c>
      <c r="AI62" s="224">
        <f t="shared" si="15"/>
        <v>-0.4627783309460044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89"/>
      <c r="D63" s="392"/>
      <c r="E63" s="384"/>
      <c r="F63" s="384"/>
      <c r="G63" s="110"/>
      <c r="I63" s="379">
        <f t="shared" si="0"/>
        <v>0</v>
      </c>
      <c r="J63" s="85">
        <v>2018</v>
      </c>
      <c r="K63" s="196">
        <f t="shared" si="1"/>
        <v>43149</v>
      </c>
      <c r="L63" s="436">
        <f t="shared" si="2"/>
        <v>0</v>
      </c>
      <c r="M63" s="858"/>
      <c r="N63" s="858"/>
      <c r="O63" s="323">
        <f t="shared" si="3"/>
        <v>0</v>
      </c>
      <c r="P63" s="168">
        <f>(INDEX(Models!$BJ63:$BT63,,T63)*(1-R63)+INDEX(Models!$BJ63:$BT63,,T63+1)*R63-ERP_i)*Q63*Ramure*Pc/MaxiM</f>
        <v>4.8172499945410064E-7</v>
      </c>
      <c r="Q63" s="304">
        <f t="shared" si="19"/>
        <v>0.5</v>
      </c>
      <c r="R63" s="176">
        <f t="shared" si="4"/>
        <v>0.53734061227564456</v>
      </c>
      <c r="S63" s="814">
        <f t="shared" si="20"/>
        <v>-1</v>
      </c>
      <c r="T63" s="175">
        <f t="shared" si="21"/>
        <v>5</v>
      </c>
      <c r="U63" s="250">
        <f t="shared" si="22"/>
        <v>-0.46265938772435544</v>
      </c>
      <c r="V63" s="382">
        <f t="shared" si="5"/>
        <v>41.154722230038388</v>
      </c>
      <c r="W63" s="58"/>
      <c r="X63" s="157">
        <f t="shared" si="6"/>
        <v>43149</v>
      </c>
      <c r="Y63" s="384">
        <f t="shared" si="7"/>
        <v>0</v>
      </c>
      <c r="Z63" s="384">
        <f t="shared" si="8"/>
        <v>0</v>
      </c>
      <c r="AA63" s="385">
        <f t="shared" si="9"/>
        <v>0</v>
      </c>
      <c r="AB63" s="196">
        <f t="shared" si="10"/>
        <v>43149</v>
      </c>
      <c r="AC63" s="425">
        <f t="shared" si="11"/>
        <v>0</v>
      </c>
      <c r="AD63" s="168">
        <f>(INDEX(Models!$BJ63:$BT63,,AH63)*(1-AF63)+INDEX(Models!$BJ63:$BT63,,AH63+1)*AF63-ERP_i)*AE63*Ramure*Pc/MaxiM</f>
        <v>4.8172499945410064E-7</v>
      </c>
      <c r="AE63" s="304">
        <f t="shared" si="12"/>
        <v>0.5</v>
      </c>
      <c r="AF63" s="176">
        <f t="shared" si="13"/>
        <v>0.53734061227564456</v>
      </c>
      <c r="AG63" s="814">
        <f t="shared" si="23"/>
        <v>-1</v>
      </c>
      <c r="AH63" s="175">
        <f t="shared" si="14"/>
        <v>5</v>
      </c>
      <c r="AI63" s="224">
        <f t="shared" si="15"/>
        <v>-0.46265938772435544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43150</v>
      </c>
      <c r="B64" s="616"/>
      <c r="C64" s="389"/>
      <c r="D64" s="392"/>
      <c r="E64" s="384"/>
      <c r="F64" s="384"/>
      <c r="G64" s="110"/>
      <c r="I64" s="379">
        <f t="shared" si="0"/>
        <v>0</v>
      </c>
      <c r="J64" s="85">
        <v>2018</v>
      </c>
      <c r="K64" s="196">
        <f t="shared" si="1"/>
        <v>43150</v>
      </c>
      <c r="L64" s="436">
        <f t="shared" si="2"/>
        <v>0</v>
      </c>
      <c r="M64" s="858"/>
      <c r="N64" s="858"/>
      <c r="O64" s="323">
        <f t="shared" si="3"/>
        <v>0</v>
      </c>
      <c r="P64" s="168">
        <f>(INDEX(Models!$BJ64:$BT64,,T64)*(1-R64)+INDEX(Models!$BJ64:$BT64,,T64+1)*R64-ERP_i)*Q64*Ramure*Pc/MaxiM</f>
        <v>5.0636132615163047E-7</v>
      </c>
      <c r="Q64" s="304">
        <f t="shared" si="19"/>
        <v>0.5</v>
      </c>
      <c r="R64" s="176">
        <f t="shared" si="4"/>
        <v>0.53746444432132989</v>
      </c>
      <c r="S64" s="814">
        <f t="shared" si="20"/>
        <v>-1</v>
      </c>
      <c r="T64" s="175">
        <f t="shared" si="21"/>
        <v>5</v>
      </c>
      <c r="U64" s="250">
        <f t="shared" si="22"/>
        <v>-0.46253555567867005</v>
      </c>
      <c r="V64" s="382">
        <f t="shared" si="5"/>
        <v>41.522878974623865</v>
      </c>
      <c r="W64" s="58"/>
      <c r="X64" s="157">
        <f t="shared" si="6"/>
        <v>43150</v>
      </c>
      <c r="Y64" s="384">
        <f t="shared" si="7"/>
        <v>0</v>
      </c>
      <c r="Z64" s="384">
        <f t="shared" si="8"/>
        <v>0</v>
      </c>
      <c r="AA64" s="385">
        <f t="shared" si="9"/>
        <v>0</v>
      </c>
      <c r="AB64" s="196">
        <f t="shared" si="10"/>
        <v>43150</v>
      </c>
      <c r="AC64" s="425">
        <f t="shared" si="11"/>
        <v>0</v>
      </c>
      <c r="AD64" s="168">
        <f>(INDEX(Models!$BJ64:$BT64,,AH64)*(1-AF64)+INDEX(Models!$BJ64:$BT64,,AH64+1)*AF64-ERP_i)*AE64*Ramure*Pc/MaxiM</f>
        <v>5.0636132615163047E-7</v>
      </c>
      <c r="AE64" s="304">
        <f t="shared" si="12"/>
        <v>0.5</v>
      </c>
      <c r="AF64" s="176">
        <f t="shared" si="13"/>
        <v>0.53746444432132989</v>
      </c>
      <c r="AG64" s="814">
        <f t="shared" si="23"/>
        <v>-1</v>
      </c>
      <c r="AH64" s="175">
        <f t="shared" si="14"/>
        <v>5</v>
      </c>
      <c r="AI64" s="224">
        <f t="shared" si="15"/>
        <v>-0.46253555567867005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89"/>
      <c r="D65" s="392"/>
      <c r="E65" s="384"/>
      <c r="F65" s="384"/>
      <c r="G65" s="110"/>
      <c r="I65" s="379">
        <f t="shared" si="0"/>
        <v>0</v>
      </c>
      <c r="J65" s="85">
        <v>2018</v>
      </c>
      <c r="K65" s="196">
        <f t="shared" si="1"/>
        <v>43151</v>
      </c>
      <c r="L65" s="436">
        <f t="shared" si="2"/>
        <v>0</v>
      </c>
      <c r="M65" s="858"/>
      <c r="N65" s="858"/>
      <c r="O65" s="323">
        <f t="shared" si="3"/>
        <v>0</v>
      </c>
      <c r="P65" s="168">
        <f>(INDEX(Models!$BJ65:$BT65,,T65)*(1-R65)+INDEX(Models!$BJ65:$BT65,,T65+1)*R65-ERP_i)*Q65*Ramure*Pc/MaxiM</f>
        <v>5.3230874394551167E-7</v>
      </c>
      <c r="Q65" s="304">
        <f t="shared" si="19"/>
        <v>0.5</v>
      </c>
      <c r="R65" s="176">
        <f t="shared" si="4"/>
        <v>0.53759336176487615</v>
      </c>
      <c r="S65" s="814">
        <f t="shared" si="20"/>
        <v>-1</v>
      </c>
      <c r="T65" s="175">
        <f t="shared" si="21"/>
        <v>5</v>
      </c>
      <c r="U65" s="250">
        <f t="shared" si="22"/>
        <v>-0.46240663823512385</v>
      </c>
      <c r="V65" s="382">
        <f t="shared" si="5"/>
        <v>41.885455856355037</v>
      </c>
      <c r="W65" s="58"/>
      <c r="X65" s="157">
        <f t="shared" si="6"/>
        <v>43151</v>
      </c>
      <c r="Y65" s="384">
        <f t="shared" si="7"/>
        <v>0</v>
      </c>
      <c r="Z65" s="384">
        <f t="shared" si="8"/>
        <v>0</v>
      </c>
      <c r="AA65" s="385">
        <f t="shared" si="9"/>
        <v>0</v>
      </c>
      <c r="AB65" s="196">
        <f t="shared" si="10"/>
        <v>43151</v>
      </c>
      <c r="AC65" s="425">
        <f t="shared" si="11"/>
        <v>0</v>
      </c>
      <c r="AD65" s="168">
        <f>(INDEX(Models!$BJ65:$BT65,,AH65)*(1-AF65)+INDEX(Models!$BJ65:$BT65,,AH65+1)*AF65-ERP_i)*AE65*Ramure*Pc/MaxiM</f>
        <v>5.3230874394551167E-7</v>
      </c>
      <c r="AE65" s="304">
        <f t="shared" si="12"/>
        <v>0.5</v>
      </c>
      <c r="AF65" s="176">
        <f t="shared" si="13"/>
        <v>0.53759336176487615</v>
      </c>
      <c r="AG65" s="814">
        <f t="shared" si="23"/>
        <v>-1</v>
      </c>
      <c r="AH65" s="175">
        <f t="shared" si="14"/>
        <v>5</v>
      </c>
      <c r="AI65" s="224">
        <f t="shared" si="15"/>
        <v>-0.46240663823512385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89"/>
      <c r="D66" s="392"/>
      <c r="E66" s="384"/>
      <c r="F66" s="384"/>
      <c r="G66" s="110"/>
      <c r="I66" s="379">
        <f t="shared" si="0"/>
        <v>0</v>
      </c>
      <c r="J66" s="85">
        <v>2018</v>
      </c>
      <c r="K66" s="196">
        <f t="shared" si="1"/>
        <v>43152</v>
      </c>
      <c r="L66" s="436">
        <f t="shared" si="2"/>
        <v>0</v>
      </c>
      <c r="M66" s="858"/>
      <c r="N66" s="858"/>
      <c r="O66" s="323">
        <f t="shared" si="3"/>
        <v>0</v>
      </c>
      <c r="P66" s="168">
        <f>(INDEX(Models!$BJ66:$BT66,,T66)*(1-R66)+INDEX(Models!$BJ66:$BT66,,T66+1)*R66-ERP_i)*Q66*Ramure*Pc/MaxiM</f>
        <v>5.5911087452250511E-7</v>
      </c>
      <c r="Q66" s="304">
        <f t="shared" si="19"/>
        <v>0.5</v>
      </c>
      <c r="R66" s="176">
        <f t="shared" si="4"/>
        <v>0.53772756871444805</v>
      </c>
      <c r="S66" s="814">
        <f t="shared" si="20"/>
        <v>-1</v>
      </c>
      <c r="T66" s="175">
        <f t="shared" si="21"/>
        <v>5</v>
      </c>
      <c r="U66" s="250">
        <f t="shared" si="22"/>
        <v>-0.4622724312855519</v>
      </c>
      <c r="V66" s="382">
        <f t="shared" si="5"/>
        <v>42.244312823966872</v>
      </c>
      <c r="W66" s="58"/>
      <c r="X66" s="157">
        <f t="shared" si="6"/>
        <v>43152</v>
      </c>
      <c r="Y66" s="384">
        <f t="shared" si="7"/>
        <v>0</v>
      </c>
      <c r="Z66" s="384">
        <f t="shared" si="8"/>
        <v>0</v>
      </c>
      <c r="AA66" s="385">
        <f t="shared" si="9"/>
        <v>0</v>
      </c>
      <c r="AB66" s="196">
        <f t="shared" si="10"/>
        <v>43152</v>
      </c>
      <c r="AC66" s="425">
        <f t="shared" si="11"/>
        <v>0</v>
      </c>
      <c r="AD66" s="168">
        <f>(INDEX(Models!$BJ66:$BT66,,AH66)*(1-AF66)+INDEX(Models!$BJ66:$BT66,,AH66+1)*AF66-ERP_i)*AE66*Ramure*Pc/MaxiM</f>
        <v>5.5911087452250511E-7</v>
      </c>
      <c r="AE66" s="304">
        <f t="shared" si="12"/>
        <v>0.5</v>
      </c>
      <c r="AF66" s="176">
        <f t="shared" si="13"/>
        <v>0.53772756871444805</v>
      </c>
      <c r="AG66" s="814">
        <f t="shared" si="23"/>
        <v>-1</v>
      </c>
      <c r="AH66" s="175">
        <f t="shared" si="14"/>
        <v>5</v>
      </c>
      <c r="AI66" s="224">
        <f t="shared" si="15"/>
        <v>-0.4622724312855519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89"/>
      <c r="D67" s="392"/>
      <c r="E67" s="384"/>
      <c r="F67" s="384"/>
      <c r="G67" s="110"/>
      <c r="I67" s="379">
        <f t="shared" si="0"/>
        <v>0</v>
      </c>
      <c r="J67" s="85">
        <v>2018</v>
      </c>
      <c r="K67" s="196">
        <f t="shared" si="1"/>
        <v>43153</v>
      </c>
      <c r="L67" s="436">
        <f t="shared" si="2"/>
        <v>0</v>
      </c>
      <c r="M67" s="858"/>
      <c r="N67" s="858"/>
      <c r="O67" s="323">
        <f t="shared" si="3"/>
        <v>0</v>
      </c>
      <c r="P67" s="168">
        <f>(INDEX(Models!$BJ67:$BT67,,T67)*(1-R67)+INDEX(Models!$BJ67:$BT67,,T67+1)*R67-ERP_i)*Q67*Ramure*Pc/MaxiM</f>
        <v>5.8598449468244191E-7</v>
      </c>
      <c r="Q67" s="304">
        <f t="shared" si="19"/>
        <v>0.5</v>
      </c>
      <c r="R67" s="176">
        <f t="shared" si="4"/>
        <v>0.53786727706988968</v>
      </c>
      <c r="S67" s="814">
        <f t="shared" si="20"/>
        <v>-1</v>
      </c>
      <c r="T67" s="175">
        <f t="shared" si="21"/>
        <v>5</v>
      </c>
      <c r="U67" s="250">
        <f t="shared" si="22"/>
        <v>-0.46213272293011032</v>
      </c>
      <c r="V67" s="382">
        <f t="shared" si="5"/>
        <v>42.599774946367653</v>
      </c>
      <c r="W67" s="58"/>
      <c r="X67" s="157">
        <f t="shared" si="6"/>
        <v>43153</v>
      </c>
      <c r="Y67" s="384">
        <f t="shared" si="7"/>
        <v>0</v>
      </c>
      <c r="Z67" s="384">
        <f t="shared" si="8"/>
        <v>0</v>
      </c>
      <c r="AA67" s="385">
        <f t="shared" si="9"/>
        <v>0</v>
      </c>
      <c r="AB67" s="196">
        <f t="shared" si="10"/>
        <v>43153</v>
      </c>
      <c r="AC67" s="425">
        <f t="shared" si="11"/>
        <v>0</v>
      </c>
      <c r="AD67" s="168">
        <f>(INDEX(Models!$BJ67:$BT67,,AH67)*(1-AF67)+INDEX(Models!$BJ67:$BT67,,AH67+1)*AF67-ERP_i)*AE67*Ramure*Pc/MaxiM</f>
        <v>5.8598449468244191E-7</v>
      </c>
      <c r="AE67" s="304">
        <f t="shared" si="12"/>
        <v>0.5</v>
      </c>
      <c r="AF67" s="176">
        <f t="shared" si="13"/>
        <v>0.53786727706988968</v>
      </c>
      <c r="AG67" s="814">
        <f t="shared" si="23"/>
        <v>-1</v>
      </c>
      <c r="AH67" s="175">
        <f t="shared" si="14"/>
        <v>5</v>
      </c>
      <c r="AI67" s="224">
        <f t="shared" si="15"/>
        <v>-0.46213272293011032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89"/>
      <c r="D68" s="392"/>
      <c r="E68" s="384"/>
      <c r="F68" s="384"/>
      <c r="G68" s="110"/>
      <c r="I68" s="379">
        <f t="shared" si="0"/>
        <v>0</v>
      </c>
      <c r="J68" s="85">
        <v>2018</v>
      </c>
      <c r="K68" s="196">
        <f t="shared" si="1"/>
        <v>43154</v>
      </c>
      <c r="L68" s="436">
        <f t="shared" si="2"/>
        <v>0</v>
      </c>
      <c r="M68" s="858"/>
      <c r="N68" s="858"/>
      <c r="O68" s="323">
        <f t="shared" si="3"/>
        <v>0</v>
      </c>
      <c r="P68" s="168">
        <f>(INDEX(Models!$BJ68:$BT68,,T68)*(1-R68)+INDEX(Models!$BJ68:$BT68,,T68+1)*R68-ERP_i)*Q68*Ramure*Pc/MaxiM</f>
        <v>6.1284375080219184E-7</v>
      </c>
      <c r="Q68" s="304">
        <f t="shared" si="19"/>
        <v>0.5</v>
      </c>
      <c r="R68" s="176">
        <f t="shared" si="4"/>
        <v>0.53801270678611646</v>
      </c>
      <c r="S68" s="814">
        <f t="shared" si="20"/>
        <v>-1</v>
      </c>
      <c r="T68" s="175">
        <f t="shared" si="21"/>
        <v>5</v>
      </c>
      <c r="U68" s="250">
        <f t="shared" si="22"/>
        <v>-0.4619872932138836</v>
      </c>
      <c r="V68" s="382">
        <f t="shared" si="5"/>
        <v>42.95216726349166</v>
      </c>
      <c r="W68" s="58"/>
      <c r="X68" s="157">
        <f t="shared" si="6"/>
        <v>43154</v>
      </c>
      <c r="Y68" s="384">
        <f t="shared" si="7"/>
        <v>0</v>
      </c>
      <c r="Z68" s="384">
        <f t="shared" si="8"/>
        <v>0</v>
      </c>
      <c r="AA68" s="385">
        <f t="shared" si="9"/>
        <v>0</v>
      </c>
      <c r="AB68" s="196">
        <f t="shared" si="10"/>
        <v>43154</v>
      </c>
      <c r="AC68" s="425">
        <f t="shared" si="11"/>
        <v>0</v>
      </c>
      <c r="AD68" s="168">
        <f>(INDEX(Models!$BJ68:$BT68,,AH68)*(1-AF68)+INDEX(Models!$BJ68:$BT68,,AH68+1)*AF68-ERP_i)*AE68*Ramure*Pc/MaxiM</f>
        <v>6.1284375080219184E-7</v>
      </c>
      <c r="AE68" s="304">
        <f t="shared" si="12"/>
        <v>0.5</v>
      </c>
      <c r="AF68" s="176">
        <f t="shared" si="13"/>
        <v>0.53801270678611646</v>
      </c>
      <c r="AG68" s="814">
        <f t="shared" si="23"/>
        <v>-1</v>
      </c>
      <c r="AH68" s="175">
        <f t="shared" si="14"/>
        <v>5</v>
      </c>
      <c r="AI68" s="224">
        <f t="shared" si="15"/>
        <v>-0.4619872932138836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89"/>
      <c r="D69" s="392"/>
      <c r="E69" s="384"/>
      <c r="F69" s="384"/>
      <c r="G69" s="110"/>
      <c r="I69" s="379">
        <f t="shared" si="0"/>
        <v>0</v>
      </c>
      <c r="J69" s="85">
        <v>2018</v>
      </c>
      <c r="K69" s="196">
        <f t="shared" si="1"/>
        <v>43155</v>
      </c>
      <c r="L69" s="436">
        <f t="shared" si="2"/>
        <v>0</v>
      </c>
      <c r="M69" s="858"/>
      <c r="N69" s="858"/>
      <c r="O69" s="323">
        <f t="shared" si="3"/>
        <v>0</v>
      </c>
      <c r="P69" s="168">
        <f>(INDEX(Models!$BJ69:$BT69,,T69)*(1-R69)+INDEX(Models!$BJ69:$BT69,,T69+1)*R69-ERP_i)*Q69*Ramure*Pc/MaxiM</f>
        <v>6.395978175540667E-7</v>
      </c>
      <c r="Q69" s="304">
        <f t="shared" si="19"/>
        <v>0.5</v>
      </c>
      <c r="R69" s="176">
        <f t="shared" si="4"/>
        <v>0.53816408614244737</v>
      </c>
      <c r="S69" s="814">
        <f t="shared" si="20"/>
        <v>-1</v>
      </c>
      <c r="T69" s="175">
        <f t="shared" si="21"/>
        <v>5</v>
      </c>
      <c r="U69" s="250">
        <f t="shared" si="22"/>
        <v>-0.46183591385755263</v>
      </c>
      <c r="V69" s="382">
        <f t="shared" si="5"/>
        <v>43.301814814763297</v>
      </c>
      <c r="W69" s="58"/>
      <c r="X69" s="157">
        <f t="shared" si="6"/>
        <v>43155</v>
      </c>
      <c r="Y69" s="384">
        <f t="shared" si="7"/>
        <v>0</v>
      </c>
      <c r="Z69" s="384">
        <f t="shared" si="8"/>
        <v>0</v>
      </c>
      <c r="AA69" s="385">
        <f t="shared" si="9"/>
        <v>0</v>
      </c>
      <c r="AB69" s="196">
        <f t="shared" si="10"/>
        <v>43155</v>
      </c>
      <c r="AC69" s="425">
        <f t="shared" si="11"/>
        <v>0</v>
      </c>
      <c r="AD69" s="168">
        <f>(INDEX(Models!$BJ69:$BT69,,AH69)*(1-AF69)+INDEX(Models!$BJ69:$BT69,,AH69+1)*AF69-ERP_i)*AE69*Ramure*Pc/MaxiM</f>
        <v>6.395978175540667E-7</v>
      </c>
      <c r="AE69" s="304">
        <f t="shared" si="12"/>
        <v>0.5</v>
      </c>
      <c r="AF69" s="176">
        <f t="shared" si="13"/>
        <v>0.53816408614244737</v>
      </c>
      <c r="AG69" s="814">
        <f t="shared" si="23"/>
        <v>-1</v>
      </c>
      <c r="AH69" s="175">
        <f t="shared" si="14"/>
        <v>5</v>
      </c>
      <c r="AI69" s="224">
        <f t="shared" si="15"/>
        <v>-0.46183591385755263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89"/>
      <c r="D70" s="392"/>
      <c r="E70" s="384"/>
      <c r="F70" s="384"/>
      <c r="G70" s="110"/>
      <c r="I70" s="379">
        <f t="shared" si="0"/>
        <v>0</v>
      </c>
      <c r="J70" s="85">
        <v>2018</v>
      </c>
      <c r="K70" s="196">
        <f t="shared" si="1"/>
        <v>43156</v>
      </c>
      <c r="L70" s="436">
        <f t="shared" si="2"/>
        <v>0</v>
      </c>
      <c r="M70" s="858"/>
      <c r="N70" s="858"/>
      <c r="O70" s="323">
        <f t="shared" si="3"/>
        <v>0</v>
      </c>
      <c r="P70" s="168">
        <f>(INDEX(Models!$BJ70:$BT70,,T70)*(1-R70)+INDEX(Models!$BJ70:$BT70,,T70+1)*R70-ERP_i)*Q70*Ramure*Pc/MaxiM</f>
        <v>6.6614783208574773E-7</v>
      </c>
      <c r="Q70" s="304">
        <f t="shared" si="19"/>
        <v>0.5</v>
      </c>
      <c r="R70" s="176">
        <f t="shared" si="4"/>
        <v>0.53832165201772897</v>
      </c>
      <c r="S70" s="814">
        <f t="shared" si="20"/>
        <v>-1</v>
      </c>
      <c r="T70" s="175">
        <f t="shared" si="21"/>
        <v>5</v>
      </c>
      <c r="U70" s="250">
        <f t="shared" si="22"/>
        <v>-0.46167834798227098</v>
      </c>
      <c r="V70" s="382">
        <f t="shared" si="5"/>
        <v>43.649042643215296</v>
      </c>
      <c r="W70" s="58"/>
      <c r="X70" s="157">
        <f t="shared" si="6"/>
        <v>43156</v>
      </c>
      <c r="Y70" s="384">
        <f t="shared" si="7"/>
        <v>0</v>
      </c>
      <c r="Z70" s="384">
        <f t="shared" si="8"/>
        <v>0</v>
      </c>
      <c r="AA70" s="385">
        <f t="shared" si="9"/>
        <v>0</v>
      </c>
      <c r="AB70" s="196">
        <f t="shared" si="10"/>
        <v>43156</v>
      </c>
      <c r="AC70" s="425">
        <f t="shared" si="11"/>
        <v>0</v>
      </c>
      <c r="AD70" s="168">
        <f>(INDEX(Models!$BJ70:$BT70,,AH70)*(1-AF70)+INDEX(Models!$BJ70:$BT70,,AH70+1)*AF70-ERP_i)*AE70*Ramure*Pc/MaxiM</f>
        <v>6.6614783208574773E-7</v>
      </c>
      <c r="AE70" s="304">
        <f t="shared" si="12"/>
        <v>0.5</v>
      </c>
      <c r="AF70" s="176">
        <f t="shared" si="13"/>
        <v>0.53832165201772897</v>
      </c>
      <c r="AG70" s="814">
        <f t="shared" si="23"/>
        <v>-1</v>
      </c>
      <c r="AH70" s="175">
        <f t="shared" si="14"/>
        <v>5</v>
      </c>
      <c r="AI70" s="224">
        <f t="shared" si="15"/>
        <v>-0.46167834798227098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43157</v>
      </c>
      <c r="B71" s="616"/>
      <c r="C71" s="389"/>
      <c r="D71" s="392"/>
      <c r="E71" s="384"/>
      <c r="F71" s="384"/>
      <c r="G71" s="110"/>
      <c r="I71" s="379">
        <f t="shared" si="0"/>
        <v>0</v>
      </c>
      <c r="J71" s="85">
        <v>2018</v>
      </c>
      <c r="K71" s="196">
        <f t="shared" si="1"/>
        <v>43157</v>
      </c>
      <c r="L71" s="436">
        <f t="shared" si="2"/>
        <v>0</v>
      </c>
      <c r="M71" s="858"/>
      <c r="N71" s="858"/>
      <c r="O71" s="323">
        <f t="shared" si="3"/>
        <v>0</v>
      </c>
      <c r="P71" s="168">
        <f>(INDEX(Models!$BJ71:$BT71,,T71)*(1-R71)+INDEX(Models!$BJ71:$BT71,,T71+1)*R71-ERP_i)*Q71*Ramure*Pc/MaxiM</f>
        <v>6.9238645323781341E-7</v>
      </c>
      <c r="Q71" s="304">
        <f t="shared" si="19"/>
        <v>0.5</v>
      </c>
      <c r="R71" s="176">
        <f t="shared" si="4"/>
        <v>0.5384856501710682</v>
      </c>
      <c r="S71" s="814">
        <f t="shared" si="20"/>
        <v>-1</v>
      </c>
      <c r="T71" s="175">
        <f t="shared" si="21"/>
        <v>5</v>
      </c>
      <c r="U71" s="250">
        <f t="shared" si="22"/>
        <v>-0.4615143498289318</v>
      </c>
      <c r="V71" s="382">
        <f t="shared" si="5"/>
        <v>43.994175788907732</v>
      </c>
      <c r="W71" s="58"/>
      <c r="X71" s="157">
        <f t="shared" si="6"/>
        <v>43157</v>
      </c>
      <c r="Y71" s="384">
        <f t="shared" si="7"/>
        <v>0</v>
      </c>
      <c r="Z71" s="384">
        <f t="shared" si="8"/>
        <v>0</v>
      </c>
      <c r="AA71" s="385">
        <f t="shared" si="9"/>
        <v>0</v>
      </c>
      <c r="AB71" s="196">
        <f t="shared" si="10"/>
        <v>43157</v>
      </c>
      <c r="AC71" s="425">
        <f t="shared" si="11"/>
        <v>0</v>
      </c>
      <c r="AD71" s="168">
        <f>(INDEX(Models!$BJ71:$BT71,,AH71)*(1-AF71)+INDEX(Models!$BJ71:$BT71,,AH71+1)*AF71-ERP_i)*AE71*Ramure*Pc/MaxiM</f>
        <v>6.9238645323781341E-7</v>
      </c>
      <c r="AE71" s="304">
        <f t="shared" si="12"/>
        <v>0.5</v>
      </c>
      <c r="AF71" s="176">
        <f t="shared" si="13"/>
        <v>0.5384856501710682</v>
      </c>
      <c r="AG71" s="814">
        <f t="shared" si="23"/>
        <v>-1</v>
      </c>
      <c r="AH71" s="175">
        <f t="shared" si="14"/>
        <v>5</v>
      </c>
      <c r="AI71" s="224">
        <f t="shared" si="15"/>
        <v>-0.4615143498289318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89"/>
      <c r="D72" s="392"/>
      <c r="E72" s="384"/>
      <c r="F72" s="384"/>
      <c r="G72" s="110"/>
      <c r="I72" s="379">
        <f t="shared" si="0"/>
        <v>0</v>
      </c>
      <c r="J72" s="85">
        <v>2018</v>
      </c>
      <c r="K72" s="196">
        <f t="shared" si="1"/>
        <v>43158</v>
      </c>
      <c r="L72" s="436">
        <f t="shared" si="2"/>
        <v>0</v>
      </c>
      <c r="M72" s="858"/>
      <c r="N72" s="858"/>
      <c r="O72" s="323">
        <f t="shared" si="3"/>
        <v>0</v>
      </c>
      <c r="P72" s="168">
        <f>(INDEX(Models!$BJ72:$BT72,,T72)*(1-R72)+INDEX(Models!$BJ72:$BT72,,T72+1)*R72-ERP_i)*Q72*Ramure*Pc/MaxiM</f>
        <v>7.185842051502578E-7</v>
      </c>
      <c r="Q72" s="304">
        <f t="shared" si="19"/>
        <v>0.5</v>
      </c>
      <c r="R72" s="176">
        <f t="shared" si="4"/>
        <v>0.53865633552795433</v>
      </c>
      <c r="S72" s="814">
        <f t="shared" si="20"/>
        <v>-1</v>
      </c>
      <c r="T72" s="175">
        <f t="shared" si="21"/>
        <v>5</v>
      </c>
      <c r="U72" s="250">
        <f t="shared" si="22"/>
        <v>-0.46134366447204572</v>
      </c>
      <c r="V72" s="382">
        <f t="shared" si="5"/>
        <v>44.337539276587982</v>
      </c>
      <c r="W72" s="58"/>
      <c r="X72" s="157">
        <f t="shared" si="6"/>
        <v>43158</v>
      </c>
      <c r="Y72" s="384">
        <f t="shared" si="7"/>
        <v>0</v>
      </c>
      <c r="Z72" s="384">
        <f t="shared" si="8"/>
        <v>0</v>
      </c>
      <c r="AA72" s="385">
        <f t="shared" si="9"/>
        <v>0</v>
      </c>
      <c r="AB72" s="196">
        <f t="shared" si="10"/>
        <v>43158</v>
      </c>
      <c r="AC72" s="425">
        <f t="shared" si="11"/>
        <v>0</v>
      </c>
      <c r="AD72" s="168">
        <f>(INDEX(Models!$BJ72:$BT72,,AH72)*(1-AF72)+INDEX(Models!$BJ72:$BT72,,AH72+1)*AF72-ERP_i)*AE72*Ramure*Pc/MaxiM</f>
        <v>7.185842051502578E-7</v>
      </c>
      <c r="AE72" s="304">
        <f t="shared" si="12"/>
        <v>0.5</v>
      </c>
      <c r="AF72" s="176">
        <f t="shared" si="13"/>
        <v>0.53865633552795433</v>
      </c>
      <c r="AG72" s="814">
        <f t="shared" si="23"/>
        <v>-1</v>
      </c>
      <c r="AH72" s="175">
        <f t="shared" si="14"/>
        <v>5</v>
      </c>
      <c r="AI72" s="224">
        <f t="shared" si="15"/>
        <v>-0.46134366447204572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89"/>
      <c r="D73" s="392"/>
      <c r="E73" s="384"/>
      <c r="F73" s="384"/>
      <c r="G73" s="110"/>
      <c r="I73" s="379">
        <f t="shared" si="0"/>
        <v>0</v>
      </c>
      <c r="J73" s="85">
        <v>2018</v>
      </c>
      <c r="K73" s="196">
        <f t="shared" si="1"/>
        <v>43159</v>
      </c>
      <c r="L73" s="436">
        <f t="shared" si="2"/>
        <v>0</v>
      </c>
      <c r="M73" s="858"/>
      <c r="N73" s="858"/>
      <c r="O73" s="323">
        <f t="shared" si="3"/>
        <v>0</v>
      </c>
      <c r="P73" s="168">
        <f>(INDEX(Models!$BJ73:$BT73,,T73)*(1-R73)+INDEX(Models!$BJ73:$BT73,,T73+1)*R73-ERP_i)*Q73*Ramure*Pc/MaxiM</f>
        <v>7.4541882676258809E-7</v>
      </c>
      <c r="Q73" s="304">
        <f t="shared" si="19"/>
        <v>0.5</v>
      </c>
      <c r="R73" s="176">
        <f t="shared" si="4"/>
        <v>0.53883397247150688</v>
      </c>
      <c r="S73" s="814">
        <f t="shared" si="20"/>
        <v>-1</v>
      </c>
      <c r="T73" s="175">
        <f t="shared" si="21"/>
        <v>5</v>
      </c>
      <c r="U73" s="250">
        <f t="shared" si="22"/>
        <v>-0.46116602752849312</v>
      </c>
      <c r="V73" s="382">
        <f t="shared" si="5"/>
        <v>44.679458112415375</v>
      </c>
      <c r="W73" s="58"/>
      <c r="X73" s="157">
        <f t="shared" si="6"/>
        <v>43159</v>
      </c>
      <c r="Y73" s="384">
        <f t="shared" si="7"/>
        <v>0</v>
      </c>
      <c r="Z73" s="384">
        <f t="shared" si="8"/>
        <v>0</v>
      </c>
      <c r="AA73" s="385">
        <f t="shared" si="9"/>
        <v>0</v>
      </c>
      <c r="AB73" s="196">
        <f t="shared" si="10"/>
        <v>43159</v>
      </c>
      <c r="AC73" s="425">
        <f t="shared" si="11"/>
        <v>0</v>
      </c>
      <c r="AD73" s="168">
        <f>(INDEX(Models!$BJ73:$BT73,,AH73)*(1-AF73)+INDEX(Models!$BJ73:$BT73,,AH73+1)*AF73-ERP_i)*AE73*Ramure*Pc/MaxiM</f>
        <v>7.4541882676258809E-7</v>
      </c>
      <c r="AE73" s="304">
        <f t="shared" si="12"/>
        <v>0.5</v>
      </c>
      <c r="AF73" s="176">
        <f t="shared" si="13"/>
        <v>0.53883397247150688</v>
      </c>
      <c r="AG73" s="814">
        <f t="shared" si="23"/>
        <v>-1</v>
      </c>
      <c r="AH73" s="175">
        <f t="shared" si="14"/>
        <v>5</v>
      </c>
      <c r="AI73" s="224">
        <f t="shared" si="15"/>
        <v>-0.46116602752849312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89"/>
      <c r="D74" s="392"/>
      <c r="E74" s="384"/>
      <c r="F74" s="384"/>
      <c r="G74" s="110"/>
      <c r="I74" s="379">
        <f t="shared" si="0"/>
        <v>0</v>
      </c>
      <c r="J74" s="85">
        <v>2018</v>
      </c>
      <c r="K74" s="196">
        <f t="shared" si="1"/>
        <v>43160</v>
      </c>
      <c r="L74" s="436">
        <f t="shared" si="2"/>
        <v>0</v>
      </c>
      <c r="M74" s="858"/>
      <c r="N74" s="858"/>
      <c r="O74" s="323">
        <f t="shared" si="3"/>
        <v>0</v>
      </c>
      <c r="P74" s="168">
        <f>(INDEX(Models!$BJ74:$BT74,,T74)*(1-R74)+INDEX(Models!$BJ74:$BT74,,T74+1)*R74-ERP_i)*Q74*Ramure*Pc/MaxiM</f>
        <v>7.7288797051046825E-7</v>
      </c>
      <c r="Q74" s="304">
        <f t="shared" si="19"/>
        <v>0.5</v>
      </c>
      <c r="R74" s="176">
        <f t="shared" si="4"/>
        <v>0.5390188351385421</v>
      </c>
      <c r="S74" s="814">
        <f t="shared" si="20"/>
        <v>-1</v>
      </c>
      <c r="T74" s="175">
        <f t="shared" si="21"/>
        <v>5</v>
      </c>
      <c r="U74" s="250">
        <f t="shared" si="22"/>
        <v>-0.46098116486145785</v>
      </c>
      <c r="V74" s="382">
        <f t="shared" si="5"/>
        <v>45.020257332421522</v>
      </c>
      <c r="W74" s="58"/>
      <c r="X74" s="157">
        <f t="shared" si="6"/>
        <v>43160</v>
      </c>
      <c r="Y74" s="384">
        <f t="shared" si="7"/>
        <v>0</v>
      </c>
      <c r="Z74" s="384">
        <f t="shared" si="8"/>
        <v>0</v>
      </c>
      <c r="AA74" s="385">
        <f t="shared" si="9"/>
        <v>0</v>
      </c>
      <c r="AB74" s="196">
        <f t="shared" si="10"/>
        <v>43160</v>
      </c>
      <c r="AC74" s="425">
        <f t="shared" si="11"/>
        <v>0</v>
      </c>
      <c r="AD74" s="168">
        <f>(INDEX(Models!$BJ74:$BT74,,AH74)*(1-AF74)+INDEX(Models!$BJ74:$BT74,,AH74+1)*AF74-ERP_i)*AE74*Ramure*Pc/MaxiM</f>
        <v>7.7288797051046825E-7</v>
      </c>
      <c r="AE74" s="304">
        <f t="shared" si="12"/>
        <v>0.5</v>
      </c>
      <c r="AF74" s="176">
        <f t="shared" si="13"/>
        <v>0.5390188351385421</v>
      </c>
      <c r="AG74" s="814">
        <f t="shared" si="23"/>
        <v>-1</v>
      </c>
      <c r="AH74" s="175">
        <f t="shared" si="14"/>
        <v>5</v>
      </c>
      <c r="AI74" s="224">
        <f t="shared" si="15"/>
        <v>-0.46098116486145785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89"/>
      <c r="D75" s="392"/>
      <c r="E75" s="384"/>
      <c r="F75" s="384"/>
      <c r="G75" s="110"/>
      <c r="I75" s="379">
        <f t="shared" si="0"/>
        <v>0</v>
      </c>
      <c r="J75" s="85">
        <v>2018</v>
      </c>
      <c r="K75" s="196">
        <f t="shared" si="1"/>
        <v>43161</v>
      </c>
      <c r="L75" s="436">
        <f t="shared" si="2"/>
        <v>0</v>
      </c>
      <c r="M75" s="858"/>
      <c r="N75" s="858"/>
      <c r="O75" s="323">
        <f t="shared" si="3"/>
        <v>0</v>
      </c>
      <c r="P75" s="168">
        <f>(INDEX(Models!$BJ75:$BT75,,T75)*(1-R75)+INDEX(Models!$BJ75:$BT75,,T75+1)*R75-ERP_i)*Q75*Ramure*Pc/MaxiM</f>
        <v>8.009879384360368E-7</v>
      </c>
      <c r="Q75" s="304">
        <f t="shared" si="19"/>
        <v>0.5</v>
      </c>
      <c r="R75" s="176">
        <f t="shared" si="4"/>
        <v>0.53921120772009901</v>
      </c>
      <c r="S75" s="814">
        <f t="shared" si="20"/>
        <v>-1</v>
      </c>
      <c r="T75" s="175">
        <f t="shared" si="21"/>
        <v>5</v>
      </c>
      <c r="U75" s="250">
        <f t="shared" si="22"/>
        <v>-0.46078879227990094</v>
      </c>
      <c r="V75" s="382">
        <f t="shared" si="5"/>
        <v>45.360261972245716</v>
      </c>
      <c r="W75" s="58"/>
      <c r="X75" s="157">
        <f t="shared" si="6"/>
        <v>43161</v>
      </c>
      <c r="Y75" s="384">
        <f t="shared" si="7"/>
        <v>0</v>
      </c>
      <c r="Z75" s="384">
        <f t="shared" si="8"/>
        <v>0</v>
      </c>
      <c r="AA75" s="385">
        <f t="shared" si="9"/>
        <v>0</v>
      </c>
      <c r="AB75" s="196">
        <f t="shared" si="10"/>
        <v>43161</v>
      </c>
      <c r="AC75" s="425">
        <f t="shared" si="11"/>
        <v>0</v>
      </c>
      <c r="AD75" s="168">
        <f>(INDEX(Models!$BJ75:$BT75,,AH75)*(1-AF75)+INDEX(Models!$BJ75:$BT75,,AH75+1)*AF75-ERP_i)*AE75*Ramure*Pc/MaxiM</f>
        <v>8.009879384360368E-7</v>
      </c>
      <c r="AE75" s="304">
        <f t="shared" si="12"/>
        <v>0.5</v>
      </c>
      <c r="AF75" s="176">
        <f t="shared" si="13"/>
        <v>0.53921120772009901</v>
      </c>
      <c r="AG75" s="814">
        <f t="shared" si="23"/>
        <v>-1</v>
      </c>
      <c r="AH75" s="175">
        <f t="shared" si="14"/>
        <v>5</v>
      </c>
      <c r="AI75" s="224">
        <f t="shared" si="15"/>
        <v>-0.46078879227990094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89"/>
      <c r="D76" s="392"/>
      <c r="E76" s="384"/>
      <c r="F76" s="384"/>
      <c r="G76" s="110"/>
      <c r="I76" s="379">
        <f t="shared" si="0"/>
        <v>0</v>
      </c>
      <c r="J76" s="85">
        <v>2018</v>
      </c>
      <c r="K76" s="196">
        <f t="shared" si="1"/>
        <v>43162</v>
      </c>
      <c r="L76" s="436">
        <f t="shared" si="2"/>
        <v>0</v>
      </c>
      <c r="M76" s="858"/>
      <c r="N76" s="858"/>
      <c r="O76" s="323">
        <f t="shared" si="3"/>
        <v>0</v>
      </c>
      <c r="P76" s="168">
        <f>(INDEX(Models!$BJ76:$BT76,,T76)*(1-R76)+INDEX(Models!$BJ76:$BT76,,T76+1)*R76-ERP_i)*Q76*Ramure*Pc/MaxiM</f>
        <v>8.2971360981113061E-7</v>
      </c>
      <c r="Q76" s="304">
        <f t="shared" si="19"/>
        <v>0.5</v>
      </c>
      <c r="R76" s="176">
        <f t="shared" si="4"/>
        <v>0.5394113847660138</v>
      </c>
      <c r="S76" s="814">
        <f t="shared" si="20"/>
        <v>-1</v>
      </c>
      <c r="T76" s="175">
        <f t="shared" si="21"/>
        <v>5</v>
      </c>
      <c r="U76" s="250">
        <f t="shared" si="22"/>
        <v>-0.4605886152339862</v>
      </c>
      <c r="V76" s="382">
        <f t="shared" si="5"/>
        <v>45.699797067510943</v>
      </c>
      <c r="W76" s="58"/>
      <c r="X76" s="157">
        <f t="shared" si="6"/>
        <v>43162</v>
      </c>
      <c r="Y76" s="384">
        <f t="shared" si="7"/>
        <v>0</v>
      </c>
      <c r="Z76" s="384">
        <f t="shared" si="8"/>
        <v>0</v>
      </c>
      <c r="AA76" s="385">
        <f t="shared" si="9"/>
        <v>0</v>
      </c>
      <c r="AB76" s="196">
        <f t="shared" si="10"/>
        <v>43162</v>
      </c>
      <c r="AC76" s="425">
        <f t="shared" si="11"/>
        <v>0</v>
      </c>
      <c r="AD76" s="168">
        <f>(INDEX(Models!$BJ76:$BT76,,AH76)*(1-AF76)+INDEX(Models!$BJ76:$BT76,,AH76+1)*AF76-ERP_i)*AE76*Ramure*Pc/MaxiM</f>
        <v>8.2971360981113061E-7</v>
      </c>
      <c r="AE76" s="304">
        <f t="shared" si="12"/>
        <v>0.5</v>
      </c>
      <c r="AF76" s="176">
        <f t="shared" si="13"/>
        <v>0.5394113847660138</v>
      </c>
      <c r="AG76" s="814">
        <f t="shared" si="23"/>
        <v>-1</v>
      </c>
      <c r="AH76" s="175">
        <f t="shared" si="14"/>
        <v>5</v>
      </c>
      <c r="AI76" s="224">
        <f t="shared" si="15"/>
        <v>-0.4605886152339862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43163</v>
      </c>
      <c r="B77" s="616"/>
      <c r="C77" s="389"/>
      <c r="D77" s="392"/>
      <c r="E77" s="384"/>
      <c r="F77" s="384"/>
      <c r="G77" s="110"/>
      <c r="I77" s="379">
        <f t="shared" si="0"/>
        <v>0</v>
      </c>
      <c r="J77" s="85">
        <v>2018</v>
      </c>
      <c r="K77" s="196">
        <f t="shared" si="1"/>
        <v>43163</v>
      </c>
      <c r="L77" s="436">
        <f t="shared" si="2"/>
        <v>0</v>
      </c>
      <c r="M77" s="858"/>
      <c r="N77" s="858"/>
      <c r="O77" s="323">
        <f t="shared" si="3"/>
        <v>0</v>
      </c>
      <c r="P77" s="168">
        <f>(INDEX(Models!$BJ77:$BT77,,T77)*(1-R77)+INDEX(Models!$BJ77:$BT77,,T77+1)*R77-ERP_i)*Q77*Ramure*Pc/MaxiM</f>
        <v>8.5905836595333952E-7</v>
      </c>
      <c r="Q77" s="304">
        <f t="shared" si="19"/>
        <v>0.5</v>
      </c>
      <c r="R77" s="176">
        <f t="shared" si="4"/>
        <v>0.53961967149307277</v>
      </c>
      <c r="S77" s="814">
        <f t="shared" si="20"/>
        <v>-1</v>
      </c>
      <c r="T77" s="175">
        <f t="shared" si="21"/>
        <v>5</v>
      </c>
      <c r="U77" s="250">
        <f t="shared" si="22"/>
        <v>-0.46038032850692723</v>
      </c>
      <c r="V77" s="382">
        <f t="shared" si="5"/>
        <v>46.039187654386559</v>
      </c>
      <c r="W77" s="58"/>
      <c r="X77" s="157">
        <f t="shared" si="6"/>
        <v>43163</v>
      </c>
      <c r="Y77" s="384">
        <f t="shared" si="7"/>
        <v>0</v>
      </c>
      <c r="Z77" s="384">
        <f t="shared" si="8"/>
        <v>0</v>
      </c>
      <c r="AA77" s="385">
        <f t="shared" si="9"/>
        <v>0</v>
      </c>
      <c r="AB77" s="196">
        <f t="shared" si="10"/>
        <v>43163</v>
      </c>
      <c r="AC77" s="425">
        <f t="shared" si="11"/>
        <v>0</v>
      </c>
      <c r="AD77" s="168">
        <f>(INDEX(Models!$BJ77:$BT77,,AH77)*(1-AF77)+INDEX(Models!$BJ77:$BT77,,AH77+1)*AF77-ERP_i)*AE77*Ramure*Pc/MaxiM</f>
        <v>8.5905836595333952E-7</v>
      </c>
      <c r="AE77" s="304">
        <f t="shared" si="12"/>
        <v>0.5</v>
      </c>
      <c r="AF77" s="176">
        <f t="shared" si="13"/>
        <v>0.53961967149307277</v>
      </c>
      <c r="AG77" s="814">
        <f t="shared" si="23"/>
        <v>-1</v>
      </c>
      <c r="AH77" s="175">
        <f t="shared" si="14"/>
        <v>5</v>
      </c>
      <c r="AI77" s="224">
        <f t="shared" si="15"/>
        <v>-0.46038032850692723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89"/>
      <c r="D78" s="392"/>
      <c r="E78" s="384"/>
      <c r="F78" s="384"/>
      <c r="G78" s="110"/>
      <c r="I78" s="379">
        <f t="shared" si="0"/>
        <v>0</v>
      </c>
      <c r="J78" s="85">
        <v>2018</v>
      </c>
      <c r="K78" s="196">
        <f t="shared" si="1"/>
        <v>43164</v>
      </c>
      <c r="L78" s="436">
        <f t="shared" si="2"/>
        <v>0</v>
      </c>
      <c r="M78" s="858"/>
      <c r="N78" s="858"/>
      <c r="O78" s="323">
        <f t="shared" si="3"/>
        <v>0</v>
      </c>
      <c r="P78" s="168">
        <f>(INDEX(Models!$BJ78:$BT78,,T78)*(1-R78)+INDEX(Models!$BJ78:$BT78,,T78+1)*R78-ERP_i)*Q78*Ramure*Pc/MaxiM</f>
        <v>8.8901401191297593E-7</v>
      </c>
      <c r="Q78" s="304">
        <f t="shared" si="19"/>
        <v>0.5</v>
      </c>
      <c r="R78" s="176">
        <f t="shared" si="4"/>
        <v>0.53983638409621015</v>
      </c>
      <c r="S78" s="814">
        <f t="shared" si="20"/>
        <v>-1</v>
      </c>
      <c r="T78" s="175">
        <f t="shared" si="21"/>
        <v>5</v>
      </c>
      <c r="U78" s="250">
        <f t="shared" si="22"/>
        <v>-0.46016361590378985</v>
      </c>
      <c r="V78" s="382">
        <f t="shared" si="5"/>
        <v>46.378758768474754</v>
      </c>
      <c r="W78" s="58"/>
      <c r="X78" s="157">
        <f t="shared" si="6"/>
        <v>43164</v>
      </c>
      <c r="Y78" s="384">
        <f t="shared" si="7"/>
        <v>0</v>
      </c>
      <c r="Z78" s="384">
        <f t="shared" si="8"/>
        <v>0</v>
      </c>
      <c r="AA78" s="385">
        <f t="shared" si="9"/>
        <v>0</v>
      </c>
      <c r="AB78" s="196">
        <f t="shared" si="10"/>
        <v>43164</v>
      </c>
      <c r="AC78" s="425">
        <f t="shared" si="11"/>
        <v>0</v>
      </c>
      <c r="AD78" s="168">
        <f>(INDEX(Models!$BJ78:$BT78,,AH78)*(1-AF78)+INDEX(Models!$BJ78:$BT78,,AH78+1)*AF78-ERP_i)*AE78*Ramure*Pc/MaxiM</f>
        <v>8.8901401191297593E-7</v>
      </c>
      <c r="AE78" s="304">
        <f t="shared" si="12"/>
        <v>0.5</v>
      </c>
      <c r="AF78" s="176">
        <f t="shared" si="13"/>
        <v>0.53983638409621015</v>
      </c>
      <c r="AG78" s="814">
        <f t="shared" si="23"/>
        <v>-1</v>
      </c>
      <c r="AH78" s="175">
        <f t="shared" si="14"/>
        <v>5</v>
      </c>
      <c r="AI78" s="224">
        <f t="shared" si="15"/>
        <v>-0.46016361590378985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43165</v>
      </c>
      <c r="B79" s="616"/>
      <c r="C79" s="389"/>
      <c r="D79" s="392"/>
      <c r="E79" s="384"/>
      <c r="F79" s="384"/>
      <c r="G79" s="110"/>
      <c r="I79" s="379">
        <f t="shared" ref="I79:I142" si="24">Wh_hp</f>
        <v>0</v>
      </c>
      <c r="J79" s="85">
        <v>2018</v>
      </c>
      <c r="K79" s="196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8"/>
      <c r="N79" s="858"/>
      <c r="O79" s="323">
        <f t="shared" ref="O79:O142" si="27">IF(t&lt;T0,0,IF(t&lt;Tnet,Salim_i*(1-EXP((T0-t)/Tau_ij)),Resal+(Salim-Resal)*(1-EXP((Tnet-t)/(Tau_j)))))*Salcycl</f>
        <v>0</v>
      </c>
      <c r="P79" s="168">
        <f>(INDEX(Models!$BJ79:$BT79,,T79)*(1-R79)+INDEX(Models!$BJ79:$BT79,,T79+1)*R79-ERP_i)*Q79*Ramure*Pc/MaxiM</f>
        <v>9.1957744776145592E-7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0.54006185006214902</v>
      </c>
      <c r="S79" s="814">
        <f t="shared" si="20"/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-0.45993814993785098</v>
      </c>
      <c r="V79" s="382">
        <f t="shared" ref="V79:V142" si="32">MaxiM*(1-Ppv)*(1-Pvg)*(1-Psa)</f>
        <v>46.718492352111198</v>
      </c>
      <c r="W79" s="58"/>
      <c r="X79" s="157">
        <f t="shared" ref="X79:X142" si="33">t</f>
        <v>43165</v>
      </c>
      <c r="Y79" s="384">
        <f t="shared" ref="Y79:Y142" si="34">Wh_pvt_s*(1-Ppv)</f>
        <v>0</v>
      </c>
      <c r="Z79" s="384">
        <f t="shared" ref="Z79:Z142" si="35">Wh_sa_s*(1-Psa_s)</f>
        <v>0</v>
      </c>
      <c r="AA79" s="385">
        <f t="shared" ref="AA79:AA142" si="36">Wh_hp*(1-Pvg_s*MEDIAN((-Sdif+Wh/Env_an)/Csdif,0,1))</f>
        <v>0</v>
      </c>
      <c r="AB79" s="196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8">
        <f>(INDEX(Models!$BJ79:$BT79,,AH79)*(1-AF79)+INDEX(Models!$BJ79:$BT79,,AH79+1)*AF79-ERP_i)*AE79*Ramure*Pc/MaxiM</f>
        <v>9.1957744776145592E-7</v>
      </c>
      <c r="AE79" s="304">
        <f t="shared" ref="AE79:AE142" si="39">Dd+PousD*Croivg</f>
        <v>0.5</v>
      </c>
      <c r="AF79" s="176">
        <f t="shared" ref="AF79:AF142" si="40">(Hp_vg_s-AG79)/(INDEX(Echel_vg,AH79+1)-AG79)</f>
        <v>0.54006185006214902</v>
      </c>
      <c r="AG79" s="814">
        <f t="shared" ref="AG79:AG142" si="41">INDEX(Echel_vg,AH79)</f>
        <v>-1</v>
      </c>
      <c r="AH79" s="175">
        <f t="shared" ref="AH79:AH142" si="42">MIN(MATCH(Hp_vg_s,Echel_vg),10)</f>
        <v>5</v>
      </c>
      <c r="AI79" s="224">
        <f t="shared" ref="AI79:AI142" si="43">Hdd+PousH*Croivg</f>
        <v>-0.45993814993785098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89"/>
      <c r="D80" s="392"/>
      <c r="E80" s="384"/>
      <c r="F80" s="384"/>
      <c r="G80" s="110"/>
      <c r="I80" s="379">
        <f t="shared" si="24"/>
        <v>0</v>
      </c>
      <c r="J80" s="85">
        <v>2018</v>
      </c>
      <c r="K80" s="196">
        <f t="shared" si="25"/>
        <v>43166</v>
      </c>
      <c r="L80" s="436">
        <f t="shared" si="26"/>
        <v>0</v>
      </c>
      <c r="M80" s="858"/>
      <c r="N80" s="858"/>
      <c r="O80" s="323">
        <f t="shared" si="27"/>
        <v>0</v>
      </c>
      <c r="P80" s="168">
        <f>(INDEX(Models!$BJ80:$BT80,,T80)*(1-R80)+INDEX(Models!$BJ80:$BT80,,T80+1)*R80-ERP_i)*Q80*Ramure*Pc/MaxiM</f>
        <v>9.5149473288223655E-7</v>
      </c>
      <c r="Q80" s="304">
        <f t="shared" si="28"/>
        <v>0.5</v>
      </c>
      <c r="R80" s="176">
        <f t="shared" si="29"/>
        <v>0.54029640848481031</v>
      </c>
      <c r="S80" s="814">
        <f t="shared" ref="S80:S143" si="47">INDEX(Echel_vg,T80)</f>
        <v>-1</v>
      </c>
      <c r="T80" s="175">
        <f t="shared" si="30"/>
        <v>5</v>
      </c>
      <c r="U80" s="250">
        <f t="shared" si="31"/>
        <v>-0.45970359151518964</v>
      </c>
      <c r="V80" s="382">
        <f t="shared" si="32"/>
        <v>47.058009160201259</v>
      </c>
      <c r="W80" s="58"/>
      <c r="X80" s="157">
        <f t="shared" si="33"/>
        <v>43166</v>
      </c>
      <c r="Y80" s="384">
        <f t="shared" si="34"/>
        <v>0</v>
      </c>
      <c r="Z80" s="384">
        <f t="shared" si="35"/>
        <v>0</v>
      </c>
      <c r="AA80" s="385">
        <f t="shared" si="36"/>
        <v>0</v>
      </c>
      <c r="AB80" s="196">
        <f t="shared" si="37"/>
        <v>43166</v>
      </c>
      <c r="AC80" s="425">
        <f t="shared" si="38"/>
        <v>0</v>
      </c>
      <c r="AD80" s="168">
        <f>(INDEX(Models!$BJ80:$BT80,,AH80)*(1-AF80)+INDEX(Models!$BJ80:$BT80,,AH80+1)*AF80-ERP_i)*AE80*Ramure*Pc/MaxiM</f>
        <v>9.5149473288223655E-7</v>
      </c>
      <c r="AE80" s="304">
        <f t="shared" si="39"/>
        <v>0.5</v>
      </c>
      <c r="AF80" s="176">
        <f t="shared" si="40"/>
        <v>0.54029640848481031</v>
      </c>
      <c r="AG80" s="814">
        <f t="shared" si="41"/>
        <v>-1</v>
      </c>
      <c r="AH80" s="175">
        <f t="shared" si="42"/>
        <v>5</v>
      </c>
      <c r="AI80" s="224">
        <f t="shared" si="43"/>
        <v>-0.45970359151518964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43167</v>
      </c>
      <c r="B81" s="616"/>
      <c r="C81" s="389"/>
      <c r="D81" s="392"/>
      <c r="E81" s="384"/>
      <c r="F81" s="384"/>
      <c r="G81" s="110"/>
      <c r="I81" s="379">
        <f t="shared" si="24"/>
        <v>0</v>
      </c>
      <c r="J81" s="85">
        <v>2018</v>
      </c>
      <c r="K81" s="196">
        <f t="shared" si="25"/>
        <v>43167</v>
      </c>
      <c r="L81" s="436">
        <f t="shared" si="26"/>
        <v>0</v>
      </c>
      <c r="M81" s="858"/>
      <c r="N81" s="858"/>
      <c r="O81" s="323">
        <f t="shared" si="27"/>
        <v>0</v>
      </c>
      <c r="P81" s="168">
        <f>(INDEX(Models!$BJ81:$BT81,,T81)*(1-R81)+INDEX(Models!$BJ81:$BT81,,T81+1)*R81-ERP_i)*Q81*Ramure*Pc/MaxiM</f>
        <v>9.8572977613456279E-7</v>
      </c>
      <c r="Q81" s="304">
        <f t="shared" si="28"/>
        <v>0.5</v>
      </c>
      <c r="R81" s="176">
        <f t="shared" si="29"/>
        <v>0.54054041038173639</v>
      </c>
      <c r="S81" s="814">
        <f t="shared" si="47"/>
        <v>-1</v>
      </c>
      <c r="T81" s="175">
        <f t="shared" si="30"/>
        <v>5</v>
      </c>
      <c r="U81" s="250">
        <f t="shared" si="31"/>
        <v>-0.45945958961826361</v>
      </c>
      <c r="V81" s="382">
        <f t="shared" si="32"/>
        <v>47.397092455475992</v>
      </c>
      <c r="W81" s="58"/>
      <c r="X81" s="157">
        <f t="shared" si="33"/>
        <v>43167</v>
      </c>
      <c r="Y81" s="384">
        <f t="shared" si="34"/>
        <v>0</v>
      </c>
      <c r="Z81" s="384">
        <f t="shared" si="35"/>
        <v>0</v>
      </c>
      <c r="AA81" s="385">
        <f t="shared" si="36"/>
        <v>0</v>
      </c>
      <c r="AB81" s="196">
        <f t="shared" si="37"/>
        <v>43167</v>
      </c>
      <c r="AC81" s="425">
        <f t="shared" si="38"/>
        <v>0</v>
      </c>
      <c r="AD81" s="168">
        <f>(INDEX(Models!$BJ81:$BT81,,AH81)*(1-AF81)+INDEX(Models!$BJ81:$BT81,,AH81+1)*AF81-ERP_i)*AE81*Ramure*Pc/MaxiM</f>
        <v>9.8572977613456279E-7</v>
      </c>
      <c r="AE81" s="304">
        <f t="shared" si="39"/>
        <v>0.5</v>
      </c>
      <c r="AF81" s="176">
        <f t="shared" si="40"/>
        <v>0.54054041038173639</v>
      </c>
      <c r="AG81" s="814">
        <f t="shared" si="41"/>
        <v>-1</v>
      </c>
      <c r="AH81" s="175">
        <f t="shared" si="42"/>
        <v>5</v>
      </c>
      <c r="AI81" s="224">
        <f t="shared" si="43"/>
        <v>-0.45945958961826361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43168</v>
      </c>
      <c r="B82" s="616"/>
      <c r="C82" s="389"/>
      <c r="D82" s="392"/>
      <c r="E82" s="384"/>
      <c r="F82" s="384"/>
      <c r="G82" s="110"/>
      <c r="I82" s="379">
        <f t="shared" si="24"/>
        <v>0</v>
      </c>
      <c r="J82" s="85">
        <v>2018</v>
      </c>
      <c r="K82" s="196">
        <f t="shared" si="25"/>
        <v>43168</v>
      </c>
      <c r="L82" s="436">
        <f t="shared" si="26"/>
        <v>0</v>
      </c>
      <c r="M82" s="858"/>
      <c r="N82" s="858"/>
      <c r="O82" s="323">
        <f t="shared" si="27"/>
        <v>0</v>
      </c>
      <c r="P82" s="168">
        <f>(INDEX(Models!$BJ82:$BT82,,T82)*(1-R82)+INDEX(Models!$BJ82:$BT82,,T82+1)*R82-ERP_i)*Q82*Ramure*Pc/MaxiM</f>
        <v>1.0224668319075657E-6</v>
      </c>
      <c r="Q82" s="304">
        <f t="shared" si="28"/>
        <v>0.5</v>
      </c>
      <c r="R82" s="176">
        <f t="shared" si="29"/>
        <v>0.54079421901068858</v>
      </c>
      <c r="S82" s="814">
        <f t="shared" si="47"/>
        <v>-1</v>
      </c>
      <c r="T82" s="175">
        <f t="shared" si="30"/>
        <v>5</v>
      </c>
      <c r="U82" s="250">
        <f t="shared" si="31"/>
        <v>-0.45920578098931142</v>
      </c>
      <c r="V82" s="382">
        <f t="shared" si="32"/>
        <v>47.735525535918732</v>
      </c>
      <c r="W82" s="58"/>
      <c r="X82" s="157">
        <f t="shared" si="33"/>
        <v>43168</v>
      </c>
      <c r="Y82" s="384">
        <f t="shared" si="34"/>
        <v>0</v>
      </c>
      <c r="Z82" s="384">
        <f t="shared" si="35"/>
        <v>0</v>
      </c>
      <c r="AA82" s="385">
        <f t="shared" si="36"/>
        <v>0</v>
      </c>
      <c r="AB82" s="196">
        <f t="shared" si="37"/>
        <v>43168</v>
      </c>
      <c r="AC82" s="425">
        <f t="shared" si="38"/>
        <v>0</v>
      </c>
      <c r="AD82" s="168">
        <f>(INDEX(Models!$BJ82:$BT82,,AH82)*(1-AF82)+INDEX(Models!$BJ82:$BT82,,AH82+1)*AF82-ERP_i)*AE82*Ramure*Pc/MaxiM</f>
        <v>1.0224668319075657E-6</v>
      </c>
      <c r="AE82" s="304">
        <f t="shared" si="39"/>
        <v>0.5</v>
      </c>
      <c r="AF82" s="176">
        <f t="shared" si="40"/>
        <v>0.54079421901068858</v>
      </c>
      <c r="AG82" s="814">
        <f t="shared" si="41"/>
        <v>-1</v>
      </c>
      <c r="AH82" s="175">
        <f t="shared" si="42"/>
        <v>5</v>
      </c>
      <c r="AI82" s="224">
        <f t="shared" si="43"/>
        <v>-0.45920578098931142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89"/>
      <c r="D83" s="392"/>
      <c r="E83" s="384"/>
      <c r="F83" s="384"/>
      <c r="G83" s="110"/>
      <c r="I83" s="379">
        <f t="shared" si="24"/>
        <v>0</v>
      </c>
      <c r="J83" s="85">
        <v>2018</v>
      </c>
      <c r="K83" s="196">
        <f t="shared" si="25"/>
        <v>43169</v>
      </c>
      <c r="L83" s="436">
        <f t="shared" si="26"/>
        <v>0</v>
      </c>
      <c r="M83" s="858"/>
      <c r="N83" s="858"/>
      <c r="O83" s="323">
        <f t="shared" si="27"/>
        <v>0</v>
      </c>
      <c r="P83" s="168">
        <f>(INDEX(Models!$BJ83:$BT83,,T83)*(1-R83)+INDEX(Models!$BJ83:$BT83,,T83+1)*R83-ERP_i)*Q83*Ramure*Pc/MaxiM</f>
        <v>1.0619021651281502E-6</v>
      </c>
      <c r="Q83" s="304">
        <f t="shared" si="28"/>
        <v>0.5</v>
      </c>
      <c r="R83" s="176">
        <f t="shared" si="29"/>
        <v>0.54105821018549061</v>
      </c>
      <c r="S83" s="814">
        <f t="shared" si="47"/>
        <v>-1</v>
      </c>
      <c r="T83" s="175">
        <f t="shared" si="30"/>
        <v>5</v>
      </c>
      <c r="U83" s="250">
        <f t="shared" si="31"/>
        <v>-0.45894178981450939</v>
      </c>
      <c r="V83" s="382">
        <f t="shared" si="32"/>
        <v>48.073091698899347</v>
      </c>
      <c r="W83" s="58"/>
      <c r="X83" s="157">
        <f t="shared" si="33"/>
        <v>43169</v>
      </c>
      <c r="Y83" s="384">
        <f t="shared" si="34"/>
        <v>0</v>
      </c>
      <c r="Z83" s="384">
        <f t="shared" si="35"/>
        <v>0</v>
      </c>
      <c r="AA83" s="385">
        <f t="shared" si="36"/>
        <v>0</v>
      </c>
      <c r="AB83" s="196">
        <f t="shared" si="37"/>
        <v>43169</v>
      </c>
      <c r="AC83" s="425">
        <f t="shared" si="38"/>
        <v>0</v>
      </c>
      <c r="AD83" s="168">
        <f>(INDEX(Models!$BJ83:$BT83,,AH83)*(1-AF83)+INDEX(Models!$BJ83:$BT83,,AH83+1)*AF83-ERP_i)*AE83*Ramure*Pc/MaxiM</f>
        <v>1.0619021651281502E-6</v>
      </c>
      <c r="AE83" s="304">
        <f t="shared" si="39"/>
        <v>0.5</v>
      </c>
      <c r="AF83" s="176">
        <f t="shared" si="40"/>
        <v>0.54105821018549061</v>
      </c>
      <c r="AG83" s="814">
        <f t="shared" si="41"/>
        <v>-1</v>
      </c>
      <c r="AH83" s="175">
        <f t="shared" si="42"/>
        <v>5</v>
      </c>
      <c r="AI83" s="224">
        <f t="shared" si="43"/>
        <v>-0.45894178981450939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89"/>
      <c r="D84" s="392"/>
      <c r="E84" s="384"/>
      <c r="F84" s="384"/>
      <c r="G84" s="110"/>
      <c r="I84" s="379">
        <f t="shared" si="24"/>
        <v>0</v>
      </c>
      <c r="J84" s="85">
        <v>2018</v>
      </c>
      <c r="K84" s="196">
        <f t="shared" si="25"/>
        <v>43170</v>
      </c>
      <c r="L84" s="436">
        <f t="shared" si="26"/>
        <v>0</v>
      </c>
      <c r="M84" s="858"/>
      <c r="N84" s="858"/>
      <c r="O84" s="323">
        <f t="shared" si="27"/>
        <v>0</v>
      </c>
      <c r="P84" s="168">
        <f>(INDEX(Models!$BJ84:$BT84,,T84)*(1-R84)+INDEX(Models!$BJ84:$BT84,,T84+1)*R84-ERP_i)*Q84*Ramure*Pc/MaxiM</f>
        <v>1.1042448508776765E-6</v>
      </c>
      <c r="Q84" s="304">
        <f t="shared" si="28"/>
        <v>0.5</v>
      </c>
      <c r="R84" s="176">
        <f t="shared" si="29"/>
        <v>0.54133277259008961</v>
      </c>
      <c r="S84" s="814">
        <f t="shared" si="47"/>
        <v>-1</v>
      </c>
      <c r="T84" s="175">
        <f t="shared" si="30"/>
        <v>5</v>
      </c>
      <c r="U84" s="250">
        <f t="shared" si="31"/>
        <v>-0.45866722740991045</v>
      </c>
      <c r="V84" s="382">
        <f t="shared" si="32"/>
        <v>48.409574240629986</v>
      </c>
      <c r="W84" s="58"/>
      <c r="X84" s="157">
        <f t="shared" si="33"/>
        <v>43170</v>
      </c>
      <c r="Y84" s="384">
        <f t="shared" si="34"/>
        <v>0</v>
      </c>
      <c r="Z84" s="384">
        <f t="shared" si="35"/>
        <v>0</v>
      </c>
      <c r="AA84" s="385">
        <f t="shared" si="36"/>
        <v>0</v>
      </c>
      <c r="AB84" s="196">
        <f t="shared" si="37"/>
        <v>43170</v>
      </c>
      <c r="AC84" s="425">
        <f t="shared" si="38"/>
        <v>0</v>
      </c>
      <c r="AD84" s="168">
        <f>(INDEX(Models!$BJ84:$BT84,,AH84)*(1-AF84)+INDEX(Models!$BJ84:$BT84,,AH84+1)*AF84-ERP_i)*AE84*Ramure*Pc/MaxiM</f>
        <v>1.1042448508776765E-6</v>
      </c>
      <c r="AE84" s="304">
        <f t="shared" si="39"/>
        <v>0.5</v>
      </c>
      <c r="AF84" s="176">
        <f t="shared" si="40"/>
        <v>0.54133277259008961</v>
      </c>
      <c r="AG84" s="814">
        <f t="shared" si="41"/>
        <v>-1</v>
      </c>
      <c r="AH84" s="175">
        <f t="shared" si="42"/>
        <v>5</v>
      </c>
      <c r="AI84" s="224">
        <f t="shared" si="43"/>
        <v>-0.45866722740991045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89"/>
      <c r="D85" s="392"/>
      <c r="E85" s="384"/>
      <c r="F85" s="384"/>
      <c r="G85" s="110"/>
      <c r="I85" s="379">
        <f t="shared" si="24"/>
        <v>0</v>
      </c>
      <c r="J85" s="85">
        <v>2018</v>
      </c>
      <c r="K85" s="196">
        <f t="shared" si="25"/>
        <v>43171</v>
      </c>
      <c r="L85" s="436">
        <f t="shared" si="26"/>
        <v>0</v>
      </c>
      <c r="M85" s="858"/>
      <c r="N85" s="858"/>
      <c r="O85" s="323">
        <f t="shared" si="27"/>
        <v>0</v>
      </c>
      <c r="P85" s="168">
        <f>(INDEX(Models!$BJ85:$BT85,,T85)*(1-R85)+INDEX(Models!$BJ85:$BT85,,T85+1)*R85-ERP_i)*Q85*Ramure*Pc/MaxiM</f>
        <v>1.1497176306537569E-6</v>
      </c>
      <c r="Q85" s="304">
        <f t="shared" si="28"/>
        <v>0.5</v>
      </c>
      <c r="R85" s="176">
        <f t="shared" si="29"/>
        <v>0.54161830808970268</v>
      </c>
      <c r="S85" s="814">
        <f t="shared" si="47"/>
        <v>-1</v>
      </c>
      <c r="T85" s="175">
        <f t="shared" si="30"/>
        <v>5</v>
      </c>
      <c r="U85" s="250">
        <f t="shared" si="31"/>
        <v>-0.45838169191029732</v>
      </c>
      <c r="V85" s="382">
        <f t="shared" si="32"/>
        <v>48.744756457054578</v>
      </c>
      <c r="W85" s="58"/>
      <c r="X85" s="157">
        <f t="shared" si="33"/>
        <v>43171</v>
      </c>
      <c r="Y85" s="384">
        <f t="shared" si="34"/>
        <v>0</v>
      </c>
      <c r="Z85" s="384">
        <f t="shared" si="35"/>
        <v>0</v>
      </c>
      <c r="AA85" s="385">
        <f t="shared" si="36"/>
        <v>0</v>
      </c>
      <c r="AB85" s="196">
        <f t="shared" si="37"/>
        <v>43171</v>
      </c>
      <c r="AC85" s="425">
        <f t="shared" si="38"/>
        <v>0</v>
      </c>
      <c r="AD85" s="168">
        <f>(INDEX(Models!$BJ85:$BT85,,AH85)*(1-AF85)+INDEX(Models!$BJ85:$BT85,,AH85+1)*AF85-ERP_i)*AE85*Ramure*Pc/MaxiM</f>
        <v>1.1497176306537569E-6</v>
      </c>
      <c r="AE85" s="304">
        <f t="shared" si="39"/>
        <v>0.5</v>
      </c>
      <c r="AF85" s="176">
        <f t="shared" si="40"/>
        <v>0.54161830808970268</v>
      </c>
      <c r="AG85" s="814">
        <f t="shared" si="41"/>
        <v>-1</v>
      </c>
      <c r="AH85" s="175">
        <f t="shared" si="42"/>
        <v>5</v>
      </c>
      <c r="AI85" s="224">
        <f t="shared" si="43"/>
        <v>-0.45838169191029732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89"/>
      <c r="D86" s="392"/>
      <c r="E86" s="384"/>
      <c r="F86" s="384"/>
      <c r="G86" s="110"/>
      <c r="I86" s="379">
        <f t="shared" si="24"/>
        <v>0</v>
      </c>
      <c r="J86" s="85">
        <v>2018</v>
      </c>
      <c r="K86" s="196">
        <f t="shared" si="25"/>
        <v>43172</v>
      </c>
      <c r="L86" s="436">
        <f t="shared" si="26"/>
        <v>0</v>
      </c>
      <c r="M86" s="858"/>
      <c r="N86" s="858"/>
      <c r="O86" s="323">
        <f t="shared" si="27"/>
        <v>0</v>
      </c>
      <c r="P86" s="168">
        <f>(INDEX(Models!$BJ86:$BT86,,T86)*(1-R86)+INDEX(Models!$BJ86:$BT86,,T86+1)*R86-ERP_i)*Q86*Ramure*Pc/MaxiM</f>
        <v>1.1977380085156603E-6</v>
      </c>
      <c r="Q86" s="304">
        <f t="shared" si="28"/>
        <v>0.5</v>
      </c>
      <c r="R86" s="176">
        <f t="shared" si="29"/>
        <v>0.54191523203781022</v>
      </c>
      <c r="S86" s="814">
        <f t="shared" si="47"/>
        <v>-1</v>
      </c>
      <c r="T86" s="175">
        <f t="shared" si="30"/>
        <v>5</v>
      </c>
      <c r="U86" s="250">
        <f t="shared" si="31"/>
        <v>-0.45808476796218983</v>
      </c>
      <c r="V86" s="382">
        <f t="shared" si="32"/>
        <v>49.07842168316072</v>
      </c>
      <c r="W86" s="58"/>
      <c r="X86" s="157">
        <f t="shared" si="33"/>
        <v>43172</v>
      </c>
      <c r="Y86" s="384">
        <f t="shared" si="34"/>
        <v>0</v>
      </c>
      <c r="Z86" s="384">
        <f t="shared" si="35"/>
        <v>0</v>
      </c>
      <c r="AA86" s="385">
        <f t="shared" si="36"/>
        <v>0</v>
      </c>
      <c r="AB86" s="196">
        <f t="shared" si="37"/>
        <v>43172</v>
      </c>
      <c r="AC86" s="425">
        <f t="shared" si="38"/>
        <v>0</v>
      </c>
      <c r="AD86" s="168">
        <f>(INDEX(Models!$BJ86:$BT86,,AH86)*(1-AF86)+INDEX(Models!$BJ86:$BT86,,AH86+1)*AF86-ERP_i)*AE86*Ramure*Pc/MaxiM</f>
        <v>1.1977380085156603E-6</v>
      </c>
      <c r="AE86" s="304">
        <f t="shared" si="39"/>
        <v>0.5</v>
      </c>
      <c r="AF86" s="176">
        <f t="shared" si="40"/>
        <v>0.54191523203781022</v>
      </c>
      <c r="AG86" s="814">
        <f t="shared" si="41"/>
        <v>-1</v>
      </c>
      <c r="AH86" s="175">
        <f t="shared" si="42"/>
        <v>5</v>
      </c>
      <c r="AI86" s="224">
        <f t="shared" si="43"/>
        <v>-0.45808476796218983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89"/>
      <c r="D87" s="392"/>
      <c r="E87" s="384"/>
      <c r="F87" s="384"/>
      <c r="G87" s="110"/>
      <c r="I87" s="379">
        <f t="shared" si="24"/>
        <v>0</v>
      </c>
      <c r="J87" s="85">
        <v>2018</v>
      </c>
      <c r="K87" s="196">
        <f t="shared" si="25"/>
        <v>43173</v>
      </c>
      <c r="L87" s="436">
        <f t="shared" si="26"/>
        <v>0</v>
      </c>
      <c r="M87" s="858"/>
      <c r="N87" s="858"/>
      <c r="O87" s="323">
        <f t="shared" si="27"/>
        <v>0</v>
      </c>
      <c r="P87" s="168">
        <f>(INDEX(Models!$BJ87:$BT87,,T87)*(1-R87)+INDEX(Models!$BJ87:$BT87,,T87+1)*R87-ERP_i)*Q87*Ramure*Pc/MaxiM</f>
        <v>1.2478004928204226E-6</v>
      </c>
      <c r="Q87" s="304">
        <f t="shared" si="28"/>
        <v>0.5</v>
      </c>
      <c r="R87" s="176">
        <f t="shared" si="29"/>
        <v>0.54222397357763275</v>
      </c>
      <c r="S87" s="814">
        <f t="shared" si="47"/>
        <v>-1</v>
      </c>
      <c r="T87" s="175">
        <f t="shared" si="30"/>
        <v>5</v>
      </c>
      <c r="U87" s="250">
        <f t="shared" si="31"/>
        <v>-0.45777602642236725</v>
      </c>
      <c r="V87" s="382">
        <f t="shared" si="32"/>
        <v>49.410353250734374</v>
      </c>
      <c r="W87" s="58"/>
      <c r="X87" s="157">
        <f t="shared" si="33"/>
        <v>43173</v>
      </c>
      <c r="Y87" s="384">
        <f t="shared" si="34"/>
        <v>0</v>
      </c>
      <c r="Z87" s="384">
        <f t="shared" si="35"/>
        <v>0</v>
      </c>
      <c r="AA87" s="385">
        <f t="shared" si="36"/>
        <v>0</v>
      </c>
      <c r="AB87" s="196">
        <f t="shared" si="37"/>
        <v>43173</v>
      </c>
      <c r="AC87" s="425">
        <f t="shared" si="38"/>
        <v>0</v>
      </c>
      <c r="AD87" s="168">
        <f>(INDEX(Models!$BJ87:$BT87,,AH87)*(1-AF87)+INDEX(Models!$BJ87:$BT87,,AH87+1)*AF87-ERP_i)*AE87*Ramure*Pc/MaxiM</f>
        <v>1.2478004928204226E-6</v>
      </c>
      <c r="AE87" s="304">
        <f t="shared" si="39"/>
        <v>0.5</v>
      </c>
      <c r="AF87" s="176">
        <f t="shared" si="40"/>
        <v>0.54222397357763275</v>
      </c>
      <c r="AG87" s="814">
        <f t="shared" si="41"/>
        <v>-1</v>
      </c>
      <c r="AH87" s="175">
        <f t="shared" si="42"/>
        <v>5</v>
      </c>
      <c r="AI87" s="224">
        <f t="shared" si="43"/>
        <v>-0.45777602642236725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43174</v>
      </c>
      <c r="B88" s="616"/>
      <c r="C88" s="389"/>
      <c r="D88" s="392"/>
      <c r="E88" s="384"/>
      <c r="F88" s="384"/>
      <c r="G88" s="110"/>
      <c r="I88" s="379">
        <f t="shared" si="24"/>
        <v>0</v>
      </c>
      <c r="J88" s="85">
        <v>2018</v>
      </c>
      <c r="K88" s="196">
        <f t="shared" si="25"/>
        <v>43174</v>
      </c>
      <c r="L88" s="436">
        <f t="shared" si="26"/>
        <v>0</v>
      </c>
      <c r="M88" s="858"/>
      <c r="N88" s="858"/>
      <c r="O88" s="323">
        <f t="shared" si="27"/>
        <v>0</v>
      </c>
      <c r="P88" s="168">
        <f>(INDEX(Models!$BJ88:$BT88,,T88)*(1-R88)+INDEX(Models!$BJ88:$BT88,,T88+1)*R88-ERP_i)*Q88*Ramure*Pc/MaxiM</f>
        <v>1.3000048192398459E-6</v>
      </c>
      <c r="Q88" s="304">
        <f t="shared" si="28"/>
        <v>0.5</v>
      </c>
      <c r="R88" s="176">
        <f t="shared" si="29"/>
        <v>0.54254497593661166</v>
      </c>
      <c r="S88" s="814">
        <f t="shared" si="47"/>
        <v>-1</v>
      </c>
      <c r="T88" s="175">
        <f t="shared" si="30"/>
        <v>5</v>
      </c>
      <c r="U88" s="250">
        <f t="shared" si="31"/>
        <v>-0.45745502406338834</v>
      </c>
      <c r="V88" s="382">
        <f t="shared" si="32"/>
        <v>49.740334462406601</v>
      </c>
      <c r="W88" s="58"/>
      <c r="X88" s="157">
        <f t="shared" si="33"/>
        <v>43174</v>
      </c>
      <c r="Y88" s="384">
        <f t="shared" si="34"/>
        <v>0</v>
      </c>
      <c r="Z88" s="384">
        <f t="shared" si="35"/>
        <v>0</v>
      </c>
      <c r="AA88" s="385">
        <f t="shared" si="36"/>
        <v>0</v>
      </c>
      <c r="AB88" s="196">
        <f t="shared" si="37"/>
        <v>43174</v>
      </c>
      <c r="AC88" s="425">
        <f t="shared" si="38"/>
        <v>0</v>
      </c>
      <c r="AD88" s="168">
        <f>(INDEX(Models!$BJ88:$BT88,,AH88)*(1-AF88)+INDEX(Models!$BJ88:$BT88,,AH88+1)*AF88-ERP_i)*AE88*Ramure*Pc/MaxiM</f>
        <v>1.3000048192398459E-6</v>
      </c>
      <c r="AE88" s="304">
        <f t="shared" si="39"/>
        <v>0.5</v>
      </c>
      <c r="AF88" s="176">
        <f t="shared" si="40"/>
        <v>0.54254497593661166</v>
      </c>
      <c r="AG88" s="814">
        <f t="shared" si="41"/>
        <v>-1</v>
      </c>
      <c r="AH88" s="175">
        <f t="shared" si="42"/>
        <v>5</v>
      </c>
      <c r="AI88" s="224">
        <f t="shared" si="43"/>
        <v>-0.45745502406338834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89"/>
      <c r="D89" s="392"/>
      <c r="E89" s="384"/>
      <c r="F89" s="384"/>
      <c r="G89" s="110"/>
      <c r="I89" s="379">
        <f t="shared" si="24"/>
        <v>0</v>
      </c>
      <c r="J89" s="85">
        <v>2018</v>
      </c>
      <c r="K89" s="196">
        <f t="shared" si="25"/>
        <v>43175</v>
      </c>
      <c r="L89" s="436">
        <f t="shared" si="26"/>
        <v>0</v>
      </c>
      <c r="M89" s="858"/>
      <c r="N89" s="858"/>
      <c r="O89" s="323">
        <f t="shared" si="27"/>
        <v>0</v>
      </c>
      <c r="P89" s="168">
        <f>(INDEX(Models!$BJ89:$BT89,,T89)*(1-R89)+INDEX(Models!$BJ89:$BT89,,T89+1)*R89-ERP_i)*Q89*Ramure*Pc/MaxiM</f>
        <v>1.3544562191498061E-6</v>
      </c>
      <c r="Q89" s="304">
        <f t="shared" si="28"/>
        <v>0.5</v>
      </c>
      <c r="R89" s="176">
        <f t="shared" si="29"/>
        <v>0.54287869671227484</v>
      </c>
      <c r="S89" s="814">
        <f t="shared" si="47"/>
        <v>-1</v>
      </c>
      <c r="T89" s="175">
        <f t="shared" si="30"/>
        <v>5</v>
      </c>
      <c r="U89" s="250">
        <f t="shared" si="31"/>
        <v>-0.45712130328772516</v>
      </c>
      <c r="V89" s="382">
        <f t="shared" si="32"/>
        <v>50.068148620590378</v>
      </c>
      <c r="W89" s="58"/>
      <c r="X89" s="157">
        <f t="shared" si="33"/>
        <v>43175</v>
      </c>
      <c r="Y89" s="384">
        <f t="shared" si="34"/>
        <v>0</v>
      </c>
      <c r="Z89" s="384">
        <f t="shared" si="35"/>
        <v>0</v>
      </c>
      <c r="AA89" s="385">
        <f t="shared" si="36"/>
        <v>0</v>
      </c>
      <c r="AB89" s="196">
        <f t="shared" si="37"/>
        <v>43175</v>
      </c>
      <c r="AC89" s="425">
        <f t="shared" si="38"/>
        <v>0</v>
      </c>
      <c r="AD89" s="168">
        <f>(INDEX(Models!$BJ89:$BT89,,AH89)*(1-AF89)+INDEX(Models!$BJ89:$BT89,,AH89+1)*AF89-ERP_i)*AE89*Ramure*Pc/MaxiM</f>
        <v>1.3544562191498061E-6</v>
      </c>
      <c r="AE89" s="304">
        <f t="shared" si="39"/>
        <v>0.5</v>
      </c>
      <c r="AF89" s="176">
        <f t="shared" si="40"/>
        <v>0.54287869671227484</v>
      </c>
      <c r="AG89" s="814">
        <f t="shared" si="41"/>
        <v>-1</v>
      </c>
      <c r="AH89" s="175">
        <f t="shared" si="42"/>
        <v>5</v>
      </c>
      <c r="AI89" s="224">
        <f t="shared" si="43"/>
        <v>-0.45712130328772516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89"/>
      <c r="D90" s="392"/>
      <c r="E90" s="384"/>
      <c r="F90" s="384"/>
      <c r="G90" s="110"/>
      <c r="I90" s="379">
        <f t="shared" si="24"/>
        <v>0</v>
      </c>
      <c r="J90" s="85">
        <v>2018</v>
      </c>
      <c r="K90" s="196">
        <f t="shared" si="25"/>
        <v>43176</v>
      </c>
      <c r="L90" s="436">
        <f t="shared" si="26"/>
        <v>0</v>
      </c>
      <c r="M90" s="858"/>
      <c r="N90" s="858"/>
      <c r="O90" s="323">
        <f t="shared" si="27"/>
        <v>0</v>
      </c>
      <c r="P90" s="168">
        <f>(INDEX(Models!$BJ90:$BT90,,T90)*(1-R90)+INDEX(Models!$BJ90:$BT90,,T90+1)*R90-ERP_i)*Q90*Ramure*Pc/MaxiM</f>
        <v>1.4112657323579133E-6</v>
      </c>
      <c r="Q90" s="304">
        <f t="shared" si="28"/>
        <v>0.5</v>
      </c>
      <c r="R90" s="176">
        <f t="shared" si="29"/>
        <v>0.54322560814773335</v>
      </c>
      <c r="S90" s="814">
        <f t="shared" si="47"/>
        <v>-1</v>
      </c>
      <c r="T90" s="175">
        <f t="shared" si="30"/>
        <v>5</v>
      </c>
      <c r="U90" s="250">
        <f t="shared" si="31"/>
        <v>-0.45677439185226659</v>
      </c>
      <c r="V90" s="382">
        <f t="shared" si="32"/>
        <v>50.393579026997145</v>
      </c>
      <c r="W90" s="58"/>
      <c r="X90" s="157">
        <f t="shared" si="33"/>
        <v>43176</v>
      </c>
      <c r="Y90" s="384">
        <f t="shared" si="34"/>
        <v>0</v>
      </c>
      <c r="Z90" s="384">
        <f t="shared" si="35"/>
        <v>0</v>
      </c>
      <c r="AA90" s="385">
        <f t="shared" si="36"/>
        <v>0</v>
      </c>
      <c r="AB90" s="196">
        <f t="shared" si="37"/>
        <v>43176</v>
      </c>
      <c r="AC90" s="425">
        <f t="shared" si="38"/>
        <v>0</v>
      </c>
      <c r="AD90" s="168">
        <f>(INDEX(Models!$BJ90:$BT90,,AH90)*(1-AF90)+INDEX(Models!$BJ90:$BT90,,AH90+1)*AF90-ERP_i)*AE90*Ramure*Pc/MaxiM</f>
        <v>1.4112657323579133E-6</v>
      </c>
      <c r="AE90" s="304">
        <f t="shared" si="39"/>
        <v>0.5</v>
      </c>
      <c r="AF90" s="176">
        <f t="shared" si="40"/>
        <v>0.54322560814773335</v>
      </c>
      <c r="AG90" s="814">
        <f t="shared" si="41"/>
        <v>-1</v>
      </c>
      <c r="AH90" s="175">
        <f t="shared" si="42"/>
        <v>5</v>
      </c>
      <c r="AI90" s="224">
        <f t="shared" si="43"/>
        <v>-0.45677439185226659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89"/>
      <c r="D91" s="392"/>
      <c r="E91" s="384"/>
      <c r="F91" s="384"/>
      <c r="G91" s="110"/>
      <c r="I91" s="379">
        <f t="shared" si="24"/>
        <v>0</v>
      </c>
      <c r="J91" s="85">
        <v>2018</v>
      </c>
      <c r="K91" s="196">
        <f t="shared" si="25"/>
        <v>43177</v>
      </c>
      <c r="L91" s="436">
        <f t="shared" si="26"/>
        <v>0</v>
      </c>
      <c r="M91" s="858"/>
      <c r="N91" s="858"/>
      <c r="O91" s="323">
        <f t="shared" si="27"/>
        <v>0</v>
      </c>
      <c r="P91" s="168">
        <f>(INDEX(Models!$BJ91:$BT91,,T91)*(1-R91)+INDEX(Models!$BJ91:$BT91,,T91+1)*R91-ERP_i)*Q91*Ramure*Pc/MaxiM</f>
        <v>1.4705505355830602E-6</v>
      </c>
      <c r="Q91" s="304">
        <f t="shared" si="28"/>
        <v>0.5</v>
      </c>
      <c r="R91" s="176">
        <f t="shared" si="29"/>
        <v>0.54358619739490865</v>
      </c>
      <c r="S91" s="814">
        <f t="shared" si="47"/>
        <v>-1</v>
      </c>
      <c r="T91" s="175">
        <f t="shared" si="30"/>
        <v>5</v>
      </c>
      <c r="U91" s="250">
        <f t="shared" si="31"/>
        <v>-0.45641380260509135</v>
      </c>
      <c r="V91" s="382">
        <f t="shared" si="32"/>
        <v>50.71640898327</v>
      </c>
      <c r="W91" s="58"/>
      <c r="X91" s="157">
        <f t="shared" si="33"/>
        <v>43177</v>
      </c>
      <c r="Y91" s="384">
        <f t="shared" si="34"/>
        <v>0</v>
      </c>
      <c r="Z91" s="384">
        <f t="shared" si="35"/>
        <v>0</v>
      </c>
      <c r="AA91" s="385">
        <f t="shared" si="36"/>
        <v>0</v>
      </c>
      <c r="AB91" s="196">
        <f t="shared" si="37"/>
        <v>43177</v>
      </c>
      <c r="AC91" s="425">
        <f t="shared" si="38"/>
        <v>0</v>
      </c>
      <c r="AD91" s="168">
        <f>(INDEX(Models!$BJ91:$BT91,,AH91)*(1-AF91)+INDEX(Models!$BJ91:$BT91,,AH91+1)*AF91-ERP_i)*AE91*Ramure*Pc/MaxiM</f>
        <v>1.4705505355830602E-6</v>
      </c>
      <c r="AE91" s="304">
        <f t="shared" si="39"/>
        <v>0.5</v>
      </c>
      <c r="AF91" s="176">
        <f t="shared" si="40"/>
        <v>0.54358619739490865</v>
      </c>
      <c r="AG91" s="814">
        <f t="shared" si="41"/>
        <v>-1</v>
      </c>
      <c r="AH91" s="175">
        <f t="shared" si="42"/>
        <v>5</v>
      </c>
      <c r="AI91" s="224">
        <f t="shared" si="43"/>
        <v>-0.45641380260509135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89"/>
      <c r="D92" s="392"/>
      <c r="E92" s="384"/>
      <c r="F92" s="384"/>
      <c r="G92" s="110"/>
      <c r="I92" s="379">
        <f t="shared" si="24"/>
        <v>0</v>
      </c>
      <c r="J92" s="85">
        <v>2018</v>
      </c>
      <c r="K92" s="196">
        <f t="shared" si="25"/>
        <v>43178</v>
      </c>
      <c r="L92" s="436">
        <f t="shared" si="26"/>
        <v>0</v>
      </c>
      <c r="M92" s="858"/>
      <c r="N92" s="858"/>
      <c r="O92" s="323">
        <f t="shared" si="27"/>
        <v>0</v>
      </c>
      <c r="P92" s="168">
        <f>(INDEX(Models!$BJ92:$BT92,,T92)*(1-R92)+INDEX(Models!$BJ92:$BT92,,T92+1)*R92-ERP_i)*Q92*Ramure*Pc/MaxiM</f>
        <v>1.5324342874306293E-6</v>
      </c>
      <c r="Q92" s="304">
        <f t="shared" si="28"/>
        <v>0.5</v>
      </c>
      <c r="R92" s="176">
        <f t="shared" si="29"/>
        <v>0.54396096676343264</v>
      </c>
      <c r="S92" s="814">
        <f t="shared" si="47"/>
        <v>-1</v>
      </c>
      <c r="T92" s="175">
        <f t="shared" si="30"/>
        <v>5</v>
      </c>
      <c r="U92" s="250">
        <f t="shared" si="31"/>
        <v>-0.45603903323656741</v>
      </c>
      <c r="V92" s="382">
        <f t="shared" si="32"/>
        <v>51.036421790126106</v>
      </c>
      <c r="W92" s="58"/>
      <c r="X92" s="157">
        <f t="shared" si="33"/>
        <v>43178</v>
      </c>
      <c r="Y92" s="384">
        <f t="shared" si="34"/>
        <v>0</v>
      </c>
      <c r="Z92" s="384">
        <f t="shared" si="35"/>
        <v>0</v>
      </c>
      <c r="AA92" s="385">
        <f t="shared" si="36"/>
        <v>0</v>
      </c>
      <c r="AB92" s="196">
        <f t="shared" si="37"/>
        <v>43178</v>
      </c>
      <c r="AC92" s="425">
        <f t="shared" si="38"/>
        <v>0</v>
      </c>
      <c r="AD92" s="168">
        <f>(INDEX(Models!$BJ92:$BT92,,AH92)*(1-AF92)+INDEX(Models!$BJ92:$BT92,,AH92+1)*AF92-ERP_i)*AE92*Ramure*Pc/MaxiM</f>
        <v>1.5324342874306293E-6</v>
      </c>
      <c r="AE92" s="304">
        <f t="shared" si="39"/>
        <v>0.5</v>
      </c>
      <c r="AF92" s="176">
        <f t="shared" si="40"/>
        <v>0.54396096676343264</v>
      </c>
      <c r="AG92" s="814">
        <f t="shared" si="41"/>
        <v>-1</v>
      </c>
      <c r="AH92" s="175">
        <f t="shared" si="42"/>
        <v>5</v>
      </c>
      <c r="AI92" s="224">
        <f t="shared" si="43"/>
        <v>-0.45603903323656741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43179</v>
      </c>
      <c r="B93" s="616"/>
      <c r="C93" s="389"/>
      <c r="D93" s="392"/>
      <c r="E93" s="384"/>
      <c r="F93" s="384"/>
      <c r="G93" s="110"/>
      <c r="I93" s="379">
        <f t="shared" si="24"/>
        <v>0</v>
      </c>
      <c r="J93" s="85">
        <v>2018</v>
      </c>
      <c r="K93" s="196">
        <f t="shared" si="25"/>
        <v>43179</v>
      </c>
      <c r="L93" s="436">
        <f t="shared" si="26"/>
        <v>0</v>
      </c>
      <c r="M93" s="858"/>
      <c r="N93" s="858"/>
      <c r="O93" s="323">
        <f t="shared" si="27"/>
        <v>0</v>
      </c>
      <c r="P93" s="168">
        <f>(INDEX(Models!$BJ93:$BT93,,T93)*(1-R93)+INDEX(Models!$BJ93:$BT93,,T93+1)*R93-ERP_i)*Q93*Ramure*Pc/MaxiM</f>
        <v>1.5969649962659872E-6</v>
      </c>
      <c r="Q93" s="304">
        <f t="shared" si="28"/>
        <v>0.5</v>
      </c>
      <c r="R93" s="176">
        <f t="shared" si="29"/>
        <v>0.54435043395300542</v>
      </c>
      <c r="S93" s="814">
        <f t="shared" si="47"/>
        <v>-1</v>
      </c>
      <c r="T93" s="175">
        <f t="shared" si="30"/>
        <v>5</v>
      </c>
      <c r="U93" s="250">
        <f t="shared" si="31"/>
        <v>-0.45564956604699453</v>
      </c>
      <c r="V93" s="382">
        <f t="shared" si="32"/>
        <v>51.356055212382209</v>
      </c>
      <c r="W93" s="58"/>
      <c r="X93" s="157">
        <f t="shared" si="33"/>
        <v>43179</v>
      </c>
      <c r="Y93" s="384">
        <f t="shared" si="34"/>
        <v>0</v>
      </c>
      <c r="Z93" s="384">
        <f t="shared" si="35"/>
        <v>0</v>
      </c>
      <c r="AA93" s="385">
        <f t="shared" si="36"/>
        <v>0</v>
      </c>
      <c r="AB93" s="196">
        <f t="shared" si="37"/>
        <v>43179</v>
      </c>
      <c r="AC93" s="425">
        <f t="shared" si="38"/>
        <v>0</v>
      </c>
      <c r="AD93" s="168">
        <f>(INDEX(Models!$BJ93:$BT93,,AH93)*(1-AF93)+INDEX(Models!$BJ93:$BT93,,AH93+1)*AF93-ERP_i)*AE93*Ramure*Pc/MaxiM</f>
        <v>1.5969649962659872E-6</v>
      </c>
      <c r="AE93" s="304">
        <f t="shared" si="39"/>
        <v>0.5</v>
      </c>
      <c r="AF93" s="176">
        <f t="shared" si="40"/>
        <v>0.54435043395300542</v>
      </c>
      <c r="AG93" s="814">
        <f t="shared" si="41"/>
        <v>-1</v>
      </c>
      <c r="AH93" s="175">
        <f t="shared" si="42"/>
        <v>5</v>
      </c>
      <c r="AI93" s="224">
        <f t="shared" si="43"/>
        <v>-0.45564956604699453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89"/>
      <c r="D94" s="392"/>
      <c r="E94" s="384"/>
      <c r="F94" s="384"/>
      <c r="G94" s="110"/>
      <c r="I94" s="379">
        <f t="shared" si="24"/>
        <v>0</v>
      </c>
      <c r="J94" s="85">
        <v>2018</v>
      </c>
      <c r="K94" s="196">
        <f t="shared" si="25"/>
        <v>43180</v>
      </c>
      <c r="L94" s="436">
        <f t="shared" si="26"/>
        <v>0</v>
      </c>
      <c r="M94" s="858"/>
      <c r="N94" s="858"/>
      <c r="O94" s="323">
        <f t="shared" si="27"/>
        <v>0</v>
      </c>
      <c r="P94" s="168">
        <f>(INDEX(Models!$BJ94:$BT94,,T94)*(1-R94)+INDEX(Models!$BJ94:$BT94,,T94+1)*R94-ERP_i)*Q94*Ramure*Pc/MaxiM</f>
        <v>1.6625270611091421E-6</v>
      </c>
      <c r="Q94" s="304">
        <f t="shared" si="28"/>
        <v>0.5</v>
      </c>
      <c r="R94" s="176">
        <f t="shared" si="29"/>
        <v>0.54475513226682559</v>
      </c>
      <c r="S94" s="814">
        <f t="shared" si="47"/>
        <v>-1</v>
      </c>
      <c r="T94" s="175">
        <f t="shared" si="30"/>
        <v>5</v>
      </c>
      <c r="U94" s="250">
        <f t="shared" si="31"/>
        <v>-0.45524486773317441</v>
      </c>
      <c r="V94" s="382">
        <f t="shared" si="32"/>
        <v>51.677241489854595</v>
      </c>
      <c r="W94" s="58"/>
      <c r="X94" s="157">
        <f t="shared" si="33"/>
        <v>43180</v>
      </c>
      <c r="Y94" s="384">
        <f t="shared" si="34"/>
        <v>0</v>
      </c>
      <c r="Z94" s="384">
        <f t="shared" si="35"/>
        <v>0</v>
      </c>
      <c r="AA94" s="385">
        <f t="shared" si="36"/>
        <v>0</v>
      </c>
      <c r="AB94" s="196">
        <f t="shared" si="37"/>
        <v>43180</v>
      </c>
      <c r="AC94" s="425">
        <f t="shared" si="38"/>
        <v>0</v>
      </c>
      <c r="AD94" s="168">
        <f>(INDEX(Models!$BJ94:$BT94,,AH94)*(1-AF94)+INDEX(Models!$BJ94:$BT94,,AH94+1)*AF94-ERP_i)*AE94*Ramure*Pc/MaxiM</f>
        <v>1.6625270611091421E-6</v>
      </c>
      <c r="AE94" s="304">
        <f t="shared" si="39"/>
        <v>0.5</v>
      </c>
      <c r="AF94" s="176">
        <f t="shared" si="40"/>
        <v>0.54475513226682559</v>
      </c>
      <c r="AG94" s="814">
        <f t="shared" si="41"/>
        <v>-1</v>
      </c>
      <c r="AH94" s="175">
        <f t="shared" si="42"/>
        <v>5</v>
      </c>
      <c r="AI94" s="224">
        <f t="shared" si="43"/>
        <v>-0.45524486773317441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89"/>
      <c r="D95" s="392"/>
      <c r="E95" s="384"/>
      <c r="F95" s="384"/>
      <c r="G95" s="110"/>
      <c r="I95" s="379">
        <f t="shared" si="24"/>
        <v>0</v>
      </c>
      <c r="J95" s="85">
        <v>2018</v>
      </c>
      <c r="K95" s="196">
        <f t="shared" si="25"/>
        <v>43181</v>
      </c>
      <c r="L95" s="436">
        <f t="shared" si="26"/>
        <v>0</v>
      </c>
      <c r="M95" s="858"/>
      <c r="N95" s="858"/>
      <c r="O95" s="323">
        <f t="shared" si="27"/>
        <v>0</v>
      </c>
      <c r="P95" s="168">
        <f>(INDEX(Models!$BJ95:$BT95,,T95)*(1-R95)+INDEX(Models!$BJ95:$BT95,,T95+1)*R95-ERP_i)*Q95*Ramure*Pc/MaxiM</f>
        <v>1.7278214690405412E-6</v>
      </c>
      <c r="Q95" s="304">
        <f t="shared" si="28"/>
        <v>0.5</v>
      </c>
      <c r="R95" s="176">
        <f t="shared" si="29"/>
        <v>0.54517561080353039</v>
      </c>
      <c r="S95" s="814">
        <f t="shared" si="47"/>
        <v>-1</v>
      </c>
      <c r="T95" s="175">
        <f t="shared" si="30"/>
        <v>5</v>
      </c>
      <c r="U95" s="250">
        <f t="shared" si="31"/>
        <v>-0.45482438919646956</v>
      </c>
      <c r="V95" s="382">
        <f t="shared" si="32"/>
        <v>51.999005580548122</v>
      </c>
      <c r="W95" s="58"/>
      <c r="X95" s="157">
        <f t="shared" si="33"/>
        <v>43181</v>
      </c>
      <c r="Y95" s="384">
        <f t="shared" si="34"/>
        <v>0</v>
      </c>
      <c r="Z95" s="384">
        <f t="shared" si="35"/>
        <v>0</v>
      </c>
      <c r="AA95" s="385">
        <f t="shared" si="36"/>
        <v>0</v>
      </c>
      <c r="AB95" s="196">
        <f t="shared" si="37"/>
        <v>43181</v>
      </c>
      <c r="AC95" s="425">
        <f t="shared" si="38"/>
        <v>0</v>
      </c>
      <c r="AD95" s="168">
        <f>(INDEX(Models!$BJ95:$BT95,,AH95)*(1-AF95)+INDEX(Models!$BJ95:$BT95,,AH95+1)*AF95-ERP_i)*AE95*Ramure*Pc/MaxiM</f>
        <v>1.7278214690405412E-6</v>
      </c>
      <c r="AE95" s="304">
        <f t="shared" si="39"/>
        <v>0.5</v>
      </c>
      <c r="AF95" s="176">
        <f t="shared" si="40"/>
        <v>0.54517561080353039</v>
      </c>
      <c r="AG95" s="814">
        <f t="shared" si="41"/>
        <v>-1</v>
      </c>
      <c r="AH95" s="175">
        <f t="shared" si="42"/>
        <v>5</v>
      </c>
      <c r="AI95" s="224">
        <f t="shared" si="43"/>
        <v>-0.45482438919646956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43182</v>
      </c>
      <c r="B96" s="616"/>
      <c r="C96" s="389"/>
      <c r="D96" s="392"/>
      <c r="E96" s="384"/>
      <c r="F96" s="384"/>
      <c r="G96" s="110"/>
      <c r="I96" s="379">
        <f t="shared" si="24"/>
        <v>0</v>
      </c>
      <c r="J96" s="85">
        <v>2018</v>
      </c>
      <c r="K96" s="196">
        <f t="shared" si="25"/>
        <v>43182</v>
      </c>
      <c r="L96" s="436">
        <f t="shared" si="26"/>
        <v>0</v>
      </c>
      <c r="M96" s="858"/>
      <c r="N96" s="858"/>
      <c r="O96" s="323">
        <f t="shared" si="27"/>
        <v>0</v>
      </c>
      <c r="P96" s="168">
        <f>(INDEX(Models!$BJ96:$BT96,,T96)*(1-R96)+INDEX(Models!$BJ96:$BT96,,T96+1)*R96-ERP_i)*Q96*Ramure*Pc/MaxiM</f>
        <v>1.7926771774456182E-6</v>
      </c>
      <c r="Q96" s="304">
        <f t="shared" si="28"/>
        <v>0.5</v>
      </c>
      <c r="R96" s="176">
        <f t="shared" si="29"/>
        <v>0.54561243462490716</v>
      </c>
      <c r="S96" s="814">
        <f t="shared" si="47"/>
        <v>-1</v>
      </c>
      <c r="T96" s="175">
        <f t="shared" si="30"/>
        <v>5</v>
      </c>
      <c r="U96" s="250">
        <f t="shared" si="31"/>
        <v>-0.45438756537509278</v>
      </c>
      <c r="V96" s="382">
        <f t="shared" si="32"/>
        <v>52.320372386919068</v>
      </c>
      <c r="W96" s="58"/>
      <c r="X96" s="157">
        <f t="shared" si="33"/>
        <v>43182</v>
      </c>
      <c r="Y96" s="384">
        <f t="shared" si="34"/>
        <v>0</v>
      </c>
      <c r="Z96" s="384">
        <f t="shared" si="35"/>
        <v>0</v>
      </c>
      <c r="AA96" s="385">
        <f t="shared" si="36"/>
        <v>0</v>
      </c>
      <c r="AB96" s="196">
        <f t="shared" si="37"/>
        <v>43182</v>
      </c>
      <c r="AC96" s="425">
        <f t="shared" si="38"/>
        <v>0</v>
      </c>
      <c r="AD96" s="168">
        <f>(INDEX(Models!$BJ96:$BT96,,AH96)*(1-AF96)+INDEX(Models!$BJ96:$BT96,,AH96+1)*AF96-ERP_i)*AE96*Ramure*Pc/MaxiM</f>
        <v>1.7926771774456182E-6</v>
      </c>
      <c r="AE96" s="304">
        <f t="shared" si="39"/>
        <v>0.5</v>
      </c>
      <c r="AF96" s="176">
        <f t="shared" si="40"/>
        <v>0.54561243462490716</v>
      </c>
      <c r="AG96" s="814">
        <f t="shared" si="41"/>
        <v>-1</v>
      </c>
      <c r="AH96" s="175">
        <f t="shared" si="42"/>
        <v>5</v>
      </c>
      <c r="AI96" s="224">
        <f t="shared" si="43"/>
        <v>-0.45438756537509278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89"/>
      <c r="D97" s="392"/>
      <c r="E97" s="384"/>
      <c r="F97" s="384"/>
      <c r="G97" s="110"/>
      <c r="I97" s="379">
        <f t="shared" si="24"/>
        <v>0</v>
      </c>
      <c r="J97" s="85">
        <v>2018</v>
      </c>
      <c r="K97" s="196">
        <f t="shared" si="25"/>
        <v>43183</v>
      </c>
      <c r="L97" s="436">
        <f t="shared" si="26"/>
        <v>0</v>
      </c>
      <c r="M97" s="858"/>
      <c r="N97" s="858"/>
      <c r="O97" s="323">
        <f t="shared" si="27"/>
        <v>0</v>
      </c>
      <c r="P97" s="168">
        <f>(INDEX(Models!$BJ97:$BT97,,T97)*(1-R97)+INDEX(Models!$BJ97:$BT97,,T97+1)*R97-ERP_i)*Q97*Ramure*Pc/MaxiM</f>
        <v>1.8569093906472752E-6</v>
      </c>
      <c r="Q97" s="304">
        <f t="shared" si="28"/>
        <v>0.5</v>
      </c>
      <c r="R97" s="176">
        <f t="shared" si="29"/>
        <v>0.5460661848964431</v>
      </c>
      <c r="S97" s="814">
        <f t="shared" si="47"/>
        <v>-1</v>
      </c>
      <c r="T97" s="175">
        <f t="shared" si="30"/>
        <v>5</v>
      </c>
      <c r="U97" s="250">
        <f t="shared" si="31"/>
        <v>-0.4539338151035569</v>
      </c>
      <c r="V97" s="382">
        <f t="shared" si="32"/>
        <v>52.640366809826183</v>
      </c>
      <c r="W97" s="58"/>
      <c r="X97" s="157">
        <f t="shared" si="33"/>
        <v>43183</v>
      </c>
      <c r="Y97" s="384">
        <f t="shared" si="34"/>
        <v>0</v>
      </c>
      <c r="Z97" s="384">
        <f t="shared" si="35"/>
        <v>0</v>
      </c>
      <c r="AA97" s="385">
        <f t="shared" si="36"/>
        <v>0</v>
      </c>
      <c r="AB97" s="196">
        <f t="shared" si="37"/>
        <v>43183</v>
      </c>
      <c r="AC97" s="425">
        <f t="shared" si="38"/>
        <v>0</v>
      </c>
      <c r="AD97" s="168">
        <f>(INDEX(Models!$BJ97:$BT97,,AH97)*(1-AF97)+INDEX(Models!$BJ97:$BT97,,AH97+1)*AF97-ERP_i)*AE97*Ramure*Pc/MaxiM</f>
        <v>1.8569093906472752E-6</v>
      </c>
      <c r="AE97" s="304">
        <f t="shared" si="39"/>
        <v>0.5</v>
      </c>
      <c r="AF97" s="176">
        <f t="shared" si="40"/>
        <v>0.5460661848964431</v>
      </c>
      <c r="AG97" s="814">
        <f t="shared" si="41"/>
        <v>-1</v>
      </c>
      <c r="AH97" s="175">
        <f t="shared" si="42"/>
        <v>5</v>
      </c>
      <c r="AI97" s="224">
        <f t="shared" si="43"/>
        <v>-0.4539338151035569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43184</v>
      </c>
      <c r="B98" s="616"/>
      <c r="C98" s="389"/>
      <c r="D98" s="392"/>
      <c r="E98" s="384"/>
      <c r="F98" s="384"/>
      <c r="G98" s="110"/>
      <c r="I98" s="379">
        <f t="shared" si="24"/>
        <v>0</v>
      </c>
      <c r="J98" s="85">
        <v>2018</v>
      </c>
      <c r="K98" s="196">
        <f t="shared" si="25"/>
        <v>43184</v>
      </c>
      <c r="L98" s="436">
        <f t="shared" si="26"/>
        <v>0</v>
      </c>
      <c r="M98" s="858"/>
      <c r="N98" s="858"/>
      <c r="O98" s="323">
        <f t="shared" si="27"/>
        <v>0</v>
      </c>
      <c r="P98" s="168">
        <f>(INDEX(Models!$BJ98:$BT98,,T98)*(1-R98)+INDEX(Models!$BJ98:$BT98,,T98+1)*R98-ERP_i)*Q98*Ramure*Pc/MaxiM</f>
        <v>1.9203179814801812E-6</v>
      </c>
      <c r="Q98" s="304">
        <f t="shared" si="28"/>
        <v>0.5</v>
      </c>
      <c r="R98" s="176">
        <f t="shared" si="29"/>
        <v>0.54653745899759143</v>
      </c>
      <c r="S98" s="814">
        <f t="shared" si="47"/>
        <v>-1</v>
      </c>
      <c r="T98" s="175">
        <f t="shared" si="30"/>
        <v>5</v>
      </c>
      <c r="U98" s="250">
        <f t="shared" si="31"/>
        <v>-0.45346254100240857</v>
      </c>
      <c r="V98" s="382">
        <f t="shared" si="32"/>
        <v>52.95801375493582</v>
      </c>
      <c r="W98" s="58"/>
      <c r="X98" s="157">
        <f t="shared" si="33"/>
        <v>43184</v>
      </c>
      <c r="Y98" s="384">
        <f t="shared" si="34"/>
        <v>0</v>
      </c>
      <c r="Z98" s="384">
        <f t="shared" si="35"/>
        <v>0</v>
      </c>
      <c r="AA98" s="385">
        <f t="shared" si="36"/>
        <v>0</v>
      </c>
      <c r="AB98" s="196">
        <f t="shared" si="37"/>
        <v>43184</v>
      </c>
      <c r="AC98" s="425">
        <f t="shared" si="38"/>
        <v>0</v>
      </c>
      <c r="AD98" s="168">
        <f>(INDEX(Models!$BJ98:$BT98,,AH98)*(1-AF98)+INDEX(Models!$BJ98:$BT98,,AH98+1)*AF98-ERP_i)*AE98*Ramure*Pc/MaxiM</f>
        <v>1.9203179814801812E-6</v>
      </c>
      <c r="AE98" s="304">
        <f t="shared" si="39"/>
        <v>0.5</v>
      </c>
      <c r="AF98" s="176">
        <f t="shared" si="40"/>
        <v>0.54653745899759143</v>
      </c>
      <c r="AG98" s="814">
        <f t="shared" si="41"/>
        <v>-1</v>
      </c>
      <c r="AH98" s="175">
        <f t="shared" si="42"/>
        <v>5</v>
      </c>
      <c r="AI98" s="224">
        <f t="shared" si="43"/>
        <v>-0.45346254100240857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43185</v>
      </c>
      <c r="B99" s="616"/>
      <c r="C99" s="389"/>
      <c r="D99" s="392"/>
      <c r="E99" s="384"/>
      <c r="F99" s="384"/>
      <c r="G99" s="110"/>
      <c r="I99" s="379">
        <f t="shared" si="24"/>
        <v>0</v>
      </c>
      <c r="J99" s="85">
        <v>2018</v>
      </c>
      <c r="K99" s="196">
        <f t="shared" si="25"/>
        <v>43185</v>
      </c>
      <c r="L99" s="436">
        <f t="shared" si="26"/>
        <v>0</v>
      </c>
      <c r="M99" s="858"/>
      <c r="N99" s="858"/>
      <c r="O99" s="323">
        <f t="shared" si="27"/>
        <v>0</v>
      </c>
      <c r="P99" s="168">
        <f>(INDEX(Models!$BJ99:$BT99,,T99)*(1-R99)+INDEX(Models!$BJ99:$BT99,,T99+1)*R99-ERP_i)*Q99*Ramure*Pc/MaxiM</f>
        <v>1.982685753682302E-6</v>
      </c>
      <c r="Q99" s="304">
        <f t="shared" si="28"/>
        <v>0.5</v>
      </c>
      <c r="R99" s="176">
        <f t="shared" si="29"/>
        <v>0.54702687059843358</v>
      </c>
      <c r="S99" s="814">
        <f t="shared" si="47"/>
        <v>-1</v>
      </c>
      <c r="T99" s="175">
        <f t="shared" si="30"/>
        <v>5</v>
      </c>
      <c r="U99" s="250">
        <f t="shared" si="31"/>
        <v>-0.45297312940156637</v>
      </c>
      <c r="V99" s="382">
        <f t="shared" si="32"/>
        <v>53.27233812705407</v>
      </c>
      <c r="W99" s="58"/>
      <c r="X99" s="157">
        <f t="shared" si="33"/>
        <v>43185</v>
      </c>
      <c r="Y99" s="384">
        <f t="shared" si="34"/>
        <v>0</v>
      </c>
      <c r="Z99" s="384">
        <f t="shared" si="35"/>
        <v>0</v>
      </c>
      <c r="AA99" s="385">
        <f t="shared" si="36"/>
        <v>0</v>
      </c>
      <c r="AB99" s="196">
        <f t="shared" si="37"/>
        <v>43185</v>
      </c>
      <c r="AC99" s="425">
        <f t="shared" si="38"/>
        <v>0</v>
      </c>
      <c r="AD99" s="168">
        <f>(INDEX(Models!$BJ99:$BT99,,AH99)*(1-AF99)+INDEX(Models!$BJ99:$BT99,,AH99+1)*AF99-ERP_i)*AE99*Ramure*Pc/MaxiM</f>
        <v>1.982685753682302E-6</v>
      </c>
      <c r="AE99" s="304">
        <f t="shared" si="39"/>
        <v>0.5</v>
      </c>
      <c r="AF99" s="176">
        <f t="shared" si="40"/>
        <v>0.54702687059843358</v>
      </c>
      <c r="AG99" s="814">
        <f t="shared" si="41"/>
        <v>-1</v>
      </c>
      <c r="AH99" s="175">
        <f t="shared" si="42"/>
        <v>5</v>
      </c>
      <c r="AI99" s="224">
        <f t="shared" si="43"/>
        <v>-0.45297312940156637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43186</v>
      </c>
      <c r="B100" s="616"/>
      <c r="C100" s="389"/>
      <c r="D100" s="392"/>
      <c r="E100" s="384"/>
      <c r="F100" s="384"/>
      <c r="G100" s="110"/>
      <c r="I100" s="379">
        <f t="shared" si="24"/>
        <v>0</v>
      </c>
      <c r="J100" s="85">
        <v>2018</v>
      </c>
      <c r="K100" s="196">
        <f t="shared" si="25"/>
        <v>43186</v>
      </c>
      <c r="L100" s="436">
        <f t="shared" si="26"/>
        <v>0</v>
      </c>
      <c r="M100" s="858"/>
      <c r="N100" s="858"/>
      <c r="O100" s="323">
        <f t="shared" si="27"/>
        <v>0</v>
      </c>
      <c r="P100" s="168">
        <f>(INDEX(Models!$BJ100:$BT100,,T100)*(1-R100)+INDEX(Models!$BJ100:$BT100,,T100+1)*R100-ERP_i)*Q100*Ramure*Pc/MaxiM</f>
        <v>2.0433299484285531E-6</v>
      </c>
      <c r="Q100" s="304">
        <f t="shared" si="28"/>
        <v>0.5</v>
      </c>
      <c r="R100" s="176">
        <f t="shared" si="29"/>
        <v>0.54753504969921241</v>
      </c>
      <c r="S100" s="814">
        <f t="shared" si="47"/>
        <v>-1</v>
      </c>
      <c r="T100" s="175">
        <f t="shared" si="30"/>
        <v>5</v>
      </c>
      <c r="U100" s="250">
        <f t="shared" si="31"/>
        <v>-0.45246495030078765</v>
      </c>
      <c r="V100" s="382">
        <f t="shared" si="32"/>
        <v>53.582364857070239</v>
      </c>
      <c r="W100" s="58"/>
      <c r="X100" s="157">
        <f t="shared" si="33"/>
        <v>43186</v>
      </c>
      <c r="Y100" s="384">
        <f t="shared" si="34"/>
        <v>0</v>
      </c>
      <c r="Z100" s="384">
        <f t="shared" si="35"/>
        <v>0</v>
      </c>
      <c r="AA100" s="385">
        <f t="shared" si="36"/>
        <v>0</v>
      </c>
      <c r="AB100" s="196">
        <f t="shared" si="37"/>
        <v>43186</v>
      </c>
      <c r="AC100" s="425">
        <f t="shared" si="38"/>
        <v>0</v>
      </c>
      <c r="AD100" s="168">
        <f>(INDEX(Models!$BJ100:$BT100,,AH100)*(1-AF100)+INDEX(Models!$BJ100:$BT100,,AH100+1)*AF100-ERP_i)*AE100*Ramure*Pc/MaxiM</f>
        <v>2.0433299484285531E-6</v>
      </c>
      <c r="AE100" s="304">
        <f t="shared" si="39"/>
        <v>0.5</v>
      </c>
      <c r="AF100" s="176">
        <f t="shared" si="40"/>
        <v>0.54753504969921241</v>
      </c>
      <c r="AG100" s="814">
        <f t="shared" si="41"/>
        <v>-1</v>
      </c>
      <c r="AH100" s="175">
        <f t="shared" si="42"/>
        <v>5</v>
      </c>
      <c r="AI100" s="224">
        <f t="shared" si="43"/>
        <v>-0.45246495030078765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43187</v>
      </c>
      <c r="B101" s="616"/>
      <c r="C101" s="389"/>
      <c r="D101" s="392"/>
      <c r="E101" s="384"/>
      <c r="F101" s="384"/>
      <c r="G101" s="110"/>
      <c r="I101" s="379">
        <f t="shared" si="24"/>
        <v>0</v>
      </c>
      <c r="J101" s="85">
        <v>2018</v>
      </c>
      <c r="K101" s="196">
        <f t="shared" si="25"/>
        <v>43187</v>
      </c>
      <c r="L101" s="436">
        <f t="shared" si="26"/>
        <v>0</v>
      </c>
      <c r="M101" s="858"/>
      <c r="N101" s="858"/>
      <c r="O101" s="323">
        <f t="shared" si="27"/>
        <v>0</v>
      </c>
      <c r="P101" s="168">
        <f>(INDEX(Models!$BJ101:$BT101,,T101)*(1-R101)+INDEX(Models!$BJ101:$BT101,,T101+1)*R101-ERP_i)*Q101*Ramure*Pc/MaxiM</f>
        <v>2.10334873893726E-6</v>
      </c>
      <c r="Q101" s="304">
        <f t="shared" si="28"/>
        <v>0.5</v>
      </c>
      <c r="R101" s="176">
        <f t="shared" si="29"/>
        <v>0.54806264262901094</v>
      </c>
      <c r="S101" s="814">
        <f t="shared" si="47"/>
        <v>-1</v>
      </c>
      <c r="T101" s="175">
        <f t="shared" si="30"/>
        <v>5</v>
      </c>
      <c r="U101" s="250">
        <f t="shared" si="31"/>
        <v>-0.45193735737098911</v>
      </c>
      <c r="V101" s="382">
        <f t="shared" si="32"/>
        <v>53.88711877999291</v>
      </c>
      <c r="W101" s="58"/>
      <c r="X101" s="157">
        <f t="shared" si="33"/>
        <v>43187</v>
      </c>
      <c r="Y101" s="384">
        <f t="shared" si="34"/>
        <v>0</v>
      </c>
      <c r="Z101" s="384">
        <f t="shared" si="35"/>
        <v>0</v>
      </c>
      <c r="AA101" s="385">
        <f t="shared" si="36"/>
        <v>0</v>
      </c>
      <c r="AB101" s="196">
        <f t="shared" si="37"/>
        <v>43187</v>
      </c>
      <c r="AC101" s="425">
        <f t="shared" si="38"/>
        <v>0</v>
      </c>
      <c r="AD101" s="168">
        <f>(INDEX(Models!$BJ101:$BT101,,AH101)*(1-AF101)+INDEX(Models!$BJ101:$BT101,,AH101+1)*AF101-ERP_i)*AE101*Ramure*Pc/MaxiM</f>
        <v>2.10334873893726E-6</v>
      </c>
      <c r="AE101" s="304">
        <f t="shared" si="39"/>
        <v>0.5</v>
      </c>
      <c r="AF101" s="176">
        <f t="shared" si="40"/>
        <v>0.54806264262901094</v>
      </c>
      <c r="AG101" s="814">
        <f t="shared" si="41"/>
        <v>-1</v>
      </c>
      <c r="AH101" s="175">
        <f t="shared" si="42"/>
        <v>5</v>
      </c>
      <c r="AI101" s="224">
        <f t="shared" si="43"/>
        <v>-0.45193735737098911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43188</v>
      </c>
      <c r="B102" s="616"/>
      <c r="C102" s="389"/>
      <c r="D102" s="392"/>
      <c r="E102" s="384"/>
      <c r="F102" s="384"/>
      <c r="G102" s="110"/>
      <c r="I102" s="379">
        <f t="shared" si="24"/>
        <v>0</v>
      </c>
      <c r="J102" s="85">
        <v>2018</v>
      </c>
      <c r="K102" s="196">
        <f t="shared" si="25"/>
        <v>43188</v>
      </c>
      <c r="L102" s="436">
        <f t="shared" si="26"/>
        <v>0</v>
      </c>
      <c r="M102" s="858"/>
      <c r="N102" s="858"/>
      <c r="O102" s="323">
        <f t="shared" si="27"/>
        <v>0</v>
      </c>
      <c r="P102" s="168">
        <f>(INDEX(Models!$BJ102:$BT102,,T102)*(1-R102)+INDEX(Models!$BJ102:$BT102,,T102+1)*R102-ERP_i)*Q102*Ramure*Pc/MaxiM</f>
        <v>2.1625637291184121E-6</v>
      </c>
      <c r="Q102" s="304">
        <f t="shared" si="28"/>
        <v>0.5</v>
      </c>
      <c r="R102" s="176">
        <f t="shared" si="29"/>
        <v>0.54861031199964272</v>
      </c>
      <c r="S102" s="814">
        <f t="shared" si="47"/>
        <v>-1</v>
      </c>
      <c r="T102" s="175">
        <f t="shared" si="30"/>
        <v>5</v>
      </c>
      <c r="U102" s="250">
        <f t="shared" si="31"/>
        <v>-0.45138968800035728</v>
      </c>
      <c r="V102" s="382">
        <f t="shared" si="32"/>
        <v>54.185624801105106</v>
      </c>
      <c r="W102" s="58"/>
      <c r="X102" s="157">
        <f t="shared" si="33"/>
        <v>43188</v>
      </c>
      <c r="Y102" s="384">
        <f t="shared" si="34"/>
        <v>0</v>
      </c>
      <c r="Z102" s="384">
        <f t="shared" si="35"/>
        <v>0</v>
      </c>
      <c r="AA102" s="385">
        <f t="shared" si="36"/>
        <v>0</v>
      </c>
      <c r="AB102" s="196">
        <f t="shared" si="37"/>
        <v>43188</v>
      </c>
      <c r="AC102" s="425">
        <f t="shared" si="38"/>
        <v>0</v>
      </c>
      <c r="AD102" s="168">
        <f>(INDEX(Models!$BJ102:$BT102,,AH102)*(1-AF102)+INDEX(Models!$BJ102:$BT102,,AH102+1)*AF102-ERP_i)*AE102*Ramure*Pc/MaxiM</f>
        <v>2.1625637291184121E-6</v>
      </c>
      <c r="AE102" s="304">
        <f t="shared" si="39"/>
        <v>0.5</v>
      </c>
      <c r="AF102" s="176">
        <f t="shared" si="40"/>
        <v>0.54861031199964272</v>
      </c>
      <c r="AG102" s="814">
        <f t="shared" si="41"/>
        <v>-1</v>
      </c>
      <c r="AH102" s="175">
        <f t="shared" si="42"/>
        <v>5</v>
      </c>
      <c r="AI102" s="224">
        <f t="shared" si="43"/>
        <v>-0.45138968800035728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43189</v>
      </c>
      <c r="B103" s="616"/>
      <c r="C103" s="389"/>
      <c r="D103" s="392"/>
      <c r="E103" s="384"/>
      <c r="F103" s="384"/>
      <c r="G103" s="110"/>
      <c r="I103" s="379">
        <f t="shared" si="24"/>
        <v>0</v>
      </c>
      <c r="J103" s="85">
        <v>2018</v>
      </c>
      <c r="K103" s="196">
        <f t="shared" si="25"/>
        <v>43189</v>
      </c>
      <c r="L103" s="436">
        <f t="shared" si="26"/>
        <v>0</v>
      </c>
      <c r="M103" s="858"/>
      <c r="N103" s="858"/>
      <c r="O103" s="323">
        <f t="shared" si="27"/>
        <v>0</v>
      </c>
      <c r="P103" s="168">
        <f>(INDEX(Models!$BJ103:$BT103,,T103)*(1-R103)+INDEX(Models!$BJ103:$BT103,,T103+1)*R103-ERP_i)*Q103*Ramure*Pc/MaxiM</f>
        <v>2.2207790257205121E-6</v>
      </c>
      <c r="Q103" s="304">
        <f t="shared" si="28"/>
        <v>0.5</v>
      </c>
      <c r="R103" s="176">
        <f t="shared" si="29"/>
        <v>0.54917873661061378</v>
      </c>
      <c r="S103" s="814">
        <f t="shared" si="47"/>
        <v>-1</v>
      </c>
      <c r="T103" s="175">
        <f t="shared" si="30"/>
        <v>5</v>
      </c>
      <c r="U103" s="250">
        <f t="shared" si="31"/>
        <v>-0.45082126338938627</v>
      </c>
      <c r="V103" s="382">
        <f t="shared" si="32"/>
        <v>54.476907825862909</v>
      </c>
      <c r="W103" s="58"/>
      <c r="X103" s="157">
        <f t="shared" si="33"/>
        <v>43189</v>
      </c>
      <c r="Y103" s="384">
        <f t="shared" si="34"/>
        <v>0</v>
      </c>
      <c r="Z103" s="384">
        <f t="shared" si="35"/>
        <v>0</v>
      </c>
      <c r="AA103" s="385">
        <f t="shared" si="36"/>
        <v>0</v>
      </c>
      <c r="AB103" s="196">
        <f t="shared" si="37"/>
        <v>43189</v>
      </c>
      <c r="AC103" s="425">
        <f t="shared" si="38"/>
        <v>0</v>
      </c>
      <c r="AD103" s="168">
        <f>(INDEX(Models!$BJ103:$BT103,,AH103)*(1-AF103)+INDEX(Models!$BJ103:$BT103,,AH103+1)*AF103-ERP_i)*AE103*Ramure*Pc/MaxiM</f>
        <v>2.2207790257205121E-6</v>
      </c>
      <c r="AE103" s="304">
        <f t="shared" si="39"/>
        <v>0.5</v>
      </c>
      <c r="AF103" s="176">
        <f t="shared" si="40"/>
        <v>0.54917873661061378</v>
      </c>
      <c r="AG103" s="814">
        <f t="shared" si="41"/>
        <v>-1</v>
      </c>
      <c r="AH103" s="175">
        <f t="shared" si="42"/>
        <v>5</v>
      </c>
      <c r="AI103" s="224">
        <f t="shared" si="43"/>
        <v>-0.45082126338938627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43190</v>
      </c>
      <c r="B104" s="616"/>
      <c r="C104" s="389"/>
      <c r="D104" s="392"/>
      <c r="E104" s="384"/>
      <c r="F104" s="384"/>
      <c r="G104" s="110"/>
      <c r="I104" s="379">
        <f t="shared" si="24"/>
        <v>0</v>
      </c>
      <c r="J104" s="85">
        <v>2018</v>
      </c>
      <c r="K104" s="196">
        <f t="shared" si="25"/>
        <v>43190</v>
      </c>
      <c r="L104" s="436">
        <f t="shared" si="26"/>
        <v>0</v>
      </c>
      <c r="M104" s="858"/>
      <c r="N104" s="858"/>
      <c r="O104" s="323">
        <f t="shared" si="27"/>
        <v>0</v>
      </c>
      <c r="P104" s="168">
        <f>(INDEX(Models!$BJ104:$BT104,,T104)*(1-R104)+INDEX(Models!$BJ104:$BT104,,T104+1)*R104-ERP_i)*Q104*Ramure*Pc/MaxiM</f>
        <v>2.2777792903221187E-6</v>
      </c>
      <c r="Q104" s="304">
        <f t="shared" si="28"/>
        <v>0.5</v>
      </c>
      <c r="R104" s="176">
        <f t="shared" si="29"/>
        <v>0.54976861130081223</v>
      </c>
      <c r="S104" s="814">
        <f t="shared" si="47"/>
        <v>-1</v>
      </c>
      <c r="T104" s="175">
        <f t="shared" si="30"/>
        <v>5</v>
      </c>
      <c r="U104" s="250">
        <f t="shared" si="31"/>
        <v>-0.45023138869918772</v>
      </c>
      <c r="V104" s="382">
        <f t="shared" si="32"/>
        <v>54.759992760831054</v>
      </c>
      <c r="W104" s="58"/>
      <c r="X104" s="157">
        <f t="shared" si="33"/>
        <v>43190</v>
      </c>
      <c r="Y104" s="384">
        <f t="shared" si="34"/>
        <v>0</v>
      </c>
      <c r="Z104" s="384">
        <f t="shared" si="35"/>
        <v>0</v>
      </c>
      <c r="AA104" s="385">
        <f t="shared" si="36"/>
        <v>0</v>
      </c>
      <c r="AB104" s="196">
        <f t="shared" si="37"/>
        <v>43190</v>
      </c>
      <c r="AC104" s="425">
        <f t="shared" si="38"/>
        <v>0</v>
      </c>
      <c r="AD104" s="168">
        <f>(INDEX(Models!$BJ104:$BT104,,AH104)*(1-AF104)+INDEX(Models!$BJ104:$BT104,,AH104+1)*AF104-ERP_i)*AE104*Ramure*Pc/MaxiM</f>
        <v>2.2777792903221187E-6</v>
      </c>
      <c r="AE104" s="304">
        <f t="shared" si="39"/>
        <v>0.5</v>
      </c>
      <c r="AF104" s="176">
        <f t="shared" si="40"/>
        <v>0.54976861130081223</v>
      </c>
      <c r="AG104" s="814">
        <f t="shared" si="41"/>
        <v>-1</v>
      </c>
      <c r="AH104" s="175">
        <f t="shared" si="42"/>
        <v>5</v>
      </c>
      <c r="AI104" s="224">
        <f t="shared" si="43"/>
        <v>-0.45023138869918772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89"/>
      <c r="D105" s="392"/>
      <c r="E105" s="384"/>
      <c r="F105" s="384"/>
      <c r="G105" s="110"/>
      <c r="I105" s="379">
        <f t="shared" si="24"/>
        <v>0</v>
      </c>
      <c r="J105" s="85">
        <v>2018</v>
      </c>
      <c r="K105" s="196">
        <f t="shared" si="25"/>
        <v>43191</v>
      </c>
      <c r="L105" s="436">
        <f t="shared" si="26"/>
        <v>0</v>
      </c>
      <c r="M105" s="858"/>
      <c r="N105" s="858"/>
      <c r="O105" s="323">
        <f t="shared" si="27"/>
        <v>0</v>
      </c>
      <c r="P105" s="168">
        <f>(INDEX(Models!$BJ105:$BT105,,T105)*(1-R105)+INDEX(Models!$BJ105:$BT105,,T105+1)*R105-ERP_i)*Q105*Ramure*Pc/MaxiM</f>
        <v>2.333327604909336E-6</v>
      </c>
      <c r="Q105" s="304">
        <f t="shared" si="28"/>
        <v>0.5</v>
      </c>
      <c r="R105" s="176">
        <f t="shared" si="29"/>
        <v>0.55038064674238352</v>
      </c>
      <c r="S105" s="814">
        <f t="shared" si="47"/>
        <v>-1</v>
      </c>
      <c r="T105" s="175">
        <f t="shared" si="30"/>
        <v>5</v>
      </c>
      <c r="U105" s="250">
        <f t="shared" si="31"/>
        <v>-0.44961935325761654</v>
      </c>
      <c r="V105" s="382">
        <f t="shared" si="32"/>
        <v>55.033904511858786</v>
      </c>
      <c r="W105" s="58"/>
      <c r="X105" s="157">
        <f t="shared" si="33"/>
        <v>43191</v>
      </c>
      <c r="Y105" s="384">
        <f t="shared" si="34"/>
        <v>0</v>
      </c>
      <c r="Z105" s="384">
        <f t="shared" si="35"/>
        <v>0</v>
      </c>
      <c r="AA105" s="385">
        <f t="shared" si="36"/>
        <v>0</v>
      </c>
      <c r="AB105" s="196">
        <f t="shared" si="37"/>
        <v>43191</v>
      </c>
      <c r="AC105" s="425">
        <f t="shared" si="38"/>
        <v>0</v>
      </c>
      <c r="AD105" s="168">
        <f>(INDEX(Models!$BJ105:$BT105,,AH105)*(1-AF105)+INDEX(Models!$BJ105:$BT105,,AH105+1)*AF105-ERP_i)*AE105*Ramure*Pc/MaxiM</f>
        <v>2.333327604909336E-6</v>
      </c>
      <c r="AE105" s="304">
        <f t="shared" si="39"/>
        <v>0.5</v>
      </c>
      <c r="AF105" s="176">
        <f t="shared" si="40"/>
        <v>0.55038064674238352</v>
      </c>
      <c r="AG105" s="814">
        <f t="shared" si="41"/>
        <v>-1</v>
      </c>
      <c r="AH105" s="175">
        <f t="shared" si="42"/>
        <v>5</v>
      </c>
      <c r="AI105" s="224">
        <f t="shared" si="43"/>
        <v>-0.44961935325761654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89"/>
      <c r="D106" s="392"/>
      <c r="E106" s="384"/>
      <c r="F106" s="384"/>
      <c r="G106" s="110"/>
      <c r="I106" s="379">
        <f t="shared" si="24"/>
        <v>0</v>
      </c>
      <c r="J106" s="85">
        <v>2018</v>
      </c>
      <c r="K106" s="196">
        <f t="shared" si="25"/>
        <v>43192</v>
      </c>
      <c r="L106" s="436">
        <f t="shared" si="26"/>
        <v>0</v>
      </c>
      <c r="M106" s="858"/>
      <c r="N106" s="858"/>
      <c r="O106" s="323">
        <f t="shared" si="27"/>
        <v>0</v>
      </c>
      <c r="P106" s="168">
        <f>(INDEX(Models!$BJ106:$BT106,,T106)*(1-R106)+INDEX(Models!$BJ106:$BT106,,T106+1)*R106-ERP_i)*Q106*Ramure*Pc/MaxiM</f>
        <v>2.3871631324707605E-6</v>
      </c>
      <c r="Q106" s="304">
        <f t="shared" si="28"/>
        <v>0.5</v>
      </c>
      <c r="R106" s="176">
        <f t="shared" si="29"/>
        <v>0.55101556917204708</v>
      </c>
      <c r="S106" s="814">
        <f t="shared" si="47"/>
        <v>-1</v>
      </c>
      <c r="T106" s="175">
        <f t="shared" si="30"/>
        <v>5</v>
      </c>
      <c r="U106" s="250">
        <f t="shared" si="31"/>
        <v>-0.44898443082795292</v>
      </c>
      <c r="V106" s="382">
        <f t="shared" si="32"/>
        <v>55.29766799365234</v>
      </c>
      <c r="W106" s="58"/>
      <c r="X106" s="157">
        <f t="shared" si="33"/>
        <v>43192</v>
      </c>
      <c r="Y106" s="384">
        <f t="shared" si="34"/>
        <v>0</v>
      </c>
      <c r="Z106" s="384">
        <f t="shared" si="35"/>
        <v>0</v>
      </c>
      <c r="AA106" s="385">
        <f t="shared" si="36"/>
        <v>0</v>
      </c>
      <c r="AB106" s="196">
        <f t="shared" si="37"/>
        <v>43192</v>
      </c>
      <c r="AC106" s="425">
        <f t="shared" si="38"/>
        <v>0</v>
      </c>
      <c r="AD106" s="168">
        <f>(INDEX(Models!$BJ106:$BT106,,AH106)*(1-AF106)+INDEX(Models!$BJ106:$BT106,,AH106+1)*AF106-ERP_i)*AE106*Ramure*Pc/MaxiM</f>
        <v>2.3871631324707605E-6</v>
      </c>
      <c r="AE106" s="304">
        <f t="shared" si="39"/>
        <v>0.5</v>
      </c>
      <c r="AF106" s="176">
        <f t="shared" si="40"/>
        <v>0.55101556917204708</v>
      </c>
      <c r="AG106" s="814">
        <f t="shared" si="41"/>
        <v>-1</v>
      </c>
      <c r="AH106" s="175">
        <f t="shared" si="42"/>
        <v>5</v>
      </c>
      <c r="AI106" s="224">
        <f t="shared" si="43"/>
        <v>-0.44898443082795292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43193</v>
      </c>
      <c r="B107" s="616"/>
      <c r="C107" s="389"/>
      <c r="D107" s="392"/>
      <c r="E107" s="384"/>
      <c r="F107" s="384"/>
      <c r="G107" s="110"/>
      <c r="I107" s="379">
        <f t="shared" si="24"/>
        <v>0</v>
      </c>
      <c r="J107" s="85">
        <v>2018</v>
      </c>
      <c r="K107" s="196">
        <f t="shared" si="25"/>
        <v>43193</v>
      </c>
      <c r="L107" s="436">
        <f t="shared" si="26"/>
        <v>0</v>
      </c>
      <c r="M107" s="858"/>
      <c r="N107" s="858"/>
      <c r="O107" s="323">
        <f t="shared" si="27"/>
        <v>0</v>
      </c>
      <c r="P107" s="168">
        <f>(INDEX(Models!$BJ107:$BT107,,T107)*(1-R107)+INDEX(Models!$BJ107:$BT107,,T107+1)*R107-ERP_i)*Q107*Ramure*Pc/MaxiM</f>
        <v>2.4388812198071358E-6</v>
      </c>
      <c r="Q107" s="304">
        <f t="shared" si="28"/>
        <v>0.5</v>
      </c>
      <c r="R107" s="176">
        <f t="shared" si="29"/>
        <v>0.55167412005493521</v>
      </c>
      <c r="S107" s="814">
        <f t="shared" si="47"/>
        <v>-1</v>
      </c>
      <c r="T107" s="175">
        <f t="shared" si="30"/>
        <v>5</v>
      </c>
      <c r="U107" s="250">
        <f t="shared" si="31"/>
        <v>-0.44832587994506479</v>
      </c>
      <c r="V107" s="382">
        <f t="shared" si="32"/>
        <v>55.552980637576425</v>
      </c>
      <c r="W107" s="58"/>
      <c r="X107" s="157">
        <f t="shared" si="33"/>
        <v>43193</v>
      </c>
      <c r="Y107" s="384">
        <f t="shared" si="34"/>
        <v>0</v>
      </c>
      <c r="Z107" s="384">
        <f t="shared" si="35"/>
        <v>0</v>
      </c>
      <c r="AA107" s="385">
        <f t="shared" si="36"/>
        <v>0</v>
      </c>
      <c r="AB107" s="196">
        <f t="shared" si="37"/>
        <v>43193</v>
      </c>
      <c r="AC107" s="425">
        <f t="shared" si="38"/>
        <v>0</v>
      </c>
      <c r="AD107" s="168">
        <f>(INDEX(Models!$BJ107:$BT107,,AH107)*(1-AF107)+INDEX(Models!$BJ107:$BT107,,AH107+1)*AF107-ERP_i)*AE107*Ramure*Pc/MaxiM</f>
        <v>2.4388812198071358E-6</v>
      </c>
      <c r="AE107" s="304">
        <f t="shared" si="39"/>
        <v>0.5</v>
      </c>
      <c r="AF107" s="176">
        <f t="shared" si="40"/>
        <v>0.55167412005493521</v>
      </c>
      <c r="AG107" s="814">
        <f t="shared" si="41"/>
        <v>-1</v>
      </c>
      <c r="AH107" s="175">
        <f t="shared" si="42"/>
        <v>5</v>
      </c>
      <c r="AI107" s="224">
        <f t="shared" si="43"/>
        <v>-0.44832587994506479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43194</v>
      </c>
      <c r="B108" s="616"/>
      <c r="C108" s="389"/>
      <c r="D108" s="392"/>
      <c r="E108" s="384"/>
      <c r="F108" s="384"/>
      <c r="G108" s="110"/>
      <c r="I108" s="379">
        <f t="shared" si="24"/>
        <v>0</v>
      </c>
      <c r="J108" s="85">
        <v>2018</v>
      </c>
      <c r="K108" s="196">
        <f t="shared" si="25"/>
        <v>43194</v>
      </c>
      <c r="L108" s="436">
        <f t="shared" si="26"/>
        <v>0</v>
      </c>
      <c r="M108" s="858"/>
      <c r="N108" s="858"/>
      <c r="O108" s="323">
        <f t="shared" si="27"/>
        <v>0</v>
      </c>
      <c r="P108" s="168">
        <f>(INDEX(Models!$BJ108:$BT108,,T108)*(1-R108)+INDEX(Models!$BJ108:$BT108,,T108+1)*R108-ERP_i)*Q108*Ramure*Pc/MaxiM</f>
        <v>2.4853828980715226E-6</v>
      </c>
      <c r="Q108" s="304">
        <f t="shared" si="28"/>
        <v>0.5</v>
      </c>
      <c r="R108" s="176">
        <f t="shared" si="29"/>
        <v>0.55235705567584681</v>
      </c>
      <c r="S108" s="814">
        <f t="shared" si="47"/>
        <v>-1</v>
      </c>
      <c r="T108" s="175">
        <f t="shared" si="30"/>
        <v>5</v>
      </c>
      <c r="U108" s="250">
        <f t="shared" si="31"/>
        <v>-0.44764294432415319</v>
      </c>
      <c r="V108" s="382">
        <f t="shared" si="32"/>
        <v>55.802117868754948</v>
      </c>
      <c r="W108" s="58"/>
      <c r="X108" s="157">
        <f t="shared" si="33"/>
        <v>43194</v>
      </c>
      <c r="Y108" s="384">
        <f t="shared" si="34"/>
        <v>0</v>
      </c>
      <c r="Z108" s="384">
        <f t="shared" si="35"/>
        <v>0</v>
      </c>
      <c r="AA108" s="385">
        <f t="shared" si="36"/>
        <v>0</v>
      </c>
      <c r="AB108" s="196">
        <f t="shared" si="37"/>
        <v>43194</v>
      </c>
      <c r="AC108" s="425">
        <f t="shared" si="38"/>
        <v>0</v>
      </c>
      <c r="AD108" s="168">
        <f>(INDEX(Models!$BJ108:$BT108,,AH108)*(1-AF108)+INDEX(Models!$BJ108:$BT108,,AH108+1)*AF108-ERP_i)*AE108*Ramure*Pc/MaxiM</f>
        <v>2.4853828980715226E-6</v>
      </c>
      <c r="AE108" s="304">
        <f t="shared" si="39"/>
        <v>0.5</v>
      </c>
      <c r="AF108" s="176">
        <f t="shared" si="40"/>
        <v>0.55235705567584681</v>
      </c>
      <c r="AG108" s="814">
        <f t="shared" si="41"/>
        <v>-1</v>
      </c>
      <c r="AH108" s="175">
        <f t="shared" si="42"/>
        <v>5</v>
      </c>
      <c r="AI108" s="224">
        <f t="shared" si="43"/>
        <v>-0.44764294432415319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43195</v>
      </c>
      <c r="B109" s="616"/>
      <c r="C109" s="389"/>
      <c r="D109" s="392"/>
      <c r="E109" s="384"/>
      <c r="F109" s="384"/>
      <c r="G109" s="110"/>
      <c r="I109" s="379">
        <f t="shared" si="24"/>
        <v>0</v>
      </c>
      <c r="J109" s="85">
        <v>2018</v>
      </c>
      <c r="K109" s="196">
        <f t="shared" si="25"/>
        <v>43195</v>
      </c>
      <c r="L109" s="436">
        <f t="shared" si="26"/>
        <v>0</v>
      </c>
      <c r="M109" s="858"/>
      <c r="N109" s="858"/>
      <c r="O109" s="323">
        <f t="shared" si="27"/>
        <v>0</v>
      </c>
      <c r="P109" s="168">
        <f>(INDEX(Models!$BJ109:$BT109,,T109)*(1-R109)+INDEX(Models!$BJ109:$BT109,,T109+1)*R109-ERP_i)*Q109*Ramure*Pc/MaxiM</f>
        <v>2.5288709871672241E-6</v>
      </c>
      <c r="Q109" s="304">
        <f t="shared" si="28"/>
        <v>0.5</v>
      </c>
      <c r="R109" s="176">
        <f t="shared" si="29"/>
        <v>0.55306514665265805</v>
      </c>
      <c r="S109" s="814">
        <f t="shared" si="47"/>
        <v>-1</v>
      </c>
      <c r="T109" s="175">
        <f t="shared" si="30"/>
        <v>5</v>
      </c>
      <c r="U109" s="250">
        <f t="shared" si="31"/>
        <v>-0.44693485334734195</v>
      </c>
      <c r="V109" s="382">
        <f t="shared" si="32"/>
        <v>56.04497122348608</v>
      </c>
      <c r="W109" s="58"/>
      <c r="X109" s="157">
        <f t="shared" si="33"/>
        <v>43195</v>
      </c>
      <c r="Y109" s="384">
        <f t="shared" si="34"/>
        <v>0</v>
      </c>
      <c r="Z109" s="384">
        <f t="shared" si="35"/>
        <v>0</v>
      </c>
      <c r="AA109" s="385">
        <f t="shared" si="36"/>
        <v>0</v>
      </c>
      <c r="AB109" s="196">
        <f t="shared" si="37"/>
        <v>43195</v>
      </c>
      <c r="AC109" s="425">
        <f t="shared" si="38"/>
        <v>0</v>
      </c>
      <c r="AD109" s="168">
        <f>(INDEX(Models!$BJ109:$BT109,,AH109)*(1-AF109)+INDEX(Models!$BJ109:$BT109,,AH109+1)*AF109-ERP_i)*AE109*Ramure*Pc/MaxiM</f>
        <v>2.5288709871672241E-6</v>
      </c>
      <c r="AE109" s="304">
        <f t="shared" si="39"/>
        <v>0.5</v>
      </c>
      <c r="AF109" s="176">
        <f t="shared" si="40"/>
        <v>0.55306514665265805</v>
      </c>
      <c r="AG109" s="814">
        <f t="shared" si="41"/>
        <v>-1</v>
      </c>
      <c r="AH109" s="175">
        <f t="shared" si="42"/>
        <v>5</v>
      </c>
      <c r="AI109" s="224">
        <f t="shared" si="43"/>
        <v>-0.44693485334734195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89"/>
      <c r="D110" s="392"/>
      <c r="E110" s="384"/>
      <c r="F110" s="384"/>
      <c r="G110" s="110"/>
      <c r="I110" s="379">
        <f t="shared" si="24"/>
        <v>0</v>
      </c>
      <c r="J110" s="85">
        <v>2018</v>
      </c>
      <c r="K110" s="196">
        <f t="shared" si="25"/>
        <v>43196</v>
      </c>
      <c r="L110" s="436">
        <f t="shared" si="26"/>
        <v>0</v>
      </c>
      <c r="M110" s="858"/>
      <c r="N110" s="858"/>
      <c r="O110" s="323">
        <f t="shared" si="27"/>
        <v>0</v>
      </c>
      <c r="P110" s="168">
        <f>(INDEX(Models!$BJ110:$BT110,,T110)*(1-R110)+INDEX(Models!$BJ110:$BT110,,T110+1)*R110-ERP_i)*Q110*Ramure*Pc/MaxiM</f>
        <v>2.568917462804858E-6</v>
      </c>
      <c r="Q110" s="304">
        <f t="shared" si="28"/>
        <v>0.5</v>
      </c>
      <c r="R110" s="176">
        <f t="shared" si="29"/>
        <v>0.5537991773664821</v>
      </c>
      <c r="S110" s="814">
        <f t="shared" si="47"/>
        <v>-1</v>
      </c>
      <c r="T110" s="175">
        <f t="shared" si="30"/>
        <v>5</v>
      </c>
      <c r="U110" s="250">
        <f t="shared" si="31"/>
        <v>-0.44620082263351785</v>
      </c>
      <c r="V110" s="382">
        <f t="shared" si="32"/>
        <v>56.281432384513479</v>
      </c>
      <c r="W110" s="58"/>
      <c r="X110" s="157">
        <f t="shared" si="33"/>
        <v>43196</v>
      </c>
      <c r="Y110" s="384">
        <f t="shared" si="34"/>
        <v>0</v>
      </c>
      <c r="Z110" s="384">
        <f t="shared" si="35"/>
        <v>0</v>
      </c>
      <c r="AA110" s="385">
        <f t="shared" si="36"/>
        <v>0</v>
      </c>
      <c r="AB110" s="196">
        <f t="shared" si="37"/>
        <v>43196</v>
      </c>
      <c r="AC110" s="425">
        <f t="shared" si="38"/>
        <v>0</v>
      </c>
      <c r="AD110" s="168">
        <f>(INDEX(Models!$BJ110:$BT110,,AH110)*(1-AF110)+INDEX(Models!$BJ110:$BT110,,AH110+1)*AF110-ERP_i)*AE110*Ramure*Pc/MaxiM</f>
        <v>2.568917462804858E-6</v>
      </c>
      <c r="AE110" s="304">
        <f t="shared" si="39"/>
        <v>0.5</v>
      </c>
      <c r="AF110" s="176">
        <f t="shared" si="40"/>
        <v>0.5537991773664821</v>
      </c>
      <c r="AG110" s="814">
        <f t="shared" si="41"/>
        <v>-1</v>
      </c>
      <c r="AH110" s="175">
        <f t="shared" si="42"/>
        <v>5</v>
      </c>
      <c r="AI110" s="224">
        <f t="shared" si="43"/>
        <v>-0.44620082263351785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43197</v>
      </c>
      <c r="B111" s="616"/>
      <c r="C111" s="389"/>
      <c r="D111" s="392"/>
      <c r="E111" s="384"/>
      <c r="F111" s="384"/>
      <c r="G111" s="110"/>
      <c r="I111" s="379">
        <f t="shared" si="24"/>
        <v>0</v>
      </c>
      <c r="J111" s="85">
        <v>2018</v>
      </c>
      <c r="K111" s="196">
        <f t="shared" si="25"/>
        <v>43197</v>
      </c>
      <c r="L111" s="436">
        <f t="shared" si="26"/>
        <v>0</v>
      </c>
      <c r="M111" s="858"/>
      <c r="N111" s="858"/>
      <c r="O111" s="323">
        <f t="shared" si="27"/>
        <v>0</v>
      </c>
      <c r="P111" s="168">
        <f>(INDEX(Models!$BJ111:$BT111,,T111)*(1-R111)+INDEX(Models!$BJ111:$BT111,,T111+1)*R111-ERP_i)*Q111*Ramure*Pc/MaxiM</f>
        <v>2.605056585098616E-6</v>
      </c>
      <c r="Q111" s="304">
        <f t="shared" si="28"/>
        <v>0.5</v>
      </c>
      <c r="R111" s="176">
        <f t="shared" si="29"/>
        <v>0.55455994530305164</v>
      </c>
      <c r="S111" s="814">
        <f t="shared" si="47"/>
        <v>-1</v>
      </c>
      <c r="T111" s="175">
        <f t="shared" si="30"/>
        <v>5</v>
      </c>
      <c r="U111" s="250">
        <f t="shared" si="31"/>
        <v>-0.44544005469694842</v>
      </c>
      <c r="V111" s="382">
        <f t="shared" si="32"/>
        <v>56.511393035837699</v>
      </c>
      <c r="W111" s="58"/>
      <c r="X111" s="157">
        <f t="shared" si="33"/>
        <v>43197</v>
      </c>
      <c r="Y111" s="384">
        <f t="shared" si="34"/>
        <v>0</v>
      </c>
      <c r="Z111" s="384">
        <f t="shared" si="35"/>
        <v>0</v>
      </c>
      <c r="AA111" s="385">
        <f t="shared" si="36"/>
        <v>0</v>
      </c>
      <c r="AB111" s="196">
        <f t="shared" si="37"/>
        <v>43197</v>
      </c>
      <c r="AC111" s="425">
        <f t="shared" si="38"/>
        <v>0</v>
      </c>
      <c r="AD111" s="168">
        <f>(INDEX(Models!$BJ111:$BT111,,AH111)*(1-AF111)+INDEX(Models!$BJ111:$BT111,,AH111+1)*AF111-ERP_i)*AE111*Ramure*Pc/MaxiM</f>
        <v>2.605056585098616E-6</v>
      </c>
      <c r="AE111" s="304">
        <f t="shared" si="39"/>
        <v>0.5</v>
      </c>
      <c r="AF111" s="176">
        <f t="shared" si="40"/>
        <v>0.55455994530305164</v>
      </c>
      <c r="AG111" s="814">
        <f t="shared" si="41"/>
        <v>-1</v>
      </c>
      <c r="AH111" s="175">
        <f t="shared" si="42"/>
        <v>5</v>
      </c>
      <c r="AI111" s="224">
        <f t="shared" si="43"/>
        <v>-0.44544005469694842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89"/>
      <c r="D112" s="392"/>
      <c r="E112" s="384"/>
      <c r="F112" s="384"/>
      <c r="G112" s="110"/>
      <c r="I112" s="379">
        <f t="shared" si="24"/>
        <v>0</v>
      </c>
      <c r="J112" s="85">
        <v>2018</v>
      </c>
      <c r="K112" s="196">
        <f t="shared" si="25"/>
        <v>43198</v>
      </c>
      <c r="L112" s="436">
        <f t="shared" si="26"/>
        <v>0</v>
      </c>
      <c r="M112" s="858"/>
      <c r="N112" s="858"/>
      <c r="O112" s="323">
        <f t="shared" si="27"/>
        <v>0</v>
      </c>
      <c r="P112" s="168">
        <f>(INDEX(Models!$BJ112:$BT112,,T112)*(1-R112)+INDEX(Models!$BJ112:$BT112,,T112+1)*R112-ERP_i)*Q112*Ramure*Pc/MaxiM</f>
        <v>2.6367820097092467E-6</v>
      </c>
      <c r="Q112" s="304">
        <f t="shared" si="28"/>
        <v>0.5</v>
      </c>
      <c r="R112" s="176">
        <f t="shared" si="29"/>
        <v>0.55534826029969775</v>
      </c>
      <c r="S112" s="814">
        <f t="shared" si="47"/>
        <v>-1</v>
      </c>
      <c r="T112" s="175">
        <f t="shared" si="30"/>
        <v>5</v>
      </c>
      <c r="U112" s="250">
        <f t="shared" si="31"/>
        <v>-0.44465173970030231</v>
      </c>
      <c r="V112" s="382">
        <f t="shared" si="32"/>
        <v>56.734744863316386</v>
      </c>
      <c r="W112" s="58"/>
      <c r="X112" s="157">
        <f t="shared" si="33"/>
        <v>43198</v>
      </c>
      <c r="Y112" s="384">
        <f t="shared" si="34"/>
        <v>0</v>
      </c>
      <c r="Z112" s="384">
        <f t="shared" si="35"/>
        <v>0</v>
      </c>
      <c r="AA112" s="385">
        <f t="shared" si="36"/>
        <v>0</v>
      </c>
      <c r="AB112" s="196">
        <f t="shared" si="37"/>
        <v>43198</v>
      </c>
      <c r="AC112" s="425">
        <f t="shared" si="38"/>
        <v>0</v>
      </c>
      <c r="AD112" s="168">
        <f>(INDEX(Models!$BJ112:$BT112,,AH112)*(1-AF112)+INDEX(Models!$BJ112:$BT112,,AH112+1)*AF112-ERP_i)*AE112*Ramure*Pc/MaxiM</f>
        <v>2.6367820097092467E-6</v>
      </c>
      <c r="AE112" s="304">
        <f t="shared" si="39"/>
        <v>0.5</v>
      </c>
      <c r="AF112" s="176">
        <f t="shared" si="40"/>
        <v>0.55534826029969775</v>
      </c>
      <c r="AG112" s="814">
        <f t="shared" si="41"/>
        <v>-1</v>
      </c>
      <c r="AH112" s="175">
        <f t="shared" si="42"/>
        <v>5</v>
      </c>
      <c r="AI112" s="224">
        <f t="shared" si="43"/>
        <v>-0.44465173970030231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43199</v>
      </c>
      <c r="B113" s="616"/>
      <c r="C113" s="389"/>
      <c r="D113" s="392"/>
      <c r="E113" s="384"/>
      <c r="F113" s="384"/>
      <c r="G113" s="110"/>
      <c r="I113" s="379">
        <f t="shared" si="24"/>
        <v>0</v>
      </c>
      <c r="J113" s="85">
        <v>2018</v>
      </c>
      <c r="K113" s="196">
        <f t="shared" si="25"/>
        <v>43199</v>
      </c>
      <c r="L113" s="436">
        <f t="shared" si="26"/>
        <v>0</v>
      </c>
      <c r="M113" s="858"/>
      <c r="N113" s="858"/>
      <c r="O113" s="323">
        <f t="shared" si="27"/>
        <v>0</v>
      </c>
      <c r="P113" s="168">
        <f>(INDEX(Models!$BJ113:$BT113,,T113)*(1-R113)+INDEX(Models!$BJ113:$BT113,,T113+1)*R113-ERP_i)*Q113*Ramure*Pc/MaxiM</f>
        <v>2.6635437183198362E-6</v>
      </c>
      <c r="Q113" s="304">
        <f t="shared" si="28"/>
        <v>0.5</v>
      </c>
      <c r="R113" s="176">
        <f t="shared" si="29"/>
        <v>0.55616494369223735</v>
      </c>
      <c r="S113" s="814">
        <f t="shared" si="47"/>
        <v>-1</v>
      </c>
      <c r="T113" s="175">
        <f t="shared" si="30"/>
        <v>5</v>
      </c>
      <c r="U113" s="250">
        <f t="shared" si="31"/>
        <v>-0.44383505630776265</v>
      </c>
      <c r="V113" s="382">
        <f t="shared" si="32"/>
        <v>56.95137955676396</v>
      </c>
      <c r="W113" s="58"/>
      <c r="X113" s="157">
        <f t="shared" si="33"/>
        <v>43199</v>
      </c>
      <c r="Y113" s="384">
        <f t="shared" si="34"/>
        <v>0</v>
      </c>
      <c r="Z113" s="384">
        <f t="shared" si="35"/>
        <v>0</v>
      </c>
      <c r="AA113" s="385">
        <f t="shared" si="36"/>
        <v>0</v>
      </c>
      <c r="AB113" s="196">
        <f t="shared" si="37"/>
        <v>43199</v>
      </c>
      <c r="AC113" s="425">
        <f t="shared" si="38"/>
        <v>0</v>
      </c>
      <c r="AD113" s="168">
        <f>(INDEX(Models!$BJ113:$BT113,,AH113)*(1-AF113)+INDEX(Models!$BJ113:$BT113,,AH113+1)*AF113-ERP_i)*AE113*Ramure*Pc/MaxiM</f>
        <v>2.6635437183198362E-6</v>
      </c>
      <c r="AE113" s="304">
        <f t="shared" si="39"/>
        <v>0.5</v>
      </c>
      <c r="AF113" s="176">
        <f t="shared" si="40"/>
        <v>0.55616494369223735</v>
      </c>
      <c r="AG113" s="814">
        <f t="shared" si="41"/>
        <v>-1</v>
      </c>
      <c r="AH113" s="175">
        <f t="shared" si="42"/>
        <v>5</v>
      </c>
      <c r="AI113" s="224">
        <f t="shared" si="43"/>
        <v>-0.44383505630776265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43200</v>
      </c>
      <c r="B114" s="616"/>
      <c r="C114" s="389"/>
      <c r="D114" s="392"/>
      <c r="E114" s="384"/>
      <c r="F114" s="384"/>
      <c r="G114" s="110"/>
      <c r="I114" s="379">
        <f t="shared" si="24"/>
        <v>0</v>
      </c>
      <c r="J114" s="85">
        <v>2018</v>
      </c>
      <c r="K114" s="196">
        <f t="shared" si="25"/>
        <v>43200</v>
      </c>
      <c r="L114" s="436">
        <f t="shared" si="26"/>
        <v>0</v>
      </c>
      <c r="M114" s="858"/>
      <c r="N114" s="858"/>
      <c r="O114" s="323">
        <f t="shared" si="27"/>
        <v>0</v>
      </c>
      <c r="P114" s="168">
        <f>(INDEX(Models!$BJ114:$BT114,,T114)*(1-R114)+INDEX(Models!$BJ114:$BT114,,T114+1)*R114-ERP_i)*Q114*Ramure*Pc/MaxiM</f>
        <v>2.6866002286321634E-6</v>
      </c>
      <c r="Q114" s="304">
        <f t="shared" si="28"/>
        <v>0.5</v>
      </c>
      <c r="R114" s="176">
        <f t="shared" si="29"/>
        <v>0.55701082735604279</v>
      </c>
      <c r="S114" s="814">
        <f t="shared" si="47"/>
        <v>-1</v>
      </c>
      <c r="T114" s="175">
        <f t="shared" si="30"/>
        <v>5</v>
      </c>
      <c r="U114" s="250">
        <f t="shared" si="31"/>
        <v>-0.44298917264395715</v>
      </c>
      <c r="V114" s="382">
        <f t="shared" si="32"/>
        <v>57.161188703870899</v>
      </c>
      <c r="W114" s="58"/>
      <c r="X114" s="157">
        <f t="shared" si="33"/>
        <v>43200</v>
      </c>
      <c r="Y114" s="384">
        <f t="shared" si="34"/>
        <v>0</v>
      </c>
      <c r="Z114" s="384">
        <f t="shared" si="35"/>
        <v>0</v>
      </c>
      <c r="AA114" s="385">
        <f t="shared" si="36"/>
        <v>0</v>
      </c>
      <c r="AB114" s="196">
        <f t="shared" si="37"/>
        <v>43200</v>
      </c>
      <c r="AC114" s="425">
        <f t="shared" si="38"/>
        <v>0</v>
      </c>
      <c r="AD114" s="168">
        <f>(INDEX(Models!$BJ114:$BT114,,AH114)*(1-AF114)+INDEX(Models!$BJ114:$BT114,,AH114+1)*AF114-ERP_i)*AE114*Ramure*Pc/MaxiM</f>
        <v>2.6866002286321634E-6</v>
      </c>
      <c r="AE114" s="304">
        <f t="shared" si="39"/>
        <v>0.5</v>
      </c>
      <c r="AF114" s="176">
        <f t="shared" si="40"/>
        <v>0.55701082735604279</v>
      </c>
      <c r="AG114" s="814">
        <f t="shared" si="41"/>
        <v>-1</v>
      </c>
      <c r="AH114" s="175">
        <f t="shared" si="42"/>
        <v>5</v>
      </c>
      <c r="AI114" s="224">
        <f t="shared" si="43"/>
        <v>-0.44298917264395715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43201</v>
      </c>
      <c r="B115" s="616"/>
      <c r="C115" s="389"/>
      <c r="D115" s="392"/>
      <c r="E115" s="384"/>
      <c r="F115" s="384"/>
      <c r="G115" s="110"/>
      <c r="I115" s="379">
        <f t="shared" si="24"/>
        <v>0</v>
      </c>
      <c r="J115" s="85">
        <v>2018</v>
      </c>
      <c r="K115" s="196">
        <f t="shared" si="25"/>
        <v>43201</v>
      </c>
      <c r="L115" s="436">
        <f t="shared" si="26"/>
        <v>0</v>
      </c>
      <c r="M115" s="858"/>
      <c r="N115" s="858"/>
      <c r="O115" s="323">
        <f t="shared" si="27"/>
        <v>0</v>
      </c>
      <c r="P115" s="168">
        <f>(INDEX(Models!$BJ115:$BT115,,T115)*(1-R115)+INDEX(Models!$BJ115:$BT115,,T115+1)*R115-ERP_i)*Q115*Ramure*Pc/MaxiM</f>
        <v>2.7062998483675163E-6</v>
      </c>
      <c r="Q115" s="304">
        <f t="shared" si="28"/>
        <v>0.5</v>
      </c>
      <c r="R115" s="176">
        <f t="shared" si="29"/>
        <v>0.55788675263558107</v>
      </c>
      <c r="S115" s="814">
        <f t="shared" si="47"/>
        <v>-1</v>
      </c>
      <c r="T115" s="175">
        <f t="shared" si="30"/>
        <v>5</v>
      </c>
      <c r="U115" s="250">
        <f t="shared" si="31"/>
        <v>-0.44211324736441887</v>
      </c>
      <c r="V115" s="382">
        <f t="shared" si="32"/>
        <v>57.364063942315951</v>
      </c>
      <c r="W115" s="58"/>
      <c r="X115" s="157">
        <f t="shared" si="33"/>
        <v>43201</v>
      </c>
      <c r="Y115" s="384">
        <f t="shared" si="34"/>
        <v>0</v>
      </c>
      <c r="Z115" s="384">
        <f t="shared" si="35"/>
        <v>0</v>
      </c>
      <c r="AA115" s="385">
        <f t="shared" si="36"/>
        <v>0</v>
      </c>
      <c r="AB115" s="196">
        <f t="shared" si="37"/>
        <v>43201</v>
      </c>
      <c r="AC115" s="425">
        <f t="shared" si="38"/>
        <v>0</v>
      </c>
      <c r="AD115" s="168">
        <f>(INDEX(Models!$BJ115:$BT115,,AH115)*(1-AF115)+INDEX(Models!$BJ115:$BT115,,AH115+1)*AF115-ERP_i)*AE115*Ramure*Pc/MaxiM</f>
        <v>2.7062998483675163E-6</v>
      </c>
      <c r="AE115" s="304">
        <f t="shared" si="39"/>
        <v>0.5</v>
      </c>
      <c r="AF115" s="176">
        <f t="shared" si="40"/>
        <v>0.55788675263558107</v>
      </c>
      <c r="AG115" s="814">
        <f t="shared" si="41"/>
        <v>-1</v>
      </c>
      <c r="AH115" s="175">
        <f t="shared" si="42"/>
        <v>5</v>
      </c>
      <c r="AI115" s="224">
        <f t="shared" si="43"/>
        <v>-0.44211324736441887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43202</v>
      </c>
      <c r="B116" s="616"/>
      <c r="C116" s="389"/>
      <c r="D116" s="392"/>
      <c r="E116" s="384"/>
      <c r="F116" s="384"/>
      <c r="G116" s="110"/>
      <c r="I116" s="379">
        <f t="shared" si="24"/>
        <v>0</v>
      </c>
      <c r="J116" s="85">
        <v>2018</v>
      </c>
      <c r="K116" s="196">
        <f t="shared" si="25"/>
        <v>43202</v>
      </c>
      <c r="L116" s="436">
        <f t="shared" si="26"/>
        <v>0</v>
      </c>
      <c r="M116" s="858"/>
      <c r="N116" s="858"/>
      <c r="O116" s="323">
        <f t="shared" si="27"/>
        <v>0</v>
      </c>
      <c r="P116" s="168">
        <f>(INDEX(Models!$BJ116:$BT116,,T116)*(1-R116)+INDEX(Models!$BJ116:$BT116,,T116+1)*R116-ERP_i)*Q116*Ramure*Pc/MaxiM</f>
        <v>2.7222667306194589E-6</v>
      </c>
      <c r="Q116" s="304">
        <f t="shared" si="28"/>
        <v>0.5</v>
      </c>
      <c r="R116" s="176">
        <f t="shared" si="29"/>
        <v>0.55879356915675804</v>
      </c>
      <c r="S116" s="814">
        <f t="shared" si="47"/>
        <v>-1</v>
      </c>
      <c r="T116" s="175">
        <f t="shared" si="30"/>
        <v>5</v>
      </c>
      <c r="U116" s="250">
        <f t="shared" si="31"/>
        <v>-0.4412064308432419</v>
      </c>
      <c r="V116" s="382">
        <f t="shared" si="32"/>
        <v>57.559896950510264</v>
      </c>
      <c r="W116" s="58"/>
      <c r="X116" s="157">
        <f t="shared" si="33"/>
        <v>43202</v>
      </c>
      <c r="Y116" s="384">
        <f t="shared" si="34"/>
        <v>0</v>
      </c>
      <c r="Z116" s="384">
        <f t="shared" si="35"/>
        <v>0</v>
      </c>
      <c r="AA116" s="385">
        <f t="shared" si="36"/>
        <v>0</v>
      </c>
      <c r="AB116" s="196">
        <f t="shared" si="37"/>
        <v>43202</v>
      </c>
      <c r="AC116" s="425">
        <f t="shared" si="38"/>
        <v>0</v>
      </c>
      <c r="AD116" s="168">
        <f>(INDEX(Models!$BJ116:$BT116,,AH116)*(1-AF116)+INDEX(Models!$BJ116:$BT116,,AH116+1)*AF116-ERP_i)*AE116*Ramure*Pc/MaxiM</f>
        <v>2.7222667306194589E-6</v>
      </c>
      <c r="AE116" s="304">
        <f t="shared" si="39"/>
        <v>0.5</v>
      </c>
      <c r="AF116" s="176">
        <f t="shared" si="40"/>
        <v>0.55879356915675804</v>
      </c>
      <c r="AG116" s="814">
        <f t="shared" si="41"/>
        <v>-1</v>
      </c>
      <c r="AH116" s="175">
        <f t="shared" si="42"/>
        <v>5</v>
      </c>
      <c r="AI116" s="224">
        <f t="shared" si="43"/>
        <v>-0.4412064308432419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43203</v>
      </c>
      <c r="B117" s="616"/>
      <c r="C117" s="389"/>
      <c r="D117" s="392"/>
      <c r="E117" s="384"/>
      <c r="F117" s="384"/>
      <c r="G117" s="110"/>
      <c r="I117" s="379">
        <f t="shared" si="24"/>
        <v>0</v>
      </c>
      <c r="J117" s="85">
        <v>2018</v>
      </c>
      <c r="K117" s="196">
        <f t="shared" si="25"/>
        <v>43203</v>
      </c>
      <c r="L117" s="436">
        <f t="shared" si="26"/>
        <v>0</v>
      </c>
      <c r="M117" s="858"/>
      <c r="N117" s="858"/>
      <c r="O117" s="323">
        <f t="shared" si="27"/>
        <v>0</v>
      </c>
      <c r="P117" s="168">
        <f>(INDEX(Models!$BJ117:$BT117,,T117)*(1-R117)+INDEX(Models!$BJ117:$BT117,,T117+1)*R117-ERP_i)*Q117*Ramure*Pc/MaxiM</f>
        <v>2.7340945253557324E-6</v>
      </c>
      <c r="Q117" s="304">
        <f t="shared" si="28"/>
        <v>0.5</v>
      </c>
      <c r="R117" s="176">
        <f t="shared" si="29"/>
        <v>0.55973213351651108</v>
      </c>
      <c r="S117" s="814">
        <f t="shared" si="47"/>
        <v>-1</v>
      </c>
      <c r="T117" s="175">
        <f t="shared" si="30"/>
        <v>5</v>
      </c>
      <c r="U117" s="250">
        <f t="shared" si="31"/>
        <v>-0.44026786648348898</v>
      </c>
      <c r="V117" s="382">
        <f t="shared" si="32"/>
        <v>57.748579408669706</v>
      </c>
      <c r="W117" s="58"/>
      <c r="X117" s="157">
        <f t="shared" si="33"/>
        <v>43203</v>
      </c>
      <c r="Y117" s="384">
        <f t="shared" si="34"/>
        <v>0</v>
      </c>
      <c r="Z117" s="384">
        <f t="shared" si="35"/>
        <v>0</v>
      </c>
      <c r="AA117" s="385">
        <f t="shared" si="36"/>
        <v>0</v>
      </c>
      <c r="AB117" s="196">
        <f t="shared" si="37"/>
        <v>43203</v>
      </c>
      <c r="AC117" s="425">
        <f t="shared" si="38"/>
        <v>0</v>
      </c>
      <c r="AD117" s="168">
        <f>(INDEX(Models!$BJ117:$BT117,,AH117)*(1-AF117)+INDEX(Models!$BJ117:$BT117,,AH117+1)*AF117-ERP_i)*AE117*Ramure*Pc/MaxiM</f>
        <v>2.7340945253557324E-6</v>
      </c>
      <c r="AE117" s="304">
        <f t="shared" si="39"/>
        <v>0.5</v>
      </c>
      <c r="AF117" s="176">
        <f t="shared" si="40"/>
        <v>0.55973213351651108</v>
      </c>
      <c r="AG117" s="814">
        <f t="shared" si="41"/>
        <v>-1</v>
      </c>
      <c r="AH117" s="175">
        <f t="shared" si="42"/>
        <v>5</v>
      </c>
      <c r="AI117" s="224">
        <f t="shared" si="43"/>
        <v>-0.44026786648348898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43204</v>
      </c>
      <c r="B118" s="616"/>
      <c r="C118" s="389"/>
      <c r="D118" s="392"/>
      <c r="E118" s="384"/>
      <c r="F118" s="384"/>
      <c r="G118" s="110"/>
      <c r="I118" s="379">
        <f t="shared" si="24"/>
        <v>0</v>
      </c>
      <c r="J118" s="85">
        <v>2018</v>
      </c>
      <c r="K118" s="196">
        <f t="shared" si="25"/>
        <v>43204</v>
      </c>
      <c r="L118" s="436">
        <f t="shared" si="26"/>
        <v>0</v>
      </c>
      <c r="M118" s="858"/>
      <c r="N118" s="858"/>
      <c r="O118" s="323">
        <f t="shared" si="27"/>
        <v>0</v>
      </c>
      <c r="P118" s="168">
        <f>(INDEX(Models!$BJ118:$BT118,,T118)*(1-R118)+INDEX(Models!$BJ118:$BT118,,T118+1)*R118-ERP_i)*Q118*Ramure*Pc/MaxiM</f>
        <v>2.7413443124235098E-6</v>
      </c>
      <c r="Q118" s="304">
        <f t="shared" si="28"/>
        <v>0.5</v>
      </c>
      <c r="R118" s="176">
        <f t="shared" si="29"/>
        <v>0.56070330784424915</v>
      </c>
      <c r="S118" s="814">
        <f t="shared" si="47"/>
        <v>-1</v>
      </c>
      <c r="T118" s="175">
        <f t="shared" si="30"/>
        <v>5</v>
      </c>
      <c r="U118" s="250">
        <f t="shared" si="31"/>
        <v>-0.43929669215575079</v>
      </c>
      <c r="V118" s="382">
        <f t="shared" si="32"/>
        <v>57.930003001060065</v>
      </c>
      <c r="W118" s="58"/>
      <c r="X118" s="157">
        <f t="shared" si="33"/>
        <v>43204</v>
      </c>
      <c r="Y118" s="384">
        <f t="shared" si="34"/>
        <v>0</v>
      </c>
      <c r="Z118" s="384">
        <f t="shared" si="35"/>
        <v>0</v>
      </c>
      <c r="AA118" s="385">
        <f t="shared" si="36"/>
        <v>0</v>
      </c>
      <c r="AB118" s="196">
        <f t="shared" si="37"/>
        <v>43204</v>
      </c>
      <c r="AC118" s="425">
        <f t="shared" si="38"/>
        <v>0</v>
      </c>
      <c r="AD118" s="168">
        <f>(INDEX(Models!$BJ118:$BT118,,AH118)*(1-AF118)+INDEX(Models!$BJ118:$BT118,,AH118+1)*AF118-ERP_i)*AE118*Ramure*Pc/MaxiM</f>
        <v>2.7413443124235098E-6</v>
      </c>
      <c r="AE118" s="304">
        <f t="shared" si="39"/>
        <v>0.5</v>
      </c>
      <c r="AF118" s="176">
        <f t="shared" si="40"/>
        <v>0.56070330784424915</v>
      </c>
      <c r="AG118" s="814">
        <f t="shared" si="41"/>
        <v>-1</v>
      </c>
      <c r="AH118" s="175">
        <f t="shared" si="42"/>
        <v>5</v>
      </c>
      <c r="AI118" s="224">
        <f t="shared" si="43"/>
        <v>-0.43929669215575079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89"/>
      <c r="D119" s="392"/>
      <c r="E119" s="384"/>
      <c r="F119" s="384"/>
      <c r="G119" s="110"/>
      <c r="I119" s="379">
        <f t="shared" si="24"/>
        <v>0</v>
      </c>
      <c r="J119" s="85">
        <v>2018</v>
      </c>
      <c r="K119" s="196">
        <f t="shared" si="25"/>
        <v>43205</v>
      </c>
      <c r="L119" s="436">
        <f t="shared" si="26"/>
        <v>0</v>
      </c>
      <c r="M119" s="858"/>
      <c r="N119" s="858"/>
      <c r="O119" s="323">
        <f t="shared" si="27"/>
        <v>0</v>
      </c>
      <c r="P119" s="168">
        <f>(INDEX(Models!$BJ119:$BT119,,T119)*(1-R119)+INDEX(Models!$BJ119:$BT119,,T119+1)*R119-ERP_i)*Q119*Ramure*Pc/MaxiM</f>
        <v>2.7435424340511193E-6</v>
      </c>
      <c r="Q119" s="304">
        <f t="shared" si="28"/>
        <v>0.5</v>
      </c>
      <c r="R119" s="176">
        <f t="shared" si="29"/>
        <v>0.56170795822996811</v>
      </c>
      <c r="S119" s="814">
        <f t="shared" si="47"/>
        <v>-1</v>
      </c>
      <c r="T119" s="175">
        <f t="shared" si="30"/>
        <v>5</v>
      </c>
      <c r="U119" s="250">
        <f t="shared" si="31"/>
        <v>-0.43829204177003189</v>
      </c>
      <c r="V119" s="382">
        <f t="shared" si="32"/>
        <v>58.104059411859922</v>
      </c>
      <c r="W119" s="58"/>
      <c r="X119" s="157">
        <f t="shared" si="33"/>
        <v>43205</v>
      </c>
      <c r="Y119" s="384">
        <f t="shared" si="34"/>
        <v>0</v>
      </c>
      <c r="Z119" s="384">
        <f t="shared" si="35"/>
        <v>0</v>
      </c>
      <c r="AA119" s="385">
        <f t="shared" si="36"/>
        <v>0</v>
      </c>
      <c r="AB119" s="196">
        <f t="shared" si="37"/>
        <v>43205</v>
      </c>
      <c r="AC119" s="425">
        <f t="shared" si="38"/>
        <v>0</v>
      </c>
      <c r="AD119" s="168">
        <f>(INDEX(Models!$BJ119:$BT119,,AH119)*(1-AF119)+INDEX(Models!$BJ119:$BT119,,AH119+1)*AF119-ERP_i)*AE119*Ramure*Pc/MaxiM</f>
        <v>2.7435424340511193E-6</v>
      </c>
      <c r="AE119" s="304">
        <f t="shared" si="39"/>
        <v>0.5</v>
      </c>
      <c r="AF119" s="176">
        <f t="shared" si="40"/>
        <v>0.56170795822996811</v>
      </c>
      <c r="AG119" s="814">
        <f t="shared" si="41"/>
        <v>-1</v>
      </c>
      <c r="AH119" s="175">
        <f t="shared" si="42"/>
        <v>5</v>
      </c>
      <c r="AI119" s="224">
        <f t="shared" si="43"/>
        <v>-0.43829204177003189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43206</v>
      </c>
      <c r="B120" s="616"/>
      <c r="C120" s="389"/>
      <c r="D120" s="392"/>
      <c r="E120" s="384"/>
      <c r="F120" s="384"/>
      <c r="G120" s="110"/>
      <c r="I120" s="379">
        <f t="shared" si="24"/>
        <v>0</v>
      </c>
      <c r="J120" s="85">
        <v>2018</v>
      </c>
      <c r="K120" s="196">
        <f t="shared" si="25"/>
        <v>43206</v>
      </c>
      <c r="L120" s="436">
        <f t="shared" si="26"/>
        <v>0</v>
      </c>
      <c r="M120" s="858"/>
      <c r="N120" s="858"/>
      <c r="O120" s="323">
        <f t="shared" si="27"/>
        <v>0</v>
      </c>
      <c r="P120" s="168">
        <f>(INDEX(Models!$BJ120:$BT120,,T120)*(1-R120)+INDEX(Models!$BJ120:$BT120,,T120+1)*R120-ERP_i)*Q120*Ramure*Pc/MaxiM</f>
        <v>2.7401782254840994E-6</v>
      </c>
      <c r="Q120" s="304">
        <f t="shared" si="28"/>
        <v>0.5</v>
      </c>
      <c r="R120" s="176">
        <f t="shared" si="29"/>
        <v>0.56274695301415356</v>
      </c>
      <c r="S120" s="814">
        <f t="shared" si="47"/>
        <v>-1</v>
      </c>
      <c r="T120" s="175">
        <f t="shared" si="30"/>
        <v>5</v>
      </c>
      <c r="U120" s="250">
        <f t="shared" si="31"/>
        <v>-0.43725304698584649</v>
      </c>
      <c r="V120" s="382">
        <f t="shared" si="32"/>
        <v>58.270640328051812</v>
      </c>
      <c r="W120" s="58"/>
      <c r="X120" s="157">
        <f t="shared" si="33"/>
        <v>43206</v>
      </c>
      <c r="Y120" s="384">
        <f t="shared" si="34"/>
        <v>0</v>
      </c>
      <c r="Z120" s="384">
        <f t="shared" si="35"/>
        <v>0</v>
      </c>
      <c r="AA120" s="385">
        <f t="shared" si="36"/>
        <v>0</v>
      </c>
      <c r="AB120" s="196">
        <f t="shared" si="37"/>
        <v>43206</v>
      </c>
      <c r="AC120" s="425">
        <f t="shared" si="38"/>
        <v>0</v>
      </c>
      <c r="AD120" s="168">
        <f>(INDEX(Models!$BJ120:$BT120,,AH120)*(1-AF120)+INDEX(Models!$BJ120:$BT120,,AH120+1)*AF120-ERP_i)*AE120*Ramure*Pc/MaxiM</f>
        <v>2.7401782254840994E-6</v>
      </c>
      <c r="AE120" s="304">
        <f t="shared" si="39"/>
        <v>0.5</v>
      </c>
      <c r="AF120" s="176">
        <f t="shared" si="40"/>
        <v>0.56274695301415356</v>
      </c>
      <c r="AG120" s="814">
        <f t="shared" si="41"/>
        <v>-1</v>
      </c>
      <c r="AH120" s="175">
        <f t="shared" si="42"/>
        <v>5</v>
      </c>
      <c r="AI120" s="224">
        <f t="shared" si="43"/>
        <v>-0.43725304698584649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43207</v>
      </c>
      <c r="B121" s="616"/>
      <c r="C121" s="389"/>
      <c r="D121" s="392"/>
      <c r="E121" s="384"/>
      <c r="F121" s="384"/>
      <c r="G121" s="110"/>
      <c r="I121" s="379">
        <f t="shared" si="24"/>
        <v>0</v>
      </c>
      <c r="J121" s="85">
        <v>2018</v>
      </c>
      <c r="K121" s="196">
        <f t="shared" si="25"/>
        <v>43207</v>
      </c>
      <c r="L121" s="436">
        <f t="shared" si="26"/>
        <v>0</v>
      </c>
      <c r="M121" s="858"/>
      <c r="N121" s="858"/>
      <c r="O121" s="323">
        <f t="shared" si="27"/>
        <v>0</v>
      </c>
      <c r="P121" s="168">
        <f>(INDEX(Models!$BJ121:$BT121,,T121)*(1-R121)+INDEX(Models!$BJ121:$BT121,,T121+1)*R121-ERP_i)*Q121*Ramure*Pc/MaxiM</f>
        <v>2.7307328696559382E-6</v>
      </c>
      <c r="Q121" s="304">
        <f t="shared" si="28"/>
        <v>0.5</v>
      </c>
      <c r="R121" s="176">
        <f t="shared" si="29"/>
        <v>0.5638211609349596</v>
      </c>
      <c r="S121" s="814">
        <f t="shared" si="47"/>
        <v>-1</v>
      </c>
      <c r="T121" s="175">
        <f t="shared" si="30"/>
        <v>5</v>
      </c>
      <c r="U121" s="250">
        <f t="shared" si="31"/>
        <v>-0.4361788390650404</v>
      </c>
      <c r="V121" s="382">
        <f t="shared" si="32"/>
        <v>58.428969308202177</v>
      </c>
      <c r="W121" s="58"/>
      <c r="X121" s="157">
        <f t="shared" si="33"/>
        <v>43207</v>
      </c>
      <c r="Y121" s="384">
        <f t="shared" si="34"/>
        <v>0</v>
      </c>
      <c r="Z121" s="384">
        <f t="shared" si="35"/>
        <v>0</v>
      </c>
      <c r="AA121" s="385">
        <f t="shared" si="36"/>
        <v>0</v>
      </c>
      <c r="AB121" s="196">
        <f t="shared" si="37"/>
        <v>43207</v>
      </c>
      <c r="AC121" s="425">
        <f t="shared" si="38"/>
        <v>0</v>
      </c>
      <c r="AD121" s="168">
        <f>(INDEX(Models!$BJ121:$BT121,,AH121)*(1-AF121)+INDEX(Models!$BJ121:$BT121,,AH121+1)*AF121-ERP_i)*AE121*Ramure*Pc/MaxiM</f>
        <v>2.7307328696559382E-6</v>
      </c>
      <c r="AE121" s="304">
        <f t="shared" si="39"/>
        <v>0.5</v>
      </c>
      <c r="AF121" s="176">
        <f t="shared" si="40"/>
        <v>0.5638211609349596</v>
      </c>
      <c r="AG121" s="814">
        <f t="shared" si="41"/>
        <v>-1</v>
      </c>
      <c r="AH121" s="175">
        <f t="shared" si="42"/>
        <v>5</v>
      </c>
      <c r="AI121" s="224">
        <f t="shared" si="43"/>
        <v>-0.4361788390650404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43208</v>
      </c>
      <c r="B122" s="616"/>
      <c r="C122" s="389"/>
      <c r="D122" s="392"/>
      <c r="E122" s="384"/>
      <c r="F122" s="384"/>
      <c r="G122" s="110"/>
      <c r="H122" s="17"/>
      <c r="I122" s="379">
        <f t="shared" si="24"/>
        <v>0</v>
      </c>
      <c r="J122" s="85">
        <v>2018</v>
      </c>
      <c r="K122" s="196">
        <f t="shared" si="25"/>
        <v>43208</v>
      </c>
      <c r="L122" s="452">
        <f t="shared" si="26"/>
        <v>0</v>
      </c>
      <c r="M122" s="858"/>
      <c r="N122" s="858"/>
      <c r="O122" s="323">
        <f t="shared" si="27"/>
        <v>0</v>
      </c>
      <c r="P122" s="168">
        <f>(INDEX(Models!$BJ122:$BT122,,T122)*(1-R122)+INDEX(Models!$BJ122:$BT122,,T122+1)*R122-ERP_i)*Q122*Ramure*Pc/MaxiM</f>
        <v>2.7257637972792444E-6</v>
      </c>
      <c r="Q122" s="304">
        <f t="shared" si="28"/>
        <v>0.5</v>
      </c>
      <c r="R122" s="176">
        <f t="shared" si="29"/>
        <v>0.56493144912859328</v>
      </c>
      <c r="S122" s="814">
        <f t="shared" si="47"/>
        <v>-1</v>
      </c>
      <c r="T122" s="175">
        <f t="shared" si="30"/>
        <v>5</v>
      </c>
      <c r="U122" s="250">
        <f t="shared" si="31"/>
        <v>-0.43506855087140667</v>
      </c>
      <c r="V122" s="382">
        <f t="shared" si="32"/>
        <v>58.578630414881808</v>
      </c>
      <c r="W122" s="434"/>
      <c r="X122" s="157">
        <f t="shared" si="33"/>
        <v>43208</v>
      </c>
      <c r="Y122" s="384">
        <f t="shared" si="34"/>
        <v>0</v>
      </c>
      <c r="Z122" s="384">
        <f t="shared" si="35"/>
        <v>0</v>
      </c>
      <c r="AA122" s="385">
        <f t="shared" si="36"/>
        <v>0</v>
      </c>
      <c r="AB122" s="196">
        <f t="shared" si="37"/>
        <v>43208</v>
      </c>
      <c r="AC122" s="451">
        <f t="shared" si="38"/>
        <v>0</v>
      </c>
      <c r="AD122" s="168">
        <f>(INDEX(Models!$BJ122:$BT122,,AH122)*(1-AF122)+INDEX(Models!$BJ122:$BT122,,AH122+1)*AF122-ERP_i)*AE122*Ramure*Pc/MaxiM</f>
        <v>2.7257637972792444E-6</v>
      </c>
      <c r="AE122" s="304">
        <f t="shared" si="39"/>
        <v>0.5</v>
      </c>
      <c r="AF122" s="176">
        <f t="shared" si="40"/>
        <v>0.56493144912859328</v>
      </c>
      <c r="AG122" s="814">
        <f t="shared" si="41"/>
        <v>-1</v>
      </c>
      <c r="AH122" s="175">
        <f t="shared" si="42"/>
        <v>5</v>
      </c>
      <c r="AI122" s="224">
        <f t="shared" si="43"/>
        <v>-0.43506855087140667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43209</v>
      </c>
      <c r="B123" s="616"/>
      <c r="C123" s="389"/>
      <c r="D123" s="392"/>
      <c r="E123" s="384"/>
      <c r="F123" s="384"/>
      <c r="G123" s="110"/>
      <c r="H123" s="435"/>
      <c r="I123" s="379">
        <f t="shared" si="24"/>
        <v>0</v>
      </c>
      <c r="J123" s="85">
        <v>2018</v>
      </c>
      <c r="K123" s="196">
        <f t="shared" si="25"/>
        <v>43209</v>
      </c>
      <c r="L123" s="436">
        <f t="shared" si="26"/>
        <v>0</v>
      </c>
      <c r="M123" s="858"/>
      <c r="N123" s="858"/>
      <c r="O123" s="323">
        <f t="shared" si="27"/>
        <v>0</v>
      </c>
      <c r="P123" s="168">
        <f>(INDEX(Models!$BJ123:$BT123,,T123)*(1-R123)+INDEX(Models!$BJ123:$BT123,,T123+1)*R123-ERP_i)*Q123*Ramure*Pc/MaxiM</f>
        <v>2.730607703792148E-6</v>
      </c>
      <c r="Q123" s="304">
        <f t="shared" si="28"/>
        <v>0.5</v>
      </c>
      <c r="R123" s="176">
        <f t="shared" si="29"/>
        <v>0.56607868097937541</v>
      </c>
      <c r="S123" s="814">
        <f t="shared" si="47"/>
        <v>-1</v>
      </c>
      <c r="T123" s="175">
        <f t="shared" si="30"/>
        <v>5</v>
      </c>
      <c r="U123" s="250">
        <f t="shared" si="31"/>
        <v>-0.43392131902062453</v>
      </c>
      <c r="V123" s="382">
        <f t="shared" si="32"/>
        <v>58.720056714322844</v>
      </c>
      <c r="W123" s="434"/>
      <c r="X123" s="157">
        <f t="shared" si="33"/>
        <v>43209</v>
      </c>
      <c r="Y123" s="384">
        <f t="shared" si="34"/>
        <v>0</v>
      </c>
      <c r="Z123" s="384">
        <f t="shared" si="35"/>
        <v>0</v>
      </c>
      <c r="AA123" s="385">
        <f t="shared" si="36"/>
        <v>0</v>
      </c>
      <c r="AB123" s="196">
        <f t="shared" si="37"/>
        <v>43209</v>
      </c>
      <c r="AC123" s="437">
        <f t="shared" si="38"/>
        <v>0</v>
      </c>
      <c r="AD123" s="168">
        <f>(INDEX(Models!$BJ123:$BT123,,AH123)*(1-AF123)+INDEX(Models!$BJ123:$BT123,,AH123+1)*AF123-ERP_i)*AE123*Ramure*Pc/MaxiM</f>
        <v>2.730607703792148E-6</v>
      </c>
      <c r="AE123" s="304">
        <f t="shared" si="39"/>
        <v>0.5</v>
      </c>
      <c r="AF123" s="176">
        <f t="shared" si="40"/>
        <v>0.56607868097937541</v>
      </c>
      <c r="AG123" s="814">
        <f t="shared" si="41"/>
        <v>-1</v>
      </c>
      <c r="AH123" s="175">
        <f t="shared" si="42"/>
        <v>5</v>
      </c>
      <c r="AI123" s="224">
        <f t="shared" si="43"/>
        <v>-0.43392131902062453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43210</v>
      </c>
      <c r="B124" s="616"/>
      <c r="C124" s="389"/>
      <c r="D124" s="392"/>
      <c r="E124" s="384"/>
      <c r="F124" s="384"/>
      <c r="G124" s="110"/>
      <c r="I124" s="379">
        <f t="shared" si="24"/>
        <v>0</v>
      </c>
      <c r="J124" s="85">
        <v>2018</v>
      </c>
      <c r="K124" s="196">
        <f t="shared" si="25"/>
        <v>43210</v>
      </c>
      <c r="L124" s="436">
        <f t="shared" si="26"/>
        <v>0</v>
      </c>
      <c r="M124" s="858"/>
      <c r="N124" s="858"/>
      <c r="O124" s="323">
        <f t="shared" si="27"/>
        <v>0</v>
      </c>
      <c r="P124" s="168">
        <f>(INDEX(Models!$BJ124:$BT124,,T124)*(1-R124)+INDEX(Models!$BJ124:$BT124,,T124+1)*R124-ERP_i)*Q124*Ramure*Pc/MaxiM</f>
        <v>2.7465594095812879E-6</v>
      </c>
      <c r="Q124" s="304">
        <f t="shared" si="28"/>
        <v>0.5</v>
      </c>
      <c r="R124" s="176">
        <f t="shared" si="29"/>
        <v>0.56726371381657703</v>
      </c>
      <c r="S124" s="814">
        <f t="shared" si="47"/>
        <v>-1</v>
      </c>
      <c r="T124" s="175">
        <f t="shared" si="30"/>
        <v>5</v>
      </c>
      <c r="U124" s="250">
        <f t="shared" si="31"/>
        <v>-0.43273628618342302</v>
      </c>
      <c r="V124" s="382">
        <f t="shared" si="32"/>
        <v>58.853681504072554</v>
      </c>
      <c r="W124" s="58"/>
      <c r="X124" s="157">
        <f t="shared" si="33"/>
        <v>43210</v>
      </c>
      <c r="Y124" s="384">
        <f t="shared" si="34"/>
        <v>0</v>
      </c>
      <c r="Z124" s="384">
        <f t="shared" si="35"/>
        <v>0</v>
      </c>
      <c r="AA124" s="385">
        <f t="shared" si="36"/>
        <v>0</v>
      </c>
      <c r="AB124" s="196">
        <f t="shared" si="37"/>
        <v>43210</v>
      </c>
      <c r="AC124" s="425">
        <f t="shared" si="38"/>
        <v>0</v>
      </c>
      <c r="AD124" s="168">
        <f>(INDEX(Models!$BJ124:$BT124,,AH124)*(1-AF124)+INDEX(Models!$BJ124:$BT124,,AH124+1)*AF124-ERP_i)*AE124*Ramure*Pc/MaxiM</f>
        <v>2.7465594095812879E-6</v>
      </c>
      <c r="AE124" s="304">
        <f t="shared" si="39"/>
        <v>0.5</v>
      </c>
      <c r="AF124" s="176">
        <f t="shared" si="40"/>
        <v>0.56726371381657703</v>
      </c>
      <c r="AG124" s="814">
        <f t="shared" si="41"/>
        <v>-1</v>
      </c>
      <c r="AH124" s="175">
        <f t="shared" si="42"/>
        <v>5</v>
      </c>
      <c r="AI124" s="224">
        <f t="shared" si="43"/>
        <v>-0.43273628618342302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43211</v>
      </c>
      <c r="B125" s="616"/>
      <c r="C125" s="389"/>
      <c r="D125" s="392"/>
      <c r="E125" s="384"/>
      <c r="F125" s="384"/>
      <c r="G125" s="110"/>
      <c r="I125" s="379">
        <f t="shared" si="24"/>
        <v>0</v>
      </c>
      <c r="J125" s="85">
        <v>2018</v>
      </c>
      <c r="K125" s="196">
        <f t="shared" si="25"/>
        <v>43211</v>
      </c>
      <c r="L125" s="436">
        <f t="shared" si="26"/>
        <v>0</v>
      </c>
      <c r="M125" s="858"/>
      <c r="N125" s="858"/>
      <c r="O125" s="323">
        <f t="shared" si="27"/>
        <v>0</v>
      </c>
      <c r="P125" s="168">
        <f>(INDEX(Models!$BJ125:$BT125,,T125)*(1-R125)+INDEX(Models!$BJ125:$BT125,,T125+1)*R125-ERP_i)*Q125*Ramure*Pc/MaxiM</f>
        <v>2.7750405624854266E-6</v>
      </c>
      <c r="Q125" s="304">
        <f t="shared" si="28"/>
        <v>0.5</v>
      </c>
      <c r="R125" s="176">
        <f t="shared" si="29"/>
        <v>0.56848739645586077</v>
      </c>
      <c r="S125" s="814">
        <f t="shared" si="47"/>
        <v>-1</v>
      </c>
      <c r="T125" s="175">
        <f t="shared" si="30"/>
        <v>5</v>
      </c>
      <c r="U125" s="250">
        <f t="shared" si="31"/>
        <v>-0.43151260354413917</v>
      </c>
      <c r="V125" s="382">
        <f t="shared" si="32"/>
        <v>58.979938078030926</v>
      </c>
      <c r="W125" s="58"/>
      <c r="X125" s="157">
        <f t="shared" si="33"/>
        <v>43211</v>
      </c>
      <c r="Y125" s="384">
        <f t="shared" si="34"/>
        <v>0</v>
      </c>
      <c r="Z125" s="384">
        <f t="shared" si="35"/>
        <v>0</v>
      </c>
      <c r="AA125" s="385">
        <f t="shared" si="36"/>
        <v>0</v>
      </c>
      <c r="AB125" s="196">
        <f t="shared" si="37"/>
        <v>43211</v>
      </c>
      <c r="AC125" s="425">
        <f t="shared" si="38"/>
        <v>0</v>
      </c>
      <c r="AD125" s="168">
        <f>(INDEX(Models!$BJ125:$BT125,,AH125)*(1-AF125)+INDEX(Models!$BJ125:$BT125,,AH125+1)*AF125-ERP_i)*AE125*Ramure*Pc/MaxiM</f>
        <v>2.7750405624854266E-6</v>
      </c>
      <c r="AE125" s="304">
        <f t="shared" si="39"/>
        <v>0.5</v>
      </c>
      <c r="AF125" s="176">
        <f t="shared" si="40"/>
        <v>0.56848739645586077</v>
      </c>
      <c r="AG125" s="814">
        <f t="shared" si="41"/>
        <v>-1</v>
      </c>
      <c r="AH125" s="175">
        <f t="shared" si="42"/>
        <v>5</v>
      </c>
      <c r="AI125" s="224">
        <f t="shared" si="43"/>
        <v>-0.43151260354413917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89"/>
      <c r="D126" s="392"/>
      <c r="E126" s="384"/>
      <c r="F126" s="384"/>
      <c r="G126" s="110"/>
      <c r="I126" s="379">
        <f t="shared" si="24"/>
        <v>0</v>
      </c>
      <c r="J126" s="85">
        <v>2018</v>
      </c>
      <c r="K126" s="196">
        <f t="shared" si="25"/>
        <v>43212</v>
      </c>
      <c r="L126" s="436">
        <f t="shared" si="26"/>
        <v>0</v>
      </c>
      <c r="M126" s="858"/>
      <c r="N126" s="858"/>
      <c r="O126" s="323">
        <f t="shared" si="27"/>
        <v>0</v>
      </c>
      <c r="P126" s="168">
        <f>(INDEX(Models!$BJ126:$BT126,,T126)*(1-R126)+INDEX(Models!$BJ126:$BT126,,T126+1)*R126-ERP_i)*Q126*Ramure*Pc/MaxiM</f>
        <v>2.8175999578663064E-6</v>
      </c>
      <c r="Q126" s="304">
        <f t="shared" si="28"/>
        <v>0.5</v>
      </c>
      <c r="R126" s="176">
        <f t="shared" si="29"/>
        <v>0.56975056658399037</v>
      </c>
      <c r="S126" s="814">
        <f t="shared" si="47"/>
        <v>-1</v>
      </c>
      <c r="T126" s="175">
        <f t="shared" si="30"/>
        <v>5</v>
      </c>
      <c r="U126" s="250">
        <f t="shared" si="31"/>
        <v>-0.43024943341600969</v>
      </c>
      <c r="V126" s="382">
        <f t="shared" si="32"/>
        <v>59.099259721826662</v>
      </c>
      <c r="W126" s="58"/>
      <c r="X126" s="157">
        <f t="shared" si="33"/>
        <v>43212</v>
      </c>
      <c r="Y126" s="384">
        <f t="shared" si="34"/>
        <v>0</v>
      </c>
      <c r="Z126" s="384">
        <f t="shared" si="35"/>
        <v>0</v>
      </c>
      <c r="AA126" s="385">
        <f t="shared" si="36"/>
        <v>0</v>
      </c>
      <c r="AB126" s="196">
        <f t="shared" si="37"/>
        <v>43212</v>
      </c>
      <c r="AC126" s="425">
        <f t="shared" si="38"/>
        <v>0</v>
      </c>
      <c r="AD126" s="168">
        <f>(INDEX(Models!$BJ126:$BT126,,AH126)*(1-AF126)+INDEX(Models!$BJ126:$BT126,,AH126+1)*AF126-ERP_i)*AE126*Ramure*Pc/MaxiM</f>
        <v>2.8175999578663064E-6</v>
      </c>
      <c r="AE126" s="304">
        <f t="shared" si="39"/>
        <v>0.5</v>
      </c>
      <c r="AF126" s="176">
        <f t="shared" si="40"/>
        <v>0.56975056658399037</v>
      </c>
      <c r="AG126" s="814">
        <f t="shared" si="41"/>
        <v>-1</v>
      </c>
      <c r="AH126" s="175">
        <f t="shared" si="42"/>
        <v>5</v>
      </c>
      <c r="AI126" s="224">
        <f t="shared" si="43"/>
        <v>-0.43024943341600969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89"/>
      <c r="D127" s="392"/>
      <c r="E127" s="384"/>
      <c r="F127" s="384"/>
      <c r="G127" s="110"/>
      <c r="I127" s="379">
        <f t="shared" si="24"/>
        <v>0</v>
      </c>
      <c r="J127" s="85">
        <v>2018</v>
      </c>
      <c r="K127" s="196">
        <f t="shared" si="25"/>
        <v>43213</v>
      </c>
      <c r="L127" s="436">
        <f t="shared" si="26"/>
        <v>0</v>
      </c>
      <c r="M127" s="858"/>
      <c r="N127" s="858"/>
      <c r="O127" s="323">
        <f t="shared" si="27"/>
        <v>0</v>
      </c>
      <c r="P127" s="168">
        <f>(INDEX(Models!$BJ127:$BT127,,T127)*(1-R127)+INDEX(Models!$BJ127:$BT127,,T127+1)*R127-ERP_i)*Q127*Ramure*Pc/MaxiM</f>
        <v>2.8759134175546149E-6</v>
      </c>
      <c r="Q127" s="304">
        <f t="shared" si="28"/>
        <v>0.5</v>
      </c>
      <c r="R127" s="176">
        <f t="shared" si="29"/>
        <v>0.57105404798641035</v>
      </c>
      <c r="S127" s="814">
        <f t="shared" si="47"/>
        <v>-1</v>
      </c>
      <c r="T127" s="175">
        <f t="shared" si="30"/>
        <v>5</v>
      </c>
      <c r="U127" s="250">
        <f t="shared" si="31"/>
        <v>-0.42894595201358965</v>
      </c>
      <c r="V127" s="382">
        <f t="shared" si="32"/>
        <v>59.212079712051747</v>
      </c>
      <c r="W127" s="58"/>
      <c r="X127" s="157">
        <f t="shared" si="33"/>
        <v>43213</v>
      </c>
      <c r="Y127" s="384">
        <f t="shared" si="34"/>
        <v>0</v>
      </c>
      <c r="Z127" s="384">
        <f t="shared" si="35"/>
        <v>0</v>
      </c>
      <c r="AA127" s="385">
        <f t="shared" si="36"/>
        <v>0</v>
      </c>
      <c r="AB127" s="196">
        <f t="shared" si="37"/>
        <v>43213</v>
      </c>
      <c r="AC127" s="425">
        <f t="shared" si="38"/>
        <v>0</v>
      </c>
      <c r="AD127" s="168">
        <f>(INDEX(Models!$BJ127:$BT127,,AH127)*(1-AF127)+INDEX(Models!$BJ127:$BT127,,AH127+1)*AF127-ERP_i)*AE127*Ramure*Pc/MaxiM</f>
        <v>2.8759134175546149E-6</v>
      </c>
      <c r="AE127" s="304">
        <f t="shared" si="39"/>
        <v>0.5</v>
      </c>
      <c r="AF127" s="176">
        <f t="shared" si="40"/>
        <v>0.57105404798641035</v>
      </c>
      <c r="AG127" s="814">
        <f t="shared" si="41"/>
        <v>-1</v>
      </c>
      <c r="AH127" s="175">
        <f t="shared" si="42"/>
        <v>5</v>
      </c>
      <c r="AI127" s="224">
        <f t="shared" si="43"/>
        <v>-0.42894595201358965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89"/>
      <c r="D128" s="392"/>
      <c r="E128" s="384"/>
      <c r="F128" s="384"/>
      <c r="G128" s="110"/>
      <c r="I128" s="379">
        <f t="shared" si="24"/>
        <v>0</v>
      </c>
      <c r="J128" s="85">
        <v>2018</v>
      </c>
      <c r="K128" s="196">
        <f t="shared" si="25"/>
        <v>43214</v>
      </c>
      <c r="L128" s="436">
        <f t="shared" si="26"/>
        <v>0</v>
      </c>
      <c r="M128" s="858"/>
      <c r="N128" s="858"/>
      <c r="O128" s="323">
        <f t="shared" si="27"/>
        <v>0</v>
      </c>
      <c r="P128" s="168">
        <f>(INDEX(Models!$BJ128:$BT128,,T128)*(1-R128)+INDEX(Models!$BJ128:$BT128,,T128+1)*R128-ERP_i)*Q128*Ramure*Pc/MaxiM</f>
        <v>2.9594575326387559E-6</v>
      </c>
      <c r="Q128" s="304">
        <f t="shared" si="28"/>
        <v>0.5</v>
      </c>
      <c r="R128" s="176">
        <f t="shared" si="29"/>
        <v>0.57239864761835924</v>
      </c>
      <c r="S128" s="814">
        <f t="shared" si="47"/>
        <v>-1</v>
      </c>
      <c r="T128" s="175">
        <f t="shared" si="30"/>
        <v>5</v>
      </c>
      <c r="U128" s="250">
        <f t="shared" si="31"/>
        <v>-0.42760135238164076</v>
      </c>
      <c r="V128" s="382">
        <f t="shared" si="32"/>
        <v>59.318830862737549</v>
      </c>
      <c r="W128" s="58"/>
      <c r="X128" s="157">
        <f t="shared" si="33"/>
        <v>43214</v>
      </c>
      <c r="Y128" s="384">
        <f t="shared" si="34"/>
        <v>0</v>
      </c>
      <c r="Z128" s="384">
        <f t="shared" si="35"/>
        <v>0</v>
      </c>
      <c r="AA128" s="385">
        <f t="shared" si="36"/>
        <v>0</v>
      </c>
      <c r="AB128" s="196">
        <f t="shared" si="37"/>
        <v>43214</v>
      </c>
      <c r="AC128" s="425">
        <f t="shared" si="38"/>
        <v>0</v>
      </c>
      <c r="AD128" s="168">
        <f>(INDEX(Models!$BJ128:$BT128,,AH128)*(1-AF128)+INDEX(Models!$BJ128:$BT128,,AH128+1)*AF128-ERP_i)*AE128*Ramure*Pc/MaxiM</f>
        <v>2.9594575326387559E-6</v>
      </c>
      <c r="AE128" s="304">
        <f t="shared" si="39"/>
        <v>0.5</v>
      </c>
      <c r="AF128" s="176">
        <f t="shared" si="40"/>
        <v>0.57239864761835924</v>
      </c>
      <c r="AG128" s="814">
        <f t="shared" si="41"/>
        <v>-1</v>
      </c>
      <c r="AH128" s="175">
        <f t="shared" si="42"/>
        <v>5</v>
      </c>
      <c r="AI128" s="224">
        <f t="shared" si="43"/>
        <v>-0.42760135238164076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89"/>
      <c r="D129" s="392"/>
      <c r="E129" s="384"/>
      <c r="F129" s="384"/>
      <c r="G129" s="110"/>
      <c r="I129" s="379">
        <f t="shared" si="24"/>
        <v>0</v>
      </c>
      <c r="J129" s="85">
        <v>2018</v>
      </c>
      <c r="K129" s="196">
        <f t="shared" si="25"/>
        <v>43215</v>
      </c>
      <c r="L129" s="436">
        <f t="shared" si="26"/>
        <v>0</v>
      </c>
      <c r="M129" s="858"/>
      <c r="N129" s="858"/>
      <c r="O129" s="323">
        <f t="shared" si="27"/>
        <v>0</v>
      </c>
      <c r="P129" s="168">
        <f>(INDEX(Models!$BJ129:$BT129,,T129)*(1-R129)+INDEX(Models!$BJ129:$BT129,,T129+1)*R129-ERP_i)*Q129*Ramure*Pc/MaxiM</f>
        <v>3.0678016334666275E-6</v>
      </c>
      <c r="Q129" s="304">
        <f t="shared" si="28"/>
        <v>0.5</v>
      </c>
      <c r="R129" s="176">
        <f t="shared" si="29"/>
        <v>0.57378515252133866</v>
      </c>
      <c r="S129" s="814">
        <f t="shared" si="47"/>
        <v>-1</v>
      </c>
      <c r="T129" s="175">
        <f t="shared" si="30"/>
        <v>5</v>
      </c>
      <c r="U129" s="250">
        <f t="shared" si="31"/>
        <v>-0.42621484747866129</v>
      </c>
      <c r="V129" s="382">
        <f t="shared" si="32"/>
        <v>59.41994657418968</v>
      </c>
      <c r="W129" s="58"/>
      <c r="X129" s="157">
        <f t="shared" si="33"/>
        <v>43215</v>
      </c>
      <c r="Y129" s="384">
        <f t="shared" si="34"/>
        <v>0</v>
      </c>
      <c r="Z129" s="384">
        <f t="shared" si="35"/>
        <v>0</v>
      </c>
      <c r="AA129" s="385">
        <f t="shared" si="36"/>
        <v>0</v>
      </c>
      <c r="AB129" s="196">
        <f t="shared" si="37"/>
        <v>43215</v>
      </c>
      <c r="AC129" s="425">
        <f t="shared" si="38"/>
        <v>0</v>
      </c>
      <c r="AD129" s="168">
        <f>(INDEX(Models!$BJ129:$BT129,,AH129)*(1-AF129)+INDEX(Models!$BJ129:$BT129,,AH129+1)*AF129-ERP_i)*AE129*Ramure*Pc/MaxiM</f>
        <v>3.0678016334666275E-6</v>
      </c>
      <c r="AE129" s="304">
        <f t="shared" si="39"/>
        <v>0.5</v>
      </c>
      <c r="AF129" s="176">
        <f t="shared" si="40"/>
        <v>0.57378515252133866</v>
      </c>
      <c r="AG129" s="814">
        <f t="shared" si="41"/>
        <v>-1</v>
      </c>
      <c r="AH129" s="175">
        <f t="shared" si="42"/>
        <v>5</v>
      </c>
      <c r="AI129" s="224">
        <f t="shared" si="43"/>
        <v>-0.42621484747866129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89"/>
      <c r="D130" s="392"/>
      <c r="E130" s="384"/>
      <c r="F130" s="384"/>
      <c r="G130" s="110"/>
      <c r="I130" s="379">
        <f t="shared" si="24"/>
        <v>0</v>
      </c>
      <c r="J130" s="85">
        <v>2018</v>
      </c>
      <c r="K130" s="196">
        <f t="shared" si="25"/>
        <v>43216</v>
      </c>
      <c r="L130" s="436">
        <f t="shared" si="26"/>
        <v>0</v>
      </c>
      <c r="M130" s="858"/>
      <c r="N130" s="858"/>
      <c r="O130" s="323">
        <f t="shared" si="27"/>
        <v>0</v>
      </c>
      <c r="P130" s="168">
        <f>(INDEX(Models!$BJ130:$BT130,,T130)*(1-R130)+INDEX(Models!$BJ130:$BT130,,T130+1)*R130-ERP_i)*Q130*Ramure*Pc/MaxiM</f>
        <v>3.2036724410185651E-6</v>
      </c>
      <c r="Q130" s="304">
        <f t="shared" si="28"/>
        <v>0.5</v>
      </c>
      <c r="R130" s="176">
        <f t="shared" si="29"/>
        <v>0.57521432658805405</v>
      </c>
      <c r="S130" s="814">
        <f t="shared" si="47"/>
        <v>-1</v>
      </c>
      <c r="T130" s="175">
        <f t="shared" si="30"/>
        <v>5</v>
      </c>
      <c r="U130" s="250">
        <f t="shared" si="31"/>
        <v>-0.4247856734119459</v>
      </c>
      <c r="V130" s="382">
        <f t="shared" si="32"/>
        <v>59.515860059330457</v>
      </c>
      <c r="W130" s="58"/>
      <c r="X130" s="157">
        <f t="shared" si="33"/>
        <v>43216</v>
      </c>
      <c r="Y130" s="384">
        <f t="shared" si="34"/>
        <v>0</v>
      </c>
      <c r="Z130" s="384">
        <f t="shared" si="35"/>
        <v>0</v>
      </c>
      <c r="AA130" s="385">
        <f t="shared" si="36"/>
        <v>0</v>
      </c>
      <c r="AB130" s="196">
        <f t="shared" si="37"/>
        <v>43216</v>
      </c>
      <c r="AC130" s="425">
        <f t="shared" si="38"/>
        <v>0</v>
      </c>
      <c r="AD130" s="168">
        <f>(INDEX(Models!$BJ130:$BT130,,AH130)*(1-AF130)+INDEX(Models!$BJ130:$BT130,,AH130+1)*AF130-ERP_i)*AE130*Ramure*Pc/MaxiM</f>
        <v>3.2036724410185651E-6</v>
      </c>
      <c r="AE130" s="304">
        <f t="shared" si="39"/>
        <v>0.5</v>
      </c>
      <c r="AF130" s="176">
        <f t="shared" si="40"/>
        <v>0.57521432658805405</v>
      </c>
      <c r="AG130" s="814">
        <f t="shared" si="41"/>
        <v>-1</v>
      </c>
      <c r="AH130" s="175">
        <f t="shared" si="42"/>
        <v>5</v>
      </c>
      <c r="AI130" s="224">
        <f t="shared" si="43"/>
        <v>-0.4247856734119459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89"/>
      <c r="D131" s="392"/>
      <c r="E131" s="384"/>
      <c r="F131" s="384"/>
      <c r="G131" s="110"/>
      <c r="I131" s="379">
        <f t="shared" si="24"/>
        <v>0</v>
      </c>
      <c r="J131" s="85">
        <v>2018</v>
      </c>
      <c r="K131" s="196">
        <f t="shared" si="25"/>
        <v>43217</v>
      </c>
      <c r="L131" s="436">
        <f t="shared" si="26"/>
        <v>0</v>
      </c>
      <c r="M131" s="858"/>
      <c r="N131" s="858"/>
      <c r="O131" s="323">
        <f t="shared" si="27"/>
        <v>0</v>
      </c>
      <c r="P131" s="168">
        <f>(INDEX(Models!$BJ131:$BT131,,T131)*(1-R131)+INDEX(Models!$BJ131:$BT131,,T131+1)*R131-ERP_i)*Q131*Ramure*Pc/MaxiM</f>
        <v>3.3700101897379126E-6</v>
      </c>
      <c r="Q131" s="304">
        <f t="shared" si="28"/>
        <v>0.5</v>
      </c>
      <c r="R131" s="176">
        <f t="shared" si="29"/>
        <v>0.57668690718033511</v>
      </c>
      <c r="S131" s="814">
        <f t="shared" si="47"/>
        <v>-1</v>
      </c>
      <c r="T131" s="175">
        <f t="shared" si="30"/>
        <v>5</v>
      </c>
      <c r="U131" s="250">
        <f t="shared" si="31"/>
        <v>-0.42331309281966489</v>
      </c>
      <c r="V131" s="382">
        <f t="shared" si="32"/>
        <v>59.607004517978787</v>
      </c>
      <c r="W131" s="58"/>
      <c r="X131" s="157">
        <f t="shared" si="33"/>
        <v>43217</v>
      </c>
      <c r="Y131" s="384">
        <f t="shared" si="34"/>
        <v>0</v>
      </c>
      <c r="Z131" s="384">
        <f t="shared" si="35"/>
        <v>0</v>
      </c>
      <c r="AA131" s="385">
        <f t="shared" si="36"/>
        <v>0</v>
      </c>
      <c r="AB131" s="196">
        <f t="shared" si="37"/>
        <v>43217</v>
      </c>
      <c r="AC131" s="425">
        <f t="shared" si="38"/>
        <v>0</v>
      </c>
      <c r="AD131" s="168">
        <f>(INDEX(Models!$BJ131:$BT131,,AH131)*(1-AF131)+INDEX(Models!$BJ131:$BT131,,AH131+1)*AF131-ERP_i)*AE131*Ramure*Pc/MaxiM</f>
        <v>3.3700101897379126E-6</v>
      </c>
      <c r="AE131" s="304">
        <f t="shared" si="39"/>
        <v>0.5</v>
      </c>
      <c r="AF131" s="176">
        <f t="shared" si="40"/>
        <v>0.57668690718033511</v>
      </c>
      <c r="AG131" s="814">
        <f t="shared" si="41"/>
        <v>-1</v>
      </c>
      <c r="AH131" s="175">
        <f t="shared" si="42"/>
        <v>5</v>
      </c>
      <c r="AI131" s="224">
        <f t="shared" si="43"/>
        <v>-0.42331309281966489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89"/>
      <c r="D132" s="392"/>
      <c r="E132" s="384"/>
      <c r="F132" s="384"/>
      <c r="G132" s="110"/>
      <c r="I132" s="379">
        <f t="shared" si="24"/>
        <v>0</v>
      </c>
      <c r="J132" s="85">
        <v>2018</v>
      </c>
      <c r="K132" s="196">
        <f t="shared" si="25"/>
        <v>43218</v>
      </c>
      <c r="L132" s="436">
        <f t="shared" si="26"/>
        <v>0</v>
      </c>
      <c r="M132" s="858"/>
      <c r="N132" s="858"/>
      <c r="O132" s="323">
        <f t="shared" si="27"/>
        <v>0</v>
      </c>
      <c r="P132" s="168">
        <f>(INDEX(Models!$BJ132:$BT132,,T132)*(1-R132)+INDEX(Models!$BJ132:$BT132,,T132+1)*R132-ERP_i)*Q132*Ramure*Pc/MaxiM</f>
        <v>3.56997866365794E-6</v>
      </c>
      <c r="Q132" s="304">
        <f t="shared" si="28"/>
        <v>0.5</v>
      </c>
      <c r="R132" s="176">
        <f t="shared" si="29"/>
        <v>0.57820360160606143</v>
      </c>
      <c r="S132" s="814">
        <f t="shared" si="47"/>
        <v>-1</v>
      </c>
      <c r="T132" s="175">
        <f t="shared" si="30"/>
        <v>5</v>
      </c>
      <c r="U132" s="250">
        <f t="shared" si="31"/>
        <v>-0.42179639839393851</v>
      </c>
      <c r="V132" s="382">
        <f t="shared" si="32"/>
        <v>59.693813134093553</v>
      </c>
      <c r="W132" s="58"/>
      <c r="X132" s="157">
        <f t="shared" si="33"/>
        <v>43218</v>
      </c>
      <c r="Y132" s="384">
        <f t="shared" si="34"/>
        <v>0</v>
      </c>
      <c r="Z132" s="384">
        <f t="shared" si="35"/>
        <v>0</v>
      </c>
      <c r="AA132" s="385">
        <f t="shared" si="36"/>
        <v>0</v>
      </c>
      <c r="AB132" s="196">
        <f t="shared" si="37"/>
        <v>43218</v>
      </c>
      <c r="AC132" s="425">
        <f t="shared" si="38"/>
        <v>0</v>
      </c>
      <c r="AD132" s="168">
        <f>(INDEX(Models!$BJ132:$BT132,,AH132)*(1-AF132)+INDEX(Models!$BJ132:$BT132,,AH132+1)*AF132-ERP_i)*AE132*Ramure*Pc/MaxiM</f>
        <v>3.56997866365794E-6</v>
      </c>
      <c r="AE132" s="304">
        <f t="shared" si="39"/>
        <v>0.5</v>
      </c>
      <c r="AF132" s="176">
        <f t="shared" si="40"/>
        <v>0.57820360160606143</v>
      </c>
      <c r="AG132" s="814">
        <f t="shared" si="41"/>
        <v>-1</v>
      </c>
      <c r="AH132" s="175">
        <f t="shared" si="42"/>
        <v>5</v>
      </c>
      <c r="AI132" s="224">
        <f t="shared" si="43"/>
        <v>-0.42179639839393851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89"/>
      <c r="D133" s="392"/>
      <c r="E133" s="384"/>
      <c r="F133" s="384"/>
      <c r="G133" s="110"/>
      <c r="I133" s="379">
        <f t="shared" si="24"/>
        <v>0</v>
      </c>
      <c r="J133" s="85">
        <v>2018</v>
      </c>
      <c r="K133" s="196">
        <f t="shared" si="25"/>
        <v>43219</v>
      </c>
      <c r="L133" s="436">
        <f t="shared" si="26"/>
        <v>0</v>
      </c>
      <c r="M133" s="858"/>
      <c r="N133" s="858"/>
      <c r="O133" s="323">
        <f t="shared" si="27"/>
        <v>0</v>
      </c>
      <c r="P133" s="168">
        <f>(INDEX(Models!$BJ133:$BT133,,T133)*(1-R133)+INDEX(Models!$BJ133:$BT133,,T133+1)*R133-ERP_i)*Q133*Ramure*Pc/MaxiM</f>
        <v>3.8069749506834028E-6</v>
      </c>
      <c r="Q133" s="304">
        <f t="shared" si="28"/>
        <v>0.5</v>
      </c>
      <c r="R133" s="176">
        <f t="shared" si="29"/>
        <v>0.57976508346274069</v>
      </c>
      <c r="S133" s="814">
        <f t="shared" si="47"/>
        <v>-1</v>
      </c>
      <c r="T133" s="175">
        <f t="shared" si="30"/>
        <v>5</v>
      </c>
      <c r="U133" s="250">
        <f t="shared" si="31"/>
        <v>-0.42023491653725931</v>
      </c>
      <c r="V133" s="382">
        <f t="shared" si="32"/>
        <v>59.776719078552453</v>
      </c>
      <c r="W133" s="58"/>
      <c r="X133" s="157">
        <f t="shared" si="33"/>
        <v>43219</v>
      </c>
      <c r="Y133" s="384">
        <f t="shared" si="34"/>
        <v>0</v>
      </c>
      <c r="Z133" s="384">
        <f t="shared" si="35"/>
        <v>0</v>
      </c>
      <c r="AA133" s="385">
        <f t="shared" si="36"/>
        <v>0</v>
      </c>
      <c r="AB133" s="196">
        <f t="shared" si="37"/>
        <v>43219</v>
      </c>
      <c r="AC133" s="425">
        <f t="shared" si="38"/>
        <v>0</v>
      </c>
      <c r="AD133" s="168">
        <f>(INDEX(Models!$BJ133:$BT133,,AH133)*(1-AF133)+INDEX(Models!$BJ133:$BT133,,AH133+1)*AF133-ERP_i)*AE133*Ramure*Pc/MaxiM</f>
        <v>3.8069749506834028E-6</v>
      </c>
      <c r="AE133" s="304">
        <f t="shared" si="39"/>
        <v>0.5</v>
      </c>
      <c r="AF133" s="176">
        <f t="shared" si="40"/>
        <v>0.57976508346274069</v>
      </c>
      <c r="AG133" s="814">
        <f t="shared" si="41"/>
        <v>-1</v>
      </c>
      <c r="AH133" s="175">
        <f t="shared" si="42"/>
        <v>5</v>
      </c>
      <c r="AI133" s="224">
        <f t="shared" si="43"/>
        <v>-0.42023491653725931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89"/>
      <c r="D134" s="392"/>
      <c r="E134" s="384"/>
      <c r="F134" s="384"/>
      <c r="G134" s="110"/>
      <c r="I134" s="379">
        <f t="shared" si="24"/>
        <v>0</v>
      </c>
      <c r="J134" s="85">
        <v>2018</v>
      </c>
      <c r="K134" s="196">
        <f t="shared" si="25"/>
        <v>43220</v>
      </c>
      <c r="L134" s="436">
        <f t="shared" si="26"/>
        <v>0</v>
      </c>
      <c r="M134" s="858"/>
      <c r="N134" s="858"/>
      <c r="O134" s="323">
        <f t="shared" si="27"/>
        <v>0</v>
      </c>
      <c r="P134" s="168">
        <f>(INDEX(Models!$BJ134:$BT134,,T134)*(1-R134)+INDEX(Models!$BJ134:$BT134,,T134+1)*R134-ERP_i)*Q134*Ramure*Pc/MaxiM</f>
        <v>4.0846387883526396E-6</v>
      </c>
      <c r="Q134" s="304">
        <f t="shared" si="28"/>
        <v>0.5</v>
      </c>
      <c r="R134" s="176">
        <f t="shared" si="29"/>
        <v>0.58137198885710817</v>
      </c>
      <c r="S134" s="814">
        <f t="shared" si="47"/>
        <v>-1</v>
      </c>
      <c r="T134" s="175">
        <f t="shared" si="30"/>
        <v>5</v>
      </c>
      <c r="U134" s="250">
        <f t="shared" si="31"/>
        <v>-0.41862801114289183</v>
      </c>
      <c r="V134" s="382">
        <f t="shared" si="32"/>
        <v>59.856155509275865</v>
      </c>
      <c r="W134" s="58"/>
      <c r="X134" s="157">
        <f t="shared" si="33"/>
        <v>43220</v>
      </c>
      <c r="Y134" s="384">
        <f t="shared" si="34"/>
        <v>0</v>
      </c>
      <c r="Z134" s="384">
        <f t="shared" si="35"/>
        <v>0</v>
      </c>
      <c r="AA134" s="385">
        <f t="shared" si="36"/>
        <v>0</v>
      </c>
      <c r="AB134" s="196">
        <f t="shared" si="37"/>
        <v>43220</v>
      </c>
      <c r="AC134" s="425">
        <f t="shared" si="38"/>
        <v>0</v>
      </c>
      <c r="AD134" s="168">
        <f>(INDEX(Models!$BJ134:$BT134,,AH134)*(1-AF134)+INDEX(Models!$BJ134:$BT134,,AH134+1)*AF134-ERP_i)*AE134*Ramure*Pc/MaxiM</f>
        <v>4.0846387883526396E-6</v>
      </c>
      <c r="AE134" s="304">
        <f t="shared" si="39"/>
        <v>0.5</v>
      </c>
      <c r="AF134" s="176">
        <f t="shared" si="40"/>
        <v>0.58137198885710817</v>
      </c>
      <c r="AG134" s="814">
        <f t="shared" si="41"/>
        <v>-1</v>
      </c>
      <c r="AH134" s="175">
        <f t="shared" si="42"/>
        <v>5</v>
      </c>
      <c r="AI134" s="224">
        <f t="shared" si="43"/>
        <v>-0.41862801114289183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89"/>
      <c r="D135" s="392"/>
      <c r="E135" s="384"/>
      <c r="F135" s="384"/>
      <c r="G135" s="110"/>
      <c r="I135" s="379">
        <f t="shared" si="24"/>
        <v>0</v>
      </c>
      <c r="J135" s="85">
        <v>2018</v>
      </c>
      <c r="K135" s="196">
        <f t="shared" si="25"/>
        <v>43221</v>
      </c>
      <c r="L135" s="436">
        <f t="shared" si="26"/>
        <v>0</v>
      </c>
      <c r="M135" s="858"/>
      <c r="N135" s="858"/>
      <c r="O135" s="323">
        <f t="shared" si="27"/>
        <v>0</v>
      </c>
      <c r="P135" s="168">
        <f>(INDEX(Models!$BJ135:$BT135,,T135)*(1-R135)+INDEX(Models!$BJ135:$BT135,,T135+1)*R135-ERP_i)*Q135*Ramure*Pc/MaxiM</f>
        <v>4.4070100765403308E-6</v>
      </c>
      <c r="Q135" s="304">
        <f t="shared" si="28"/>
        <v>0.5</v>
      </c>
      <c r="R135" s="176">
        <f t="shared" si="29"/>
        <v>0.58302491251194422</v>
      </c>
      <c r="S135" s="814">
        <f t="shared" si="47"/>
        <v>-1</v>
      </c>
      <c r="T135" s="175">
        <f t="shared" si="30"/>
        <v>5</v>
      </c>
      <c r="U135" s="250">
        <f t="shared" si="31"/>
        <v>-0.41697508748805578</v>
      </c>
      <c r="V135" s="382">
        <f t="shared" si="32"/>
        <v>59.930533116501387</v>
      </c>
      <c r="W135" s="58"/>
      <c r="X135" s="157">
        <f t="shared" si="33"/>
        <v>43221</v>
      </c>
      <c r="Y135" s="384">
        <f t="shared" si="34"/>
        <v>0</v>
      </c>
      <c r="Z135" s="384">
        <f t="shared" si="35"/>
        <v>0</v>
      </c>
      <c r="AA135" s="385">
        <f t="shared" si="36"/>
        <v>0</v>
      </c>
      <c r="AB135" s="196">
        <f t="shared" si="37"/>
        <v>43221</v>
      </c>
      <c r="AC135" s="425">
        <f t="shared" si="38"/>
        <v>0</v>
      </c>
      <c r="AD135" s="168">
        <f>(INDEX(Models!$BJ135:$BT135,,AH135)*(1-AF135)+INDEX(Models!$BJ135:$BT135,,AH135+1)*AF135-ERP_i)*AE135*Ramure*Pc/MaxiM</f>
        <v>4.4070100765403308E-6</v>
      </c>
      <c r="AE135" s="304">
        <f t="shared" si="39"/>
        <v>0.5</v>
      </c>
      <c r="AF135" s="176">
        <f t="shared" si="40"/>
        <v>0.58302491251194422</v>
      </c>
      <c r="AG135" s="814">
        <f t="shared" si="41"/>
        <v>-1</v>
      </c>
      <c r="AH135" s="175">
        <f t="shared" si="42"/>
        <v>5</v>
      </c>
      <c r="AI135" s="224">
        <f t="shared" si="43"/>
        <v>-0.41697508748805578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89"/>
      <c r="D136" s="392"/>
      <c r="E136" s="384"/>
      <c r="F136" s="384"/>
      <c r="G136" s="110"/>
      <c r="I136" s="379">
        <f t="shared" si="24"/>
        <v>0</v>
      </c>
      <c r="J136" s="85">
        <v>2018</v>
      </c>
      <c r="K136" s="196">
        <f t="shared" si="25"/>
        <v>43222</v>
      </c>
      <c r="L136" s="436">
        <f t="shared" si="26"/>
        <v>0</v>
      </c>
      <c r="M136" s="858"/>
      <c r="N136" s="858"/>
      <c r="O136" s="323">
        <f t="shared" si="27"/>
        <v>0</v>
      </c>
      <c r="P136" s="168">
        <f>(INDEX(Models!$BJ136:$BT136,,T136)*(1-R136)+INDEX(Models!$BJ136:$BT136,,T136+1)*R136-ERP_i)*Q136*Ramure*Pc/MaxiM</f>
        <v>4.7817084364959251E-6</v>
      </c>
      <c r="Q136" s="304">
        <f t="shared" si="28"/>
        <v>0.5</v>
      </c>
      <c r="R136" s="176">
        <f t="shared" si="29"/>
        <v>0.58472440377320523</v>
      </c>
      <c r="S136" s="814">
        <f t="shared" si="47"/>
        <v>-1</v>
      </c>
      <c r="T136" s="175">
        <f t="shared" si="30"/>
        <v>5</v>
      </c>
      <c r="U136" s="250">
        <f t="shared" si="31"/>
        <v>-0.41527559622679477</v>
      </c>
      <c r="V136" s="382">
        <f t="shared" si="32"/>
        <v>59.998262377082938</v>
      </c>
      <c r="W136" s="58"/>
      <c r="X136" s="157">
        <f t="shared" si="33"/>
        <v>43222</v>
      </c>
      <c r="Y136" s="384">
        <f t="shared" si="34"/>
        <v>0</v>
      </c>
      <c r="Z136" s="384">
        <f t="shared" si="35"/>
        <v>0</v>
      </c>
      <c r="AA136" s="385">
        <f t="shared" si="36"/>
        <v>0</v>
      </c>
      <c r="AB136" s="196">
        <f t="shared" si="37"/>
        <v>43222</v>
      </c>
      <c r="AC136" s="425">
        <f t="shared" si="38"/>
        <v>0</v>
      </c>
      <c r="AD136" s="168">
        <f>(INDEX(Models!$BJ136:$BT136,,AH136)*(1-AF136)+INDEX(Models!$BJ136:$BT136,,AH136+1)*AF136-ERP_i)*AE136*Ramure*Pc/MaxiM</f>
        <v>4.7817084364959251E-6</v>
      </c>
      <c r="AE136" s="304">
        <f t="shared" si="39"/>
        <v>0.5</v>
      </c>
      <c r="AF136" s="176">
        <f t="shared" si="40"/>
        <v>0.58472440377320523</v>
      </c>
      <c r="AG136" s="814">
        <f t="shared" si="41"/>
        <v>-1</v>
      </c>
      <c r="AH136" s="175">
        <f t="shared" si="42"/>
        <v>5</v>
      </c>
      <c r="AI136" s="224">
        <f t="shared" si="43"/>
        <v>-0.41527559622679477</v>
      </c>
      <c r="AJ136" s="264" t="b">
        <f t="shared" si="44"/>
        <v>1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89"/>
      <c r="D137" s="392"/>
      <c r="E137" s="384"/>
      <c r="F137" s="384"/>
      <c r="G137" s="110"/>
      <c r="I137" s="379">
        <f t="shared" si="24"/>
        <v>0</v>
      </c>
      <c r="J137" s="85">
        <v>2018</v>
      </c>
      <c r="K137" s="196">
        <f t="shared" si="25"/>
        <v>43223</v>
      </c>
      <c r="L137" s="436">
        <f t="shared" si="26"/>
        <v>0</v>
      </c>
      <c r="M137" s="858"/>
      <c r="N137" s="858"/>
      <c r="O137" s="323">
        <f t="shared" si="27"/>
        <v>0</v>
      </c>
      <c r="P137" s="168">
        <f>(INDEX(Models!$BJ137:$BT137,,T137)*(1-R137)+INDEX(Models!$BJ137:$BT137,,T137+1)*R137-ERP_i)*Q137*Ramure*Pc/MaxiM</f>
        <v>5.1935318594802134E-6</v>
      </c>
      <c r="Q137" s="304">
        <f t="shared" si="28"/>
        <v>0.5</v>
      </c>
      <c r="R137" s="176">
        <f t="shared" si="29"/>
        <v>0.58647096253254349</v>
      </c>
      <c r="S137" s="814">
        <f t="shared" si="47"/>
        <v>-1</v>
      </c>
      <c r="T137" s="175">
        <f t="shared" si="30"/>
        <v>5</v>
      </c>
      <c r="U137" s="250">
        <f t="shared" si="31"/>
        <v>-0.41352903746745651</v>
      </c>
      <c r="V137" s="382">
        <f t="shared" si="32"/>
        <v>60.059777580943333</v>
      </c>
      <c r="W137" s="58"/>
      <c r="X137" s="157">
        <f t="shared" si="33"/>
        <v>43223</v>
      </c>
      <c r="Y137" s="384">
        <f t="shared" si="34"/>
        <v>0</v>
      </c>
      <c r="Z137" s="384">
        <f t="shared" si="35"/>
        <v>0</v>
      </c>
      <c r="AA137" s="385">
        <f t="shared" si="36"/>
        <v>0</v>
      </c>
      <c r="AB137" s="196">
        <f t="shared" si="37"/>
        <v>43223</v>
      </c>
      <c r="AC137" s="425">
        <f t="shared" si="38"/>
        <v>0</v>
      </c>
      <c r="AD137" s="168">
        <f>(INDEX(Models!$BJ137:$BT137,,AH137)*(1-AF137)+INDEX(Models!$BJ137:$BT137,,AH137+1)*AF137-ERP_i)*AE137*Ramure*Pc/MaxiM</f>
        <v>5.1935318594802134E-6</v>
      </c>
      <c r="AE137" s="304">
        <f t="shared" si="39"/>
        <v>0.5</v>
      </c>
      <c r="AF137" s="176">
        <f t="shared" si="40"/>
        <v>0.58647096253254349</v>
      </c>
      <c r="AG137" s="814">
        <f t="shared" si="41"/>
        <v>-1</v>
      </c>
      <c r="AH137" s="175">
        <f t="shared" si="42"/>
        <v>5</v>
      </c>
      <c r="AI137" s="224">
        <f t="shared" si="43"/>
        <v>-0.41352903746745651</v>
      </c>
      <c r="AJ137" s="264" t="b">
        <f t="shared" si="44"/>
        <v>1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89"/>
      <c r="D138" s="392"/>
      <c r="E138" s="384"/>
      <c r="F138" s="384"/>
      <c r="G138" s="110"/>
      <c r="I138" s="379">
        <f t="shared" si="24"/>
        <v>0</v>
      </c>
      <c r="J138" s="85">
        <v>2018</v>
      </c>
      <c r="K138" s="196">
        <f t="shared" si="25"/>
        <v>43224</v>
      </c>
      <c r="L138" s="436">
        <f t="shared" si="26"/>
        <v>0</v>
      </c>
      <c r="M138" s="858"/>
      <c r="N138" s="858"/>
      <c r="O138" s="323">
        <f t="shared" si="27"/>
        <v>0</v>
      </c>
      <c r="P138" s="168">
        <f>(INDEX(Models!$BJ138:$BT138,,T138)*(1-R138)+INDEX(Models!$BJ138:$BT138,,T138+1)*R138-ERP_i)*Q138*Ramure*Pc/MaxiM</f>
        <v>5.6452927281855128E-6</v>
      </c>
      <c r="Q138" s="304">
        <f t="shared" si="28"/>
        <v>0.5</v>
      </c>
      <c r="R138" s="176">
        <f t="shared" si="29"/>
        <v>0.58826503508231776</v>
      </c>
      <c r="S138" s="814">
        <f t="shared" si="47"/>
        <v>-1</v>
      </c>
      <c r="T138" s="175">
        <f t="shared" si="30"/>
        <v>5</v>
      </c>
      <c r="U138" s="250">
        <f t="shared" si="31"/>
        <v>-0.41173496491768224</v>
      </c>
      <c r="V138" s="382">
        <f t="shared" si="32"/>
        <v>60.11551194108462</v>
      </c>
      <c r="W138" s="58"/>
      <c r="X138" s="157">
        <f t="shared" si="33"/>
        <v>43224</v>
      </c>
      <c r="Y138" s="384">
        <f t="shared" si="34"/>
        <v>0</v>
      </c>
      <c r="Z138" s="384">
        <f t="shared" si="35"/>
        <v>0</v>
      </c>
      <c r="AA138" s="385">
        <f t="shared" si="36"/>
        <v>0</v>
      </c>
      <c r="AB138" s="196">
        <f t="shared" si="37"/>
        <v>43224</v>
      </c>
      <c r="AC138" s="425">
        <f t="shared" si="38"/>
        <v>0</v>
      </c>
      <c r="AD138" s="168">
        <f>(INDEX(Models!$BJ138:$BT138,,AH138)*(1-AF138)+INDEX(Models!$BJ138:$BT138,,AH138+1)*AF138-ERP_i)*AE138*Ramure*Pc/MaxiM</f>
        <v>5.6452927281855128E-6</v>
      </c>
      <c r="AE138" s="304">
        <f t="shared" si="39"/>
        <v>0.5</v>
      </c>
      <c r="AF138" s="176">
        <f t="shared" si="40"/>
        <v>0.58826503508231776</v>
      </c>
      <c r="AG138" s="814">
        <f t="shared" si="41"/>
        <v>-1</v>
      </c>
      <c r="AH138" s="175">
        <f t="shared" si="42"/>
        <v>5</v>
      </c>
      <c r="AI138" s="224">
        <f t="shared" si="43"/>
        <v>-0.41173496491768224</v>
      </c>
      <c r="AJ138" s="264" t="b">
        <f t="shared" si="44"/>
        <v>1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89"/>
      <c r="D139" s="392"/>
      <c r="E139" s="384"/>
      <c r="F139" s="384"/>
      <c r="G139" s="110"/>
      <c r="I139" s="379">
        <f t="shared" si="24"/>
        <v>0</v>
      </c>
      <c r="J139" s="85">
        <v>2018</v>
      </c>
      <c r="K139" s="196">
        <f t="shared" si="25"/>
        <v>43225</v>
      </c>
      <c r="L139" s="436">
        <f t="shared" si="26"/>
        <v>0</v>
      </c>
      <c r="M139" s="858"/>
      <c r="N139" s="858"/>
      <c r="O139" s="323">
        <f t="shared" si="27"/>
        <v>0</v>
      </c>
      <c r="P139" s="168">
        <f>(INDEX(Models!$BJ139:$BT139,,T139)*(1-R139)+INDEX(Models!$BJ139:$BT139,,T139+1)*R139-ERP_i)*Q139*Ramure*Pc/MaxiM</f>
        <v>6.1399561086180224E-6</v>
      </c>
      <c r="Q139" s="304">
        <f t="shared" si="28"/>
        <v>0.5</v>
      </c>
      <c r="R139" s="176">
        <f t="shared" si="29"/>
        <v>0.59010700992226361</v>
      </c>
      <c r="S139" s="814">
        <f t="shared" si="47"/>
        <v>-1</v>
      </c>
      <c r="T139" s="175">
        <f t="shared" si="30"/>
        <v>5</v>
      </c>
      <c r="U139" s="250">
        <f t="shared" si="31"/>
        <v>-0.40989299007773639</v>
      </c>
      <c r="V139" s="382">
        <f t="shared" si="32"/>
        <v>60.165898658050089</v>
      </c>
      <c r="W139" s="58"/>
      <c r="X139" s="157">
        <f t="shared" si="33"/>
        <v>43225</v>
      </c>
      <c r="Y139" s="384">
        <f t="shared" si="34"/>
        <v>0</v>
      </c>
      <c r="Z139" s="384">
        <f t="shared" si="35"/>
        <v>0</v>
      </c>
      <c r="AA139" s="385">
        <f t="shared" si="36"/>
        <v>0</v>
      </c>
      <c r="AB139" s="196">
        <f t="shared" si="37"/>
        <v>43225</v>
      </c>
      <c r="AC139" s="425">
        <f t="shared" si="38"/>
        <v>0</v>
      </c>
      <c r="AD139" s="168">
        <f>(INDEX(Models!$BJ139:$BT139,,AH139)*(1-AF139)+INDEX(Models!$BJ139:$BT139,,AH139+1)*AF139-ERP_i)*AE139*Ramure*Pc/MaxiM</f>
        <v>6.1399561086180224E-6</v>
      </c>
      <c r="AE139" s="304">
        <f t="shared" si="39"/>
        <v>0.5</v>
      </c>
      <c r="AF139" s="176">
        <f t="shared" si="40"/>
        <v>0.59010700992226361</v>
      </c>
      <c r="AG139" s="814">
        <f t="shared" si="41"/>
        <v>-1</v>
      </c>
      <c r="AH139" s="175">
        <f t="shared" si="42"/>
        <v>5</v>
      </c>
      <c r="AI139" s="224">
        <f t="shared" si="43"/>
        <v>-0.40989299007773639</v>
      </c>
      <c r="AJ139" s="264" t="b">
        <f t="shared" si="44"/>
        <v>1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89"/>
      <c r="D140" s="392"/>
      <c r="E140" s="384"/>
      <c r="F140" s="384"/>
      <c r="G140" s="110"/>
      <c r="I140" s="379">
        <f t="shared" si="24"/>
        <v>0</v>
      </c>
      <c r="J140" s="85">
        <v>2018</v>
      </c>
      <c r="K140" s="196">
        <f t="shared" si="25"/>
        <v>43226</v>
      </c>
      <c r="L140" s="436">
        <f t="shared" si="26"/>
        <v>0</v>
      </c>
      <c r="M140" s="858"/>
      <c r="N140" s="858"/>
      <c r="O140" s="323">
        <f t="shared" si="27"/>
        <v>0</v>
      </c>
      <c r="P140" s="168">
        <f>(INDEX(Models!$BJ140:$BT140,,T140)*(1-R140)+INDEX(Models!$BJ140:$BT140,,T140+1)*R140-ERP_i)*Q140*Ramure*Pc/MaxiM</f>
        <v>6.6806413571096798E-6</v>
      </c>
      <c r="Q140" s="304">
        <f t="shared" si="28"/>
        <v>0.5</v>
      </c>
      <c r="R140" s="176">
        <f t="shared" si="29"/>
        <v>0.59199721353906842</v>
      </c>
      <c r="S140" s="814">
        <f t="shared" si="47"/>
        <v>-1</v>
      </c>
      <c r="T140" s="175">
        <f t="shared" si="30"/>
        <v>5</v>
      </c>
      <c r="U140" s="250">
        <f t="shared" si="31"/>
        <v>-0.40800278646093158</v>
      </c>
      <c r="V140" s="382">
        <f t="shared" si="32"/>
        <v>60.211370926156185</v>
      </c>
      <c r="W140" s="58"/>
      <c r="X140" s="157">
        <f t="shared" si="33"/>
        <v>43226</v>
      </c>
      <c r="Y140" s="384">
        <f t="shared" si="34"/>
        <v>0</v>
      </c>
      <c r="Z140" s="384">
        <f t="shared" si="35"/>
        <v>0</v>
      </c>
      <c r="AA140" s="385">
        <f t="shared" si="36"/>
        <v>0</v>
      </c>
      <c r="AB140" s="196">
        <f t="shared" si="37"/>
        <v>43226</v>
      </c>
      <c r="AC140" s="425">
        <f t="shared" si="38"/>
        <v>0</v>
      </c>
      <c r="AD140" s="168">
        <f>(INDEX(Models!$BJ140:$BT140,,AH140)*(1-AF140)+INDEX(Models!$BJ140:$BT140,,AH140+1)*AF140-ERP_i)*AE140*Ramure*Pc/MaxiM</f>
        <v>6.6806413571096798E-6</v>
      </c>
      <c r="AE140" s="304">
        <f t="shared" si="39"/>
        <v>0.5</v>
      </c>
      <c r="AF140" s="176">
        <f t="shared" si="40"/>
        <v>0.59199721353906842</v>
      </c>
      <c r="AG140" s="814">
        <f t="shared" si="41"/>
        <v>-1</v>
      </c>
      <c r="AH140" s="175">
        <f t="shared" si="42"/>
        <v>5</v>
      </c>
      <c r="AI140" s="224">
        <f t="shared" si="43"/>
        <v>-0.40800278646093158</v>
      </c>
      <c r="AJ140" s="264" t="b">
        <f t="shared" si="44"/>
        <v>1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89"/>
      <c r="D141" s="392"/>
      <c r="E141" s="384"/>
      <c r="F141" s="384"/>
      <c r="G141" s="110"/>
      <c r="I141" s="379">
        <f t="shared" si="24"/>
        <v>0</v>
      </c>
      <c r="J141" s="85">
        <v>2018</v>
      </c>
      <c r="K141" s="196">
        <f t="shared" si="25"/>
        <v>43227</v>
      </c>
      <c r="L141" s="436">
        <f t="shared" si="26"/>
        <v>0</v>
      </c>
      <c r="M141" s="858"/>
      <c r="N141" s="858"/>
      <c r="O141" s="323">
        <f t="shared" si="27"/>
        <v>0</v>
      </c>
      <c r="P141" s="168">
        <f>(INDEX(Models!$BJ141:$BT141,,T141)*(1-R141)+INDEX(Models!$BJ141:$BT141,,T141+1)*R141-ERP_i)*Q141*Ramure*Pc/MaxiM</f>
        <v>7.2706228514827608E-6</v>
      </c>
      <c r="Q141" s="304">
        <f t="shared" si="28"/>
        <v>0.5</v>
      </c>
      <c r="R141" s="176">
        <f t="shared" si="29"/>
        <v>0.59393590618215986</v>
      </c>
      <c r="S141" s="814">
        <f t="shared" si="47"/>
        <v>-1</v>
      </c>
      <c r="T141" s="175">
        <f t="shared" si="30"/>
        <v>5</v>
      </c>
      <c r="U141" s="250">
        <f t="shared" si="31"/>
        <v>-0.4060640938178402</v>
      </c>
      <c r="V141" s="382">
        <f t="shared" si="32"/>
        <v>60.252361925260672</v>
      </c>
      <c r="W141" s="58"/>
      <c r="X141" s="157">
        <f t="shared" si="33"/>
        <v>43227</v>
      </c>
      <c r="Y141" s="384">
        <f t="shared" si="34"/>
        <v>0</v>
      </c>
      <c r="Z141" s="384">
        <f t="shared" si="35"/>
        <v>0</v>
      </c>
      <c r="AA141" s="385">
        <f t="shared" si="36"/>
        <v>0</v>
      </c>
      <c r="AB141" s="196">
        <f t="shared" si="37"/>
        <v>43227</v>
      </c>
      <c r="AC141" s="425">
        <f t="shared" si="38"/>
        <v>0</v>
      </c>
      <c r="AD141" s="168">
        <f>(INDEX(Models!$BJ141:$BT141,,AH141)*(1-AF141)+INDEX(Models!$BJ141:$BT141,,AH141+1)*AF141-ERP_i)*AE141*Ramure*Pc/MaxiM</f>
        <v>7.2706228514827608E-6</v>
      </c>
      <c r="AE141" s="304">
        <f t="shared" si="39"/>
        <v>0.5</v>
      </c>
      <c r="AF141" s="176">
        <f t="shared" si="40"/>
        <v>0.59393590618215986</v>
      </c>
      <c r="AG141" s="814">
        <f t="shared" si="41"/>
        <v>-1</v>
      </c>
      <c r="AH141" s="175">
        <f t="shared" si="42"/>
        <v>5</v>
      </c>
      <c r="AI141" s="224">
        <f t="shared" si="43"/>
        <v>-0.4060640938178402</v>
      </c>
      <c r="AJ141" s="264" t="b">
        <f t="shared" si="44"/>
        <v>1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89"/>
      <c r="D142" s="392"/>
      <c r="E142" s="384"/>
      <c r="F142" s="384"/>
      <c r="G142" s="110"/>
      <c r="I142" s="379">
        <f t="shared" si="24"/>
        <v>0</v>
      </c>
      <c r="J142" s="85">
        <v>2018</v>
      </c>
      <c r="K142" s="196">
        <f t="shared" si="25"/>
        <v>43228</v>
      </c>
      <c r="L142" s="436">
        <f t="shared" si="26"/>
        <v>0</v>
      </c>
      <c r="M142" s="858"/>
      <c r="N142" s="858"/>
      <c r="O142" s="323">
        <f t="shared" si="27"/>
        <v>0</v>
      </c>
      <c r="P142" s="168">
        <f>(INDEX(Models!$BJ142:$BT142,,T142)*(1-R142)+INDEX(Models!$BJ142:$BT142,,T142+1)*R142-ERP_i)*Q142*Ramure*Pc/MaxiM</f>
        <v>7.912770690582951E-6</v>
      </c>
      <c r="Q142" s="304">
        <f t="shared" si="28"/>
        <v>0.5</v>
      </c>
      <c r="R142" s="176">
        <f t="shared" si="29"/>
        <v>0.59592327766103959</v>
      </c>
      <c r="S142" s="814">
        <f t="shared" si="47"/>
        <v>-1</v>
      </c>
      <c r="T142" s="175">
        <f t="shared" si="30"/>
        <v>5</v>
      </c>
      <c r="U142" s="250">
        <f t="shared" si="31"/>
        <v>-0.40407672233896041</v>
      </c>
      <c r="V142" s="382">
        <f t="shared" si="32"/>
        <v>60.289304865649974</v>
      </c>
      <c r="W142" s="58"/>
      <c r="X142" s="157">
        <f t="shared" si="33"/>
        <v>43228</v>
      </c>
      <c r="Y142" s="384">
        <f t="shared" si="34"/>
        <v>0</v>
      </c>
      <c r="Z142" s="384">
        <f t="shared" si="35"/>
        <v>0</v>
      </c>
      <c r="AA142" s="385">
        <f t="shared" si="36"/>
        <v>0</v>
      </c>
      <c r="AB142" s="196">
        <f t="shared" si="37"/>
        <v>43228</v>
      </c>
      <c r="AC142" s="425">
        <f t="shared" si="38"/>
        <v>0</v>
      </c>
      <c r="AD142" s="168">
        <f>(INDEX(Models!$BJ142:$BT142,,AH142)*(1-AF142)+INDEX(Models!$BJ142:$BT142,,AH142+1)*AF142-ERP_i)*AE142*Ramure*Pc/MaxiM</f>
        <v>7.912770690582951E-6</v>
      </c>
      <c r="AE142" s="304">
        <f t="shared" si="39"/>
        <v>0.5</v>
      </c>
      <c r="AF142" s="176">
        <f t="shared" si="40"/>
        <v>0.59592327766103959</v>
      </c>
      <c r="AG142" s="814">
        <f t="shared" si="41"/>
        <v>-1</v>
      </c>
      <c r="AH142" s="175">
        <f t="shared" si="42"/>
        <v>5</v>
      </c>
      <c r="AI142" s="224">
        <f t="shared" si="43"/>
        <v>-0.40407672233896041</v>
      </c>
      <c r="AJ142" s="264" t="b">
        <f t="shared" si="44"/>
        <v>1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89"/>
      <c r="D143" s="392"/>
      <c r="E143" s="384"/>
      <c r="F143" s="384"/>
      <c r="G143" s="110"/>
      <c r="I143" s="379">
        <f t="shared" ref="I143:I206" si="48">Wh_hp</f>
        <v>0</v>
      </c>
      <c r="J143" s="85">
        <v>2018</v>
      </c>
      <c r="K143" s="196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8"/>
      <c r="N143" s="858"/>
      <c r="O143" s="323">
        <f t="shared" ref="O143:O206" si="51">IF(t&lt;T0,0,IF(t&lt;Tnet,Salim_i*(1-EXP((T0-t)/Tau_ij)),Resal+(Salim-Resal)*(1-EXP((Tnet-t)/(Tau_j)))))*Salcycl</f>
        <v>0</v>
      </c>
      <c r="P143" s="168">
        <f>(INDEX(Models!$BJ143:$BT143,,T143)*(1-R143)+INDEX(Models!$BJ143:$BT143,,T143+1)*R143-ERP_i)*Q143*Ramure*Pc/MaxiM</f>
        <v>8.5967978181096136E-6</v>
      </c>
      <c r="Q143" s="304">
        <f t="shared" ref="Q143:Q206" si="52">IF(OR(t&lt;Ttai,Notai),Dd+PousD*Croivg,Dens+PousD*(Croivg-Croi_tai))</f>
        <v>0.5</v>
      </c>
      <c r="R143" s="176">
        <f t="shared" ref="R143:R206" si="53">(Hp_vg-S143)/(INDEX(Echel_vg,T143+1)-S143)</f>
        <v>0.59795944319144678</v>
      </c>
      <c r="S143" s="814">
        <f t="shared" si="47"/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-0.40204055680855322</v>
      </c>
      <c r="V143" s="382">
        <f t="shared" ref="V143:V206" si="56">MaxiM*(1-Ppv)*(1-Pvg)*(1-Psa)</f>
        <v>60.322633747154505</v>
      </c>
      <c r="W143" s="58"/>
      <c r="X143" s="157">
        <f t="shared" ref="X143:X206" si="57">t</f>
        <v>43229</v>
      </c>
      <c r="Y143" s="384">
        <f t="shared" ref="Y143:Y206" si="58">Wh_pvt_s*(1-Ppv)</f>
        <v>0</v>
      </c>
      <c r="Z143" s="384">
        <f t="shared" ref="Z143:Z206" si="59">Wh_sa_s*(1-Psa_s)</f>
        <v>0</v>
      </c>
      <c r="AA143" s="385">
        <f t="shared" ref="AA143:AA206" si="60">Wh_hp*(1-Pvg_s*MEDIAN((-Sdif+Wh/Env_an)/Csdif,0,1))</f>
        <v>0</v>
      </c>
      <c r="AB143" s="196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8">
        <f>(INDEX(Models!$BJ143:$BT143,,AH143)*(1-AF143)+INDEX(Models!$BJ143:$BT143,,AH143+1)*AF143-ERP_i)*AE143*Ramure*Pc/MaxiM</f>
        <v>8.5967978181096136E-6</v>
      </c>
      <c r="AE143" s="304">
        <f t="shared" ref="AE143:AE206" si="63">Dd+PousD*Croivg</f>
        <v>0.5</v>
      </c>
      <c r="AF143" s="176">
        <f t="shared" ref="AF143:AF206" si="64">(Hp_vg_s-AG143)/(INDEX(Echel_vg,AH143+1)-AG143)</f>
        <v>0.59795944319144678</v>
      </c>
      <c r="AG143" s="814">
        <f t="shared" ref="AG143:AG206" si="65">INDEX(Echel_vg,AH143)</f>
        <v>-1</v>
      </c>
      <c r="AH143" s="175">
        <f t="shared" ref="AH143:AH206" si="66">MIN(MATCH(Hp_vg_s,Echel_vg),10)</f>
        <v>5</v>
      </c>
      <c r="AI143" s="224">
        <f t="shared" ref="AI143:AI206" si="67">Hdd+PousH*Croivg</f>
        <v>-0.40204055680855322</v>
      </c>
      <c r="AJ143" s="264" t="b">
        <f t="shared" ref="AJ143:AJ206" si="68">t&lt;Tnet</f>
        <v>1</v>
      </c>
      <c r="AK143" s="264" t="b">
        <f t="shared" ref="AK143:AK206" si="69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89"/>
      <c r="D144" s="392"/>
      <c r="E144" s="384"/>
      <c r="F144" s="384"/>
      <c r="G144" s="110"/>
      <c r="I144" s="379">
        <f t="shared" si="48"/>
        <v>0</v>
      </c>
      <c r="J144" s="85">
        <v>2018</v>
      </c>
      <c r="K144" s="196">
        <f t="shared" si="49"/>
        <v>43230</v>
      </c>
      <c r="L144" s="436">
        <f t="shared" si="50"/>
        <v>0</v>
      </c>
      <c r="M144" s="858"/>
      <c r="N144" s="858"/>
      <c r="O144" s="323">
        <f t="shared" si="51"/>
        <v>0</v>
      </c>
      <c r="P144" s="168">
        <f>(INDEX(Models!$BJ144:$BT144,,T144)*(1-R144)+INDEX(Models!$BJ144:$BT144,,T144+1)*R144-ERP_i)*Q144*Ramure*Pc/MaxiM</f>
        <v>9.3247397445503165E-6</v>
      </c>
      <c r="Q144" s="304">
        <f t="shared" si="52"/>
        <v>0.5</v>
      </c>
      <c r="R144" s="176">
        <f t="shared" si="53"/>
        <v>0.60004443931947771</v>
      </c>
      <c r="S144" s="814">
        <f t="shared" ref="S144:S207" si="71">INDEX(Echel_vg,T144)</f>
        <v>-1</v>
      </c>
      <c r="T144" s="175">
        <f t="shared" si="54"/>
        <v>5</v>
      </c>
      <c r="U144" s="250">
        <f t="shared" si="55"/>
        <v>-0.39995556068052224</v>
      </c>
      <c r="V144" s="382">
        <f t="shared" si="56"/>
        <v>60.35278182769629</v>
      </c>
      <c r="W144" s="58"/>
      <c r="X144" s="157">
        <f t="shared" si="57"/>
        <v>43230</v>
      </c>
      <c r="Y144" s="384">
        <f t="shared" si="58"/>
        <v>0</v>
      </c>
      <c r="Z144" s="384">
        <f t="shared" si="59"/>
        <v>0</v>
      </c>
      <c r="AA144" s="385">
        <f t="shared" si="60"/>
        <v>0</v>
      </c>
      <c r="AB144" s="196">
        <f t="shared" si="61"/>
        <v>43230</v>
      </c>
      <c r="AC144" s="425">
        <f t="shared" si="62"/>
        <v>0</v>
      </c>
      <c r="AD144" s="168">
        <f>(INDEX(Models!$BJ144:$BT144,,AH144)*(1-AF144)+INDEX(Models!$BJ144:$BT144,,AH144+1)*AF144-ERP_i)*AE144*Ramure*Pc/MaxiM</f>
        <v>9.3247397445503165E-6</v>
      </c>
      <c r="AE144" s="304">
        <f t="shared" si="63"/>
        <v>0.5</v>
      </c>
      <c r="AF144" s="176">
        <f t="shared" si="64"/>
        <v>0.60004443931947771</v>
      </c>
      <c r="AG144" s="814">
        <f t="shared" si="65"/>
        <v>-1</v>
      </c>
      <c r="AH144" s="175">
        <f t="shared" si="66"/>
        <v>5</v>
      </c>
      <c r="AI144" s="224">
        <f t="shared" si="67"/>
        <v>-0.39995556068052224</v>
      </c>
      <c r="AJ144" s="264" t="b">
        <f t="shared" si="68"/>
        <v>1</v>
      </c>
      <c r="AK144" s="264" t="b">
        <f t="shared" si="69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89"/>
      <c r="D145" s="392"/>
      <c r="E145" s="384"/>
      <c r="F145" s="384"/>
      <c r="G145" s="110"/>
      <c r="I145" s="379">
        <f t="shared" si="48"/>
        <v>0</v>
      </c>
      <c r="J145" s="85">
        <v>2018</v>
      </c>
      <c r="K145" s="196">
        <f t="shared" si="49"/>
        <v>43231</v>
      </c>
      <c r="L145" s="436">
        <f t="shared" si="50"/>
        <v>0</v>
      </c>
      <c r="M145" s="858"/>
      <c r="N145" s="858"/>
      <c r="O145" s="323">
        <f t="shared" si="51"/>
        <v>0</v>
      </c>
      <c r="P145" s="168">
        <f>(INDEX(Models!$BJ145:$BT145,,T145)*(1-R145)+INDEX(Models!$BJ145:$BT145,,T145+1)*R145-ERP_i)*Q145*Ramure*Pc/MaxiM</f>
        <v>1.0098663701907647E-5</v>
      </c>
      <c r="Q145" s="304">
        <f t="shared" si="52"/>
        <v>0.5</v>
      </c>
      <c r="R145" s="176">
        <f t="shared" si="53"/>
        <v>0.60217821995449627</v>
      </c>
      <c r="S145" s="814">
        <f t="shared" si="71"/>
        <v>-1</v>
      </c>
      <c r="T145" s="175">
        <f t="shared" si="54"/>
        <v>5</v>
      </c>
      <c r="U145" s="250">
        <f t="shared" si="55"/>
        <v>-0.39782178004550373</v>
      </c>
      <c r="V145" s="382">
        <f t="shared" si="56"/>
        <v>60.380182363672766</v>
      </c>
      <c r="W145" s="58"/>
      <c r="X145" s="157">
        <f t="shared" si="57"/>
        <v>43231</v>
      </c>
      <c r="Y145" s="384">
        <f t="shared" si="58"/>
        <v>0</v>
      </c>
      <c r="Z145" s="384">
        <f t="shared" si="59"/>
        <v>0</v>
      </c>
      <c r="AA145" s="385">
        <f t="shared" si="60"/>
        <v>0</v>
      </c>
      <c r="AB145" s="196">
        <f t="shared" si="61"/>
        <v>43231</v>
      </c>
      <c r="AC145" s="425">
        <f t="shared" si="62"/>
        <v>0</v>
      </c>
      <c r="AD145" s="168">
        <f>(INDEX(Models!$BJ145:$BT145,,AH145)*(1-AF145)+INDEX(Models!$BJ145:$BT145,,AH145+1)*AF145-ERP_i)*AE145*Ramure*Pc/MaxiM</f>
        <v>1.0098663701907647E-5</v>
      </c>
      <c r="AE145" s="304">
        <f t="shared" si="63"/>
        <v>0.5</v>
      </c>
      <c r="AF145" s="176">
        <f t="shared" si="64"/>
        <v>0.60217821995449627</v>
      </c>
      <c r="AG145" s="814">
        <f t="shared" si="65"/>
        <v>-1</v>
      </c>
      <c r="AH145" s="175">
        <f t="shared" si="66"/>
        <v>5</v>
      </c>
      <c r="AI145" s="224">
        <f t="shared" si="67"/>
        <v>-0.39782178004550373</v>
      </c>
      <c r="AJ145" s="264" t="b">
        <f t="shared" si="68"/>
        <v>1</v>
      </c>
      <c r="AK145" s="264" t="b">
        <f t="shared" si="69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89"/>
      <c r="D146" s="392"/>
      <c r="E146" s="384"/>
      <c r="F146" s="384"/>
      <c r="G146" s="110"/>
      <c r="I146" s="379">
        <f t="shared" si="48"/>
        <v>0</v>
      </c>
      <c r="J146" s="85">
        <v>2018</v>
      </c>
      <c r="K146" s="196">
        <f t="shared" si="49"/>
        <v>43232</v>
      </c>
      <c r="L146" s="436">
        <f t="shared" si="50"/>
        <v>0</v>
      </c>
      <c r="M146" s="858"/>
      <c r="N146" s="858"/>
      <c r="O146" s="323">
        <f t="shared" si="51"/>
        <v>0</v>
      </c>
      <c r="P146" s="168">
        <f>(INDEX(Models!$BJ146:$BT146,,T146)*(1-R146)+INDEX(Models!$BJ146:$BT146,,T146+1)*R146-ERP_i)*Q146*Ramure*Pc/MaxiM</f>
        <v>1.092066144562516E-5</v>
      </c>
      <c r="Q146" s="304">
        <f t="shared" si="52"/>
        <v>0.5</v>
      </c>
      <c r="R146" s="176">
        <f t="shared" si="53"/>
        <v>0.60436065254319349</v>
      </c>
      <c r="S146" s="814">
        <f t="shared" si="71"/>
        <v>-1</v>
      </c>
      <c r="T146" s="175">
        <f t="shared" si="54"/>
        <v>5</v>
      </c>
      <c r="U146" s="250">
        <f t="shared" si="55"/>
        <v>-0.39563934745680646</v>
      </c>
      <c r="V146" s="382">
        <f t="shared" si="56"/>
        <v>60.405268607938218</v>
      </c>
      <c r="W146" s="58"/>
      <c r="X146" s="157">
        <f t="shared" si="57"/>
        <v>43232</v>
      </c>
      <c r="Y146" s="384">
        <f t="shared" si="58"/>
        <v>0</v>
      </c>
      <c r="Z146" s="384">
        <f t="shared" si="59"/>
        <v>0</v>
      </c>
      <c r="AA146" s="385">
        <f t="shared" si="60"/>
        <v>0</v>
      </c>
      <c r="AB146" s="196">
        <f t="shared" si="61"/>
        <v>43232</v>
      </c>
      <c r="AC146" s="425">
        <f t="shared" si="62"/>
        <v>0</v>
      </c>
      <c r="AD146" s="168">
        <f>(INDEX(Models!$BJ146:$BT146,,AH146)*(1-AF146)+INDEX(Models!$BJ146:$BT146,,AH146+1)*AF146-ERP_i)*AE146*Ramure*Pc/MaxiM</f>
        <v>1.092066144562516E-5</v>
      </c>
      <c r="AE146" s="304">
        <f t="shared" si="63"/>
        <v>0.5</v>
      </c>
      <c r="AF146" s="176">
        <f t="shared" si="64"/>
        <v>0.60436065254319349</v>
      </c>
      <c r="AG146" s="814">
        <f t="shared" si="65"/>
        <v>-1</v>
      </c>
      <c r="AH146" s="175">
        <f t="shared" si="66"/>
        <v>5</v>
      </c>
      <c r="AI146" s="224">
        <f t="shared" si="67"/>
        <v>-0.39563934745680646</v>
      </c>
      <c r="AJ146" s="264" t="b">
        <f t="shared" si="68"/>
        <v>1</v>
      </c>
      <c r="AK146" s="264" t="b">
        <f t="shared" si="69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89"/>
      <c r="D147" s="392"/>
      <c r="E147" s="384"/>
      <c r="F147" s="384"/>
      <c r="G147" s="110"/>
      <c r="I147" s="379">
        <f t="shared" si="48"/>
        <v>0</v>
      </c>
      <c r="J147" s="85">
        <v>2018</v>
      </c>
      <c r="K147" s="196">
        <f t="shared" si="49"/>
        <v>43233</v>
      </c>
      <c r="L147" s="436">
        <f t="shared" si="50"/>
        <v>0</v>
      </c>
      <c r="M147" s="858"/>
      <c r="N147" s="858"/>
      <c r="O147" s="323">
        <f t="shared" si="51"/>
        <v>0</v>
      </c>
      <c r="P147" s="168">
        <f>(INDEX(Models!$BJ147:$BT147,,T147)*(1-R147)+INDEX(Models!$BJ147:$BT147,,T147+1)*R147-ERP_i)*Q147*Ramure*Pc/MaxiM</f>
        <v>1.1792841174353237E-5</v>
      </c>
      <c r="Q147" s="304">
        <f t="shared" si="52"/>
        <v>0.5</v>
      </c>
      <c r="R147" s="176">
        <f t="shared" si="53"/>
        <v>0.60659151441846482</v>
      </c>
      <c r="S147" s="814">
        <f t="shared" si="71"/>
        <v>-1</v>
      </c>
      <c r="T147" s="175">
        <f t="shared" si="54"/>
        <v>5</v>
      </c>
      <c r="U147" s="250">
        <f t="shared" si="55"/>
        <v>-0.39340848558153518</v>
      </c>
      <c r="V147" s="382">
        <f t="shared" si="56"/>
        <v>60.428473811281783</v>
      </c>
      <c r="W147" s="58"/>
      <c r="X147" s="157">
        <f t="shared" si="57"/>
        <v>43233</v>
      </c>
      <c r="Y147" s="384">
        <f t="shared" si="58"/>
        <v>0</v>
      </c>
      <c r="Z147" s="384">
        <f t="shared" si="59"/>
        <v>0</v>
      </c>
      <c r="AA147" s="385">
        <f t="shared" si="60"/>
        <v>0</v>
      </c>
      <c r="AB147" s="196">
        <f t="shared" si="61"/>
        <v>43233</v>
      </c>
      <c r="AC147" s="425">
        <f t="shared" si="62"/>
        <v>0</v>
      </c>
      <c r="AD147" s="168">
        <f>(INDEX(Models!$BJ147:$BT147,,AH147)*(1-AF147)+INDEX(Models!$BJ147:$BT147,,AH147+1)*AF147-ERP_i)*AE147*Ramure*Pc/MaxiM</f>
        <v>1.1792841174353237E-5</v>
      </c>
      <c r="AE147" s="304">
        <f t="shared" si="63"/>
        <v>0.5</v>
      </c>
      <c r="AF147" s="176">
        <f t="shared" si="64"/>
        <v>0.60659151441846482</v>
      </c>
      <c r="AG147" s="814">
        <f t="shared" si="65"/>
        <v>-1</v>
      </c>
      <c r="AH147" s="175">
        <f t="shared" si="66"/>
        <v>5</v>
      </c>
      <c r="AI147" s="224">
        <f t="shared" si="67"/>
        <v>-0.39340848558153518</v>
      </c>
      <c r="AJ147" s="264" t="b">
        <f t="shared" si="68"/>
        <v>1</v>
      </c>
      <c r="AK147" s="264" t="b">
        <f t="shared" si="69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89"/>
      <c r="D148" s="392"/>
      <c r="E148" s="384"/>
      <c r="F148" s="384"/>
      <c r="G148" s="110"/>
      <c r="I148" s="379">
        <f t="shared" si="48"/>
        <v>0</v>
      </c>
      <c r="J148" s="85">
        <v>2018</v>
      </c>
      <c r="K148" s="196">
        <f t="shared" si="49"/>
        <v>43234</v>
      </c>
      <c r="L148" s="436">
        <f t="shared" si="50"/>
        <v>0</v>
      </c>
      <c r="M148" s="858"/>
      <c r="N148" s="858"/>
      <c r="O148" s="323">
        <f t="shared" si="51"/>
        <v>0</v>
      </c>
      <c r="P148" s="168">
        <f>(INDEX(Models!$BJ148:$BT148,,T148)*(1-R148)+INDEX(Models!$BJ148:$BT148,,T148+1)*R148-ERP_i)*Q148*Ramure*Pc/MaxiM</f>
        <v>1.2717318549037488E-5</v>
      </c>
      <c r="Q148" s="304">
        <f t="shared" si="52"/>
        <v>0.5</v>
      </c>
      <c r="R148" s="176">
        <f t="shared" si="53"/>
        <v>0.60887048935782628</v>
      </c>
      <c r="S148" s="814">
        <f t="shared" si="71"/>
        <v>-1</v>
      </c>
      <c r="T148" s="175">
        <f t="shared" si="54"/>
        <v>5</v>
      </c>
      <c r="U148" s="250">
        <f t="shared" si="55"/>
        <v>-0.39112951064217377</v>
      </c>
      <c r="V148" s="382">
        <f t="shared" si="56"/>
        <v>60.450231225912823</v>
      </c>
      <c r="W148" s="58"/>
      <c r="X148" s="157">
        <f t="shared" si="57"/>
        <v>43234</v>
      </c>
      <c r="Y148" s="384">
        <f t="shared" si="58"/>
        <v>0</v>
      </c>
      <c r="Z148" s="384">
        <f t="shared" si="59"/>
        <v>0</v>
      </c>
      <c r="AA148" s="385">
        <f t="shared" si="60"/>
        <v>0</v>
      </c>
      <c r="AB148" s="196">
        <f t="shared" si="61"/>
        <v>43234</v>
      </c>
      <c r="AC148" s="425">
        <f t="shared" si="62"/>
        <v>0</v>
      </c>
      <c r="AD148" s="168">
        <f>(INDEX(Models!$BJ148:$BT148,,AH148)*(1-AF148)+INDEX(Models!$BJ148:$BT148,,AH148+1)*AF148-ERP_i)*AE148*Ramure*Pc/MaxiM</f>
        <v>1.2717318549037488E-5</v>
      </c>
      <c r="AE148" s="304">
        <f t="shared" si="63"/>
        <v>0.5</v>
      </c>
      <c r="AF148" s="176">
        <f t="shared" si="64"/>
        <v>0.60887048935782628</v>
      </c>
      <c r="AG148" s="814">
        <f t="shared" si="65"/>
        <v>-1</v>
      </c>
      <c r="AH148" s="175">
        <f t="shared" si="66"/>
        <v>5</v>
      </c>
      <c r="AI148" s="224">
        <f t="shared" si="67"/>
        <v>-0.39112951064217377</v>
      </c>
      <c r="AJ148" s="264" t="b">
        <f t="shared" si="68"/>
        <v>1</v>
      </c>
      <c r="AK148" s="264" t="b">
        <f t="shared" si="69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89"/>
      <c r="D149" s="392"/>
      <c r="E149" s="384"/>
      <c r="F149" s="384"/>
      <c r="G149" s="110"/>
      <c r="I149" s="379">
        <f t="shared" si="48"/>
        <v>0</v>
      </c>
      <c r="J149" s="85">
        <v>2018</v>
      </c>
      <c r="K149" s="196">
        <f t="shared" si="49"/>
        <v>43235</v>
      </c>
      <c r="L149" s="436">
        <f t="shared" si="50"/>
        <v>0</v>
      </c>
      <c r="M149" s="858"/>
      <c r="N149" s="858"/>
      <c r="O149" s="323">
        <f t="shared" si="51"/>
        <v>0</v>
      </c>
      <c r="P149" s="168">
        <f>(INDEX(Models!$BJ149:$BT149,,T149)*(1-R149)+INDEX(Models!$BJ149:$BT149,,T149+1)*R149-ERP_i)*Q149*Ramure*Pc/MaxiM</f>
        <v>1.3696452199134055E-5</v>
      </c>
      <c r="Q149" s="304">
        <f t="shared" si="52"/>
        <v>0.5</v>
      </c>
      <c r="R149" s="176">
        <f t="shared" si="53"/>
        <v>0.61119716438685001</v>
      </c>
      <c r="S149" s="814">
        <f t="shared" si="71"/>
        <v>-1</v>
      </c>
      <c r="T149" s="175">
        <f t="shared" si="54"/>
        <v>5</v>
      </c>
      <c r="U149" s="250">
        <f t="shared" si="55"/>
        <v>-0.38880283561314999</v>
      </c>
      <c r="V149" s="382">
        <f t="shared" si="56"/>
        <v>60.469890643159303</v>
      </c>
      <c r="W149" s="58"/>
      <c r="X149" s="157">
        <f t="shared" si="57"/>
        <v>43235</v>
      </c>
      <c r="Y149" s="384">
        <f t="shared" si="58"/>
        <v>0</v>
      </c>
      <c r="Z149" s="384">
        <f t="shared" si="59"/>
        <v>0</v>
      </c>
      <c r="AA149" s="385">
        <f t="shared" si="60"/>
        <v>0</v>
      </c>
      <c r="AB149" s="196">
        <f t="shared" si="61"/>
        <v>43235</v>
      </c>
      <c r="AC149" s="425">
        <f t="shared" si="62"/>
        <v>0</v>
      </c>
      <c r="AD149" s="168">
        <f>(INDEX(Models!$BJ149:$BT149,,AH149)*(1-AF149)+INDEX(Models!$BJ149:$BT149,,AH149+1)*AF149-ERP_i)*AE149*Ramure*Pc/MaxiM</f>
        <v>1.3696452199134055E-5</v>
      </c>
      <c r="AE149" s="304">
        <f t="shared" si="63"/>
        <v>0.5</v>
      </c>
      <c r="AF149" s="176">
        <f t="shared" si="64"/>
        <v>0.61119716438685001</v>
      </c>
      <c r="AG149" s="814">
        <f t="shared" si="65"/>
        <v>-1</v>
      </c>
      <c r="AH149" s="175">
        <f t="shared" si="66"/>
        <v>5</v>
      </c>
      <c r="AI149" s="224">
        <f t="shared" si="67"/>
        <v>-0.38880283561314999</v>
      </c>
      <c r="AJ149" s="264" t="b">
        <f t="shared" si="68"/>
        <v>1</v>
      </c>
      <c r="AK149" s="264" t="b">
        <f t="shared" si="69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89"/>
      <c r="D150" s="392"/>
      <c r="E150" s="384"/>
      <c r="F150" s="384"/>
      <c r="G150" s="110"/>
      <c r="I150" s="379">
        <f t="shared" si="48"/>
        <v>0</v>
      </c>
      <c r="J150" s="85">
        <v>2018</v>
      </c>
      <c r="K150" s="196">
        <f t="shared" si="49"/>
        <v>43236</v>
      </c>
      <c r="L150" s="436">
        <f t="shared" si="50"/>
        <v>0</v>
      </c>
      <c r="M150" s="858"/>
      <c r="N150" s="858"/>
      <c r="O150" s="323">
        <f t="shared" si="51"/>
        <v>0</v>
      </c>
      <c r="P150" s="168">
        <f>(INDEX(Models!$BJ150:$BT150,,T150)*(1-R150)+INDEX(Models!$BJ150:$BT150,,T150+1)*R150-ERP_i)*Q150*Ramure*Pc/MaxiM</f>
        <v>1.4731661892996628E-5</v>
      </c>
      <c r="Q150" s="304">
        <f t="shared" si="52"/>
        <v>0.5</v>
      </c>
      <c r="R150" s="176">
        <f t="shared" si="53"/>
        <v>0.61357102686352571</v>
      </c>
      <c r="S150" s="814">
        <f t="shared" si="71"/>
        <v>-1</v>
      </c>
      <c r="T150" s="175">
        <f t="shared" si="54"/>
        <v>5</v>
      </c>
      <c r="U150" s="250">
        <f t="shared" si="55"/>
        <v>-0.38642897313647429</v>
      </c>
      <c r="V150" s="382">
        <f t="shared" si="56"/>
        <v>60.486513001718635</v>
      </c>
      <c r="W150" s="58"/>
      <c r="X150" s="157">
        <f t="shared" si="57"/>
        <v>43236</v>
      </c>
      <c r="Y150" s="384">
        <f t="shared" si="58"/>
        <v>0</v>
      </c>
      <c r="Z150" s="384">
        <f t="shared" si="59"/>
        <v>0</v>
      </c>
      <c r="AA150" s="385">
        <f t="shared" si="60"/>
        <v>0</v>
      </c>
      <c r="AB150" s="196">
        <f t="shared" si="61"/>
        <v>43236</v>
      </c>
      <c r="AC150" s="425">
        <f t="shared" si="62"/>
        <v>0</v>
      </c>
      <c r="AD150" s="168">
        <f>(INDEX(Models!$BJ150:$BT150,,AH150)*(1-AF150)+INDEX(Models!$BJ150:$BT150,,AH150+1)*AF150-ERP_i)*AE150*Ramure*Pc/MaxiM</f>
        <v>1.4731661892996628E-5</v>
      </c>
      <c r="AE150" s="304">
        <f t="shared" si="63"/>
        <v>0.5</v>
      </c>
      <c r="AF150" s="176">
        <f t="shared" si="64"/>
        <v>0.61357102686352571</v>
      </c>
      <c r="AG150" s="814">
        <f t="shared" si="65"/>
        <v>-1</v>
      </c>
      <c r="AH150" s="175">
        <f t="shared" si="66"/>
        <v>5</v>
      </c>
      <c r="AI150" s="224">
        <f t="shared" si="67"/>
        <v>-0.38642897313647429</v>
      </c>
      <c r="AJ150" s="264" t="b">
        <f t="shared" si="68"/>
        <v>1</v>
      </c>
      <c r="AK150" s="264" t="b">
        <f t="shared" si="69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89"/>
      <c r="D151" s="392"/>
      <c r="E151" s="384"/>
      <c r="F151" s="384"/>
      <c r="G151" s="110"/>
      <c r="I151" s="379">
        <f t="shared" si="48"/>
        <v>0</v>
      </c>
      <c r="J151" s="85">
        <v>2018</v>
      </c>
      <c r="K151" s="196">
        <f t="shared" si="49"/>
        <v>43237</v>
      </c>
      <c r="L151" s="436">
        <f t="shared" si="50"/>
        <v>0</v>
      </c>
      <c r="M151" s="858"/>
      <c r="N151" s="858"/>
      <c r="O151" s="323">
        <f t="shared" si="51"/>
        <v>0</v>
      </c>
      <c r="P151" s="168">
        <f>(INDEX(Models!$BJ151:$BT151,,T151)*(1-R151)+INDEX(Models!$BJ151:$BT151,,T151+1)*R151-ERP_i)*Q151*Ramure*Pc/MaxiM</f>
        <v>1.5819336813104441E-5</v>
      </c>
      <c r="Q151" s="304">
        <f t="shared" si="52"/>
        <v>0.5</v>
      </c>
      <c r="R151" s="176">
        <f t="shared" si="53"/>
        <v>0.61599146187950993</v>
      </c>
      <c r="S151" s="814">
        <f t="shared" si="71"/>
        <v>-1</v>
      </c>
      <c r="T151" s="175">
        <f t="shared" si="54"/>
        <v>5</v>
      </c>
      <c r="U151" s="250">
        <f t="shared" si="55"/>
        <v>-0.38400853812049002</v>
      </c>
      <c r="V151" s="382">
        <f t="shared" si="56"/>
        <v>60.500098526291147</v>
      </c>
      <c r="W151" s="58"/>
      <c r="X151" s="157">
        <f t="shared" si="57"/>
        <v>43237</v>
      </c>
      <c r="Y151" s="384">
        <f t="shared" si="58"/>
        <v>0</v>
      </c>
      <c r="Z151" s="384">
        <f t="shared" si="59"/>
        <v>0</v>
      </c>
      <c r="AA151" s="385">
        <f t="shared" si="60"/>
        <v>0</v>
      </c>
      <c r="AB151" s="196">
        <f t="shared" si="61"/>
        <v>43237</v>
      </c>
      <c r="AC151" s="425">
        <f t="shared" si="62"/>
        <v>0</v>
      </c>
      <c r="AD151" s="168">
        <f>(INDEX(Models!$BJ151:$BT151,,AH151)*(1-AF151)+INDEX(Models!$BJ151:$BT151,,AH151+1)*AF151-ERP_i)*AE151*Ramure*Pc/MaxiM</f>
        <v>1.5819336813104441E-5</v>
      </c>
      <c r="AE151" s="304">
        <f t="shared" si="63"/>
        <v>0.5</v>
      </c>
      <c r="AF151" s="176">
        <f t="shared" si="64"/>
        <v>0.61599146187950993</v>
      </c>
      <c r="AG151" s="814">
        <f t="shared" si="65"/>
        <v>-1</v>
      </c>
      <c r="AH151" s="175">
        <f t="shared" si="66"/>
        <v>5</v>
      </c>
      <c r="AI151" s="224">
        <f t="shared" si="67"/>
        <v>-0.38400853812049002</v>
      </c>
      <c r="AJ151" s="264" t="b">
        <f t="shared" si="68"/>
        <v>1</v>
      </c>
      <c r="AK151" s="264" t="b">
        <f t="shared" si="69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89"/>
      <c r="D152" s="392"/>
      <c r="E152" s="384"/>
      <c r="F152" s="384"/>
      <c r="G152" s="110"/>
      <c r="I152" s="379">
        <f t="shared" si="48"/>
        <v>0</v>
      </c>
      <c r="J152" s="85">
        <v>2018</v>
      </c>
      <c r="K152" s="196">
        <f t="shared" si="49"/>
        <v>43238</v>
      </c>
      <c r="L152" s="436">
        <f t="shared" si="50"/>
        <v>0</v>
      </c>
      <c r="M152" s="858"/>
      <c r="N152" s="858"/>
      <c r="O152" s="323">
        <f t="shared" si="51"/>
        <v>0</v>
      </c>
      <c r="P152" s="168">
        <f>(INDEX(Models!$BJ152:$BT152,,T152)*(1-R152)+INDEX(Models!$BJ152:$BT152,,T152+1)*R152-ERP_i)*Q152*Ramure*Pc/MaxiM</f>
        <v>1.6961035005309414E-5</v>
      </c>
      <c r="Q152" s="304">
        <f t="shared" si="52"/>
        <v>0.5</v>
      </c>
      <c r="R152" s="176">
        <f t="shared" si="53"/>
        <v>0.61845775001388426</v>
      </c>
      <c r="S152" s="814">
        <f t="shared" si="71"/>
        <v>-1</v>
      </c>
      <c r="T152" s="175">
        <f t="shared" si="54"/>
        <v>5</v>
      </c>
      <c r="U152" s="250">
        <f t="shared" si="55"/>
        <v>-0.38154224998611574</v>
      </c>
      <c r="V152" s="382">
        <f t="shared" si="56"/>
        <v>60.510647128963441</v>
      </c>
      <c r="W152" s="58"/>
      <c r="X152" s="157">
        <f t="shared" si="57"/>
        <v>43238</v>
      </c>
      <c r="Y152" s="384">
        <f t="shared" si="58"/>
        <v>0</v>
      </c>
      <c r="Z152" s="384">
        <f t="shared" si="59"/>
        <v>0</v>
      </c>
      <c r="AA152" s="385">
        <f t="shared" si="60"/>
        <v>0</v>
      </c>
      <c r="AB152" s="196">
        <f t="shared" si="61"/>
        <v>43238</v>
      </c>
      <c r="AC152" s="425">
        <f t="shared" si="62"/>
        <v>0</v>
      </c>
      <c r="AD152" s="168">
        <f>(INDEX(Models!$BJ152:$BT152,,AH152)*(1-AF152)+INDEX(Models!$BJ152:$BT152,,AH152+1)*AF152-ERP_i)*AE152*Ramure*Pc/MaxiM</f>
        <v>1.6961035005309414E-5</v>
      </c>
      <c r="AE152" s="304">
        <f t="shared" si="63"/>
        <v>0.5</v>
      </c>
      <c r="AF152" s="176">
        <f t="shared" si="64"/>
        <v>0.61845775001388426</v>
      </c>
      <c r="AG152" s="814">
        <f t="shared" si="65"/>
        <v>-1</v>
      </c>
      <c r="AH152" s="175">
        <f t="shared" si="66"/>
        <v>5</v>
      </c>
      <c r="AI152" s="224">
        <f t="shared" si="67"/>
        <v>-0.38154224998611574</v>
      </c>
      <c r="AJ152" s="264" t="b">
        <f t="shared" si="68"/>
        <v>1</v>
      </c>
      <c r="AK152" s="264" t="b">
        <f t="shared" si="69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89"/>
      <c r="D153" s="392"/>
      <c r="E153" s="384"/>
      <c r="F153" s="384"/>
      <c r="G153" s="110"/>
      <c r="I153" s="379">
        <f t="shared" si="48"/>
        <v>0</v>
      </c>
      <c r="J153" s="85">
        <v>2018</v>
      </c>
      <c r="K153" s="196">
        <f t="shared" si="49"/>
        <v>43239</v>
      </c>
      <c r="L153" s="436">
        <f t="shared" si="50"/>
        <v>0</v>
      </c>
      <c r="M153" s="858"/>
      <c r="N153" s="858"/>
      <c r="O153" s="323">
        <f t="shared" si="51"/>
        <v>0</v>
      </c>
      <c r="P153" s="168">
        <f>(INDEX(Models!$BJ153:$BT153,,T153)*(1-R153)+INDEX(Models!$BJ153:$BT153,,T153+1)*R153-ERP_i)*Q153*Ramure*Pc/MaxiM</f>
        <v>1.8158272919485376E-5</v>
      </c>
      <c r="Q153" s="304">
        <f t="shared" si="52"/>
        <v>0.5</v>
      </c>
      <c r="R153" s="176">
        <f t="shared" si="53"/>
        <v>0.62096906547426212</v>
      </c>
      <c r="S153" s="814">
        <f t="shared" si="71"/>
        <v>-1</v>
      </c>
      <c r="T153" s="175">
        <f t="shared" si="54"/>
        <v>5</v>
      </c>
      <c r="U153" s="250">
        <f t="shared" si="55"/>
        <v>-0.37903093452573788</v>
      </c>
      <c r="V153" s="382">
        <f t="shared" si="56"/>
        <v>60.518158728200824</v>
      </c>
      <c r="W153" s="58"/>
      <c r="X153" s="157">
        <f t="shared" si="57"/>
        <v>43239</v>
      </c>
      <c r="Y153" s="384">
        <f t="shared" si="58"/>
        <v>0</v>
      </c>
      <c r="Z153" s="384">
        <f t="shared" si="59"/>
        <v>0</v>
      </c>
      <c r="AA153" s="385">
        <f t="shared" si="60"/>
        <v>0</v>
      </c>
      <c r="AB153" s="196">
        <f t="shared" si="61"/>
        <v>43239</v>
      </c>
      <c r="AC153" s="425">
        <f t="shared" si="62"/>
        <v>0</v>
      </c>
      <c r="AD153" s="168">
        <f>(INDEX(Models!$BJ153:$BT153,,AH153)*(1-AF153)+INDEX(Models!$BJ153:$BT153,,AH153+1)*AF153-ERP_i)*AE153*Ramure*Pc/MaxiM</f>
        <v>1.8158272919485376E-5</v>
      </c>
      <c r="AE153" s="304">
        <f t="shared" si="63"/>
        <v>0.5</v>
      </c>
      <c r="AF153" s="176">
        <f t="shared" si="64"/>
        <v>0.62096906547426212</v>
      </c>
      <c r="AG153" s="814">
        <f t="shared" si="65"/>
        <v>-1</v>
      </c>
      <c r="AH153" s="175">
        <f t="shared" si="66"/>
        <v>5</v>
      </c>
      <c r="AI153" s="224">
        <f t="shared" si="67"/>
        <v>-0.37903093452573788</v>
      </c>
      <c r="AJ153" s="264" t="b">
        <f t="shared" si="68"/>
        <v>1</v>
      </c>
      <c r="AK153" s="264" t="b">
        <f t="shared" si="69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89"/>
      <c r="D154" s="392"/>
      <c r="E154" s="384"/>
      <c r="F154" s="384"/>
      <c r="G154" s="110"/>
      <c r="I154" s="379">
        <f t="shared" si="48"/>
        <v>0</v>
      </c>
      <c r="J154" s="85">
        <v>2018</v>
      </c>
      <c r="K154" s="196">
        <f t="shared" si="49"/>
        <v>43240</v>
      </c>
      <c r="L154" s="436">
        <f t="shared" si="50"/>
        <v>0</v>
      </c>
      <c r="M154" s="858"/>
      <c r="N154" s="858"/>
      <c r="O154" s="323">
        <f t="shared" si="51"/>
        <v>0</v>
      </c>
      <c r="P154" s="168">
        <f>(INDEX(Models!$BJ154:$BT154,,T154)*(1-R154)+INDEX(Models!$BJ154:$BT154,,T154+1)*R154-ERP_i)*Q154*Ramure*Pc/MaxiM</f>
        <v>1.9412516880951844E-5</v>
      </c>
      <c r="Q154" s="304">
        <f t="shared" si="52"/>
        <v>0.5</v>
      </c>
      <c r="R154" s="176">
        <f t="shared" si="53"/>
        <v>0.62352447465885852</v>
      </c>
      <c r="S154" s="814">
        <f t="shared" si="71"/>
        <v>-1</v>
      </c>
      <c r="T154" s="175">
        <f t="shared" si="54"/>
        <v>5</v>
      </c>
      <c r="U154" s="250">
        <f t="shared" si="55"/>
        <v>-0.37647552534114148</v>
      </c>
      <c r="V154" s="382">
        <f t="shared" si="56"/>
        <v>60.522633244542178</v>
      </c>
      <c r="W154" s="58"/>
      <c r="X154" s="157">
        <f t="shared" si="57"/>
        <v>43240</v>
      </c>
      <c r="Y154" s="384">
        <f t="shared" si="58"/>
        <v>0</v>
      </c>
      <c r="Z154" s="384">
        <f t="shared" si="59"/>
        <v>0</v>
      </c>
      <c r="AA154" s="385">
        <f t="shared" si="60"/>
        <v>0</v>
      </c>
      <c r="AB154" s="196">
        <f t="shared" si="61"/>
        <v>43240</v>
      </c>
      <c r="AC154" s="425">
        <f t="shared" si="62"/>
        <v>0</v>
      </c>
      <c r="AD154" s="168">
        <f>(INDEX(Models!$BJ154:$BT154,,AH154)*(1-AF154)+INDEX(Models!$BJ154:$BT154,,AH154+1)*AF154-ERP_i)*AE154*Ramure*Pc/MaxiM</f>
        <v>1.9412516880951844E-5</v>
      </c>
      <c r="AE154" s="304">
        <f t="shared" si="63"/>
        <v>0.5</v>
      </c>
      <c r="AF154" s="176">
        <f t="shared" si="64"/>
        <v>0.62352447465885852</v>
      </c>
      <c r="AG154" s="814">
        <f t="shared" si="65"/>
        <v>-1</v>
      </c>
      <c r="AH154" s="175">
        <f t="shared" si="66"/>
        <v>5</v>
      </c>
      <c r="AI154" s="224">
        <f t="shared" si="67"/>
        <v>-0.37647552534114148</v>
      </c>
      <c r="AJ154" s="264" t="b">
        <f t="shared" si="68"/>
        <v>1</v>
      </c>
      <c r="AK154" s="264" t="b">
        <f t="shared" si="69"/>
        <v>0</v>
      </c>
      <c r="AL154" s="264"/>
      <c r="AM154" s="264"/>
      <c r="AN154" s="75"/>
    </row>
    <row r="155" spans="1:40" s="6" customFormat="1" ht="11.25" x14ac:dyDescent="0.2">
      <c r="A155" s="56">
        <f t="shared" si="70"/>
        <v>43241</v>
      </c>
      <c r="B155" s="616"/>
      <c r="C155" s="389"/>
      <c r="D155" s="392"/>
      <c r="E155" s="384"/>
      <c r="F155" s="384"/>
      <c r="G155" s="110"/>
      <c r="I155" s="379">
        <f t="shared" si="48"/>
        <v>0</v>
      </c>
      <c r="J155" s="85">
        <v>2018</v>
      </c>
      <c r="K155" s="196">
        <f t="shared" si="49"/>
        <v>43241</v>
      </c>
      <c r="L155" s="436">
        <f t="shared" si="50"/>
        <v>0</v>
      </c>
      <c r="M155" s="858"/>
      <c r="N155" s="858"/>
      <c r="O155" s="323">
        <f t="shared" si="51"/>
        <v>0</v>
      </c>
      <c r="P155" s="168">
        <f>(INDEX(Models!$BJ155:$BT155,,T155)*(1-R155)+INDEX(Models!$BJ155:$BT155,,T155+1)*R155-ERP_i)*Q155*Ramure*Pc/MaxiM</f>
        <v>2.0725174340541765E-5</v>
      </c>
      <c r="Q155" s="304">
        <f t="shared" si="52"/>
        <v>0.5</v>
      </c>
      <c r="R155" s="176">
        <f t="shared" si="53"/>
        <v>0.62612293517142426</v>
      </c>
      <c r="S155" s="814">
        <f t="shared" si="71"/>
        <v>-1</v>
      </c>
      <c r="T155" s="175">
        <f t="shared" si="54"/>
        <v>5</v>
      </c>
      <c r="U155" s="250">
        <f t="shared" si="55"/>
        <v>-0.37387706482857574</v>
      </c>
      <c r="V155" s="382">
        <f t="shared" si="56"/>
        <v>60.524070602559711</v>
      </c>
      <c r="W155" s="58"/>
      <c r="X155" s="157">
        <f t="shared" si="57"/>
        <v>43241</v>
      </c>
      <c r="Y155" s="384">
        <f t="shared" si="58"/>
        <v>0</v>
      </c>
      <c r="Z155" s="384">
        <f t="shared" si="59"/>
        <v>0</v>
      </c>
      <c r="AA155" s="385">
        <f t="shared" si="60"/>
        <v>0</v>
      </c>
      <c r="AB155" s="196">
        <f t="shared" si="61"/>
        <v>43241</v>
      </c>
      <c r="AC155" s="425">
        <f t="shared" si="62"/>
        <v>0</v>
      </c>
      <c r="AD155" s="168">
        <f>(INDEX(Models!$BJ155:$BT155,,AH155)*(1-AF155)+INDEX(Models!$BJ155:$BT155,,AH155+1)*AF155-ERP_i)*AE155*Ramure*Pc/MaxiM</f>
        <v>2.0725174340541765E-5</v>
      </c>
      <c r="AE155" s="304">
        <f t="shared" si="63"/>
        <v>0.5</v>
      </c>
      <c r="AF155" s="176">
        <f t="shared" si="64"/>
        <v>0.62612293517142426</v>
      </c>
      <c r="AG155" s="814">
        <f t="shared" si="65"/>
        <v>-1</v>
      </c>
      <c r="AH155" s="175">
        <f t="shared" si="66"/>
        <v>5</v>
      </c>
      <c r="AI155" s="224">
        <f t="shared" si="67"/>
        <v>-0.37387706482857574</v>
      </c>
      <c r="AJ155" s="264" t="b">
        <f t="shared" si="68"/>
        <v>1</v>
      </c>
      <c r="AK155" s="264" t="b">
        <f t="shared" si="69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89"/>
      <c r="D156" s="392"/>
      <c r="E156" s="384"/>
      <c r="F156" s="384"/>
      <c r="G156" s="110"/>
      <c r="I156" s="379">
        <f t="shared" si="48"/>
        <v>0</v>
      </c>
      <c r="J156" s="85">
        <v>2018</v>
      </c>
      <c r="K156" s="196">
        <f t="shared" si="49"/>
        <v>43242</v>
      </c>
      <c r="L156" s="436">
        <f t="shared" si="50"/>
        <v>0</v>
      </c>
      <c r="M156" s="858"/>
      <c r="N156" s="858"/>
      <c r="O156" s="323">
        <f t="shared" si="51"/>
        <v>0</v>
      </c>
      <c r="P156" s="168">
        <f>(INDEX(Models!$BJ156:$BT156,,T156)*(1-R156)+INDEX(Models!$BJ156:$BT156,,T156+1)*R156-ERP_i)*Q156*Ramure*Pc/MaxiM</f>
        <v>2.2091769733367203E-5</v>
      </c>
      <c r="Q156" s="304">
        <f t="shared" si="52"/>
        <v>0.5</v>
      </c>
      <c r="R156" s="176">
        <f t="shared" si="53"/>
        <v>0.62876329531875763</v>
      </c>
      <c r="S156" s="814">
        <f t="shared" si="71"/>
        <v>-1</v>
      </c>
      <c r="T156" s="175">
        <f t="shared" si="54"/>
        <v>5</v>
      </c>
      <c r="U156" s="250">
        <f t="shared" si="55"/>
        <v>-0.37123670468124242</v>
      </c>
      <c r="V156" s="382">
        <f t="shared" si="56"/>
        <v>60.522471086169396</v>
      </c>
      <c r="W156" s="58"/>
      <c r="X156" s="157">
        <f t="shared" si="57"/>
        <v>43242</v>
      </c>
      <c r="Y156" s="384">
        <f t="shared" si="58"/>
        <v>0</v>
      </c>
      <c r="Z156" s="384">
        <f t="shared" si="59"/>
        <v>0</v>
      </c>
      <c r="AA156" s="385">
        <f t="shared" si="60"/>
        <v>0</v>
      </c>
      <c r="AB156" s="196">
        <f t="shared" si="61"/>
        <v>43242</v>
      </c>
      <c r="AC156" s="425">
        <f t="shared" si="62"/>
        <v>0</v>
      </c>
      <c r="AD156" s="168">
        <f>(INDEX(Models!$BJ156:$BT156,,AH156)*(1-AF156)+INDEX(Models!$BJ156:$BT156,,AH156+1)*AF156-ERP_i)*AE156*Ramure*Pc/MaxiM</f>
        <v>2.2091769733367203E-5</v>
      </c>
      <c r="AE156" s="304">
        <f t="shared" si="63"/>
        <v>0.5</v>
      </c>
      <c r="AF156" s="176">
        <f t="shared" si="64"/>
        <v>0.62876329531875763</v>
      </c>
      <c r="AG156" s="814">
        <f t="shared" si="65"/>
        <v>-1</v>
      </c>
      <c r="AH156" s="175">
        <f t="shared" si="66"/>
        <v>5</v>
      </c>
      <c r="AI156" s="224">
        <f t="shared" si="67"/>
        <v>-0.37123670468124242</v>
      </c>
      <c r="AJ156" s="264" t="b">
        <f t="shared" si="68"/>
        <v>1</v>
      </c>
      <c r="AK156" s="264" t="b">
        <f t="shared" si="69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0"/>
        <v>43243</v>
      </c>
      <c r="B157" s="616"/>
      <c r="C157" s="389"/>
      <c r="D157" s="392"/>
      <c r="E157" s="384"/>
      <c r="F157" s="384"/>
      <c r="G157" s="110"/>
      <c r="I157" s="379">
        <f t="shared" si="48"/>
        <v>0</v>
      </c>
      <c r="J157" s="85">
        <v>2018</v>
      </c>
      <c r="K157" s="196">
        <f t="shared" si="49"/>
        <v>43243</v>
      </c>
      <c r="L157" s="436">
        <f t="shared" si="50"/>
        <v>0</v>
      </c>
      <c r="M157" s="858"/>
      <c r="N157" s="858"/>
      <c r="O157" s="323">
        <f t="shared" si="51"/>
        <v>0</v>
      </c>
      <c r="P157" s="168">
        <f>(INDEX(Models!$BJ157:$BT157,,T157)*(1-R157)+INDEX(Models!$BJ157:$BT157,,T157+1)*R157-ERP_i)*Q157*Ramure*Pc/MaxiM</f>
        <v>2.3513790849268638E-5</v>
      </c>
      <c r="Q157" s="304">
        <f t="shared" si="52"/>
        <v>0.5</v>
      </c>
      <c r="R157" s="176">
        <f t="shared" si="53"/>
        <v>0.63144429411782099</v>
      </c>
      <c r="S157" s="814">
        <f t="shared" si="71"/>
        <v>-1</v>
      </c>
      <c r="T157" s="175">
        <f t="shared" si="54"/>
        <v>5</v>
      </c>
      <c r="U157" s="250">
        <f t="shared" si="55"/>
        <v>-0.36855570588217901</v>
      </c>
      <c r="V157" s="382">
        <f t="shared" si="56"/>
        <v>60.517834616204745</v>
      </c>
      <c r="W157" s="58"/>
      <c r="X157" s="157">
        <f t="shared" si="57"/>
        <v>43243</v>
      </c>
      <c r="Y157" s="384">
        <f t="shared" si="58"/>
        <v>0</v>
      </c>
      <c r="Z157" s="384">
        <f t="shared" si="59"/>
        <v>0</v>
      </c>
      <c r="AA157" s="385">
        <f t="shared" si="60"/>
        <v>0</v>
      </c>
      <c r="AB157" s="196">
        <f t="shared" si="61"/>
        <v>43243</v>
      </c>
      <c r="AC157" s="425">
        <f t="shared" si="62"/>
        <v>0</v>
      </c>
      <c r="AD157" s="168">
        <f>(INDEX(Models!$BJ157:$BT157,,AH157)*(1-AF157)+INDEX(Models!$BJ157:$BT157,,AH157+1)*AF157-ERP_i)*AE157*Ramure*Pc/MaxiM</f>
        <v>2.3513790849268638E-5</v>
      </c>
      <c r="AE157" s="304">
        <f t="shared" si="63"/>
        <v>0.5</v>
      </c>
      <c r="AF157" s="176">
        <f t="shared" si="64"/>
        <v>0.63144429411782099</v>
      </c>
      <c r="AG157" s="814">
        <f t="shared" si="65"/>
        <v>-1</v>
      </c>
      <c r="AH157" s="175">
        <f t="shared" si="66"/>
        <v>5</v>
      </c>
      <c r="AI157" s="224">
        <f t="shared" si="67"/>
        <v>-0.36855570588217901</v>
      </c>
      <c r="AJ157" s="264" t="b">
        <f t="shared" si="68"/>
        <v>1</v>
      </c>
      <c r="AK157" s="264" t="b">
        <f t="shared" si="69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0"/>
        <v>43244</v>
      </c>
      <c r="B158" s="616"/>
      <c r="C158" s="389"/>
      <c r="D158" s="392"/>
      <c r="E158" s="384"/>
      <c r="F158" s="384"/>
      <c r="G158" s="110"/>
      <c r="I158" s="379">
        <f t="shared" si="48"/>
        <v>0</v>
      </c>
      <c r="J158" s="85">
        <v>2018</v>
      </c>
      <c r="K158" s="196">
        <f t="shared" si="49"/>
        <v>43244</v>
      </c>
      <c r="L158" s="436">
        <f t="shared" si="50"/>
        <v>0</v>
      </c>
      <c r="M158" s="858"/>
      <c r="N158" s="858"/>
      <c r="O158" s="323">
        <f t="shared" si="51"/>
        <v>0</v>
      </c>
      <c r="P158" s="168">
        <f>(INDEX(Models!$BJ158:$BT158,,T158)*(1-R158)+INDEX(Models!$BJ158:$BT158,,T158+1)*R158-ERP_i)*Q158*Ramure*Pc/MaxiM</f>
        <v>2.4991731655210628E-5</v>
      </c>
      <c r="Q158" s="304">
        <f t="shared" si="52"/>
        <v>0.5</v>
      </c>
      <c r="R158" s="176">
        <f t="shared" si="53"/>
        <v>0.63416456183631875</v>
      </c>
      <c r="S158" s="814">
        <f t="shared" si="71"/>
        <v>-1</v>
      </c>
      <c r="T158" s="175">
        <f t="shared" si="54"/>
        <v>5</v>
      </c>
      <c r="U158" s="250">
        <f t="shared" si="55"/>
        <v>-0.3658354381636813</v>
      </c>
      <c r="V158" s="382">
        <f t="shared" si="56"/>
        <v>60.510161178602196</v>
      </c>
      <c r="W158" s="58"/>
      <c r="X158" s="157">
        <f t="shared" si="57"/>
        <v>43244</v>
      </c>
      <c r="Y158" s="384">
        <f t="shared" si="58"/>
        <v>0</v>
      </c>
      <c r="Z158" s="384">
        <f t="shared" si="59"/>
        <v>0</v>
      </c>
      <c r="AA158" s="385">
        <f t="shared" si="60"/>
        <v>0</v>
      </c>
      <c r="AB158" s="196">
        <f t="shared" si="61"/>
        <v>43244</v>
      </c>
      <c r="AC158" s="425">
        <f t="shared" si="62"/>
        <v>0</v>
      </c>
      <c r="AD158" s="168">
        <f>(INDEX(Models!$BJ158:$BT158,,AH158)*(1-AF158)+INDEX(Models!$BJ158:$BT158,,AH158+1)*AF158-ERP_i)*AE158*Ramure*Pc/MaxiM</f>
        <v>2.4991731655210628E-5</v>
      </c>
      <c r="AE158" s="304">
        <f t="shared" si="63"/>
        <v>0.5</v>
      </c>
      <c r="AF158" s="176">
        <f t="shared" si="64"/>
        <v>0.63416456183631875</v>
      </c>
      <c r="AG158" s="814">
        <f t="shared" si="65"/>
        <v>-1</v>
      </c>
      <c r="AH158" s="175">
        <f t="shared" si="66"/>
        <v>5</v>
      </c>
      <c r="AI158" s="224">
        <f t="shared" si="67"/>
        <v>-0.3658354381636813</v>
      </c>
      <c r="AJ158" s="264" t="b">
        <f t="shared" si="68"/>
        <v>1</v>
      </c>
      <c r="AK158" s="264" t="b">
        <f t="shared" si="69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89"/>
      <c r="D159" s="392"/>
      <c r="E159" s="384"/>
      <c r="F159" s="384"/>
      <c r="G159" s="110"/>
      <c r="I159" s="379">
        <f t="shared" si="48"/>
        <v>0</v>
      </c>
      <c r="J159" s="85">
        <v>2018</v>
      </c>
      <c r="K159" s="196">
        <f t="shared" si="49"/>
        <v>43245</v>
      </c>
      <c r="L159" s="436">
        <f t="shared" si="50"/>
        <v>0</v>
      </c>
      <c r="M159" s="858"/>
      <c r="N159" s="858"/>
      <c r="O159" s="323">
        <f t="shared" si="51"/>
        <v>0</v>
      </c>
      <c r="P159" s="168">
        <f>(INDEX(Models!$BJ159:$BT159,,T159)*(1-R159)+INDEX(Models!$BJ159:$BT159,,T159+1)*R159-ERP_i)*Q159*Ramure*Pc/MaxiM</f>
        <v>2.6526097253860726E-5</v>
      </c>
      <c r="Q159" s="304">
        <f t="shared" si="52"/>
        <v>0.5</v>
      </c>
      <c r="R159" s="176">
        <f t="shared" si="53"/>
        <v>0.63692262108694897</v>
      </c>
      <c r="S159" s="814">
        <f t="shared" si="71"/>
        <v>-1</v>
      </c>
      <c r="T159" s="175">
        <f t="shared" si="54"/>
        <v>5</v>
      </c>
      <c r="U159" s="250">
        <f t="shared" si="55"/>
        <v>-0.36307737891305103</v>
      </c>
      <c r="V159" s="382">
        <f t="shared" si="56"/>
        <v>60.499450755902458</v>
      </c>
      <c r="W159" s="58"/>
      <c r="X159" s="157">
        <f t="shared" si="57"/>
        <v>43245</v>
      </c>
      <c r="Y159" s="384">
        <f t="shared" si="58"/>
        <v>0</v>
      </c>
      <c r="Z159" s="384">
        <f t="shared" si="59"/>
        <v>0</v>
      </c>
      <c r="AA159" s="385">
        <f t="shared" si="60"/>
        <v>0</v>
      </c>
      <c r="AB159" s="196">
        <f t="shared" si="61"/>
        <v>43245</v>
      </c>
      <c r="AC159" s="425">
        <f t="shared" si="62"/>
        <v>0</v>
      </c>
      <c r="AD159" s="168">
        <f>(INDEX(Models!$BJ159:$BT159,,AH159)*(1-AF159)+INDEX(Models!$BJ159:$BT159,,AH159+1)*AF159-ERP_i)*AE159*Ramure*Pc/MaxiM</f>
        <v>2.6526097253860726E-5</v>
      </c>
      <c r="AE159" s="304">
        <f t="shared" si="63"/>
        <v>0.5</v>
      </c>
      <c r="AF159" s="176">
        <f t="shared" si="64"/>
        <v>0.63692262108694897</v>
      </c>
      <c r="AG159" s="814">
        <f t="shared" si="65"/>
        <v>-1</v>
      </c>
      <c r="AH159" s="175">
        <f t="shared" si="66"/>
        <v>5</v>
      </c>
      <c r="AI159" s="224">
        <f t="shared" si="67"/>
        <v>-0.36307737891305103</v>
      </c>
      <c r="AJ159" s="264" t="b">
        <f t="shared" si="68"/>
        <v>1</v>
      </c>
      <c r="AK159" s="264" t="b">
        <f t="shared" si="69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89"/>
      <c r="D160" s="392"/>
      <c r="E160" s="384"/>
      <c r="F160" s="384"/>
      <c r="G160" s="110"/>
      <c r="I160" s="379">
        <f t="shared" si="48"/>
        <v>0</v>
      </c>
      <c r="J160" s="85">
        <v>2018</v>
      </c>
      <c r="K160" s="196">
        <f t="shared" si="49"/>
        <v>43246</v>
      </c>
      <c r="L160" s="436">
        <f t="shared" si="50"/>
        <v>0</v>
      </c>
      <c r="M160" s="858"/>
      <c r="N160" s="858"/>
      <c r="O160" s="323">
        <f t="shared" si="51"/>
        <v>0</v>
      </c>
      <c r="P160" s="168">
        <f>(INDEX(Models!$BJ160:$BT160,,T160)*(1-R160)+INDEX(Models!$BJ160:$BT160,,T160+1)*R160-ERP_i)*Q160*Ramure*Pc/MaxiM</f>
        <v>2.8117271932252702E-5</v>
      </c>
      <c r="Q160" s="304">
        <f t="shared" si="52"/>
        <v>0.5</v>
      </c>
      <c r="R160" s="176">
        <f t="shared" si="53"/>
        <v>0.63971688849144837</v>
      </c>
      <c r="S160" s="814">
        <f t="shared" si="71"/>
        <v>-1</v>
      </c>
      <c r="T160" s="175">
        <f t="shared" si="54"/>
        <v>5</v>
      </c>
      <c r="U160" s="250">
        <f t="shared" si="55"/>
        <v>-0.36028311150855163</v>
      </c>
      <c r="V160" s="382">
        <f t="shared" si="56"/>
        <v>60.48570334144749</v>
      </c>
      <c r="W160" s="58"/>
      <c r="X160" s="157">
        <f t="shared" si="57"/>
        <v>43246</v>
      </c>
      <c r="Y160" s="384">
        <f t="shared" si="58"/>
        <v>0</v>
      </c>
      <c r="Z160" s="384">
        <f t="shared" si="59"/>
        <v>0</v>
      </c>
      <c r="AA160" s="385">
        <f t="shared" si="60"/>
        <v>0</v>
      </c>
      <c r="AB160" s="196">
        <f t="shared" si="61"/>
        <v>43246</v>
      </c>
      <c r="AC160" s="425">
        <f t="shared" si="62"/>
        <v>0</v>
      </c>
      <c r="AD160" s="168">
        <f>(INDEX(Models!$BJ160:$BT160,,AH160)*(1-AF160)+INDEX(Models!$BJ160:$BT160,,AH160+1)*AF160-ERP_i)*AE160*Ramure*Pc/MaxiM</f>
        <v>2.8117271932252702E-5</v>
      </c>
      <c r="AE160" s="304">
        <f t="shared" si="63"/>
        <v>0.5</v>
      </c>
      <c r="AF160" s="176">
        <f t="shared" si="64"/>
        <v>0.63971688849144837</v>
      </c>
      <c r="AG160" s="814">
        <f t="shared" si="65"/>
        <v>-1</v>
      </c>
      <c r="AH160" s="175">
        <f t="shared" si="66"/>
        <v>5</v>
      </c>
      <c r="AI160" s="224">
        <f t="shared" si="67"/>
        <v>-0.36028311150855163</v>
      </c>
      <c r="AJ160" s="264" t="b">
        <f t="shared" si="68"/>
        <v>1</v>
      </c>
      <c r="AK160" s="264" t="b">
        <f t="shared" si="69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89"/>
      <c r="D161" s="392"/>
      <c r="E161" s="384"/>
      <c r="F161" s="384"/>
      <c r="G161" s="110"/>
      <c r="I161" s="379">
        <f t="shared" si="48"/>
        <v>0</v>
      </c>
      <c r="J161" s="85">
        <v>2018</v>
      </c>
      <c r="K161" s="196">
        <f t="shared" si="49"/>
        <v>43247</v>
      </c>
      <c r="L161" s="436">
        <f t="shared" si="50"/>
        <v>0</v>
      </c>
      <c r="M161" s="858"/>
      <c r="N161" s="858"/>
      <c r="O161" s="323">
        <f t="shared" si="51"/>
        <v>0</v>
      </c>
      <c r="P161" s="168">
        <f>(INDEX(Models!$BJ161:$BT161,,T161)*(1-R161)+INDEX(Models!$BJ161:$BT161,,T161+1)*R161-ERP_i)*Q161*Ramure*Pc/MaxiM</f>
        <v>2.9765512467180932E-5</v>
      </c>
      <c r="Q161" s="304">
        <f t="shared" si="52"/>
        <v>0.5</v>
      </c>
      <c r="R161" s="176">
        <f t="shared" si="53"/>
        <v>0.64254567692603382</v>
      </c>
      <c r="S161" s="814">
        <f t="shared" si="71"/>
        <v>-1</v>
      </c>
      <c r="T161" s="175">
        <f t="shared" si="54"/>
        <v>5</v>
      </c>
      <c r="U161" s="250">
        <f t="shared" si="55"/>
        <v>-0.35745432307396613</v>
      </c>
      <c r="V161" s="382">
        <f t="shared" si="56"/>
        <v>60.468918936544334</v>
      </c>
      <c r="W161" s="58"/>
      <c r="X161" s="157">
        <f t="shared" si="57"/>
        <v>43247</v>
      </c>
      <c r="Y161" s="384">
        <f t="shared" si="58"/>
        <v>0</v>
      </c>
      <c r="Z161" s="384">
        <f t="shared" si="59"/>
        <v>0</v>
      </c>
      <c r="AA161" s="385">
        <f t="shared" si="60"/>
        <v>0</v>
      </c>
      <c r="AB161" s="196">
        <f t="shared" si="61"/>
        <v>43247</v>
      </c>
      <c r="AC161" s="425">
        <f t="shared" si="62"/>
        <v>0</v>
      </c>
      <c r="AD161" s="168">
        <f>(INDEX(Models!$BJ161:$BT161,,AH161)*(1-AF161)+INDEX(Models!$BJ161:$BT161,,AH161+1)*AF161-ERP_i)*AE161*Ramure*Pc/MaxiM</f>
        <v>2.9765512467180932E-5</v>
      </c>
      <c r="AE161" s="304">
        <f t="shared" si="63"/>
        <v>0.5</v>
      </c>
      <c r="AF161" s="176">
        <f t="shared" si="64"/>
        <v>0.64254567692603382</v>
      </c>
      <c r="AG161" s="814">
        <f t="shared" si="65"/>
        <v>-1</v>
      </c>
      <c r="AH161" s="175">
        <f t="shared" si="66"/>
        <v>5</v>
      </c>
      <c r="AI161" s="224">
        <f t="shared" si="67"/>
        <v>-0.35745432307396613</v>
      </c>
      <c r="AJ161" s="264" t="b">
        <f t="shared" si="68"/>
        <v>1</v>
      </c>
      <c r="AK161" s="264" t="b">
        <f t="shared" si="69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89"/>
      <c r="D162" s="392"/>
      <c r="E162" s="384"/>
      <c r="F162" s="384"/>
      <c r="G162" s="110"/>
      <c r="I162" s="379">
        <f t="shared" si="48"/>
        <v>0</v>
      </c>
      <c r="J162" s="85">
        <v>2018</v>
      </c>
      <c r="K162" s="196">
        <f t="shared" si="49"/>
        <v>43248</v>
      </c>
      <c r="L162" s="436">
        <f t="shared" si="50"/>
        <v>0</v>
      </c>
      <c r="M162" s="858"/>
      <c r="N162" s="858"/>
      <c r="O162" s="323">
        <f t="shared" si="51"/>
        <v>0</v>
      </c>
      <c r="P162" s="168">
        <f>(INDEX(Models!$BJ162:$BT162,,T162)*(1-R162)+INDEX(Models!$BJ162:$BT162,,T162+1)*R162-ERP_i)*Q162*Ramure*Pc/MaxiM</f>
        <v>3.1470941980315244E-5</v>
      </c>
      <c r="Q162" s="304">
        <f t="shared" si="52"/>
        <v>0.5</v>
      </c>
      <c r="R162" s="176">
        <f t="shared" si="53"/>
        <v>0.6454071983549593</v>
      </c>
      <c r="S162" s="814">
        <f t="shared" si="71"/>
        <v>-1</v>
      </c>
      <c r="T162" s="175">
        <f t="shared" si="54"/>
        <v>5</v>
      </c>
      <c r="U162" s="250">
        <f t="shared" si="55"/>
        <v>-0.3545928016450407</v>
      </c>
      <c r="V162" s="382">
        <f t="shared" si="56"/>
        <v>60.449097550622774</v>
      </c>
      <c r="W162" s="58"/>
      <c r="X162" s="157">
        <f t="shared" si="57"/>
        <v>43248</v>
      </c>
      <c r="Y162" s="384">
        <f t="shared" si="58"/>
        <v>0</v>
      </c>
      <c r="Z162" s="384">
        <f t="shared" si="59"/>
        <v>0</v>
      </c>
      <c r="AA162" s="385">
        <f t="shared" si="60"/>
        <v>0</v>
      </c>
      <c r="AB162" s="196">
        <f t="shared" si="61"/>
        <v>43248</v>
      </c>
      <c r="AC162" s="425">
        <f t="shared" si="62"/>
        <v>0</v>
      </c>
      <c r="AD162" s="168">
        <f>(INDEX(Models!$BJ162:$BT162,,AH162)*(1-AF162)+INDEX(Models!$BJ162:$BT162,,AH162+1)*AF162-ERP_i)*AE162*Ramure*Pc/MaxiM</f>
        <v>3.1470941980315244E-5</v>
      </c>
      <c r="AE162" s="304">
        <f t="shared" si="63"/>
        <v>0.5</v>
      </c>
      <c r="AF162" s="176">
        <f t="shared" si="64"/>
        <v>0.6454071983549593</v>
      </c>
      <c r="AG162" s="814">
        <f t="shared" si="65"/>
        <v>-1</v>
      </c>
      <c r="AH162" s="175">
        <f t="shared" si="66"/>
        <v>5</v>
      </c>
      <c r="AI162" s="224">
        <f t="shared" si="67"/>
        <v>-0.3545928016450407</v>
      </c>
      <c r="AJ162" s="264" t="b">
        <f t="shared" si="68"/>
        <v>1</v>
      </c>
      <c r="AK162" s="264" t="b">
        <f t="shared" si="69"/>
        <v>0</v>
      </c>
      <c r="AL162" s="264"/>
      <c r="AM162" s="264"/>
      <c r="AN162" s="75"/>
    </row>
    <row r="163" spans="1:40" s="6" customFormat="1" ht="11.25" x14ac:dyDescent="0.2">
      <c r="A163" s="56">
        <f t="shared" si="70"/>
        <v>43249</v>
      </c>
      <c r="B163" s="616"/>
      <c r="C163" s="389"/>
      <c r="D163" s="392"/>
      <c r="E163" s="384"/>
      <c r="F163" s="384"/>
      <c r="G163" s="110"/>
      <c r="I163" s="379">
        <f t="shared" si="48"/>
        <v>0</v>
      </c>
      <c r="J163" s="85">
        <v>2018</v>
      </c>
      <c r="K163" s="196">
        <f t="shared" si="49"/>
        <v>43249</v>
      </c>
      <c r="L163" s="436">
        <f t="shared" si="50"/>
        <v>0</v>
      </c>
      <c r="M163" s="858"/>
      <c r="N163" s="858"/>
      <c r="O163" s="323">
        <f t="shared" si="51"/>
        <v>0</v>
      </c>
      <c r="P163" s="168">
        <f>(INDEX(Models!$BJ163:$BT163,,T163)*(1-R163)+INDEX(Models!$BJ163:$BT163,,T163+1)*R163-ERP_i)*Q163*Ramure*Pc/MaxiM</f>
        <v>3.3234060850245186E-5</v>
      </c>
      <c r="Q163" s="304">
        <f t="shared" si="52"/>
        <v>0.5</v>
      </c>
      <c r="R163" s="176">
        <f t="shared" si="53"/>
        <v>0.64829956725369242</v>
      </c>
      <c r="S163" s="814">
        <f t="shared" si="71"/>
        <v>-1</v>
      </c>
      <c r="T163" s="175">
        <f t="shared" si="54"/>
        <v>5</v>
      </c>
      <c r="U163" s="250">
        <f t="shared" si="55"/>
        <v>-0.35170043274630752</v>
      </c>
      <c r="V163" s="382">
        <f t="shared" si="56"/>
        <v>60.425300210848761</v>
      </c>
      <c r="W163" s="58"/>
      <c r="X163" s="157">
        <f t="shared" si="57"/>
        <v>43249</v>
      </c>
      <c r="Y163" s="384">
        <f t="shared" si="58"/>
        <v>0</v>
      </c>
      <c r="Z163" s="384">
        <f t="shared" si="59"/>
        <v>0</v>
      </c>
      <c r="AA163" s="385">
        <f t="shared" si="60"/>
        <v>0</v>
      </c>
      <c r="AB163" s="196">
        <f t="shared" si="61"/>
        <v>43249</v>
      </c>
      <c r="AC163" s="425">
        <f t="shared" si="62"/>
        <v>0</v>
      </c>
      <c r="AD163" s="168">
        <f>(INDEX(Models!$BJ163:$BT163,,AH163)*(1-AF163)+INDEX(Models!$BJ163:$BT163,,AH163+1)*AF163-ERP_i)*AE163*Ramure*Pc/MaxiM</f>
        <v>3.3234060850245186E-5</v>
      </c>
      <c r="AE163" s="304">
        <f t="shared" si="63"/>
        <v>0.5</v>
      </c>
      <c r="AF163" s="176">
        <f t="shared" si="64"/>
        <v>0.64829956725369242</v>
      </c>
      <c r="AG163" s="814">
        <f t="shared" si="65"/>
        <v>-1</v>
      </c>
      <c r="AH163" s="175">
        <f t="shared" si="66"/>
        <v>5</v>
      </c>
      <c r="AI163" s="224">
        <f t="shared" si="67"/>
        <v>-0.35170043274630752</v>
      </c>
      <c r="AJ163" s="264" t="b">
        <f t="shared" si="68"/>
        <v>1</v>
      </c>
      <c r="AK163" s="264" t="b">
        <f t="shared" si="69"/>
        <v>0</v>
      </c>
      <c r="AL163" s="264"/>
      <c r="AM163" s="264"/>
      <c r="AN163" s="75"/>
    </row>
    <row r="164" spans="1:40" s="6" customFormat="1" ht="11.25" x14ac:dyDescent="0.2">
      <c r="A164" s="56">
        <f t="shared" si="70"/>
        <v>43250</v>
      </c>
      <c r="B164" s="616"/>
      <c r="C164" s="389"/>
      <c r="D164" s="392"/>
      <c r="E164" s="384"/>
      <c r="F164" s="384"/>
      <c r="G164" s="110"/>
      <c r="I164" s="379">
        <f t="shared" si="48"/>
        <v>0</v>
      </c>
      <c r="J164" s="85">
        <v>2018</v>
      </c>
      <c r="K164" s="196">
        <f t="shared" si="49"/>
        <v>43250</v>
      </c>
      <c r="L164" s="436">
        <f t="shared" si="50"/>
        <v>0</v>
      </c>
      <c r="M164" s="858"/>
      <c r="N164" s="858"/>
      <c r="O164" s="323">
        <f t="shared" si="51"/>
        <v>0</v>
      </c>
      <c r="P164" s="168">
        <f>(INDEX(Models!$BJ164:$BT164,,T164)*(1-R164)+INDEX(Models!$BJ164:$BT164,,T164+1)*R164-ERP_i)*Q164*Ramure*Pc/MaxiM</f>
        <v>3.5041396758399442E-5</v>
      </c>
      <c r="Q164" s="304">
        <f t="shared" si="52"/>
        <v>0.5</v>
      </c>
      <c r="R164" s="176">
        <f t="shared" si="53"/>
        <v>0.65122080461774501</v>
      </c>
      <c r="S164" s="814">
        <f t="shared" si="71"/>
        <v>-1</v>
      </c>
      <c r="T164" s="175">
        <f t="shared" si="54"/>
        <v>5</v>
      </c>
      <c r="U164" s="250">
        <f t="shared" si="55"/>
        <v>-0.34877919538225499</v>
      </c>
      <c r="V164" s="382">
        <f t="shared" si="56"/>
        <v>60.396877704212535</v>
      </c>
      <c r="W164" s="58"/>
      <c r="X164" s="157">
        <f t="shared" si="57"/>
        <v>43250</v>
      </c>
      <c r="Y164" s="384">
        <f t="shared" si="58"/>
        <v>0</v>
      </c>
      <c r="Z164" s="384">
        <f t="shared" si="59"/>
        <v>0</v>
      </c>
      <c r="AA164" s="385">
        <f t="shared" si="60"/>
        <v>0</v>
      </c>
      <c r="AB164" s="196">
        <f t="shared" si="61"/>
        <v>43250</v>
      </c>
      <c r="AC164" s="425">
        <f t="shared" si="62"/>
        <v>0</v>
      </c>
      <c r="AD164" s="168">
        <f>(INDEX(Models!$BJ164:$BT164,,AH164)*(1-AF164)+INDEX(Models!$BJ164:$BT164,,AH164+1)*AF164-ERP_i)*AE164*Ramure*Pc/MaxiM</f>
        <v>3.5041396758399442E-5</v>
      </c>
      <c r="AE164" s="304">
        <f t="shared" si="63"/>
        <v>0.5</v>
      </c>
      <c r="AF164" s="176">
        <f t="shared" si="64"/>
        <v>0.65122080461774501</v>
      </c>
      <c r="AG164" s="814">
        <f t="shared" si="65"/>
        <v>-1</v>
      </c>
      <c r="AH164" s="175">
        <f t="shared" si="66"/>
        <v>5</v>
      </c>
      <c r="AI164" s="224">
        <f t="shared" si="67"/>
        <v>-0.34877919538225499</v>
      </c>
      <c r="AJ164" s="264" t="b">
        <f t="shared" si="68"/>
        <v>0</v>
      </c>
      <c r="AK164" s="264" t="b">
        <f t="shared" si="69"/>
        <v>0</v>
      </c>
      <c r="AL164" s="264"/>
      <c r="AM164" s="264"/>
      <c r="AN164" s="75"/>
    </row>
    <row r="165" spans="1:40" s="6" customFormat="1" ht="11.25" x14ac:dyDescent="0.2">
      <c r="A165" s="56">
        <f t="shared" si="70"/>
        <v>43251</v>
      </c>
      <c r="B165" s="616"/>
      <c r="C165" s="389"/>
      <c r="D165" s="392"/>
      <c r="E165" s="384"/>
      <c r="F165" s="384"/>
      <c r="G165" s="110"/>
      <c r="I165" s="379">
        <f t="shared" si="48"/>
        <v>0</v>
      </c>
      <c r="J165" s="85">
        <v>2018</v>
      </c>
      <c r="K165" s="196">
        <f t="shared" si="49"/>
        <v>43251</v>
      </c>
      <c r="L165" s="436">
        <f t="shared" si="50"/>
        <v>2.1902566432308035E-5</v>
      </c>
      <c r="M165" s="858"/>
      <c r="N165" s="858"/>
      <c r="O165" s="323">
        <f t="shared" si="51"/>
        <v>7.6042727668764438E-5</v>
      </c>
      <c r="P165" s="168">
        <f>(INDEX(Models!$BJ165:$BT165,,T165)*(1-R165)+INDEX(Models!$BJ165:$BT165,,T165+1)*R165-ERP_i)*Q165*Ramure*Pc/MaxiM</f>
        <v>3.6892995048336505E-5</v>
      </c>
      <c r="Q165" s="304">
        <f t="shared" si="52"/>
        <v>0.5</v>
      </c>
      <c r="R165" s="176">
        <f t="shared" si="53"/>
        <v>0.65416884254752095</v>
      </c>
      <c r="S165" s="814">
        <f t="shared" si="71"/>
        <v>-1</v>
      </c>
      <c r="T165" s="175">
        <f t="shared" si="54"/>
        <v>5</v>
      </c>
      <c r="U165" s="250">
        <f t="shared" si="55"/>
        <v>-0.345831157452479</v>
      </c>
      <c r="V165" s="382">
        <f t="shared" si="56"/>
        <v>60.358351129801157</v>
      </c>
      <c r="W165" s="58"/>
      <c r="X165" s="157">
        <f t="shared" si="57"/>
        <v>43251</v>
      </c>
      <c r="Y165" s="384">
        <f t="shared" si="58"/>
        <v>0</v>
      </c>
      <c r="Z165" s="384">
        <f t="shared" si="59"/>
        <v>0</v>
      </c>
      <c r="AA165" s="385">
        <f t="shared" si="60"/>
        <v>0</v>
      </c>
      <c r="AB165" s="196">
        <f t="shared" si="61"/>
        <v>43251</v>
      </c>
      <c r="AC165" s="425">
        <f t="shared" si="62"/>
        <v>7.6042727668764438E-5</v>
      </c>
      <c r="AD165" s="168">
        <f>(INDEX(Models!$BJ165:$BT165,,AH165)*(1-AF165)+INDEX(Models!$BJ165:$BT165,,AH165+1)*AF165-ERP_i)*AE165*Ramure*Pc/MaxiM</f>
        <v>3.6892995048336505E-5</v>
      </c>
      <c r="AE165" s="304">
        <f t="shared" si="63"/>
        <v>0.5</v>
      </c>
      <c r="AF165" s="176">
        <f t="shared" si="64"/>
        <v>0.65416884254752095</v>
      </c>
      <c r="AG165" s="814">
        <f t="shared" si="65"/>
        <v>-1</v>
      </c>
      <c r="AH165" s="175">
        <f t="shared" si="66"/>
        <v>5</v>
      </c>
      <c r="AI165" s="224">
        <f t="shared" si="67"/>
        <v>-0.345831157452479</v>
      </c>
      <c r="AJ165" s="264" t="b">
        <f t="shared" si="68"/>
        <v>0</v>
      </c>
      <c r="AK165" s="264" t="b">
        <f t="shared" si="69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89"/>
      <c r="D166" s="392"/>
      <c r="E166" s="384"/>
      <c r="F166" s="384"/>
      <c r="G166" s="110"/>
      <c r="I166" s="379">
        <f t="shared" si="48"/>
        <v>0</v>
      </c>
      <c r="J166" s="85">
        <v>2018</v>
      </c>
      <c r="K166" s="196">
        <f t="shared" si="49"/>
        <v>43252</v>
      </c>
      <c r="L166" s="436">
        <f t="shared" si="50"/>
        <v>4.3804653142243133E-5</v>
      </c>
      <c r="M166" s="858"/>
      <c r="N166" s="858"/>
      <c r="O166" s="323">
        <f t="shared" si="51"/>
        <v>1.5210828564207317E-4</v>
      </c>
      <c r="P166" s="168">
        <f>(INDEX(Models!$BJ166:$BT166,,T166)*(1-R166)+INDEX(Models!$BJ166:$BT166,,T166+1)*R166-ERP_i)*Q166*Ramure*Pc/MaxiM</f>
        <v>3.8787035943916178E-5</v>
      </c>
      <c r="Q166" s="304">
        <f t="shared" si="52"/>
        <v>0.5</v>
      </c>
      <c r="R166" s="176">
        <f t="shared" si="53"/>
        <v>0.65714152939377035</v>
      </c>
      <c r="S166" s="814">
        <f t="shared" si="71"/>
        <v>-1</v>
      </c>
      <c r="T166" s="175">
        <f t="shared" si="54"/>
        <v>5</v>
      </c>
      <c r="U166" s="250">
        <f t="shared" si="55"/>
        <v>-0.34285847060622959</v>
      </c>
      <c r="V166" s="382">
        <f t="shared" si="56"/>
        <v>60.316072261324884</v>
      </c>
      <c r="W166" s="58"/>
      <c r="X166" s="157">
        <f t="shared" si="57"/>
        <v>43252</v>
      </c>
      <c r="Y166" s="384">
        <f t="shared" si="58"/>
        <v>0</v>
      </c>
      <c r="Z166" s="384">
        <f t="shared" si="59"/>
        <v>0</v>
      </c>
      <c r="AA166" s="385">
        <f t="shared" si="60"/>
        <v>0</v>
      </c>
      <c r="AB166" s="196">
        <f t="shared" si="61"/>
        <v>43252</v>
      </c>
      <c r="AC166" s="425">
        <f t="shared" si="62"/>
        <v>1.5210828564207317E-4</v>
      </c>
      <c r="AD166" s="168">
        <f>(INDEX(Models!$BJ166:$BT166,,AH166)*(1-AF166)+INDEX(Models!$BJ166:$BT166,,AH166+1)*AF166-ERP_i)*AE166*Ramure*Pc/MaxiM</f>
        <v>3.8787035943916178E-5</v>
      </c>
      <c r="AE166" s="304">
        <f t="shared" si="63"/>
        <v>0.5</v>
      </c>
      <c r="AF166" s="176">
        <f t="shared" si="64"/>
        <v>0.65714152939377035</v>
      </c>
      <c r="AG166" s="814">
        <f t="shared" si="65"/>
        <v>-1</v>
      </c>
      <c r="AH166" s="175">
        <f t="shared" si="66"/>
        <v>5</v>
      </c>
      <c r="AI166" s="224">
        <f t="shared" si="67"/>
        <v>-0.34285847060622959</v>
      </c>
      <c r="AJ166" s="264" t="b">
        <f t="shared" si="68"/>
        <v>0</v>
      </c>
      <c r="AK166" s="264" t="b">
        <f t="shared" si="69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89"/>
      <c r="D167" s="392"/>
      <c r="E167" s="384"/>
      <c r="F167" s="384"/>
      <c r="G167" s="110"/>
      <c r="I167" s="379">
        <f t="shared" si="48"/>
        <v>0</v>
      </c>
      <c r="J167" s="85">
        <v>2018</v>
      </c>
      <c r="K167" s="196">
        <f t="shared" si="49"/>
        <v>43253</v>
      </c>
      <c r="L167" s="436">
        <f t="shared" si="50"/>
        <v>6.570626014024139E-5</v>
      </c>
      <c r="M167" s="858"/>
      <c r="N167" s="858"/>
      <c r="O167" s="323">
        <f t="shared" si="51"/>
        <v>2.281951823316131E-4</v>
      </c>
      <c r="P167" s="168">
        <f>(INDEX(Models!$BJ167:$BT167,,T167)*(1-R167)+INDEX(Models!$BJ167:$BT167,,T167+1)*R167-ERP_i)*Q167*Ramure*Pc/MaxiM</f>
        <v>4.0721459493317729E-5</v>
      </c>
      <c r="Q167" s="304">
        <f t="shared" si="52"/>
        <v>0.5</v>
      </c>
      <c r="R167" s="176">
        <f t="shared" si="53"/>
        <v>0.66013663544241796</v>
      </c>
      <c r="S167" s="814">
        <f t="shared" si="71"/>
        <v>-1</v>
      </c>
      <c r="T167" s="175">
        <f t="shared" si="54"/>
        <v>5</v>
      </c>
      <c r="U167" s="250">
        <f t="shared" si="55"/>
        <v>-0.33986336455758204</v>
      </c>
      <c r="V167" s="382">
        <f t="shared" si="56"/>
        <v>60.270475681987179</v>
      </c>
      <c r="W167" s="58"/>
      <c r="X167" s="157">
        <f t="shared" si="57"/>
        <v>43253</v>
      </c>
      <c r="Y167" s="384">
        <f t="shared" si="58"/>
        <v>0</v>
      </c>
      <c r="Z167" s="384">
        <f t="shared" si="59"/>
        <v>0</v>
      </c>
      <c r="AA167" s="385">
        <f t="shared" si="60"/>
        <v>0</v>
      </c>
      <c r="AB167" s="196">
        <f t="shared" si="61"/>
        <v>43253</v>
      </c>
      <c r="AC167" s="425">
        <f t="shared" si="62"/>
        <v>2.281951823316131E-4</v>
      </c>
      <c r="AD167" s="168">
        <f>(INDEX(Models!$BJ167:$BT167,,AH167)*(1-AF167)+INDEX(Models!$BJ167:$BT167,,AH167+1)*AF167-ERP_i)*AE167*Ramure*Pc/MaxiM</f>
        <v>4.0721459493317729E-5</v>
      </c>
      <c r="AE167" s="304">
        <f t="shared" si="63"/>
        <v>0.5</v>
      </c>
      <c r="AF167" s="176">
        <f t="shared" si="64"/>
        <v>0.66013663544241796</v>
      </c>
      <c r="AG167" s="814">
        <f t="shared" si="65"/>
        <v>-1</v>
      </c>
      <c r="AH167" s="175">
        <f t="shared" si="66"/>
        <v>5</v>
      </c>
      <c r="AI167" s="224">
        <f t="shared" si="67"/>
        <v>-0.33986336455758204</v>
      </c>
      <c r="AJ167" s="264" t="b">
        <f t="shared" si="68"/>
        <v>0</v>
      </c>
      <c r="AK167" s="264" t="b">
        <f t="shared" si="69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89"/>
      <c r="D168" s="392"/>
      <c r="E168" s="384"/>
      <c r="F168" s="384"/>
      <c r="G168" s="110"/>
      <c r="I168" s="379">
        <f t="shared" si="48"/>
        <v>0</v>
      </c>
      <c r="J168" s="85">
        <v>2018</v>
      </c>
      <c r="K168" s="196">
        <f t="shared" si="49"/>
        <v>43254</v>
      </c>
      <c r="L168" s="436">
        <f t="shared" si="50"/>
        <v>8.7607387436960948E-5</v>
      </c>
      <c r="M168" s="858"/>
      <c r="N168" s="858"/>
      <c r="O168" s="323">
        <f t="shared" si="51"/>
        <v>3.0430167797767588E-4</v>
      </c>
      <c r="P168" s="168">
        <f>(INDEX(Models!$BJ168:$BT168,,T168)*(1-R168)+INDEX(Models!$BJ168:$BT168,,T168+1)*R168-ERP_i)*Q168*Ramure*Pc/MaxiM</f>
        <v>4.2693963955888187E-5</v>
      </c>
      <c r="Q168" s="304">
        <f t="shared" si="52"/>
        <v>0.5</v>
      </c>
      <c r="R168" s="176">
        <f t="shared" si="53"/>
        <v>0.66315185911178109</v>
      </c>
      <c r="S168" s="814">
        <f t="shared" si="71"/>
        <v>-1</v>
      </c>
      <c r="T168" s="175">
        <f t="shared" si="54"/>
        <v>5</v>
      </c>
      <c r="U168" s="250">
        <f t="shared" si="55"/>
        <v>-0.33684814088821891</v>
      </c>
      <c r="V168" s="382">
        <f t="shared" si="56"/>
        <v>60.221995834036065</v>
      </c>
      <c r="W168" s="58"/>
      <c r="X168" s="157">
        <f t="shared" si="57"/>
        <v>43254</v>
      </c>
      <c r="Y168" s="384">
        <f t="shared" si="58"/>
        <v>0</v>
      </c>
      <c r="Z168" s="384">
        <f t="shared" si="59"/>
        <v>0</v>
      </c>
      <c r="AA168" s="385">
        <f t="shared" si="60"/>
        <v>0</v>
      </c>
      <c r="AB168" s="196">
        <f t="shared" si="61"/>
        <v>43254</v>
      </c>
      <c r="AC168" s="425">
        <f t="shared" si="62"/>
        <v>3.0430167797767588E-4</v>
      </c>
      <c r="AD168" s="168">
        <f>(INDEX(Models!$BJ168:$BT168,,AH168)*(1-AF168)+INDEX(Models!$BJ168:$BT168,,AH168+1)*AF168-ERP_i)*AE168*Ramure*Pc/MaxiM</f>
        <v>4.2693963955888187E-5</v>
      </c>
      <c r="AE168" s="304">
        <f t="shared" si="63"/>
        <v>0.5</v>
      </c>
      <c r="AF168" s="176">
        <f t="shared" si="64"/>
        <v>0.66315185911178109</v>
      </c>
      <c r="AG168" s="814">
        <f t="shared" si="65"/>
        <v>-1</v>
      </c>
      <c r="AH168" s="175">
        <f t="shared" si="66"/>
        <v>5</v>
      </c>
      <c r="AI168" s="224">
        <f t="shared" si="67"/>
        <v>-0.33684814088821891</v>
      </c>
      <c r="AJ168" s="264" t="b">
        <f t="shared" si="68"/>
        <v>0</v>
      </c>
      <c r="AK168" s="264" t="b">
        <f t="shared" si="69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89"/>
      <c r="D169" s="392"/>
      <c r="E169" s="384"/>
      <c r="F169" s="384"/>
      <c r="G169" s="110"/>
      <c r="I169" s="379">
        <f t="shared" si="48"/>
        <v>0</v>
      </c>
      <c r="J169" s="85">
        <v>2018</v>
      </c>
      <c r="K169" s="196">
        <f t="shared" si="49"/>
        <v>43255</v>
      </c>
      <c r="L169" s="436">
        <f t="shared" si="50"/>
        <v>1.0950803504261586E-4</v>
      </c>
      <c r="M169" s="858"/>
      <c r="N169" s="858"/>
      <c r="O169" s="323">
        <f t="shared" si="51"/>
        <v>3.8042579096404333E-4</v>
      </c>
      <c r="P169" s="168">
        <f>(INDEX(Models!$BJ169:$BT169,,T169)*(1-R169)+INDEX(Models!$BJ169:$BT169,,T169+1)*R169-ERP_i)*Q169*Ramure*Pc/MaxiM</f>
        <v>4.4702005748773466E-5</v>
      </c>
      <c r="Q169" s="304">
        <f t="shared" si="52"/>
        <v>0.5</v>
      </c>
      <c r="R169" s="176">
        <f t="shared" si="53"/>
        <v>0.66618483362957703</v>
      </c>
      <c r="S169" s="814">
        <f t="shared" si="71"/>
        <v>-1</v>
      </c>
      <c r="T169" s="175">
        <f t="shared" si="54"/>
        <v>5</v>
      </c>
      <c r="U169" s="250">
        <f t="shared" si="55"/>
        <v>-0.33381516637042302</v>
      </c>
      <c r="V169" s="382">
        <f t="shared" si="56"/>
        <v>60.17106701215706</v>
      </c>
      <c r="W169" s="58"/>
      <c r="X169" s="157">
        <f t="shared" si="57"/>
        <v>43255</v>
      </c>
      <c r="Y169" s="384">
        <f t="shared" si="58"/>
        <v>0</v>
      </c>
      <c r="Z169" s="384">
        <f t="shared" si="59"/>
        <v>0</v>
      </c>
      <c r="AA169" s="385">
        <f t="shared" si="60"/>
        <v>0</v>
      </c>
      <c r="AB169" s="196">
        <f t="shared" si="61"/>
        <v>43255</v>
      </c>
      <c r="AC169" s="425">
        <f t="shared" si="62"/>
        <v>3.8042579096404333E-4</v>
      </c>
      <c r="AD169" s="168">
        <f>(INDEX(Models!$BJ169:$BT169,,AH169)*(1-AF169)+INDEX(Models!$BJ169:$BT169,,AH169+1)*AF169-ERP_i)*AE169*Ramure*Pc/MaxiM</f>
        <v>4.4702005748773466E-5</v>
      </c>
      <c r="AE169" s="304">
        <f t="shared" si="63"/>
        <v>0.5</v>
      </c>
      <c r="AF169" s="176">
        <f t="shared" si="64"/>
        <v>0.66618483362957703</v>
      </c>
      <c r="AG169" s="814">
        <f t="shared" si="65"/>
        <v>-1</v>
      </c>
      <c r="AH169" s="175">
        <f t="shared" si="66"/>
        <v>5</v>
      </c>
      <c r="AI169" s="224">
        <f t="shared" si="67"/>
        <v>-0.33381516637042302</v>
      </c>
      <c r="AJ169" s="264" t="b">
        <f t="shared" si="68"/>
        <v>0</v>
      </c>
      <c r="AK169" s="264" t="b">
        <f t="shared" si="69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0"/>
        <v>43256</v>
      </c>
      <c r="B170" s="616"/>
      <c r="C170" s="389"/>
      <c r="D170" s="392"/>
      <c r="E170" s="384"/>
      <c r="F170" s="384"/>
      <c r="G170" s="110"/>
      <c r="I170" s="379">
        <f t="shared" si="48"/>
        <v>0</v>
      </c>
      <c r="J170" s="85">
        <v>2018</v>
      </c>
      <c r="K170" s="196">
        <f t="shared" si="49"/>
        <v>43256</v>
      </c>
      <c r="L170" s="436">
        <f t="shared" si="50"/>
        <v>1.3140820296797528E-4</v>
      </c>
      <c r="M170" s="858"/>
      <c r="N170" s="858"/>
      <c r="O170" s="323">
        <f t="shared" si="51"/>
        <v>4.5656530554725962E-4</v>
      </c>
      <c r="P170" s="168">
        <f>(INDEX(Models!$BJ170:$BT170,,T170)*(1-R170)+INDEX(Models!$BJ170:$BT170,,T170+1)*R170-ERP_i)*Q170*Ramure*Pc/MaxiM</f>
        <v>4.6723373793358645E-5</v>
      </c>
      <c r="Q170" s="304">
        <f t="shared" si="52"/>
        <v>0.5</v>
      </c>
      <c r="R170" s="176">
        <f t="shared" si="53"/>
        <v>0.66923313415174013</v>
      </c>
      <c r="S170" s="814">
        <f t="shared" si="71"/>
        <v>-1</v>
      </c>
      <c r="T170" s="175">
        <f t="shared" si="54"/>
        <v>5</v>
      </c>
      <c r="U170" s="250">
        <f t="shared" si="55"/>
        <v>-0.33076686584825987</v>
      </c>
      <c r="V170" s="382">
        <f t="shared" si="56"/>
        <v>60.118124537212978</v>
      </c>
      <c r="W170" s="58"/>
      <c r="X170" s="157">
        <f t="shared" si="57"/>
        <v>43256</v>
      </c>
      <c r="Y170" s="384">
        <f t="shared" si="58"/>
        <v>0</v>
      </c>
      <c r="Z170" s="384">
        <f t="shared" si="59"/>
        <v>0</v>
      </c>
      <c r="AA170" s="385">
        <f t="shared" si="60"/>
        <v>0</v>
      </c>
      <c r="AB170" s="196">
        <f t="shared" si="61"/>
        <v>43256</v>
      </c>
      <c r="AC170" s="425">
        <f t="shared" si="62"/>
        <v>4.5656530554725962E-4</v>
      </c>
      <c r="AD170" s="168">
        <f>(INDEX(Models!$BJ170:$BT170,,AH170)*(1-AF170)+INDEX(Models!$BJ170:$BT170,,AH170+1)*AF170-ERP_i)*AE170*Ramure*Pc/MaxiM</f>
        <v>4.6723373793358645E-5</v>
      </c>
      <c r="AE170" s="304">
        <f t="shared" si="63"/>
        <v>0.5</v>
      </c>
      <c r="AF170" s="176">
        <f t="shared" si="64"/>
        <v>0.66923313415174013</v>
      </c>
      <c r="AG170" s="814">
        <f t="shared" si="65"/>
        <v>-1</v>
      </c>
      <c r="AH170" s="175">
        <f t="shared" si="66"/>
        <v>5</v>
      </c>
      <c r="AI170" s="224">
        <f t="shared" si="67"/>
        <v>-0.33076686584825987</v>
      </c>
      <c r="AJ170" s="264" t="b">
        <f t="shared" si="68"/>
        <v>0</v>
      </c>
      <c r="AK170" s="264" t="b">
        <f t="shared" si="69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0"/>
        <v>43257</v>
      </c>
      <c r="B171" s="616"/>
      <c r="C171" s="389"/>
      <c r="D171" s="392"/>
      <c r="E171" s="384"/>
      <c r="F171" s="384"/>
      <c r="G171" s="110"/>
      <c r="I171" s="379">
        <f t="shared" si="48"/>
        <v>0</v>
      </c>
      <c r="J171" s="85">
        <v>2018</v>
      </c>
      <c r="K171" s="196">
        <f t="shared" si="49"/>
        <v>43257</v>
      </c>
      <c r="L171" s="436">
        <f t="shared" si="50"/>
        <v>1.5330789122347532E-4</v>
      </c>
      <c r="M171" s="858"/>
      <c r="N171" s="858"/>
      <c r="O171" s="323">
        <f t="shared" si="51"/>
        <v>5.3271778097197734E-4</v>
      </c>
      <c r="P171" s="168">
        <f>(INDEX(Models!$BJ171:$BT171,,T171)*(1-R171)+INDEX(Models!$BJ171:$BT171,,T171+1)*R171-ERP_i)*Q171*Ramure*Pc/MaxiM</f>
        <v>4.8762740870669248E-5</v>
      </c>
      <c r="Q171" s="304">
        <f t="shared" si="52"/>
        <v>0.5</v>
      </c>
      <c r="R171" s="176">
        <f t="shared" si="53"/>
        <v>0.67229428528002411</v>
      </c>
      <c r="S171" s="814">
        <f t="shared" si="71"/>
        <v>-1</v>
      </c>
      <c r="T171" s="175">
        <f t="shared" si="54"/>
        <v>5</v>
      </c>
      <c r="U171" s="250">
        <f t="shared" si="55"/>
        <v>-0.32770571471997589</v>
      </c>
      <c r="V171" s="382">
        <f t="shared" si="56"/>
        <v>60.063601949204127</v>
      </c>
      <c r="W171" s="58"/>
      <c r="X171" s="157">
        <f t="shared" si="57"/>
        <v>43257</v>
      </c>
      <c r="Y171" s="384">
        <f t="shared" si="58"/>
        <v>0</v>
      </c>
      <c r="Z171" s="384">
        <f t="shared" si="59"/>
        <v>0</v>
      </c>
      <c r="AA171" s="385">
        <f t="shared" si="60"/>
        <v>0</v>
      </c>
      <c r="AB171" s="196">
        <f t="shared" si="61"/>
        <v>43257</v>
      </c>
      <c r="AC171" s="425">
        <f t="shared" si="62"/>
        <v>5.3271778097197734E-4</v>
      </c>
      <c r="AD171" s="168">
        <f>(INDEX(Models!$BJ171:$BT171,,AH171)*(1-AF171)+INDEX(Models!$BJ171:$BT171,,AH171+1)*AF171-ERP_i)*AE171*Ramure*Pc/MaxiM</f>
        <v>4.8762740870669248E-5</v>
      </c>
      <c r="AE171" s="304">
        <f t="shared" si="63"/>
        <v>0.5</v>
      </c>
      <c r="AF171" s="176">
        <f t="shared" si="64"/>
        <v>0.67229428528002411</v>
      </c>
      <c r="AG171" s="814">
        <f t="shared" si="65"/>
        <v>-1</v>
      </c>
      <c r="AH171" s="175">
        <f t="shared" si="66"/>
        <v>5</v>
      </c>
      <c r="AI171" s="224">
        <f t="shared" si="67"/>
        <v>-0.32770571471997589</v>
      </c>
      <c r="AJ171" s="264" t="b">
        <f t="shared" si="68"/>
        <v>0</v>
      </c>
      <c r="AK171" s="264" t="b">
        <f t="shared" si="69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89"/>
      <c r="D172" s="392"/>
      <c r="E172" s="384"/>
      <c r="F172" s="384"/>
      <c r="G172" s="110"/>
      <c r="I172" s="379">
        <f t="shared" si="48"/>
        <v>0</v>
      </c>
      <c r="J172" s="85">
        <v>2018</v>
      </c>
      <c r="K172" s="196">
        <f t="shared" si="49"/>
        <v>43258</v>
      </c>
      <c r="L172" s="436">
        <f t="shared" si="50"/>
        <v>1.7520709981955207E-4</v>
      </c>
      <c r="M172" s="858"/>
      <c r="N172" s="858"/>
      <c r="O172" s="323">
        <f t="shared" si="51"/>
        <v>6.088805619313592E-4</v>
      </c>
      <c r="P172" s="168">
        <f>(INDEX(Models!$BJ172:$BT172,,T172)*(1-R172)+INDEX(Models!$BJ172:$BT172,,T172+1)*R172-ERP_i)*Q172*Ramure*Pc/MaxiM</f>
        <v>5.081593042716904E-5</v>
      </c>
      <c r="Q172" s="304">
        <f t="shared" si="52"/>
        <v>0.5</v>
      </c>
      <c r="R172" s="176">
        <f t="shared" si="53"/>
        <v>0.67536576893071976</v>
      </c>
      <c r="S172" s="814">
        <f t="shared" si="71"/>
        <v>-1</v>
      </c>
      <c r="T172" s="175">
        <f t="shared" si="54"/>
        <v>5</v>
      </c>
      <c r="U172" s="250">
        <f t="shared" si="55"/>
        <v>-0.3246342310692803</v>
      </c>
      <c r="V172" s="382">
        <f t="shared" si="56"/>
        <v>60.007933159324502</v>
      </c>
      <c r="W172" s="58"/>
      <c r="X172" s="157">
        <f t="shared" si="57"/>
        <v>43258</v>
      </c>
      <c r="Y172" s="384">
        <f t="shared" si="58"/>
        <v>0</v>
      </c>
      <c r="Z172" s="384">
        <f t="shared" si="59"/>
        <v>0</v>
      </c>
      <c r="AA172" s="385">
        <f t="shared" si="60"/>
        <v>0</v>
      </c>
      <c r="AB172" s="196">
        <f t="shared" si="61"/>
        <v>43258</v>
      </c>
      <c r="AC172" s="425">
        <f t="shared" si="62"/>
        <v>6.088805619313592E-4</v>
      </c>
      <c r="AD172" s="168">
        <f>(INDEX(Models!$BJ172:$BT172,,AH172)*(1-AF172)+INDEX(Models!$BJ172:$BT172,,AH172+1)*AF172-ERP_i)*AE172*Ramure*Pc/MaxiM</f>
        <v>5.081593042716904E-5</v>
      </c>
      <c r="AE172" s="304">
        <f t="shared" si="63"/>
        <v>0.5</v>
      </c>
      <c r="AF172" s="176">
        <f t="shared" si="64"/>
        <v>0.67536576893071976</v>
      </c>
      <c r="AG172" s="814">
        <f t="shared" si="65"/>
        <v>-1</v>
      </c>
      <c r="AH172" s="175">
        <f t="shared" si="66"/>
        <v>5</v>
      </c>
      <c r="AI172" s="224">
        <f t="shared" si="67"/>
        <v>-0.3246342310692803</v>
      </c>
      <c r="AJ172" s="264" t="b">
        <f t="shared" si="68"/>
        <v>0</v>
      </c>
      <c r="AK172" s="264" t="b">
        <f t="shared" si="69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89"/>
      <c r="D173" s="392"/>
      <c r="E173" s="384"/>
      <c r="F173" s="384"/>
      <c r="G173" s="110"/>
      <c r="I173" s="379">
        <f t="shared" si="48"/>
        <v>0</v>
      </c>
      <c r="J173" s="85">
        <v>2018</v>
      </c>
      <c r="K173" s="196">
        <f t="shared" si="49"/>
        <v>43259</v>
      </c>
      <c r="L173" s="436">
        <f t="shared" si="50"/>
        <v>1.9710582876675264E-4</v>
      </c>
      <c r="M173" s="858"/>
      <c r="N173" s="858"/>
      <c r="O173" s="323">
        <f t="shared" si="51"/>
        <v>6.8505079031917293E-4</v>
      </c>
      <c r="P173" s="168">
        <f>(INDEX(Models!$BJ173:$BT173,,T173)*(1-R173)+INDEX(Models!$BJ173:$BT173,,T173+1)*R173-ERP_i)*Q173*Ramure*Pc/MaxiM</f>
        <v>5.2878528416662E-5</v>
      </c>
      <c r="Q173" s="304">
        <f t="shared" si="52"/>
        <v>0.5</v>
      </c>
      <c r="R173" s="176">
        <f t="shared" si="53"/>
        <v>0.67844503250267962</v>
      </c>
      <c r="S173" s="814">
        <f t="shared" si="71"/>
        <v>-1</v>
      </c>
      <c r="T173" s="175">
        <f t="shared" si="54"/>
        <v>5</v>
      </c>
      <c r="U173" s="250">
        <f t="shared" si="55"/>
        <v>-0.32155496749732038</v>
      </c>
      <c r="V173" s="382">
        <f t="shared" si="56"/>
        <v>59.951551931085064</v>
      </c>
      <c r="W173" s="58"/>
      <c r="X173" s="157">
        <f t="shared" si="57"/>
        <v>43259</v>
      </c>
      <c r="Y173" s="384">
        <f t="shared" si="58"/>
        <v>0</v>
      </c>
      <c r="Z173" s="384">
        <f t="shared" si="59"/>
        <v>0</v>
      </c>
      <c r="AA173" s="385">
        <f t="shared" si="60"/>
        <v>0</v>
      </c>
      <c r="AB173" s="196">
        <f t="shared" si="61"/>
        <v>43259</v>
      </c>
      <c r="AC173" s="425">
        <f t="shared" si="62"/>
        <v>6.8505079031917293E-4</v>
      </c>
      <c r="AD173" s="168">
        <f>(INDEX(Models!$BJ173:$BT173,,AH173)*(1-AF173)+INDEX(Models!$BJ173:$BT173,,AH173+1)*AF173-ERP_i)*AE173*Ramure*Pc/MaxiM</f>
        <v>5.2878528416662E-5</v>
      </c>
      <c r="AE173" s="304">
        <f t="shared" si="63"/>
        <v>0.5</v>
      </c>
      <c r="AF173" s="176">
        <f t="shared" si="64"/>
        <v>0.67844503250267962</v>
      </c>
      <c r="AG173" s="814">
        <f t="shared" si="65"/>
        <v>-1</v>
      </c>
      <c r="AH173" s="175">
        <f t="shared" si="66"/>
        <v>5</v>
      </c>
      <c r="AI173" s="224">
        <f t="shared" si="67"/>
        <v>-0.32155496749732038</v>
      </c>
      <c r="AJ173" s="264" t="b">
        <f t="shared" si="68"/>
        <v>0</v>
      </c>
      <c r="AK173" s="264" t="b">
        <f t="shared" si="69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89"/>
      <c r="D174" s="392"/>
      <c r="E174" s="384"/>
      <c r="F174" s="384"/>
      <c r="G174" s="110"/>
      <c r="I174" s="379">
        <f t="shared" si="48"/>
        <v>0</v>
      </c>
      <c r="J174" s="85">
        <v>2018</v>
      </c>
      <c r="K174" s="196">
        <f t="shared" si="49"/>
        <v>43260</v>
      </c>
      <c r="L174" s="436">
        <f t="shared" si="50"/>
        <v>2.1900407807551314E-4</v>
      </c>
      <c r="M174" s="858"/>
      <c r="N174" s="858"/>
      <c r="O174" s="323">
        <f t="shared" si="51"/>
        <v>7.6122541820759109E-4</v>
      </c>
      <c r="P174" s="168">
        <f>(INDEX(Models!$BJ174:$BT174,,T174)*(1-R174)+INDEX(Models!$BJ174:$BT174,,T174+1)*R174-ERP_i)*Q174*Ramure*Pc/MaxiM</f>
        <v>5.4945895865961787E-5</v>
      </c>
      <c r="Q174" s="304">
        <f t="shared" si="52"/>
        <v>0.5</v>
      </c>
      <c r="R174" s="176">
        <f t="shared" si="53"/>
        <v>0.68152949728926315</v>
      </c>
      <c r="S174" s="814">
        <f t="shared" si="71"/>
        <v>-1</v>
      </c>
      <c r="T174" s="175">
        <f t="shared" si="54"/>
        <v>5</v>
      </c>
      <c r="U174" s="250">
        <f t="shared" si="55"/>
        <v>-0.31847050271073685</v>
      </c>
      <c r="V174" s="382">
        <f t="shared" si="56"/>
        <v>59.894891877238337</v>
      </c>
      <c r="W174" s="58"/>
      <c r="X174" s="157">
        <f t="shared" si="57"/>
        <v>43260</v>
      </c>
      <c r="Y174" s="384">
        <f t="shared" si="58"/>
        <v>0</v>
      </c>
      <c r="Z174" s="384">
        <f t="shared" si="59"/>
        <v>0</v>
      </c>
      <c r="AA174" s="385">
        <f t="shared" si="60"/>
        <v>0</v>
      </c>
      <c r="AB174" s="196">
        <f t="shared" si="61"/>
        <v>43260</v>
      </c>
      <c r="AC174" s="425">
        <f t="shared" si="62"/>
        <v>7.6122541820759109E-4</v>
      </c>
      <c r="AD174" s="168">
        <f>(INDEX(Models!$BJ174:$BT174,,AH174)*(1-AF174)+INDEX(Models!$BJ174:$BT174,,AH174+1)*AF174-ERP_i)*AE174*Ramure*Pc/MaxiM</f>
        <v>5.4945895865961787E-5</v>
      </c>
      <c r="AE174" s="304">
        <f t="shared" si="63"/>
        <v>0.5</v>
      </c>
      <c r="AF174" s="176">
        <f t="shared" si="64"/>
        <v>0.68152949728926315</v>
      </c>
      <c r="AG174" s="814">
        <f t="shared" si="65"/>
        <v>-1</v>
      </c>
      <c r="AH174" s="175">
        <f t="shared" si="66"/>
        <v>5</v>
      </c>
      <c r="AI174" s="224">
        <f t="shared" si="67"/>
        <v>-0.31847050271073685</v>
      </c>
      <c r="AJ174" s="264" t="b">
        <f t="shared" si="68"/>
        <v>0</v>
      </c>
      <c r="AK174" s="264" t="b">
        <f t="shared" si="69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89"/>
      <c r="D175" s="392"/>
      <c r="E175" s="384"/>
      <c r="F175" s="384"/>
      <c r="G175" s="110"/>
      <c r="I175" s="379">
        <f t="shared" si="48"/>
        <v>0</v>
      </c>
      <c r="J175" s="85">
        <v>2018</v>
      </c>
      <c r="K175" s="196">
        <f t="shared" si="49"/>
        <v>43261</v>
      </c>
      <c r="L175" s="436">
        <f t="shared" si="50"/>
        <v>2.409018477564917E-4</v>
      </c>
      <c r="M175" s="858"/>
      <c r="N175" s="858"/>
      <c r="O175" s="323">
        <f t="shared" si="51"/>
        <v>8.3740122197316932E-4</v>
      </c>
      <c r="P175" s="168">
        <f>(INDEX(Models!$BJ175:$BT175,,T175)*(1-R175)+INDEX(Models!$BJ175:$BT175,,T175+1)*R175-ERP_i)*Q175*Ramure*Pc/MaxiM</f>
        <v>5.7013183402198753E-5</v>
      </c>
      <c r="Q175" s="304">
        <f t="shared" si="52"/>
        <v>0.5</v>
      </c>
      <c r="R175" s="176">
        <f t="shared" si="53"/>
        <v>0.68461656707587004</v>
      </c>
      <c r="S175" s="814">
        <f t="shared" si="71"/>
        <v>-1</v>
      </c>
      <c r="T175" s="175">
        <f t="shared" si="54"/>
        <v>5</v>
      </c>
      <c r="U175" s="250">
        <f t="shared" si="55"/>
        <v>-0.31538343292412996</v>
      </c>
      <c r="V175" s="382">
        <f t="shared" si="56"/>
        <v>59.83838645843354</v>
      </c>
      <c r="W175" s="58"/>
      <c r="X175" s="157">
        <f t="shared" si="57"/>
        <v>43261</v>
      </c>
      <c r="Y175" s="384">
        <f t="shared" si="58"/>
        <v>0</v>
      </c>
      <c r="Z175" s="384">
        <f t="shared" si="59"/>
        <v>0</v>
      </c>
      <c r="AA175" s="385">
        <f t="shared" si="60"/>
        <v>0</v>
      </c>
      <c r="AB175" s="196">
        <f t="shared" si="61"/>
        <v>43261</v>
      </c>
      <c r="AC175" s="425">
        <f t="shared" si="62"/>
        <v>8.3740122197316932E-4</v>
      </c>
      <c r="AD175" s="168">
        <f>(INDEX(Models!$BJ175:$BT175,,AH175)*(1-AF175)+INDEX(Models!$BJ175:$BT175,,AH175+1)*AF175-ERP_i)*AE175*Ramure*Pc/MaxiM</f>
        <v>5.7013183402198753E-5</v>
      </c>
      <c r="AE175" s="304">
        <f t="shared" si="63"/>
        <v>0.5</v>
      </c>
      <c r="AF175" s="176">
        <f t="shared" si="64"/>
        <v>0.68461656707587004</v>
      </c>
      <c r="AG175" s="814">
        <f t="shared" si="65"/>
        <v>-1</v>
      </c>
      <c r="AH175" s="175">
        <f t="shared" si="66"/>
        <v>5</v>
      </c>
      <c r="AI175" s="224">
        <f t="shared" si="67"/>
        <v>-0.31538343292412996</v>
      </c>
      <c r="AJ175" s="264" t="b">
        <f t="shared" si="68"/>
        <v>0</v>
      </c>
      <c r="AK175" s="264" t="b">
        <f t="shared" si="69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89"/>
      <c r="D176" s="392"/>
      <c r="E176" s="384"/>
      <c r="F176" s="384"/>
      <c r="G176" s="110"/>
      <c r="I176" s="379">
        <f t="shared" si="48"/>
        <v>0</v>
      </c>
      <c r="J176" s="85">
        <v>2018</v>
      </c>
      <c r="K176" s="196">
        <f t="shared" si="49"/>
        <v>43262</v>
      </c>
      <c r="L176" s="436">
        <f t="shared" si="50"/>
        <v>2.6279913782012443E-4</v>
      </c>
      <c r="M176" s="858"/>
      <c r="N176" s="858"/>
      <c r="O176" s="323">
        <f t="shared" si="51"/>
        <v>9.1357481748187408E-4</v>
      </c>
      <c r="P176" s="168">
        <f>(INDEX(Models!$BJ176:$BT176,,T176)*(1-R176)+INDEX(Models!$BJ176:$BT176,,T176+1)*R176-ERP_i)*Q176*Ramure*Pc/MaxiM</f>
        <v>5.9075347674932734E-5</v>
      </c>
      <c r="Q176" s="304">
        <f t="shared" si="52"/>
        <v>0.5</v>
      </c>
      <c r="R176" s="176">
        <f t="shared" si="53"/>
        <v>0.68770363686247693</v>
      </c>
      <c r="S176" s="814">
        <f t="shared" si="71"/>
        <v>-1</v>
      </c>
      <c r="T176" s="175">
        <f t="shared" si="54"/>
        <v>5</v>
      </c>
      <c r="U176" s="250">
        <f t="shared" si="55"/>
        <v>-0.31229636313752307</v>
      </c>
      <c r="V176" s="382">
        <f t="shared" si="56"/>
        <v>59.782468981850478</v>
      </c>
      <c r="W176" s="58"/>
      <c r="X176" s="157">
        <f t="shared" si="57"/>
        <v>43262</v>
      </c>
      <c r="Y176" s="384">
        <f t="shared" si="58"/>
        <v>0</v>
      </c>
      <c r="Z176" s="384">
        <f t="shared" si="59"/>
        <v>0</v>
      </c>
      <c r="AA176" s="385">
        <f t="shared" si="60"/>
        <v>0</v>
      </c>
      <c r="AB176" s="196">
        <f t="shared" si="61"/>
        <v>43262</v>
      </c>
      <c r="AC176" s="425">
        <f t="shared" si="62"/>
        <v>9.1357481748187408E-4</v>
      </c>
      <c r="AD176" s="168">
        <f>(INDEX(Models!$BJ176:$BT176,,AH176)*(1-AF176)+INDEX(Models!$BJ176:$BT176,,AH176+1)*AF176-ERP_i)*AE176*Ramure*Pc/MaxiM</f>
        <v>5.9075347674932734E-5</v>
      </c>
      <c r="AE176" s="304">
        <f t="shared" si="63"/>
        <v>0.5</v>
      </c>
      <c r="AF176" s="176">
        <f t="shared" si="64"/>
        <v>0.68770363686247693</v>
      </c>
      <c r="AG176" s="814">
        <f t="shared" si="65"/>
        <v>-1</v>
      </c>
      <c r="AH176" s="175">
        <f t="shared" si="66"/>
        <v>5</v>
      </c>
      <c r="AI176" s="224">
        <f t="shared" si="67"/>
        <v>-0.31229636313752307</v>
      </c>
      <c r="AJ176" s="264" t="b">
        <f t="shared" si="68"/>
        <v>0</v>
      </c>
      <c r="AK176" s="264" t="b">
        <f t="shared" si="69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89"/>
      <c r="D177" s="392"/>
      <c r="E177" s="384"/>
      <c r="F177" s="384"/>
      <c r="G177" s="110"/>
      <c r="I177" s="379">
        <f t="shared" si="48"/>
        <v>0</v>
      </c>
      <c r="J177" s="85">
        <v>2018</v>
      </c>
      <c r="K177" s="196">
        <f t="shared" si="49"/>
        <v>43263</v>
      </c>
      <c r="L177" s="436">
        <f t="shared" si="50"/>
        <v>2.8469594827695843E-4</v>
      </c>
      <c r="M177" s="858"/>
      <c r="N177" s="858"/>
      <c r="O177" s="323">
        <f t="shared" si="51"/>
        <v>9.8974267623354339E-4</v>
      </c>
      <c r="P177" s="168">
        <f>(INDEX(Models!$BJ177:$BT177,,T177)*(1-R177)+INDEX(Models!$BJ177:$BT177,,T177+1)*R177-ERP_i)*Q177*Ramure*Pc/MaxiM</f>
        <v>6.1128276968235064E-5</v>
      </c>
      <c r="Q177" s="304">
        <f t="shared" si="52"/>
        <v>0.5</v>
      </c>
      <c r="R177" s="176">
        <f t="shared" si="53"/>
        <v>0.69078810164906046</v>
      </c>
      <c r="S177" s="814">
        <f t="shared" si="71"/>
        <v>-1</v>
      </c>
      <c r="T177" s="175">
        <f t="shared" si="54"/>
        <v>5</v>
      </c>
      <c r="U177" s="250">
        <f t="shared" si="55"/>
        <v>-0.30921189835093954</v>
      </c>
      <c r="V177" s="382">
        <f t="shared" si="56"/>
        <v>59.726490523917533</v>
      </c>
      <c r="W177" s="58"/>
      <c r="X177" s="157">
        <f t="shared" si="57"/>
        <v>43263</v>
      </c>
      <c r="Y177" s="384">
        <f t="shared" si="58"/>
        <v>0</v>
      </c>
      <c r="Z177" s="384">
        <f t="shared" si="59"/>
        <v>0</v>
      </c>
      <c r="AA177" s="385">
        <f t="shared" si="60"/>
        <v>0</v>
      </c>
      <c r="AB177" s="196">
        <f t="shared" si="61"/>
        <v>43263</v>
      </c>
      <c r="AC177" s="425">
        <f t="shared" si="62"/>
        <v>9.8974267623354339E-4</v>
      </c>
      <c r="AD177" s="168">
        <f>(INDEX(Models!$BJ177:$BT177,,AH177)*(1-AF177)+INDEX(Models!$BJ177:$BT177,,AH177+1)*AF177-ERP_i)*AE177*Ramure*Pc/MaxiM</f>
        <v>6.1128276968235064E-5</v>
      </c>
      <c r="AE177" s="304">
        <f t="shared" si="63"/>
        <v>0.5</v>
      </c>
      <c r="AF177" s="176">
        <f t="shared" si="64"/>
        <v>0.69078810164906046</v>
      </c>
      <c r="AG177" s="814">
        <f t="shared" si="65"/>
        <v>-1</v>
      </c>
      <c r="AH177" s="175">
        <f t="shared" si="66"/>
        <v>5</v>
      </c>
      <c r="AI177" s="224">
        <f t="shared" si="67"/>
        <v>-0.30921189835093954</v>
      </c>
      <c r="AJ177" s="264" t="b">
        <f t="shared" si="68"/>
        <v>0</v>
      </c>
      <c r="AK177" s="264" t="b">
        <f t="shared" si="69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89"/>
      <c r="D178" s="392"/>
      <c r="E178" s="384"/>
      <c r="F178" s="384"/>
      <c r="G178" s="110"/>
      <c r="I178" s="379">
        <f t="shared" si="48"/>
        <v>0</v>
      </c>
      <c r="J178" s="85">
        <v>2018</v>
      </c>
      <c r="K178" s="196">
        <f t="shared" si="49"/>
        <v>43264</v>
      </c>
      <c r="L178" s="436">
        <f t="shared" si="50"/>
        <v>3.0659227913731879E-4</v>
      </c>
      <c r="M178" s="858"/>
      <c r="N178" s="858"/>
      <c r="O178" s="323">
        <f t="shared" si="51"/>
        <v>1.0659011423560919E-3</v>
      </c>
      <c r="P178" s="168">
        <f>(INDEX(Models!$BJ178:$BT178,,T178)*(1-R178)+INDEX(Models!$BJ178:$BT178,,T178+1)*R178-ERP_i)*Q178*Ramure*Pc/MaxiM</f>
        <v>6.3143934007999986E-5</v>
      </c>
      <c r="Q178" s="304">
        <f t="shared" si="52"/>
        <v>0.5</v>
      </c>
      <c r="R178" s="176">
        <f t="shared" si="53"/>
        <v>0.69386736522102044</v>
      </c>
      <c r="S178" s="814">
        <f t="shared" si="71"/>
        <v>-1</v>
      </c>
      <c r="T178" s="175">
        <f t="shared" si="54"/>
        <v>5</v>
      </c>
      <c r="U178" s="250">
        <f t="shared" si="55"/>
        <v>-0.30613263477897956</v>
      </c>
      <c r="V178" s="382">
        <f t="shared" si="56"/>
        <v>59.669515347743136</v>
      </c>
      <c r="W178" s="58"/>
      <c r="X178" s="157">
        <f t="shared" si="57"/>
        <v>43264</v>
      </c>
      <c r="Y178" s="384">
        <f t="shared" si="58"/>
        <v>0</v>
      </c>
      <c r="Z178" s="384">
        <f t="shared" si="59"/>
        <v>0</v>
      </c>
      <c r="AA178" s="385">
        <f t="shared" si="60"/>
        <v>0</v>
      </c>
      <c r="AB178" s="196">
        <f t="shared" si="61"/>
        <v>43264</v>
      </c>
      <c r="AC178" s="425">
        <f t="shared" si="62"/>
        <v>1.0659011423560919E-3</v>
      </c>
      <c r="AD178" s="168">
        <f>(INDEX(Models!$BJ178:$BT178,,AH178)*(1-AF178)+INDEX(Models!$BJ178:$BT178,,AH178+1)*AF178-ERP_i)*AE178*Ramure*Pc/MaxiM</f>
        <v>6.3143934007999986E-5</v>
      </c>
      <c r="AE178" s="304">
        <f t="shared" si="63"/>
        <v>0.5</v>
      </c>
      <c r="AF178" s="176">
        <f t="shared" si="64"/>
        <v>0.69386736522102044</v>
      </c>
      <c r="AG178" s="814">
        <f t="shared" si="65"/>
        <v>-1</v>
      </c>
      <c r="AH178" s="175">
        <f t="shared" si="66"/>
        <v>5</v>
      </c>
      <c r="AI178" s="224">
        <f t="shared" si="67"/>
        <v>-0.30613263477897956</v>
      </c>
      <c r="AJ178" s="264" t="b">
        <f t="shared" si="68"/>
        <v>0</v>
      </c>
      <c r="AK178" s="264" t="b">
        <f t="shared" si="69"/>
        <v>0</v>
      </c>
      <c r="AL178" s="264"/>
      <c r="AM178" s="264"/>
      <c r="AN178" s="75"/>
    </row>
    <row r="179" spans="1:40" s="6" customFormat="1" ht="11.25" x14ac:dyDescent="0.2">
      <c r="A179" s="56">
        <f t="shared" si="70"/>
        <v>43265</v>
      </c>
      <c r="B179" s="616"/>
      <c r="C179" s="389"/>
      <c r="D179" s="392"/>
      <c r="E179" s="384"/>
      <c r="F179" s="384"/>
      <c r="G179" s="110"/>
      <c r="I179" s="379">
        <f t="shared" si="48"/>
        <v>0</v>
      </c>
      <c r="J179" s="85">
        <v>2018</v>
      </c>
      <c r="K179" s="196">
        <f t="shared" si="49"/>
        <v>43265</v>
      </c>
      <c r="L179" s="436">
        <f t="shared" si="50"/>
        <v>3.2848813041197467E-4</v>
      </c>
      <c r="M179" s="858"/>
      <c r="N179" s="858"/>
      <c r="O179" s="323">
        <f t="shared" si="51"/>
        <v>1.1420464503311672E-3</v>
      </c>
      <c r="P179" s="168">
        <f>(INDEX(Models!$BJ179:$BT179,,T179)*(1-R179)+INDEX(Models!$BJ179:$BT179,,T179+1)*R179-ERP_i)*Q179*Ramure*Pc/MaxiM</f>
        <v>6.5136730924379759E-5</v>
      </c>
      <c r="Q179" s="304">
        <f t="shared" si="52"/>
        <v>0.5</v>
      </c>
      <c r="R179" s="176">
        <f t="shared" si="53"/>
        <v>0.69693884887171598</v>
      </c>
      <c r="S179" s="814">
        <f t="shared" si="71"/>
        <v>-1</v>
      </c>
      <c r="T179" s="175">
        <f t="shared" si="54"/>
        <v>5</v>
      </c>
      <c r="U179" s="250">
        <f t="shared" si="55"/>
        <v>-0.30306115112828402</v>
      </c>
      <c r="V179" s="382">
        <f t="shared" si="56"/>
        <v>59.611543114060872</v>
      </c>
      <c r="W179" s="58"/>
      <c r="X179" s="157">
        <f t="shared" si="57"/>
        <v>43265</v>
      </c>
      <c r="Y179" s="384">
        <f t="shared" si="58"/>
        <v>0</v>
      </c>
      <c r="Z179" s="384">
        <f t="shared" si="59"/>
        <v>0</v>
      </c>
      <c r="AA179" s="385">
        <f t="shared" si="60"/>
        <v>0</v>
      </c>
      <c r="AB179" s="196">
        <f t="shared" si="61"/>
        <v>43265</v>
      </c>
      <c r="AC179" s="425">
        <f t="shared" si="62"/>
        <v>1.1420464503311672E-3</v>
      </c>
      <c r="AD179" s="168">
        <f>(INDEX(Models!$BJ179:$BT179,,AH179)*(1-AF179)+INDEX(Models!$BJ179:$BT179,,AH179+1)*AF179-ERP_i)*AE179*Ramure*Pc/MaxiM</f>
        <v>6.5136730924379759E-5</v>
      </c>
      <c r="AE179" s="304">
        <f t="shared" si="63"/>
        <v>0.5</v>
      </c>
      <c r="AF179" s="176">
        <f t="shared" si="64"/>
        <v>0.69693884887171598</v>
      </c>
      <c r="AG179" s="814">
        <f t="shared" si="65"/>
        <v>-1</v>
      </c>
      <c r="AH179" s="175">
        <f t="shared" si="66"/>
        <v>5</v>
      </c>
      <c r="AI179" s="224">
        <f t="shared" si="67"/>
        <v>-0.30306115112828402</v>
      </c>
      <c r="AJ179" s="264" t="b">
        <f t="shared" si="68"/>
        <v>0</v>
      </c>
      <c r="AK179" s="264" t="b">
        <f t="shared" si="69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89"/>
      <c r="D180" s="392"/>
      <c r="E180" s="384"/>
      <c r="F180" s="384"/>
      <c r="G180" s="110"/>
      <c r="I180" s="379">
        <f t="shared" si="48"/>
        <v>0</v>
      </c>
      <c r="J180" s="85">
        <v>2018</v>
      </c>
      <c r="K180" s="196">
        <f t="shared" si="49"/>
        <v>43266</v>
      </c>
      <c r="L180" s="436">
        <f t="shared" si="50"/>
        <v>3.5038350211114011E-4</v>
      </c>
      <c r="M180" s="858"/>
      <c r="N180" s="858"/>
      <c r="O180" s="323">
        <f t="shared" si="51"/>
        <v>1.218174743324718E-3</v>
      </c>
      <c r="P180" s="168">
        <f>(INDEX(Models!$BJ180:$BT180,,T180)*(1-R180)+INDEX(Models!$BJ180:$BT180,,T180+1)*R180-ERP_i)*Q180*Ramure*Pc/MaxiM</f>
        <v>6.710155057241621E-5</v>
      </c>
      <c r="Q180" s="304">
        <f t="shared" si="52"/>
        <v>0.5</v>
      </c>
      <c r="R180" s="176">
        <f t="shared" si="53"/>
        <v>0.7</v>
      </c>
      <c r="S180" s="814">
        <f t="shared" si="71"/>
        <v>-1</v>
      </c>
      <c r="T180" s="175">
        <f t="shared" si="54"/>
        <v>5</v>
      </c>
      <c r="U180" s="250">
        <f t="shared" si="55"/>
        <v>-0.30000000000000004</v>
      </c>
      <c r="V180" s="382">
        <f t="shared" si="56"/>
        <v>59.552574653854208</v>
      </c>
      <c r="W180" s="58"/>
      <c r="X180" s="157">
        <f t="shared" si="57"/>
        <v>43266</v>
      </c>
      <c r="Y180" s="384">
        <f t="shared" si="58"/>
        <v>0</v>
      </c>
      <c r="Z180" s="384">
        <f t="shared" si="59"/>
        <v>0</v>
      </c>
      <c r="AA180" s="385">
        <f t="shared" si="60"/>
        <v>0</v>
      </c>
      <c r="AB180" s="196">
        <f t="shared" si="61"/>
        <v>43266</v>
      </c>
      <c r="AC180" s="425">
        <f t="shared" si="62"/>
        <v>1.218174743324718E-3</v>
      </c>
      <c r="AD180" s="168">
        <f>(INDEX(Models!$BJ180:$BT180,,AH180)*(1-AF180)+INDEX(Models!$BJ180:$BT180,,AH180+1)*AF180-ERP_i)*AE180*Ramure*Pc/MaxiM</f>
        <v>6.710155057241621E-5</v>
      </c>
      <c r="AE180" s="304">
        <f t="shared" si="63"/>
        <v>0.5</v>
      </c>
      <c r="AF180" s="176">
        <f t="shared" si="64"/>
        <v>0.7</v>
      </c>
      <c r="AG180" s="814">
        <f t="shared" si="65"/>
        <v>-1</v>
      </c>
      <c r="AH180" s="175">
        <f t="shared" si="66"/>
        <v>5</v>
      </c>
      <c r="AI180" s="224">
        <f t="shared" si="67"/>
        <v>-0.30000000000000004</v>
      </c>
      <c r="AJ180" s="264" t="b">
        <f t="shared" si="68"/>
        <v>0</v>
      </c>
      <c r="AK180" s="264" t="b">
        <f t="shared" si="69"/>
        <v>0</v>
      </c>
      <c r="AL180" s="264"/>
      <c r="AM180" s="264"/>
      <c r="AN180" s="75"/>
    </row>
    <row r="181" spans="1:40" s="6" customFormat="1" ht="11.25" x14ac:dyDescent="0.2">
      <c r="A181" s="56">
        <f t="shared" si="70"/>
        <v>43267</v>
      </c>
      <c r="B181" s="616"/>
      <c r="C181" s="389"/>
      <c r="D181" s="392"/>
      <c r="E181" s="384"/>
      <c r="F181" s="384"/>
      <c r="G181" s="110"/>
      <c r="I181" s="379">
        <f t="shared" si="48"/>
        <v>0</v>
      </c>
      <c r="J181" s="85">
        <v>2018</v>
      </c>
      <c r="K181" s="196">
        <f t="shared" si="49"/>
        <v>43267</v>
      </c>
      <c r="L181" s="436">
        <f t="shared" si="50"/>
        <v>3.7227839424558429E-4</v>
      </c>
      <c r="M181" s="858"/>
      <c r="N181" s="858"/>
      <c r="O181" s="323">
        <f t="shared" si="51"/>
        <v>1.2942820919894899E-3</v>
      </c>
      <c r="P181" s="168">
        <f>(INDEX(Models!$BJ181:$BT181,,T181)*(1-R181)+INDEX(Models!$BJ181:$BT181,,T181+1)*R181-ERP_i)*Q181*Ramure*Pc/MaxiM</f>
        <v>6.9033240233357446E-5</v>
      </c>
      <c r="Q181" s="304">
        <f t="shared" si="52"/>
        <v>0.5</v>
      </c>
      <c r="R181" s="176">
        <f t="shared" si="53"/>
        <v>0.70304830052216316</v>
      </c>
      <c r="S181" s="814">
        <f t="shared" si="71"/>
        <v>-1</v>
      </c>
      <c r="T181" s="175">
        <f t="shared" si="54"/>
        <v>5</v>
      </c>
      <c r="U181" s="250">
        <f t="shared" si="55"/>
        <v>-0.29695169947783684</v>
      </c>
      <c r="V181" s="382">
        <f t="shared" si="56"/>
        <v>59.492610803069539</v>
      </c>
      <c r="W181" s="58"/>
      <c r="X181" s="157">
        <f t="shared" si="57"/>
        <v>43267</v>
      </c>
      <c r="Y181" s="384">
        <f t="shared" si="58"/>
        <v>0</v>
      </c>
      <c r="Z181" s="384">
        <f t="shared" si="59"/>
        <v>0</v>
      </c>
      <c r="AA181" s="385">
        <f t="shared" si="60"/>
        <v>0</v>
      </c>
      <c r="AB181" s="196">
        <f t="shared" si="61"/>
        <v>43267</v>
      </c>
      <c r="AC181" s="425">
        <f t="shared" si="62"/>
        <v>1.2942820919894899E-3</v>
      </c>
      <c r="AD181" s="168">
        <f>(INDEX(Models!$BJ181:$BT181,,AH181)*(1-AF181)+INDEX(Models!$BJ181:$BT181,,AH181+1)*AF181-ERP_i)*AE181*Ramure*Pc/MaxiM</f>
        <v>6.9033240233357446E-5</v>
      </c>
      <c r="AE181" s="304">
        <f t="shared" si="63"/>
        <v>0.5</v>
      </c>
      <c r="AF181" s="176">
        <f t="shared" si="64"/>
        <v>0.70304830052216316</v>
      </c>
      <c r="AG181" s="814">
        <f t="shared" si="65"/>
        <v>-1</v>
      </c>
      <c r="AH181" s="175">
        <f t="shared" si="66"/>
        <v>5</v>
      </c>
      <c r="AI181" s="224">
        <f t="shared" si="67"/>
        <v>-0.29695169947783684</v>
      </c>
      <c r="AJ181" s="264" t="b">
        <f t="shared" si="68"/>
        <v>0</v>
      </c>
      <c r="AK181" s="264" t="b">
        <f t="shared" si="69"/>
        <v>0</v>
      </c>
      <c r="AL181" s="264"/>
      <c r="AM181" s="264"/>
      <c r="AN181" s="75"/>
    </row>
    <row r="182" spans="1:40" s="6" customFormat="1" ht="11.25" x14ac:dyDescent="0.2">
      <c r="A182" s="56">
        <f t="shared" si="70"/>
        <v>43268</v>
      </c>
      <c r="B182" s="616"/>
      <c r="C182" s="389"/>
      <c r="D182" s="392"/>
      <c r="E182" s="384"/>
      <c r="F182" s="384"/>
      <c r="G182" s="110"/>
      <c r="I182" s="379">
        <f t="shared" si="48"/>
        <v>0</v>
      </c>
      <c r="J182" s="85">
        <v>2018</v>
      </c>
      <c r="K182" s="196">
        <f t="shared" si="49"/>
        <v>43268</v>
      </c>
      <c r="L182" s="436">
        <f t="shared" si="50"/>
        <v>3.9417280682563227E-4</v>
      </c>
      <c r="M182" s="858"/>
      <c r="N182" s="858"/>
      <c r="O182" s="323">
        <f t="shared" si="51"/>
        <v>1.370364513600742E-3</v>
      </c>
      <c r="P182" s="168">
        <f>(INDEX(Models!$BJ182:$BT182,,T182)*(1-R182)+INDEX(Models!$BJ182:$BT182,,T182+1)*R182-ERP_i)*Q182*Ramure*Pc/MaxiM</f>
        <v>7.0926632421022999E-5</v>
      </c>
      <c r="Q182" s="304">
        <f t="shared" si="52"/>
        <v>0.5</v>
      </c>
      <c r="R182" s="176">
        <f t="shared" si="53"/>
        <v>0.70608127503995899</v>
      </c>
      <c r="S182" s="814">
        <f t="shared" si="71"/>
        <v>-1</v>
      </c>
      <c r="T182" s="175">
        <f t="shared" si="54"/>
        <v>5</v>
      </c>
      <c r="U182" s="250">
        <f t="shared" si="55"/>
        <v>-0.29391872496004101</v>
      </c>
      <c r="V182" s="382">
        <f t="shared" si="56"/>
        <v>59.431652398419331</v>
      </c>
      <c r="W182" s="58"/>
      <c r="X182" s="157">
        <f t="shared" si="57"/>
        <v>43268</v>
      </c>
      <c r="Y182" s="384">
        <f t="shared" si="58"/>
        <v>0</v>
      </c>
      <c r="Z182" s="384">
        <f t="shared" si="59"/>
        <v>0</v>
      </c>
      <c r="AA182" s="385">
        <f t="shared" si="60"/>
        <v>0</v>
      </c>
      <c r="AB182" s="196">
        <f t="shared" si="61"/>
        <v>43268</v>
      </c>
      <c r="AC182" s="425">
        <f t="shared" si="62"/>
        <v>1.370364513600742E-3</v>
      </c>
      <c r="AD182" s="168">
        <f>(INDEX(Models!$BJ182:$BT182,,AH182)*(1-AF182)+INDEX(Models!$BJ182:$BT182,,AH182+1)*AF182-ERP_i)*AE182*Ramure*Pc/MaxiM</f>
        <v>7.0926632421022999E-5</v>
      </c>
      <c r="AE182" s="304">
        <f t="shared" si="63"/>
        <v>0.5</v>
      </c>
      <c r="AF182" s="176">
        <f t="shared" si="64"/>
        <v>0.70608127503995899</v>
      </c>
      <c r="AG182" s="814">
        <f t="shared" si="65"/>
        <v>-1</v>
      </c>
      <c r="AH182" s="175">
        <f t="shared" si="66"/>
        <v>5</v>
      </c>
      <c r="AI182" s="224">
        <f t="shared" si="67"/>
        <v>-0.29391872496004101</v>
      </c>
      <c r="AJ182" s="264" t="b">
        <f t="shared" si="68"/>
        <v>0</v>
      </c>
      <c r="AK182" s="264" t="b">
        <f t="shared" si="69"/>
        <v>0</v>
      </c>
      <c r="AL182" s="264"/>
      <c r="AM182" s="264"/>
      <c r="AN182" s="75"/>
    </row>
    <row r="183" spans="1:40" s="6" customFormat="1" ht="11.25" x14ac:dyDescent="0.2">
      <c r="A183" s="56">
        <f t="shared" si="70"/>
        <v>43269</v>
      </c>
      <c r="B183" s="616"/>
      <c r="C183" s="389"/>
      <c r="D183" s="392"/>
      <c r="E183" s="384"/>
      <c r="F183" s="384"/>
      <c r="G183" s="110"/>
      <c r="I183" s="379">
        <f t="shared" si="48"/>
        <v>0</v>
      </c>
      <c r="J183" s="85">
        <v>2018</v>
      </c>
      <c r="K183" s="196">
        <f t="shared" si="49"/>
        <v>43269</v>
      </c>
      <c r="L183" s="436">
        <f t="shared" si="50"/>
        <v>4.160667398619422E-4</v>
      </c>
      <c r="M183" s="858"/>
      <c r="N183" s="858"/>
      <c r="O183" s="323">
        <f t="shared" si="51"/>
        <v>1.4464179913823766E-3</v>
      </c>
      <c r="P183" s="168">
        <f>(INDEX(Models!$BJ183:$BT183,,T183)*(1-R183)+INDEX(Models!$BJ183:$BT183,,T183+1)*R183-ERP_i)*Q183*Ramure*Pc/MaxiM</f>
        <v>7.2776565603142158E-5</v>
      </c>
      <c r="Q183" s="304">
        <f t="shared" si="52"/>
        <v>0.5</v>
      </c>
      <c r="R183" s="176">
        <f t="shared" si="53"/>
        <v>0.70909649870932223</v>
      </c>
      <c r="S183" s="814">
        <f t="shared" si="71"/>
        <v>-1</v>
      </c>
      <c r="T183" s="175">
        <f t="shared" si="54"/>
        <v>5</v>
      </c>
      <c r="U183" s="250">
        <f t="shared" si="55"/>
        <v>-0.29090350129067782</v>
      </c>
      <c r="V183" s="382">
        <f t="shared" si="56"/>
        <v>59.36970027575564</v>
      </c>
      <c r="W183" s="58"/>
      <c r="X183" s="157">
        <f t="shared" si="57"/>
        <v>43269</v>
      </c>
      <c r="Y183" s="384">
        <f t="shared" si="58"/>
        <v>0</v>
      </c>
      <c r="Z183" s="384">
        <f t="shared" si="59"/>
        <v>0</v>
      </c>
      <c r="AA183" s="385">
        <f t="shared" si="60"/>
        <v>0</v>
      </c>
      <c r="AB183" s="196">
        <f t="shared" si="61"/>
        <v>43269</v>
      </c>
      <c r="AC183" s="425">
        <f t="shared" si="62"/>
        <v>1.4464179913823766E-3</v>
      </c>
      <c r="AD183" s="168">
        <f>(INDEX(Models!$BJ183:$BT183,,AH183)*(1-AF183)+INDEX(Models!$BJ183:$BT183,,AH183+1)*AF183-ERP_i)*AE183*Ramure*Pc/MaxiM</f>
        <v>7.2776565603142158E-5</v>
      </c>
      <c r="AE183" s="304">
        <f t="shared" si="63"/>
        <v>0.5</v>
      </c>
      <c r="AF183" s="176">
        <f t="shared" si="64"/>
        <v>0.70909649870932223</v>
      </c>
      <c r="AG183" s="814">
        <f t="shared" si="65"/>
        <v>-1</v>
      </c>
      <c r="AH183" s="175">
        <f t="shared" si="66"/>
        <v>5</v>
      </c>
      <c r="AI183" s="224">
        <f t="shared" si="67"/>
        <v>-0.29090350129067782</v>
      </c>
      <c r="AJ183" s="264" t="b">
        <f t="shared" si="68"/>
        <v>0</v>
      </c>
      <c r="AK183" s="264" t="b">
        <f t="shared" si="69"/>
        <v>0</v>
      </c>
      <c r="AL183" s="264"/>
      <c r="AM183" s="264"/>
      <c r="AN183" s="75"/>
    </row>
    <row r="184" spans="1:40" s="6" customFormat="1" ht="11.25" x14ac:dyDescent="0.2">
      <c r="A184" s="56">
        <f t="shared" si="70"/>
        <v>43270</v>
      </c>
      <c r="B184" s="616"/>
      <c r="C184" s="389"/>
      <c r="D184" s="392"/>
      <c r="E184" s="384"/>
      <c r="F184" s="384"/>
      <c r="G184" s="110"/>
      <c r="I184" s="379">
        <f t="shared" si="48"/>
        <v>0</v>
      </c>
      <c r="J184" s="85">
        <v>2018</v>
      </c>
      <c r="K184" s="196">
        <f t="shared" si="49"/>
        <v>43270</v>
      </c>
      <c r="L184" s="436">
        <f t="shared" si="50"/>
        <v>4.3796019336483916E-4</v>
      </c>
      <c r="M184" s="858"/>
      <c r="N184" s="858"/>
      <c r="O184" s="323">
        <f t="shared" si="51"/>
        <v>1.5224384938778361E-3</v>
      </c>
      <c r="P184" s="168">
        <f>(INDEX(Models!$BJ184:$BT184,,T184)*(1-R184)+INDEX(Models!$BJ184:$BT184,,T184+1)*R184-ERP_i)*Q184*Ramure*Pc/MaxiM</f>
        <v>7.4550121480707298E-5</v>
      </c>
      <c r="Q184" s="304">
        <f t="shared" si="52"/>
        <v>0.5</v>
      </c>
      <c r="R184" s="176">
        <f t="shared" si="53"/>
        <v>0.71209160475796973</v>
      </c>
      <c r="S184" s="814">
        <f t="shared" si="71"/>
        <v>-1</v>
      </c>
      <c r="T184" s="175">
        <f t="shared" si="54"/>
        <v>5</v>
      </c>
      <c r="U184" s="250">
        <f t="shared" si="55"/>
        <v>-0.28790839524203032</v>
      </c>
      <c r="V184" s="382">
        <f t="shared" si="56"/>
        <v>59.306756916083742</v>
      </c>
      <c r="W184" s="58"/>
      <c r="X184" s="157">
        <f t="shared" si="57"/>
        <v>43270</v>
      </c>
      <c r="Y184" s="384">
        <f t="shared" si="58"/>
        <v>0</v>
      </c>
      <c r="Z184" s="384">
        <f t="shared" si="59"/>
        <v>0</v>
      </c>
      <c r="AA184" s="385">
        <f t="shared" si="60"/>
        <v>0</v>
      </c>
      <c r="AB184" s="196">
        <f t="shared" si="61"/>
        <v>43270</v>
      </c>
      <c r="AC184" s="425">
        <f t="shared" si="62"/>
        <v>1.5224384938778361E-3</v>
      </c>
      <c r="AD184" s="168">
        <f>(INDEX(Models!$BJ184:$BT184,,AH184)*(1-AF184)+INDEX(Models!$BJ184:$BT184,,AH184+1)*AF184-ERP_i)*AE184*Ramure*Pc/MaxiM</f>
        <v>7.4550121480707298E-5</v>
      </c>
      <c r="AE184" s="304">
        <f t="shared" si="63"/>
        <v>0.5</v>
      </c>
      <c r="AF184" s="176">
        <f t="shared" si="64"/>
        <v>0.71209160475796973</v>
      </c>
      <c r="AG184" s="814">
        <f t="shared" si="65"/>
        <v>-1</v>
      </c>
      <c r="AH184" s="175">
        <f t="shared" si="66"/>
        <v>5</v>
      </c>
      <c r="AI184" s="224">
        <f t="shared" si="67"/>
        <v>-0.28790839524203032</v>
      </c>
      <c r="AJ184" s="264" t="b">
        <f t="shared" si="68"/>
        <v>0</v>
      </c>
      <c r="AK184" s="264" t="b">
        <f t="shared" si="69"/>
        <v>0</v>
      </c>
      <c r="AL184" s="264"/>
      <c r="AM184" s="264"/>
      <c r="AN184" s="75"/>
    </row>
    <row r="185" spans="1:40" s="6" customFormat="1" ht="11.25" x14ac:dyDescent="0.2">
      <c r="A185" s="56">
        <f t="shared" si="70"/>
        <v>43271</v>
      </c>
      <c r="B185" s="616"/>
      <c r="C185" s="389"/>
      <c r="D185" s="392"/>
      <c r="E185" s="384"/>
      <c r="F185" s="384"/>
      <c r="G185" s="110"/>
      <c r="I185" s="379">
        <f t="shared" si="48"/>
        <v>0</v>
      </c>
      <c r="J185" s="85">
        <v>2018</v>
      </c>
      <c r="K185" s="196">
        <f t="shared" si="49"/>
        <v>43271</v>
      </c>
      <c r="L185" s="436">
        <f t="shared" si="50"/>
        <v>4.5985316734498127E-4</v>
      </c>
      <c r="M185" s="858"/>
      <c r="N185" s="858"/>
      <c r="O185" s="323">
        <f t="shared" si="51"/>
        <v>1.5984219942186688E-3</v>
      </c>
      <c r="P185" s="168">
        <f>(INDEX(Models!$BJ185:$BT185,,T185)*(1-R185)+INDEX(Models!$BJ185:$BT185,,T185+1)*R185-ERP_i)*Q185*Ramure*Pc/MaxiM</f>
        <v>7.6268621185134888E-5</v>
      </c>
      <c r="Q185" s="304">
        <f t="shared" si="52"/>
        <v>0.5</v>
      </c>
      <c r="R185" s="176">
        <f t="shared" si="53"/>
        <v>0.71506429160421903</v>
      </c>
      <c r="S185" s="814">
        <f t="shared" si="71"/>
        <v>-1</v>
      </c>
      <c r="T185" s="175">
        <f t="shared" si="54"/>
        <v>5</v>
      </c>
      <c r="U185" s="250">
        <f t="shared" si="55"/>
        <v>-0.28493570839578097</v>
      </c>
      <c r="V185" s="382">
        <f t="shared" si="56"/>
        <v>59.242821576264291</v>
      </c>
      <c r="W185" s="58"/>
      <c r="X185" s="157">
        <f t="shared" si="57"/>
        <v>43271</v>
      </c>
      <c r="Y185" s="384">
        <f t="shared" si="58"/>
        <v>0</v>
      </c>
      <c r="Z185" s="384">
        <f t="shared" si="59"/>
        <v>0</v>
      </c>
      <c r="AA185" s="385">
        <f t="shared" si="60"/>
        <v>0</v>
      </c>
      <c r="AB185" s="196">
        <f t="shared" si="61"/>
        <v>43271</v>
      </c>
      <c r="AC185" s="425">
        <f t="shared" si="62"/>
        <v>1.5984219942186688E-3</v>
      </c>
      <c r="AD185" s="168">
        <f>(INDEX(Models!$BJ185:$BT185,,AH185)*(1-AF185)+INDEX(Models!$BJ185:$BT185,,AH185+1)*AF185-ERP_i)*AE185*Ramure*Pc/MaxiM</f>
        <v>7.6268621185134888E-5</v>
      </c>
      <c r="AE185" s="304">
        <f t="shared" si="63"/>
        <v>0.5</v>
      </c>
      <c r="AF185" s="176">
        <f t="shared" si="64"/>
        <v>0.71506429160421903</v>
      </c>
      <c r="AG185" s="814">
        <f t="shared" si="65"/>
        <v>-1</v>
      </c>
      <c r="AH185" s="175">
        <f t="shared" si="66"/>
        <v>5</v>
      </c>
      <c r="AI185" s="224">
        <f t="shared" si="67"/>
        <v>-0.28493570839578097</v>
      </c>
      <c r="AJ185" s="264" t="b">
        <f t="shared" si="68"/>
        <v>0</v>
      </c>
      <c r="AK185" s="264" t="b">
        <f t="shared" si="69"/>
        <v>0</v>
      </c>
      <c r="AL185" s="264"/>
      <c r="AM185" s="264"/>
      <c r="AN185" s="75"/>
    </row>
    <row r="186" spans="1:40" s="6" customFormat="1" ht="11.25" x14ac:dyDescent="0.2">
      <c r="A186" s="56">
        <f t="shared" si="70"/>
        <v>43272</v>
      </c>
      <c r="B186" s="616"/>
      <c r="C186" s="389"/>
      <c r="D186" s="392"/>
      <c r="E186" s="384"/>
      <c r="F186" s="384"/>
      <c r="G186" s="110"/>
      <c r="I186" s="379">
        <f t="shared" si="48"/>
        <v>0</v>
      </c>
      <c r="J186" s="85">
        <v>2018</v>
      </c>
      <c r="K186" s="196">
        <f t="shared" si="49"/>
        <v>43272</v>
      </c>
      <c r="L186" s="436">
        <f t="shared" si="50"/>
        <v>4.8174566181280465E-4</v>
      </c>
      <c r="M186" s="858"/>
      <c r="N186" s="858"/>
      <c r="O186" s="323">
        <f t="shared" si="51"/>
        <v>1.6743644891436325E-3</v>
      </c>
      <c r="P186" s="168">
        <f>(INDEX(Models!$BJ186:$BT186,,T186)*(1-R186)+INDEX(Models!$BJ186:$BT186,,T186+1)*R186-ERP_i)*Q186*Ramure*Pc/MaxiM</f>
        <v>7.7927038194602552E-5</v>
      </c>
      <c r="Q186" s="304">
        <f t="shared" si="52"/>
        <v>0.5</v>
      </c>
      <c r="R186" s="176">
        <f t="shared" si="53"/>
        <v>0.71801232953399508</v>
      </c>
      <c r="S186" s="814">
        <f t="shared" si="71"/>
        <v>-1</v>
      </c>
      <c r="T186" s="175">
        <f t="shared" si="54"/>
        <v>5</v>
      </c>
      <c r="U186" s="250">
        <f t="shared" si="55"/>
        <v>-0.28198767046600492</v>
      </c>
      <c r="V186" s="382">
        <f t="shared" si="56"/>
        <v>59.177895075377229</v>
      </c>
      <c r="W186" s="58"/>
      <c r="X186" s="157">
        <f t="shared" si="57"/>
        <v>43272</v>
      </c>
      <c r="Y186" s="384">
        <f t="shared" si="58"/>
        <v>0</v>
      </c>
      <c r="Z186" s="384">
        <f t="shared" si="59"/>
        <v>0</v>
      </c>
      <c r="AA186" s="385">
        <f t="shared" si="60"/>
        <v>0</v>
      </c>
      <c r="AB186" s="196">
        <f t="shared" si="61"/>
        <v>43272</v>
      </c>
      <c r="AC186" s="425">
        <f t="shared" si="62"/>
        <v>1.6743644891436325E-3</v>
      </c>
      <c r="AD186" s="168">
        <f>(INDEX(Models!$BJ186:$BT186,,AH186)*(1-AF186)+INDEX(Models!$BJ186:$BT186,,AH186+1)*AF186-ERP_i)*AE186*Ramure*Pc/MaxiM</f>
        <v>7.7927038194602552E-5</v>
      </c>
      <c r="AE186" s="304">
        <f t="shared" si="63"/>
        <v>0.5</v>
      </c>
      <c r="AF186" s="176">
        <f t="shared" si="64"/>
        <v>0.71801232953399508</v>
      </c>
      <c r="AG186" s="814">
        <f t="shared" si="65"/>
        <v>-1</v>
      </c>
      <c r="AH186" s="175">
        <f t="shared" si="66"/>
        <v>5</v>
      </c>
      <c r="AI186" s="224">
        <f t="shared" si="67"/>
        <v>-0.28198767046600492</v>
      </c>
      <c r="AJ186" s="264" t="b">
        <f t="shared" si="68"/>
        <v>0</v>
      </c>
      <c r="AK186" s="264" t="b">
        <f t="shared" si="69"/>
        <v>0</v>
      </c>
      <c r="AL186" s="264"/>
      <c r="AM186" s="264"/>
      <c r="AN186" s="75"/>
    </row>
    <row r="187" spans="1:40" s="6" customFormat="1" ht="11.25" x14ac:dyDescent="0.2">
      <c r="A187" s="56">
        <f t="shared" si="70"/>
        <v>43273</v>
      </c>
      <c r="B187" s="616"/>
      <c r="C187" s="389"/>
      <c r="D187" s="392"/>
      <c r="E187" s="384"/>
      <c r="F187" s="384"/>
      <c r="G187" s="110"/>
      <c r="I187" s="379">
        <f t="shared" si="48"/>
        <v>0</v>
      </c>
      <c r="J187" s="85">
        <v>2018</v>
      </c>
      <c r="K187" s="196">
        <f t="shared" si="49"/>
        <v>43273</v>
      </c>
      <c r="L187" s="436">
        <f t="shared" si="50"/>
        <v>5.0363767677874538E-4</v>
      </c>
      <c r="M187" s="858"/>
      <c r="N187" s="858"/>
      <c r="O187" s="323">
        <f t="shared" si="51"/>
        <v>1.7502620176228735E-3</v>
      </c>
      <c r="P187" s="168">
        <f>(INDEX(Models!$BJ187:$BT187,,T187)*(1-R187)+INDEX(Models!$BJ187:$BT187,,T187+1)*R187-ERP_i)*Q187*Ramure*Pc/MaxiM</f>
        <v>7.9520432185798052E-5</v>
      </c>
      <c r="Q187" s="304">
        <f t="shared" si="52"/>
        <v>0.5</v>
      </c>
      <c r="R187" s="176">
        <f t="shared" si="53"/>
        <v>0.72093356689804766</v>
      </c>
      <c r="S187" s="814">
        <f t="shared" si="71"/>
        <v>-1</v>
      </c>
      <c r="T187" s="175">
        <f t="shared" si="54"/>
        <v>5</v>
      </c>
      <c r="U187" s="250">
        <f t="shared" si="55"/>
        <v>-0.27906643310195234</v>
      </c>
      <c r="V187" s="382">
        <f t="shared" si="56"/>
        <v>59.111978221408897</v>
      </c>
      <c r="W187" s="58"/>
      <c r="X187" s="157">
        <f t="shared" si="57"/>
        <v>43273</v>
      </c>
      <c r="Y187" s="384">
        <f t="shared" si="58"/>
        <v>0</v>
      </c>
      <c r="Z187" s="384">
        <f t="shared" si="59"/>
        <v>0</v>
      </c>
      <c r="AA187" s="385">
        <f t="shared" si="60"/>
        <v>0</v>
      </c>
      <c r="AB187" s="196">
        <f t="shared" si="61"/>
        <v>43273</v>
      </c>
      <c r="AC187" s="425">
        <f t="shared" si="62"/>
        <v>1.7502620176228735E-3</v>
      </c>
      <c r="AD187" s="168">
        <f>(INDEX(Models!$BJ187:$BT187,,AH187)*(1-AF187)+INDEX(Models!$BJ187:$BT187,,AH187+1)*AF187-ERP_i)*AE187*Ramure*Pc/MaxiM</f>
        <v>7.9520432185798052E-5</v>
      </c>
      <c r="AE187" s="304">
        <f t="shared" si="63"/>
        <v>0.5</v>
      </c>
      <c r="AF187" s="176">
        <f t="shared" si="64"/>
        <v>0.72093356689804766</v>
      </c>
      <c r="AG187" s="814">
        <f t="shared" si="65"/>
        <v>-1</v>
      </c>
      <c r="AH187" s="175">
        <f t="shared" si="66"/>
        <v>5</v>
      </c>
      <c r="AI187" s="224">
        <f t="shared" si="67"/>
        <v>-0.27906643310195234</v>
      </c>
      <c r="AJ187" s="264" t="b">
        <f t="shared" si="68"/>
        <v>0</v>
      </c>
      <c r="AK187" s="264" t="b">
        <f t="shared" si="69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89"/>
      <c r="D188" s="392"/>
      <c r="E188" s="384"/>
      <c r="F188" s="384"/>
      <c r="G188" s="110"/>
      <c r="I188" s="379">
        <f t="shared" si="48"/>
        <v>0</v>
      </c>
      <c r="J188" s="85">
        <v>2018</v>
      </c>
      <c r="K188" s="196">
        <f t="shared" si="49"/>
        <v>43274</v>
      </c>
      <c r="L188" s="436">
        <f t="shared" si="50"/>
        <v>5.2552921225346161E-4</v>
      </c>
      <c r="M188" s="858"/>
      <c r="N188" s="858"/>
      <c r="O188" s="323">
        <f t="shared" si="51"/>
        <v>1.8261106789444032E-3</v>
      </c>
      <c r="P188" s="168">
        <f>(INDEX(Models!$BJ188:$BT188,,T188)*(1-R188)+INDEX(Models!$BJ188:$BT188,,T188+1)*R188-ERP_i)*Q188*Ramure*Pc/MaxiM</f>
        <v>8.1043137527322799E-5</v>
      </c>
      <c r="Q188" s="304">
        <f t="shared" si="52"/>
        <v>0.5</v>
      </c>
      <c r="R188" s="176">
        <f t="shared" si="53"/>
        <v>0.72382593579678078</v>
      </c>
      <c r="S188" s="814">
        <f t="shared" si="71"/>
        <v>-1</v>
      </c>
      <c r="T188" s="175">
        <f t="shared" si="54"/>
        <v>5</v>
      </c>
      <c r="U188" s="250">
        <f t="shared" si="55"/>
        <v>-0.27617406420321922</v>
      </c>
      <c r="V188" s="382">
        <f t="shared" si="56"/>
        <v>59.045071858797094</v>
      </c>
      <c r="W188" s="58"/>
      <c r="X188" s="157">
        <f t="shared" si="57"/>
        <v>43274</v>
      </c>
      <c r="Y188" s="384">
        <f t="shared" si="58"/>
        <v>0</v>
      </c>
      <c r="Z188" s="384">
        <f t="shared" si="59"/>
        <v>0</v>
      </c>
      <c r="AA188" s="385">
        <f t="shared" si="60"/>
        <v>0</v>
      </c>
      <c r="AB188" s="196">
        <f t="shared" si="61"/>
        <v>43274</v>
      </c>
      <c r="AC188" s="425">
        <f t="shared" si="62"/>
        <v>1.8261106789444032E-3</v>
      </c>
      <c r="AD188" s="168">
        <f>(INDEX(Models!$BJ188:$BT188,,AH188)*(1-AF188)+INDEX(Models!$BJ188:$BT188,,AH188+1)*AF188-ERP_i)*AE188*Ramure*Pc/MaxiM</f>
        <v>8.1043137527322799E-5</v>
      </c>
      <c r="AE188" s="304">
        <f t="shared" si="63"/>
        <v>0.5</v>
      </c>
      <c r="AF188" s="176">
        <f t="shared" si="64"/>
        <v>0.72382593579678078</v>
      </c>
      <c r="AG188" s="814">
        <f t="shared" si="65"/>
        <v>-1</v>
      </c>
      <c r="AH188" s="175">
        <f t="shared" si="66"/>
        <v>5</v>
      </c>
      <c r="AI188" s="224">
        <f t="shared" si="67"/>
        <v>-0.27617406420321922</v>
      </c>
      <c r="AJ188" s="264" t="b">
        <f t="shared" si="68"/>
        <v>0</v>
      </c>
      <c r="AK188" s="264" t="b">
        <f t="shared" si="69"/>
        <v>0</v>
      </c>
      <c r="AL188" s="264"/>
      <c r="AM188" s="264"/>
      <c r="AN188" s="75"/>
    </row>
    <row r="189" spans="1:40" s="6" customFormat="1" ht="11.25" x14ac:dyDescent="0.2">
      <c r="A189" s="56">
        <f t="shared" si="70"/>
        <v>43275</v>
      </c>
      <c r="B189" s="616"/>
      <c r="C189" s="389"/>
      <c r="D189" s="392"/>
      <c r="E189" s="384"/>
      <c r="F189" s="384"/>
      <c r="G189" s="110"/>
      <c r="I189" s="379">
        <f t="shared" si="48"/>
        <v>0</v>
      </c>
      <c r="J189" s="85">
        <v>2018</v>
      </c>
      <c r="K189" s="196">
        <f t="shared" si="49"/>
        <v>43275</v>
      </c>
      <c r="L189" s="436">
        <f t="shared" si="50"/>
        <v>5.4742026824727841E-4</v>
      </c>
      <c r="M189" s="858"/>
      <c r="N189" s="858"/>
      <c r="O189" s="323">
        <f t="shared" si="51"/>
        <v>1.9019066501247586E-3</v>
      </c>
      <c r="P189" s="168">
        <f>(INDEX(Models!$BJ189:$BT189,,T189)*(1-R189)+INDEX(Models!$BJ189:$BT189,,T189+1)*R189-ERP_i)*Q189*Ramure*Pc/MaxiM</f>
        <v>8.248950415894284E-5</v>
      </c>
      <c r="Q189" s="304">
        <f t="shared" si="52"/>
        <v>0.5</v>
      </c>
      <c r="R189" s="176">
        <f t="shared" si="53"/>
        <v>0.72668745722570627</v>
      </c>
      <c r="S189" s="814">
        <f t="shared" si="71"/>
        <v>-1</v>
      </c>
      <c r="T189" s="175">
        <f t="shared" si="54"/>
        <v>5</v>
      </c>
      <c r="U189" s="250">
        <f t="shared" si="55"/>
        <v>-0.27331254277429373</v>
      </c>
      <c r="V189" s="382">
        <f t="shared" si="56"/>
        <v>58.977176823879319</v>
      </c>
      <c r="W189" s="58"/>
      <c r="X189" s="157">
        <f t="shared" si="57"/>
        <v>43275</v>
      </c>
      <c r="Y189" s="384">
        <f t="shared" si="58"/>
        <v>0</v>
      </c>
      <c r="Z189" s="384">
        <f t="shared" si="59"/>
        <v>0</v>
      </c>
      <c r="AA189" s="385">
        <f t="shared" si="60"/>
        <v>0</v>
      </c>
      <c r="AB189" s="196">
        <f t="shared" si="61"/>
        <v>43275</v>
      </c>
      <c r="AC189" s="425">
        <f t="shared" si="62"/>
        <v>1.9019066501247586E-3</v>
      </c>
      <c r="AD189" s="168">
        <f>(INDEX(Models!$BJ189:$BT189,,AH189)*(1-AF189)+INDEX(Models!$BJ189:$BT189,,AH189+1)*AF189-ERP_i)*AE189*Ramure*Pc/MaxiM</f>
        <v>8.248950415894284E-5</v>
      </c>
      <c r="AE189" s="304">
        <f t="shared" si="63"/>
        <v>0.5</v>
      </c>
      <c r="AF189" s="176">
        <f t="shared" si="64"/>
        <v>0.72668745722570627</v>
      </c>
      <c r="AG189" s="814">
        <f t="shared" si="65"/>
        <v>-1</v>
      </c>
      <c r="AH189" s="175">
        <f t="shared" si="66"/>
        <v>5</v>
      </c>
      <c r="AI189" s="224">
        <f t="shared" si="67"/>
        <v>-0.27331254277429373</v>
      </c>
      <c r="AJ189" s="264" t="b">
        <f t="shared" si="68"/>
        <v>0</v>
      </c>
      <c r="AK189" s="264" t="b">
        <f t="shared" si="69"/>
        <v>0</v>
      </c>
      <c r="AL189" s="264"/>
      <c r="AM189" s="264"/>
      <c r="AN189" s="75"/>
    </row>
    <row r="190" spans="1:40" s="6" customFormat="1" ht="11.25" x14ac:dyDescent="0.2">
      <c r="A190" s="56">
        <f t="shared" si="70"/>
        <v>43276</v>
      </c>
      <c r="B190" s="616"/>
      <c r="C190" s="389"/>
      <c r="D190" s="392"/>
      <c r="E190" s="384"/>
      <c r="F190" s="384"/>
      <c r="G190" s="110"/>
      <c r="I190" s="379">
        <f t="shared" si="48"/>
        <v>0</v>
      </c>
      <c r="J190" s="85">
        <v>2018</v>
      </c>
      <c r="K190" s="196">
        <f t="shared" si="49"/>
        <v>43276</v>
      </c>
      <c r="L190" s="436">
        <f t="shared" si="50"/>
        <v>5.6931084477085392E-4</v>
      </c>
      <c r="M190" s="858"/>
      <c r="N190" s="858"/>
      <c r="O190" s="323">
        <f t="shared" si="51"/>
        <v>1.9776462025112309E-3</v>
      </c>
      <c r="P190" s="168">
        <f>(INDEX(Models!$BJ190:$BT190,,T190)*(1-R190)+INDEX(Models!$BJ190:$BT190,,T190+1)*R190-ERP_i)*Q190*Ramure*Pc/MaxiM</f>
        <v>8.3854797005755149E-5</v>
      </c>
      <c r="Q190" s="304">
        <f t="shared" si="52"/>
        <v>0.5</v>
      </c>
      <c r="R190" s="176">
        <f t="shared" si="53"/>
        <v>0.72951624566029172</v>
      </c>
      <c r="S190" s="814">
        <f t="shared" si="71"/>
        <v>-1</v>
      </c>
      <c r="T190" s="175">
        <f t="shared" si="54"/>
        <v>5</v>
      </c>
      <c r="U190" s="250">
        <f t="shared" si="55"/>
        <v>-0.27048375433970828</v>
      </c>
      <c r="V190" s="382">
        <f t="shared" si="56"/>
        <v>58.908293889891553</v>
      </c>
      <c r="W190" s="58"/>
      <c r="X190" s="157">
        <f t="shared" si="57"/>
        <v>43276</v>
      </c>
      <c r="Y190" s="384">
        <f t="shared" si="58"/>
        <v>0</v>
      </c>
      <c r="Z190" s="384">
        <f t="shared" si="59"/>
        <v>0</v>
      </c>
      <c r="AA190" s="385">
        <f t="shared" si="60"/>
        <v>0</v>
      </c>
      <c r="AB190" s="196">
        <f t="shared" si="61"/>
        <v>43276</v>
      </c>
      <c r="AC190" s="425">
        <f t="shared" si="62"/>
        <v>1.9776462025112309E-3</v>
      </c>
      <c r="AD190" s="168">
        <f>(INDEX(Models!$BJ190:$BT190,,AH190)*(1-AF190)+INDEX(Models!$BJ190:$BT190,,AH190+1)*AF190-ERP_i)*AE190*Ramure*Pc/MaxiM</f>
        <v>8.3854797005755149E-5</v>
      </c>
      <c r="AE190" s="304">
        <f t="shared" si="63"/>
        <v>0.5</v>
      </c>
      <c r="AF190" s="176">
        <f t="shared" si="64"/>
        <v>0.72951624566029172</v>
      </c>
      <c r="AG190" s="814">
        <f t="shared" si="65"/>
        <v>-1</v>
      </c>
      <c r="AH190" s="175">
        <f t="shared" si="66"/>
        <v>5</v>
      </c>
      <c r="AI190" s="224">
        <f t="shared" si="67"/>
        <v>-0.27048375433970828</v>
      </c>
      <c r="AJ190" s="264" t="b">
        <f t="shared" si="68"/>
        <v>0</v>
      </c>
      <c r="AK190" s="264" t="b">
        <f t="shared" si="69"/>
        <v>0</v>
      </c>
      <c r="AL190" s="264"/>
      <c r="AM190" s="264"/>
      <c r="AN190" s="75"/>
    </row>
    <row r="191" spans="1:40" s="6" customFormat="1" ht="11.25" x14ac:dyDescent="0.2">
      <c r="A191" s="56">
        <f t="shared" si="70"/>
        <v>43277</v>
      </c>
      <c r="B191" s="616"/>
      <c r="C191" s="389"/>
      <c r="D191" s="392"/>
      <c r="E191" s="384"/>
      <c r="F191" s="384"/>
      <c r="G191" s="110"/>
      <c r="I191" s="379">
        <f t="shared" si="48"/>
        <v>0</v>
      </c>
      <c r="J191" s="85">
        <v>2018</v>
      </c>
      <c r="K191" s="196">
        <f t="shared" si="49"/>
        <v>43277</v>
      </c>
      <c r="L191" s="436">
        <f t="shared" si="50"/>
        <v>5.9120094183462424E-4</v>
      </c>
      <c r="M191" s="858"/>
      <c r="N191" s="858"/>
      <c r="O191" s="323">
        <f t="shared" si="51"/>
        <v>2.0533257174504406E-3</v>
      </c>
      <c r="P191" s="168">
        <f>(INDEX(Models!$BJ191:$BT191,,T191)*(1-R191)+INDEX(Models!$BJ191:$BT191,,T191+1)*R191-ERP_i)*Q191*Ramure*Pc/MaxiM</f>
        <v>8.513477375804764E-5</v>
      </c>
      <c r="Q191" s="304">
        <f t="shared" si="52"/>
        <v>0.5</v>
      </c>
      <c r="R191" s="176">
        <f t="shared" si="53"/>
        <v>0.73231051306479111</v>
      </c>
      <c r="S191" s="814">
        <f t="shared" si="71"/>
        <v>-1</v>
      </c>
      <c r="T191" s="175">
        <f t="shared" si="54"/>
        <v>5</v>
      </c>
      <c r="U191" s="250">
        <f t="shared" si="55"/>
        <v>-0.26768948693520889</v>
      </c>
      <c r="V191" s="382">
        <f t="shared" si="56"/>
        <v>58.838189683128675</v>
      </c>
      <c r="W191" s="58"/>
      <c r="X191" s="157">
        <f t="shared" si="57"/>
        <v>43277</v>
      </c>
      <c r="Y191" s="384">
        <f t="shared" si="58"/>
        <v>0</v>
      </c>
      <c r="Z191" s="384">
        <f t="shared" si="59"/>
        <v>0</v>
      </c>
      <c r="AA191" s="385">
        <f t="shared" si="60"/>
        <v>0</v>
      </c>
      <c r="AB191" s="196">
        <f t="shared" si="61"/>
        <v>43277</v>
      </c>
      <c r="AC191" s="425">
        <f t="shared" si="62"/>
        <v>2.0533257174504406E-3</v>
      </c>
      <c r="AD191" s="168">
        <f>(INDEX(Models!$BJ191:$BT191,,AH191)*(1-AF191)+INDEX(Models!$BJ191:$BT191,,AH191+1)*AF191-ERP_i)*AE191*Ramure*Pc/MaxiM</f>
        <v>8.513477375804764E-5</v>
      </c>
      <c r="AE191" s="304">
        <f t="shared" si="63"/>
        <v>0.5</v>
      </c>
      <c r="AF191" s="176">
        <f t="shared" si="64"/>
        <v>0.73231051306479111</v>
      </c>
      <c r="AG191" s="814">
        <f t="shared" si="65"/>
        <v>-1</v>
      </c>
      <c r="AH191" s="175">
        <f t="shared" si="66"/>
        <v>5</v>
      </c>
      <c r="AI191" s="224">
        <f t="shared" si="67"/>
        <v>-0.26768948693520889</v>
      </c>
      <c r="AJ191" s="264" t="b">
        <f t="shared" si="68"/>
        <v>0</v>
      </c>
      <c r="AK191" s="264" t="b">
        <f t="shared" si="69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89"/>
      <c r="D192" s="392"/>
      <c r="E192" s="384"/>
      <c r="F192" s="384"/>
      <c r="G192" s="110"/>
      <c r="I192" s="379">
        <f t="shared" si="48"/>
        <v>0</v>
      </c>
      <c r="J192" s="85">
        <v>2018</v>
      </c>
      <c r="K192" s="196">
        <f t="shared" si="49"/>
        <v>43278</v>
      </c>
      <c r="L192" s="436">
        <f t="shared" si="50"/>
        <v>6.1309055944902546E-4</v>
      </c>
      <c r="M192" s="858"/>
      <c r="N192" s="858"/>
      <c r="O192" s="323">
        <f t="shared" si="51"/>
        <v>2.1289417009062845E-3</v>
      </c>
      <c r="P192" s="168">
        <f>(INDEX(Models!$BJ192:$BT192,,T192)*(1-R192)+INDEX(Models!$BJ192:$BT192,,T192+1)*R192-ERP_i)*Q192*Ramure*Pc/MaxiM</f>
        <v>8.6293135509583964E-5</v>
      </c>
      <c r="Q192" s="304">
        <f t="shared" si="52"/>
        <v>0.5</v>
      </c>
      <c r="R192" s="176">
        <f t="shared" si="53"/>
        <v>0.73506857231542144</v>
      </c>
      <c r="S192" s="814">
        <f t="shared" si="71"/>
        <v>-1</v>
      </c>
      <c r="T192" s="175">
        <f t="shared" si="54"/>
        <v>5</v>
      </c>
      <c r="U192" s="250">
        <f t="shared" si="55"/>
        <v>-0.26493142768457856</v>
      </c>
      <c r="V192" s="382">
        <f t="shared" si="56"/>
        <v>58.766704821940472</v>
      </c>
      <c r="W192" s="58"/>
      <c r="X192" s="157">
        <f t="shared" si="57"/>
        <v>43278</v>
      </c>
      <c r="Y192" s="384">
        <f t="shared" si="58"/>
        <v>0</v>
      </c>
      <c r="Z192" s="384">
        <f t="shared" si="59"/>
        <v>0</v>
      </c>
      <c r="AA192" s="385">
        <f t="shared" si="60"/>
        <v>0</v>
      </c>
      <c r="AB192" s="196">
        <f t="shared" si="61"/>
        <v>43278</v>
      </c>
      <c r="AC192" s="425">
        <f t="shared" si="62"/>
        <v>2.1289417009062845E-3</v>
      </c>
      <c r="AD192" s="168">
        <f>(INDEX(Models!$BJ192:$BT192,,AH192)*(1-AF192)+INDEX(Models!$BJ192:$BT192,,AH192+1)*AF192-ERP_i)*AE192*Ramure*Pc/MaxiM</f>
        <v>8.6293135509583964E-5</v>
      </c>
      <c r="AE192" s="304">
        <f t="shared" si="63"/>
        <v>0.5</v>
      </c>
      <c r="AF192" s="176">
        <f t="shared" si="64"/>
        <v>0.73506857231542144</v>
      </c>
      <c r="AG192" s="814">
        <f t="shared" si="65"/>
        <v>-1</v>
      </c>
      <c r="AH192" s="175">
        <f t="shared" si="66"/>
        <v>5</v>
      </c>
      <c r="AI192" s="224">
        <f t="shared" si="67"/>
        <v>-0.26493142768457856</v>
      </c>
      <c r="AJ192" s="264" t="b">
        <f t="shared" si="68"/>
        <v>0</v>
      </c>
      <c r="AK192" s="264" t="b">
        <f t="shared" si="69"/>
        <v>0</v>
      </c>
      <c r="AL192" s="264"/>
      <c r="AM192" s="264"/>
      <c r="AN192" s="75"/>
    </row>
    <row r="193" spans="1:40" s="6" customFormat="1" ht="11.25" x14ac:dyDescent="0.2">
      <c r="A193" s="56">
        <f t="shared" si="70"/>
        <v>43279</v>
      </c>
      <c r="B193" s="616"/>
      <c r="C193" s="389"/>
      <c r="D193" s="392"/>
      <c r="E193" s="384"/>
      <c r="F193" s="384"/>
      <c r="G193" s="110"/>
      <c r="I193" s="379">
        <f t="shared" si="48"/>
        <v>0</v>
      </c>
      <c r="J193" s="85">
        <v>2018</v>
      </c>
      <c r="K193" s="196">
        <f t="shared" si="49"/>
        <v>43279</v>
      </c>
      <c r="L193" s="436">
        <f t="shared" si="50"/>
        <v>6.3497969762471573E-4</v>
      </c>
      <c r="M193" s="858"/>
      <c r="N193" s="858"/>
      <c r="O193" s="323">
        <f t="shared" si="51"/>
        <v>2.2044907969199536E-3</v>
      </c>
      <c r="P193" s="168">
        <f>(INDEX(Models!$BJ193:$BT193,,T193)*(1-R193)+INDEX(Models!$BJ193:$BT193,,T193+1)*R193-ERP_i)*Q193*Ramure*Pc/MaxiM</f>
        <v>8.735679178046294E-5</v>
      </c>
      <c r="Q193" s="304">
        <f t="shared" si="52"/>
        <v>0.5</v>
      </c>
      <c r="R193" s="176">
        <f t="shared" si="53"/>
        <v>0.73778884003391909</v>
      </c>
      <c r="S193" s="814">
        <f t="shared" si="71"/>
        <v>-1</v>
      </c>
      <c r="T193" s="175">
        <f t="shared" si="54"/>
        <v>5</v>
      </c>
      <c r="U193" s="250">
        <f t="shared" si="55"/>
        <v>-0.26221115996608091</v>
      </c>
      <c r="V193" s="382">
        <f t="shared" si="56"/>
        <v>58.693946330399001</v>
      </c>
      <c r="W193" s="58"/>
      <c r="X193" s="157">
        <f t="shared" si="57"/>
        <v>43279</v>
      </c>
      <c r="Y193" s="384">
        <f t="shared" si="58"/>
        <v>0</v>
      </c>
      <c r="Z193" s="384">
        <f t="shared" si="59"/>
        <v>0</v>
      </c>
      <c r="AA193" s="385">
        <f t="shared" si="60"/>
        <v>0</v>
      </c>
      <c r="AB193" s="196">
        <f t="shared" si="61"/>
        <v>43279</v>
      </c>
      <c r="AC193" s="425">
        <f t="shared" si="62"/>
        <v>2.2044907969199536E-3</v>
      </c>
      <c r="AD193" s="168">
        <f>(INDEX(Models!$BJ193:$BT193,,AH193)*(1-AF193)+INDEX(Models!$BJ193:$BT193,,AH193+1)*AF193-ERP_i)*AE193*Ramure*Pc/MaxiM</f>
        <v>8.735679178046294E-5</v>
      </c>
      <c r="AE193" s="304">
        <f t="shared" si="63"/>
        <v>0.5</v>
      </c>
      <c r="AF193" s="176">
        <f t="shared" si="64"/>
        <v>0.73778884003391909</v>
      </c>
      <c r="AG193" s="814">
        <f t="shared" si="65"/>
        <v>-1</v>
      </c>
      <c r="AH193" s="175">
        <f t="shared" si="66"/>
        <v>5</v>
      </c>
      <c r="AI193" s="224">
        <f t="shared" si="67"/>
        <v>-0.26221115996608091</v>
      </c>
      <c r="AJ193" s="264" t="b">
        <f t="shared" si="68"/>
        <v>0</v>
      </c>
      <c r="AK193" s="264" t="b">
        <f t="shared" si="69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89"/>
      <c r="D194" s="392"/>
      <c r="E194" s="384"/>
      <c r="F194" s="384"/>
      <c r="G194" s="110"/>
      <c r="I194" s="379">
        <f t="shared" si="48"/>
        <v>0</v>
      </c>
      <c r="J194" s="85">
        <v>2018</v>
      </c>
      <c r="K194" s="196">
        <f t="shared" si="49"/>
        <v>43280</v>
      </c>
      <c r="L194" s="436">
        <f t="shared" si="50"/>
        <v>6.5686835637202012E-4</v>
      </c>
      <c r="M194" s="858"/>
      <c r="N194" s="858"/>
      <c r="O194" s="323">
        <f t="shared" si="51"/>
        <v>2.2799697998155013E-3</v>
      </c>
      <c r="P194" s="168">
        <f>(INDEX(Models!$BJ194:$BT194,,T194)*(1-R194)+INDEX(Models!$BJ194:$BT194,,T194+1)*R194-ERP_i)*Q194*Ramure*Pc/MaxiM</f>
        <v>8.8321579591466059E-5</v>
      </c>
      <c r="Q194" s="304">
        <f t="shared" si="52"/>
        <v>0.5</v>
      </c>
      <c r="R194" s="176">
        <f t="shared" si="53"/>
        <v>0.74046983883298245</v>
      </c>
      <c r="S194" s="814">
        <f t="shared" si="71"/>
        <v>-1</v>
      </c>
      <c r="T194" s="175">
        <f t="shared" si="54"/>
        <v>5</v>
      </c>
      <c r="U194" s="250">
        <f t="shared" si="55"/>
        <v>-0.25953016116701749</v>
      </c>
      <c r="V194" s="382">
        <f t="shared" si="56"/>
        <v>58.620023007068006</v>
      </c>
      <c r="W194" s="58"/>
      <c r="X194" s="157">
        <f t="shared" si="57"/>
        <v>43280</v>
      </c>
      <c r="Y194" s="384">
        <f t="shared" si="58"/>
        <v>0</v>
      </c>
      <c r="Z194" s="384">
        <f t="shared" si="59"/>
        <v>0</v>
      </c>
      <c r="AA194" s="385">
        <f t="shared" si="60"/>
        <v>0</v>
      </c>
      <c r="AB194" s="196">
        <f t="shared" si="61"/>
        <v>43280</v>
      </c>
      <c r="AC194" s="425">
        <f t="shared" si="62"/>
        <v>2.2799697998155013E-3</v>
      </c>
      <c r="AD194" s="168">
        <f>(INDEX(Models!$BJ194:$BT194,,AH194)*(1-AF194)+INDEX(Models!$BJ194:$BT194,,AH194+1)*AF194-ERP_i)*AE194*Ramure*Pc/MaxiM</f>
        <v>8.8321579591466059E-5</v>
      </c>
      <c r="AE194" s="304">
        <f t="shared" si="63"/>
        <v>0.5</v>
      </c>
      <c r="AF194" s="176">
        <f t="shared" si="64"/>
        <v>0.74046983883298245</v>
      </c>
      <c r="AG194" s="814">
        <f t="shared" si="65"/>
        <v>-1</v>
      </c>
      <c r="AH194" s="175">
        <f t="shared" si="66"/>
        <v>5</v>
      </c>
      <c r="AI194" s="224">
        <f t="shared" si="67"/>
        <v>-0.25953016116701749</v>
      </c>
      <c r="AJ194" s="264" t="b">
        <f t="shared" si="68"/>
        <v>0</v>
      </c>
      <c r="AK194" s="264" t="b">
        <f t="shared" si="69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89"/>
      <c r="D195" s="392"/>
      <c r="E195" s="384"/>
      <c r="F195" s="384"/>
      <c r="G195" s="110"/>
      <c r="I195" s="379">
        <f t="shared" si="48"/>
        <v>0</v>
      </c>
      <c r="J195" s="85">
        <v>2018</v>
      </c>
      <c r="K195" s="196">
        <f t="shared" si="49"/>
        <v>43281</v>
      </c>
      <c r="L195" s="436">
        <f t="shared" si="50"/>
        <v>6.7875653570159677E-4</v>
      </c>
      <c r="M195" s="858"/>
      <c r="N195" s="858"/>
      <c r="O195" s="323">
        <f t="shared" si="51"/>
        <v>2.3553756650659887E-3</v>
      </c>
      <c r="P195" s="168">
        <f>(INDEX(Models!$BJ195:$BT195,,T195)*(1-R195)+INDEX(Models!$BJ195:$BT195,,T195+1)*R195-ERP_i)*Q195*Ramure*Pc/MaxiM</f>
        <v>8.918352374232798E-5</v>
      </c>
      <c r="Q195" s="304">
        <f t="shared" si="52"/>
        <v>0.5</v>
      </c>
      <c r="R195" s="176">
        <f t="shared" si="53"/>
        <v>0.74311019898031583</v>
      </c>
      <c r="S195" s="814">
        <f t="shared" si="71"/>
        <v>-1</v>
      </c>
      <c r="T195" s="175">
        <f t="shared" si="54"/>
        <v>5</v>
      </c>
      <c r="U195" s="250">
        <f t="shared" si="55"/>
        <v>-0.25688980101968417</v>
      </c>
      <c r="V195" s="382">
        <f t="shared" si="56"/>
        <v>58.545043584373047</v>
      </c>
      <c r="W195" s="58"/>
      <c r="X195" s="157">
        <f t="shared" si="57"/>
        <v>43281</v>
      </c>
      <c r="Y195" s="384">
        <f t="shared" si="58"/>
        <v>0</v>
      </c>
      <c r="Z195" s="384">
        <f t="shared" si="59"/>
        <v>0</v>
      </c>
      <c r="AA195" s="385">
        <f t="shared" si="60"/>
        <v>0</v>
      </c>
      <c r="AB195" s="196">
        <f t="shared" si="61"/>
        <v>43281</v>
      </c>
      <c r="AC195" s="425">
        <f t="shared" si="62"/>
        <v>2.3553756650659887E-3</v>
      </c>
      <c r="AD195" s="168">
        <f>(INDEX(Models!$BJ195:$BT195,,AH195)*(1-AF195)+INDEX(Models!$BJ195:$BT195,,AH195+1)*AF195-ERP_i)*AE195*Ramure*Pc/MaxiM</f>
        <v>8.918352374232798E-5</v>
      </c>
      <c r="AE195" s="304">
        <f t="shared" si="63"/>
        <v>0.5</v>
      </c>
      <c r="AF195" s="176">
        <f t="shared" si="64"/>
        <v>0.74311019898031583</v>
      </c>
      <c r="AG195" s="814">
        <f t="shared" si="65"/>
        <v>-1</v>
      </c>
      <c r="AH195" s="175">
        <f t="shared" si="66"/>
        <v>5</v>
      </c>
      <c r="AI195" s="224">
        <f t="shared" si="67"/>
        <v>-0.25688980101968417</v>
      </c>
      <c r="AJ195" s="264" t="b">
        <f t="shared" si="68"/>
        <v>0</v>
      </c>
      <c r="AK195" s="264" t="b">
        <f t="shared" si="69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89"/>
      <c r="D196" s="392"/>
      <c r="E196" s="384"/>
      <c r="F196" s="384"/>
      <c r="G196" s="110"/>
      <c r="I196" s="379">
        <f t="shared" si="48"/>
        <v>0</v>
      </c>
      <c r="J196" s="85">
        <v>2018</v>
      </c>
      <c r="K196" s="196">
        <f t="shared" si="49"/>
        <v>43282</v>
      </c>
      <c r="L196" s="436">
        <f t="shared" si="50"/>
        <v>7.0064423562377076E-4</v>
      </c>
      <c r="M196" s="858"/>
      <c r="N196" s="858"/>
      <c r="O196" s="323">
        <f t="shared" si="51"/>
        <v>2.4307055187479782E-3</v>
      </c>
      <c r="P196" s="168">
        <f>(INDEX(Models!$BJ196:$BT196,,T196)*(1-R196)+INDEX(Models!$BJ196:$BT196,,T196+1)*R196-ERP_i)*Q196*Ramure*Pc/MaxiM</f>
        <v>8.9938844680205533E-5</v>
      </c>
      <c r="Q196" s="304">
        <f t="shared" si="52"/>
        <v>0.5</v>
      </c>
      <c r="R196" s="176">
        <f t="shared" si="53"/>
        <v>0.74570865949288156</v>
      </c>
      <c r="S196" s="814">
        <f t="shared" si="71"/>
        <v>-1</v>
      </c>
      <c r="T196" s="175">
        <f t="shared" si="54"/>
        <v>5</v>
      </c>
      <c r="U196" s="250">
        <f t="shared" si="55"/>
        <v>-0.25429134050711844</v>
      </c>
      <c r="V196" s="382">
        <f t="shared" si="56"/>
        <v>58.469116727738744</v>
      </c>
      <c r="W196" s="58"/>
      <c r="X196" s="157">
        <f t="shared" si="57"/>
        <v>43282</v>
      </c>
      <c r="Y196" s="384">
        <f t="shared" si="58"/>
        <v>0</v>
      </c>
      <c r="Z196" s="384">
        <f t="shared" si="59"/>
        <v>0</v>
      </c>
      <c r="AA196" s="385">
        <f t="shared" si="60"/>
        <v>0</v>
      </c>
      <c r="AB196" s="196">
        <f t="shared" si="61"/>
        <v>43282</v>
      </c>
      <c r="AC196" s="425">
        <f t="shared" si="62"/>
        <v>2.4307055187479782E-3</v>
      </c>
      <c r="AD196" s="168">
        <f>(INDEX(Models!$BJ196:$BT196,,AH196)*(1-AF196)+INDEX(Models!$BJ196:$BT196,,AH196+1)*AF196-ERP_i)*AE196*Ramure*Pc/MaxiM</f>
        <v>8.9938844680205533E-5</v>
      </c>
      <c r="AE196" s="304">
        <f t="shared" si="63"/>
        <v>0.5</v>
      </c>
      <c r="AF196" s="176">
        <f t="shared" si="64"/>
        <v>0.74570865949288156</v>
      </c>
      <c r="AG196" s="814">
        <f t="shared" si="65"/>
        <v>-1</v>
      </c>
      <c r="AH196" s="175">
        <f t="shared" si="66"/>
        <v>5</v>
      </c>
      <c r="AI196" s="224">
        <f t="shared" si="67"/>
        <v>-0.25429134050711844</v>
      </c>
      <c r="AJ196" s="264" t="b">
        <f t="shared" si="68"/>
        <v>0</v>
      </c>
      <c r="AK196" s="264" t="b">
        <f t="shared" si="69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89"/>
      <c r="D197" s="392"/>
      <c r="E197" s="384"/>
      <c r="F197" s="384"/>
      <c r="G197" s="110"/>
      <c r="I197" s="379">
        <f t="shared" si="48"/>
        <v>0</v>
      </c>
      <c r="J197" s="85">
        <v>2018</v>
      </c>
      <c r="K197" s="196">
        <f t="shared" si="49"/>
        <v>43283</v>
      </c>
      <c r="L197" s="436">
        <f t="shared" si="50"/>
        <v>7.2253145614920022E-4</v>
      </c>
      <c r="M197" s="858"/>
      <c r="N197" s="858"/>
      <c r="O197" s="323">
        <f t="shared" si="51"/>
        <v>2.505956665525388E-3</v>
      </c>
      <c r="P197" s="168">
        <f>(INDEX(Models!$BJ197:$BT197,,T197)*(1-R197)+INDEX(Models!$BJ197:$BT197,,T197+1)*R197-ERP_i)*Q197*Ramure*Pc/MaxiM</f>
        <v>9.0583964743165966E-5</v>
      </c>
      <c r="Q197" s="304">
        <f t="shared" si="52"/>
        <v>0.5</v>
      </c>
      <c r="R197" s="176">
        <f t="shared" si="53"/>
        <v>0.74826406867747797</v>
      </c>
      <c r="S197" s="814">
        <f t="shared" si="71"/>
        <v>-1</v>
      </c>
      <c r="T197" s="175">
        <f t="shared" si="54"/>
        <v>5</v>
      </c>
      <c r="U197" s="250">
        <f t="shared" si="55"/>
        <v>-0.25173593132252203</v>
      </c>
      <c r="V197" s="382">
        <f t="shared" si="56"/>
        <v>58.392351034477535</v>
      </c>
      <c r="W197" s="58"/>
      <c r="X197" s="157">
        <f t="shared" si="57"/>
        <v>43283</v>
      </c>
      <c r="Y197" s="384">
        <f t="shared" si="58"/>
        <v>0</v>
      </c>
      <c r="Z197" s="384">
        <f t="shared" si="59"/>
        <v>0</v>
      </c>
      <c r="AA197" s="385">
        <f t="shared" si="60"/>
        <v>0</v>
      </c>
      <c r="AB197" s="196">
        <f t="shared" si="61"/>
        <v>43283</v>
      </c>
      <c r="AC197" s="425">
        <f t="shared" si="62"/>
        <v>2.505956665525388E-3</v>
      </c>
      <c r="AD197" s="168">
        <f>(INDEX(Models!$BJ197:$BT197,,AH197)*(1-AF197)+INDEX(Models!$BJ197:$BT197,,AH197+1)*AF197-ERP_i)*AE197*Ramure*Pc/MaxiM</f>
        <v>9.0583964743165966E-5</v>
      </c>
      <c r="AE197" s="304">
        <f t="shared" si="63"/>
        <v>0.5</v>
      </c>
      <c r="AF197" s="176">
        <f t="shared" si="64"/>
        <v>0.74826406867747797</v>
      </c>
      <c r="AG197" s="814">
        <f t="shared" si="65"/>
        <v>-1</v>
      </c>
      <c r="AH197" s="175">
        <f t="shared" si="66"/>
        <v>5</v>
      </c>
      <c r="AI197" s="224">
        <f t="shared" si="67"/>
        <v>-0.25173593132252203</v>
      </c>
      <c r="AJ197" s="264" t="b">
        <f t="shared" si="68"/>
        <v>0</v>
      </c>
      <c r="AK197" s="264" t="b">
        <f t="shared" si="69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89"/>
      <c r="D198" s="392"/>
      <c r="E198" s="384"/>
      <c r="F198" s="384"/>
      <c r="G198" s="110"/>
      <c r="I198" s="379">
        <f t="shared" si="48"/>
        <v>0</v>
      </c>
      <c r="J198" s="85">
        <v>2018</v>
      </c>
      <c r="K198" s="196">
        <f t="shared" si="49"/>
        <v>43284</v>
      </c>
      <c r="L198" s="436">
        <f t="shared" si="50"/>
        <v>7.4441819728832126E-4</v>
      </c>
      <c r="M198" s="858"/>
      <c r="N198" s="858"/>
      <c r="O198" s="323">
        <f t="shared" si="51"/>
        <v>2.5811265951175529E-3</v>
      </c>
      <c r="P198" s="168">
        <f>(INDEX(Models!$BJ198:$BT198,,T198)*(1-R198)+INDEX(Models!$BJ198:$BT198,,T198+1)*R198-ERP_i)*Q198*Ramure*Pc/MaxiM</f>
        <v>9.1085488258462239E-5</v>
      </c>
      <c r="Q198" s="304">
        <f t="shared" si="52"/>
        <v>0.5</v>
      </c>
      <c r="R198" s="176">
        <f t="shared" si="53"/>
        <v>0.75077538413785583</v>
      </c>
      <c r="S198" s="814">
        <f t="shared" si="71"/>
        <v>-1</v>
      </c>
      <c r="T198" s="175">
        <f t="shared" si="54"/>
        <v>5</v>
      </c>
      <c r="U198" s="250">
        <f t="shared" si="55"/>
        <v>-0.24922461586214414</v>
      </c>
      <c r="V198" s="382">
        <f t="shared" si="56"/>
        <v>58.31485678559357</v>
      </c>
      <c r="W198" s="58"/>
      <c r="X198" s="157">
        <f t="shared" si="57"/>
        <v>43284</v>
      </c>
      <c r="Y198" s="384">
        <f t="shared" si="58"/>
        <v>0</v>
      </c>
      <c r="Z198" s="384">
        <f t="shared" si="59"/>
        <v>0</v>
      </c>
      <c r="AA198" s="385">
        <f t="shared" si="60"/>
        <v>0</v>
      </c>
      <c r="AB198" s="196">
        <f t="shared" si="61"/>
        <v>43284</v>
      </c>
      <c r="AC198" s="425">
        <f t="shared" si="62"/>
        <v>2.5811265951175529E-3</v>
      </c>
      <c r="AD198" s="168">
        <f>(INDEX(Models!$BJ198:$BT198,,AH198)*(1-AF198)+INDEX(Models!$BJ198:$BT198,,AH198+1)*AF198-ERP_i)*AE198*Ramure*Pc/MaxiM</f>
        <v>9.1085488258462239E-5</v>
      </c>
      <c r="AE198" s="304">
        <f t="shared" si="63"/>
        <v>0.5</v>
      </c>
      <c r="AF198" s="176">
        <f t="shared" si="64"/>
        <v>0.75077538413785583</v>
      </c>
      <c r="AG198" s="814">
        <f t="shared" si="65"/>
        <v>-1</v>
      </c>
      <c r="AH198" s="175">
        <f t="shared" si="66"/>
        <v>5</v>
      </c>
      <c r="AI198" s="224">
        <f t="shared" si="67"/>
        <v>-0.24922461586214414</v>
      </c>
      <c r="AJ198" s="264" t="b">
        <f t="shared" si="68"/>
        <v>0</v>
      </c>
      <c r="AK198" s="264" t="b">
        <f t="shared" si="69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89"/>
      <c r="D199" s="392"/>
      <c r="E199" s="384"/>
      <c r="F199" s="384"/>
      <c r="G199" s="110"/>
      <c r="I199" s="379">
        <f t="shared" si="48"/>
        <v>0</v>
      </c>
      <c r="J199" s="85">
        <v>2018</v>
      </c>
      <c r="K199" s="196">
        <f t="shared" si="49"/>
        <v>43285</v>
      </c>
      <c r="L199" s="436">
        <f t="shared" si="50"/>
        <v>7.6630445905168099E-4</v>
      </c>
      <c r="M199" s="858"/>
      <c r="N199" s="858"/>
      <c r="O199" s="323">
        <f t="shared" si="51"/>
        <v>2.6562129872206804E-3</v>
      </c>
      <c r="P199" s="168">
        <f>(INDEX(Models!$BJ199:$BT199,,T199)*(1-R199)+INDEX(Models!$BJ199:$BT199,,T199+1)*R199-ERP_i)*Q199*Ramure*Pc/MaxiM</f>
        <v>9.1475018727883476E-5</v>
      </c>
      <c r="Q199" s="304">
        <f t="shared" si="52"/>
        <v>0.5</v>
      </c>
      <c r="R199" s="176">
        <f t="shared" si="53"/>
        <v>0.75324167227223016</v>
      </c>
      <c r="S199" s="814">
        <f t="shared" si="71"/>
        <v>-1</v>
      </c>
      <c r="T199" s="175">
        <f t="shared" si="54"/>
        <v>5</v>
      </c>
      <c r="U199" s="250">
        <f t="shared" si="55"/>
        <v>-0.24675832772776987</v>
      </c>
      <c r="V199" s="382">
        <f t="shared" si="56"/>
        <v>58.236740410466453</v>
      </c>
      <c r="W199" s="58"/>
      <c r="X199" s="157">
        <f t="shared" si="57"/>
        <v>43285</v>
      </c>
      <c r="Y199" s="384">
        <f t="shared" si="58"/>
        <v>0</v>
      </c>
      <c r="Z199" s="384">
        <f t="shared" si="59"/>
        <v>0</v>
      </c>
      <c r="AA199" s="385">
        <f t="shared" si="60"/>
        <v>0</v>
      </c>
      <c r="AB199" s="196">
        <f t="shared" si="61"/>
        <v>43285</v>
      </c>
      <c r="AC199" s="425">
        <f t="shared" si="62"/>
        <v>2.6562129872206804E-3</v>
      </c>
      <c r="AD199" s="168">
        <f>(INDEX(Models!$BJ199:$BT199,,AH199)*(1-AF199)+INDEX(Models!$BJ199:$BT199,,AH199+1)*AF199-ERP_i)*AE199*Ramure*Pc/MaxiM</f>
        <v>9.1475018727883476E-5</v>
      </c>
      <c r="AE199" s="304">
        <f t="shared" si="63"/>
        <v>0.5</v>
      </c>
      <c r="AF199" s="176">
        <f t="shared" si="64"/>
        <v>0.75324167227223016</v>
      </c>
      <c r="AG199" s="814">
        <f t="shared" si="65"/>
        <v>-1</v>
      </c>
      <c r="AH199" s="175">
        <f t="shared" si="66"/>
        <v>5</v>
      </c>
      <c r="AI199" s="224">
        <f t="shared" si="67"/>
        <v>-0.24675832772776987</v>
      </c>
      <c r="AJ199" s="264" t="b">
        <f t="shared" si="68"/>
        <v>0</v>
      </c>
      <c r="AK199" s="264" t="b">
        <f t="shared" si="69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89"/>
      <c r="D200" s="392"/>
      <c r="E200" s="384"/>
      <c r="F200" s="384"/>
      <c r="G200" s="110"/>
      <c r="I200" s="379">
        <f t="shared" si="48"/>
        <v>0</v>
      </c>
      <c r="J200" s="85">
        <v>2018</v>
      </c>
      <c r="K200" s="196">
        <f t="shared" si="49"/>
        <v>43286</v>
      </c>
      <c r="L200" s="436">
        <f t="shared" si="50"/>
        <v>7.881902414497155E-4</v>
      </c>
      <c r="M200" s="858"/>
      <c r="N200" s="858"/>
      <c r="O200" s="323">
        <f t="shared" si="51"/>
        <v>2.7312137148666478E-3</v>
      </c>
      <c r="P200" s="168">
        <f>(INDEX(Models!$BJ200:$BT200,,T200)*(1-R200)+INDEX(Models!$BJ200:$BT200,,T200+1)*R200-ERP_i)*Q200*Ramure*Pc/MaxiM</f>
        <v>9.1749856162101777E-5</v>
      </c>
      <c r="Q200" s="304">
        <f t="shared" si="52"/>
        <v>0.5</v>
      </c>
      <c r="R200" s="176">
        <f t="shared" si="53"/>
        <v>0.75566210728821437</v>
      </c>
      <c r="S200" s="814">
        <f t="shared" si="71"/>
        <v>-1</v>
      </c>
      <c r="T200" s="175">
        <f t="shared" si="54"/>
        <v>5</v>
      </c>
      <c r="U200" s="250">
        <f t="shared" si="55"/>
        <v>-0.24433789271178558</v>
      </c>
      <c r="V200" s="382">
        <f t="shared" si="56"/>
        <v>58.158110288581852</v>
      </c>
      <c r="W200" s="58"/>
      <c r="X200" s="157">
        <f t="shared" si="57"/>
        <v>43286</v>
      </c>
      <c r="Y200" s="384">
        <f t="shared" si="58"/>
        <v>0</v>
      </c>
      <c r="Z200" s="384">
        <f t="shared" si="59"/>
        <v>0</v>
      </c>
      <c r="AA200" s="385">
        <f t="shared" si="60"/>
        <v>0</v>
      </c>
      <c r="AB200" s="196">
        <f t="shared" si="61"/>
        <v>43286</v>
      </c>
      <c r="AC200" s="425">
        <f t="shared" si="62"/>
        <v>2.7312137148666478E-3</v>
      </c>
      <c r="AD200" s="168">
        <f>(INDEX(Models!$BJ200:$BT200,,AH200)*(1-AF200)+INDEX(Models!$BJ200:$BT200,,AH200+1)*AF200-ERP_i)*AE200*Ramure*Pc/MaxiM</f>
        <v>9.1749856162101777E-5</v>
      </c>
      <c r="AE200" s="304">
        <f t="shared" si="63"/>
        <v>0.5</v>
      </c>
      <c r="AF200" s="176">
        <f t="shared" si="64"/>
        <v>0.75566210728821437</v>
      </c>
      <c r="AG200" s="814">
        <f t="shared" si="65"/>
        <v>-1</v>
      </c>
      <c r="AH200" s="175">
        <f t="shared" si="66"/>
        <v>5</v>
      </c>
      <c r="AI200" s="224">
        <f t="shared" si="67"/>
        <v>-0.24433789271178558</v>
      </c>
      <c r="AJ200" s="264" t="b">
        <f t="shared" si="68"/>
        <v>0</v>
      </c>
      <c r="AK200" s="264" t="b">
        <f t="shared" si="69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89"/>
      <c r="D201" s="392"/>
      <c r="E201" s="384"/>
      <c r="F201" s="384"/>
      <c r="G201" s="110"/>
      <c r="I201" s="379">
        <f t="shared" si="48"/>
        <v>0</v>
      </c>
      <c r="J201" s="85">
        <v>2018</v>
      </c>
      <c r="K201" s="196">
        <f t="shared" si="49"/>
        <v>43287</v>
      </c>
      <c r="L201" s="436">
        <f t="shared" si="50"/>
        <v>8.100755444928609E-4</v>
      </c>
      <c r="M201" s="858"/>
      <c r="N201" s="858"/>
      <c r="O201" s="323">
        <f t="shared" si="51"/>
        <v>2.806126846217612E-3</v>
      </c>
      <c r="P201" s="168">
        <f>(INDEX(Models!$BJ201:$BT201,,T201)*(1-R201)+INDEX(Models!$BJ201:$BT201,,T201+1)*R201-ERP_i)*Q201*Ramure*Pc/MaxiM</f>
        <v>9.190750369383401E-5</v>
      </c>
      <c r="Q201" s="304">
        <f t="shared" si="52"/>
        <v>0.5</v>
      </c>
      <c r="R201" s="176">
        <f t="shared" si="53"/>
        <v>0.75803596976489007</v>
      </c>
      <c r="S201" s="814">
        <f t="shared" si="71"/>
        <v>-1</v>
      </c>
      <c r="T201" s="175">
        <f t="shared" si="54"/>
        <v>5</v>
      </c>
      <c r="U201" s="250">
        <f t="shared" si="55"/>
        <v>-0.2419640302351099</v>
      </c>
      <c r="V201" s="382">
        <f t="shared" si="56"/>
        <v>58.079074732247214</v>
      </c>
      <c r="W201" s="58"/>
      <c r="X201" s="157">
        <f t="shared" si="57"/>
        <v>43287</v>
      </c>
      <c r="Y201" s="384">
        <f t="shared" si="58"/>
        <v>0</v>
      </c>
      <c r="Z201" s="384">
        <f t="shared" si="59"/>
        <v>0</v>
      </c>
      <c r="AA201" s="385">
        <f t="shared" si="60"/>
        <v>0</v>
      </c>
      <c r="AB201" s="196">
        <f t="shared" si="61"/>
        <v>43287</v>
      </c>
      <c r="AC201" s="425">
        <f t="shared" si="62"/>
        <v>2.806126846217612E-3</v>
      </c>
      <c r="AD201" s="168">
        <f>(INDEX(Models!$BJ201:$BT201,,AH201)*(1-AF201)+INDEX(Models!$BJ201:$BT201,,AH201+1)*AF201-ERP_i)*AE201*Ramure*Pc/MaxiM</f>
        <v>9.190750369383401E-5</v>
      </c>
      <c r="AE201" s="304">
        <f t="shared" si="63"/>
        <v>0.5</v>
      </c>
      <c r="AF201" s="176">
        <f t="shared" si="64"/>
        <v>0.75803596976489007</v>
      </c>
      <c r="AG201" s="814">
        <f t="shared" si="65"/>
        <v>-1</v>
      </c>
      <c r="AH201" s="175">
        <f t="shared" si="66"/>
        <v>5</v>
      </c>
      <c r="AI201" s="224">
        <f t="shared" si="67"/>
        <v>-0.2419640302351099</v>
      </c>
      <c r="AJ201" s="264" t="b">
        <f t="shared" si="68"/>
        <v>0</v>
      </c>
      <c r="AK201" s="264" t="b">
        <f t="shared" si="69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89"/>
      <c r="D202" s="392"/>
      <c r="E202" s="384"/>
      <c r="F202" s="384"/>
      <c r="G202" s="110"/>
      <c r="I202" s="379">
        <f t="shared" si="48"/>
        <v>0</v>
      </c>
      <c r="J202" s="85">
        <v>2018</v>
      </c>
      <c r="K202" s="196">
        <f t="shared" si="49"/>
        <v>43288</v>
      </c>
      <c r="L202" s="436">
        <f t="shared" si="50"/>
        <v>8.3196036819188635E-4</v>
      </c>
      <c r="M202" s="858"/>
      <c r="N202" s="858"/>
      <c r="O202" s="323">
        <f t="shared" si="51"/>
        <v>2.8809506448095397E-3</v>
      </c>
      <c r="P202" s="168">
        <f>(INDEX(Models!$BJ202:$BT202,,T202)*(1-R202)+INDEX(Models!$BJ202:$BT202,,T202+1)*R202-ERP_i)*Q202*Ramure*Pc/MaxiM</f>
        <v>9.1945665830708644E-5</v>
      </c>
      <c r="Q202" s="304">
        <f t="shared" si="52"/>
        <v>0.5</v>
      </c>
      <c r="R202" s="176">
        <f t="shared" si="53"/>
        <v>0.7603626447939138</v>
      </c>
      <c r="S202" s="814">
        <f t="shared" si="71"/>
        <v>-1</v>
      </c>
      <c r="T202" s="175">
        <f t="shared" si="54"/>
        <v>5</v>
      </c>
      <c r="U202" s="250">
        <f t="shared" si="55"/>
        <v>-0.23963735520608614</v>
      </c>
      <c r="V202" s="382">
        <f t="shared" si="56"/>
        <v>57.999741986562945</v>
      </c>
      <c r="W202" s="58"/>
      <c r="X202" s="157">
        <f t="shared" si="57"/>
        <v>43288</v>
      </c>
      <c r="Y202" s="384">
        <f t="shared" si="58"/>
        <v>0</v>
      </c>
      <c r="Z202" s="384">
        <f t="shared" si="59"/>
        <v>0</v>
      </c>
      <c r="AA202" s="385">
        <f t="shared" si="60"/>
        <v>0</v>
      </c>
      <c r="AB202" s="196">
        <f t="shared" si="61"/>
        <v>43288</v>
      </c>
      <c r="AC202" s="425">
        <f t="shared" si="62"/>
        <v>2.8809506448095397E-3</v>
      </c>
      <c r="AD202" s="168">
        <f>(INDEX(Models!$BJ202:$BT202,,AH202)*(1-AF202)+INDEX(Models!$BJ202:$BT202,,AH202+1)*AF202-ERP_i)*AE202*Ramure*Pc/MaxiM</f>
        <v>9.1945665830708644E-5</v>
      </c>
      <c r="AE202" s="304">
        <f t="shared" si="63"/>
        <v>0.5</v>
      </c>
      <c r="AF202" s="176">
        <f t="shared" si="64"/>
        <v>0.7603626447939138</v>
      </c>
      <c r="AG202" s="814">
        <f t="shared" si="65"/>
        <v>-1</v>
      </c>
      <c r="AH202" s="175">
        <f t="shared" si="66"/>
        <v>5</v>
      </c>
      <c r="AI202" s="224">
        <f t="shared" si="67"/>
        <v>-0.23963735520608614</v>
      </c>
      <c r="AJ202" s="264" t="b">
        <f t="shared" si="68"/>
        <v>0</v>
      </c>
      <c r="AK202" s="264" t="b">
        <f t="shared" si="69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89"/>
      <c r="D203" s="392"/>
      <c r="E203" s="384"/>
      <c r="F203" s="384"/>
      <c r="G203" s="110"/>
      <c r="I203" s="379">
        <f t="shared" si="48"/>
        <v>0</v>
      </c>
      <c r="J203" s="85">
        <v>2018</v>
      </c>
      <c r="K203" s="196">
        <f t="shared" si="49"/>
        <v>43289</v>
      </c>
      <c r="L203" s="436">
        <f t="shared" si="50"/>
        <v>8.5384471255689487E-4</v>
      </c>
      <c r="M203" s="858"/>
      <c r="N203" s="858"/>
      <c r="O203" s="323">
        <f t="shared" si="51"/>
        <v>2.9556835682726422E-3</v>
      </c>
      <c r="P203" s="168">
        <f>(INDEX(Models!$BJ203:$BT203,,T203)*(1-R203)+INDEX(Models!$BJ203:$BT203,,T203+1)*R203-ERP_i)*Q203*Ramure*Pc/MaxiM</f>
        <v>9.1862245494599308E-5</v>
      </c>
      <c r="Q203" s="304">
        <f t="shared" si="52"/>
        <v>0.5</v>
      </c>
      <c r="R203" s="176">
        <f t="shared" si="53"/>
        <v>0.76264161973327527</v>
      </c>
      <c r="S203" s="814">
        <f t="shared" si="71"/>
        <v>-1</v>
      </c>
      <c r="T203" s="175">
        <f t="shared" si="54"/>
        <v>5</v>
      </c>
      <c r="U203" s="250">
        <f t="shared" si="55"/>
        <v>-0.23735838026672471</v>
      </c>
      <c r="V203" s="382">
        <f t="shared" si="56"/>
        <v>57.920220230736497</v>
      </c>
      <c r="W203" s="58"/>
      <c r="X203" s="157">
        <f t="shared" si="57"/>
        <v>43289</v>
      </c>
      <c r="Y203" s="384">
        <f t="shared" si="58"/>
        <v>0</v>
      </c>
      <c r="Z203" s="384">
        <f t="shared" si="59"/>
        <v>0</v>
      </c>
      <c r="AA203" s="385">
        <f t="shared" si="60"/>
        <v>0</v>
      </c>
      <c r="AB203" s="196">
        <f t="shared" si="61"/>
        <v>43289</v>
      </c>
      <c r="AC203" s="425">
        <f t="shared" si="62"/>
        <v>2.9556835682726422E-3</v>
      </c>
      <c r="AD203" s="168">
        <f>(INDEX(Models!$BJ203:$BT203,,AH203)*(1-AF203)+INDEX(Models!$BJ203:$BT203,,AH203+1)*AF203-ERP_i)*AE203*Ramure*Pc/MaxiM</f>
        <v>9.1862245494599308E-5</v>
      </c>
      <c r="AE203" s="304">
        <f t="shared" si="63"/>
        <v>0.5</v>
      </c>
      <c r="AF203" s="176">
        <f t="shared" si="64"/>
        <v>0.76264161973327527</v>
      </c>
      <c r="AG203" s="814">
        <f t="shared" si="65"/>
        <v>-1</v>
      </c>
      <c r="AH203" s="175">
        <f t="shared" si="66"/>
        <v>5</v>
      </c>
      <c r="AI203" s="224">
        <f t="shared" si="67"/>
        <v>-0.23735838026672471</v>
      </c>
      <c r="AJ203" s="264" t="b">
        <f t="shared" si="68"/>
        <v>0</v>
      </c>
      <c r="AK203" s="264" t="b">
        <f t="shared" si="69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89"/>
      <c r="D204" s="392"/>
      <c r="E204" s="384"/>
      <c r="F204" s="384"/>
      <c r="G204" s="110"/>
      <c r="I204" s="379">
        <f t="shared" si="48"/>
        <v>0</v>
      </c>
      <c r="J204" s="85">
        <v>2018</v>
      </c>
      <c r="K204" s="196">
        <f t="shared" si="49"/>
        <v>43290</v>
      </c>
      <c r="L204" s="436">
        <f t="shared" si="50"/>
        <v>8.7572857759876666E-4</v>
      </c>
      <c r="M204" s="858"/>
      <c r="N204" s="858"/>
      <c r="O204" s="323">
        <f t="shared" si="51"/>
        <v>3.0303242655701432E-3</v>
      </c>
      <c r="P204" s="168">
        <f>(INDEX(Models!$BJ204:$BT204,,T204)*(1-R204)+INDEX(Models!$BJ204:$BT204,,T204+1)*R204-ERP_i)*Q204*Ramure*Pc/MaxiM</f>
        <v>9.1655339955645925E-5</v>
      </c>
      <c r="Q204" s="304">
        <f t="shared" si="52"/>
        <v>0.5</v>
      </c>
      <c r="R204" s="176">
        <f t="shared" si="53"/>
        <v>0.76487248160854659</v>
      </c>
      <c r="S204" s="814">
        <f t="shared" si="71"/>
        <v>-1</v>
      </c>
      <c r="T204" s="175">
        <f t="shared" si="54"/>
        <v>5</v>
      </c>
      <c r="U204" s="250">
        <f t="shared" si="55"/>
        <v>-0.23512751839145346</v>
      </c>
      <c r="V204" s="382">
        <f t="shared" si="56"/>
        <v>57.840617577804657</v>
      </c>
      <c r="W204" s="58"/>
      <c r="X204" s="157">
        <f t="shared" si="57"/>
        <v>43290</v>
      </c>
      <c r="Y204" s="384">
        <f t="shared" si="58"/>
        <v>0</v>
      </c>
      <c r="Z204" s="384">
        <f t="shared" si="59"/>
        <v>0</v>
      </c>
      <c r="AA204" s="385">
        <f t="shared" si="60"/>
        <v>0</v>
      </c>
      <c r="AB204" s="196">
        <f t="shared" si="61"/>
        <v>43290</v>
      </c>
      <c r="AC204" s="425">
        <f t="shared" si="62"/>
        <v>3.0303242655701432E-3</v>
      </c>
      <c r="AD204" s="168">
        <f>(INDEX(Models!$BJ204:$BT204,,AH204)*(1-AF204)+INDEX(Models!$BJ204:$BT204,,AH204+1)*AF204-ERP_i)*AE204*Ramure*Pc/MaxiM</f>
        <v>9.1655339955645925E-5</v>
      </c>
      <c r="AE204" s="304">
        <f t="shared" si="63"/>
        <v>0.5</v>
      </c>
      <c r="AF204" s="176">
        <f t="shared" si="64"/>
        <v>0.76487248160854659</v>
      </c>
      <c r="AG204" s="814">
        <f t="shared" si="65"/>
        <v>-1</v>
      </c>
      <c r="AH204" s="175">
        <f t="shared" si="66"/>
        <v>5</v>
      </c>
      <c r="AI204" s="224">
        <f t="shared" si="67"/>
        <v>-0.23512751839145346</v>
      </c>
      <c r="AJ204" s="264" t="b">
        <f t="shared" si="68"/>
        <v>0</v>
      </c>
      <c r="AK204" s="264" t="b">
        <f t="shared" si="69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89"/>
      <c r="D205" s="392"/>
      <c r="E205" s="384"/>
      <c r="F205" s="384"/>
      <c r="G205" s="110"/>
      <c r="I205" s="379">
        <f t="shared" si="48"/>
        <v>0</v>
      </c>
      <c r="J205" s="85">
        <v>2018</v>
      </c>
      <c r="K205" s="196">
        <f t="shared" si="49"/>
        <v>43291</v>
      </c>
      <c r="L205" s="436">
        <f t="shared" si="50"/>
        <v>8.9761196332771576E-4</v>
      </c>
      <c r="M205" s="858"/>
      <c r="N205" s="858"/>
      <c r="O205" s="323">
        <f t="shared" si="51"/>
        <v>3.1048715728110277E-3</v>
      </c>
      <c r="P205" s="168">
        <f>(INDEX(Models!$BJ205:$BT205,,T205)*(1-R205)+INDEX(Models!$BJ205:$BT205,,T205+1)*R205-ERP_i)*Q205*Ramure*Pc/MaxiM</f>
        <v>9.1323662276953797E-5</v>
      </c>
      <c r="Q205" s="304">
        <f t="shared" si="52"/>
        <v>0.5</v>
      </c>
      <c r="R205" s="176">
        <f t="shared" si="53"/>
        <v>0.76705491419724381</v>
      </c>
      <c r="S205" s="814">
        <f t="shared" si="71"/>
        <v>-1</v>
      </c>
      <c r="T205" s="175">
        <f t="shared" si="54"/>
        <v>5</v>
      </c>
      <c r="U205" s="250">
        <f t="shared" si="55"/>
        <v>-0.23294508580275625</v>
      </c>
      <c r="V205" s="382">
        <f t="shared" si="56"/>
        <v>57.76077229658349</v>
      </c>
      <c r="W205" s="58"/>
      <c r="X205" s="157">
        <f t="shared" si="57"/>
        <v>43291</v>
      </c>
      <c r="Y205" s="384">
        <f t="shared" si="58"/>
        <v>0</v>
      </c>
      <c r="Z205" s="384">
        <f t="shared" si="59"/>
        <v>0</v>
      </c>
      <c r="AA205" s="385">
        <f t="shared" si="60"/>
        <v>0</v>
      </c>
      <c r="AB205" s="196">
        <f t="shared" si="61"/>
        <v>43291</v>
      </c>
      <c r="AC205" s="425">
        <f t="shared" si="62"/>
        <v>3.1048715728110277E-3</v>
      </c>
      <c r="AD205" s="168">
        <f>(INDEX(Models!$BJ205:$BT205,,AH205)*(1-AF205)+INDEX(Models!$BJ205:$BT205,,AH205+1)*AF205-ERP_i)*AE205*Ramure*Pc/MaxiM</f>
        <v>9.1323662276953797E-5</v>
      </c>
      <c r="AE205" s="304">
        <f t="shared" si="63"/>
        <v>0.5</v>
      </c>
      <c r="AF205" s="176">
        <f t="shared" si="64"/>
        <v>0.76705491419724381</v>
      </c>
      <c r="AG205" s="814">
        <f t="shared" si="65"/>
        <v>-1</v>
      </c>
      <c r="AH205" s="175">
        <f t="shared" si="66"/>
        <v>5</v>
      </c>
      <c r="AI205" s="224">
        <f t="shared" si="67"/>
        <v>-0.23294508580275625</v>
      </c>
      <c r="AJ205" s="264" t="b">
        <f t="shared" si="68"/>
        <v>0</v>
      </c>
      <c r="AK205" s="264" t="b">
        <f t="shared" si="69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89"/>
      <c r="D206" s="392"/>
      <c r="E206" s="384"/>
      <c r="F206" s="384"/>
      <c r="G206" s="110"/>
      <c r="I206" s="379">
        <f t="shared" si="48"/>
        <v>0</v>
      </c>
      <c r="J206" s="85">
        <v>2018</v>
      </c>
      <c r="K206" s="196">
        <f t="shared" si="49"/>
        <v>43292</v>
      </c>
      <c r="L206" s="436">
        <f t="shared" si="50"/>
        <v>9.1949486975440031E-4</v>
      </c>
      <c r="M206" s="858"/>
      <c r="N206" s="858"/>
      <c r="O206" s="323">
        <f t="shared" si="51"/>
        <v>3.1793245077047787E-3</v>
      </c>
      <c r="P206" s="168">
        <f>(INDEX(Models!$BJ206:$BT206,,T206)*(1-R206)+INDEX(Models!$BJ206:$BT206,,T206+1)*R206-ERP_i)*Q206*Ramure*Pc/MaxiM</f>
        <v>9.0847913276089566E-5</v>
      </c>
      <c r="Q206" s="304">
        <f t="shared" si="52"/>
        <v>0.5</v>
      </c>
      <c r="R206" s="176">
        <f t="shared" si="53"/>
        <v>0.76918869483226238</v>
      </c>
      <c r="S206" s="814">
        <f t="shared" si="71"/>
        <v>-1</v>
      </c>
      <c r="T206" s="175">
        <f t="shared" si="54"/>
        <v>5</v>
      </c>
      <c r="U206" s="250">
        <f t="shared" si="55"/>
        <v>-0.23081130516773765</v>
      </c>
      <c r="V206" s="382">
        <f t="shared" si="56"/>
        <v>57.680451817151607</v>
      </c>
      <c r="W206" s="58"/>
      <c r="X206" s="157">
        <f t="shared" si="57"/>
        <v>43292</v>
      </c>
      <c r="Y206" s="384">
        <f t="shared" si="58"/>
        <v>0</v>
      </c>
      <c r="Z206" s="384">
        <f t="shared" si="59"/>
        <v>0</v>
      </c>
      <c r="AA206" s="385">
        <f t="shared" si="60"/>
        <v>0</v>
      </c>
      <c r="AB206" s="196">
        <f t="shared" si="61"/>
        <v>43292</v>
      </c>
      <c r="AC206" s="425">
        <f t="shared" si="62"/>
        <v>3.1793245077047787E-3</v>
      </c>
      <c r="AD206" s="168">
        <f>(INDEX(Models!$BJ206:$BT206,,AH206)*(1-AF206)+INDEX(Models!$BJ206:$BT206,,AH206+1)*AF206-ERP_i)*AE206*Ramure*Pc/MaxiM</f>
        <v>9.0847913276089566E-5</v>
      </c>
      <c r="AE206" s="304">
        <f t="shared" si="63"/>
        <v>0.5</v>
      </c>
      <c r="AF206" s="176">
        <f t="shared" si="64"/>
        <v>0.76918869483226238</v>
      </c>
      <c r="AG206" s="814">
        <f t="shared" si="65"/>
        <v>-1</v>
      </c>
      <c r="AH206" s="175">
        <f t="shared" si="66"/>
        <v>5</v>
      </c>
      <c r="AI206" s="224">
        <f t="shared" si="67"/>
        <v>-0.23081130516773765</v>
      </c>
      <c r="AJ206" s="264" t="b">
        <f t="shared" si="68"/>
        <v>0</v>
      </c>
      <c r="AK206" s="264" t="b">
        <f t="shared" si="69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89"/>
      <c r="D207" s="392"/>
      <c r="E207" s="384"/>
      <c r="F207" s="384"/>
      <c r="G207" s="110"/>
      <c r="I207" s="379">
        <f t="shared" ref="I207:I270" si="73">Wh_hp</f>
        <v>0</v>
      </c>
      <c r="J207" s="85">
        <v>2018</v>
      </c>
      <c r="K207" s="196">
        <f t="shared" ref="K207:K270" si="74">t</f>
        <v>43293</v>
      </c>
      <c r="L207" s="436">
        <f t="shared" ref="L207:L270" si="75">IF(t&lt;T0,0,IF(t&lt;Tvie,1-EXP((T0-t)*PertePVj),1-EXP((T0-t)*PertePVj)+Pspv))</f>
        <v>9.4137729688936744E-4</v>
      </c>
      <c r="M207" s="858"/>
      <c r="N207" s="858"/>
      <c r="O207" s="323">
        <f t="shared" ref="O207:O270" si="76">IF(t&lt;T0,0,IF(t&lt;Tnet,Salim_i*(1-EXP((T0-t)/Tau_ij)),Resal+(Salim-Resal)*(1-EXP((Tnet-t)/(Tau_j)))))*Salcycl</f>
        <v>3.2536822627385691E-3</v>
      </c>
      <c r="P207" s="168">
        <f>(INDEX(Models!$BJ207:$BT207,,T207)*(1-R207)+INDEX(Models!$BJ207:$BT207,,T207+1)*R207-ERP_i)*Q207*Ramure*Pc/MaxiM</f>
        <v>9.026569628022673E-5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0.7712736909602933</v>
      </c>
      <c r="S207" s="814">
        <f t="shared" si="71"/>
        <v>-1</v>
      </c>
      <c r="T207" s="175">
        <f t="shared" ref="T207:T270" si="79">MIN(MATCH(Hp_vg,Echel_vg),10)</f>
        <v>5</v>
      </c>
      <c r="U207" s="250">
        <f t="shared" ref="U207:U270" si="80">IF(OR(t&lt;Ttai,Notai),Hdd+PousH*Croivg,Hdtf+PousH*(Croivg-Croi_tai))</f>
        <v>-0.22872630903970673</v>
      </c>
      <c r="V207" s="382">
        <f t="shared" ref="V207:V270" si="81">MaxiM*(1-Ppv)*(1-Pvg)*(1-Psa)</f>
        <v>57.599654108206437</v>
      </c>
      <c r="W207" s="58"/>
      <c r="X207" s="157">
        <f t="shared" ref="X207:X270" si="82">t</f>
        <v>43293</v>
      </c>
      <c r="Y207" s="384">
        <f t="shared" ref="Y207:Y270" si="83">Wh_pvt_s*(1-Ppv)</f>
        <v>0</v>
      </c>
      <c r="Z207" s="384">
        <f t="shared" ref="Z207:Z270" si="84">Wh_sa_s*(1-Psa_s)</f>
        <v>0</v>
      </c>
      <c r="AA207" s="385">
        <f t="shared" ref="AA207:AA270" si="85">Wh_hp*(1-Pvg_s*MEDIAN((-Sdif+Wh/Env_an)/Csdif,0,1))</f>
        <v>0</v>
      </c>
      <c r="AB207" s="196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3.2536822627385691E-3</v>
      </c>
      <c r="AD207" s="168">
        <f>(INDEX(Models!$BJ207:$BT207,,AH207)*(1-AF207)+INDEX(Models!$BJ207:$BT207,,AH207+1)*AF207-ERP_i)*AE207*Ramure*Pc/MaxiM</f>
        <v>9.026569628022673E-5</v>
      </c>
      <c r="AE207" s="304">
        <f t="shared" ref="AE207:AE270" si="88">Dd+PousD*Croivg</f>
        <v>0.5</v>
      </c>
      <c r="AF207" s="176">
        <f t="shared" ref="AF207:AF270" si="89">(Hp_vg_s-AG207)/(INDEX(Echel_vg,AH207+1)-AG207)</f>
        <v>0.7712736909602933</v>
      </c>
      <c r="AG207" s="814">
        <f t="shared" ref="AG207:AG270" si="90">INDEX(Echel_vg,AH207)</f>
        <v>-1</v>
      </c>
      <c r="AH207" s="175">
        <f t="shared" ref="AH207:AH270" si="91">MIN(MATCH(Hp_vg_s,Echel_vg),10)</f>
        <v>5</v>
      </c>
      <c r="AI207" s="224">
        <f t="shared" ref="AI207:AI270" si="92">Hdd+PousH*Croivg</f>
        <v>-0.22872630903970673</v>
      </c>
      <c r="AJ207" s="264" t="b">
        <f t="shared" ref="AJ207:AJ270" si="93">t&lt;Tnet</f>
        <v>0</v>
      </c>
      <c r="AK207" s="264" t="b">
        <f t="shared" ref="AK207:AK270" si="94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89"/>
      <c r="D208" s="392"/>
      <c r="E208" s="384"/>
      <c r="F208" s="384"/>
      <c r="G208" s="110"/>
      <c r="I208" s="379">
        <f t="shared" si="73"/>
        <v>0</v>
      </c>
      <c r="J208" s="85">
        <v>2018</v>
      </c>
      <c r="K208" s="196">
        <f t="shared" si="74"/>
        <v>43294</v>
      </c>
      <c r="L208" s="436">
        <f t="shared" si="75"/>
        <v>9.632592447428312E-4</v>
      </c>
      <c r="M208" s="858"/>
      <c r="N208" s="858"/>
      <c r="O208" s="323">
        <f t="shared" si="76"/>
        <v>3.3279441971681323E-3</v>
      </c>
      <c r="P208" s="168">
        <f>(INDEX(Models!$BJ208:$BT208,,T208)*(1-R208)+INDEX(Models!$BJ208:$BT208,,T208+1)*R208-ERP_i)*Q208*Ramure*Pc/MaxiM</f>
        <v>8.9576631539192291E-5</v>
      </c>
      <c r="Q208" s="304">
        <f t="shared" si="77"/>
        <v>0.5</v>
      </c>
      <c r="R208" s="176">
        <f t="shared" si="78"/>
        <v>0.7733098564907005</v>
      </c>
      <c r="S208" s="814">
        <f t="shared" ref="S208:S271" si="96">INDEX(Echel_vg,T208)</f>
        <v>-1</v>
      </c>
      <c r="T208" s="175">
        <f t="shared" si="79"/>
        <v>5</v>
      </c>
      <c r="U208" s="250">
        <f t="shared" si="80"/>
        <v>-0.22669014350929947</v>
      </c>
      <c r="V208" s="382">
        <f t="shared" si="81"/>
        <v>57.518379324759522</v>
      </c>
      <c r="W208" s="58"/>
      <c r="X208" s="157">
        <f t="shared" si="82"/>
        <v>43294</v>
      </c>
      <c r="Y208" s="384">
        <f t="shared" si="83"/>
        <v>0</v>
      </c>
      <c r="Z208" s="384">
        <f t="shared" si="84"/>
        <v>0</v>
      </c>
      <c r="AA208" s="385">
        <f t="shared" si="85"/>
        <v>0</v>
      </c>
      <c r="AB208" s="196">
        <f t="shared" si="86"/>
        <v>43294</v>
      </c>
      <c r="AC208" s="425">
        <f t="shared" si="87"/>
        <v>3.3279441971681323E-3</v>
      </c>
      <c r="AD208" s="168">
        <f>(INDEX(Models!$BJ208:$BT208,,AH208)*(1-AF208)+INDEX(Models!$BJ208:$BT208,,AH208+1)*AF208-ERP_i)*AE208*Ramure*Pc/MaxiM</f>
        <v>8.9576631539192291E-5</v>
      </c>
      <c r="AE208" s="304">
        <f t="shared" si="88"/>
        <v>0.5</v>
      </c>
      <c r="AF208" s="176">
        <f t="shared" si="89"/>
        <v>0.7733098564907005</v>
      </c>
      <c r="AG208" s="814">
        <f t="shared" si="90"/>
        <v>-1</v>
      </c>
      <c r="AH208" s="175">
        <f t="shared" si="91"/>
        <v>5</v>
      </c>
      <c r="AI208" s="224">
        <f t="shared" si="92"/>
        <v>-0.22669014350929947</v>
      </c>
      <c r="AJ208" s="264" t="b">
        <f t="shared" si="93"/>
        <v>0</v>
      </c>
      <c r="AK208" s="264" t="b">
        <f t="shared" si="94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89"/>
      <c r="D209" s="392"/>
      <c r="E209" s="384"/>
      <c r="F209" s="384"/>
      <c r="G209" s="110"/>
      <c r="I209" s="379">
        <f t="shared" si="73"/>
        <v>0</v>
      </c>
      <c r="J209" s="85">
        <v>2018</v>
      </c>
      <c r="K209" s="196">
        <f t="shared" si="74"/>
        <v>43295</v>
      </c>
      <c r="L209" s="436">
        <f t="shared" si="75"/>
        <v>9.8514071332567177E-4</v>
      </c>
      <c r="M209" s="858"/>
      <c r="N209" s="858"/>
      <c r="O209" s="323">
        <f t="shared" si="76"/>
        <v>3.402109827923808E-3</v>
      </c>
      <c r="P209" s="168">
        <f>(INDEX(Models!$BJ209:$BT209,,T209)*(1-R209)+INDEX(Models!$BJ209:$BT209,,T209+1)*R209-ERP_i)*Q209*Ramure*Pc/MaxiM</f>
        <v>8.8780455811313404E-5</v>
      </c>
      <c r="Q209" s="304">
        <f t="shared" si="77"/>
        <v>0.5</v>
      </c>
      <c r="R209" s="176">
        <f t="shared" si="78"/>
        <v>0.77529722796958023</v>
      </c>
      <c r="S209" s="814">
        <f t="shared" si="96"/>
        <v>-1</v>
      </c>
      <c r="T209" s="175">
        <f t="shared" si="79"/>
        <v>5</v>
      </c>
      <c r="U209" s="250">
        <f t="shared" si="80"/>
        <v>-0.22470277203041972</v>
      </c>
      <c r="V209" s="382">
        <f t="shared" si="81"/>
        <v>57.436627605351511</v>
      </c>
      <c r="W209" s="58"/>
      <c r="X209" s="157">
        <f t="shared" si="82"/>
        <v>43295</v>
      </c>
      <c r="Y209" s="384">
        <f t="shared" si="83"/>
        <v>0</v>
      </c>
      <c r="Z209" s="384">
        <f t="shared" si="84"/>
        <v>0</v>
      </c>
      <c r="AA209" s="385">
        <f t="shared" si="85"/>
        <v>0</v>
      </c>
      <c r="AB209" s="196">
        <f t="shared" si="86"/>
        <v>43295</v>
      </c>
      <c r="AC209" s="425">
        <f t="shared" si="87"/>
        <v>3.402109827923808E-3</v>
      </c>
      <c r="AD209" s="168">
        <f>(INDEX(Models!$BJ209:$BT209,,AH209)*(1-AF209)+INDEX(Models!$BJ209:$BT209,,AH209+1)*AF209-ERP_i)*AE209*Ramure*Pc/MaxiM</f>
        <v>8.8780455811313404E-5</v>
      </c>
      <c r="AE209" s="304">
        <f t="shared" si="88"/>
        <v>0.5</v>
      </c>
      <c r="AF209" s="176">
        <f t="shared" si="89"/>
        <v>0.77529722796958023</v>
      </c>
      <c r="AG209" s="814">
        <f t="shared" si="90"/>
        <v>-1</v>
      </c>
      <c r="AH209" s="175">
        <f t="shared" si="91"/>
        <v>5</v>
      </c>
      <c r="AI209" s="224">
        <f t="shared" si="92"/>
        <v>-0.22470277203041972</v>
      </c>
      <c r="AJ209" s="264" t="b">
        <f t="shared" si="93"/>
        <v>0</v>
      </c>
      <c r="AK209" s="264" t="b">
        <f t="shared" si="94"/>
        <v>0</v>
      </c>
      <c r="AL209" s="264"/>
      <c r="AM209" s="264"/>
      <c r="AN209" s="75"/>
    </row>
    <row r="210" spans="1:40" s="6" customFormat="1" ht="11.25" x14ac:dyDescent="0.2">
      <c r="A210" s="56">
        <f t="shared" si="95"/>
        <v>43296</v>
      </c>
      <c r="B210" s="616"/>
      <c r="C210" s="389"/>
      <c r="D210" s="392"/>
      <c r="E210" s="384"/>
      <c r="F210" s="384"/>
      <c r="G210" s="110"/>
      <c r="I210" s="379">
        <f t="shared" si="73"/>
        <v>0</v>
      </c>
      <c r="J210" s="85">
        <v>2018</v>
      </c>
      <c r="K210" s="196">
        <f t="shared" si="74"/>
        <v>43296</v>
      </c>
      <c r="L210" s="436">
        <f t="shared" si="75"/>
        <v>1.0070217026481032E-3</v>
      </c>
      <c r="M210" s="858"/>
      <c r="N210" s="858"/>
      <c r="O210" s="323">
        <f t="shared" si="76"/>
        <v>3.4761788195418974E-3</v>
      </c>
      <c r="P210" s="168">
        <f>(INDEX(Models!$BJ210:$BT210,,T210)*(1-R210)+INDEX(Models!$BJ210:$BT210,,T210+1)*R210-ERP_i)*Q210*Ramure*Pc/MaxiM</f>
        <v>8.787701218205262E-5</v>
      </c>
      <c r="Q210" s="304">
        <f t="shared" si="77"/>
        <v>0.5</v>
      </c>
      <c r="R210" s="176">
        <f t="shared" si="78"/>
        <v>0.77723592061267177</v>
      </c>
      <c r="S210" s="814">
        <f t="shared" si="96"/>
        <v>-1</v>
      </c>
      <c r="T210" s="175">
        <f t="shared" si="79"/>
        <v>5</v>
      </c>
      <c r="U210" s="250">
        <f t="shared" si="80"/>
        <v>-0.22276407938732828</v>
      </c>
      <c r="V210" s="382">
        <f t="shared" si="81"/>
        <v>57.354399072870052</v>
      </c>
      <c r="W210" s="58"/>
      <c r="X210" s="157">
        <f t="shared" si="82"/>
        <v>43296</v>
      </c>
      <c r="Y210" s="384">
        <f t="shared" si="83"/>
        <v>0</v>
      </c>
      <c r="Z210" s="384">
        <f t="shared" si="84"/>
        <v>0</v>
      </c>
      <c r="AA210" s="385">
        <f t="shared" si="85"/>
        <v>0</v>
      </c>
      <c r="AB210" s="196">
        <f t="shared" si="86"/>
        <v>43296</v>
      </c>
      <c r="AC210" s="425">
        <f t="shared" si="87"/>
        <v>3.4761788195418974E-3</v>
      </c>
      <c r="AD210" s="168">
        <f>(INDEX(Models!$BJ210:$BT210,,AH210)*(1-AF210)+INDEX(Models!$BJ210:$BT210,,AH210+1)*AF210-ERP_i)*AE210*Ramure*Pc/MaxiM</f>
        <v>8.787701218205262E-5</v>
      </c>
      <c r="AE210" s="304">
        <f t="shared" si="88"/>
        <v>0.5</v>
      </c>
      <c r="AF210" s="176">
        <f t="shared" si="89"/>
        <v>0.77723592061267177</v>
      </c>
      <c r="AG210" s="814">
        <f t="shared" si="90"/>
        <v>-1</v>
      </c>
      <c r="AH210" s="175">
        <f t="shared" si="91"/>
        <v>5</v>
      </c>
      <c r="AI210" s="224">
        <f t="shared" si="92"/>
        <v>-0.22276407938732828</v>
      </c>
      <c r="AJ210" s="264" t="b">
        <f t="shared" si="93"/>
        <v>0</v>
      </c>
      <c r="AK210" s="264" t="b">
        <f t="shared" si="94"/>
        <v>0</v>
      </c>
      <c r="AL210" s="264"/>
      <c r="AM210" s="264"/>
      <c r="AN210" s="75"/>
    </row>
    <row r="211" spans="1:40" s="6" customFormat="1" ht="11.25" x14ac:dyDescent="0.2">
      <c r="A211" s="56">
        <f t="shared" si="95"/>
        <v>43297</v>
      </c>
      <c r="B211" s="616"/>
      <c r="C211" s="389"/>
      <c r="D211" s="392"/>
      <c r="E211" s="384"/>
      <c r="F211" s="384"/>
      <c r="G211" s="110"/>
      <c r="I211" s="379">
        <f t="shared" si="73"/>
        <v>0</v>
      </c>
      <c r="J211" s="85">
        <v>2018</v>
      </c>
      <c r="K211" s="196">
        <f t="shared" si="74"/>
        <v>43297</v>
      </c>
      <c r="L211" s="436">
        <f t="shared" si="75"/>
        <v>1.0289022127206726E-3</v>
      </c>
      <c r="M211" s="858"/>
      <c r="N211" s="858"/>
      <c r="O211" s="323">
        <f t="shared" si="76"/>
        <v>3.5501509732390108E-3</v>
      </c>
      <c r="P211" s="168">
        <f>(INDEX(Models!$BJ211:$BT211,,T211)*(1-R211)+INDEX(Models!$BJ211:$BT211,,T211+1)*R211-ERP_i)*Q211*Ramure*Pc/MaxiM</f>
        <v>8.6866239801614985E-5</v>
      </c>
      <c r="Q211" s="304">
        <f t="shared" si="77"/>
        <v>0.5</v>
      </c>
      <c r="R211" s="176">
        <f t="shared" si="78"/>
        <v>0.77912612422947658</v>
      </c>
      <c r="S211" s="814">
        <f t="shared" si="96"/>
        <v>-1</v>
      </c>
      <c r="T211" s="175">
        <f t="shared" si="79"/>
        <v>5</v>
      </c>
      <c r="U211" s="250">
        <f t="shared" si="80"/>
        <v>-0.22087387577052345</v>
      </c>
      <c r="V211" s="382">
        <f t="shared" si="81"/>
        <v>57.27169383637407</v>
      </c>
      <c r="W211" s="58"/>
      <c r="X211" s="157">
        <f t="shared" si="82"/>
        <v>43297</v>
      </c>
      <c r="Y211" s="384">
        <f t="shared" si="83"/>
        <v>0</v>
      </c>
      <c r="Z211" s="384">
        <f t="shared" si="84"/>
        <v>0</v>
      </c>
      <c r="AA211" s="385">
        <f t="shared" si="85"/>
        <v>0</v>
      </c>
      <c r="AB211" s="196">
        <f t="shared" si="86"/>
        <v>43297</v>
      </c>
      <c r="AC211" s="425">
        <f t="shared" si="87"/>
        <v>3.5501509732390108E-3</v>
      </c>
      <c r="AD211" s="168">
        <f>(INDEX(Models!$BJ211:$BT211,,AH211)*(1-AF211)+INDEX(Models!$BJ211:$BT211,,AH211+1)*AF211-ERP_i)*AE211*Ramure*Pc/MaxiM</f>
        <v>8.6866239801614985E-5</v>
      </c>
      <c r="AE211" s="304">
        <f t="shared" si="88"/>
        <v>0.5</v>
      </c>
      <c r="AF211" s="176">
        <f t="shared" si="89"/>
        <v>0.77912612422947658</v>
      </c>
      <c r="AG211" s="814">
        <f t="shared" si="90"/>
        <v>-1</v>
      </c>
      <c r="AH211" s="175">
        <f t="shared" si="91"/>
        <v>5</v>
      </c>
      <c r="AI211" s="224">
        <f t="shared" si="92"/>
        <v>-0.22087387577052345</v>
      </c>
      <c r="AJ211" s="264" t="b">
        <f t="shared" si="93"/>
        <v>0</v>
      </c>
      <c r="AK211" s="264" t="b">
        <f t="shared" si="94"/>
        <v>0</v>
      </c>
      <c r="AL211" s="264"/>
      <c r="AM211" s="264"/>
      <c r="AN211" s="75"/>
    </row>
    <row r="212" spans="1:40" s="6" customFormat="1" ht="11.25" x14ac:dyDescent="0.2">
      <c r="A212" s="56">
        <f t="shared" si="95"/>
        <v>43298</v>
      </c>
      <c r="B212" s="616"/>
      <c r="C212" s="389"/>
      <c r="D212" s="392"/>
      <c r="E212" s="384"/>
      <c r="F212" s="384"/>
      <c r="G212" s="110"/>
      <c r="I212" s="379">
        <f t="shared" si="73"/>
        <v>0</v>
      </c>
      <c r="J212" s="85">
        <v>2018</v>
      </c>
      <c r="K212" s="196">
        <f t="shared" si="74"/>
        <v>43298</v>
      </c>
      <c r="L212" s="436">
        <f t="shared" si="75"/>
        <v>1.0507822435539271E-3</v>
      </c>
      <c r="M212" s="858"/>
      <c r="N212" s="858"/>
      <c r="O212" s="323">
        <f t="shared" si="76"/>
        <v>3.6240262152532426E-3</v>
      </c>
      <c r="P212" s="168">
        <f>(INDEX(Models!$BJ212:$BT212,,T212)*(1-R212)+INDEX(Models!$BJ212:$BT212,,T212+1)*R212-ERP_i)*Q212*Ramure*Pc/MaxiM</f>
        <v>8.5743728037177916E-5</v>
      </c>
      <c r="Q212" s="304">
        <f t="shared" si="77"/>
        <v>0.5</v>
      </c>
      <c r="R212" s="176">
        <f t="shared" si="78"/>
        <v>0.78096809906942233</v>
      </c>
      <c r="S212" s="814">
        <f t="shared" si="96"/>
        <v>-1</v>
      </c>
      <c r="T212" s="175">
        <f t="shared" si="79"/>
        <v>5</v>
      </c>
      <c r="U212" s="250">
        <f t="shared" si="80"/>
        <v>-0.21903190093057764</v>
      </c>
      <c r="V212" s="382">
        <f t="shared" si="81"/>
        <v>57.188512245459187</v>
      </c>
      <c r="W212" s="58"/>
      <c r="X212" s="157">
        <f t="shared" si="82"/>
        <v>43298</v>
      </c>
      <c r="Y212" s="384">
        <f t="shared" si="83"/>
        <v>0</v>
      </c>
      <c r="Z212" s="384">
        <f t="shared" si="84"/>
        <v>0</v>
      </c>
      <c r="AA212" s="385">
        <f t="shared" si="85"/>
        <v>0</v>
      </c>
      <c r="AB212" s="196">
        <f t="shared" si="86"/>
        <v>43298</v>
      </c>
      <c r="AC212" s="425">
        <f t="shared" si="87"/>
        <v>3.6240262152532426E-3</v>
      </c>
      <c r="AD212" s="168">
        <f>(INDEX(Models!$BJ212:$BT212,,AH212)*(1-AF212)+INDEX(Models!$BJ212:$BT212,,AH212+1)*AF212-ERP_i)*AE212*Ramure*Pc/MaxiM</f>
        <v>8.5743728037177916E-5</v>
      </c>
      <c r="AE212" s="304">
        <f t="shared" si="88"/>
        <v>0.5</v>
      </c>
      <c r="AF212" s="176">
        <f t="shared" si="89"/>
        <v>0.78096809906942233</v>
      </c>
      <c r="AG212" s="814">
        <f t="shared" si="90"/>
        <v>-1</v>
      </c>
      <c r="AH212" s="175">
        <f t="shared" si="91"/>
        <v>5</v>
      </c>
      <c r="AI212" s="224">
        <f t="shared" si="92"/>
        <v>-0.21903190093057764</v>
      </c>
      <c r="AJ212" s="264" t="b">
        <f t="shared" si="93"/>
        <v>0</v>
      </c>
      <c r="AK212" s="264" t="b">
        <f t="shared" si="94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89"/>
      <c r="D213" s="392"/>
      <c r="E213" s="384"/>
      <c r="F213" s="384"/>
      <c r="G213" s="110"/>
      <c r="I213" s="379">
        <f t="shared" si="73"/>
        <v>0</v>
      </c>
      <c r="J213" s="85">
        <v>2018</v>
      </c>
      <c r="K213" s="196">
        <f t="shared" si="74"/>
        <v>43299</v>
      </c>
      <c r="L213" s="436">
        <f t="shared" si="75"/>
        <v>1.0726617951584139E-3</v>
      </c>
      <c r="M213" s="858"/>
      <c r="N213" s="858"/>
      <c r="O213" s="323">
        <f t="shared" si="76"/>
        <v>3.6978045845806775E-3</v>
      </c>
      <c r="P213" s="168">
        <f>(INDEX(Models!$BJ213:$BT213,,T213)*(1-R213)+INDEX(Models!$BJ213:$BT213,,T213+1)*R213-ERP_i)*Q213*Ramure*Pc/MaxiM</f>
        <v>8.4544958029600999E-5</v>
      </c>
      <c r="Q213" s="304">
        <f t="shared" si="77"/>
        <v>0.5</v>
      </c>
      <c r="R213" s="176">
        <f t="shared" si="78"/>
        <v>0.78276217161919659</v>
      </c>
      <c r="S213" s="814">
        <f t="shared" si="96"/>
        <v>-1</v>
      </c>
      <c r="T213" s="175">
        <f t="shared" si="79"/>
        <v>5</v>
      </c>
      <c r="U213" s="250">
        <f t="shared" si="80"/>
        <v>-0.21723782838080341</v>
      </c>
      <c r="V213" s="382">
        <f t="shared" si="81"/>
        <v>57.104852363176235</v>
      </c>
      <c r="W213" s="58"/>
      <c r="X213" s="157">
        <f t="shared" si="82"/>
        <v>43299</v>
      </c>
      <c r="Y213" s="384">
        <f t="shared" si="83"/>
        <v>0</v>
      </c>
      <c r="Z213" s="384">
        <f t="shared" si="84"/>
        <v>0</v>
      </c>
      <c r="AA213" s="385">
        <f t="shared" si="85"/>
        <v>0</v>
      </c>
      <c r="AB213" s="196">
        <f t="shared" si="86"/>
        <v>43299</v>
      </c>
      <c r="AC213" s="425">
        <f t="shared" si="87"/>
        <v>3.6978045845806775E-3</v>
      </c>
      <c r="AD213" s="168">
        <f>(INDEX(Models!$BJ213:$BT213,,AH213)*(1-AF213)+INDEX(Models!$BJ213:$BT213,,AH213+1)*AF213-ERP_i)*AE213*Ramure*Pc/MaxiM</f>
        <v>8.4544958029600999E-5</v>
      </c>
      <c r="AE213" s="304">
        <f t="shared" si="88"/>
        <v>0.5</v>
      </c>
      <c r="AF213" s="176">
        <f t="shared" si="89"/>
        <v>0.78276217161919659</v>
      </c>
      <c r="AG213" s="814">
        <f t="shared" si="90"/>
        <v>-1</v>
      </c>
      <c r="AH213" s="175">
        <f t="shared" si="91"/>
        <v>5</v>
      </c>
      <c r="AI213" s="224">
        <f t="shared" si="92"/>
        <v>-0.21723782838080341</v>
      </c>
      <c r="AJ213" s="264" t="b">
        <f t="shared" si="93"/>
        <v>0</v>
      </c>
      <c r="AK213" s="264" t="b">
        <f t="shared" si="94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89"/>
      <c r="D214" s="392"/>
      <c r="E214" s="384"/>
      <c r="F214" s="384"/>
      <c r="G214" s="110"/>
      <c r="I214" s="379">
        <f t="shared" si="73"/>
        <v>0</v>
      </c>
      <c r="J214" s="85">
        <v>2018</v>
      </c>
      <c r="K214" s="196">
        <f t="shared" si="74"/>
        <v>43300</v>
      </c>
      <c r="L214" s="436">
        <f t="shared" si="75"/>
        <v>1.0945408675444579E-3</v>
      </c>
      <c r="M214" s="858"/>
      <c r="N214" s="858"/>
      <c r="O214" s="323">
        <f t="shared" si="76"/>
        <v>3.7714862202388633E-3</v>
      </c>
      <c r="P214" s="168">
        <f>(INDEX(Models!$BJ214:$BT214,,T214)*(1-R214)+INDEX(Models!$BJ214:$BT214,,T214+1)*R214-ERP_i)*Q214*Ramure*Pc/MaxiM</f>
        <v>8.3270892559762015E-5</v>
      </c>
      <c r="Q214" s="304">
        <f t="shared" si="77"/>
        <v>0.5</v>
      </c>
      <c r="R214" s="176">
        <f t="shared" si="78"/>
        <v>0.78450873037853486</v>
      </c>
      <c r="S214" s="814">
        <f t="shared" si="96"/>
        <v>-1</v>
      </c>
      <c r="T214" s="175">
        <f t="shared" si="79"/>
        <v>5</v>
      </c>
      <c r="U214" s="250">
        <f t="shared" si="80"/>
        <v>-0.21549126962146514</v>
      </c>
      <c r="V214" s="382">
        <f t="shared" si="81"/>
        <v>57.020714226510052</v>
      </c>
      <c r="W214" s="58"/>
      <c r="X214" s="157">
        <f t="shared" si="82"/>
        <v>43300</v>
      </c>
      <c r="Y214" s="384">
        <f t="shared" si="83"/>
        <v>0</v>
      </c>
      <c r="Z214" s="384">
        <f t="shared" si="84"/>
        <v>0</v>
      </c>
      <c r="AA214" s="385">
        <f t="shared" si="85"/>
        <v>0</v>
      </c>
      <c r="AB214" s="196">
        <f t="shared" si="86"/>
        <v>43300</v>
      </c>
      <c r="AC214" s="425">
        <f t="shared" si="87"/>
        <v>3.7714862202388633E-3</v>
      </c>
      <c r="AD214" s="168">
        <f>(INDEX(Models!$BJ214:$BT214,,AH214)*(1-AF214)+INDEX(Models!$BJ214:$BT214,,AH214+1)*AF214-ERP_i)*AE214*Ramure*Pc/MaxiM</f>
        <v>8.3270892559762015E-5</v>
      </c>
      <c r="AE214" s="304">
        <f t="shared" si="88"/>
        <v>0.5</v>
      </c>
      <c r="AF214" s="176">
        <f t="shared" si="89"/>
        <v>0.78450873037853486</v>
      </c>
      <c r="AG214" s="814">
        <f t="shared" si="90"/>
        <v>-1</v>
      </c>
      <c r="AH214" s="175">
        <f t="shared" si="91"/>
        <v>5</v>
      </c>
      <c r="AI214" s="224">
        <f t="shared" si="92"/>
        <v>-0.21549126962146514</v>
      </c>
      <c r="AJ214" s="264" t="b">
        <f t="shared" si="93"/>
        <v>0</v>
      </c>
      <c r="AK214" s="264" t="b">
        <f t="shared" si="94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89"/>
      <c r="D215" s="392"/>
      <c r="E215" s="384"/>
      <c r="F215" s="384"/>
      <c r="G215" s="110"/>
      <c r="I215" s="379">
        <f t="shared" si="73"/>
        <v>0</v>
      </c>
      <c r="J215" s="85">
        <v>2018</v>
      </c>
      <c r="K215" s="196">
        <f t="shared" si="74"/>
        <v>43301</v>
      </c>
      <c r="L215" s="436">
        <f t="shared" si="75"/>
        <v>1.1164194607228284E-3</v>
      </c>
      <c r="M215" s="858"/>
      <c r="N215" s="858"/>
      <c r="O215" s="323">
        <f t="shared" si="76"/>
        <v>3.8450713481905179E-3</v>
      </c>
      <c r="P215" s="168">
        <f>(INDEX(Models!$BJ215:$BT215,,T215)*(1-R215)+INDEX(Models!$BJ215:$BT215,,T215+1)*R215-ERP_i)*Q215*Ramure*Pc/MaxiM</f>
        <v>8.1922513388211926E-5</v>
      </c>
      <c r="Q215" s="304">
        <f t="shared" si="77"/>
        <v>0.5</v>
      </c>
      <c r="R215" s="176">
        <f t="shared" si="78"/>
        <v>0.78620822163979587</v>
      </c>
      <c r="S215" s="814">
        <f t="shared" si="96"/>
        <v>-1</v>
      </c>
      <c r="T215" s="175">
        <f t="shared" si="79"/>
        <v>5</v>
      </c>
      <c r="U215" s="250">
        <f t="shared" si="80"/>
        <v>-0.21379177836020408</v>
      </c>
      <c r="V215" s="382">
        <f t="shared" si="81"/>
        <v>56.936097866091252</v>
      </c>
      <c r="W215" s="58"/>
      <c r="X215" s="157">
        <f t="shared" si="82"/>
        <v>43301</v>
      </c>
      <c r="Y215" s="384">
        <f t="shared" si="83"/>
        <v>0</v>
      </c>
      <c r="Z215" s="384">
        <f t="shared" si="84"/>
        <v>0</v>
      </c>
      <c r="AA215" s="385">
        <f t="shared" si="85"/>
        <v>0</v>
      </c>
      <c r="AB215" s="196">
        <f t="shared" si="86"/>
        <v>43301</v>
      </c>
      <c r="AC215" s="425">
        <f t="shared" si="87"/>
        <v>3.8450713481905179E-3</v>
      </c>
      <c r="AD215" s="168">
        <f>(INDEX(Models!$BJ215:$BT215,,AH215)*(1-AF215)+INDEX(Models!$BJ215:$BT215,,AH215+1)*AF215-ERP_i)*AE215*Ramure*Pc/MaxiM</f>
        <v>8.1922513388211926E-5</v>
      </c>
      <c r="AE215" s="304">
        <f t="shared" si="88"/>
        <v>0.5</v>
      </c>
      <c r="AF215" s="176">
        <f t="shared" si="89"/>
        <v>0.78620822163979587</v>
      </c>
      <c r="AG215" s="814">
        <f t="shared" si="90"/>
        <v>-1</v>
      </c>
      <c r="AH215" s="175">
        <f t="shared" si="91"/>
        <v>5</v>
      </c>
      <c r="AI215" s="224">
        <f t="shared" si="92"/>
        <v>-0.21379177836020408</v>
      </c>
      <c r="AJ215" s="264" t="b">
        <f t="shared" si="93"/>
        <v>0</v>
      </c>
      <c r="AK215" s="264" t="b">
        <f t="shared" si="94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89"/>
      <c r="D216" s="392"/>
      <c r="E216" s="384"/>
      <c r="F216" s="384"/>
      <c r="G216" s="110"/>
      <c r="I216" s="379">
        <f t="shared" si="73"/>
        <v>0</v>
      </c>
      <c r="J216" s="85">
        <v>2018</v>
      </c>
      <c r="K216" s="196">
        <f t="shared" si="74"/>
        <v>43302</v>
      </c>
      <c r="L216" s="436">
        <f t="shared" si="75"/>
        <v>1.1382975747037394E-3</v>
      </c>
      <c r="M216" s="858"/>
      <c r="N216" s="858"/>
      <c r="O216" s="323">
        <f t="shared" si="76"/>
        <v>3.9185602680609872E-3</v>
      </c>
      <c r="P216" s="168">
        <f>(INDEX(Models!$BJ216:$BT216,,T216)*(1-R216)+INDEX(Models!$BJ216:$BT216,,T216+1)*R216-ERP_i)*Q216*Ramure*Pc/MaxiM</f>
        <v>8.0500813609308864E-5</v>
      </c>
      <c r="Q216" s="304">
        <f t="shared" si="77"/>
        <v>0.5</v>
      </c>
      <c r="R216" s="176">
        <f t="shared" si="78"/>
        <v>0.78786114529463191</v>
      </c>
      <c r="S216" s="814">
        <f t="shared" si="96"/>
        <v>-1</v>
      </c>
      <c r="T216" s="175">
        <f t="shared" si="79"/>
        <v>5</v>
      </c>
      <c r="U216" s="250">
        <f t="shared" si="80"/>
        <v>-0.21213885470536809</v>
      </c>
      <c r="V216" s="382">
        <f t="shared" si="81"/>
        <v>56.851003308186016</v>
      </c>
      <c r="W216" s="58"/>
      <c r="X216" s="157">
        <f t="shared" si="82"/>
        <v>43302</v>
      </c>
      <c r="Y216" s="384">
        <f t="shared" si="83"/>
        <v>0</v>
      </c>
      <c r="Z216" s="384">
        <f t="shared" si="84"/>
        <v>0</v>
      </c>
      <c r="AA216" s="385">
        <f t="shared" si="85"/>
        <v>0</v>
      </c>
      <c r="AB216" s="196">
        <f t="shared" si="86"/>
        <v>43302</v>
      </c>
      <c r="AC216" s="425">
        <f t="shared" si="87"/>
        <v>3.9185602680609872E-3</v>
      </c>
      <c r="AD216" s="168">
        <f>(INDEX(Models!$BJ216:$BT216,,AH216)*(1-AF216)+INDEX(Models!$BJ216:$BT216,,AH216+1)*AF216-ERP_i)*AE216*Ramure*Pc/MaxiM</f>
        <v>8.0500813609308864E-5</v>
      </c>
      <c r="AE216" s="304">
        <f t="shared" si="88"/>
        <v>0.5</v>
      </c>
      <c r="AF216" s="176">
        <f t="shared" si="89"/>
        <v>0.78786114529463191</v>
      </c>
      <c r="AG216" s="814">
        <f t="shared" si="90"/>
        <v>-1</v>
      </c>
      <c r="AH216" s="175">
        <f t="shared" si="91"/>
        <v>5</v>
      </c>
      <c r="AI216" s="224">
        <f t="shared" si="92"/>
        <v>-0.21213885470536809</v>
      </c>
      <c r="AJ216" s="264" t="b">
        <f t="shared" si="93"/>
        <v>0</v>
      </c>
      <c r="AK216" s="264" t="b">
        <f t="shared" si="94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89"/>
      <c r="D217" s="392"/>
      <c r="E217" s="384"/>
      <c r="F217" s="384"/>
      <c r="G217" s="110"/>
      <c r="I217" s="379">
        <f t="shared" si="73"/>
        <v>0</v>
      </c>
      <c r="J217" s="85">
        <v>2018</v>
      </c>
      <c r="K217" s="196">
        <f t="shared" si="74"/>
        <v>43303</v>
      </c>
      <c r="L217" s="436">
        <f t="shared" si="75"/>
        <v>1.160175209497849E-3</v>
      </c>
      <c r="M217" s="858"/>
      <c r="N217" s="858"/>
      <c r="O217" s="323">
        <f t="shared" si="76"/>
        <v>3.991953339781279E-3</v>
      </c>
      <c r="P217" s="168">
        <f>(INDEX(Models!$BJ217:$BT217,,T217)*(1-R217)+INDEX(Models!$BJ217:$BT217,,T217+1)*R217-ERP_i)*Q217*Ramure*Pc/MaxiM</f>
        <v>7.9006790552090827E-5</v>
      </c>
      <c r="Q217" s="304">
        <f t="shared" si="77"/>
        <v>0.5</v>
      </c>
      <c r="R217" s="176">
        <f t="shared" si="78"/>
        <v>0.78946805068899939</v>
      </c>
      <c r="S217" s="814">
        <f t="shared" si="96"/>
        <v>-1</v>
      </c>
      <c r="T217" s="175">
        <f t="shared" si="79"/>
        <v>5</v>
      </c>
      <c r="U217" s="250">
        <f t="shared" si="80"/>
        <v>-0.21053194931100061</v>
      </c>
      <c r="V217" s="382">
        <f t="shared" si="81"/>
        <v>56.765430574716319</v>
      </c>
      <c r="W217" s="58"/>
      <c r="X217" s="157">
        <f t="shared" si="82"/>
        <v>43303</v>
      </c>
      <c r="Y217" s="384">
        <f t="shared" si="83"/>
        <v>0</v>
      </c>
      <c r="Z217" s="384">
        <f t="shared" si="84"/>
        <v>0</v>
      </c>
      <c r="AA217" s="385">
        <f t="shared" si="85"/>
        <v>0</v>
      </c>
      <c r="AB217" s="196">
        <f t="shared" si="86"/>
        <v>43303</v>
      </c>
      <c r="AC217" s="425">
        <f t="shared" si="87"/>
        <v>3.991953339781279E-3</v>
      </c>
      <c r="AD217" s="168">
        <f>(INDEX(Models!$BJ217:$BT217,,AH217)*(1-AF217)+INDEX(Models!$BJ217:$BT217,,AH217+1)*AF217-ERP_i)*AE217*Ramure*Pc/MaxiM</f>
        <v>7.9006790552090827E-5</v>
      </c>
      <c r="AE217" s="304">
        <f t="shared" si="88"/>
        <v>0.5</v>
      </c>
      <c r="AF217" s="176">
        <f t="shared" si="89"/>
        <v>0.78946805068899939</v>
      </c>
      <c r="AG217" s="814">
        <f t="shared" si="90"/>
        <v>-1</v>
      </c>
      <c r="AH217" s="175">
        <f t="shared" si="91"/>
        <v>5</v>
      </c>
      <c r="AI217" s="224">
        <f t="shared" si="92"/>
        <v>-0.21053194931100061</v>
      </c>
      <c r="AJ217" s="264" t="b">
        <f t="shared" si="93"/>
        <v>0</v>
      </c>
      <c r="AK217" s="264" t="b">
        <f t="shared" si="94"/>
        <v>0</v>
      </c>
      <c r="AL217" s="264"/>
      <c r="AM217" s="264"/>
      <c r="AN217" s="75"/>
    </row>
    <row r="218" spans="1:40" s="6" customFormat="1" ht="11.25" x14ac:dyDescent="0.2">
      <c r="A218" s="56">
        <f t="shared" si="95"/>
        <v>43304</v>
      </c>
      <c r="B218" s="616"/>
      <c r="C218" s="389"/>
      <c r="D218" s="392"/>
      <c r="E218" s="384"/>
      <c r="F218" s="384"/>
      <c r="G218" s="110"/>
      <c r="I218" s="379">
        <f t="shared" si="73"/>
        <v>0</v>
      </c>
      <c r="J218" s="85">
        <v>2018</v>
      </c>
      <c r="K218" s="196">
        <f t="shared" si="74"/>
        <v>43304</v>
      </c>
      <c r="L218" s="436">
        <f t="shared" si="75"/>
        <v>1.1820523651155934E-3</v>
      </c>
      <c r="M218" s="858"/>
      <c r="N218" s="858"/>
      <c r="O218" s="323">
        <f t="shared" si="76"/>
        <v>4.0652509702858008E-3</v>
      </c>
      <c r="P218" s="168">
        <f>(INDEX(Models!$BJ218:$BT218,,T218)*(1-R218)+INDEX(Models!$BJ218:$BT218,,T218+1)*R218-ERP_i)*Q218*Ramure*Pc/MaxiM</f>
        <v>7.7441439249388225E-5</v>
      </c>
      <c r="Q218" s="304">
        <f t="shared" si="77"/>
        <v>0.5</v>
      </c>
      <c r="R218" s="176">
        <f t="shared" si="78"/>
        <v>0.79102953254567865</v>
      </c>
      <c r="S218" s="814">
        <f t="shared" si="96"/>
        <v>-1</v>
      </c>
      <c r="T218" s="175">
        <f t="shared" si="79"/>
        <v>5</v>
      </c>
      <c r="U218" s="250">
        <f t="shared" si="80"/>
        <v>-0.20897046745432135</v>
      </c>
      <c r="V218" s="382">
        <f t="shared" si="81"/>
        <v>56.679379685194661</v>
      </c>
      <c r="W218" s="58"/>
      <c r="X218" s="157">
        <f t="shared" si="82"/>
        <v>43304</v>
      </c>
      <c r="Y218" s="384">
        <f t="shared" si="83"/>
        <v>0</v>
      </c>
      <c r="Z218" s="384">
        <f t="shared" si="84"/>
        <v>0</v>
      </c>
      <c r="AA218" s="385">
        <f t="shared" si="85"/>
        <v>0</v>
      </c>
      <c r="AB218" s="196">
        <f t="shared" si="86"/>
        <v>43304</v>
      </c>
      <c r="AC218" s="425">
        <f t="shared" si="87"/>
        <v>4.0652509702858008E-3</v>
      </c>
      <c r="AD218" s="168">
        <f>(INDEX(Models!$BJ218:$BT218,,AH218)*(1-AF218)+INDEX(Models!$BJ218:$BT218,,AH218+1)*AF218-ERP_i)*AE218*Ramure*Pc/MaxiM</f>
        <v>7.7441439249388225E-5</v>
      </c>
      <c r="AE218" s="304">
        <f t="shared" si="88"/>
        <v>0.5</v>
      </c>
      <c r="AF218" s="176">
        <f t="shared" si="89"/>
        <v>0.79102953254567865</v>
      </c>
      <c r="AG218" s="814">
        <f t="shared" si="90"/>
        <v>-1</v>
      </c>
      <c r="AH218" s="175">
        <f t="shared" si="91"/>
        <v>5</v>
      </c>
      <c r="AI218" s="224">
        <f t="shared" si="92"/>
        <v>-0.20897046745432135</v>
      </c>
      <c r="AJ218" s="264" t="b">
        <f t="shared" si="93"/>
        <v>0</v>
      </c>
      <c r="AK218" s="264" t="b">
        <f t="shared" si="94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89"/>
      <c r="D219" s="392"/>
      <c r="E219" s="384"/>
      <c r="F219" s="384"/>
      <c r="G219" s="110"/>
      <c r="I219" s="379">
        <f t="shared" si="73"/>
        <v>0</v>
      </c>
      <c r="J219" s="85">
        <v>2018</v>
      </c>
      <c r="K219" s="196">
        <f t="shared" si="74"/>
        <v>43305</v>
      </c>
      <c r="L219" s="436">
        <f t="shared" si="75"/>
        <v>1.2039290415675197E-3</v>
      </c>
      <c r="M219" s="858"/>
      <c r="N219" s="858"/>
      <c r="O219" s="323">
        <f t="shared" si="76"/>
        <v>4.1384536003892186E-3</v>
      </c>
      <c r="P219" s="168">
        <f>(INDEX(Models!$BJ219:$BT219,,T219)*(1-R219)+INDEX(Models!$BJ219:$BT219,,T219+1)*R219-ERP_i)*Q219*Ramure*Pc/MaxiM</f>
        <v>7.5804685865626413E-5</v>
      </c>
      <c r="Q219" s="304">
        <f t="shared" si="77"/>
        <v>0.5</v>
      </c>
      <c r="R219" s="176">
        <f t="shared" si="78"/>
        <v>0.79254622697140498</v>
      </c>
      <c r="S219" s="814">
        <f t="shared" si="96"/>
        <v>-1</v>
      </c>
      <c r="T219" s="175">
        <f t="shared" si="79"/>
        <v>5</v>
      </c>
      <c r="U219" s="250">
        <f t="shared" si="80"/>
        <v>-0.20745377302859502</v>
      </c>
      <c r="V219" s="382">
        <f t="shared" si="81"/>
        <v>56.593551151302584</v>
      </c>
      <c r="W219" s="58"/>
      <c r="X219" s="157">
        <f t="shared" si="82"/>
        <v>43305</v>
      </c>
      <c r="Y219" s="384">
        <f t="shared" si="83"/>
        <v>0</v>
      </c>
      <c r="Z219" s="384">
        <f t="shared" si="84"/>
        <v>0</v>
      </c>
      <c r="AA219" s="385">
        <f t="shared" si="85"/>
        <v>0</v>
      </c>
      <c r="AB219" s="196">
        <f t="shared" si="86"/>
        <v>43305</v>
      </c>
      <c r="AC219" s="425">
        <f t="shared" si="87"/>
        <v>4.1384536003892186E-3</v>
      </c>
      <c r="AD219" s="168">
        <f>(INDEX(Models!$BJ219:$BT219,,AH219)*(1-AF219)+INDEX(Models!$BJ219:$BT219,,AH219+1)*AF219-ERP_i)*AE219*Ramure*Pc/MaxiM</f>
        <v>7.5804685865626413E-5</v>
      </c>
      <c r="AE219" s="304">
        <f t="shared" si="88"/>
        <v>0.5</v>
      </c>
      <c r="AF219" s="176">
        <f t="shared" si="89"/>
        <v>0.79254622697140498</v>
      </c>
      <c r="AG219" s="814">
        <f t="shared" si="90"/>
        <v>-1</v>
      </c>
      <c r="AH219" s="175">
        <f t="shared" si="91"/>
        <v>5</v>
      </c>
      <c r="AI219" s="224">
        <f t="shared" si="92"/>
        <v>-0.20745377302859502</v>
      </c>
      <c r="AJ219" s="264" t="b">
        <f t="shared" si="93"/>
        <v>0</v>
      </c>
      <c r="AK219" s="264" t="b">
        <f t="shared" si="94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89"/>
      <c r="D220" s="392"/>
      <c r="E220" s="384"/>
      <c r="F220" s="384"/>
      <c r="G220" s="110"/>
      <c r="I220" s="379">
        <f t="shared" si="73"/>
        <v>0</v>
      </c>
      <c r="J220" s="85">
        <v>2018</v>
      </c>
      <c r="K220" s="196">
        <f t="shared" si="74"/>
        <v>43306</v>
      </c>
      <c r="L220" s="436">
        <f t="shared" si="75"/>
        <v>1.2258052388639529E-3</v>
      </c>
      <c r="M220" s="858"/>
      <c r="N220" s="858"/>
      <c r="O220" s="323">
        <f t="shared" si="76"/>
        <v>4.2115616919613796E-3</v>
      </c>
      <c r="P220" s="168">
        <f>(INDEX(Models!$BJ220:$BT220,,T220)*(1-R220)+INDEX(Models!$BJ220:$BT220,,T220+1)*R220-ERP_i)*Q220*Ramure*Pc/MaxiM</f>
        <v>7.4093427076626027E-5</v>
      </c>
      <c r="Q220" s="304">
        <f t="shared" si="77"/>
        <v>0.5</v>
      </c>
      <c r="R220" s="176">
        <f t="shared" si="78"/>
        <v>0.79401880756368604</v>
      </c>
      <c r="S220" s="814">
        <f t="shared" si="96"/>
        <v>-1</v>
      </c>
      <c r="T220" s="175">
        <f t="shared" si="79"/>
        <v>5</v>
      </c>
      <c r="U220" s="250">
        <f t="shared" si="80"/>
        <v>-0.20598119243631402</v>
      </c>
      <c r="V220" s="382">
        <f t="shared" si="81"/>
        <v>56.508429894387007</v>
      </c>
      <c r="W220" s="58"/>
      <c r="X220" s="157">
        <f t="shared" si="82"/>
        <v>43306</v>
      </c>
      <c r="Y220" s="384">
        <f t="shared" si="83"/>
        <v>0</v>
      </c>
      <c r="Z220" s="384">
        <f t="shared" si="84"/>
        <v>0</v>
      </c>
      <c r="AA220" s="385">
        <f t="shared" si="85"/>
        <v>0</v>
      </c>
      <c r="AB220" s="196">
        <f t="shared" si="86"/>
        <v>43306</v>
      </c>
      <c r="AC220" s="425">
        <f t="shared" si="87"/>
        <v>4.2115616919613796E-3</v>
      </c>
      <c r="AD220" s="168">
        <f>(INDEX(Models!$BJ220:$BT220,,AH220)*(1-AF220)+INDEX(Models!$BJ220:$BT220,,AH220+1)*AF220-ERP_i)*AE220*Ramure*Pc/MaxiM</f>
        <v>7.4093427076626027E-5</v>
      </c>
      <c r="AE220" s="304">
        <f t="shared" si="88"/>
        <v>0.5</v>
      </c>
      <c r="AF220" s="176">
        <f t="shared" si="89"/>
        <v>0.79401880756368604</v>
      </c>
      <c r="AG220" s="814">
        <f t="shared" si="90"/>
        <v>-1</v>
      </c>
      <c r="AH220" s="175">
        <f t="shared" si="91"/>
        <v>5</v>
      </c>
      <c r="AI220" s="224">
        <f t="shared" si="92"/>
        <v>-0.20598119243631402</v>
      </c>
      <c r="AJ220" s="264" t="b">
        <f t="shared" si="93"/>
        <v>0</v>
      </c>
      <c r="AK220" s="264" t="b">
        <f t="shared" si="94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89"/>
      <c r="D221" s="392"/>
      <c r="E221" s="384"/>
      <c r="F221" s="384"/>
      <c r="G221" s="110"/>
      <c r="I221" s="379">
        <f t="shared" si="73"/>
        <v>0</v>
      </c>
      <c r="J221" s="85">
        <v>2018</v>
      </c>
      <c r="K221" s="196">
        <f t="shared" si="74"/>
        <v>43307</v>
      </c>
      <c r="L221" s="436">
        <f t="shared" si="75"/>
        <v>1.2476809570156622E-3</v>
      </c>
      <c r="M221" s="858"/>
      <c r="N221" s="858"/>
      <c r="O221" s="323">
        <f t="shared" si="76"/>
        <v>4.2845757155115811E-3</v>
      </c>
      <c r="P221" s="168">
        <f>(INDEX(Models!$BJ221:$BT221,,T221)*(1-R221)+INDEX(Models!$BJ221:$BT221,,T221+1)*R221-ERP_i)*Q221*Ramure*Pc/MaxiM</f>
        <v>7.2329844876662384E-5</v>
      </c>
      <c r="Q221" s="304">
        <f t="shared" si="77"/>
        <v>0.5</v>
      </c>
      <c r="R221" s="176">
        <f t="shared" si="78"/>
        <v>0.79544798163040142</v>
      </c>
      <c r="S221" s="814">
        <f t="shared" si="96"/>
        <v>-1</v>
      </c>
      <c r="T221" s="175">
        <f t="shared" si="79"/>
        <v>5</v>
      </c>
      <c r="U221" s="250">
        <f t="shared" si="80"/>
        <v>-0.20455201836959863</v>
      </c>
      <c r="V221" s="382">
        <f t="shared" si="81"/>
        <v>56.423691184761097</v>
      </c>
      <c r="W221" s="58"/>
      <c r="X221" s="157">
        <f t="shared" si="82"/>
        <v>43307</v>
      </c>
      <c r="Y221" s="384">
        <f t="shared" si="83"/>
        <v>0</v>
      </c>
      <c r="Z221" s="384">
        <f t="shared" si="84"/>
        <v>0</v>
      </c>
      <c r="AA221" s="385">
        <f t="shared" si="85"/>
        <v>0</v>
      </c>
      <c r="AB221" s="196">
        <f t="shared" si="86"/>
        <v>43307</v>
      </c>
      <c r="AC221" s="425">
        <f t="shared" si="87"/>
        <v>4.2845757155115811E-3</v>
      </c>
      <c r="AD221" s="168">
        <f>(INDEX(Models!$BJ221:$BT221,,AH221)*(1-AF221)+INDEX(Models!$BJ221:$BT221,,AH221+1)*AF221-ERP_i)*AE221*Ramure*Pc/MaxiM</f>
        <v>7.2329844876662384E-5</v>
      </c>
      <c r="AE221" s="304">
        <f t="shared" si="88"/>
        <v>0.5</v>
      </c>
      <c r="AF221" s="176">
        <f t="shared" si="89"/>
        <v>0.79544798163040142</v>
      </c>
      <c r="AG221" s="814">
        <f t="shared" si="90"/>
        <v>-1</v>
      </c>
      <c r="AH221" s="175">
        <f t="shared" si="91"/>
        <v>5</v>
      </c>
      <c r="AI221" s="224">
        <f t="shared" si="92"/>
        <v>-0.20455201836959863</v>
      </c>
      <c r="AJ221" s="264" t="b">
        <f t="shared" si="93"/>
        <v>0</v>
      </c>
      <c r="AK221" s="264" t="b">
        <f t="shared" si="94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89"/>
      <c r="D222" s="392"/>
      <c r="E222" s="384"/>
      <c r="F222" s="384"/>
      <c r="G222" s="110"/>
      <c r="I222" s="379">
        <f t="shared" si="73"/>
        <v>0</v>
      </c>
      <c r="J222" s="85">
        <v>2018</v>
      </c>
      <c r="K222" s="196">
        <f t="shared" si="74"/>
        <v>43308</v>
      </c>
      <c r="L222" s="436">
        <f t="shared" si="75"/>
        <v>1.2695561960329727E-3</v>
      </c>
      <c r="M222" s="858"/>
      <c r="N222" s="858"/>
      <c r="O222" s="323">
        <f t="shared" si="76"/>
        <v>4.3574961382855165E-3</v>
      </c>
      <c r="P222" s="168">
        <f>(INDEX(Models!$BJ222:$BT222,,T222)*(1-R222)+INDEX(Models!$BJ222:$BT222,,T222+1)*R222-ERP_i)*Q222*Ramure*Pc/MaxiM</f>
        <v>7.0515672703393801E-5</v>
      </c>
      <c r="Q222" s="304">
        <f t="shared" si="77"/>
        <v>0.5</v>
      </c>
      <c r="R222" s="176">
        <f t="shared" si="78"/>
        <v>0.79683448653338085</v>
      </c>
      <c r="S222" s="814">
        <f t="shared" si="96"/>
        <v>-1</v>
      </c>
      <c r="T222" s="175">
        <f t="shared" si="79"/>
        <v>5</v>
      </c>
      <c r="U222" s="250">
        <f t="shared" si="80"/>
        <v>-0.20316551346661915</v>
      </c>
      <c r="V222" s="382">
        <f t="shared" si="81"/>
        <v>56.339011574317581</v>
      </c>
      <c r="W222" s="58"/>
      <c r="X222" s="157">
        <f t="shared" si="82"/>
        <v>43308</v>
      </c>
      <c r="Y222" s="384">
        <f t="shared" si="83"/>
        <v>0</v>
      </c>
      <c r="Z222" s="384">
        <f t="shared" si="84"/>
        <v>0</v>
      </c>
      <c r="AA222" s="385">
        <f t="shared" si="85"/>
        <v>0</v>
      </c>
      <c r="AB222" s="196">
        <f t="shared" si="86"/>
        <v>43308</v>
      </c>
      <c r="AC222" s="425">
        <f t="shared" si="87"/>
        <v>4.3574961382855165E-3</v>
      </c>
      <c r="AD222" s="168">
        <f>(INDEX(Models!$BJ222:$BT222,,AH222)*(1-AF222)+INDEX(Models!$BJ222:$BT222,,AH222+1)*AF222-ERP_i)*AE222*Ramure*Pc/MaxiM</f>
        <v>7.0515672703393801E-5</v>
      </c>
      <c r="AE222" s="304">
        <f t="shared" si="88"/>
        <v>0.5</v>
      </c>
      <c r="AF222" s="176">
        <f t="shared" si="89"/>
        <v>0.79683448653338085</v>
      </c>
      <c r="AG222" s="814">
        <f t="shared" si="90"/>
        <v>-1</v>
      </c>
      <c r="AH222" s="175">
        <f t="shared" si="91"/>
        <v>5</v>
      </c>
      <c r="AI222" s="224">
        <f t="shared" si="92"/>
        <v>-0.20316551346661915</v>
      </c>
      <c r="AJ222" s="264" t="b">
        <f t="shared" si="93"/>
        <v>0</v>
      </c>
      <c r="AK222" s="264" t="b">
        <f t="shared" si="94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89"/>
      <c r="D223" s="392"/>
      <c r="E223" s="384"/>
      <c r="F223" s="384"/>
      <c r="G223" s="110"/>
      <c r="I223" s="379">
        <f t="shared" si="73"/>
        <v>0</v>
      </c>
      <c r="J223" s="85">
        <v>2018</v>
      </c>
      <c r="K223" s="196">
        <f t="shared" si="74"/>
        <v>43309</v>
      </c>
      <c r="L223" s="436">
        <f t="shared" si="75"/>
        <v>1.2914309559264314E-3</v>
      </c>
      <c r="M223" s="858"/>
      <c r="N223" s="858"/>
      <c r="O223" s="323">
        <f t="shared" si="76"/>
        <v>4.4303234129683391E-3</v>
      </c>
      <c r="P223" s="168">
        <f>(INDEX(Models!$BJ223:$BT223,,T223)*(1-R223)+INDEX(Models!$BJ223:$BT223,,T223+1)*R223-ERP_i)*Q223*Ramure*Pc/MaxiM</f>
        <v>6.8652574821305659E-5</v>
      </c>
      <c r="Q223" s="304">
        <f t="shared" si="77"/>
        <v>0.5</v>
      </c>
      <c r="R223" s="176">
        <f t="shared" si="78"/>
        <v>0.79817908616532973</v>
      </c>
      <c r="S223" s="814">
        <f t="shared" si="96"/>
        <v>-1</v>
      </c>
      <c r="T223" s="175">
        <f t="shared" si="79"/>
        <v>5</v>
      </c>
      <c r="U223" s="250">
        <f t="shared" si="80"/>
        <v>-0.20182091383467021</v>
      </c>
      <c r="V223" s="382">
        <f t="shared" si="81"/>
        <v>56.254067741145107</v>
      </c>
      <c r="W223" s="58"/>
      <c r="X223" s="157">
        <f t="shared" si="82"/>
        <v>43309</v>
      </c>
      <c r="Y223" s="384">
        <f t="shared" si="83"/>
        <v>0</v>
      </c>
      <c r="Z223" s="384">
        <f t="shared" si="84"/>
        <v>0</v>
      </c>
      <c r="AA223" s="385">
        <f t="shared" si="85"/>
        <v>0</v>
      </c>
      <c r="AB223" s="196">
        <f t="shared" si="86"/>
        <v>43309</v>
      </c>
      <c r="AC223" s="425">
        <f t="shared" si="87"/>
        <v>4.4303234129683391E-3</v>
      </c>
      <c r="AD223" s="168">
        <f>(INDEX(Models!$BJ223:$BT223,,AH223)*(1-AF223)+INDEX(Models!$BJ223:$BT223,,AH223+1)*AF223-ERP_i)*AE223*Ramure*Pc/MaxiM</f>
        <v>6.8652574821305659E-5</v>
      </c>
      <c r="AE223" s="304">
        <f t="shared" si="88"/>
        <v>0.5</v>
      </c>
      <c r="AF223" s="176">
        <f t="shared" si="89"/>
        <v>0.79817908616532973</v>
      </c>
      <c r="AG223" s="814">
        <f t="shared" si="90"/>
        <v>-1</v>
      </c>
      <c r="AH223" s="175">
        <f t="shared" si="91"/>
        <v>5</v>
      </c>
      <c r="AI223" s="224">
        <f t="shared" si="92"/>
        <v>-0.20182091383467021</v>
      </c>
      <c r="AJ223" s="264" t="b">
        <f t="shared" si="93"/>
        <v>0</v>
      </c>
      <c r="AK223" s="264" t="b">
        <f t="shared" si="94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89"/>
      <c r="D224" s="392"/>
      <c r="E224" s="384"/>
      <c r="F224" s="384"/>
      <c r="G224" s="110"/>
      <c r="I224" s="379">
        <f t="shared" si="73"/>
        <v>0</v>
      </c>
      <c r="J224" s="85">
        <v>2018</v>
      </c>
      <c r="K224" s="196">
        <f t="shared" si="74"/>
        <v>43310</v>
      </c>
      <c r="L224" s="436">
        <f t="shared" si="75"/>
        <v>1.3133052367064746E-3</v>
      </c>
      <c r="M224" s="858"/>
      <c r="N224" s="858"/>
      <c r="O224" s="323">
        <f t="shared" si="76"/>
        <v>4.5030579670768513E-3</v>
      </c>
      <c r="P224" s="168">
        <f>(INDEX(Models!$BJ224:$BT224,,T224)*(1-R224)+INDEX(Models!$BJ224:$BT224,,T224+1)*R224-ERP_i)*Q224*Ramure*Pc/MaxiM</f>
        <v>6.6742141436875631E-5</v>
      </c>
      <c r="Q224" s="304">
        <f t="shared" si="77"/>
        <v>0.5</v>
      </c>
      <c r="R224" s="176">
        <f t="shared" si="78"/>
        <v>0.79948256756774982</v>
      </c>
      <c r="S224" s="814">
        <f t="shared" si="96"/>
        <v>-1</v>
      </c>
      <c r="T224" s="175">
        <f t="shared" si="79"/>
        <v>5</v>
      </c>
      <c r="U224" s="250">
        <f t="shared" si="80"/>
        <v>-0.20051743243225018</v>
      </c>
      <c r="V224" s="382">
        <f t="shared" si="81"/>
        <v>56.16853648949003</v>
      </c>
      <c r="W224" s="58"/>
      <c r="X224" s="157">
        <f t="shared" si="82"/>
        <v>43310</v>
      </c>
      <c r="Y224" s="384">
        <f t="shared" si="83"/>
        <v>0</v>
      </c>
      <c r="Z224" s="384">
        <f t="shared" si="84"/>
        <v>0</v>
      </c>
      <c r="AA224" s="385">
        <f t="shared" si="85"/>
        <v>0</v>
      </c>
      <c r="AB224" s="196">
        <f t="shared" si="86"/>
        <v>43310</v>
      </c>
      <c r="AC224" s="425">
        <f t="shared" si="87"/>
        <v>4.5030579670768513E-3</v>
      </c>
      <c r="AD224" s="168">
        <f>(INDEX(Models!$BJ224:$BT224,,AH224)*(1-AF224)+INDEX(Models!$BJ224:$BT224,,AH224+1)*AF224-ERP_i)*AE224*Ramure*Pc/MaxiM</f>
        <v>6.6742141436875631E-5</v>
      </c>
      <c r="AE224" s="304">
        <f t="shared" si="88"/>
        <v>0.5</v>
      </c>
      <c r="AF224" s="176">
        <f t="shared" si="89"/>
        <v>0.79948256756774982</v>
      </c>
      <c r="AG224" s="814">
        <f t="shared" si="90"/>
        <v>-1</v>
      </c>
      <c r="AH224" s="175">
        <f t="shared" si="91"/>
        <v>5</v>
      </c>
      <c r="AI224" s="224">
        <f t="shared" si="92"/>
        <v>-0.20051743243225018</v>
      </c>
      <c r="AJ224" s="264" t="b">
        <f t="shared" si="93"/>
        <v>0</v>
      </c>
      <c r="AK224" s="264" t="b">
        <f t="shared" si="94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5"/>
        <v>43311</v>
      </c>
      <c r="B225" s="616">
        <v>12.262</v>
      </c>
      <c r="C225" s="389"/>
      <c r="D225" s="392">
        <f t="shared" ref="D225:D270" si="97">Wh/(1-Ppv)</f>
        <v>12.278393854099011</v>
      </c>
      <c r="E225" s="384">
        <f t="shared" ref="E225:E232" si="98">Wh_pvt/(1-Psa)</f>
        <v>12.334834358053165</v>
      </c>
      <c r="F225" s="384">
        <f>Wh_sa/(1-Pvg*MEDIAN((-Sdif+Wh/Env_an)/Csdif,0,1))</f>
        <v>12.334834358053165</v>
      </c>
      <c r="G225" s="110">
        <f t="shared" ref="G225:G232" si="99">+Wh_hp/MaxiM</f>
        <v>0.21862959381016078</v>
      </c>
      <c r="I225" s="379">
        <f t="shared" si="73"/>
        <v>12.334834358053165</v>
      </c>
      <c r="J225" s="85">
        <v>2018</v>
      </c>
      <c r="K225" s="196">
        <f t="shared" si="74"/>
        <v>43311</v>
      </c>
      <c r="L225" s="436">
        <f t="shared" si="75"/>
        <v>1.3351790383835382E-3</v>
      </c>
      <c r="M225" s="858"/>
      <c r="N225" s="858"/>
      <c r="O225" s="323">
        <f t="shared" si="76"/>
        <v>4.5757001931124221E-3</v>
      </c>
      <c r="P225" s="168">
        <f>(INDEX(Models!$BJ225:$BT225,,T225)*(1-R225)+INDEX(Models!$BJ225:$BT225,,T225+1)*R225-ERP_i)*Q225*Ramure*Pc/MaxiM</f>
        <v>6.4785884475862245E-5</v>
      </c>
      <c r="Q225" s="304">
        <f t="shared" si="77"/>
        <v>0.5</v>
      </c>
      <c r="R225" s="176">
        <f t="shared" si="78"/>
        <v>0.80074573769587931</v>
      </c>
      <c r="S225" s="814">
        <f t="shared" si="96"/>
        <v>-1</v>
      </c>
      <c r="T225" s="175">
        <f t="shared" si="79"/>
        <v>5</v>
      </c>
      <c r="U225" s="250">
        <f t="shared" si="80"/>
        <v>-0.19925426230412074</v>
      </c>
      <c r="V225" s="382">
        <f t="shared" si="81"/>
        <v>56.082094751230876</v>
      </c>
      <c r="W225" s="58"/>
      <c r="X225" s="157">
        <f t="shared" si="82"/>
        <v>43311</v>
      </c>
      <c r="Y225" s="384">
        <f t="shared" si="83"/>
        <v>12.262</v>
      </c>
      <c r="Z225" s="384">
        <f t="shared" si="84"/>
        <v>12.278393854099011</v>
      </c>
      <c r="AA225" s="385">
        <f t="shared" si="85"/>
        <v>12.334834358053165</v>
      </c>
      <c r="AB225" s="196">
        <f t="shared" si="86"/>
        <v>43311</v>
      </c>
      <c r="AC225" s="425">
        <f t="shared" si="87"/>
        <v>4.5757001931124221E-3</v>
      </c>
      <c r="AD225" s="168">
        <f>(INDEX(Models!$BJ225:$BT225,,AH225)*(1-AF225)+INDEX(Models!$BJ225:$BT225,,AH225+1)*AF225-ERP_i)*AE225*Ramure*Pc/MaxiM</f>
        <v>6.4785884475862245E-5</v>
      </c>
      <c r="AE225" s="304">
        <f t="shared" si="88"/>
        <v>0.5</v>
      </c>
      <c r="AF225" s="176">
        <f t="shared" si="89"/>
        <v>0.80074573769587931</v>
      </c>
      <c r="AG225" s="814">
        <f t="shared" si="90"/>
        <v>-1</v>
      </c>
      <c r="AH225" s="175">
        <f t="shared" si="91"/>
        <v>5</v>
      </c>
      <c r="AI225" s="224">
        <f t="shared" si="92"/>
        <v>-0.19925426230412074</v>
      </c>
      <c r="AJ225" s="264" t="b">
        <f t="shared" si="93"/>
        <v>0</v>
      </c>
      <c r="AK225" s="264" t="b">
        <f t="shared" si="94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5"/>
        <v>43312</v>
      </c>
      <c r="B226" s="616">
        <v>49.594000000000001</v>
      </c>
      <c r="C226" s="389"/>
      <c r="D226" s="392">
        <f t="shared" si="97"/>
        <v>49.66139311076995</v>
      </c>
      <c r="E226" s="384">
        <f t="shared" si="98"/>
        <v>49.893309709557201</v>
      </c>
      <c r="F226" s="384">
        <f>Wh_sa/(1-Pvg*MEDIAN((-Sdif+Wh/Env_an)/Csdif,0,1))</f>
        <v>49.895931959825518</v>
      </c>
      <c r="G226" s="110">
        <f t="shared" si="99"/>
        <v>0.88568634075059627</v>
      </c>
      <c r="I226" s="379">
        <f t="shared" si="73"/>
        <v>49.895931959825518</v>
      </c>
      <c r="J226" s="85">
        <v>2018</v>
      </c>
      <c r="K226" s="196">
        <f t="shared" si="74"/>
        <v>43312</v>
      </c>
      <c r="L226" s="436">
        <f t="shared" si="75"/>
        <v>1.3570523609683915E-3</v>
      </c>
      <c r="M226" s="858"/>
      <c r="N226" s="858"/>
      <c r="O226" s="323">
        <f t="shared" si="76"/>
        <v>4.6482504395339045E-3</v>
      </c>
      <c r="P226" s="168">
        <f>(INDEX(Models!$BJ226:$BT226,,T226)*(1-R226)+INDEX(Models!$BJ226:$BT226,,T226+1)*R226-ERP_i)*Q226*Ramure*Pc/MaxiM</f>
        <v>6.2810927684298971E-5</v>
      </c>
      <c r="Q226" s="304">
        <f t="shared" si="77"/>
        <v>0.5</v>
      </c>
      <c r="R226" s="176">
        <f t="shared" si="78"/>
        <v>0.80196942033516305</v>
      </c>
      <c r="S226" s="814">
        <f t="shared" si="96"/>
        <v>-1</v>
      </c>
      <c r="T226" s="175">
        <f t="shared" si="79"/>
        <v>5</v>
      </c>
      <c r="U226" s="250">
        <f t="shared" si="80"/>
        <v>-0.19803057966483689</v>
      </c>
      <c r="V226" s="382">
        <f t="shared" si="81"/>
        <v>55.994418146392206</v>
      </c>
      <c r="W226" s="58"/>
      <c r="X226" s="157">
        <f t="shared" si="82"/>
        <v>43312</v>
      </c>
      <c r="Y226" s="384">
        <f t="shared" si="83"/>
        <v>49.594000000000001</v>
      </c>
      <c r="Z226" s="384">
        <f t="shared" si="84"/>
        <v>49.66139311076995</v>
      </c>
      <c r="AA226" s="385">
        <f t="shared" si="85"/>
        <v>49.893309709557201</v>
      </c>
      <c r="AB226" s="196">
        <f t="shared" si="86"/>
        <v>43312</v>
      </c>
      <c r="AC226" s="425">
        <f t="shared" si="87"/>
        <v>4.6482504395339045E-3</v>
      </c>
      <c r="AD226" s="168">
        <f>(INDEX(Models!$BJ226:$BT226,,AH226)*(1-AF226)+INDEX(Models!$BJ226:$BT226,,AH226+1)*AF226-ERP_i)*AE226*Ramure*Pc/MaxiM</f>
        <v>6.2810927684298971E-5</v>
      </c>
      <c r="AE226" s="304">
        <f t="shared" si="88"/>
        <v>0.5</v>
      </c>
      <c r="AF226" s="176">
        <f t="shared" si="89"/>
        <v>0.80196942033516305</v>
      </c>
      <c r="AG226" s="814">
        <f t="shared" si="90"/>
        <v>-1</v>
      </c>
      <c r="AH226" s="175">
        <f t="shared" si="91"/>
        <v>5</v>
      </c>
      <c r="AI226" s="224">
        <f t="shared" si="92"/>
        <v>-0.19803057966483689</v>
      </c>
      <c r="AJ226" s="264" t="b">
        <f t="shared" si="93"/>
        <v>0</v>
      </c>
      <c r="AK226" s="264" t="b">
        <f t="shared" si="94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5"/>
        <v>43313</v>
      </c>
      <c r="B227" s="616">
        <v>52.73</v>
      </c>
      <c r="C227" s="389"/>
      <c r="D227" s="392">
        <f t="shared" si="97"/>
        <v>52.802811127130134</v>
      </c>
      <c r="E227" s="384">
        <f t="shared" si="98"/>
        <v>53.053260129842222</v>
      </c>
      <c r="F227" s="384">
        <f>Wh_sa/(1-Pvg*MEDIAN((-Sdif+Wh/Env_an)/Csdif,0,1))</f>
        <v>53.056225384758235</v>
      </c>
      <c r="G227" s="110">
        <f t="shared" si="99"/>
        <v>0.94319947445326335</v>
      </c>
      <c r="I227" s="379">
        <f t="shared" si="73"/>
        <v>53.056225384758235</v>
      </c>
      <c r="J227" s="85">
        <v>2018</v>
      </c>
      <c r="K227" s="196">
        <f t="shared" si="74"/>
        <v>43313</v>
      </c>
      <c r="L227" s="436">
        <f t="shared" si="75"/>
        <v>1.3789252044712486E-3</v>
      </c>
      <c r="M227" s="858"/>
      <c r="N227" s="858"/>
      <c r="O227" s="323">
        <f t="shared" si="76"/>
        <v>4.7207090025973347E-3</v>
      </c>
      <c r="P227" s="168">
        <f>(INDEX(Models!$BJ227:$BT227,,T227)*(1-R227)+INDEX(Models!$BJ227:$BT227,,T227+1)*R227-ERP_i)*Q227*Ramure*Pc/MaxiM</f>
        <v>6.0823989310881416E-5</v>
      </c>
      <c r="Q227" s="304">
        <f t="shared" si="77"/>
        <v>0.5</v>
      </c>
      <c r="R227" s="176">
        <f t="shared" si="78"/>
        <v>0.80315445317236467</v>
      </c>
      <c r="S227" s="814">
        <f t="shared" si="96"/>
        <v>-1</v>
      </c>
      <c r="T227" s="175">
        <f t="shared" si="79"/>
        <v>5</v>
      </c>
      <c r="U227" s="250">
        <f t="shared" si="80"/>
        <v>-0.19684554682763533</v>
      </c>
      <c r="V227" s="382">
        <f t="shared" si="81"/>
        <v>55.905183566389717</v>
      </c>
      <c r="W227" s="58"/>
      <c r="X227" s="157">
        <f t="shared" si="82"/>
        <v>43313</v>
      </c>
      <c r="Y227" s="384">
        <f t="shared" si="83"/>
        <v>52.73</v>
      </c>
      <c r="Z227" s="384">
        <f t="shared" si="84"/>
        <v>52.802811127130134</v>
      </c>
      <c r="AA227" s="385">
        <f t="shared" si="85"/>
        <v>53.053260129842222</v>
      </c>
      <c r="AB227" s="196">
        <f t="shared" si="86"/>
        <v>43313</v>
      </c>
      <c r="AC227" s="425">
        <f t="shared" si="87"/>
        <v>4.7207090025973347E-3</v>
      </c>
      <c r="AD227" s="168">
        <f>(INDEX(Models!$BJ227:$BT227,,AH227)*(1-AF227)+INDEX(Models!$BJ227:$BT227,,AH227+1)*AF227-ERP_i)*AE227*Ramure*Pc/MaxiM</f>
        <v>6.0823989310881416E-5</v>
      </c>
      <c r="AE227" s="304">
        <f t="shared" si="88"/>
        <v>0.5</v>
      </c>
      <c r="AF227" s="176">
        <f t="shared" si="89"/>
        <v>0.80315445317236467</v>
      </c>
      <c r="AG227" s="814">
        <f t="shared" si="90"/>
        <v>-1</v>
      </c>
      <c r="AH227" s="175">
        <f t="shared" si="91"/>
        <v>5</v>
      </c>
      <c r="AI227" s="224">
        <f t="shared" si="92"/>
        <v>-0.19684554682763533</v>
      </c>
      <c r="AJ227" s="264" t="b">
        <f t="shared" si="93"/>
        <v>0</v>
      </c>
      <c r="AK227" s="264" t="b">
        <f t="shared" si="94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5"/>
        <v>43314</v>
      </c>
      <c r="B228" s="616">
        <v>53.21</v>
      </c>
      <c r="C228" s="389"/>
      <c r="D228" s="392">
        <f t="shared" si="97"/>
        <v>53.284640995566441</v>
      </c>
      <c r="E228" s="384">
        <f t="shared" si="98"/>
        <v>53.54126837037861</v>
      </c>
      <c r="F228" s="384">
        <f>Wh_sa/(1-Pvg*MEDIAN((-Sdif+Wh/Env_an)/Csdif,0,1))</f>
        <v>53.544208264945382</v>
      </c>
      <c r="G228" s="110">
        <f t="shared" si="99"/>
        <v>0.95334013398507067</v>
      </c>
      <c r="I228" s="379">
        <f t="shared" si="73"/>
        <v>53.544208264945382</v>
      </c>
      <c r="J228" s="85">
        <v>2018</v>
      </c>
      <c r="K228" s="196">
        <f t="shared" si="74"/>
        <v>43314</v>
      </c>
      <c r="L228" s="436">
        <f t="shared" si="75"/>
        <v>1.4007975689026564E-3</v>
      </c>
      <c r="M228" s="858"/>
      <c r="N228" s="858"/>
      <c r="O228" s="323">
        <f t="shared" si="76"/>
        <v>4.7930761190959252E-3</v>
      </c>
      <c r="P228" s="168">
        <f>(INDEX(Models!$BJ228:$BT228,,T228)*(1-R228)+INDEX(Models!$BJ228:$BT228,,T228+1)*R228-ERP_i)*Q228*Ramure*Pc/MaxiM</f>
        <v>5.8826833533284646E-5</v>
      </c>
      <c r="Q228" s="304">
        <f t="shared" si="77"/>
        <v>0.5</v>
      </c>
      <c r="R228" s="176">
        <f t="shared" si="78"/>
        <v>0.80430168502314681</v>
      </c>
      <c r="S228" s="814">
        <f t="shared" si="96"/>
        <v>-1</v>
      </c>
      <c r="T228" s="175">
        <f t="shared" si="79"/>
        <v>5</v>
      </c>
      <c r="U228" s="250">
        <f t="shared" si="80"/>
        <v>-0.19569831497685325</v>
      </c>
      <c r="V228" s="382">
        <f t="shared" si="81"/>
        <v>55.814068306198372</v>
      </c>
      <c r="W228" s="58"/>
      <c r="X228" s="157">
        <f t="shared" si="82"/>
        <v>43314</v>
      </c>
      <c r="Y228" s="384">
        <f t="shared" si="83"/>
        <v>53.21</v>
      </c>
      <c r="Z228" s="384">
        <f t="shared" si="84"/>
        <v>53.284640995566441</v>
      </c>
      <c r="AA228" s="385">
        <f t="shared" si="85"/>
        <v>53.54126837037861</v>
      </c>
      <c r="AB228" s="196">
        <f t="shared" si="86"/>
        <v>43314</v>
      </c>
      <c r="AC228" s="425">
        <f t="shared" si="87"/>
        <v>4.7930761190959252E-3</v>
      </c>
      <c r="AD228" s="168">
        <f>(INDEX(Models!$BJ228:$BT228,,AH228)*(1-AF228)+INDEX(Models!$BJ228:$BT228,,AH228+1)*AF228-ERP_i)*AE228*Ramure*Pc/MaxiM</f>
        <v>5.8826833533284646E-5</v>
      </c>
      <c r="AE228" s="304">
        <f t="shared" si="88"/>
        <v>0.5</v>
      </c>
      <c r="AF228" s="176">
        <f t="shared" si="89"/>
        <v>0.80430168502314681</v>
      </c>
      <c r="AG228" s="814">
        <f t="shared" si="90"/>
        <v>-1</v>
      </c>
      <c r="AH228" s="175">
        <f t="shared" si="91"/>
        <v>5</v>
      </c>
      <c r="AI228" s="224">
        <f t="shared" si="92"/>
        <v>-0.19569831497685325</v>
      </c>
      <c r="AJ228" s="264" t="b">
        <f t="shared" si="93"/>
        <v>0</v>
      </c>
      <c r="AK228" s="264" t="b">
        <f t="shared" si="94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5"/>
        <v>43315</v>
      </c>
      <c r="B229" s="616">
        <v>53.843000000000004</v>
      </c>
      <c r="C229" s="389"/>
      <c r="D229" s="392">
        <f t="shared" si="97"/>
        <v>53.919709924292562</v>
      </c>
      <c r="E229" s="384">
        <f t="shared" si="98"/>
        <v>54.183330899484801</v>
      </c>
      <c r="F229" s="384">
        <f t="shared" ref="F229:F260" si="100">Wh_sa/(1-Pvg*MEDIAN((-Sdif+Wh/Env_an)/Csdif,0,1))</f>
        <v>54.186261598405025</v>
      </c>
      <c r="G229" s="110">
        <f t="shared" si="99"/>
        <v>0.96629806510919891</v>
      </c>
      <c r="I229" s="379">
        <f t="shared" si="73"/>
        <v>54.186261598405025</v>
      </c>
      <c r="J229" s="85">
        <v>2018</v>
      </c>
      <c r="K229" s="196">
        <f t="shared" si="74"/>
        <v>43315</v>
      </c>
      <c r="L229" s="436">
        <f t="shared" si="75"/>
        <v>1.4226694542731622E-3</v>
      </c>
      <c r="M229" s="858"/>
      <c r="N229" s="858"/>
      <c r="O229" s="323">
        <f t="shared" si="76"/>
        <v>4.8653519600203839E-3</v>
      </c>
      <c r="P229" s="168">
        <f>(INDEX(Models!$BJ229:$BT229,,T229)*(1-R229)+INDEX(Models!$BJ229:$BT229,,T229+1)*R229-ERP_i)*Q229*Ramure*Pc/MaxiM</f>
        <v>5.6821118698563697E-5</v>
      </c>
      <c r="Q229" s="304">
        <f t="shared" si="77"/>
        <v>0.5</v>
      </c>
      <c r="R229" s="176">
        <f t="shared" si="78"/>
        <v>0.80541197321678049</v>
      </c>
      <c r="S229" s="814">
        <f t="shared" si="96"/>
        <v>-1</v>
      </c>
      <c r="T229" s="175">
        <f t="shared" si="79"/>
        <v>5</v>
      </c>
      <c r="U229" s="250">
        <f t="shared" si="80"/>
        <v>-0.19458802678321951</v>
      </c>
      <c r="V229" s="382">
        <f t="shared" si="81"/>
        <v>55.720749787333965</v>
      </c>
      <c r="W229" s="58"/>
      <c r="X229" s="157">
        <f t="shared" si="82"/>
        <v>43315</v>
      </c>
      <c r="Y229" s="384">
        <f t="shared" si="83"/>
        <v>53.843000000000004</v>
      </c>
      <c r="Z229" s="384">
        <f t="shared" si="84"/>
        <v>53.919709924292562</v>
      </c>
      <c r="AA229" s="385">
        <f t="shared" si="85"/>
        <v>54.183330899484801</v>
      </c>
      <c r="AB229" s="196">
        <f t="shared" si="86"/>
        <v>43315</v>
      </c>
      <c r="AC229" s="425">
        <f t="shared" si="87"/>
        <v>4.8653519600203839E-3</v>
      </c>
      <c r="AD229" s="168">
        <f>(INDEX(Models!$BJ229:$BT229,,AH229)*(1-AF229)+INDEX(Models!$BJ229:$BT229,,AH229+1)*AF229-ERP_i)*AE229*Ramure*Pc/MaxiM</f>
        <v>5.6821118698563697E-5</v>
      </c>
      <c r="AE229" s="304">
        <f t="shared" si="88"/>
        <v>0.5</v>
      </c>
      <c r="AF229" s="176">
        <f t="shared" si="89"/>
        <v>0.80541197321678049</v>
      </c>
      <c r="AG229" s="814">
        <f t="shared" si="90"/>
        <v>-1</v>
      </c>
      <c r="AH229" s="175">
        <f t="shared" si="91"/>
        <v>5</v>
      </c>
      <c r="AI229" s="224">
        <f t="shared" si="92"/>
        <v>-0.19458802678321951</v>
      </c>
      <c r="AJ229" s="264" t="b">
        <f t="shared" si="93"/>
        <v>0</v>
      </c>
      <c r="AK229" s="264" t="b">
        <f t="shared" si="94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5"/>
        <v>43316</v>
      </c>
      <c r="B230" s="616">
        <v>52.595999999999997</v>
      </c>
      <c r="C230" s="389"/>
      <c r="D230" s="392">
        <f t="shared" si="97"/>
        <v>52.672086981858016</v>
      </c>
      <c r="E230" s="384">
        <f t="shared" si="98"/>
        <v>52.933447819160399</v>
      </c>
      <c r="F230" s="384">
        <f t="shared" si="100"/>
        <v>52.936123470546605</v>
      </c>
      <c r="G230" s="110">
        <f t="shared" si="99"/>
        <v>0.94554364120684287</v>
      </c>
      <c r="I230" s="379">
        <f t="shared" si="73"/>
        <v>52.936123470546605</v>
      </c>
      <c r="J230" s="85">
        <v>2018</v>
      </c>
      <c r="K230" s="196">
        <f t="shared" si="74"/>
        <v>43316</v>
      </c>
      <c r="L230" s="436">
        <f t="shared" si="75"/>
        <v>1.444540860593313E-3</v>
      </c>
      <c r="M230" s="858"/>
      <c r="N230" s="858"/>
      <c r="O230" s="323">
        <f t="shared" si="76"/>
        <v>4.9375366251465059E-3</v>
      </c>
      <c r="P230" s="168">
        <f>(INDEX(Models!$BJ230:$BT230,,T230)*(1-R230)+INDEX(Models!$BJ230:$BT230,,T230+1)*R230-ERP_i)*Q230*Ramure*Pc/MaxiM</f>
        <v>5.4808398685338135E-5</v>
      </c>
      <c r="Q230" s="304">
        <f t="shared" si="77"/>
        <v>0.5</v>
      </c>
      <c r="R230" s="176">
        <f t="shared" si="78"/>
        <v>0.80648618113758652</v>
      </c>
      <c r="S230" s="814">
        <f t="shared" si="96"/>
        <v>-1</v>
      </c>
      <c r="T230" s="175">
        <f t="shared" si="79"/>
        <v>5</v>
      </c>
      <c r="U230" s="250">
        <f t="shared" si="80"/>
        <v>-0.19351381886241342</v>
      </c>
      <c r="V230" s="382">
        <f t="shared" si="81"/>
        <v>55.624905561074549</v>
      </c>
      <c r="W230" s="58"/>
      <c r="X230" s="157">
        <f t="shared" si="82"/>
        <v>43316</v>
      </c>
      <c r="Y230" s="384">
        <f t="shared" si="83"/>
        <v>52.595999999999997</v>
      </c>
      <c r="Z230" s="384">
        <f t="shared" si="84"/>
        <v>52.672086981858016</v>
      </c>
      <c r="AA230" s="385">
        <f t="shared" si="85"/>
        <v>52.933447819160399</v>
      </c>
      <c r="AB230" s="196">
        <f t="shared" si="86"/>
        <v>43316</v>
      </c>
      <c r="AC230" s="425">
        <f t="shared" si="87"/>
        <v>4.9375366251465059E-3</v>
      </c>
      <c r="AD230" s="168">
        <f>(INDEX(Models!$BJ230:$BT230,,AH230)*(1-AF230)+INDEX(Models!$BJ230:$BT230,,AH230+1)*AF230-ERP_i)*AE230*Ramure*Pc/MaxiM</f>
        <v>5.4808398685338135E-5</v>
      </c>
      <c r="AE230" s="304">
        <f t="shared" si="88"/>
        <v>0.5</v>
      </c>
      <c r="AF230" s="176">
        <f t="shared" si="89"/>
        <v>0.80648618113758652</v>
      </c>
      <c r="AG230" s="814">
        <f t="shared" si="90"/>
        <v>-1</v>
      </c>
      <c r="AH230" s="175">
        <f t="shared" si="91"/>
        <v>5</v>
      </c>
      <c r="AI230" s="224">
        <f t="shared" si="92"/>
        <v>-0.19351381886241342</v>
      </c>
      <c r="AJ230" s="264" t="b">
        <f t="shared" si="93"/>
        <v>0</v>
      </c>
      <c r="AK230" s="264" t="b">
        <f t="shared" si="94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5"/>
        <v>43317</v>
      </c>
      <c r="B231" s="616">
        <v>52.039000000000001</v>
      </c>
      <c r="C231" s="389"/>
      <c r="D231" s="392">
        <f t="shared" si="97"/>
        <v>52.115422670133491</v>
      </c>
      <c r="E231" s="384">
        <f t="shared" si="98"/>
        <v>52.377816156542387</v>
      </c>
      <c r="F231" s="384">
        <f t="shared" si="100"/>
        <v>52.380333234230008</v>
      </c>
      <c r="G231" s="110">
        <f t="shared" si="99"/>
        <v>0.93719255139908797</v>
      </c>
      <c r="I231" s="379">
        <f t="shared" si="73"/>
        <v>52.380333234230008</v>
      </c>
      <c r="J231" s="85">
        <v>2018</v>
      </c>
      <c r="K231" s="196">
        <f t="shared" si="74"/>
        <v>43317</v>
      </c>
      <c r="L231" s="436">
        <f t="shared" si="75"/>
        <v>1.466411787873434E-3</v>
      </c>
      <c r="M231" s="858"/>
      <c r="N231" s="858"/>
      <c r="O231" s="323">
        <f t="shared" si="76"/>
        <v>5.0096301385433887E-3</v>
      </c>
      <c r="P231" s="168">
        <f>(INDEX(Models!$BJ231:$BT231,,T231)*(1-R231)+INDEX(Models!$BJ231:$BT231,,T231+1)*R231-ERP_i)*Q231*Ramure*Pc/MaxiM</f>
        <v>5.2790124596495706E-5</v>
      </c>
      <c r="Q231" s="304">
        <f t="shared" si="77"/>
        <v>0.5</v>
      </c>
      <c r="R231" s="176">
        <f t="shared" si="78"/>
        <v>0.80752517592177198</v>
      </c>
      <c r="S231" s="814">
        <f t="shared" si="96"/>
        <v>-1</v>
      </c>
      <c r="T231" s="175">
        <f t="shared" si="79"/>
        <v>5</v>
      </c>
      <c r="U231" s="250">
        <f t="shared" si="80"/>
        <v>-0.19247482407822802</v>
      </c>
      <c r="V231" s="382">
        <f t="shared" si="81"/>
        <v>55.526213306412487</v>
      </c>
      <c r="W231" s="58"/>
      <c r="X231" s="157">
        <f t="shared" si="82"/>
        <v>43317</v>
      </c>
      <c r="Y231" s="384">
        <f t="shared" si="83"/>
        <v>52.039000000000001</v>
      </c>
      <c r="Z231" s="384">
        <f t="shared" si="84"/>
        <v>52.115422670133491</v>
      </c>
      <c r="AA231" s="385">
        <f t="shared" si="85"/>
        <v>52.377816156542387</v>
      </c>
      <c r="AB231" s="196">
        <f t="shared" si="86"/>
        <v>43317</v>
      </c>
      <c r="AC231" s="425">
        <f t="shared" si="87"/>
        <v>5.0096301385433887E-3</v>
      </c>
      <c r="AD231" s="168">
        <f>(INDEX(Models!$BJ231:$BT231,,AH231)*(1-AF231)+INDEX(Models!$BJ231:$BT231,,AH231+1)*AF231-ERP_i)*AE231*Ramure*Pc/MaxiM</f>
        <v>5.2790124596495706E-5</v>
      </c>
      <c r="AE231" s="304">
        <f t="shared" si="88"/>
        <v>0.5</v>
      </c>
      <c r="AF231" s="176">
        <f t="shared" si="89"/>
        <v>0.80752517592177198</v>
      </c>
      <c r="AG231" s="814">
        <f t="shared" si="90"/>
        <v>-1</v>
      </c>
      <c r="AH231" s="175">
        <f t="shared" si="91"/>
        <v>5</v>
      </c>
      <c r="AI231" s="224">
        <f t="shared" si="92"/>
        <v>-0.19247482407822802</v>
      </c>
      <c r="AJ231" s="264" t="b">
        <f t="shared" si="93"/>
        <v>0</v>
      </c>
      <c r="AK231" s="264" t="b">
        <f t="shared" si="94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5"/>
        <v>43318</v>
      </c>
      <c r="B232" s="616">
        <v>51.466999999999999</v>
      </c>
      <c r="C232" s="389"/>
      <c r="D232" s="392">
        <f t="shared" si="97"/>
        <v>51.543711590343818</v>
      </c>
      <c r="E232" s="384">
        <f t="shared" si="98"/>
        <v>51.806975598421182</v>
      </c>
      <c r="F232" s="384">
        <f t="shared" si="100"/>
        <v>51.809337548737645</v>
      </c>
      <c r="G232" s="110">
        <f t="shared" si="99"/>
        <v>0.92859424963572268</v>
      </c>
      <c r="I232" s="379">
        <f t="shared" si="73"/>
        <v>51.809337548737645</v>
      </c>
      <c r="J232" s="85">
        <v>2018</v>
      </c>
      <c r="K232" s="196">
        <f t="shared" si="74"/>
        <v>43318</v>
      </c>
      <c r="L232" s="436">
        <f t="shared" si="75"/>
        <v>1.4882822361241832E-3</v>
      </c>
      <c r="M232" s="858"/>
      <c r="N232" s="858"/>
      <c r="O232" s="323">
        <f t="shared" si="76"/>
        <v>5.0816324449827243E-3</v>
      </c>
      <c r="P232" s="168">
        <f>(INDEX(Models!$BJ232:$BT232,,T232)*(1-R232)+INDEX(Models!$BJ232:$BT232,,T232+1)*R232-ERP_i)*Q232*Ramure*Pc/MaxiM</f>
        <v>5.0767646710611383E-5</v>
      </c>
      <c r="Q232" s="304">
        <f t="shared" si="77"/>
        <v>0.5</v>
      </c>
      <c r="R232" s="176">
        <f t="shared" si="78"/>
        <v>0.80852982630749093</v>
      </c>
      <c r="S232" s="814">
        <f t="shared" si="96"/>
        <v>-1</v>
      </c>
      <c r="T232" s="175">
        <f t="shared" si="79"/>
        <v>5</v>
      </c>
      <c r="U232" s="250">
        <f t="shared" si="80"/>
        <v>-0.19147017369250907</v>
      </c>
      <c r="V232" s="382">
        <f t="shared" si="81"/>
        <v>55.424350832411918</v>
      </c>
      <c r="W232" s="58"/>
      <c r="X232" s="157">
        <f t="shared" si="82"/>
        <v>43318</v>
      </c>
      <c r="Y232" s="384">
        <f t="shared" si="83"/>
        <v>51.466999999999999</v>
      </c>
      <c r="Z232" s="384">
        <f t="shared" si="84"/>
        <v>51.543711590343818</v>
      </c>
      <c r="AA232" s="385">
        <f t="shared" si="85"/>
        <v>51.806975598421182</v>
      </c>
      <c r="AB232" s="196">
        <f t="shared" si="86"/>
        <v>43318</v>
      </c>
      <c r="AC232" s="425">
        <f t="shared" si="87"/>
        <v>5.0816324449827243E-3</v>
      </c>
      <c r="AD232" s="168">
        <f>(INDEX(Models!$BJ232:$BT232,,AH232)*(1-AF232)+INDEX(Models!$BJ232:$BT232,,AH232+1)*AF232-ERP_i)*AE232*Ramure*Pc/MaxiM</f>
        <v>5.0767646710611383E-5</v>
      </c>
      <c r="AE232" s="304">
        <f t="shared" si="88"/>
        <v>0.5</v>
      </c>
      <c r="AF232" s="176">
        <f t="shared" si="89"/>
        <v>0.80852982630749093</v>
      </c>
      <c r="AG232" s="814">
        <f t="shared" si="90"/>
        <v>-1</v>
      </c>
      <c r="AH232" s="175">
        <f t="shared" si="91"/>
        <v>5</v>
      </c>
      <c r="AI232" s="224">
        <f t="shared" si="92"/>
        <v>-0.19147017369250907</v>
      </c>
      <c r="AJ232" s="264" t="b">
        <f t="shared" si="93"/>
        <v>0</v>
      </c>
      <c r="AK232" s="264" t="b">
        <f t="shared" si="94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5"/>
        <v>43319</v>
      </c>
      <c r="B233" s="616">
        <v>36.741999999999997</v>
      </c>
      <c r="C233" s="389"/>
      <c r="D233" s="392">
        <f t="shared" si="97"/>
        <v>36.79756993138362</v>
      </c>
      <c r="E233" s="384">
        <f t="shared" ref="E233:E296" si="101">Wh_pvt/(1-Psa)</f>
        <v>36.98819017500491</v>
      </c>
      <c r="F233" s="384">
        <f t="shared" si="100"/>
        <v>36.989128135330866</v>
      </c>
      <c r="G233" s="110">
        <f t="shared" ref="G233:G296" si="102">+Wh_hp/MaxiM</f>
        <v>0.66415892047186187</v>
      </c>
      <c r="I233" s="379">
        <f t="shared" si="73"/>
        <v>36.989128135330866</v>
      </c>
      <c r="J233" s="85">
        <v>2018</v>
      </c>
      <c r="K233" s="196">
        <f t="shared" si="74"/>
        <v>43319</v>
      </c>
      <c r="L233" s="436">
        <f t="shared" si="75"/>
        <v>1.5101522053559968E-3</v>
      </c>
      <c r="M233" s="858"/>
      <c r="N233" s="858"/>
      <c r="O233" s="323">
        <f t="shared" si="76"/>
        <v>5.1535434072171359E-3</v>
      </c>
      <c r="P233" s="168">
        <f>(INDEX(Models!$BJ233:$BT233,,T233)*(1-R233)+INDEX(Models!$BJ233:$BT233,,T233+1)*R233-ERP_i)*Q233*Ramure*Pc/MaxiM</f>
        <v>4.8741505470794357E-5</v>
      </c>
      <c r="Q233" s="304">
        <f t="shared" si="77"/>
        <v>0.5</v>
      </c>
      <c r="R233" s="176">
        <f t="shared" si="78"/>
        <v>0.80950100063522901</v>
      </c>
      <c r="S233" s="814">
        <f t="shared" si="96"/>
        <v>-1</v>
      </c>
      <c r="T233" s="175">
        <f t="shared" si="79"/>
        <v>5</v>
      </c>
      <c r="U233" s="250">
        <f t="shared" si="80"/>
        <v>-0.19049899936477094</v>
      </c>
      <c r="V233" s="382">
        <f t="shared" si="81"/>
        <v>55.319803256475176</v>
      </c>
      <c r="W233" s="58"/>
      <c r="X233" s="157">
        <f t="shared" si="82"/>
        <v>43319</v>
      </c>
      <c r="Y233" s="384">
        <f t="shared" si="83"/>
        <v>36.741999999999997</v>
      </c>
      <c r="Z233" s="384">
        <f t="shared" si="84"/>
        <v>36.79756993138362</v>
      </c>
      <c r="AA233" s="385">
        <f t="shared" si="85"/>
        <v>36.98819017500491</v>
      </c>
      <c r="AB233" s="196">
        <f t="shared" si="86"/>
        <v>43319</v>
      </c>
      <c r="AC233" s="425">
        <f t="shared" si="87"/>
        <v>5.1535434072171359E-3</v>
      </c>
      <c r="AD233" s="168">
        <f>(INDEX(Models!$BJ233:$BT233,,AH233)*(1-AF233)+INDEX(Models!$BJ233:$BT233,,AH233+1)*AF233-ERP_i)*AE233*Ramure*Pc/MaxiM</f>
        <v>4.8741505470794357E-5</v>
      </c>
      <c r="AE233" s="304">
        <f t="shared" si="88"/>
        <v>0.5</v>
      </c>
      <c r="AF233" s="176">
        <f t="shared" si="89"/>
        <v>0.80950100063522901</v>
      </c>
      <c r="AG233" s="814">
        <f t="shared" si="90"/>
        <v>-1</v>
      </c>
      <c r="AH233" s="175">
        <f t="shared" si="91"/>
        <v>5</v>
      </c>
      <c r="AI233" s="224">
        <f t="shared" si="92"/>
        <v>-0.19049899936477094</v>
      </c>
      <c r="AJ233" s="264" t="b">
        <f t="shared" si="93"/>
        <v>0</v>
      </c>
      <c r="AK233" s="264" t="b">
        <f t="shared" si="94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5"/>
        <v>43320</v>
      </c>
      <c r="B234" s="616">
        <v>46.039000000000001</v>
      </c>
      <c r="C234" s="389"/>
      <c r="D234" s="392">
        <f t="shared" si="97"/>
        <v>46.109640970341943</v>
      </c>
      <c r="E234" s="384">
        <f t="shared" si="101"/>
        <v>46.3518461832887</v>
      </c>
      <c r="F234" s="384">
        <f t="shared" si="100"/>
        <v>46.353500519081066</v>
      </c>
      <c r="G234" s="110">
        <f t="shared" si="102"/>
        <v>0.8338301986513984</v>
      </c>
      <c r="I234" s="379">
        <f t="shared" si="73"/>
        <v>46.353500519081066</v>
      </c>
      <c r="J234" s="85">
        <v>2018</v>
      </c>
      <c r="K234" s="196">
        <f t="shared" si="74"/>
        <v>43320</v>
      </c>
      <c r="L234" s="436">
        <f t="shared" si="75"/>
        <v>1.5320216955794219E-3</v>
      </c>
      <c r="M234" s="858"/>
      <c r="N234" s="858"/>
      <c r="O234" s="323">
        <f t="shared" si="76"/>
        <v>5.2253628040835791E-3</v>
      </c>
      <c r="P234" s="168">
        <f>(INDEX(Models!$BJ234:$BT234,,T234)*(1-R234)+INDEX(Models!$BJ234:$BT234,,T234+1)*R234-ERP_i)*Q234*Ramure*Pc/MaxiM</f>
        <v>4.6798129551861895E-5</v>
      </c>
      <c r="Q234" s="304">
        <f t="shared" si="77"/>
        <v>0.5</v>
      </c>
      <c r="R234" s="176">
        <f t="shared" si="78"/>
        <v>0.81043956499498204</v>
      </c>
      <c r="S234" s="814">
        <f t="shared" si="96"/>
        <v>-1</v>
      </c>
      <c r="T234" s="175">
        <f t="shared" si="79"/>
        <v>5</v>
      </c>
      <c r="U234" s="250">
        <f t="shared" si="80"/>
        <v>-0.18956043500501801</v>
      </c>
      <c r="V234" s="382">
        <f t="shared" si="81"/>
        <v>55.213265996518082</v>
      </c>
      <c r="W234" s="58"/>
      <c r="X234" s="157">
        <f t="shared" si="82"/>
        <v>43320</v>
      </c>
      <c r="Y234" s="384">
        <f t="shared" si="83"/>
        <v>46.039000000000001</v>
      </c>
      <c r="Z234" s="384">
        <f t="shared" si="84"/>
        <v>46.109640970341943</v>
      </c>
      <c r="AA234" s="385">
        <f t="shared" si="85"/>
        <v>46.3518461832887</v>
      </c>
      <c r="AB234" s="196">
        <f t="shared" si="86"/>
        <v>43320</v>
      </c>
      <c r="AC234" s="425">
        <f t="shared" si="87"/>
        <v>5.2253628040835791E-3</v>
      </c>
      <c r="AD234" s="168">
        <f>(INDEX(Models!$BJ234:$BT234,,AH234)*(1-AF234)+INDEX(Models!$BJ234:$BT234,,AH234+1)*AF234-ERP_i)*AE234*Ramure*Pc/MaxiM</f>
        <v>4.6798129551861895E-5</v>
      </c>
      <c r="AE234" s="304">
        <f t="shared" si="88"/>
        <v>0.5</v>
      </c>
      <c r="AF234" s="176">
        <f t="shared" si="89"/>
        <v>0.81043956499498204</v>
      </c>
      <c r="AG234" s="814">
        <f t="shared" si="90"/>
        <v>-1</v>
      </c>
      <c r="AH234" s="175">
        <f t="shared" si="91"/>
        <v>5</v>
      </c>
      <c r="AI234" s="224">
        <f t="shared" si="92"/>
        <v>-0.18956043500501801</v>
      </c>
      <c r="AJ234" s="264" t="b">
        <f t="shared" si="93"/>
        <v>0</v>
      </c>
      <c r="AK234" s="264" t="b">
        <f t="shared" si="94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5"/>
        <v>43321</v>
      </c>
      <c r="B235" s="616">
        <v>13.78</v>
      </c>
      <c r="C235" s="389"/>
      <c r="D235" s="392">
        <f t="shared" si="97"/>
        <v>13.801445938584434</v>
      </c>
      <c r="E235" s="384">
        <f t="shared" si="101"/>
        <v>13.874942763718785</v>
      </c>
      <c r="F235" s="384">
        <f t="shared" si="100"/>
        <v>13.874942763718785</v>
      </c>
      <c r="G235" s="110">
        <f t="shared" si="102"/>
        <v>0.25005799601056428</v>
      </c>
      <c r="I235" s="379">
        <f t="shared" si="73"/>
        <v>13.874942763718785</v>
      </c>
      <c r="J235" s="85">
        <v>2018</v>
      </c>
      <c r="K235" s="196">
        <f t="shared" si="74"/>
        <v>43321</v>
      </c>
      <c r="L235" s="436">
        <f t="shared" si="75"/>
        <v>1.5538907068047836E-3</v>
      </c>
      <c r="M235" s="858"/>
      <c r="N235" s="858"/>
      <c r="O235" s="323">
        <f t="shared" si="76"/>
        <v>5.297090329376768E-3</v>
      </c>
      <c r="P235" s="168">
        <f>(INDEX(Models!$BJ235:$BT235,,T235)*(1-R235)+INDEX(Models!$BJ235:$BT235,,T235+1)*R235-ERP_i)*Q235*Ramure*Pc/MaxiM</f>
        <v>4.4943406424059764E-5</v>
      </c>
      <c r="Q235" s="304">
        <f t="shared" si="77"/>
        <v>0.5</v>
      </c>
      <c r="R235" s="176">
        <f t="shared" si="78"/>
        <v>0.81134638151615901</v>
      </c>
      <c r="S235" s="814">
        <f t="shared" si="96"/>
        <v>-1</v>
      </c>
      <c r="T235" s="175">
        <f t="shared" si="79"/>
        <v>5</v>
      </c>
      <c r="U235" s="250">
        <f t="shared" si="80"/>
        <v>-0.18865361848384105</v>
      </c>
      <c r="V235" s="382">
        <f t="shared" si="81"/>
        <v>55.104739299267742</v>
      </c>
      <c r="W235" s="58"/>
      <c r="X235" s="157">
        <f t="shared" si="82"/>
        <v>43321</v>
      </c>
      <c r="Y235" s="384">
        <f t="shared" si="83"/>
        <v>13.78</v>
      </c>
      <c r="Z235" s="384">
        <f t="shared" si="84"/>
        <v>13.801445938584434</v>
      </c>
      <c r="AA235" s="385">
        <f t="shared" si="85"/>
        <v>13.874942763718785</v>
      </c>
      <c r="AB235" s="196">
        <f t="shared" si="86"/>
        <v>43321</v>
      </c>
      <c r="AC235" s="425">
        <f t="shared" si="87"/>
        <v>5.297090329376768E-3</v>
      </c>
      <c r="AD235" s="168">
        <f>(INDEX(Models!$BJ235:$BT235,,AH235)*(1-AF235)+INDEX(Models!$BJ235:$BT235,,AH235+1)*AF235-ERP_i)*AE235*Ramure*Pc/MaxiM</f>
        <v>4.4943406424059764E-5</v>
      </c>
      <c r="AE235" s="304">
        <f t="shared" si="88"/>
        <v>0.5</v>
      </c>
      <c r="AF235" s="176">
        <f t="shared" si="89"/>
        <v>0.81134638151615901</v>
      </c>
      <c r="AG235" s="814">
        <f t="shared" si="90"/>
        <v>-1</v>
      </c>
      <c r="AH235" s="175">
        <f t="shared" si="91"/>
        <v>5</v>
      </c>
      <c r="AI235" s="224">
        <f t="shared" si="92"/>
        <v>-0.18865361848384105</v>
      </c>
      <c r="AJ235" s="264" t="b">
        <f t="shared" si="93"/>
        <v>0</v>
      </c>
      <c r="AK235" s="264" t="b">
        <f t="shared" si="94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5"/>
        <v>43322</v>
      </c>
      <c r="B236" s="616">
        <v>50.500999999999998</v>
      </c>
      <c r="C236" s="389"/>
      <c r="D236" s="392">
        <f t="shared" si="97"/>
        <v>50.580703010085408</v>
      </c>
      <c r="E236" s="384">
        <f t="shared" si="101"/>
        <v>50.853722692524109</v>
      </c>
      <c r="F236" s="384">
        <f t="shared" si="100"/>
        <v>50.855662310425032</v>
      </c>
      <c r="G236" s="110">
        <f t="shared" si="102"/>
        <v>0.91829181591135156</v>
      </c>
      <c r="I236" s="379">
        <f t="shared" si="73"/>
        <v>50.855662310425032</v>
      </c>
      <c r="J236" s="85">
        <v>2018</v>
      </c>
      <c r="K236" s="196">
        <f t="shared" si="74"/>
        <v>43322</v>
      </c>
      <c r="L236" s="436">
        <f t="shared" si="75"/>
        <v>1.5757592390426289E-3</v>
      </c>
      <c r="M236" s="858"/>
      <c r="N236" s="858"/>
      <c r="O236" s="323">
        <f t="shared" si="76"/>
        <v>5.3687255914273086E-3</v>
      </c>
      <c r="P236" s="168">
        <f>(INDEX(Models!$BJ236:$BT236,,T236)*(1-R236)+INDEX(Models!$BJ236:$BT236,,T236+1)*R236-ERP_i)*Q236*Ramure*Pc/MaxiM</f>
        <v>4.3179554782403524E-5</v>
      </c>
      <c r="Q236" s="304">
        <f t="shared" si="77"/>
        <v>0.5</v>
      </c>
      <c r="R236" s="176">
        <f t="shared" si="78"/>
        <v>0.81222230679569729</v>
      </c>
      <c r="S236" s="814">
        <f t="shared" si="96"/>
        <v>-1</v>
      </c>
      <c r="T236" s="175">
        <f t="shared" si="79"/>
        <v>5</v>
      </c>
      <c r="U236" s="250">
        <f t="shared" si="80"/>
        <v>-0.18777769320430276</v>
      </c>
      <c r="V236" s="382">
        <f t="shared" si="81"/>
        <v>54.994223617986371</v>
      </c>
      <c r="W236" s="58"/>
      <c r="X236" s="157">
        <f t="shared" si="82"/>
        <v>43322</v>
      </c>
      <c r="Y236" s="384">
        <f t="shared" si="83"/>
        <v>50.500999999999998</v>
      </c>
      <c r="Z236" s="384">
        <f t="shared" si="84"/>
        <v>50.580703010085408</v>
      </c>
      <c r="AA236" s="385">
        <f t="shared" si="85"/>
        <v>50.853722692524109</v>
      </c>
      <c r="AB236" s="196">
        <f t="shared" si="86"/>
        <v>43322</v>
      </c>
      <c r="AC236" s="425">
        <f t="shared" si="87"/>
        <v>5.3687255914273086E-3</v>
      </c>
      <c r="AD236" s="168">
        <f>(INDEX(Models!$BJ236:$BT236,,AH236)*(1-AF236)+INDEX(Models!$BJ236:$BT236,,AH236+1)*AF236-ERP_i)*AE236*Ramure*Pc/MaxiM</f>
        <v>4.3179554782403524E-5</v>
      </c>
      <c r="AE236" s="304">
        <f t="shared" si="88"/>
        <v>0.5</v>
      </c>
      <c r="AF236" s="176">
        <f t="shared" si="89"/>
        <v>0.81222230679569729</v>
      </c>
      <c r="AG236" s="814">
        <f t="shared" si="90"/>
        <v>-1</v>
      </c>
      <c r="AH236" s="175">
        <f t="shared" si="91"/>
        <v>5</v>
      </c>
      <c r="AI236" s="224">
        <f t="shared" si="92"/>
        <v>-0.18777769320430276</v>
      </c>
      <c r="AJ236" s="264" t="b">
        <f t="shared" si="93"/>
        <v>0</v>
      </c>
      <c r="AK236" s="264" t="b">
        <f t="shared" si="94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5"/>
        <v>43323</v>
      </c>
      <c r="B237" s="616">
        <v>53.942</v>
      </c>
      <c r="C237" s="389"/>
      <c r="D237" s="392">
        <f t="shared" si="97"/>
        <v>54.028317113978524</v>
      </c>
      <c r="E237" s="384">
        <f t="shared" si="101"/>
        <v>54.323853441649277</v>
      </c>
      <c r="F237" s="384">
        <f t="shared" si="100"/>
        <v>54.32605328693775</v>
      </c>
      <c r="G237" s="110">
        <f t="shared" si="102"/>
        <v>0.9828763712788342</v>
      </c>
      <c r="I237" s="379">
        <f t="shared" si="73"/>
        <v>54.32605328693775</v>
      </c>
      <c r="J237" s="85">
        <v>2018</v>
      </c>
      <c r="K237" s="196">
        <f t="shared" si="74"/>
        <v>43323</v>
      </c>
      <c r="L237" s="436">
        <f t="shared" si="75"/>
        <v>1.5976272923036161E-3</v>
      </c>
      <c r="M237" s="858"/>
      <c r="N237" s="858"/>
      <c r="O237" s="323">
        <f t="shared" si="76"/>
        <v>5.4402681133103922E-3</v>
      </c>
      <c r="P237" s="168">
        <f>(INDEX(Models!$BJ237:$BT237,,T237)*(1-R237)+INDEX(Models!$BJ237:$BT237,,T237+1)*R237-ERP_i)*Q237*Ramure*Pc/MaxiM</f>
        <v>4.1508716347364608E-5</v>
      </c>
      <c r="Q237" s="304">
        <f t="shared" si="77"/>
        <v>0.5</v>
      </c>
      <c r="R237" s="176">
        <f t="shared" si="78"/>
        <v>0.81306819045950274</v>
      </c>
      <c r="S237" s="814">
        <f t="shared" si="96"/>
        <v>-1</v>
      </c>
      <c r="T237" s="175">
        <f t="shared" si="79"/>
        <v>5</v>
      </c>
      <c r="U237" s="250">
        <f t="shared" si="80"/>
        <v>-0.18693180954049726</v>
      </c>
      <c r="V237" s="382">
        <f t="shared" si="81"/>
        <v>54.881719415123079</v>
      </c>
      <c r="W237" s="58"/>
      <c r="X237" s="157">
        <f t="shared" si="82"/>
        <v>43323</v>
      </c>
      <c r="Y237" s="384">
        <f t="shared" si="83"/>
        <v>53.942</v>
      </c>
      <c r="Z237" s="384">
        <f t="shared" si="84"/>
        <v>54.028317113978524</v>
      </c>
      <c r="AA237" s="385">
        <f t="shared" si="85"/>
        <v>54.323853441649277</v>
      </c>
      <c r="AB237" s="196">
        <f t="shared" si="86"/>
        <v>43323</v>
      </c>
      <c r="AC237" s="425">
        <f t="shared" si="87"/>
        <v>5.4402681133103922E-3</v>
      </c>
      <c r="AD237" s="168">
        <f>(INDEX(Models!$BJ237:$BT237,,AH237)*(1-AF237)+INDEX(Models!$BJ237:$BT237,,AH237+1)*AF237-ERP_i)*AE237*Ramure*Pc/MaxiM</f>
        <v>4.1508716347364608E-5</v>
      </c>
      <c r="AE237" s="304">
        <f t="shared" si="88"/>
        <v>0.5</v>
      </c>
      <c r="AF237" s="176">
        <f t="shared" si="89"/>
        <v>0.81306819045950274</v>
      </c>
      <c r="AG237" s="814">
        <f t="shared" si="90"/>
        <v>-1</v>
      </c>
      <c r="AH237" s="175">
        <f t="shared" si="91"/>
        <v>5</v>
      </c>
      <c r="AI237" s="224">
        <f t="shared" si="92"/>
        <v>-0.18693180954049726</v>
      </c>
      <c r="AJ237" s="264" t="b">
        <f t="shared" si="93"/>
        <v>0</v>
      </c>
      <c r="AK237" s="264" t="b">
        <f t="shared" si="94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5"/>
        <v>43324</v>
      </c>
      <c r="B238" s="616">
        <v>51.082999999999998</v>
      </c>
      <c r="C238" s="389"/>
      <c r="D238" s="392">
        <f t="shared" si="97"/>
        <v>51.165862852234255</v>
      </c>
      <c r="E238" s="384">
        <f t="shared" si="101"/>
        <v>51.449437609309605</v>
      </c>
      <c r="F238" s="384">
        <f t="shared" si="100"/>
        <v>51.451294762618211</v>
      </c>
      <c r="G238" s="110">
        <f t="shared" si="102"/>
        <v>0.93272576686615982</v>
      </c>
      <c r="I238" s="379">
        <f t="shared" si="73"/>
        <v>51.451294762618211</v>
      </c>
      <c r="J238" s="85">
        <v>2018</v>
      </c>
      <c r="K238" s="196">
        <f t="shared" si="74"/>
        <v>43324</v>
      </c>
      <c r="L238" s="436">
        <f t="shared" si="75"/>
        <v>1.6194948665980702E-3</v>
      </c>
      <c r="M238" s="858"/>
      <c r="N238" s="858"/>
      <c r="O238" s="323">
        <f t="shared" si="76"/>
        <v>5.5117173336028018E-3</v>
      </c>
      <c r="P238" s="168">
        <f>(INDEX(Models!$BJ238:$BT238,,T238)*(1-R238)+INDEX(Models!$BJ238:$BT238,,T238+1)*R238-ERP_i)*Q238*Ramure*Pc/MaxiM</f>
        <v>3.9932960667730596E-5</v>
      </c>
      <c r="Q238" s="304">
        <f t="shared" si="77"/>
        <v>0.5</v>
      </c>
      <c r="R238" s="176">
        <f t="shared" si="78"/>
        <v>0.81388487385204233</v>
      </c>
      <c r="S238" s="814">
        <f t="shared" si="96"/>
        <v>-1</v>
      </c>
      <c r="T238" s="175">
        <f t="shared" si="79"/>
        <v>5</v>
      </c>
      <c r="U238" s="250">
        <f t="shared" si="80"/>
        <v>-0.18611512614795761</v>
      </c>
      <c r="V238" s="382">
        <f t="shared" si="81"/>
        <v>54.767227165493786</v>
      </c>
      <c r="W238" s="58"/>
      <c r="X238" s="157">
        <f t="shared" si="82"/>
        <v>43324</v>
      </c>
      <c r="Y238" s="384">
        <f t="shared" si="83"/>
        <v>51.082999999999998</v>
      </c>
      <c r="Z238" s="384">
        <f t="shared" si="84"/>
        <v>51.165862852234255</v>
      </c>
      <c r="AA238" s="385">
        <f t="shared" si="85"/>
        <v>51.449437609309605</v>
      </c>
      <c r="AB238" s="196">
        <f t="shared" si="86"/>
        <v>43324</v>
      </c>
      <c r="AC238" s="425">
        <f t="shared" si="87"/>
        <v>5.5117173336028018E-3</v>
      </c>
      <c r="AD238" s="168">
        <f>(INDEX(Models!$BJ238:$BT238,,AH238)*(1-AF238)+INDEX(Models!$BJ238:$BT238,,AH238+1)*AF238-ERP_i)*AE238*Ramure*Pc/MaxiM</f>
        <v>3.9932960667730596E-5</v>
      </c>
      <c r="AE238" s="304">
        <f t="shared" si="88"/>
        <v>0.5</v>
      </c>
      <c r="AF238" s="176">
        <f t="shared" si="89"/>
        <v>0.81388487385204233</v>
      </c>
      <c r="AG238" s="814">
        <f t="shared" si="90"/>
        <v>-1</v>
      </c>
      <c r="AH238" s="175">
        <f t="shared" si="91"/>
        <v>5</v>
      </c>
      <c r="AI238" s="224">
        <f t="shared" si="92"/>
        <v>-0.18611512614795761</v>
      </c>
      <c r="AJ238" s="264" t="b">
        <f t="shared" si="93"/>
        <v>0</v>
      </c>
      <c r="AK238" s="264" t="b">
        <f t="shared" si="94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5"/>
        <v>43325</v>
      </c>
      <c r="B239" s="616">
        <v>28.233000000000001</v>
      </c>
      <c r="C239" s="389"/>
      <c r="D239" s="392">
        <f t="shared" si="97"/>
        <v>28.27941675897393</v>
      </c>
      <c r="E239" s="384">
        <f t="shared" si="101"/>
        <v>28.438189234297667</v>
      </c>
      <c r="F239" s="384">
        <f t="shared" si="100"/>
        <v>28.438527632358689</v>
      </c>
      <c r="G239" s="110">
        <f t="shared" si="102"/>
        <v>0.51659403819444927</v>
      </c>
      <c r="I239" s="379">
        <f t="shared" si="73"/>
        <v>28.438527632358689</v>
      </c>
      <c r="J239" s="85">
        <v>2018</v>
      </c>
      <c r="K239" s="196">
        <f t="shared" si="74"/>
        <v>43325</v>
      </c>
      <c r="L239" s="436">
        <f t="shared" si="75"/>
        <v>1.6413619619365383E-3</v>
      </c>
      <c r="M239" s="858"/>
      <c r="N239" s="858"/>
      <c r="O239" s="323">
        <f t="shared" si="76"/>
        <v>5.5830726075995251E-3</v>
      </c>
      <c r="P239" s="168">
        <f>(INDEX(Models!$BJ239:$BT239,,T239)*(1-R239)+INDEX(Models!$BJ239:$BT239,,T239+1)*R239-ERP_i)*Q239*Ramure*Pc/MaxiM</f>
        <v>3.8454289661714178E-5</v>
      </c>
      <c r="Q239" s="304">
        <f t="shared" si="77"/>
        <v>0.5</v>
      </c>
      <c r="R239" s="176">
        <f t="shared" si="78"/>
        <v>0.81467318884868856</v>
      </c>
      <c r="S239" s="814">
        <f t="shared" si="96"/>
        <v>-1</v>
      </c>
      <c r="T239" s="175">
        <f t="shared" si="79"/>
        <v>5</v>
      </c>
      <c r="U239" s="250">
        <f t="shared" si="80"/>
        <v>-0.18532681115131144</v>
      </c>
      <c r="V239" s="382">
        <f t="shared" si="81"/>
        <v>54.650747349356003</v>
      </c>
      <c r="W239" s="58"/>
      <c r="X239" s="157">
        <f t="shared" si="82"/>
        <v>43325</v>
      </c>
      <c r="Y239" s="384">
        <f t="shared" si="83"/>
        <v>28.233000000000001</v>
      </c>
      <c r="Z239" s="384">
        <f t="shared" si="84"/>
        <v>28.27941675897393</v>
      </c>
      <c r="AA239" s="385">
        <f t="shared" si="85"/>
        <v>28.438189234297667</v>
      </c>
      <c r="AB239" s="196">
        <f t="shared" si="86"/>
        <v>43325</v>
      </c>
      <c r="AC239" s="425">
        <f t="shared" si="87"/>
        <v>5.5830726075995251E-3</v>
      </c>
      <c r="AD239" s="168">
        <f>(INDEX(Models!$BJ239:$BT239,,AH239)*(1-AF239)+INDEX(Models!$BJ239:$BT239,,AH239+1)*AF239-ERP_i)*AE239*Ramure*Pc/MaxiM</f>
        <v>3.8454289661714178E-5</v>
      </c>
      <c r="AE239" s="304">
        <f t="shared" si="88"/>
        <v>0.5</v>
      </c>
      <c r="AF239" s="176">
        <f t="shared" si="89"/>
        <v>0.81467318884868856</v>
      </c>
      <c r="AG239" s="814">
        <f t="shared" si="90"/>
        <v>-1</v>
      </c>
      <c r="AH239" s="175">
        <f t="shared" si="91"/>
        <v>5</v>
      </c>
      <c r="AI239" s="224">
        <f t="shared" si="92"/>
        <v>-0.18532681115131144</v>
      </c>
      <c r="AJ239" s="264" t="b">
        <f t="shared" si="93"/>
        <v>0</v>
      </c>
      <c r="AK239" s="264" t="b">
        <f t="shared" si="94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5"/>
        <v>43326</v>
      </c>
      <c r="B240" s="616">
        <v>35.401000000000003</v>
      </c>
      <c r="C240" s="389"/>
      <c r="D240" s="392">
        <f t="shared" si="97"/>
        <v>35.459978048877829</v>
      </c>
      <c r="E240" s="384">
        <f t="shared" si="101"/>
        <v>35.661620735284416</v>
      </c>
      <c r="F240" s="384">
        <f t="shared" si="100"/>
        <v>35.662283157732453</v>
      </c>
      <c r="G240" s="110">
        <f t="shared" si="102"/>
        <v>0.64916311550962158</v>
      </c>
      <c r="I240" s="379">
        <f t="shared" si="73"/>
        <v>35.662283157732453</v>
      </c>
      <c r="J240" s="85">
        <v>2018</v>
      </c>
      <c r="K240" s="196">
        <f t="shared" si="74"/>
        <v>43326</v>
      </c>
      <c r="L240" s="436">
        <f t="shared" si="75"/>
        <v>1.6632285783294565E-3</v>
      </c>
      <c r="M240" s="858"/>
      <c r="N240" s="858"/>
      <c r="O240" s="323">
        <f t="shared" si="76"/>
        <v>5.6543332088963534E-3</v>
      </c>
      <c r="P240" s="168">
        <f>(INDEX(Models!$BJ240:$BT240,,T240)*(1-R240)+INDEX(Models!$BJ240:$BT240,,T240+1)*R240-ERP_i)*Q240*Ramure*Pc/MaxiM</f>
        <v>3.7237499308658062E-5</v>
      </c>
      <c r="Q240" s="304">
        <f t="shared" si="77"/>
        <v>0.5</v>
      </c>
      <c r="R240" s="176">
        <f t="shared" si="78"/>
        <v>0.81543395678525799</v>
      </c>
      <c r="S240" s="814">
        <f t="shared" si="96"/>
        <v>-1</v>
      </c>
      <c r="T240" s="175">
        <f t="shared" si="79"/>
        <v>5</v>
      </c>
      <c r="U240" s="250">
        <f t="shared" si="80"/>
        <v>-0.18456604321474207</v>
      </c>
      <c r="V240" s="382">
        <f t="shared" si="81"/>
        <v>54.53227157610462</v>
      </c>
      <c r="W240" s="58"/>
      <c r="X240" s="157">
        <f t="shared" si="82"/>
        <v>43326</v>
      </c>
      <c r="Y240" s="384">
        <f t="shared" si="83"/>
        <v>35.401000000000003</v>
      </c>
      <c r="Z240" s="384">
        <f t="shared" si="84"/>
        <v>35.459978048877829</v>
      </c>
      <c r="AA240" s="385">
        <f t="shared" si="85"/>
        <v>35.661620735284416</v>
      </c>
      <c r="AB240" s="196">
        <f t="shared" si="86"/>
        <v>43326</v>
      </c>
      <c r="AC240" s="425">
        <f t="shared" si="87"/>
        <v>5.6543332088963534E-3</v>
      </c>
      <c r="AD240" s="168">
        <f>(INDEX(Models!$BJ240:$BT240,,AH240)*(1-AF240)+INDEX(Models!$BJ240:$BT240,,AH240+1)*AF240-ERP_i)*AE240*Ramure*Pc/MaxiM</f>
        <v>3.7237499308658062E-5</v>
      </c>
      <c r="AE240" s="304">
        <f t="shared" si="88"/>
        <v>0.5</v>
      </c>
      <c r="AF240" s="176">
        <f t="shared" si="89"/>
        <v>0.81543395678525799</v>
      </c>
      <c r="AG240" s="814">
        <f t="shared" si="90"/>
        <v>-1</v>
      </c>
      <c r="AH240" s="175">
        <f t="shared" si="91"/>
        <v>5</v>
      </c>
      <c r="AI240" s="224">
        <f t="shared" si="92"/>
        <v>-0.18456604321474207</v>
      </c>
      <c r="AJ240" s="264" t="b">
        <f t="shared" si="93"/>
        <v>0</v>
      </c>
      <c r="AK240" s="264" t="b">
        <f t="shared" si="94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5"/>
        <v>43327</v>
      </c>
      <c r="B241" s="616">
        <v>54.055</v>
      </c>
      <c r="C241" s="389"/>
      <c r="D241" s="392">
        <f t="shared" si="97"/>
        <v>54.146241545508083</v>
      </c>
      <c r="E241" s="384">
        <f t="shared" si="101"/>
        <v>54.458040968194126</v>
      </c>
      <c r="F241" s="384">
        <f t="shared" si="100"/>
        <v>54.459997130630313</v>
      </c>
      <c r="G241" s="110">
        <f t="shared" si="102"/>
        <v>0.99344222867184562</v>
      </c>
      <c r="I241" s="379">
        <f t="shared" si="73"/>
        <v>54.459997130630313</v>
      </c>
      <c r="J241" s="85">
        <v>2018</v>
      </c>
      <c r="K241" s="196">
        <f t="shared" si="74"/>
        <v>43327</v>
      </c>
      <c r="L241" s="436">
        <f t="shared" si="75"/>
        <v>1.6850947157873719E-3</v>
      </c>
      <c r="M241" s="858"/>
      <c r="N241" s="858"/>
      <c r="O241" s="323">
        <f t="shared" si="76"/>
        <v>5.7254983312409009E-3</v>
      </c>
      <c r="P241" s="168">
        <f>(INDEX(Models!$BJ241:$BT241,,T241)*(1-R241)+INDEX(Models!$BJ241:$BT241,,T241+1)*R241-ERP_i)*Q241*Ramure*Pc/MaxiM</f>
        <v>3.6258918325373811E-5</v>
      </c>
      <c r="Q241" s="304">
        <f t="shared" si="77"/>
        <v>0.5</v>
      </c>
      <c r="R241" s="176">
        <f t="shared" si="78"/>
        <v>0.81616798749908204</v>
      </c>
      <c r="S241" s="814">
        <f t="shared" si="96"/>
        <v>-1</v>
      </c>
      <c r="T241" s="175">
        <f t="shared" si="79"/>
        <v>5</v>
      </c>
      <c r="U241" s="250">
        <f t="shared" si="80"/>
        <v>-0.18383201250091796</v>
      </c>
      <c r="V241" s="382">
        <f t="shared" si="81"/>
        <v>54.41180179245984</v>
      </c>
      <c r="W241" s="58"/>
      <c r="X241" s="157">
        <f t="shared" si="82"/>
        <v>43327</v>
      </c>
      <c r="Y241" s="384">
        <f t="shared" si="83"/>
        <v>54.055</v>
      </c>
      <c r="Z241" s="384">
        <f t="shared" si="84"/>
        <v>54.146241545508083</v>
      </c>
      <c r="AA241" s="385">
        <f t="shared" si="85"/>
        <v>54.458040968194126</v>
      </c>
      <c r="AB241" s="196">
        <f t="shared" si="86"/>
        <v>43327</v>
      </c>
      <c r="AC241" s="425">
        <f t="shared" si="87"/>
        <v>5.7254983312409009E-3</v>
      </c>
      <c r="AD241" s="168">
        <f>(INDEX(Models!$BJ241:$BT241,,AH241)*(1-AF241)+INDEX(Models!$BJ241:$BT241,,AH241+1)*AF241-ERP_i)*AE241*Ramure*Pc/MaxiM</f>
        <v>3.6258918325373811E-5</v>
      </c>
      <c r="AE241" s="304">
        <f t="shared" si="88"/>
        <v>0.5</v>
      </c>
      <c r="AF241" s="176">
        <f t="shared" si="89"/>
        <v>0.81616798749908204</v>
      </c>
      <c r="AG241" s="814">
        <f t="shared" si="90"/>
        <v>-1</v>
      </c>
      <c r="AH241" s="175">
        <f t="shared" si="91"/>
        <v>5</v>
      </c>
      <c r="AI241" s="224">
        <f t="shared" si="92"/>
        <v>-0.18383201250091796</v>
      </c>
      <c r="AJ241" s="264" t="b">
        <f t="shared" si="93"/>
        <v>0</v>
      </c>
      <c r="AK241" s="264" t="b">
        <f t="shared" si="94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5"/>
        <v>43328</v>
      </c>
      <c r="B242" s="616">
        <v>50.716999999999999</v>
      </c>
      <c r="C242" s="389"/>
      <c r="D242" s="392">
        <f t="shared" si="97"/>
        <v>50.803719936800206</v>
      </c>
      <c r="E242" s="384">
        <f t="shared" si="101"/>
        <v>51.099924075023225</v>
      </c>
      <c r="F242" s="384">
        <f t="shared" si="100"/>
        <v>51.101568672833004</v>
      </c>
      <c r="G242" s="110">
        <f t="shared" si="102"/>
        <v>0.93419503858718134</v>
      </c>
      <c r="I242" s="379">
        <f t="shared" si="73"/>
        <v>51.101568672833004</v>
      </c>
      <c r="J242" s="85">
        <v>2018</v>
      </c>
      <c r="K242" s="196">
        <f t="shared" si="74"/>
        <v>43328</v>
      </c>
      <c r="L242" s="436">
        <f t="shared" si="75"/>
        <v>1.7069603743207207E-3</v>
      </c>
      <c r="M242" s="858"/>
      <c r="N242" s="858"/>
      <c r="O242" s="323">
        <f t="shared" si="76"/>
        <v>5.7965670905526095E-3</v>
      </c>
      <c r="P242" s="168">
        <f>(INDEX(Models!$BJ242:$BT242,,T242)*(1-R242)+INDEX(Models!$BJ242:$BT242,,T242+1)*R242-ERP_i)*Q242*Ramure*Pc/MaxiM</f>
        <v>3.5522092366843669E-5</v>
      </c>
      <c r="Q242" s="304">
        <f t="shared" si="77"/>
        <v>0.5</v>
      </c>
      <c r="R242" s="176">
        <f t="shared" si="78"/>
        <v>0.81687607847589327</v>
      </c>
      <c r="S242" s="814">
        <f t="shared" si="96"/>
        <v>-1</v>
      </c>
      <c r="T242" s="175">
        <f t="shared" si="79"/>
        <v>5</v>
      </c>
      <c r="U242" s="250">
        <f t="shared" si="80"/>
        <v>-0.18312392152410673</v>
      </c>
      <c r="V242" s="382">
        <f t="shared" si="81"/>
        <v>54.289338464650889</v>
      </c>
      <c r="W242" s="58"/>
      <c r="X242" s="157">
        <f t="shared" si="82"/>
        <v>43328</v>
      </c>
      <c r="Y242" s="384">
        <f t="shared" si="83"/>
        <v>50.716999999999999</v>
      </c>
      <c r="Z242" s="384">
        <f t="shared" si="84"/>
        <v>50.803719936800206</v>
      </c>
      <c r="AA242" s="385">
        <f t="shared" si="85"/>
        <v>51.099924075023225</v>
      </c>
      <c r="AB242" s="196">
        <f t="shared" si="86"/>
        <v>43328</v>
      </c>
      <c r="AC242" s="425">
        <f t="shared" si="87"/>
        <v>5.7965670905526095E-3</v>
      </c>
      <c r="AD242" s="168">
        <f>(INDEX(Models!$BJ242:$BT242,,AH242)*(1-AF242)+INDEX(Models!$BJ242:$BT242,,AH242+1)*AF242-ERP_i)*AE242*Ramure*Pc/MaxiM</f>
        <v>3.5522092366843669E-5</v>
      </c>
      <c r="AE242" s="304">
        <f t="shared" si="88"/>
        <v>0.5</v>
      </c>
      <c r="AF242" s="176">
        <f t="shared" si="89"/>
        <v>0.81687607847589327</v>
      </c>
      <c r="AG242" s="814">
        <f t="shared" si="90"/>
        <v>-1</v>
      </c>
      <c r="AH242" s="175">
        <f t="shared" si="91"/>
        <v>5</v>
      </c>
      <c r="AI242" s="224">
        <f t="shared" si="92"/>
        <v>-0.18312392152410673</v>
      </c>
      <c r="AJ242" s="264" t="b">
        <f t="shared" si="93"/>
        <v>0</v>
      </c>
      <c r="AK242" s="264" t="b">
        <f t="shared" si="94"/>
        <v>0</v>
      </c>
      <c r="AL242" s="264"/>
      <c r="AM242" s="264"/>
      <c r="AN242" s="75"/>
    </row>
    <row r="243" spans="1:40" s="6" customFormat="1" ht="11.25" x14ac:dyDescent="0.2">
      <c r="A243" s="56">
        <f t="shared" si="95"/>
        <v>43329</v>
      </c>
      <c r="B243" s="616">
        <v>31.542999999999999</v>
      </c>
      <c r="C243" s="389"/>
      <c r="D243" s="392">
        <f t="shared" si="97"/>
        <v>31.597626784629128</v>
      </c>
      <c r="E243" s="384">
        <f t="shared" si="101"/>
        <v>31.784121341145525</v>
      </c>
      <c r="F243" s="384">
        <f t="shared" si="100"/>
        <v>31.784570452896102</v>
      </c>
      <c r="G243" s="110">
        <f t="shared" si="102"/>
        <v>0.58233932243233277</v>
      </c>
      <c r="I243" s="379">
        <f t="shared" si="73"/>
        <v>31.784570452896102</v>
      </c>
      <c r="J243" s="85">
        <v>2018</v>
      </c>
      <c r="K243" s="196">
        <f t="shared" si="74"/>
        <v>43329</v>
      </c>
      <c r="L243" s="436">
        <f t="shared" si="75"/>
        <v>1.7288255539400499E-3</v>
      </c>
      <c r="M243" s="858"/>
      <c r="N243" s="858"/>
      <c r="O243" s="323">
        <f t="shared" si="76"/>
        <v>5.8675385270119977E-3</v>
      </c>
      <c r="P243" s="168">
        <f>(INDEX(Models!$BJ243:$BT243,,T243)*(1-R243)+INDEX(Models!$BJ243:$BT243,,T243+1)*R243-ERP_i)*Q243*Ramure*Pc/MaxiM</f>
        <v>3.5030474602719797E-5</v>
      </c>
      <c r="Q243" s="304">
        <f t="shared" si="77"/>
        <v>0.5</v>
      </c>
      <c r="R243" s="176">
        <f t="shared" si="78"/>
        <v>0.81755901409680487</v>
      </c>
      <c r="S243" s="814">
        <f t="shared" si="96"/>
        <v>-1</v>
      </c>
      <c r="T243" s="175">
        <f t="shared" si="79"/>
        <v>5</v>
      </c>
      <c r="U243" s="250">
        <f t="shared" si="80"/>
        <v>-0.18244098590319513</v>
      </c>
      <c r="V243" s="382">
        <f t="shared" si="81"/>
        <v>54.164882067502013</v>
      </c>
      <c r="W243" s="58"/>
      <c r="X243" s="157">
        <f t="shared" si="82"/>
        <v>43329</v>
      </c>
      <c r="Y243" s="384">
        <f t="shared" si="83"/>
        <v>31.542999999999999</v>
      </c>
      <c r="Z243" s="384">
        <f t="shared" si="84"/>
        <v>31.597626784629128</v>
      </c>
      <c r="AA243" s="385">
        <f t="shared" si="85"/>
        <v>31.784121341145525</v>
      </c>
      <c r="AB243" s="196">
        <f t="shared" si="86"/>
        <v>43329</v>
      </c>
      <c r="AC243" s="425">
        <f t="shared" si="87"/>
        <v>5.8675385270119977E-3</v>
      </c>
      <c r="AD243" s="168">
        <f>(INDEX(Models!$BJ243:$BT243,,AH243)*(1-AF243)+INDEX(Models!$BJ243:$BT243,,AH243+1)*AF243-ERP_i)*AE243*Ramure*Pc/MaxiM</f>
        <v>3.5030474602719797E-5</v>
      </c>
      <c r="AE243" s="304">
        <f t="shared" si="88"/>
        <v>0.5</v>
      </c>
      <c r="AF243" s="176">
        <f t="shared" si="89"/>
        <v>0.81755901409680487</v>
      </c>
      <c r="AG243" s="814">
        <f t="shared" si="90"/>
        <v>-1</v>
      </c>
      <c r="AH243" s="175">
        <f t="shared" si="91"/>
        <v>5</v>
      </c>
      <c r="AI243" s="224">
        <f t="shared" si="92"/>
        <v>-0.18244098590319513</v>
      </c>
      <c r="AJ243" s="264" t="b">
        <f t="shared" si="93"/>
        <v>0</v>
      </c>
      <c r="AK243" s="264" t="b">
        <f t="shared" si="94"/>
        <v>0</v>
      </c>
      <c r="AL243" s="264"/>
      <c r="AM243" s="264"/>
      <c r="AN243" s="75"/>
    </row>
    <row r="244" spans="1:40" s="6" customFormat="1" ht="11.25" x14ac:dyDescent="0.2">
      <c r="A244" s="56">
        <f t="shared" si="95"/>
        <v>43330</v>
      </c>
      <c r="B244" s="616">
        <v>28.608000000000001</v>
      </c>
      <c r="C244" s="389"/>
      <c r="D244" s="392">
        <f t="shared" si="97"/>
        <v>28.658171581704348</v>
      </c>
      <c r="E244" s="384">
        <f t="shared" si="101"/>
        <v>28.829372260562462</v>
      </c>
      <c r="F244" s="384">
        <f t="shared" si="100"/>
        <v>28.829700930321124</v>
      </c>
      <c r="G244" s="110">
        <f t="shared" si="102"/>
        <v>0.52938860918834219</v>
      </c>
      <c r="I244" s="379">
        <f t="shared" si="73"/>
        <v>28.829700930321124</v>
      </c>
      <c r="J244" s="85">
        <v>2018</v>
      </c>
      <c r="K244" s="196">
        <f t="shared" si="74"/>
        <v>43330</v>
      </c>
      <c r="L244" s="436">
        <f t="shared" si="75"/>
        <v>1.7506902546559067E-3</v>
      </c>
      <c r="M244" s="858"/>
      <c r="N244" s="858"/>
      <c r="O244" s="323">
        <f t="shared" si="76"/>
        <v>5.9384116071201929E-3</v>
      </c>
      <c r="P244" s="168">
        <f>(INDEX(Models!$BJ244:$BT244,,T244)*(1-R244)+INDEX(Models!$BJ244:$BT244,,T244+1)*R244-ERP_i)*Q244*Ramure*Pc/MaxiM</f>
        <v>3.4787431171896361E-5</v>
      </c>
      <c r="Q244" s="304">
        <f t="shared" si="77"/>
        <v>0.5</v>
      </c>
      <c r="R244" s="176">
        <f t="shared" si="78"/>
        <v>0.818217564979693</v>
      </c>
      <c r="S244" s="814">
        <f t="shared" si="96"/>
        <v>-1</v>
      </c>
      <c r="T244" s="175">
        <f t="shared" si="79"/>
        <v>5</v>
      </c>
      <c r="U244" s="250">
        <f t="shared" si="80"/>
        <v>-0.18178243502030694</v>
      </c>
      <c r="V244" s="382">
        <f t="shared" si="81"/>
        <v>54.038433089227844</v>
      </c>
      <c r="W244" s="58"/>
      <c r="X244" s="157">
        <f t="shared" si="82"/>
        <v>43330</v>
      </c>
      <c r="Y244" s="384">
        <f t="shared" si="83"/>
        <v>28.608000000000001</v>
      </c>
      <c r="Z244" s="384">
        <f t="shared" si="84"/>
        <v>28.658171581704348</v>
      </c>
      <c r="AA244" s="385">
        <f t="shared" si="85"/>
        <v>28.829372260562462</v>
      </c>
      <c r="AB244" s="196">
        <f t="shared" si="86"/>
        <v>43330</v>
      </c>
      <c r="AC244" s="425">
        <f t="shared" si="87"/>
        <v>5.9384116071201929E-3</v>
      </c>
      <c r="AD244" s="168">
        <f>(INDEX(Models!$BJ244:$BT244,,AH244)*(1-AF244)+INDEX(Models!$BJ244:$BT244,,AH244+1)*AF244-ERP_i)*AE244*Ramure*Pc/MaxiM</f>
        <v>3.4787431171896361E-5</v>
      </c>
      <c r="AE244" s="304">
        <f t="shared" si="88"/>
        <v>0.5</v>
      </c>
      <c r="AF244" s="176">
        <f t="shared" si="89"/>
        <v>0.818217564979693</v>
      </c>
      <c r="AG244" s="814">
        <f t="shared" si="90"/>
        <v>-1</v>
      </c>
      <c r="AH244" s="175">
        <f t="shared" si="91"/>
        <v>5</v>
      </c>
      <c r="AI244" s="224">
        <f t="shared" si="92"/>
        <v>-0.18178243502030694</v>
      </c>
      <c r="AJ244" s="264" t="b">
        <f t="shared" si="93"/>
        <v>0</v>
      </c>
      <c r="AK244" s="264" t="b">
        <f t="shared" si="94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5"/>
        <v>43331</v>
      </c>
      <c r="B245" s="616">
        <v>50.908000000000001</v>
      </c>
      <c r="C245" s="389"/>
      <c r="D245" s="392">
        <f t="shared" si="97"/>
        <v>50.998397437671379</v>
      </c>
      <c r="E245" s="384">
        <f t="shared" si="101"/>
        <v>51.30670895510022</v>
      </c>
      <c r="F245" s="384">
        <f t="shared" si="100"/>
        <v>51.308352268844715</v>
      </c>
      <c r="G245" s="110">
        <f t="shared" si="102"/>
        <v>0.94431212403792653</v>
      </c>
      <c r="I245" s="379">
        <f t="shared" si="73"/>
        <v>51.308352268844715</v>
      </c>
      <c r="J245" s="85">
        <v>2018</v>
      </c>
      <c r="K245" s="196">
        <f t="shared" si="74"/>
        <v>43331</v>
      </c>
      <c r="L245" s="436">
        <f t="shared" si="75"/>
        <v>1.7725544764786161E-3</v>
      </c>
      <c r="M245" s="858"/>
      <c r="N245" s="858"/>
      <c r="O245" s="323">
        <f t="shared" si="76"/>
        <v>6.0091852256329613E-3</v>
      </c>
      <c r="P245" s="168">
        <f>(INDEX(Models!$BJ245:$BT245,,T245)*(1-R245)+INDEX(Models!$BJ245:$BT245,,T245+1)*R245-ERP_i)*Q245*Ramure*Pc/MaxiM</f>
        <v>3.4796246146014667E-5</v>
      </c>
      <c r="Q245" s="304">
        <f t="shared" si="77"/>
        <v>0.5</v>
      </c>
      <c r="R245" s="176">
        <f t="shared" si="78"/>
        <v>0.81885248740935657</v>
      </c>
      <c r="S245" s="814">
        <f t="shared" si="96"/>
        <v>-1</v>
      </c>
      <c r="T245" s="175">
        <f t="shared" si="79"/>
        <v>5</v>
      </c>
      <c r="U245" s="250">
        <f t="shared" si="80"/>
        <v>-0.18114751259064338</v>
      </c>
      <c r="V245" s="382">
        <f t="shared" si="81"/>
        <v>53.909992028576781</v>
      </c>
      <c r="W245" s="58"/>
      <c r="X245" s="157">
        <f t="shared" si="82"/>
        <v>43331</v>
      </c>
      <c r="Y245" s="384">
        <f t="shared" si="83"/>
        <v>50.908000000000001</v>
      </c>
      <c r="Z245" s="384">
        <f t="shared" si="84"/>
        <v>50.998397437671379</v>
      </c>
      <c r="AA245" s="385">
        <f t="shared" si="85"/>
        <v>51.30670895510022</v>
      </c>
      <c r="AB245" s="196">
        <f t="shared" si="86"/>
        <v>43331</v>
      </c>
      <c r="AC245" s="425">
        <f t="shared" si="87"/>
        <v>6.0091852256329613E-3</v>
      </c>
      <c r="AD245" s="168">
        <f>(INDEX(Models!$BJ245:$BT245,,AH245)*(1-AF245)+INDEX(Models!$BJ245:$BT245,,AH245+1)*AF245-ERP_i)*AE245*Ramure*Pc/MaxiM</f>
        <v>3.4796246146014667E-5</v>
      </c>
      <c r="AE245" s="304">
        <f t="shared" si="88"/>
        <v>0.5</v>
      </c>
      <c r="AF245" s="176">
        <f t="shared" si="89"/>
        <v>0.81885248740935657</v>
      </c>
      <c r="AG245" s="814">
        <f t="shared" si="90"/>
        <v>-1</v>
      </c>
      <c r="AH245" s="175">
        <f t="shared" si="91"/>
        <v>5</v>
      </c>
      <c r="AI245" s="224">
        <f t="shared" si="92"/>
        <v>-0.18114751259064338</v>
      </c>
      <c r="AJ245" s="264" t="b">
        <f t="shared" si="93"/>
        <v>0</v>
      </c>
      <c r="AK245" s="264" t="b">
        <f t="shared" si="94"/>
        <v>0</v>
      </c>
      <c r="AL245" s="264"/>
      <c r="AM245" s="264"/>
      <c r="AN245" s="75"/>
    </row>
    <row r="246" spans="1:40" s="6" customFormat="1" ht="11.25" x14ac:dyDescent="0.2">
      <c r="A246" s="56">
        <f t="shared" si="95"/>
        <v>43332</v>
      </c>
      <c r="B246" s="616">
        <v>52.546999999999997</v>
      </c>
      <c r="C246" s="389"/>
      <c r="D246" s="392">
        <f t="shared" si="97"/>
        <v>52.64146079634979</v>
      </c>
      <c r="E246" s="384">
        <f t="shared" si="101"/>
        <v>52.963471191358487</v>
      </c>
      <c r="F246" s="384">
        <f t="shared" si="100"/>
        <v>52.965267361196894</v>
      </c>
      <c r="G246" s="110">
        <f t="shared" si="102"/>
        <v>0.97708014473895111</v>
      </c>
      <c r="I246" s="379">
        <f t="shared" si="73"/>
        <v>52.965267361196894</v>
      </c>
      <c r="J246" s="85">
        <v>2018</v>
      </c>
      <c r="K246" s="196">
        <f t="shared" si="74"/>
        <v>43332</v>
      </c>
      <c r="L246" s="436">
        <f t="shared" si="75"/>
        <v>1.7944182194188363E-3</v>
      </c>
      <c r="M246" s="858"/>
      <c r="N246" s="858"/>
      <c r="O246" s="323">
        <f t="shared" si="76"/>
        <v>6.0798582072775905E-3</v>
      </c>
      <c r="P246" s="168">
        <f>(INDEX(Models!$BJ246:$BT246,,T246)*(1-R246)+INDEX(Models!$BJ246:$BT246,,T246+1)*R246-ERP_i)*Q246*Ramure*Pc/MaxiM</f>
        <v>3.506012601188078E-5</v>
      </c>
      <c r="Q246" s="304">
        <f t="shared" si="77"/>
        <v>0.5</v>
      </c>
      <c r="R246" s="176">
        <f t="shared" si="78"/>
        <v>0.81946452285092786</v>
      </c>
      <c r="S246" s="814">
        <f t="shared" si="96"/>
        <v>-1</v>
      </c>
      <c r="T246" s="175">
        <f t="shared" si="79"/>
        <v>5</v>
      </c>
      <c r="U246" s="250">
        <f t="shared" si="80"/>
        <v>-0.1805354771490722</v>
      </c>
      <c r="V246" s="382">
        <f t="shared" si="81"/>
        <v>53.77955939634333</v>
      </c>
      <c r="W246" s="58"/>
      <c r="X246" s="157">
        <f t="shared" si="82"/>
        <v>43332</v>
      </c>
      <c r="Y246" s="384">
        <f t="shared" si="83"/>
        <v>52.546999999999997</v>
      </c>
      <c r="Z246" s="384">
        <f t="shared" si="84"/>
        <v>52.64146079634979</v>
      </c>
      <c r="AA246" s="385">
        <f t="shared" si="85"/>
        <v>52.963471191358487</v>
      </c>
      <c r="AB246" s="196">
        <f t="shared" si="86"/>
        <v>43332</v>
      </c>
      <c r="AC246" s="425">
        <f t="shared" si="87"/>
        <v>6.0798582072775905E-3</v>
      </c>
      <c r="AD246" s="168">
        <f>(INDEX(Models!$BJ246:$BT246,,AH246)*(1-AF246)+INDEX(Models!$BJ246:$BT246,,AH246+1)*AF246-ERP_i)*AE246*Ramure*Pc/MaxiM</f>
        <v>3.506012601188078E-5</v>
      </c>
      <c r="AE246" s="304">
        <f t="shared" si="88"/>
        <v>0.5</v>
      </c>
      <c r="AF246" s="176">
        <f t="shared" si="89"/>
        <v>0.81946452285092786</v>
      </c>
      <c r="AG246" s="814">
        <f t="shared" si="90"/>
        <v>-1</v>
      </c>
      <c r="AH246" s="175">
        <f t="shared" si="91"/>
        <v>5</v>
      </c>
      <c r="AI246" s="224">
        <f t="shared" si="92"/>
        <v>-0.1805354771490722</v>
      </c>
      <c r="AJ246" s="264" t="b">
        <f t="shared" si="93"/>
        <v>0</v>
      </c>
      <c r="AK246" s="264" t="b">
        <f t="shared" si="94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5"/>
        <v>43333</v>
      </c>
      <c r="B247" s="616">
        <v>51.82</v>
      </c>
      <c r="C247" s="389"/>
      <c r="D247" s="392">
        <f t="shared" si="97"/>
        <v>51.914290965408824</v>
      </c>
      <c r="E247" s="384">
        <f t="shared" si="101"/>
        <v>52.235562097461624</v>
      </c>
      <c r="F247" s="384">
        <f t="shared" si="100"/>
        <v>52.237330268204516</v>
      </c>
      <c r="G247" s="110">
        <f t="shared" si="102"/>
        <v>0.965914766405226</v>
      </c>
      <c r="I247" s="379">
        <f t="shared" si="73"/>
        <v>52.237330268204516</v>
      </c>
      <c r="J247" s="85">
        <v>2018</v>
      </c>
      <c r="K247" s="196">
        <f t="shared" si="74"/>
        <v>43333</v>
      </c>
      <c r="L247" s="436">
        <f t="shared" si="75"/>
        <v>1.8162814834868923E-3</v>
      </c>
      <c r="M247" s="858"/>
      <c r="N247" s="858"/>
      <c r="O247" s="323">
        <f t="shared" si="76"/>
        <v>6.1504293081669085E-3</v>
      </c>
      <c r="P247" s="168">
        <f>(INDEX(Models!$BJ247:$BT247,,T247)*(1-R247)+INDEX(Models!$BJ247:$BT247,,T247+1)*R247-ERP_i)*Q247*Ramure*Pc/MaxiM</f>
        <v>3.5581276981800292E-5</v>
      </c>
      <c r="Q247" s="304">
        <f t="shared" si="77"/>
        <v>0.5</v>
      </c>
      <c r="R247" s="176">
        <f t="shared" si="78"/>
        <v>0.8200543975411263</v>
      </c>
      <c r="S247" s="814">
        <f t="shared" si="96"/>
        <v>-1</v>
      </c>
      <c r="T247" s="175">
        <f t="shared" si="79"/>
        <v>5</v>
      </c>
      <c r="U247" s="250">
        <f t="shared" si="80"/>
        <v>-0.17994560245887364</v>
      </c>
      <c r="V247" s="382">
        <f t="shared" si="81"/>
        <v>53.648532999094662</v>
      </c>
      <c r="W247" s="58"/>
      <c r="X247" s="157">
        <f t="shared" si="82"/>
        <v>43333</v>
      </c>
      <c r="Y247" s="384">
        <f t="shared" si="83"/>
        <v>51.82</v>
      </c>
      <c r="Z247" s="384">
        <f t="shared" si="84"/>
        <v>51.914290965408824</v>
      </c>
      <c r="AA247" s="385">
        <f t="shared" si="85"/>
        <v>52.235562097461624</v>
      </c>
      <c r="AB247" s="196">
        <f t="shared" si="86"/>
        <v>43333</v>
      </c>
      <c r="AC247" s="425">
        <f t="shared" si="87"/>
        <v>6.1504293081669085E-3</v>
      </c>
      <c r="AD247" s="168">
        <f>(INDEX(Models!$BJ247:$BT247,,AH247)*(1-AF247)+INDEX(Models!$BJ247:$BT247,,AH247+1)*AF247-ERP_i)*AE247*Ramure*Pc/MaxiM</f>
        <v>3.5581276981800292E-5</v>
      </c>
      <c r="AE247" s="304">
        <f t="shared" si="88"/>
        <v>0.5</v>
      </c>
      <c r="AF247" s="176">
        <f t="shared" si="89"/>
        <v>0.8200543975411263</v>
      </c>
      <c r="AG247" s="814">
        <f t="shared" si="90"/>
        <v>-1</v>
      </c>
      <c r="AH247" s="175">
        <f t="shared" si="91"/>
        <v>5</v>
      </c>
      <c r="AI247" s="224">
        <f t="shared" si="92"/>
        <v>-0.17994560245887364</v>
      </c>
      <c r="AJ247" s="264" t="b">
        <f t="shared" si="93"/>
        <v>0</v>
      </c>
      <c r="AK247" s="264" t="b">
        <f t="shared" si="94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5"/>
        <v>43334</v>
      </c>
      <c r="B248" s="616">
        <v>51.204000000000001</v>
      </c>
      <c r="C248" s="389"/>
      <c r="D248" s="392">
        <f t="shared" si="97"/>
        <v>51.298293664493137</v>
      </c>
      <c r="E248" s="384">
        <f t="shared" si="101"/>
        <v>51.619412725451419</v>
      </c>
      <c r="F248" s="384">
        <f t="shared" si="100"/>
        <v>51.621175688544255</v>
      </c>
      <c r="G248" s="110">
        <f t="shared" si="102"/>
        <v>0.95676223722692233</v>
      </c>
      <c r="I248" s="379">
        <f t="shared" si="73"/>
        <v>51.621175688544255</v>
      </c>
      <c r="J248" s="85">
        <v>2018</v>
      </c>
      <c r="K248" s="196">
        <f t="shared" si="74"/>
        <v>43334</v>
      </c>
      <c r="L248" s="436">
        <f t="shared" si="75"/>
        <v>1.8381442686933314E-3</v>
      </c>
      <c r="M248" s="858"/>
      <c r="N248" s="858"/>
      <c r="O248" s="323">
        <f t="shared" si="76"/>
        <v>6.2208972168323945E-3</v>
      </c>
      <c r="P248" s="168">
        <f>(INDEX(Models!$BJ248:$BT248,,T248)*(1-R248)+INDEX(Models!$BJ248:$BT248,,T248+1)*R248-ERP_i)*Q248*Ramure*Pc/MaxiM</f>
        <v>3.6400200261207618E-5</v>
      </c>
      <c r="Q248" s="304">
        <f t="shared" si="77"/>
        <v>0.5</v>
      </c>
      <c r="R248" s="176">
        <f t="shared" si="78"/>
        <v>0.82062282215209736</v>
      </c>
      <c r="S248" s="814">
        <f t="shared" si="96"/>
        <v>-1</v>
      </c>
      <c r="T248" s="175">
        <f t="shared" si="79"/>
        <v>5</v>
      </c>
      <c r="U248" s="250">
        <f t="shared" si="80"/>
        <v>-0.17937717784790264</v>
      </c>
      <c r="V248" s="382">
        <f t="shared" si="81"/>
        <v>53.517878197574703</v>
      </c>
      <c r="W248" s="58"/>
      <c r="X248" s="157">
        <f t="shared" si="82"/>
        <v>43334</v>
      </c>
      <c r="Y248" s="384">
        <f t="shared" si="83"/>
        <v>51.204000000000001</v>
      </c>
      <c r="Z248" s="384">
        <f t="shared" si="84"/>
        <v>51.298293664493137</v>
      </c>
      <c r="AA248" s="385">
        <f t="shared" si="85"/>
        <v>51.619412725451419</v>
      </c>
      <c r="AB248" s="196">
        <f t="shared" si="86"/>
        <v>43334</v>
      </c>
      <c r="AC248" s="425">
        <f t="shared" si="87"/>
        <v>6.2208972168323945E-3</v>
      </c>
      <c r="AD248" s="168">
        <f>(INDEX(Models!$BJ248:$BT248,,AH248)*(1-AF248)+INDEX(Models!$BJ248:$BT248,,AH248+1)*AF248-ERP_i)*AE248*Ramure*Pc/MaxiM</f>
        <v>3.6400200261207618E-5</v>
      </c>
      <c r="AE248" s="304">
        <f t="shared" si="88"/>
        <v>0.5</v>
      </c>
      <c r="AF248" s="176">
        <f t="shared" si="89"/>
        <v>0.82062282215209736</v>
      </c>
      <c r="AG248" s="814">
        <f t="shared" si="90"/>
        <v>-1</v>
      </c>
      <c r="AH248" s="175">
        <f t="shared" si="91"/>
        <v>5</v>
      </c>
      <c r="AI248" s="224">
        <f t="shared" si="92"/>
        <v>-0.17937717784790264</v>
      </c>
      <c r="AJ248" s="264" t="b">
        <f t="shared" si="93"/>
        <v>0</v>
      </c>
      <c r="AK248" s="264" t="b">
        <f t="shared" si="94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5"/>
        <v>43335</v>
      </c>
      <c r="B249" s="616">
        <v>45.478999999999999</v>
      </c>
      <c r="C249" s="389"/>
      <c r="D249" s="392">
        <f t="shared" si="97"/>
        <v>45.563748872486698</v>
      </c>
      <c r="E249" s="384">
        <f t="shared" si="101"/>
        <v>45.85221711738776</v>
      </c>
      <c r="F249" s="384">
        <f t="shared" si="100"/>
        <v>45.853570192401854</v>
      </c>
      <c r="G249" s="110">
        <f t="shared" si="102"/>
        <v>0.85186802278792295</v>
      </c>
      <c r="I249" s="379">
        <f t="shared" si="73"/>
        <v>45.853570192401854</v>
      </c>
      <c r="J249" s="85">
        <v>2018</v>
      </c>
      <c r="K249" s="196">
        <f t="shared" si="74"/>
        <v>43335</v>
      </c>
      <c r="L249" s="436">
        <f t="shared" si="75"/>
        <v>1.8600065750488115E-3</v>
      </c>
      <c r="M249" s="858"/>
      <c r="N249" s="858"/>
      <c r="O249" s="323">
        <f t="shared" si="76"/>
        <v>6.2912605548067256E-3</v>
      </c>
      <c r="P249" s="168">
        <f>(INDEX(Models!$BJ249:$BT249,,T249)*(1-R249)+INDEX(Models!$BJ249:$BT249,,T249+1)*R249-ERP_i)*Q249*Ramure*Pc/MaxiM</f>
        <v>3.7428827166040464E-5</v>
      </c>
      <c r="Q249" s="304">
        <f t="shared" si="77"/>
        <v>0.5</v>
      </c>
      <c r="R249" s="176">
        <f t="shared" si="78"/>
        <v>0.82117049152272914</v>
      </c>
      <c r="S249" s="814">
        <f t="shared" si="96"/>
        <v>-1</v>
      </c>
      <c r="T249" s="175">
        <f t="shared" si="79"/>
        <v>5</v>
      </c>
      <c r="U249" s="250">
        <f t="shared" si="80"/>
        <v>-0.17882950847727086</v>
      </c>
      <c r="V249" s="382">
        <f t="shared" si="81"/>
        <v>53.386954984963999</v>
      </c>
      <c r="W249" s="58"/>
      <c r="X249" s="157">
        <f t="shared" si="82"/>
        <v>43335</v>
      </c>
      <c r="Y249" s="384">
        <f t="shared" si="83"/>
        <v>45.478999999999999</v>
      </c>
      <c r="Z249" s="384">
        <f t="shared" si="84"/>
        <v>45.563748872486698</v>
      </c>
      <c r="AA249" s="385">
        <f t="shared" si="85"/>
        <v>45.85221711738776</v>
      </c>
      <c r="AB249" s="196">
        <f t="shared" si="86"/>
        <v>43335</v>
      </c>
      <c r="AC249" s="425">
        <f t="shared" si="87"/>
        <v>6.2912605548067256E-3</v>
      </c>
      <c r="AD249" s="168">
        <f>(INDEX(Models!$BJ249:$BT249,,AH249)*(1-AF249)+INDEX(Models!$BJ249:$BT249,,AH249+1)*AF249-ERP_i)*AE249*Ramure*Pc/MaxiM</f>
        <v>3.7428827166040464E-5</v>
      </c>
      <c r="AE249" s="304">
        <f t="shared" si="88"/>
        <v>0.5</v>
      </c>
      <c r="AF249" s="176">
        <f t="shared" si="89"/>
        <v>0.82117049152272914</v>
      </c>
      <c r="AG249" s="814">
        <f t="shared" si="90"/>
        <v>-1</v>
      </c>
      <c r="AH249" s="175">
        <f t="shared" si="91"/>
        <v>5</v>
      </c>
      <c r="AI249" s="224">
        <f t="shared" si="92"/>
        <v>-0.17882950847727086</v>
      </c>
      <c r="AJ249" s="264" t="b">
        <f t="shared" si="93"/>
        <v>0</v>
      </c>
      <c r="AK249" s="264" t="b">
        <f t="shared" si="94"/>
        <v>0</v>
      </c>
      <c r="AL249" s="264"/>
      <c r="AM249" s="264"/>
      <c r="AN249" s="75"/>
    </row>
    <row r="250" spans="1:40" s="6" customFormat="1" ht="11.25" x14ac:dyDescent="0.2">
      <c r="A250" s="56">
        <f t="shared" si="95"/>
        <v>43336</v>
      </c>
      <c r="B250" s="616">
        <v>39.512</v>
      </c>
      <c r="C250" s="389"/>
      <c r="D250" s="392">
        <f t="shared" si="97"/>
        <v>39.586496577076588</v>
      </c>
      <c r="E250" s="384">
        <f t="shared" si="101"/>
        <v>39.83993906162361</v>
      </c>
      <c r="F250" s="384">
        <f t="shared" si="100"/>
        <v>39.840911729473049</v>
      </c>
      <c r="G250" s="110">
        <f t="shared" si="102"/>
        <v>0.74192749261512125</v>
      </c>
      <c r="I250" s="379">
        <f t="shared" si="73"/>
        <v>39.840911729473049</v>
      </c>
      <c r="J250" s="85">
        <v>2018</v>
      </c>
      <c r="K250" s="196">
        <f t="shared" si="74"/>
        <v>43336</v>
      </c>
      <c r="L250" s="436">
        <f t="shared" si="75"/>
        <v>1.8818684025635468E-3</v>
      </c>
      <c r="M250" s="858"/>
      <c r="N250" s="858"/>
      <c r="O250" s="323">
        <f t="shared" si="76"/>
        <v>6.3615178766966256E-3</v>
      </c>
      <c r="P250" s="168">
        <f>(INDEX(Models!$BJ250:$BT250,,T250)*(1-R250)+INDEX(Models!$BJ250:$BT250,,T250+1)*R250-ERP_i)*Q250*Ramure*Pc/MaxiM</f>
        <v>3.8669799287757852E-5</v>
      </c>
      <c r="Q250" s="304">
        <f t="shared" si="77"/>
        <v>0.5</v>
      </c>
      <c r="R250" s="176">
        <f t="shared" si="78"/>
        <v>0.82169808445252768</v>
      </c>
      <c r="S250" s="814">
        <f t="shared" si="96"/>
        <v>-1</v>
      </c>
      <c r="T250" s="175">
        <f t="shared" si="79"/>
        <v>5</v>
      </c>
      <c r="U250" s="250">
        <f t="shared" si="80"/>
        <v>-0.17830191554747232</v>
      </c>
      <c r="V250" s="382">
        <f t="shared" si="81"/>
        <v>53.255118722903291</v>
      </c>
      <c r="W250" s="58"/>
      <c r="X250" s="157">
        <f t="shared" si="82"/>
        <v>43336</v>
      </c>
      <c r="Y250" s="384">
        <f t="shared" si="83"/>
        <v>39.512</v>
      </c>
      <c r="Z250" s="384">
        <f t="shared" si="84"/>
        <v>39.586496577076588</v>
      </c>
      <c r="AA250" s="385">
        <f t="shared" si="85"/>
        <v>39.83993906162361</v>
      </c>
      <c r="AB250" s="196">
        <f t="shared" si="86"/>
        <v>43336</v>
      </c>
      <c r="AC250" s="425">
        <f t="shared" si="87"/>
        <v>6.3615178766966256E-3</v>
      </c>
      <c r="AD250" s="168">
        <f>(INDEX(Models!$BJ250:$BT250,,AH250)*(1-AF250)+INDEX(Models!$BJ250:$BT250,,AH250+1)*AF250-ERP_i)*AE250*Ramure*Pc/MaxiM</f>
        <v>3.8669799287757852E-5</v>
      </c>
      <c r="AE250" s="304">
        <f t="shared" si="88"/>
        <v>0.5</v>
      </c>
      <c r="AF250" s="176">
        <f t="shared" si="89"/>
        <v>0.82169808445252768</v>
      </c>
      <c r="AG250" s="814">
        <f t="shared" si="90"/>
        <v>-1</v>
      </c>
      <c r="AH250" s="175">
        <f t="shared" si="91"/>
        <v>5</v>
      </c>
      <c r="AI250" s="224">
        <f t="shared" si="92"/>
        <v>-0.17830191554747232</v>
      </c>
      <c r="AJ250" s="264" t="b">
        <f t="shared" si="93"/>
        <v>0</v>
      </c>
      <c r="AK250" s="264" t="b">
        <f t="shared" si="94"/>
        <v>0</v>
      </c>
      <c r="AL250" s="264"/>
      <c r="AM250" s="264"/>
      <c r="AN250" s="75"/>
    </row>
    <row r="251" spans="1:40" s="6" customFormat="1" ht="11.25" x14ac:dyDescent="0.2">
      <c r="A251" s="56">
        <f t="shared" si="95"/>
        <v>43337</v>
      </c>
      <c r="B251" s="616">
        <v>23.786999999999999</v>
      </c>
      <c r="C251" s="389"/>
      <c r="D251" s="392">
        <f t="shared" si="97"/>
        <v>23.832370392559081</v>
      </c>
      <c r="E251" s="384">
        <f t="shared" si="101"/>
        <v>23.986644518613989</v>
      </c>
      <c r="F251" s="384">
        <f t="shared" si="100"/>
        <v>23.98684771808016</v>
      </c>
      <c r="G251" s="110">
        <f t="shared" si="102"/>
        <v>0.447768724003339</v>
      </c>
      <c r="I251" s="379">
        <f t="shared" si="73"/>
        <v>23.98684771808016</v>
      </c>
      <c r="J251" s="85">
        <v>2018</v>
      </c>
      <c r="K251" s="196">
        <f t="shared" si="74"/>
        <v>43337</v>
      </c>
      <c r="L251" s="436">
        <f t="shared" si="75"/>
        <v>1.9037297512481954E-3</v>
      </c>
      <c r="M251" s="858"/>
      <c r="N251" s="858"/>
      <c r="O251" s="323">
        <f t="shared" si="76"/>
        <v>6.4316676696980074E-3</v>
      </c>
      <c r="P251" s="168">
        <f>(INDEX(Models!$BJ251:$BT251,,T251)*(1-R251)+INDEX(Models!$BJ251:$BT251,,T251+1)*R251-ERP_i)*Q251*Ramure*Pc/MaxiM</f>
        <v>4.0125757540233613E-5</v>
      </c>
      <c r="Q251" s="304">
        <f t="shared" si="77"/>
        <v>0.5</v>
      </c>
      <c r="R251" s="176">
        <f t="shared" si="78"/>
        <v>0.8222062635533065</v>
      </c>
      <c r="S251" s="814">
        <f t="shared" si="96"/>
        <v>-1</v>
      </c>
      <c r="T251" s="175">
        <f t="shared" si="79"/>
        <v>5</v>
      </c>
      <c r="U251" s="250">
        <f t="shared" si="80"/>
        <v>-0.17779373644669355</v>
      </c>
      <c r="V251" s="382">
        <f t="shared" si="81"/>
        <v>53.121725019249489</v>
      </c>
      <c r="W251" s="58"/>
      <c r="X251" s="157">
        <f t="shared" si="82"/>
        <v>43337</v>
      </c>
      <c r="Y251" s="384">
        <f t="shared" si="83"/>
        <v>23.786999999999999</v>
      </c>
      <c r="Z251" s="384">
        <f t="shared" si="84"/>
        <v>23.832370392559081</v>
      </c>
      <c r="AA251" s="385">
        <f t="shared" si="85"/>
        <v>23.986644518613989</v>
      </c>
      <c r="AB251" s="196">
        <f t="shared" si="86"/>
        <v>43337</v>
      </c>
      <c r="AC251" s="425">
        <f t="shared" si="87"/>
        <v>6.4316676696980074E-3</v>
      </c>
      <c r="AD251" s="168">
        <f>(INDEX(Models!$BJ251:$BT251,,AH251)*(1-AF251)+INDEX(Models!$BJ251:$BT251,,AH251+1)*AF251-ERP_i)*AE251*Ramure*Pc/MaxiM</f>
        <v>4.0125757540233613E-5</v>
      </c>
      <c r="AE251" s="304">
        <f t="shared" si="88"/>
        <v>0.5</v>
      </c>
      <c r="AF251" s="176">
        <f t="shared" si="89"/>
        <v>0.8222062635533065</v>
      </c>
      <c r="AG251" s="814">
        <f t="shared" si="90"/>
        <v>-1</v>
      </c>
      <c r="AH251" s="175">
        <f t="shared" si="91"/>
        <v>5</v>
      </c>
      <c r="AI251" s="224">
        <f t="shared" si="92"/>
        <v>-0.17779373644669355</v>
      </c>
      <c r="AJ251" s="264" t="b">
        <f t="shared" si="93"/>
        <v>0</v>
      </c>
      <c r="AK251" s="264" t="b">
        <f t="shared" si="94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5"/>
        <v>43338</v>
      </c>
      <c r="B252" s="616">
        <v>52.972000000000001</v>
      </c>
      <c r="C252" s="389"/>
      <c r="D252" s="392">
        <f t="shared" si="97"/>
        <v>53.07419918016442</v>
      </c>
      <c r="E252" s="384">
        <f t="shared" si="101"/>
        <v>53.421530390508671</v>
      </c>
      <c r="F252" s="384">
        <f t="shared" si="100"/>
        <v>53.423762617483668</v>
      </c>
      <c r="G252" s="110">
        <f t="shared" si="102"/>
        <v>0.99973331559613332</v>
      </c>
      <c r="I252" s="379">
        <f t="shared" si="73"/>
        <v>53.423762617483668</v>
      </c>
      <c r="J252" s="85">
        <v>2018</v>
      </c>
      <c r="K252" s="196">
        <f t="shared" si="74"/>
        <v>43338</v>
      </c>
      <c r="L252" s="436">
        <f t="shared" si="75"/>
        <v>1.9255906211131935E-3</v>
      </c>
      <c r="M252" s="858"/>
      <c r="N252" s="858"/>
      <c r="O252" s="323">
        <f t="shared" si="76"/>
        <v>6.5017083525176862E-3</v>
      </c>
      <c r="P252" s="168">
        <f>(INDEX(Models!$BJ252:$BT252,,T252)*(1-R252)+INDEX(Models!$BJ252:$BT252,,T252+1)*R252-ERP_i)*Q252*Ramure*Pc/MaxiM</f>
        <v>4.1799333623197662E-5</v>
      </c>
      <c r="Q252" s="304">
        <f t="shared" si="77"/>
        <v>0.5</v>
      </c>
      <c r="R252" s="176">
        <f t="shared" si="78"/>
        <v>0.82269567515414865</v>
      </c>
      <c r="S252" s="814">
        <f t="shared" si="96"/>
        <v>-1</v>
      </c>
      <c r="T252" s="175">
        <f t="shared" si="79"/>
        <v>5</v>
      </c>
      <c r="U252" s="250">
        <f t="shared" si="80"/>
        <v>-0.17730432484585135</v>
      </c>
      <c r="V252" s="382">
        <f t="shared" si="81"/>
        <v>52.98612973087689</v>
      </c>
      <c r="W252" s="58"/>
      <c r="X252" s="157">
        <f t="shared" si="82"/>
        <v>43338</v>
      </c>
      <c r="Y252" s="384">
        <f t="shared" si="83"/>
        <v>52.972000000000001</v>
      </c>
      <c r="Z252" s="384">
        <f t="shared" si="84"/>
        <v>53.07419918016442</v>
      </c>
      <c r="AA252" s="385">
        <f t="shared" si="85"/>
        <v>53.421530390508671</v>
      </c>
      <c r="AB252" s="196">
        <f t="shared" si="86"/>
        <v>43338</v>
      </c>
      <c r="AC252" s="425">
        <f t="shared" si="87"/>
        <v>6.5017083525176862E-3</v>
      </c>
      <c r="AD252" s="168">
        <f>(INDEX(Models!$BJ252:$BT252,,AH252)*(1-AF252)+INDEX(Models!$BJ252:$BT252,,AH252+1)*AF252-ERP_i)*AE252*Ramure*Pc/MaxiM</f>
        <v>4.1799333623197662E-5</v>
      </c>
      <c r="AE252" s="304">
        <f t="shared" si="88"/>
        <v>0.5</v>
      </c>
      <c r="AF252" s="176">
        <f t="shared" si="89"/>
        <v>0.82269567515414865</v>
      </c>
      <c r="AG252" s="814">
        <f t="shared" si="90"/>
        <v>-1</v>
      </c>
      <c r="AH252" s="175">
        <f t="shared" si="91"/>
        <v>5</v>
      </c>
      <c r="AI252" s="224">
        <f t="shared" si="92"/>
        <v>-0.17730432484585135</v>
      </c>
      <c r="AJ252" s="264" t="b">
        <f t="shared" si="93"/>
        <v>0</v>
      </c>
      <c r="AK252" s="264" t="b">
        <f t="shared" si="94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5"/>
        <v>43339</v>
      </c>
      <c r="B253" s="616">
        <v>52.023000000000003</v>
      </c>
      <c r="C253" s="389"/>
      <c r="D253" s="392">
        <f t="shared" si="97"/>
        <v>52.124509929621254</v>
      </c>
      <c r="E253" s="384">
        <f t="shared" si="101"/>
        <v>52.469319316636359</v>
      </c>
      <c r="F253" s="384">
        <f t="shared" si="100"/>
        <v>52.471560857407106</v>
      </c>
      <c r="G253" s="110">
        <f t="shared" si="102"/>
        <v>0.98439402651284935</v>
      </c>
      <c r="I253" s="379">
        <f t="shared" si="73"/>
        <v>52.471560857407106</v>
      </c>
      <c r="J253" s="85">
        <v>2018</v>
      </c>
      <c r="K253" s="196">
        <f t="shared" si="74"/>
        <v>43339</v>
      </c>
      <c r="L253" s="436">
        <f t="shared" si="75"/>
        <v>1.947451012168977E-3</v>
      </c>
      <c r="M253" s="858"/>
      <c r="N253" s="858"/>
      <c r="O253" s="323">
        <f t="shared" si="76"/>
        <v>6.5716382736792818E-3</v>
      </c>
      <c r="P253" s="168">
        <f>(INDEX(Models!$BJ253:$BT253,,T253)*(1-R253)+INDEX(Models!$BJ253:$BT253,,T253+1)*R253-ERP_i)*Q253*Ramure*Pc/MaxiM</f>
        <v>4.3693202799492338E-5</v>
      </c>
      <c r="Q253" s="304">
        <f t="shared" si="77"/>
        <v>0.5</v>
      </c>
      <c r="R253" s="176">
        <f t="shared" si="78"/>
        <v>0.82316694925529699</v>
      </c>
      <c r="S253" s="814">
        <f t="shared" si="96"/>
        <v>-1</v>
      </c>
      <c r="T253" s="175">
        <f t="shared" si="79"/>
        <v>5</v>
      </c>
      <c r="U253" s="250">
        <f t="shared" si="80"/>
        <v>-0.17683305074470301</v>
      </c>
      <c r="V253" s="382">
        <f t="shared" si="81"/>
        <v>52.847688957706822</v>
      </c>
      <c r="W253" s="58"/>
      <c r="X253" s="157">
        <f t="shared" si="82"/>
        <v>43339</v>
      </c>
      <c r="Y253" s="384">
        <f t="shared" si="83"/>
        <v>52.023000000000003</v>
      </c>
      <c r="Z253" s="384">
        <f t="shared" si="84"/>
        <v>52.124509929621254</v>
      </c>
      <c r="AA253" s="385">
        <f t="shared" si="85"/>
        <v>52.469319316636359</v>
      </c>
      <c r="AB253" s="196">
        <f t="shared" si="86"/>
        <v>43339</v>
      </c>
      <c r="AC253" s="425">
        <f t="shared" si="87"/>
        <v>6.5716382736792818E-3</v>
      </c>
      <c r="AD253" s="168">
        <f>(INDEX(Models!$BJ253:$BT253,,AH253)*(1-AF253)+INDEX(Models!$BJ253:$BT253,,AH253+1)*AF253-ERP_i)*AE253*Ramure*Pc/MaxiM</f>
        <v>4.3693202799492338E-5</v>
      </c>
      <c r="AE253" s="304">
        <f t="shared" si="88"/>
        <v>0.5</v>
      </c>
      <c r="AF253" s="176">
        <f t="shared" si="89"/>
        <v>0.82316694925529699</v>
      </c>
      <c r="AG253" s="814">
        <f t="shared" si="90"/>
        <v>-1</v>
      </c>
      <c r="AH253" s="175">
        <f t="shared" si="91"/>
        <v>5</v>
      </c>
      <c r="AI253" s="224">
        <f t="shared" si="92"/>
        <v>-0.17683305074470301</v>
      </c>
      <c r="AJ253" s="264" t="b">
        <f t="shared" si="93"/>
        <v>0</v>
      </c>
      <c r="AK253" s="264" t="b">
        <f t="shared" si="94"/>
        <v>0</v>
      </c>
      <c r="AL253" s="264"/>
      <c r="AM253" s="264"/>
      <c r="AN253" s="75"/>
    </row>
    <row r="254" spans="1:40" s="6" customFormat="1" ht="11.25" x14ac:dyDescent="0.2">
      <c r="A254" s="56">
        <f t="shared" si="95"/>
        <v>43340</v>
      </c>
      <c r="B254" s="616">
        <v>43.06</v>
      </c>
      <c r="C254" s="389"/>
      <c r="D254" s="392">
        <f t="shared" si="97"/>
        <v>43.144965852587497</v>
      </c>
      <c r="E254" s="384">
        <f t="shared" si="101"/>
        <v>43.433427034536351</v>
      </c>
      <c r="F254" s="384">
        <f t="shared" si="100"/>
        <v>43.434894355637773</v>
      </c>
      <c r="G254" s="110">
        <f t="shared" si="102"/>
        <v>0.81697869141586055</v>
      </c>
      <c r="I254" s="379">
        <f t="shared" si="73"/>
        <v>43.434894355637773</v>
      </c>
      <c r="J254" s="85">
        <v>2018</v>
      </c>
      <c r="K254" s="196">
        <f t="shared" si="74"/>
        <v>43340</v>
      </c>
      <c r="L254" s="436">
        <f t="shared" si="75"/>
        <v>1.9693109244262041E-3</v>
      </c>
      <c r="M254" s="858"/>
      <c r="N254" s="858"/>
      <c r="O254" s="323">
        <f t="shared" si="76"/>
        <v>6.6414557092048391E-3</v>
      </c>
      <c r="P254" s="168">
        <f>(INDEX(Models!$BJ254:$BT254,,T254)*(1-R254)+INDEX(Models!$BJ254:$BT254,,T254+1)*R254-ERP_i)*Q254*Ramure*Pc/MaxiM</f>
        <v>4.5740781768691882E-5</v>
      </c>
      <c r="Q254" s="304">
        <f t="shared" si="77"/>
        <v>0.5</v>
      </c>
      <c r="R254" s="176">
        <f t="shared" si="78"/>
        <v>0.82362069952683292</v>
      </c>
      <c r="S254" s="814">
        <f t="shared" si="96"/>
        <v>-1</v>
      </c>
      <c r="T254" s="175">
        <f t="shared" si="79"/>
        <v>5</v>
      </c>
      <c r="U254" s="250">
        <f t="shared" si="80"/>
        <v>-0.17637930047316713</v>
      </c>
      <c r="V254" s="382">
        <f t="shared" si="81"/>
        <v>52.705762700256884</v>
      </c>
      <c r="W254" s="58"/>
      <c r="X254" s="157">
        <f t="shared" si="82"/>
        <v>43340</v>
      </c>
      <c r="Y254" s="384">
        <f t="shared" si="83"/>
        <v>43.06</v>
      </c>
      <c r="Z254" s="384">
        <f t="shared" si="84"/>
        <v>43.144965852587497</v>
      </c>
      <c r="AA254" s="385">
        <f t="shared" si="85"/>
        <v>43.433427034536351</v>
      </c>
      <c r="AB254" s="196">
        <f t="shared" si="86"/>
        <v>43340</v>
      </c>
      <c r="AC254" s="425">
        <f t="shared" si="87"/>
        <v>6.6414557092048391E-3</v>
      </c>
      <c r="AD254" s="168">
        <f>(INDEX(Models!$BJ254:$BT254,,AH254)*(1-AF254)+INDEX(Models!$BJ254:$BT254,,AH254+1)*AF254-ERP_i)*AE254*Ramure*Pc/MaxiM</f>
        <v>4.5740781768691882E-5</v>
      </c>
      <c r="AE254" s="304">
        <f t="shared" si="88"/>
        <v>0.5</v>
      </c>
      <c r="AF254" s="176">
        <f t="shared" si="89"/>
        <v>0.82362069952683292</v>
      </c>
      <c r="AG254" s="814">
        <f t="shared" si="90"/>
        <v>-1</v>
      </c>
      <c r="AH254" s="175">
        <f t="shared" si="91"/>
        <v>5</v>
      </c>
      <c r="AI254" s="224">
        <f t="shared" si="92"/>
        <v>-0.17637930047316713</v>
      </c>
      <c r="AJ254" s="264" t="b">
        <f t="shared" si="93"/>
        <v>0</v>
      </c>
      <c r="AK254" s="264" t="b">
        <f t="shared" si="94"/>
        <v>0</v>
      </c>
      <c r="AL254" s="264"/>
      <c r="AM254" s="264"/>
      <c r="AN254" s="75"/>
    </row>
    <row r="255" spans="1:40" s="6" customFormat="1" ht="11.25" x14ac:dyDescent="0.2">
      <c r="A255" s="56">
        <f t="shared" si="95"/>
        <v>43341</v>
      </c>
      <c r="B255" s="616">
        <v>32.393000000000001</v>
      </c>
      <c r="C255" s="389"/>
      <c r="D255" s="392">
        <f t="shared" si="97"/>
        <v>32.457628668091473</v>
      </c>
      <c r="E255" s="384">
        <f t="shared" si="101"/>
        <v>32.676928727830322</v>
      </c>
      <c r="F255" s="384">
        <f t="shared" si="100"/>
        <v>32.677634124373135</v>
      </c>
      <c r="G255" s="110">
        <f t="shared" si="102"/>
        <v>0.61629235931992221</v>
      </c>
      <c r="I255" s="379">
        <f t="shared" si="73"/>
        <v>32.677634124373135</v>
      </c>
      <c r="J255" s="85">
        <v>2018</v>
      </c>
      <c r="K255" s="196">
        <f t="shared" si="74"/>
        <v>43341</v>
      </c>
      <c r="L255" s="436">
        <f t="shared" si="75"/>
        <v>1.9911703578952E-3</v>
      </c>
      <c r="M255" s="858"/>
      <c r="N255" s="858"/>
      <c r="O255" s="323">
        <f t="shared" si="76"/>
        <v>6.7111588596781161E-3</v>
      </c>
      <c r="P255" s="168">
        <f>(INDEX(Models!$BJ255:$BT255,,T255)*(1-R255)+INDEX(Models!$BJ255:$BT255,,T255+1)*R255-ERP_i)*Q255*Ramure*Pc/MaxiM</f>
        <v>4.7771612558824432E-5</v>
      </c>
      <c r="Q255" s="304">
        <f t="shared" si="77"/>
        <v>0.5</v>
      </c>
      <c r="R255" s="176">
        <f t="shared" si="78"/>
        <v>0.8240575233482097</v>
      </c>
      <c r="S255" s="814">
        <f t="shared" si="96"/>
        <v>-1</v>
      </c>
      <c r="T255" s="175">
        <f t="shared" si="79"/>
        <v>5</v>
      </c>
      <c r="U255" s="250">
        <f t="shared" si="80"/>
        <v>-0.17594247665179036</v>
      </c>
      <c r="V255" s="382">
        <f t="shared" si="81"/>
        <v>52.559716631681233</v>
      </c>
      <c r="W255" s="58"/>
      <c r="X255" s="157">
        <f t="shared" si="82"/>
        <v>43341</v>
      </c>
      <c r="Y255" s="384">
        <f t="shared" si="83"/>
        <v>32.393000000000001</v>
      </c>
      <c r="Z255" s="384">
        <f t="shared" si="84"/>
        <v>32.457628668091473</v>
      </c>
      <c r="AA255" s="385">
        <f t="shared" si="85"/>
        <v>32.676928727830322</v>
      </c>
      <c r="AB255" s="196">
        <f t="shared" si="86"/>
        <v>43341</v>
      </c>
      <c r="AC255" s="425">
        <f t="shared" si="87"/>
        <v>6.7111588596781161E-3</v>
      </c>
      <c r="AD255" s="168">
        <f>(INDEX(Models!$BJ255:$BT255,,AH255)*(1-AF255)+INDEX(Models!$BJ255:$BT255,,AH255+1)*AF255-ERP_i)*AE255*Ramure*Pc/MaxiM</f>
        <v>4.7771612558824432E-5</v>
      </c>
      <c r="AE255" s="304">
        <f t="shared" si="88"/>
        <v>0.5</v>
      </c>
      <c r="AF255" s="176">
        <f t="shared" si="89"/>
        <v>0.8240575233482097</v>
      </c>
      <c r="AG255" s="814">
        <f t="shared" si="90"/>
        <v>-1</v>
      </c>
      <c r="AH255" s="175">
        <f t="shared" si="91"/>
        <v>5</v>
      </c>
      <c r="AI255" s="224">
        <f t="shared" si="92"/>
        <v>-0.17594247665179036</v>
      </c>
      <c r="AJ255" s="264" t="b">
        <f t="shared" si="93"/>
        <v>0</v>
      </c>
      <c r="AK255" s="264" t="b">
        <f t="shared" si="94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5"/>
        <v>43342</v>
      </c>
      <c r="B256" s="616">
        <v>44.692</v>
      </c>
      <c r="C256" s="389"/>
      <c r="D256" s="392">
        <f t="shared" si="97"/>
        <v>44.782147776153977</v>
      </c>
      <c r="E256" s="384">
        <f t="shared" si="101"/>
        <v>45.08787721229826</v>
      </c>
      <c r="F256" s="384">
        <f t="shared" si="100"/>
        <v>45.089649851698127</v>
      </c>
      <c r="G256" s="110">
        <f t="shared" si="102"/>
        <v>0.85274687046736686</v>
      </c>
      <c r="I256" s="379">
        <f t="shared" si="73"/>
        <v>45.089649851698127</v>
      </c>
      <c r="J256" s="85">
        <v>2018</v>
      </c>
      <c r="K256" s="196">
        <f t="shared" si="74"/>
        <v>43342</v>
      </c>
      <c r="L256" s="436">
        <f t="shared" si="75"/>
        <v>2.0130293125865117E-3</v>
      </c>
      <c r="M256" s="858"/>
      <c r="N256" s="858"/>
      <c r="O256" s="323">
        <f t="shared" si="76"/>
        <v>6.7807458467104157E-3</v>
      </c>
      <c r="P256" s="168">
        <f>(INDEX(Models!$BJ256:$BT256,,T256)*(1-R256)+INDEX(Models!$BJ256:$BT256,,T256+1)*R256-ERP_i)*Q256*Ramure*Pc/MaxiM</f>
        <v>4.9786118213734389E-5</v>
      </c>
      <c r="Q256" s="304">
        <f t="shared" si="77"/>
        <v>0.5</v>
      </c>
      <c r="R256" s="176">
        <f t="shared" si="78"/>
        <v>0.82447800188491449</v>
      </c>
      <c r="S256" s="814">
        <f t="shared" si="96"/>
        <v>-1</v>
      </c>
      <c r="T256" s="175">
        <f t="shared" si="79"/>
        <v>5</v>
      </c>
      <c r="U256" s="250">
        <f t="shared" si="80"/>
        <v>-0.17552199811508551</v>
      </c>
      <c r="V256" s="382">
        <f t="shared" si="81"/>
        <v>52.408907607290821</v>
      </c>
      <c r="W256" s="58"/>
      <c r="X256" s="157">
        <f t="shared" si="82"/>
        <v>43342</v>
      </c>
      <c r="Y256" s="384">
        <f t="shared" si="83"/>
        <v>44.692</v>
      </c>
      <c r="Z256" s="384">
        <f t="shared" si="84"/>
        <v>44.782147776153977</v>
      </c>
      <c r="AA256" s="385">
        <f t="shared" si="85"/>
        <v>45.08787721229826</v>
      </c>
      <c r="AB256" s="196">
        <f t="shared" si="86"/>
        <v>43342</v>
      </c>
      <c r="AC256" s="425">
        <f t="shared" si="87"/>
        <v>6.7807458467104157E-3</v>
      </c>
      <c r="AD256" s="168">
        <f>(INDEX(Models!$BJ256:$BT256,,AH256)*(1-AF256)+INDEX(Models!$BJ256:$BT256,,AH256+1)*AF256-ERP_i)*AE256*Ramure*Pc/MaxiM</f>
        <v>4.9786118213734389E-5</v>
      </c>
      <c r="AE256" s="304">
        <f t="shared" si="88"/>
        <v>0.5</v>
      </c>
      <c r="AF256" s="176">
        <f t="shared" si="89"/>
        <v>0.82447800188491449</v>
      </c>
      <c r="AG256" s="814">
        <f t="shared" si="90"/>
        <v>-1</v>
      </c>
      <c r="AH256" s="175">
        <f t="shared" si="91"/>
        <v>5</v>
      </c>
      <c r="AI256" s="224">
        <f t="shared" si="92"/>
        <v>-0.17552199811508551</v>
      </c>
      <c r="AJ256" s="264" t="b">
        <f t="shared" si="93"/>
        <v>0</v>
      </c>
      <c r="AK256" s="264" t="b">
        <f t="shared" si="94"/>
        <v>0</v>
      </c>
      <c r="AL256" s="264"/>
      <c r="AM256" s="264"/>
      <c r="AN256" s="75"/>
    </row>
    <row r="257" spans="1:40" s="6" customFormat="1" ht="11.25" x14ac:dyDescent="0.2">
      <c r="A257" s="56">
        <f t="shared" si="95"/>
        <v>43343</v>
      </c>
      <c r="B257" s="616">
        <v>45.829000000000001</v>
      </c>
      <c r="C257" s="389"/>
      <c r="D257" s="392">
        <f t="shared" si="97"/>
        <v>45.922447026673105</v>
      </c>
      <c r="E257" s="384">
        <f t="shared" si="101"/>
        <v>46.239195443424798</v>
      </c>
      <c r="F257" s="384">
        <f t="shared" si="100"/>
        <v>46.241169492626391</v>
      </c>
      <c r="G257" s="110">
        <f t="shared" si="102"/>
        <v>0.87705687114517406</v>
      </c>
      <c r="I257" s="379">
        <f t="shared" si="73"/>
        <v>46.241169492626391</v>
      </c>
      <c r="J257" s="85">
        <v>2018</v>
      </c>
      <c r="K257" s="196">
        <f t="shared" si="74"/>
        <v>43343</v>
      </c>
      <c r="L257" s="436">
        <f t="shared" si="75"/>
        <v>2.0348877885105754E-3</v>
      </c>
      <c r="M257" s="858"/>
      <c r="N257" s="858"/>
      <c r="O257" s="323">
        <f t="shared" si="76"/>
        <v>6.8502147088447488E-3</v>
      </c>
      <c r="P257" s="168">
        <f>(INDEX(Models!$BJ257:$BT257,,T257)*(1-R257)+INDEX(Models!$BJ257:$BT257,,T257+1)*R257-ERP_i)*Q257*Ramure*Pc/MaxiM</f>
        <v>5.1784833422533973E-5</v>
      </c>
      <c r="Q257" s="304">
        <f t="shared" si="77"/>
        <v>0.5</v>
      </c>
      <c r="R257" s="176">
        <f t="shared" si="78"/>
        <v>0.82488270019873466</v>
      </c>
      <c r="S257" s="814">
        <f t="shared" si="96"/>
        <v>-1</v>
      </c>
      <c r="T257" s="175">
        <f t="shared" si="79"/>
        <v>5</v>
      </c>
      <c r="U257" s="250">
        <f t="shared" si="80"/>
        <v>-0.17511729980126539</v>
      </c>
      <c r="V257" s="382">
        <f t="shared" si="81"/>
        <v>52.252692723108034</v>
      </c>
      <c r="W257" s="58"/>
      <c r="X257" s="157">
        <f t="shared" si="82"/>
        <v>43343</v>
      </c>
      <c r="Y257" s="384">
        <f t="shared" si="83"/>
        <v>45.829000000000001</v>
      </c>
      <c r="Z257" s="384">
        <f t="shared" si="84"/>
        <v>45.922447026673105</v>
      </c>
      <c r="AA257" s="385">
        <f t="shared" si="85"/>
        <v>46.239195443424798</v>
      </c>
      <c r="AB257" s="196">
        <f t="shared" si="86"/>
        <v>43343</v>
      </c>
      <c r="AC257" s="425">
        <f t="shared" si="87"/>
        <v>6.8502147088447488E-3</v>
      </c>
      <c r="AD257" s="168">
        <f>(INDEX(Models!$BJ257:$BT257,,AH257)*(1-AF257)+INDEX(Models!$BJ257:$BT257,,AH257+1)*AF257-ERP_i)*AE257*Ramure*Pc/MaxiM</f>
        <v>5.1784833422533973E-5</v>
      </c>
      <c r="AE257" s="304">
        <f t="shared" si="88"/>
        <v>0.5</v>
      </c>
      <c r="AF257" s="176">
        <f t="shared" si="89"/>
        <v>0.82488270019873466</v>
      </c>
      <c r="AG257" s="814">
        <f t="shared" si="90"/>
        <v>-1</v>
      </c>
      <c r="AH257" s="175">
        <f t="shared" si="91"/>
        <v>5</v>
      </c>
      <c r="AI257" s="224">
        <f t="shared" si="92"/>
        <v>-0.17511729980126539</v>
      </c>
      <c r="AJ257" s="264" t="b">
        <f t="shared" si="93"/>
        <v>0</v>
      </c>
      <c r="AK257" s="264" t="b">
        <f t="shared" si="94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5"/>
        <v>43344</v>
      </c>
      <c r="B258" s="616">
        <v>52.648000000000003</v>
      </c>
      <c r="C258" s="389"/>
      <c r="D258" s="392">
        <f t="shared" si="97"/>
        <v>52.756506722869354</v>
      </c>
      <c r="E258" s="384">
        <f t="shared" si="101"/>
        <v>53.124102316756158</v>
      </c>
      <c r="F258" s="384">
        <f t="shared" si="100"/>
        <v>53.126958868503813</v>
      </c>
      <c r="G258" s="110">
        <f t="shared" si="102"/>
        <v>1.0107038989953487</v>
      </c>
      <c r="I258" s="379">
        <f t="shared" si="73"/>
        <v>53.126958868503813</v>
      </c>
      <c r="J258" s="85">
        <v>2018</v>
      </c>
      <c r="K258" s="196">
        <f t="shared" si="74"/>
        <v>43344</v>
      </c>
      <c r="L258" s="436">
        <f t="shared" si="75"/>
        <v>2.0567457856779381E-3</v>
      </c>
      <c r="M258" s="858"/>
      <c r="N258" s="858"/>
      <c r="O258" s="323">
        <f t="shared" si="76"/>
        <v>6.9195633969490952E-3</v>
      </c>
      <c r="P258" s="168">
        <f>(INDEX(Models!$BJ258:$BT258,,T258)*(1-R258)+INDEX(Models!$BJ258:$BT258,,T258+1)*R258-ERP_i)*Q258*Ramure*Pc/MaxiM</f>
        <v>5.3768403245642048E-5</v>
      </c>
      <c r="Q258" s="304">
        <f t="shared" si="77"/>
        <v>0.5</v>
      </c>
      <c r="R258" s="176">
        <f t="shared" si="78"/>
        <v>0.82527216738830744</v>
      </c>
      <c r="S258" s="814">
        <f t="shared" si="96"/>
        <v>-1</v>
      </c>
      <c r="T258" s="175">
        <f t="shared" si="79"/>
        <v>5</v>
      </c>
      <c r="U258" s="250">
        <f t="shared" si="80"/>
        <v>-0.1747278326116925</v>
      </c>
      <c r="V258" s="382">
        <f t="shared" si="81"/>
        <v>52.09042930608333</v>
      </c>
      <c r="W258" s="58"/>
      <c r="X258" s="157">
        <f t="shared" si="82"/>
        <v>43344</v>
      </c>
      <c r="Y258" s="384">
        <f t="shared" si="83"/>
        <v>52.648000000000003</v>
      </c>
      <c r="Z258" s="384">
        <f t="shared" si="84"/>
        <v>52.756506722869354</v>
      </c>
      <c r="AA258" s="385">
        <f t="shared" si="85"/>
        <v>53.124102316756158</v>
      </c>
      <c r="AB258" s="196">
        <f t="shared" si="86"/>
        <v>43344</v>
      </c>
      <c r="AC258" s="425">
        <f t="shared" si="87"/>
        <v>6.9195633969490952E-3</v>
      </c>
      <c r="AD258" s="168">
        <f>(INDEX(Models!$BJ258:$BT258,,AH258)*(1-AF258)+INDEX(Models!$BJ258:$BT258,,AH258+1)*AF258-ERP_i)*AE258*Ramure*Pc/MaxiM</f>
        <v>5.3768403245642048E-5</v>
      </c>
      <c r="AE258" s="304">
        <f t="shared" si="88"/>
        <v>0.5</v>
      </c>
      <c r="AF258" s="176">
        <f t="shared" si="89"/>
        <v>0.82527216738830744</v>
      </c>
      <c r="AG258" s="814">
        <f t="shared" si="90"/>
        <v>-1</v>
      </c>
      <c r="AH258" s="175">
        <f t="shared" si="91"/>
        <v>5</v>
      </c>
      <c r="AI258" s="224">
        <f t="shared" si="92"/>
        <v>-0.1747278326116925</v>
      </c>
      <c r="AJ258" s="264" t="b">
        <f t="shared" si="93"/>
        <v>0</v>
      </c>
      <c r="AK258" s="264" t="b">
        <f t="shared" si="94"/>
        <v>0</v>
      </c>
      <c r="AL258" s="264"/>
      <c r="AM258" s="264"/>
      <c r="AN258" s="75"/>
    </row>
    <row r="259" spans="1:40" s="6" customFormat="1" ht="11.25" x14ac:dyDescent="0.2">
      <c r="A259" s="56">
        <f t="shared" si="95"/>
        <v>43345</v>
      </c>
      <c r="B259" s="616">
        <v>50.48</v>
      </c>
      <c r="C259" s="389"/>
      <c r="D259" s="392">
        <f t="shared" si="97"/>
        <v>50.585146452554618</v>
      </c>
      <c r="E259" s="384">
        <f t="shared" si="101"/>
        <v>50.941163535098028</v>
      </c>
      <c r="F259" s="384">
        <f t="shared" si="100"/>
        <v>50.943890407811566</v>
      </c>
      <c r="G259" s="110">
        <f t="shared" si="102"/>
        <v>0.97223525481034767</v>
      </c>
      <c r="I259" s="379">
        <f t="shared" si="73"/>
        <v>50.943890407811566</v>
      </c>
      <c r="J259" s="85">
        <v>2018</v>
      </c>
      <c r="K259" s="196">
        <f t="shared" si="74"/>
        <v>43345</v>
      </c>
      <c r="L259" s="436">
        <f t="shared" si="75"/>
        <v>2.078603304099147E-3</v>
      </c>
      <c r="M259" s="858"/>
      <c r="N259" s="858"/>
      <c r="O259" s="323">
        <f t="shared" si="76"/>
        <v>6.9887897691641408E-3</v>
      </c>
      <c r="P259" s="168">
        <f>(INDEX(Models!$BJ259:$BT259,,T259)*(1-R259)+INDEX(Models!$BJ259:$BT259,,T259+1)*R259-ERP_i)*Q259*Ramure*Pc/MaxiM</f>
        <v>5.5737582121504468E-5</v>
      </c>
      <c r="Q259" s="304">
        <f t="shared" si="77"/>
        <v>0.5</v>
      </c>
      <c r="R259" s="176">
        <f t="shared" si="78"/>
        <v>0.82564693675683143</v>
      </c>
      <c r="S259" s="814">
        <f t="shared" si="96"/>
        <v>-1</v>
      </c>
      <c r="T259" s="175">
        <f t="shared" si="79"/>
        <v>5</v>
      </c>
      <c r="U259" s="250">
        <f t="shared" si="80"/>
        <v>-0.17435306324316857</v>
      </c>
      <c r="V259" s="382">
        <f t="shared" si="81"/>
        <v>51.921474924078979</v>
      </c>
      <c r="W259" s="58"/>
      <c r="X259" s="157">
        <f t="shared" si="82"/>
        <v>43345</v>
      </c>
      <c r="Y259" s="384">
        <f t="shared" si="83"/>
        <v>50.48</v>
      </c>
      <c r="Z259" s="384">
        <f t="shared" si="84"/>
        <v>50.585146452554618</v>
      </c>
      <c r="AA259" s="385">
        <f t="shared" si="85"/>
        <v>50.941163535098028</v>
      </c>
      <c r="AB259" s="196">
        <f t="shared" si="86"/>
        <v>43345</v>
      </c>
      <c r="AC259" s="425">
        <f t="shared" si="87"/>
        <v>6.9887897691641408E-3</v>
      </c>
      <c r="AD259" s="168">
        <f>(INDEX(Models!$BJ259:$BT259,,AH259)*(1-AF259)+INDEX(Models!$BJ259:$BT259,,AH259+1)*AF259-ERP_i)*AE259*Ramure*Pc/MaxiM</f>
        <v>5.5737582121504468E-5</v>
      </c>
      <c r="AE259" s="304">
        <f t="shared" si="88"/>
        <v>0.5</v>
      </c>
      <c r="AF259" s="176">
        <f t="shared" si="89"/>
        <v>0.82564693675683143</v>
      </c>
      <c r="AG259" s="814">
        <f t="shared" si="90"/>
        <v>-1</v>
      </c>
      <c r="AH259" s="175">
        <f t="shared" si="91"/>
        <v>5</v>
      </c>
      <c r="AI259" s="224">
        <f t="shared" si="92"/>
        <v>-0.17435306324316857</v>
      </c>
      <c r="AJ259" s="264" t="b">
        <f t="shared" si="93"/>
        <v>0</v>
      </c>
      <c r="AK259" s="264" t="b">
        <f t="shared" si="94"/>
        <v>0</v>
      </c>
      <c r="AL259" s="264"/>
      <c r="AM259" s="264"/>
      <c r="AN259" s="75"/>
    </row>
    <row r="260" spans="1:40" s="6" customFormat="1" ht="11.25" x14ac:dyDescent="0.2">
      <c r="A260" s="56">
        <f t="shared" si="95"/>
        <v>43346</v>
      </c>
      <c r="B260" s="616">
        <v>51.359000000000002</v>
      </c>
      <c r="C260" s="389"/>
      <c r="D260" s="392">
        <f t="shared" si="97"/>
        <v>51.467104612247439</v>
      </c>
      <c r="E260" s="384">
        <f t="shared" si="101"/>
        <v>51.832935854062818</v>
      </c>
      <c r="F260" s="384">
        <f t="shared" si="100"/>
        <v>51.835894549481914</v>
      </c>
      <c r="G260" s="110">
        <f t="shared" si="102"/>
        <v>0.99253613737207746</v>
      </c>
      <c r="I260" s="379">
        <f t="shared" si="73"/>
        <v>51.835894549481914</v>
      </c>
      <c r="J260" s="85">
        <v>2018</v>
      </c>
      <c r="K260" s="196">
        <f t="shared" si="74"/>
        <v>43346</v>
      </c>
      <c r="L260" s="436">
        <f t="shared" si="75"/>
        <v>2.1004603437845271E-3</v>
      </c>
      <c r="M260" s="858"/>
      <c r="N260" s="858"/>
      <c r="O260" s="323">
        <f t="shared" si="76"/>
        <v>7.0578915854851145E-3</v>
      </c>
      <c r="P260" s="168">
        <f>(INDEX(Models!$BJ260:$BT260,,T260)*(1-R260)+INDEX(Models!$BJ260:$BT260,,T260+1)*R260-ERP_i)*Q260*Ramure*Pc/MaxiM</f>
        <v>5.7693233247665904E-5</v>
      </c>
      <c r="Q260" s="304">
        <f t="shared" si="77"/>
        <v>0.5</v>
      </c>
      <c r="R260" s="176">
        <f t="shared" si="78"/>
        <v>0.82600752600400673</v>
      </c>
      <c r="S260" s="814">
        <f t="shared" si="96"/>
        <v>-1</v>
      </c>
      <c r="T260" s="175">
        <f t="shared" si="79"/>
        <v>5</v>
      </c>
      <c r="U260" s="250">
        <f t="shared" si="80"/>
        <v>-0.17399247399599327</v>
      </c>
      <c r="V260" s="382">
        <f t="shared" si="81"/>
        <v>51.745187376841884</v>
      </c>
      <c r="W260" s="58"/>
      <c r="X260" s="157">
        <f t="shared" si="82"/>
        <v>43346</v>
      </c>
      <c r="Y260" s="384">
        <f t="shared" si="83"/>
        <v>51.359000000000002</v>
      </c>
      <c r="Z260" s="384">
        <f t="shared" si="84"/>
        <v>51.467104612247439</v>
      </c>
      <c r="AA260" s="385">
        <f t="shared" si="85"/>
        <v>51.832935854062818</v>
      </c>
      <c r="AB260" s="196">
        <f t="shared" si="86"/>
        <v>43346</v>
      </c>
      <c r="AC260" s="425">
        <f t="shared" si="87"/>
        <v>7.0578915854851145E-3</v>
      </c>
      <c r="AD260" s="168">
        <f>(INDEX(Models!$BJ260:$BT260,,AH260)*(1-AF260)+INDEX(Models!$BJ260:$BT260,,AH260+1)*AF260-ERP_i)*AE260*Ramure*Pc/MaxiM</f>
        <v>5.7693233247665904E-5</v>
      </c>
      <c r="AE260" s="304">
        <f t="shared" si="88"/>
        <v>0.5</v>
      </c>
      <c r="AF260" s="176">
        <f t="shared" si="89"/>
        <v>0.82600752600400673</v>
      </c>
      <c r="AG260" s="814">
        <f t="shared" si="90"/>
        <v>-1</v>
      </c>
      <c r="AH260" s="175">
        <f t="shared" si="91"/>
        <v>5</v>
      </c>
      <c r="AI260" s="224">
        <f t="shared" si="92"/>
        <v>-0.17399247399599327</v>
      </c>
      <c r="AJ260" s="264" t="b">
        <f t="shared" si="93"/>
        <v>0</v>
      </c>
      <c r="AK260" s="264" t="b">
        <f t="shared" si="94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5"/>
        <v>43347</v>
      </c>
      <c r="B261" s="616">
        <v>47.869</v>
      </c>
      <c r="C261" s="389"/>
      <c r="D261" s="392">
        <f t="shared" si="97"/>
        <v>47.970809259425558</v>
      </c>
      <c r="E261" s="384">
        <f t="shared" si="101"/>
        <v>48.315144846776754</v>
      </c>
      <c r="F261" s="384">
        <f t="shared" ref="F261:F292" si="103">Wh_sa/(1-Pvg*MEDIAN((-Sdif+Wh/Env_an)/Csdif,0,1))</f>
        <v>48.317731419217239</v>
      </c>
      <c r="G261" s="110">
        <f t="shared" si="102"/>
        <v>0.9283663792501079</v>
      </c>
      <c r="I261" s="379">
        <f t="shared" si="73"/>
        <v>48.317731419217239</v>
      </c>
      <c r="J261" s="85">
        <v>2018</v>
      </c>
      <c r="K261" s="196">
        <f t="shared" si="74"/>
        <v>43347</v>
      </c>
      <c r="L261" s="436">
        <f t="shared" si="75"/>
        <v>2.1223169047446255E-3</v>
      </c>
      <c r="M261" s="858"/>
      <c r="N261" s="858"/>
      <c r="O261" s="323">
        <f t="shared" si="76"/>
        <v>7.1268665020709247E-3</v>
      </c>
      <c r="P261" s="168">
        <f>(INDEX(Models!$BJ261:$BT261,,T261)*(1-R261)+INDEX(Models!$BJ261:$BT261,,T261+1)*R261-ERP_i)*Q261*Ramure*Pc/MaxiM</f>
        <v>5.9634735160576789E-5</v>
      </c>
      <c r="Q261" s="304">
        <f t="shared" si="77"/>
        <v>0.5</v>
      </c>
      <c r="R261" s="176">
        <f t="shared" si="78"/>
        <v>0.82635443743946535</v>
      </c>
      <c r="S261" s="814">
        <f t="shared" si="96"/>
        <v>-1</v>
      </c>
      <c r="T261" s="175">
        <f t="shared" si="79"/>
        <v>5</v>
      </c>
      <c r="U261" s="250">
        <f t="shared" si="80"/>
        <v>-0.17364556256053471</v>
      </c>
      <c r="V261" s="382">
        <f t="shared" si="81"/>
        <v>51.562302286931427</v>
      </c>
      <c r="W261" s="58"/>
      <c r="X261" s="157">
        <f t="shared" si="82"/>
        <v>43347</v>
      </c>
      <c r="Y261" s="384">
        <f t="shared" si="83"/>
        <v>47.869</v>
      </c>
      <c r="Z261" s="384">
        <f t="shared" si="84"/>
        <v>47.970809259425558</v>
      </c>
      <c r="AA261" s="385">
        <f t="shared" si="85"/>
        <v>48.315144846776754</v>
      </c>
      <c r="AB261" s="196">
        <f t="shared" si="86"/>
        <v>43347</v>
      </c>
      <c r="AC261" s="425">
        <f t="shared" si="87"/>
        <v>7.1268665020709247E-3</v>
      </c>
      <c r="AD261" s="168">
        <f>(INDEX(Models!$BJ261:$BT261,,AH261)*(1-AF261)+INDEX(Models!$BJ261:$BT261,,AH261+1)*AF261-ERP_i)*AE261*Ramure*Pc/MaxiM</f>
        <v>5.9634735160576789E-5</v>
      </c>
      <c r="AE261" s="304">
        <f t="shared" si="88"/>
        <v>0.5</v>
      </c>
      <c r="AF261" s="176">
        <f t="shared" si="89"/>
        <v>0.82635443743946535</v>
      </c>
      <c r="AG261" s="814">
        <f t="shared" si="90"/>
        <v>-1</v>
      </c>
      <c r="AH261" s="175">
        <f t="shared" si="91"/>
        <v>5</v>
      </c>
      <c r="AI261" s="224">
        <f t="shared" si="92"/>
        <v>-0.17364556256053471</v>
      </c>
      <c r="AJ261" s="264" t="b">
        <f t="shared" si="93"/>
        <v>0</v>
      </c>
      <c r="AK261" s="264" t="b">
        <f t="shared" si="94"/>
        <v>0</v>
      </c>
      <c r="AL261" s="264"/>
      <c r="AM261" s="264"/>
      <c r="AN261" s="75"/>
    </row>
    <row r="262" spans="1:40" s="6" customFormat="1" ht="11.25" x14ac:dyDescent="0.2">
      <c r="A262" s="56">
        <f t="shared" si="95"/>
        <v>43348</v>
      </c>
      <c r="B262" s="616">
        <v>43.478000000000002</v>
      </c>
      <c r="C262" s="389"/>
      <c r="D262" s="392">
        <f t="shared" si="97"/>
        <v>43.571424671785913</v>
      </c>
      <c r="E262" s="384">
        <f t="shared" si="101"/>
        <v>43.887224502655997</v>
      </c>
      <c r="F262" s="384">
        <f t="shared" si="103"/>
        <v>43.889332565471292</v>
      </c>
      <c r="G262" s="110">
        <f t="shared" si="102"/>
        <v>0.84629120608935282</v>
      </c>
      <c r="I262" s="379">
        <f t="shared" si="73"/>
        <v>43.889332565471292</v>
      </c>
      <c r="J262" s="85">
        <v>2018</v>
      </c>
      <c r="K262" s="196">
        <f t="shared" si="74"/>
        <v>43348</v>
      </c>
      <c r="L262" s="436">
        <f t="shared" si="75"/>
        <v>2.1441729869899895E-3</v>
      </c>
      <c r="M262" s="858"/>
      <c r="N262" s="858"/>
      <c r="O262" s="323">
        <f t="shared" si="76"/>
        <v>7.1957120653863326E-3</v>
      </c>
      <c r="P262" s="168">
        <f>(INDEX(Models!$BJ262:$BT262,,T262)*(1-R262)+INDEX(Models!$BJ262:$BT262,,T262+1)*R262-ERP_i)*Q262*Ramure*Pc/MaxiM</f>
        <v>6.1544508777565412E-5</v>
      </c>
      <c r="Q262" s="304">
        <f t="shared" si="77"/>
        <v>0.5</v>
      </c>
      <c r="R262" s="176">
        <f t="shared" si="78"/>
        <v>0.82668815821512842</v>
      </c>
      <c r="S262" s="814">
        <f t="shared" si="96"/>
        <v>-1</v>
      </c>
      <c r="T262" s="175">
        <f t="shared" si="79"/>
        <v>5</v>
      </c>
      <c r="U262" s="250">
        <f t="shared" si="80"/>
        <v>-0.17331184178487158</v>
      </c>
      <c r="V262" s="382">
        <f t="shared" si="81"/>
        <v>51.374056746375935</v>
      </c>
      <c r="W262" s="58"/>
      <c r="X262" s="157">
        <f t="shared" si="82"/>
        <v>43348</v>
      </c>
      <c r="Y262" s="384">
        <f t="shared" si="83"/>
        <v>43.478000000000002</v>
      </c>
      <c r="Z262" s="384">
        <f t="shared" si="84"/>
        <v>43.571424671785913</v>
      </c>
      <c r="AA262" s="385">
        <f t="shared" si="85"/>
        <v>43.887224502655997</v>
      </c>
      <c r="AB262" s="196">
        <f t="shared" si="86"/>
        <v>43348</v>
      </c>
      <c r="AC262" s="425">
        <f t="shared" si="87"/>
        <v>7.1957120653863326E-3</v>
      </c>
      <c r="AD262" s="168">
        <f>(INDEX(Models!$BJ262:$BT262,,AH262)*(1-AF262)+INDEX(Models!$BJ262:$BT262,,AH262+1)*AF262-ERP_i)*AE262*Ramure*Pc/MaxiM</f>
        <v>6.1544508777565412E-5</v>
      </c>
      <c r="AE262" s="304">
        <f t="shared" si="88"/>
        <v>0.5</v>
      </c>
      <c r="AF262" s="176">
        <f t="shared" si="89"/>
        <v>0.82668815821512842</v>
      </c>
      <c r="AG262" s="814">
        <f t="shared" si="90"/>
        <v>-1</v>
      </c>
      <c r="AH262" s="175">
        <f t="shared" si="91"/>
        <v>5</v>
      </c>
      <c r="AI262" s="224">
        <f t="shared" si="92"/>
        <v>-0.17331184178487158</v>
      </c>
      <c r="AJ262" s="264" t="b">
        <f t="shared" si="93"/>
        <v>0</v>
      </c>
      <c r="AK262" s="264" t="b">
        <f t="shared" si="94"/>
        <v>0</v>
      </c>
      <c r="AL262" s="264"/>
      <c r="AM262" s="264"/>
      <c r="AN262" s="75"/>
    </row>
    <row r="263" spans="1:40" s="6" customFormat="1" ht="11.25" x14ac:dyDescent="0.2">
      <c r="A263" s="56">
        <f t="shared" si="95"/>
        <v>43349</v>
      </c>
      <c r="B263" s="616">
        <v>29.731000000000002</v>
      </c>
      <c r="C263" s="389"/>
      <c r="D263" s="392">
        <f t="shared" si="97"/>
        <v>29.795537987150425</v>
      </c>
      <c r="E263" s="384">
        <f t="shared" si="101"/>
        <v>30.013569331741586</v>
      </c>
      <c r="F263" s="384">
        <f t="shared" si="103"/>
        <v>30.014332735237293</v>
      </c>
      <c r="G263" s="110">
        <f t="shared" si="102"/>
        <v>0.58088209218296649</v>
      </c>
      <c r="I263" s="379">
        <f t="shared" si="73"/>
        <v>30.014332735237293</v>
      </c>
      <c r="J263" s="85">
        <v>2018</v>
      </c>
      <c r="K263" s="196">
        <f t="shared" si="74"/>
        <v>43349</v>
      </c>
      <c r="L263" s="436">
        <f t="shared" si="75"/>
        <v>2.166028590531055E-3</v>
      </c>
      <c r="M263" s="858"/>
      <c r="N263" s="858"/>
      <c r="O263" s="323">
        <f t="shared" si="76"/>
        <v>7.2644257062947169E-3</v>
      </c>
      <c r="P263" s="168">
        <f>(INDEX(Models!$BJ263:$BT263,,T263)*(1-R263)+INDEX(Models!$BJ263:$BT263,,T263+1)*R263-ERP_i)*Q263*Ramure*Pc/MaxiM</f>
        <v>6.3381915055211259E-5</v>
      </c>
      <c r="Q263" s="304">
        <f t="shared" si="77"/>
        <v>0.5</v>
      </c>
      <c r="R263" s="176">
        <f t="shared" si="78"/>
        <v>0.82700916057410745</v>
      </c>
      <c r="S263" s="814">
        <f t="shared" si="96"/>
        <v>-1</v>
      </c>
      <c r="T263" s="175">
        <f t="shared" si="79"/>
        <v>5</v>
      </c>
      <c r="U263" s="250">
        <f t="shared" si="80"/>
        <v>-0.17299083942589261</v>
      </c>
      <c r="V263" s="382">
        <f t="shared" si="81"/>
        <v>51.180561702106637</v>
      </c>
      <c r="W263" s="58"/>
      <c r="X263" s="157">
        <f t="shared" si="82"/>
        <v>43349</v>
      </c>
      <c r="Y263" s="384">
        <f t="shared" si="83"/>
        <v>29.731000000000002</v>
      </c>
      <c r="Z263" s="384">
        <f t="shared" si="84"/>
        <v>29.795537987150425</v>
      </c>
      <c r="AA263" s="385">
        <f t="shared" si="85"/>
        <v>30.013569331741586</v>
      </c>
      <c r="AB263" s="196">
        <f t="shared" si="86"/>
        <v>43349</v>
      </c>
      <c r="AC263" s="425">
        <f t="shared" si="87"/>
        <v>7.2644257062947169E-3</v>
      </c>
      <c r="AD263" s="168">
        <f>(INDEX(Models!$BJ263:$BT263,,AH263)*(1-AF263)+INDEX(Models!$BJ263:$BT263,,AH263+1)*AF263-ERP_i)*AE263*Ramure*Pc/MaxiM</f>
        <v>6.3381915055211259E-5</v>
      </c>
      <c r="AE263" s="304">
        <f t="shared" si="88"/>
        <v>0.5</v>
      </c>
      <c r="AF263" s="176">
        <f t="shared" si="89"/>
        <v>0.82700916057410745</v>
      </c>
      <c r="AG263" s="814">
        <f t="shared" si="90"/>
        <v>-1</v>
      </c>
      <c r="AH263" s="175">
        <f t="shared" si="91"/>
        <v>5</v>
      </c>
      <c r="AI263" s="224">
        <f t="shared" si="92"/>
        <v>-0.17299083942589261</v>
      </c>
      <c r="AJ263" s="264" t="b">
        <f t="shared" si="93"/>
        <v>0</v>
      </c>
      <c r="AK263" s="264" t="b">
        <f t="shared" si="94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5"/>
        <v>43350</v>
      </c>
      <c r="B264" s="616">
        <v>36.085999999999999</v>
      </c>
      <c r="C264" s="389"/>
      <c r="D264" s="392">
        <f t="shared" si="97"/>
        <v>36.16512508824519</v>
      </c>
      <c r="E264" s="384">
        <f t="shared" si="101"/>
        <v>36.432283193381025</v>
      </c>
      <c r="F264" s="384">
        <f t="shared" si="103"/>
        <v>36.433665999752144</v>
      </c>
      <c r="G264" s="110">
        <f t="shared" si="102"/>
        <v>0.70780022532351905</v>
      </c>
      <c r="I264" s="379">
        <f t="shared" si="73"/>
        <v>36.433665999752144</v>
      </c>
      <c r="J264" s="85">
        <v>2018</v>
      </c>
      <c r="K264" s="196">
        <f t="shared" si="74"/>
        <v>43350</v>
      </c>
      <c r="L264" s="436">
        <f t="shared" si="75"/>
        <v>2.1878837153782582E-3</v>
      </c>
      <c r="M264" s="858"/>
      <c r="N264" s="858"/>
      <c r="O264" s="323">
        <f t="shared" si="76"/>
        <v>7.3330047342290618E-3</v>
      </c>
      <c r="P264" s="168">
        <f>(INDEX(Models!$BJ264:$BT264,,T264)*(1-R264)+INDEX(Models!$BJ264:$BT264,,T264+1)*R264-ERP_i)*Q264*Ramure*Pc/MaxiM</f>
        <v>6.5146123755104935E-5</v>
      </c>
      <c r="Q264" s="304">
        <f t="shared" si="77"/>
        <v>0.5</v>
      </c>
      <c r="R264" s="176">
        <f t="shared" si="78"/>
        <v>0.82731790211392997</v>
      </c>
      <c r="S264" s="814">
        <f t="shared" si="96"/>
        <v>-1</v>
      </c>
      <c r="T264" s="175">
        <f t="shared" si="79"/>
        <v>5</v>
      </c>
      <c r="U264" s="250">
        <f t="shared" si="80"/>
        <v>-0.17268209788607003</v>
      </c>
      <c r="V264" s="382">
        <f t="shared" si="81"/>
        <v>50.981926000754854</v>
      </c>
      <c r="W264" s="58"/>
      <c r="X264" s="157">
        <f t="shared" si="82"/>
        <v>43350</v>
      </c>
      <c r="Y264" s="384">
        <f t="shared" si="83"/>
        <v>36.085999999999999</v>
      </c>
      <c r="Z264" s="384">
        <f t="shared" si="84"/>
        <v>36.16512508824519</v>
      </c>
      <c r="AA264" s="385">
        <f t="shared" si="85"/>
        <v>36.432283193381025</v>
      </c>
      <c r="AB264" s="196">
        <f t="shared" si="86"/>
        <v>43350</v>
      </c>
      <c r="AC264" s="425">
        <f t="shared" si="87"/>
        <v>7.3330047342290618E-3</v>
      </c>
      <c r="AD264" s="168">
        <f>(INDEX(Models!$BJ264:$BT264,,AH264)*(1-AF264)+INDEX(Models!$BJ264:$BT264,,AH264+1)*AF264-ERP_i)*AE264*Ramure*Pc/MaxiM</f>
        <v>6.5146123755104935E-5</v>
      </c>
      <c r="AE264" s="304">
        <f t="shared" si="88"/>
        <v>0.5</v>
      </c>
      <c r="AF264" s="176">
        <f t="shared" si="89"/>
        <v>0.82731790211392997</v>
      </c>
      <c r="AG264" s="814">
        <f t="shared" si="90"/>
        <v>-1</v>
      </c>
      <c r="AH264" s="175">
        <f t="shared" si="91"/>
        <v>5</v>
      </c>
      <c r="AI264" s="224">
        <f t="shared" si="92"/>
        <v>-0.17268209788607003</v>
      </c>
      <c r="AJ264" s="264" t="b">
        <f t="shared" si="93"/>
        <v>0</v>
      </c>
      <c r="AK264" s="264" t="b">
        <f t="shared" si="94"/>
        <v>0</v>
      </c>
      <c r="AL264" s="264"/>
      <c r="AM264" s="264"/>
      <c r="AN264" s="75"/>
    </row>
    <row r="265" spans="1:40" s="6" customFormat="1" ht="11.25" x14ac:dyDescent="0.2">
      <c r="A265" s="56">
        <f t="shared" si="95"/>
        <v>43351</v>
      </c>
      <c r="B265" s="616">
        <v>46.012</v>
      </c>
      <c r="C265" s="389"/>
      <c r="D265" s="392">
        <f t="shared" si="97"/>
        <v>46.113899653063683</v>
      </c>
      <c r="E265" s="384">
        <f t="shared" si="101"/>
        <v>46.45775422766539</v>
      </c>
      <c r="F265" s="384">
        <f t="shared" si="103"/>
        <v>46.460443083143332</v>
      </c>
      <c r="G265" s="110">
        <f t="shared" si="102"/>
        <v>0.90612772109613249</v>
      </c>
      <c r="I265" s="379">
        <f t="shared" si="73"/>
        <v>46.460443083143332</v>
      </c>
      <c r="J265" s="85">
        <v>2018</v>
      </c>
      <c r="K265" s="196">
        <f t="shared" si="74"/>
        <v>43351</v>
      </c>
      <c r="L265" s="436">
        <f t="shared" si="75"/>
        <v>2.2097383615422572E-3</v>
      </c>
      <c r="M265" s="858"/>
      <c r="N265" s="858"/>
      <c r="O265" s="323">
        <f t="shared" si="76"/>
        <v>7.4014463315779985E-3</v>
      </c>
      <c r="P265" s="168">
        <f>(INDEX(Models!$BJ265:$BT265,,T265)*(1-R265)+INDEX(Models!$BJ265:$BT265,,T265+1)*R265-ERP_i)*Q265*Ramure*Pc/MaxiM</f>
        <v>6.6836267276762092E-5</v>
      </c>
      <c r="Q265" s="304">
        <f t="shared" si="77"/>
        <v>0.5</v>
      </c>
      <c r="R265" s="176">
        <f t="shared" si="78"/>
        <v>0.82761482606203751</v>
      </c>
      <c r="S265" s="814">
        <f t="shared" si="96"/>
        <v>-1</v>
      </c>
      <c r="T265" s="175">
        <f t="shared" si="79"/>
        <v>5</v>
      </c>
      <c r="U265" s="250">
        <f t="shared" si="80"/>
        <v>-0.17238517393796254</v>
      </c>
      <c r="V265" s="382">
        <f t="shared" si="81"/>
        <v>50.778258447263788</v>
      </c>
      <c r="W265" s="58"/>
      <c r="X265" s="157">
        <f t="shared" si="82"/>
        <v>43351</v>
      </c>
      <c r="Y265" s="384">
        <f t="shared" si="83"/>
        <v>46.012</v>
      </c>
      <c r="Z265" s="384">
        <f t="shared" si="84"/>
        <v>46.113899653063683</v>
      </c>
      <c r="AA265" s="385">
        <f t="shared" si="85"/>
        <v>46.45775422766539</v>
      </c>
      <c r="AB265" s="196">
        <f t="shared" si="86"/>
        <v>43351</v>
      </c>
      <c r="AC265" s="425">
        <f t="shared" si="87"/>
        <v>7.4014463315779985E-3</v>
      </c>
      <c r="AD265" s="168">
        <f>(INDEX(Models!$BJ265:$BT265,,AH265)*(1-AF265)+INDEX(Models!$BJ265:$BT265,,AH265+1)*AF265-ERP_i)*AE265*Ramure*Pc/MaxiM</f>
        <v>6.6836267276762092E-5</v>
      </c>
      <c r="AE265" s="304">
        <f t="shared" si="88"/>
        <v>0.5</v>
      </c>
      <c r="AF265" s="176">
        <f t="shared" si="89"/>
        <v>0.82761482606203751</v>
      </c>
      <c r="AG265" s="814">
        <f t="shared" si="90"/>
        <v>-1</v>
      </c>
      <c r="AH265" s="175">
        <f t="shared" si="91"/>
        <v>5</v>
      </c>
      <c r="AI265" s="224">
        <f t="shared" si="92"/>
        <v>-0.17238517393796254</v>
      </c>
      <c r="AJ265" s="264" t="b">
        <f t="shared" si="93"/>
        <v>0</v>
      </c>
      <c r="AK265" s="264" t="b">
        <f t="shared" si="94"/>
        <v>0</v>
      </c>
      <c r="AL265" s="264"/>
      <c r="AM265" s="264"/>
      <c r="AN265" s="75"/>
    </row>
    <row r="266" spans="1:40" s="6" customFormat="1" ht="11.25" x14ac:dyDescent="0.2">
      <c r="A266" s="56">
        <f t="shared" si="95"/>
        <v>43352</v>
      </c>
      <c r="B266" s="616">
        <v>32.509</v>
      </c>
      <c r="C266" s="389"/>
      <c r="D266" s="392">
        <f t="shared" si="97"/>
        <v>32.58170909860759</v>
      </c>
      <c r="E266" s="384">
        <f t="shared" si="101"/>
        <v>32.826917888024205</v>
      </c>
      <c r="F266" s="384">
        <f t="shared" si="103"/>
        <v>32.828018516160924</v>
      </c>
      <c r="G266" s="110">
        <f t="shared" si="102"/>
        <v>0.64283326383674755</v>
      </c>
      <c r="I266" s="379">
        <f t="shared" si="73"/>
        <v>32.828018516160924</v>
      </c>
      <c r="J266" s="85">
        <v>2018</v>
      </c>
      <c r="K266" s="196">
        <f t="shared" si="74"/>
        <v>43352</v>
      </c>
      <c r="L266" s="436">
        <f t="shared" si="75"/>
        <v>2.2315925290332661E-3</v>
      </c>
      <c r="M266" s="858"/>
      <c r="N266" s="858"/>
      <c r="O266" s="323">
        <f t="shared" si="76"/>
        <v>7.4697475484310164E-3</v>
      </c>
      <c r="P266" s="168">
        <f>(INDEX(Models!$BJ266:$BT266,,T266)*(1-R266)+INDEX(Models!$BJ266:$BT266,,T266+1)*R266-ERP_i)*Q266*Ramure*Pc/MaxiM</f>
        <v>6.8451439749349821E-5</v>
      </c>
      <c r="Q266" s="304">
        <f t="shared" si="77"/>
        <v>0.5</v>
      </c>
      <c r="R266" s="176">
        <f t="shared" si="78"/>
        <v>0.82790036156165059</v>
      </c>
      <c r="S266" s="814">
        <f t="shared" si="96"/>
        <v>-1</v>
      </c>
      <c r="T266" s="175">
        <f t="shared" si="79"/>
        <v>5</v>
      </c>
      <c r="U266" s="250">
        <f t="shared" si="80"/>
        <v>-0.17209963843834941</v>
      </c>
      <c r="V266" s="382">
        <f t="shared" si="81"/>
        <v>50.569667805346469</v>
      </c>
      <c r="W266" s="58"/>
      <c r="X266" s="157">
        <f t="shared" si="82"/>
        <v>43352</v>
      </c>
      <c r="Y266" s="384">
        <f t="shared" si="83"/>
        <v>32.509</v>
      </c>
      <c r="Z266" s="384">
        <f t="shared" si="84"/>
        <v>32.58170909860759</v>
      </c>
      <c r="AA266" s="385">
        <f t="shared" si="85"/>
        <v>32.826917888024205</v>
      </c>
      <c r="AB266" s="196">
        <f t="shared" si="86"/>
        <v>43352</v>
      </c>
      <c r="AC266" s="425">
        <f t="shared" si="87"/>
        <v>7.4697475484310164E-3</v>
      </c>
      <c r="AD266" s="168">
        <f>(INDEX(Models!$BJ266:$BT266,,AH266)*(1-AF266)+INDEX(Models!$BJ266:$BT266,,AH266+1)*AF266-ERP_i)*AE266*Ramure*Pc/MaxiM</f>
        <v>6.8451439749349821E-5</v>
      </c>
      <c r="AE266" s="304">
        <f t="shared" si="88"/>
        <v>0.5</v>
      </c>
      <c r="AF266" s="176">
        <f t="shared" si="89"/>
        <v>0.82790036156165059</v>
      </c>
      <c r="AG266" s="814">
        <f t="shared" si="90"/>
        <v>-1</v>
      </c>
      <c r="AH266" s="175">
        <f t="shared" si="91"/>
        <v>5</v>
      </c>
      <c r="AI266" s="224">
        <f t="shared" si="92"/>
        <v>-0.17209963843834941</v>
      </c>
      <c r="AJ266" s="264" t="b">
        <f t="shared" si="93"/>
        <v>0</v>
      </c>
      <c r="AK266" s="264" t="b">
        <f t="shared" si="94"/>
        <v>0</v>
      </c>
      <c r="AL266" s="264"/>
      <c r="AM266" s="264"/>
      <c r="AN266" s="75"/>
    </row>
    <row r="267" spans="1:40" s="6" customFormat="1" ht="11.25" x14ac:dyDescent="0.2">
      <c r="A267" s="56">
        <f t="shared" si="95"/>
        <v>43353</v>
      </c>
      <c r="B267" s="616">
        <v>39.576000000000001</v>
      </c>
      <c r="C267" s="389"/>
      <c r="D267" s="392">
        <f t="shared" si="97"/>
        <v>39.66538380912472</v>
      </c>
      <c r="E267" s="384">
        <f t="shared" si="101"/>
        <v>39.966648621505371</v>
      </c>
      <c r="F267" s="384">
        <f t="shared" si="103"/>
        <v>39.968590517595452</v>
      </c>
      <c r="G267" s="110">
        <f t="shared" si="102"/>
        <v>0.78590329442232365</v>
      </c>
      <c r="I267" s="379">
        <f t="shared" si="73"/>
        <v>39.968590517595452</v>
      </c>
      <c r="J267" s="85">
        <v>2018</v>
      </c>
      <c r="K267" s="196">
        <f t="shared" si="74"/>
        <v>43353</v>
      </c>
      <c r="L267" s="436">
        <f t="shared" si="75"/>
        <v>2.253446217862054E-3</v>
      </c>
      <c r="M267" s="858"/>
      <c r="N267" s="858"/>
      <c r="O267" s="323">
        <f t="shared" si="76"/>
        <v>7.5379052978324212E-3</v>
      </c>
      <c r="P267" s="168">
        <f>(INDEX(Models!$BJ267:$BT267,,T267)*(1-R267)+INDEX(Models!$BJ267:$BT267,,T267+1)*R267-ERP_i)*Q267*Ramure*Pc/MaxiM</f>
        <v>6.9990696294534196E-5</v>
      </c>
      <c r="Q267" s="304">
        <f t="shared" si="77"/>
        <v>0.5</v>
      </c>
      <c r="R267" s="176">
        <f t="shared" si="78"/>
        <v>0.82817492396624948</v>
      </c>
      <c r="S267" s="814">
        <f t="shared" si="96"/>
        <v>-1</v>
      </c>
      <c r="T267" s="175">
        <f t="shared" si="79"/>
        <v>5</v>
      </c>
      <c r="U267" s="250">
        <f t="shared" si="80"/>
        <v>-0.17182507603375052</v>
      </c>
      <c r="V267" s="382">
        <f t="shared" si="81"/>
        <v>50.356262799477527</v>
      </c>
      <c r="W267" s="1155">
        <v>1.1000000000000001</v>
      </c>
      <c r="X267" s="157">
        <f t="shared" si="82"/>
        <v>43353</v>
      </c>
      <c r="Y267" s="384">
        <f t="shared" si="83"/>
        <v>39.576000000000001</v>
      </c>
      <c r="Z267" s="384">
        <f t="shared" si="84"/>
        <v>39.66538380912472</v>
      </c>
      <c r="AA267" s="385">
        <f t="shared" si="85"/>
        <v>39.966648621505371</v>
      </c>
      <c r="AB267" s="196">
        <f t="shared" si="86"/>
        <v>43353</v>
      </c>
      <c r="AC267" s="425">
        <f t="shared" si="87"/>
        <v>7.5379052978324212E-3</v>
      </c>
      <c r="AD267" s="168">
        <f>(INDEX(Models!$BJ267:$BT267,,AH267)*(1-AF267)+INDEX(Models!$BJ267:$BT267,,AH267+1)*AF267-ERP_i)*AE267*Ramure*Pc/MaxiM</f>
        <v>6.9990696294534196E-5</v>
      </c>
      <c r="AE267" s="304">
        <f t="shared" si="88"/>
        <v>0.5</v>
      </c>
      <c r="AF267" s="176">
        <f t="shared" si="89"/>
        <v>0.82817492396624948</v>
      </c>
      <c r="AG267" s="814">
        <f t="shared" si="90"/>
        <v>-1</v>
      </c>
      <c r="AH267" s="175">
        <f t="shared" si="91"/>
        <v>5</v>
      </c>
      <c r="AI267" s="224">
        <f t="shared" si="92"/>
        <v>-0.17182507603375052</v>
      </c>
      <c r="AJ267" s="264" t="b">
        <f t="shared" si="93"/>
        <v>0</v>
      </c>
      <c r="AK267" s="264" t="b">
        <f t="shared" si="94"/>
        <v>0</v>
      </c>
      <c r="AL267" s="264"/>
      <c r="AM267" s="264"/>
      <c r="AN267" s="75"/>
    </row>
    <row r="268" spans="1:40" s="6" customFormat="1" ht="11.25" x14ac:dyDescent="0.2">
      <c r="A268" s="56">
        <f t="shared" si="95"/>
        <v>43354</v>
      </c>
      <c r="B268" s="616">
        <v>48.142490275000014</v>
      </c>
      <c r="C268" s="389"/>
      <c r="D268" s="392">
        <f t="shared" si="97"/>
        <v>48.252278657029926</v>
      </c>
      <c r="E268" s="384">
        <f t="shared" si="101"/>
        <v>48.622094238653489</v>
      </c>
      <c r="F268" s="384">
        <f t="shared" si="103"/>
        <v>48.625367547378296</v>
      </c>
      <c r="G268" s="110">
        <f t="shared" si="102"/>
        <v>0.96019276949374044</v>
      </c>
      <c r="I268" s="379">
        <f t="shared" si="73"/>
        <v>48.625367547378296</v>
      </c>
      <c r="J268" s="85">
        <v>2018</v>
      </c>
      <c r="K268" s="196">
        <f t="shared" si="74"/>
        <v>43354</v>
      </c>
      <c r="L268" s="436">
        <f t="shared" si="75"/>
        <v>2.275299428038835E-3</v>
      </c>
      <c r="M268" s="858"/>
      <c r="N268" s="858"/>
      <c r="O268" s="323">
        <f t="shared" si="76"/>
        <v>7.6059163516977628E-3</v>
      </c>
      <c r="P268" s="168">
        <f>(INDEX(Models!$BJ268:$BT268,,T268)*(1-R268)+INDEX(Models!$BJ268:$BT268,,T268+1)*R268-ERP_i)*Q268*Ramure*Pc/MaxiM</f>
        <v>7.1375437569253536E-5</v>
      </c>
      <c r="Q268" s="304">
        <f t="shared" si="77"/>
        <v>0.5</v>
      </c>
      <c r="R268" s="176">
        <f t="shared" si="78"/>
        <v>0.8284389151410515</v>
      </c>
      <c r="S268" s="814">
        <f t="shared" si="96"/>
        <v>-1</v>
      </c>
      <c r="T268" s="175">
        <f t="shared" si="79"/>
        <v>5</v>
      </c>
      <c r="U268" s="250">
        <f t="shared" si="80"/>
        <v>-0.1715610848589485</v>
      </c>
      <c r="V268" s="382">
        <f t="shared" si="81"/>
        <v>50.138156006784548</v>
      </c>
      <c r="W268" s="1156">
        <v>43765.900250000006</v>
      </c>
      <c r="X268" s="157">
        <f t="shared" si="82"/>
        <v>43354</v>
      </c>
      <c r="Y268" s="384">
        <f t="shared" si="83"/>
        <v>48.142490275000014</v>
      </c>
      <c r="Z268" s="384">
        <f t="shared" si="84"/>
        <v>48.252278657029926</v>
      </c>
      <c r="AA268" s="385">
        <f t="shared" si="85"/>
        <v>48.622094238653489</v>
      </c>
      <c r="AB268" s="196">
        <f t="shared" si="86"/>
        <v>43354</v>
      </c>
      <c r="AC268" s="425">
        <f t="shared" si="87"/>
        <v>7.6059163516977628E-3</v>
      </c>
      <c r="AD268" s="168">
        <f>(INDEX(Models!$BJ268:$BT268,,AH268)*(1-AF268)+INDEX(Models!$BJ268:$BT268,,AH268+1)*AF268-ERP_i)*AE268*Ramure*Pc/MaxiM</f>
        <v>7.1375437569253536E-5</v>
      </c>
      <c r="AE268" s="304">
        <f t="shared" si="88"/>
        <v>0.5</v>
      </c>
      <c r="AF268" s="176">
        <f t="shared" si="89"/>
        <v>0.8284389151410515</v>
      </c>
      <c r="AG268" s="814">
        <f t="shared" si="90"/>
        <v>-1</v>
      </c>
      <c r="AH268" s="175">
        <f t="shared" si="91"/>
        <v>5</v>
      </c>
      <c r="AI268" s="224">
        <f t="shared" si="92"/>
        <v>-0.1715610848589485</v>
      </c>
      <c r="AJ268" s="264" t="b">
        <f t="shared" si="93"/>
        <v>0</v>
      </c>
      <c r="AK268" s="264" t="b">
        <f t="shared" si="94"/>
        <v>0</v>
      </c>
      <c r="AL268" s="264"/>
      <c r="AM268" s="264"/>
      <c r="AN268" s="75"/>
    </row>
    <row r="269" spans="1:40" s="6" customFormat="1" ht="11.25" x14ac:dyDescent="0.2">
      <c r="A269" s="56">
        <f t="shared" si="95"/>
        <v>43355</v>
      </c>
      <c r="B269" s="616">
        <v>31.836114200000004</v>
      </c>
      <c r="C269" s="389"/>
      <c r="D269" s="392">
        <f t="shared" si="97"/>
        <v>31.909414981535594</v>
      </c>
      <c r="E269" s="384">
        <f t="shared" si="101"/>
        <v>32.156174303165471</v>
      </c>
      <c r="F269" s="384">
        <f t="shared" si="103"/>
        <v>32.157302122590472</v>
      </c>
      <c r="G269" s="110">
        <f t="shared" si="102"/>
        <v>0.63777678909940749</v>
      </c>
      <c r="I269" s="379">
        <f t="shared" si="73"/>
        <v>32.157302122590472</v>
      </c>
      <c r="J269" s="85">
        <v>2018</v>
      </c>
      <c r="K269" s="196">
        <f t="shared" si="74"/>
        <v>43355</v>
      </c>
      <c r="L269" s="436">
        <f t="shared" si="75"/>
        <v>2.2971521595743782E-3</v>
      </c>
      <c r="M269" s="858"/>
      <c r="N269" s="858"/>
      <c r="O269" s="323">
        <f t="shared" si="76"/>
        <v>7.6737773375480751E-3</v>
      </c>
      <c r="P269" s="168">
        <f>(INDEX(Models!$BJ269:$BT269,,T269)*(1-R269)+INDEX(Models!$BJ269:$BT269,,T269+1)*R269-ERP_i)*Q269*Ramure*Pc/MaxiM</f>
        <v>7.2677062173654282E-5</v>
      </c>
      <c r="Q269" s="304">
        <f t="shared" si="77"/>
        <v>0.5</v>
      </c>
      <c r="R269" s="176">
        <f t="shared" si="78"/>
        <v>0.82869272377000369</v>
      </c>
      <c r="S269" s="814">
        <f t="shared" si="96"/>
        <v>-1</v>
      </c>
      <c r="T269" s="175">
        <f t="shared" si="79"/>
        <v>5</v>
      </c>
      <c r="U269" s="250">
        <f t="shared" si="80"/>
        <v>-0.17130727622999631</v>
      </c>
      <c r="V269" s="382">
        <f t="shared" si="81"/>
        <v>49.915452399027707</v>
      </c>
      <c r="W269" s="1156">
        <v>28941.922000000002</v>
      </c>
      <c r="X269" s="157">
        <f t="shared" si="82"/>
        <v>43355</v>
      </c>
      <c r="Y269" s="384">
        <f t="shared" si="83"/>
        <v>31.836114200000004</v>
      </c>
      <c r="Z269" s="384">
        <f t="shared" si="84"/>
        <v>31.909414981535594</v>
      </c>
      <c r="AA269" s="385">
        <f t="shared" si="85"/>
        <v>32.156174303165471</v>
      </c>
      <c r="AB269" s="196">
        <f t="shared" si="86"/>
        <v>43355</v>
      </c>
      <c r="AC269" s="425">
        <f t="shared" si="87"/>
        <v>7.6737773375480751E-3</v>
      </c>
      <c r="AD269" s="168">
        <f>(INDEX(Models!$BJ269:$BT269,,AH269)*(1-AF269)+INDEX(Models!$BJ269:$BT269,,AH269+1)*AF269-ERP_i)*AE269*Ramure*Pc/MaxiM</f>
        <v>7.2677062173654282E-5</v>
      </c>
      <c r="AE269" s="304">
        <f t="shared" si="88"/>
        <v>0.5</v>
      </c>
      <c r="AF269" s="176">
        <f t="shared" si="89"/>
        <v>0.82869272377000369</v>
      </c>
      <c r="AG269" s="814">
        <f t="shared" si="90"/>
        <v>-1</v>
      </c>
      <c r="AH269" s="175">
        <f t="shared" si="91"/>
        <v>5</v>
      </c>
      <c r="AI269" s="224">
        <f t="shared" si="92"/>
        <v>-0.17130727622999631</v>
      </c>
      <c r="AJ269" s="264" t="b">
        <f t="shared" si="93"/>
        <v>0</v>
      </c>
      <c r="AK269" s="264" t="b">
        <f t="shared" si="94"/>
        <v>0</v>
      </c>
      <c r="AL269" s="264"/>
      <c r="AM269" s="264"/>
      <c r="AN269" s="75"/>
    </row>
    <row r="270" spans="1:40" s="6" customFormat="1" ht="11.25" x14ac:dyDescent="0.2">
      <c r="A270" s="56">
        <f t="shared" si="95"/>
        <v>43356</v>
      </c>
      <c r="B270" s="616">
        <v>22.671569085000002</v>
      </c>
      <c r="C270" s="389"/>
      <c r="D270" s="392">
        <f t="shared" si="97"/>
        <v>22.724266759886525</v>
      </c>
      <c r="E270" s="384">
        <f t="shared" si="101"/>
        <v>22.901558827988978</v>
      </c>
      <c r="F270" s="384">
        <f t="shared" si="103"/>
        <v>22.901936642554446</v>
      </c>
      <c r="G270" s="110">
        <f t="shared" si="102"/>
        <v>0.45624997754393237</v>
      </c>
      <c r="I270" s="379">
        <f t="shared" si="73"/>
        <v>22.901936642554446</v>
      </c>
      <c r="J270" s="85">
        <v>2018</v>
      </c>
      <c r="K270" s="196">
        <f t="shared" si="74"/>
        <v>43356</v>
      </c>
      <c r="L270" s="436">
        <f t="shared" si="75"/>
        <v>2.3190044124788978E-3</v>
      </c>
      <c r="M270" s="858"/>
      <c r="N270" s="858"/>
      <c r="O270" s="323">
        <f t="shared" si="76"/>
        <v>7.7414847362170872E-3</v>
      </c>
      <c r="P270" s="168">
        <f>(INDEX(Models!$BJ270:$BT270,,T270)*(1-R270)+INDEX(Models!$BJ270:$BT270,,T270+1)*R270-ERP_i)*Q270*Ramure*Pc/MaxiM</f>
        <v>7.3894442533441269E-5</v>
      </c>
      <c r="Q270" s="304">
        <f t="shared" si="77"/>
        <v>0.5</v>
      </c>
      <c r="R270" s="176">
        <f t="shared" si="78"/>
        <v>0.82893672566692977</v>
      </c>
      <c r="S270" s="814">
        <f t="shared" si="96"/>
        <v>-1</v>
      </c>
      <c r="T270" s="175">
        <f t="shared" si="79"/>
        <v>5</v>
      </c>
      <c r="U270" s="250">
        <f t="shared" si="80"/>
        <v>-0.17106327433307023</v>
      </c>
      <c r="V270" s="382">
        <f t="shared" si="81"/>
        <v>49.688260582038097</v>
      </c>
      <c r="W270" s="1156">
        <v>20610.517350000002</v>
      </c>
      <c r="X270" s="157">
        <f t="shared" si="82"/>
        <v>43356</v>
      </c>
      <c r="Y270" s="384">
        <f t="shared" si="83"/>
        <v>22.671569085000002</v>
      </c>
      <c r="Z270" s="384">
        <f t="shared" si="84"/>
        <v>22.724266759886525</v>
      </c>
      <c r="AA270" s="385">
        <f t="shared" si="85"/>
        <v>22.901558827988978</v>
      </c>
      <c r="AB270" s="196">
        <f t="shared" si="86"/>
        <v>43356</v>
      </c>
      <c r="AC270" s="425">
        <f t="shared" si="87"/>
        <v>7.7414847362170872E-3</v>
      </c>
      <c r="AD270" s="168">
        <f>(INDEX(Models!$BJ270:$BT270,,AH270)*(1-AF270)+INDEX(Models!$BJ270:$BT270,,AH270+1)*AF270-ERP_i)*AE270*Ramure*Pc/MaxiM</f>
        <v>7.3894442533441269E-5</v>
      </c>
      <c r="AE270" s="304">
        <f t="shared" si="88"/>
        <v>0.5</v>
      </c>
      <c r="AF270" s="176">
        <f t="shared" si="89"/>
        <v>0.82893672566692977</v>
      </c>
      <c r="AG270" s="814">
        <f t="shared" si="90"/>
        <v>-1</v>
      </c>
      <c r="AH270" s="175">
        <f t="shared" si="91"/>
        <v>5</v>
      </c>
      <c r="AI270" s="224">
        <f t="shared" si="92"/>
        <v>-0.17106327433307023</v>
      </c>
      <c r="AJ270" s="264" t="b">
        <f t="shared" si="93"/>
        <v>0</v>
      </c>
      <c r="AK270" s="264" t="b">
        <f t="shared" si="94"/>
        <v>0</v>
      </c>
      <c r="AL270" s="264"/>
      <c r="AM270" s="264"/>
      <c r="AN270" s="75"/>
    </row>
    <row r="271" spans="1:40" s="6" customFormat="1" ht="11.25" x14ac:dyDescent="0.2">
      <c r="A271" s="56">
        <f t="shared" si="95"/>
        <v>43357</v>
      </c>
      <c r="B271" s="616">
        <v>30.846689225000006</v>
      </c>
      <c r="C271" s="389"/>
      <c r="D271" s="392">
        <f t="shared" ref="D271:D334" si="104">Wh/(1-Ppv)</f>
        <v>30.919066312666949</v>
      </c>
      <c r="E271" s="384">
        <f t="shared" si="101"/>
        <v>31.162414695994325</v>
      </c>
      <c r="F271" s="384">
        <f t="shared" si="103"/>
        <v>31.163495930713562</v>
      </c>
      <c r="G271" s="110">
        <f t="shared" si="102"/>
        <v>0.62368601014735703</v>
      </c>
      <c r="I271" s="379">
        <f t="shared" ref="I271:I334" si="105">Wh_hp</f>
        <v>31.163495930713562</v>
      </c>
      <c r="J271" s="85">
        <v>2018</v>
      </c>
      <c r="K271" s="196">
        <f t="shared" ref="K271:K334" si="106">t</f>
        <v>43357</v>
      </c>
      <c r="L271" s="436">
        <f t="shared" ref="L271:L334" si="107">IF(t&lt;T0,0,IF(t&lt;Tvie,1-EXP((T0-t)*PertePVj),1-EXP((T0-t)*PertePVj)+Pspv))</f>
        <v>2.3408561867630517E-3</v>
      </c>
      <c r="M271" s="858"/>
      <c r="N271" s="858"/>
      <c r="O271" s="323">
        <f t="shared" ref="O271:O334" si="108">IF(t&lt;T0,0,IF(t&lt;Tnet,Salim_i*(1-EXP((T0-t)/Tau_ij)),Resal+(Salim-Resal)*(1-EXP((Tnet-t)/(Tau_j)))))*Salcycl</f>
        <v>7.8090348806845239E-3</v>
      </c>
      <c r="P271" s="168">
        <f>(INDEX(Models!$BJ271:$BT271,,T271)*(1-R271)+INDEX(Models!$BJ271:$BT271,,T271+1)*R271-ERP_i)*Q271*Ramure*Pc/MaxiM</f>
        <v>7.5026411012491182E-5</v>
      </c>
      <c r="Q271" s="304">
        <f t="shared" ref="Q271:Q334" si="109">IF(OR(t&lt;Ttai,Notai),Dd+PousD*Croivg,Dens+PousD*(Croivg-Croi_tai))</f>
        <v>0.5</v>
      </c>
      <c r="R271" s="176">
        <f t="shared" ref="R271:R334" si="110">(Hp_vg-S271)/(INDEX(Echel_vg,T271+1)-S271)</f>
        <v>0.82917128408959107</v>
      </c>
      <c r="S271" s="814">
        <f t="shared" si="96"/>
        <v>-1</v>
      </c>
      <c r="T271" s="175">
        <f t="shared" ref="T271:T334" si="111">MIN(MATCH(Hp_vg,Echel_vg),10)</f>
        <v>5</v>
      </c>
      <c r="U271" s="250">
        <f t="shared" ref="U271:U334" si="112">IF(OR(t&lt;Ttai,Notai),Hdd+PousH*Croivg,Hdtf+PousH*(Croivg-Croi_tai))</f>
        <v>-0.17082871591040888</v>
      </c>
      <c r="V271" s="382">
        <f t="shared" ref="V271:V334" si="113">MaxiM*(1-Ppv)*(1-Pvg)*(1-Psa)</f>
        <v>49.456689113642575</v>
      </c>
      <c r="W271" s="1156">
        <v>28042.444750000002</v>
      </c>
      <c r="X271" s="157">
        <f t="shared" ref="X271:X334" si="114">t</f>
        <v>43357</v>
      </c>
      <c r="Y271" s="384">
        <f t="shared" ref="Y271:Y334" si="115">Wh_pvt_s*(1-Ppv)</f>
        <v>30.846689225000006</v>
      </c>
      <c r="Z271" s="384">
        <f t="shared" ref="Z271:Z334" si="116">Wh_sa_s*(1-Psa_s)</f>
        <v>30.919066312666949</v>
      </c>
      <c r="AA271" s="385">
        <f t="shared" ref="AA271:AA334" si="117">Wh_hp*(1-Pvg_s*MEDIAN((-Sdif+Wh/Env_an)/Csdif,0,1))</f>
        <v>31.162414695994325</v>
      </c>
      <c r="AB271" s="196">
        <f t="shared" ref="AB271:AB334" si="118">t</f>
        <v>43357</v>
      </c>
      <c r="AC271" s="425">
        <f t="shared" ref="AC271:AC334" si="119">IF(t&lt;T0,0,IF(OR(t&lt;Tnet,NoTnet),Salim_i*(1-EXP((T0-t)/Tau_ij)),Resal_s+(Salim-Resal_s)*(1-EXP((Tnet_s-t)/Tau_j))))*Salcycl</f>
        <v>7.8090348806845239E-3</v>
      </c>
      <c r="AD271" s="168">
        <f>(INDEX(Models!$BJ271:$BT271,,AH271)*(1-AF271)+INDEX(Models!$BJ271:$BT271,,AH271+1)*AF271-ERP_i)*AE271*Ramure*Pc/MaxiM</f>
        <v>7.5026411012491182E-5</v>
      </c>
      <c r="AE271" s="304">
        <f t="shared" ref="AE271:AE334" si="120">Dd+PousD*Croivg</f>
        <v>0.5</v>
      </c>
      <c r="AF271" s="176">
        <f t="shared" ref="AF271:AF334" si="121">(Hp_vg_s-AG271)/(INDEX(Echel_vg,AH271+1)-AG271)</f>
        <v>0.82917128408959107</v>
      </c>
      <c r="AG271" s="814">
        <f t="shared" ref="AG271:AG334" si="122">INDEX(Echel_vg,AH271)</f>
        <v>-1</v>
      </c>
      <c r="AH271" s="175">
        <f t="shared" ref="AH271:AH334" si="123">MIN(MATCH(Hp_vg_s,Echel_vg),10)</f>
        <v>5</v>
      </c>
      <c r="AI271" s="224">
        <f t="shared" ref="AI271:AI334" si="124">Hdd+PousH*Croivg</f>
        <v>-0.17082871591040888</v>
      </c>
      <c r="AJ271" s="264" t="b">
        <f t="shared" ref="AJ271:AJ334" si="125">t&lt;Tnet</f>
        <v>0</v>
      </c>
      <c r="AK271" s="264" t="b">
        <f t="shared" ref="AK271:AK334" si="12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7">A271+1</f>
        <v>43358</v>
      </c>
      <c r="B272" s="616">
        <v>37.528563325</v>
      </c>
      <c r="C272" s="389"/>
      <c r="D272" s="392">
        <f t="shared" si="104"/>
        <v>37.617442337480917</v>
      </c>
      <c r="E272" s="384">
        <f t="shared" si="101"/>
        <v>37.916085501650841</v>
      </c>
      <c r="F272" s="384">
        <f t="shared" si="103"/>
        <v>37.917991129062138</v>
      </c>
      <c r="G272" s="110">
        <f t="shared" si="102"/>
        <v>0.76243293492524078</v>
      </c>
      <c r="I272" s="379">
        <f t="shared" si="105"/>
        <v>37.917991129062138</v>
      </c>
      <c r="J272" s="85">
        <v>2018</v>
      </c>
      <c r="K272" s="196">
        <f t="shared" si="106"/>
        <v>43358</v>
      </c>
      <c r="L272" s="436">
        <f t="shared" si="107"/>
        <v>2.3627074824372762E-3</v>
      </c>
      <c r="M272" s="858"/>
      <c r="N272" s="858"/>
      <c r="O272" s="323">
        <f t="shared" si="108"/>
        <v>7.8764239561840248E-3</v>
      </c>
      <c r="P272" s="168">
        <f>(INDEX(Models!$BJ272:$BT272,,T272)*(1-R272)+INDEX(Models!$BJ272:$BT272,,T272+1)*R272-ERP_i)*Q272*Ramure*Pc/MaxiM</f>
        <v>7.6071760573930046E-5</v>
      </c>
      <c r="Q272" s="304">
        <f t="shared" si="109"/>
        <v>0.5</v>
      </c>
      <c r="R272" s="176">
        <f t="shared" si="110"/>
        <v>0.82939675005552993</v>
      </c>
      <c r="S272" s="814">
        <f t="shared" ref="S272:S335" si="128">INDEX(Echel_vg,T272)</f>
        <v>-1</v>
      </c>
      <c r="T272" s="175">
        <f t="shared" si="111"/>
        <v>5</v>
      </c>
      <c r="U272" s="250">
        <f t="shared" si="112"/>
        <v>-0.17060324994447007</v>
      </c>
      <c r="V272" s="382">
        <f t="shared" si="113"/>
        <v>49.220846515789397</v>
      </c>
      <c r="W272" s="1156">
        <v>34116.875749999999</v>
      </c>
      <c r="X272" s="157">
        <f t="shared" si="114"/>
        <v>43358</v>
      </c>
      <c r="Y272" s="384">
        <f t="shared" si="115"/>
        <v>37.528563325</v>
      </c>
      <c r="Z272" s="384">
        <f t="shared" si="116"/>
        <v>37.617442337480917</v>
      </c>
      <c r="AA272" s="385">
        <f t="shared" si="117"/>
        <v>37.916085501650841</v>
      </c>
      <c r="AB272" s="196">
        <f t="shared" si="118"/>
        <v>43358</v>
      </c>
      <c r="AC272" s="425">
        <f t="shared" si="119"/>
        <v>7.8764239561840248E-3</v>
      </c>
      <c r="AD272" s="168">
        <f>(INDEX(Models!$BJ272:$BT272,,AH272)*(1-AF272)+INDEX(Models!$BJ272:$BT272,,AH272+1)*AF272-ERP_i)*AE272*Ramure*Pc/MaxiM</f>
        <v>7.6071760573930046E-5</v>
      </c>
      <c r="AE272" s="304">
        <f t="shared" si="120"/>
        <v>0.5</v>
      </c>
      <c r="AF272" s="176">
        <f t="shared" si="121"/>
        <v>0.82939675005552993</v>
      </c>
      <c r="AG272" s="814">
        <f t="shared" si="122"/>
        <v>-1</v>
      </c>
      <c r="AH272" s="175">
        <f t="shared" si="123"/>
        <v>5</v>
      </c>
      <c r="AI272" s="224">
        <f t="shared" si="124"/>
        <v>-0.17060324994447007</v>
      </c>
      <c r="AJ272" s="264" t="b">
        <f t="shared" si="125"/>
        <v>0</v>
      </c>
      <c r="AK272" s="264" t="b">
        <f t="shared" si="126"/>
        <v>0</v>
      </c>
      <c r="AL272" s="264"/>
      <c r="AM272" s="264"/>
      <c r="AN272" s="75"/>
    </row>
    <row r="273" spans="1:40" s="6" customFormat="1" ht="11.25" x14ac:dyDescent="0.2">
      <c r="A273" s="56">
        <f t="shared" si="127"/>
        <v>43359</v>
      </c>
      <c r="B273" s="616">
        <v>46.651153725000029</v>
      </c>
      <c r="C273" s="389"/>
      <c r="D273" s="392">
        <f t="shared" si="104"/>
        <v>46.762662018824294</v>
      </c>
      <c r="E273" s="384">
        <f t="shared" si="101"/>
        <v>47.137102569457404</v>
      </c>
      <c r="F273" s="384">
        <f t="shared" si="103"/>
        <v>47.140487034967791</v>
      </c>
      <c r="G273" s="110">
        <f t="shared" si="102"/>
        <v>0.95243177398641143</v>
      </c>
      <c r="I273" s="379">
        <f t="shared" si="105"/>
        <v>47.140487034967791</v>
      </c>
      <c r="J273" s="85">
        <v>2018</v>
      </c>
      <c r="K273" s="196">
        <f t="shared" si="106"/>
        <v>43359</v>
      </c>
      <c r="L273" s="436">
        <f t="shared" si="107"/>
        <v>2.3845582995120074E-3</v>
      </c>
      <c r="M273" s="858"/>
      <c r="N273" s="858"/>
      <c r="O273" s="323">
        <f t="shared" si="108"/>
        <v>7.9436480017278464E-3</v>
      </c>
      <c r="P273" s="168">
        <f>(INDEX(Models!$BJ273:$BT273,,T273)*(1-R273)+INDEX(Models!$BJ273:$BT273,,T273+1)*R273-ERP_i)*Q273*Ramure*Pc/MaxiM</f>
        <v>7.7029245805523001E-5</v>
      </c>
      <c r="Q273" s="304">
        <f t="shared" si="109"/>
        <v>0.5</v>
      </c>
      <c r="R273" s="176">
        <f t="shared" si="110"/>
        <v>0.82961346265866731</v>
      </c>
      <c r="S273" s="814">
        <f t="shared" si="128"/>
        <v>-1</v>
      </c>
      <c r="T273" s="175">
        <f t="shared" si="111"/>
        <v>5</v>
      </c>
      <c r="U273" s="250">
        <f t="shared" si="112"/>
        <v>-0.17038653734133269</v>
      </c>
      <c r="V273" s="382">
        <f t="shared" si="113"/>
        <v>48.980841265617286</v>
      </c>
      <c r="W273" s="1156">
        <v>42410.139750000017</v>
      </c>
      <c r="X273" s="157">
        <f t="shared" si="114"/>
        <v>43359</v>
      </c>
      <c r="Y273" s="384">
        <f t="shared" si="115"/>
        <v>46.651153725000029</v>
      </c>
      <c r="Z273" s="384">
        <f t="shared" si="116"/>
        <v>46.762662018824294</v>
      </c>
      <c r="AA273" s="385">
        <f t="shared" si="117"/>
        <v>47.137102569457404</v>
      </c>
      <c r="AB273" s="196">
        <f t="shared" si="118"/>
        <v>43359</v>
      </c>
      <c r="AC273" s="425">
        <f t="shared" si="119"/>
        <v>7.9436480017278464E-3</v>
      </c>
      <c r="AD273" s="168">
        <f>(INDEX(Models!$BJ273:$BT273,,AH273)*(1-AF273)+INDEX(Models!$BJ273:$BT273,,AH273+1)*AF273-ERP_i)*AE273*Ramure*Pc/MaxiM</f>
        <v>7.7029245805523001E-5</v>
      </c>
      <c r="AE273" s="304">
        <f t="shared" si="120"/>
        <v>0.5</v>
      </c>
      <c r="AF273" s="176">
        <f t="shared" si="121"/>
        <v>0.82961346265866731</v>
      </c>
      <c r="AG273" s="814">
        <f t="shared" si="122"/>
        <v>-1</v>
      </c>
      <c r="AH273" s="175">
        <f t="shared" si="123"/>
        <v>5</v>
      </c>
      <c r="AI273" s="224">
        <f t="shared" si="124"/>
        <v>-0.17038653734133269</v>
      </c>
      <c r="AJ273" s="264" t="b">
        <f t="shared" si="125"/>
        <v>0</v>
      </c>
      <c r="AK273" s="264" t="b">
        <f t="shared" si="12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7"/>
        <v>43360</v>
      </c>
      <c r="B274" s="616">
        <v>42.795003350000023</v>
      </c>
      <c r="C274" s="389"/>
      <c r="D274" s="392">
        <f t="shared" si="104"/>
        <v>42.898234030926893</v>
      </c>
      <c r="E274" s="384">
        <f t="shared" si="101"/>
        <v>43.244654107565914</v>
      </c>
      <c r="F274" s="384">
        <f t="shared" si="103"/>
        <v>43.247436238069149</v>
      </c>
      <c r="G274" s="110">
        <f t="shared" si="102"/>
        <v>0.87807239478238375</v>
      </c>
      <c r="I274" s="379">
        <f t="shared" si="105"/>
        <v>43.247436238069149</v>
      </c>
      <c r="J274" s="85">
        <v>2018</v>
      </c>
      <c r="K274" s="196">
        <f t="shared" si="106"/>
        <v>43360</v>
      </c>
      <c r="L274" s="436">
        <f t="shared" si="107"/>
        <v>2.4064086379977923E-3</v>
      </c>
      <c r="M274" s="858"/>
      <c r="N274" s="858"/>
      <c r="O274" s="323">
        <f t="shared" si="108"/>
        <v>8.0107029131818094E-3</v>
      </c>
      <c r="P274" s="168">
        <f>(INDEX(Models!$BJ274:$BT274,,T274)*(1-R274)+INDEX(Models!$BJ274:$BT274,,T274+1)*R274-ERP_i)*Q274*Ramure*Pc/MaxiM</f>
        <v>7.7897584274034268E-5</v>
      </c>
      <c r="Q274" s="304">
        <f t="shared" si="109"/>
        <v>0.5</v>
      </c>
      <c r="R274" s="176">
        <f t="shared" si="110"/>
        <v>0.82982174938572628</v>
      </c>
      <c r="S274" s="814">
        <f t="shared" si="128"/>
        <v>-1</v>
      </c>
      <c r="T274" s="175">
        <f t="shared" si="111"/>
        <v>5</v>
      </c>
      <c r="U274" s="250">
        <f t="shared" si="112"/>
        <v>-0.17017825061427366</v>
      </c>
      <c r="V274" s="382">
        <f t="shared" si="113"/>
        <v>48.73678180160622</v>
      </c>
      <c r="W274" s="1156">
        <v>38904.548500000019</v>
      </c>
      <c r="X274" s="157">
        <f t="shared" si="114"/>
        <v>43360</v>
      </c>
      <c r="Y274" s="384">
        <f t="shared" si="115"/>
        <v>42.795003350000023</v>
      </c>
      <c r="Z274" s="384">
        <f t="shared" si="116"/>
        <v>42.898234030926893</v>
      </c>
      <c r="AA274" s="385">
        <f t="shared" si="117"/>
        <v>43.244654107565914</v>
      </c>
      <c r="AB274" s="196">
        <f t="shared" si="118"/>
        <v>43360</v>
      </c>
      <c r="AC274" s="425">
        <f t="shared" si="119"/>
        <v>8.0107029131818094E-3</v>
      </c>
      <c r="AD274" s="168">
        <f>(INDEX(Models!$BJ274:$BT274,,AH274)*(1-AF274)+INDEX(Models!$BJ274:$BT274,,AH274+1)*AF274-ERP_i)*AE274*Ramure*Pc/MaxiM</f>
        <v>7.7897584274034268E-5</v>
      </c>
      <c r="AE274" s="304">
        <f t="shared" si="120"/>
        <v>0.5</v>
      </c>
      <c r="AF274" s="176">
        <f t="shared" si="121"/>
        <v>0.82982174938572628</v>
      </c>
      <c r="AG274" s="814">
        <f t="shared" si="122"/>
        <v>-1</v>
      </c>
      <c r="AH274" s="175">
        <f t="shared" si="123"/>
        <v>5</v>
      </c>
      <c r="AI274" s="224">
        <f t="shared" si="124"/>
        <v>-0.17017825061427366</v>
      </c>
      <c r="AJ274" s="264" t="b">
        <f t="shared" si="125"/>
        <v>0</v>
      </c>
      <c r="AK274" s="264" t="b">
        <f t="shared" si="126"/>
        <v>0</v>
      </c>
      <c r="AL274" s="264"/>
      <c r="AM274" s="264"/>
      <c r="AN274" s="75"/>
    </row>
    <row r="275" spans="1:40" s="6" customFormat="1" ht="11.25" x14ac:dyDescent="0.2">
      <c r="A275" s="56">
        <f t="shared" si="127"/>
        <v>43361</v>
      </c>
      <c r="B275" s="616">
        <v>41.677054650000009</v>
      </c>
      <c r="C275" s="389"/>
      <c r="D275" s="392">
        <f t="shared" si="104"/>
        <v>41.778503656533744</v>
      </c>
      <c r="E275" s="384">
        <f t="shared" si="101"/>
        <v>42.118721183737712</v>
      </c>
      <c r="F275" s="384">
        <f t="shared" si="103"/>
        <v>42.121370274248335</v>
      </c>
      <c r="G275" s="110">
        <f t="shared" si="102"/>
        <v>0.85953550494618758</v>
      </c>
      <c r="I275" s="379">
        <f t="shared" si="105"/>
        <v>42.121370274248335</v>
      </c>
      <c r="J275" s="85">
        <v>2018</v>
      </c>
      <c r="K275" s="196">
        <f t="shared" si="106"/>
        <v>43361</v>
      </c>
      <c r="L275" s="436">
        <f t="shared" si="107"/>
        <v>2.428258497905067E-3</v>
      </c>
      <c r="M275" s="858"/>
      <c r="N275" s="858"/>
      <c r="O275" s="323">
        <f t="shared" si="108"/>
        <v>8.0775844480133439E-3</v>
      </c>
      <c r="P275" s="168">
        <f>(INDEX(Models!$BJ275:$BT275,,T275)*(1-R275)+INDEX(Models!$BJ275:$BT275,,T275+1)*R275-ERP_i)*Q275*Ramure*Pc/MaxiM</f>
        <v>7.8678154401548765E-5</v>
      </c>
      <c r="Q275" s="304">
        <f t="shared" si="109"/>
        <v>0.5</v>
      </c>
      <c r="R275" s="176">
        <f t="shared" si="110"/>
        <v>0.83002192643164108</v>
      </c>
      <c r="S275" s="814">
        <f t="shared" si="128"/>
        <v>-1</v>
      </c>
      <c r="T275" s="175">
        <f t="shared" si="111"/>
        <v>5</v>
      </c>
      <c r="U275" s="250">
        <f t="shared" si="112"/>
        <v>-0.16997807356835898</v>
      </c>
      <c r="V275" s="382">
        <f t="shared" si="113"/>
        <v>48.487114775056057</v>
      </c>
      <c r="W275" s="1156">
        <v>37888.231500000009</v>
      </c>
      <c r="X275" s="157">
        <f t="shared" si="114"/>
        <v>43361</v>
      </c>
      <c r="Y275" s="384">
        <f t="shared" si="115"/>
        <v>41.677054650000009</v>
      </c>
      <c r="Z275" s="384">
        <f t="shared" si="116"/>
        <v>41.778503656533744</v>
      </c>
      <c r="AA275" s="385">
        <f t="shared" si="117"/>
        <v>42.118721183737712</v>
      </c>
      <c r="AB275" s="196">
        <f t="shared" si="118"/>
        <v>43361</v>
      </c>
      <c r="AC275" s="425">
        <f t="shared" si="119"/>
        <v>8.0775844480133439E-3</v>
      </c>
      <c r="AD275" s="168">
        <f>(INDEX(Models!$BJ275:$BT275,,AH275)*(1-AF275)+INDEX(Models!$BJ275:$BT275,,AH275+1)*AF275-ERP_i)*AE275*Ramure*Pc/MaxiM</f>
        <v>7.8678154401548765E-5</v>
      </c>
      <c r="AE275" s="304">
        <f t="shared" si="120"/>
        <v>0.5</v>
      </c>
      <c r="AF275" s="176">
        <f t="shared" si="121"/>
        <v>0.83002192643164108</v>
      </c>
      <c r="AG275" s="814">
        <f t="shared" si="122"/>
        <v>-1</v>
      </c>
      <c r="AH275" s="175">
        <f t="shared" si="123"/>
        <v>5</v>
      </c>
      <c r="AI275" s="224">
        <f t="shared" si="124"/>
        <v>-0.16997807356835898</v>
      </c>
      <c r="AJ275" s="264" t="b">
        <f t="shared" si="125"/>
        <v>0</v>
      </c>
      <c r="AK275" s="264" t="b">
        <f t="shared" si="126"/>
        <v>0</v>
      </c>
      <c r="AL275" s="264"/>
      <c r="AM275" s="264"/>
      <c r="AN275" s="75"/>
    </row>
    <row r="276" spans="1:40" s="6" customFormat="1" ht="11.25" x14ac:dyDescent="0.2">
      <c r="A276" s="56">
        <f t="shared" si="127"/>
        <v>43362</v>
      </c>
      <c r="B276" s="616">
        <v>39.671833575000029</v>
      </c>
      <c r="C276" s="389"/>
      <c r="D276" s="392">
        <f t="shared" si="104"/>
        <v>39.769272583107721</v>
      </c>
      <c r="E276" s="384">
        <f t="shared" si="101"/>
        <v>40.095824535013456</v>
      </c>
      <c r="F276" s="384">
        <f t="shared" si="103"/>
        <v>40.098198811465338</v>
      </c>
      <c r="G276" s="110">
        <f t="shared" si="102"/>
        <v>0.8225275437162205</v>
      </c>
      <c r="I276" s="379">
        <f t="shared" si="105"/>
        <v>40.098198811465338</v>
      </c>
      <c r="J276" s="85">
        <v>2018</v>
      </c>
      <c r="K276" s="196">
        <f t="shared" si="106"/>
        <v>43362</v>
      </c>
      <c r="L276" s="436">
        <f t="shared" si="107"/>
        <v>2.4501078792443787E-3</v>
      </c>
      <c r="M276" s="858"/>
      <c r="N276" s="858"/>
      <c r="O276" s="323">
        <f t="shared" si="108"/>
        <v>8.1442882318226942E-3</v>
      </c>
      <c r="P276" s="168">
        <f>(INDEX(Models!$BJ276:$BT276,,T276)*(1-R276)+INDEX(Models!$BJ276:$BT276,,T276+1)*R276-ERP_i)*Q276*Ramure*Pc/MaxiM</f>
        <v>7.931978432849369E-5</v>
      </c>
      <c r="Q276" s="304">
        <f t="shared" si="109"/>
        <v>0.5</v>
      </c>
      <c r="R276" s="176">
        <f t="shared" si="110"/>
        <v>0.83021429901319799</v>
      </c>
      <c r="S276" s="814">
        <f t="shared" si="128"/>
        <v>-1</v>
      </c>
      <c r="T276" s="175">
        <f t="shared" si="111"/>
        <v>5</v>
      </c>
      <c r="U276" s="250">
        <f t="shared" si="112"/>
        <v>-0.16978570098680201</v>
      </c>
      <c r="V276" s="382">
        <f t="shared" si="113"/>
        <v>48.230647229087893</v>
      </c>
      <c r="W276" s="1156">
        <v>36065.303250000019</v>
      </c>
      <c r="X276" s="157">
        <f t="shared" si="114"/>
        <v>43362</v>
      </c>
      <c r="Y276" s="384">
        <f t="shared" si="115"/>
        <v>39.671833575000029</v>
      </c>
      <c r="Z276" s="384">
        <f t="shared" si="116"/>
        <v>39.769272583107721</v>
      </c>
      <c r="AA276" s="385">
        <f t="shared" si="117"/>
        <v>40.095824535013456</v>
      </c>
      <c r="AB276" s="196">
        <f t="shared" si="118"/>
        <v>43362</v>
      </c>
      <c r="AC276" s="425">
        <f t="shared" si="119"/>
        <v>8.1442882318226942E-3</v>
      </c>
      <c r="AD276" s="168">
        <f>(INDEX(Models!$BJ276:$BT276,,AH276)*(1-AF276)+INDEX(Models!$BJ276:$BT276,,AH276+1)*AF276-ERP_i)*AE276*Ramure*Pc/MaxiM</f>
        <v>7.931978432849369E-5</v>
      </c>
      <c r="AE276" s="304">
        <f t="shared" si="120"/>
        <v>0.5</v>
      </c>
      <c r="AF276" s="176">
        <f t="shared" si="121"/>
        <v>0.83021429901319799</v>
      </c>
      <c r="AG276" s="814">
        <f t="shared" si="122"/>
        <v>-1</v>
      </c>
      <c r="AH276" s="175">
        <f t="shared" si="123"/>
        <v>5</v>
      </c>
      <c r="AI276" s="224">
        <f t="shared" si="124"/>
        <v>-0.16978570098680201</v>
      </c>
      <c r="AJ276" s="264" t="b">
        <f t="shared" si="125"/>
        <v>0</v>
      </c>
      <c r="AK276" s="264" t="b">
        <f t="shared" si="12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7"/>
        <v>43363</v>
      </c>
      <c r="B277" s="616">
        <v>44.641192667500007</v>
      </c>
      <c r="C277" s="389"/>
      <c r="D277" s="392">
        <f t="shared" si="104"/>
        <v>44.75181722559882</v>
      </c>
      <c r="E277" s="384">
        <f t="shared" si="101"/>
        <v>45.122307912101931</v>
      </c>
      <c r="F277" s="384">
        <f t="shared" si="103"/>
        <v>45.125553649081077</v>
      </c>
      <c r="G277" s="110">
        <f t="shared" si="102"/>
        <v>0.93063746171811534</v>
      </c>
      <c r="I277" s="379">
        <f t="shared" si="105"/>
        <v>45.125553649081077</v>
      </c>
      <c r="J277" s="85">
        <v>2018</v>
      </c>
      <c r="K277" s="196">
        <f t="shared" si="106"/>
        <v>43363</v>
      </c>
      <c r="L277" s="436">
        <f t="shared" si="107"/>
        <v>2.4719567820261634E-3</v>
      </c>
      <c r="M277" s="858"/>
      <c r="N277" s="858"/>
      <c r="O277" s="323">
        <f t="shared" si="108"/>
        <v>8.2108097667527528E-3</v>
      </c>
      <c r="P277" s="168">
        <f>(INDEX(Models!$BJ277:$BT277,,T277)*(1-R277)+INDEX(Models!$BJ277:$BT277,,T277+1)*R277-ERP_i)*Q277*Ramure*Pc/MaxiM</f>
        <v>7.9836958715944387E-5</v>
      </c>
      <c r="Q277" s="304">
        <f t="shared" si="109"/>
        <v>0.5</v>
      </c>
      <c r="R277" s="176">
        <f t="shared" si="110"/>
        <v>0.83039916168023331</v>
      </c>
      <c r="S277" s="814">
        <f t="shared" si="128"/>
        <v>-1</v>
      </c>
      <c r="T277" s="175">
        <f t="shared" si="111"/>
        <v>5</v>
      </c>
      <c r="U277" s="250">
        <f t="shared" si="112"/>
        <v>-0.16960083831976674</v>
      </c>
      <c r="V277" s="382">
        <f t="shared" si="113"/>
        <v>47.968023381596169</v>
      </c>
      <c r="W277" s="1156">
        <v>40582.902425</v>
      </c>
      <c r="X277" s="157">
        <f t="shared" si="114"/>
        <v>43363</v>
      </c>
      <c r="Y277" s="384">
        <f t="shared" si="115"/>
        <v>44.641192667500007</v>
      </c>
      <c r="Z277" s="384">
        <f t="shared" si="116"/>
        <v>44.75181722559882</v>
      </c>
      <c r="AA277" s="385">
        <f t="shared" si="117"/>
        <v>45.122307912101931</v>
      </c>
      <c r="AB277" s="196">
        <f t="shared" si="118"/>
        <v>43363</v>
      </c>
      <c r="AC277" s="425">
        <f t="shared" si="119"/>
        <v>8.2108097667527528E-3</v>
      </c>
      <c r="AD277" s="168">
        <f>(INDEX(Models!$BJ277:$BT277,,AH277)*(1-AF277)+INDEX(Models!$BJ277:$BT277,,AH277+1)*AF277-ERP_i)*AE277*Ramure*Pc/MaxiM</f>
        <v>7.9836958715944387E-5</v>
      </c>
      <c r="AE277" s="304">
        <f t="shared" si="120"/>
        <v>0.5</v>
      </c>
      <c r="AF277" s="176">
        <f t="shared" si="121"/>
        <v>0.83039916168023331</v>
      </c>
      <c r="AG277" s="814">
        <f t="shared" si="122"/>
        <v>-1</v>
      </c>
      <c r="AH277" s="175">
        <f t="shared" si="123"/>
        <v>5</v>
      </c>
      <c r="AI277" s="224">
        <f t="shared" si="124"/>
        <v>-0.16960083831976674</v>
      </c>
      <c r="AJ277" s="264" t="b">
        <f t="shared" si="125"/>
        <v>0</v>
      </c>
      <c r="AK277" s="264" t="b">
        <f t="shared" si="126"/>
        <v>0</v>
      </c>
      <c r="AL277" s="264"/>
      <c r="AM277" s="264"/>
      <c r="AN277" s="75"/>
    </row>
    <row r="278" spans="1:40" s="6" customFormat="1" ht="11.25" x14ac:dyDescent="0.2">
      <c r="A278" s="56">
        <f t="shared" si="127"/>
        <v>43364</v>
      </c>
      <c r="B278" s="616">
        <v>33.489061017500006</v>
      </c>
      <c r="C278" s="389"/>
      <c r="D278" s="392">
        <f t="shared" si="104"/>
        <v>33.572785003530484</v>
      </c>
      <c r="E278" s="384">
        <f t="shared" si="101"/>
        <v>33.85299110065953</v>
      </c>
      <c r="F278" s="384">
        <f t="shared" si="103"/>
        <v>33.85455119357249</v>
      </c>
      <c r="G278" s="110">
        <f t="shared" si="102"/>
        <v>0.70205442541494012</v>
      </c>
      <c r="I278" s="379">
        <f t="shared" si="105"/>
        <v>33.85455119357249</v>
      </c>
      <c r="J278" s="85">
        <v>2018</v>
      </c>
      <c r="K278" s="196">
        <f t="shared" si="106"/>
        <v>43364</v>
      </c>
      <c r="L278" s="436">
        <f t="shared" si="107"/>
        <v>2.4938052062608573E-3</v>
      </c>
      <c r="M278" s="858"/>
      <c r="N278" s="858"/>
      <c r="O278" s="323">
        <f t="shared" si="108"/>
        <v>8.277144441856666E-3</v>
      </c>
      <c r="P278" s="168">
        <f>(INDEX(Models!$BJ278:$BT278,,T278)*(1-R278)+INDEX(Models!$BJ278:$BT278,,T278+1)*R278-ERP_i)*Q278*Ramure*Pc/MaxiM</f>
        <v>8.0227027500630655E-5</v>
      </c>
      <c r="Q278" s="304">
        <f t="shared" si="109"/>
        <v>0.5</v>
      </c>
      <c r="R278" s="176">
        <f t="shared" si="110"/>
        <v>0.83057679862378586</v>
      </c>
      <c r="S278" s="814">
        <f t="shared" si="128"/>
        <v>-1</v>
      </c>
      <c r="T278" s="175">
        <f t="shared" si="111"/>
        <v>5</v>
      </c>
      <c r="U278" s="250">
        <f t="shared" si="112"/>
        <v>-0.16942320137621414</v>
      </c>
      <c r="V278" s="382">
        <f t="shared" si="113"/>
        <v>47.699888035753972</v>
      </c>
      <c r="W278" s="1156">
        <v>30444.600925000002</v>
      </c>
      <c r="X278" s="157">
        <f t="shared" si="114"/>
        <v>43364</v>
      </c>
      <c r="Y278" s="384">
        <f t="shared" si="115"/>
        <v>33.489061017500006</v>
      </c>
      <c r="Z278" s="384">
        <f t="shared" si="116"/>
        <v>33.572785003530484</v>
      </c>
      <c r="AA278" s="385">
        <f t="shared" si="117"/>
        <v>33.85299110065953</v>
      </c>
      <c r="AB278" s="196">
        <f t="shared" si="118"/>
        <v>43364</v>
      </c>
      <c r="AC278" s="425">
        <f t="shared" si="119"/>
        <v>8.277144441856666E-3</v>
      </c>
      <c r="AD278" s="168">
        <f>(INDEX(Models!$BJ278:$BT278,,AH278)*(1-AF278)+INDEX(Models!$BJ278:$BT278,,AH278+1)*AF278-ERP_i)*AE278*Ramure*Pc/MaxiM</f>
        <v>8.0227027500630655E-5</v>
      </c>
      <c r="AE278" s="304">
        <f t="shared" si="120"/>
        <v>0.5</v>
      </c>
      <c r="AF278" s="176">
        <f t="shared" si="121"/>
        <v>0.83057679862378586</v>
      </c>
      <c r="AG278" s="814">
        <f t="shared" si="122"/>
        <v>-1</v>
      </c>
      <c r="AH278" s="175">
        <f t="shared" si="123"/>
        <v>5</v>
      </c>
      <c r="AI278" s="224">
        <f t="shared" si="124"/>
        <v>-0.16942320137621414</v>
      </c>
      <c r="AJ278" s="264" t="b">
        <f t="shared" si="125"/>
        <v>0</v>
      </c>
      <c r="AK278" s="264" t="b">
        <f t="shared" si="126"/>
        <v>0</v>
      </c>
      <c r="AL278" s="264"/>
      <c r="AM278" s="264"/>
      <c r="AN278" s="75"/>
    </row>
    <row r="279" spans="1:40" s="6" customFormat="1" ht="11.25" x14ac:dyDescent="0.2">
      <c r="A279" s="56">
        <f t="shared" si="127"/>
        <v>43365</v>
      </c>
      <c r="B279" s="616">
        <v>43.48769416750001</v>
      </c>
      <c r="C279" s="389"/>
      <c r="D279" s="392">
        <f t="shared" si="104"/>
        <v>43.597370028830163</v>
      </c>
      <c r="E279" s="384">
        <f t="shared" si="101"/>
        <v>43.964175789139162</v>
      </c>
      <c r="F279" s="384">
        <f t="shared" si="103"/>
        <v>43.967294700182691</v>
      </c>
      <c r="G279" s="110">
        <f t="shared" si="102"/>
        <v>0.91693304600607128</v>
      </c>
      <c r="I279" s="379">
        <f t="shared" si="105"/>
        <v>43.967294700182691</v>
      </c>
      <c r="J279" s="85">
        <v>2018</v>
      </c>
      <c r="K279" s="196">
        <f t="shared" si="106"/>
        <v>43365</v>
      </c>
      <c r="L279" s="436">
        <f t="shared" si="107"/>
        <v>2.5156531519590075E-3</v>
      </c>
      <c r="M279" s="858"/>
      <c r="N279" s="858"/>
      <c r="O279" s="323">
        <f t="shared" si="108"/>
        <v>8.3432875454840273E-3</v>
      </c>
      <c r="P279" s="168">
        <f>(INDEX(Models!$BJ279:$BT279,,T279)*(1-R279)+INDEX(Models!$BJ279:$BT279,,T279+1)*R279-ERP_i)*Q279*Ramure*Pc/MaxiM</f>
        <v>8.0487249234160074E-5</v>
      </c>
      <c r="Q279" s="304">
        <f t="shared" si="109"/>
        <v>0.5</v>
      </c>
      <c r="R279" s="176">
        <f t="shared" si="110"/>
        <v>0.83074748398067189</v>
      </c>
      <c r="S279" s="814">
        <f t="shared" si="128"/>
        <v>-1</v>
      </c>
      <c r="T279" s="175">
        <f t="shared" si="111"/>
        <v>5</v>
      </c>
      <c r="U279" s="250">
        <f t="shared" si="112"/>
        <v>-0.16925251601932806</v>
      </c>
      <c r="V279" s="382">
        <f t="shared" si="113"/>
        <v>47.426885760268284</v>
      </c>
      <c r="W279" s="1156">
        <v>39534.267425000005</v>
      </c>
      <c r="X279" s="157">
        <f t="shared" si="114"/>
        <v>43365</v>
      </c>
      <c r="Y279" s="384">
        <f t="shared" si="115"/>
        <v>43.48769416750001</v>
      </c>
      <c r="Z279" s="384">
        <f t="shared" si="116"/>
        <v>43.597370028830163</v>
      </c>
      <c r="AA279" s="385">
        <f t="shared" si="117"/>
        <v>43.964175789139162</v>
      </c>
      <c r="AB279" s="196">
        <f t="shared" si="118"/>
        <v>43365</v>
      </c>
      <c r="AC279" s="425">
        <f t="shared" si="119"/>
        <v>8.3432875454840273E-3</v>
      </c>
      <c r="AD279" s="168">
        <f>(INDEX(Models!$BJ279:$BT279,,AH279)*(1-AF279)+INDEX(Models!$BJ279:$BT279,,AH279+1)*AF279-ERP_i)*AE279*Ramure*Pc/MaxiM</f>
        <v>8.0487249234160074E-5</v>
      </c>
      <c r="AE279" s="304">
        <f t="shared" si="120"/>
        <v>0.5</v>
      </c>
      <c r="AF279" s="176">
        <f t="shared" si="121"/>
        <v>0.83074748398067189</v>
      </c>
      <c r="AG279" s="814">
        <f t="shared" si="122"/>
        <v>-1</v>
      </c>
      <c r="AH279" s="175">
        <f t="shared" si="123"/>
        <v>5</v>
      </c>
      <c r="AI279" s="224">
        <f t="shared" si="124"/>
        <v>-0.16925251601932806</v>
      </c>
      <c r="AJ279" s="264" t="b">
        <f t="shared" si="125"/>
        <v>0</v>
      </c>
      <c r="AK279" s="264" t="b">
        <f t="shared" si="126"/>
        <v>0</v>
      </c>
      <c r="AL279" s="264"/>
      <c r="AM279" s="264"/>
      <c r="AN279" s="75"/>
    </row>
    <row r="280" spans="1:40" s="6" customFormat="1" ht="11.25" x14ac:dyDescent="0.2">
      <c r="A280" s="56">
        <f t="shared" si="127"/>
        <v>43366</v>
      </c>
      <c r="B280" s="616">
        <v>43.693299375000009</v>
      </c>
      <c r="C280" s="389"/>
      <c r="D280" s="392">
        <f t="shared" si="104"/>
        <v>43.804453202121088</v>
      </c>
      <c r="E280" s="384">
        <f t="shared" si="101"/>
        <v>44.175939022891527</v>
      </c>
      <c r="F280" s="384">
        <f t="shared" si="103"/>
        <v>44.179127561148483</v>
      </c>
      <c r="G280" s="110">
        <f t="shared" si="102"/>
        <v>0.92668599679757346</v>
      </c>
      <c r="I280" s="379">
        <f t="shared" si="105"/>
        <v>44.179127561148483</v>
      </c>
      <c r="J280" s="85">
        <v>2018</v>
      </c>
      <c r="K280" s="196">
        <f t="shared" si="106"/>
        <v>43366</v>
      </c>
      <c r="L280" s="436">
        <f t="shared" si="107"/>
        <v>2.5375006191310501E-3</v>
      </c>
      <c r="M280" s="858"/>
      <c r="N280" s="858"/>
      <c r="O280" s="323">
        <f t="shared" si="108"/>
        <v>8.4092342797272186E-3</v>
      </c>
      <c r="P280" s="168">
        <f>(INDEX(Models!$BJ280:$BT280,,T280)*(1-R280)+INDEX(Models!$BJ280:$BT280,,T280+1)*R280-ERP_i)*Q280*Ramure*Pc/MaxiM</f>
        <v>8.0615234998930092E-5</v>
      </c>
      <c r="Q280" s="304">
        <f t="shared" si="109"/>
        <v>0.5</v>
      </c>
      <c r="R280" s="176">
        <f t="shared" si="110"/>
        <v>0.83091148213401111</v>
      </c>
      <c r="S280" s="814">
        <f t="shared" si="128"/>
        <v>-1</v>
      </c>
      <c r="T280" s="175">
        <f t="shared" si="111"/>
        <v>5</v>
      </c>
      <c r="U280" s="250">
        <f t="shared" si="112"/>
        <v>-0.16908851786598894</v>
      </c>
      <c r="V280" s="382">
        <f t="shared" si="113"/>
        <v>47.149660865031152</v>
      </c>
      <c r="W280" s="1156">
        <v>39721.181250000009</v>
      </c>
      <c r="X280" s="157">
        <f t="shared" si="114"/>
        <v>43366</v>
      </c>
      <c r="Y280" s="384">
        <f t="shared" si="115"/>
        <v>43.693299375000009</v>
      </c>
      <c r="Z280" s="384">
        <f t="shared" si="116"/>
        <v>43.804453202121088</v>
      </c>
      <c r="AA280" s="385">
        <f t="shared" si="117"/>
        <v>44.175939022891527</v>
      </c>
      <c r="AB280" s="196">
        <f t="shared" si="118"/>
        <v>43366</v>
      </c>
      <c r="AC280" s="425">
        <f t="shared" si="119"/>
        <v>8.4092342797272186E-3</v>
      </c>
      <c r="AD280" s="168">
        <f>(INDEX(Models!$BJ280:$BT280,,AH280)*(1-AF280)+INDEX(Models!$BJ280:$BT280,,AH280+1)*AF280-ERP_i)*AE280*Ramure*Pc/MaxiM</f>
        <v>8.0615234998930092E-5</v>
      </c>
      <c r="AE280" s="304">
        <f t="shared" si="120"/>
        <v>0.5</v>
      </c>
      <c r="AF280" s="176">
        <f t="shared" si="121"/>
        <v>0.83091148213401111</v>
      </c>
      <c r="AG280" s="814">
        <f t="shared" si="122"/>
        <v>-1</v>
      </c>
      <c r="AH280" s="175">
        <f t="shared" si="123"/>
        <v>5</v>
      </c>
      <c r="AI280" s="224">
        <f t="shared" si="124"/>
        <v>-0.16908851786598894</v>
      </c>
      <c r="AJ280" s="264" t="b">
        <f t="shared" si="125"/>
        <v>0</v>
      </c>
      <c r="AK280" s="264" t="b">
        <f t="shared" si="126"/>
        <v>0</v>
      </c>
      <c r="AL280" s="264"/>
      <c r="AM280" s="264"/>
      <c r="AN280" s="75"/>
    </row>
    <row r="281" spans="1:40" s="6" customFormat="1" ht="11.25" x14ac:dyDescent="0.2">
      <c r="A281" s="56">
        <f t="shared" si="127"/>
        <v>43367</v>
      </c>
      <c r="B281" s="616">
        <v>38.512078550000005</v>
      </c>
      <c r="C281" s="389"/>
      <c r="D281" s="392">
        <f t="shared" si="104"/>
        <v>38.610897257530596</v>
      </c>
      <c r="E281" s="384">
        <f t="shared" si="101"/>
        <v>38.940920773582448</v>
      </c>
      <c r="F281" s="384">
        <f t="shared" si="103"/>
        <v>38.94326033196662</v>
      </c>
      <c r="G281" s="110">
        <f t="shared" si="102"/>
        <v>0.8216818134152869</v>
      </c>
      <c r="I281" s="379">
        <f t="shared" si="105"/>
        <v>38.94326033196662</v>
      </c>
      <c r="J281" s="85">
        <v>2018</v>
      </c>
      <c r="K281" s="196">
        <f t="shared" si="106"/>
        <v>43367</v>
      </c>
      <c r="L281" s="436">
        <f t="shared" si="107"/>
        <v>2.5593476077875321E-3</v>
      </c>
      <c r="M281" s="858"/>
      <c r="N281" s="858"/>
      <c r="O281" s="323">
        <f t="shared" si="108"/>
        <v>8.4749797769481904E-3</v>
      </c>
      <c r="P281" s="168">
        <f>(INDEX(Models!$BJ281:$BT281,,T281)*(1-R281)+INDEX(Models!$BJ281:$BT281,,T281+1)*R281-ERP_i)*Q281*Ramure*Pc/MaxiM</f>
        <v>8.0608321332303727E-5</v>
      </c>
      <c r="Q281" s="304">
        <f t="shared" si="109"/>
        <v>0.5</v>
      </c>
      <c r="R281" s="176">
        <f t="shared" si="110"/>
        <v>0.83106904800929271</v>
      </c>
      <c r="S281" s="814">
        <f t="shared" si="128"/>
        <v>-1</v>
      </c>
      <c r="T281" s="175">
        <f t="shared" si="111"/>
        <v>5</v>
      </c>
      <c r="U281" s="250">
        <f t="shared" si="112"/>
        <v>-0.16893095199070729</v>
      </c>
      <c r="V281" s="382">
        <f t="shared" si="113"/>
        <v>46.868857426809143</v>
      </c>
      <c r="W281" s="1156">
        <v>35010.980500000005</v>
      </c>
      <c r="X281" s="157">
        <f t="shared" si="114"/>
        <v>43367</v>
      </c>
      <c r="Y281" s="384">
        <f t="shared" si="115"/>
        <v>38.512078550000005</v>
      </c>
      <c r="Z281" s="384">
        <f t="shared" si="116"/>
        <v>38.610897257530596</v>
      </c>
      <c r="AA281" s="385">
        <f t="shared" si="117"/>
        <v>38.940920773582448</v>
      </c>
      <c r="AB281" s="196">
        <f t="shared" si="118"/>
        <v>43367</v>
      </c>
      <c r="AC281" s="425">
        <f t="shared" si="119"/>
        <v>8.4749797769481904E-3</v>
      </c>
      <c r="AD281" s="168">
        <f>(INDEX(Models!$BJ281:$BT281,,AH281)*(1-AF281)+INDEX(Models!$BJ281:$BT281,,AH281+1)*AF281-ERP_i)*AE281*Ramure*Pc/MaxiM</f>
        <v>8.0608321332303727E-5</v>
      </c>
      <c r="AE281" s="304">
        <f t="shared" si="120"/>
        <v>0.5</v>
      </c>
      <c r="AF281" s="176">
        <f t="shared" si="121"/>
        <v>0.83106904800929271</v>
      </c>
      <c r="AG281" s="814">
        <f t="shared" si="122"/>
        <v>-1</v>
      </c>
      <c r="AH281" s="175">
        <f t="shared" si="123"/>
        <v>5</v>
      </c>
      <c r="AI281" s="224">
        <f t="shared" si="124"/>
        <v>-0.16893095199070729</v>
      </c>
      <c r="AJ281" s="264" t="b">
        <f t="shared" si="125"/>
        <v>0</v>
      </c>
      <c r="AK281" s="264" t="b">
        <f t="shared" si="126"/>
        <v>0</v>
      </c>
      <c r="AL281" s="264"/>
      <c r="AM281" s="264"/>
      <c r="AN281" s="75"/>
    </row>
    <row r="282" spans="1:40" s="6" customFormat="1" ht="11.25" x14ac:dyDescent="0.2">
      <c r="A282" s="56">
        <f t="shared" si="127"/>
        <v>43368</v>
      </c>
      <c r="B282" s="616">
        <v>46.007843475000008</v>
      </c>
      <c r="C282" s="389"/>
      <c r="D282" s="392">
        <f t="shared" si="104"/>
        <v>46.126905973377212</v>
      </c>
      <c r="E282" s="384">
        <f t="shared" si="101"/>
        <v>46.524247196023282</v>
      </c>
      <c r="F282" s="384">
        <f t="shared" si="103"/>
        <v>46.527927467994083</v>
      </c>
      <c r="G282" s="110">
        <f t="shared" si="102"/>
        <v>0.98760680105456888</v>
      </c>
      <c r="I282" s="379">
        <f t="shared" si="105"/>
        <v>46.527927467994083</v>
      </c>
      <c r="J282" s="85">
        <v>2018</v>
      </c>
      <c r="K282" s="196">
        <f t="shared" si="106"/>
        <v>43368</v>
      </c>
      <c r="L282" s="436">
        <f t="shared" si="107"/>
        <v>2.5811941179388898E-3</v>
      </c>
      <c r="M282" s="858"/>
      <c r="N282" s="858"/>
      <c r="O282" s="323">
        <f t="shared" si="108"/>
        <v>8.5405191183842502E-3</v>
      </c>
      <c r="P282" s="168">
        <f>(INDEX(Models!$BJ282:$BT282,,T282)*(1-R282)+INDEX(Models!$BJ282:$BT282,,T282+1)*R282-ERP_i)*Q282*Ramure*Pc/MaxiM</f>
        <v>8.0523601962691216E-5</v>
      </c>
      <c r="Q282" s="304">
        <f t="shared" si="109"/>
        <v>0.5</v>
      </c>
      <c r="R282" s="176">
        <f t="shared" si="110"/>
        <v>0.83122042736562363</v>
      </c>
      <c r="S282" s="814">
        <f t="shared" si="128"/>
        <v>-1</v>
      </c>
      <c r="T282" s="175">
        <f t="shared" si="111"/>
        <v>5</v>
      </c>
      <c r="U282" s="250">
        <f t="shared" si="112"/>
        <v>-0.16877957263437632</v>
      </c>
      <c r="V282" s="382">
        <f t="shared" si="113"/>
        <v>46.585116503562162</v>
      </c>
      <c r="W282" s="1156">
        <v>41825.312250000003</v>
      </c>
      <c r="X282" s="157">
        <f t="shared" si="114"/>
        <v>43368</v>
      </c>
      <c r="Y282" s="384">
        <f t="shared" si="115"/>
        <v>46.007843475000008</v>
      </c>
      <c r="Z282" s="384">
        <f t="shared" si="116"/>
        <v>46.126905973377212</v>
      </c>
      <c r="AA282" s="385">
        <f t="shared" si="117"/>
        <v>46.524247196023282</v>
      </c>
      <c r="AB282" s="196">
        <f t="shared" si="118"/>
        <v>43368</v>
      </c>
      <c r="AC282" s="425">
        <f t="shared" si="119"/>
        <v>8.5405191183842502E-3</v>
      </c>
      <c r="AD282" s="168">
        <f>(INDEX(Models!$BJ282:$BT282,,AH282)*(1-AF282)+INDEX(Models!$BJ282:$BT282,,AH282+1)*AF282-ERP_i)*AE282*Ramure*Pc/MaxiM</f>
        <v>8.0523601962691216E-5</v>
      </c>
      <c r="AE282" s="304">
        <f t="shared" si="120"/>
        <v>0.5</v>
      </c>
      <c r="AF282" s="176">
        <f t="shared" si="121"/>
        <v>0.83122042736562363</v>
      </c>
      <c r="AG282" s="814">
        <f t="shared" si="122"/>
        <v>-1</v>
      </c>
      <c r="AH282" s="175">
        <f t="shared" si="123"/>
        <v>5</v>
      </c>
      <c r="AI282" s="224">
        <f t="shared" si="124"/>
        <v>-0.16877957263437632</v>
      </c>
      <c r="AJ282" s="264" t="b">
        <f t="shared" si="125"/>
        <v>0</v>
      </c>
      <c r="AK282" s="264" t="b">
        <f t="shared" si="126"/>
        <v>0</v>
      </c>
      <c r="AL282" s="264"/>
      <c r="AM282" s="264"/>
      <c r="AN282" s="75"/>
    </row>
    <row r="283" spans="1:40" s="6" customFormat="1" ht="11.25" x14ac:dyDescent="0.2">
      <c r="A283" s="56">
        <f t="shared" si="127"/>
        <v>43369</v>
      </c>
      <c r="B283" s="616">
        <v>44.839327170000004</v>
      </c>
      <c r="C283" s="389"/>
      <c r="D283" s="392">
        <f t="shared" si="104"/>
        <v>44.95635035495323</v>
      </c>
      <c r="E283" s="384">
        <f t="shared" si="101"/>
        <v>45.346596240257007</v>
      </c>
      <c r="F283" s="384">
        <f t="shared" si="103"/>
        <v>45.350079953012298</v>
      </c>
      <c r="G283" s="110">
        <f t="shared" si="102"/>
        <v>0.96846776932230361</v>
      </c>
      <c r="I283" s="379">
        <f t="shared" si="105"/>
        <v>45.350079953012298</v>
      </c>
      <c r="J283" s="85">
        <v>2018</v>
      </c>
      <c r="K283" s="196">
        <f t="shared" si="106"/>
        <v>43369</v>
      </c>
      <c r="L283" s="436">
        <f t="shared" si="107"/>
        <v>2.6030401495955591E-3</v>
      </c>
      <c r="M283" s="858"/>
      <c r="N283" s="858"/>
      <c r="O283" s="323">
        <f t="shared" si="108"/>
        <v>8.605847354808285E-3</v>
      </c>
      <c r="P283" s="168">
        <f>(INDEX(Models!$BJ283:$BT283,,T283)*(1-R283)+INDEX(Models!$BJ283:$BT283,,T283+1)*R283-ERP_i)*Q283*Ramure*Pc/MaxiM</f>
        <v>8.0441390559173203E-5</v>
      </c>
      <c r="Q283" s="304">
        <f t="shared" si="109"/>
        <v>0.5</v>
      </c>
      <c r="R283" s="176">
        <f t="shared" si="110"/>
        <v>0.83136585708185051</v>
      </c>
      <c r="S283" s="814">
        <f t="shared" si="128"/>
        <v>-1</v>
      </c>
      <c r="T283" s="175">
        <f t="shared" si="111"/>
        <v>5</v>
      </c>
      <c r="U283" s="250">
        <f t="shared" si="112"/>
        <v>-0.16863414291814954</v>
      </c>
      <c r="V283" s="382">
        <f t="shared" si="113"/>
        <v>46.299077901888687</v>
      </c>
      <c r="W283" s="1156">
        <v>40763.024700000002</v>
      </c>
      <c r="X283" s="157">
        <f t="shared" si="114"/>
        <v>43369</v>
      </c>
      <c r="Y283" s="384">
        <f t="shared" si="115"/>
        <v>44.839327170000004</v>
      </c>
      <c r="Z283" s="384">
        <f t="shared" si="116"/>
        <v>44.95635035495323</v>
      </c>
      <c r="AA283" s="385">
        <f t="shared" si="117"/>
        <v>45.346596240257007</v>
      </c>
      <c r="AB283" s="196">
        <f t="shared" si="118"/>
        <v>43369</v>
      </c>
      <c r="AC283" s="425">
        <f t="shared" si="119"/>
        <v>8.605847354808285E-3</v>
      </c>
      <c r="AD283" s="168">
        <f>(INDEX(Models!$BJ283:$BT283,,AH283)*(1-AF283)+INDEX(Models!$BJ283:$BT283,,AH283+1)*AF283-ERP_i)*AE283*Ramure*Pc/MaxiM</f>
        <v>8.0441390559173203E-5</v>
      </c>
      <c r="AE283" s="304">
        <f t="shared" si="120"/>
        <v>0.5</v>
      </c>
      <c r="AF283" s="176">
        <f t="shared" si="121"/>
        <v>0.83136585708185051</v>
      </c>
      <c r="AG283" s="814">
        <f t="shared" si="122"/>
        <v>-1</v>
      </c>
      <c r="AH283" s="175">
        <f t="shared" si="123"/>
        <v>5</v>
      </c>
      <c r="AI283" s="224">
        <f t="shared" si="124"/>
        <v>-0.16863414291814954</v>
      </c>
      <c r="AJ283" s="264" t="b">
        <f t="shared" si="125"/>
        <v>0</v>
      </c>
      <c r="AK283" s="264" t="b">
        <f t="shared" si="126"/>
        <v>0</v>
      </c>
      <c r="AL283" s="264"/>
      <c r="AM283" s="264"/>
      <c r="AN283" s="75"/>
    </row>
    <row r="284" spans="1:40" s="6" customFormat="1" ht="11.25" x14ac:dyDescent="0.2">
      <c r="A284" s="56">
        <f t="shared" si="127"/>
        <v>43370</v>
      </c>
      <c r="B284" s="616">
        <v>43.940715225000012</v>
      </c>
      <c r="C284" s="389"/>
      <c r="D284" s="392">
        <f t="shared" si="104"/>
        <v>44.056358129570356</v>
      </c>
      <c r="E284" s="384">
        <f t="shared" si="101"/>
        <v>44.441710401873223</v>
      </c>
      <c r="F284" s="384">
        <f t="shared" si="103"/>
        <v>44.445052403607114</v>
      </c>
      <c r="G284" s="110">
        <f t="shared" si="102"/>
        <v>0.95499164286396832</v>
      </c>
      <c r="I284" s="379">
        <f t="shared" si="105"/>
        <v>44.445052403607114</v>
      </c>
      <c r="J284" s="85">
        <v>2018</v>
      </c>
      <c r="K284" s="196">
        <f t="shared" si="106"/>
        <v>43370</v>
      </c>
      <c r="L284" s="436">
        <f t="shared" si="107"/>
        <v>2.6248857027680872E-3</v>
      </c>
      <c r="M284" s="858"/>
      <c r="N284" s="858"/>
      <c r="O284" s="323">
        <f t="shared" si="108"/>
        <v>8.6709595291955266E-3</v>
      </c>
      <c r="P284" s="168">
        <f>(INDEX(Models!$BJ284:$BT284,,T284)*(1-R284)+INDEX(Models!$BJ284:$BT284,,T284+1)*R284-ERP_i)*Q284*Ramure*Pc/MaxiM</f>
        <v>8.0360431085578119E-5</v>
      </c>
      <c r="Q284" s="304">
        <f t="shared" si="109"/>
        <v>0.5</v>
      </c>
      <c r="R284" s="176">
        <f t="shared" si="110"/>
        <v>0.83150556543729204</v>
      </c>
      <c r="S284" s="814">
        <f t="shared" si="128"/>
        <v>-1</v>
      </c>
      <c r="T284" s="175">
        <f t="shared" si="111"/>
        <v>5</v>
      </c>
      <c r="U284" s="250">
        <f t="shared" si="112"/>
        <v>-0.16849443456270802</v>
      </c>
      <c r="V284" s="382">
        <f t="shared" si="113"/>
        <v>46.011385042003567</v>
      </c>
      <c r="W284" s="1156">
        <v>39946.104750000013</v>
      </c>
      <c r="X284" s="157">
        <f t="shared" si="114"/>
        <v>43370</v>
      </c>
      <c r="Y284" s="384">
        <f t="shared" si="115"/>
        <v>43.940715225000012</v>
      </c>
      <c r="Z284" s="384">
        <f t="shared" si="116"/>
        <v>44.056358129570356</v>
      </c>
      <c r="AA284" s="385">
        <f t="shared" si="117"/>
        <v>44.441710401873223</v>
      </c>
      <c r="AB284" s="196">
        <f t="shared" si="118"/>
        <v>43370</v>
      </c>
      <c r="AC284" s="425">
        <f t="shared" si="119"/>
        <v>8.6709595291955266E-3</v>
      </c>
      <c r="AD284" s="168">
        <f>(INDEX(Models!$BJ284:$BT284,,AH284)*(1-AF284)+INDEX(Models!$BJ284:$BT284,,AH284+1)*AF284-ERP_i)*AE284*Ramure*Pc/MaxiM</f>
        <v>8.0360431085578119E-5</v>
      </c>
      <c r="AE284" s="304">
        <f t="shared" si="120"/>
        <v>0.5</v>
      </c>
      <c r="AF284" s="176">
        <f t="shared" si="121"/>
        <v>0.83150556543729204</v>
      </c>
      <c r="AG284" s="814">
        <f t="shared" si="122"/>
        <v>-1</v>
      </c>
      <c r="AH284" s="175">
        <f t="shared" si="123"/>
        <v>5</v>
      </c>
      <c r="AI284" s="224">
        <f t="shared" si="124"/>
        <v>-0.16849443456270802</v>
      </c>
      <c r="AJ284" s="264" t="b">
        <f t="shared" si="125"/>
        <v>0</v>
      </c>
      <c r="AK284" s="264" t="b">
        <f t="shared" si="126"/>
        <v>0</v>
      </c>
      <c r="AL284" s="264"/>
      <c r="AM284" s="264"/>
      <c r="AN284" s="75"/>
    </row>
    <row r="285" spans="1:40" s="6" customFormat="1" ht="11.25" x14ac:dyDescent="0.2">
      <c r="A285" s="56">
        <f t="shared" si="127"/>
        <v>43371</v>
      </c>
      <c r="B285" s="616">
        <v>41.608482299999999</v>
      </c>
      <c r="C285" s="389"/>
      <c r="D285" s="392">
        <f t="shared" si="104"/>
        <v>41.718900999276883</v>
      </c>
      <c r="E285" s="384">
        <f t="shared" si="101"/>
        <v>42.086562929561431</v>
      </c>
      <c r="F285" s="384">
        <f t="shared" si="103"/>
        <v>42.089507508036213</v>
      </c>
      <c r="G285" s="110">
        <f t="shared" si="102"/>
        <v>0.9100090344674826</v>
      </c>
      <c r="I285" s="379">
        <f t="shared" si="105"/>
        <v>42.089507508036213</v>
      </c>
      <c r="J285" s="85">
        <v>2018</v>
      </c>
      <c r="K285" s="196">
        <f t="shared" si="106"/>
        <v>43371</v>
      </c>
      <c r="L285" s="436">
        <f t="shared" si="107"/>
        <v>2.6467307774669102E-3</v>
      </c>
      <c r="M285" s="858"/>
      <c r="N285" s="858"/>
      <c r="O285" s="323">
        <f t="shared" si="108"/>
        <v>8.7358507013245313E-3</v>
      </c>
      <c r="P285" s="168">
        <f>(INDEX(Models!$BJ285:$BT285,,T285)*(1-R285)+INDEX(Models!$BJ285:$BT285,,T285+1)*R285-ERP_i)*Q285*Ramure*Pc/MaxiM</f>
        <v>8.0279447615652912E-5</v>
      </c>
      <c r="Q285" s="304">
        <f t="shared" si="109"/>
        <v>0.5</v>
      </c>
      <c r="R285" s="176">
        <f t="shared" si="110"/>
        <v>0.83163977238686404</v>
      </c>
      <c r="S285" s="814">
        <f t="shared" si="128"/>
        <v>-1</v>
      </c>
      <c r="T285" s="175">
        <f t="shared" si="111"/>
        <v>5</v>
      </c>
      <c r="U285" s="250">
        <f t="shared" si="112"/>
        <v>-0.16836022761313602</v>
      </c>
      <c r="V285" s="382">
        <f t="shared" si="113"/>
        <v>45.722681109778605</v>
      </c>
      <c r="W285" s="1156">
        <v>37825.892999999996</v>
      </c>
      <c r="X285" s="157">
        <f t="shared" si="114"/>
        <v>43371</v>
      </c>
      <c r="Y285" s="384">
        <f t="shared" si="115"/>
        <v>41.608482299999999</v>
      </c>
      <c r="Z285" s="384">
        <f t="shared" si="116"/>
        <v>41.718900999276883</v>
      </c>
      <c r="AA285" s="385">
        <f t="shared" si="117"/>
        <v>42.086562929561431</v>
      </c>
      <c r="AB285" s="196">
        <f t="shared" si="118"/>
        <v>43371</v>
      </c>
      <c r="AC285" s="425">
        <f t="shared" si="119"/>
        <v>8.7358507013245313E-3</v>
      </c>
      <c r="AD285" s="168">
        <f>(INDEX(Models!$BJ285:$BT285,,AH285)*(1-AF285)+INDEX(Models!$BJ285:$BT285,,AH285+1)*AF285-ERP_i)*AE285*Ramure*Pc/MaxiM</f>
        <v>8.0279447615652912E-5</v>
      </c>
      <c r="AE285" s="304">
        <f t="shared" si="120"/>
        <v>0.5</v>
      </c>
      <c r="AF285" s="176">
        <f t="shared" si="121"/>
        <v>0.83163977238686404</v>
      </c>
      <c r="AG285" s="814">
        <f t="shared" si="122"/>
        <v>-1</v>
      </c>
      <c r="AH285" s="175">
        <f t="shared" si="123"/>
        <v>5</v>
      </c>
      <c r="AI285" s="224">
        <f t="shared" si="124"/>
        <v>-0.16836022761313602</v>
      </c>
      <c r="AJ285" s="264" t="b">
        <f t="shared" si="125"/>
        <v>0</v>
      </c>
      <c r="AK285" s="264" t="b">
        <f t="shared" si="126"/>
        <v>0</v>
      </c>
      <c r="AL285" s="264"/>
      <c r="AM285" s="264"/>
      <c r="AN285" s="75"/>
    </row>
    <row r="286" spans="1:40" s="6" customFormat="1" ht="11.25" x14ac:dyDescent="0.2">
      <c r="A286" s="56">
        <f t="shared" si="127"/>
        <v>43372</v>
      </c>
      <c r="B286" s="616">
        <v>42.791067357500019</v>
      </c>
      <c r="C286" s="389"/>
      <c r="D286" s="392">
        <f t="shared" si="104"/>
        <v>42.90556408922334</v>
      </c>
      <c r="E286" s="384">
        <f t="shared" si="101"/>
        <v>43.286507691631591</v>
      </c>
      <c r="F286" s="384">
        <f t="shared" si="103"/>
        <v>43.289690938348777</v>
      </c>
      <c r="G286" s="110">
        <f t="shared" si="102"/>
        <v>0.94183101643399258</v>
      </c>
      <c r="I286" s="379">
        <f t="shared" si="105"/>
        <v>43.289690938348777</v>
      </c>
      <c r="J286" s="85">
        <v>2018</v>
      </c>
      <c r="K286" s="196">
        <f t="shared" si="106"/>
        <v>43372</v>
      </c>
      <c r="L286" s="436">
        <f t="shared" si="107"/>
        <v>2.6685753737025752E-3</v>
      </c>
      <c r="M286" s="858"/>
      <c r="N286" s="858"/>
      <c r="O286" s="323">
        <f t="shared" si="108"/>
        <v>8.8005159742164628E-3</v>
      </c>
      <c r="P286" s="168">
        <f>(INDEX(Models!$BJ286:$BT286,,T286)*(1-R286)+INDEX(Models!$BJ286:$BT286,,T286+1)*R286-ERP_i)*Q286*Ramure*Pc/MaxiM</f>
        <v>8.019714489648731E-5</v>
      </c>
      <c r="Q286" s="304">
        <f t="shared" si="109"/>
        <v>0.5</v>
      </c>
      <c r="R286" s="176">
        <f t="shared" si="110"/>
        <v>0.83176868983041019</v>
      </c>
      <c r="S286" s="814">
        <f t="shared" si="128"/>
        <v>-1</v>
      </c>
      <c r="T286" s="175">
        <f t="shared" si="111"/>
        <v>5</v>
      </c>
      <c r="U286" s="250">
        <f t="shared" si="112"/>
        <v>-0.16823131016958986</v>
      </c>
      <c r="V286" s="382">
        <f t="shared" si="113"/>
        <v>45.433609054679387</v>
      </c>
      <c r="W286" s="1156">
        <v>38900.970325000017</v>
      </c>
      <c r="X286" s="157">
        <f t="shared" si="114"/>
        <v>43372</v>
      </c>
      <c r="Y286" s="384">
        <f t="shared" si="115"/>
        <v>42.791067357500019</v>
      </c>
      <c r="Z286" s="384">
        <f t="shared" si="116"/>
        <v>42.90556408922334</v>
      </c>
      <c r="AA286" s="385">
        <f t="shared" si="117"/>
        <v>43.286507691631591</v>
      </c>
      <c r="AB286" s="196">
        <f t="shared" si="118"/>
        <v>43372</v>
      </c>
      <c r="AC286" s="425">
        <f t="shared" si="119"/>
        <v>8.8005159742164628E-3</v>
      </c>
      <c r="AD286" s="168">
        <f>(INDEX(Models!$BJ286:$BT286,,AH286)*(1-AF286)+INDEX(Models!$BJ286:$BT286,,AH286+1)*AF286-ERP_i)*AE286*Ramure*Pc/MaxiM</f>
        <v>8.019714489648731E-5</v>
      </c>
      <c r="AE286" s="304">
        <f t="shared" si="120"/>
        <v>0.5</v>
      </c>
      <c r="AF286" s="176">
        <f t="shared" si="121"/>
        <v>0.83176868983041019</v>
      </c>
      <c r="AG286" s="814">
        <f t="shared" si="122"/>
        <v>-1</v>
      </c>
      <c r="AH286" s="175">
        <f t="shared" si="123"/>
        <v>5</v>
      </c>
      <c r="AI286" s="224">
        <f t="shared" si="124"/>
        <v>-0.16823131016958986</v>
      </c>
      <c r="AJ286" s="264" t="b">
        <f t="shared" si="125"/>
        <v>0</v>
      </c>
      <c r="AK286" s="264" t="b">
        <f t="shared" si="126"/>
        <v>0</v>
      </c>
      <c r="AL286" s="264"/>
      <c r="AM286" s="264"/>
      <c r="AN286" s="75"/>
    </row>
    <row r="287" spans="1:40" s="6" customFormat="1" ht="11.25" x14ac:dyDescent="0.2">
      <c r="A287" s="56">
        <f t="shared" si="127"/>
        <v>43373</v>
      </c>
      <c r="B287" s="616">
        <v>38.802856317500002</v>
      </c>
      <c r="C287" s="389"/>
      <c r="D287" s="392">
        <f t="shared" si="104"/>
        <v>38.907533905083874</v>
      </c>
      <c r="E287" s="384">
        <f t="shared" si="101"/>
        <v>39.25553225626188</v>
      </c>
      <c r="F287" s="384">
        <f t="shared" si="103"/>
        <v>39.258046137495292</v>
      </c>
      <c r="G287" s="110">
        <f t="shared" si="102"/>
        <v>0.8595059112668284</v>
      </c>
      <c r="I287" s="379">
        <f t="shared" si="105"/>
        <v>39.258046137495292</v>
      </c>
      <c r="J287" s="85">
        <v>2018</v>
      </c>
      <c r="K287" s="196">
        <f t="shared" si="106"/>
        <v>43373</v>
      </c>
      <c r="L287" s="436">
        <f t="shared" si="107"/>
        <v>2.6904194914855184E-3</v>
      </c>
      <c r="M287" s="858"/>
      <c r="N287" s="858"/>
      <c r="O287" s="323">
        <f t="shared" si="108"/>
        <v>8.8649505222922025E-3</v>
      </c>
      <c r="P287" s="168">
        <f>(INDEX(Models!$BJ287:$BT287,,T287)*(1-R287)+INDEX(Models!$BJ287:$BT287,,T287+1)*R287-ERP_i)*Q287*Ramure*Pc/MaxiM</f>
        <v>8.011220929372327E-5</v>
      </c>
      <c r="Q287" s="304">
        <f t="shared" si="109"/>
        <v>0.5</v>
      </c>
      <c r="R287" s="176">
        <f t="shared" si="110"/>
        <v>0.83189252187609553</v>
      </c>
      <c r="S287" s="814">
        <f t="shared" si="128"/>
        <v>-1</v>
      </c>
      <c r="T287" s="175">
        <f t="shared" si="111"/>
        <v>5</v>
      </c>
      <c r="U287" s="250">
        <f t="shared" si="112"/>
        <v>-0.16810747812390447</v>
      </c>
      <c r="V287" s="382">
        <f t="shared" si="113"/>
        <v>45.144811594204519</v>
      </c>
      <c r="W287" s="1156">
        <v>35275.323924999997</v>
      </c>
      <c r="X287" s="157">
        <f t="shared" si="114"/>
        <v>43373</v>
      </c>
      <c r="Y287" s="384">
        <f t="shared" si="115"/>
        <v>38.802856317500002</v>
      </c>
      <c r="Z287" s="384">
        <f t="shared" si="116"/>
        <v>38.907533905083874</v>
      </c>
      <c r="AA287" s="385">
        <f t="shared" si="117"/>
        <v>39.25553225626188</v>
      </c>
      <c r="AB287" s="196">
        <f t="shared" si="118"/>
        <v>43373</v>
      </c>
      <c r="AC287" s="425">
        <f t="shared" si="119"/>
        <v>8.8649505222922025E-3</v>
      </c>
      <c r="AD287" s="168">
        <f>(INDEX(Models!$BJ287:$BT287,,AH287)*(1-AF287)+INDEX(Models!$BJ287:$BT287,,AH287+1)*AF287-ERP_i)*AE287*Ramure*Pc/MaxiM</f>
        <v>8.011220929372327E-5</v>
      </c>
      <c r="AE287" s="304">
        <f t="shared" si="120"/>
        <v>0.5</v>
      </c>
      <c r="AF287" s="176">
        <f t="shared" si="121"/>
        <v>0.83189252187609553</v>
      </c>
      <c r="AG287" s="814">
        <f t="shared" si="122"/>
        <v>-1</v>
      </c>
      <c r="AH287" s="175">
        <f t="shared" si="123"/>
        <v>5</v>
      </c>
      <c r="AI287" s="224">
        <f t="shared" si="124"/>
        <v>-0.16810747812390447</v>
      </c>
      <c r="AJ287" s="264" t="b">
        <f t="shared" si="125"/>
        <v>0</v>
      </c>
      <c r="AK287" s="264" t="b">
        <f t="shared" si="126"/>
        <v>0</v>
      </c>
      <c r="AL287" s="264"/>
      <c r="AM287" s="264"/>
      <c r="AN287" s="75"/>
    </row>
    <row r="288" spans="1:40" s="6" customFormat="1" ht="11.25" x14ac:dyDescent="0.2">
      <c r="A288" s="56">
        <f t="shared" si="127"/>
        <v>43374</v>
      </c>
      <c r="B288" s="616">
        <v>29.685246332500007</v>
      </c>
      <c r="C288" s="389"/>
      <c r="D288" s="392">
        <f t="shared" si="104"/>
        <v>29.76597950125419</v>
      </c>
      <c r="E288" s="384">
        <f t="shared" si="101"/>
        <v>30.03415900071559</v>
      </c>
      <c r="F288" s="384">
        <f t="shared" si="103"/>
        <v>30.035401201553686</v>
      </c>
      <c r="G288" s="110">
        <f t="shared" si="102"/>
        <v>0.66175054092776353</v>
      </c>
      <c r="I288" s="379">
        <f t="shared" si="105"/>
        <v>30.035401201553686</v>
      </c>
      <c r="J288" s="85">
        <v>2018</v>
      </c>
      <c r="K288" s="196">
        <f t="shared" si="106"/>
        <v>43374</v>
      </c>
      <c r="L288" s="436">
        <f t="shared" si="107"/>
        <v>2.7122631308262868E-3</v>
      </c>
      <c r="M288" s="858"/>
      <c r="N288" s="858"/>
      <c r="O288" s="323">
        <f t="shared" si="108"/>
        <v>8.9291496211034976E-3</v>
      </c>
      <c r="P288" s="168">
        <f>(INDEX(Models!$BJ288:$BT288,,T288)*(1-R288)+INDEX(Models!$BJ288:$BT288,,T288+1)*R288-ERP_i)*Q288*Ramure*Pc/MaxiM</f>
        <v>8.0023310155907145E-5</v>
      </c>
      <c r="Q288" s="304">
        <f t="shared" si="109"/>
        <v>0.5</v>
      </c>
      <c r="R288" s="176">
        <f t="shared" si="110"/>
        <v>0.83201146509774448</v>
      </c>
      <c r="S288" s="814">
        <f t="shared" si="128"/>
        <v>-1</v>
      </c>
      <c r="T288" s="175">
        <f t="shared" si="111"/>
        <v>5</v>
      </c>
      <c r="U288" s="250">
        <f t="shared" si="112"/>
        <v>-0.16798853490225552</v>
      </c>
      <c r="V288" s="382">
        <f t="shared" si="113"/>
        <v>44.856931209921093</v>
      </c>
      <c r="W288" s="1156">
        <v>26986.587575000005</v>
      </c>
      <c r="X288" s="157">
        <f t="shared" si="114"/>
        <v>43374</v>
      </c>
      <c r="Y288" s="384">
        <f t="shared" si="115"/>
        <v>29.685246332500007</v>
      </c>
      <c r="Z288" s="384">
        <f t="shared" si="116"/>
        <v>29.76597950125419</v>
      </c>
      <c r="AA288" s="385">
        <f t="shared" si="117"/>
        <v>30.03415900071559</v>
      </c>
      <c r="AB288" s="196">
        <f t="shared" si="118"/>
        <v>43374</v>
      </c>
      <c r="AC288" s="425">
        <f t="shared" si="119"/>
        <v>8.9291496211034976E-3</v>
      </c>
      <c r="AD288" s="168">
        <f>(INDEX(Models!$BJ288:$BT288,,AH288)*(1-AF288)+INDEX(Models!$BJ288:$BT288,,AH288+1)*AF288-ERP_i)*AE288*Ramure*Pc/MaxiM</f>
        <v>8.0023310155907145E-5</v>
      </c>
      <c r="AE288" s="304">
        <f t="shared" si="120"/>
        <v>0.5</v>
      </c>
      <c r="AF288" s="176">
        <f t="shared" si="121"/>
        <v>0.83201146509774448</v>
      </c>
      <c r="AG288" s="814">
        <f t="shared" si="122"/>
        <v>-1</v>
      </c>
      <c r="AH288" s="175">
        <f t="shared" si="123"/>
        <v>5</v>
      </c>
      <c r="AI288" s="224">
        <f t="shared" si="124"/>
        <v>-0.16798853490225552</v>
      </c>
      <c r="AJ288" s="264" t="b">
        <f t="shared" si="125"/>
        <v>0</v>
      </c>
      <c r="AK288" s="264" t="b">
        <f t="shared" si="12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7"/>
        <v>43375</v>
      </c>
      <c r="B289" s="616">
        <v>42.323999999999998</v>
      </c>
      <c r="C289" s="389"/>
      <c r="D289" s="392">
        <f t="shared" si="104"/>
        <v>42.440035568268669</v>
      </c>
      <c r="E289" s="384">
        <f t="shared" si="101"/>
        <v>42.82516694881302</v>
      </c>
      <c r="F289" s="384">
        <f t="shared" si="103"/>
        <v>42.828343839340114</v>
      </c>
      <c r="G289" s="110">
        <f t="shared" si="102"/>
        <v>0.94960828726673452</v>
      </c>
      <c r="I289" s="379">
        <f t="shared" si="105"/>
        <v>42.828343839340114</v>
      </c>
      <c r="J289" s="85">
        <v>2018</v>
      </c>
      <c r="K289" s="196">
        <f t="shared" si="106"/>
        <v>43375</v>
      </c>
      <c r="L289" s="436">
        <f t="shared" si="107"/>
        <v>2.7341062917352055E-3</v>
      </c>
      <c r="M289" s="858"/>
      <c r="N289" s="858"/>
      <c r="O289" s="323">
        <f t="shared" si="108"/>
        <v>8.9931086784711973E-3</v>
      </c>
      <c r="P289" s="168">
        <f>(INDEX(Models!$BJ289:$BT289,,T289)*(1-R289)+INDEX(Models!$BJ289:$BT289,,T289+1)*R289-ERP_i)*Q289*Ramure*Pc/MaxiM</f>
        <v>7.9930733690098275E-5</v>
      </c>
      <c r="Q289" s="304">
        <f t="shared" si="109"/>
        <v>0.5</v>
      </c>
      <c r="R289" s="176">
        <f t="shared" si="110"/>
        <v>0.83212570878603831</v>
      </c>
      <c r="S289" s="814">
        <f t="shared" si="128"/>
        <v>-1</v>
      </c>
      <c r="T289" s="175">
        <f t="shared" si="111"/>
        <v>5</v>
      </c>
      <c r="U289" s="250">
        <f t="shared" si="112"/>
        <v>-0.16787429121396169</v>
      </c>
      <c r="V289" s="382">
        <f t="shared" si="113"/>
        <v>44.569699991826411</v>
      </c>
      <c r="W289" s="58"/>
      <c r="X289" s="157">
        <f t="shared" si="114"/>
        <v>43375</v>
      </c>
      <c r="Y289" s="384">
        <f t="shared" si="115"/>
        <v>42.323999999999998</v>
      </c>
      <c r="Z289" s="384">
        <f t="shared" si="116"/>
        <v>42.440035568268669</v>
      </c>
      <c r="AA289" s="385">
        <f t="shared" si="117"/>
        <v>42.82516694881302</v>
      </c>
      <c r="AB289" s="196">
        <f t="shared" si="118"/>
        <v>43375</v>
      </c>
      <c r="AC289" s="425">
        <f t="shared" si="119"/>
        <v>8.9931086784711973E-3</v>
      </c>
      <c r="AD289" s="168">
        <f>(INDEX(Models!$BJ289:$BT289,,AH289)*(1-AF289)+INDEX(Models!$BJ289:$BT289,,AH289+1)*AF289-ERP_i)*AE289*Ramure*Pc/MaxiM</f>
        <v>7.9930733690098275E-5</v>
      </c>
      <c r="AE289" s="304">
        <f t="shared" si="120"/>
        <v>0.5</v>
      </c>
      <c r="AF289" s="176">
        <f t="shared" si="121"/>
        <v>0.83212570878603831</v>
      </c>
      <c r="AG289" s="814">
        <f t="shared" si="122"/>
        <v>-1</v>
      </c>
      <c r="AH289" s="175">
        <f t="shared" si="123"/>
        <v>5</v>
      </c>
      <c r="AI289" s="224">
        <f t="shared" si="124"/>
        <v>-0.16787429121396169</v>
      </c>
      <c r="AJ289" s="264" t="b">
        <f t="shared" si="125"/>
        <v>0</v>
      </c>
      <c r="AK289" s="264" t="b">
        <f t="shared" si="126"/>
        <v>0</v>
      </c>
      <c r="AL289" s="264"/>
      <c r="AM289" s="264"/>
      <c r="AN289" s="75"/>
    </row>
    <row r="290" spans="1:40" s="6" customFormat="1" ht="11.25" x14ac:dyDescent="0.2">
      <c r="A290" s="56">
        <f t="shared" si="127"/>
        <v>43376</v>
      </c>
      <c r="B290" s="616">
        <v>41.363</v>
      </c>
      <c r="C290" s="389"/>
      <c r="D290" s="392">
        <f t="shared" si="104"/>
        <v>41.477309348151557</v>
      </c>
      <c r="E290" s="384">
        <f t="shared" si="101"/>
        <v>41.856395323180656</v>
      </c>
      <c r="F290" s="384">
        <f t="shared" si="103"/>
        <v>41.859424132175342</v>
      </c>
      <c r="G290" s="110">
        <f t="shared" si="102"/>
        <v>0.93407020024187704</v>
      </c>
      <c r="I290" s="379">
        <f t="shared" si="105"/>
        <v>41.859424132175342</v>
      </c>
      <c r="J290" s="85">
        <v>2018</v>
      </c>
      <c r="K290" s="196">
        <f t="shared" si="106"/>
        <v>43376</v>
      </c>
      <c r="L290" s="436">
        <f t="shared" si="107"/>
        <v>2.7559489742228216E-3</v>
      </c>
      <c r="M290" s="858"/>
      <c r="N290" s="858"/>
      <c r="O290" s="323">
        <f t="shared" si="108"/>
        <v>9.0568232668414867E-3</v>
      </c>
      <c r="P290" s="168">
        <f>(INDEX(Models!$BJ290:$BT290,,T290)*(1-R290)+INDEX(Models!$BJ290:$BT290,,T290+1)*R290-ERP_i)*Q290*Ramure*Pc/MaxiM</f>
        <v>7.9879349761513357E-5</v>
      </c>
      <c r="Q290" s="304">
        <f t="shared" si="109"/>
        <v>0.5</v>
      </c>
      <c r="R290" s="176">
        <f t="shared" si="110"/>
        <v>0.83223543519351106</v>
      </c>
      <c r="S290" s="814">
        <f t="shared" si="128"/>
        <v>-1</v>
      </c>
      <c r="T290" s="175">
        <f t="shared" si="111"/>
        <v>5</v>
      </c>
      <c r="U290" s="250">
        <f t="shared" si="112"/>
        <v>-0.16776456480648888</v>
      </c>
      <c r="V290" s="382">
        <f t="shared" si="113"/>
        <v>44.282205777061485</v>
      </c>
      <c r="W290" s="58"/>
      <c r="X290" s="157">
        <f t="shared" si="114"/>
        <v>43376</v>
      </c>
      <c r="Y290" s="384">
        <f t="shared" si="115"/>
        <v>41.363</v>
      </c>
      <c r="Z290" s="384">
        <f t="shared" si="116"/>
        <v>41.477309348151557</v>
      </c>
      <c r="AA290" s="385">
        <f t="shared" si="117"/>
        <v>41.856395323180656</v>
      </c>
      <c r="AB290" s="196">
        <f t="shared" si="118"/>
        <v>43376</v>
      </c>
      <c r="AC290" s="425">
        <f t="shared" si="119"/>
        <v>9.0568232668414867E-3</v>
      </c>
      <c r="AD290" s="168">
        <f>(INDEX(Models!$BJ290:$BT290,,AH290)*(1-AF290)+INDEX(Models!$BJ290:$BT290,,AH290+1)*AF290-ERP_i)*AE290*Ramure*Pc/MaxiM</f>
        <v>7.9879349761513357E-5</v>
      </c>
      <c r="AE290" s="304">
        <f t="shared" si="120"/>
        <v>0.5</v>
      </c>
      <c r="AF290" s="176">
        <f t="shared" si="121"/>
        <v>0.83223543519351106</v>
      </c>
      <c r="AG290" s="814">
        <f t="shared" si="122"/>
        <v>-1</v>
      </c>
      <c r="AH290" s="175">
        <f t="shared" si="123"/>
        <v>5</v>
      </c>
      <c r="AI290" s="224">
        <f t="shared" si="124"/>
        <v>-0.16776456480648888</v>
      </c>
      <c r="AJ290" s="264" t="b">
        <f t="shared" si="125"/>
        <v>0</v>
      </c>
      <c r="AK290" s="264" t="b">
        <f t="shared" si="12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7"/>
        <v>43377</v>
      </c>
      <c r="B291" s="616">
        <v>42.933</v>
      </c>
      <c r="C291" s="389"/>
      <c r="D291" s="392">
        <f t="shared" si="104"/>
        <v>43.052591107782142</v>
      </c>
      <c r="E291" s="384">
        <f t="shared" si="101"/>
        <v>43.4488572494229</v>
      </c>
      <c r="F291" s="384">
        <f t="shared" si="103"/>
        <v>43.452210521350182</v>
      </c>
      <c r="G291" s="110">
        <f t="shared" si="102"/>
        <v>0.97587761378558713</v>
      </c>
      <c r="I291" s="379">
        <f t="shared" si="105"/>
        <v>43.452210521350182</v>
      </c>
      <c r="J291" s="85">
        <v>2018</v>
      </c>
      <c r="K291" s="196">
        <f t="shared" si="106"/>
        <v>43377</v>
      </c>
      <c r="L291" s="436">
        <f t="shared" si="107"/>
        <v>2.7777911782996823E-3</v>
      </c>
      <c r="M291" s="858"/>
      <c r="N291" s="858"/>
      <c r="O291" s="323">
        <f t="shared" si="108"/>
        <v>9.120289156650304E-3</v>
      </c>
      <c r="P291" s="168">
        <f>(INDEX(Models!$BJ291:$BT291,,T291)*(1-R291)+INDEX(Models!$BJ291:$BT291,,T291+1)*R291-ERP_i)*Q291*Ramure*Pc/MaxiM</f>
        <v>7.9925460837826969E-5</v>
      </c>
      <c r="Q291" s="304">
        <f t="shared" si="109"/>
        <v>0.5</v>
      </c>
      <c r="R291" s="176">
        <f t="shared" si="110"/>
        <v>0.83234081977330943</v>
      </c>
      <c r="S291" s="814">
        <f t="shared" si="128"/>
        <v>-1</v>
      </c>
      <c r="T291" s="175">
        <f t="shared" si="111"/>
        <v>5</v>
      </c>
      <c r="U291" s="250">
        <f t="shared" si="112"/>
        <v>-0.16765918022669057</v>
      </c>
      <c r="V291" s="382">
        <f t="shared" si="113"/>
        <v>43.994125029877111</v>
      </c>
      <c r="W291" s="58"/>
      <c r="X291" s="157">
        <f t="shared" si="114"/>
        <v>43377</v>
      </c>
      <c r="Y291" s="384">
        <f t="shared" si="115"/>
        <v>42.933</v>
      </c>
      <c r="Z291" s="384">
        <f t="shared" si="116"/>
        <v>43.052591107782142</v>
      </c>
      <c r="AA291" s="385">
        <f t="shared" si="117"/>
        <v>43.4488572494229</v>
      </c>
      <c r="AB291" s="196">
        <f t="shared" si="118"/>
        <v>43377</v>
      </c>
      <c r="AC291" s="425">
        <f t="shared" si="119"/>
        <v>9.120289156650304E-3</v>
      </c>
      <c r="AD291" s="168">
        <f>(INDEX(Models!$BJ291:$BT291,,AH291)*(1-AF291)+INDEX(Models!$BJ291:$BT291,,AH291+1)*AF291-ERP_i)*AE291*Ramure*Pc/MaxiM</f>
        <v>7.9925460837826969E-5</v>
      </c>
      <c r="AE291" s="304">
        <f t="shared" si="120"/>
        <v>0.5</v>
      </c>
      <c r="AF291" s="176">
        <f t="shared" si="121"/>
        <v>0.83234081977330943</v>
      </c>
      <c r="AG291" s="814">
        <f t="shared" si="122"/>
        <v>-1</v>
      </c>
      <c r="AH291" s="175">
        <f t="shared" si="123"/>
        <v>5</v>
      </c>
      <c r="AI291" s="224">
        <f t="shared" si="124"/>
        <v>-0.16765918022669057</v>
      </c>
      <c r="AJ291" s="264" t="b">
        <f t="shared" si="125"/>
        <v>0</v>
      </c>
      <c r="AK291" s="264" t="b">
        <f t="shared" si="126"/>
        <v>0</v>
      </c>
      <c r="AL291" s="264"/>
      <c r="AM291" s="264"/>
      <c r="AN291" s="75"/>
    </row>
    <row r="292" spans="1:40" s="6" customFormat="1" ht="11.25" x14ac:dyDescent="0.2">
      <c r="A292" s="56">
        <f t="shared" si="127"/>
        <v>43378</v>
      </c>
      <c r="B292" s="616">
        <v>42.63</v>
      </c>
      <c r="C292" s="389"/>
      <c r="D292" s="392">
        <f t="shared" si="104"/>
        <v>42.749683420338151</v>
      </c>
      <c r="E292" s="384">
        <f t="shared" si="101"/>
        <v>43.145914023183074</v>
      </c>
      <c r="F292" s="384">
        <f t="shared" si="103"/>
        <v>43.149247591520734</v>
      </c>
      <c r="G292" s="110">
        <f t="shared" si="102"/>
        <v>0.97539747468339322</v>
      </c>
      <c r="I292" s="379">
        <f t="shared" si="105"/>
        <v>43.149247591520734</v>
      </c>
      <c r="J292" s="85">
        <v>2018</v>
      </c>
      <c r="K292" s="196">
        <f t="shared" si="106"/>
        <v>43378</v>
      </c>
      <c r="L292" s="436">
        <f t="shared" si="107"/>
        <v>2.7996329039762236E-3</v>
      </c>
      <c r="M292" s="858"/>
      <c r="N292" s="858"/>
      <c r="O292" s="323">
        <f t="shared" si="108"/>
        <v>9.1835023504663847E-3</v>
      </c>
      <c r="P292" s="168">
        <f>(INDEX(Models!$BJ292:$BT292,,T292)*(1-R292)+INDEX(Models!$BJ292:$BT292,,T292+1)*R292-ERP_i)*Q292*Ramure*Pc/MaxiM</f>
        <v>8.0070580647110414E-5</v>
      </c>
      <c r="Q292" s="304">
        <f t="shared" si="109"/>
        <v>0.5</v>
      </c>
      <c r="R292" s="176">
        <f t="shared" si="110"/>
        <v>0.83244203141169848</v>
      </c>
      <c r="S292" s="814">
        <f t="shared" si="128"/>
        <v>-1</v>
      </c>
      <c r="T292" s="175">
        <f t="shared" si="111"/>
        <v>5</v>
      </c>
      <c r="U292" s="250">
        <f t="shared" si="112"/>
        <v>-0.16755796858830158</v>
      </c>
      <c r="V292" s="382">
        <f t="shared" si="113"/>
        <v>43.705136768680049</v>
      </c>
      <c r="W292" s="58"/>
      <c r="X292" s="157">
        <f t="shared" si="114"/>
        <v>43378</v>
      </c>
      <c r="Y292" s="384">
        <f t="shared" si="115"/>
        <v>42.63</v>
      </c>
      <c r="Z292" s="384">
        <f t="shared" si="116"/>
        <v>42.749683420338151</v>
      </c>
      <c r="AA292" s="385">
        <f t="shared" si="117"/>
        <v>43.145914023183074</v>
      </c>
      <c r="AB292" s="196">
        <f t="shared" si="118"/>
        <v>43378</v>
      </c>
      <c r="AC292" s="425">
        <f t="shared" si="119"/>
        <v>9.1835023504663847E-3</v>
      </c>
      <c r="AD292" s="168">
        <f>(INDEX(Models!$BJ292:$BT292,,AH292)*(1-AF292)+INDEX(Models!$BJ292:$BT292,,AH292+1)*AF292-ERP_i)*AE292*Ramure*Pc/MaxiM</f>
        <v>8.0070580647110414E-5</v>
      </c>
      <c r="AE292" s="304">
        <f t="shared" si="120"/>
        <v>0.5</v>
      </c>
      <c r="AF292" s="176">
        <f t="shared" si="121"/>
        <v>0.83244203141169848</v>
      </c>
      <c r="AG292" s="814">
        <f t="shared" si="122"/>
        <v>-1</v>
      </c>
      <c r="AH292" s="175">
        <f t="shared" si="123"/>
        <v>5</v>
      </c>
      <c r="AI292" s="224">
        <f t="shared" si="124"/>
        <v>-0.16755796858830158</v>
      </c>
      <c r="AJ292" s="264" t="b">
        <f t="shared" si="125"/>
        <v>0</v>
      </c>
      <c r="AK292" s="264" t="b">
        <f t="shared" si="126"/>
        <v>0</v>
      </c>
      <c r="AL292" s="264"/>
      <c r="AM292" s="264"/>
      <c r="AN292" s="75"/>
    </row>
    <row r="293" spans="1:40" s="6" customFormat="1" ht="11.25" x14ac:dyDescent="0.2">
      <c r="A293" s="56">
        <f t="shared" si="127"/>
        <v>43379</v>
      </c>
      <c r="B293" s="616">
        <v>40.26</v>
      </c>
      <c r="C293" s="389"/>
      <c r="D293" s="392">
        <f t="shared" si="104"/>
        <v>40.373913954608241</v>
      </c>
      <c r="E293" s="384">
        <f t="shared" si="101"/>
        <v>40.750713763437574</v>
      </c>
      <c r="F293" s="384">
        <f t="shared" ref="F293:F324" si="129">Wh_sa/(1-Pvg*MEDIAN((-Sdif+Wh/Env_an)/Csdif,0,1))</f>
        <v>40.753647143943134</v>
      </c>
      <c r="G293" s="110">
        <f t="shared" si="102"/>
        <v>0.92732323805977224</v>
      </c>
      <c r="I293" s="379">
        <f t="shared" si="105"/>
        <v>40.753647143943134</v>
      </c>
      <c r="J293" s="85">
        <v>2018</v>
      </c>
      <c r="K293" s="196">
        <f t="shared" si="106"/>
        <v>43379</v>
      </c>
      <c r="L293" s="436">
        <f t="shared" si="107"/>
        <v>2.8214741512629926E-3</v>
      </c>
      <c r="M293" s="858"/>
      <c r="N293" s="858"/>
      <c r="O293" s="323">
        <f t="shared" si="108"/>
        <v>9.2464591176659693E-3</v>
      </c>
      <c r="P293" s="168">
        <f>(INDEX(Models!$BJ293:$BT293,,T293)*(1-R293)+INDEX(Models!$BJ293:$BT293,,T293+1)*R293-ERP_i)*Q293*Ramure*Pc/MaxiM</f>
        <v>8.0316214683950882E-5</v>
      </c>
      <c r="Q293" s="304">
        <f t="shared" si="109"/>
        <v>0.5</v>
      </c>
      <c r="R293" s="176">
        <f t="shared" si="110"/>
        <v>0.83253923265432195</v>
      </c>
      <c r="S293" s="814">
        <f t="shared" si="128"/>
        <v>-1</v>
      </c>
      <c r="T293" s="175">
        <f t="shared" si="111"/>
        <v>5</v>
      </c>
      <c r="U293" s="250">
        <f t="shared" si="112"/>
        <v>-0.16746076734567811</v>
      </c>
      <c r="V293" s="382">
        <f t="shared" si="113"/>
        <v>43.414920106891707</v>
      </c>
      <c r="W293" s="58"/>
      <c r="X293" s="157">
        <f t="shared" si="114"/>
        <v>43379</v>
      </c>
      <c r="Y293" s="384">
        <f t="shared" si="115"/>
        <v>40.26</v>
      </c>
      <c r="Z293" s="384">
        <f t="shared" si="116"/>
        <v>40.373913954608241</v>
      </c>
      <c r="AA293" s="385">
        <f t="shared" si="117"/>
        <v>40.750713763437574</v>
      </c>
      <c r="AB293" s="196">
        <f t="shared" si="118"/>
        <v>43379</v>
      </c>
      <c r="AC293" s="425">
        <f t="shared" si="119"/>
        <v>9.2464591176659693E-3</v>
      </c>
      <c r="AD293" s="168">
        <f>(INDEX(Models!$BJ293:$BT293,,AH293)*(1-AF293)+INDEX(Models!$BJ293:$BT293,,AH293+1)*AF293-ERP_i)*AE293*Ramure*Pc/MaxiM</f>
        <v>8.0316214683950882E-5</v>
      </c>
      <c r="AE293" s="304">
        <f t="shared" si="120"/>
        <v>0.5</v>
      </c>
      <c r="AF293" s="176">
        <f t="shared" si="121"/>
        <v>0.83253923265432195</v>
      </c>
      <c r="AG293" s="814">
        <f t="shared" si="122"/>
        <v>-1</v>
      </c>
      <c r="AH293" s="175">
        <f t="shared" si="123"/>
        <v>5</v>
      </c>
      <c r="AI293" s="224">
        <f t="shared" si="124"/>
        <v>-0.16746076734567811</v>
      </c>
      <c r="AJ293" s="264" t="b">
        <f t="shared" si="125"/>
        <v>0</v>
      </c>
      <c r="AK293" s="264" t="b">
        <f t="shared" si="12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7"/>
        <v>43380</v>
      </c>
      <c r="B294" s="616">
        <v>15.375</v>
      </c>
      <c r="C294" s="389"/>
      <c r="D294" s="392">
        <f t="shared" si="104"/>
        <v>15.418840619585394</v>
      </c>
      <c r="E294" s="384">
        <f t="shared" si="101"/>
        <v>15.563725771187801</v>
      </c>
      <c r="F294" s="384">
        <f t="shared" si="129"/>
        <v>15.563827169366128</v>
      </c>
      <c r="G294" s="110">
        <f t="shared" si="102"/>
        <v>0.35651056190774449</v>
      </c>
      <c r="I294" s="379">
        <f t="shared" si="105"/>
        <v>15.563827169366128</v>
      </c>
      <c r="J294" s="85">
        <v>2018</v>
      </c>
      <c r="K294" s="196">
        <f t="shared" si="106"/>
        <v>43380</v>
      </c>
      <c r="L294" s="436">
        <f t="shared" si="107"/>
        <v>2.8433149201702035E-3</v>
      </c>
      <c r="M294" s="858"/>
      <c r="N294" s="858"/>
      <c r="O294" s="323">
        <f t="shared" si="108"/>
        <v>9.3091560293760006E-3</v>
      </c>
      <c r="P294" s="168">
        <f>(INDEX(Models!$BJ294:$BT294,,T294)*(1-R294)+INDEX(Models!$BJ294:$BT294,,T294+1)*R294-ERP_i)*Q294*Ramure*Pc/MaxiM</f>
        <v>8.0663867677945698E-5</v>
      </c>
      <c r="Q294" s="304">
        <f t="shared" si="109"/>
        <v>0.5</v>
      </c>
      <c r="R294" s="176">
        <f t="shared" si="110"/>
        <v>0.83263257992623563</v>
      </c>
      <c r="S294" s="814">
        <f t="shared" si="128"/>
        <v>-1</v>
      </c>
      <c r="T294" s="175">
        <f t="shared" si="111"/>
        <v>5</v>
      </c>
      <c r="U294" s="250">
        <f t="shared" si="112"/>
        <v>-0.16736742007376437</v>
      </c>
      <c r="V294" s="382">
        <f t="shared" si="113"/>
        <v>43.123154251897368</v>
      </c>
      <c r="W294" s="58"/>
      <c r="X294" s="157">
        <f t="shared" si="114"/>
        <v>43380</v>
      </c>
      <c r="Y294" s="384">
        <f t="shared" si="115"/>
        <v>15.375</v>
      </c>
      <c r="Z294" s="384">
        <f t="shared" si="116"/>
        <v>15.418840619585394</v>
      </c>
      <c r="AA294" s="385">
        <f t="shared" si="117"/>
        <v>15.563725771187801</v>
      </c>
      <c r="AB294" s="196">
        <f t="shared" si="118"/>
        <v>43380</v>
      </c>
      <c r="AC294" s="425">
        <f t="shared" si="119"/>
        <v>9.3091560293760006E-3</v>
      </c>
      <c r="AD294" s="168">
        <f>(INDEX(Models!$BJ294:$BT294,,AH294)*(1-AF294)+INDEX(Models!$BJ294:$BT294,,AH294+1)*AF294-ERP_i)*AE294*Ramure*Pc/MaxiM</f>
        <v>8.0663867677945698E-5</v>
      </c>
      <c r="AE294" s="304">
        <f t="shared" si="120"/>
        <v>0.5</v>
      </c>
      <c r="AF294" s="176">
        <f t="shared" si="121"/>
        <v>0.83263257992623563</v>
      </c>
      <c r="AG294" s="814">
        <f t="shared" si="122"/>
        <v>-1</v>
      </c>
      <c r="AH294" s="175">
        <f t="shared" si="123"/>
        <v>5</v>
      </c>
      <c r="AI294" s="224">
        <f t="shared" si="124"/>
        <v>-0.16736742007376437</v>
      </c>
      <c r="AJ294" s="264" t="b">
        <f t="shared" si="125"/>
        <v>0</v>
      </c>
      <c r="AK294" s="264" t="b">
        <f t="shared" si="12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7"/>
        <v>43381</v>
      </c>
      <c r="B295" s="616">
        <v>14.853999999999999</v>
      </c>
      <c r="C295" s="389"/>
      <c r="D295" s="392">
        <f t="shared" si="104"/>
        <v>14.896681304060595</v>
      </c>
      <c r="E295" s="384">
        <f t="shared" si="101"/>
        <v>15.0376075969409</v>
      </c>
      <c r="F295" s="384">
        <f t="shared" si="129"/>
        <v>15.037689177558217</v>
      </c>
      <c r="G295" s="110">
        <f t="shared" si="102"/>
        <v>0.34679062979472547</v>
      </c>
      <c r="I295" s="379">
        <f t="shared" si="105"/>
        <v>15.037689177558217</v>
      </c>
      <c r="J295" s="85">
        <v>2018</v>
      </c>
      <c r="K295" s="196">
        <f t="shared" si="106"/>
        <v>43381</v>
      </c>
      <c r="L295" s="436">
        <f t="shared" si="107"/>
        <v>2.8651552107086253E-3</v>
      </c>
      <c r="M295" s="858"/>
      <c r="N295" s="858"/>
      <c r="O295" s="323">
        <f t="shared" si="108"/>
        <v>9.371589993409115E-3</v>
      </c>
      <c r="P295" s="168">
        <f>(INDEX(Models!$BJ295:$BT295,,T295)*(1-R295)+INDEX(Models!$BJ295:$BT295,,T295+1)*R295-ERP_i)*Q295*Ramure*Pc/MaxiM</f>
        <v>8.1115052006791978E-5</v>
      </c>
      <c r="Q295" s="304">
        <f t="shared" si="109"/>
        <v>0.5</v>
      </c>
      <c r="R295" s="176">
        <f t="shared" si="110"/>
        <v>0.83272222374575233</v>
      </c>
      <c r="S295" s="814">
        <f t="shared" si="128"/>
        <v>-1</v>
      </c>
      <c r="T295" s="175">
        <f t="shared" si="111"/>
        <v>5</v>
      </c>
      <c r="U295" s="250">
        <f t="shared" si="112"/>
        <v>-0.16727777625424767</v>
      </c>
      <c r="V295" s="382">
        <f t="shared" si="113"/>
        <v>42.829518501694515</v>
      </c>
      <c r="W295" s="58"/>
      <c r="X295" s="157">
        <f t="shared" si="114"/>
        <v>43381</v>
      </c>
      <c r="Y295" s="384">
        <f t="shared" si="115"/>
        <v>14.853999999999999</v>
      </c>
      <c r="Z295" s="384">
        <f t="shared" si="116"/>
        <v>14.896681304060595</v>
      </c>
      <c r="AA295" s="385">
        <f t="shared" si="117"/>
        <v>15.0376075969409</v>
      </c>
      <c r="AB295" s="196">
        <f t="shared" si="118"/>
        <v>43381</v>
      </c>
      <c r="AC295" s="425">
        <f t="shared" si="119"/>
        <v>9.371589993409115E-3</v>
      </c>
      <c r="AD295" s="168">
        <f>(INDEX(Models!$BJ295:$BT295,,AH295)*(1-AF295)+INDEX(Models!$BJ295:$BT295,,AH295+1)*AF295-ERP_i)*AE295*Ramure*Pc/MaxiM</f>
        <v>8.1115052006791978E-5</v>
      </c>
      <c r="AE295" s="304">
        <f t="shared" si="120"/>
        <v>0.5</v>
      </c>
      <c r="AF295" s="176">
        <f t="shared" si="121"/>
        <v>0.83272222374575233</v>
      </c>
      <c r="AG295" s="814">
        <f t="shared" si="122"/>
        <v>-1</v>
      </c>
      <c r="AH295" s="175">
        <f t="shared" si="123"/>
        <v>5</v>
      </c>
      <c r="AI295" s="224">
        <f t="shared" si="124"/>
        <v>-0.16727777625424767</v>
      </c>
      <c r="AJ295" s="264" t="b">
        <f t="shared" si="125"/>
        <v>0</v>
      </c>
      <c r="AK295" s="264" t="b">
        <f t="shared" si="12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7"/>
        <v>43382</v>
      </c>
      <c r="B296" s="616">
        <v>35.183999999999997</v>
      </c>
      <c r="C296" s="389"/>
      <c r="D296" s="392">
        <f t="shared" si="104"/>
        <v>35.285870131447787</v>
      </c>
      <c r="E296" s="384">
        <f t="shared" si="101"/>
        <v>35.621918702271955</v>
      </c>
      <c r="F296" s="384">
        <f t="shared" si="129"/>
        <v>35.624108011340375</v>
      </c>
      <c r="G296" s="110">
        <f t="shared" si="102"/>
        <v>0.82718632782533008</v>
      </c>
      <c r="I296" s="379">
        <f t="shared" si="105"/>
        <v>35.624108011340375</v>
      </c>
      <c r="J296" s="85">
        <v>2018</v>
      </c>
      <c r="K296" s="196">
        <f t="shared" si="106"/>
        <v>43382</v>
      </c>
      <c r="L296" s="436">
        <f t="shared" si="107"/>
        <v>2.8869950228886943E-3</v>
      </c>
      <c r="M296" s="858"/>
      <c r="N296" s="858"/>
      <c r="O296" s="323">
        <f t="shared" si="108"/>
        <v>9.433758288902484E-3</v>
      </c>
      <c r="P296" s="168">
        <f>(INDEX(Models!$BJ296:$BT296,,T296)*(1-R296)+INDEX(Models!$BJ296:$BT296,,T296+1)*R296-ERP_i)*Q296*Ramure*Pc/MaxiM</f>
        <v>8.1598702204430156E-5</v>
      </c>
      <c r="Q296" s="304">
        <f t="shared" si="109"/>
        <v>0.5</v>
      </c>
      <c r="R296" s="176">
        <f t="shared" si="110"/>
        <v>0.83280830893214985</v>
      </c>
      <c r="S296" s="814">
        <f t="shared" si="128"/>
        <v>-1</v>
      </c>
      <c r="T296" s="175">
        <f t="shared" si="111"/>
        <v>5</v>
      </c>
      <c r="U296" s="250">
        <f t="shared" si="112"/>
        <v>-0.16719169106785015</v>
      </c>
      <c r="V296" s="382">
        <f t="shared" si="113"/>
        <v>42.53369533085435</v>
      </c>
      <c r="W296" s="58"/>
      <c r="X296" s="157">
        <f t="shared" si="114"/>
        <v>43382</v>
      </c>
      <c r="Y296" s="384">
        <f t="shared" si="115"/>
        <v>35.183999999999997</v>
      </c>
      <c r="Z296" s="384">
        <f t="shared" si="116"/>
        <v>35.285870131447787</v>
      </c>
      <c r="AA296" s="385">
        <f t="shared" si="117"/>
        <v>35.621918702271955</v>
      </c>
      <c r="AB296" s="196">
        <f t="shared" si="118"/>
        <v>43382</v>
      </c>
      <c r="AC296" s="425">
        <f t="shared" si="119"/>
        <v>9.433758288902484E-3</v>
      </c>
      <c r="AD296" s="168">
        <f>(INDEX(Models!$BJ296:$BT296,,AH296)*(1-AF296)+INDEX(Models!$BJ296:$BT296,,AH296+1)*AF296-ERP_i)*AE296*Ramure*Pc/MaxiM</f>
        <v>8.1598702204430156E-5</v>
      </c>
      <c r="AE296" s="304">
        <f t="shared" si="120"/>
        <v>0.5</v>
      </c>
      <c r="AF296" s="176">
        <f t="shared" si="121"/>
        <v>0.83280830893214985</v>
      </c>
      <c r="AG296" s="814">
        <f t="shared" si="122"/>
        <v>-1</v>
      </c>
      <c r="AH296" s="175">
        <f t="shared" si="123"/>
        <v>5</v>
      </c>
      <c r="AI296" s="224">
        <f t="shared" si="124"/>
        <v>-0.16719169106785015</v>
      </c>
      <c r="AJ296" s="264" t="b">
        <f t="shared" si="125"/>
        <v>0</v>
      </c>
      <c r="AK296" s="264" t="b">
        <f t="shared" si="12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7"/>
        <v>43383</v>
      </c>
      <c r="B297" s="616">
        <v>23.265000000000001</v>
      </c>
      <c r="C297" s="389"/>
      <c r="D297" s="392">
        <f t="shared" si="104"/>
        <v>23.332871458138381</v>
      </c>
      <c r="E297" s="384">
        <f t="shared" ref="E297:E360" si="130">Wh_pvt/(1-Psa)</f>
        <v>23.55655647623691</v>
      </c>
      <c r="F297" s="384">
        <f t="shared" si="129"/>
        <v>23.557249129336174</v>
      </c>
      <c r="G297" s="110">
        <f t="shared" ref="G297:G360" si="131">+Wh_hp/MaxiM</f>
        <v>0.55081266741018253</v>
      </c>
      <c r="I297" s="379">
        <f t="shared" si="105"/>
        <v>23.557249129336174</v>
      </c>
      <c r="J297" s="85">
        <v>2018</v>
      </c>
      <c r="K297" s="196">
        <f t="shared" si="106"/>
        <v>43383</v>
      </c>
      <c r="L297" s="436">
        <f t="shared" si="107"/>
        <v>2.9088343567207353E-3</v>
      </c>
      <c r="M297" s="858"/>
      <c r="N297" s="858"/>
      <c r="O297" s="323">
        <f t="shared" si="108"/>
        <v>9.4956586003634835E-3</v>
      </c>
      <c r="P297" s="168">
        <f>(INDEX(Models!$BJ297:$BT297,,T297)*(1-R297)+INDEX(Models!$BJ297:$BT297,,T297+1)*R297-ERP_i)*Q297*Ramure*Pc/MaxiM</f>
        <v>8.2052074228397076E-5</v>
      </c>
      <c r="Q297" s="304">
        <f t="shared" si="109"/>
        <v>0.5</v>
      </c>
      <c r="R297" s="176">
        <f t="shared" si="110"/>
        <v>0.83289097480730456</v>
      </c>
      <c r="S297" s="814">
        <f t="shared" si="128"/>
        <v>-1</v>
      </c>
      <c r="T297" s="175">
        <f t="shared" si="111"/>
        <v>5</v>
      </c>
      <c r="U297" s="250">
        <f t="shared" si="112"/>
        <v>-0.16710902519269549</v>
      </c>
      <c r="V297" s="382">
        <f t="shared" si="113"/>
        <v>42.235366866135294</v>
      </c>
      <c r="W297" s="58"/>
      <c r="X297" s="157">
        <f t="shared" si="114"/>
        <v>43383</v>
      </c>
      <c r="Y297" s="384">
        <f t="shared" si="115"/>
        <v>23.265000000000001</v>
      </c>
      <c r="Z297" s="384">
        <f t="shared" si="116"/>
        <v>23.332871458138381</v>
      </c>
      <c r="AA297" s="385">
        <f t="shared" si="117"/>
        <v>23.55655647623691</v>
      </c>
      <c r="AB297" s="196">
        <f t="shared" si="118"/>
        <v>43383</v>
      </c>
      <c r="AC297" s="425">
        <f t="shared" si="119"/>
        <v>9.4956586003634835E-3</v>
      </c>
      <c r="AD297" s="168">
        <f>(INDEX(Models!$BJ297:$BT297,,AH297)*(1-AF297)+INDEX(Models!$BJ297:$BT297,,AH297+1)*AF297-ERP_i)*AE297*Ramure*Pc/MaxiM</f>
        <v>8.2052074228397076E-5</v>
      </c>
      <c r="AE297" s="304">
        <f t="shared" si="120"/>
        <v>0.5</v>
      </c>
      <c r="AF297" s="176">
        <f t="shared" si="121"/>
        <v>0.83289097480730456</v>
      </c>
      <c r="AG297" s="814">
        <f t="shared" si="122"/>
        <v>-1</v>
      </c>
      <c r="AH297" s="175">
        <f t="shared" si="123"/>
        <v>5</v>
      </c>
      <c r="AI297" s="224">
        <f t="shared" si="124"/>
        <v>-0.16710902519269549</v>
      </c>
      <c r="AJ297" s="264" t="b">
        <f t="shared" si="125"/>
        <v>0</v>
      </c>
      <c r="AK297" s="264" t="b">
        <f t="shared" si="12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7"/>
        <v>43384</v>
      </c>
      <c r="B298" s="616">
        <v>30.029</v>
      </c>
      <c r="C298" s="389"/>
      <c r="D298" s="392">
        <f t="shared" si="104"/>
        <v>30.117263858415075</v>
      </c>
      <c r="E298" s="384">
        <f t="shared" si="130"/>
        <v>30.407880764302359</v>
      </c>
      <c r="F298" s="384">
        <f t="shared" si="129"/>
        <v>30.409371599713626</v>
      </c>
      <c r="G298" s="110">
        <f t="shared" si="131"/>
        <v>0.71607390772586421</v>
      </c>
      <c r="I298" s="379">
        <f t="shared" si="105"/>
        <v>30.409371599713626</v>
      </c>
      <c r="J298" s="85">
        <v>2018</v>
      </c>
      <c r="K298" s="196">
        <f t="shared" si="106"/>
        <v>43384</v>
      </c>
      <c r="L298" s="436">
        <f t="shared" si="107"/>
        <v>2.9306732122152956E-3</v>
      </c>
      <c r="M298" s="858"/>
      <c r="N298" s="858"/>
      <c r="O298" s="323">
        <f t="shared" si="108"/>
        <v>9.557289050819217E-3</v>
      </c>
      <c r="P298" s="168">
        <f>(INDEX(Models!$BJ298:$BT298,,T298)*(1-R298)+INDEX(Models!$BJ298:$BT298,,T298+1)*R298-ERP_i)*Q298*Ramure*Pc/MaxiM</f>
        <v>8.2475471976404966E-5</v>
      </c>
      <c r="Q298" s="304">
        <f t="shared" si="109"/>
        <v>0.5</v>
      </c>
      <c r="R298" s="176">
        <f t="shared" si="110"/>
        <v>0.83297035539132436</v>
      </c>
      <c r="S298" s="814">
        <f t="shared" si="128"/>
        <v>-1</v>
      </c>
      <c r="T298" s="175">
        <f t="shared" si="111"/>
        <v>5</v>
      </c>
      <c r="U298" s="250">
        <f t="shared" si="112"/>
        <v>-0.1670296446086757</v>
      </c>
      <c r="V298" s="382">
        <f t="shared" si="113"/>
        <v>41.93421259777913</v>
      </c>
      <c r="W298" s="58"/>
      <c r="X298" s="157">
        <f t="shared" si="114"/>
        <v>43384</v>
      </c>
      <c r="Y298" s="384">
        <f t="shared" si="115"/>
        <v>30.029</v>
      </c>
      <c r="Z298" s="384">
        <f t="shared" si="116"/>
        <v>30.117263858415075</v>
      </c>
      <c r="AA298" s="385">
        <f t="shared" si="117"/>
        <v>30.407880764302359</v>
      </c>
      <c r="AB298" s="196">
        <f t="shared" si="118"/>
        <v>43384</v>
      </c>
      <c r="AC298" s="425">
        <f t="shared" si="119"/>
        <v>9.557289050819217E-3</v>
      </c>
      <c r="AD298" s="168">
        <f>(INDEX(Models!$BJ298:$BT298,,AH298)*(1-AF298)+INDEX(Models!$BJ298:$BT298,,AH298+1)*AF298-ERP_i)*AE298*Ramure*Pc/MaxiM</f>
        <v>8.2475471976404966E-5</v>
      </c>
      <c r="AE298" s="304">
        <f t="shared" si="120"/>
        <v>0.5</v>
      </c>
      <c r="AF298" s="176">
        <f t="shared" si="121"/>
        <v>0.83297035539132436</v>
      </c>
      <c r="AG298" s="814">
        <f t="shared" si="122"/>
        <v>-1</v>
      </c>
      <c r="AH298" s="175">
        <f t="shared" si="123"/>
        <v>5</v>
      </c>
      <c r="AI298" s="224">
        <f t="shared" si="124"/>
        <v>-0.1670296446086757</v>
      </c>
      <c r="AJ298" s="264" t="b">
        <f t="shared" si="125"/>
        <v>0</v>
      </c>
      <c r="AK298" s="264" t="b">
        <f t="shared" si="12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7"/>
        <v>43385</v>
      </c>
      <c r="B299" s="616">
        <v>36.470999999999997</v>
      </c>
      <c r="C299" s="389"/>
      <c r="D299" s="392">
        <f t="shared" si="104"/>
        <v>36.578999921195361</v>
      </c>
      <c r="E299" s="384">
        <f t="shared" si="130"/>
        <v>36.934257552366802</v>
      </c>
      <c r="F299" s="384">
        <f t="shared" si="129"/>
        <v>36.936776591122225</v>
      </c>
      <c r="G299" s="110">
        <f t="shared" si="131"/>
        <v>0.87606394240496255</v>
      </c>
      <c r="I299" s="379">
        <f t="shared" si="105"/>
        <v>36.936776591122225</v>
      </c>
      <c r="J299" s="85">
        <v>2018</v>
      </c>
      <c r="K299" s="196">
        <f t="shared" si="106"/>
        <v>43385</v>
      </c>
      <c r="L299" s="436">
        <f t="shared" si="107"/>
        <v>2.9525115893829224E-3</v>
      </c>
      <c r="M299" s="858"/>
      <c r="N299" s="858"/>
      <c r="O299" s="323">
        <f t="shared" si="108"/>
        <v>9.6186482337635142E-3</v>
      </c>
      <c r="P299" s="168">
        <f>(INDEX(Models!$BJ299:$BT299,,T299)*(1-R299)+INDEX(Models!$BJ299:$BT299,,T299+1)*R299-ERP_i)*Q299*Ramure*Pc/MaxiM</f>
        <v>8.2869270200426739E-5</v>
      </c>
      <c r="Q299" s="304">
        <f t="shared" si="109"/>
        <v>0.5</v>
      </c>
      <c r="R299" s="176">
        <f t="shared" si="110"/>
        <v>0.83304657959226525</v>
      </c>
      <c r="S299" s="814">
        <f t="shared" si="128"/>
        <v>-1</v>
      </c>
      <c r="T299" s="175">
        <f t="shared" si="111"/>
        <v>5</v>
      </c>
      <c r="U299" s="250">
        <f t="shared" si="112"/>
        <v>-0.16695342040773481</v>
      </c>
      <c r="V299" s="382">
        <f t="shared" si="113"/>
        <v>41.629912094830416</v>
      </c>
      <c r="W299" s="58"/>
      <c r="X299" s="157">
        <f t="shared" si="114"/>
        <v>43385</v>
      </c>
      <c r="Y299" s="384">
        <f t="shared" si="115"/>
        <v>36.470999999999997</v>
      </c>
      <c r="Z299" s="384">
        <f t="shared" si="116"/>
        <v>36.578999921195361</v>
      </c>
      <c r="AA299" s="385">
        <f t="shared" si="117"/>
        <v>36.934257552366802</v>
      </c>
      <c r="AB299" s="196">
        <f t="shared" si="118"/>
        <v>43385</v>
      </c>
      <c r="AC299" s="425">
        <f t="shared" si="119"/>
        <v>9.6186482337635142E-3</v>
      </c>
      <c r="AD299" s="168">
        <f>(INDEX(Models!$BJ299:$BT299,,AH299)*(1-AF299)+INDEX(Models!$BJ299:$BT299,,AH299+1)*AF299-ERP_i)*AE299*Ramure*Pc/MaxiM</f>
        <v>8.2869270200426739E-5</v>
      </c>
      <c r="AE299" s="304">
        <f t="shared" si="120"/>
        <v>0.5</v>
      </c>
      <c r="AF299" s="176">
        <f t="shared" si="121"/>
        <v>0.83304657959226525</v>
      </c>
      <c r="AG299" s="814">
        <f t="shared" si="122"/>
        <v>-1</v>
      </c>
      <c r="AH299" s="175">
        <f t="shared" si="123"/>
        <v>5</v>
      </c>
      <c r="AI299" s="224">
        <f t="shared" si="124"/>
        <v>-0.16695342040773481</v>
      </c>
      <c r="AJ299" s="264" t="b">
        <f t="shared" si="125"/>
        <v>0</v>
      </c>
      <c r="AK299" s="264" t="b">
        <f t="shared" si="12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7"/>
        <v>43386</v>
      </c>
      <c r="B300" s="616">
        <v>25.565999999999999</v>
      </c>
      <c r="C300" s="389"/>
      <c r="D300" s="392">
        <f t="shared" si="104"/>
        <v>25.64226906988517</v>
      </c>
      <c r="E300" s="384">
        <f t="shared" si="130"/>
        <v>25.892905540201724</v>
      </c>
      <c r="F300" s="384">
        <f t="shared" si="129"/>
        <v>25.89388679373598</v>
      </c>
      <c r="G300" s="110">
        <f t="shared" si="131"/>
        <v>0.61867167891329911</v>
      </c>
      <c r="I300" s="379">
        <f t="shared" si="105"/>
        <v>25.89388679373598</v>
      </c>
      <c r="J300" s="85">
        <v>2018</v>
      </c>
      <c r="K300" s="196">
        <f t="shared" si="106"/>
        <v>43386</v>
      </c>
      <c r="L300" s="436">
        <f t="shared" si="107"/>
        <v>2.9743494882340515E-3</v>
      </c>
      <c r="M300" s="858"/>
      <c r="N300" s="858"/>
      <c r="O300" s="323">
        <f t="shared" si="108"/>
        <v>9.6797352435945196E-3</v>
      </c>
      <c r="P300" s="168">
        <f>(INDEX(Models!$BJ300:$BT300,,T300)*(1-R300)+INDEX(Models!$BJ300:$BT300,,T300+1)*R300-ERP_i)*Q300*Ramure*Pc/MaxiM</f>
        <v>8.323391680922948E-5</v>
      </c>
      <c r="Q300" s="304">
        <f t="shared" si="109"/>
        <v>0.5</v>
      </c>
      <c r="R300" s="176">
        <f t="shared" si="110"/>
        <v>0.83311977139002169</v>
      </c>
      <c r="S300" s="814">
        <f t="shared" si="128"/>
        <v>-1</v>
      </c>
      <c r="T300" s="175">
        <f t="shared" si="111"/>
        <v>5</v>
      </c>
      <c r="U300" s="250">
        <f t="shared" si="112"/>
        <v>-0.16688022860997831</v>
      </c>
      <c r="V300" s="382">
        <f t="shared" si="113"/>
        <v>41.322145004059855</v>
      </c>
      <c r="W300" s="58"/>
      <c r="X300" s="157">
        <f t="shared" si="114"/>
        <v>43386</v>
      </c>
      <c r="Y300" s="384">
        <f t="shared" si="115"/>
        <v>25.565999999999999</v>
      </c>
      <c r="Z300" s="384">
        <f t="shared" si="116"/>
        <v>25.64226906988517</v>
      </c>
      <c r="AA300" s="385">
        <f t="shared" si="117"/>
        <v>25.892905540201724</v>
      </c>
      <c r="AB300" s="196">
        <f t="shared" si="118"/>
        <v>43386</v>
      </c>
      <c r="AC300" s="425">
        <f t="shared" si="119"/>
        <v>9.6797352435945196E-3</v>
      </c>
      <c r="AD300" s="168">
        <f>(INDEX(Models!$BJ300:$BT300,,AH300)*(1-AF300)+INDEX(Models!$BJ300:$BT300,,AH300+1)*AF300-ERP_i)*AE300*Ramure*Pc/MaxiM</f>
        <v>8.323391680922948E-5</v>
      </c>
      <c r="AE300" s="304">
        <f t="shared" si="120"/>
        <v>0.5</v>
      </c>
      <c r="AF300" s="176">
        <f t="shared" si="121"/>
        <v>0.83311977139002169</v>
      </c>
      <c r="AG300" s="814">
        <f t="shared" si="122"/>
        <v>-1</v>
      </c>
      <c r="AH300" s="175">
        <f t="shared" si="123"/>
        <v>5</v>
      </c>
      <c r="AI300" s="224">
        <f t="shared" si="124"/>
        <v>-0.16688022860997831</v>
      </c>
      <c r="AJ300" s="264" t="b">
        <f t="shared" si="125"/>
        <v>0</v>
      </c>
      <c r="AK300" s="264" t="b">
        <f t="shared" si="12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7"/>
        <v>43387</v>
      </c>
      <c r="B301" s="616">
        <v>37.838000000000001</v>
      </c>
      <c r="C301" s="389"/>
      <c r="D301" s="392">
        <f t="shared" si="104"/>
        <v>37.951710417919955</v>
      </c>
      <c r="E301" s="384">
        <f t="shared" si="130"/>
        <v>38.325017152408797</v>
      </c>
      <c r="F301" s="384">
        <f t="shared" si="129"/>
        <v>38.327866224803074</v>
      </c>
      <c r="G301" s="110">
        <f t="shared" si="131"/>
        <v>0.92263119225741363</v>
      </c>
      <c r="I301" s="379">
        <f t="shared" si="105"/>
        <v>38.327866224803074</v>
      </c>
      <c r="J301" s="85">
        <v>2018</v>
      </c>
      <c r="K301" s="196">
        <f t="shared" si="106"/>
        <v>43387</v>
      </c>
      <c r="L301" s="436">
        <f t="shared" si="107"/>
        <v>2.9961869087792303E-3</v>
      </c>
      <c r="M301" s="858"/>
      <c r="N301" s="858"/>
      <c r="O301" s="323">
        <f t="shared" si="108"/>
        <v>9.740549704238757E-3</v>
      </c>
      <c r="P301" s="168">
        <f>(INDEX(Models!$BJ301:$BT301,,T301)*(1-R301)+INDEX(Models!$BJ301:$BT301,,T301+1)*R301-ERP_i)*Q301*Ramure*Pc/MaxiM</f>
        <v>8.3569935050490919E-5</v>
      </c>
      <c r="Q301" s="304">
        <f t="shared" si="109"/>
        <v>0.5</v>
      </c>
      <c r="R301" s="176">
        <f t="shared" si="110"/>
        <v>0.8331900500144902</v>
      </c>
      <c r="S301" s="814">
        <f t="shared" si="128"/>
        <v>-1</v>
      </c>
      <c r="T301" s="175">
        <f t="shared" si="111"/>
        <v>5</v>
      </c>
      <c r="U301" s="250">
        <f t="shared" si="112"/>
        <v>-0.16680994998550985</v>
      </c>
      <c r="V301" s="382">
        <f t="shared" si="113"/>
        <v>41.010591047552708</v>
      </c>
      <c r="W301" s="58"/>
      <c r="X301" s="157">
        <f t="shared" si="114"/>
        <v>43387</v>
      </c>
      <c r="Y301" s="384">
        <f t="shared" si="115"/>
        <v>37.838000000000001</v>
      </c>
      <c r="Z301" s="384">
        <f t="shared" si="116"/>
        <v>37.951710417919955</v>
      </c>
      <c r="AA301" s="385">
        <f t="shared" si="117"/>
        <v>38.325017152408797</v>
      </c>
      <c r="AB301" s="196">
        <f t="shared" si="118"/>
        <v>43387</v>
      </c>
      <c r="AC301" s="425">
        <f t="shared" si="119"/>
        <v>9.740549704238757E-3</v>
      </c>
      <c r="AD301" s="168">
        <f>(INDEX(Models!$BJ301:$BT301,,AH301)*(1-AF301)+INDEX(Models!$BJ301:$BT301,,AH301+1)*AF301-ERP_i)*AE301*Ramure*Pc/MaxiM</f>
        <v>8.3569935050490919E-5</v>
      </c>
      <c r="AE301" s="304">
        <f t="shared" si="120"/>
        <v>0.5</v>
      </c>
      <c r="AF301" s="176">
        <f t="shared" si="121"/>
        <v>0.8331900500144902</v>
      </c>
      <c r="AG301" s="814">
        <f t="shared" si="122"/>
        <v>-1</v>
      </c>
      <c r="AH301" s="175">
        <f t="shared" si="123"/>
        <v>5</v>
      </c>
      <c r="AI301" s="224">
        <f t="shared" si="124"/>
        <v>-0.16680994998550985</v>
      </c>
      <c r="AJ301" s="264" t="b">
        <f t="shared" si="125"/>
        <v>0</v>
      </c>
      <c r="AK301" s="264" t="b">
        <f t="shared" si="12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7"/>
        <v>43388</v>
      </c>
      <c r="B302" s="616">
        <v>11.430999999999999</v>
      </c>
      <c r="C302" s="389"/>
      <c r="D302" s="392">
        <f t="shared" si="104"/>
        <v>11.465603464722969</v>
      </c>
      <c r="E302" s="384">
        <f t="shared" si="130"/>
        <v>11.579091200489318</v>
      </c>
      <c r="F302" s="384">
        <f t="shared" si="129"/>
        <v>11.579091200489318</v>
      </c>
      <c r="G302" s="110">
        <f t="shared" si="131"/>
        <v>0.28087138090835773</v>
      </c>
      <c r="I302" s="379">
        <f t="shared" si="105"/>
        <v>11.579091200489318</v>
      </c>
      <c r="J302" s="85">
        <v>2018</v>
      </c>
      <c r="K302" s="196">
        <f t="shared" si="106"/>
        <v>43388</v>
      </c>
      <c r="L302" s="436">
        <f t="shared" si="107"/>
        <v>3.0180238510286728E-3</v>
      </c>
      <c r="M302" s="858"/>
      <c r="N302" s="858"/>
      <c r="O302" s="323">
        <f t="shared" si="108"/>
        <v>9.8010917956628911E-3</v>
      </c>
      <c r="P302" s="168">
        <f>(INDEX(Models!$BJ302:$BT302,,T302)*(1-R302)+INDEX(Models!$BJ302:$BT302,,T302+1)*R302-ERP_i)*Q302*Ramure*Pc/MaxiM</f>
        <v>8.3877925552331225E-5</v>
      </c>
      <c r="Q302" s="304">
        <f t="shared" si="109"/>
        <v>0.5</v>
      </c>
      <c r="R302" s="176">
        <f t="shared" si="110"/>
        <v>0.83325753011810977</v>
      </c>
      <c r="S302" s="814">
        <f t="shared" si="128"/>
        <v>-1</v>
      </c>
      <c r="T302" s="175">
        <f t="shared" si="111"/>
        <v>5</v>
      </c>
      <c r="U302" s="250">
        <f t="shared" si="112"/>
        <v>-0.16674246988189023</v>
      </c>
      <c r="V302" s="382">
        <f t="shared" si="113"/>
        <v>40.694930022658255</v>
      </c>
      <c r="W302" s="58"/>
      <c r="X302" s="157">
        <f t="shared" si="114"/>
        <v>43388</v>
      </c>
      <c r="Y302" s="384">
        <f t="shared" si="115"/>
        <v>11.430999999999999</v>
      </c>
      <c r="Z302" s="384">
        <f t="shared" si="116"/>
        <v>11.465603464722969</v>
      </c>
      <c r="AA302" s="385">
        <f t="shared" si="117"/>
        <v>11.579091200489318</v>
      </c>
      <c r="AB302" s="196">
        <f t="shared" si="118"/>
        <v>43388</v>
      </c>
      <c r="AC302" s="425">
        <f t="shared" si="119"/>
        <v>9.8010917956628911E-3</v>
      </c>
      <c r="AD302" s="168">
        <f>(INDEX(Models!$BJ302:$BT302,,AH302)*(1-AF302)+INDEX(Models!$BJ302:$BT302,,AH302+1)*AF302-ERP_i)*AE302*Ramure*Pc/MaxiM</f>
        <v>8.3877925552331225E-5</v>
      </c>
      <c r="AE302" s="304">
        <f t="shared" si="120"/>
        <v>0.5</v>
      </c>
      <c r="AF302" s="176">
        <f t="shared" si="121"/>
        <v>0.83325753011810977</v>
      </c>
      <c r="AG302" s="814">
        <f t="shared" si="122"/>
        <v>-1</v>
      </c>
      <c r="AH302" s="175">
        <f t="shared" si="123"/>
        <v>5</v>
      </c>
      <c r="AI302" s="224">
        <f t="shared" si="124"/>
        <v>-0.16674246988189023</v>
      </c>
      <c r="AJ302" s="264" t="b">
        <f t="shared" si="125"/>
        <v>0</v>
      </c>
      <c r="AK302" s="264" t="b">
        <f t="shared" si="12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7"/>
        <v>43389</v>
      </c>
      <c r="B303" s="616">
        <v>21.439</v>
      </c>
      <c r="C303" s="389"/>
      <c r="D303" s="392">
        <f t="shared" si="104"/>
        <v>21.50437028181862</v>
      </c>
      <c r="E303" s="384">
        <f t="shared" si="130"/>
        <v>21.718544719447671</v>
      </c>
      <c r="F303" s="384">
        <f t="shared" si="129"/>
        <v>21.719147994180346</v>
      </c>
      <c r="G303" s="110">
        <f t="shared" si="131"/>
        <v>0.53099201683786479</v>
      </c>
      <c r="I303" s="379">
        <f t="shared" si="105"/>
        <v>21.719147994180346</v>
      </c>
      <c r="J303" s="85">
        <v>2018</v>
      </c>
      <c r="K303" s="196">
        <f t="shared" si="106"/>
        <v>43389</v>
      </c>
      <c r="L303" s="436">
        <f t="shared" si="107"/>
        <v>3.039860314993148E-3</v>
      </c>
      <c r="M303" s="858"/>
      <c r="N303" s="858"/>
      <c r="O303" s="323">
        <f t="shared" si="108"/>
        <v>9.8613622779832183E-3</v>
      </c>
      <c r="P303" s="168">
        <f>(INDEX(Models!$BJ303:$BT303,,T303)*(1-R303)+INDEX(Models!$BJ303:$BT303,,T303+1)*R303-ERP_i)*Q303*Ramure*Pc/MaxiM</f>
        <v>8.4162209294134227E-5</v>
      </c>
      <c r="Q303" s="304">
        <f t="shared" si="109"/>
        <v>0.5</v>
      </c>
      <c r="R303" s="176">
        <f t="shared" si="110"/>
        <v>0.83332232194288958</v>
      </c>
      <c r="S303" s="814">
        <f t="shared" si="128"/>
        <v>-1</v>
      </c>
      <c r="T303" s="175">
        <f t="shared" si="111"/>
        <v>5</v>
      </c>
      <c r="U303" s="250">
        <f t="shared" si="112"/>
        <v>-0.16667767805711042</v>
      </c>
      <c r="V303" s="382">
        <f t="shared" si="113"/>
        <v>40.373094936108899</v>
      </c>
      <c r="W303" s="58"/>
      <c r="X303" s="157">
        <f t="shared" si="114"/>
        <v>43389</v>
      </c>
      <c r="Y303" s="384">
        <f t="shared" si="115"/>
        <v>21.439</v>
      </c>
      <c r="Z303" s="384">
        <f t="shared" si="116"/>
        <v>21.50437028181862</v>
      </c>
      <c r="AA303" s="385">
        <f t="shared" si="117"/>
        <v>21.718544719447671</v>
      </c>
      <c r="AB303" s="196">
        <f t="shared" si="118"/>
        <v>43389</v>
      </c>
      <c r="AC303" s="425">
        <f t="shared" si="119"/>
        <v>9.8613622779832183E-3</v>
      </c>
      <c r="AD303" s="168">
        <f>(INDEX(Models!$BJ303:$BT303,,AH303)*(1-AF303)+INDEX(Models!$BJ303:$BT303,,AH303+1)*AF303-ERP_i)*AE303*Ramure*Pc/MaxiM</f>
        <v>8.4162209294134227E-5</v>
      </c>
      <c r="AE303" s="304">
        <f t="shared" si="120"/>
        <v>0.5</v>
      </c>
      <c r="AF303" s="176">
        <f t="shared" si="121"/>
        <v>0.83332232194288958</v>
      </c>
      <c r="AG303" s="814">
        <f t="shared" si="122"/>
        <v>-1</v>
      </c>
      <c r="AH303" s="175">
        <f t="shared" si="123"/>
        <v>5</v>
      </c>
      <c r="AI303" s="224">
        <f t="shared" si="124"/>
        <v>-0.16667767805711042</v>
      </c>
      <c r="AJ303" s="264" t="b">
        <f t="shared" si="125"/>
        <v>0</v>
      </c>
      <c r="AK303" s="264" t="b">
        <f t="shared" si="12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7"/>
        <v>43390</v>
      </c>
      <c r="B304" s="616">
        <v>23.695</v>
      </c>
      <c r="C304" s="389"/>
      <c r="D304" s="392">
        <f t="shared" si="104"/>
        <v>23.767769692543144</v>
      </c>
      <c r="E304" s="384">
        <f t="shared" si="130"/>
        <v>24.005941339030947</v>
      </c>
      <c r="F304" s="384">
        <f t="shared" si="129"/>
        <v>24.006785135758257</v>
      </c>
      <c r="G304" s="110">
        <f t="shared" si="131"/>
        <v>0.59169468451667306</v>
      </c>
      <c r="I304" s="379">
        <f t="shared" si="105"/>
        <v>24.006785135758257</v>
      </c>
      <c r="J304" s="85">
        <v>2018</v>
      </c>
      <c r="K304" s="196">
        <f t="shared" si="106"/>
        <v>43390</v>
      </c>
      <c r="L304" s="436">
        <f t="shared" si="107"/>
        <v>3.0616963006829812E-3</v>
      </c>
      <c r="M304" s="858"/>
      <c r="N304" s="858"/>
      <c r="O304" s="323">
        <f t="shared" si="108"/>
        <v>9.921362512894466E-3</v>
      </c>
      <c r="P304" s="168">
        <f>(INDEX(Models!$BJ304:$BT304,,T304)*(1-R304)+INDEX(Models!$BJ304:$BT304,,T304+1)*R304-ERP_i)*Q304*Ramure*Pc/MaxiM</f>
        <v>8.4339305303549213E-5</v>
      </c>
      <c r="Q304" s="304">
        <f t="shared" si="109"/>
        <v>0.5</v>
      </c>
      <c r="R304" s="176">
        <f t="shared" si="110"/>
        <v>0.83338453148203651</v>
      </c>
      <c r="S304" s="814">
        <f t="shared" si="128"/>
        <v>-1</v>
      </c>
      <c r="T304" s="175">
        <f t="shared" si="111"/>
        <v>5</v>
      </c>
      <c r="U304" s="250">
        <f t="shared" si="112"/>
        <v>-0.16661546851796355</v>
      </c>
      <c r="V304" s="382">
        <f t="shared" si="113"/>
        <v>40.044021008178973</v>
      </c>
      <c r="W304" s="58"/>
      <c r="X304" s="157">
        <f t="shared" si="114"/>
        <v>43390</v>
      </c>
      <c r="Y304" s="384">
        <f t="shared" si="115"/>
        <v>23.695</v>
      </c>
      <c r="Z304" s="384">
        <f t="shared" si="116"/>
        <v>23.767769692543144</v>
      </c>
      <c r="AA304" s="385">
        <f t="shared" si="117"/>
        <v>24.005941339030947</v>
      </c>
      <c r="AB304" s="196">
        <f t="shared" si="118"/>
        <v>43390</v>
      </c>
      <c r="AC304" s="425">
        <f t="shared" si="119"/>
        <v>9.921362512894466E-3</v>
      </c>
      <c r="AD304" s="168">
        <f>(INDEX(Models!$BJ304:$BT304,,AH304)*(1-AF304)+INDEX(Models!$BJ304:$BT304,,AH304+1)*AF304-ERP_i)*AE304*Ramure*Pc/MaxiM</f>
        <v>8.4339305303549213E-5</v>
      </c>
      <c r="AE304" s="304">
        <f t="shared" si="120"/>
        <v>0.5</v>
      </c>
      <c r="AF304" s="176">
        <f t="shared" si="121"/>
        <v>0.83338453148203651</v>
      </c>
      <c r="AG304" s="814">
        <f t="shared" si="122"/>
        <v>-1</v>
      </c>
      <c r="AH304" s="175">
        <f t="shared" si="123"/>
        <v>5</v>
      </c>
      <c r="AI304" s="224">
        <f t="shared" si="124"/>
        <v>-0.16661546851796355</v>
      </c>
      <c r="AJ304" s="264" t="b">
        <f t="shared" si="125"/>
        <v>0</v>
      </c>
      <c r="AK304" s="264" t="b">
        <f t="shared" si="12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7"/>
        <v>43391</v>
      </c>
      <c r="B305" s="616">
        <v>9.5660000000000007</v>
      </c>
      <c r="C305" s="389"/>
      <c r="D305" s="392">
        <f t="shared" si="104"/>
        <v>9.5955883017459502</v>
      </c>
      <c r="E305" s="384">
        <f t="shared" si="130"/>
        <v>9.6923283467266899</v>
      </c>
      <c r="F305" s="384">
        <f t="shared" si="129"/>
        <v>9.6923283467266899</v>
      </c>
      <c r="G305" s="110">
        <f t="shared" si="131"/>
        <v>0.24088292474965844</v>
      </c>
      <c r="I305" s="379">
        <f t="shared" si="105"/>
        <v>9.6923283467266899</v>
      </c>
      <c r="J305" s="85">
        <v>2018</v>
      </c>
      <c r="K305" s="196">
        <f t="shared" si="106"/>
        <v>43391</v>
      </c>
      <c r="L305" s="436">
        <f t="shared" si="107"/>
        <v>3.0835318081087193E-3</v>
      </c>
      <c r="M305" s="858"/>
      <c r="N305" s="858"/>
      <c r="O305" s="323">
        <f t="shared" si="108"/>
        <v>9.9810944821541354E-3</v>
      </c>
      <c r="P305" s="168">
        <f>(INDEX(Models!$BJ305:$BT305,,T305)*(1-R305)+INDEX(Models!$BJ305:$BT305,,T305+1)*R305-ERP_i)*Q305*Ramure*Pc/MaxiM</f>
        <v>8.4360609389093669E-5</v>
      </c>
      <c r="Q305" s="304">
        <f t="shared" si="109"/>
        <v>0.5</v>
      </c>
      <c r="R305" s="176">
        <f t="shared" si="110"/>
        <v>0.83344426063630073</v>
      </c>
      <c r="S305" s="814">
        <f t="shared" si="128"/>
        <v>-1</v>
      </c>
      <c r="T305" s="175">
        <f t="shared" si="111"/>
        <v>5</v>
      </c>
      <c r="U305" s="250">
        <f t="shared" si="112"/>
        <v>-0.16655573936369927</v>
      </c>
      <c r="V305" s="382">
        <f t="shared" si="113"/>
        <v>39.708887694515376</v>
      </c>
      <c r="W305" s="58"/>
      <c r="X305" s="157">
        <f t="shared" si="114"/>
        <v>43391</v>
      </c>
      <c r="Y305" s="384">
        <f t="shared" si="115"/>
        <v>9.5660000000000007</v>
      </c>
      <c r="Z305" s="384">
        <f t="shared" si="116"/>
        <v>9.5955883017459502</v>
      </c>
      <c r="AA305" s="385">
        <f t="shared" si="117"/>
        <v>9.6923283467266899</v>
      </c>
      <c r="AB305" s="196">
        <f t="shared" si="118"/>
        <v>43391</v>
      </c>
      <c r="AC305" s="425">
        <f t="shared" si="119"/>
        <v>9.9810944821541354E-3</v>
      </c>
      <c r="AD305" s="168">
        <f>(INDEX(Models!$BJ305:$BT305,,AH305)*(1-AF305)+INDEX(Models!$BJ305:$BT305,,AH305+1)*AF305-ERP_i)*AE305*Ramure*Pc/MaxiM</f>
        <v>8.4360609389093669E-5</v>
      </c>
      <c r="AE305" s="304">
        <f t="shared" si="120"/>
        <v>0.5</v>
      </c>
      <c r="AF305" s="176">
        <f t="shared" si="121"/>
        <v>0.83344426063630073</v>
      </c>
      <c r="AG305" s="814">
        <f t="shared" si="122"/>
        <v>-1</v>
      </c>
      <c r="AH305" s="175">
        <f t="shared" si="123"/>
        <v>5</v>
      </c>
      <c r="AI305" s="224">
        <f t="shared" si="124"/>
        <v>-0.16655573936369927</v>
      </c>
      <c r="AJ305" s="264" t="b">
        <f t="shared" si="125"/>
        <v>0</v>
      </c>
      <c r="AK305" s="264" t="b">
        <f t="shared" si="12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7"/>
        <v>43392</v>
      </c>
      <c r="B306" s="616">
        <v>23.305</v>
      </c>
      <c r="C306" s="389"/>
      <c r="D306" s="392">
        <f t="shared" si="104"/>
        <v>23.377596011389116</v>
      </c>
      <c r="E306" s="384">
        <f t="shared" si="130"/>
        <v>23.614700851126589</v>
      </c>
      <c r="F306" s="384">
        <f t="shared" si="129"/>
        <v>23.615530432832838</v>
      </c>
      <c r="G306" s="110">
        <f t="shared" si="131"/>
        <v>0.59193607875242216</v>
      </c>
      <c r="I306" s="379">
        <f t="shared" si="105"/>
        <v>23.615530432832838</v>
      </c>
      <c r="J306" s="85">
        <v>2018</v>
      </c>
      <c r="K306" s="196">
        <f t="shared" si="106"/>
        <v>43392</v>
      </c>
      <c r="L306" s="436">
        <f t="shared" si="107"/>
        <v>3.1053668372807985E-3</v>
      </c>
      <c r="M306" s="858"/>
      <c r="N306" s="858"/>
      <c r="O306" s="323">
        <f t="shared" si="108"/>
        <v>1.0040560802876245E-2</v>
      </c>
      <c r="P306" s="168">
        <f>(INDEX(Models!$BJ306:$BT306,,T306)*(1-R306)+INDEX(Models!$BJ306:$BT306,,T306+1)*R306-ERP_i)*Q306*Ramure*Pc/MaxiM</f>
        <v>8.4222571749732568E-5</v>
      </c>
      <c r="Q306" s="304">
        <f t="shared" si="109"/>
        <v>0.5</v>
      </c>
      <c r="R306" s="176">
        <f t="shared" si="110"/>
        <v>0.83350160736515888</v>
      </c>
      <c r="S306" s="814">
        <f t="shared" si="128"/>
        <v>-1</v>
      </c>
      <c r="T306" s="175">
        <f t="shared" si="111"/>
        <v>5</v>
      </c>
      <c r="U306" s="250">
        <f t="shared" si="112"/>
        <v>-0.16649839263484117</v>
      </c>
      <c r="V306" s="382">
        <f t="shared" si="113"/>
        <v>39.368872184779029</v>
      </c>
      <c r="W306" s="58"/>
      <c r="X306" s="157">
        <f t="shared" si="114"/>
        <v>43392</v>
      </c>
      <c r="Y306" s="384">
        <f t="shared" si="115"/>
        <v>23.305</v>
      </c>
      <c r="Z306" s="384">
        <f t="shared" si="116"/>
        <v>23.377596011389116</v>
      </c>
      <c r="AA306" s="385">
        <f t="shared" si="117"/>
        <v>23.614700851126589</v>
      </c>
      <c r="AB306" s="196">
        <f t="shared" si="118"/>
        <v>43392</v>
      </c>
      <c r="AC306" s="425">
        <f t="shared" si="119"/>
        <v>1.0040560802876245E-2</v>
      </c>
      <c r="AD306" s="168">
        <f>(INDEX(Models!$BJ306:$BT306,,AH306)*(1-AF306)+INDEX(Models!$BJ306:$BT306,,AH306+1)*AF306-ERP_i)*AE306*Ramure*Pc/MaxiM</f>
        <v>8.4222571749732568E-5</v>
      </c>
      <c r="AE306" s="304">
        <f t="shared" si="120"/>
        <v>0.5</v>
      </c>
      <c r="AF306" s="176">
        <f t="shared" si="121"/>
        <v>0.83350160736515888</v>
      </c>
      <c r="AG306" s="814">
        <f t="shared" si="122"/>
        <v>-1</v>
      </c>
      <c r="AH306" s="175">
        <f t="shared" si="123"/>
        <v>5</v>
      </c>
      <c r="AI306" s="224">
        <f t="shared" si="124"/>
        <v>-0.16649839263484117</v>
      </c>
      <c r="AJ306" s="264" t="b">
        <f t="shared" si="125"/>
        <v>0</v>
      </c>
      <c r="AK306" s="264" t="b">
        <f t="shared" si="12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7"/>
        <v>43393</v>
      </c>
      <c r="B307" s="616">
        <v>12.364000000000001</v>
      </c>
      <c r="C307" s="389"/>
      <c r="D307" s="392">
        <f t="shared" si="104"/>
        <v>12.402786009626976</v>
      </c>
      <c r="E307" s="384">
        <f t="shared" si="130"/>
        <v>12.529329287776093</v>
      </c>
      <c r="F307" s="384">
        <f t="shared" si="129"/>
        <v>12.529354555401051</v>
      </c>
      <c r="G307" s="110">
        <f t="shared" si="131"/>
        <v>0.31679537251192524</v>
      </c>
      <c r="I307" s="379">
        <f t="shared" si="105"/>
        <v>12.529354555401051</v>
      </c>
      <c r="J307" s="85">
        <v>2018</v>
      </c>
      <c r="K307" s="196">
        <f t="shared" si="106"/>
        <v>43393</v>
      </c>
      <c r="L307" s="436">
        <f t="shared" si="107"/>
        <v>3.127201388209766E-3</v>
      </c>
      <c r="M307" s="858"/>
      <c r="N307" s="858"/>
      <c r="O307" s="323">
        <f t="shared" si="108"/>
        <v>1.0099764739408273E-2</v>
      </c>
      <c r="P307" s="168">
        <f>(INDEX(Models!$BJ307:$BT307,,T307)*(1-R307)+INDEX(Models!$BJ307:$BT307,,T307+1)*R307-ERP_i)*Q307*Ramure*Pc/MaxiM</f>
        <v>8.3921578564649028E-5</v>
      </c>
      <c r="Q307" s="304">
        <f t="shared" si="109"/>
        <v>0.5</v>
      </c>
      <c r="R307" s="176">
        <f t="shared" si="110"/>
        <v>0.83355666583295485</v>
      </c>
      <c r="S307" s="814">
        <f t="shared" si="128"/>
        <v>-1</v>
      </c>
      <c r="T307" s="175">
        <f t="shared" si="111"/>
        <v>5</v>
      </c>
      <c r="U307" s="250">
        <f t="shared" si="112"/>
        <v>-0.16644333416704515</v>
      </c>
      <c r="V307" s="382">
        <f t="shared" si="113"/>
        <v>39.025151244132253</v>
      </c>
      <c r="W307" s="58"/>
      <c r="X307" s="157">
        <f t="shared" si="114"/>
        <v>43393</v>
      </c>
      <c r="Y307" s="384">
        <f t="shared" si="115"/>
        <v>12.364000000000001</v>
      </c>
      <c r="Z307" s="384">
        <f t="shared" si="116"/>
        <v>12.402786009626976</v>
      </c>
      <c r="AA307" s="385">
        <f t="shared" si="117"/>
        <v>12.529329287776093</v>
      </c>
      <c r="AB307" s="196">
        <f t="shared" si="118"/>
        <v>43393</v>
      </c>
      <c r="AC307" s="425">
        <f t="shared" si="119"/>
        <v>1.0099764739408273E-2</v>
      </c>
      <c r="AD307" s="168">
        <f>(INDEX(Models!$BJ307:$BT307,,AH307)*(1-AF307)+INDEX(Models!$BJ307:$BT307,,AH307+1)*AF307-ERP_i)*AE307*Ramure*Pc/MaxiM</f>
        <v>8.3921578564649028E-5</v>
      </c>
      <c r="AE307" s="304">
        <f t="shared" si="120"/>
        <v>0.5</v>
      </c>
      <c r="AF307" s="176">
        <f t="shared" si="121"/>
        <v>0.83355666583295485</v>
      </c>
      <c r="AG307" s="814">
        <f t="shared" si="122"/>
        <v>-1</v>
      </c>
      <c r="AH307" s="175">
        <f t="shared" si="123"/>
        <v>5</v>
      </c>
      <c r="AI307" s="224">
        <f t="shared" si="124"/>
        <v>-0.16644333416704515</v>
      </c>
      <c r="AJ307" s="264" t="b">
        <f t="shared" si="125"/>
        <v>0</v>
      </c>
      <c r="AK307" s="264" t="b">
        <f t="shared" si="12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7"/>
        <v>43394</v>
      </c>
      <c r="B308" s="616">
        <v>18.776</v>
      </c>
      <c r="C308" s="389"/>
      <c r="D308" s="392">
        <f t="shared" si="104"/>
        <v>18.835313068770823</v>
      </c>
      <c r="E308" s="384">
        <f t="shared" si="130"/>
        <v>19.028619297945291</v>
      </c>
      <c r="F308" s="384">
        <f t="shared" si="129"/>
        <v>19.029039978107651</v>
      </c>
      <c r="G308" s="110">
        <f t="shared" si="131"/>
        <v>0.4854028303712018</v>
      </c>
      <c r="I308" s="379">
        <f t="shared" si="105"/>
        <v>19.029039978107651</v>
      </c>
      <c r="J308" s="85">
        <v>2018</v>
      </c>
      <c r="K308" s="196">
        <f t="shared" si="106"/>
        <v>43394</v>
      </c>
      <c r="L308" s="436">
        <f t="shared" si="107"/>
        <v>3.1490354609059468E-3</v>
      </c>
      <c r="M308" s="858"/>
      <c r="N308" s="858"/>
      <c r="O308" s="323">
        <f t="shared" si="108"/>
        <v>1.0158710211588574E-2</v>
      </c>
      <c r="P308" s="168">
        <f>(INDEX(Models!$BJ308:$BT308,,T308)*(1-R308)+INDEX(Models!$BJ308:$BT308,,T308+1)*R308-ERP_i)*Q308*Ramure*Pc/MaxiM</f>
        <v>8.3453985397600298E-5</v>
      </c>
      <c r="Q308" s="304">
        <f t="shared" si="109"/>
        <v>0.5</v>
      </c>
      <c r="R308" s="176">
        <f t="shared" si="110"/>
        <v>0.83360952655012599</v>
      </c>
      <c r="S308" s="814">
        <f t="shared" si="128"/>
        <v>-1</v>
      </c>
      <c r="T308" s="175">
        <f t="shared" si="111"/>
        <v>5</v>
      </c>
      <c r="U308" s="250">
        <f t="shared" si="112"/>
        <v>-0.16639047344987395</v>
      </c>
      <c r="V308" s="382">
        <f t="shared" si="113"/>
        <v>38.678901221664702</v>
      </c>
      <c r="W308" s="58"/>
      <c r="X308" s="157">
        <f t="shared" si="114"/>
        <v>43394</v>
      </c>
      <c r="Y308" s="384">
        <f t="shared" si="115"/>
        <v>18.776</v>
      </c>
      <c r="Z308" s="384">
        <f t="shared" si="116"/>
        <v>18.835313068770823</v>
      </c>
      <c r="AA308" s="385">
        <f t="shared" si="117"/>
        <v>19.028619297945291</v>
      </c>
      <c r="AB308" s="196">
        <f t="shared" si="118"/>
        <v>43394</v>
      </c>
      <c r="AC308" s="425">
        <f t="shared" si="119"/>
        <v>1.0158710211588574E-2</v>
      </c>
      <c r="AD308" s="168">
        <f>(INDEX(Models!$BJ308:$BT308,,AH308)*(1-AF308)+INDEX(Models!$BJ308:$BT308,,AH308+1)*AF308-ERP_i)*AE308*Ramure*Pc/MaxiM</f>
        <v>8.3453985397600298E-5</v>
      </c>
      <c r="AE308" s="304">
        <f t="shared" si="120"/>
        <v>0.5</v>
      </c>
      <c r="AF308" s="176">
        <f t="shared" si="121"/>
        <v>0.83360952655012599</v>
      </c>
      <c r="AG308" s="814">
        <f t="shared" si="122"/>
        <v>-1</v>
      </c>
      <c r="AH308" s="175">
        <f t="shared" si="123"/>
        <v>5</v>
      </c>
      <c r="AI308" s="224">
        <f t="shared" si="124"/>
        <v>-0.16639047344987395</v>
      </c>
      <c r="AJ308" s="264" t="b">
        <f t="shared" si="125"/>
        <v>0</v>
      </c>
      <c r="AK308" s="264" t="b">
        <f t="shared" si="12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7"/>
        <v>43395</v>
      </c>
      <c r="B309" s="616">
        <v>23.1</v>
      </c>
      <c r="C309" s="389"/>
      <c r="D309" s="392">
        <f t="shared" si="104"/>
        <v>23.173480070862162</v>
      </c>
      <c r="E309" s="384">
        <f t="shared" si="130"/>
        <v>23.412697003348445</v>
      </c>
      <c r="F309" s="384">
        <f t="shared" si="129"/>
        <v>23.413535326248176</v>
      </c>
      <c r="G309" s="110">
        <f t="shared" si="131"/>
        <v>0.60261236064511892</v>
      </c>
      <c r="I309" s="379">
        <f t="shared" si="105"/>
        <v>23.413535326248176</v>
      </c>
      <c r="J309" s="85">
        <v>2018</v>
      </c>
      <c r="K309" s="196">
        <f t="shared" si="106"/>
        <v>43395</v>
      </c>
      <c r="L309" s="436">
        <f t="shared" si="107"/>
        <v>3.1708690553798879E-3</v>
      </c>
      <c r="M309" s="858"/>
      <c r="N309" s="858"/>
      <c r="O309" s="323">
        <f t="shared" si="108"/>
        <v>1.0217401799206254E-2</v>
      </c>
      <c r="P309" s="168">
        <f>(INDEX(Models!$BJ309:$BT309,,T309)*(1-R309)+INDEX(Models!$BJ309:$BT309,,T309+1)*R309-ERP_i)*Q309*Ramure*Pc/MaxiM</f>
        <v>8.2816153000478255E-5</v>
      </c>
      <c r="Q309" s="304">
        <f t="shared" si="109"/>
        <v>0.5</v>
      </c>
      <c r="R309" s="176">
        <f t="shared" si="110"/>
        <v>0.83366027650963359</v>
      </c>
      <c r="S309" s="814">
        <f t="shared" si="128"/>
        <v>-1</v>
      </c>
      <c r="T309" s="175">
        <f t="shared" si="111"/>
        <v>5</v>
      </c>
      <c r="U309" s="250">
        <f t="shared" si="112"/>
        <v>-0.16633972349036641</v>
      </c>
      <c r="V309" s="382">
        <f t="shared" si="113"/>
        <v>38.331298050381399</v>
      </c>
      <c r="W309" s="58"/>
      <c r="X309" s="157">
        <f t="shared" si="114"/>
        <v>43395</v>
      </c>
      <c r="Y309" s="384">
        <f t="shared" si="115"/>
        <v>23.1</v>
      </c>
      <c r="Z309" s="384">
        <f t="shared" si="116"/>
        <v>23.173480070862162</v>
      </c>
      <c r="AA309" s="385">
        <f t="shared" si="117"/>
        <v>23.412697003348445</v>
      </c>
      <c r="AB309" s="196">
        <f t="shared" si="118"/>
        <v>43395</v>
      </c>
      <c r="AC309" s="425">
        <f t="shared" si="119"/>
        <v>1.0217401799206254E-2</v>
      </c>
      <c r="AD309" s="168">
        <f>(INDEX(Models!$BJ309:$BT309,,AH309)*(1-AF309)+INDEX(Models!$BJ309:$BT309,,AH309+1)*AF309-ERP_i)*AE309*Ramure*Pc/MaxiM</f>
        <v>8.2816153000478255E-5</v>
      </c>
      <c r="AE309" s="304">
        <f t="shared" si="120"/>
        <v>0.5</v>
      </c>
      <c r="AF309" s="176">
        <f t="shared" si="121"/>
        <v>0.83366027650963359</v>
      </c>
      <c r="AG309" s="814">
        <f t="shared" si="122"/>
        <v>-1</v>
      </c>
      <c r="AH309" s="175">
        <f t="shared" si="123"/>
        <v>5</v>
      </c>
      <c r="AI309" s="224">
        <f t="shared" si="124"/>
        <v>-0.16633972349036641</v>
      </c>
      <c r="AJ309" s="264" t="b">
        <f t="shared" si="125"/>
        <v>0</v>
      </c>
      <c r="AK309" s="264" t="b">
        <f t="shared" si="12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7"/>
        <v>43396</v>
      </c>
      <c r="B310" s="616">
        <v>37.606000000000002</v>
      </c>
      <c r="C310" s="389"/>
      <c r="D310" s="392">
        <f t="shared" si="104"/>
        <v>37.726449316661657</v>
      </c>
      <c r="E310" s="384">
        <f t="shared" si="130"/>
        <v>38.118145461294475</v>
      </c>
      <c r="F310" s="384">
        <f t="shared" si="129"/>
        <v>38.121231488419959</v>
      </c>
      <c r="G310" s="110">
        <f t="shared" si="131"/>
        <v>0.99005998312363841</v>
      </c>
      <c r="I310" s="379">
        <f t="shared" si="105"/>
        <v>38.121231488419959</v>
      </c>
      <c r="J310" s="85">
        <v>2018</v>
      </c>
      <c r="K310" s="196">
        <f t="shared" si="106"/>
        <v>43396</v>
      </c>
      <c r="L310" s="436">
        <f t="shared" si="107"/>
        <v>3.1927021716421367E-3</v>
      </c>
      <c r="M310" s="858"/>
      <c r="N310" s="858"/>
      <c r="O310" s="323">
        <f t="shared" si="108"/>
        <v>1.0275844742513739E-2</v>
      </c>
      <c r="P310" s="168">
        <f>(INDEX(Models!$BJ310:$BT310,,T310)*(1-R310)+INDEX(Models!$BJ310:$BT310,,T310+1)*R310-ERP_i)*Q310*Ramure*Pc/MaxiM</f>
        <v>8.2118931045406464E-5</v>
      </c>
      <c r="Q310" s="304">
        <f t="shared" si="109"/>
        <v>0.5</v>
      </c>
      <c r="R310" s="176">
        <f t="shared" si="110"/>
        <v>0.83370899931872666</v>
      </c>
      <c r="S310" s="814">
        <f t="shared" si="128"/>
        <v>-1</v>
      </c>
      <c r="T310" s="175">
        <f t="shared" si="111"/>
        <v>5</v>
      </c>
      <c r="U310" s="250">
        <f t="shared" si="112"/>
        <v>-0.16629100068127334</v>
      </c>
      <c r="V310" s="382">
        <f t="shared" si="113"/>
        <v>37.983512908870289</v>
      </c>
      <c r="W310" s="58"/>
      <c r="X310" s="157">
        <f t="shared" si="114"/>
        <v>43396</v>
      </c>
      <c r="Y310" s="384">
        <f t="shared" si="115"/>
        <v>37.606000000000002</v>
      </c>
      <c r="Z310" s="384">
        <f t="shared" si="116"/>
        <v>37.726449316661657</v>
      </c>
      <c r="AA310" s="385">
        <f t="shared" si="117"/>
        <v>38.118145461294475</v>
      </c>
      <c r="AB310" s="196">
        <f t="shared" si="118"/>
        <v>43396</v>
      </c>
      <c r="AC310" s="425">
        <f t="shared" si="119"/>
        <v>1.0275844742513739E-2</v>
      </c>
      <c r="AD310" s="168">
        <f>(INDEX(Models!$BJ310:$BT310,,AH310)*(1-AF310)+INDEX(Models!$BJ310:$BT310,,AH310+1)*AF310-ERP_i)*AE310*Ramure*Pc/MaxiM</f>
        <v>8.2118931045406464E-5</v>
      </c>
      <c r="AE310" s="304">
        <f t="shared" si="120"/>
        <v>0.5</v>
      </c>
      <c r="AF310" s="176">
        <f t="shared" si="121"/>
        <v>0.83370899931872666</v>
      </c>
      <c r="AG310" s="814">
        <f t="shared" si="122"/>
        <v>-1</v>
      </c>
      <c r="AH310" s="175">
        <f t="shared" si="123"/>
        <v>5</v>
      </c>
      <c r="AI310" s="224">
        <f t="shared" si="124"/>
        <v>-0.16629100068127334</v>
      </c>
      <c r="AJ310" s="264" t="b">
        <f t="shared" si="125"/>
        <v>0</v>
      </c>
      <c r="AK310" s="264" t="b">
        <f t="shared" si="12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7"/>
        <v>43397</v>
      </c>
      <c r="B311" s="616">
        <v>35.606000000000002</v>
      </c>
      <c r="C311" s="389"/>
      <c r="D311" s="392">
        <f t="shared" si="104"/>
        <v>35.720825838087876</v>
      </c>
      <c r="E311" s="384">
        <f t="shared" si="130"/>
        <v>36.093821006376132</v>
      </c>
      <c r="F311" s="384">
        <f t="shared" si="129"/>
        <v>36.096534017835943</v>
      </c>
      <c r="G311" s="110">
        <f t="shared" si="131"/>
        <v>0.94603829146969043</v>
      </c>
      <c r="I311" s="379">
        <f t="shared" si="105"/>
        <v>36.096534017835943</v>
      </c>
      <c r="J311" s="85">
        <v>2018</v>
      </c>
      <c r="K311" s="196">
        <f t="shared" si="106"/>
        <v>43397</v>
      </c>
      <c r="L311" s="436">
        <f t="shared" si="107"/>
        <v>3.214534809703018E-3</v>
      </c>
      <c r="M311" s="858"/>
      <c r="N311" s="858"/>
      <c r="O311" s="323">
        <f t="shared" si="108"/>
        <v>1.0334044938671384E-2</v>
      </c>
      <c r="P311" s="168">
        <f>(INDEX(Models!$BJ311:$BT311,,T311)*(1-R311)+INDEX(Models!$BJ311:$BT311,,T311+1)*R311-ERP_i)*Q311*Ramure*Pc/MaxiM</f>
        <v>8.1437027435840342E-5</v>
      </c>
      <c r="Q311" s="304">
        <f t="shared" si="109"/>
        <v>0.5</v>
      </c>
      <c r="R311" s="176">
        <f t="shared" si="110"/>
        <v>0.83375577532616219</v>
      </c>
      <c r="S311" s="814">
        <f t="shared" si="128"/>
        <v>-1</v>
      </c>
      <c r="T311" s="175">
        <f t="shared" si="111"/>
        <v>5</v>
      </c>
      <c r="U311" s="250">
        <f t="shared" si="112"/>
        <v>-0.16624422467383776</v>
      </c>
      <c r="V311" s="382">
        <f t="shared" si="113"/>
        <v>37.636718091045672</v>
      </c>
      <c r="W311" s="58"/>
      <c r="X311" s="157">
        <f t="shared" si="114"/>
        <v>43397</v>
      </c>
      <c r="Y311" s="384">
        <f t="shared" si="115"/>
        <v>35.606000000000002</v>
      </c>
      <c r="Z311" s="384">
        <f t="shared" si="116"/>
        <v>35.720825838087876</v>
      </c>
      <c r="AA311" s="385">
        <f t="shared" si="117"/>
        <v>36.093821006376132</v>
      </c>
      <c r="AB311" s="196">
        <f t="shared" si="118"/>
        <v>43397</v>
      </c>
      <c r="AC311" s="425">
        <f t="shared" si="119"/>
        <v>1.0334044938671384E-2</v>
      </c>
      <c r="AD311" s="168">
        <f>(INDEX(Models!$BJ311:$BT311,,AH311)*(1-AF311)+INDEX(Models!$BJ311:$BT311,,AH311+1)*AF311-ERP_i)*AE311*Ramure*Pc/MaxiM</f>
        <v>8.1437027435840342E-5</v>
      </c>
      <c r="AE311" s="304">
        <f t="shared" si="120"/>
        <v>0.5</v>
      </c>
      <c r="AF311" s="176">
        <f t="shared" si="121"/>
        <v>0.83375577532616219</v>
      </c>
      <c r="AG311" s="814">
        <f t="shared" si="122"/>
        <v>-1</v>
      </c>
      <c r="AH311" s="175">
        <f t="shared" si="123"/>
        <v>5</v>
      </c>
      <c r="AI311" s="224">
        <f t="shared" si="124"/>
        <v>-0.16624422467383776</v>
      </c>
      <c r="AJ311" s="264" t="b">
        <f t="shared" si="125"/>
        <v>0</v>
      </c>
      <c r="AK311" s="264" t="b">
        <f t="shared" si="12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7"/>
        <v>43398</v>
      </c>
      <c r="B312" s="616">
        <v>36.725999999999999</v>
      </c>
      <c r="C312" s="389"/>
      <c r="D312" s="392">
        <f t="shared" si="104"/>
        <v>36.845244733039848</v>
      </c>
      <c r="E312" s="384">
        <f t="shared" si="130"/>
        <v>37.232161689955312</v>
      </c>
      <c r="F312" s="384">
        <f t="shared" si="129"/>
        <v>37.235103928768822</v>
      </c>
      <c r="G312" s="110">
        <f t="shared" si="131"/>
        <v>0.98481842166555478</v>
      </c>
      <c r="I312" s="379">
        <f t="shared" si="105"/>
        <v>37.235103928768822</v>
      </c>
      <c r="J312" s="85">
        <v>2018</v>
      </c>
      <c r="K312" s="196">
        <f t="shared" si="106"/>
        <v>43398</v>
      </c>
      <c r="L312" s="436">
        <f t="shared" si="107"/>
        <v>3.23636696957319E-3</v>
      </c>
      <c r="M312" s="858"/>
      <c r="N312" s="858"/>
      <c r="O312" s="323">
        <f t="shared" si="108"/>
        <v>1.0392008934035328E-2</v>
      </c>
      <c r="P312" s="168">
        <f>(INDEX(Models!$BJ312:$BT312,,T312)*(1-R312)+INDEX(Models!$BJ312:$BT312,,T312+1)*R312-ERP_i)*Q312*Ramure*Pc/MaxiM</f>
        <v>8.0769400908725175E-5</v>
      </c>
      <c r="Q312" s="304">
        <f t="shared" si="109"/>
        <v>0.5</v>
      </c>
      <c r="R312" s="176">
        <f t="shared" si="110"/>
        <v>0.83380068174500721</v>
      </c>
      <c r="S312" s="814">
        <f t="shared" si="128"/>
        <v>-1</v>
      </c>
      <c r="T312" s="175">
        <f t="shared" si="111"/>
        <v>5</v>
      </c>
      <c r="U312" s="250">
        <f t="shared" si="112"/>
        <v>-0.16619931825499279</v>
      </c>
      <c r="V312" s="382">
        <f t="shared" si="113"/>
        <v>37.292088430158948</v>
      </c>
      <c r="W312" s="58"/>
      <c r="X312" s="157">
        <f t="shared" si="114"/>
        <v>43398</v>
      </c>
      <c r="Y312" s="384">
        <f t="shared" si="115"/>
        <v>36.725999999999992</v>
      </c>
      <c r="Z312" s="384">
        <f t="shared" si="116"/>
        <v>36.845244733039841</v>
      </c>
      <c r="AA312" s="385">
        <f t="shared" si="117"/>
        <v>37.232161689955305</v>
      </c>
      <c r="AB312" s="196">
        <f t="shared" si="118"/>
        <v>43398</v>
      </c>
      <c r="AC312" s="425">
        <f t="shared" si="119"/>
        <v>1.0392008934035328E-2</v>
      </c>
      <c r="AD312" s="168">
        <f>(INDEX(Models!$BJ312:$BT312,,AH312)*(1-AF312)+INDEX(Models!$BJ312:$BT312,,AH312+1)*AF312-ERP_i)*AE312*Ramure*Pc/MaxiM</f>
        <v>8.0769400908725175E-5</v>
      </c>
      <c r="AE312" s="304">
        <f t="shared" si="120"/>
        <v>0.5</v>
      </c>
      <c r="AF312" s="176">
        <f t="shared" si="121"/>
        <v>0.83380068174500721</v>
      </c>
      <c r="AG312" s="814">
        <f t="shared" si="122"/>
        <v>-1</v>
      </c>
      <c r="AH312" s="175">
        <f t="shared" si="123"/>
        <v>5</v>
      </c>
      <c r="AI312" s="224">
        <f t="shared" si="124"/>
        <v>-0.16619931825499279</v>
      </c>
      <c r="AJ312" s="264" t="b">
        <f t="shared" si="125"/>
        <v>0</v>
      </c>
      <c r="AK312" s="264" t="b">
        <f t="shared" si="12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7"/>
        <v>43399</v>
      </c>
      <c r="B313" s="616">
        <v>3.6949999999999998</v>
      </c>
      <c r="C313" s="389"/>
      <c r="D313" s="392">
        <f t="shared" si="104"/>
        <v>3.7070783978359549</v>
      </c>
      <c r="E313" s="384">
        <f t="shared" si="130"/>
        <v>3.7462254948950844</v>
      </c>
      <c r="F313" s="384">
        <f t="shared" si="129"/>
        <v>3.7462254948950844</v>
      </c>
      <c r="G313" s="110">
        <f t="shared" si="131"/>
        <v>9.9989828045749851E-2</v>
      </c>
      <c r="I313" s="379">
        <f t="shared" si="105"/>
        <v>3.7462254948950844</v>
      </c>
      <c r="J313" s="85">
        <v>2018</v>
      </c>
      <c r="K313" s="196">
        <f t="shared" si="106"/>
        <v>43399</v>
      </c>
      <c r="L313" s="436">
        <f t="shared" si="107"/>
        <v>3.2581986512629779E-3</v>
      </c>
      <c r="M313" s="858"/>
      <c r="N313" s="858"/>
      <c r="O313" s="323">
        <f t="shared" si="108"/>
        <v>1.0449743912232344E-2</v>
      </c>
      <c r="P313" s="168">
        <f>(INDEX(Models!$BJ313:$BT313,,T313)*(1-R313)+INDEX(Models!$BJ313:$BT313,,T313+1)*R313-ERP_i)*Q313*Ramure*Pc/MaxiM</f>
        <v>8.0114337842242353E-5</v>
      </c>
      <c r="Q313" s="304">
        <f t="shared" si="109"/>
        <v>0.5</v>
      </c>
      <c r="R313" s="176">
        <f t="shared" si="110"/>
        <v>0.83384379277114484</v>
      </c>
      <c r="S313" s="814">
        <f t="shared" si="128"/>
        <v>-1</v>
      </c>
      <c r="T313" s="175">
        <f t="shared" si="111"/>
        <v>5</v>
      </c>
      <c r="U313" s="250">
        <f t="shared" si="112"/>
        <v>-0.1661562072288551</v>
      </c>
      <c r="V313" s="382">
        <f t="shared" si="113"/>
        <v>36.95079839352438</v>
      </c>
      <c r="W313" s="58"/>
      <c r="X313" s="157">
        <f t="shared" si="114"/>
        <v>43399</v>
      </c>
      <c r="Y313" s="384">
        <f t="shared" si="115"/>
        <v>3.6949999999999998</v>
      </c>
      <c r="Z313" s="384">
        <f t="shared" si="116"/>
        <v>3.7070783978359549</v>
      </c>
      <c r="AA313" s="385">
        <f t="shared" si="117"/>
        <v>3.7462254948950844</v>
      </c>
      <c r="AB313" s="196">
        <f t="shared" si="118"/>
        <v>43399</v>
      </c>
      <c r="AC313" s="425">
        <f t="shared" si="119"/>
        <v>1.0449743912232344E-2</v>
      </c>
      <c r="AD313" s="168">
        <f>(INDEX(Models!$BJ313:$BT313,,AH313)*(1-AF313)+INDEX(Models!$BJ313:$BT313,,AH313+1)*AF313-ERP_i)*AE313*Ramure*Pc/MaxiM</f>
        <v>8.0114337842242353E-5</v>
      </c>
      <c r="AE313" s="304">
        <f t="shared" si="120"/>
        <v>0.5</v>
      </c>
      <c r="AF313" s="176">
        <f t="shared" si="121"/>
        <v>0.83384379277114484</v>
      </c>
      <c r="AG313" s="814">
        <f t="shared" si="122"/>
        <v>-1</v>
      </c>
      <c r="AH313" s="175">
        <f t="shared" si="123"/>
        <v>5</v>
      </c>
      <c r="AI313" s="224">
        <f t="shared" si="124"/>
        <v>-0.1661562072288551</v>
      </c>
      <c r="AJ313" s="264" t="b">
        <f t="shared" si="125"/>
        <v>0</v>
      </c>
      <c r="AK313" s="264" t="b">
        <f t="shared" si="12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7"/>
        <v>43400</v>
      </c>
      <c r="B314" s="616">
        <v>7.7220000000000004</v>
      </c>
      <c r="C314" s="389"/>
      <c r="D314" s="392">
        <f t="shared" si="104"/>
        <v>7.747411741810434</v>
      </c>
      <c r="E314" s="384">
        <f t="shared" si="130"/>
        <v>7.8296802093059474</v>
      </c>
      <c r="F314" s="384">
        <f t="shared" si="129"/>
        <v>7.8296802093059474</v>
      </c>
      <c r="G314" s="110">
        <f>+Wh_hp/MaxiM</f>
        <v>0.21088604573953892</v>
      </c>
      <c r="I314" s="379">
        <f t="shared" si="105"/>
        <v>7.8296802093059474</v>
      </c>
      <c r="J314" s="85">
        <v>2018</v>
      </c>
      <c r="K314" s="196">
        <f t="shared" si="106"/>
        <v>43400</v>
      </c>
      <c r="L314" s="436">
        <f t="shared" si="107"/>
        <v>3.2800298547829287E-3</v>
      </c>
      <c r="M314" s="858"/>
      <c r="N314" s="858"/>
      <c r="O314" s="323">
        <f t="shared" si="108"/>
        <v>1.0507257677999903E-2</v>
      </c>
      <c r="P314" s="168">
        <f>(INDEX(Models!$BJ314:$BT314,,T314)*(1-R314)+INDEX(Models!$BJ314:$BT314,,T314+1)*R314-ERP_i)*Q314*Ramure*Pc/MaxiM</f>
        <v>7.9470133064921206E-5</v>
      </c>
      <c r="Q314" s="304">
        <f t="shared" si="109"/>
        <v>0.5</v>
      </c>
      <c r="R314" s="176">
        <f t="shared" si="110"/>
        <v>0.83388517969761122</v>
      </c>
      <c r="S314" s="814">
        <f t="shared" si="128"/>
        <v>-1</v>
      </c>
      <c r="T314" s="175">
        <f t="shared" si="111"/>
        <v>5</v>
      </c>
      <c r="U314" s="250">
        <f t="shared" si="112"/>
        <v>-0.16611482030238872</v>
      </c>
      <c r="V314" s="382">
        <f t="shared" si="113"/>
        <v>36.614022063693113</v>
      </c>
      <c r="W314" s="58"/>
      <c r="X314" s="157">
        <f t="shared" si="114"/>
        <v>43400</v>
      </c>
      <c r="Y314" s="384">
        <f t="shared" si="115"/>
        <v>7.7220000000000004</v>
      </c>
      <c r="Z314" s="384">
        <f t="shared" si="116"/>
        <v>7.747411741810434</v>
      </c>
      <c r="AA314" s="385">
        <f t="shared" si="117"/>
        <v>7.8296802093059474</v>
      </c>
      <c r="AB314" s="196">
        <f t="shared" si="118"/>
        <v>43400</v>
      </c>
      <c r="AC314" s="425">
        <f t="shared" si="119"/>
        <v>1.0507257677999903E-2</v>
      </c>
      <c r="AD314" s="168">
        <f>(INDEX(Models!$BJ314:$BT314,,AH314)*(1-AF314)+INDEX(Models!$BJ314:$BT314,,AH314+1)*AF314-ERP_i)*AE314*Ramure*Pc/MaxiM</f>
        <v>7.9470133064921206E-5</v>
      </c>
      <c r="AE314" s="304">
        <f t="shared" si="120"/>
        <v>0.5</v>
      </c>
      <c r="AF314" s="176">
        <f t="shared" si="121"/>
        <v>0.83388517969761122</v>
      </c>
      <c r="AG314" s="814">
        <f t="shared" si="122"/>
        <v>-1</v>
      </c>
      <c r="AH314" s="175">
        <f t="shared" si="123"/>
        <v>5</v>
      </c>
      <c r="AI314" s="224">
        <f t="shared" si="124"/>
        <v>-0.16611482030238872</v>
      </c>
      <c r="AJ314" s="264" t="b">
        <f t="shared" si="125"/>
        <v>0</v>
      </c>
      <c r="AK314" s="264" t="b">
        <f t="shared" si="12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7"/>
        <v>43401</v>
      </c>
      <c r="B315" s="616">
        <v>3.056</v>
      </c>
      <c r="C315" s="389"/>
      <c r="D315" s="392">
        <f t="shared" si="104"/>
        <v>3.06612391368443</v>
      </c>
      <c r="E315" s="384">
        <f t="shared" si="130"/>
        <v>3.0988620232362756</v>
      </c>
      <c r="F315" s="384">
        <f t="shared" si="129"/>
        <v>3.0988620232362756</v>
      </c>
      <c r="G315" s="110">
        <f t="shared" si="131"/>
        <v>8.4220288039570865E-2</v>
      </c>
      <c r="I315" s="379">
        <f t="shared" si="105"/>
        <v>3.0988620232362756</v>
      </c>
      <c r="J315" s="85">
        <v>2018</v>
      </c>
      <c r="K315" s="196">
        <f t="shared" si="106"/>
        <v>43401</v>
      </c>
      <c r="L315" s="436">
        <f t="shared" si="107"/>
        <v>3.3018605801434786E-3</v>
      </c>
      <c r="M315" s="858"/>
      <c r="N315" s="858"/>
      <c r="O315" s="323">
        <f t="shared" si="108"/>
        <v>1.0564558636804252E-2</v>
      </c>
      <c r="P315" s="168">
        <f>(INDEX(Models!$BJ315:$BT315,,T315)*(1-R315)+INDEX(Models!$BJ315:$BT315,,T315+1)*R315-ERP_i)*Q315*Ramure*Pc/MaxiM</f>
        <v>7.8835086247975531E-5</v>
      </c>
      <c r="Q315" s="304">
        <f t="shared" si="109"/>
        <v>0.5</v>
      </c>
      <c r="R315" s="176">
        <f t="shared" si="110"/>
        <v>0.83392491102488053</v>
      </c>
      <c r="S315" s="814">
        <f t="shared" si="128"/>
        <v>-1</v>
      </c>
      <c r="T315" s="175">
        <f t="shared" si="111"/>
        <v>5</v>
      </c>
      <c r="U315" s="250">
        <f t="shared" si="112"/>
        <v>-0.16607508897511947</v>
      </c>
      <c r="V315" s="382">
        <f t="shared" si="113"/>
        <v>36.282933140060969</v>
      </c>
      <c r="W315" s="58"/>
      <c r="X315" s="157">
        <f t="shared" si="114"/>
        <v>43401</v>
      </c>
      <c r="Y315" s="384">
        <f t="shared" si="115"/>
        <v>3.056</v>
      </c>
      <c r="Z315" s="384">
        <f t="shared" si="116"/>
        <v>3.06612391368443</v>
      </c>
      <c r="AA315" s="385">
        <f t="shared" si="117"/>
        <v>3.0988620232362756</v>
      </c>
      <c r="AB315" s="196">
        <f t="shared" si="118"/>
        <v>43401</v>
      </c>
      <c r="AC315" s="425">
        <f t="shared" si="119"/>
        <v>1.0564558636804252E-2</v>
      </c>
      <c r="AD315" s="168">
        <f>(INDEX(Models!$BJ315:$BT315,,AH315)*(1-AF315)+INDEX(Models!$BJ315:$BT315,,AH315+1)*AF315-ERP_i)*AE315*Ramure*Pc/MaxiM</f>
        <v>7.8835086247975531E-5</v>
      </c>
      <c r="AE315" s="304">
        <f t="shared" si="120"/>
        <v>0.5</v>
      </c>
      <c r="AF315" s="176">
        <f t="shared" si="121"/>
        <v>0.83392491102488053</v>
      </c>
      <c r="AG315" s="814">
        <f t="shared" si="122"/>
        <v>-1</v>
      </c>
      <c r="AH315" s="175">
        <f t="shared" si="123"/>
        <v>5</v>
      </c>
      <c r="AI315" s="224">
        <f t="shared" si="124"/>
        <v>-0.16607508897511947</v>
      </c>
      <c r="AJ315" s="264" t="b">
        <f t="shared" si="125"/>
        <v>0</v>
      </c>
      <c r="AK315" s="264" t="b">
        <f t="shared" si="12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7"/>
        <v>43402</v>
      </c>
      <c r="B316" s="616">
        <v>4.6829999999999998</v>
      </c>
      <c r="C316" s="389"/>
      <c r="D316" s="392">
        <f t="shared" si="104"/>
        <v>4.6986167493912081</v>
      </c>
      <c r="E316" s="384">
        <f t="shared" si="130"/>
        <v>4.7490596259708306</v>
      </c>
      <c r="F316" s="384">
        <f t="shared" si="129"/>
        <v>4.7490596259708306</v>
      </c>
      <c r="G316" s="110">
        <f t="shared" si="131"/>
        <v>0.13022253613932008</v>
      </c>
      <c r="I316" s="379">
        <f t="shared" si="105"/>
        <v>4.7490596259708306</v>
      </c>
      <c r="J316" s="85">
        <v>2018</v>
      </c>
      <c r="K316" s="196">
        <f t="shared" si="106"/>
        <v>43402</v>
      </c>
      <c r="L316" s="436">
        <f t="shared" si="107"/>
        <v>3.3236908273550636E-3</v>
      </c>
      <c r="M316" s="858"/>
      <c r="N316" s="858"/>
      <c r="O316" s="323">
        <f t="shared" si="108"/>
        <v>1.0621655770285414E-2</v>
      </c>
      <c r="P316" s="168">
        <f>(INDEX(Models!$BJ316:$BT316,,T316)*(1-R316)+INDEX(Models!$BJ316:$BT316,,T316+1)*R316-ERP_i)*Q316*Ramure*Pc/MaxiM</f>
        <v>7.8207499261270623E-5</v>
      </c>
      <c r="Q316" s="304">
        <f t="shared" si="109"/>
        <v>0.5</v>
      </c>
      <c r="R316" s="176">
        <f t="shared" si="110"/>
        <v>0.83396305256722214</v>
      </c>
      <c r="S316" s="814">
        <f t="shared" si="128"/>
        <v>-1</v>
      </c>
      <c r="T316" s="175">
        <f t="shared" si="111"/>
        <v>5</v>
      </c>
      <c r="U316" s="250">
        <f t="shared" si="112"/>
        <v>-0.1660369474327778</v>
      </c>
      <c r="V316" s="382">
        <f t="shared" si="113"/>
        <v>35.958704945441937</v>
      </c>
      <c r="W316" s="58"/>
      <c r="X316" s="157">
        <f t="shared" si="114"/>
        <v>43402</v>
      </c>
      <c r="Y316" s="384">
        <f t="shared" si="115"/>
        <v>4.6829999999999998</v>
      </c>
      <c r="Z316" s="384">
        <f t="shared" si="116"/>
        <v>4.6986167493912081</v>
      </c>
      <c r="AA316" s="385">
        <f t="shared" si="117"/>
        <v>4.7490596259708306</v>
      </c>
      <c r="AB316" s="196">
        <f t="shared" si="118"/>
        <v>43402</v>
      </c>
      <c r="AC316" s="425">
        <f t="shared" si="119"/>
        <v>1.0621655770285414E-2</v>
      </c>
      <c r="AD316" s="168">
        <f>(INDEX(Models!$BJ316:$BT316,,AH316)*(1-AF316)+INDEX(Models!$BJ316:$BT316,,AH316+1)*AF316-ERP_i)*AE316*Ramure*Pc/MaxiM</f>
        <v>7.8207499261270623E-5</v>
      </c>
      <c r="AE316" s="304">
        <f t="shared" si="120"/>
        <v>0.5</v>
      </c>
      <c r="AF316" s="176">
        <f t="shared" si="121"/>
        <v>0.83396305256722214</v>
      </c>
      <c r="AG316" s="814">
        <f t="shared" si="122"/>
        <v>-1</v>
      </c>
      <c r="AH316" s="175">
        <f t="shared" si="123"/>
        <v>5</v>
      </c>
      <c r="AI316" s="224">
        <f t="shared" si="124"/>
        <v>-0.1660369474327778</v>
      </c>
      <c r="AJ316" s="264" t="b">
        <f t="shared" si="125"/>
        <v>0</v>
      </c>
      <c r="AK316" s="264" t="b">
        <f t="shared" si="12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7"/>
        <v>43403</v>
      </c>
      <c r="B317" s="616">
        <v>31.773</v>
      </c>
      <c r="C317" s="389"/>
      <c r="D317" s="392">
        <f t="shared" si="104"/>
        <v>31.879654039195135</v>
      </c>
      <c r="E317" s="384">
        <f t="shared" si="130"/>
        <v>32.223757320297437</v>
      </c>
      <c r="F317" s="384">
        <f t="shared" si="129"/>
        <v>32.225870251285528</v>
      </c>
      <c r="G317" s="110">
        <f t="shared" si="131"/>
        <v>0.89149828567288136</v>
      </c>
      <c r="I317" s="379">
        <f t="shared" si="105"/>
        <v>32.225870251285528</v>
      </c>
      <c r="J317" s="85">
        <v>2018</v>
      </c>
      <c r="K317" s="196">
        <f t="shared" si="106"/>
        <v>43403</v>
      </c>
      <c r="L317" s="436">
        <f t="shared" si="107"/>
        <v>3.3455205964282309E-3</v>
      </c>
      <c r="M317" s="858"/>
      <c r="N317" s="858"/>
      <c r="O317" s="323">
        <f t="shared" si="108"/>
        <v>1.0678558607613327E-2</v>
      </c>
      <c r="P317" s="168">
        <f>(INDEX(Models!$BJ317:$BT317,,T317)*(1-R317)+INDEX(Models!$BJ317:$BT317,,T317+1)*R317-ERP_i)*Q317*Ramure*Pc/MaxiM</f>
        <v>7.7592069600439736E-5</v>
      </c>
      <c r="Q317" s="304">
        <f t="shared" si="109"/>
        <v>0.5</v>
      </c>
      <c r="R317" s="176">
        <f t="shared" si="110"/>
        <v>0.8339996675552479</v>
      </c>
      <c r="S317" s="814">
        <f t="shared" si="128"/>
        <v>-1</v>
      </c>
      <c r="T317" s="175">
        <f t="shared" si="111"/>
        <v>5</v>
      </c>
      <c r="U317" s="250">
        <f t="shared" si="112"/>
        <v>-0.16600033244475215</v>
      </c>
      <c r="V317" s="382">
        <f t="shared" si="113"/>
        <v>35.639572605683441</v>
      </c>
      <c r="W317" s="58"/>
      <c r="X317" s="157">
        <f t="shared" si="114"/>
        <v>43403</v>
      </c>
      <c r="Y317" s="384">
        <f t="shared" si="115"/>
        <v>31.772999999999996</v>
      </c>
      <c r="Z317" s="384">
        <f t="shared" si="116"/>
        <v>31.879654039195131</v>
      </c>
      <c r="AA317" s="385">
        <f t="shared" si="117"/>
        <v>32.223757320297437</v>
      </c>
      <c r="AB317" s="196">
        <f t="shared" si="118"/>
        <v>43403</v>
      </c>
      <c r="AC317" s="425">
        <f t="shared" si="119"/>
        <v>1.0678558607613327E-2</v>
      </c>
      <c r="AD317" s="168">
        <f>(INDEX(Models!$BJ317:$BT317,,AH317)*(1-AF317)+INDEX(Models!$BJ317:$BT317,,AH317+1)*AF317-ERP_i)*AE317*Ramure*Pc/MaxiM</f>
        <v>7.7592069600439736E-5</v>
      </c>
      <c r="AE317" s="304">
        <f t="shared" si="120"/>
        <v>0.5</v>
      </c>
      <c r="AF317" s="176">
        <f t="shared" si="121"/>
        <v>0.8339996675552479</v>
      </c>
      <c r="AG317" s="814">
        <f t="shared" si="122"/>
        <v>-1</v>
      </c>
      <c r="AH317" s="175">
        <f t="shared" si="123"/>
        <v>5</v>
      </c>
      <c r="AI317" s="224">
        <f t="shared" si="124"/>
        <v>-0.16600033244475215</v>
      </c>
      <c r="AJ317" s="264" t="b">
        <f t="shared" si="125"/>
        <v>0</v>
      </c>
      <c r="AK317" s="264" t="b">
        <f t="shared" si="12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7"/>
        <v>43404</v>
      </c>
      <c r="B318" s="616">
        <v>12.034000000000001</v>
      </c>
      <c r="C318" s="389"/>
      <c r="D318" s="392">
        <f t="shared" si="104"/>
        <v>12.074659603656446</v>
      </c>
      <c r="E318" s="384">
        <f t="shared" si="130"/>
        <v>12.205691080738783</v>
      </c>
      <c r="F318" s="384">
        <f t="shared" si="129"/>
        <v>12.205745840358118</v>
      </c>
      <c r="G318" s="110">
        <f t="shared" si="131"/>
        <v>0.34065994844219466</v>
      </c>
      <c r="I318" s="379">
        <f t="shared" si="105"/>
        <v>12.205745840358118</v>
      </c>
      <c r="J318" s="85">
        <v>2018</v>
      </c>
      <c r="K318" s="196">
        <f t="shared" si="106"/>
        <v>43404</v>
      </c>
      <c r="L318" s="436">
        <f t="shared" si="107"/>
        <v>3.3673498873735275E-3</v>
      </c>
      <c r="M318" s="858"/>
      <c r="N318" s="858"/>
      <c r="O318" s="323">
        <f t="shared" si="108"/>
        <v>1.0735277192875271E-2</v>
      </c>
      <c r="P318" s="168">
        <f>(INDEX(Models!$BJ318:$BT318,,T318)*(1-R318)+INDEX(Models!$BJ318:$BT318,,T318+1)*R318-ERP_i)*Q318*Ramure*Pc/MaxiM</f>
        <v>7.7190318236164564E-5</v>
      </c>
      <c r="Q318" s="304">
        <f t="shared" si="109"/>
        <v>0.5</v>
      </c>
      <c r="R318" s="176">
        <f t="shared" si="110"/>
        <v>0.83403481673476443</v>
      </c>
      <c r="S318" s="814">
        <f t="shared" si="128"/>
        <v>-1</v>
      </c>
      <c r="T318" s="175">
        <f t="shared" si="111"/>
        <v>5</v>
      </c>
      <c r="U318" s="250">
        <f t="shared" si="112"/>
        <v>-0.16596518326523563</v>
      </c>
      <c r="V318" s="382">
        <f t="shared" si="113"/>
        <v>35.322981559509984</v>
      </c>
      <c r="W318" s="58"/>
      <c r="X318" s="157">
        <f t="shared" si="114"/>
        <v>43404</v>
      </c>
      <c r="Y318" s="384">
        <f t="shared" si="115"/>
        <v>12.034000000000001</v>
      </c>
      <c r="Z318" s="384">
        <f t="shared" si="116"/>
        <v>12.074659603656446</v>
      </c>
      <c r="AA318" s="385">
        <f t="shared" si="117"/>
        <v>12.205691080738783</v>
      </c>
      <c r="AB318" s="196">
        <f t="shared" si="118"/>
        <v>43404</v>
      </c>
      <c r="AC318" s="425">
        <f t="shared" si="119"/>
        <v>1.0735277192875271E-2</v>
      </c>
      <c r="AD318" s="168">
        <f>(INDEX(Models!$BJ318:$BT318,,AH318)*(1-AF318)+INDEX(Models!$BJ318:$BT318,,AH318+1)*AF318-ERP_i)*AE318*Ramure*Pc/MaxiM</f>
        <v>7.7190318236164564E-5</v>
      </c>
      <c r="AE318" s="304">
        <f t="shared" si="120"/>
        <v>0.5</v>
      </c>
      <c r="AF318" s="176">
        <f t="shared" si="121"/>
        <v>0.83403481673476443</v>
      </c>
      <c r="AG318" s="814">
        <f t="shared" si="122"/>
        <v>-1</v>
      </c>
      <c r="AH318" s="175">
        <f t="shared" si="123"/>
        <v>5</v>
      </c>
      <c r="AI318" s="224">
        <f t="shared" si="124"/>
        <v>-0.16596518326523563</v>
      </c>
      <c r="AJ318" s="264" t="b">
        <f t="shared" si="125"/>
        <v>0</v>
      </c>
      <c r="AK318" s="264" t="b">
        <f t="shared" si="12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7"/>
        <v>43405</v>
      </c>
      <c r="B319" s="616">
        <v>24.353999999999999</v>
      </c>
      <c r="C319" s="389"/>
      <c r="D319" s="392">
        <f t="shared" si="104"/>
        <v>24.436820752394652</v>
      </c>
      <c r="E319" s="384">
        <f t="shared" si="130"/>
        <v>24.703415617735093</v>
      </c>
      <c r="F319" s="384">
        <f t="shared" si="129"/>
        <v>24.704492111184788</v>
      </c>
      <c r="G319" s="110">
        <f t="shared" si="131"/>
        <v>0.69562780890342213</v>
      </c>
      <c r="I319" s="379">
        <f t="shared" si="105"/>
        <v>24.704492111184788</v>
      </c>
      <c r="J319" s="85">
        <v>2018</v>
      </c>
      <c r="K319" s="196">
        <f t="shared" si="106"/>
        <v>43405</v>
      </c>
      <c r="L319" s="436">
        <f t="shared" si="107"/>
        <v>3.3891787002012785E-3</v>
      </c>
      <c r="M319" s="858"/>
      <c r="N319" s="858"/>
      <c r="O319" s="323">
        <f t="shared" si="108"/>
        <v>1.0791822048650063E-2</v>
      </c>
      <c r="P319" s="168">
        <f>(INDEX(Models!$BJ319:$BT319,,T319)*(1-R319)+INDEX(Models!$BJ319:$BT319,,T319+1)*R319-ERP_i)*Q319*Ramure*Pc/MaxiM</f>
        <v>7.7094091307859986E-5</v>
      </c>
      <c r="Q319" s="304">
        <f t="shared" si="109"/>
        <v>0.5</v>
      </c>
      <c r="R319" s="176">
        <f t="shared" si="110"/>
        <v>0.8340685584620493</v>
      </c>
      <c r="S319" s="814">
        <f t="shared" si="128"/>
        <v>-1</v>
      </c>
      <c r="T319" s="175">
        <f t="shared" si="111"/>
        <v>5</v>
      </c>
      <c r="U319" s="250">
        <f t="shared" si="112"/>
        <v>-0.16593144153795064</v>
      </c>
      <c r="V319" s="382">
        <f t="shared" si="113"/>
        <v>35.008927653627524</v>
      </c>
      <c r="W319" s="58"/>
      <c r="X319" s="157">
        <f t="shared" si="114"/>
        <v>43405</v>
      </c>
      <c r="Y319" s="384">
        <f t="shared" si="115"/>
        <v>24.353999999999999</v>
      </c>
      <c r="Z319" s="384">
        <f t="shared" si="116"/>
        <v>24.436820752394652</v>
      </c>
      <c r="AA319" s="385">
        <f t="shared" si="117"/>
        <v>24.703415617735093</v>
      </c>
      <c r="AB319" s="196">
        <f t="shared" si="118"/>
        <v>43405</v>
      </c>
      <c r="AC319" s="425">
        <f t="shared" si="119"/>
        <v>1.0791822048650063E-2</v>
      </c>
      <c r="AD319" s="168">
        <f>(INDEX(Models!$BJ319:$BT319,,AH319)*(1-AF319)+INDEX(Models!$BJ319:$BT319,,AH319+1)*AF319-ERP_i)*AE319*Ramure*Pc/MaxiM</f>
        <v>7.7094091307859986E-5</v>
      </c>
      <c r="AE319" s="304">
        <f t="shared" si="120"/>
        <v>0.5</v>
      </c>
      <c r="AF319" s="176">
        <f t="shared" si="121"/>
        <v>0.8340685584620493</v>
      </c>
      <c r="AG319" s="814">
        <f t="shared" si="122"/>
        <v>-1</v>
      </c>
      <c r="AH319" s="175">
        <f t="shared" si="123"/>
        <v>5</v>
      </c>
      <c r="AI319" s="224">
        <f t="shared" si="124"/>
        <v>-0.16593144153795064</v>
      </c>
      <c r="AJ319" s="264" t="b">
        <f t="shared" si="125"/>
        <v>0</v>
      </c>
      <c r="AK319" s="264" t="b">
        <f t="shared" si="12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7"/>
        <v>43406</v>
      </c>
      <c r="B320" s="616">
        <v>8.1259999999999994</v>
      </c>
      <c r="C320" s="389"/>
      <c r="D320" s="392">
        <f t="shared" si="104"/>
        <v>8.1538127125238535</v>
      </c>
      <c r="E320" s="384">
        <f t="shared" si="130"/>
        <v>8.2432370305725993</v>
      </c>
      <c r="F320" s="384">
        <f t="shared" si="129"/>
        <v>8.2432370305725993</v>
      </c>
      <c r="G320" s="110">
        <f t="shared" si="131"/>
        <v>0.23417805031199748</v>
      </c>
      <c r="I320" s="379">
        <f t="shared" si="105"/>
        <v>8.2432370305725993</v>
      </c>
      <c r="J320" s="85">
        <v>2018</v>
      </c>
      <c r="K320" s="196">
        <f t="shared" si="106"/>
        <v>43406</v>
      </c>
      <c r="L320" s="436">
        <f t="shared" si="107"/>
        <v>3.4110070349219201E-3</v>
      </c>
      <c r="M320" s="858"/>
      <c r="N320" s="858"/>
      <c r="O320" s="323">
        <f t="shared" si="108"/>
        <v>1.0848204135958679E-2</v>
      </c>
      <c r="P320" s="168">
        <f>(INDEX(Models!$BJ320:$BT320,,T320)*(1-R320)+INDEX(Models!$BJ320:$BT320,,T320+1)*R320-ERP_i)*Q320*Ramure*Pc/MaxiM</f>
        <v>7.7306012123203992E-5</v>
      </c>
      <c r="Q320" s="304">
        <f t="shared" si="109"/>
        <v>0.5</v>
      </c>
      <c r="R320" s="176">
        <f t="shared" si="110"/>
        <v>0.83410094879566188</v>
      </c>
      <c r="S320" s="814">
        <f t="shared" si="128"/>
        <v>-1</v>
      </c>
      <c r="T320" s="175">
        <f t="shared" si="111"/>
        <v>5</v>
      </c>
      <c r="U320" s="250">
        <f t="shared" si="112"/>
        <v>-0.16589905120433818</v>
      </c>
      <c r="V320" s="382">
        <f t="shared" si="113"/>
        <v>34.697409943075286</v>
      </c>
      <c r="W320" s="58"/>
      <c r="X320" s="157">
        <f t="shared" si="114"/>
        <v>43406</v>
      </c>
      <c r="Y320" s="384">
        <f t="shared" si="115"/>
        <v>8.1259999999999994</v>
      </c>
      <c r="Z320" s="384">
        <f t="shared" si="116"/>
        <v>8.1538127125238535</v>
      </c>
      <c r="AA320" s="385">
        <f t="shared" si="117"/>
        <v>8.2432370305725993</v>
      </c>
      <c r="AB320" s="196">
        <f t="shared" si="118"/>
        <v>43406</v>
      </c>
      <c r="AC320" s="425">
        <f t="shared" si="119"/>
        <v>1.0848204135958679E-2</v>
      </c>
      <c r="AD320" s="168">
        <f>(INDEX(Models!$BJ320:$BT320,,AH320)*(1-AF320)+INDEX(Models!$BJ320:$BT320,,AH320+1)*AF320-ERP_i)*AE320*Ramure*Pc/MaxiM</f>
        <v>7.7306012123203992E-5</v>
      </c>
      <c r="AE320" s="304">
        <f t="shared" si="120"/>
        <v>0.5</v>
      </c>
      <c r="AF320" s="176">
        <f t="shared" si="121"/>
        <v>0.83410094879566188</v>
      </c>
      <c r="AG320" s="814">
        <f t="shared" si="122"/>
        <v>-1</v>
      </c>
      <c r="AH320" s="175">
        <f t="shared" si="123"/>
        <v>5</v>
      </c>
      <c r="AI320" s="224">
        <f t="shared" si="124"/>
        <v>-0.16589905120433818</v>
      </c>
      <c r="AJ320" s="264" t="b">
        <f t="shared" si="125"/>
        <v>0</v>
      </c>
      <c r="AK320" s="264" t="b">
        <f t="shared" si="12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7"/>
        <v>43407</v>
      </c>
      <c r="B321" s="616">
        <v>28.335999999999999</v>
      </c>
      <c r="C321" s="389"/>
      <c r="D321" s="392">
        <f t="shared" si="104"/>
        <v>28.433607881227214</v>
      </c>
      <c r="E321" s="384">
        <f t="shared" si="130"/>
        <v>28.747078525004493</v>
      </c>
      <c r="F321" s="384">
        <f t="shared" si="129"/>
        <v>28.748753429905516</v>
      </c>
      <c r="G321" s="110">
        <f t="shared" si="131"/>
        <v>0.82398200629770757</v>
      </c>
      <c r="I321" s="379">
        <f t="shared" si="105"/>
        <v>28.748753429905516</v>
      </c>
      <c r="J321" s="85">
        <v>2018</v>
      </c>
      <c r="K321" s="196">
        <f t="shared" si="106"/>
        <v>43407</v>
      </c>
      <c r="L321" s="436">
        <f t="shared" si="107"/>
        <v>3.4328348915461104E-3</v>
      </c>
      <c r="M321" s="858"/>
      <c r="N321" s="858"/>
      <c r="O321" s="323">
        <f t="shared" si="108"/>
        <v>1.0904434810814547E-2</v>
      </c>
      <c r="P321" s="168">
        <f>(INDEX(Models!$BJ321:$BT321,,T321)*(1-R321)+INDEX(Models!$BJ321:$BT321,,T321+1)*R321-ERP_i)*Q321*Ramure*Pc/MaxiM</f>
        <v>7.7828639156992443E-5</v>
      </c>
      <c r="Q321" s="304">
        <f t="shared" si="109"/>
        <v>0.5</v>
      </c>
      <c r="R321" s="176">
        <f t="shared" si="110"/>
        <v>0.83413204158489784</v>
      </c>
      <c r="S321" s="814">
        <f t="shared" si="128"/>
        <v>-1</v>
      </c>
      <c r="T321" s="175">
        <f t="shared" si="111"/>
        <v>5</v>
      </c>
      <c r="U321" s="250">
        <f t="shared" si="112"/>
        <v>-0.16586795841510221</v>
      </c>
      <c r="V321" s="382">
        <f t="shared" si="113"/>
        <v>34.388427485862238</v>
      </c>
      <c r="W321" s="58"/>
      <c r="X321" s="157">
        <f t="shared" si="114"/>
        <v>43407</v>
      </c>
      <c r="Y321" s="384">
        <f t="shared" si="115"/>
        <v>28.335999999999999</v>
      </c>
      <c r="Z321" s="384">
        <f t="shared" si="116"/>
        <v>28.433607881227214</v>
      </c>
      <c r="AA321" s="385">
        <f t="shared" si="117"/>
        <v>28.747078525004493</v>
      </c>
      <c r="AB321" s="196">
        <f t="shared" si="118"/>
        <v>43407</v>
      </c>
      <c r="AC321" s="425">
        <f t="shared" si="119"/>
        <v>1.0904434810814547E-2</v>
      </c>
      <c r="AD321" s="168">
        <f>(INDEX(Models!$BJ321:$BT321,,AH321)*(1-AF321)+INDEX(Models!$BJ321:$BT321,,AH321+1)*AF321-ERP_i)*AE321*Ramure*Pc/MaxiM</f>
        <v>7.7828639156992443E-5</v>
      </c>
      <c r="AE321" s="304">
        <f t="shared" si="120"/>
        <v>0.5</v>
      </c>
      <c r="AF321" s="176">
        <f t="shared" si="121"/>
        <v>0.83413204158489784</v>
      </c>
      <c r="AG321" s="814">
        <f t="shared" si="122"/>
        <v>-1</v>
      </c>
      <c r="AH321" s="175">
        <f t="shared" si="123"/>
        <v>5</v>
      </c>
      <c r="AI321" s="224">
        <f t="shared" si="124"/>
        <v>-0.16586795841510221</v>
      </c>
      <c r="AJ321" s="264" t="b">
        <f t="shared" si="125"/>
        <v>0</v>
      </c>
      <c r="AK321" s="264" t="b">
        <f t="shared" si="12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7"/>
        <v>43408</v>
      </c>
      <c r="B322" s="616">
        <v>21.998000000000001</v>
      </c>
      <c r="C322" s="389"/>
      <c r="D322" s="392">
        <f t="shared" si="104"/>
        <v>22.074259110087684</v>
      </c>
      <c r="E322" s="384">
        <f t="shared" si="130"/>
        <v>22.318885833594745</v>
      </c>
      <c r="F322" s="384">
        <f t="shared" si="129"/>
        <v>22.319752291324583</v>
      </c>
      <c r="G322" s="110">
        <f t="shared" si="131"/>
        <v>0.64541801547367827</v>
      </c>
      <c r="I322" s="379">
        <f t="shared" si="105"/>
        <v>22.319752291324583</v>
      </c>
      <c r="J322" s="85">
        <v>2018</v>
      </c>
      <c r="K322" s="196">
        <f t="shared" si="106"/>
        <v>43408</v>
      </c>
      <c r="L322" s="436">
        <f t="shared" si="107"/>
        <v>3.4546622700841745E-3</v>
      </c>
      <c r="M322" s="858"/>
      <c r="N322" s="858"/>
      <c r="O322" s="323">
        <f t="shared" si="108"/>
        <v>1.0960525777628381E-2</v>
      </c>
      <c r="P322" s="168">
        <f>(INDEX(Models!$BJ322:$BT322,,T322)*(1-R322)+INDEX(Models!$BJ322:$BT322,,T322+1)*R322-ERP_i)*Q322*Ramure*Pc/MaxiM</f>
        <v>7.8664489939584309E-5</v>
      </c>
      <c r="Q322" s="304">
        <f t="shared" si="109"/>
        <v>0.5</v>
      </c>
      <c r="R322" s="176">
        <f t="shared" si="110"/>
        <v>0.83416188855500117</v>
      </c>
      <c r="S322" s="814">
        <f t="shared" si="128"/>
        <v>-1</v>
      </c>
      <c r="T322" s="175">
        <f t="shared" si="111"/>
        <v>5</v>
      </c>
      <c r="U322" s="250">
        <f t="shared" si="112"/>
        <v>-0.16583811144499883</v>
      </c>
      <c r="V322" s="382">
        <f t="shared" si="113"/>
        <v>34.081979344214602</v>
      </c>
      <c r="W322" s="58"/>
      <c r="X322" s="157">
        <f t="shared" si="114"/>
        <v>43408</v>
      </c>
      <c r="Y322" s="384">
        <f t="shared" si="115"/>
        <v>21.998000000000001</v>
      </c>
      <c r="Z322" s="384">
        <f t="shared" si="116"/>
        <v>22.074259110087684</v>
      </c>
      <c r="AA322" s="385">
        <f t="shared" si="117"/>
        <v>22.318885833594745</v>
      </c>
      <c r="AB322" s="196">
        <f t="shared" si="118"/>
        <v>43408</v>
      </c>
      <c r="AC322" s="425">
        <f t="shared" si="119"/>
        <v>1.0960525777628381E-2</v>
      </c>
      <c r="AD322" s="168">
        <f>(INDEX(Models!$BJ322:$BT322,,AH322)*(1-AF322)+INDEX(Models!$BJ322:$BT322,,AH322+1)*AF322-ERP_i)*AE322*Ramure*Pc/MaxiM</f>
        <v>7.8664489939584309E-5</v>
      </c>
      <c r="AE322" s="304">
        <f t="shared" si="120"/>
        <v>0.5</v>
      </c>
      <c r="AF322" s="176">
        <f t="shared" si="121"/>
        <v>0.83416188855500117</v>
      </c>
      <c r="AG322" s="814">
        <f t="shared" si="122"/>
        <v>-1</v>
      </c>
      <c r="AH322" s="175">
        <f t="shared" si="123"/>
        <v>5</v>
      </c>
      <c r="AI322" s="224">
        <f t="shared" si="124"/>
        <v>-0.16583811144499883</v>
      </c>
      <c r="AJ322" s="264" t="b">
        <f t="shared" si="125"/>
        <v>0</v>
      </c>
      <c r="AK322" s="264" t="b">
        <f t="shared" si="12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7"/>
        <v>43409</v>
      </c>
      <c r="B323" s="616">
        <v>11.375</v>
      </c>
      <c r="C323" s="389"/>
      <c r="D323" s="392">
        <f t="shared" si="104"/>
        <v>11.414683021910896</v>
      </c>
      <c r="E323" s="384">
        <f t="shared" si="130"/>
        <v>11.541833504208659</v>
      </c>
      <c r="F323" s="384">
        <f t="shared" si="129"/>
        <v>11.54188187788251</v>
      </c>
      <c r="G323" s="110">
        <f t="shared" si="131"/>
        <v>0.33673154167216535</v>
      </c>
      <c r="I323" s="379">
        <f t="shared" si="105"/>
        <v>11.54188187788251</v>
      </c>
      <c r="J323" s="85">
        <v>2018</v>
      </c>
      <c r="K323" s="196">
        <f t="shared" si="106"/>
        <v>43409</v>
      </c>
      <c r="L323" s="436">
        <f t="shared" si="107"/>
        <v>3.4764891705466594E-3</v>
      </c>
      <c r="M323" s="858"/>
      <c r="N323" s="858"/>
      <c r="O323" s="323">
        <f t="shared" si="108"/>
        <v>1.1016489039752525E-2</v>
      </c>
      <c r="P323" s="168">
        <f>(INDEX(Models!$BJ323:$BT323,,T323)*(1-R323)+INDEX(Models!$BJ323:$BT323,,T323+1)*R323-ERP_i)*Q323*Ramure*Pc/MaxiM</f>
        <v>7.9816066704895415E-5</v>
      </c>
      <c r="Q323" s="304">
        <f t="shared" si="109"/>
        <v>0.5</v>
      </c>
      <c r="R323" s="176">
        <f t="shared" si="110"/>
        <v>0.83419053938923482</v>
      </c>
      <c r="S323" s="814">
        <f t="shared" si="128"/>
        <v>-1</v>
      </c>
      <c r="T323" s="175">
        <f t="shared" si="111"/>
        <v>5</v>
      </c>
      <c r="U323" s="250">
        <f t="shared" si="112"/>
        <v>-0.16580946061076518</v>
      </c>
      <c r="V323" s="382">
        <f t="shared" si="113"/>
        <v>33.778064586410387</v>
      </c>
      <c r="W323" s="58"/>
      <c r="X323" s="157">
        <f t="shared" si="114"/>
        <v>43409</v>
      </c>
      <c r="Y323" s="384">
        <f t="shared" si="115"/>
        <v>11.375</v>
      </c>
      <c r="Z323" s="384">
        <f t="shared" si="116"/>
        <v>11.414683021910896</v>
      </c>
      <c r="AA323" s="385">
        <f t="shared" si="117"/>
        <v>11.541833504208659</v>
      </c>
      <c r="AB323" s="196">
        <f t="shared" si="118"/>
        <v>43409</v>
      </c>
      <c r="AC323" s="425">
        <f t="shared" si="119"/>
        <v>1.1016489039752525E-2</v>
      </c>
      <c r="AD323" s="168">
        <f>(INDEX(Models!$BJ323:$BT323,,AH323)*(1-AF323)+INDEX(Models!$BJ323:$BT323,,AH323+1)*AF323-ERP_i)*AE323*Ramure*Pc/MaxiM</f>
        <v>7.9816066704895415E-5</v>
      </c>
      <c r="AE323" s="304">
        <f t="shared" si="120"/>
        <v>0.5</v>
      </c>
      <c r="AF323" s="176">
        <f t="shared" si="121"/>
        <v>0.83419053938923482</v>
      </c>
      <c r="AG323" s="814">
        <f t="shared" si="122"/>
        <v>-1</v>
      </c>
      <c r="AH323" s="175">
        <f t="shared" si="123"/>
        <v>5</v>
      </c>
      <c r="AI323" s="224">
        <f t="shared" si="124"/>
        <v>-0.16580946061076518</v>
      </c>
      <c r="AJ323" s="264" t="b">
        <f t="shared" si="125"/>
        <v>0</v>
      </c>
      <c r="AK323" s="264" t="b">
        <f t="shared" si="12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7"/>
        <v>43410</v>
      </c>
      <c r="B324" s="616">
        <v>23.542999999999999</v>
      </c>
      <c r="C324" s="389"/>
      <c r="D324" s="392">
        <f t="shared" si="104"/>
        <v>23.625649979717483</v>
      </c>
      <c r="E324" s="384">
        <f t="shared" si="130"/>
        <v>23.890169989181203</v>
      </c>
      <c r="F324" s="384">
        <f t="shared" si="129"/>
        <v>23.891288220345345</v>
      </c>
      <c r="G324" s="110">
        <f t="shared" si="131"/>
        <v>0.70324137789598851</v>
      </c>
      <c r="I324" s="379">
        <f t="shared" si="105"/>
        <v>23.891288220345345</v>
      </c>
      <c r="J324" s="85">
        <v>2018</v>
      </c>
      <c r="K324" s="196">
        <f t="shared" si="106"/>
        <v>43410</v>
      </c>
      <c r="L324" s="436">
        <f t="shared" si="107"/>
        <v>3.4983155929440013E-3</v>
      </c>
      <c r="M324" s="858"/>
      <c r="N324" s="858"/>
      <c r="O324" s="323">
        <f t="shared" si="108"/>
        <v>1.1072336847477741E-2</v>
      </c>
      <c r="P324" s="168">
        <f>(INDEX(Models!$BJ324:$BT324,,T324)*(1-R324)+INDEX(Models!$BJ324:$BT324,,T324+1)*R324-ERP_i)*Q324*Ramure*Pc/MaxiM</f>
        <v>8.1245419872868121E-5</v>
      </c>
      <c r="Q324" s="304">
        <f t="shared" si="109"/>
        <v>0.5</v>
      </c>
      <c r="R324" s="176">
        <f t="shared" si="110"/>
        <v>0.83421804180791637</v>
      </c>
      <c r="S324" s="814">
        <f t="shared" si="128"/>
        <v>-1</v>
      </c>
      <c r="T324" s="175">
        <f t="shared" si="111"/>
        <v>5</v>
      </c>
      <c r="U324" s="250">
        <f t="shared" si="112"/>
        <v>-0.16578195819208363</v>
      </c>
      <c r="V324" s="382">
        <f t="shared" si="113"/>
        <v>33.476683640409505</v>
      </c>
      <c r="W324" s="58"/>
      <c r="X324" s="157">
        <f t="shared" si="114"/>
        <v>43410</v>
      </c>
      <c r="Y324" s="384">
        <f t="shared" si="115"/>
        <v>23.542999999999999</v>
      </c>
      <c r="Z324" s="384">
        <f t="shared" si="116"/>
        <v>23.625649979717483</v>
      </c>
      <c r="AA324" s="385">
        <f t="shared" si="117"/>
        <v>23.890169989181203</v>
      </c>
      <c r="AB324" s="196">
        <f t="shared" si="118"/>
        <v>43410</v>
      </c>
      <c r="AC324" s="425">
        <f t="shared" si="119"/>
        <v>1.1072336847477741E-2</v>
      </c>
      <c r="AD324" s="168">
        <f>(INDEX(Models!$BJ324:$BT324,,AH324)*(1-AF324)+INDEX(Models!$BJ324:$BT324,,AH324+1)*AF324-ERP_i)*AE324*Ramure*Pc/MaxiM</f>
        <v>8.1245419872868121E-5</v>
      </c>
      <c r="AE324" s="304">
        <f t="shared" si="120"/>
        <v>0.5</v>
      </c>
      <c r="AF324" s="176">
        <f t="shared" si="121"/>
        <v>0.83421804180791637</v>
      </c>
      <c r="AG324" s="814">
        <f t="shared" si="122"/>
        <v>-1</v>
      </c>
      <c r="AH324" s="175">
        <f t="shared" si="123"/>
        <v>5</v>
      </c>
      <c r="AI324" s="224">
        <f t="shared" si="124"/>
        <v>-0.16578195819208363</v>
      </c>
      <c r="AJ324" s="264" t="b">
        <f t="shared" si="125"/>
        <v>0</v>
      </c>
      <c r="AK324" s="264" t="b">
        <f t="shared" si="12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7"/>
        <v>43411</v>
      </c>
      <c r="B325" s="616">
        <v>11.414</v>
      </c>
      <c r="C325" s="389"/>
      <c r="D325" s="392">
        <f t="shared" si="104"/>
        <v>11.454320830536981</v>
      </c>
      <c r="E325" s="384">
        <f t="shared" si="130"/>
        <v>11.583219846689264</v>
      </c>
      <c r="F325" s="384">
        <f t="shared" ref="F325:F356" si="132">Wh_sa/(1-Pvg*MEDIAN((-Sdif+Wh/Env_an)/Csdif,0,1))</f>
        <v>11.583280193183116</v>
      </c>
      <c r="G325" s="110">
        <f t="shared" si="131"/>
        <v>0.34399810659178154</v>
      </c>
      <c r="I325" s="379">
        <f t="shared" si="105"/>
        <v>11.583280193183116</v>
      </c>
      <c r="J325" s="85">
        <v>2018</v>
      </c>
      <c r="K325" s="196">
        <f t="shared" si="106"/>
        <v>43411</v>
      </c>
      <c r="L325" s="436">
        <f t="shared" si="107"/>
        <v>3.5201415372866363E-3</v>
      </c>
      <c r="M325" s="858"/>
      <c r="N325" s="858"/>
      <c r="O325" s="323">
        <f t="shared" si="108"/>
        <v>1.1128081643820826E-2</v>
      </c>
      <c r="P325" s="168">
        <f>(INDEX(Models!$BJ325:$BT325,,T325)*(1-R325)+INDEX(Models!$BJ325:$BT325,,T325+1)*R325-ERP_i)*Q325*Ramure*Pc/MaxiM</f>
        <v>8.2836360357678353E-5</v>
      </c>
      <c r="Q325" s="304">
        <f t="shared" si="109"/>
        <v>0.5</v>
      </c>
      <c r="R325" s="176">
        <f t="shared" si="110"/>
        <v>0.83424444164451894</v>
      </c>
      <c r="S325" s="814">
        <f t="shared" si="128"/>
        <v>-1</v>
      </c>
      <c r="T325" s="175">
        <f t="shared" si="111"/>
        <v>5</v>
      </c>
      <c r="U325" s="250">
        <f t="shared" si="112"/>
        <v>-0.165755558355481</v>
      </c>
      <c r="V325" s="382">
        <f t="shared" si="113"/>
        <v>33.177839491104201</v>
      </c>
      <c r="W325" s="58"/>
      <c r="X325" s="157">
        <f t="shared" si="114"/>
        <v>43411</v>
      </c>
      <c r="Y325" s="384">
        <f t="shared" si="115"/>
        <v>11.414</v>
      </c>
      <c r="Z325" s="384">
        <f t="shared" si="116"/>
        <v>11.454320830536981</v>
      </c>
      <c r="AA325" s="385">
        <f t="shared" si="117"/>
        <v>11.583219846689264</v>
      </c>
      <c r="AB325" s="196">
        <f t="shared" si="118"/>
        <v>43411</v>
      </c>
      <c r="AC325" s="425">
        <f t="shared" si="119"/>
        <v>1.1128081643820826E-2</v>
      </c>
      <c r="AD325" s="168">
        <f>(INDEX(Models!$BJ325:$BT325,,AH325)*(1-AF325)+INDEX(Models!$BJ325:$BT325,,AH325+1)*AF325-ERP_i)*AE325*Ramure*Pc/MaxiM</f>
        <v>8.2836360357678353E-5</v>
      </c>
      <c r="AE325" s="304">
        <f t="shared" si="120"/>
        <v>0.5</v>
      </c>
      <c r="AF325" s="176">
        <f t="shared" si="121"/>
        <v>0.83424444164451894</v>
      </c>
      <c r="AG325" s="814">
        <f t="shared" si="122"/>
        <v>-1</v>
      </c>
      <c r="AH325" s="175">
        <f t="shared" si="123"/>
        <v>5</v>
      </c>
      <c r="AI325" s="224">
        <f t="shared" si="124"/>
        <v>-0.165755558355481</v>
      </c>
      <c r="AJ325" s="264" t="b">
        <f t="shared" si="125"/>
        <v>0</v>
      </c>
      <c r="AK325" s="264" t="b">
        <f t="shared" si="12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7"/>
        <v>43412</v>
      </c>
      <c r="B326" s="616">
        <v>15.683</v>
      </c>
      <c r="C326" s="389"/>
      <c r="D326" s="392">
        <f t="shared" si="104"/>
        <v>15.738746119432834</v>
      </c>
      <c r="E326" s="384">
        <f t="shared" si="130"/>
        <v>15.916754904395018</v>
      </c>
      <c r="F326" s="384">
        <f t="shared" si="132"/>
        <v>15.917095273368464</v>
      </c>
      <c r="G326" s="110">
        <f t="shared" si="131"/>
        <v>0.47692452799264506</v>
      </c>
      <c r="I326" s="379">
        <f t="shared" si="105"/>
        <v>15.917095273368464</v>
      </c>
      <c r="J326" s="85">
        <v>2018</v>
      </c>
      <c r="K326" s="196">
        <f t="shared" si="106"/>
        <v>43412</v>
      </c>
      <c r="L326" s="436">
        <f t="shared" si="107"/>
        <v>3.5419670035851114E-3</v>
      </c>
      <c r="M326" s="858"/>
      <c r="N326" s="858"/>
      <c r="O326" s="323">
        <f t="shared" si="108"/>
        <v>1.1183736008464338E-2</v>
      </c>
      <c r="P326" s="168">
        <f>(INDEX(Models!$BJ326:$BT326,,T326)*(1-R326)+INDEX(Models!$BJ326:$BT326,,T326+1)*R326-ERP_i)*Q326*Ramure*Pc/MaxiM</f>
        <v>8.4590608147146887E-5</v>
      </c>
      <c r="Q326" s="304">
        <f t="shared" si="109"/>
        <v>0.5</v>
      </c>
      <c r="R326" s="176">
        <f t="shared" si="110"/>
        <v>0.83426978291893861</v>
      </c>
      <c r="S326" s="814">
        <f t="shared" si="128"/>
        <v>-1</v>
      </c>
      <c r="T326" s="175">
        <f t="shared" si="111"/>
        <v>5</v>
      </c>
      <c r="U326" s="250">
        <f t="shared" si="112"/>
        <v>-0.16573021708106139</v>
      </c>
      <c r="V326" s="382">
        <f t="shared" si="113"/>
        <v>32.881531116489278</v>
      </c>
      <c r="W326" s="58"/>
      <c r="X326" s="157">
        <f t="shared" si="114"/>
        <v>43412</v>
      </c>
      <c r="Y326" s="384">
        <f t="shared" si="115"/>
        <v>15.683</v>
      </c>
      <c r="Z326" s="384">
        <f t="shared" si="116"/>
        <v>15.738746119432834</v>
      </c>
      <c r="AA326" s="385">
        <f t="shared" si="117"/>
        <v>15.916754904395018</v>
      </c>
      <c r="AB326" s="196">
        <f t="shared" si="118"/>
        <v>43412</v>
      </c>
      <c r="AC326" s="425">
        <f t="shared" si="119"/>
        <v>1.1183736008464338E-2</v>
      </c>
      <c r="AD326" s="168">
        <f>(INDEX(Models!$BJ326:$BT326,,AH326)*(1-AF326)+INDEX(Models!$BJ326:$BT326,,AH326+1)*AF326-ERP_i)*AE326*Ramure*Pc/MaxiM</f>
        <v>8.4590608147146887E-5</v>
      </c>
      <c r="AE326" s="304">
        <f t="shared" si="120"/>
        <v>0.5</v>
      </c>
      <c r="AF326" s="176">
        <f t="shared" si="121"/>
        <v>0.83426978291893861</v>
      </c>
      <c r="AG326" s="814">
        <f t="shared" si="122"/>
        <v>-1</v>
      </c>
      <c r="AH326" s="175">
        <f t="shared" si="123"/>
        <v>5</v>
      </c>
      <c r="AI326" s="224">
        <f t="shared" si="124"/>
        <v>-0.16573021708106139</v>
      </c>
      <c r="AJ326" s="264" t="b">
        <f t="shared" si="125"/>
        <v>0</v>
      </c>
      <c r="AK326" s="264" t="b">
        <f t="shared" si="12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7"/>
        <v>43413</v>
      </c>
      <c r="B327" s="616">
        <v>4.4050000000000002</v>
      </c>
      <c r="C327" s="389"/>
      <c r="D327" s="392">
        <f t="shared" si="104"/>
        <v>4.4207546500196733</v>
      </c>
      <c r="E327" s="384">
        <f t="shared" si="130"/>
        <v>4.4710056805002178</v>
      </c>
      <c r="F327" s="384">
        <f t="shared" si="132"/>
        <v>4.4710056805002178</v>
      </c>
      <c r="G327" s="110">
        <f t="shared" si="131"/>
        <v>0.13516176812912459</v>
      </c>
      <c r="I327" s="379">
        <f t="shared" si="105"/>
        <v>4.4710056805002178</v>
      </c>
      <c r="J327" s="85">
        <v>2018</v>
      </c>
      <c r="K327" s="196">
        <f t="shared" si="106"/>
        <v>43413</v>
      </c>
      <c r="L327" s="436">
        <f t="shared" si="107"/>
        <v>3.5637919918498628E-3</v>
      </c>
      <c r="M327" s="858"/>
      <c r="N327" s="858"/>
      <c r="O327" s="323">
        <f t="shared" si="108"/>
        <v>1.1239312600229581E-2</v>
      </c>
      <c r="P327" s="168">
        <f>(INDEX(Models!$BJ327:$BT327,,T327)*(1-R327)+INDEX(Models!$BJ327:$BT327,,T327+1)*R327-ERP_i)*Q327*Ramure*Pc/MaxiM</f>
        <v>8.6509967921288348E-5</v>
      </c>
      <c r="Q327" s="304">
        <f t="shared" si="109"/>
        <v>0.5</v>
      </c>
      <c r="R327" s="176">
        <f t="shared" si="110"/>
        <v>0.83429410790802039</v>
      </c>
      <c r="S327" s="814">
        <f t="shared" si="128"/>
        <v>-1</v>
      </c>
      <c r="T327" s="175">
        <f t="shared" si="111"/>
        <v>5</v>
      </c>
      <c r="U327" s="250">
        <f t="shared" si="112"/>
        <v>-0.16570589209197967</v>
      </c>
      <c r="V327" s="382">
        <f t="shared" si="113"/>
        <v>32.58775750390766</v>
      </c>
      <c r="W327" s="58"/>
      <c r="X327" s="157">
        <f t="shared" si="114"/>
        <v>43413</v>
      </c>
      <c r="Y327" s="384">
        <f t="shared" si="115"/>
        <v>4.4050000000000002</v>
      </c>
      <c r="Z327" s="384">
        <f t="shared" si="116"/>
        <v>4.4207546500196733</v>
      </c>
      <c r="AA327" s="385">
        <f t="shared" si="117"/>
        <v>4.4710056805002178</v>
      </c>
      <c r="AB327" s="196">
        <f t="shared" si="118"/>
        <v>43413</v>
      </c>
      <c r="AC327" s="425">
        <f t="shared" si="119"/>
        <v>1.1239312600229581E-2</v>
      </c>
      <c r="AD327" s="168">
        <f>(INDEX(Models!$BJ327:$BT327,,AH327)*(1-AF327)+INDEX(Models!$BJ327:$BT327,,AH327+1)*AF327-ERP_i)*AE327*Ramure*Pc/MaxiM</f>
        <v>8.6509967921288348E-5</v>
      </c>
      <c r="AE327" s="304">
        <f t="shared" si="120"/>
        <v>0.5</v>
      </c>
      <c r="AF327" s="176">
        <f t="shared" si="121"/>
        <v>0.83429410790802039</v>
      </c>
      <c r="AG327" s="814">
        <f t="shared" si="122"/>
        <v>-1</v>
      </c>
      <c r="AH327" s="175">
        <f t="shared" si="123"/>
        <v>5</v>
      </c>
      <c r="AI327" s="224">
        <f t="shared" si="124"/>
        <v>-0.16570589209197967</v>
      </c>
      <c r="AJ327" s="264" t="b">
        <f t="shared" si="125"/>
        <v>0</v>
      </c>
      <c r="AK327" s="264" t="b">
        <f t="shared" si="12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7"/>
        <v>43414</v>
      </c>
      <c r="B328" s="616">
        <v>19.504000000000001</v>
      </c>
      <c r="C328" s="389"/>
      <c r="D328" s="392">
        <f t="shared" si="104"/>
        <v>19.574185522624923</v>
      </c>
      <c r="E328" s="384">
        <f t="shared" si="130"/>
        <v>19.797798170497924</v>
      </c>
      <c r="F328" s="384">
        <f t="shared" si="132"/>
        <v>19.798559702110012</v>
      </c>
      <c r="G328" s="110">
        <f t="shared" si="131"/>
        <v>0.60387384143396017</v>
      </c>
      <c r="I328" s="379">
        <f t="shared" si="105"/>
        <v>19.798559702110012</v>
      </c>
      <c r="J328" s="85">
        <v>2018</v>
      </c>
      <c r="K328" s="196">
        <f t="shared" si="106"/>
        <v>43414</v>
      </c>
      <c r="L328" s="436">
        <f t="shared" si="107"/>
        <v>3.5856165020914377E-3</v>
      </c>
      <c r="M328" s="858"/>
      <c r="N328" s="858"/>
      <c r="O328" s="323">
        <f t="shared" si="108"/>
        <v>1.1294824098480916E-2</v>
      </c>
      <c r="P328" s="168">
        <f>(INDEX(Models!$BJ328:$BT328,,T328)*(1-R328)+INDEX(Models!$BJ328:$BT328,,T328+1)*R328-ERP_i)*Q328*Ramure*Pc/MaxiM</f>
        <v>8.8596342634432725E-5</v>
      </c>
      <c r="Q328" s="304">
        <f t="shared" si="109"/>
        <v>0.5</v>
      </c>
      <c r="R328" s="176">
        <f t="shared" si="110"/>
        <v>0.83431745721344142</v>
      </c>
      <c r="S328" s="814">
        <f t="shared" si="128"/>
        <v>-1</v>
      </c>
      <c r="T328" s="175">
        <f t="shared" si="111"/>
        <v>5</v>
      </c>
      <c r="U328" s="250">
        <f t="shared" si="112"/>
        <v>-0.16568254278655858</v>
      </c>
      <c r="V328" s="382">
        <f t="shared" si="113"/>
        <v>32.296517654550193</v>
      </c>
      <c r="W328" s="58"/>
      <c r="X328" s="157">
        <f t="shared" si="114"/>
        <v>43414</v>
      </c>
      <c r="Y328" s="384">
        <f t="shared" si="115"/>
        <v>19.504000000000001</v>
      </c>
      <c r="Z328" s="384">
        <f t="shared" si="116"/>
        <v>19.574185522624923</v>
      </c>
      <c r="AA328" s="385">
        <f t="shared" si="117"/>
        <v>19.797798170497924</v>
      </c>
      <c r="AB328" s="196">
        <f t="shared" si="118"/>
        <v>43414</v>
      </c>
      <c r="AC328" s="425">
        <f t="shared" si="119"/>
        <v>1.1294824098480916E-2</v>
      </c>
      <c r="AD328" s="168">
        <f>(INDEX(Models!$BJ328:$BT328,,AH328)*(1-AF328)+INDEX(Models!$BJ328:$BT328,,AH328+1)*AF328-ERP_i)*AE328*Ramure*Pc/MaxiM</f>
        <v>8.8596342634432725E-5</v>
      </c>
      <c r="AE328" s="304">
        <f t="shared" si="120"/>
        <v>0.5</v>
      </c>
      <c r="AF328" s="176">
        <f t="shared" si="121"/>
        <v>0.83431745721344142</v>
      </c>
      <c r="AG328" s="814">
        <f t="shared" si="122"/>
        <v>-1</v>
      </c>
      <c r="AH328" s="175">
        <f t="shared" si="123"/>
        <v>5</v>
      </c>
      <c r="AI328" s="224">
        <f t="shared" si="124"/>
        <v>-0.16568254278655858</v>
      </c>
      <c r="AJ328" s="264" t="b">
        <f t="shared" si="125"/>
        <v>0</v>
      </c>
      <c r="AK328" s="264" t="b">
        <f t="shared" si="12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7"/>
        <v>43415</v>
      </c>
      <c r="B329" s="616">
        <v>26.422000000000001</v>
      </c>
      <c r="C329" s="389"/>
      <c r="D329" s="392">
        <f t="shared" si="104"/>
        <v>26.517660884751006</v>
      </c>
      <c r="E329" s="384">
        <f t="shared" si="130"/>
        <v>26.822099306391621</v>
      </c>
      <c r="F329" s="384">
        <f t="shared" si="132"/>
        <v>26.823928749005539</v>
      </c>
      <c r="G329" s="110">
        <f t="shared" si="131"/>
        <v>0.82546731642908666</v>
      </c>
      <c r="I329" s="379">
        <f t="shared" si="105"/>
        <v>26.823928749005539</v>
      </c>
      <c r="J329" s="85">
        <v>2018</v>
      </c>
      <c r="K329" s="196">
        <f t="shared" si="106"/>
        <v>43415</v>
      </c>
      <c r="L329" s="436">
        <f t="shared" si="107"/>
        <v>3.60744053432005E-3</v>
      </c>
      <c r="M329" s="858"/>
      <c r="N329" s="858"/>
      <c r="O329" s="323">
        <f t="shared" si="108"/>
        <v>1.1350283143872706E-2</v>
      </c>
      <c r="P329" s="168">
        <f>(INDEX(Models!$BJ329:$BT329,,T329)*(1-R329)+INDEX(Models!$BJ329:$BT329,,T329+1)*R329-ERP_i)*Q329*Ramure*Pc/MaxiM</f>
        <v>9.0851746812150127E-5</v>
      </c>
      <c r="Q329" s="304">
        <f t="shared" si="109"/>
        <v>0.5</v>
      </c>
      <c r="R329" s="176">
        <f t="shared" si="110"/>
        <v>0.83433986982703967</v>
      </c>
      <c r="S329" s="814">
        <f t="shared" si="128"/>
        <v>-1</v>
      </c>
      <c r="T329" s="175">
        <f t="shared" si="111"/>
        <v>5</v>
      </c>
      <c r="U329" s="250">
        <f t="shared" si="112"/>
        <v>-0.16566013017296027</v>
      </c>
      <c r="V329" s="382">
        <f t="shared" si="113"/>
        <v>32.0078105804822</v>
      </c>
      <c r="W329" s="58"/>
      <c r="X329" s="157">
        <f t="shared" si="114"/>
        <v>43415</v>
      </c>
      <c r="Y329" s="384">
        <f t="shared" si="115"/>
        <v>26.422000000000001</v>
      </c>
      <c r="Z329" s="384">
        <f t="shared" si="116"/>
        <v>26.517660884751006</v>
      </c>
      <c r="AA329" s="385">
        <f t="shared" si="117"/>
        <v>26.822099306391621</v>
      </c>
      <c r="AB329" s="196">
        <f t="shared" si="118"/>
        <v>43415</v>
      </c>
      <c r="AC329" s="425">
        <f t="shared" si="119"/>
        <v>1.1350283143872706E-2</v>
      </c>
      <c r="AD329" s="168">
        <f>(INDEX(Models!$BJ329:$BT329,,AH329)*(1-AF329)+INDEX(Models!$BJ329:$BT329,,AH329+1)*AF329-ERP_i)*AE329*Ramure*Pc/MaxiM</f>
        <v>9.0851746812150127E-5</v>
      </c>
      <c r="AE329" s="304">
        <f t="shared" si="120"/>
        <v>0.5</v>
      </c>
      <c r="AF329" s="176">
        <f t="shared" si="121"/>
        <v>0.83433986982703967</v>
      </c>
      <c r="AG329" s="814">
        <f t="shared" si="122"/>
        <v>-1</v>
      </c>
      <c r="AH329" s="175">
        <f t="shared" si="123"/>
        <v>5</v>
      </c>
      <c r="AI329" s="224">
        <f t="shared" si="124"/>
        <v>-0.16566013017296027</v>
      </c>
      <c r="AJ329" s="264" t="b">
        <f t="shared" si="125"/>
        <v>0</v>
      </c>
      <c r="AK329" s="264" t="b">
        <f t="shared" si="12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7"/>
        <v>43416</v>
      </c>
      <c r="B330" s="616">
        <v>27.013999999999999</v>
      </c>
      <c r="C330" s="389"/>
      <c r="D330" s="392">
        <f t="shared" si="104"/>
        <v>27.112398052606704</v>
      </c>
      <c r="E330" s="384">
        <f t="shared" si="130"/>
        <v>27.425201738574568</v>
      </c>
      <c r="F330" s="384">
        <f t="shared" si="132"/>
        <v>27.427217713351663</v>
      </c>
      <c r="G330" s="110">
        <f t="shared" si="131"/>
        <v>0.85157859854942597</v>
      </c>
      <c r="I330" s="379">
        <f t="shared" si="105"/>
        <v>27.427217713351663</v>
      </c>
      <c r="J330" s="85">
        <v>2018</v>
      </c>
      <c r="K330" s="196">
        <f t="shared" si="106"/>
        <v>43416</v>
      </c>
      <c r="L330" s="436">
        <f t="shared" si="107"/>
        <v>3.6292640885464689E-3</v>
      </c>
      <c r="M330" s="858"/>
      <c r="N330" s="858"/>
      <c r="O330" s="323">
        <f t="shared" si="108"/>
        <v>1.140570227886035E-2</v>
      </c>
      <c r="P330" s="168">
        <f>(INDEX(Models!$BJ330:$BT330,,T330)*(1-R330)+INDEX(Models!$BJ330:$BT330,,T330+1)*R330-ERP_i)*Q330*Ramure*Pc/MaxiM</f>
        <v>9.3278319343833004E-5</v>
      </c>
      <c r="Q330" s="304">
        <f t="shared" si="109"/>
        <v>0.5</v>
      </c>
      <c r="R330" s="176">
        <f t="shared" si="110"/>
        <v>0.83436138319367759</v>
      </c>
      <c r="S330" s="814">
        <f t="shared" si="128"/>
        <v>-1</v>
      </c>
      <c r="T330" s="175">
        <f t="shared" si="111"/>
        <v>5</v>
      </c>
      <c r="U330" s="250">
        <f t="shared" si="112"/>
        <v>-0.16563861680632236</v>
      </c>
      <c r="V330" s="382">
        <f t="shared" si="113"/>
        <v>31.721635311623118</v>
      </c>
      <c r="W330" s="58"/>
      <c r="X330" s="157">
        <f t="shared" si="114"/>
        <v>43416</v>
      </c>
      <c r="Y330" s="384">
        <f t="shared" si="115"/>
        <v>27.013999999999999</v>
      </c>
      <c r="Z330" s="384">
        <f t="shared" si="116"/>
        <v>27.112398052606704</v>
      </c>
      <c r="AA330" s="385">
        <f t="shared" si="117"/>
        <v>27.425201738574568</v>
      </c>
      <c r="AB330" s="196">
        <f t="shared" si="118"/>
        <v>43416</v>
      </c>
      <c r="AC330" s="425">
        <f t="shared" si="119"/>
        <v>1.140570227886035E-2</v>
      </c>
      <c r="AD330" s="168">
        <f>(INDEX(Models!$BJ330:$BT330,,AH330)*(1-AF330)+INDEX(Models!$BJ330:$BT330,,AH330+1)*AF330-ERP_i)*AE330*Ramure*Pc/MaxiM</f>
        <v>9.3278319343833004E-5</v>
      </c>
      <c r="AE330" s="304">
        <f t="shared" si="120"/>
        <v>0.5</v>
      </c>
      <c r="AF330" s="176">
        <f t="shared" si="121"/>
        <v>0.83436138319367759</v>
      </c>
      <c r="AG330" s="814">
        <f t="shared" si="122"/>
        <v>-1</v>
      </c>
      <c r="AH330" s="175">
        <f t="shared" si="123"/>
        <v>5</v>
      </c>
      <c r="AI330" s="224">
        <f t="shared" si="124"/>
        <v>-0.16563861680632236</v>
      </c>
      <c r="AJ330" s="264" t="b">
        <f t="shared" si="125"/>
        <v>0</v>
      </c>
      <c r="AK330" s="264" t="b">
        <f t="shared" si="12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7"/>
        <v>43417</v>
      </c>
      <c r="B331" s="616">
        <v>7.3780000000000001</v>
      </c>
      <c r="C331" s="389"/>
      <c r="D331" s="392">
        <f t="shared" si="104"/>
        <v>7.4050364334770036</v>
      </c>
      <c r="E331" s="384">
        <f t="shared" si="130"/>
        <v>7.4908902297074018</v>
      </c>
      <c r="F331" s="384">
        <f t="shared" si="132"/>
        <v>7.4908902297074018</v>
      </c>
      <c r="G331" s="110">
        <f t="shared" si="131"/>
        <v>0.23467033568035039</v>
      </c>
      <c r="I331" s="379">
        <f t="shared" si="105"/>
        <v>7.4908902297074018</v>
      </c>
      <c r="J331" s="85">
        <v>2018</v>
      </c>
      <c r="K331" s="196">
        <f t="shared" si="106"/>
        <v>43417</v>
      </c>
      <c r="L331" s="436">
        <f t="shared" si="107"/>
        <v>3.6510871647810195E-3</v>
      </c>
      <c r="M331" s="858"/>
      <c r="N331" s="858"/>
      <c r="O331" s="323">
        <f t="shared" si="108"/>
        <v>1.1461093888403112E-2</v>
      </c>
      <c r="P331" s="168">
        <f>(INDEX(Models!$BJ331:$BT331,,T331)*(1-R331)+INDEX(Models!$BJ331:$BT331,,T331+1)*R331-ERP_i)*Q331*Ramure*Pc/MaxiM</f>
        <v>9.588186113442333E-5</v>
      </c>
      <c r="Q331" s="304">
        <f t="shared" si="109"/>
        <v>0.5</v>
      </c>
      <c r="R331" s="176">
        <f t="shared" si="110"/>
        <v>0.834382033271728</v>
      </c>
      <c r="S331" s="814">
        <f t="shared" si="128"/>
        <v>-1</v>
      </c>
      <c r="T331" s="175">
        <f t="shared" si="111"/>
        <v>5</v>
      </c>
      <c r="U331" s="250">
        <f t="shared" si="112"/>
        <v>-0.16561796672827195</v>
      </c>
      <c r="V331" s="382">
        <f t="shared" si="113"/>
        <v>31.436834835730249</v>
      </c>
      <c r="W331" s="58"/>
      <c r="X331" s="157">
        <f t="shared" si="114"/>
        <v>43417</v>
      </c>
      <c r="Y331" s="384">
        <f t="shared" si="115"/>
        <v>7.3780000000000001</v>
      </c>
      <c r="Z331" s="384">
        <f t="shared" si="116"/>
        <v>7.4050364334770036</v>
      </c>
      <c r="AA331" s="385">
        <f t="shared" si="117"/>
        <v>7.4908902297074018</v>
      </c>
      <c r="AB331" s="196">
        <f t="shared" si="118"/>
        <v>43417</v>
      </c>
      <c r="AC331" s="425">
        <f t="shared" si="119"/>
        <v>1.1461093888403112E-2</v>
      </c>
      <c r="AD331" s="168">
        <f>(INDEX(Models!$BJ331:$BT331,,AH331)*(1-AF331)+INDEX(Models!$BJ331:$BT331,,AH331+1)*AF331-ERP_i)*AE331*Ramure*Pc/MaxiM</f>
        <v>9.588186113442333E-5</v>
      </c>
      <c r="AE331" s="304">
        <f t="shared" si="120"/>
        <v>0.5</v>
      </c>
      <c r="AF331" s="176">
        <f t="shared" si="121"/>
        <v>0.834382033271728</v>
      </c>
      <c r="AG331" s="814">
        <f t="shared" si="122"/>
        <v>-1</v>
      </c>
      <c r="AH331" s="175">
        <f t="shared" si="123"/>
        <v>5</v>
      </c>
      <c r="AI331" s="224">
        <f t="shared" si="124"/>
        <v>-0.16561796672827195</v>
      </c>
      <c r="AJ331" s="264" t="b">
        <f t="shared" si="125"/>
        <v>0</v>
      </c>
      <c r="AK331" s="264" t="b">
        <f t="shared" si="12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7"/>
        <v>43418</v>
      </c>
      <c r="B332" s="616">
        <v>19.288</v>
      </c>
      <c r="C332" s="389"/>
      <c r="D332" s="392">
        <f t="shared" si="104"/>
        <v>19.359104242977629</v>
      </c>
      <c r="E332" s="384">
        <f t="shared" si="130"/>
        <v>19.584650283191593</v>
      </c>
      <c r="F332" s="384">
        <f t="shared" si="132"/>
        <v>19.58552982115441</v>
      </c>
      <c r="G332" s="110">
        <f t="shared" si="131"/>
        <v>0.61911230359582425</v>
      </c>
      <c r="I332" s="379">
        <f t="shared" si="105"/>
        <v>19.58552982115441</v>
      </c>
      <c r="J332" s="85">
        <v>2018</v>
      </c>
      <c r="K332" s="196">
        <f t="shared" si="106"/>
        <v>43418</v>
      </c>
      <c r="L332" s="436">
        <f t="shared" si="107"/>
        <v>3.6729097630342489E-3</v>
      </c>
      <c r="M332" s="858"/>
      <c r="N332" s="858"/>
      <c r="O332" s="323">
        <f t="shared" si="108"/>
        <v>1.1516470141289042E-2</v>
      </c>
      <c r="P332" s="168">
        <f>(INDEX(Models!$BJ332:$BT332,,T332)*(1-R332)+INDEX(Models!$BJ332:$BT332,,T332+1)*R332-ERP_i)*Q332*Ramure*Pc/MaxiM</f>
        <v>9.8498269242123243E-5</v>
      </c>
      <c r="Q332" s="304">
        <f t="shared" si="109"/>
        <v>0.5</v>
      </c>
      <c r="R332" s="176">
        <f t="shared" si="110"/>
        <v>0.83440185459126504</v>
      </c>
      <c r="S332" s="814">
        <f t="shared" si="128"/>
        <v>-1</v>
      </c>
      <c r="T332" s="175">
        <f t="shared" si="111"/>
        <v>5</v>
      </c>
      <c r="U332" s="250">
        <f t="shared" si="112"/>
        <v>-0.16559814540873491</v>
      </c>
      <c r="V332" s="382">
        <f t="shared" si="113"/>
        <v>31.152613481549146</v>
      </c>
      <c r="W332" s="58"/>
      <c r="X332" s="157">
        <f t="shared" si="114"/>
        <v>43418</v>
      </c>
      <c r="Y332" s="384">
        <f t="shared" si="115"/>
        <v>19.288</v>
      </c>
      <c r="Z332" s="384">
        <f t="shared" si="116"/>
        <v>19.359104242977629</v>
      </c>
      <c r="AA332" s="385">
        <f t="shared" si="117"/>
        <v>19.584650283191593</v>
      </c>
      <c r="AB332" s="196">
        <f t="shared" si="118"/>
        <v>43418</v>
      </c>
      <c r="AC332" s="425">
        <f t="shared" si="119"/>
        <v>1.1516470141289042E-2</v>
      </c>
      <c r="AD332" s="168">
        <f>(INDEX(Models!$BJ332:$BT332,,AH332)*(1-AF332)+INDEX(Models!$BJ332:$BT332,,AH332+1)*AF332-ERP_i)*AE332*Ramure*Pc/MaxiM</f>
        <v>9.8498269242123243E-5</v>
      </c>
      <c r="AE332" s="304">
        <f t="shared" si="120"/>
        <v>0.5</v>
      </c>
      <c r="AF332" s="176">
        <f t="shared" si="121"/>
        <v>0.83440185459126504</v>
      </c>
      <c r="AG332" s="814">
        <f t="shared" si="122"/>
        <v>-1</v>
      </c>
      <c r="AH332" s="175">
        <f t="shared" si="123"/>
        <v>5</v>
      </c>
      <c r="AI332" s="224">
        <f t="shared" si="124"/>
        <v>-0.16559814540873491</v>
      </c>
      <c r="AJ332" s="264" t="b">
        <f t="shared" si="125"/>
        <v>0</v>
      </c>
      <c r="AK332" s="264" t="b">
        <f t="shared" si="12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7"/>
        <v>43419</v>
      </c>
      <c r="B333" s="616">
        <v>18.623000000000001</v>
      </c>
      <c r="C333" s="389"/>
      <c r="D333" s="392">
        <f t="shared" si="104"/>
        <v>18.692062158020171</v>
      </c>
      <c r="E333" s="384">
        <f t="shared" si="130"/>
        <v>18.910896077137849</v>
      </c>
      <c r="F333" s="384">
        <f t="shared" si="132"/>
        <v>18.911723039301261</v>
      </c>
      <c r="G333" s="110">
        <f t="shared" si="131"/>
        <v>0.60324684481290314</v>
      </c>
      <c r="I333" s="379">
        <f t="shared" si="105"/>
        <v>18.911723039301261</v>
      </c>
      <c r="J333" s="85">
        <v>2018</v>
      </c>
      <c r="K333" s="196">
        <f t="shared" si="106"/>
        <v>43419</v>
      </c>
      <c r="L333" s="436">
        <f t="shared" si="107"/>
        <v>3.6947318833164822E-3</v>
      </c>
      <c r="M333" s="858"/>
      <c r="N333" s="858"/>
      <c r="O333" s="323">
        <f t="shared" si="108"/>
        <v>1.1571842932511053E-2</v>
      </c>
      <c r="P333" s="168">
        <f>(INDEX(Models!$BJ333:$BT333,,T333)*(1-R333)+INDEX(Models!$BJ333:$BT333,,T333+1)*R333-ERP_i)*Q333*Ramure*Pc/MaxiM</f>
        <v>1.0092688526507399E-4</v>
      </c>
      <c r="Q333" s="304">
        <f t="shared" si="109"/>
        <v>0.5</v>
      </c>
      <c r="R333" s="176">
        <f t="shared" si="110"/>
        <v>0.83442088031004213</v>
      </c>
      <c r="S333" s="814">
        <f t="shared" si="128"/>
        <v>-1</v>
      </c>
      <c r="T333" s="175">
        <f t="shared" si="111"/>
        <v>5</v>
      </c>
      <c r="U333" s="250">
        <f t="shared" si="112"/>
        <v>-0.16557911968995787</v>
      </c>
      <c r="V333" s="382">
        <f t="shared" si="113"/>
        <v>30.869510365760018</v>
      </c>
      <c r="W333" s="58"/>
      <c r="X333" s="157">
        <f t="shared" si="114"/>
        <v>43419</v>
      </c>
      <c r="Y333" s="384">
        <f t="shared" si="115"/>
        <v>18.623000000000001</v>
      </c>
      <c r="Z333" s="384">
        <f t="shared" si="116"/>
        <v>18.692062158020171</v>
      </c>
      <c r="AA333" s="385">
        <f t="shared" si="117"/>
        <v>18.910896077137849</v>
      </c>
      <c r="AB333" s="196">
        <f t="shared" si="118"/>
        <v>43419</v>
      </c>
      <c r="AC333" s="425">
        <f t="shared" si="119"/>
        <v>1.1571842932511053E-2</v>
      </c>
      <c r="AD333" s="168">
        <f>(INDEX(Models!$BJ333:$BT333,,AH333)*(1-AF333)+INDEX(Models!$BJ333:$BT333,,AH333+1)*AF333-ERP_i)*AE333*Ramure*Pc/MaxiM</f>
        <v>1.0092688526507399E-4</v>
      </c>
      <c r="AE333" s="304">
        <f t="shared" si="120"/>
        <v>0.5</v>
      </c>
      <c r="AF333" s="176">
        <f t="shared" si="121"/>
        <v>0.83442088031004213</v>
      </c>
      <c r="AG333" s="814">
        <f t="shared" si="122"/>
        <v>-1</v>
      </c>
      <c r="AH333" s="175">
        <f t="shared" si="123"/>
        <v>5</v>
      </c>
      <c r="AI333" s="224">
        <f t="shared" si="124"/>
        <v>-0.16557911968995787</v>
      </c>
      <c r="AJ333" s="264" t="b">
        <f t="shared" si="125"/>
        <v>0</v>
      </c>
      <c r="AK333" s="264" t="b">
        <f t="shared" si="12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7"/>
        <v>43420</v>
      </c>
      <c r="B334" s="616">
        <v>26.501999999999999</v>
      </c>
      <c r="C334" s="389"/>
      <c r="D334" s="392">
        <f t="shared" si="104"/>
        <v>26.600863533149148</v>
      </c>
      <c r="E334" s="384">
        <f t="shared" si="130"/>
        <v>26.913796266375765</v>
      </c>
      <c r="F334" s="384">
        <f t="shared" si="132"/>
        <v>26.916043187141536</v>
      </c>
      <c r="G334" s="110">
        <f t="shared" si="131"/>
        <v>0.86639949762413215</v>
      </c>
      <c r="I334" s="379">
        <f t="shared" si="105"/>
        <v>26.916043187141536</v>
      </c>
      <c r="J334" s="85">
        <v>2018</v>
      </c>
      <c r="K334" s="196">
        <f t="shared" si="106"/>
        <v>43420</v>
      </c>
      <c r="L334" s="436">
        <f t="shared" si="107"/>
        <v>3.7165535256382665E-3</v>
      </c>
      <c r="M334" s="858"/>
      <c r="N334" s="858"/>
      <c r="O334" s="323">
        <f t="shared" si="108"/>
        <v>1.1627223827118428E-2</v>
      </c>
      <c r="P334" s="168">
        <f>(INDEX(Models!$BJ334:$BT334,,T334)*(1-R334)+INDEX(Models!$BJ334:$BT334,,T334+1)*R334-ERP_i)*Q334*Ramure*Pc/MaxiM</f>
        <v>1.0316648691076837E-4</v>
      </c>
      <c r="Q334" s="304">
        <f t="shared" si="109"/>
        <v>0.5</v>
      </c>
      <c r="R334" s="176">
        <f t="shared" si="110"/>
        <v>0.83443914226733584</v>
      </c>
      <c r="S334" s="814">
        <f t="shared" si="128"/>
        <v>-1</v>
      </c>
      <c r="T334" s="175">
        <f t="shared" si="111"/>
        <v>5</v>
      </c>
      <c r="U334" s="250">
        <f t="shared" si="112"/>
        <v>-0.1655608577326641</v>
      </c>
      <c r="V334" s="382">
        <f t="shared" si="113"/>
        <v>30.588058127673641</v>
      </c>
      <c r="W334" s="58"/>
      <c r="X334" s="157">
        <f t="shared" si="114"/>
        <v>43420</v>
      </c>
      <c r="Y334" s="384">
        <f t="shared" si="115"/>
        <v>26.501999999999999</v>
      </c>
      <c r="Z334" s="384">
        <f t="shared" si="116"/>
        <v>26.600863533149148</v>
      </c>
      <c r="AA334" s="385">
        <f t="shared" si="117"/>
        <v>26.913796266375765</v>
      </c>
      <c r="AB334" s="196">
        <f t="shared" si="118"/>
        <v>43420</v>
      </c>
      <c r="AC334" s="425">
        <f t="shared" si="119"/>
        <v>1.1627223827118428E-2</v>
      </c>
      <c r="AD334" s="168">
        <f>(INDEX(Models!$BJ334:$BT334,,AH334)*(1-AF334)+INDEX(Models!$BJ334:$BT334,,AH334+1)*AF334-ERP_i)*AE334*Ramure*Pc/MaxiM</f>
        <v>1.0316648691076837E-4</v>
      </c>
      <c r="AE334" s="304">
        <f t="shared" si="120"/>
        <v>0.5</v>
      </c>
      <c r="AF334" s="176">
        <f t="shared" si="121"/>
        <v>0.83443914226733584</v>
      </c>
      <c r="AG334" s="814">
        <f t="shared" si="122"/>
        <v>-1</v>
      </c>
      <c r="AH334" s="175">
        <f t="shared" si="123"/>
        <v>5</v>
      </c>
      <c r="AI334" s="224">
        <f t="shared" si="124"/>
        <v>-0.1655608577326641</v>
      </c>
      <c r="AJ334" s="264" t="b">
        <f t="shared" si="125"/>
        <v>0</v>
      </c>
      <c r="AK334" s="264" t="b">
        <f t="shared" si="12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7"/>
        <v>43421</v>
      </c>
      <c r="B335" s="616">
        <v>28.972999999999999</v>
      </c>
      <c r="C335" s="389"/>
      <c r="D335" s="392">
        <f t="shared" ref="D335:D379" si="133">Wh/(1-Ppv)</f>
        <v>29.081718359858499</v>
      </c>
      <c r="E335" s="384">
        <f t="shared" si="130"/>
        <v>29.42548524011162</v>
      </c>
      <c r="F335" s="384">
        <f t="shared" si="132"/>
        <v>29.428386616561589</v>
      </c>
      <c r="G335" s="110">
        <f t="shared" si="131"/>
        <v>0.9559209967336082</v>
      </c>
      <c r="I335" s="379">
        <f t="shared" ref="I335:I380" si="134">Wh_hp</f>
        <v>29.428386616561589</v>
      </c>
      <c r="J335" s="85">
        <v>2018</v>
      </c>
      <c r="K335" s="196">
        <f t="shared" ref="K335:K379" si="135">t</f>
        <v>43421</v>
      </c>
      <c r="L335" s="436">
        <f t="shared" ref="L335:L378" si="136">IF(t&lt;T0,0,IF(t&lt;Tvie,1-EXP((T0-t)*PertePVj),1-EXP((T0-t)*PertePVj)+Pspv))</f>
        <v>3.7383746900101489E-3</v>
      </c>
      <c r="M335" s="858"/>
      <c r="N335" s="858"/>
      <c r="O335" s="323">
        <f t="shared" ref="O335:O379" si="137">IF(t&lt;T0,0,IF(t&lt;Tnet,Salim_i*(1-EXP((T0-t)/Tau_ij)),Resal+(Salim-Resal)*(1-EXP((Tnet-t)/(Tau_j)))))*Salcycl</f>
        <v>1.1682624005959001E-2</v>
      </c>
      <c r="P335" s="168">
        <f>(INDEX(Models!$BJ335:$BT335,,T335)*(1-R335)+INDEX(Models!$BJ335:$BT335,,T335+1)*R335-ERP_i)*Q335*Ramure*Pc/MaxiM</f>
        <v>1.0521555298783577E-4</v>
      </c>
      <c r="Q335" s="304">
        <f t="shared" ref="Q335:Q379" si="138">IF(OR(t&lt;Ttai,Notai),Dd+PousD*Croivg,Dens+PousD*(Croivg-Croi_tai))</f>
        <v>0.5</v>
      </c>
      <c r="R335" s="176">
        <f t="shared" ref="R335:R379" si="139">(Hp_vg-S335)/(INDEX(Echel_vg,T335+1)-S335)</f>
        <v>0.8344566710357324</v>
      </c>
      <c r="S335" s="814">
        <f t="shared" si="128"/>
        <v>-1</v>
      </c>
      <c r="T335" s="175">
        <f t="shared" ref="T335:T379" si="140">MIN(MATCH(Hp_vg,Echel_vg),10)</f>
        <v>5</v>
      </c>
      <c r="U335" s="250">
        <f t="shared" ref="U335:U379" si="141">IF(OR(t&lt;Ttai,Notai),Hdd+PousH*Croivg,Hdtf+PousH*(Croivg-Croi_tai))</f>
        <v>-0.1655433289642676</v>
      </c>
      <c r="V335" s="382">
        <f t="shared" ref="V335:V379" si="142">MaxiM*(1-Ppv)*(1-Pvg)*(1-Psa)</f>
        <v>30.308789271550978</v>
      </c>
      <c r="W335" s="58"/>
      <c r="X335" s="157">
        <f t="shared" ref="X335:X379" si="143">t</f>
        <v>43421</v>
      </c>
      <c r="Y335" s="384">
        <f t="shared" ref="Y335:Y379" si="144">Wh_pvt_s*(1-Ppv)</f>
        <v>28.972999999999999</v>
      </c>
      <c r="Z335" s="384">
        <f t="shared" ref="Z335:Z379" si="145">Wh_sa_s*(1-Psa_s)</f>
        <v>29.081718359858499</v>
      </c>
      <c r="AA335" s="385">
        <f t="shared" ref="AA335:AA379" si="146">Wh_hp*(1-Pvg_s*MEDIAN((-Sdif+Wh/Env_an)/Csdif,0,1))</f>
        <v>29.42548524011162</v>
      </c>
      <c r="AB335" s="196">
        <f t="shared" ref="AB335:AB379" si="147">t</f>
        <v>43421</v>
      </c>
      <c r="AC335" s="425">
        <f t="shared" ref="AC335:AC379" si="148">IF(t&lt;T0,0,IF(OR(t&lt;Tnet,NoTnet),Salim_i*(1-EXP((T0-t)/Tau_ij)),Resal_s+(Salim-Resal_s)*(1-EXP((Tnet_s-t)/Tau_j))))*Salcycl</f>
        <v>1.1682624005959001E-2</v>
      </c>
      <c r="AD335" s="168">
        <f>(INDEX(Models!$BJ335:$BT335,,AH335)*(1-AF335)+INDEX(Models!$BJ335:$BT335,,AH335+1)*AF335-ERP_i)*AE335*Ramure*Pc/MaxiM</f>
        <v>1.0521555298783577E-4</v>
      </c>
      <c r="AE335" s="304">
        <f t="shared" ref="AE335:AE379" si="149">Dd+PousD*Croivg</f>
        <v>0.5</v>
      </c>
      <c r="AF335" s="176">
        <f t="shared" ref="AF335:AF379" si="150">(Hp_vg_s-AG335)/(INDEX(Echel_vg,AH335+1)-AG335)</f>
        <v>0.8344566710357324</v>
      </c>
      <c r="AG335" s="814">
        <f t="shared" ref="AG335:AG379" si="151">INDEX(Echel_vg,AH335)</f>
        <v>-1</v>
      </c>
      <c r="AH335" s="175">
        <f t="shared" ref="AH335:AH379" si="152">MIN(MATCH(Hp_vg_s,Echel_vg),10)</f>
        <v>5</v>
      </c>
      <c r="AI335" s="224">
        <f t="shared" ref="AI335:AI379" si="153">Hdd+PousH*Croivg</f>
        <v>-0.1655433289642676</v>
      </c>
      <c r="AJ335" s="264" t="b">
        <f t="shared" ref="AJ335:AJ380" si="154">t&lt;Tnet</f>
        <v>0</v>
      </c>
      <c r="AK335" s="264" t="b">
        <f t="shared" ref="AK335:AK380" si="15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56">A335+1</f>
        <v>43422</v>
      </c>
      <c r="B336" s="616">
        <v>23.483000000000001</v>
      </c>
      <c r="C336" s="389"/>
      <c r="D336" s="392">
        <f t="shared" si="133"/>
        <v>23.571633948990186</v>
      </c>
      <c r="E336" s="384">
        <f t="shared" si="130"/>
        <v>23.851605386096324</v>
      </c>
      <c r="F336" s="384">
        <f t="shared" si="132"/>
        <v>23.853363752252868</v>
      </c>
      <c r="G336" s="110">
        <f t="shared" si="131"/>
        <v>0.78190037195871531</v>
      </c>
      <c r="I336" s="379">
        <f t="shared" si="134"/>
        <v>23.853363752252868</v>
      </c>
      <c r="J336" s="85">
        <v>2018</v>
      </c>
      <c r="K336" s="196">
        <f t="shared" si="135"/>
        <v>43422</v>
      </c>
      <c r="L336" s="436">
        <f t="shared" si="136"/>
        <v>3.7601953764424545E-3</v>
      </c>
      <c r="M336" s="858"/>
      <c r="N336" s="858"/>
      <c r="O336" s="323">
        <f t="shared" si="137"/>
        <v>1.1738054213715047E-2</v>
      </c>
      <c r="P336" s="168">
        <f>(INDEX(Models!$BJ336:$BT336,,T336)*(1-R336)+INDEX(Models!$BJ336:$BT336,,T336+1)*R336-ERP_i)*Q336*Ramure*Pc/MaxiM</f>
        <v>1.0707225687456209E-4</v>
      </c>
      <c r="Q336" s="304">
        <f t="shared" si="138"/>
        <v>0.5</v>
      </c>
      <c r="R336" s="176">
        <f t="shared" si="139"/>
        <v>0.83447349597093046</v>
      </c>
      <c r="S336" s="814">
        <f t="shared" ref="S336:S379" si="157">INDEX(Echel_vg,T336)</f>
        <v>-1</v>
      </c>
      <c r="T336" s="175">
        <f t="shared" si="140"/>
        <v>5</v>
      </c>
      <c r="U336" s="250">
        <f t="shared" si="141"/>
        <v>-0.16552650402906954</v>
      </c>
      <c r="V336" s="382">
        <f t="shared" si="142"/>
        <v>30.032236166064497</v>
      </c>
      <c r="W336" s="58"/>
      <c r="X336" s="157">
        <f t="shared" si="143"/>
        <v>43422</v>
      </c>
      <c r="Y336" s="384">
        <f t="shared" si="144"/>
        <v>23.483000000000001</v>
      </c>
      <c r="Z336" s="384">
        <f t="shared" si="145"/>
        <v>23.571633948990186</v>
      </c>
      <c r="AA336" s="385">
        <f t="shared" si="146"/>
        <v>23.851605386096324</v>
      </c>
      <c r="AB336" s="196">
        <f t="shared" si="147"/>
        <v>43422</v>
      </c>
      <c r="AC336" s="425">
        <f t="shared" si="148"/>
        <v>1.1738054213715047E-2</v>
      </c>
      <c r="AD336" s="168">
        <f>(INDEX(Models!$BJ336:$BT336,,AH336)*(1-AF336)+INDEX(Models!$BJ336:$BT336,,AH336+1)*AF336-ERP_i)*AE336*Ramure*Pc/MaxiM</f>
        <v>1.0707225687456209E-4</v>
      </c>
      <c r="AE336" s="304">
        <f t="shared" si="149"/>
        <v>0.5</v>
      </c>
      <c r="AF336" s="176">
        <f t="shared" si="150"/>
        <v>0.83447349597093046</v>
      </c>
      <c r="AG336" s="814">
        <f t="shared" si="151"/>
        <v>-1</v>
      </c>
      <c r="AH336" s="175">
        <f t="shared" si="152"/>
        <v>5</v>
      </c>
      <c r="AI336" s="224">
        <f t="shared" si="153"/>
        <v>-0.16552650402906954</v>
      </c>
      <c r="AJ336" s="264" t="b">
        <f t="shared" si="154"/>
        <v>0</v>
      </c>
      <c r="AK336" s="264" t="b">
        <f t="shared" si="15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56"/>
        <v>43423</v>
      </c>
      <c r="B337" s="616">
        <v>16.559000000000001</v>
      </c>
      <c r="C337" s="389"/>
      <c r="D337" s="392">
        <f t="shared" si="133"/>
        <v>16.621864149263367</v>
      </c>
      <c r="E337" s="384">
        <f t="shared" si="130"/>
        <v>16.82023399449907</v>
      </c>
      <c r="F337" s="384">
        <f t="shared" si="132"/>
        <v>16.820904034732973</v>
      </c>
      <c r="G337" s="110">
        <f t="shared" si="131"/>
        <v>0.55639965703466931</v>
      </c>
      <c r="I337" s="379">
        <f t="shared" si="134"/>
        <v>16.820904034732973</v>
      </c>
      <c r="J337" s="85">
        <v>2018</v>
      </c>
      <c r="K337" s="196">
        <f t="shared" si="135"/>
        <v>43423</v>
      </c>
      <c r="L337" s="436">
        <f t="shared" si="136"/>
        <v>3.7820155849458414E-3</v>
      </c>
      <c r="M337" s="858"/>
      <c r="N337" s="858"/>
      <c r="O337" s="323">
        <f t="shared" si="137"/>
        <v>1.1793524709619372E-2</v>
      </c>
      <c r="P337" s="168">
        <f>(INDEX(Models!$BJ337:$BT337,,T337)*(1-R337)+INDEX(Models!$BJ337:$BT337,,T337+1)*R337-ERP_i)*Q337*Ramure*Pc/MaxiM</f>
        <v>1.0873446239202927E-4</v>
      </c>
      <c r="Q337" s="304">
        <f t="shared" si="138"/>
        <v>0.5</v>
      </c>
      <c r="R337" s="176">
        <f t="shared" si="139"/>
        <v>0.83448964525963276</v>
      </c>
      <c r="S337" s="814">
        <f t="shared" si="157"/>
        <v>-1</v>
      </c>
      <c r="T337" s="175">
        <f t="shared" si="140"/>
        <v>5</v>
      </c>
      <c r="U337" s="250">
        <f t="shared" si="141"/>
        <v>-0.16551035474036724</v>
      </c>
      <c r="V337" s="382">
        <f t="shared" si="142"/>
        <v>29.758931046864099</v>
      </c>
      <c r="W337" s="58"/>
      <c r="X337" s="157">
        <f t="shared" si="143"/>
        <v>43423</v>
      </c>
      <c r="Y337" s="384">
        <f t="shared" si="144"/>
        <v>16.559000000000001</v>
      </c>
      <c r="Z337" s="384">
        <f t="shared" si="145"/>
        <v>16.621864149263367</v>
      </c>
      <c r="AA337" s="385">
        <f t="shared" si="146"/>
        <v>16.82023399449907</v>
      </c>
      <c r="AB337" s="196">
        <f t="shared" si="147"/>
        <v>43423</v>
      </c>
      <c r="AC337" s="425">
        <f t="shared" si="148"/>
        <v>1.1793524709619372E-2</v>
      </c>
      <c r="AD337" s="168">
        <f>(INDEX(Models!$BJ337:$BT337,,AH337)*(1-AF337)+INDEX(Models!$BJ337:$BT337,,AH337+1)*AF337-ERP_i)*AE337*Ramure*Pc/MaxiM</f>
        <v>1.0873446239202927E-4</v>
      </c>
      <c r="AE337" s="304">
        <f t="shared" si="149"/>
        <v>0.5</v>
      </c>
      <c r="AF337" s="176">
        <f t="shared" si="150"/>
        <v>0.83448964525963276</v>
      </c>
      <c r="AG337" s="814">
        <f t="shared" si="151"/>
        <v>-1</v>
      </c>
      <c r="AH337" s="175">
        <f t="shared" si="152"/>
        <v>5</v>
      </c>
      <c r="AI337" s="224">
        <f t="shared" si="153"/>
        <v>-0.16551035474036724</v>
      </c>
      <c r="AJ337" s="264" t="b">
        <f t="shared" si="154"/>
        <v>0</v>
      </c>
      <c r="AK337" s="264" t="b">
        <f t="shared" si="15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56"/>
        <v>43424</v>
      </c>
      <c r="B338" s="616">
        <v>11.773999999999999</v>
      </c>
      <c r="C338" s="389"/>
      <c r="D338" s="392">
        <f t="shared" si="133"/>
        <v>11.818957367426968</v>
      </c>
      <c r="E338" s="384">
        <f t="shared" si="130"/>
        <v>11.960680005690929</v>
      </c>
      <c r="F338" s="384">
        <f t="shared" si="132"/>
        <v>11.960866755406583</v>
      </c>
      <c r="G338" s="110">
        <f t="shared" si="131"/>
        <v>0.39922426101158853</v>
      </c>
      <c r="I338" s="379">
        <f t="shared" si="134"/>
        <v>11.960866755406583</v>
      </c>
      <c r="J338" s="85">
        <v>2018</v>
      </c>
      <c r="K338" s="196">
        <f t="shared" si="135"/>
        <v>43424</v>
      </c>
      <c r="L338" s="436">
        <f t="shared" si="136"/>
        <v>3.8038353155305238E-3</v>
      </c>
      <c r="M338" s="858"/>
      <c r="N338" s="858"/>
      <c r="O338" s="323">
        <f t="shared" si="137"/>
        <v>1.1849045221218877E-2</v>
      </c>
      <c r="P338" s="168">
        <f>(INDEX(Models!$BJ338:$BT338,,T338)*(1-R338)+INDEX(Models!$BJ338:$BT338,,T338+1)*R338-ERP_i)*Q338*Ramure*Pc/MaxiM</f>
        <v>1.1010634931254201E-4</v>
      </c>
      <c r="Q338" s="304">
        <f t="shared" si="138"/>
        <v>0.5</v>
      </c>
      <c r="R338" s="176">
        <f t="shared" si="139"/>
        <v>0.83450514596559611</v>
      </c>
      <c r="S338" s="814">
        <f t="shared" si="157"/>
        <v>-1</v>
      </c>
      <c r="T338" s="175">
        <f t="shared" si="140"/>
        <v>5</v>
      </c>
      <c r="U338" s="250">
        <f t="shared" si="141"/>
        <v>-0.16549485403440384</v>
      </c>
      <c r="V338" s="382">
        <f t="shared" si="142"/>
        <v>29.489408766722903</v>
      </c>
      <c r="W338" s="58"/>
      <c r="X338" s="157">
        <f t="shared" si="143"/>
        <v>43424</v>
      </c>
      <c r="Y338" s="384">
        <f t="shared" si="144"/>
        <v>11.773999999999999</v>
      </c>
      <c r="Z338" s="384">
        <f t="shared" si="145"/>
        <v>11.818957367426968</v>
      </c>
      <c r="AA338" s="385">
        <f t="shared" si="146"/>
        <v>11.960680005690929</v>
      </c>
      <c r="AB338" s="196">
        <f t="shared" si="147"/>
        <v>43424</v>
      </c>
      <c r="AC338" s="425">
        <f t="shared" si="148"/>
        <v>1.1849045221218877E-2</v>
      </c>
      <c r="AD338" s="168">
        <f>(INDEX(Models!$BJ338:$BT338,,AH338)*(1-AF338)+INDEX(Models!$BJ338:$BT338,,AH338+1)*AF338-ERP_i)*AE338*Ramure*Pc/MaxiM</f>
        <v>1.1010634931254201E-4</v>
      </c>
      <c r="AE338" s="304">
        <f t="shared" si="149"/>
        <v>0.5</v>
      </c>
      <c r="AF338" s="176">
        <f t="shared" si="150"/>
        <v>0.83450514596559611</v>
      </c>
      <c r="AG338" s="814">
        <f t="shared" si="151"/>
        <v>-1</v>
      </c>
      <c r="AH338" s="175">
        <f t="shared" si="152"/>
        <v>5</v>
      </c>
      <c r="AI338" s="224">
        <f t="shared" si="153"/>
        <v>-0.16549485403440384</v>
      </c>
      <c r="AJ338" s="264" t="b">
        <f t="shared" si="154"/>
        <v>0</v>
      </c>
      <c r="AK338" s="264" t="b">
        <f t="shared" si="15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56"/>
        <v>43425</v>
      </c>
      <c r="B339" s="616">
        <v>28.457999999999998</v>
      </c>
      <c r="C339" s="389"/>
      <c r="D339" s="392">
        <f t="shared" si="133"/>
        <v>28.567288578049908</v>
      </c>
      <c r="E339" s="384">
        <f t="shared" si="130"/>
        <v>28.911468769098306</v>
      </c>
      <c r="F339" s="384">
        <f t="shared" si="132"/>
        <v>28.914564371899889</v>
      </c>
      <c r="G339" s="110">
        <f t="shared" si="131"/>
        <v>0.97377794473349466</v>
      </c>
      <c r="I339" s="379">
        <f t="shared" si="134"/>
        <v>28.914564371899889</v>
      </c>
      <c r="J339" s="85">
        <v>2018</v>
      </c>
      <c r="K339" s="196">
        <f t="shared" si="135"/>
        <v>43425</v>
      </c>
      <c r="L339" s="436">
        <f t="shared" si="136"/>
        <v>3.8256545682071597E-3</v>
      </c>
      <c r="M339" s="858"/>
      <c r="N339" s="858"/>
      <c r="O339" s="323">
        <f t="shared" si="137"/>
        <v>1.1904624901529428E-2</v>
      </c>
      <c r="P339" s="168">
        <f>(INDEX(Models!$BJ339:$BT339,,T339)*(1-R339)+INDEX(Models!$BJ339:$BT339,,T339+1)*R339-ERP_i)*Q339*Ramure*Pc/MaxiM</f>
        <v>1.1122622858630639E-4</v>
      </c>
      <c r="Q339" s="304">
        <f t="shared" si="138"/>
        <v>0.5</v>
      </c>
      <c r="R339" s="176">
        <f t="shared" si="139"/>
        <v>0.83452002407390724</v>
      </c>
      <c r="S339" s="814">
        <f t="shared" si="157"/>
        <v>-1</v>
      </c>
      <c r="T339" s="175">
        <f t="shared" si="140"/>
        <v>5</v>
      </c>
      <c r="U339" s="250">
        <f t="shared" si="141"/>
        <v>-0.16547997592609276</v>
      </c>
      <c r="V339" s="382">
        <f t="shared" si="142"/>
        <v>29.224200022265745</v>
      </c>
      <c r="W339" s="58"/>
      <c r="X339" s="157">
        <f t="shared" si="143"/>
        <v>43425</v>
      </c>
      <c r="Y339" s="384">
        <f t="shared" si="144"/>
        <v>28.457999999999998</v>
      </c>
      <c r="Z339" s="384">
        <f t="shared" si="145"/>
        <v>28.567288578049908</v>
      </c>
      <c r="AA339" s="385">
        <f t="shared" si="146"/>
        <v>28.911468769098306</v>
      </c>
      <c r="AB339" s="196">
        <f t="shared" si="147"/>
        <v>43425</v>
      </c>
      <c r="AC339" s="425">
        <f t="shared" si="148"/>
        <v>1.1904624901529428E-2</v>
      </c>
      <c r="AD339" s="168">
        <f>(INDEX(Models!$BJ339:$BT339,,AH339)*(1-AF339)+INDEX(Models!$BJ339:$BT339,,AH339+1)*AF339-ERP_i)*AE339*Ramure*Pc/MaxiM</f>
        <v>1.1122622858630639E-4</v>
      </c>
      <c r="AE339" s="304">
        <f t="shared" si="149"/>
        <v>0.5</v>
      </c>
      <c r="AF339" s="176">
        <f t="shared" si="150"/>
        <v>0.83452002407390724</v>
      </c>
      <c r="AG339" s="814">
        <f t="shared" si="151"/>
        <v>-1</v>
      </c>
      <c r="AH339" s="175">
        <f t="shared" si="152"/>
        <v>5</v>
      </c>
      <c r="AI339" s="224">
        <f t="shared" si="153"/>
        <v>-0.16547997592609276</v>
      </c>
      <c r="AJ339" s="264" t="b">
        <f t="shared" si="154"/>
        <v>0</v>
      </c>
      <c r="AK339" s="264" t="b">
        <f t="shared" si="15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56"/>
        <v>43426</v>
      </c>
      <c r="B340" s="616">
        <v>24.3</v>
      </c>
      <c r="C340" s="389"/>
      <c r="D340" s="392">
        <f t="shared" si="133"/>
        <v>24.393854705712908</v>
      </c>
      <c r="E340" s="384">
        <f t="shared" si="130"/>
        <v>24.689143585601133</v>
      </c>
      <c r="F340" s="384">
        <f t="shared" si="132"/>
        <v>24.691274592990638</v>
      </c>
      <c r="G340" s="110">
        <f t="shared" si="131"/>
        <v>0.83895561552523101</v>
      </c>
      <c r="I340" s="379">
        <f t="shared" si="134"/>
        <v>24.691274592990638</v>
      </c>
      <c r="J340" s="85">
        <v>2018</v>
      </c>
      <c r="K340" s="196">
        <f t="shared" si="135"/>
        <v>43426</v>
      </c>
      <c r="L340" s="436">
        <f t="shared" si="136"/>
        <v>3.8474733429861852E-3</v>
      </c>
      <c r="M340" s="858"/>
      <c r="N340" s="858"/>
      <c r="O340" s="323">
        <f t="shared" si="137"/>
        <v>1.1960272289899893E-2</v>
      </c>
      <c r="P340" s="168">
        <f>(INDEX(Models!$BJ340:$BT340,,T340)*(1-R340)+INDEX(Models!$BJ340:$BT340,,T340+1)*R340-ERP_i)*Q340*Ramure*Pc/MaxiM</f>
        <v>1.1209056343966147E-4</v>
      </c>
      <c r="Q340" s="304">
        <f t="shared" si="138"/>
        <v>0.5</v>
      </c>
      <c r="R340" s="176">
        <f t="shared" si="139"/>
        <v>0.83453430453354838</v>
      </c>
      <c r="S340" s="814">
        <f t="shared" si="157"/>
        <v>-1</v>
      </c>
      <c r="T340" s="175">
        <f t="shared" si="140"/>
        <v>5</v>
      </c>
      <c r="U340" s="250">
        <f t="shared" si="141"/>
        <v>-0.16546569546645162</v>
      </c>
      <c r="V340" s="382">
        <f t="shared" si="142"/>
        <v>28.963836624448579</v>
      </c>
      <c r="W340" s="58"/>
      <c r="X340" s="157">
        <f t="shared" si="143"/>
        <v>43426</v>
      </c>
      <c r="Y340" s="384">
        <f t="shared" si="144"/>
        <v>24.3</v>
      </c>
      <c r="Z340" s="384">
        <f t="shared" si="145"/>
        <v>24.393854705712908</v>
      </c>
      <c r="AA340" s="385">
        <f t="shared" si="146"/>
        <v>24.689143585601133</v>
      </c>
      <c r="AB340" s="196">
        <f t="shared" si="147"/>
        <v>43426</v>
      </c>
      <c r="AC340" s="425">
        <f t="shared" si="148"/>
        <v>1.1960272289899893E-2</v>
      </c>
      <c r="AD340" s="168">
        <f>(INDEX(Models!$BJ340:$BT340,,AH340)*(1-AF340)+INDEX(Models!$BJ340:$BT340,,AH340+1)*AF340-ERP_i)*AE340*Ramure*Pc/MaxiM</f>
        <v>1.1209056343966147E-4</v>
      </c>
      <c r="AE340" s="304">
        <f t="shared" si="149"/>
        <v>0.5</v>
      </c>
      <c r="AF340" s="176">
        <f t="shared" si="150"/>
        <v>0.83453430453354838</v>
      </c>
      <c r="AG340" s="814">
        <f t="shared" si="151"/>
        <v>-1</v>
      </c>
      <c r="AH340" s="175">
        <f t="shared" si="152"/>
        <v>5</v>
      </c>
      <c r="AI340" s="224">
        <f t="shared" si="153"/>
        <v>-0.16546569546645162</v>
      </c>
      <c r="AJ340" s="264" t="b">
        <f t="shared" si="154"/>
        <v>0</v>
      </c>
      <c r="AK340" s="264" t="b">
        <f t="shared" si="15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56"/>
        <v>43427</v>
      </c>
      <c r="B341" s="616">
        <v>15.225</v>
      </c>
      <c r="C341" s="389"/>
      <c r="D341" s="392">
        <f t="shared" si="133"/>
        <v>15.284138790444603</v>
      </c>
      <c r="E341" s="384">
        <f t="shared" si="130"/>
        <v>15.470026556480384</v>
      </c>
      <c r="F341" s="384">
        <f t="shared" si="132"/>
        <v>15.470600214097756</v>
      </c>
      <c r="G341" s="110">
        <f t="shared" si="131"/>
        <v>0.53028416618839047</v>
      </c>
      <c r="I341" s="379">
        <f t="shared" si="134"/>
        <v>15.470600214097756</v>
      </c>
      <c r="J341" s="85">
        <v>2018</v>
      </c>
      <c r="K341" s="196">
        <f t="shared" si="135"/>
        <v>43427</v>
      </c>
      <c r="L341" s="436">
        <f t="shared" si="136"/>
        <v>3.8692916398780364E-3</v>
      </c>
      <c r="M341" s="858"/>
      <c r="N341" s="858"/>
      <c r="O341" s="323">
        <f t="shared" si="137"/>
        <v>1.201599527687393E-2</v>
      </c>
      <c r="P341" s="168">
        <f>(INDEX(Models!$BJ341:$BT341,,T341)*(1-R341)+INDEX(Models!$BJ341:$BT341,,T341+1)*R341-ERP_i)*Q341*Ramure*Pc/MaxiM</f>
        <v>1.1269481688743995E-4</v>
      </c>
      <c r="Q341" s="304">
        <f t="shared" si="138"/>
        <v>0.5</v>
      </c>
      <c r="R341" s="176">
        <f t="shared" si="139"/>
        <v>0.83454801129831824</v>
      </c>
      <c r="S341" s="814">
        <f t="shared" si="157"/>
        <v>-1</v>
      </c>
      <c r="T341" s="175">
        <f t="shared" si="140"/>
        <v>5</v>
      </c>
      <c r="U341" s="250">
        <f t="shared" si="141"/>
        <v>-0.16545198870168176</v>
      </c>
      <c r="V341" s="382">
        <f t="shared" si="142"/>
        <v>28.708850273219245</v>
      </c>
      <c r="W341" s="58"/>
      <c r="X341" s="157">
        <f t="shared" si="143"/>
        <v>43427</v>
      </c>
      <c r="Y341" s="384">
        <f t="shared" si="144"/>
        <v>15.225</v>
      </c>
      <c r="Z341" s="384">
        <f t="shared" si="145"/>
        <v>15.284138790444603</v>
      </c>
      <c r="AA341" s="385">
        <f t="shared" si="146"/>
        <v>15.470026556480384</v>
      </c>
      <c r="AB341" s="196">
        <f t="shared" si="147"/>
        <v>43427</v>
      </c>
      <c r="AC341" s="425">
        <f t="shared" si="148"/>
        <v>1.201599527687393E-2</v>
      </c>
      <c r="AD341" s="168">
        <f>(INDEX(Models!$BJ341:$BT341,,AH341)*(1-AF341)+INDEX(Models!$BJ341:$BT341,,AH341+1)*AF341-ERP_i)*AE341*Ramure*Pc/MaxiM</f>
        <v>1.1269481688743995E-4</v>
      </c>
      <c r="AE341" s="304">
        <f t="shared" si="149"/>
        <v>0.5</v>
      </c>
      <c r="AF341" s="176">
        <f t="shared" si="150"/>
        <v>0.83454801129831824</v>
      </c>
      <c r="AG341" s="814">
        <f t="shared" si="151"/>
        <v>-1</v>
      </c>
      <c r="AH341" s="175">
        <f t="shared" si="152"/>
        <v>5</v>
      </c>
      <c r="AI341" s="224">
        <f t="shared" si="153"/>
        <v>-0.16545198870168176</v>
      </c>
      <c r="AJ341" s="264" t="b">
        <f t="shared" si="154"/>
        <v>0</v>
      </c>
      <c r="AK341" s="264" t="b">
        <f t="shared" si="155"/>
        <v>0</v>
      </c>
      <c r="AL341" s="264"/>
      <c r="AM341" s="264"/>
      <c r="AN341" s="75"/>
    </row>
    <row r="342" spans="1:40" s="6" customFormat="1" ht="11.25" x14ac:dyDescent="0.2">
      <c r="A342" s="56">
        <f t="shared" si="156"/>
        <v>43428</v>
      </c>
      <c r="B342" s="616">
        <v>22.401</v>
      </c>
      <c r="C342" s="389"/>
      <c r="D342" s="392">
        <f t="shared" si="133"/>
        <v>22.488505235437984</v>
      </c>
      <c r="E342" s="384">
        <f t="shared" si="130"/>
        <v>22.763299255826464</v>
      </c>
      <c r="F342" s="384">
        <f t="shared" si="132"/>
        <v>22.765089906287312</v>
      </c>
      <c r="G342" s="110">
        <f t="shared" si="131"/>
        <v>0.78708393900494</v>
      </c>
      <c r="I342" s="379">
        <f t="shared" si="134"/>
        <v>22.765089906287312</v>
      </c>
      <c r="J342" s="85">
        <v>2018</v>
      </c>
      <c r="K342" s="196">
        <f t="shared" si="135"/>
        <v>43428</v>
      </c>
      <c r="L342" s="436">
        <f t="shared" si="136"/>
        <v>3.8911094588932604E-3</v>
      </c>
      <c r="M342" s="858"/>
      <c r="N342" s="858"/>
      <c r="O342" s="323">
        <f t="shared" si="137"/>
        <v>1.207180107330641E-2</v>
      </c>
      <c r="P342" s="168">
        <f>(INDEX(Models!$BJ342:$BT342,,T342)*(1-R342)+INDEX(Models!$BJ342:$BT342,,T342+1)*R342-ERP_i)*Q342*Ramure*Pc/MaxiM</f>
        <v>1.1303463920880161E-4</v>
      </c>
      <c r="Q342" s="304">
        <f t="shared" si="138"/>
        <v>0.5</v>
      </c>
      <c r="R342" s="176">
        <f t="shared" si="139"/>
        <v>0.83456116736616703</v>
      </c>
      <c r="S342" s="814">
        <f t="shared" si="157"/>
        <v>-1</v>
      </c>
      <c r="T342" s="175">
        <f t="shared" si="140"/>
        <v>5</v>
      </c>
      <c r="U342" s="250">
        <f t="shared" si="141"/>
        <v>-0.16543883263383297</v>
      </c>
      <c r="V342" s="382">
        <f t="shared" si="142"/>
        <v>28.459772525356879</v>
      </c>
      <c r="W342" s="58"/>
      <c r="X342" s="157">
        <f t="shared" si="143"/>
        <v>43428</v>
      </c>
      <c r="Y342" s="384">
        <f t="shared" si="144"/>
        <v>22.401</v>
      </c>
      <c r="Z342" s="384">
        <f t="shared" si="145"/>
        <v>22.488505235437984</v>
      </c>
      <c r="AA342" s="385">
        <f t="shared" si="146"/>
        <v>22.763299255826464</v>
      </c>
      <c r="AB342" s="196">
        <f t="shared" si="147"/>
        <v>43428</v>
      </c>
      <c r="AC342" s="425">
        <f t="shared" si="148"/>
        <v>1.207180107330641E-2</v>
      </c>
      <c r="AD342" s="168">
        <f>(INDEX(Models!$BJ342:$BT342,,AH342)*(1-AF342)+INDEX(Models!$BJ342:$BT342,,AH342+1)*AF342-ERP_i)*AE342*Ramure*Pc/MaxiM</f>
        <v>1.1303463920880161E-4</v>
      </c>
      <c r="AE342" s="304">
        <f t="shared" si="149"/>
        <v>0.5</v>
      </c>
      <c r="AF342" s="176">
        <f t="shared" si="150"/>
        <v>0.83456116736616703</v>
      </c>
      <c r="AG342" s="814">
        <f t="shared" si="151"/>
        <v>-1</v>
      </c>
      <c r="AH342" s="175">
        <f t="shared" si="152"/>
        <v>5</v>
      </c>
      <c r="AI342" s="224">
        <f t="shared" si="153"/>
        <v>-0.16543883263383297</v>
      </c>
      <c r="AJ342" s="264" t="b">
        <f t="shared" si="154"/>
        <v>0</v>
      </c>
      <c r="AK342" s="264" t="b">
        <f t="shared" si="15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56"/>
        <v>43429</v>
      </c>
      <c r="B343" s="616">
        <v>11.16</v>
      </c>
      <c r="C343" s="389"/>
      <c r="D343" s="392">
        <f t="shared" si="133"/>
        <v>11.203839805036507</v>
      </c>
      <c r="E343" s="384">
        <f t="shared" si="130"/>
        <v>11.341384672651815</v>
      </c>
      <c r="F343" s="384">
        <f t="shared" si="132"/>
        <v>11.341559691059352</v>
      </c>
      <c r="G343" s="110">
        <f t="shared" si="131"/>
        <v>0.39546573458937873</v>
      </c>
      <c r="I343" s="379">
        <f t="shared" si="134"/>
        <v>11.341559691059352</v>
      </c>
      <c r="J343" s="85">
        <v>2018</v>
      </c>
      <c r="K343" s="196">
        <f t="shared" si="135"/>
        <v>43429</v>
      </c>
      <c r="L343" s="436">
        <f t="shared" si="136"/>
        <v>3.9129268000421824E-3</v>
      </c>
      <c r="M343" s="858"/>
      <c r="N343" s="858"/>
      <c r="O343" s="323">
        <f t="shared" si="137"/>
        <v>1.212769618395688E-2</v>
      </c>
      <c r="P343" s="168">
        <f>(INDEX(Models!$BJ343:$BT343,,T343)*(1-R343)+INDEX(Models!$BJ343:$BT343,,T343+1)*R343-ERP_i)*Q343*Ramure*Pc/MaxiM</f>
        <v>1.1310603024122826E-4</v>
      </c>
      <c r="Q343" s="304">
        <f t="shared" si="138"/>
        <v>0.5</v>
      </c>
      <c r="R343" s="176">
        <f t="shared" si="139"/>
        <v>0.83457379481700544</v>
      </c>
      <c r="S343" s="814">
        <f t="shared" si="157"/>
        <v>-1</v>
      </c>
      <c r="T343" s="175">
        <f t="shared" si="140"/>
        <v>5</v>
      </c>
      <c r="U343" s="250">
        <f t="shared" si="141"/>
        <v>-0.16542620518299456</v>
      </c>
      <c r="V343" s="382">
        <f t="shared" si="142"/>
        <v>28.217134786958802</v>
      </c>
      <c r="W343" s="58"/>
      <c r="X343" s="157">
        <f t="shared" si="143"/>
        <v>43429</v>
      </c>
      <c r="Y343" s="384">
        <f t="shared" si="144"/>
        <v>11.16</v>
      </c>
      <c r="Z343" s="384">
        <f t="shared" si="145"/>
        <v>11.203839805036507</v>
      </c>
      <c r="AA343" s="385">
        <f t="shared" si="146"/>
        <v>11.341384672651815</v>
      </c>
      <c r="AB343" s="196">
        <f t="shared" si="147"/>
        <v>43429</v>
      </c>
      <c r="AC343" s="425">
        <f t="shared" si="148"/>
        <v>1.212769618395688E-2</v>
      </c>
      <c r="AD343" s="168">
        <f>(INDEX(Models!$BJ343:$BT343,,AH343)*(1-AF343)+INDEX(Models!$BJ343:$BT343,,AH343+1)*AF343-ERP_i)*AE343*Ramure*Pc/MaxiM</f>
        <v>1.1310603024122826E-4</v>
      </c>
      <c r="AE343" s="304">
        <f t="shared" si="149"/>
        <v>0.5</v>
      </c>
      <c r="AF343" s="176">
        <f t="shared" si="150"/>
        <v>0.83457379481700544</v>
      </c>
      <c r="AG343" s="814">
        <f t="shared" si="151"/>
        <v>-1</v>
      </c>
      <c r="AH343" s="175">
        <f t="shared" si="152"/>
        <v>5</v>
      </c>
      <c r="AI343" s="224">
        <f t="shared" si="153"/>
        <v>-0.16542620518299456</v>
      </c>
      <c r="AJ343" s="264" t="b">
        <f t="shared" si="154"/>
        <v>0</v>
      </c>
      <c r="AK343" s="264" t="b">
        <f t="shared" si="155"/>
        <v>0</v>
      </c>
      <c r="AL343" s="264"/>
      <c r="AM343" s="264"/>
      <c r="AN343" s="75"/>
    </row>
    <row r="344" spans="1:40" s="6" customFormat="1" ht="11.25" x14ac:dyDescent="0.2">
      <c r="A344" s="56">
        <f t="shared" si="156"/>
        <v>43430</v>
      </c>
      <c r="B344" s="616">
        <v>4.0960000000000001</v>
      </c>
      <c r="C344" s="389"/>
      <c r="D344" s="392">
        <f t="shared" si="133"/>
        <v>4.1121803756756821</v>
      </c>
      <c r="E344" s="384">
        <f t="shared" si="130"/>
        <v>4.1628998418034895</v>
      </c>
      <c r="F344" s="384">
        <f t="shared" si="132"/>
        <v>4.1628998418034895</v>
      </c>
      <c r="G344" s="110">
        <f t="shared" si="131"/>
        <v>0.14636606960052501</v>
      </c>
      <c r="I344" s="379">
        <f t="shared" si="134"/>
        <v>4.1628998418034895</v>
      </c>
      <c r="J344" s="85">
        <v>2018</v>
      </c>
      <c r="K344" s="196">
        <f t="shared" si="135"/>
        <v>43430</v>
      </c>
      <c r="L344" s="436">
        <f t="shared" si="136"/>
        <v>3.9347436633353494E-3</v>
      </c>
      <c r="M344" s="858"/>
      <c r="N344" s="858"/>
      <c r="O344" s="323">
        <f t="shared" si="137"/>
        <v>1.218368638574654E-2</v>
      </c>
      <c r="P344" s="168">
        <f>(INDEX(Models!$BJ344:$BT344,,T344)*(1-R344)+INDEX(Models!$BJ344:$BT344,,T344+1)*R344-ERP_i)*Q344*Ramure*Pc/MaxiM</f>
        <v>1.1290480228807253E-4</v>
      </c>
      <c r="Q344" s="304">
        <f t="shared" si="138"/>
        <v>0.5</v>
      </c>
      <c r="R344" s="176">
        <f t="shared" si="139"/>
        <v>0.83458591484904443</v>
      </c>
      <c r="S344" s="814">
        <f t="shared" si="157"/>
        <v>-1</v>
      </c>
      <c r="T344" s="175">
        <f t="shared" si="140"/>
        <v>5</v>
      </c>
      <c r="U344" s="250">
        <f t="shared" si="141"/>
        <v>-0.16541408515095557</v>
      </c>
      <c r="V344" s="382">
        <f t="shared" si="142"/>
        <v>27.981468335576167</v>
      </c>
      <c r="W344" s="58"/>
      <c r="X344" s="157">
        <f t="shared" si="143"/>
        <v>43430</v>
      </c>
      <c r="Y344" s="384">
        <f t="shared" si="144"/>
        <v>4.0960000000000001</v>
      </c>
      <c r="Z344" s="384">
        <f t="shared" si="145"/>
        <v>4.1121803756756821</v>
      </c>
      <c r="AA344" s="385">
        <f t="shared" si="146"/>
        <v>4.1628998418034895</v>
      </c>
      <c r="AB344" s="196">
        <f t="shared" si="147"/>
        <v>43430</v>
      </c>
      <c r="AC344" s="425">
        <f t="shared" si="148"/>
        <v>1.218368638574654E-2</v>
      </c>
      <c r="AD344" s="168">
        <f>(INDEX(Models!$BJ344:$BT344,,AH344)*(1-AF344)+INDEX(Models!$BJ344:$BT344,,AH344+1)*AF344-ERP_i)*AE344*Ramure*Pc/MaxiM</f>
        <v>1.1290480228807253E-4</v>
      </c>
      <c r="AE344" s="304">
        <f t="shared" si="149"/>
        <v>0.5</v>
      </c>
      <c r="AF344" s="176">
        <f t="shared" si="150"/>
        <v>0.83458591484904443</v>
      </c>
      <c r="AG344" s="814">
        <f t="shared" si="151"/>
        <v>-1</v>
      </c>
      <c r="AH344" s="175">
        <f t="shared" si="152"/>
        <v>5</v>
      </c>
      <c r="AI344" s="224">
        <f t="shared" si="153"/>
        <v>-0.16541408515095557</v>
      </c>
      <c r="AJ344" s="264" t="b">
        <f t="shared" si="154"/>
        <v>0</v>
      </c>
      <c r="AK344" s="264" t="b">
        <f t="shared" si="15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56"/>
        <v>43431</v>
      </c>
      <c r="B345" s="616">
        <v>25.331</v>
      </c>
      <c r="C345" s="389"/>
      <c r="D345" s="392">
        <f t="shared" si="133"/>
        <v>25.4316217385465</v>
      </c>
      <c r="E345" s="384">
        <f t="shared" si="130"/>
        <v>25.746756286521595</v>
      </c>
      <c r="F345" s="384">
        <f t="shared" si="132"/>
        <v>25.74929122512259</v>
      </c>
      <c r="G345" s="110">
        <f t="shared" si="131"/>
        <v>0.91284995218743836</v>
      </c>
      <c r="I345" s="379">
        <f t="shared" si="134"/>
        <v>25.74929122512259</v>
      </c>
      <c r="J345" s="85">
        <v>2018</v>
      </c>
      <c r="K345" s="196">
        <f t="shared" si="135"/>
        <v>43431</v>
      </c>
      <c r="L345" s="436">
        <f t="shared" si="136"/>
        <v>3.9565600487831976E-3</v>
      </c>
      <c r="M345" s="858"/>
      <c r="N345" s="858"/>
      <c r="O345" s="323">
        <f t="shared" si="137"/>
        <v>1.2239776710826537E-2</v>
      </c>
      <c r="P345" s="168">
        <f>(INDEX(Models!$BJ345:$BT345,,T345)*(1-R345)+INDEX(Models!$BJ345:$BT345,,T345+1)*R345-ERP_i)*Q345*Ramure*Pc/MaxiM</f>
        <v>1.1244418303600828E-4</v>
      </c>
      <c r="Q345" s="304">
        <f t="shared" si="138"/>
        <v>0.5</v>
      </c>
      <c r="R345" s="176">
        <f t="shared" si="139"/>
        <v>0.83459754781372086</v>
      </c>
      <c r="S345" s="814">
        <f t="shared" si="157"/>
        <v>-1</v>
      </c>
      <c r="T345" s="175">
        <f t="shared" si="140"/>
        <v>5</v>
      </c>
      <c r="U345" s="250">
        <f t="shared" si="141"/>
        <v>-0.16540245218627919</v>
      </c>
      <c r="V345" s="382">
        <f t="shared" si="142"/>
        <v>27.748969411573395</v>
      </c>
      <c r="W345" s="58"/>
      <c r="X345" s="157">
        <f t="shared" si="143"/>
        <v>43431</v>
      </c>
      <c r="Y345" s="384">
        <f t="shared" si="144"/>
        <v>25.331</v>
      </c>
      <c r="Z345" s="384">
        <f t="shared" si="145"/>
        <v>25.4316217385465</v>
      </c>
      <c r="AA345" s="385">
        <f t="shared" si="146"/>
        <v>25.746756286521595</v>
      </c>
      <c r="AB345" s="196">
        <f t="shared" si="147"/>
        <v>43431</v>
      </c>
      <c r="AC345" s="425">
        <f t="shared" si="148"/>
        <v>1.2239776710826537E-2</v>
      </c>
      <c r="AD345" s="168">
        <f>(INDEX(Models!$BJ345:$BT345,,AH345)*(1-AF345)+INDEX(Models!$BJ345:$BT345,,AH345+1)*AF345-ERP_i)*AE345*Ramure*Pc/MaxiM</f>
        <v>1.1244418303600828E-4</v>
      </c>
      <c r="AE345" s="304">
        <f t="shared" si="149"/>
        <v>0.5</v>
      </c>
      <c r="AF345" s="176">
        <f t="shared" si="150"/>
        <v>0.83459754781372086</v>
      </c>
      <c r="AG345" s="814">
        <f t="shared" si="151"/>
        <v>-1</v>
      </c>
      <c r="AH345" s="175">
        <f t="shared" si="152"/>
        <v>5</v>
      </c>
      <c r="AI345" s="224">
        <f t="shared" si="153"/>
        <v>-0.16540245218627919</v>
      </c>
      <c r="AJ345" s="264" t="b">
        <f t="shared" si="154"/>
        <v>0</v>
      </c>
      <c r="AK345" s="264" t="b">
        <f t="shared" si="15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56"/>
        <v>43432</v>
      </c>
      <c r="B346" s="616">
        <v>19.172000000000001</v>
      </c>
      <c r="C346" s="389"/>
      <c r="D346" s="392">
        <f t="shared" si="133"/>
        <v>19.248578080229201</v>
      </c>
      <c r="E346" s="384">
        <f t="shared" si="130"/>
        <v>19.488204485898805</v>
      </c>
      <c r="F346" s="384">
        <f t="shared" si="132"/>
        <v>19.489438693359329</v>
      </c>
      <c r="G346" s="110">
        <f t="shared" si="131"/>
        <v>0.69671429060636436</v>
      </c>
      <c r="I346" s="379">
        <f t="shared" si="134"/>
        <v>19.489438693359329</v>
      </c>
      <c r="J346" s="85">
        <v>2018</v>
      </c>
      <c r="K346" s="196">
        <f t="shared" si="135"/>
        <v>43432</v>
      </c>
      <c r="L346" s="436">
        <f t="shared" si="136"/>
        <v>3.9783759563962739E-3</v>
      </c>
      <c r="M346" s="858"/>
      <c r="N346" s="858"/>
      <c r="O346" s="323">
        <f t="shared" si="137"/>
        <v>1.2295971434566507E-2</v>
      </c>
      <c r="P346" s="168">
        <f>(INDEX(Models!$BJ346:$BT346,,T346)*(1-R346)+INDEX(Models!$BJ346:$BT346,,T346+1)*R346-ERP_i)*Q346*Ramure*Pc/MaxiM</f>
        <v>1.1173059466784913E-4</v>
      </c>
      <c r="Q346" s="304">
        <f t="shared" si="138"/>
        <v>0.5</v>
      </c>
      <c r="R346" s="176">
        <f t="shared" si="139"/>
        <v>0.83460871324926167</v>
      </c>
      <c r="S346" s="814">
        <f t="shared" si="157"/>
        <v>-1</v>
      </c>
      <c r="T346" s="175">
        <f t="shared" si="140"/>
        <v>5</v>
      </c>
      <c r="U346" s="250">
        <f t="shared" si="141"/>
        <v>-0.16539128675073839</v>
      </c>
      <c r="V346" s="382">
        <f t="shared" si="142"/>
        <v>27.516404078072391</v>
      </c>
      <c r="W346" s="58"/>
      <c r="X346" s="157">
        <f t="shared" si="143"/>
        <v>43432</v>
      </c>
      <c r="Y346" s="384">
        <f t="shared" si="144"/>
        <v>19.172000000000001</v>
      </c>
      <c r="Z346" s="384">
        <f t="shared" si="145"/>
        <v>19.248578080229201</v>
      </c>
      <c r="AA346" s="385">
        <f t="shared" si="146"/>
        <v>19.488204485898805</v>
      </c>
      <c r="AB346" s="196">
        <f t="shared" si="147"/>
        <v>43432</v>
      </c>
      <c r="AC346" s="425">
        <f t="shared" si="148"/>
        <v>1.2295971434566507E-2</v>
      </c>
      <c r="AD346" s="168">
        <f>(INDEX(Models!$BJ346:$BT346,,AH346)*(1-AF346)+INDEX(Models!$BJ346:$BT346,,AH346+1)*AF346-ERP_i)*AE346*Ramure*Pc/MaxiM</f>
        <v>1.1173059466784913E-4</v>
      </c>
      <c r="AE346" s="304">
        <f t="shared" si="149"/>
        <v>0.5</v>
      </c>
      <c r="AF346" s="176">
        <f t="shared" si="150"/>
        <v>0.83460871324926167</v>
      </c>
      <c r="AG346" s="814">
        <f t="shared" si="151"/>
        <v>-1</v>
      </c>
      <c r="AH346" s="175">
        <f t="shared" si="152"/>
        <v>5</v>
      </c>
      <c r="AI346" s="224">
        <f t="shared" si="153"/>
        <v>-0.16539128675073839</v>
      </c>
      <c r="AJ346" s="264" t="b">
        <f t="shared" si="154"/>
        <v>0</v>
      </c>
      <c r="AK346" s="264" t="b">
        <f t="shared" si="15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56"/>
        <v>43433</v>
      </c>
      <c r="B347" s="616">
        <v>26.885999999999999</v>
      </c>
      <c r="C347" s="389"/>
      <c r="D347" s="392">
        <f t="shared" si="133"/>
        <v>26.993981090637607</v>
      </c>
      <c r="E347" s="384">
        <f t="shared" si="130"/>
        <v>27.331588360798467</v>
      </c>
      <c r="F347" s="384">
        <f t="shared" si="132"/>
        <v>27.334557288633277</v>
      </c>
      <c r="G347" s="110">
        <f t="shared" si="131"/>
        <v>0.98536877297175074</v>
      </c>
      <c r="I347" s="379">
        <f t="shared" si="134"/>
        <v>27.334557288633277</v>
      </c>
      <c r="J347" s="85">
        <v>2018</v>
      </c>
      <c r="K347" s="196">
        <f t="shared" si="135"/>
        <v>43433</v>
      </c>
      <c r="L347" s="436">
        <f t="shared" si="136"/>
        <v>4.0001913861849037E-3</v>
      </c>
      <c r="M347" s="858"/>
      <c r="N347" s="858"/>
      <c r="O347" s="323">
        <f t="shared" si="137"/>
        <v>1.2352274068531274E-2</v>
      </c>
      <c r="P347" s="168">
        <f>(INDEX(Models!$BJ347:$BT347,,T347)*(1-R347)+INDEX(Models!$BJ347:$BT347,,T347+1)*R347-ERP_i)*Q347*Ramure*Pc/MaxiM</f>
        <v>1.1093277478364306E-4</v>
      </c>
      <c r="Q347" s="304">
        <f t="shared" si="138"/>
        <v>0.5</v>
      </c>
      <c r="R347" s="176">
        <f t="shared" si="139"/>
        <v>0.83461942991293914</v>
      </c>
      <c r="S347" s="814">
        <f t="shared" si="157"/>
        <v>-1</v>
      </c>
      <c r="T347" s="175">
        <f t="shared" si="140"/>
        <v>5</v>
      </c>
      <c r="U347" s="250">
        <f t="shared" si="141"/>
        <v>-0.16538057008706086</v>
      </c>
      <c r="V347" s="382">
        <f t="shared" si="142"/>
        <v>27.285152929694068</v>
      </c>
      <c r="W347" s="58"/>
      <c r="X347" s="157">
        <f t="shared" si="143"/>
        <v>43433</v>
      </c>
      <c r="Y347" s="384">
        <f t="shared" si="144"/>
        <v>26.885999999999999</v>
      </c>
      <c r="Z347" s="384">
        <f t="shared" si="145"/>
        <v>26.993981090637607</v>
      </c>
      <c r="AA347" s="385">
        <f t="shared" si="146"/>
        <v>27.331588360798467</v>
      </c>
      <c r="AB347" s="196">
        <f t="shared" si="147"/>
        <v>43433</v>
      </c>
      <c r="AC347" s="425">
        <f t="shared" si="148"/>
        <v>1.2352274068531274E-2</v>
      </c>
      <c r="AD347" s="168">
        <f>(INDEX(Models!$BJ347:$BT347,,AH347)*(1-AF347)+INDEX(Models!$BJ347:$BT347,,AH347+1)*AF347-ERP_i)*AE347*Ramure*Pc/MaxiM</f>
        <v>1.1093277478364306E-4</v>
      </c>
      <c r="AE347" s="304">
        <f t="shared" si="149"/>
        <v>0.5</v>
      </c>
      <c r="AF347" s="176">
        <f t="shared" si="150"/>
        <v>0.83461942991293914</v>
      </c>
      <c r="AG347" s="814">
        <f t="shared" si="151"/>
        <v>-1</v>
      </c>
      <c r="AH347" s="175">
        <f t="shared" si="152"/>
        <v>5</v>
      </c>
      <c r="AI347" s="224">
        <f t="shared" si="153"/>
        <v>-0.16538057008706086</v>
      </c>
      <c r="AJ347" s="264" t="b">
        <f t="shared" si="154"/>
        <v>0</v>
      </c>
      <c r="AK347" s="264" t="b">
        <f t="shared" si="15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56"/>
        <v>43434</v>
      </c>
      <c r="B348" s="616">
        <v>8.8260000000000005</v>
      </c>
      <c r="C348" s="389"/>
      <c r="D348" s="392">
        <f t="shared" si="133"/>
        <v>8.8616415785956111</v>
      </c>
      <c r="E348" s="384">
        <f t="shared" si="130"/>
        <v>8.9729845384050897</v>
      </c>
      <c r="F348" s="384">
        <f t="shared" si="132"/>
        <v>8.9730215035223395</v>
      </c>
      <c r="G348" s="110">
        <f t="shared" si="131"/>
        <v>0.32617050049397789</v>
      </c>
      <c r="I348" s="379">
        <f t="shared" si="134"/>
        <v>8.9730215035223395</v>
      </c>
      <c r="J348" s="85">
        <v>2018</v>
      </c>
      <c r="K348" s="196">
        <f t="shared" si="135"/>
        <v>43434</v>
      </c>
      <c r="L348" s="436">
        <f t="shared" si="136"/>
        <v>4.0220063381596338E-3</v>
      </c>
      <c r="M348" s="858"/>
      <c r="N348" s="858"/>
      <c r="O348" s="323">
        <f t="shared" si="137"/>
        <v>1.2408687358472635E-2</v>
      </c>
      <c r="P348" s="168">
        <f>(INDEX(Models!$BJ348:$BT348,,T348)*(1-R348)+INDEX(Models!$BJ348:$BT348,,T348+1)*R348-ERP_i)*Q348*Ramure*Pc/MaxiM</f>
        <v>1.1004399925829272E-4</v>
      </c>
      <c r="Q348" s="304">
        <f t="shared" si="138"/>
        <v>0.5</v>
      </c>
      <c r="R348" s="176">
        <f t="shared" si="139"/>
        <v>0.83462971581206458</v>
      </c>
      <c r="S348" s="814">
        <f t="shared" si="157"/>
        <v>-1</v>
      </c>
      <c r="T348" s="175">
        <f t="shared" si="140"/>
        <v>5</v>
      </c>
      <c r="U348" s="250">
        <f t="shared" si="141"/>
        <v>-0.16537028418793542</v>
      </c>
      <c r="V348" s="382">
        <f t="shared" si="142"/>
        <v>27.056601053423311</v>
      </c>
      <c r="W348" s="58"/>
      <c r="X348" s="157">
        <f t="shared" si="143"/>
        <v>43434</v>
      </c>
      <c r="Y348" s="384">
        <f t="shared" si="144"/>
        <v>8.8260000000000005</v>
      </c>
      <c r="Z348" s="384">
        <f t="shared" si="145"/>
        <v>8.8616415785956111</v>
      </c>
      <c r="AA348" s="385">
        <f t="shared" si="146"/>
        <v>8.9729845384050897</v>
      </c>
      <c r="AB348" s="196">
        <f t="shared" si="147"/>
        <v>43434</v>
      </c>
      <c r="AC348" s="425">
        <f t="shared" si="148"/>
        <v>1.2408687358472635E-2</v>
      </c>
      <c r="AD348" s="168">
        <f>(INDEX(Models!$BJ348:$BT348,,AH348)*(1-AF348)+INDEX(Models!$BJ348:$BT348,,AH348+1)*AF348-ERP_i)*AE348*Ramure*Pc/MaxiM</f>
        <v>1.1004399925829272E-4</v>
      </c>
      <c r="AE348" s="304">
        <f t="shared" si="149"/>
        <v>0.5</v>
      </c>
      <c r="AF348" s="176">
        <f t="shared" si="150"/>
        <v>0.83462971581206458</v>
      </c>
      <c r="AG348" s="814">
        <f t="shared" si="151"/>
        <v>-1</v>
      </c>
      <c r="AH348" s="175">
        <f t="shared" si="152"/>
        <v>5</v>
      </c>
      <c r="AI348" s="224">
        <f t="shared" si="153"/>
        <v>-0.16537028418793542</v>
      </c>
      <c r="AJ348" s="264" t="b">
        <f t="shared" si="154"/>
        <v>0</v>
      </c>
      <c r="AK348" s="264" t="b">
        <f t="shared" si="15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56"/>
        <v>43435</v>
      </c>
      <c r="B349" s="616">
        <v>19.437999999999999</v>
      </c>
      <c r="C349" s="389"/>
      <c r="D349" s="392">
        <f t="shared" si="133"/>
        <v>19.516922939174091</v>
      </c>
      <c r="E349" s="384">
        <f t="shared" si="130"/>
        <v>19.763276394690191</v>
      </c>
      <c r="F349" s="384">
        <f t="shared" si="132"/>
        <v>19.764583319010047</v>
      </c>
      <c r="G349" s="110">
        <f t="shared" si="131"/>
        <v>0.72439881411161566</v>
      </c>
      <c r="I349" s="379">
        <f t="shared" si="134"/>
        <v>19.764583319010047</v>
      </c>
      <c r="J349" s="85">
        <v>2018</v>
      </c>
      <c r="K349" s="196">
        <f t="shared" si="135"/>
        <v>43435</v>
      </c>
      <c r="L349" s="436">
        <f t="shared" si="136"/>
        <v>4.0438208123310115E-3</v>
      </c>
      <c r="M349" s="858"/>
      <c r="N349" s="858"/>
      <c r="O349" s="323">
        <f t="shared" si="137"/>
        <v>1.2465213287321499E-2</v>
      </c>
      <c r="P349" s="168">
        <f>(INDEX(Models!$BJ349:$BT349,,T349)*(1-R349)+INDEX(Models!$BJ349:$BT349,,T349+1)*R349-ERP_i)*Q349*Ramure*Pc/MaxiM</f>
        <v>1.0905732152718309E-4</v>
      </c>
      <c r="Q349" s="304">
        <f t="shared" si="138"/>
        <v>0.5</v>
      </c>
      <c r="R349" s="176">
        <f t="shared" si="139"/>
        <v>0.83463958823376982</v>
      </c>
      <c r="S349" s="814">
        <f t="shared" si="157"/>
        <v>-1</v>
      </c>
      <c r="T349" s="175">
        <f t="shared" si="140"/>
        <v>5</v>
      </c>
      <c r="U349" s="250">
        <f t="shared" si="141"/>
        <v>-0.16536041176623012</v>
      </c>
      <c r="V349" s="382">
        <f t="shared" si="142"/>
        <v>26.83213312763014</v>
      </c>
      <c r="W349" s="58"/>
      <c r="X349" s="157">
        <f t="shared" si="143"/>
        <v>43435</v>
      </c>
      <c r="Y349" s="384">
        <f t="shared" si="144"/>
        <v>19.437999999999999</v>
      </c>
      <c r="Z349" s="384">
        <f t="shared" si="145"/>
        <v>19.516922939174091</v>
      </c>
      <c r="AA349" s="385">
        <f t="shared" si="146"/>
        <v>19.763276394690191</v>
      </c>
      <c r="AB349" s="196">
        <f t="shared" si="147"/>
        <v>43435</v>
      </c>
      <c r="AC349" s="425">
        <f t="shared" si="148"/>
        <v>1.2465213287321499E-2</v>
      </c>
      <c r="AD349" s="168">
        <f>(INDEX(Models!$BJ349:$BT349,,AH349)*(1-AF349)+INDEX(Models!$BJ349:$BT349,,AH349+1)*AF349-ERP_i)*AE349*Ramure*Pc/MaxiM</f>
        <v>1.0905732152718309E-4</v>
      </c>
      <c r="AE349" s="304">
        <f t="shared" si="149"/>
        <v>0.5</v>
      </c>
      <c r="AF349" s="176">
        <f t="shared" si="150"/>
        <v>0.83463958823376982</v>
      </c>
      <c r="AG349" s="814">
        <f t="shared" si="151"/>
        <v>-1</v>
      </c>
      <c r="AH349" s="175">
        <f t="shared" si="152"/>
        <v>5</v>
      </c>
      <c r="AI349" s="224">
        <f t="shared" si="153"/>
        <v>-0.16536041176623012</v>
      </c>
      <c r="AJ349" s="264" t="b">
        <f t="shared" si="154"/>
        <v>0</v>
      </c>
      <c r="AK349" s="264" t="b">
        <f t="shared" si="15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56"/>
        <v>43436</v>
      </c>
      <c r="B350" s="616">
        <v>7.968</v>
      </c>
      <c r="C350" s="389"/>
      <c r="D350" s="392">
        <f t="shared" si="133"/>
        <v>8.0005272219616348</v>
      </c>
      <c r="E350" s="384">
        <f t="shared" si="130"/>
        <v>8.101979012843012</v>
      </c>
      <c r="F350" s="384">
        <f t="shared" si="132"/>
        <v>8.101979012843012</v>
      </c>
      <c r="G350" s="110">
        <f t="shared" si="131"/>
        <v>0.29936872160378336</v>
      </c>
      <c r="I350" s="379">
        <f t="shared" si="134"/>
        <v>8.101979012843012</v>
      </c>
      <c r="J350" s="85">
        <v>2018</v>
      </c>
      <c r="K350" s="196">
        <f t="shared" si="135"/>
        <v>43436</v>
      </c>
      <c r="L350" s="436">
        <f t="shared" si="136"/>
        <v>4.0656348087093619E-3</v>
      </c>
      <c r="M350" s="858"/>
      <c r="N350" s="858"/>
      <c r="O350" s="323">
        <f t="shared" si="137"/>
        <v>1.2521853083124411E-2</v>
      </c>
      <c r="P350" s="168">
        <f>(INDEX(Models!$BJ350:$BT350,,T350)*(1-R350)+INDEX(Models!$BJ350:$BT350,,T350+1)*R350-ERP_i)*Q350*Ramure*Pc/MaxiM</f>
        <v>1.0796562873737282E-4</v>
      </c>
      <c r="Q350" s="304">
        <f t="shared" si="138"/>
        <v>0.5</v>
      </c>
      <c r="R350" s="176">
        <f t="shared" si="139"/>
        <v>0.83464906377362302</v>
      </c>
      <c r="S350" s="814">
        <f t="shared" si="157"/>
        <v>-1</v>
      </c>
      <c r="T350" s="175">
        <f t="shared" si="140"/>
        <v>5</v>
      </c>
      <c r="U350" s="250">
        <f t="shared" si="141"/>
        <v>-0.16535093622637698</v>
      </c>
      <c r="V350" s="382">
        <f t="shared" si="142"/>
        <v>26.613133420180038</v>
      </c>
      <c r="W350" s="58"/>
      <c r="X350" s="157">
        <f t="shared" si="143"/>
        <v>43436</v>
      </c>
      <c r="Y350" s="384">
        <f t="shared" si="144"/>
        <v>7.9680000000000009</v>
      </c>
      <c r="Z350" s="384">
        <f t="shared" si="145"/>
        <v>8.0005272219616348</v>
      </c>
      <c r="AA350" s="385">
        <f t="shared" si="146"/>
        <v>8.101979012843012</v>
      </c>
      <c r="AB350" s="196">
        <f t="shared" si="147"/>
        <v>43436</v>
      </c>
      <c r="AC350" s="425">
        <f t="shared" si="148"/>
        <v>1.2521853083124411E-2</v>
      </c>
      <c r="AD350" s="168">
        <f>(INDEX(Models!$BJ350:$BT350,,AH350)*(1-AF350)+INDEX(Models!$BJ350:$BT350,,AH350+1)*AF350-ERP_i)*AE350*Ramure*Pc/MaxiM</f>
        <v>1.0796562873737282E-4</v>
      </c>
      <c r="AE350" s="304">
        <f t="shared" si="149"/>
        <v>0.5</v>
      </c>
      <c r="AF350" s="176">
        <f t="shared" si="150"/>
        <v>0.83464906377362302</v>
      </c>
      <c r="AG350" s="814">
        <f t="shared" si="151"/>
        <v>-1</v>
      </c>
      <c r="AH350" s="175">
        <f t="shared" si="152"/>
        <v>5</v>
      </c>
      <c r="AI350" s="224">
        <f t="shared" si="153"/>
        <v>-0.16535093622637698</v>
      </c>
      <c r="AJ350" s="264" t="b">
        <f t="shared" si="154"/>
        <v>0</v>
      </c>
      <c r="AK350" s="264" t="b">
        <f t="shared" si="15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56"/>
        <v>43437</v>
      </c>
      <c r="B351" s="616">
        <v>9.6080000000000005</v>
      </c>
      <c r="C351" s="389"/>
      <c r="D351" s="392">
        <f t="shared" si="133"/>
        <v>9.6474333854541641</v>
      </c>
      <c r="E351" s="384">
        <f t="shared" si="130"/>
        <v>9.7703305357889842</v>
      </c>
      <c r="F351" s="384">
        <f t="shared" si="132"/>
        <v>9.7704257950431224</v>
      </c>
      <c r="G351" s="110">
        <f t="shared" si="131"/>
        <v>0.36389049942174262</v>
      </c>
      <c r="I351" s="379">
        <f t="shared" si="134"/>
        <v>9.7704257950431224</v>
      </c>
      <c r="J351" s="85">
        <v>2018</v>
      </c>
      <c r="K351" s="196">
        <f t="shared" si="135"/>
        <v>43437</v>
      </c>
      <c r="L351" s="436">
        <f t="shared" si="136"/>
        <v>4.087448327305232E-3</v>
      </c>
      <c r="M351" s="858"/>
      <c r="N351" s="858"/>
      <c r="O351" s="323">
        <f t="shared" si="137"/>
        <v>1.2578607231827434E-2</v>
      </c>
      <c r="P351" s="168">
        <f>(INDEX(Models!$BJ351:$BT351,,T351)*(1-R351)+INDEX(Models!$BJ351:$BT351,,T351+1)*R351-ERP_i)*Q351*Ramure*Pc/MaxiM</f>
        <v>1.06761709923188E-4</v>
      </c>
      <c r="Q351" s="304">
        <f t="shared" si="138"/>
        <v>0.5</v>
      </c>
      <c r="R351" s="176">
        <f t="shared" si="139"/>
        <v>0.83465815836312052</v>
      </c>
      <c r="S351" s="814">
        <f t="shared" si="157"/>
        <v>-1</v>
      </c>
      <c r="T351" s="175">
        <f t="shared" si="140"/>
        <v>5</v>
      </c>
      <c r="U351" s="250">
        <f t="shared" si="141"/>
        <v>-0.16534184163687943</v>
      </c>
      <c r="V351" s="382">
        <f t="shared" si="142"/>
        <v>26.40098577817329</v>
      </c>
      <c r="W351" s="58"/>
      <c r="X351" s="157">
        <f t="shared" si="143"/>
        <v>43437</v>
      </c>
      <c r="Y351" s="384">
        <f t="shared" si="144"/>
        <v>9.6080000000000005</v>
      </c>
      <c r="Z351" s="384">
        <f t="shared" si="145"/>
        <v>9.6474333854541641</v>
      </c>
      <c r="AA351" s="385">
        <f t="shared" si="146"/>
        <v>9.7703305357889842</v>
      </c>
      <c r="AB351" s="196">
        <f t="shared" si="147"/>
        <v>43437</v>
      </c>
      <c r="AC351" s="425">
        <f t="shared" si="148"/>
        <v>1.2578607231827434E-2</v>
      </c>
      <c r="AD351" s="168">
        <f>(INDEX(Models!$BJ351:$BT351,,AH351)*(1-AF351)+INDEX(Models!$BJ351:$BT351,,AH351+1)*AF351-ERP_i)*AE351*Ramure*Pc/MaxiM</f>
        <v>1.06761709923188E-4</v>
      </c>
      <c r="AE351" s="304">
        <f t="shared" si="149"/>
        <v>0.5</v>
      </c>
      <c r="AF351" s="176">
        <f t="shared" si="150"/>
        <v>0.83465815836312052</v>
      </c>
      <c r="AG351" s="814">
        <f t="shared" si="151"/>
        <v>-1</v>
      </c>
      <c r="AH351" s="175">
        <f t="shared" si="152"/>
        <v>5</v>
      </c>
      <c r="AI351" s="224">
        <f t="shared" si="153"/>
        <v>-0.16534184163687943</v>
      </c>
      <c r="AJ351" s="264" t="b">
        <f t="shared" si="154"/>
        <v>0</v>
      </c>
      <c r="AK351" s="264" t="b">
        <f t="shared" si="15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56"/>
        <v>43438</v>
      </c>
      <c r="B352" s="616">
        <v>4.7530000000000001</v>
      </c>
      <c r="C352" s="389"/>
      <c r="D352" s="392">
        <f t="shared" si="133"/>
        <v>4.7726119097457911</v>
      </c>
      <c r="E352" s="384">
        <f t="shared" si="130"/>
        <v>4.8336878541766088</v>
      </c>
      <c r="F352" s="384">
        <f t="shared" si="132"/>
        <v>4.8336878541766088</v>
      </c>
      <c r="G352" s="110">
        <f t="shared" si="131"/>
        <v>0.18141334862915212</v>
      </c>
      <c r="I352" s="379">
        <f t="shared" si="134"/>
        <v>4.8336878541766088</v>
      </c>
      <c r="J352" s="85">
        <v>2018</v>
      </c>
      <c r="K352" s="196">
        <f t="shared" si="135"/>
        <v>43438</v>
      </c>
      <c r="L352" s="436">
        <f t="shared" si="136"/>
        <v>4.109261368129058E-3</v>
      </c>
      <c r="M352" s="858"/>
      <c r="N352" s="858"/>
      <c r="O352" s="323">
        <f t="shared" si="137"/>
        <v>1.2635475494770423E-2</v>
      </c>
      <c r="P352" s="168">
        <f>(INDEX(Models!$BJ352:$BT352,,T352)*(1-R352)+INDEX(Models!$BJ352:$BT352,,T352+1)*R352-ERP_i)*Q352*Ramure*Pc/MaxiM</f>
        <v>1.0550389766410002E-4</v>
      </c>
      <c r="Q352" s="304">
        <f t="shared" si="138"/>
        <v>0.5</v>
      </c>
      <c r="R352" s="176">
        <f t="shared" si="139"/>
        <v>0.83466688729610161</v>
      </c>
      <c r="S352" s="814">
        <f t="shared" si="157"/>
        <v>-1</v>
      </c>
      <c r="T352" s="175">
        <f t="shared" si="140"/>
        <v>5</v>
      </c>
      <c r="U352" s="250">
        <f t="shared" si="141"/>
        <v>-0.16533311270389844</v>
      </c>
      <c r="V352" s="382">
        <f t="shared" si="142"/>
        <v>26.197071912770493</v>
      </c>
      <c r="W352" s="58"/>
      <c r="X352" s="157">
        <f t="shared" si="143"/>
        <v>43438</v>
      </c>
      <c r="Y352" s="384">
        <f t="shared" si="144"/>
        <v>4.7530000000000001</v>
      </c>
      <c r="Z352" s="384">
        <f t="shared" si="145"/>
        <v>4.7726119097457911</v>
      </c>
      <c r="AA352" s="385">
        <f t="shared" si="146"/>
        <v>4.8336878541766088</v>
      </c>
      <c r="AB352" s="196">
        <f t="shared" si="147"/>
        <v>43438</v>
      </c>
      <c r="AC352" s="425">
        <f t="shared" si="148"/>
        <v>1.2635475494770423E-2</v>
      </c>
      <c r="AD352" s="168">
        <f>(INDEX(Models!$BJ352:$BT352,,AH352)*(1-AF352)+INDEX(Models!$BJ352:$BT352,,AH352+1)*AF352-ERP_i)*AE352*Ramure*Pc/MaxiM</f>
        <v>1.0550389766410002E-4</v>
      </c>
      <c r="AE352" s="304">
        <f t="shared" si="149"/>
        <v>0.5</v>
      </c>
      <c r="AF352" s="176">
        <f t="shared" si="150"/>
        <v>0.83466688729610161</v>
      </c>
      <c r="AG352" s="814">
        <f t="shared" si="151"/>
        <v>-1</v>
      </c>
      <c r="AH352" s="175">
        <f t="shared" si="152"/>
        <v>5</v>
      </c>
      <c r="AI352" s="224">
        <f t="shared" si="153"/>
        <v>-0.16533311270389844</v>
      </c>
      <c r="AJ352" s="264" t="b">
        <f t="shared" si="154"/>
        <v>0</v>
      </c>
      <c r="AK352" s="264" t="b">
        <f t="shared" si="15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56"/>
        <v>43439</v>
      </c>
      <c r="B353" s="616">
        <v>20.797999999999998</v>
      </c>
      <c r="C353" s="389"/>
      <c r="D353" s="392">
        <f t="shared" si="133"/>
        <v>20.884274481883953</v>
      </c>
      <c r="E353" s="384">
        <f t="shared" si="130"/>
        <v>21.152754912577834</v>
      </c>
      <c r="F353" s="384">
        <f t="shared" si="132"/>
        <v>21.154330156522605</v>
      </c>
      <c r="G353" s="110">
        <f t="shared" si="131"/>
        <v>0.79981394004615836</v>
      </c>
      <c r="I353" s="379">
        <f t="shared" si="134"/>
        <v>21.154330156522605</v>
      </c>
      <c r="J353" s="85">
        <v>2018</v>
      </c>
      <c r="K353" s="196">
        <f t="shared" si="135"/>
        <v>43439</v>
      </c>
      <c r="L353" s="436">
        <f t="shared" si="136"/>
        <v>4.1310739311912759E-3</v>
      </c>
      <c r="M353" s="858"/>
      <c r="N353" s="858"/>
      <c r="O353" s="323">
        <f t="shared" si="137"/>
        <v>1.2692456930715811E-2</v>
      </c>
      <c r="P353" s="168">
        <f>(INDEX(Models!$BJ353:$BT353,,T353)*(1-R353)+INDEX(Models!$BJ353:$BT353,,T353+1)*R353-ERP_i)*Q353*Ramure*Pc/MaxiM</f>
        <v>1.0428395433660855E-4</v>
      </c>
      <c r="Q353" s="304">
        <f t="shared" si="138"/>
        <v>0.5</v>
      </c>
      <c r="R353" s="176">
        <f t="shared" si="139"/>
        <v>0.83467526525412294</v>
      </c>
      <c r="S353" s="814">
        <f t="shared" si="157"/>
        <v>-1</v>
      </c>
      <c r="T353" s="175">
        <f t="shared" si="140"/>
        <v>5</v>
      </c>
      <c r="U353" s="250">
        <f t="shared" si="141"/>
        <v>-0.16532473474587706</v>
      </c>
      <c r="V353" s="382">
        <f t="shared" si="142"/>
        <v>26.002772300986642</v>
      </c>
      <c r="W353" s="58"/>
      <c r="X353" s="157">
        <f t="shared" si="143"/>
        <v>43439</v>
      </c>
      <c r="Y353" s="384">
        <f t="shared" si="144"/>
        <v>20.797999999999998</v>
      </c>
      <c r="Z353" s="384">
        <f t="shared" si="145"/>
        <v>20.884274481883953</v>
      </c>
      <c r="AA353" s="385">
        <f t="shared" si="146"/>
        <v>21.152754912577834</v>
      </c>
      <c r="AB353" s="196">
        <f t="shared" si="147"/>
        <v>43439</v>
      </c>
      <c r="AC353" s="425">
        <f t="shared" si="148"/>
        <v>1.2692456930715811E-2</v>
      </c>
      <c r="AD353" s="168">
        <f>(INDEX(Models!$BJ353:$BT353,,AH353)*(1-AF353)+INDEX(Models!$BJ353:$BT353,,AH353+1)*AF353-ERP_i)*AE353*Ramure*Pc/MaxiM</f>
        <v>1.0428395433660855E-4</v>
      </c>
      <c r="AE353" s="304">
        <f t="shared" si="149"/>
        <v>0.5</v>
      </c>
      <c r="AF353" s="176">
        <f t="shared" si="150"/>
        <v>0.83467526525412294</v>
      </c>
      <c r="AG353" s="814">
        <f t="shared" si="151"/>
        <v>-1</v>
      </c>
      <c r="AH353" s="175">
        <f t="shared" si="152"/>
        <v>5</v>
      </c>
      <c r="AI353" s="224">
        <f t="shared" si="153"/>
        <v>-0.16532473474587706</v>
      </c>
      <c r="AJ353" s="264" t="b">
        <f t="shared" si="154"/>
        <v>0</v>
      </c>
      <c r="AK353" s="264" t="b">
        <f t="shared" si="155"/>
        <v>0</v>
      </c>
      <c r="AL353" s="264"/>
      <c r="AM353" s="264"/>
      <c r="AN353" s="75"/>
    </row>
    <row r="354" spans="1:40" s="6" customFormat="1" ht="11.25" x14ac:dyDescent="0.2">
      <c r="A354" s="56">
        <f t="shared" si="156"/>
        <v>43440</v>
      </c>
      <c r="B354" s="616">
        <v>16.23</v>
      </c>
      <c r="C354" s="389"/>
      <c r="D354" s="392">
        <f t="shared" si="133"/>
        <v>16.29768241741267</v>
      </c>
      <c r="E354" s="384">
        <f t="shared" si="130"/>
        <v>16.508153950325696</v>
      </c>
      <c r="F354" s="384">
        <f t="shared" si="132"/>
        <v>16.508952914516239</v>
      </c>
      <c r="G354" s="110">
        <f t="shared" si="131"/>
        <v>0.62856102141982895</v>
      </c>
      <c r="I354" s="379">
        <f t="shared" si="134"/>
        <v>16.508952914516239</v>
      </c>
      <c r="J354" s="85">
        <v>2018</v>
      </c>
      <c r="K354" s="196">
        <f t="shared" si="135"/>
        <v>43440</v>
      </c>
      <c r="L354" s="436">
        <f t="shared" si="136"/>
        <v>4.1528860165024328E-3</v>
      </c>
      <c r="M354" s="858"/>
      <c r="N354" s="858"/>
      <c r="O354" s="323">
        <f t="shared" si="137"/>
        <v>1.2749549922199031E-2</v>
      </c>
      <c r="P354" s="168">
        <f>(INDEX(Models!$BJ354:$BT354,,T354)*(1-R354)+INDEX(Models!$BJ354:$BT354,,T354+1)*R354-ERP_i)*Q354*Ramure*Pc/MaxiM</f>
        <v>1.0309659837607566E-4</v>
      </c>
      <c r="Q354" s="304">
        <f t="shared" si="138"/>
        <v>0.5</v>
      </c>
      <c r="R354" s="176">
        <f t="shared" si="139"/>
        <v>0.83468330633083676</v>
      </c>
      <c r="S354" s="814">
        <f t="shared" si="157"/>
        <v>-1</v>
      </c>
      <c r="T354" s="175">
        <f t="shared" si="140"/>
        <v>5</v>
      </c>
      <c r="U354" s="250">
        <f t="shared" si="141"/>
        <v>-0.16531669366916329</v>
      </c>
      <c r="V354" s="382">
        <f t="shared" si="142"/>
        <v>25.819469566565122</v>
      </c>
      <c r="W354" s="58"/>
      <c r="X354" s="157">
        <f t="shared" si="143"/>
        <v>43440</v>
      </c>
      <c r="Y354" s="384">
        <f t="shared" si="144"/>
        <v>16.23</v>
      </c>
      <c r="Z354" s="384">
        <f t="shared" si="145"/>
        <v>16.29768241741267</v>
      </c>
      <c r="AA354" s="385">
        <f t="shared" si="146"/>
        <v>16.508153950325696</v>
      </c>
      <c r="AB354" s="196">
        <f t="shared" si="147"/>
        <v>43440</v>
      </c>
      <c r="AC354" s="425">
        <f t="shared" si="148"/>
        <v>1.2749549922199031E-2</v>
      </c>
      <c r="AD354" s="168">
        <f>(INDEX(Models!$BJ354:$BT354,,AH354)*(1-AF354)+INDEX(Models!$BJ354:$BT354,,AH354+1)*AF354-ERP_i)*AE354*Ramure*Pc/MaxiM</f>
        <v>1.0309659837607566E-4</v>
      </c>
      <c r="AE354" s="304">
        <f t="shared" si="149"/>
        <v>0.5</v>
      </c>
      <c r="AF354" s="176">
        <f t="shared" si="150"/>
        <v>0.83468330633083676</v>
      </c>
      <c r="AG354" s="814">
        <f t="shared" si="151"/>
        <v>-1</v>
      </c>
      <c r="AH354" s="175">
        <f t="shared" si="152"/>
        <v>5</v>
      </c>
      <c r="AI354" s="224">
        <f t="shared" si="153"/>
        <v>-0.16531669366916329</v>
      </c>
      <c r="AJ354" s="264" t="b">
        <f t="shared" si="154"/>
        <v>0</v>
      </c>
      <c r="AK354" s="264" t="b">
        <f t="shared" si="155"/>
        <v>0</v>
      </c>
      <c r="AL354" s="264"/>
      <c r="AM354" s="264"/>
      <c r="AN354" s="75"/>
    </row>
    <row r="355" spans="1:40" s="6" customFormat="1" ht="11.25" x14ac:dyDescent="0.2">
      <c r="A355" s="56">
        <f t="shared" si="156"/>
        <v>43441</v>
      </c>
      <c r="B355" s="616">
        <v>21.946999999999999</v>
      </c>
      <c r="C355" s="389"/>
      <c r="D355" s="392">
        <f t="shared" si="133"/>
        <v>22.039006186764812</v>
      </c>
      <c r="E355" s="384">
        <f t="shared" si="130"/>
        <v>22.324915852101412</v>
      </c>
      <c r="F355" s="384">
        <f t="shared" si="132"/>
        <v>22.326722541325999</v>
      </c>
      <c r="G355" s="110">
        <f t="shared" si="131"/>
        <v>0.85566405218526842</v>
      </c>
      <c r="I355" s="379">
        <f t="shared" si="134"/>
        <v>22.326722541325999</v>
      </c>
      <c r="J355" s="85">
        <v>2018</v>
      </c>
      <c r="K355" s="196">
        <f t="shared" si="135"/>
        <v>43441</v>
      </c>
      <c r="L355" s="436">
        <f t="shared" si="136"/>
        <v>4.1746976240728539E-3</v>
      </c>
      <c r="M355" s="858"/>
      <c r="N355" s="858"/>
      <c r="O355" s="323">
        <f t="shared" si="137"/>
        <v>1.2806752205952425E-2</v>
      </c>
      <c r="P355" s="168">
        <f>(INDEX(Models!$BJ355:$BT355,,T355)*(1-R355)+INDEX(Models!$BJ355:$BT355,,T355+1)*R355-ERP_i)*Q355*Ramure*Pc/MaxiM</f>
        <v>1.0193660404091338E-4</v>
      </c>
      <c r="Q355" s="304">
        <f t="shared" si="138"/>
        <v>0.5</v>
      </c>
      <c r="R355" s="176">
        <f t="shared" si="139"/>
        <v>0.83469102405540774</v>
      </c>
      <c r="S355" s="814">
        <f t="shared" si="157"/>
        <v>-1</v>
      </c>
      <c r="T355" s="175">
        <f t="shared" si="140"/>
        <v>5</v>
      </c>
      <c r="U355" s="250">
        <f t="shared" si="141"/>
        <v>-0.16530897594459226</v>
      </c>
      <c r="V355" s="382">
        <f t="shared" si="142"/>
        <v>25.648545905215425</v>
      </c>
      <c r="W355" s="58"/>
      <c r="X355" s="157">
        <f t="shared" si="143"/>
        <v>43441</v>
      </c>
      <c r="Y355" s="384">
        <f t="shared" si="144"/>
        <v>21.946999999999999</v>
      </c>
      <c r="Z355" s="384">
        <f t="shared" si="145"/>
        <v>22.039006186764812</v>
      </c>
      <c r="AA355" s="385">
        <f t="shared" si="146"/>
        <v>22.324915852101412</v>
      </c>
      <c r="AB355" s="196">
        <f t="shared" si="147"/>
        <v>43441</v>
      </c>
      <c r="AC355" s="425">
        <f t="shared" si="148"/>
        <v>1.2806752205952425E-2</v>
      </c>
      <c r="AD355" s="168">
        <f>(INDEX(Models!$BJ355:$BT355,,AH355)*(1-AF355)+INDEX(Models!$BJ355:$BT355,,AH355+1)*AF355-ERP_i)*AE355*Ramure*Pc/MaxiM</f>
        <v>1.0193660404091338E-4</v>
      </c>
      <c r="AE355" s="304">
        <f t="shared" si="149"/>
        <v>0.5</v>
      </c>
      <c r="AF355" s="176">
        <f t="shared" si="150"/>
        <v>0.83469102405540774</v>
      </c>
      <c r="AG355" s="814">
        <f t="shared" si="151"/>
        <v>-1</v>
      </c>
      <c r="AH355" s="175">
        <f t="shared" si="152"/>
        <v>5</v>
      </c>
      <c r="AI355" s="224">
        <f t="shared" si="153"/>
        <v>-0.16530897594459226</v>
      </c>
      <c r="AJ355" s="264" t="b">
        <f t="shared" si="154"/>
        <v>0</v>
      </c>
      <c r="AK355" s="264" t="b">
        <f t="shared" si="15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56"/>
        <v>43442</v>
      </c>
      <c r="B356" s="616">
        <v>16.640999999999998</v>
      </c>
      <c r="C356" s="389"/>
      <c r="D356" s="392">
        <f t="shared" si="133"/>
        <v>16.711128396604114</v>
      </c>
      <c r="E356" s="384">
        <f t="shared" si="130"/>
        <v>16.928902833748189</v>
      </c>
      <c r="F356" s="384">
        <f t="shared" si="132"/>
        <v>16.929762931332267</v>
      </c>
      <c r="G356" s="110">
        <f t="shared" si="131"/>
        <v>0.65277619282187993</v>
      </c>
      <c r="I356" s="379">
        <f t="shared" si="134"/>
        <v>16.929762931332267</v>
      </c>
      <c r="J356" s="85">
        <v>2018</v>
      </c>
      <c r="K356" s="196">
        <f t="shared" si="135"/>
        <v>43442</v>
      </c>
      <c r="L356" s="436">
        <f t="shared" si="136"/>
        <v>4.1965087539131973E-3</v>
      </c>
      <c r="M356" s="858"/>
      <c r="N356" s="858"/>
      <c r="O356" s="323">
        <f t="shared" si="137"/>
        <v>1.286406090712147E-2</v>
      </c>
      <c r="P356" s="168">
        <f>(INDEX(Models!$BJ356:$BT356,,T356)*(1-R356)+INDEX(Models!$BJ356:$BT356,,T356+1)*R356-ERP_i)*Q356*Ramure*Pc/MaxiM</f>
        <v>1.0079881884716472E-4</v>
      </c>
      <c r="Q356" s="304">
        <f t="shared" si="138"/>
        <v>0.5</v>
      </c>
      <c r="R356" s="176">
        <f t="shared" si="139"/>
        <v>0.8346984314150081</v>
      </c>
      <c r="S356" s="814">
        <f t="shared" si="157"/>
        <v>-1</v>
      </c>
      <c r="T356" s="175">
        <f t="shared" si="140"/>
        <v>5</v>
      </c>
      <c r="U356" s="250">
        <f t="shared" si="141"/>
        <v>-0.16530156858499184</v>
      </c>
      <c r="V356" s="382">
        <f t="shared" si="142"/>
        <v>25.491383072597205</v>
      </c>
      <c r="W356" s="58"/>
      <c r="X356" s="157">
        <f t="shared" si="143"/>
        <v>43442</v>
      </c>
      <c r="Y356" s="384">
        <f t="shared" si="144"/>
        <v>16.640999999999998</v>
      </c>
      <c r="Z356" s="384">
        <f t="shared" si="145"/>
        <v>16.711128396604114</v>
      </c>
      <c r="AA356" s="385">
        <f t="shared" si="146"/>
        <v>16.928902833748189</v>
      </c>
      <c r="AB356" s="196">
        <f t="shared" si="147"/>
        <v>43442</v>
      </c>
      <c r="AC356" s="425">
        <f t="shared" si="148"/>
        <v>1.286406090712147E-2</v>
      </c>
      <c r="AD356" s="168">
        <f>(INDEX(Models!$BJ356:$BT356,,AH356)*(1-AF356)+INDEX(Models!$BJ356:$BT356,,AH356+1)*AF356-ERP_i)*AE356*Ramure*Pc/MaxiM</f>
        <v>1.0079881884716472E-4</v>
      </c>
      <c r="AE356" s="304">
        <f t="shared" si="149"/>
        <v>0.5</v>
      </c>
      <c r="AF356" s="176">
        <f t="shared" si="150"/>
        <v>0.8346984314150081</v>
      </c>
      <c r="AG356" s="814">
        <f t="shared" si="151"/>
        <v>-1</v>
      </c>
      <c r="AH356" s="175">
        <f t="shared" si="152"/>
        <v>5</v>
      </c>
      <c r="AI356" s="224">
        <f t="shared" si="153"/>
        <v>-0.16530156858499184</v>
      </c>
      <c r="AJ356" s="264" t="b">
        <f t="shared" si="154"/>
        <v>0</v>
      </c>
      <c r="AK356" s="264" t="b">
        <f t="shared" si="155"/>
        <v>0</v>
      </c>
      <c r="AL356" s="264"/>
      <c r="AM356" s="264"/>
      <c r="AN356" s="75"/>
    </row>
    <row r="357" spans="1:40" s="6" customFormat="1" ht="11.25" x14ac:dyDescent="0.2">
      <c r="A357" s="56">
        <f t="shared" si="156"/>
        <v>43443</v>
      </c>
      <c r="B357" s="616">
        <v>4.9779999999999998</v>
      </c>
      <c r="C357" s="389"/>
      <c r="D357" s="392">
        <f t="shared" si="133"/>
        <v>4.9990877488634968</v>
      </c>
      <c r="E357" s="384">
        <f t="shared" si="130"/>
        <v>5.0645289204239869</v>
      </c>
      <c r="F357" s="384">
        <f t="shared" ref="F357:F379" si="158">Wh_sa/(1-Pvg*MEDIAN((-Sdif+Wh/Env_an)/Csdif,0,1))</f>
        <v>5.0645289204239869</v>
      </c>
      <c r="G357" s="110">
        <f t="shared" si="131"/>
        <v>0.19635617366504685</v>
      </c>
      <c r="I357" s="379">
        <f t="shared" si="134"/>
        <v>5.0645289204239869</v>
      </c>
      <c r="J357" s="85">
        <v>2018</v>
      </c>
      <c r="K357" s="196">
        <f t="shared" si="135"/>
        <v>43443</v>
      </c>
      <c r="L357" s="436">
        <f t="shared" si="136"/>
        <v>4.2183194060337881E-3</v>
      </c>
      <c r="M357" s="858"/>
      <c r="N357" s="858"/>
      <c r="O357" s="323">
        <f t="shared" si="137"/>
        <v>1.2921472576962174E-2</v>
      </c>
      <c r="P357" s="168">
        <f>(INDEX(Models!$BJ357:$BT357,,T357)*(1-R357)+INDEX(Models!$BJ357:$BT357,,T357+1)*R357-ERP_i)*Q357*Ramure*Pc/MaxiM</f>
        <v>9.9678186028190075E-5</v>
      </c>
      <c r="Q357" s="304">
        <f t="shared" si="138"/>
        <v>0.5</v>
      </c>
      <c r="R357" s="176">
        <f t="shared" si="139"/>
        <v>0.83470554087642423</v>
      </c>
      <c r="S357" s="814">
        <f t="shared" si="157"/>
        <v>-1</v>
      </c>
      <c r="T357" s="175">
        <f t="shared" si="140"/>
        <v>5</v>
      </c>
      <c r="U357" s="250">
        <f t="shared" si="141"/>
        <v>-0.16529445912357577</v>
      </c>
      <c r="V357" s="382">
        <f t="shared" si="142"/>
        <v>25.349362381041303</v>
      </c>
      <c r="W357" s="58"/>
      <c r="X357" s="157">
        <f t="shared" si="143"/>
        <v>43443</v>
      </c>
      <c r="Y357" s="384">
        <f t="shared" si="144"/>
        <v>4.9779999999999998</v>
      </c>
      <c r="Z357" s="384">
        <f t="shared" si="145"/>
        <v>4.9990877488634968</v>
      </c>
      <c r="AA357" s="385">
        <f t="shared" si="146"/>
        <v>5.0645289204239869</v>
      </c>
      <c r="AB357" s="196">
        <f t="shared" si="147"/>
        <v>43443</v>
      </c>
      <c r="AC357" s="425">
        <f t="shared" si="148"/>
        <v>1.2921472576962174E-2</v>
      </c>
      <c r="AD357" s="168">
        <f>(INDEX(Models!$BJ357:$BT357,,AH357)*(1-AF357)+INDEX(Models!$BJ357:$BT357,,AH357+1)*AF357-ERP_i)*AE357*Ramure*Pc/MaxiM</f>
        <v>9.9678186028190075E-5</v>
      </c>
      <c r="AE357" s="304">
        <f t="shared" si="149"/>
        <v>0.5</v>
      </c>
      <c r="AF357" s="176">
        <f t="shared" si="150"/>
        <v>0.83470554087642423</v>
      </c>
      <c r="AG357" s="814">
        <f t="shared" si="151"/>
        <v>-1</v>
      </c>
      <c r="AH357" s="175">
        <f t="shared" si="152"/>
        <v>5</v>
      </c>
      <c r="AI357" s="224">
        <f t="shared" si="153"/>
        <v>-0.16529445912357577</v>
      </c>
      <c r="AJ357" s="264" t="b">
        <f t="shared" si="154"/>
        <v>0</v>
      </c>
      <c r="AK357" s="264" t="b">
        <f t="shared" si="15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56"/>
        <v>43444</v>
      </c>
      <c r="B358" s="616">
        <v>12.757</v>
      </c>
      <c r="C358" s="389"/>
      <c r="D358" s="392">
        <f t="shared" si="133"/>
        <v>12.811321663951919</v>
      </c>
      <c r="E358" s="384">
        <f t="shared" si="130"/>
        <v>12.97978608999067</v>
      </c>
      <c r="F358" s="384">
        <f t="shared" si="158"/>
        <v>12.98016215958263</v>
      </c>
      <c r="G358" s="110">
        <f t="shared" si="131"/>
        <v>0.50571600620233403</v>
      </c>
      <c r="I358" s="379">
        <f t="shared" si="134"/>
        <v>12.98016215958263</v>
      </c>
      <c r="J358" s="85">
        <v>2018</v>
      </c>
      <c r="K358" s="196">
        <f t="shared" si="135"/>
        <v>43444</v>
      </c>
      <c r="L358" s="436">
        <f t="shared" si="136"/>
        <v>4.2401295804450623E-3</v>
      </c>
      <c r="M358" s="858"/>
      <c r="N358" s="858"/>
      <c r="O358" s="323">
        <f t="shared" si="137"/>
        <v>1.2978983233680793E-2</v>
      </c>
      <c r="P358" s="168">
        <f>(INDEX(Models!$BJ358:$BT358,,T358)*(1-R358)+INDEX(Models!$BJ358:$BT358,,T358+1)*R358-ERP_i)*Q358*Ramure*Pc/MaxiM</f>
        <v>9.8569771821777318E-5</v>
      </c>
      <c r="Q358" s="304">
        <f t="shared" si="138"/>
        <v>0.5</v>
      </c>
      <c r="R358" s="176">
        <f t="shared" si="139"/>
        <v>0.83471236440681096</v>
      </c>
      <c r="S358" s="814">
        <f t="shared" si="157"/>
        <v>-1</v>
      </c>
      <c r="T358" s="175">
        <f t="shared" si="140"/>
        <v>5</v>
      </c>
      <c r="U358" s="250">
        <f t="shared" si="141"/>
        <v>-0.16528763559318904</v>
      </c>
      <c r="V358" s="382">
        <f t="shared" si="142"/>
        <v>25.223864713088979</v>
      </c>
      <c r="W358" s="58"/>
      <c r="X358" s="157">
        <f t="shared" si="143"/>
        <v>43444</v>
      </c>
      <c r="Y358" s="384">
        <f t="shared" si="144"/>
        <v>12.757</v>
      </c>
      <c r="Z358" s="384">
        <f t="shared" si="145"/>
        <v>12.811321663951919</v>
      </c>
      <c r="AA358" s="385">
        <f t="shared" si="146"/>
        <v>12.97978608999067</v>
      </c>
      <c r="AB358" s="196">
        <f t="shared" si="147"/>
        <v>43444</v>
      </c>
      <c r="AC358" s="425">
        <f t="shared" si="148"/>
        <v>1.2978983233680793E-2</v>
      </c>
      <c r="AD358" s="168">
        <f>(INDEX(Models!$BJ358:$BT358,,AH358)*(1-AF358)+INDEX(Models!$BJ358:$BT358,,AH358+1)*AF358-ERP_i)*AE358*Ramure*Pc/MaxiM</f>
        <v>9.8569771821777318E-5</v>
      </c>
      <c r="AE358" s="304">
        <f t="shared" si="149"/>
        <v>0.5</v>
      </c>
      <c r="AF358" s="176">
        <f t="shared" si="150"/>
        <v>0.83471236440681096</v>
      </c>
      <c r="AG358" s="814">
        <f t="shared" si="151"/>
        <v>-1</v>
      </c>
      <c r="AH358" s="175">
        <f t="shared" si="152"/>
        <v>5</v>
      </c>
      <c r="AI358" s="224">
        <f t="shared" si="153"/>
        <v>-0.16528763559318904</v>
      </c>
      <c r="AJ358" s="264" t="b">
        <f t="shared" si="154"/>
        <v>0</v>
      </c>
      <c r="AK358" s="264" t="b">
        <f t="shared" si="15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56"/>
        <v>43445</v>
      </c>
      <c r="B359" s="616">
        <v>18.638999999999999</v>
      </c>
      <c r="C359" s="389"/>
      <c r="D359" s="392">
        <f t="shared" si="133"/>
        <v>18.718778296442011</v>
      </c>
      <c r="E359" s="384">
        <f t="shared" si="130"/>
        <v>18.966030631481225</v>
      </c>
      <c r="F359" s="384">
        <f t="shared" si="158"/>
        <v>18.967198725102847</v>
      </c>
      <c r="G359" s="110">
        <f t="shared" si="131"/>
        <v>0.74219547201274638</v>
      </c>
      <c r="I359" s="379">
        <f t="shared" si="134"/>
        <v>18.967198725102847</v>
      </c>
      <c r="J359" s="85">
        <v>2018</v>
      </c>
      <c r="K359" s="196">
        <f t="shared" si="135"/>
        <v>43445</v>
      </c>
      <c r="L359" s="436">
        <f t="shared" si="136"/>
        <v>4.2619392771576781E-3</v>
      </c>
      <c r="M359" s="858"/>
      <c r="N359" s="858"/>
      <c r="O359" s="323">
        <f t="shared" si="137"/>
        <v>1.303658840605296E-2</v>
      </c>
      <c r="P359" s="168">
        <f>(INDEX(Models!$BJ359:$BT359,,T359)*(1-R359)+INDEX(Models!$BJ359:$BT359,,T359+1)*R359-ERP_i)*Q359*Ramure*Pc/MaxiM</f>
        <v>9.7483707348090042E-5</v>
      </c>
      <c r="Q359" s="304">
        <f t="shared" si="138"/>
        <v>0.5</v>
      </c>
      <c r="R359" s="176">
        <f t="shared" si="139"/>
        <v>0.8347189134936257</v>
      </c>
      <c r="S359" s="814">
        <f t="shared" si="157"/>
        <v>-1</v>
      </c>
      <c r="T359" s="175">
        <f t="shared" si="140"/>
        <v>5</v>
      </c>
      <c r="U359" s="250">
        <f t="shared" si="141"/>
        <v>-0.16528108650637424</v>
      </c>
      <c r="V359" s="382">
        <f t="shared" si="142"/>
        <v>25.112428658382328</v>
      </c>
      <c r="W359" s="58"/>
      <c r="X359" s="157">
        <f t="shared" si="143"/>
        <v>43445</v>
      </c>
      <c r="Y359" s="384">
        <f t="shared" si="144"/>
        <v>18.638999999999999</v>
      </c>
      <c r="Z359" s="384">
        <f t="shared" si="145"/>
        <v>18.718778296442011</v>
      </c>
      <c r="AA359" s="385">
        <f t="shared" si="146"/>
        <v>18.966030631481225</v>
      </c>
      <c r="AB359" s="196">
        <f t="shared" si="147"/>
        <v>43445</v>
      </c>
      <c r="AC359" s="425">
        <f t="shared" si="148"/>
        <v>1.303658840605296E-2</v>
      </c>
      <c r="AD359" s="168">
        <f>(INDEX(Models!$BJ359:$BT359,,AH359)*(1-AF359)+INDEX(Models!$BJ359:$BT359,,AH359+1)*AF359-ERP_i)*AE359*Ramure*Pc/MaxiM</f>
        <v>9.7483707348090042E-5</v>
      </c>
      <c r="AE359" s="304">
        <f t="shared" si="149"/>
        <v>0.5</v>
      </c>
      <c r="AF359" s="176">
        <f t="shared" si="150"/>
        <v>0.8347189134936257</v>
      </c>
      <c r="AG359" s="814">
        <f t="shared" si="151"/>
        <v>-1</v>
      </c>
      <c r="AH359" s="175">
        <f t="shared" si="152"/>
        <v>5</v>
      </c>
      <c r="AI359" s="224">
        <f t="shared" si="153"/>
        <v>-0.16528108650637424</v>
      </c>
      <c r="AJ359" s="264" t="b">
        <f t="shared" si="154"/>
        <v>0</v>
      </c>
      <c r="AK359" s="264" t="b">
        <f t="shared" si="15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56"/>
        <v>43446</v>
      </c>
      <c r="B360" s="616">
        <v>3.4969999999999999</v>
      </c>
      <c r="C360" s="389"/>
      <c r="D360" s="392">
        <f t="shared" si="133"/>
        <v>3.5120447162718529</v>
      </c>
      <c r="E360" s="384">
        <f t="shared" si="130"/>
        <v>3.558642590080781</v>
      </c>
      <c r="F360" s="384">
        <f t="shared" si="158"/>
        <v>3.558642590080781</v>
      </c>
      <c r="G360" s="110">
        <f t="shared" si="131"/>
        <v>0.13980059103909567</v>
      </c>
      <c r="I360" s="379">
        <f t="shared" si="134"/>
        <v>3.558642590080781</v>
      </c>
      <c r="J360" s="85">
        <v>2018</v>
      </c>
      <c r="K360" s="196">
        <f t="shared" si="135"/>
        <v>43446</v>
      </c>
      <c r="L360" s="436">
        <f t="shared" si="136"/>
        <v>4.2837484961818495E-3</v>
      </c>
      <c r="M360" s="858"/>
      <c r="N360" s="858"/>
      <c r="O360" s="323">
        <f t="shared" si="137"/>
        <v>1.3094283179438507E-2</v>
      </c>
      <c r="P360" s="168">
        <f>(INDEX(Models!$BJ360:$BT360,,T360)*(1-R360)+INDEX(Models!$BJ360:$BT360,,T360+1)*R360-ERP_i)*Q360*Ramure*Pc/MaxiM</f>
        <v>9.643297824304141E-5</v>
      </c>
      <c r="Q360" s="304">
        <f t="shared" si="138"/>
        <v>0.5</v>
      </c>
      <c r="R360" s="176">
        <f t="shared" si="139"/>
        <v>0.83472519916377452</v>
      </c>
      <c r="S360" s="814">
        <f t="shared" si="157"/>
        <v>-1</v>
      </c>
      <c r="T360" s="175">
        <f t="shared" si="140"/>
        <v>5</v>
      </c>
      <c r="U360" s="250">
        <f t="shared" si="141"/>
        <v>-0.16527480083622542</v>
      </c>
      <c r="V360" s="382">
        <f t="shared" si="142"/>
        <v>25.011788204080133</v>
      </c>
      <c r="W360" s="58"/>
      <c r="X360" s="157">
        <f t="shared" si="143"/>
        <v>43446</v>
      </c>
      <c r="Y360" s="384">
        <f t="shared" si="144"/>
        <v>3.4969999999999999</v>
      </c>
      <c r="Z360" s="384">
        <f t="shared" si="145"/>
        <v>3.5120447162718529</v>
      </c>
      <c r="AA360" s="385">
        <f t="shared" si="146"/>
        <v>3.558642590080781</v>
      </c>
      <c r="AB360" s="196">
        <f t="shared" si="147"/>
        <v>43446</v>
      </c>
      <c r="AC360" s="425">
        <f t="shared" si="148"/>
        <v>1.3094283179438507E-2</v>
      </c>
      <c r="AD360" s="168">
        <f>(INDEX(Models!$BJ360:$BT360,,AH360)*(1-AF360)+INDEX(Models!$BJ360:$BT360,,AH360+1)*AF360-ERP_i)*AE360*Ramure*Pc/MaxiM</f>
        <v>9.643297824304141E-5</v>
      </c>
      <c r="AE360" s="304">
        <f t="shared" si="149"/>
        <v>0.5</v>
      </c>
      <c r="AF360" s="176">
        <f t="shared" si="150"/>
        <v>0.83472519916377452</v>
      </c>
      <c r="AG360" s="814">
        <f t="shared" si="151"/>
        <v>-1</v>
      </c>
      <c r="AH360" s="175">
        <f t="shared" si="152"/>
        <v>5</v>
      </c>
      <c r="AI360" s="224">
        <f t="shared" si="153"/>
        <v>-0.16527480083622542</v>
      </c>
      <c r="AJ360" s="264" t="b">
        <f t="shared" si="154"/>
        <v>0</v>
      </c>
      <c r="AK360" s="264" t="b">
        <f t="shared" si="15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56"/>
        <v>43447</v>
      </c>
      <c r="B361" s="616">
        <v>1.5429999999999999</v>
      </c>
      <c r="C361" s="389"/>
      <c r="D361" s="392">
        <f t="shared" si="133"/>
        <v>1.549672202366696</v>
      </c>
      <c r="E361" s="384">
        <f t="shared" ref="E361:E379" si="159">Wh_pvt/(1-Psa)</f>
        <v>1.5703252173685212</v>
      </c>
      <c r="F361" s="384">
        <f t="shared" si="158"/>
        <v>1.5703252173685212</v>
      </c>
      <c r="G361" s="110">
        <f t="shared" ref="G361:G379" si="160">+Wh_hp/MaxiM</f>
        <v>6.190697110541378E-2</v>
      </c>
      <c r="I361" s="379">
        <f t="shared" si="134"/>
        <v>1.5703252173685212</v>
      </c>
      <c r="J361" s="85">
        <v>2018</v>
      </c>
      <c r="K361" s="196">
        <f t="shared" si="135"/>
        <v>43447</v>
      </c>
      <c r="L361" s="436">
        <f t="shared" si="136"/>
        <v>4.3055572375281237E-3</v>
      </c>
      <c r="M361" s="858"/>
      <c r="N361" s="858"/>
      <c r="O361" s="323">
        <f t="shared" si="137"/>
        <v>1.3152062243790813E-2</v>
      </c>
      <c r="P361" s="168">
        <f>(INDEX(Models!$BJ361:$BT361,,T361)*(1-R361)+INDEX(Models!$BJ361:$BT361,,T361+1)*R361-ERP_i)*Q361*Ramure*Pc/MaxiM</f>
        <v>9.5475100389519576E-5</v>
      </c>
      <c r="Q361" s="304">
        <f t="shared" si="138"/>
        <v>0.5</v>
      </c>
      <c r="R361" s="176">
        <f t="shared" si="139"/>
        <v>0.83473123200200017</v>
      </c>
      <c r="S361" s="814">
        <f t="shared" si="157"/>
        <v>-1</v>
      </c>
      <c r="T361" s="175">
        <f t="shared" si="140"/>
        <v>5</v>
      </c>
      <c r="U361" s="250">
        <f t="shared" si="141"/>
        <v>-0.16526876799799989</v>
      </c>
      <c r="V361" s="382">
        <f t="shared" si="142"/>
        <v>24.922115464072125</v>
      </c>
      <c r="W361" s="58"/>
      <c r="X361" s="157">
        <f t="shared" si="143"/>
        <v>43447</v>
      </c>
      <c r="Y361" s="384">
        <f t="shared" si="144"/>
        <v>1.5429999999999999</v>
      </c>
      <c r="Z361" s="384">
        <f t="shared" si="145"/>
        <v>1.549672202366696</v>
      </c>
      <c r="AA361" s="385">
        <f t="shared" si="146"/>
        <v>1.5703252173685212</v>
      </c>
      <c r="AB361" s="196">
        <f t="shared" si="147"/>
        <v>43447</v>
      </c>
      <c r="AC361" s="425">
        <f t="shared" si="148"/>
        <v>1.3152062243790813E-2</v>
      </c>
      <c r="AD361" s="168">
        <f>(INDEX(Models!$BJ361:$BT361,,AH361)*(1-AF361)+INDEX(Models!$BJ361:$BT361,,AH361+1)*AF361-ERP_i)*AE361*Ramure*Pc/MaxiM</f>
        <v>9.5475100389519576E-5</v>
      </c>
      <c r="AE361" s="304">
        <f t="shared" si="149"/>
        <v>0.5</v>
      </c>
      <c r="AF361" s="176">
        <f t="shared" si="150"/>
        <v>0.83473123200200017</v>
      </c>
      <c r="AG361" s="814">
        <f t="shared" si="151"/>
        <v>-1</v>
      </c>
      <c r="AH361" s="175">
        <f t="shared" si="152"/>
        <v>5</v>
      </c>
      <c r="AI361" s="224">
        <f t="shared" si="153"/>
        <v>-0.16526876799799989</v>
      </c>
      <c r="AJ361" s="264" t="b">
        <f t="shared" si="154"/>
        <v>0</v>
      </c>
      <c r="AK361" s="264" t="b">
        <f t="shared" si="15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56"/>
        <v>43448</v>
      </c>
      <c r="B362" s="616">
        <v>1.724</v>
      </c>
      <c r="C362" s="389"/>
      <c r="D362" s="392">
        <f t="shared" si="133"/>
        <v>1.7314928022179061</v>
      </c>
      <c r="E362" s="384">
        <f t="shared" si="159"/>
        <v>1.754671877242951</v>
      </c>
      <c r="F362" s="384">
        <f t="shared" si="158"/>
        <v>1.754671877242951</v>
      </c>
      <c r="G362" s="110">
        <f t="shared" si="160"/>
        <v>6.9387609116578958E-2</v>
      </c>
      <c r="I362" s="379">
        <f t="shared" si="134"/>
        <v>1.754671877242951</v>
      </c>
      <c r="J362" s="85">
        <v>2018</v>
      </c>
      <c r="K362" s="196">
        <f t="shared" si="135"/>
        <v>43448</v>
      </c>
      <c r="L362" s="436">
        <f t="shared" si="136"/>
        <v>4.3273655012070478E-3</v>
      </c>
      <c r="M362" s="858"/>
      <c r="N362" s="858"/>
      <c r="O362" s="323">
        <f t="shared" si="137"/>
        <v>1.3209919943246131E-2</v>
      </c>
      <c r="P362" s="168">
        <f>(INDEX(Models!$BJ362:$BT362,,T362)*(1-R362)+INDEX(Models!$BJ362:$BT362,,T362+1)*R362-ERP_i)*Q362*Ramure*Pc/MaxiM</f>
        <v>9.4609712966613809E-5</v>
      </c>
      <c r="Q362" s="304">
        <f t="shared" si="138"/>
        <v>0.5</v>
      </c>
      <c r="R362" s="176">
        <f t="shared" si="139"/>
        <v>0.83473702216854173</v>
      </c>
      <c r="S362" s="814">
        <f t="shared" si="157"/>
        <v>-1</v>
      </c>
      <c r="T362" s="175">
        <f t="shared" si="140"/>
        <v>5</v>
      </c>
      <c r="U362" s="250">
        <f t="shared" si="141"/>
        <v>-0.16526297783145827</v>
      </c>
      <c r="V362" s="382">
        <f t="shared" si="142"/>
        <v>24.843583959761556</v>
      </c>
      <c r="W362" s="58"/>
      <c r="X362" s="157">
        <f t="shared" si="143"/>
        <v>43448</v>
      </c>
      <c r="Y362" s="384">
        <f t="shared" si="144"/>
        <v>1.724</v>
      </c>
      <c r="Z362" s="384">
        <f t="shared" si="145"/>
        <v>1.7314928022179061</v>
      </c>
      <c r="AA362" s="385">
        <f t="shared" si="146"/>
        <v>1.754671877242951</v>
      </c>
      <c r="AB362" s="196">
        <f t="shared" si="147"/>
        <v>43448</v>
      </c>
      <c r="AC362" s="425">
        <f t="shared" si="148"/>
        <v>1.3209919943246131E-2</v>
      </c>
      <c r="AD362" s="168">
        <f>(INDEX(Models!$BJ362:$BT362,,AH362)*(1-AF362)+INDEX(Models!$BJ362:$BT362,,AH362+1)*AF362-ERP_i)*AE362*Ramure*Pc/MaxiM</f>
        <v>9.4609712966613809E-5</v>
      </c>
      <c r="AE362" s="304">
        <f t="shared" si="149"/>
        <v>0.5</v>
      </c>
      <c r="AF362" s="176">
        <f t="shared" si="150"/>
        <v>0.83473702216854173</v>
      </c>
      <c r="AG362" s="814">
        <f t="shared" si="151"/>
        <v>-1</v>
      </c>
      <c r="AH362" s="175">
        <f t="shared" si="152"/>
        <v>5</v>
      </c>
      <c r="AI362" s="224">
        <f t="shared" si="153"/>
        <v>-0.16526297783145827</v>
      </c>
      <c r="AJ362" s="264" t="b">
        <f t="shared" si="154"/>
        <v>0</v>
      </c>
      <c r="AK362" s="264" t="b">
        <f t="shared" si="155"/>
        <v>0</v>
      </c>
      <c r="AL362" s="264"/>
      <c r="AM362" s="264"/>
      <c r="AN362" s="75"/>
    </row>
    <row r="363" spans="1:40" s="6" customFormat="1" ht="11.25" x14ac:dyDescent="0.2">
      <c r="A363" s="56">
        <f t="shared" si="156"/>
        <v>43449</v>
      </c>
      <c r="B363" s="616">
        <v>5.7370000000000001</v>
      </c>
      <c r="C363" s="389"/>
      <c r="D363" s="392">
        <f t="shared" si="133"/>
        <v>5.7620601982938258</v>
      </c>
      <c r="E363" s="384">
        <f t="shared" si="159"/>
        <v>5.8395383186841405</v>
      </c>
      <c r="F363" s="384">
        <f t="shared" si="158"/>
        <v>5.8395383186841405</v>
      </c>
      <c r="G363" s="110">
        <f t="shared" si="160"/>
        <v>0.23152957112332292</v>
      </c>
      <c r="I363" s="379">
        <f t="shared" si="134"/>
        <v>5.8395383186841405</v>
      </c>
      <c r="J363" s="85">
        <v>2018</v>
      </c>
      <c r="K363" s="196">
        <f t="shared" si="135"/>
        <v>43449</v>
      </c>
      <c r="L363" s="436">
        <f t="shared" si="136"/>
        <v>4.3491732872290578E-3</v>
      </c>
      <c r="M363" s="858"/>
      <c r="N363" s="858"/>
      <c r="O363" s="323">
        <f t="shared" si="137"/>
        <v>1.3267850326868551E-2</v>
      </c>
      <c r="P363" s="168">
        <f>(INDEX(Models!$BJ363:$BT363,,T363)*(1-R363)+INDEX(Models!$BJ363:$BT363,,T363+1)*R363-ERP_i)*Q363*Ramure*Pc/MaxiM</f>
        <v>9.3836361471388941E-5</v>
      </c>
      <c r="Q363" s="304">
        <f t="shared" si="138"/>
        <v>0.5</v>
      </c>
      <c r="R363" s="176">
        <f t="shared" si="139"/>
        <v>0.83474257941609564</v>
      </c>
      <c r="S363" s="814">
        <f t="shared" si="157"/>
        <v>-1</v>
      </c>
      <c r="T363" s="175">
        <f t="shared" si="140"/>
        <v>5</v>
      </c>
      <c r="U363" s="250">
        <f t="shared" si="141"/>
        <v>-0.16525742058390436</v>
      </c>
      <c r="V363" s="382">
        <f t="shared" si="142"/>
        <v>24.776367152421948</v>
      </c>
      <c r="W363" s="58"/>
      <c r="X363" s="157">
        <f t="shared" si="143"/>
        <v>43449</v>
      </c>
      <c r="Y363" s="384">
        <f t="shared" si="144"/>
        <v>5.7370000000000001</v>
      </c>
      <c r="Z363" s="384">
        <f t="shared" si="145"/>
        <v>5.7620601982938258</v>
      </c>
      <c r="AA363" s="385">
        <f t="shared" si="146"/>
        <v>5.8395383186841405</v>
      </c>
      <c r="AB363" s="196">
        <f t="shared" si="147"/>
        <v>43449</v>
      </c>
      <c r="AC363" s="425">
        <f t="shared" si="148"/>
        <v>1.3267850326868551E-2</v>
      </c>
      <c r="AD363" s="168">
        <f>(INDEX(Models!$BJ363:$BT363,,AH363)*(1-AF363)+INDEX(Models!$BJ363:$BT363,,AH363+1)*AF363-ERP_i)*AE363*Ramure*Pc/MaxiM</f>
        <v>9.3836361471388941E-5</v>
      </c>
      <c r="AE363" s="304">
        <f t="shared" si="149"/>
        <v>0.5</v>
      </c>
      <c r="AF363" s="176">
        <f t="shared" si="150"/>
        <v>0.83474257941609564</v>
      </c>
      <c r="AG363" s="814">
        <f t="shared" si="151"/>
        <v>-1</v>
      </c>
      <c r="AH363" s="175">
        <f t="shared" si="152"/>
        <v>5</v>
      </c>
      <c r="AI363" s="224">
        <f t="shared" si="153"/>
        <v>-0.16525742058390436</v>
      </c>
      <c r="AJ363" s="264" t="b">
        <f t="shared" si="154"/>
        <v>0</v>
      </c>
      <c r="AK363" s="264" t="b">
        <f t="shared" si="15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56"/>
        <v>43450</v>
      </c>
      <c r="B364" s="616">
        <v>3.105</v>
      </c>
      <c r="C364" s="389"/>
      <c r="D364" s="392">
        <f t="shared" si="133"/>
        <v>3.1186314776737536</v>
      </c>
      <c r="E364" s="384">
        <f t="shared" si="159"/>
        <v>3.160751164732583</v>
      </c>
      <c r="F364" s="384">
        <f t="shared" si="158"/>
        <v>3.160751164732583</v>
      </c>
      <c r="G364" s="110">
        <f t="shared" si="160"/>
        <v>0.12559185163735656</v>
      </c>
      <c r="I364" s="379">
        <f t="shared" si="134"/>
        <v>3.160751164732583</v>
      </c>
      <c r="J364" s="85">
        <v>2018</v>
      </c>
      <c r="K364" s="196">
        <f t="shared" si="135"/>
        <v>43450</v>
      </c>
      <c r="L364" s="436">
        <f t="shared" si="136"/>
        <v>4.37098059560459E-3</v>
      </c>
      <c r="M364" s="858"/>
      <c r="N364" s="858"/>
      <c r="O364" s="323">
        <f t="shared" si="137"/>
        <v>1.3325847200120571E-2</v>
      </c>
      <c r="P364" s="168">
        <f>(INDEX(Models!$BJ364:$BT364,,T364)*(1-R364)+INDEX(Models!$BJ364:$BT364,,T364+1)*R364-ERP_i)*Q364*Ramure*Pc/MaxiM</f>
        <v>9.3154490371113611E-5</v>
      </c>
      <c r="Q364" s="304">
        <f t="shared" si="138"/>
        <v>0.5</v>
      </c>
      <c r="R364" s="176">
        <f t="shared" si="139"/>
        <v>0.83474791310610275</v>
      </c>
      <c r="S364" s="814">
        <f t="shared" si="157"/>
        <v>-1</v>
      </c>
      <c r="T364" s="175">
        <f t="shared" si="140"/>
        <v>5</v>
      </c>
      <c r="U364" s="250">
        <f t="shared" si="141"/>
        <v>-0.16525208689389725</v>
      </c>
      <c r="V364" s="382">
        <f t="shared" si="142"/>
        <v>24.720638439762602</v>
      </c>
      <c r="W364" s="58"/>
      <c r="X364" s="157">
        <f t="shared" si="143"/>
        <v>43450</v>
      </c>
      <c r="Y364" s="384">
        <f t="shared" si="144"/>
        <v>3.105</v>
      </c>
      <c r="Z364" s="384">
        <f t="shared" si="145"/>
        <v>3.1186314776737536</v>
      </c>
      <c r="AA364" s="385">
        <f t="shared" si="146"/>
        <v>3.160751164732583</v>
      </c>
      <c r="AB364" s="196">
        <f t="shared" si="147"/>
        <v>43450</v>
      </c>
      <c r="AC364" s="425">
        <f t="shared" si="148"/>
        <v>1.3325847200120571E-2</v>
      </c>
      <c r="AD364" s="168">
        <f>(INDEX(Models!$BJ364:$BT364,,AH364)*(1-AF364)+INDEX(Models!$BJ364:$BT364,,AH364+1)*AF364-ERP_i)*AE364*Ramure*Pc/MaxiM</f>
        <v>9.3154490371113611E-5</v>
      </c>
      <c r="AE364" s="304">
        <f t="shared" si="149"/>
        <v>0.5</v>
      </c>
      <c r="AF364" s="176">
        <f t="shared" si="150"/>
        <v>0.83474791310610275</v>
      </c>
      <c r="AG364" s="814">
        <f t="shared" si="151"/>
        <v>-1</v>
      </c>
      <c r="AH364" s="175">
        <f t="shared" si="152"/>
        <v>5</v>
      </c>
      <c r="AI364" s="224">
        <f t="shared" si="153"/>
        <v>-0.16525208689389725</v>
      </c>
      <c r="AJ364" s="264" t="b">
        <f t="shared" si="154"/>
        <v>0</v>
      </c>
      <c r="AK364" s="264" t="b">
        <f t="shared" si="15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56"/>
        <v>43451</v>
      </c>
      <c r="B365" s="616">
        <v>20.77</v>
      </c>
      <c r="C365" s="389"/>
      <c r="D365" s="392">
        <f t="shared" si="133"/>
        <v>20.861640753193534</v>
      </c>
      <c r="E365" s="384">
        <f t="shared" si="159"/>
        <v>21.144638569659271</v>
      </c>
      <c r="F365" s="384">
        <f t="shared" si="158"/>
        <v>21.146153256550573</v>
      </c>
      <c r="G365" s="110">
        <f t="shared" si="160"/>
        <v>0.84167143946375156</v>
      </c>
      <c r="I365" s="379">
        <f t="shared" si="134"/>
        <v>21.146153256550573</v>
      </c>
      <c r="J365" s="85">
        <v>2018</v>
      </c>
      <c r="K365" s="196">
        <f t="shared" si="135"/>
        <v>43451</v>
      </c>
      <c r="L365" s="436">
        <f t="shared" si="136"/>
        <v>4.3927874263440803E-3</v>
      </c>
      <c r="M365" s="858"/>
      <c r="N365" s="858"/>
      <c r="O365" s="323">
        <f t="shared" si="137"/>
        <v>1.3383904176627312E-2</v>
      </c>
      <c r="P365" s="168">
        <f>(INDEX(Models!$BJ365:$BT365,,T365)*(1-R365)+INDEX(Models!$BJ365:$BT365,,T365+1)*R365-ERP_i)*Q365*Ramure*Pc/MaxiM</f>
        <v>9.2563435754612272E-5</v>
      </c>
      <c r="Q365" s="304">
        <f t="shared" si="138"/>
        <v>0.5</v>
      </c>
      <c r="R365" s="176">
        <f t="shared" si="139"/>
        <v>0.83475303222439023</v>
      </c>
      <c r="S365" s="814">
        <f t="shared" si="157"/>
        <v>-1</v>
      </c>
      <c r="T365" s="175">
        <f t="shared" si="140"/>
        <v>5</v>
      </c>
      <c r="U365" s="250">
        <f t="shared" si="141"/>
        <v>-0.16524696777560977</v>
      </c>
      <c r="V365" s="382">
        <f t="shared" si="142"/>
        <v>24.67657116032554</v>
      </c>
      <c r="W365" s="58"/>
      <c r="X365" s="157">
        <f t="shared" si="143"/>
        <v>43451</v>
      </c>
      <c r="Y365" s="384">
        <f t="shared" si="144"/>
        <v>20.77</v>
      </c>
      <c r="Z365" s="384">
        <f t="shared" si="145"/>
        <v>20.861640753193534</v>
      </c>
      <c r="AA365" s="385">
        <f t="shared" si="146"/>
        <v>21.144638569659271</v>
      </c>
      <c r="AB365" s="196">
        <f t="shared" si="147"/>
        <v>43451</v>
      </c>
      <c r="AC365" s="425">
        <f t="shared" si="148"/>
        <v>1.3383904176627312E-2</v>
      </c>
      <c r="AD365" s="168">
        <f>(INDEX(Models!$BJ365:$BT365,,AH365)*(1-AF365)+INDEX(Models!$BJ365:$BT365,,AH365+1)*AF365-ERP_i)*AE365*Ramure*Pc/MaxiM</f>
        <v>9.2563435754612272E-5</v>
      </c>
      <c r="AE365" s="304">
        <f t="shared" si="149"/>
        <v>0.5</v>
      </c>
      <c r="AF365" s="176">
        <f t="shared" si="150"/>
        <v>0.83475303222439023</v>
      </c>
      <c r="AG365" s="814">
        <f t="shared" si="151"/>
        <v>-1</v>
      </c>
      <c r="AH365" s="175">
        <f t="shared" si="152"/>
        <v>5</v>
      </c>
      <c r="AI365" s="224">
        <f t="shared" si="153"/>
        <v>-0.16524696777560977</v>
      </c>
      <c r="AJ365" s="264" t="b">
        <f t="shared" si="154"/>
        <v>0</v>
      </c>
      <c r="AK365" s="264" t="b">
        <f t="shared" si="15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56"/>
        <v>43452</v>
      </c>
      <c r="B366" s="616">
        <v>12.768000000000001</v>
      </c>
      <c r="C366" s="389"/>
      <c r="D366" s="392">
        <f t="shared" si="133"/>
        <v>12.824615467667506</v>
      </c>
      <c r="E366" s="384">
        <f t="shared" si="159"/>
        <v>12.999352961656019</v>
      </c>
      <c r="F366" s="384">
        <f t="shared" si="158"/>
        <v>12.999726046478486</v>
      </c>
      <c r="G366" s="110">
        <f t="shared" si="160"/>
        <v>0.5180577644804869</v>
      </c>
      <c r="I366" s="379">
        <f t="shared" si="134"/>
        <v>12.999726046478486</v>
      </c>
      <c r="J366" s="85">
        <v>2018</v>
      </c>
      <c r="K366" s="196">
        <f t="shared" si="135"/>
        <v>43452</v>
      </c>
      <c r="L366" s="436">
        <f t="shared" si="136"/>
        <v>4.4145937794579648E-3</v>
      </c>
      <c r="M366" s="858"/>
      <c r="N366" s="858"/>
      <c r="O366" s="323">
        <f t="shared" si="137"/>
        <v>1.3442014729804856E-2</v>
      </c>
      <c r="P366" s="168">
        <f>(INDEX(Models!$BJ366:$BT366,,T366)*(1-R366)+INDEX(Models!$BJ366:$BT366,,T366+1)*R366-ERP_i)*Q366*Ramure*Pc/MaxiM</f>
        <v>9.2115864599813844E-5</v>
      </c>
      <c r="Q366" s="304">
        <f t="shared" si="138"/>
        <v>0.5</v>
      </c>
      <c r="R366" s="176">
        <f t="shared" si="139"/>
        <v>0.83475794539619175</v>
      </c>
      <c r="S366" s="814">
        <f t="shared" si="157"/>
        <v>-1</v>
      </c>
      <c r="T366" s="175">
        <f t="shared" si="140"/>
        <v>5</v>
      </c>
      <c r="U366" s="250">
        <f t="shared" si="141"/>
        <v>-0.1652420546038082</v>
      </c>
      <c r="V366" s="382">
        <f t="shared" si="142"/>
        <v>24.644337275053765</v>
      </c>
      <c r="W366" s="58"/>
      <c r="X366" s="157">
        <f t="shared" si="143"/>
        <v>43452</v>
      </c>
      <c r="Y366" s="384">
        <f t="shared" si="144"/>
        <v>12.768000000000001</v>
      </c>
      <c r="Z366" s="384">
        <f t="shared" si="145"/>
        <v>12.824615467667506</v>
      </c>
      <c r="AA366" s="385">
        <f t="shared" si="146"/>
        <v>12.999352961656019</v>
      </c>
      <c r="AB366" s="196">
        <f t="shared" si="147"/>
        <v>43452</v>
      </c>
      <c r="AC366" s="425">
        <f t="shared" si="148"/>
        <v>1.3442014729804856E-2</v>
      </c>
      <c r="AD366" s="168">
        <f>(INDEX(Models!$BJ366:$BT366,,AH366)*(1-AF366)+INDEX(Models!$BJ366:$BT366,,AH366+1)*AF366-ERP_i)*AE366*Ramure*Pc/MaxiM</f>
        <v>9.2115864599813844E-5</v>
      </c>
      <c r="AE366" s="304">
        <f t="shared" si="149"/>
        <v>0.5</v>
      </c>
      <c r="AF366" s="176">
        <f t="shared" si="150"/>
        <v>0.83475794539619175</v>
      </c>
      <c r="AG366" s="814">
        <f t="shared" si="151"/>
        <v>-1</v>
      </c>
      <c r="AH366" s="175">
        <f t="shared" si="152"/>
        <v>5</v>
      </c>
      <c r="AI366" s="224">
        <f t="shared" si="153"/>
        <v>-0.1652420546038082</v>
      </c>
      <c r="AJ366" s="264" t="b">
        <f t="shared" si="154"/>
        <v>0</v>
      </c>
      <c r="AK366" s="264" t="b">
        <f t="shared" si="15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56"/>
        <v>43453</v>
      </c>
      <c r="B367" s="616">
        <v>22.855</v>
      </c>
      <c r="C367" s="389"/>
      <c r="D367" s="392">
        <f t="shared" si="133"/>
        <v>22.956845742531062</v>
      </c>
      <c r="E367" s="384">
        <f t="shared" si="159"/>
        <v>23.271008363731347</v>
      </c>
      <c r="F367" s="384">
        <f t="shared" si="158"/>
        <v>23.272924365144423</v>
      </c>
      <c r="G367" s="110">
        <f t="shared" si="160"/>
        <v>0.92814657006781587</v>
      </c>
      <c r="I367" s="379">
        <f t="shared" si="134"/>
        <v>23.272924365144423</v>
      </c>
      <c r="J367" s="85">
        <v>2018</v>
      </c>
      <c r="K367" s="196">
        <f t="shared" si="135"/>
        <v>43453</v>
      </c>
      <c r="L367" s="436">
        <f t="shared" si="136"/>
        <v>4.4363996549567908E-3</v>
      </c>
      <c r="M367" s="858"/>
      <c r="N367" s="858"/>
      <c r="O367" s="323">
        <f t="shared" si="137"/>
        <v>1.3500172243929008E-2</v>
      </c>
      <c r="P367" s="168">
        <f>(INDEX(Models!$BJ367:$BT367,,T367)*(1-R367)+INDEX(Models!$BJ367:$BT367,,T367+1)*R367-ERP_i)*Q367*Ramure*Pc/MaxiM</f>
        <v>9.1743619763081275E-5</v>
      </c>
      <c r="Q367" s="304">
        <f t="shared" si="138"/>
        <v>0.5</v>
      </c>
      <c r="R367" s="176">
        <f t="shared" si="139"/>
        <v>0.8347626609005715</v>
      </c>
      <c r="S367" s="814">
        <f t="shared" si="157"/>
        <v>-1</v>
      </c>
      <c r="T367" s="175">
        <f t="shared" si="140"/>
        <v>5</v>
      </c>
      <c r="U367" s="250">
        <f t="shared" si="141"/>
        <v>-0.1652373390994285</v>
      </c>
      <c r="V367" s="382">
        <f t="shared" si="142"/>
        <v>24.624111658281855</v>
      </c>
      <c r="W367" s="58"/>
      <c r="X367" s="157">
        <f t="shared" si="143"/>
        <v>43453</v>
      </c>
      <c r="Y367" s="384">
        <f t="shared" si="144"/>
        <v>22.855</v>
      </c>
      <c r="Z367" s="384">
        <f t="shared" si="145"/>
        <v>22.956845742531062</v>
      </c>
      <c r="AA367" s="385">
        <f t="shared" si="146"/>
        <v>23.271008363731347</v>
      </c>
      <c r="AB367" s="196">
        <f t="shared" si="147"/>
        <v>43453</v>
      </c>
      <c r="AC367" s="425">
        <f t="shared" si="148"/>
        <v>1.3500172243929008E-2</v>
      </c>
      <c r="AD367" s="168">
        <f>(INDEX(Models!$BJ367:$BT367,,AH367)*(1-AF367)+INDEX(Models!$BJ367:$BT367,,AH367+1)*AF367-ERP_i)*AE367*Ramure*Pc/MaxiM</f>
        <v>9.1743619763081275E-5</v>
      </c>
      <c r="AE367" s="304">
        <f t="shared" si="149"/>
        <v>0.5</v>
      </c>
      <c r="AF367" s="176">
        <f t="shared" si="150"/>
        <v>0.8347626609005715</v>
      </c>
      <c r="AG367" s="814">
        <f t="shared" si="151"/>
        <v>-1</v>
      </c>
      <c r="AH367" s="175">
        <f t="shared" si="152"/>
        <v>5</v>
      </c>
      <c r="AI367" s="224">
        <f t="shared" si="153"/>
        <v>-0.1652373390994285</v>
      </c>
      <c r="AJ367" s="264" t="b">
        <f t="shared" si="154"/>
        <v>0</v>
      </c>
      <c r="AK367" s="264" t="b">
        <f t="shared" si="15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56"/>
        <v>43454</v>
      </c>
      <c r="B368" s="616">
        <v>15.18</v>
      </c>
      <c r="C368" s="389"/>
      <c r="D368" s="392">
        <f t="shared" si="133"/>
        <v>15.247978615308533</v>
      </c>
      <c r="E368" s="384">
        <f t="shared" si="159"/>
        <v>15.457557905683064</v>
      </c>
      <c r="F368" s="384">
        <f t="shared" si="158"/>
        <v>15.458197392110666</v>
      </c>
      <c r="G368" s="110">
        <f t="shared" si="160"/>
        <v>0.61663951108437987</v>
      </c>
      <c r="I368" s="379">
        <f t="shared" si="134"/>
        <v>15.458197392110666</v>
      </c>
      <c r="J368" s="85">
        <v>2018</v>
      </c>
      <c r="K368" s="196">
        <f t="shared" si="135"/>
        <v>43454</v>
      </c>
      <c r="L368" s="436">
        <f t="shared" si="136"/>
        <v>4.4582050528509942E-3</v>
      </c>
      <c r="M368" s="858"/>
      <c r="N368" s="858"/>
      <c r="O368" s="323">
        <f t="shared" si="137"/>
        <v>1.3558370064231138E-2</v>
      </c>
      <c r="P368" s="168">
        <f>(INDEX(Models!$BJ368:$BT368,,T368)*(1-R368)+INDEX(Models!$BJ368:$BT368,,T368+1)*R368-ERP_i)*Q368*Ramure*Pc/MaxiM</f>
        <v>9.1445652130842995E-5</v>
      </c>
      <c r="Q368" s="304">
        <f t="shared" si="138"/>
        <v>0.5</v>
      </c>
      <c r="R368" s="176">
        <f t="shared" si="139"/>
        <v>0.83476718668427452</v>
      </c>
      <c r="S368" s="814">
        <f t="shared" si="157"/>
        <v>-1</v>
      </c>
      <c r="T368" s="175">
        <f t="shared" si="140"/>
        <v>5</v>
      </c>
      <c r="U368" s="250">
        <f t="shared" si="141"/>
        <v>-0.16523281331572548</v>
      </c>
      <c r="V368" s="382">
        <f t="shared" si="142"/>
        <v>24.61606745666688</v>
      </c>
      <c r="W368" s="58"/>
      <c r="X368" s="157">
        <f t="shared" si="143"/>
        <v>43454</v>
      </c>
      <c r="Y368" s="384">
        <f t="shared" si="144"/>
        <v>15.18</v>
      </c>
      <c r="Z368" s="384">
        <f t="shared" si="145"/>
        <v>15.247978615308533</v>
      </c>
      <c r="AA368" s="385">
        <f t="shared" si="146"/>
        <v>15.457557905683064</v>
      </c>
      <c r="AB368" s="196">
        <f t="shared" si="147"/>
        <v>43454</v>
      </c>
      <c r="AC368" s="425">
        <f t="shared" si="148"/>
        <v>1.3558370064231138E-2</v>
      </c>
      <c r="AD368" s="168">
        <f>(INDEX(Models!$BJ368:$BT368,,AH368)*(1-AF368)+INDEX(Models!$BJ368:$BT368,,AH368+1)*AF368-ERP_i)*AE368*Ramure*Pc/MaxiM</f>
        <v>9.1445652130842995E-5</v>
      </c>
      <c r="AE368" s="304">
        <f t="shared" si="149"/>
        <v>0.5</v>
      </c>
      <c r="AF368" s="176">
        <f t="shared" si="150"/>
        <v>0.83476718668427452</v>
      </c>
      <c r="AG368" s="814">
        <f t="shared" si="151"/>
        <v>-1</v>
      </c>
      <c r="AH368" s="175">
        <f t="shared" si="152"/>
        <v>5</v>
      </c>
      <c r="AI368" s="224">
        <f t="shared" si="153"/>
        <v>-0.16523281331572548</v>
      </c>
      <c r="AJ368" s="264" t="b">
        <f t="shared" si="154"/>
        <v>0</v>
      </c>
      <c r="AK368" s="264" t="b">
        <f t="shared" si="15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56"/>
        <v>43455</v>
      </c>
      <c r="B369" s="616">
        <v>9.0359999999999996</v>
      </c>
      <c r="C369" s="389"/>
      <c r="D369" s="392">
        <f t="shared" si="133"/>
        <v>9.0766635431964566</v>
      </c>
      <c r="E369" s="384">
        <f t="shared" si="159"/>
        <v>9.2019630068989464</v>
      </c>
      <c r="F369" s="384">
        <f t="shared" si="158"/>
        <v>9.2020433668289279</v>
      </c>
      <c r="G369" s="110">
        <f t="shared" si="160"/>
        <v>0.36698277827834747</v>
      </c>
      <c r="I369" s="379">
        <f t="shared" si="134"/>
        <v>9.2020433668289279</v>
      </c>
      <c r="J369" s="85">
        <v>2018</v>
      </c>
      <c r="K369" s="196">
        <f t="shared" si="135"/>
        <v>43455</v>
      </c>
      <c r="L369" s="436">
        <f t="shared" si="136"/>
        <v>4.4800099731510112E-3</v>
      </c>
      <c r="M369" s="858"/>
      <c r="N369" s="858"/>
      <c r="O369" s="323">
        <f t="shared" si="137"/>
        <v>1.3616601545621297E-2</v>
      </c>
      <c r="P369" s="168">
        <f>(INDEX(Models!$BJ369:$BT369,,T369)*(1-R369)+INDEX(Models!$BJ369:$BT369,,T369+1)*R369-ERP_i)*Q369*Ramure*Pc/MaxiM</f>
        <v>9.1220807390885659E-5</v>
      </c>
      <c r="Q369" s="304">
        <f t="shared" si="138"/>
        <v>0.5</v>
      </c>
      <c r="R369" s="176">
        <f t="shared" si="139"/>
        <v>0.83477153037502672</v>
      </c>
      <c r="S369" s="814">
        <f t="shared" si="157"/>
        <v>-1</v>
      </c>
      <c r="T369" s="175">
        <f t="shared" si="140"/>
        <v>5</v>
      </c>
      <c r="U369" s="250">
        <f t="shared" si="141"/>
        <v>-0.16522846962497334</v>
      </c>
      <c r="V369" s="382">
        <f t="shared" si="142"/>
        <v>24.620377758769958</v>
      </c>
      <c r="W369" s="58"/>
      <c r="X369" s="157">
        <f t="shared" si="143"/>
        <v>43455</v>
      </c>
      <c r="Y369" s="384">
        <f t="shared" si="144"/>
        <v>9.0359999999999996</v>
      </c>
      <c r="Z369" s="384">
        <f t="shared" si="145"/>
        <v>9.0766635431964566</v>
      </c>
      <c r="AA369" s="385">
        <f t="shared" si="146"/>
        <v>9.2019630068989464</v>
      </c>
      <c r="AB369" s="196">
        <f t="shared" si="147"/>
        <v>43455</v>
      </c>
      <c r="AC369" s="425">
        <f t="shared" si="148"/>
        <v>1.3616601545621297E-2</v>
      </c>
      <c r="AD369" s="168">
        <f>(INDEX(Models!$BJ369:$BT369,,AH369)*(1-AF369)+INDEX(Models!$BJ369:$BT369,,AH369+1)*AF369-ERP_i)*AE369*Ramure*Pc/MaxiM</f>
        <v>9.1220807390885659E-5</v>
      </c>
      <c r="AE369" s="304">
        <f t="shared" si="149"/>
        <v>0.5</v>
      </c>
      <c r="AF369" s="176">
        <f t="shared" si="150"/>
        <v>0.83477153037502672</v>
      </c>
      <c r="AG369" s="814">
        <f t="shared" si="151"/>
        <v>-1</v>
      </c>
      <c r="AH369" s="175">
        <f t="shared" si="152"/>
        <v>5</v>
      </c>
      <c r="AI369" s="224">
        <f t="shared" si="153"/>
        <v>-0.16522846962497334</v>
      </c>
      <c r="AJ369" s="264" t="b">
        <f t="shared" si="154"/>
        <v>0</v>
      </c>
      <c r="AK369" s="264" t="b">
        <f t="shared" si="15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56"/>
        <v>43456</v>
      </c>
      <c r="B370" s="616">
        <v>6.9470000000000001</v>
      </c>
      <c r="C370" s="389"/>
      <c r="D370" s="392">
        <f t="shared" si="133"/>
        <v>6.9784155316402501</v>
      </c>
      <c r="E370" s="384">
        <f t="shared" si="159"/>
        <v>7.0751674567935421</v>
      </c>
      <c r="F370" s="384">
        <f>Wh_sa/(1-Pvg*MEDIAN((-Sdif+Wh/Env_an)/Csdif,0,1))</f>
        <v>7.0751674567935421</v>
      </c>
      <c r="G370" s="110">
        <f t="shared" si="160"/>
        <v>0.28194612038938927</v>
      </c>
      <c r="I370" s="379">
        <f t="shared" si="134"/>
        <v>7.0751674567935421</v>
      </c>
      <c r="J370" s="85">
        <v>2018</v>
      </c>
      <c r="K370" s="196">
        <f t="shared" si="135"/>
        <v>43456</v>
      </c>
      <c r="L370" s="436">
        <f t="shared" si="136"/>
        <v>4.5018144158672779E-3</v>
      </c>
      <c r="M370" s="858"/>
      <c r="N370" s="858"/>
      <c r="O370" s="323">
        <f t="shared" si="137"/>
        <v>1.3674860099656291E-2</v>
      </c>
      <c r="P370" s="168">
        <f>(INDEX(Models!$BJ370:$BT370,,T370)*(1-R370)+INDEX(Models!$BJ370:$BT370,,T370+1)*R370-ERP_i)*Q370*Ramure*Pc/MaxiM</f>
        <v>9.106782378330279E-5</v>
      </c>
      <c r="Q370" s="304">
        <f t="shared" si="138"/>
        <v>0.5</v>
      </c>
      <c r="R370" s="176">
        <f t="shared" si="139"/>
        <v>0.83477569929430495</v>
      </c>
      <c r="S370" s="814">
        <f t="shared" si="157"/>
        <v>-1</v>
      </c>
      <c r="T370" s="175">
        <f t="shared" si="140"/>
        <v>5</v>
      </c>
      <c r="U370" s="250">
        <f t="shared" si="141"/>
        <v>-0.16522430070569499</v>
      </c>
      <c r="V370" s="382">
        <f t="shared" si="142"/>
        <v>24.637215586562107</v>
      </c>
      <c r="W370" s="58"/>
      <c r="X370" s="157">
        <f t="shared" si="143"/>
        <v>43456</v>
      </c>
      <c r="Y370" s="384">
        <f t="shared" si="144"/>
        <v>6.9470000000000001</v>
      </c>
      <c r="Z370" s="384">
        <f t="shared" si="145"/>
        <v>6.9784155316402501</v>
      </c>
      <c r="AA370" s="385">
        <f t="shared" si="146"/>
        <v>7.0751674567935421</v>
      </c>
      <c r="AB370" s="196">
        <f t="shared" si="147"/>
        <v>43456</v>
      </c>
      <c r="AC370" s="425">
        <f t="shared" si="148"/>
        <v>1.3674860099656291E-2</v>
      </c>
      <c r="AD370" s="168">
        <f>(INDEX(Models!$BJ370:$BT370,,AH370)*(1-AF370)+INDEX(Models!$BJ370:$BT370,,AH370+1)*AF370-ERP_i)*AE370*Ramure*Pc/MaxiM</f>
        <v>9.106782378330279E-5</v>
      </c>
      <c r="AE370" s="304">
        <f t="shared" si="149"/>
        <v>0.5</v>
      </c>
      <c r="AF370" s="176">
        <f t="shared" si="150"/>
        <v>0.83477569929430495</v>
      </c>
      <c r="AG370" s="814">
        <f t="shared" si="151"/>
        <v>-1</v>
      </c>
      <c r="AH370" s="175">
        <f t="shared" si="152"/>
        <v>5</v>
      </c>
      <c r="AI370" s="224">
        <f t="shared" si="153"/>
        <v>-0.16522430070569499</v>
      </c>
      <c r="AJ370" s="264" t="b">
        <f t="shared" si="154"/>
        <v>0</v>
      </c>
      <c r="AK370" s="264" t="b">
        <f t="shared" si="15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56"/>
        <v>43457</v>
      </c>
      <c r="B371" s="616">
        <v>4.2039999999999997</v>
      </c>
      <c r="C371" s="389"/>
      <c r="D371" s="392">
        <f t="shared" si="133"/>
        <v>4.2231037095655033</v>
      </c>
      <c r="E371" s="384">
        <f t="shared" si="159"/>
        <v>4.281907744835558</v>
      </c>
      <c r="F371" s="384">
        <f t="shared" si="158"/>
        <v>4.281907744835558</v>
      </c>
      <c r="G371" s="110">
        <f t="shared" si="160"/>
        <v>0.17041632289274433</v>
      </c>
      <c r="I371" s="379">
        <f t="shared" si="134"/>
        <v>4.281907744835558</v>
      </c>
      <c r="J371" s="85">
        <v>2018</v>
      </c>
      <c r="K371" s="196">
        <f t="shared" si="135"/>
        <v>43457</v>
      </c>
      <c r="L371" s="436">
        <f t="shared" si="136"/>
        <v>4.5236183810103414E-3</v>
      </c>
      <c r="M371" s="858"/>
      <c r="N371" s="858"/>
      <c r="O371" s="323">
        <f t="shared" si="137"/>
        <v>1.37331392393912E-2</v>
      </c>
      <c r="P371" s="168">
        <f>(INDEX(Models!$BJ371:$BT371,,T371)*(1-R371)+INDEX(Models!$BJ371:$BT371,,T371+1)*R371-ERP_i)*Q371*Ramure*Pc/MaxiM</f>
        <v>9.0984180147154418E-5</v>
      </c>
      <c r="Q371" s="304">
        <f t="shared" si="138"/>
        <v>0.5</v>
      </c>
      <c r="R371" s="176">
        <f t="shared" si="139"/>
        <v>0.83477569929430495</v>
      </c>
      <c r="S371" s="814">
        <f t="shared" si="157"/>
        <v>-1</v>
      </c>
      <c r="T371" s="175">
        <f t="shared" si="140"/>
        <v>5</v>
      </c>
      <c r="U371" s="250">
        <f t="shared" si="141"/>
        <v>-0.16522430070569499</v>
      </c>
      <c r="V371" s="382">
        <f t="shared" si="142"/>
        <v>24.666753930328085</v>
      </c>
      <c r="W371" s="58"/>
      <c r="X371" s="157">
        <f t="shared" si="143"/>
        <v>43457</v>
      </c>
      <c r="Y371" s="384">
        <f t="shared" si="144"/>
        <v>4.2039999999999997</v>
      </c>
      <c r="Z371" s="384">
        <f t="shared" si="145"/>
        <v>4.2231037095655033</v>
      </c>
      <c r="AA371" s="385">
        <f t="shared" si="146"/>
        <v>4.281907744835558</v>
      </c>
      <c r="AB371" s="196">
        <f t="shared" si="147"/>
        <v>43457</v>
      </c>
      <c r="AC371" s="425">
        <f t="shared" si="148"/>
        <v>1.37331392393912E-2</v>
      </c>
      <c r="AD371" s="168">
        <f>(INDEX(Models!$BJ371:$BT371,,AH371)*(1-AF371)+INDEX(Models!$BJ371:$BT371,,AH371+1)*AF371-ERP_i)*AE371*Ramure*Pc/MaxiM</f>
        <v>9.0984180147154418E-5</v>
      </c>
      <c r="AE371" s="304">
        <f t="shared" si="149"/>
        <v>0.5</v>
      </c>
      <c r="AF371" s="176">
        <f t="shared" si="150"/>
        <v>0.83477569929430495</v>
      </c>
      <c r="AG371" s="814">
        <f t="shared" si="151"/>
        <v>-1</v>
      </c>
      <c r="AH371" s="175">
        <f t="shared" si="152"/>
        <v>5</v>
      </c>
      <c r="AI371" s="224">
        <f t="shared" si="153"/>
        <v>-0.16522430070569499</v>
      </c>
      <c r="AJ371" s="264" t="b">
        <f t="shared" si="154"/>
        <v>0</v>
      </c>
      <c r="AK371" s="264" t="b">
        <f t="shared" si="15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56"/>
        <v>43458</v>
      </c>
      <c r="B372" s="616">
        <v>4.7629999999999999</v>
      </c>
      <c r="C372" s="389"/>
      <c r="D372" s="392">
        <f t="shared" si="133"/>
        <v>4.7847487013829761</v>
      </c>
      <c r="E372" s="384">
        <f t="shared" si="159"/>
        <v>4.8516600439833395</v>
      </c>
      <c r="F372" s="384">
        <f t="shared" si="158"/>
        <v>4.8516600439833395</v>
      </c>
      <c r="G372" s="110">
        <f t="shared" si="160"/>
        <v>0.19274494240999884</v>
      </c>
      <c r="I372" s="379">
        <f t="shared" si="134"/>
        <v>4.8516600439833395</v>
      </c>
      <c r="J372" s="85">
        <v>2018</v>
      </c>
      <c r="K372" s="196">
        <f t="shared" si="135"/>
        <v>43458</v>
      </c>
      <c r="L372" s="436">
        <f t="shared" si="136"/>
        <v>4.5454218685905268E-3</v>
      </c>
      <c r="M372" s="858"/>
      <c r="N372" s="858"/>
      <c r="O372" s="323">
        <f t="shared" si="137"/>
        <v>1.3791432621776923E-2</v>
      </c>
      <c r="P372" s="168">
        <f>(INDEX(Models!$BJ372:$BT372,,T372)*(1-R372)+INDEX(Models!$BJ372:$BT372,,T372+1)*R372-ERP_i)*Q372*Ramure*Pc/MaxiM</f>
        <v>9.0969456820505607E-5</v>
      </c>
      <c r="Q372" s="304">
        <f t="shared" si="138"/>
        <v>0.5</v>
      </c>
      <c r="R372" s="176">
        <f t="shared" si="139"/>
        <v>0.83477569929430495</v>
      </c>
      <c r="S372" s="814">
        <f t="shared" si="157"/>
        <v>-1</v>
      </c>
      <c r="T372" s="175">
        <f t="shared" si="140"/>
        <v>5</v>
      </c>
      <c r="U372" s="250">
        <f t="shared" si="141"/>
        <v>-0.16522430070569499</v>
      </c>
      <c r="V372" s="382">
        <f t="shared" si="142"/>
        <v>24.709165661770953</v>
      </c>
      <c r="W372" s="58"/>
      <c r="X372" s="157">
        <f t="shared" si="143"/>
        <v>43458</v>
      </c>
      <c r="Y372" s="384">
        <f t="shared" si="144"/>
        <v>4.7629999999999999</v>
      </c>
      <c r="Z372" s="384">
        <f t="shared" si="145"/>
        <v>4.7847487013829761</v>
      </c>
      <c r="AA372" s="385">
        <f t="shared" si="146"/>
        <v>4.8516600439833395</v>
      </c>
      <c r="AB372" s="196">
        <f t="shared" si="147"/>
        <v>43458</v>
      </c>
      <c r="AC372" s="425">
        <f t="shared" si="148"/>
        <v>1.3791432621776923E-2</v>
      </c>
      <c r="AD372" s="168">
        <f>(INDEX(Models!$BJ372:$BT372,,AH372)*(1-AF372)+INDEX(Models!$BJ372:$BT372,,AH372+1)*AF372-ERP_i)*AE372*Ramure*Pc/MaxiM</f>
        <v>9.0969456820505607E-5</v>
      </c>
      <c r="AE372" s="304">
        <f t="shared" si="149"/>
        <v>0.5</v>
      </c>
      <c r="AF372" s="176">
        <f t="shared" si="150"/>
        <v>0.83477569929430495</v>
      </c>
      <c r="AG372" s="814">
        <f t="shared" si="151"/>
        <v>-1</v>
      </c>
      <c r="AH372" s="175">
        <f t="shared" si="152"/>
        <v>5</v>
      </c>
      <c r="AI372" s="224">
        <f t="shared" si="153"/>
        <v>-0.16522430070569499</v>
      </c>
      <c r="AJ372" s="264" t="b">
        <f t="shared" si="154"/>
        <v>0</v>
      </c>
      <c r="AK372" s="264" t="b">
        <f t="shared" si="15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56"/>
        <v>43459</v>
      </c>
      <c r="B373" s="616">
        <v>16.390999999999998</v>
      </c>
      <c r="C373" s="389"/>
      <c r="D373" s="392">
        <f t="shared" si="133"/>
        <v>16.466204860495282</v>
      </c>
      <c r="E373" s="384">
        <f t="shared" si="159"/>
        <v>16.69746024481918</v>
      </c>
      <c r="F373" s="384">
        <f t="shared" si="158"/>
        <v>16.698245889929026</v>
      </c>
      <c r="G373" s="110">
        <f t="shared" si="160"/>
        <v>0.66181794188717269</v>
      </c>
      <c r="I373" s="379">
        <f t="shared" si="134"/>
        <v>16.698245889929026</v>
      </c>
      <c r="J373" s="85">
        <v>2018</v>
      </c>
      <c r="K373" s="196">
        <f t="shared" si="135"/>
        <v>43459</v>
      </c>
      <c r="L373" s="436">
        <f t="shared" si="136"/>
        <v>4.5672248786184921E-3</v>
      </c>
      <c r="M373" s="858"/>
      <c r="N373" s="858"/>
      <c r="O373" s="323">
        <f t="shared" si="137"/>
        <v>1.3849734087293271E-2</v>
      </c>
      <c r="P373" s="168">
        <f>(INDEX(Models!$BJ373:$BT373,,T373)*(1-R373)+INDEX(Models!$BJ373:$BT373,,T373+1)*R373-ERP_i)*Q373*Ramure*Pc/MaxiM</f>
        <v>9.101826879033381E-5</v>
      </c>
      <c r="Q373" s="304">
        <f t="shared" si="138"/>
        <v>0.5</v>
      </c>
      <c r="R373" s="176">
        <f t="shared" si="139"/>
        <v>0.83477569929430495</v>
      </c>
      <c r="S373" s="814">
        <f t="shared" si="157"/>
        <v>-1</v>
      </c>
      <c r="T373" s="175">
        <f t="shared" si="140"/>
        <v>5</v>
      </c>
      <c r="U373" s="250">
        <f t="shared" si="141"/>
        <v>-0.16522430070569499</v>
      </c>
      <c r="V373" s="382">
        <f t="shared" si="142"/>
        <v>24.765540849853281</v>
      </c>
      <c r="W373" s="58"/>
      <c r="X373" s="157">
        <f t="shared" si="143"/>
        <v>43459</v>
      </c>
      <c r="Y373" s="384">
        <f t="shared" si="144"/>
        <v>16.390999999999998</v>
      </c>
      <c r="Z373" s="384">
        <f t="shared" si="145"/>
        <v>16.466204860495282</v>
      </c>
      <c r="AA373" s="385">
        <f t="shared" si="146"/>
        <v>16.69746024481918</v>
      </c>
      <c r="AB373" s="196">
        <f t="shared" si="147"/>
        <v>43459</v>
      </c>
      <c r="AC373" s="425">
        <f t="shared" si="148"/>
        <v>1.3849734087293271E-2</v>
      </c>
      <c r="AD373" s="168">
        <f>(INDEX(Models!$BJ373:$BT373,,AH373)*(1-AF373)+INDEX(Models!$BJ373:$BT373,,AH373+1)*AF373-ERP_i)*AE373*Ramure*Pc/MaxiM</f>
        <v>9.101826879033381E-5</v>
      </c>
      <c r="AE373" s="304">
        <f t="shared" si="149"/>
        <v>0.5</v>
      </c>
      <c r="AF373" s="176">
        <f t="shared" si="150"/>
        <v>0.83477569929430495</v>
      </c>
      <c r="AG373" s="814">
        <f t="shared" si="151"/>
        <v>-1</v>
      </c>
      <c r="AH373" s="175">
        <f t="shared" si="152"/>
        <v>5</v>
      </c>
      <c r="AI373" s="224">
        <f t="shared" si="153"/>
        <v>-0.16522430070569499</v>
      </c>
      <c r="AJ373" s="264" t="b">
        <f t="shared" si="154"/>
        <v>0</v>
      </c>
      <c r="AK373" s="264" t="b">
        <f t="shared" si="15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56"/>
        <v>43460</v>
      </c>
      <c r="B374" s="616">
        <v>24.388000000000002</v>
      </c>
      <c r="C374" s="389"/>
      <c r="D374" s="392">
        <f t="shared" si="133"/>
        <v>24.500433159352202</v>
      </c>
      <c r="E374" s="384">
        <f t="shared" si="159"/>
        <v>24.845992154849711</v>
      </c>
      <c r="F374" s="384">
        <f t="shared" si="158"/>
        <v>24.848198087219174</v>
      </c>
      <c r="G374" s="110">
        <f t="shared" si="160"/>
        <v>0.98194099820079339</v>
      </c>
      <c r="I374" s="379">
        <f t="shared" si="134"/>
        <v>24.848198087219174</v>
      </c>
      <c r="J374" s="85">
        <v>2018</v>
      </c>
      <c r="K374" s="196">
        <f t="shared" si="135"/>
        <v>43460</v>
      </c>
      <c r="L374" s="436">
        <f t="shared" si="136"/>
        <v>4.5890274111044516E-3</v>
      </c>
      <c r="M374" s="858"/>
      <c r="N374" s="858"/>
      <c r="O374" s="323">
        <f t="shared" si="137"/>
        <v>1.3908037696536835E-2</v>
      </c>
      <c r="P374" s="168">
        <f>(INDEX(Models!$BJ374:$BT374,,T374)*(1-R374)+INDEX(Models!$BJ374:$BT374,,T374+1)*R374-ERP_i)*Q374*Ramure*Pc/MaxiM</f>
        <v>9.11269976584318E-5</v>
      </c>
      <c r="Q374" s="304">
        <f t="shared" si="138"/>
        <v>0.5</v>
      </c>
      <c r="R374" s="176">
        <f t="shared" si="139"/>
        <v>0.83477569929430495</v>
      </c>
      <c r="S374" s="814">
        <f t="shared" si="157"/>
        <v>-1</v>
      </c>
      <c r="T374" s="175">
        <f t="shared" si="140"/>
        <v>5</v>
      </c>
      <c r="U374" s="250">
        <f t="shared" si="141"/>
        <v>-0.16522430070569499</v>
      </c>
      <c r="V374" s="382">
        <f t="shared" si="142"/>
        <v>24.836464423055492</v>
      </c>
      <c r="W374" s="58"/>
      <c r="X374" s="157">
        <f t="shared" si="143"/>
        <v>43460</v>
      </c>
      <c r="Y374" s="384">
        <f t="shared" si="144"/>
        <v>24.388000000000002</v>
      </c>
      <c r="Z374" s="384">
        <f t="shared" si="145"/>
        <v>24.500433159352202</v>
      </c>
      <c r="AA374" s="385">
        <f t="shared" si="146"/>
        <v>24.845992154849711</v>
      </c>
      <c r="AB374" s="196">
        <f t="shared" si="147"/>
        <v>43460</v>
      </c>
      <c r="AC374" s="425">
        <f t="shared" si="148"/>
        <v>1.3908037696536835E-2</v>
      </c>
      <c r="AD374" s="168">
        <f>(INDEX(Models!$BJ374:$BT374,,AH374)*(1-AF374)+INDEX(Models!$BJ374:$BT374,,AH374+1)*AF374-ERP_i)*AE374*Ramure*Pc/MaxiM</f>
        <v>9.11269976584318E-5</v>
      </c>
      <c r="AE374" s="304">
        <f t="shared" si="149"/>
        <v>0.5</v>
      </c>
      <c r="AF374" s="176">
        <f t="shared" si="150"/>
        <v>0.83477569929430495</v>
      </c>
      <c r="AG374" s="814">
        <f t="shared" si="151"/>
        <v>-1</v>
      </c>
      <c r="AH374" s="175">
        <f t="shared" si="152"/>
        <v>5</v>
      </c>
      <c r="AI374" s="224">
        <f t="shared" si="153"/>
        <v>-0.16522430070569499</v>
      </c>
      <c r="AJ374" s="264" t="b">
        <f t="shared" si="154"/>
        <v>0</v>
      </c>
      <c r="AK374" s="264" t="b">
        <f t="shared" si="15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56"/>
        <v>43461</v>
      </c>
      <c r="B375" s="616">
        <v>24.596</v>
      </c>
      <c r="C375" s="389"/>
      <c r="D375" s="392">
        <f t="shared" si="133"/>
        <v>24.709933288511021</v>
      </c>
      <c r="E375" s="384">
        <f t="shared" si="159"/>
        <v>25.059928717306533</v>
      </c>
      <c r="F375" s="384">
        <f t="shared" si="158"/>
        <v>25.062175747198527</v>
      </c>
      <c r="G375" s="110">
        <f t="shared" si="160"/>
        <v>0.98694324665173627</v>
      </c>
      <c r="I375" s="379">
        <f t="shared" si="134"/>
        <v>25.062175747198527</v>
      </c>
      <c r="J375" s="85">
        <v>2018</v>
      </c>
      <c r="K375" s="196">
        <f t="shared" si="135"/>
        <v>43461</v>
      </c>
      <c r="L375" s="436">
        <f t="shared" si="136"/>
        <v>4.6108294660590632E-3</v>
      </c>
      <c r="M375" s="858"/>
      <c r="N375" s="858"/>
      <c r="O375" s="323">
        <f t="shared" si="137"/>
        <v>1.3966337763514931E-2</v>
      </c>
      <c r="P375" s="168">
        <f>(INDEX(Models!$BJ375:$BT375,,T375)*(1-R375)+INDEX(Models!$BJ375:$BT375,,T375+1)*R375-ERP_i)*Q375*Ramure*Pc/MaxiM</f>
        <v>9.1362126010082316E-5</v>
      </c>
      <c r="Q375" s="304">
        <f t="shared" si="138"/>
        <v>0.5</v>
      </c>
      <c r="R375" s="176">
        <f t="shared" si="139"/>
        <v>0.83477569929430495</v>
      </c>
      <c r="S375" s="814">
        <f t="shared" si="157"/>
        <v>-1</v>
      </c>
      <c r="T375" s="175">
        <f t="shared" si="140"/>
        <v>5</v>
      </c>
      <c r="U375" s="250">
        <f t="shared" si="141"/>
        <v>-0.16522430070569499</v>
      </c>
      <c r="V375" s="382">
        <f t="shared" si="142"/>
        <v>24.921350006944767</v>
      </c>
      <c r="W375" s="58"/>
      <c r="X375" s="157">
        <f t="shared" si="143"/>
        <v>43461</v>
      </c>
      <c r="Y375" s="384">
        <f t="shared" si="144"/>
        <v>24.596</v>
      </c>
      <c r="Z375" s="384">
        <f t="shared" si="145"/>
        <v>24.709933288511021</v>
      </c>
      <c r="AA375" s="385">
        <f t="shared" si="146"/>
        <v>25.059928717306533</v>
      </c>
      <c r="AB375" s="196">
        <f t="shared" si="147"/>
        <v>43461</v>
      </c>
      <c r="AC375" s="425">
        <f t="shared" si="148"/>
        <v>1.3966337763514931E-2</v>
      </c>
      <c r="AD375" s="168">
        <f>(INDEX(Models!$BJ375:$BT375,,AH375)*(1-AF375)+INDEX(Models!$BJ375:$BT375,,AH375+1)*AF375-ERP_i)*AE375*Ramure*Pc/MaxiM</f>
        <v>9.1362126010082316E-5</v>
      </c>
      <c r="AE375" s="304">
        <f t="shared" si="149"/>
        <v>0.5</v>
      </c>
      <c r="AF375" s="176">
        <f t="shared" si="150"/>
        <v>0.83477569929430495</v>
      </c>
      <c r="AG375" s="814">
        <f t="shared" si="151"/>
        <v>-1</v>
      </c>
      <c r="AH375" s="175">
        <f t="shared" si="152"/>
        <v>5</v>
      </c>
      <c r="AI375" s="224">
        <f t="shared" si="153"/>
        <v>-0.16522430070569499</v>
      </c>
      <c r="AJ375" s="264" t="b">
        <f t="shared" si="154"/>
        <v>0</v>
      </c>
      <c r="AK375" s="264" t="b">
        <f t="shared" si="15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56"/>
        <v>43462</v>
      </c>
      <c r="B376" s="616">
        <v>2.71</v>
      </c>
      <c r="C376" s="389"/>
      <c r="D376" s="392">
        <f t="shared" si="133"/>
        <v>2.7226128608586264</v>
      </c>
      <c r="E376" s="384">
        <f t="shared" si="159"/>
        <v>2.7613396243162986</v>
      </c>
      <c r="F376" s="384">
        <f t="shared" si="158"/>
        <v>2.7613396243162986</v>
      </c>
      <c r="G376" s="110">
        <f t="shared" si="160"/>
        <v>0.10830508945070923</v>
      </c>
      <c r="I376" s="379">
        <f t="shared" si="134"/>
        <v>2.7613396243162986</v>
      </c>
      <c r="J376" s="85">
        <v>2018</v>
      </c>
      <c r="K376" s="196">
        <f t="shared" si="135"/>
        <v>43462</v>
      </c>
      <c r="L376" s="436">
        <f t="shared" si="136"/>
        <v>4.6326310434927631E-3</v>
      </c>
      <c r="M376" s="858"/>
      <c r="N376" s="858"/>
      <c r="O376" s="323">
        <f t="shared" si="137"/>
        <v>1.4024628885431194E-2</v>
      </c>
      <c r="P376" s="168">
        <f>(INDEX(Models!$BJ376:$BT376,,T376)*(1-R376)+INDEX(Models!$BJ376:$BT376,,T376+1)*R376-ERP_i)*Q376*Ramure*Pc/MaxiM</f>
        <v>9.1671040886985634E-5</v>
      </c>
      <c r="Q376" s="304">
        <f t="shared" si="138"/>
        <v>0.5</v>
      </c>
      <c r="R376" s="176">
        <f t="shared" si="139"/>
        <v>0.83477569929430495</v>
      </c>
      <c r="S376" s="814">
        <f t="shared" si="157"/>
        <v>-1</v>
      </c>
      <c r="T376" s="175">
        <f t="shared" si="140"/>
        <v>5</v>
      </c>
      <c r="U376" s="250">
        <f t="shared" si="141"/>
        <v>-0.16522430070569499</v>
      </c>
      <c r="V376" s="382">
        <f t="shared" si="142"/>
        <v>25.019614361820292</v>
      </c>
      <c r="W376" s="58"/>
      <c r="X376" s="157">
        <f t="shared" si="143"/>
        <v>43462</v>
      </c>
      <c r="Y376" s="384">
        <f t="shared" si="144"/>
        <v>2.71</v>
      </c>
      <c r="Z376" s="384">
        <f t="shared" si="145"/>
        <v>2.7226128608586264</v>
      </c>
      <c r="AA376" s="385">
        <f t="shared" si="146"/>
        <v>2.7613396243162986</v>
      </c>
      <c r="AB376" s="196">
        <f t="shared" si="147"/>
        <v>43462</v>
      </c>
      <c r="AC376" s="425">
        <f t="shared" si="148"/>
        <v>1.4024628885431194E-2</v>
      </c>
      <c r="AD376" s="168">
        <f>(INDEX(Models!$BJ376:$BT376,,AH376)*(1-AF376)+INDEX(Models!$BJ376:$BT376,,AH376+1)*AF376-ERP_i)*AE376*Ramure*Pc/MaxiM</f>
        <v>9.1671040886985634E-5</v>
      </c>
      <c r="AE376" s="304">
        <f t="shared" si="149"/>
        <v>0.5</v>
      </c>
      <c r="AF376" s="176">
        <f t="shared" si="150"/>
        <v>0.83477569929430495</v>
      </c>
      <c r="AG376" s="814">
        <f t="shared" si="151"/>
        <v>-1</v>
      </c>
      <c r="AH376" s="175">
        <f t="shared" si="152"/>
        <v>5</v>
      </c>
      <c r="AI376" s="224">
        <f t="shared" si="153"/>
        <v>-0.16522430070569499</v>
      </c>
      <c r="AJ376" s="264" t="b">
        <f t="shared" si="154"/>
        <v>0</v>
      </c>
      <c r="AK376" s="264" t="b">
        <f t="shared" si="15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56"/>
        <v>43463</v>
      </c>
      <c r="B377" s="616">
        <v>3.012</v>
      </c>
      <c r="C377" s="389"/>
      <c r="D377" s="392">
        <f t="shared" si="133"/>
        <v>3.0260847059239517</v>
      </c>
      <c r="E377" s="384">
        <f t="shared" si="159"/>
        <v>3.0693095030444213</v>
      </c>
      <c r="F377" s="384">
        <f t="shared" si="158"/>
        <v>3.0693095030444213</v>
      </c>
      <c r="G377" s="110">
        <f t="shared" si="160"/>
        <v>0.1198425015995124</v>
      </c>
      <c r="I377" s="379">
        <f t="shared" si="134"/>
        <v>3.0693095030444213</v>
      </c>
      <c r="J377" s="85">
        <v>2018</v>
      </c>
      <c r="K377" s="196">
        <f t="shared" si="135"/>
        <v>43463</v>
      </c>
      <c r="L377" s="436">
        <f t="shared" si="136"/>
        <v>4.6544321434158764E-3</v>
      </c>
      <c r="M377" s="858"/>
      <c r="N377" s="858"/>
      <c r="O377" s="323">
        <f t="shared" si="137"/>
        <v>1.4082905968783865E-2</v>
      </c>
      <c r="P377" s="168">
        <f>(INDEX(Models!$BJ377:$BT377,,T377)*(1-R377)+INDEX(Models!$BJ377:$BT377,,T377+1)*R377-ERP_i)*Q377*Ramure*Pc/MaxiM</f>
        <v>9.2053794563213003E-5</v>
      </c>
      <c r="Q377" s="304">
        <f t="shared" si="138"/>
        <v>0.5</v>
      </c>
      <c r="R377" s="176">
        <f t="shared" si="139"/>
        <v>0.83477569929430495</v>
      </c>
      <c r="S377" s="814">
        <f t="shared" si="157"/>
        <v>-1</v>
      </c>
      <c r="T377" s="175">
        <f t="shared" si="140"/>
        <v>5</v>
      </c>
      <c r="U377" s="250">
        <f t="shared" si="141"/>
        <v>-0.16522430070569499</v>
      </c>
      <c r="V377" s="382">
        <f t="shared" si="142"/>
        <v>25.130673123257214</v>
      </c>
      <c r="W377" s="58"/>
      <c r="X377" s="157">
        <f t="shared" si="143"/>
        <v>43463</v>
      </c>
      <c r="Y377" s="384">
        <f t="shared" si="144"/>
        <v>3.012</v>
      </c>
      <c r="Z377" s="384">
        <f t="shared" si="145"/>
        <v>3.0260847059239517</v>
      </c>
      <c r="AA377" s="385">
        <f t="shared" si="146"/>
        <v>3.0693095030444213</v>
      </c>
      <c r="AB377" s="196">
        <f t="shared" si="147"/>
        <v>43463</v>
      </c>
      <c r="AC377" s="425">
        <f t="shared" si="148"/>
        <v>1.4082905968783865E-2</v>
      </c>
      <c r="AD377" s="168">
        <f>(INDEX(Models!$BJ377:$BT377,,AH377)*(1-AF377)+INDEX(Models!$BJ377:$BT377,,AH377+1)*AF377-ERP_i)*AE377*Ramure*Pc/MaxiM</f>
        <v>9.2053794563213003E-5</v>
      </c>
      <c r="AE377" s="304">
        <f t="shared" si="149"/>
        <v>0.5</v>
      </c>
      <c r="AF377" s="176">
        <f t="shared" si="150"/>
        <v>0.83477569929430495</v>
      </c>
      <c r="AG377" s="814">
        <f t="shared" si="151"/>
        <v>-1</v>
      </c>
      <c r="AH377" s="175">
        <f t="shared" si="152"/>
        <v>5</v>
      </c>
      <c r="AI377" s="224">
        <f t="shared" si="153"/>
        <v>-0.16522430070569499</v>
      </c>
      <c r="AJ377" s="264" t="b">
        <f t="shared" si="154"/>
        <v>0</v>
      </c>
      <c r="AK377" s="264" t="b">
        <f t="shared" si="155"/>
        <v>0</v>
      </c>
      <c r="AL377" s="264"/>
      <c r="AM377" s="264"/>
      <c r="AN377" s="75"/>
    </row>
    <row r="378" spans="1:40" s="6" customFormat="1" ht="11.25" x14ac:dyDescent="0.2">
      <c r="A378" s="56">
        <f t="shared" si="156"/>
        <v>43464</v>
      </c>
      <c r="B378" s="616">
        <v>2.9769999999999999</v>
      </c>
      <c r="C378" s="389"/>
      <c r="D378" s="392">
        <f t="shared" si="133"/>
        <v>2.9909865493040395</v>
      </c>
      <c r="E378" s="384">
        <f t="shared" si="159"/>
        <v>3.0338892758754703</v>
      </c>
      <c r="F378" s="384">
        <f t="shared" si="158"/>
        <v>3.0338892758754703</v>
      </c>
      <c r="G378" s="110">
        <f t="shared" si="160"/>
        <v>0.1178716805722877</v>
      </c>
      <c r="I378" s="379">
        <f t="shared" si="134"/>
        <v>3.0338892758754703</v>
      </c>
      <c r="J378" s="85">
        <v>2018</v>
      </c>
      <c r="K378" s="196">
        <f t="shared" si="135"/>
        <v>43464</v>
      </c>
      <c r="L378" s="436">
        <f t="shared" si="136"/>
        <v>4.6762327658390612E-3</v>
      </c>
      <c r="M378" s="858"/>
      <c r="N378" s="858"/>
      <c r="O378" s="323">
        <f t="shared" si="137"/>
        <v>1.4141164251635576E-2</v>
      </c>
      <c r="P378" s="168">
        <f>(INDEX(Models!$BJ378:$BT378,,T378)*(1-R378)+INDEX(Models!$BJ378:$BT378,,T378+1)*R378-ERP_i)*Q378*Ramure*Pc/MaxiM</f>
        <v>9.2510307522258249E-5</v>
      </c>
      <c r="Q378" s="304">
        <f t="shared" si="138"/>
        <v>0.5</v>
      </c>
      <c r="R378" s="176">
        <f t="shared" si="139"/>
        <v>0.83477569929430495</v>
      </c>
      <c r="S378" s="814">
        <f t="shared" si="157"/>
        <v>-1</v>
      </c>
      <c r="T378" s="175">
        <f t="shared" si="140"/>
        <v>5</v>
      </c>
      <c r="U378" s="250">
        <f t="shared" si="141"/>
        <v>-0.16522430070569499</v>
      </c>
      <c r="V378" s="382">
        <f t="shared" si="142"/>
        <v>25.253942103497515</v>
      </c>
      <c r="W378" s="58"/>
      <c r="X378" s="157">
        <f t="shared" si="143"/>
        <v>43464</v>
      </c>
      <c r="Y378" s="384">
        <f t="shared" si="144"/>
        <v>2.9769999999999999</v>
      </c>
      <c r="Z378" s="384">
        <f t="shared" si="145"/>
        <v>2.9909865493040395</v>
      </c>
      <c r="AA378" s="385">
        <f t="shared" si="146"/>
        <v>3.0338892758754703</v>
      </c>
      <c r="AB378" s="196">
        <f t="shared" si="147"/>
        <v>43464</v>
      </c>
      <c r="AC378" s="425">
        <f t="shared" si="148"/>
        <v>1.4141164251635576E-2</v>
      </c>
      <c r="AD378" s="168">
        <f>(INDEX(Models!$BJ378:$BT378,,AH378)*(1-AF378)+INDEX(Models!$BJ378:$BT378,,AH378+1)*AF378-ERP_i)*AE378*Ramure*Pc/MaxiM</f>
        <v>9.2510307522258249E-5</v>
      </c>
      <c r="AE378" s="304">
        <f t="shared" si="149"/>
        <v>0.5</v>
      </c>
      <c r="AF378" s="176">
        <f t="shared" si="150"/>
        <v>0.83477569929430495</v>
      </c>
      <c r="AG378" s="814">
        <f t="shared" si="151"/>
        <v>-1</v>
      </c>
      <c r="AH378" s="175">
        <f t="shared" si="152"/>
        <v>5</v>
      </c>
      <c r="AI378" s="224">
        <f t="shared" si="153"/>
        <v>-0.16522430070569499</v>
      </c>
      <c r="AJ378" s="264" t="b">
        <f t="shared" si="154"/>
        <v>0</v>
      </c>
      <c r="AK378" s="264" t="b">
        <f t="shared" si="155"/>
        <v>0</v>
      </c>
      <c r="AL378" s="264"/>
      <c r="AM378" s="264"/>
      <c r="AN378" s="75"/>
    </row>
    <row r="379" spans="1:40" s="18" customFormat="1" ht="12.75" x14ac:dyDescent="0.2">
      <c r="A379" s="56">
        <f t="shared" si="156"/>
        <v>43465</v>
      </c>
      <c r="B379" s="616">
        <v>5.0129999999999999</v>
      </c>
      <c r="C379" s="389"/>
      <c r="D379" s="392">
        <f t="shared" si="133"/>
        <v>5.0366624057426295</v>
      </c>
      <c r="E379" s="384">
        <f t="shared" si="159"/>
        <v>5.1092101204628344</v>
      </c>
      <c r="F379" s="384">
        <f t="shared" si="158"/>
        <v>5.1092101204628344</v>
      </c>
      <c r="G379" s="110">
        <f t="shared" si="160"/>
        <v>0.1974306081586025</v>
      </c>
      <c r="I379" s="379">
        <f t="shared" si="134"/>
        <v>5.1092101204628344</v>
      </c>
      <c r="J379" s="85">
        <v>2018</v>
      </c>
      <c r="K379" s="196">
        <f t="shared" si="135"/>
        <v>43465</v>
      </c>
      <c r="L379" s="436">
        <f>IF(t&lt;T0,0,IF(t&lt;Tvie,1-EXP((T0-t)*PertePVj),1-EXP((T0-t)*PertePVj)+Pspv))</f>
        <v>4.6980329107725316E-3</v>
      </c>
      <c r="M379" s="858"/>
      <c r="N379" s="858"/>
      <c r="O379" s="323">
        <f t="shared" si="137"/>
        <v>1.4199399321951033E-2</v>
      </c>
      <c r="P379" s="168">
        <f>(INDEX(Models!$BJ379:$BT379,,T379)*(1-R379)+INDEX(Models!$BJ379:$BT379,,T379+1)*R379-ERP_i)*Q379*Ramure*Pc/MaxiM</f>
        <v>9.3040382020895675E-5</v>
      </c>
      <c r="Q379" s="305">
        <f t="shared" si="138"/>
        <v>0.5</v>
      </c>
      <c r="R379" s="176">
        <f t="shared" si="139"/>
        <v>0.83477569929430495</v>
      </c>
      <c r="S379" s="814">
        <f t="shared" si="157"/>
        <v>-1</v>
      </c>
      <c r="T379" s="175">
        <f t="shared" si="140"/>
        <v>5</v>
      </c>
      <c r="U379" s="306">
        <f t="shared" si="141"/>
        <v>-0.16522430070569499</v>
      </c>
      <c r="V379" s="382">
        <f t="shared" si="142"/>
        <v>25.388837299929683</v>
      </c>
      <c r="W379" s="391"/>
      <c r="X379" s="157">
        <f t="shared" si="143"/>
        <v>43465</v>
      </c>
      <c r="Y379" s="384">
        <f t="shared" si="144"/>
        <v>5.0129999999999999</v>
      </c>
      <c r="Z379" s="384">
        <f t="shared" si="145"/>
        <v>5.0366624057426295</v>
      </c>
      <c r="AA379" s="385">
        <f t="shared" si="146"/>
        <v>5.1092101204628344</v>
      </c>
      <c r="AB379" s="196">
        <f t="shared" si="147"/>
        <v>43465</v>
      </c>
      <c r="AC379" s="425">
        <f t="shared" si="148"/>
        <v>1.4199399321951033E-2</v>
      </c>
      <c r="AD379" s="168">
        <f>(INDEX(Models!$BJ379:$BT379,,AH379)*(1-AF379)+INDEX(Models!$BJ379:$BT379,,AH379+1)*AF379-ERP_i)*AE379*Ramure*Pc/MaxiM</f>
        <v>9.3040382020895675E-5</v>
      </c>
      <c r="AE379" s="305">
        <f t="shared" si="149"/>
        <v>0.5</v>
      </c>
      <c r="AF379" s="176">
        <f t="shared" si="150"/>
        <v>0.83477569929430495</v>
      </c>
      <c r="AG379" s="814">
        <f t="shared" si="151"/>
        <v>-1</v>
      </c>
      <c r="AH379" s="175">
        <f t="shared" si="152"/>
        <v>5</v>
      </c>
      <c r="AI379" s="221">
        <f t="shared" si="153"/>
        <v>-0.16522430070569499</v>
      </c>
      <c r="AJ379" s="264" t="b">
        <f t="shared" si="154"/>
        <v>0</v>
      </c>
      <c r="AK379" s="264" t="b">
        <f t="shared" si="15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20"/>
      <c r="C380" s="857"/>
      <c r="D380" s="393"/>
      <c r="E380" s="394"/>
      <c r="F380" s="394"/>
      <c r="G380" s="97"/>
      <c r="I380" s="380">
        <f t="shared" si="134"/>
        <v>0</v>
      </c>
      <c r="J380" s="151">
        <v>2018</v>
      </c>
      <c r="K380" s="198"/>
      <c r="L380" s="469"/>
      <c r="M380" s="859"/>
      <c r="N380" s="859"/>
      <c r="O380" s="470"/>
      <c r="P380" s="227"/>
      <c r="Q380" s="228"/>
      <c r="R380" s="228"/>
      <c r="S380" s="228"/>
      <c r="T380" s="228"/>
      <c r="U380" s="307"/>
      <c r="V380" s="383"/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54"/>
        <v>1</v>
      </c>
      <c r="AK380" s="264" t="b">
        <f t="shared" si="15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1.5429999999999999</v>
      </c>
      <c r="C381" s="374"/>
      <c r="D381" s="372">
        <f>MIN(D15:D380)</f>
        <v>1.549672202366696</v>
      </c>
      <c r="E381" s="372">
        <f>MIN(E15:E380)</f>
        <v>1.5703252173685212</v>
      </c>
      <c r="F381" s="373">
        <f>MIN(F15:F380)</f>
        <v>1.5703252173685212</v>
      </c>
      <c r="G381" s="125">
        <f>+MIN(G15:G380)</f>
        <v>6.190697110541378E-2</v>
      </c>
      <c r="H381" s="93"/>
      <c r="I381" s="373">
        <f>MIN(I15:I380)</f>
        <v>0</v>
      </c>
      <c r="J381" s="164">
        <f>MIN(J15:J380)</f>
        <v>2018</v>
      </c>
      <c r="K381" s="199" t="s">
        <v>7</v>
      </c>
      <c r="L381" s="146">
        <f t="shared" ref="L381:T381" si="161">MIN(L15:L380)</f>
        <v>0</v>
      </c>
      <c r="M381" s="849"/>
      <c r="N381" s="849"/>
      <c r="O381" s="47">
        <f t="shared" si="161"/>
        <v>0</v>
      </c>
      <c r="P381" s="167">
        <f t="shared" si="161"/>
        <v>2.2390182886966246E-10</v>
      </c>
      <c r="Q381" s="309">
        <f t="shared" si="161"/>
        <v>0.5</v>
      </c>
      <c r="R381" s="310">
        <f t="shared" si="161"/>
        <v>0.53477646311600768</v>
      </c>
      <c r="S381" s="814">
        <f t="shared" si="161"/>
        <v>-1</v>
      </c>
      <c r="T381" s="175">
        <f t="shared" si="161"/>
        <v>5</v>
      </c>
      <c r="U381" s="251">
        <f>+MIN(U15:U380)</f>
        <v>-0.46522353688399232</v>
      </c>
      <c r="V381" s="372">
        <f>MIN(V15:V380)</f>
        <v>24.61606745666688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199" t="s">
        <v>7</v>
      </c>
      <c r="AC381" s="47">
        <f t="shared" ref="AC381:AH381" si="162">MIN(AC15:AC380)</f>
        <v>0</v>
      </c>
      <c r="AD381" s="167">
        <f t="shared" si="162"/>
        <v>2.2390182886966246E-10</v>
      </c>
      <c r="AE381" s="309">
        <f t="shared" si="162"/>
        <v>0.5</v>
      </c>
      <c r="AF381" s="310">
        <f t="shared" si="162"/>
        <v>0.53477646311600768</v>
      </c>
      <c r="AG381" s="814">
        <f t="shared" si="162"/>
        <v>-1</v>
      </c>
      <c r="AH381" s="175">
        <f t="shared" si="162"/>
        <v>5</v>
      </c>
      <c r="AI381" s="225">
        <f>MIN(AI15:AI380)</f>
        <v>-0.46522353688399232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28.115673131387098</v>
      </c>
      <c r="C382" s="374"/>
      <c r="D382" s="374">
        <f>AVERAGE(D15:D380)</f>
        <v>28.188429117895524</v>
      </c>
      <c r="E382" s="374">
        <f>AVERAGE(E15:E380)</f>
        <v>28.427320590739328</v>
      </c>
      <c r="F382" s="375">
        <f>AVERAGE(F15:F380)</f>
        <v>28.428736979170555</v>
      </c>
      <c r="G382" s="126">
        <f>AVERAGE(G15:G380)</f>
        <v>0.66296093752114138</v>
      </c>
      <c r="H382" s="94"/>
      <c r="I382" s="375">
        <f>AVERAGE(I15:I380)</f>
        <v>12.039492436533978</v>
      </c>
      <c r="J382" s="165">
        <f>AVERAGE(J15:J380)</f>
        <v>2018</v>
      </c>
      <c r="K382" s="199" t="s">
        <v>8</v>
      </c>
      <c r="L382" s="147">
        <f t="shared" ref="L382:V382" si="163">AVERAGE(L15:L380)</f>
        <v>1.3911888367690712E-3</v>
      </c>
      <c r="M382" s="847"/>
      <c r="N382" s="847"/>
      <c r="O382" s="48">
        <f t="shared" si="163"/>
        <v>4.4682274975452229E-3</v>
      </c>
      <c r="P382" s="168">
        <f t="shared" si="163"/>
        <v>4.7240140067110269E-5</v>
      </c>
      <c r="Q382" s="311">
        <f t="shared" si="163"/>
        <v>0.5</v>
      </c>
      <c r="R382" s="176">
        <f t="shared" si="163"/>
        <v>0.70270662131549433</v>
      </c>
      <c r="S382" s="814">
        <f t="shared" si="163"/>
        <v>-1</v>
      </c>
      <c r="T382" s="175">
        <f t="shared" si="163"/>
        <v>5</v>
      </c>
      <c r="U382" s="250">
        <f t="shared" si="163"/>
        <v>-0.29729337868450573</v>
      </c>
      <c r="V382" s="374">
        <f t="shared" si="163"/>
        <v>46.179633568025629</v>
      </c>
      <c r="X382" s="112" t="s">
        <v>8</v>
      </c>
      <c r="Y382" s="374">
        <f>AVERAGE(Y15:Y380)</f>
        <v>11.939532425657534</v>
      </c>
      <c r="Z382" s="374">
        <f>AVERAGE(Z15:Z380)</f>
        <v>11.970428803489879</v>
      </c>
      <c r="AA382" s="374">
        <f>AVERAGE(AA15:AA380)</f>
        <v>12.071875867300262</v>
      </c>
      <c r="AB382" s="199" t="s">
        <v>8</v>
      </c>
      <c r="AC382" s="48">
        <f t="shared" ref="AC382:AH382" si="164">AVERAGE(AC15:AC380)</f>
        <v>4.4682274975452229E-3</v>
      </c>
      <c r="AD382" s="168">
        <f t="shared" si="164"/>
        <v>4.7240140067110269E-5</v>
      </c>
      <c r="AE382" s="311">
        <f t="shared" si="164"/>
        <v>0.5</v>
      </c>
      <c r="AF382" s="176">
        <f t="shared" si="164"/>
        <v>0.70270662131549433</v>
      </c>
      <c r="AG382" s="814">
        <f t="shared" si="164"/>
        <v>-1</v>
      </c>
      <c r="AH382" s="175">
        <f t="shared" si="164"/>
        <v>5</v>
      </c>
      <c r="AI382" s="224">
        <f>AVERAGE(AI15:AI380)</f>
        <v>-0.29729337868450573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54.055</v>
      </c>
      <c r="C383" s="376"/>
      <c r="D383" s="376">
        <f>MAX(D15:D380)</f>
        <v>54.146241545508083</v>
      </c>
      <c r="E383" s="376">
        <f>MAX(E15:E380)</f>
        <v>54.458040968194126</v>
      </c>
      <c r="F383" s="377">
        <f>MAX(F15:F380)</f>
        <v>54.459997130630313</v>
      </c>
      <c r="G383" s="127">
        <f>+MAX(G15:G380)</f>
        <v>1.0107038989953487</v>
      </c>
      <c r="H383" s="94"/>
      <c r="I383" s="377">
        <f>MAX(I15:I380)</f>
        <v>54.459997130630313</v>
      </c>
      <c r="J383" s="166">
        <f>MAX(J15:J380)</f>
        <v>2018</v>
      </c>
      <c r="K383" s="199" t="s">
        <v>9</v>
      </c>
      <c r="L383" s="148">
        <f t="shared" ref="L383:T383" si="165">MAX(L15:L380)</f>
        <v>4.6980329107725316E-3</v>
      </c>
      <c r="M383" s="850"/>
      <c r="N383" s="850"/>
      <c r="O383" s="49">
        <f t="shared" si="165"/>
        <v>1.4199399321951033E-2</v>
      </c>
      <c r="P383" s="169">
        <f t="shared" si="165"/>
        <v>1.1310603024122826E-4</v>
      </c>
      <c r="Q383" s="312">
        <f t="shared" si="165"/>
        <v>0.5</v>
      </c>
      <c r="R383" s="313">
        <f t="shared" si="165"/>
        <v>0.83477569929430495</v>
      </c>
      <c r="S383" s="815">
        <f t="shared" si="165"/>
        <v>-1</v>
      </c>
      <c r="T383" s="232">
        <f t="shared" si="165"/>
        <v>5</v>
      </c>
      <c r="U383" s="252">
        <f>+MAX(U15:U380)</f>
        <v>-0.16522430070569499</v>
      </c>
      <c r="V383" s="376">
        <f>MAX(V15:V380)</f>
        <v>60.524070602559711</v>
      </c>
      <c r="X383" s="112" t="s">
        <v>9</v>
      </c>
      <c r="Y383" s="376">
        <f>MAX(Y15:Y380)</f>
        <v>54.055</v>
      </c>
      <c r="Z383" s="376">
        <f>MAX(Z15:Z380)</f>
        <v>54.146241545508083</v>
      </c>
      <c r="AA383" s="376">
        <f>MAX(AA15:AA380)</f>
        <v>54.458040968194126</v>
      </c>
      <c r="AB383" s="199" t="s">
        <v>9</v>
      </c>
      <c r="AC383" s="49">
        <f t="shared" ref="AC383:AH383" si="166">MAX(AC15:AC380)</f>
        <v>1.4199399321951033E-2</v>
      </c>
      <c r="AD383" s="169">
        <f t="shared" si="166"/>
        <v>1.1310603024122826E-4</v>
      </c>
      <c r="AE383" s="312">
        <f t="shared" si="166"/>
        <v>0.5</v>
      </c>
      <c r="AF383" s="313">
        <f t="shared" si="166"/>
        <v>0.83477569929430495</v>
      </c>
      <c r="AG383" s="815">
        <f t="shared" si="166"/>
        <v>-1</v>
      </c>
      <c r="AH383" s="232">
        <f t="shared" si="166"/>
        <v>5</v>
      </c>
      <c r="AI383" s="226">
        <f>MAX(AI15:AI380)</f>
        <v>-0.16522430070569499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  <row r="385" spans="6:6" x14ac:dyDescent="0.25">
      <c r="F385" s="402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372" sqref="B372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'2018'!An+1</f>
        <v>2019</v>
      </c>
      <c r="K1" s="1295"/>
      <c r="L1" s="113" t="str">
        <f>"Calcul pertes et enveloppes en "&amp;TEXT(An,0)</f>
        <v>Calcul pertes et enveloppes en 2019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471"/>
      <c r="H3" s="75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333"/>
      <c r="I5" s="158"/>
      <c r="K5" s="191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11580.737999999994</v>
      </c>
      <c r="AK6" s="515">
        <f>SUMIF(AK15:AK380,"FAUX",Wh)</f>
        <v>11580.737999999994</v>
      </c>
      <c r="AL6" s="515">
        <f>SUMIF(AJ15:AJ380,"FAUX",Wh_s)</f>
        <v>11580.737999999994</v>
      </c>
      <c r="AM6" s="515">
        <f>SUMIF(AK15:AK380,"FAUX",Wh_s)</f>
        <v>11580.737999999994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AND(YEAR(Tnet)=An,Resal_2019="I")</f>
        <v>0</v>
      </c>
      <c r="F7" s="319" t="b">
        <f>YEAR(Tnet)=An</f>
        <v>0</v>
      </c>
      <c r="H7" s="334"/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30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AND(YEAR(Tnet)=An,Resal_2019&lt;&gt;"I")</f>
        <v>0</v>
      </c>
      <c r="F8" s="320" t="b">
        <f>YEAR(Ttai)=An</f>
        <v>0</v>
      </c>
      <c r="H8" s="335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11680.078815579869</v>
      </c>
      <c r="AK8" s="515">
        <f>SUMIF(AK15:AK380,"FAUX",Wh_sa)</f>
        <v>11968.510193516151</v>
      </c>
      <c r="AL8" s="515">
        <f>SUMIF(AJ15:AJ380,"FAUX",Wh_pvt_s)</f>
        <v>11680.078815579869</v>
      </c>
      <c r="AM8" s="515">
        <f>SUMIF(AK15:AK380,"FAUX",Wh_sa_s)</f>
        <v>11968.510193516151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11680.078815579869</v>
      </c>
      <c r="E9" s="183">
        <f>SUM(E$15:E$380)</f>
        <v>11968.510193516151</v>
      </c>
      <c r="F9" s="183">
        <f>SUM(F$15:F$380)</f>
        <v>11969.569422816698</v>
      </c>
      <c r="H9" s="1296">
        <f>+SUM(Wh)</f>
        <v>11580.737999999994</v>
      </c>
      <c r="I9" s="1297"/>
      <c r="J9" s="1298"/>
      <c r="K9" s="190"/>
      <c r="L9" s="114"/>
      <c r="M9" s="114"/>
      <c r="N9" s="114"/>
      <c r="O9" s="222">
        <f>Tnet_2019</f>
        <v>43250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11580.737999999994</v>
      </c>
      <c r="Y9" s="1291"/>
      <c r="Z9" s="515">
        <f>SUM(Z$15:Z$380)</f>
        <v>11680.078815579869</v>
      </c>
      <c r="AA9" s="515">
        <f>SUM(AA$15:AA$380)</f>
        <v>11968.510193516151</v>
      </c>
      <c r="AB9" s="515">
        <f>F9</f>
        <v>11969.569422816698</v>
      </c>
      <c r="AC9" s="324">
        <f>IF(An_Tnet,Tnet,'2018'!Tnet_s)</f>
        <v>43250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H10" s="28"/>
      <c r="K10" s="192"/>
      <c r="L10" s="114"/>
      <c r="M10" s="114"/>
      <c r="N10" s="114"/>
      <c r="O10" s="201">
        <f>IF(Inflex,'2018'!Resal+('2018'!Salim-'2018'!Resal)*(1-EXP(('2018'!Tnet-Tnet)/('2018'!Tau_j))),IF(An_Tnet,Resal_2019,'2018'!Resal))</f>
        <v>0</v>
      </c>
      <c r="P10" s="420" t="b">
        <f>NOT(Acti_tai)</f>
        <v>1</v>
      </c>
      <c r="Q10" s="256">
        <f>IF(Acti_tai,'2018'!PousD,Dens-Dd)</f>
        <v>0</v>
      </c>
      <c r="R10" s="273"/>
      <c r="S10" s="274"/>
      <c r="T10" s="275"/>
      <c r="U10" s="265">
        <f>IF(Acti_tai,'2018'!PousH,Hdtf-Hdd)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59"/>
      <c r="AG10" s="260"/>
      <c r="AH10" s="261"/>
      <c r="AI10" s="522"/>
      <c r="AJ10" s="515">
        <f>SUMIF(AJ15:AJ380,"FAUX",Wh_sa)</f>
        <v>11968.510193516151</v>
      </c>
      <c r="AK10" s="515">
        <f>SUMIF(AK15:AK380,"FAUX",Wh_hp)</f>
        <v>11969.569422816698</v>
      </c>
      <c r="AL10" s="515">
        <f>SUMIF(AJ15:AJ380,"FAUX",Wh_sa_s)</f>
        <v>11968.510193516151</v>
      </c>
      <c r="AM10" s="515">
        <f>SUMIF(AK15:AK380,"FAUX",Wh_hp)</f>
        <v>11969.569422816698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99.340815579875198</v>
      </c>
      <c r="E11" s="51">
        <f>(E$9-D$9)*Prod_an/D$9</f>
        <v>285.97822596912249</v>
      </c>
      <c r="F11" s="185">
        <f>(F$9-E$9)*Prod_an/E$9</f>
        <v>1.0249109382217445</v>
      </c>
      <c r="G11" s="184" t="s">
        <v>6</v>
      </c>
      <c r="H11" s="334"/>
      <c r="K11" s="193"/>
      <c r="L11" s="181">
        <f>Tvie_2019</f>
        <v>43250</v>
      </c>
      <c r="M11" s="846"/>
      <c r="N11" s="846"/>
      <c r="O11" s="201">
        <f>IF(An_Tnet,Salim_2019,'2018'!Salim)</f>
        <v>7.0000000000000007E-2</v>
      </c>
      <c r="P11" s="255">
        <f>Ttai_2019</f>
        <v>43101</v>
      </c>
      <c r="Q11" s="271">
        <f>Dens_2019</f>
        <v>0.5</v>
      </c>
      <c r="R11" s="276"/>
      <c r="S11" s="229"/>
      <c r="T11" s="229"/>
      <c r="U11" s="265">
        <f>Htf_2019</f>
        <v>0.134775699294305</v>
      </c>
      <c r="V11" s="427"/>
      <c r="W11" s="518"/>
      <c r="X11" s="525" t="s">
        <v>43</v>
      </c>
      <c r="Y11" s="50">
        <f>Z$9-Prod_an_s</f>
        <v>99.340815579875198</v>
      </c>
      <c r="Z11" s="51">
        <f>(AA$9-Z$9)*Prod_an_s/Z$9</f>
        <v>285.97822596912249</v>
      </c>
      <c r="AA11" s="185">
        <f>(AB$9-AA$9)*Prod_an_s/AA$9</f>
        <v>1.0249109382217445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4.6036658073012493E-2</v>
      </c>
      <c r="H12" s="28"/>
      <c r="K12" s="190"/>
      <c r="L12" s="203">
        <f>Pspv_2019</f>
        <v>0</v>
      </c>
      <c r="M12" s="211"/>
      <c r="N12" s="211"/>
      <c r="O12" s="204">
        <f>IF(An_Tnet,Tau_2019*365,'2018'!Tau_j)</f>
        <v>949</v>
      </c>
      <c r="P12" s="280">
        <f>INDEX(Croivg,MIN(MAX(Ttai-$A$15,0)+1,366))</f>
        <v>2.3909964587625958E-6</v>
      </c>
      <c r="Q12" s="279">
        <f>'2018'!Df</f>
        <v>0.5</v>
      </c>
      <c r="R12" s="277"/>
      <c r="S12" s="278"/>
      <c r="T12" s="278"/>
      <c r="U12" s="266">
        <f>'2018'!Hdf</f>
        <v>-0.16522430070569499</v>
      </c>
      <c r="V12" s="517"/>
      <c r="W12" s="504"/>
      <c r="X12" s="505"/>
      <c r="Y12" s="504"/>
      <c r="Z12" s="427"/>
      <c r="AA12" s="427"/>
      <c r="AB12" s="531"/>
      <c r="AC12" s="317" t="b">
        <f>NOT(An_Tnet)</f>
        <v>1</v>
      </c>
      <c r="AD12" s="427"/>
      <c r="AE12" s="295">
        <f>'2018'!Df_s</f>
        <v>0.5</v>
      </c>
      <c r="AF12" s="202"/>
      <c r="AG12" s="202"/>
      <c r="AH12" s="202"/>
      <c r="AI12" s="296">
        <f>'2018'!Hdf_s</f>
        <v>-0.16522430070569499</v>
      </c>
      <c r="AJ12" s="835">
        <f>IF($AJ8=0,0,($AJ10-$AJ8)*$AJ6/$AJ8)</f>
        <v>285.97822596912249</v>
      </c>
      <c r="AK12" s="836">
        <f>IF($AK8=0,0,($AK10-$AK8)*$AK6/$AK8)</f>
        <v>1.0249109382217445</v>
      </c>
      <c r="AL12" s="835">
        <f>IF($AL8=0,0,($AL10-$AL8)*$AL6/$AL8)</f>
        <v>285.97822596912249</v>
      </c>
      <c r="AM12" s="836">
        <f>IF($AM8=0,0,($AM10-$AM8)*$AM6/$AM8)</f>
        <v>1.0249109382217445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32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285.97822596912249</v>
      </c>
      <c r="AK13" s="73">
        <f>+AK11+AK12</f>
        <v>1.0249109382217445</v>
      </c>
      <c r="AL13" s="73">
        <f>+AL11+AL12</f>
        <v>285.97822596912249</v>
      </c>
      <c r="AM13" s="73">
        <f>+AM11+AM12</f>
        <v>1.0249109382217445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2019</v>
      </c>
      <c r="W14" s="120"/>
      <c r="X14" s="257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5">
        <v>1.849</v>
      </c>
      <c r="C15" s="389"/>
      <c r="D15" s="392">
        <f t="shared" ref="D15:D78" si="0">Wh/(1-Ppv)</f>
        <v>1.8577683556075959</v>
      </c>
      <c r="E15" s="384">
        <f t="shared" ref="E15:E79" si="1">Wh_pvt/(1-Psa)</f>
        <v>1.8846387951342292</v>
      </c>
      <c r="F15" s="384">
        <f t="shared" ref="F15:F78" si="2">Wh_sa/(1-Pvg*MEDIAN((-Sdif+Wh/Env_an)/Csdif,0,1))</f>
        <v>1.8846387951342292</v>
      </c>
      <c r="G15" s="110">
        <f>+Wh_hp/MaxiM</f>
        <v>7.2404274582739125E-2</v>
      </c>
      <c r="H15" s="413" t="b">
        <f>Wh_hp&gt;='2018'!Maxi_hp</f>
        <v>1</v>
      </c>
      <c r="I15" s="395">
        <f>IF(H15,Wh_hp,'2018'!Maxi_hp)</f>
        <v>1.8846387951342292</v>
      </c>
      <c r="J15" s="84">
        <f>IF(H15,An,'2018'!An_max)</f>
        <v>2019</v>
      </c>
      <c r="K15" s="196">
        <f t="shared" ref="K15:K78" si="3">t</f>
        <v>43466</v>
      </c>
      <c r="L15" s="146">
        <f>IF(t&lt;Tvie,1-EXP((T0-t)*PertePVj)+'2018'!Pspv,1-EXP((T0-t)*PertePVj)+Pspv)</f>
        <v>4.7198325782269457E-3</v>
      </c>
      <c r="M15" s="849"/>
      <c r="N15" s="849"/>
      <c r="O15" s="421">
        <f>IF(t&lt;Tnet,'2018'!Resal+('2018'!Salim-'2018'!Resal)*(1-EXP(('2018'!Tnet-t)/('2018'!Tau_j))),Resal+(Salim-Resal)*(1-EXP((Tnet-t)/(Tau_j))))*Salcycl</f>
        <v>1.4257607131938205E-2</v>
      </c>
      <c r="P15" s="301">
        <f>(INDEX(Models!$BJ15:$BT15,,T15)*(1-R15)+INDEX(Models!$BJ15:$BT15,,T15+1)*R15-ERP_i)*Q15*Ramure*Pc/MaxiM</f>
        <v>9.3643940426654977E-5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0.83477641659324264</v>
      </c>
      <c r="S15" s="813">
        <f t="shared" ref="S15:S78" si="6">INDEX(Echel_vg,T15)</f>
        <v>-1</v>
      </c>
      <c r="T15" s="248">
        <f t="shared" ref="T15:T78" si="7">MIN(MATCH(Hp_vg,Echel_vg),10)</f>
        <v>5</v>
      </c>
      <c r="U15" s="249">
        <f>IF(OR(t&lt;Ttai,Notai),Hdd+PousH*Croivg,Hdtf+PousH*(Croivg-Croi_tai))</f>
        <v>-0.16522358340675736</v>
      </c>
      <c r="V15" s="381">
        <f t="shared" ref="V15:V78" si="8">MaxiM*(1-Ppv)*(1-Pvg)*(1-Psa)</f>
        <v>25.534774887378042</v>
      </c>
      <c r="W15" s="422"/>
      <c r="X15" s="423">
        <f t="shared" ref="X15:X78" si="9">t</f>
        <v>43466</v>
      </c>
      <c r="Y15" s="384">
        <f t="shared" ref="Y15:Y78" si="10">Wh_pvt_s*(1-Ppv)</f>
        <v>1.849</v>
      </c>
      <c r="Z15" s="384">
        <f t="shared" ref="Z15:Z78" si="11">Wh_sa_s*(1-Psa_s)</f>
        <v>1.8577683556075959</v>
      </c>
      <c r="AA15" s="385">
        <f t="shared" ref="AA15:AA78" si="12">Wh_hp*(1-Pvg_s*MEDIAN((-Sdif+Wh/Env_an)/Csdif,0,1))</f>
        <v>1.8846387951342292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1.4257607131938205E-2</v>
      </c>
      <c r="AD15" s="230">
        <f>(INDEX(Models!$BJ15:$BT15,,AH15)*(1-AF15)+INDEX(Models!$BJ15:$BT15,,AH15+1)*AF15-ERP_i)*AE15*Ramure*Pc/MaxiM</f>
        <v>9.3643940426654977E-5</v>
      </c>
      <c r="AE15" s="302">
        <f t="shared" ref="AE15:AE78" si="14">IF(OR(t&lt;Ttai,Notai),Dd_s+PousD*Croivg,Dens_s+PousD*(Croivg-Croi_tai))</f>
        <v>0.5</v>
      </c>
      <c r="AF15" s="303">
        <f t="shared" ref="AF15:AF78" si="15">(Hp_vg_s-AG15)/(INDEX(Echel_vg,AH15+1)-AG15)</f>
        <v>0.83477641659324264</v>
      </c>
      <c r="AG15" s="248">
        <f t="shared" ref="AG15:AG78" si="16">INDEX(Echel_vg,AH15)</f>
        <v>-1</v>
      </c>
      <c r="AH15" s="248">
        <f t="shared" ref="AH15:AH78" si="17">MIN(MATCH(Hp_vg_s,Echel_vg),10)</f>
        <v>5</v>
      </c>
      <c r="AI15" s="223">
        <f>IF(OR(t&lt;Ttai,Notai),Hdd_s+PousH*Croivg,Hdtai_s+PousH*(Croivg-Croi_tai))</f>
        <v>-0.16522358340675736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7.03</v>
      </c>
      <c r="C16" s="389"/>
      <c r="D16" s="392">
        <f t="shared" si="0"/>
        <v>7.0634924803393089</v>
      </c>
      <c r="E16" s="384">
        <f t="shared" si="1"/>
        <v>7.1660805415588298</v>
      </c>
      <c r="F16" s="384">
        <f t="shared" si="2"/>
        <v>7.1660805415588298</v>
      </c>
      <c r="G16" s="110">
        <f>+Wh_hp/MaxiM</f>
        <v>0.27360904898627642</v>
      </c>
      <c r="H16" s="413" t="b">
        <f>Wh_hp&gt;='2018'!Maxi_hp</f>
        <v>1</v>
      </c>
      <c r="I16" s="389">
        <f>IF(H16,Wh_hp,'2018'!Maxi_hp)</f>
        <v>7.1660805415588298</v>
      </c>
      <c r="J16" s="85">
        <f>IF(H16,An,'2018'!An_max)</f>
        <v>2019</v>
      </c>
      <c r="K16" s="196">
        <f t="shared" si="3"/>
        <v>43467</v>
      </c>
      <c r="L16" s="147">
        <f>IF(t&lt;Tvie,1-EXP((T0-t)*PertePVj)+'2018'!Pspv,1-EXP((T0-t)*PertePVj)+Pspv)</f>
        <v>4.7416317682127396E-3</v>
      </c>
      <c r="M16" s="847"/>
      <c r="N16" s="847"/>
      <c r="O16" s="48">
        <f>IF(t&lt;Tnet,'2018'!Resal+('2018'!Salim-'2018'!Resal)*(1-EXP(('2018'!Tnet-t)/('2018'!Tau_j))),Resal+(Salim-Resal)*(1-EXP((Tnet-t)/(Tau_j))))*Salcycl</f>
        <v>1.4315784008367425E-2</v>
      </c>
      <c r="P16" s="168">
        <f>(INDEX(Models!$BJ16:$BT16,,T16)*(1-R16)+INDEX(Models!$BJ16:$BT16,,T16+1)*R16-ERP_i)*Q16*Ramure*Pc/MaxiM</f>
        <v>9.427038778572812E-5</v>
      </c>
      <c r="Q16" s="304">
        <f t="shared" si="4"/>
        <v>0.5</v>
      </c>
      <c r="R16" s="176">
        <f t="shared" si="5"/>
        <v>0.8347939453616392</v>
      </c>
      <c r="S16" s="814">
        <f t="shared" si="6"/>
        <v>-1</v>
      </c>
      <c r="T16" s="175">
        <f t="shared" si="7"/>
        <v>5</v>
      </c>
      <c r="U16" s="250">
        <f t="shared" ref="U16:U78" si="21">IF(OR(t&lt;Ttai,Notai),Hdd+PousH*Croivg,Hdtf+PousH*(Croivg-Croi_tai))</f>
        <v>-0.16520605463836083</v>
      </c>
      <c r="V16" s="382">
        <f t="shared" si="8"/>
        <v>25.691172515008599</v>
      </c>
      <c r="W16" s="58"/>
      <c r="X16" s="157">
        <f t="shared" si="9"/>
        <v>43467</v>
      </c>
      <c r="Y16" s="384">
        <f t="shared" si="10"/>
        <v>7.03</v>
      </c>
      <c r="Z16" s="384">
        <f t="shared" si="11"/>
        <v>7.0634924803393089</v>
      </c>
      <c r="AA16" s="385">
        <f t="shared" si="12"/>
        <v>7.1660805415588298</v>
      </c>
      <c r="AB16" s="196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1.4315784008367425E-2</v>
      </c>
      <c r="AD16" s="230">
        <f>(INDEX(Models!$BJ16:$BT16,,AH16)*(1-AF16)+INDEX(Models!$BJ16:$BT16,,AH16+1)*AF16-ERP_i)*AE16*Ramure*Pc/MaxiM</f>
        <v>9.427038778572812E-5</v>
      </c>
      <c r="AE16" s="304">
        <f t="shared" si="14"/>
        <v>0.5</v>
      </c>
      <c r="AF16" s="176">
        <f t="shared" si="15"/>
        <v>0.8347939453616392</v>
      </c>
      <c r="AG16" s="175">
        <f t="shared" si="16"/>
        <v>-1</v>
      </c>
      <c r="AH16" s="175">
        <f t="shared" si="17"/>
        <v>5</v>
      </c>
      <c r="AI16" s="224">
        <f t="shared" ref="AI16:AI78" si="22">IF(OR(t&lt;Ttai,Notai),Hdd_s+PousH*Croivg,Hdtai_s+PousH*(Croivg-Croi_tai))</f>
        <v>-0.16520605463836083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43468</v>
      </c>
      <c r="B17" s="616">
        <v>26.946000000000002</v>
      </c>
      <c r="C17" s="389"/>
      <c r="D17" s="392">
        <f t="shared" si="0"/>
        <v>27.074969736106087</v>
      </c>
      <c r="E17" s="384">
        <f>Wh_pvt/(1-Psa)</f>
        <v>27.469818898282764</v>
      </c>
      <c r="F17" s="384">
        <f t="shared" si="2"/>
        <v>27.472426453662738</v>
      </c>
      <c r="G17" s="110">
        <f t="shared" ref="G17:G79" si="23">+Wh_hp/MaxiM</f>
        <v>1.0420982455593617</v>
      </c>
      <c r="H17" s="413" t="b">
        <f>Wh_hp&gt;='2018'!Maxi_hp</f>
        <v>1</v>
      </c>
      <c r="I17" s="389">
        <f>IF(H17,Wh_hp,'2018'!Maxi_hp)</f>
        <v>27.472426453662738</v>
      </c>
      <c r="J17" s="85">
        <f>IF(H17,An,'2018'!An_max)</f>
        <v>2019</v>
      </c>
      <c r="K17" s="196">
        <f t="shared" si="3"/>
        <v>43468</v>
      </c>
      <c r="L17" s="147">
        <f>IF(t&lt;Tvie,1-EXP((T0-t)*PertePVj)+'2018'!Pspv,1-EXP((T0-t)*PertePVj)+Pspv)</f>
        <v>4.7634304807402383E-3</v>
      </c>
      <c r="M17" s="847"/>
      <c r="N17" s="847"/>
      <c r="O17" s="48">
        <f>IF(t&lt;Tnet,'2018'!Resal+('2018'!Salim-'2018'!Resal)*(1-EXP(('2018'!Tnet-t)/('2018'!Tau_j))),Resal+(Salim-Resal)*(1-EXP((Tnet-t)/(Tau_j))))*Salcycl</f>
        <v>1.4373926658881582E-2</v>
      </c>
      <c r="P17" s="168">
        <f>(INDEX(Models!$BJ17:$BT17,,T17)*(1-R17)+INDEX(Models!$BJ17:$BT17,,T17+1)*R17-ERP_i)*Q17*Ramure*Pc/MaxiM</f>
        <v>9.4915364843018029E-5</v>
      </c>
      <c r="Q17" s="304">
        <f t="shared" si="4"/>
        <v>0.5</v>
      </c>
      <c r="R17" s="176">
        <f t="shared" si="5"/>
        <v>0.83481220731893291</v>
      </c>
      <c r="S17" s="814">
        <f t="shared" si="6"/>
        <v>-1</v>
      </c>
      <c r="T17" s="175">
        <f t="shared" si="7"/>
        <v>5</v>
      </c>
      <c r="U17" s="250">
        <f t="shared" si="21"/>
        <v>-0.16518779268106706</v>
      </c>
      <c r="V17" s="382">
        <f t="shared" si="8"/>
        <v>25.857446852850554</v>
      </c>
      <c r="W17" s="58"/>
      <c r="X17" s="157">
        <f t="shared" si="9"/>
        <v>43468</v>
      </c>
      <c r="Y17" s="384">
        <f t="shared" si="10"/>
        <v>26.946000000000002</v>
      </c>
      <c r="Z17" s="384">
        <f t="shared" si="11"/>
        <v>27.074969736106087</v>
      </c>
      <c r="AA17" s="385">
        <f t="shared" si="12"/>
        <v>27.469818898282764</v>
      </c>
      <c r="AB17" s="196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1.4373926658881582E-2</v>
      </c>
      <c r="AD17" s="230">
        <f>(INDEX(Models!$BJ17:$BT17,,AH17)*(1-AF17)+INDEX(Models!$BJ17:$BT17,,AH17+1)*AF17-ERP_i)*AE17*Ramure*Pc/MaxiM</f>
        <v>9.4915364843018029E-5</v>
      </c>
      <c r="AE17" s="304">
        <f t="shared" si="14"/>
        <v>0.5</v>
      </c>
      <c r="AF17" s="176">
        <f t="shared" si="15"/>
        <v>0.83481220731893291</v>
      </c>
      <c r="AG17" s="175">
        <f t="shared" si="16"/>
        <v>-1</v>
      </c>
      <c r="AH17" s="175">
        <f t="shared" si="17"/>
        <v>5</v>
      </c>
      <c r="AI17" s="224">
        <f t="shared" si="22"/>
        <v>-0.16518779268106706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43469</v>
      </c>
      <c r="B18" s="616">
        <v>23.957999999999998</v>
      </c>
      <c r="C18" s="389"/>
      <c r="D18" s="392">
        <f t="shared" si="0"/>
        <v>24.073195747572843</v>
      </c>
      <c r="E18" s="384">
        <f>Wh_pvt/(1-Psa)</f>
        <v>24.425708356454457</v>
      </c>
      <c r="F18" s="384">
        <f t="shared" si="2"/>
        <v>24.427777295299801</v>
      </c>
      <c r="G18" s="110">
        <f>+Wh_hp/MaxiM</f>
        <v>0.92028294005196354</v>
      </c>
      <c r="H18" s="413" t="b">
        <f>Wh_hp&gt;='2018'!Maxi_hp</f>
        <v>1</v>
      </c>
      <c r="I18" s="389">
        <f>IF(H18,Wh_hp,'2018'!Maxi_hp)</f>
        <v>24.427777295299801</v>
      </c>
      <c r="J18" s="85">
        <f>IF(H18,An,'2018'!An_max)</f>
        <v>2019</v>
      </c>
      <c r="K18" s="196">
        <f>t</f>
        <v>43469</v>
      </c>
      <c r="L18" s="147">
        <f>IF(t&lt;Tvie,1-EXP((T0-t)*PertePVj)+'2018'!Pspv,1-EXP((T0-t)*PertePVj)+Pspv)</f>
        <v>4.7852287158201001E-3</v>
      </c>
      <c r="M18" s="847"/>
      <c r="N18" s="847"/>
      <c r="O18" s="48">
        <f>IF(t&lt;Tnet,'2018'!Resal+('2018'!Salim-'2018'!Resal)*(1-EXP(('2018'!Tnet-t)/('2018'!Tau_j))),Resal+(Salim-Resal)*(1-EXP((Tnet-t)/(Tau_j))))*Salcycl</f>
        <v>1.4432032174349019E-2</v>
      </c>
      <c r="P18" s="168">
        <f>(INDEX(Models!$BJ18:$BT18,,T18)*(1-R18)+INDEX(Models!$BJ18:$BT18,,T18+1)*R18-ERP_i)*Q18*Ramure*Pc/MaxiM</f>
        <v>9.5579530290053121E-5</v>
      </c>
      <c r="Q18" s="304">
        <f>IF(OR(t&lt;Ttai,Notai),Dd+PousD*Croivg,Dens+PousD*(Croivg-Croi_tai))</f>
        <v>0.5</v>
      </c>
      <c r="R18" s="176">
        <f t="shared" si="5"/>
        <v>0.83483123303771001</v>
      </c>
      <c r="S18" s="814">
        <f t="shared" si="6"/>
        <v>-1</v>
      </c>
      <c r="T18" s="175">
        <f t="shared" si="7"/>
        <v>5</v>
      </c>
      <c r="U18" s="250">
        <f t="shared" si="21"/>
        <v>-0.16516876696228999</v>
      </c>
      <c r="V18" s="382">
        <f t="shared" si="8"/>
        <v>26.033014621230244</v>
      </c>
      <c r="W18" s="58"/>
      <c r="X18" s="157">
        <f t="shared" si="9"/>
        <v>43469</v>
      </c>
      <c r="Y18" s="384">
        <f t="shared" si="10"/>
        <v>23.957999999999998</v>
      </c>
      <c r="Z18" s="384">
        <f>Wh_sa_s*(1-Psa_s)</f>
        <v>24.073195747572843</v>
      </c>
      <c r="AA18" s="385">
        <f t="shared" si="12"/>
        <v>24.425708356454457</v>
      </c>
      <c r="AB18" s="196">
        <f>t</f>
        <v>43469</v>
      </c>
      <c r="AC18" s="425">
        <f>IF(OR(t&lt;Tnet,NoTnet),'2018'!Resal_s+('2018'!Salim-'2018'!Resal_s)*(1-EXP(('2018'!Tnet_s-t)/'2018'!Tau_j)),Resal_s+(Salim-Resal_s)*(1-EXP((Tnet_s-t)/Tau_j)))*Salcycl</f>
        <v>1.4432032174349019E-2</v>
      </c>
      <c r="AD18" s="230">
        <f>(INDEX(Models!$BJ18:$BT18,,AH18)*(1-AF18)+INDEX(Models!$BJ18:$BT18,,AH18+1)*AF18-ERP_i)*AE18*Ramure*Pc/MaxiM</f>
        <v>9.5579530290053121E-5</v>
      </c>
      <c r="AE18" s="304">
        <f t="shared" si="14"/>
        <v>0.5</v>
      </c>
      <c r="AF18" s="176">
        <f t="shared" si="15"/>
        <v>0.83483123303771001</v>
      </c>
      <c r="AG18" s="175">
        <f t="shared" si="16"/>
        <v>-1</v>
      </c>
      <c r="AH18" s="175">
        <f t="shared" si="17"/>
        <v>5</v>
      </c>
      <c r="AI18" s="224">
        <f t="shared" si="22"/>
        <v>-0.16516876696228999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43470</v>
      </c>
      <c r="B19" s="616">
        <v>26.553000000000001</v>
      </c>
      <c r="C19" s="389"/>
      <c r="D19" s="392">
        <f t="shared" si="0"/>
        <v>26.681257511201618</v>
      </c>
      <c r="E19" s="384">
        <f>Wh_pvt/(1-Psa)</f>
        <v>27.073555991466861</v>
      </c>
      <c r="F19" s="384">
        <f t="shared" si="2"/>
        <v>27.076162439381022</v>
      </c>
      <c r="G19" s="110">
        <f>+Wh_hp/MaxiM</f>
        <v>1.0128048031927825</v>
      </c>
      <c r="H19" s="413" t="b">
        <f>Wh_hp&gt;='2018'!Maxi_hp</f>
        <v>1</v>
      </c>
      <c r="I19" s="389">
        <f>IF(H19,Wh_hp,'2018'!Maxi_hp)</f>
        <v>27.076162439381022</v>
      </c>
      <c r="J19" s="85">
        <f>IF(H19,An,'2018'!An_max)</f>
        <v>2019</v>
      </c>
      <c r="K19" s="196">
        <f t="shared" si="3"/>
        <v>43470</v>
      </c>
      <c r="L19" s="147">
        <f>IF(t&lt;Tvie,1-EXP((T0-t)*PertePVj)+'2018'!Pspv,1-EXP((T0-t)*PertePVj)+Pspv)</f>
        <v>4.807026473462539E-3</v>
      </c>
      <c r="M19" s="847"/>
      <c r="N19" s="847"/>
      <c r="O19" s="48">
        <f>IF(t&lt;Tnet,'2018'!Resal+('2018'!Salim-'2018'!Resal)*(1-EXP(('2018'!Tnet-t)/('2018'!Tau_j))),Resal+(Salim-Resal)*(1-EXP((Tnet-t)/(Tau_j))))*Salcycl</f>
        <v>1.4490098027347836E-2</v>
      </c>
      <c r="P19" s="168">
        <f>(INDEX(Models!$BJ19:$BT19,,T19)*(1-R19)+INDEX(Models!$BJ19:$BT19,,T19+1)*R19-ERP_i)*Q19*Ramure*Pc/MaxiM</f>
        <v>9.6263564675918569E-5</v>
      </c>
      <c r="Q19" s="304">
        <f t="shared" si="4"/>
        <v>0.5</v>
      </c>
      <c r="R19" s="176">
        <f t="shared" si="5"/>
        <v>0.83485105435724694</v>
      </c>
      <c r="S19" s="814">
        <f t="shared" si="6"/>
        <v>-1</v>
      </c>
      <c r="T19" s="175">
        <f t="shared" si="7"/>
        <v>5</v>
      </c>
      <c r="U19" s="250">
        <f t="shared" si="21"/>
        <v>-0.16514894564275301</v>
      </c>
      <c r="V19" s="382">
        <f t="shared" si="8"/>
        <v>26.217292726390994</v>
      </c>
      <c r="W19" s="58"/>
      <c r="X19" s="157">
        <f t="shared" si="9"/>
        <v>43470</v>
      </c>
      <c r="Y19" s="384">
        <f t="shared" si="10"/>
        <v>26.553000000000001</v>
      </c>
      <c r="Z19" s="384">
        <f t="shared" si="11"/>
        <v>26.681257511201618</v>
      </c>
      <c r="AA19" s="385">
        <f t="shared" si="12"/>
        <v>27.073555991466861</v>
      </c>
      <c r="AB19" s="196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1.4490098027347836E-2</v>
      </c>
      <c r="AD19" s="230">
        <f>(INDEX(Models!$BJ19:$BT19,,AH19)*(1-AF19)+INDEX(Models!$BJ19:$BT19,,AH19+1)*AF19-ERP_i)*AE19*Ramure*Pc/MaxiM</f>
        <v>9.6263564675918569E-5</v>
      </c>
      <c r="AE19" s="304">
        <f t="shared" si="14"/>
        <v>0.5</v>
      </c>
      <c r="AF19" s="176">
        <f t="shared" si="15"/>
        <v>0.83485105435724694</v>
      </c>
      <c r="AG19" s="175">
        <f t="shared" si="16"/>
        <v>-1</v>
      </c>
      <c r="AH19" s="175">
        <f t="shared" si="17"/>
        <v>5</v>
      </c>
      <c r="AI19" s="224">
        <f t="shared" si="22"/>
        <v>-0.16514894564275301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43471</v>
      </c>
      <c r="B20" s="616">
        <v>4.5309999999999997</v>
      </c>
      <c r="C20" s="389"/>
      <c r="D20" s="392">
        <f t="shared" si="0"/>
        <v>4.552985564845681</v>
      </c>
      <c r="E20" s="384">
        <f t="shared" si="1"/>
        <v>4.6202008102061818</v>
      </c>
      <c r="F20" s="384">
        <f t="shared" si="2"/>
        <v>4.6202008102061818</v>
      </c>
      <c r="G20" s="110">
        <f t="shared" si="23"/>
        <v>0.17154912539517286</v>
      </c>
      <c r="H20" s="413" t="b">
        <f>Wh_hp&gt;='2018'!Maxi_hp</f>
        <v>1</v>
      </c>
      <c r="I20" s="389">
        <f>IF(H20,Wh_hp,'2018'!Maxi_hp)</f>
        <v>4.6202008102061818</v>
      </c>
      <c r="J20" s="85">
        <f>IF(H20,An,'2018'!An_max)</f>
        <v>2019</v>
      </c>
      <c r="K20" s="196">
        <f t="shared" si="3"/>
        <v>43471</v>
      </c>
      <c r="L20" s="147">
        <f>IF(t&lt;Tvie,1-EXP((T0-t)*PertePVj)+'2018'!Pspv,1-EXP((T0-t)*PertePVj)+Pspv)</f>
        <v>4.828823753678213E-3</v>
      </c>
      <c r="M20" s="847"/>
      <c r="N20" s="847"/>
      <c r="O20" s="48">
        <f>IF(t&lt;Tnet,'2018'!Resal+('2018'!Salim-'2018'!Resal)*(1-EXP(('2018'!Tnet-t)/('2018'!Tau_j))),Resal+(Salim-Resal)*(1-EXP((Tnet-t)/(Tau_j))))*Salcycl</f>
        <v>1.4548122066906677E-2</v>
      </c>
      <c r="P20" s="168">
        <f>(INDEX(Models!$BJ20:$BT20,,T20)*(1-R20)+INDEX(Models!$BJ20:$BT20,,T20+1)*R20-ERP_i)*Q20*Ramure*Pc/MaxiM</f>
        <v>9.6968170100002033E-5</v>
      </c>
      <c r="Q20" s="304">
        <f t="shared" si="4"/>
        <v>0.5</v>
      </c>
      <c r="R20" s="176">
        <f t="shared" si="5"/>
        <v>0.83487170443529746</v>
      </c>
      <c r="S20" s="814">
        <f t="shared" si="6"/>
        <v>-1</v>
      </c>
      <c r="T20" s="175">
        <f t="shared" si="7"/>
        <v>5</v>
      </c>
      <c r="U20" s="250">
        <f t="shared" si="21"/>
        <v>-0.16512829556470257</v>
      </c>
      <c r="V20" s="382">
        <f t="shared" si="8"/>
        <v>26.409698252817559</v>
      </c>
      <c r="W20" s="58"/>
      <c r="X20" s="157">
        <f t="shared" si="9"/>
        <v>43471</v>
      </c>
      <c r="Y20" s="384">
        <f t="shared" si="10"/>
        <v>4.5309999999999997</v>
      </c>
      <c r="Z20" s="384">
        <f t="shared" si="11"/>
        <v>4.552985564845681</v>
      </c>
      <c r="AA20" s="385">
        <f t="shared" si="12"/>
        <v>4.6202008102061818</v>
      </c>
      <c r="AB20" s="196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1.4548122066906677E-2</v>
      </c>
      <c r="AD20" s="230">
        <f>(INDEX(Models!$BJ20:$BT20,,AH20)*(1-AF20)+INDEX(Models!$BJ20:$BT20,,AH20+1)*AF20-ERP_i)*AE20*Ramure*Pc/MaxiM</f>
        <v>9.6968170100002033E-5</v>
      </c>
      <c r="AE20" s="304">
        <f>IF(OR(t&lt;Ttai,Notai),Dd_s+PousD*Croivg,Dens_s+PousD*(Croivg-Croi_tai))</f>
        <v>0.5</v>
      </c>
      <c r="AF20" s="176">
        <f t="shared" si="15"/>
        <v>0.83487170443529746</v>
      </c>
      <c r="AG20" s="175">
        <f t="shared" si="16"/>
        <v>-1</v>
      </c>
      <c r="AH20" s="175">
        <f t="shared" si="17"/>
        <v>5</v>
      </c>
      <c r="AI20" s="224">
        <f>IF(OR(t&lt;Ttai,Notai),Hdd_s+PousH*Croivg,Hdtai_s+PousH*(Croivg-Croi_tai))</f>
        <v>-0.16512829556470257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43472</v>
      </c>
      <c r="B21" s="616">
        <v>2.6379999999999999</v>
      </c>
      <c r="C21" s="389"/>
      <c r="D21" s="392">
        <f t="shared" si="0"/>
        <v>2.6508583078001244</v>
      </c>
      <c r="E21" s="384">
        <f t="shared" si="1"/>
        <v>2.6901509280212625</v>
      </c>
      <c r="F21" s="384">
        <f t="shared" si="2"/>
        <v>2.6901509280212625</v>
      </c>
      <c r="G21" s="110">
        <f t="shared" si="23"/>
        <v>9.9127287834910857E-2</v>
      </c>
      <c r="H21" s="413" t="b">
        <f>Wh_hp&gt;='2018'!Maxi_hp</f>
        <v>1</v>
      </c>
      <c r="I21" s="389">
        <f>IF(H21,Wh_hp,'2018'!Maxi_hp)</f>
        <v>2.6901509280212625</v>
      </c>
      <c r="J21" s="85">
        <f>IF(H21,An,'2018'!An_max)</f>
        <v>2019</v>
      </c>
      <c r="K21" s="196">
        <f t="shared" si="3"/>
        <v>43472</v>
      </c>
      <c r="L21" s="147">
        <f>IF(t&lt;Tvie,1-EXP((T0-t)*PertePVj)+'2018'!Pspv,1-EXP((T0-t)*PertePVj)+Pspv)</f>
        <v>4.8506205564775584E-3</v>
      </c>
      <c r="M21" s="847"/>
      <c r="N21" s="847"/>
      <c r="O21" s="48">
        <f>IF(t&lt;Tnet,'2018'!Resal+('2018'!Salim-'2018'!Resal)*(1-EXP(('2018'!Tnet-t)/('2018'!Tau_j))),Resal+(Salim-Resal)*(1-EXP((Tnet-t)/(Tau_j))))*Salcycl</f>
        <v>1.4606102509660985E-2</v>
      </c>
      <c r="P21" s="168">
        <f>(INDEX(Models!$BJ21:$BT21,,T21)*(1-R21)+INDEX(Models!$BJ21:$BT21,,T21+1)*R21-ERP_i)*Q21*Ramure*Pc/MaxiM</f>
        <v>9.7694070025918498E-5</v>
      </c>
      <c r="Q21" s="304">
        <f t="shared" si="4"/>
        <v>0.5</v>
      </c>
      <c r="R21" s="176">
        <f t="shared" si="5"/>
        <v>0.83489321780193537</v>
      </c>
      <c r="S21" s="814">
        <f t="shared" si="6"/>
        <v>-1</v>
      </c>
      <c r="T21" s="175">
        <f t="shared" si="7"/>
        <v>5</v>
      </c>
      <c r="U21" s="250">
        <f t="shared" si="21"/>
        <v>-0.16510678219806466</v>
      </c>
      <c r="V21" s="382">
        <f t="shared" si="8"/>
        <v>26.609648469715374</v>
      </c>
      <c r="W21" s="58"/>
      <c r="X21" s="157">
        <f t="shared" si="9"/>
        <v>43472</v>
      </c>
      <c r="Y21" s="384">
        <f t="shared" si="10"/>
        <v>2.6379999999999999</v>
      </c>
      <c r="Z21" s="384">
        <f t="shared" si="11"/>
        <v>2.6508583078001244</v>
      </c>
      <c r="AA21" s="385">
        <f t="shared" si="12"/>
        <v>2.6901509280212625</v>
      </c>
      <c r="AB21" s="196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1.4606102509660985E-2</v>
      </c>
      <c r="AD21" s="230">
        <f>(INDEX(Models!$BJ21:$BT21,,AH21)*(1-AF21)+INDEX(Models!$BJ21:$BT21,,AH21+1)*AF21-ERP_i)*AE21*Ramure*Pc/MaxiM</f>
        <v>9.7694070025918498E-5</v>
      </c>
      <c r="AE21" s="304">
        <f t="shared" si="14"/>
        <v>0.5</v>
      </c>
      <c r="AF21" s="176">
        <f t="shared" si="15"/>
        <v>0.83489321780193537</v>
      </c>
      <c r="AG21" s="175">
        <f t="shared" si="16"/>
        <v>-1</v>
      </c>
      <c r="AH21" s="175">
        <f t="shared" si="17"/>
        <v>5</v>
      </c>
      <c r="AI21" s="224">
        <f t="shared" si="22"/>
        <v>-0.16510678219806466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43473</v>
      </c>
      <c r="B22" s="616">
        <v>6.2439999999999998</v>
      </c>
      <c r="C22" s="389"/>
      <c r="D22" s="392">
        <f t="shared" si="0"/>
        <v>6.2745723321577254</v>
      </c>
      <c r="E22" s="384">
        <f t="shared" si="1"/>
        <v>6.3679522251079597</v>
      </c>
      <c r="F22" s="384">
        <f t="shared" si="2"/>
        <v>6.3679522251079597</v>
      </c>
      <c r="G22" s="110">
        <f t="shared" si="23"/>
        <v>0.23281827113221801</v>
      </c>
      <c r="H22" s="413" t="b">
        <f>Wh_hp&gt;='2018'!Maxi_hp</f>
        <v>1</v>
      </c>
      <c r="I22" s="389">
        <f>IF(H22,Wh_hp,'2018'!Maxi_hp)</f>
        <v>6.3679522251079597</v>
      </c>
      <c r="J22" s="85">
        <f>IF(H22,An,'2018'!An_max)</f>
        <v>2019</v>
      </c>
      <c r="K22" s="196">
        <f t="shared" si="3"/>
        <v>43473</v>
      </c>
      <c r="L22" s="147">
        <f>IF(t&lt;Tvie,1-EXP((T0-t)*PertePVj)+'2018'!Pspv,1-EXP((T0-t)*PertePVj)+Pspv)</f>
        <v>4.8724168818709002E-3</v>
      </c>
      <c r="M22" s="847"/>
      <c r="N22" s="847"/>
      <c r="O22" s="48">
        <f>IF(t&lt;Tnet,'2018'!Resal+('2018'!Salim-'2018'!Resal)*(1-EXP(('2018'!Tnet-t)/('2018'!Tau_j))),Resal+(Salim-Resal)*(1-EXP((Tnet-t)/(Tau_j))))*Salcycl</f>
        <v>1.4664037927616723E-2</v>
      </c>
      <c r="P22" s="168">
        <f>(INDEX(Models!$BJ22:$BT22,,T22)*(1-R22)+INDEX(Models!$BJ22:$BT22,,T22+1)*R22-ERP_i)*Q22*Ramure*Pc/MaxiM</f>
        <v>9.8442009310346917E-5</v>
      </c>
      <c r="Q22" s="304">
        <f t="shared" si="4"/>
        <v>0.5</v>
      </c>
      <c r="R22" s="176">
        <f t="shared" si="5"/>
        <v>0.83491563041553363</v>
      </c>
      <c r="S22" s="814">
        <f t="shared" si="6"/>
        <v>-1</v>
      </c>
      <c r="T22" s="175">
        <f t="shared" si="7"/>
        <v>5</v>
      </c>
      <c r="U22" s="250">
        <f t="shared" si="21"/>
        <v>-0.16508436958446637</v>
      </c>
      <c r="V22" s="382">
        <f t="shared" si="8"/>
        <v>26.81656082115752</v>
      </c>
      <c r="W22" s="58"/>
      <c r="X22" s="157">
        <f t="shared" si="9"/>
        <v>43473</v>
      </c>
      <c r="Y22" s="384">
        <f t="shared" si="10"/>
        <v>6.2439999999999998</v>
      </c>
      <c r="Z22" s="384">
        <f t="shared" si="11"/>
        <v>6.2745723321577254</v>
      </c>
      <c r="AA22" s="385">
        <f t="shared" si="12"/>
        <v>6.3679522251079597</v>
      </c>
      <c r="AB22" s="196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1.4664037927616723E-2</v>
      </c>
      <c r="AD22" s="230">
        <f>(INDEX(Models!$BJ22:$BT22,,AH22)*(1-AF22)+INDEX(Models!$BJ22:$BT22,,AH22+1)*AF22-ERP_i)*AE22*Ramure*Pc/MaxiM</f>
        <v>9.8442009310346917E-5</v>
      </c>
      <c r="AE22" s="304">
        <f t="shared" si="14"/>
        <v>0.5</v>
      </c>
      <c r="AF22" s="176">
        <f t="shared" si="15"/>
        <v>0.83491563041553363</v>
      </c>
      <c r="AG22" s="175">
        <f t="shared" si="16"/>
        <v>-1</v>
      </c>
      <c r="AH22" s="175">
        <f t="shared" si="17"/>
        <v>5</v>
      </c>
      <c r="AI22" s="224">
        <f t="shared" si="22"/>
        <v>-0.16508436958446637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43474</v>
      </c>
      <c r="B23" s="616">
        <v>8.9990000000000006</v>
      </c>
      <c r="C23" s="389"/>
      <c r="D23" s="392">
        <f t="shared" si="0"/>
        <v>9.0432596364321345</v>
      </c>
      <c r="E23" s="384">
        <f t="shared" si="1"/>
        <v>9.178383124911317</v>
      </c>
      <c r="F23" s="384">
        <f t="shared" si="2"/>
        <v>9.178425893630541</v>
      </c>
      <c r="G23" s="110">
        <f t="shared" si="23"/>
        <v>0.33284988172196145</v>
      </c>
      <c r="H23" s="413" t="b">
        <f>Wh_hp&gt;='2018'!Maxi_hp</f>
        <v>1</v>
      </c>
      <c r="I23" s="389">
        <f>IF(H23,Wh_hp,'2018'!Maxi_hp)</f>
        <v>9.178425893630541</v>
      </c>
      <c r="J23" s="85">
        <f>IF(H23,An,'2018'!An_max)</f>
        <v>2019</v>
      </c>
      <c r="K23" s="196">
        <f t="shared" si="3"/>
        <v>43474</v>
      </c>
      <c r="L23" s="147">
        <f>IF(t&lt;Tvie,1-EXP((T0-t)*PertePVj)+'2018'!Pspv,1-EXP((T0-t)*PertePVj)+Pspv)</f>
        <v>4.8942127298687854E-3</v>
      </c>
      <c r="M23" s="847"/>
      <c r="N23" s="847"/>
      <c r="O23" s="48">
        <f>IF(t&lt;Tnet,'2018'!Resal+('2018'!Salim-'2018'!Resal)*(1-EXP(('2018'!Tnet-t)/('2018'!Tau_j))),Resal+(Salim-Resal)*(1-EXP((Tnet-t)/(Tau_j))))*Salcycl</f>
        <v>1.4721927232743222E-2</v>
      </c>
      <c r="P23" s="168">
        <f>(INDEX(Models!$BJ23:$BT23,,T23)*(1-R23)+INDEX(Models!$BJ23:$BT23,,T23+1)*R23-ERP_i)*Q23*Ramure*Pc/MaxiM</f>
        <v>9.9198798146431577E-5</v>
      </c>
      <c r="Q23" s="304">
        <f t="shared" si="4"/>
        <v>0.5</v>
      </c>
      <c r="R23" s="176">
        <f t="shared" si="5"/>
        <v>0.83493897972095477</v>
      </c>
      <c r="S23" s="814">
        <f t="shared" si="6"/>
        <v>-1</v>
      </c>
      <c r="T23" s="175">
        <f t="shared" si="7"/>
        <v>5</v>
      </c>
      <c r="U23" s="250">
        <f t="shared" si="21"/>
        <v>-0.16506102027904529</v>
      </c>
      <c r="V23" s="382">
        <f t="shared" si="8"/>
        <v>27.033656109921093</v>
      </c>
      <c r="W23" s="58"/>
      <c r="X23" s="157">
        <f t="shared" si="9"/>
        <v>43474</v>
      </c>
      <c r="Y23" s="384">
        <f t="shared" si="10"/>
        <v>8.9990000000000006</v>
      </c>
      <c r="Z23" s="384">
        <f t="shared" si="11"/>
        <v>9.0432596364321345</v>
      </c>
      <c r="AA23" s="385">
        <f t="shared" si="12"/>
        <v>9.178383124911317</v>
      </c>
      <c r="AB23" s="196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1.4721927232743222E-2</v>
      </c>
      <c r="AD23" s="230">
        <f>(INDEX(Models!$BJ23:$BT23,,AH23)*(1-AF23)+INDEX(Models!$BJ23:$BT23,,AH23+1)*AF23-ERP_i)*AE23*Ramure*Pc/MaxiM</f>
        <v>9.9198798146431577E-5</v>
      </c>
      <c r="AE23" s="304">
        <f t="shared" si="14"/>
        <v>0.5</v>
      </c>
      <c r="AF23" s="176">
        <f t="shared" si="15"/>
        <v>0.83493897972095477</v>
      </c>
      <c r="AG23" s="175">
        <f t="shared" si="16"/>
        <v>-1</v>
      </c>
      <c r="AH23" s="175">
        <f t="shared" si="17"/>
        <v>5</v>
      </c>
      <c r="AI23" s="224">
        <f t="shared" si="22"/>
        <v>-0.16506102027904529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43475</v>
      </c>
      <c r="B24" s="616">
        <v>14.548999999999999</v>
      </c>
      <c r="C24" s="389"/>
      <c r="D24" s="392">
        <f t="shared" si="0"/>
        <v>14.620876346555809</v>
      </c>
      <c r="E24" s="384">
        <f t="shared" si="1"/>
        <v>14.840211250524185</v>
      </c>
      <c r="F24" s="384">
        <f t="shared" si="2"/>
        <v>14.840705904124258</v>
      </c>
      <c r="G24" s="110">
        <f t="shared" si="23"/>
        <v>0.53360152665252703</v>
      </c>
      <c r="H24" s="413" t="b">
        <f>Wh_hp&gt;='2018'!Maxi_hp</f>
        <v>1</v>
      </c>
      <c r="I24" s="389">
        <f>IF(H24,Wh_hp,'2018'!Maxi_hp)</f>
        <v>14.840705904124258</v>
      </c>
      <c r="J24" s="85">
        <f>IF(H24,An,'2018'!An_max)</f>
        <v>2019</v>
      </c>
      <c r="K24" s="196">
        <f t="shared" si="3"/>
        <v>43475</v>
      </c>
      <c r="L24" s="147">
        <f>IF(t&lt;Tvie,1-EXP((T0-t)*PertePVj)+'2018'!Pspv,1-EXP((T0-t)*PertePVj)+Pspv)</f>
        <v>4.9160081004816503E-3</v>
      </c>
      <c r="M24" s="847"/>
      <c r="N24" s="847"/>
      <c r="O24" s="48">
        <f>IF(t&lt;Tnet,'2018'!Resal+('2018'!Salim-'2018'!Resal)*(1-EXP(('2018'!Tnet-t)/('2018'!Tau_j))),Resal+(Salim-Resal)*(1-EXP((Tnet-t)/(Tau_j))))*Salcycl</f>
        <v>1.477976965864464E-2</v>
      </c>
      <c r="P24" s="168">
        <f>(INDEX(Models!$BJ24:$BT24,,T24)*(1-R24)+INDEX(Models!$BJ24:$BT24,,T24+1)*R24-ERP_i)*Q24*Ramure*Pc/MaxiM</f>
        <v>9.9862624474782513E-5</v>
      </c>
      <c r="Q24" s="304">
        <f t="shared" si="4"/>
        <v>0.5</v>
      </c>
      <c r="R24" s="176">
        <f t="shared" si="5"/>
        <v>0.83496330471003644</v>
      </c>
      <c r="S24" s="814">
        <f t="shared" si="6"/>
        <v>-1</v>
      </c>
      <c r="T24" s="175">
        <f t="shared" si="7"/>
        <v>5</v>
      </c>
      <c r="U24" s="250">
        <f t="shared" si="21"/>
        <v>-0.16503669528996356</v>
      </c>
      <c r="V24" s="382">
        <f t="shared" si="8"/>
        <v>27.263850027690921</v>
      </c>
      <c r="W24" s="58"/>
      <c r="X24" s="157">
        <f t="shared" si="9"/>
        <v>43475</v>
      </c>
      <c r="Y24" s="384">
        <f t="shared" si="10"/>
        <v>14.548999999999999</v>
      </c>
      <c r="Z24" s="384">
        <f t="shared" si="11"/>
        <v>14.620876346555809</v>
      </c>
      <c r="AA24" s="385">
        <f t="shared" si="12"/>
        <v>14.840211250524185</v>
      </c>
      <c r="AB24" s="196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1.477976965864464E-2</v>
      </c>
      <c r="AD24" s="230">
        <f>(INDEX(Models!$BJ24:$BT24,,AH24)*(1-AF24)+INDEX(Models!$BJ24:$BT24,,AH24+1)*AF24-ERP_i)*AE24*Ramure*Pc/MaxiM</f>
        <v>9.9862624474782513E-5</v>
      </c>
      <c r="AE24" s="304">
        <f t="shared" si="14"/>
        <v>0.5</v>
      </c>
      <c r="AF24" s="176">
        <f t="shared" si="15"/>
        <v>0.83496330471003644</v>
      </c>
      <c r="AG24" s="175">
        <f t="shared" si="16"/>
        <v>-1</v>
      </c>
      <c r="AH24" s="175">
        <f t="shared" si="17"/>
        <v>5</v>
      </c>
      <c r="AI24" s="224">
        <f t="shared" si="22"/>
        <v>-0.16503669528996356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43476</v>
      </c>
      <c r="B25" s="616">
        <v>26.221</v>
      </c>
      <c r="C25" s="389"/>
      <c r="D25" s="392">
        <f t="shared" si="0"/>
        <v>26.351116622546677</v>
      </c>
      <c r="E25" s="384">
        <f t="shared" si="1"/>
        <v>26.747991680763874</v>
      </c>
      <c r="F25" s="384">
        <f t="shared" si="2"/>
        <v>26.750497643317612</v>
      </c>
      <c r="G25" s="110">
        <f t="shared" si="23"/>
        <v>0.95327304219848708</v>
      </c>
      <c r="H25" s="413" t="b">
        <f>Wh_hp&gt;='2018'!Maxi_hp</f>
        <v>1</v>
      </c>
      <c r="I25" s="389">
        <f>IF(H25,Wh_hp,'2018'!Maxi_hp)</f>
        <v>26.750497643317612</v>
      </c>
      <c r="J25" s="85">
        <f>IF(H25,An,'2018'!An_max)</f>
        <v>2019</v>
      </c>
      <c r="K25" s="196">
        <f t="shared" si="3"/>
        <v>43476</v>
      </c>
      <c r="L25" s="147">
        <f>IF(t&lt;Tvie,1-EXP((T0-t)*PertePVj)+'2018'!Pspv,1-EXP((T0-t)*PertePVj)+Pspv)</f>
        <v>4.9378029937200418E-3</v>
      </c>
      <c r="M25" s="847"/>
      <c r="N25" s="847"/>
      <c r="O25" s="48">
        <f>IF(t&lt;Tnet,'2018'!Resal+('2018'!Salim-'2018'!Resal)*(1-EXP(('2018'!Tnet-t)/('2018'!Tau_j))),Resal+(Salim-Resal)*(1-EXP((Tnet-t)/(Tau_j))))*Salcycl</f>
        <v>1.4837564739584374E-2</v>
      </c>
      <c r="P25" s="168">
        <f>(INDEX(Models!$BJ25:$BT25,,T25)*(1-R25)+INDEX(Models!$BJ25:$BT25,,T25+1)*R25-ERP_i)*Q25*Ramure*Pc/MaxiM</f>
        <v>1.0037874653058322E-4</v>
      </c>
      <c r="Q25" s="304">
        <f t="shared" si="4"/>
        <v>0.5</v>
      </c>
      <c r="R25" s="176">
        <f t="shared" si="5"/>
        <v>0.83498864598445599</v>
      </c>
      <c r="S25" s="814">
        <f t="shared" si="6"/>
        <v>-1</v>
      </c>
      <c r="T25" s="175">
        <f t="shared" si="7"/>
        <v>5</v>
      </c>
      <c r="U25" s="250">
        <f t="shared" si="21"/>
        <v>-0.16501135401554395</v>
      </c>
      <c r="V25" s="382">
        <f t="shared" si="8"/>
        <v>27.506100719735027</v>
      </c>
      <c r="W25" s="58"/>
      <c r="X25" s="157">
        <f t="shared" si="9"/>
        <v>43476</v>
      </c>
      <c r="Y25" s="384">
        <f t="shared" si="10"/>
        <v>26.221</v>
      </c>
      <c r="Z25" s="384">
        <f t="shared" si="11"/>
        <v>26.351116622546677</v>
      </c>
      <c r="AA25" s="385">
        <f t="shared" si="12"/>
        <v>26.747991680763874</v>
      </c>
      <c r="AB25" s="196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1.4837564739584374E-2</v>
      </c>
      <c r="AD25" s="230">
        <f>(INDEX(Models!$BJ25:$BT25,,AH25)*(1-AF25)+INDEX(Models!$BJ25:$BT25,,AH25+1)*AF25-ERP_i)*AE25*Ramure*Pc/MaxiM</f>
        <v>1.0037874653058322E-4</v>
      </c>
      <c r="AE25" s="304">
        <f t="shared" si="14"/>
        <v>0.5</v>
      </c>
      <c r="AF25" s="176">
        <f t="shared" si="15"/>
        <v>0.83498864598445599</v>
      </c>
      <c r="AG25" s="175">
        <f t="shared" si="16"/>
        <v>-1</v>
      </c>
      <c r="AH25" s="175">
        <f t="shared" si="17"/>
        <v>5</v>
      </c>
      <c r="AI25" s="224">
        <f t="shared" si="22"/>
        <v>-0.16501135401554395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43477</v>
      </c>
      <c r="B26" s="616">
        <v>8.3339999999999996</v>
      </c>
      <c r="C26" s="389"/>
      <c r="D26" s="392">
        <f t="shared" si="0"/>
        <v>8.3755393030312693</v>
      </c>
      <c r="E26" s="384">
        <f t="shared" si="1"/>
        <v>8.5021819584242415</v>
      </c>
      <c r="F26" s="384">
        <f t="shared" si="2"/>
        <v>8.5021822313282147</v>
      </c>
      <c r="G26" s="110">
        <f t="shared" si="23"/>
        <v>0.30019276663162214</v>
      </c>
      <c r="H26" s="413" t="b">
        <f>Wh_hp&gt;='2018'!Maxi_hp</f>
        <v>1</v>
      </c>
      <c r="I26" s="389">
        <f>IF(H26,Wh_hp,'2018'!Maxi_hp)</f>
        <v>8.5021822313282147</v>
      </c>
      <c r="J26" s="85">
        <f>IF(H26,An,'2018'!An_max)</f>
        <v>2019</v>
      </c>
      <c r="K26" s="196">
        <f t="shared" si="3"/>
        <v>43477</v>
      </c>
      <c r="L26" s="147">
        <f>IF(t&lt;Tvie,1-EXP((T0-t)*PertePVj)+'2018'!Pspv,1-EXP((T0-t)*PertePVj)+Pspv)</f>
        <v>4.9595974095942852E-3</v>
      </c>
      <c r="M26" s="847"/>
      <c r="N26" s="847"/>
      <c r="O26" s="48">
        <f>IF(t&lt;Tnet,'2018'!Resal+('2018'!Salim-'2018'!Resal)*(1-EXP(('2018'!Tnet-t)/('2018'!Tau_j))),Resal+(Salim-Resal)*(1-EXP((Tnet-t)/(Tau_j))))*Salcycl</f>
        <v>1.4895312287158275E-2</v>
      </c>
      <c r="P26" s="168">
        <f>(INDEX(Models!$BJ26:$BT26,,T26)*(1-R26)+INDEX(Models!$BJ26:$BT26,,T26+1)*R26-ERP_i)*Q26*Ramure*Pc/MaxiM</f>
        <v>1.0075385625916446E-4</v>
      </c>
      <c r="Q26" s="304">
        <f t="shared" si="4"/>
        <v>0.5</v>
      </c>
      <c r="R26" s="176">
        <f t="shared" si="5"/>
        <v>0.83501504582105868</v>
      </c>
      <c r="S26" s="814">
        <f t="shared" si="6"/>
        <v>-1</v>
      </c>
      <c r="T26" s="175">
        <f t="shared" si="7"/>
        <v>5</v>
      </c>
      <c r="U26" s="250">
        <f t="shared" si="21"/>
        <v>-0.1649849541789413</v>
      </c>
      <c r="V26" s="382">
        <f t="shared" si="8"/>
        <v>27.759365018500166</v>
      </c>
      <c r="W26" s="58"/>
      <c r="X26" s="157">
        <f t="shared" si="9"/>
        <v>43477</v>
      </c>
      <c r="Y26" s="384">
        <f t="shared" si="10"/>
        <v>8.3339999999999996</v>
      </c>
      <c r="Z26" s="384">
        <f t="shared" si="11"/>
        <v>8.3755393030312693</v>
      </c>
      <c r="AA26" s="385">
        <f t="shared" si="12"/>
        <v>8.5021819584242415</v>
      </c>
      <c r="AB26" s="196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1.4895312287158275E-2</v>
      </c>
      <c r="AD26" s="230">
        <f>(INDEX(Models!$BJ26:$BT26,,AH26)*(1-AF26)+INDEX(Models!$BJ26:$BT26,,AH26+1)*AF26-ERP_i)*AE26*Ramure*Pc/MaxiM</f>
        <v>1.0075385625916446E-4</v>
      </c>
      <c r="AE26" s="304">
        <f t="shared" si="14"/>
        <v>0.5</v>
      </c>
      <c r="AF26" s="176">
        <f t="shared" si="15"/>
        <v>0.83501504582105868</v>
      </c>
      <c r="AG26" s="175">
        <f t="shared" si="16"/>
        <v>-1</v>
      </c>
      <c r="AH26" s="175">
        <f t="shared" si="17"/>
        <v>5</v>
      </c>
      <c r="AI26" s="224">
        <f t="shared" si="22"/>
        <v>-0.1649849541789413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43478</v>
      </c>
      <c r="B27" s="616">
        <v>6.1390000000000002</v>
      </c>
      <c r="C27" s="389"/>
      <c r="D27" s="392">
        <f t="shared" si="0"/>
        <v>6.1697338588647206</v>
      </c>
      <c r="E27" s="384">
        <f t="shared" si="1"/>
        <v>6.2633904131590805</v>
      </c>
      <c r="F27" s="384">
        <f t="shared" si="2"/>
        <v>6.2633904131590805</v>
      </c>
      <c r="G27" s="110">
        <f t="shared" si="23"/>
        <v>0.21905105068483169</v>
      </c>
      <c r="H27" s="413" t="b">
        <f>Wh_hp&gt;='2018'!Maxi_hp</f>
        <v>1</v>
      </c>
      <c r="I27" s="389">
        <f>IF(H27,Wh_hp,'2018'!Maxi_hp)</f>
        <v>6.2633904131590805</v>
      </c>
      <c r="J27" s="85">
        <f>IF(H27,An,'2018'!An_max)</f>
        <v>2019</v>
      </c>
      <c r="K27" s="196">
        <f t="shared" si="3"/>
        <v>43478</v>
      </c>
      <c r="L27" s="147">
        <f>IF(t&lt;Tvie,1-EXP((T0-t)*PertePVj)+'2018'!Pspv,1-EXP((T0-t)*PertePVj)+Pspv)</f>
        <v>4.9813913481149275E-3</v>
      </c>
      <c r="M27" s="847"/>
      <c r="N27" s="847"/>
      <c r="O27" s="48">
        <f>IF(t&lt;Tnet,'2018'!Resal+('2018'!Salim-'2018'!Resal)*(1-EXP(('2018'!Tnet-t)/('2018'!Tau_j))),Resal+(Salim-Resal)*(1-EXP((Tnet-t)/(Tau_j))))*Salcycl</f>
        <v>1.4953012364931267E-2</v>
      </c>
      <c r="P27" s="168">
        <f>(INDEX(Models!$BJ27:$BT27,,T27)*(1-R27)+INDEX(Models!$BJ27:$BT27,,T27+1)*R27-ERP_i)*Q27*Ramure*Pc/MaxiM</f>
        <v>1.0099481565948944E-4</v>
      </c>
      <c r="Q27" s="304">
        <f t="shared" si="4"/>
        <v>0.5</v>
      </c>
      <c r="R27" s="176">
        <f t="shared" si="5"/>
        <v>0.83504254823974022</v>
      </c>
      <c r="S27" s="814">
        <f t="shared" si="6"/>
        <v>-1</v>
      </c>
      <c r="T27" s="175">
        <f t="shared" si="7"/>
        <v>5</v>
      </c>
      <c r="U27" s="250">
        <f t="shared" si="21"/>
        <v>-0.1649574517602598</v>
      </c>
      <c r="V27" s="382">
        <f t="shared" si="8"/>
        <v>28.022600090873347</v>
      </c>
      <c r="W27" s="58"/>
      <c r="X27" s="157">
        <f t="shared" si="9"/>
        <v>43478</v>
      </c>
      <c r="Y27" s="384">
        <f t="shared" si="10"/>
        <v>6.1390000000000002</v>
      </c>
      <c r="Z27" s="384">
        <f t="shared" si="11"/>
        <v>6.1697338588647206</v>
      </c>
      <c r="AA27" s="385">
        <f t="shared" si="12"/>
        <v>6.2633904131590805</v>
      </c>
      <c r="AB27" s="196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1.4953012364931267E-2</v>
      </c>
      <c r="AD27" s="230">
        <f>(INDEX(Models!$BJ27:$BT27,,AH27)*(1-AF27)+INDEX(Models!$BJ27:$BT27,,AH27+1)*AF27-ERP_i)*AE27*Ramure*Pc/MaxiM</f>
        <v>1.0099481565948944E-4</v>
      </c>
      <c r="AE27" s="304">
        <f t="shared" si="14"/>
        <v>0.5</v>
      </c>
      <c r="AF27" s="176">
        <f t="shared" si="15"/>
        <v>0.83504254823974022</v>
      </c>
      <c r="AG27" s="175">
        <f t="shared" si="16"/>
        <v>-1</v>
      </c>
      <c r="AH27" s="299">
        <f t="shared" si="17"/>
        <v>5</v>
      </c>
      <c r="AI27" s="224">
        <f t="shared" si="22"/>
        <v>-0.1649574517602598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43479</v>
      </c>
      <c r="B28" s="616">
        <v>6.8719999999999999</v>
      </c>
      <c r="C28" s="389"/>
      <c r="D28" s="392">
        <f t="shared" si="0"/>
        <v>6.9065547699093557</v>
      </c>
      <c r="E28" s="384">
        <f t="shared" si="1"/>
        <v>7.0118066524466593</v>
      </c>
      <c r="F28" s="384">
        <f t="shared" si="2"/>
        <v>7.0118066524466593</v>
      </c>
      <c r="G28" s="110">
        <f t="shared" si="23"/>
        <v>0.24284723914549713</v>
      </c>
      <c r="H28" s="413" t="b">
        <f>Wh_hp&gt;='2018'!Maxi_hp</f>
        <v>1</v>
      </c>
      <c r="I28" s="389">
        <f>IF(H28,Wh_hp,'2018'!Maxi_hp)</f>
        <v>7.0118066524466593</v>
      </c>
      <c r="J28" s="85">
        <f>IF(H28,An,'2018'!An_max)</f>
        <v>2019</v>
      </c>
      <c r="K28" s="196">
        <f t="shared" si="3"/>
        <v>43479</v>
      </c>
      <c r="L28" s="147">
        <f>IF(t&lt;Tvie,1-EXP((T0-t)*PertePVj)+'2018'!Pspv,1-EXP((T0-t)*PertePVj)+Pspv)</f>
        <v>5.0031848092922937E-3</v>
      </c>
      <c r="M28" s="847"/>
      <c r="N28" s="847"/>
      <c r="O28" s="48">
        <f>IF(t&lt;Tnet,'2018'!Resal+('2018'!Salim-'2018'!Resal)*(1-EXP(('2018'!Tnet-t)/('2018'!Tau_j))),Resal+(Salim-Resal)*(1-EXP((Tnet-t)/(Tau_j))))*Salcycl</f>
        <v>1.5010665261367044E-2</v>
      </c>
      <c r="P28" s="168">
        <f>(INDEX(Models!$BJ28:$BT28,,T28)*(1-R28)+INDEX(Models!$BJ28:$BT28,,T28+1)*R28-ERP_i)*Q28*Ramure*Pc/MaxiM</f>
        <v>1.0110857400755208E-4</v>
      </c>
      <c r="Q28" s="304">
        <f t="shared" si="4"/>
        <v>0.5</v>
      </c>
      <c r="R28" s="176">
        <f t="shared" si="5"/>
        <v>0.83507119907397387</v>
      </c>
      <c r="S28" s="814">
        <f t="shared" si="6"/>
        <v>-1</v>
      </c>
      <c r="T28" s="175">
        <f t="shared" si="7"/>
        <v>5</v>
      </c>
      <c r="U28" s="250">
        <f t="shared" si="21"/>
        <v>-0.16492880092602613</v>
      </c>
      <c r="V28" s="382">
        <f t="shared" si="8"/>
        <v>28.294763432589871</v>
      </c>
      <c r="W28" s="58"/>
      <c r="X28" s="157">
        <f t="shared" si="9"/>
        <v>43479</v>
      </c>
      <c r="Y28" s="384">
        <f t="shared" si="10"/>
        <v>6.8719999999999999</v>
      </c>
      <c r="Z28" s="384">
        <f t="shared" si="11"/>
        <v>6.9065547699093557</v>
      </c>
      <c r="AA28" s="385">
        <f t="shared" si="12"/>
        <v>7.0118066524466593</v>
      </c>
      <c r="AB28" s="196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1.5010665261367044E-2</v>
      </c>
      <c r="AD28" s="230">
        <f>(INDEX(Models!$BJ28:$BT28,,AH28)*(1-AF28)+INDEX(Models!$BJ28:$BT28,,AH28+1)*AF28-ERP_i)*AE28*Ramure*Pc/MaxiM</f>
        <v>1.0110857400755208E-4</v>
      </c>
      <c r="AE28" s="304">
        <f t="shared" si="14"/>
        <v>0.5</v>
      </c>
      <c r="AF28" s="176">
        <f t="shared" si="15"/>
        <v>0.83507119907397387</v>
      </c>
      <c r="AG28" s="175">
        <f t="shared" si="16"/>
        <v>-1</v>
      </c>
      <c r="AH28" s="175">
        <f t="shared" si="17"/>
        <v>5</v>
      </c>
      <c r="AI28" s="224">
        <f t="shared" si="22"/>
        <v>-0.16492880092602613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43480</v>
      </c>
      <c r="B29" s="616">
        <v>28.686</v>
      </c>
      <c r="C29" s="389"/>
      <c r="D29" s="392">
        <f t="shared" si="0"/>
        <v>28.830874504140024</v>
      </c>
      <c r="E29" s="384">
        <f t="shared" si="1"/>
        <v>29.271952226493731</v>
      </c>
      <c r="F29" s="384">
        <f t="shared" si="2"/>
        <v>29.274911981383848</v>
      </c>
      <c r="G29" s="110">
        <f t="shared" si="23"/>
        <v>1.0038910885292438</v>
      </c>
      <c r="H29" s="413" t="b">
        <f>Wh_hp&gt;='2018'!Maxi_hp</f>
        <v>1</v>
      </c>
      <c r="I29" s="389">
        <f>IF(H29,Wh_hp,'2018'!Maxi_hp)</f>
        <v>29.274911981383848</v>
      </c>
      <c r="J29" s="85">
        <f>IF(H29,An,'2018'!An_max)</f>
        <v>2019</v>
      </c>
      <c r="K29" s="196">
        <f t="shared" si="3"/>
        <v>43480</v>
      </c>
      <c r="L29" s="147">
        <f>IF(t&lt;Tvie,1-EXP((T0-t)*PertePVj)+'2018'!Pspv,1-EXP((T0-t)*PertePVj)+Pspv)</f>
        <v>5.0249777931370421E-3</v>
      </c>
      <c r="M29" s="847"/>
      <c r="N29" s="847"/>
      <c r="O29" s="48">
        <f>IF(t&lt;Tnet,'2018'!Resal+('2018'!Salim-'2018'!Resal)*(1-EXP(('2018'!Tnet-t)/('2018'!Tau_j))),Resal+(Salim-Resal)*(1-EXP((Tnet-t)/(Tau_j))))*Salcycl</f>
        <v>1.5068271461392111E-2</v>
      </c>
      <c r="P29" s="168">
        <f>(INDEX(Models!$BJ29:$BT29,,T29)*(1-R29)+INDEX(Models!$BJ29:$BT29,,T29+1)*R29-ERP_i)*Q29*Ramure*Pc/MaxiM</f>
        <v>1.0110209356053965E-4</v>
      </c>
      <c r="Q29" s="304">
        <f t="shared" si="4"/>
        <v>0.5</v>
      </c>
      <c r="R29" s="176">
        <f t="shared" si="5"/>
        <v>0.83510104604407731</v>
      </c>
      <c r="S29" s="814">
        <f t="shared" si="6"/>
        <v>-1</v>
      </c>
      <c r="T29" s="175">
        <f t="shared" si="7"/>
        <v>5</v>
      </c>
      <c r="U29" s="250">
        <f t="shared" si="21"/>
        <v>-0.16489895395592274</v>
      </c>
      <c r="V29" s="382">
        <f t="shared" si="8"/>
        <v>28.574812873403012</v>
      </c>
      <c r="W29" s="58"/>
      <c r="X29" s="157">
        <f t="shared" si="9"/>
        <v>43480</v>
      </c>
      <c r="Y29" s="384">
        <f t="shared" si="10"/>
        <v>28.686</v>
      </c>
      <c r="Z29" s="384">
        <f t="shared" si="11"/>
        <v>28.830874504140024</v>
      </c>
      <c r="AA29" s="385">
        <f t="shared" si="12"/>
        <v>29.271952226493731</v>
      </c>
      <c r="AB29" s="196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1.5068271461392111E-2</v>
      </c>
      <c r="AD29" s="230">
        <f>(INDEX(Models!$BJ29:$BT29,,AH29)*(1-AF29)+INDEX(Models!$BJ29:$BT29,,AH29+1)*AF29-ERP_i)*AE29*Ramure*Pc/MaxiM</f>
        <v>1.0110209356053965E-4</v>
      </c>
      <c r="AE29" s="304">
        <f t="shared" si="14"/>
        <v>0.5</v>
      </c>
      <c r="AF29" s="176">
        <f t="shared" si="15"/>
        <v>0.83510104604407731</v>
      </c>
      <c r="AG29" s="175">
        <f t="shared" si="16"/>
        <v>-1</v>
      </c>
      <c r="AH29" s="175">
        <f t="shared" si="17"/>
        <v>5</v>
      </c>
      <c r="AI29" s="224">
        <f t="shared" si="22"/>
        <v>-0.16489895395592274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43481</v>
      </c>
      <c r="B30" s="616">
        <v>29.126999999999999</v>
      </c>
      <c r="C30" s="389"/>
      <c r="D30" s="392">
        <f t="shared" si="0"/>
        <v>29.274742903013088</v>
      </c>
      <c r="E30" s="384">
        <f t="shared" si="1"/>
        <v>29.724348391709452</v>
      </c>
      <c r="F30" s="384">
        <f t="shared" si="2"/>
        <v>29.727345676084568</v>
      </c>
      <c r="G30" s="110">
        <f t="shared" si="23"/>
        <v>1.009191725120512</v>
      </c>
      <c r="H30" s="413" t="b">
        <f>Wh_hp&gt;='2018'!Maxi_hp</f>
        <v>1</v>
      </c>
      <c r="I30" s="389">
        <f>IF(H30,Wh_hp,'2018'!Maxi_hp)</f>
        <v>29.727345676084568</v>
      </c>
      <c r="J30" s="85">
        <f>IF(H30,An,'2018'!An_max)</f>
        <v>2019</v>
      </c>
      <c r="K30" s="196">
        <f t="shared" si="3"/>
        <v>43481</v>
      </c>
      <c r="L30" s="147">
        <f>IF(t&lt;Tvie,1-EXP((T0-t)*PertePVj)+'2018'!Pspv,1-EXP((T0-t)*PertePVj)+Pspv)</f>
        <v>5.0467702996593866E-3</v>
      </c>
      <c r="M30" s="847"/>
      <c r="N30" s="847"/>
      <c r="O30" s="48">
        <f>IF(t&lt;Tnet,'2018'!Resal+('2018'!Salim-'2018'!Resal)*(1-EXP(('2018'!Tnet-t)/('2018'!Tau_j))),Resal+(Salim-Resal)*(1-EXP((Tnet-t)/(Tau_j))))*Salcycl</f>
        <v>1.5125831616943579E-2</v>
      </c>
      <c r="P30" s="168">
        <f>(INDEX(Models!$BJ30:$BT30,,T30)*(1-R30)+INDEX(Models!$BJ30:$BT30,,T30+1)*R30-ERP_i)*Q30*Ramure*Pc/MaxiM</f>
        <v>1.0082583247674834E-4</v>
      </c>
      <c r="Q30" s="304">
        <f t="shared" si="4"/>
        <v>0.5</v>
      </c>
      <c r="R30" s="176">
        <f t="shared" si="5"/>
        <v>0.83513213883331328</v>
      </c>
      <c r="S30" s="814">
        <f t="shared" si="6"/>
        <v>-1</v>
      </c>
      <c r="T30" s="175">
        <f t="shared" si="7"/>
        <v>5</v>
      </c>
      <c r="U30" s="250">
        <f t="shared" si="21"/>
        <v>-0.16486786116668678</v>
      </c>
      <c r="V30" s="382">
        <f t="shared" si="8"/>
        <v>28.861711085197228</v>
      </c>
      <c r="W30" s="58"/>
      <c r="X30" s="157">
        <f t="shared" si="9"/>
        <v>43481</v>
      </c>
      <c r="Y30" s="384">
        <f t="shared" si="10"/>
        <v>29.126999999999999</v>
      </c>
      <c r="Z30" s="384">
        <f t="shared" si="11"/>
        <v>29.274742903013088</v>
      </c>
      <c r="AA30" s="385">
        <f t="shared" si="12"/>
        <v>29.724348391709452</v>
      </c>
      <c r="AB30" s="196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1.5125831616943579E-2</v>
      </c>
      <c r="AD30" s="230">
        <f>(INDEX(Models!$BJ30:$BT30,,AH30)*(1-AF30)+INDEX(Models!$BJ30:$BT30,,AH30+1)*AF30-ERP_i)*AE30*Ramure*Pc/MaxiM</f>
        <v>1.0082583247674834E-4</v>
      </c>
      <c r="AE30" s="304">
        <f t="shared" si="14"/>
        <v>0.5</v>
      </c>
      <c r="AF30" s="176">
        <f t="shared" si="15"/>
        <v>0.83513213883331328</v>
      </c>
      <c r="AG30" s="175">
        <f t="shared" si="16"/>
        <v>-1</v>
      </c>
      <c r="AH30" s="175">
        <f t="shared" si="17"/>
        <v>5</v>
      </c>
      <c r="AI30" s="224">
        <f t="shared" si="22"/>
        <v>-0.16486786116668678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43482</v>
      </c>
      <c r="B31" s="616">
        <v>9.8580000000000005</v>
      </c>
      <c r="C31" s="389"/>
      <c r="D31" s="392">
        <f t="shared" si="0"/>
        <v>9.9082204328319925</v>
      </c>
      <c r="E31" s="384">
        <f t="shared" si="1"/>
        <v>10.060979775055728</v>
      </c>
      <c r="F31" s="384">
        <f t="shared" si="2"/>
        <v>10.061034741598794</v>
      </c>
      <c r="G31" s="110">
        <f t="shared" si="23"/>
        <v>0.33809852307573024</v>
      </c>
      <c r="H31" s="413" t="b">
        <f>Wh_hp&gt;='2018'!Maxi_hp</f>
        <v>1</v>
      </c>
      <c r="I31" s="389">
        <f>IF(H31,Wh_hp,'2018'!Maxi_hp)</f>
        <v>10.061034741598794</v>
      </c>
      <c r="J31" s="85">
        <f>IF(H31,An,'2018'!An_max)</f>
        <v>2019</v>
      </c>
      <c r="K31" s="196">
        <f t="shared" si="3"/>
        <v>43482</v>
      </c>
      <c r="L31" s="147">
        <f>IF(t&lt;Tvie,1-EXP((T0-t)*PertePVj)+'2018'!Pspv,1-EXP((T0-t)*PertePVj)+Pspv)</f>
        <v>5.0685623288699855E-3</v>
      </c>
      <c r="M31" s="847"/>
      <c r="N31" s="847"/>
      <c r="O31" s="48">
        <f>IF(t&lt;Tnet,'2018'!Resal+('2018'!Salim-'2018'!Resal)*(1-EXP(('2018'!Tnet-t)/('2018'!Tau_j))),Resal+(Salim-Resal)*(1-EXP((Tnet-t)/(Tau_j))))*Salcycl</f>
        <v>1.5183346516854511E-2</v>
      </c>
      <c r="P31" s="168">
        <f>(INDEX(Models!$BJ31:$BT31,,T31)*(1-R31)+INDEX(Models!$BJ31:$BT31,,T31+1)*R31-ERP_i)*Q31*Ramure*Pc/MaxiM</f>
        <v>1.002952358209694E-4</v>
      </c>
      <c r="Q31" s="304">
        <f t="shared" si="4"/>
        <v>0.5</v>
      </c>
      <c r="R31" s="176">
        <f t="shared" si="5"/>
        <v>0.83516452916692574</v>
      </c>
      <c r="S31" s="814">
        <f t="shared" si="6"/>
        <v>-1</v>
      </c>
      <c r="T31" s="175">
        <f t="shared" si="7"/>
        <v>5</v>
      </c>
      <c r="U31" s="250">
        <f t="shared" si="21"/>
        <v>-0.16483547083307429</v>
      </c>
      <c r="V31" s="382">
        <f t="shared" si="8"/>
        <v>29.154416446686142</v>
      </c>
      <c r="W31" s="58"/>
      <c r="X31" s="157">
        <f t="shared" si="9"/>
        <v>43482</v>
      </c>
      <c r="Y31" s="384">
        <f t="shared" si="10"/>
        <v>9.8580000000000005</v>
      </c>
      <c r="Z31" s="384">
        <f t="shared" si="11"/>
        <v>9.9082204328319925</v>
      </c>
      <c r="AA31" s="385">
        <f t="shared" si="12"/>
        <v>10.060979775055728</v>
      </c>
      <c r="AB31" s="196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1.5183346516854511E-2</v>
      </c>
      <c r="AD31" s="230">
        <f>(INDEX(Models!$BJ31:$BT31,,AH31)*(1-AF31)+INDEX(Models!$BJ31:$BT31,,AH31+1)*AF31-ERP_i)*AE31*Ramure*Pc/MaxiM</f>
        <v>1.002952358209694E-4</v>
      </c>
      <c r="AE31" s="304">
        <f t="shared" si="14"/>
        <v>0.5</v>
      </c>
      <c r="AF31" s="176">
        <f t="shared" si="15"/>
        <v>0.83516452916692574</v>
      </c>
      <c r="AG31" s="175">
        <f t="shared" si="16"/>
        <v>-1</v>
      </c>
      <c r="AH31" s="175">
        <f t="shared" si="17"/>
        <v>5</v>
      </c>
      <c r="AI31" s="224">
        <f t="shared" si="22"/>
        <v>-0.16483547083307429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43483</v>
      </c>
      <c r="B32" s="616">
        <v>14.016</v>
      </c>
      <c r="C32" s="389"/>
      <c r="D32" s="392">
        <f t="shared" si="0"/>
        <v>14.087711436582506</v>
      </c>
      <c r="E32" s="384">
        <f t="shared" si="1"/>
        <v>14.3057426430618</v>
      </c>
      <c r="F32" s="384">
        <f t="shared" si="2"/>
        <v>14.30610040409095</v>
      </c>
      <c r="G32" s="110">
        <f t="shared" si="23"/>
        <v>0.47585933004142322</v>
      </c>
      <c r="H32" s="413" t="b">
        <f>Wh_hp&gt;='2018'!Maxi_hp</f>
        <v>1</v>
      </c>
      <c r="I32" s="389">
        <f>IF(H32,Wh_hp,'2018'!Maxi_hp)</f>
        <v>14.30610040409095</v>
      </c>
      <c r="J32" s="85">
        <f>IF(H32,An,'2018'!An_max)</f>
        <v>2019</v>
      </c>
      <c r="K32" s="196">
        <f t="shared" si="3"/>
        <v>43483</v>
      </c>
      <c r="L32" s="147">
        <f>IF(t&lt;Tvie,1-EXP((T0-t)*PertePVj)+'2018'!Pspv,1-EXP((T0-t)*PertePVj)+Pspv)</f>
        <v>5.0903538807792748E-3</v>
      </c>
      <c r="M32" s="847"/>
      <c r="N32" s="847"/>
      <c r="O32" s="48">
        <f>IF(t&lt;Tnet,'2018'!Resal+('2018'!Salim-'2018'!Resal)*(1-EXP(('2018'!Tnet-t)/('2018'!Tau_j))),Resal+(Salim-Resal)*(1-EXP((Tnet-t)/(Tau_j))))*Salcycl</f>
        <v>1.5240817056431349E-2</v>
      </c>
      <c r="P32" s="168">
        <f>(INDEX(Models!$BJ32:$BT32,,T32)*(1-R32)+INDEX(Models!$BJ32:$BT32,,T32+1)*R32-ERP_i)*Q32*Ramure*Pc/MaxiM</f>
        <v>9.9521479212929753E-5</v>
      </c>
      <c r="Q32" s="304">
        <f t="shared" si="4"/>
        <v>0.5</v>
      </c>
      <c r="R32" s="176">
        <f t="shared" si="5"/>
        <v>0.83519827089421073</v>
      </c>
      <c r="S32" s="814">
        <f t="shared" si="6"/>
        <v>-1</v>
      </c>
      <c r="T32" s="175">
        <f t="shared" si="7"/>
        <v>5</v>
      </c>
      <c r="U32" s="250">
        <f t="shared" si="21"/>
        <v>-0.1648017291057893</v>
      </c>
      <c r="V32" s="382">
        <f t="shared" si="8"/>
        <v>29.451887779372964</v>
      </c>
      <c r="W32" s="58"/>
      <c r="X32" s="157">
        <f t="shared" si="9"/>
        <v>43483</v>
      </c>
      <c r="Y32" s="384">
        <f t="shared" si="10"/>
        <v>14.016</v>
      </c>
      <c r="Z32" s="384">
        <f t="shared" si="11"/>
        <v>14.087711436582506</v>
      </c>
      <c r="AA32" s="385">
        <f t="shared" si="12"/>
        <v>14.3057426430618</v>
      </c>
      <c r="AB32" s="196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1.5240817056431349E-2</v>
      </c>
      <c r="AD32" s="230">
        <f>(INDEX(Models!$BJ32:$BT32,,AH32)*(1-AF32)+INDEX(Models!$BJ32:$BT32,,AH32+1)*AF32-ERP_i)*AE32*Ramure*Pc/MaxiM</f>
        <v>9.9521479212929753E-5</v>
      </c>
      <c r="AE32" s="304">
        <f t="shared" si="14"/>
        <v>0.5</v>
      </c>
      <c r="AF32" s="176">
        <f t="shared" si="15"/>
        <v>0.83519827089421073</v>
      </c>
      <c r="AG32" s="175">
        <f t="shared" si="16"/>
        <v>-1</v>
      </c>
      <c r="AH32" s="175">
        <f t="shared" si="17"/>
        <v>5</v>
      </c>
      <c r="AI32" s="224">
        <f t="shared" si="22"/>
        <v>-0.1648017291057893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43484</v>
      </c>
      <c r="B33" s="616">
        <v>18.474</v>
      </c>
      <c r="C33" s="389"/>
      <c r="D33" s="392">
        <f t="shared" si="0"/>
        <v>18.568927046729083</v>
      </c>
      <c r="E33" s="384">
        <f t="shared" si="1"/>
        <v>18.857412345910337</v>
      </c>
      <c r="F33" s="384">
        <f t="shared" si="2"/>
        <v>18.858264056141525</v>
      </c>
      <c r="G33" s="110">
        <f t="shared" si="23"/>
        <v>0.62087729086589094</v>
      </c>
      <c r="H33" s="413" t="b">
        <f>Wh_hp&gt;='2018'!Maxi_hp</f>
        <v>1</v>
      </c>
      <c r="I33" s="389">
        <f>IF(H33,Wh_hp,'2018'!Maxi_hp)</f>
        <v>18.858264056141525</v>
      </c>
      <c r="J33" s="85">
        <f>IF(H33,An,'2018'!An_max)</f>
        <v>2019</v>
      </c>
      <c r="K33" s="196">
        <f t="shared" si="3"/>
        <v>43484</v>
      </c>
      <c r="L33" s="147">
        <f>IF(t&lt;Tvie,1-EXP((T0-t)*PertePVj)+'2018'!Pspv,1-EXP((T0-t)*PertePVj)+Pspv)</f>
        <v>5.1121449553975795E-3</v>
      </c>
      <c r="M33" s="847"/>
      <c r="N33" s="847"/>
      <c r="O33" s="48">
        <f>IF(t&lt;Tnet,'2018'!Resal+('2018'!Salim-'2018'!Resal)*(1-EXP(('2018'!Tnet-t)/('2018'!Tau_j))),Resal+(Salim-Resal)*(1-EXP((Tnet-t)/(Tau_j))))*Salcycl</f>
        <v>1.5298244207075373E-2</v>
      </c>
      <c r="P33" s="168">
        <f>(INDEX(Models!$BJ33:$BT33,,T33)*(1-R33)+INDEX(Models!$BJ33:$BT33,,T33+1)*R33-ERP_i)*Q33*Ramure*Pc/MaxiM</f>
        <v>9.8515456525403094E-5</v>
      </c>
      <c r="Q33" s="304">
        <f t="shared" si="4"/>
        <v>0.5</v>
      </c>
      <c r="R33" s="176">
        <f t="shared" si="5"/>
        <v>0.83523342007372725</v>
      </c>
      <c r="S33" s="814">
        <f t="shared" si="6"/>
        <v>-1</v>
      </c>
      <c r="T33" s="175">
        <f t="shared" si="7"/>
        <v>5</v>
      </c>
      <c r="U33" s="250">
        <f t="shared" si="21"/>
        <v>-0.16476657992627275</v>
      </c>
      <c r="V33" s="382">
        <f t="shared" si="8"/>
        <v>29.753084237621398</v>
      </c>
      <c r="W33" s="58"/>
      <c r="X33" s="157">
        <f t="shared" si="9"/>
        <v>43484</v>
      </c>
      <c r="Y33" s="384">
        <f t="shared" si="10"/>
        <v>18.474</v>
      </c>
      <c r="Z33" s="384">
        <f t="shared" si="11"/>
        <v>18.568927046729083</v>
      </c>
      <c r="AA33" s="385">
        <f t="shared" si="12"/>
        <v>18.857412345910337</v>
      </c>
      <c r="AB33" s="196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1.5298244207075373E-2</v>
      </c>
      <c r="AD33" s="230">
        <f>(INDEX(Models!$BJ33:$BT33,,AH33)*(1-AF33)+INDEX(Models!$BJ33:$BT33,,AH33+1)*AF33-ERP_i)*AE33*Ramure*Pc/MaxiM</f>
        <v>9.8515456525403094E-5</v>
      </c>
      <c r="AE33" s="304">
        <f t="shared" si="14"/>
        <v>0.5</v>
      </c>
      <c r="AF33" s="176">
        <f t="shared" si="15"/>
        <v>0.83523342007372725</v>
      </c>
      <c r="AG33" s="175">
        <f t="shared" si="16"/>
        <v>-1</v>
      </c>
      <c r="AH33" s="175">
        <f t="shared" si="17"/>
        <v>5</v>
      </c>
      <c r="AI33" s="224">
        <f t="shared" si="22"/>
        <v>-0.16476657992627275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43485</v>
      </c>
      <c r="B34" s="616">
        <v>7.5510000000000002</v>
      </c>
      <c r="C34" s="389"/>
      <c r="D34" s="392">
        <f t="shared" si="0"/>
        <v>7.589966398336486</v>
      </c>
      <c r="E34" s="384">
        <f t="shared" si="1"/>
        <v>7.7083326953085596</v>
      </c>
      <c r="F34" s="384">
        <f t="shared" si="2"/>
        <v>7.7083326953085596</v>
      </c>
      <c r="G34" s="110">
        <f t="shared" si="23"/>
        <v>0.25119852598891984</v>
      </c>
      <c r="H34" s="413" t="b">
        <f>Wh_hp&gt;='2018'!Maxi_hp</f>
        <v>1</v>
      </c>
      <c r="I34" s="389">
        <f>IF(H34,Wh_hp,'2018'!Maxi_hp)</f>
        <v>7.7083326953085596</v>
      </c>
      <c r="J34" s="85">
        <f>IF(H34,An,'2018'!An_max)</f>
        <v>2019</v>
      </c>
      <c r="K34" s="196">
        <f t="shared" si="3"/>
        <v>43485</v>
      </c>
      <c r="L34" s="147">
        <f>IF(t&lt;Tvie,1-EXP((T0-t)*PertePVj)+'2018'!Pspv,1-EXP((T0-t)*PertePVj)+Pspv)</f>
        <v>5.1339355527353359E-3</v>
      </c>
      <c r="M34" s="847"/>
      <c r="N34" s="847"/>
      <c r="O34" s="48">
        <f>IF(t&lt;Tnet,'2018'!Resal+('2018'!Salim-'2018'!Resal)*(1-EXP(('2018'!Tnet-t)/('2018'!Tau_j))),Resal+(Salim-Resal)*(1-EXP((Tnet-t)/(Tau_j))))*Salcycl</f>
        <v>1.5355628986293364E-2</v>
      </c>
      <c r="P34" s="168">
        <f>(INDEX(Models!$BJ34:$BT34,,T34)*(1-R34)+INDEX(Models!$BJ34:$BT34,,T34+1)*R34-ERP_i)*Q34*Ramure*Pc/MaxiM</f>
        <v>9.7288240196941663E-5</v>
      </c>
      <c r="Q34" s="304">
        <f t="shared" si="4"/>
        <v>0.5</v>
      </c>
      <c r="R34" s="176">
        <f t="shared" si="5"/>
        <v>0.83527003506175279</v>
      </c>
      <c r="S34" s="814">
        <f t="shared" si="6"/>
        <v>-1</v>
      </c>
      <c r="T34" s="175">
        <f t="shared" si="7"/>
        <v>5</v>
      </c>
      <c r="U34" s="250">
        <f t="shared" si="21"/>
        <v>-0.16472996493824718</v>
      </c>
      <c r="V34" s="382">
        <f t="shared" si="8"/>
        <v>30.056965289801536</v>
      </c>
      <c r="W34" s="58"/>
      <c r="X34" s="157">
        <f t="shared" si="9"/>
        <v>43485</v>
      </c>
      <c r="Y34" s="384">
        <f t="shared" si="10"/>
        <v>7.5510000000000002</v>
      </c>
      <c r="Z34" s="384">
        <f t="shared" si="11"/>
        <v>7.589966398336486</v>
      </c>
      <c r="AA34" s="385">
        <f t="shared" si="12"/>
        <v>7.7083326953085596</v>
      </c>
      <c r="AB34" s="196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1.5355628986293364E-2</v>
      </c>
      <c r="AD34" s="230">
        <f>(INDEX(Models!$BJ34:$BT34,,AH34)*(1-AF34)+INDEX(Models!$BJ34:$BT34,,AH34+1)*AF34-ERP_i)*AE34*Ramure*Pc/MaxiM</f>
        <v>9.7288240196941663E-5</v>
      </c>
      <c r="AE34" s="304">
        <f t="shared" si="14"/>
        <v>0.5</v>
      </c>
      <c r="AF34" s="176">
        <f t="shared" si="15"/>
        <v>0.83527003506175279</v>
      </c>
      <c r="AG34" s="175">
        <f t="shared" si="16"/>
        <v>-1</v>
      </c>
      <c r="AH34" s="175">
        <f t="shared" si="17"/>
        <v>5</v>
      </c>
      <c r="AI34" s="224">
        <f t="shared" si="22"/>
        <v>-0.16472996493824718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43486</v>
      </c>
      <c r="B35" s="616">
        <v>10.912000000000001</v>
      </c>
      <c r="C35" s="389"/>
      <c r="D35" s="392">
        <f t="shared" si="0"/>
        <v>10.968550839154879</v>
      </c>
      <c r="E35" s="384">
        <f t="shared" si="1"/>
        <v>11.140255286735036</v>
      </c>
      <c r="F35" s="384">
        <f t="shared" si="2"/>
        <v>11.140345883990552</v>
      </c>
      <c r="G35" s="110">
        <f t="shared" si="23"/>
        <v>0.35935928005942247</v>
      </c>
      <c r="H35" s="413" t="b">
        <f>Wh_hp&gt;='2018'!Maxi_hp</f>
        <v>1</v>
      </c>
      <c r="I35" s="389">
        <f>IF(H35,Wh_hp,'2018'!Maxi_hp)</f>
        <v>11.140345883990552</v>
      </c>
      <c r="J35" s="85">
        <f>IF(H35,An,'2018'!An_max)</f>
        <v>2019</v>
      </c>
      <c r="K35" s="196">
        <f t="shared" si="3"/>
        <v>43486</v>
      </c>
      <c r="L35" s="147">
        <f>IF(t&lt;Tvie,1-EXP((T0-t)*PertePVj)+'2018'!Pspv,1-EXP((T0-t)*PertePVj)+Pspv)</f>
        <v>5.1557256728032019E-3</v>
      </c>
      <c r="M35" s="847"/>
      <c r="N35" s="847"/>
      <c r="O35" s="48">
        <f>IF(t&lt;Tnet,'2018'!Resal+('2018'!Salim-'2018'!Resal)*(1-EXP(('2018'!Tnet-t)/('2018'!Tau_j))),Resal+(Salim-Resal)*(1-EXP((Tnet-t)/(Tau_j))))*Salcycl</f>
        <v>1.5412972428433293E-2</v>
      </c>
      <c r="P35" s="168">
        <f>(INDEX(Models!$BJ35:$BT35,,T35)*(1-R35)+INDEX(Models!$BJ35:$BT35,,T35+1)*R35-ERP_i)*Q35*Ramure*Pc/MaxiM</f>
        <v>9.585067848438025E-5</v>
      </c>
      <c r="Q35" s="304">
        <f t="shared" si="4"/>
        <v>0.5</v>
      </c>
      <c r="R35" s="176">
        <f t="shared" si="5"/>
        <v>0.83530817660409451</v>
      </c>
      <c r="S35" s="814">
        <f t="shared" si="6"/>
        <v>-1</v>
      </c>
      <c r="T35" s="175">
        <f t="shared" si="7"/>
        <v>5</v>
      </c>
      <c r="U35" s="250">
        <f t="shared" si="21"/>
        <v>-0.16469182339590546</v>
      </c>
      <c r="V35" s="382">
        <f t="shared" si="8"/>
        <v>30.362490730929551</v>
      </c>
      <c r="W35" s="58"/>
      <c r="X35" s="157">
        <f t="shared" si="9"/>
        <v>43486</v>
      </c>
      <c r="Y35" s="384">
        <f t="shared" si="10"/>
        <v>10.912000000000001</v>
      </c>
      <c r="Z35" s="384">
        <f t="shared" si="11"/>
        <v>10.968550839154879</v>
      </c>
      <c r="AA35" s="385">
        <f t="shared" si="12"/>
        <v>11.140255286735036</v>
      </c>
      <c r="AB35" s="196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1.5412972428433293E-2</v>
      </c>
      <c r="AD35" s="230">
        <f>(INDEX(Models!$BJ35:$BT35,,AH35)*(1-AF35)+INDEX(Models!$BJ35:$BT35,,AH35+1)*AF35-ERP_i)*AE35*Ramure*Pc/MaxiM</f>
        <v>9.585067848438025E-5</v>
      </c>
      <c r="AE35" s="304">
        <f t="shared" si="14"/>
        <v>0.5</v>
      </c>
      <c r="AF35" s="176">
        <f t="shared" si="15"/>
        <v>0.83530817660409451</v>
      </c>
      <c r="AG35" s="175">
        <f t="shared" si="16"/>
        <v>-1</v>
      </c>
      <c r="AH35" s="175">
        <f t="shared" si="17"/>
        <v>5</v>
      </c>
      <c r="AI35" s="224">
        <f t="shared" si="22"/>
        <v>-0.16469182339590546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43487</v>
      </c>
      <c r="B36" s="616">
        <v>11.167999999999999</v>
      </c>
      <c r="C36" s="389"/>
      <c r="D36" s="392">
        <f t="shared" si="0"/>
        <v>11.226123425972919</v>
      </c>
      <c r="E36" s="384">
        <f t="shared" si="1"/>
        <v>11.402523608231384</v>
      </c>
      <c r="F36" s="384">
        <f t="shared" si="2"/>
        <v>11.402622058619018</v>
      </c>
      <c r="G36" s="110">
        <f t="shared" si="23"/>
        <v>0.36411954612084141</v>
      </c>
      <c r="H36" s="413" t="b">
        <f>Wh_hp&gt;='2018'!Maxi_hp</f>
        <v>1</v>
      </c>
      <c r="I36" s="389">
        <f>IF(H36,Wh_hp,'2018'!Maxi_hp)</f>
        <v>11.402622058619018</v>
      </c>
      <c r="J36" s="85">
        <f>IF(H36,An,'2018'!An_max)</f>
        <v>2019</v>
      </c>
      <c r="K36" s="196">
        <f t="shared" si="3"/>
        <v>43487</v>
      </c>
      <c r="L36" s="147">
        <f>IF(t&lt;Tvie,1-EXP((T0-t)*PertePVj)+'2018'!Pspv,1-EXP((T0-t)*PertePVj)+Pspv)</f>
        <v>5.1775153156115028E-3</v>
      </c>
      <c r="M36" s="847"/>
      <c r="N36" s="847"/>
      <c r="O36" s="48">
        <f>IF(t&lt;Tnet,'2018'!Resal+('2018'!Salim-'2018'!Resal)*(1-EXP(('2018'!Tnet-t)/('2018'!Tau_j))),Resal+(Salim-Resal)*(1-EXP((Tnet-t)/(Tau_j))))*Salcycl</f>
        <v>1.5470275556467456E-2</v>
      </c>
      <c r="P36" s="168">
        <f>(INDEX(Models!$BJ36:$BT36,,T36)*(1-R36)+INDEX(Models!$BJ36:$BT36,,T36+1)*R36-ERP_i)*Q36*Ramure*Pc/MaxiM</f>
        <v>9.4212661739122508E-5</v>
      </c>
      <c r="Q36" s="304">
        <f t="shared" si="4"/>
        <v>0.5</v>
      </c>
      <c r="R36" s="176">
        <f t="shared" si="5"/>
        <v>0.83534790793136382</v>
      </c>
      <c r="S36" s="814">
        <f t="shared" si="6"/>
        <v>-1</v>
      </c>
      <c r="T36" s="175">
        <f t="shared" si="7"/>
        <v>5</v>
      </c>
      <c r="U36" s="250">
        <f t="shared" si="21"/>
        <v>-0.16465209206863621</v>
      </c>
      <c r="V36" s="382">
        <f t="shared" si="8"/>
        <v>30.668620699898966</v>
      </c>
      <c r="W36" s="58"/>
      <c r="X36" s="157">
        <f t="shared" si="9"/>
        <v>43487</v>
      </c>
      <c r="Y36" s="384">
        <f t="shared" si="10"/>
        <v>11.167999999999999</v>
      </c>
      <c r="Z36" s="384">
        <f t="shared" si="11"/>
        <v>11.226123425972919</v>
      </c>
      <c r="AA36" s="385">
        <f t="shared" si="12"/>
        <v>11.402523608231384</v>
      </c>
      <c r="AB36" s="196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1.5470275556467456E-2</v>
      </c>
      <c r="AD36" s="230">
        <f>(INDEX(Models!$BJ36:$BT36,,AH36)*(1-AF36)+INDEX(Models!$BJ36:$BT36,,AH36+1)*AF36-ERP_i)*AE36*Ramure*Pc/MaxiM</f>
        <v>9.4212661739122508E-5</v>
      </c>
      <c r="AE36" s="304">
        <f t="shared" si="14"/>
        <v>0.5</v>
      </c>
      <c r="AF36" s="176">
        <f t="shared" si="15"/>
        <v>0.83534790793136382</v>
      </c>
      <c r="AG36" s="175">
        <f t="shared" si="16"/>
        <v>-1</v>
      </c>
      <c r="AH36" s="175">
        <f t="shared" si="17"/>
        <v>5</v>
      </c>
      <c r="AI36" s="224">
        <f t="shared" si="22"/>
        <v>-0.16465209206863621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43488</v>
      </c>
      <c r="B37" s="616">
        <v>9.4139999999999997</v>
      </c>
      <c r="C37" s="389"/>
      <c r="D37" s="392">
        <f t="shared" si="0"/>
        <v>9.4632020689231755</v>
      </c>
      <c r="E37" s="384">
        <f t="shared" si="1"/>
        <v>9.6124599186089803</v>
      </c>
      <c r="F37" s="384">
        <f t="shared" si="2"/>
        <v>9.6124648589585497</v>
      </c>
      <c r="G37" s="110">
        <f t="shared" si="23"/>
        <v>0.30386680115933073</v>
      </c>
      <c r="H37" s="413" t="b">
        <f>Wh_hp&gt;='2018'!Maxi_hp</f>
        <v>1</v>
      </c>
      <c r="I37" s="389">
        <f>IF(H37,Wh_hp,'2018'!Maxi_hp)</f>
        <v>9.6124648589585497</v>
      </c>
      <c r="J37" s="85">
        <f>IF(H37,An,'2018'!An_max)</f>
        <v>2019</v>
      </c>
      <c r="K37" s="196">
        <f t="shared" si="3"/>
        <v>43488</v>
      </c>
      <c r="L37" s="147">
        <f>IF(t&lt;Tvie,1-EXP((T0-t)*PertePVj)+'2018'!Pspv,1-EXP((T0-t)*PertePVj)+Pspv)</f>
        <v>5.1993044811706746E-3</v>
      </c>
      <c r="M37" s="847"/>
      <c r="N37" s="847"/>
      <c r="O37" s="48">
        <f>IF(t&lt;Tnet,'2018'!Resal+('2018'!Salim-'2018'!Resal)*(1-EXP(('2018'!Tnet-t)/('2018'!Tau_j))),Resal+(Salim-Resal)*(1-EXP((Tnet-t)/(Tau_j))))*Salcycl</f>
        <v>1.5527539355129363E-2</v>
      </c>
      <c r="P37" s="168">
        <f>(INDEX(Models!$BJ37:$BT37,,T37)*(1-R37)+INDEX(Models!$BJ37:$BT37,,T37+1)*R37-ERP_i)*Q37*Ramure*Pc/MaxiM</f>
        <v>9.2373008180837089E-5</v>
      </c>
      <c r="Q37" s="304">
        <f t="shared" si="4"/>
        <v>0.5</v>
      </c>
      <c r="R37" s="176">
        <f t="shared" si="5"/>
        <v>0.8353892948578302</v>
      </c>
      <c r="S37" s="814">
        <f t="shared" si="6"/>
        <v>-1</v>
      </c>
      <c r="T37" s="175">
        <f t="shared" si="7"/>
        <v>5</v>
      </c>
      <c r="U37" s="250">
        <f t="shared" si="21"/>
        <v>-0.16461070514216983</v>
      </c>
      <c r="V37" s="382">
        <f t="shared" si="8"/>
        <v>30.977833716914976</v>
      </c>
      <c r="W37" s="58"/>
      <c r="X37" s="157">
        <f t="shared" si="9"/>
        <v>43488</v>
      </c>
      <c r="Y37" s="384">
        <f t="shared" si="10"/>
        <v>9.4139999999999997</v>
      </c>
      <c r="Z37" s="384">
        <f t="shared" si="11"/>
        <v>9.4632020689231755</v>
      </c>
      <c r="AA37" s="385">
        <f t="shared" si="12"/>
        <v>9.6124599186089803</v>
      </c>
      <c r="AB37" s="196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1.5527539355129363E-2</v>
      </c>
      <c r="AD37" s="230">
        <f>(INDEX(Models!$BJ37:$BT37,,AH37)*(1-AF37)+INDEX(Models!$BJ37:$BT37,,AH37+1)*AF37-ERP_i)*AE37*Ramure*Pc/MaxiM</f>
        <v>9.2373008180837089E-5</v>
      </c>
      <c r="AE37" s="304">
        <f t="shared" si="14"/>
        <v>0.5</v>
      </c>
      <c r="AF37" s="176">
        <f t="shared" si="15"/>
        <v>0.8353892948578302</v>
      </c>
      <c r="AG37" s="175">
        <f t="shared" si="16"/>
        <v>-1</v>
      </c>
      <c r="AH37" s="175">
        <f t="shared" si="17"/>
        <v>5</v>
      </c>
      <c r="AI37" s="224">
        <f t="shared" si="22"/>
        <v>-0.16461070514216983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43489</v>
      </c>
      <c r="B38" s="616">
        <v>13.090999999999999</v>
      </c>
      <c r="C38" s="389"/>
      <c r="D38" s="392">
        <f t="shared" si="0"/>
        <v>13.159708061874351</v>
      </c>
      <c r="E38" s="384">
        <f t="shared" si="1"/>
        <v>13.368045912530746</v>
      </c>
      <c r="F38" s="384">
        <f t="shared" si="2"/>
        <v>13.368249972468636</v>
      </c>
      <c r="G38" s="110">
        <f t="shared" si="23"/>
        <v>0.41830473288864695</v>
      </c>
      <c r="H38" s="413" t="b">
        <f>Wh_hp&gt;='2018'!Maxi_hp</f>
        <v>1</v>
      </c>
      <c r="I38" s="389">
        <f>IF(H38,Wh_hp,'2018'!Maxi_hp)</f>
        <v>13.368249972468636</v>
      </c>
      <c r="J38" s="85">
        <f>IF(H38,An,'2018'!An_max)</f>
        <v>2019</v>
      </c>
      <c r="K38" s="196">
        <f t="shared" si="3"/>
        <v>43489</v>
      </c>
      <c r="L38" s="147">
        <f>IF(t&lt;Tvie,1-EXP((T0-t)*PertePVj)+'2018'!Pspv,1-EXP((T0-t)*PertePVj)+Pspv)</f>
        <v>5.2210931694912643E-3</v>
      </c>
      <c r="M38" s="847"/>
      <c r="N38" s="847"/>
      <c r="O38" s="48">
        <f>IF(t&lt;Tnet,'2018'!Resal+('2018'!Salim-'2018'!Resal)*(1-EXP(('2018'!Tnet-t)/('2018'!Tau_j))),Resal+(Salim-Resal)*(1-EXP((Tnet-t)/(Tau_j))))*Salcycl</f>
        <v>1.5584764745691544E-2</v>
      </c>
      <c r="P38" s="168">
        <f>(INDEX(Models!$BJ38:$BT38,,T38)*(1-R38)+INDEX(Models!$BJ38:$BT38,,T38+1)*R38-ERP_i)*Q38*Ramure*Pc/MaxiM</f>
        <v>9.0295041480644916E-5</v>
      </c>
      <c r="Q38" s="304">
        <f t="shared" si="4"/>
        <v>0.5</v>
      </c>
      <c r="R38" s="176">
        <f t="shared" si="5"/>
        <v>0.83543240588396783</v>
      </c>
      <c r="S38" s="814">
        <f t="shared" si="6"/>
        <v>-1</v>
      </c>
      <c r="T38" s="175">
        <f t="shared" si="7"/>
        <v>5</v>
      </c>
      <c r="U38" s="250">
        <f t="shared" si="21"/>
        <v>-0.16456759411603214</v>
      </c>
      <c r="V38" s="382">
        <f t="shared" si="8"/>
        <v>31.293018537165064</v>
      </c>
      <c r="W38" s="58"/>
      <c r="X38" s="157">
        <f t="shared" si="9"/>
        <v>43489</v>
      </c>
      <c r="Y38" s="384">
        <f t="shared" si="10"/>
        <v>13.090999999999999</v>
      </c>
      <c r="Z38" s="384">
        <f t="shared" si="11"/>
        <v>13.159708061874351</v>
      </c>
      <c r="AA38" s="385">
        <f t="shared" si="12"/>
        <v>13.368045912530746</v>
      </c>
      <c r="AB38" s="196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1.5584764745691544E-2</v>
      </c>
      <c r="AD38" s="230">
        <f>(INDEX(Models!$BJ38:$BT38,,AH38)*(1-AF38)+INDEX(Models!$BJ38:$BT38,,AH38+1)*AF38-ERP_i)*AE38*Ramure*Pc/MaxiM</f>
        <v>9.0295041480644916E-5</v>
      </c>
      <c r="AE38" s="304">
        <f t="shared" si="14"/>
        <v>0.5</v>
      </c>
      <c r="AF38" s="176">
        <f t="shared" si="15"/>
        <v>0.83543240588396783</v>
      </c>
      <c r="AG38" s="175">
        <f t="shared" si="16"/>
        <v>-1</v>
      </c>
      <c r="AH38" s="175">
        <f t="shared" si="17"/>
        <v>5</v>
      </c>
      <c r="AI38" s="224">
        <f t="shared" si="22"/>
        <v>-0.16456759411603214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43490</v>
      </c>
      <c r="B39" s="616">
        <v>4.1909999999999998</v>
      </c>
      <c r="C39" s="389"/>
      <c r="D39" s="392">
        <f t="shared" si="0"/>
        <v>4.2130887244280499</v>
      </c>
      <c r="E39" s="384">
        <f t="shared" si="1"/>
        <v>4.2800368579261221</v>
      </c>
      <c r="F39" s="384">
        <f t="shared" si="2"/>
        <v>4.2800368579261221</v>
      </c>
      <c r="G39" s="110">
        <f t="shared" si="23"/>
        <v>0.13255723619453302</v>
      </c>
      <c r="H39" s="413" t="b">
        <f>Wh_hp&gt;='2018'!Maxi_hp</f>
        <v>1</v>
      </c>
      <c r="I39" s="389">
        <f>IF(H39,Wh_hp,'2018'!Maxi_hp)</f>
        <v>4.2800368579261221</v>
      </c>
      <c r="J39" s="85">
        <f>IF(H39,An,'2018'!An_max)</f>
        <v>2019</v>
      </c>
      <c r="K39" s="196">
        <f t="shared" si="3"/>
        <v>43490</v>
      </c>
      <c r="L39" s="147">
        <f>IF(t&lt;Tvie,1-EXP((T0-t)*PertePVj)+'2018'!Pspv,1-EXP((T0-t)*PertePVj)+Pspv)</f>
        <v>5.2428813805835972E-3</v>
      </c>
      <c r="M39" s="847"/>
      <c r="N39" s="847"/>
      <c r="O39" s="48">
        <f>IF(t&lt;Tnet,'2018'!Resal+('2018'!Salim-'2018'!Resal)*(1-EXP(('2018'!Tnet-t)/('2018'!Tau_j))),Resal+(Salim-Resal)*(1-EXP((Tnet-t)/(Tau_j))))*Salcycl</f>
        <v>1.5641952562649521E-2</v>
      </c>
      <c r="P39" s="168">
        <f>(INDEX(Models!$BJ39:$BT39,,T39)*(1-R39)+INDEX(Models!$BJ39:$BT39,,T39+1)*R39-ERP_i)*Q39*Ramure*Pc/MaxiM</f>
        <v>8.8065895674446453E-5</v>
      </c>
      <c r="Q39" s="304">
        <f t="shared" si="4"/>
        <v>0.5</v>
      </c>
      <c r="R39" s="176">
        <f t="shared" si="5"/>
        <v>0.83547731230281275</v>
      </c>
      <c r="S39" s="814">
        <f t="shared" si="6"/>
        <v>-1</v>
      </c>
      <c r="T39" s="175">
        <f t="shared" si="7"/>
        <v>5</v>
      </c>
      <c r="U39" s="250">
        <f t="shared" si="21"/>
        <v>-0.1645226876971872</v>
      </c>
      <c r="V39" s="382">
        <f t="shared" si="8"/>
        <v>31.613746907647581</v>
      </c>
      <c r="W39" s="58"/>
      <c r="X39" s="157">
        <f t="shared" si="9"/>
        <v>43490</v>
      </c>
      <c r="Y39" s="384">
        <f t="shared" si="10"/>
        <v>4.1909999999999998</v>
      </c>
      <c r="Z39" s="384">
        <f t="shared" si="11"/>
        <v>4.2130887244280499</v>
      </c>
      <c r="AA39" s="385">
        <f t="shared" si="12"/>
        <v>4.2800368579261221</v>
      </c>
      <c r="AB39" s="196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1.5641952562649521E-2</v>
      </c>
      <c r="AD39" s="230">
        <f>(INDEX(Models!$BJ39:$BT39,,AH39)*(1-AF39)+INDEX(Models!$BJ39:$BT39,,AH39+1)*AF39-ERP_i)*AE39*Ramure*Pc/MaxiM</f>
        <v>8.8065895674446453E-5</v>
      </c>
      <c r="AE39" s="304">
        <f t="shared" si="14"/>
        <v>0.5</v>
      </c>
      <c r="AF39" s="176">
        <f t="shared" si="15"/>
        <v>0.83547731230281275</v>
      </c>
      <c r="AG39" s="175">
        <f t="shared" si="16"/>
        <v>-1</v>
      </c>
      <c r="AH39" s="175">
        <f t="shared" si="17"/>
        <v>5</v>
      </c>
      <c r="AI39" s="224">
        <f t="shared" si="22"/>
        <v>-0.1645226876971872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43491</v>
      </c>
      <c r="B40" s="616">
        <v>15.603999999999999</v>
      </c>
      <c r="C40" s="389"/>
      <c r="D40" s="392">
        <f t="shared" si="0"/>
        <v>15.686584677864888</v>
      </c>
      <c r="E40" s="384">
        <f t="shared" si="1"/>
        <v>15.936777802562611</v>
      </c>
      <c r="F40" s="384">
        <f t="shared" si="2"/>
        <v>15.9371456567427</v>
      </c>
      <c r="G40" s="110">
        <f t="shared" si="23"/>
        <v>0.4885166480872255</v>
      </c>
      <c r="H40" s="413" t="b">
        <f>Wh_hp&gt;='2018'!Maxi_hp</f>
        <v>1</v>
      </c>
      <c r="I40" s="389">
        <f>IF(H40,Wh_hp,'2018'!Maxi_hp)</f>
        <v>15.9371456567427</v>
      </c>
      <c r="J40" s="85">
        <f>IF(H40,An,'2018'!An_max)</f>
        <v>2019</v>
      </c>
      <c r="K40" s="196">
        <f t="shared" si="3"/>
        <v>43491</v>
      </c>
      <c r="L40" s="147">
        <f>IF(t&lt;Tvie,1-EXP((T0-t)*PertePVj)+'2018'!Pspv,1-EXP((T0-t)*PertePVj)+Pspv)</f>
        <v>5.2646691144582203E-3</v>
      </c>
      <c r="M40" s="847"/>
      <c r="N40" s="847"/>
      <c r="O40" s="48">
        <f>IF(t&lt;Tnet,'2018'!Resal+('2018'!Salim-'2018'!Resal)*(1-EXP(('2018'!Tnet-t)/('2018'!Tau_j))),Resal+(Salim-Resal)*(1-EXP((Tnet-t)/(Tau_j))))*Salcycl</f>
        <v>1.569910353255298E-2</v>
      </c>
      <c r="P40" s="168">
        <f>(INDEX(Models!$BJ40:$BT40,,T40)*(1-R40)+INDEX(Models!$BJ40:$BT40,,T40+1)*R40-ERP_i)*Q40*Ramure*Pc/MaxiM</f>
        <v>8.5692540924308294E-5</v>
      </c>
      <c r="Q40" s="304">
        <f t="shared" si="4"/>
        <v>0.5</v>
      </c>
      <c r="R40" s="176">
        <f t="shared" si="5"/>
        <v>0.83552408831024838</v>
      </c>
      <c r="S40" s="814">
        <f t="shared" si="6"/>
        <v>-1</v>
      </c>
      <c r="T40" s="175">
        <f t="shared" si="7"/>
        <v>5</v>
      </c>
      <c r="U40" s="250">
        <f t="shared" si="21"/>
        <v>-0.16447591168975159</v>
      </c>
      <c r="V40" s="382">
        <f t="shared" si="8"/>
        <v>31.939593167996577</v>
      </c>
      <c r="W40" s="58"/>
      <c r="X40" s="157">
        <f t="shared" si="9"/>
        <v>43491</v>
      </c>
      <c r="Y40" s="384">
        <f t="shared" si="10"/>
        <v>15.603999999999999</v>
      </c>
      <c r="Z40" s="384">
        <f t="shared" si="11"/>
        <v>15.686584677864888</v>
      </c>
      <c r="AA40" s="385">
        <f t="shared" si="12"/>
        <v>15.936777802562611</v>
      </c>
      <c r="AB40" s="196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1.569910353255298E-2</v>
      </c>
      <c r="AD40" s="230">
        <f>(INDEX(Models!$BJ40:$BT40,,AH40)*(1-AF40)+INDEX(Models!$BJ40:$BT40,,AH40+1)*AF40-ERP_i)*AE40*Ramure*Pc/MaxiM</f>
        <v>8.5692540924308294E-5</v>
      </c>
      <c r="AE40" s="304">
        <f t="shared" si="14"/>
        <v>0.5</v>
      </c>
      <c r="AF40" s="176">
        <f t="shared" si="15"/>
        <v>0.83552408831024838</v>
      </c>
      <c r="AG40" s="175">
        <f t="shared" si="16"/>
        <v>-1</v>
      </c>
      <c r="AH40" s="175">
        <f t="shared" si="17"/>
        <v>5</v>
      </c>
      <c r="AI40" s="224">
        <f t="shared" si="22"/>
        <v>-0.16447591168975159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43492</v>
      </c>
      <c r="B41" s="616">
        <v>14.598000000000001</v>
      </c>
      <c r="C41" s="389"/>
      <c r="D41" s="392">
        <f t="shared" si="0"/>
        <v>14.675581823028324</v>
      </c>
      <c r="E41" s="384">
        <f t="shared" si="1"/>
        <v>14.910515154093671</v>
      </c>
      <c r="F41" s="384">
        <f t="shared" si="2"/>
        <v>14.910785130627664</v>
      </c>
      <c r="G41" s="110">
        <f t="shared" si="23"/>
        <v>0.4523393366252651</v>
      </c>
      <c r="H41" s="413" t="b">
        <f>Wh_hp&gt;='2018'!Maxi_hp</f>
        <v>1</v>
      </c>
      <c r="I41" s="389">
        <f>IF(H41,Wh_hp,'2018'!Maxi_hp)</f>
        <v>14.910785130627664</v>
      </c>
      <c r="J41" s="85">
        <f>IF(H41,An,'2018'!An_max)</f>
        <v>2019</v>
      </c>
      <c r="K41" s="196">
        <f t="shared" si="3"/>
        <v>43492</v>
      </c>
      <c r="L41" s="147">
        <f>IF(t&lt;Tvie,1-EXP((T0-t)*PertePVj)+'2018'!Pspv,1-EXP((T0-t)*PertePVj)+Pspv)</f>
        <v>5.2864563711255697E-3</v>
      </c>
      <c r="M41" s="847"/>
      <c r="N41" s="847"/>
      <c r="O41" s="48">
        <f>IF(t&lt;Tnet,'2018'!Resal+('2018'!Salim-'2018'!Resal)*(1-EXP(('2018'!Tnet-t)/('2018'!Tau_j))),Resal+(Salim-Resal)*(1-EXP((Tnet-t)/(Tau_j))))*Salcycl</f>
        <v>1.5756218255198722E-2</v>
      </c>
      <c r="P41" s="168">
        <f>(INDEX(Models!$BJ41:$BT41,,T41)*(1-R41)+INDEX(Models!$BJ41:$BT41,,T41+1)*R41-ERP_i)*Q41*Ramure*Pc/MaxiM</f>
        <v>8.3181657267830482E-5</v>
      </c>
      <c r="Q41" s="304">
        <f t="shared" si="4"/>
        <v>0.5</v>
      </c>
      <c r="R41" s="176">
        <f t="shared" si="5"/>
        <v>0.83557281111934145</v>
      </c>
      <c r="S41" s="814">
        <f t="shared" si="6"/>
        <v>-1</v>
      </c>
      <c r="T41" s="175">
        <f t="shared" si="7"/>
        <v>5</v>
      </c>
      <c r="U41" s="250">
        <f t="shared" si="21"/>
        <v>-0.16442718888065855</v>
      </c>
      <c r="V41" s="382">
        <f t="shared" si="8"/>
        <v>32.270131797683447</v>
      </c>
      <c r="W41" s="58"/>
      <c r="X41" s="157">
        <f t="shared" si="9"/>
        <v>43492</v>
      </c>
      <c r="Y41" s="384">
        <f t="shared" si="10"/>
        <v>14.598000000000001</v>
      </c>
      <c r="Z41" s="384">
        <f t="shared" si="11"/>
        <v>14.675581823028324</v>
      </c>
      <c r="AA41" s="385">
        <f t="shared" si="12"/>
        <v>14.910515154093671</v>
      </c>
      <c r="AB41" s="196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1.5756218255198722E-2</v>
      </c>
      <c r="AD41" s="230">
        <f>(INDEX(Models!$BJ41:$BT41,,AH41)*(1-AF41)+INDEX(Models!$BJ41:$BT41,,AH41+1)*AF41-ERP_i)*AE41*Ramure*Pc/MaxiM</f>
        <v>8.3181657267830482E-5</v>
      </c>
      <c r="AE41" s="304">
        <f t="shared" si="14"/>
        <v>0.5</v>
      </c>
      <c r="AF41" s="176">
        <f t="shared" si="15"/>
        <v>0.83557281111934145</v>
      </c>
      <c r="AG41" s="175">
        <f t="shared" si="16"/>
        <v>-1</v>
      </c>
      <c r="AH41" s="175">
        <f t="shared" si="17"/>
        <v>5</v>
      </c>
      <c r="AI41" s="224">
        <f t="shared" si="22"/>
        <v>-0.16442718888065855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43493</v>
      </c>
      <c r="B42" s="616">
        <v>12.212999999999999</v>
      </c>
      <c r="C42" s="389"/>
      <c r="D42" s="392">
        <f t="shared" si="0"/>
        <v>12.278175541218488</v>
      </c>
      <c r="E42" s="384">
        <f t="shared" si="1"/>
        <v>12.475453596487</v>
      </c>
      <c r="F42" s="384">
        <f t="shared" si="2"/>
        <v>12.475560641354996</v>
      </c>
      <c r="G42" s="110">
        <f t="shared" si="23"/>
        <v>0.37454821633615193</v>
      </c>
      <c r="H42" s="413" t="b">
        <f>Wh_hp&gt;='2018'!Maxi_hp</f>
        <v>1</v>
      </c>
      <c r="I42" s="389">
        <f>IF(H42,Wh_hp,'2018'!Maxi_hp)</f>
        <v>12.475560641354996</v>
      </c>
      <c r="J42" s="85">
        <f>IF(H42,An,'2018'!An_max)</f>
        <v>2019</v>
      </c>
      <c r="K42" s="196">
        <f t="shared" si="3"/>
        <v>43493</v>
      </c>
      <c r="L42" s="147">
        <f>IF(t&lt;Tvie,1-EXP((T0-t)*PertePVj)+'2018'!Pspv,1-EXP((T0-t)*PertePVj)+Pspv)</f>
        <v>5.3082431505960814E-3</v>
      </c>
      <c r="M42" s="847"/>
      <c r="N42" s="847"/>
      <c r="O42" s="48">
        <f>IF(t&lt;Tnet,'2018'!Resal+('2018'!Salim-'2018'!Resal)*(1-EXP(('2018'!Tnet-t)/('2018'!Tau_j))),Resal+(Salim-Resal)*(1-EXP((Tnet-t)/(Tau_j))))*Salcycl</f>
        <v>1.5813297187371598E-2</v>
      </c>
      <c r="P42" s="168">
        <f>(INDEX(Models!$BJ42:$BT42,,T42)*(1-R42)+INDEX(Models!$BJ42:$BT42,,T42+1)*R42-ERP_i)*Q42*Ramure*Pc/MaxiM</f>
        <v>8.0539617583965477E-5</v>
      </c>
      <c r="Q42" s="304">
        <f t="shared" si="4"/>
        <v>0.5</v>
      </c>
      <c r="R42" s="176">
        <f t="shared" si="5"/>
        <v>0.83562356107884905</v>
      </c>
      <c r="S42" s="814">
        <f t="shared" si="6"/>
        <v>-1</v>
      </c>
      <c r="T42" s="175">
        <f t="shared" si="7"/>
        <v>5</v>
      </c>
      <c r="U42" s="250">
        <f t="shared" si="21"/>
        <v>-0.16437643892115097</v>
      </c>
      <c r="V42" s="382">
        <f t="shared" si="8"/>
        <v>32.604937419195153</v>
      </c>
      <c r="W42" s="58"/>
      <c r="X42" s="157">
        <f t="shared" si="9"/>
        <v>43493</v>
      </c>
      <c r="Y42" s="384">
        <f t="shared" si="10"/>
        <v>12.212999999999999</v>
      </c>
      <c r="Z42" s="384">
        <f t="shared" si="11"/>
        <v>12.278175541218488</v>
      </c>
      <c r="AA42" s="385">
        <f t="shared" si="12"/>
        <v>12.475453596487</v>
      </c>
      <c r="AB42" s="196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1.5813297187371598E-2</v>
      </c>
      <c r="AD42" s="230">
        <f>(INDEX(Models!$BJ42:$BT42,,AH42)*(1-AF42)+INDEX(Models!$BJ42:$BT42,,AH42+1)*AF42-ERP_i)*AE42*Ramure*Pc/MaxiM</f>
        <v>8.0539617583965477E-5</v>
      </c>
      <c r="AE42" s="304">
        <f t="shared" si="14"/>
        <v>0.5</v>
      </c>
      <c r="AF42" s="176">
        <f t="shared" si="15"/>
        <v>0.83562356107884905</v>
      </c>
      <c r="AG42" s="175">
        <f t="shared" si="16"/>
        <v>-1</v>
      </c>
      <c r="AH42" s="175">
        <f t="shared" si="17"/>
        <v>5</v>
      </c>
      <c r="AI42" s="224">
        <f t="shared" si="22"/>
        <v>-0.16437643892115097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43494</v>
      </c>
      <c r="B43" s="616">
        <v>5.09</v>
      </c>
      <c r="C43" s="389"/>
      <c r="D43" s="392">
        <f t="shared" si="0"/>
        <v>5.1172752276820388</v>
      </c>
      <c r="E43" s="384">
        <f t="shared" si="1"/>
        <v>5.1997977898097485</v>
      </c>
      <c r="F43" s="384">
        <f t="shared" si="2"/>
        <v>5.1997977898097485</v>
      </c>
      <c r="G43" s="110">
        <f t="shared" si="23"/>
        <v>0.15449454482546809</v>
      </c>
      <c r="H43" s="413" t="b">
        <f>Wh_hp&gt;='2018'!Maxi_hp</f>
        <v>1</v>
      </c>
      <c r="I43" s="389">
        <f>IF(H43,Wh_hp,'2018'!Maxi_hp)</f>
        <v>5.1997977898097485</v>
      </c>
      <c r="J43" s="85">
        <f>IF(H43,An,'2018'!An_max)</f>
        <v>2019</v>
      </c>
      <c r="K43" s="196">
        <f t="shared" si="3"/>
        <v>43494</v>
      </c>
      <c r="L43" s="147">
        <f>IF(t&lt;Tvie,1-EXP((T0-t)*PertePVj)+'2018'!Pspv,1-EXP((T0-t)*PertePVj)+Pspv)</f>
        <v>5.3300294528800807E-3</v>
      </c>
      <c r="M43" s="847"/>
      <c r="N43" s="847"/>
      <c r="O43" s="48">
        <f>IF(t&lt;Tnet,'2018'!Resal+('2018'!Salim-'2018'!Resal)*(1-EXP(('2018'!Tnet-t)/('2018'!Tau_j))),Resal+(Salim-Resal)*(1-EXP((Tnet-t)/(Tau_j))))*Salcycl</f>
        <v>1.5870340629289947E-2</v>
      </c>
      <c r="P43" s="168">
        <f>(INDEX(Models!$BJ43:$BT43,,T43)*(1-R43)+INDEX(Models!$BJ43:$BT43,,T43+1)*R43-ERP_i)*Q43*Ramure*Pc/MaxiM</f>
        <v>7.7772474531457274E-5</v>
      </c>
      <c r="Q43" s="304">
        <f t="shared" si="4"/>
        <v>0.5</v>
      </c>
      <c r="R43" s="176">
        <f t="shared" si="5"/>
        <v>0.8356764217960202</v>
      </c>
      <c r="S43" s="814">
        <f t="shared" si="6"/>
        <v>-1</v>
      </c>
      <c r="T43" s="175">
        <f t="shared" si="7"/>
        <v>5</v>
      </c>
      <c r="U43" s="250">
        <f t="shared" si="21"/>
        <v>-0.1643235782039798</v>
      </c>
      <c r="V43" s="382">
        <f t="shared" si="8"/>
        <v>32.943584796824652</v>
      </c>
      <c r="W43" s="58"/>
      <c r="X43" s="157">
        <f t="shared" si="9"/>
        <v>43494</v>
      </c>
      <c r="Y43" s="384">
        <f t="shared" si="10"/>
        <v>5.09</v>
      </c>
      <c r="Z43" s="384">
        <f t="shared" si="11"/>
        <v>5.1172752276820388</v>
      </c>
      <c r="AA43" s="385">
        <f t="shared" si="12"/>
        <v>5.1997977898097485</v>
      </c>
      <c r="AB43" s="196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1.5870340629289947E-2</v>
      </c>
      <c r="AD43" s="230">
        <f>(INDEX(Models!$BJ43:$BT43,,AH43)*(1-AF43)+INDEX(Models!$BJ43:$BT43,,AH43+1)*AF43-ERP_i)*AE43*Ramure*Pc/MaxiM</f>
        <v>7.7772474531457274E-5</v>
      </c>
      <c r="AE43" s="304">
        <f t="shared" si="14"/>
        <v>0.5</v>
      </c>
      <c r="AF43" s="176">
        <f t="shared" si="15"/>
        <v>0.8356764217960202</v>
      </c>
      <c r="AG43" s="175">
        <f t="shared" si="16"/>
        <v>-1</v>
      </c>
      <c r="AH43" s="175">
        <f t="shared" si="17"/>
        <v>5</v>
      </c>
      <c r="AI43" s="224">
        <f t="shared" si="22"/>
        <v>-0.1643235782039798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43495</v>
      </c>
      <c r="B44" s="616">
        <v>8.1319999999999997</v>
      </c>
      <c r="C44" s="389"/>
      <c r="D44" s="392">
        <f t="shared" si="0"/>
        <v>8.175755131220356</v>
      </c>
      <c r="E44" s="384">
        <f t="shared" si="1"/>
        <v>8.3080808317710826</v>
      </c>
      <c r="F44" s="384">
        <f t="shared" si="2"/>
        <v>8.3080808317710826</v>
      </c>
      <c r="G44" s="110">
        <f t="shared" si="23"/>
        <v>0.2442911979033687</v>
      </c>
      <c r="H44" s="413" t="b">
        <f>Wh_hp&gt;='2018'!Maxi_hp</f>
        <v>1</v>
      </c>
      <c r="I44" s="389">
        <f>IF(H44,Wh_hp,'2018'!Maxi_hp)</f>
        <v>8.3080808317710826</v>
      </c>
      <c r="J44" s="85">
        <f>IF(H44,An,'2018'!An_max)</f>
        <v>2019</v>
      </c>
      <c r="K44" s="196">
        <f t="shared" si="3"/>
        <v>43495</v>
      </c>
      <c r="L44" s="147">
        <f>IF(t&lt;Tvie,1-EXP((T0-t)*PertePVj)+'2018'!Pspv,1-EXP((T0-t)*PertePVj)+Pspv)</f>
        <v>5.3518152779883366E-3</v>
      </c>
      <c r="M44" s="847"/>
      <c r="N44" s="847"/>
      <c r="O44" s="48">
        <f>IF(t&lt;Tnet,'2018'!Resal+('2018'!Salim-'2018'!Resal)*(1-EXP(('2018'!Tnet-t)/('2018'!Tau_j))),Resal+(Salim-Resal)*(1-EXP((Tnet-t)/(Tau_j))))*Salcycl</f>
        <v>1.592734871388081E-2</v>
      </c>
      <c r="P44" s="168">
        <f>(INDEX(Models!$BJ44:$BT44,,T44)*(1-R44)+INDEX(Models!$BJ44:$BT44,,T44+1)*R44-ERP_i)*Q44*Ramure*Pc/MaxiM</f>
        <v>7.5046640190160852E-5</v>
      </c>
      <c r="Q44" s="304">
        <f t="shared" si="4"/>
        <v>0.5</v>
      </c>
      <c r="R44" s="176">
        <f t="shared" si="5"/>
        <v>0.83573148026381627</v>
      </c>
      <c r="S44" s="814">
        <f t="shared" si="6"/>
        <v>-1</v>
      </c>
      <c r="T44" s="175">
        <f t="shared" si="7"/>
        <v>5</v>
      </c>
      <c r="U44" s="250">
        <f t="shared" si="21"/>
        <v>-0.16426851973618373</v>
      </c>
      <c r="V44" s="382">
        <f t="shared" si="8"/>
        <v>33.285643488220998</v>
      </c>
      <c r="W44" s="58"/>
      <c r="X44" s="157">
        <f t="shared" si="9"/>
        <v>43495</v>
      </c>
      <c r="Y44" s="384">
        <f t="shared" si="10"/>
        <v>8.1319999999999997</v>
      </c>
      <c r="Z44" s="384">
        <f t="shared" si="11"/>
        <v>8.175755131220356</v>
      </c>
      <c r="AA44" s="385">
        <f t="shared" si="12"/>
        <v>8.3080808317710826</v>
      </c>
      <c r="AB44" s="196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1.592734871388081E-2</v>
      </c>
      <c r="AD44" s="230">
        <f>(INDEX(Models!$BJ44:$BT44,,AH44)*(1-AF44)+INDEX(Models!$BJ44:$BT44,,AH44+1)*AF44-ERP_i)*AE44*Ramure*Pc/MaxiM</f>
        <v>7.5046640190160852E-5</v>
      </c>
      <c r="AE44" s="304">
        <f t="shared" si="14"/>
        <v>0.5</v>
      </c>
      <c r="AF44" s="176">
        <f t="shared" si="15"/>
        <v>0.83573148026381627</v>
      </c>
      <c r="AG44" s="175">
        <f t="shared" si="16"/>
        <v>-1</v>
      </c>
      <c r="AH44" s="175">
        <f t="shared" si="17"/>
        <v>5</v>
      </c>
      <c r="AI44" s="224">
        <f t="shared" si="22"/>
        <v>-0.16426851973618373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43496</v>
      </c>
      <c r="B45" s="616">
        <v>7.7859999999999996</v>
      </c>
      <c r="C45" s="389"/>
      <c r="D45" s="392">
        <f t="shared" si="0"/>
        <v>7.8280648944164639</v>
      </c>
      <c r="E45" s="384">
        <f t="shared" si="1"/>
        <v>7.9552237475988719</v>
      </c>
      <c r="F45" s="384">
        <f t="shared" si="2"/>
        <v>7.9552237475988719</v>
      </c>
      <c r="G45" s="110">
        <f t="shared" si="23"/>
        <v>0.23149798360420382</v>
      </c>
      <c r="H45" s="413" t="b">
        <f>Wh_hp&gt;='2018'!Maxi_hp</f>
        <v>1</v>
      </c>
      <c r="I45" s="389">
        <f>IF(H45,Wh_hp,'2018'!Maxi_hp)</f>
        <v>7.9552237475988719</v>
      </c>
      <c r="J45" s="85">
        <f>IF(H45,An,'2018'!An_max)</f>
        <v>2019</v>
      </c>
      <c r="K45" s="196">
        <f t="shared" si="3"/>
        <v>43496</v>
      </c>
      <c r="L45" s="147">
        <f>IF(t&lt;Tvie,1-EXP((T0-t)*PertePVj)+'2018'!Pspv,1-EXP((T0-t)*PertePVj)+Pspv)</f>
        <v>5.3736006259309521E-3</v>
      </c>
      <c r="M45" s="847"/>
      <c r="N45" s="847"/>
      <c r="O45" s="48">
        <f>IF(t&lt;Tnet,'2018'!Resal+('2018'!Salim-'2018'!Resal)*(1-EXP(('2018'!Tnet-t)/('2018'!Tau_j))),Resal+(Salim-Resal)*(1-EXP((Tnet-t)/(Tau_j))))*Salcycl</f>
        <v>1.5984321398978627E-2</v>
      </c>
      <c r="P45" s="168">
        <f>(INDEX(Models!$BJ45:$BT45,,T45)*(1-R45)+INDEX(Models!$BJ45:$BT45,,T45+1)*R45-ERP_i)*Q45*Ramure*Pc/MaxiM</f>
        <v>7.2496987764304207E-5</v>
      </c>
      <c r="Q45" s="304">
        <f t="shared" si="4"/>
        <v>0.5</v>
      </c>
      <c r="R45" s="176">
        <f t="shared" si="5"/>
        <v>0.83578882699267432</v>
      </c>
      <c r="S45" s="814">
        <f t="shared" si="6"/>
        <v>-1</v>
      </c>
      <c r="T45" s="175">
        <f t="shared" si="7"/>
        <v>5</v>
      </c>
      <c r="U45" s="250">
        <f t="shared" si="21"/>
        <v>-0.16421117300732568</v>
      </c>
      <c r="V45" s="382">
        <f t="shared" si="8"/>
        <v>33.630684022562214</v>
      </c>
      <c r="W45" s="58"/>
      <c r="X45" s="157">
        <f t="shared" si="9"/>
        <v>43496</v>
      </c>
      <c r="Y45" s="384">
        <f t="shared" si="10"/>
        <v>7.7859999999999996</v>
      </c>
      <c r="Z45" s="384">
        <f t="shared" si="11"/>
        <v>7.8280648944164639</v>
      </c>
      <c r="AA45" s="385">
        <f t="shared" si="12"/>
        <v>7.9552237475988719</v>
      </c>
      <c r="AB45" s="196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1.5984321398978627E-2</v>
      </c>
      <c r="AD45" s="230">
        <f>(INDEX(Models!$BJ45:$BT45,,AH45)*(1-AF45)+INDEX(Models!$BJ45:$BT45,,AH45+1)*AF45-ERP_i)*AE45*Ramure*Pc/MaxiM</f>
        <v>7.2496987764304207E-5</v>
      </c>
      <c r="AE45" s="304">
        <f t="shared" si="14"/>
        <v>0.5</v>
      </c>
      <c r="AF45" s="176">
        <f t="shared" si="15"/>
        <v>0.83578882699267432</v>
      </c>
      <c r="AG45" s="175">
        <f t="shared" si="16"/>
        <v>-1</v>
      </c>
      <c r="AH45" s="175">
        <f t="shared" si="17"/>
        <v>5</v>
      </c>
      <c r="AI45" s="224">
        <f t="shared" si="22"/>
        <v>-0.16421117300732568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43497</v>
      </c>
      <c r="B46" s="616">
        <v>27.178999999999998</v>
      </c>
      <c r="C46" s="389"/>
      <c r="D46" s="392">
        <f t="shared" si="0"/>
        <v>27.326436660032538</v>
      </c>
      <c r="E46" s="384">
        <f t="shared" si="1"/>
        <v>27.771933422059362</v>
      </c>
      <c r="F46" s="384">
        <f t="shared" si="2"/>
        <v>27.773324166847818</v>
      </c>
      <c r="G46" s="110">
        <f t="shared" si="23"/>
        <v>0.79987727161034017</v>
      </c>
      <c r="H46" s="413" t="b">
        <f>Wh_hp&gt;='2018'!Maxi_hp</f>
        <v>1</v>
      </c>
      <c r="I46" s="389">
        <f>IF(H46,Wh_hp,'2018'!Maxi_hp)</f>
        <v>27.773324166847818</v>
      </c>
      <c r="J46" s="85">
        <f>IF(H46,An,'2018'!An_max)</f>
        <v>2019</v>
      </c>
      <c r="K46" s="196">
        <f t="shared" si="3"/>
        <v>43497</v>
      </c>
      <c r="L46" s="147">
        <f>IF(t&lt;Tvie,1-EXP((T0-t)*PertePVj)+'2018'!Pspv,1-EXP((T0-t)*PertePVj)+Pspv)</f>
        <v>5.3953854967185855E-3</v>
      </c>
      <c r="M46" s="847"/>
      <c r="N46" s="847"/>
      <c r="O46" s="48">
        <f>IF(t&lt;Tnet,'2018'!Resal+('2018'!Salim-'2018'!Resal)*(1-EXP(('2018'!Tnet-t)/('2018'!Tau_j))),Resal+(Salim-Resal)*(1-EXP((Tnet-t)/(Tau_j))))*Salcycl</f>
        <v>1.6041258462508246E-2</v>
      </c>
      <c r="P46" s="168">
        <f>(INDEX(Models!$BJ46:$BT46,,T46)*(1-R46)+INDEX(Models!$BJ46:$BT46,,T46+1)*R46-ERP_i)*Q46*Ramure*Pc/MaxiM</f>
        <v>7.0119739920390187E-5</v>
      </c>
      <c r="Q46" s="304">
        <f t="shared" si="4"/>
        <v>0.5</v>
      </c>
      <c r="R46" s="176">
        <f t="shared" si="5"/>
        <v>0.83584855614693865</v>
      </c>
      <c r="S46" s="814">
        <f t="shared" si="6"/>
        <v>-1</v>
      </c>
      <c r="T46" s="175">
        <f t="shared" si="7"/>
        <v>5</v>
      </c>
      <c r="U46" s="250">
        <f t="shared" si="21"/>
        <v>-0.16415144385306141</v>
      </c>
      <c r="V46" s="382">
        <f t="shared" si="8"/>
        <v>33.978281590237359</v>
      </c>
      <c r="W46" s="58"/>
      <c r="X46" s="157">
        <f t="shared" si="9"/>
        <v>43497</v>
      </c>
      <c r="Y46" s="384">
        <f t="shared" si="10"/>
        <v>27.178999999999998</v>
      </c>
      <c r="Z46" s="384">
        <f t="shared" si="11"/>
        <v>27.326436660032538</v>
      </c>
      <c r="AA46" s="385">
        <f t="shared" si="12"/>
        <v>27.771933422059362</v>
      </c>
      <c r="AB46" s="196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1.6041258462508246E-2</v>
      </c>
      <c r="AD46" s="230">
        <f>(INDEX(Models!$BJ46:$BT46,,AH46)*(1-AF46)+INDEX(Models!$BJ46:$BT46,,AH46+1)*AF46-ERP_i)*AE46*Ramure*Pc/MaxiM</f>
        <v>7.0119739920390187E-5</v>
      </c>
      <c r="AE46" s="304">
        <f t="shared" si="14"/>
        <v>0.5</v>
      </c>
      <c r="AF46" s="176">
        <f t="shared" si="15"/>
        <v>0.83584855614693865</v>
      </c>
      <c r="AG46" s="175">
        <f t="shared" si="16"/>
        <v>-1</v>
      </c>
      <c r="AH46" s="175">
        <f t="shared" si="17"/>
        <v>5</v>
      </c>
      <c r="AI46" s="224">
        <f t="shared" si="22"/>
        <v>-0.16415144385306141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43498</v>
      </c>
      <c r="B47" s="616">
        <v>3.153</v>
      </c>
      <c r="C47" s="389"/>
      <c r="D47" s="392">
        <f t="shared" si="0"/>
        <v>3.1701733677148112</v>
      </c>
      <c r="E47" s="384">
        <f t="shared" si="1"/>
        <v>3.222042318882119</v>
      </c>
      <c r="F47" s="384">
        <f t="shared" si="2"/>
        <v>3.222042318882119</v>
      </c>
      <c r="G47" s="110">
        <f t="shared" si="23"/>
        <v>9.1842950889271094E-2</v>
      </c>
      <c r="H47" s="413" t="b">
        <f>Wh_hp&gt;='2018'!Maxi_hp</f>
        <v>1</v>
      </c>
      <c r="I47" s="389">
        <f>IF(H47,Wh_hp,'2018'!Maxi_hp)</f>
        <v>3.222042318882119</v>
      </c>
      <c r="J47" s="85">
        <f>IF(H47,An,'2018'!An_max)</f>
        <v>2019</v>
      </c>
      <c r="K47" s="196">
        <f t="shared" si="3"/>
        <v>43498</v>
      </c>
      <c r="L47" s="147">
        <f>IF(t&lt;Tvie,1-EXP((T0-t)*PertePVj)+'2018'!Pspv,1-EXP((T0-t)*PertePVj)+Pspv)</f>
        <v>5.4171698903616727E-3</v>
      </c>
      <c r="M47" s="847"/>
      <c r="N47" s="847"/>
      <c r="O47" s="48">
        <f>IF(t&lt;Tnet,'2018'!Resal+('2018'!Salim-'2018'!Resal)*(1-EXP(('2018'!Tnet-t)/('2018'!Tau_j))),Resal+(Salim-Resal)*(1-EXP((Tnet-t)/(Tau_j))))*Salcycl</f>
        <v>1.6098159500680862E-2</v>
      </c>
      <c r="P47" s="168">
        <f>(INDEX(Models!$BJ47:$BT47,,T47)*(1-R47)+INDEX(Models!$BJ47:$BT47,,T47+1)*R47-ERP_i)*Q47*Ramure*Pc/MaxiM</f>
        <v>6.7911067600995894E-5</v>
      </c>
      <c r="Q47" s="304">
        <f t="shared" si="4"/>
        <v>0.5</v>
      </c>
      <c r="R47" s="176">
        <f t="shared" si="5"/>
        <v>0.83591076568608558</v>
      </c>
      <c r="S47" s="814">
        <f t="shared" si="6"/>
        <v>-1</v>
      </c>
      <c r="T47" s="175">
        <f t="shared" si="7"/>
        <v>5</v>
      </c>
      <c r="U47" s="250">
        <f t="shared" si="21"/>
        <v>-0.16408923431391448</v>
      </c>
      <c r="V47" s="382">
        <f t="shared" si="8"/>
        <v>34.328011522680249</v>
      </c>
      <c r="W47" s="58"/>
      <c r="X47" s="157">
        <f t="shared" si="9"/>
        <v>43498</v>
      </c>
      <c r="Y47" s="384">
        <f t="shared" si="10"/>
        <v>3.153</v>
      </c>
      <c r="Z47" s="384">
        <f t="shared" si="11"/>
        <v>3.1701733677148112</v>
      </c>
      <c r="AA47" s="385">
        <f t="shared" si="12"/>
        <v>3.222042318882119</v>
      </c>
      <c r="AB47" s="196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1.6098159500680862E-2</v>
      </c>
      <c r="AD47" s="230">
        <f>(INDEX(Models!$BJ47:$BT47,,AH47)*(1-AF47)+INDEX(Models!$BJ47:$BT47,,AH47+1)*AF47-ERP_i)*AE47*Ramure*Pc/MaxiM</f>
        <v>6.7911067600995894E-5</v>
      </c>
      <c r="AE47" s="304">
        <f t="shared" si="14"/>
        <v>0.5</v>
      </c>
      <c r="AF47" s="176">
        <f t="shared" si="15"/>
        <v>0.83591076568608558</v>
      </c>
      <c r="AG47" s="175">
        <f t="shared" si="16"/>
        <v>-1</v>
      </c>
      <c r="AH47" s="175">
        <f t="shared" si="17"/>
        <v>5</v>
      </c>
      <c r="AI47" s="224">
        <f t="shared" si="22"/>
        <v>-0.16408923431391448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43499</v>
      </c>
      <c r="B48" s="616">
        <v>15.349</v>
      </c>
      <c r="C48" s="389"/>
      <c r="D48" s="392">
        <f t="shared" si="0"/>
        <v>15.432939042556717</v>
      </c>
      <c r="E48" s="384">
        <f t="shared" si="1"/>
        <v>15.686352441612819</v>
      </c>
      <c r="F48" s="384">
        <f t="shared" si="2"/>
        <v>15.686562919770918</v>
      </c>
      <c r="G48" s="110">
        <f t="shared" si="23"/>
        <v>0.44257320271665979</v>
      </c>
      <c r="H48" s="413" t="b">
        <f>Wh_hp&gt;='2018'!Maxi_hp</f>
        <v>1</v>
      </c>
      <c r="I48" s="389">
        <f>IF(H48,Wh_hp,'2018'!Maxi_hp)</f>
        <v>15.686562919770918</v>
      </c>
      <c r="J48" s="85">
        <f>IF(H48,An,'2018'!An_max)</f>
        <v>2019</v>
      </c>
      <c r="K48" s="196">
        <f t="shared" si="3"/>
        <v>43499</v>
      </c>
      <c r="L48" s="147">
        <f>IF(t&lt;Tvie,1-EXP((T0-t)*PertePVj)+'2018'!Pspv,1-EXP((T0-t)*PertePVj)+Pspv)</f>
        <v>5.43895380687065E-3</v>
      </c>
      <c r="M48" s="847"/>
      <c r="N48" s="847"/>
      <c r="O48" s="48">
        <f>IF(t&lt;Tnet,'2018'!Resal+('2018'!Salim-'2018'!Resal)*(1-EXP(('2018'!Tnet-t)/('2018'!Tau_j))),Resal+(Salim-Resal)*(1-EXP((Tnet-t)/(Tau_j))))*Salcycl</f>
        <v>1.6155023929198924E-2</v>
      </c>
      <c r="P48" s="168">
        <f>(INDEX(Models!$BJ48:$BT48,,T48)*(1-R48)+INDEX(Models!$BJ48:$BT48,,T48+1)*R48-ERP_i)*Q48*Ramure*Pc/MaxiM</f>
        <v>6.586711866024691E-5</v>
      </c>
      <c r="Q48" s="304">
        <f t="shared" si="4"/>
        <v>0.5</v>
      </c>
      <c r="R48" s="176">
        <f t="shared" si="5"/>
        <v>0.83597555751086527</v>
      </c>
      <c r="S48" s="814">
        <f t="shared" si="6"/>
        <v>-1</v>
      </c>
      <c r="T48" s="175">
        <f t="shared" si="7"/>
        <v>5</v>
      </c>
      <c r="U48" s="250">
        <f t="shared" si="21"/>
        <v>-0.1640244424891347</v>
      </c>
      <c r="V48" s="382">
        <f t="shared" si="8"/>
        <v>34.679449296544355</v>
      </c>
      <c r="W48" s="58"/>
      <c r="X48" s="157">
        <f t="shared" si="9"/>
        <v>43499</v>
      </c>
      <c r="Y48" s="384">
        <f t="shared" si="10"/>
        <v>15.349</v>
      </c>
      <c r="Z48" s="384">
        <f t="shared" si="11"/>
        <v>15.432939042556717</v>
      </c>
      <c r="AA48" s="385">
        <f t="shared" si="12"/>
        <v>15.686352441612819</v>
      </c>
      <c r="AB48" s="196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1.6155023929198924E-2</v>
      </c>
      <c r="AD48" s="230">
        <f>(INDEX(Models!$BJ48:$BT48,,AH48)*(1-AF48)+INDEX(Models!$BJ48:$BT48,,AH48+1)*AF48-ERP_i)*AE48*Ramure*Pc/MaxiM</f>
        <v>6.586711866024691E-5</v>
      </c>
      <c r="AE48" s="304">
        <f t="shared" si="14"/>
        <v>0.5</v>
      </c>
      <c r="AF48" s="176">
        <f t="shared" si="15"/>
        <v>0.83597555751086527</v>
      </c>
      <c r="AG48" s="175">
        <f t="shared" si="16"/>
        <v>-1</v>
      </c>
      <c r="AH48" s="175">
        <f t="shared" si="17"/>
        <v>5</v>
      </c>
      <c r="AI48" s="224">
        <f t="shared" si="22"/>
        <v>-0.1640244424891347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43500</v>
      </c>
      <c r="B49" s="616">
        <v>28.56</v>
      </c>
      <c r="C49" s="389"/>
      <c r="D49" s="392">
        <f t="shared" si="0"/>
        <v>28.71681498116147</v>
      </c>
      <c r="E49" s="384">
        <f t="shared" si="1"/>
        <v>29.190039552707269</v>
      </c>
      <c r="F49" s="384">
        <f t="shared" si="2"/>
        <v>29.1914143774355</v>
      </c>
      <c r="G49" s="110">
        <f t="shared" si="23"/>
        <v>0.81523688791677007</v>
      </c>
      <c r="H49" s="413" t="b">
        <f>Wh_hp&gt;='2018'!Maxi_hp</f>
        <v>1</v>
      </c>
      <c r="I49" s="389">
        <f>IF(H49,Wh_hp,'2018'!Maxi_hp)</f>
        <v>29.1914143774355</v>
      </c>
      <c r="J49" s="85">
        <f>IF(H49,An,'2018'!An_max)</f>
        <v>2019</v>
      </c>
      <c r="K49" s="196">
        <f t="shared" si="3"/>
        <v>43500</v>
      </c>
      <c r="L49" s="147">
        <f>IF(t&lt;Tvie,1-EXP((T0-t)*PertePVj)+'2018'!Pspv,1-EXP((T0-t)*PertePVj)+Pspv)</f>
        <v>5.4607372462559534E-3</v>
      </c>
      <c r="M49" s="847"/>
      <c r="N49" s="847"/>
      <c r="O49" s="48">
        <f>IF(t&lt;Tnet,'2018'!Resal+('2018'!Salim-'2018'!Resal)*(1-EXP(('2018'!Tnet-t)/('2018'!Tau_j))),Resal+(Salim-Resal)*(1-EXP((Tnet-t)/(Tau_j))))*Salcycl</f>
        <v>1.6211850987434152E-2</v>
      </c>
      <c r="P49" s="168">
        <f>(INDEX(Models!$BJ49:$BT49,,T49)*(1-R49)+INDEX(Models!$BJ49:$BT49,,T49+1)*R49-ERP_i)*Q49*Ramure*Pc/MaxiM</f>
        <v>6.3984043768729691E-5</v>
      </c>
      <c r="Q49" s="304">
        <f t="shared" si="4"/>
        <v>0.5</v>
      </c>
      <c r="R49" s="176">
        <f t="shared" si="5"/>
        <v>0.83604303761448495</v>
      </c>
      <c r="S49" s="814">
        <f t="shared" si="6"/>
        <v>-1</v>
      </c>
      <c r="T49" s="175">
        <f t="shared" si="7"/>
        <v>5</v>
      </c>
      <c r="U49" s="250">
        <f t="shared" si="21"/>
        <v>-0.1639569623855151</v>
      </c>
      <c r="V49" s="382">
        <f t="shared" si="8"/>
        <v>35.032170530275266</v>
      </c>
      <c r="W49" s="58"/>
      <c r="X49" s="157">
        <f t="shared" si="9"/>
        <v>43500</v>
      </c>
      <c r="Y49" s="384">
        <f t="shared" si="10"/>
        <v>28.56</v>
      </c>
      <c r="Z49" s="384">
        <f t="shared" si="11"/>
        <v>28.71681498116147</v>
      </c>
      <c r="AA49" s="385">
        <f t="shared" si="12"/>
        <v>29.190039552707269</v>
      </c>
      <c r="AB49" s="196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1.6211850987434152E-2</v>
      </c>
      <c r="AD49" s="230">
        <f>(INDEX(Models!$BJ49:$BT49,,AH49)*(1-AF49)+INDEX(Models!$BJ49:$BT49,,AH49+1)*AF49-ERP_i)*AE49*Ramure*Pc/MaxiM</f>
        <v>6.3984043768729691E-5</v>
      </c>
      <c r="AE49" s="304">
        <f t="shared" si="14"/>
        <v>0.5</v>
      </c>
      <c r="AF49" s="176">
        <f t="shared" si="15"/>
        <v>0.83604303761448495</v>
      </c>
      <c r="AG49" s="175">
        <f t="shared" si="16"/>
        <v>-1</v>
      </c>
      <c r="AH49" s="175">
        <f t="shared" si="17"/>
        <v>5</v>
      </c>
      <c r="AI49" s="224">
        <f t="shared" si="22"/>
        <v>-0.1639569623855151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43501</v>
      </c>
      <c r="B50" s="616">
        <v>3.99</v>
      </c>
      <c r="C50" s="389"/>
      <c r="D50" s="392">
        <f t="shared" si="0"/>
        <v>4.0119958483149176</v>
      </c>
      <c r="E50" s="384">
        <f t="shared" si="1"/>
        <v>4.0783449734458266</v>
      </c>
      <c r="F50" s="384">
        <f t="shared" si="2"/>
        <v>4.0783449734458266</v>
      </c>
      <c r="G50" s="110">
        <f t="shared" si="23"/>
        <v>0.11275023079948306</v>
      </c>
      <c r="H50" s="413" t="b">
        <f>Wh_hp&gt;='2018'!Maxi_hp</f>
        <v>1</v>
      </c>
      <c r="I50" s="389">
        <f>IF(H50,Wh_hp,'2018'!Maxi_hp)</f>
        <v>4.0783449734458266</v>
      </c>
      <c r="J50" s="85">
        <f>IF(H50,An,'2018'!An_max)</f>
        <v>2019</v>
      </c>
      <c r="K50" s="196">
        <f t="shared" si="3"/>
        <v>43501</v>
      </c>
      <c r="L50" s="147">
        <f>IF(t&lt;Tvie,1-EXP((T0-t)*PertePVj)+'2018'!Pspv,1-EXP((T0-t)*PertePVj)+Pspv)</f>
        <v>5.4825202085280189E-3</v>
      </c>
      <c r="M50" s="847"/>
      <c r="N50" s="847"/>
      <c r="O50" s="48">
        <f>IF(t&lt;Tnet,'2018'!Resal+('2018'!Salim-'2018'!Resal)*(1-EXP(('2018'!Tnet-t)/('2018'!Tau_j))),Resal+(Salim-Resal)*(1-EXP((Tnet-t)/(Tau_j))))*Salcycl</f>
        <v>1.6268639745511803E-2</v>
      </c>
      <c r="P50" s="168">
        <f>(INDEX(Models!$BJ50:$BT50,,T50)*(1-R50)+INDEX(Models!$BJ50:$BT50,,T50+1)*R50-ERP_i)*Q50*Ramure*Pc/MaxiM</f>
        <v>6.2258019705019164E-5</v>
      </c>
      <c r="Q50" s="304">
        <f t="shared" si="4"/>
        <v>0.5</v>
      </c>
      <c r="R50" s="176">
        <f t="shared" si="5"/>
        <v>0.83611331623895335</v>
      </c>
      <c r="S50" s="814">
        <f t="shared" si="6"/>
        <v>-1</v>
      </c>
      <c r="T50" s="175">
        <f t="shared" si="7"/>
        <v>5</v>
      </c>
      <c r="U50" s="250">
        <f t="shared" si="21"/>
        <v>-0.16388668376104659</v>
      </c>
      <c r="V50" s="382">
        <f t="shared" si="8"/>
        <v>35.385750984375541</v>
      </c>
      <c r="W50" s="58"/>
      <c r="X50" s="157">
        <f t="shared" si="9"/>
        <v>43501</v>
      </c>
      <c r="Y50" s="384">
        <f t="shared" si="10"/>
        <v>3.9900000000000007</v>
      </c>
      <c r="Z50" s="384">
        <f t="shared" si="11"/>
        <v>4.0119958483149176</v>
      </c>
      <c r="AA50" s="385">
        <f t="shared" si="12"/>
        <v>4.0783449734458266</v>
      </c>
      <c r="AB50" s="196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1.6268639745511803E-2</v>
      </c>
      <c r="AD50" s="230">
        <f>(INDEX(Models!$BJ50:$BT50,,AH50)*(1-AF50)+INDEX(Models!$BJ50:$BT50,,AH50+1)*AF50-ERP_i)*AE50*Ramure*Pc/MaxiM</f>
        <v>6.2258019705019164E-5</v>
      </c>
      <c r="AE50" s="304">
        <f t="shared" si="14"/>
        <v>0.5</v>
      </c>
      <c r="AF50" s="176">
        <f t="shared" si="15"/>
        <v>0.83611331623895335</v>
      </c>
      <c r="AG50" s="175">
        <f t="shared" si="16"/>
        <v>-1</v>
      </c>
      <c r="AH50" s="175">
        <f t="shared" si="17"/>
        <v>5</v>
      </c>
      <c r="AI50" s="224">
        <f t="shared" si="22"/>
        <v>-0.16388668376104659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43502</v>
      </c>
      <c r="B51" s="616">
        <v>12.644</v>
      </c>
      <c r="C51" s="389"/>
      <c r="D51" s="392">
        <f t="shared" si="0"/>
        <v>12.713981603186035</v>
      </c>
      <c r="E51" s="384">
        <f t="shared" si="1"/>
        <v>12.92498704600817</v>
      </c>
      <c r="F51" s="384">
        <f t="shared" si="2"/>
        <v>12.925047263928207</v>
      </c>
      <c r="G51" s="110">
        <f t="shared" si="23"/>
        <v>0.35372655330927755</v>
      </c>
      <c r="H51" s="413" t="b">
        <f>Wh_hp&gt;='2018'!Maxi_hp</f>
        <v>1</v>
      </c>
      <c r="I51" s="389">
        <f>IF(H51,Wh_hp,'2018'!Maxi_hp)</f>
        <v>12.925047263928207</v>
      </c>
      <c r="J51" s="85">
        <f>IF(H51,An,'2018'!An_max)</f>
        <v>2019</v>
      </c>
      <c r="K51" s="196">
        <f t="shared" si="3"/>
        <v>43502</v>
      </c>
      <c r="L51" s="147">
        <f>IF(t&lt;Tvie,1-EXP((T0-t)*PertePVj)+'2018'!Pspv,1-EXP((T0-t)*PertePVj)+Pspv)</f>
        <v>5.5043026936972828E-3</v>
      </c>
      <c r="M51" s="847"/>
      <c r="N51" s="847"/>
      <c r="O51" s="48">
        <f>IF(t&lt;Tnet,'2018'!Resal+('2018'!Salim-'2018'!Resal)*(1-EXP(('2018'!Tnet-t)/('2018'!Tau_j))),Resal+(Salim-Resal)*(1-EXP((Tnet-t)/(Tau_j))))*Salcycl</f>
        <v>1.6325389114204281E-2</v>
      </c>
      <c r="P51" s="168">
        <f>(INDEX(Models!$BJ51:$BT51,,T51)*(1-R51)+INDEX(Models!$BJ51:$BT51,,T51+1)*R51-ERP_i)*Q51*Ramure*Pc/MaxiM</f>
        <v>6.0679572075569113E-5</v>
      </c>
      <c r="Q51" s="304">
        <f t="shared" si="4"/>
        <v>0.5</v>
      </c>
      <c r="R51" s="176">
        <f t="shared" si="5"/>
        <v>0.83618650803670991</v>
      </c>
      <c r="S51" s="814">
        <f t="shared" si="6"/>
        <v>-1</v>
      </c>
      <c r="T51" s="175">
        <f t="shared" si="7"/>
        <v>5</v>
      </c>
      <c r="U51" s="250">
        <f t="shared" si="21"/>
        <v>-0.16381349196329012</v>
      </c>
      <c r="V51" s="382">
        <f t="shared" si="8"/>
        <v>35.743122913518306</v>
      </c>
      <c r="W51" s="58"/>
      <c r="X51" s="157">
        <f t="shared" si="9"/>
        <v>43502</v>
      </c>
      <c r="Y51" s="384">
        <f t="shared" si="10"/>
        <v>12.644</v>
      </c>
      <c r="Z51" s="384">
        <f t="shared" si="11"/>
        <v>12.713981603186035</v>
      </c>
      <c r="AA51" s="385">
        <f t="shared" si="12"/>
        <v>12.92498704600817</v>
      </c>
      <c r="AB51" s="196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1.6325389114204281E-2</v>
      </c>
      <c r="AD51" s="230">
        <f>(INDEX(Models!$BJ51:$BT51,,AH51)*(1-AF51)+INDEX(Models!$BJ51:$BT51,,AH51+1)*AF51-ERP_i)*AE51*Ramure*Pc/MaxiM</f>
        <v>6.0679572075569113E-5</v>
      </c>
      <c r="AE51" s="304">
        <f t="shared" si="14"/>
        <v>0.5</v>
      </c>
      <c r="AF51" s="176">
        <f t="shared" si="15"/>
        <v>0.83618650803670991</v>
      </c>
      <c r="AG51" s="175">
        <f t="shared" si="16"/>
        <v>-1</v>
      </c>
      <c r="AH51" s="175">
        <f t="shared" si="17"/>
        <v>5</v>
      </c>
      <c r="AI51" s="224">
        <f t="shared" si="22"/>
        <v>-0.16381349196329012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43503</v>
      </c>
      <c r="B52" s="616">
        <v>6.0129999999999999</v>
      </c>
      <c r="C52" s="389"/>
      <c r="D52" s="392">
        <f t="shared" si="0"/>
        <v>6.0464129903264512</v>
      </c>
      <c r="E52" s="384">
        <f t="shared" si="1"/>
        <v>6.1471156402870593</v>
      </c>
      <c r="F52" s="384">
        <f t="shared" si="2"/>
        <v>6.1471156402870593</v>
      </c>
      <c r="G52" s="110">
        <f t="shared" si="23"/>
        <v>0.16652389109199059</v>
      </c>
      <c r="H52" s="413" t="b">
        <f>Wh_hp&gt;='2018'!Maxi_hp</f>
        <v>1</v>
      </c>
      <c r="I52" s="389">
        <f>IF(H52,Wh_hp,'2018'!Maxi_hp)</f>
        <v>6.1471156402870593</v>
      </c>
      <c r="J52" s="85">
        <f>IF(H52,An,'2018'!An_max)</f>
        <v>2019</v>
      </c>
      <c r="K52" s="196">
        <f t="shared" si="3"/>
        <v>43503</v>
      </c>
      <c r="L52" s="147">
        <f>IF(t&lt;Tvie,1-EXP((T0-t)*PertePVj)+'2018'!Pspv,1-EXP((T0-t)*PertePVj)+Pspv)</f>
        <v>5.526084701774181E-3</v>
      </c>
      <c r="M52" s="847"/>
      <c r="N52" s="847"/>
      <c r="O52" s="48">
        <f>IF(t&lt;Tnet,'2018'!Resal+('2018'!Salim-'2018'!Resal)*(1-EXP(('2018'!Tnet-t)/('2018'!Tau_j))),Resal+(Salim-Resal)*(1-EXP((Tnet-t)/(Tau_j))))*Salcycl</f>
        <v>1.6382097857509187E-2</v>
      </c>
      <c r="P52" s="168">
        <f>(INDEX(Models!$BJ52:$BT52,,T52)*(1-R52)+INDEX(Models!$BJ52:$BT52,,T52+1)*R52-ERP_i)*Q52*Ramure*Pc/MaxiM</f>
        <v>5.9329622982112932E-5</v>
      </c>
      <c r="Q52" s="304">
        <f t="shared" si="4"/>
        <v>0.5</v>
      </c>
      <c r="R52" s="176">
        <f t="shared" si="5"/>
        <v>0.8362627322376508</v>
      </c>
      <c r="S52" s="814">
        <f t="shared" si="6"/>
        <v>-1</v>
      </c>
      <c r="T52" s="175">
        <f t="shared" si="7"/>
        <v>5</v>
      </c>
      <c r="U52" s="250">
        <f t="shared" si="21"/>
        <v>-0.16373726776234923</v>
      </c>
      <c r="V52" s="382">
        <f t="shared" si="8"/>
        <v>36.10679051245279</v>
      </c>
      <c r="W52" s="58"/>
      <c r="X52" s="157">
        <f t="shared" si="9"/>
        <v>43503</v>
      </c>
      <c r="Y52" s="384">
        <f t="shared" si="10"/>
        <v>6.0129999999999999</v>
      </c>
      <c r="Z52" s="384">
        <f t="shared" si="11"/>
        <v>6.0464129903264512</v>
      </c>
      <c r="AA52" s="385">
        <f t="shared" si="12"/>
        <v>6.1471156402870593</v>
      </c>
      <c r="AB52" s="196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1.6382097857509187E-2</v>
      </c>
      <c r="AD52" s="230">
        <f>(INDEX(Models!$BJ52:$BT52,,AH52)*(1-AF52)+INDEX(Models!$BJ52:$BT52,,AH52+1)*AF52-ERP_i)*AE52*Ramure*Pc/MaxiM</f>
        <v>5.9329622982112932E-5</v>
      </c>
      <c r="AE52" s="304">
        <f t="shared" si="14"/>
        <v>0.5</v>
      </c>
      <c r="AF52" s="176">
        <f t="shared" si="15"/>
        <v>0.8362627322376508</v>
      </c>
      <c r="AG52" s="175">
        <f t="shared" si="16"/>
        <v>-1</v>
      </c>
      <c r="AH52" s="175">
        <f t="shared" si="17"/>
        <v>5</v>
      </c>
      <c r="AI52" s="224">
        <f t="shared" si="22"/>
        <v>-0.16373726776234923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43504</v>
      </c>
      <c r="B53" s="616">
        <v>30.428000000000001</v>
      </c>
      <c r="C53" s="389"/>
      <c r="D53" s="392">
        <f t="shared" si="0"/>
        <v>30.597752236431138</v>
      </c>
      <c r="E53" s="384">
        <f t="shared" si="1"/>
        <v>31.109148200852864</v>
      </c>
      <c r="F53" s="384">
        <f t="shared" si="2"/>
        <v>31.110530776982241</v>
      </c>
      <c r="G53" s="110">
        <f t="shared" si="23"/>
        <v>0.83418789357573853</v>
      </c>
      <c r="H53" s="413" t="b">
        <f>Wh_hp&gt;='2018'!Maxi_hp</f>
        <v>1</v>
      </c>
      <c r="I53" s="389">
        <f>IF(H53,Wh_hp,'2018'!Maxi_hp)</f>
        <v>31.110530776982241</v>
      </c>
      <c r="J53" s="85">
        <f>IF(H53,An,'2018'!An_max)</f>
        <v>2019</v>
      </c>
      <c r="K53" s="196">
        <f t="shared" si="3"/>
        <v>43504</v>
      </c>
      <c r="L53" s="147">
        <f>IF(t&lt;Tvie,1-EXP((T0-t)*PertePVj)+'2018'!Pspv,1-EXP((T0-t)*PertePVj)+Pspv)</f>
        <v>5.5478662327692607E-3</v>
      </c>
      <c r="M53" s="847"/>
      <c r="N53" s="847"/>
      <c r="O53" s="48">
        <f>IF(t&lt;Tnet,'2018'!Resal+('2018'!Salim-'2018'!Resal)*(1-EXP(('2018'!Tnet-t)/('2018'!Tau_j))),Resal+(Salim-Resal)*(1-EXP((Tnet-t)/(Tau_j))))*Salcycl</f>
        <v>1.6438764607759483E-2</v>
      </c>
      <c r="P53" s="168">
        <f>(INDEX(Models!$BJ53:$BT53,,T53)*(1-R53)+INDEX(Models!$BJ53:$BT53,,T53+1)*R53-ERP_i)*Q53*Ramure*Pc/MaxiM</f>
        <v>5.8233953794997697E-5</v>
      </c>
      <c r="Q53" s="304">
        <f t="shared" si="4"/>
        <v>0.5</v>
      </c>
      <c r="R53" s="176">
        <f t="shared" si="5"/>
        <v>0.83634211282167059</v>
      </c>
      <c r="S53" s="814">
        <f t="shared" si="6"/>
        <v>-1</v>
      </c>
      <c r="T53" s="175">
        <f t="shared" si="7"/>
        <v>5</v>
      </c>
      <c r="U53" s="250">
        <f t="shared" si="21"/>
        <v>-0.16365788717832946</v>
      </c>
      <c r="V53" s="382">
        <f t="shared" si="8"/>
        <v>36.475691528087069</v>
      </c>
      <c r="W53" s="58"/>
      <c r="X53" s="157">
        <f t="shared" si="9"/>
        <v>43504</v>
      </c>
      <c r="Y53" s="384">
        <f t="shared" si="10"/>
        <v>30.428000000000001</v>
      </c>
      <c r="Z53" s="384">
        <f t="shared" si="11"/>
        <v>30.597752236431138</v>
      </c>
      <c r="AA53" s="385">
        <f t="shared" si="12"/>
        <v>31.109148200852864</v>
      </c>
      <c r="AB53" s="196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1.6438764607759483E-2</v>
      </c>
      <c r="AD53" s="230">
        <f>(INDEX(Models!$BJ53:$BT53,,AH53)*(1-AF53)+INDEX(Models!$BJ53:$BT53,,AH53+1)*AF53-ERP_i)*AE53*Ramure*Pc/MaxiM</f>
        <v>5.8233953794997697E-5</v>
      </c>
      <c r="AE53" s="304">
        <f t="shared" si="14"/>
        <v>0.5</v>
      </c>
      <c r="AF53" s="176">
        <f t="shared" si="15"/>
        <v>0.83634211282167059</v>
      </c>
      <c r="AG53" s="175">
        <f t="shared" si="16"/>
        <v>-1</v>
      </c>
      <c r="AH53" s="175">
        <f t="shared" si="17"/>
        <v>5</v>
      </c>
      <c r="AI53" s="224">
        <f t="shared" si="22"/>
        <v>-0.16365788717832946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43505</v>
      </c>
      <c r="B54" s="616">
        <v>30.298999999999999</v>
      </c>
      <c r="C54" s="389"/>
      <c r="D54" s="392">
        <f t="shared" si="0"/>
        <v>30.468699911792775</v>
      </c>
      <c r="E54" s="384">
        <f t="shared" si="1"/>
        <v>30.979722450117933</v>
      </c>
      <c r="F54" s="384">
        <f t="shared" si="2"/>
        <v>30.981048909551888</v>
      </c>
      <c r="G54" s="110">
        <f t="shared" si="23"/>
        <v>0.82224080893909557</v>
      </c>
      <c r="H54" s="413" t="b">
        <f>Wh_hp&gt;='2018'!Maxi_hp</f>
        <v>1</v>
      </c>
      <c r="I54" s="389">
        <f>IF(H54,Wh_hp,'2018'!Maxi_hp)</f>
        <v>30.981048909551888</v>
      </c>
      <c r="J54" s="85">
        <f>IF(H54,An,'2018'!An_max)</f>
        <v>2019</v>
      </c>
      <c r="K54" s="196">
        <f t="shared" si="3"/>
        <v>43505</v>
      </c>
      <c r="L54" s="147">
        <f>IF(t&lt;Tvie,1-EXP((T0-t)*PertePVj)+'2018'!Pspv,1-EXP((T0-t)*PertePVj)+Pspv)</f>
        <v>5.569647286692847E-3</v>
      </c>
      <c r="M54" s="847"/>
      <c r="N54" s="847"/>
      <c r="O54" s="48">
        <f>IF(t&lt;Tnet,'2018'!Resal+('2018'!Salim-'2018'!Resal)*(1-EXP(('2018'!Tnet-t)/('2018'!Tau_j))),Resal+(Salim-Resal)*(1-EXP((Tnet-t)/(Tau_j))))*Salcycl</f>
        <v>1.6495387883089737E-2</v>
      </c>
      <c r="P54" s="168">
        <f>(INDEX(Models!$BJ54:$BT54,,T54)*(1-R54)+INDEX(Models!$BJ54:$BT54,,T54+1)*R54-ERP_i)*Q54*Ramure*Pc/MaxiM</f>
        <v>5.7387211915906275E-5</v>
      </c>
      <c r="Q54" s="304">
        <f t="shared" si="4"/>
        <v>0.5</v>
      </c>
      <c r="R54" s="176">
        <f t="shared" si="5"/>
        <v>0.83642477869682519</v>
      </c>
      <c r="S54" s="814">
        <f t="shared" si="6"/>
        <v>-1</v>
      </c>
      <c r="T54" s="175">
        <f t="shared" si="7"/>
        <v>5</v>
      </c>
      <c r="U54" s="250">
        <f t="shared" si="21"/>
        <v>-0.16357522130317478</v>
      </c>
      <c r="V54" s="382">
        <f t="shared" si="8"/>
        <v>36.848765147568336</v>
      </c>
      <c r="W54" s="58"/>
      <c r="X54" s="157">
        <f t="shared" si="9"/>
        <v>43505</v>
      </c>
      <c r="Y54" s="384">
        <f t="shared" si="10"/>
        <v>30.298999999999999</v>
      </c>
      <c r="Z54" s="384">
        <f t="shared" si="11"/>
        <v>30.468699911792775</v>
      </c>
      <c r="AA54" s="385">
        <f t="shared" si="12"/>
        <v>30.979722450117933</v>
      </c>
      <c r="AB54" s="196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1.6495387883089737E-2</v>
      </c>
      <c r="AD54" s="230">
        <f>(INDEX(Models!$BJ54:$BT54,,AH54)*(1-AF54)+INDEX(Models!$BJ54:$BT54,,AH54+1)*AF54-ERP_i)*AE54*Ramure*Pc/MaxiM</f>
        <v>5.7387211915906275E-5</v>
      </c>
      <c r="AE54" s="304">
        <f t="shared" si="14"/>
        <v>0.5</v>
      </c>
      <c r="AF54" s="176">
        <f t="shared" si="15"/>
        <v>0.83642477869682519</v>
      </c>
      <c r="AG54" s="175">
        <f t="shared" si="16"/>
        <v>-1</v>
      </c>
      <c r="AH54" s="175">
        <f t="shared" si="17"/>
        <v>5</v>
      </c>
      <c r="AI54" s="224">
        <f t="shared" si="22"/>
        <v>-0.16357522130317478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43506</v>
      </c>
      <c r="B55" s="616">
        <v>8.3339999999999996</v>
      </c>
      <c r="C55" s="389"/>
      <c r="D55" s="392">
        <f t="shared" si="0"/>
        <v>8.3808609796019304</v>
      </c>
      <c r="E55" s="384">
        <f t="shared" si="1"/>
        <v>8.5219154350501043</v>
      </c>
      <c r="F55" s="384">
        <f t="shared" si="2"/>
        <v>8.5219154350501043</v>
      </c>
      <c r="G55" s="110">
        <f t="shared" si="23"/>
        <v>0.22386938221939842</v>
      </c>
      <c r="H55" s="413" t="b">
        <f>Wh_hp&gt;='2018'!Maxi_hp</f>
        <v>1</v>
      </c>
      <c r="I55" s="389">
        <f>IF(H55,Wh_hp,'2018'!Maxi_hp)</f>
        <v>8.5219154350501043</v>
      </c>
      <c r="J55" s="85">
        <f>IF(H55,An,'2018'!An_max)</f>
        <v>2019</v>
      </c>
      <c r="K55" s="196">
        <f t="shared" si="3"/>
        <v>43506</v>
      </c>
      <c r="L55" s="147">
        <f>IF(t&lt;Tvie,1-EXP((T0-t)*PertePVj)+'2018'!Pspv,1-EXP((T0-t)*PertePVj)+Pspv)</f>
        <v>5.591427863555487E-3</v>
      </c>
      <c r="M55" s="847"/>
      <c r="N55" s="847"/>
      <c r="O55" s="48">
        <f>IF(t&lt;Tnet,'2018'!Resal+('2018'!Salim-'2018'!Resal)*(1-EXP(('2018'!Tnet-t)/('2018'!Tau_j))),Resal+(Salim-Resal)*(1-EXP((Tnet-t)/(Tau_j))))*Salcycl</f>
        <v>1.6551966107059231E-2</v>
      </c>
      <c r="P55" s="168">
        <f>(INDEX(Models!$BJ55:$BT55,,T55)*(1-R55)+INDEX(Models!$BJ55:$BT55,,T55+1)*R55-ERP_i)*Q55*Ramure*Pc/MaxiM</f>
        <v>5.678400455535449E-5</v>
      </c>
      <c r="Q55" s="304">
        <f t="shared" si="4"/>
        <v>0.5</v>
      </c>
      <c r="R55" s="176">
        <f t="shared" si="5"/>
        <v>0.83651086388322271</v>
      </c>
      <c r="S55" s="814">
        <f t="shared" si="6"/>
        <v>-1</v>
      </c>
      <c r="T55" s="175">
        <f t="shared" si="7"/>
        <v>5</v>
      </c>
      <c r="U55" s="250">
        <f t="shared" si="21"/>
        <v>-0.16348913611677729</v>
      </c>
      <c r="V55" s="382">
        <f t="shared" si="8"/>
        <v>37.224950904357875</v>
      </c>
      <c r="W55" s="58"/>
      <c r="X55" s="157">
        <f t="shared" si="9"/>
        <v>43506</v>
      </c>
      <c r="Y55" s="384">
        <f t="shared" si="10"/>
        <v>8.3339999999999996</v>
      </c>
      <c r="Z55" s="384">
        <f t="shared" si="11"/>
        <v>8.3808609796019304</v>
      </c>
      <c r="AA55" s="385">
        <f t="shared" si="12"/>
        <v>8.5219154350501043</v>
      </c>
      <c r="AB55" s="196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1.6551966107059231E-2</v>
      </c>
      <c r="AD55" s="230">
        <f>(INDEX(Models!$BJ55:$BT55,,AH55)*(1-AF55)+INDEX(Models!$BJ55:$BT55,,AH55+1)*AF55-ERP_i)*AE55*Ramure*Pc/MaxiM</f>
        <v>5.678400455535449E-5</v>
      </c>
      <c r="AE55" s="304">
        <f t="shared" si="14"/>
        <v>0.5</v>
      </c>
      <c r="AF55" s="176">
        <f t="shared" si="15"/>
        <v>0.83651086388322271</v>
      </c>
      <c r="AG55" s="175">
        <f t="shared" si="16"/>
        <v>-1</v>
      </c>
      <c r="AH55" s="175">
        <f t="shared" si="17"/>
        <v>5</v>
      </c>
      <c r="AI55" s="224">
        <f t="shared" si="22"/>
        <v>-0.16348913611677729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43507</v>
      </c>
      <c r="B56" s="616">
        <v>23.879000000000001</v>
      </c>
      <c r="C56" s="389"/>
      <c r="D56" s="392">
        <f t="shared" si="0"/>
        <v>24.013794422080696</v>
      </c>
      <c r="E56" s="384">
        <f t="shared" si="1"/>
        <v>24.419363360586306</v>
      </c>
      <c r="F56" s="384">
        <f t="shared" si="2"/>
        <v>24.420022764710701</v>
      </c>
      <c r="G56" s="110">
        <f t="shared" si="23"/>
        <v>0.63500725314916917</v>
      </c>
      <c r="H56" s="413" t="b">
        <f>Wh_hp&gt;='2018'!Maxi_hp</f>
        <v>1</v>
      </c>
      <c r="I56" s="389">
        <f>IF(H56,Wh_hp,'2018'!Maxi_hp)</f>
        <v>24.420022764710701</v>
      </c>
      <c r="J56" s="85">
        <f>IF(H56,An,'2018'!An_max)</f>
        <v>2019</v>
      </c>
      <c r="K56" s="196">
        <f t="shared" si="3"/>
        <v>43507</v>
      </c>
      <c r="L56" s="147">
        <f>IF(t&lt;Tvie,1-EXP((T0-t)*PertePVj)+'2018'!Pspv,1-EXP((T0-t)*PertePVj)+Pspv)</f>
        <v>5.6132079633676168E-3</v>
      </c>
      <c r="M56" s="847"/>
      <c r="N56" s="847"/>
      <c r="O56" s="48">
        <f>IF(t&lt;Tnet,'2018'!Resal+('2018'!Salim-'2018'!Resal)*(1-EXP(('2018'!Tnet-t)/('2018'!Tau_j))),Resal+(Salim-Resal)*(1-EXP((Tnet-t)/(Tau_j))))*Salcycl</f>
        <v>1.6608497630213107E-2</v>
      </c>
      <c r="P56" s="168">
        <f>(INDEX(Models!$BJ56:$BT56,,T56)*(1-R56)+INDEX(Models!$BJ56:$BT56,,T56+1)*R56-ERP_i)*Q56*Ramure*Pc/MaxiM</f>
        <v>5.6418977157472275E-5</v>
      </c>
      <c r="Q56" s="304">
        <f t="shared" si="4"/>
        <v>0.5</v>
      </c>
      <c r="R56" s="176">
        <f t="shared" si="5"/>
        <v>0.83660050770273942</v>
      </c>
      <c r="S56" s="814">
        <f t="shared" si="6"/>
        <v>-1</v>
      </c>
      <c r="T56" s="175">
        <f t="shared" si="7"/>
        <v>5</v>
      </c>
      <c r="U56" s="250">
        <f t="shared" si="21"/>
        <v>-0.16339949229726056</v>
      </c>
      <c r="V56" s="382">
        <f t="shared" si="8"/>
        <v>37.603188670618017</v>
      </c>
      <c r="W56" s="58"/>
      <c r="X56" s="157">
        <f t="shared" si="9"/>
        <v>43507</v>
      </c>
      <c r="Y56" s="384">
        <f t="shared" si="10"/>
        <v>23.879000000000001</v>
      </c>
      <c r="Z56" s="384">
        <f t="shared" si="11"/>
        <v>24.013794422080696</v>
      </c>
      <c r="AA56" s="385">
        <f t="shared" si="12"/>
        <v>24.419363360586306</v>
      </c>
      <c r="AB56" s="196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1.6608497630213107E-2</v>
      </c>
      <c r="AD56" s="230">
        <f>(INDEX(Models!$BJ56:$BT56,,AH56)*(1-AF56)+INDEX(Models!$BJ56:$BT56,,AH56+1)*AF56-ERP_i)*AE56*Ramure*Pc/MaxiM</f>
        <v>5.6418977157472275E-5</v>
      </c>
      <c r="AE56" s="304">
        <f t="shared" si="14"/>
        <v>0.5</v>
      </c>
      <c r="AF56" s="176">
        <f t="shared" si="15"/>
        <v>0.83660050770273942</v>
      </c>
      <c r="AG56" s="175">
        <f t="shared" si="16"/>
        <v>-1</v>
      </c>
      <c r="AH56" s="175">
        <f t="shared" si="17"/>
        <v>5</v>
      </c>
      <c r="AI56" s="224">
        <f t="shared" si="22"/>
        <v>-0.16339949229726056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43508</v>
      </c>
      <c r="B57" s="616">
        <v>38.097000000000001</v>
      </c>
      <c r="C57" s="389"/>
      <c r="D57" s="392">
        <f t="shared" si="0"/>
        <v>38.312892674610531</v>
      </c>
      <c r="E57" s="384">
        <f t="shared" si="1"/>
        <v>38.962196936668164</v>
      </c>
      <c r="F57" s="384">
        <f t="shared" si="2"/>
        <v>38.964390120778035</v>
      </c>
      <c r="G57" s="110">
        <f t="shared" si="23"/>
        <v>1.0030166941421232</v>
      </c>
      <c r="H57" s="413" t="b">
        <f>Wh_hp&gt;='2018'!Maxi_hp</f>
        <v>1</v>
      </c>
      <c r="I57" s="389">
        <f>IF(H57,Wh_hp,'2018'!Maxi_hp)</f>
        <v>38.964390120778035</v>
      </c>
      <c r="J57" s="85">
        <f>IF(H57,An,'2018'!An_max)</f>
        <v>2019</v>
      </c>
      <c r="K57" s="196">
        <f t="shared" si="3"/>
        <v>43508</v>
      </c>
      <c r="L57" s="147">
        <f>IF(t&lt;Tvie,1-EXP((T0-t)*PertePVj)+'2018'!Pspv,1-EXP((T0-t)*PertePVj)+Pspv)</f>
        <v>5.6349875861396725E-3</v>
      </c>
      <c r="M57" s="847"/>
      <c r="N57" s="847"/>
      <c r="O57" s="48">
        <f>IF(t&lt;Tnet,'2018'!Resal+('2018'!Salim-'2018'!Resal)*(1-EXP(('2018'!Tnet-t)/('2018'!Tau_j))),Resal+(Salim-Resal)*(1-EXP((Tnet-t)/(Tau_j))))*Salcycl</f>
        <v>1.66649807533455E-2</v>
      </c>
      <c r="P57" s="168">
        <f>(INDEX(Models!$BJ57:$BT57,,T57)*(1-R57)+INDEX(Models!$BJ57:$BT57,,T57+1)*R57-ERP_i)*Q57*Ramure*Pc/MaxiM</f>
        <v>5.6286884077242487E-5</v>
      </c>
      <c r="Q57" s="304">
        <f t="shared" si="4"/>
        <v>0.5</v>
      </c>
      <c r="R57" s="176">
        <f t="shared" si="5"/>
        <v>0.8366938549746531</v>
      </c>
      <c r="S57" s="814">
        <f t="shared" si="6"/>
        <v>-1</v>
      </c>
      <c r="T57" s="175">
        <f t="shared" si="7"/>
        <v>5</v>
      </c>
      <c r="U57" s="250">
        <f t="shared" si="21"/>
        <v>-0.16330614502534688</v>
      </c>
      <c r="V57" s="382">
        <f t="shared" si="8"/>
        <v>37.982418660124324</v>
      </c>
      <c r="W57" s="58"/>
      <c r="X57" s="157">
        <f t="shared" si="9"/>
        <v>43508</v>
      </c>
      <c r="Y57" s="384">
        <f t="shared" si="10"/>
        <v>38.097000000000001</v>
      </c>
      <c r="Z57" s="384">
        <f t="shared" si="11"/>
        <v>38.312892674610531</v>
      </c>
      <c r="AA57" s="385">
        <f t="shared" si="12"/>
        <v>38.962196936668164</v>
      </c>
      <c r="AB57" s="196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1.66649807533455E-2</v>
      </c>
      <c r="AD57" s="230">
        <f>(INDEX(Models!$BJ57:$BT57,,AH57)*(1-AF57)+INDEX(Models!$BJ57:$BT57,,AH57+1)*AF57-ERP_i)*AE57*Ramure*Pc/MaxiM</f>
        <v>5.6286884077242487E-5</v>
      </c>
      <c r="AE57" s="304">
        <f t="shared" si="14"/>
        <v>0.5</v>
      </c>
      <c r="AF57" s="176">
        <f t="shared" si="15"/>
        <v>0.8366938549746531</v>
      </c>
      <c r="AG57" s="175">
        <f t="shared" si="16"/>
        <v>-1</v>
      </c>
      <c r="AH57" s="175">
        <f t="shared" si="17"/>
        <v>5</v>
      </c>
      <c r="AI57" s="224">
        <f t="shared" si="22"/>
        <v>-0.16330614502534688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43509</v>
      </c>
      <c r="B58" s="616">
        <v>39.582999999999998</v>
      </c>
      <c r="C58" s="389"/>
      <c r="D58" s="392">
        <f t="shared" si="0"/>
        <v>39.808185620072209</v>
      </c>
      <c r="E58" s="384">
        <f t="shared" si="1"/>
        <v>40.485154641657729</v>
      </c>
      <c r="F58" s="384">
        <f t="shared" si="2"/>
        <v>40.487434831791077</v>
      </c>
      <c r="G58" s="110">
        <f t="shared" si="23"/>
        <v>1.0318395641422626</v>
      </c>
      <c r="H58" s="413" t="b">
        <f>Wh_hp&gt;='2018'!Maxi_hp</f>
        <v>1</v>
      </c>
      <c r="I58" s="389">
        <f>IF(H58,Wh_hp,'2018'!Maxi_hp)</f>
        <v>40.487434831791077</v>
      </c>
      <c r="J58" s="85">
        <f>IF(H58,An,'2018'!An_max)</f>
        <v>2019</v>
      </c>
      <c r="K58" s="196">
        <f t="shared" si="3"/>
        <v>43509</v>
      </c>
      <c r="L58" s="147">
        <f>IF(t&lt;Tvie,1-EXP((T0-t)*PertePVj)+'2018'!Pspv,1-EXP((T0-t)*PertePVj)+Pspv)</f>
        <v>5.6567667318819792E-3</v>
      </c>
      <c r="M58" s="847"/>
      <c r="N58" s="847"/>
      <c r="O58" s="48">
        <f>IF(t&lt;Tnet,'2018'!Resal+('2018'!Salim-'2018'!Resal)*(1-EXP(('2018'!Tnet-t)/('2018'!Tau_j))),Resal+(Salim-Resal)*(1-EXP((Tnet-t)/(Tau_j))))*Salcycl</f>
        <v>1.6721413752213865E-2</v>
      </c>
      <c r="P58" s="168">
        <f>(INDEX(Models!$BJ58:$BT58,,T58)*(1-R58)+INDEX(Models!$BJ58:$BT58,,T58+1)*R58-ERP_i)*Q58*Ramure*Pc/MaxiM</f>
        <v>5.6318463810265983E-5</v>
      </c>
      <c r="Q58" s="304">
        <f t="shared" si="4"/>
        <v>0.5</v>
      </c>
      <c r="R58" s="176">
        <f t="shared" si="5"/>
        <v>0.83679105621727667</v>
      </c>
      <c r="S58" s="814">
        <f t="shared" si="6"/>
        <v>-1</v>
      </c>
      <c r="T58" s="175">
        <f t="shared" si="7"/>
        <v>5</v>
      </c>
      <c r="U58" s="250">
        <f t="shared" si="21"/>
        <v>-0.16320894378272335</v>
      </c>
      <c r="V58" s="382">
        <f t="shared" si="8"/>
        <v>38.36158388916224</v>
      </c>
      <c r="W58" s="58"/>
      <c r="X58" s="157">
        <f t="shared" si="9"/>
        <v>43509</v>
      </c>
      <c r="Y58" s="384">
        <f t="shared" si="10"/>
        <v>39.582999999999998</v>
      </c>
      <c r="Z58" s="384">
        <f t="shared" si="11"/>
        <v>39.808185620072209</v>
      </c>
      <c r="AA58" s="385">
        <f t="shared" si="12"/>
        <v>40.485154641657729</v>
      </c>
      <c r="AB58" s="196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1.6721413752213865E-2</v>
      </c>
      <c r="AD58" s="230">
        <f>(INDEX(Models!$BJ58:$BT58,,AH58)*(1-AF58)+INDEX(Models!$BJ58:$BT58,,AH58+1)*AF58-ERP_i)*AE58*Ramure*Pc/MaxiM</f>
        <v>5.6318463810265983E-5</v>
      </c>
      <c r="AE58" s="304">
        <f t="shared" si="14"/>
        <v>0.5</v>
      </c>
      <c r="AF58" s="176">
        <f t="shared" si="15"/>
        <v>0.83679105621727667</v>
      </c>
      <c r="AG58" s="175">
        <f t="shared" si="16"/>
        <v>-1</v>
      </c>
      <c r="AH58" s="175">
        <f t="shared" si="17"/>
        <v>5</v>
      </c>
      <c r="AI58" s="224">
        <f t="shared" si="22"/>
        <v>-0.16320894378272335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43510</v>
      </c>
      <c r="B59" s="616">
        <v>39.817</v>
      </c>
      <c r="C59" s="389"/>
      <c r="D59" s="392">
        <f t="shared" si="0"/>
        <v>40.044393908851127</v>
      </c>
      <c r="E59" s="384">
        <f t="shared" si="1"/>
        <v>40.72771516070322</v>
      </c>
      <c r="F59" s="384">
        <f t="shared" si="2"/>
        <v>40.730011197654498</v>
      </c>
      <c r="G59" s="110">
        <f t="shared" si="23"/>
        <v>1.0278105228099776</v>
      </c>
      <c r="H59" s="413" t="b">
        <f>Wh_hp&gt;='2018'!Maxi_hp</f>
        <v>1</v>
      </c>
      <c r="I59" s="389">
        <f>IF(H59,Wh_hp,'2018'!Maxi_hp)</f>
        <v>40.730011197654498</v>
      </c>
      <c r="J59" s="85">
        <f>IF(H59,An,'2018'!An_max)</f>
        <v>2019</v>
      </c>
      <c r="K59" s="196">
        <f t="shared" si="3"/>
        <v>43510</v>
      </c>
      <c r="L59" s="147">
        <f>IF(t&lt;Tvie,1-EXP((T0-t)*PertePVj)+'2018'!Pspv,1-EXP((T0-t)*PertePVj)+Pspv)</f>
        <v>5.678545400605195E-3</v>
      </c>
      <c r="M59" s="847"/>
      <c r="N59" s="847"/>
      <c r="O59" s="48">
        <f>IF(t&lt;Tnet,'2018'!Resal+('2018'!Salim-'2018'!Resal)*(1-EXP(('2018'!Tnet-t)/('2018'!Tau_j))),Resal+(Salim-Resal)*(1-EXP((Tnet-t)/(Tau_j))))*Salcycl</f>
        <v>1.6777794903442209E-2</v>
      </c>
      <c r="P59" s="168">
        <f>(INDEX(Models!$BJ59:$BT59,,T59)*(1-R59)+INDEX(Models!$BJ59:$BT59,,T59+1)*R59-ERP_i)*Q59*Ramure*Pc/MaxiM</f>
        <v>5.6372116868302269E-5</v>
      </c>
      <c r="Q59" s="304">
        <f t="shared" si="4"/>
        <v>0.5</v>
      </c>
      <c r="R59" s="176">
        <f t="shared" si="5"/>
        <v>0.83689226785566562</v>
      </c>
      <c r="S59" s="814">
        <f t="shared" si="6"/>
        <v>-1</v>
      </c>
      <c r="T59" s="175">
        <f t="shared" si="7"/>
        <v>5</v>
      </c>
      <c r="U59" s="250">
        <f t="shared" si="21"/>
        <v>-0.16310773214433433</v>
      </c>
      <c r="V59" s="382">
        <f t="shared" si="8"/>
        <v>38.739630619019636</v>
      </c>
      <c r="W59" s="58"/>
      <c r="X59" s="157">
        <f t="shared" si="9"/>
        <v>43510</v>
      </c>
      <c r="Y59" s="384">
        <f t="shared" si="10"/>
        <v>39.817</v>
      </c>
      <c r="Z59" s="384">
        <f t="shared" si="11"/>
        <v>40.044393908851127</v>
      </c>
      <c r="AA59" s="385">
        <f t="shared" si="12"/>
        <v>40.72771516070322</v>
      </c>
      <c r="AB59" s="196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1.6777794903442209E-2</v>
      </c>
      <c r="AD59" s="230">
        <f>(INDEX(Models!$BJ59:$BT59,,AH59)*(1-AF59)+INDEX(Models!$BJ59:$BT59,,AH59+1)*AF59-ERP_i)*AE59*Ramure*Pc/MaxiM</f>
        <v>5.6372116868302269E-5</v>
      </c>
      <c r="AE59" s="304">
        <f t="shared" si="14"/>
        <v>0.5</v>
      </c>
      <c r="AF59" s="176">
        <f t="shared" si="15"/>
        <v>0.83689226785566562</v>
      </c>
      <c r="AG59" s="175">
        <f t="shared" si="16"/>
        <v>-1</v>
      </c>
      <c r="AH59" s="175">
        <f t="shared" si="17"/>
        <v>5</v>
      </c>
      <c r="AI59" s="224">
        <f t="shared" si="22"/>
        <v>-0.16310773214433433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43511</v>
      </c>
      <c r="B60" s="616">
        <v>39.905999999999999</v>
      </c>
      <c r="C60" s="389"/>
      <c r="D60" s="392">
        <f t="shared" si="0"/>
        <v>40.134781240377116</v>
      </c>
      <c r="E60" s="384">
        <f t="shared" si="1"/>
        <v>40.82198351197367</v>
      </c>
      <c r="F60" s="384">
        <f t="shared" si="2"/>
        <v>40.824287994702445</v>
      </c>
      <c r="G60" s="110">
        <f t="shared" si="23"/>
        <v>1.0202093777000676</v>
      </c>
      <c r="H60" s="413" t="b">
        <f>Wh_hp&gt;='2018'!Maxi_hp</f>
        <v>1</v>
      </c>
      <c r="I60" s="389">
        <f>IF(H60,Wh_hp,'2018'!Maxi_hp)</f>
        <v>40.824287994702445</v>
      </c>
      <c r="J60" s="85">
        <f>IF(H60,An,'2018'!An_max)</f>
        <v>2019</v>
      </c>
      <c r="K60" s="196">
        <f t="shared" si="3"/>
        <v>43511</v>
      </c>
      <c r="L60" s="147">
        <f>IF(t&lt;Tvie,1-EXP((T0-t)*PertePVj)+'2018'!Pspv,1-EXP((T0-t)*PertePVj)+Pspv)</f>
        <v>5.7003235923197559E-3</v>
      </c>
      <c r="M60" s="847"/>
      <c r="N60" s="847"/>
      <c r="O60" s="48">
        <f>IF(t&lt;Tnet,'2018'!Resal+('2018'!Salim-'2018'!Resal)*(1-EXP(('2018'!Tnet-t)/('2018'!Tau_j))),Resal+(Salim-Resal)*(1-EXP((Tnet-t)/(Tau_j))))*Salcycl</f>
        <v>1.6834122511342253E-2</v>
      </c>
      <c r="P60" s="168">
        <f>(INDEX(Models!$BJ60:$BT60,,T60)*(1-R60)+INDEX(Models!$BJ60:$BT60,,T60+1)*R60-ERP_i)*Q60*Ramure*Pc/MaxiM</f>
        <v>5.6448816181937003E-5</v>
      </c>
      <c r="Q60" s="304">
        <f t="shared" si="4"/>
        <v>0.5</v>
      </c>
      <c r="R60" s="176">
        <f t="shared" si="5"/>
        <v>0.83699765243546387</v>
      </c>
      <c r="S60" s="814">
        <f t="shared" si="6"/>
        <v>-1</v>
      </c>
      <c r="T60" s="175">
        <f t="shared" si="7"/>
        <v>5</v>
      </c>
      <c r="U60" s="250">
        <f t="shared" si="21"/>
        <v>-0.16300234756453608</v>
      </c>
      <c r="V60" s="382">
        <f t="shared" si="8"/>
        <v>39.115500084858077</v>
      </c>
      <c r="W60" s="58"/>
      <c r="X60" s="157">
        <f t="shared" si="9"/>
        <v>43511</v>
      </c>
      <c r="Y60" s="384">
        <f t="shared" si="10"/>
        <v>39.905999999999999</v>
      </c>
      <c r="Z60" s="384">
        <f t="shared" si="11"/>
        <v>40.134781240377116</v>
      </c>
      <c r="AA60" s="385">
        <f t="shared" si="12"/>
        <v>40.82198351197367</v>
      </c>
      <c r="AB60" s="196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1.6834122511342253E-2</v>
      </c>
      <c r="AD60" s="230">
        <f>(INDEX(Models!$BJ60:$BT60,,AH60)*(1-AF60)+INDEX(Models!$BJ60:$BT60,,AH60+1)*AF60-ERP_i)*AE60*Ramure*Pc/MaxiM</f>
        <v>5.6448816181937003E-5</v>
      </c>
      <c r="AE60" s="304">
        <f t="shared" si="14"/>
        <v>0.5</v>
      </c>
      <c r="AF60" s="176">
        <f t="shared" si="15"/>
        <v>0.83699765243546387</v>
      </c>
      <c r="AG60" s="175">
        <f t="shared" si="16"/>
        <v>-1</v>
      </c>
      <c r="AH60" s="175">
        <f t="shared" si="17"/>
        <v>5</v>
      </c>
      <c r="AI60" s="224">
        <f t="shared" si="22"/>
        <v>-0.16300234756453608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43512</v>
      </c>
      <c r="B61" s="616">
        <v>40.369999999999997</v>
      </c>
      <c r="C61" s="389"/>
      <c r="D61" s="392">
        <f t="shared" si="0"/>
        <v>40.602330649276929</v>
      </c>
      <c r="E61" s="384">
        <f t="shared" si="1"/>
        <v>41.299902310086743</v>
      </c>
      <c r="F61" s="384">
        <f t="shared" si="2"/>
        <v>41.302237931814616</v>
      </c>
      <c r="G61" s="110">
        <f t="shared" si="23"/>
        <v>1.0223324339478452</v>
      </c>
      <c r="H61" s="413" t="b">
        <f>Wh_hp&gt;='2018'!Maxi_hp</f>
        <v>1</v>
      </c>
      <c r="I61" s="389">
        <f>IF(H61,Wh_hp,'2018'!Maxi_hp)</f>
        <v>41.302237931814616</v>
      </c>
      <c r="J61" s="85">
        <f>IF(H61,An,'2018'!An_max)</f>
        <v>2019</v>
      </c>
      <c r="K61" s="196">
        <f t="shared" si="3"/>
        <v>43512</v>
      </c>
      <c r="L61" s="147">
        <f>IF(t&lt;Tvie,1-EXP((T0-t)*PertePVj)+'2018'!Pspv,1-EXP((T0-t)*PertePVj)+Pspv)</f>
        <v>5.7221013070358762E-3</v>
      </c>
      <c r="M61" s="847"/>
      <c r="N61" s="847"/>
      <c r="O61" s="48">
        <f>IF(t&lt;Tnet,'2018'!Resal+('2018'!Salim-'2018'!Resal)*(1-EXP(('2018'!Tnet-t)/('2018'!Tau_j))),Resal+(Salim-Resal)*(1-EXP((Tnet-t)/(Tau_j))))*Salcycl</f>
        <v>1.6890394935376037E-2</v>
      </c>
      <c r="P61" s="168">
        <f>(INDEX(Models!$BJ61:$BT61,,T61)*(1-R61)+INDEX(Models!$BJ61:$BT61,,T61+1)*R61-ERP_i)*Q61*Ramure*Pc/MaxiM</f>
        <v>5.6549519949224874E-5</v>
      </c>
      <c r="Q61" s="304">
        <f t="shared" si="4"/>
        <v>0.5</v>
      </c>
      <c r="R61" s="176">
        <f t="shared" si="5"/>
        <v>0.83710737884293684</v>
      </c>
      <c r="S61" s="814">
        <f t="shared" si="6"/>
        <v>-1</v>
      </c>
      <c r="T61" s="175">
        <f t="shared" si="7"/>
        <v>5</v>
      </c>
      <c r="U61" s="250">
        <f t="shared" si="21"/>
        <v>-0.16289262115706321</v>
      </c>
      <c r="V61" s="382">
        <f t="shared" si="8"/>
        <v>39.488133858873049</v>
      </c>
      <c r="W61" s="58"/>
      <c r="X61" s="157">
        <f t="shared" si="9"/>
        <v>43512</v>
      </c>
      <c r="Y61" s="384">
        <f t="shared" si="10"/>
        <v>40.369999999999997</v>
      </c>
      <c r="Z61" s="384">
        <f t="shared" si="11"/>
        <v>40.602330649276929</v>
      </c>
      <c r="AA61" s="385">
        <f t="shared" si="12"/>
        <v>41.299902310086743</v>
      </c>
      <c r="AB61" s="196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1.6890394935376037E-2</v>
      </c>
      <c r="AD61" s="230">
        <f>(INDEX(Models!$BJ61:$BT61,,AH61)*(1-AF61)+INDEX(Models!$BJ61:$BT61,,AH61+1)*AF61-ERP_i)*AE61*Ramure*Pc/MaxiM</f>
        <v>5.6549519949224874E-5</v>
      </c>
      <c r="AE61" s="304">
        <f t="shared" si="14"/>
        <v>0.5</v>
      </c>
      <c r="AF61" s="176">
        <f t="shared" si="15"/>
        <v>0.83710737884293684</v>
      </c>
      <c r="AG61" s="175">
        <f t="shared" si="16"/>
        <v>-1</v>
      </c>
      <c r="AH61" s="175">
        <f t="shared" si="17"/>
        <v>5</v>
      </c>
      <c r="AI61" s="224">
        <f t="shared" si="22"/>
        <v>-0.16289262115706321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43513</v>
      </c>
      <c r="B62" s="616">
        <v>41.027000000000001</v>
      </c>
      <c r="C62" s="389"/>
      <c r="D62" s="392">
        <f t="shared" si="0"/>
        <v>41.264015493262569</v>
      </c>
      <c r="E62" s="384">
        <f t="shared" si="1"/>
        <v>41.975355498446049</v>
      </c>
      <c r="F62" s="384">
        <f t="shared" si="2"/>
        <v>41.977734594143215</v>
      </c>
      <c r="G62" s="110">
        <f t="shared" si="23"/>
        <v>1.0293685326992803</v>
      </c>
      <c r="H62" s="413" t="b">
        <f>Wh_hp&gt;='2018'!Maxi_hp</f>
        <v>1</v>
      </c>
      <c r="I62" s="389">
        <f>IF(H62,Wh_hp,'2018'!Maxi_hp)</f>
        <v>41.977734594143215</v>
      </c>
      <c r="J62" s="85">
        <f>IF(H62,An,'2018'!An_max)</f>
        <v>2019</v>
      </c>
      <c r="K62" s="196">
        <f t="shared" si="3"/>
        <v>43513</v>
      </c>
      <c r="L62" s="147">
        <f>IF(t&lt;Tvie,1-EXP((T0-t)*PertePVj)+'2018'!Pspv,1-EXP((T0-t)*PertePVj)+Pspv)</f>
        <v>5.7438785447642138E-3</v>
      </c>
      <c r="M62" s="847"/>
      <c r="N62" s="847"/>
      <c r="O62" s="48">
        <f>IF(t&lt;Tnet,'2018'!Resal+('2018'!Salim-'2018'!Resal)*(1-EXP(('2018'!Tnet-t)/('2018'!Tau_j))),Resal+(Salim-Resal)*(1-EXP((Tnet-t)/(Tau_j))))*Salcycl</f>
        <v>1.6946610617980688E-2</v>
      </c>
      <c r="P62" s="168">
        <f>(INDEX(Models!$BJ62:$BT62,,T62)*(1-R62)+INDEX(Models!$BJ62:$BT62,,T62+1)*R62-ERP_i)*Q62*Ramure*Pc/MaxiM</f>
        <v>5.6675180787356895E-5</v>
      </c>
      <c r="Q62" s="304">
        <f t="shared" si="4"/>
        <v>0.5</v>
      </c>
      <c r="R62" s="176">
        <f t="shared" si="5"/>
        <v>0.83722162253123056</v>
      </c>
      <c r="S62" s="814">
        <f t="shared" si="6"/>
        <v>-1</v>
      </c>
      <c r="T62" s="175">
        <f t="shared" si="7"/>
        <v>5</v>
      </c>
      <c r="U62" s="250">
        <f t="shared" si="21"/>
        <v>-0.16277837746876941</v>
      </c>
      <c r="V62" s="382">
        <f t="shared" si="8"/>
        <v>39.856473844616374</v>
      </c>
      <c r="W62" s="58"/>
      <c r="X62" s="157">
        <f t="shared" si="9"/>
        <v>43513</v>
      </c>
      <c r="Y62" s="384">
        <f t="shared" si="10"/>
        <v>41.027000000000001</v>
      </c>
      <c r="Z62" s="384">
        <f t="shared" si="11"/>
        <v>41.264015493262569</v>
      </c>
      <c r="AA62" s="385">
        <f t="shared" si="12"/>
        <v>41.975355498446049</v>
      </c>
      <c r="AB62" s="196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1.6946610617980688E-2</v>
      </c>
      <c r="AD62" s="230">
        <f>(INDEX(Models!$BJ62:$BT62,,AH62)*(1-AF62)+INDEX(Models!$BJ62:$BT62,,AH62+1)*AF62-ERP_i)*AE62*Ramure*Pc/MaxiM</f>
        <v>5.6675180787356895E-5</v>
      </c>
      <c r="AE62" s="304">
        <f t="shared" si="14"/>
        <v>0.5</v>
      </c>
      <c r="AF62" s="176">
        <f t="shared" si="15"/>
        <v>0.83722162253123056</v>
      </c>
      <c r="AG62" s="175">
        <f t="shared" si="16"/>
        <v>-1</v>
      </c>
      <c r="AH62" s="175">
        <f t="shared" si="17"/>
        <v>5</v>
      </c>
      <c r="AI62" s="224">
        <f t="shared" si="22"/>
        <v>-0.16277837746876941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43514</v>
      </c>
      <c r="B63" s="616">
        <v>40.298000000000002</v>
      </c>
      <c r="C63" s="389"/>
      <c r="D63" s="392">
        <f t="shared" si="0"/>
        <v>40.53169176365865</v>
      </c>
      <c r="E63" s="384">
        <f t="shared" si="1"/>
        <v>41.232762869363178</v>
      </c>
      <c r="F63" s="384">
        <f t="shared" si="2"/>
        <v>41.235106126634335</v>
      </c>
      <c r="G63" s="110">
        <f t="shared" si="23"/>
        <v>1.0019527293165842</v>
      </c>
      <c r="H63" s="413" t="b">
        <f>Wh_hp&gt;='2018'!Maxi_hp</f>
        <v>1</v>
      </c>
      <c r="I63" s="389">
        <f>IF(H63,Wh_hp,'2018'!Maxi_hp)</f>
        <v>41.235106126634335</v>
      </c>
      <c r="J63" s="85">
        <f>IF(H63,An,'2018'!An_max)</f>
        <v>2019</v>
      </c>
      <c r="K63" s="196">
        <f t="shared" si="3"/>
        <v>43514</v>
      </c>
      <c r="L63" s="147">
        <f>IF(t&lt;Tvie,1-EXP((T0-t)*PertePVj)+'2018'!Pspv,1-EXP((T0-t)*PertePVj)+Pspv)</f>
        <v>5.7656553055152049E-3</v>
      </c>
      <c r="M63" s="847"/>
      <c r="N63" s="847"/>
      <c r="O63" s="48">
        <f>IF(t&lt;Tnet,'2018'!Resal+('2018'!Salim-'2018'!Resal)*(1-EXP(('2018'!Tnet-t)/('2018'!Tau_j))),Resal+(Salim-Resal)*(1-EXP((Tnet-t)/(Tau_j))))*Salcycl</f>
        <v>1.7002768112476769E-2</v>
      </c>
      <c r="P63" s="168">
        <f>(INDEX(Models!$BJ63:$BT63,,T63)*(1-R63)+INDEX(Models!$BJ63:$BT63,,T63+1)*R63-ERP_i)*Q63*Ramure*Pc/MaxiM</f>
        <v>5.6826754949038249E-5</v>
      </c>
      <c r="Q63" s="304">
        <f t="shared" si="4"/>
        <v>0.5</v>
      </c>
      <c r="R63" s="176">
        <f t="shared" si="5"/>
        <v>0.83734056575287952</v>
      </c>
      <c r="S63" s="814">
        <f t="shared" si="6"/>
        <v>-1</v>
      </c>
      <c r="T63" s="175">
        <f t="shared" si="7"/>
        <v>5</v>
      </c>
      <c r="U63" s="250">
        <f t="shared" si="21"/>
        <v>-0.16265943424712045</v>
      </c>
      <c r="V63" s="382">
        <f t="shared" si="8"/>
        <v>40.219462276914626</v>
      </c>
      <c r="W63" s="58"/>
      <c r="X63" s="157">
        <f t="shared" si="9"/>
        <v>43514</v>
      </c>
      <c r="Y63" s="384">
        <f t="shared" si="10"/>
        <v>40.298000000000002</v>
      </c>
      <c r="Z63" s="384">
        <f t="shared" si="11"/>
        <v>40.53169176365865</v>
      </c>
      <c r="AA63" s="385">
        <f t="shared" si="12"/>
        <v>41.232762869363178</v>
      </c>
      <c r="AB63" s="196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1.7002768112476769E-2</v>
      </c>
      <c r="AD63" s="230">
        <f>(INDEX(Models!$BJ63:$BT63,,AH63)*(1-AF63)+INDEX(Models!$BJ63:$BT63,,AH63+1)*AF63-ERP_i)*AE63*Ramure*Pc/MaxiM</f>
        <v>5.6826754949038249E-5</v>
      </c>
      <c r="AE63" s="304">
        <f t="shared" si="14"/>
        <v>0.5</v>
      </c>
      <c r="AF63" s="176">
        <f t="shared" si="15"/>
        <v>0.83734056575287952</v>
      </c>
      <c r="AG63" s="175">
        <f t="shared" si="16"/>
        <v>-1</v>
      </c>
      <c r="AH63" s="175">
        <f t="shared" si="17"/>
        <v>5</v>
      </c>
      <c r="AI63" s="224">
        <f t="shared" si="22"/>
        <v>-0.16265943424712045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43515</v>
      </c>
      <c r="B64" s="616">
        <v>29.169</v>
      </c>
      <c r="C64" s="389"/>
      <c r="D64" s="392">
        <f t="shared" si="0"/>
        <v>29.33879627636183</v>
      </c>
      <c r="E64" s="384">
        <f t="shared" si="1"/>
        <v>29.847968779449342</v>
      </c>
      <c r="F64" s="384">
        <f t="shared" si="2"/>
        <v>29.84898696740024</v>
      </c>
      <c r="G64" s="110">
        <f t="shared" si="23"/>
        <v>0.71885602805309823</v>
      </c>
      <c r="H64" s="413" t="b">
        <f>Wh_hp&gt;='2018'!Maxi_hp</f>
        <v>1</v>
      </c>
      <c r="I64" s="389">
        <f>IF(H64,Wh_hp,'2018'!Maxi_hp)</f>
        <v>29.84898696740024</v>
      </c>
      <c r="J64" s="85">
        <f>IF(H64,An,'2018'!An_max)</f>
        <v>2019</v>
      </c>
      <c r="K64" s="196">
        <f t="shared" si="3"/>
        <v>43515</v>
      </c>
      <c r="L64" s="147">
        <f>IF(t&lt;Tvie,1-EXP((T0-t)*PertePVj)+'2018'!Pspv,1-EXP((T0-t)*PertePVj)+Pspv)</f>
        <v>5.7874315892991746E-3</v>
      </c>
      <c r="M64" s="847"/>
      <c r="N64" s="847"/>
      <c r="O64" s="48">
        <f>IF(t&lt;Tnet,'2018'!Resal+('2018'!Salim-'2018'!Resal)*(1-EXP(('2018'!Tnet-t)/('2018'!Tau_j))),Resal+(Salim-Resal)*(1-EXP((Tnet-t)/(Tau_j))))*Salcycl</f>
        <v>1.7058866110784936E-2</v>
      </c>
      <c r="P64" s="168">
        <f>(INDEX(Models!$BJ64:$BT64,,T64)*(1-R64)+INDEX(Models!$BJ64:$BT64,,T64+1)*R64-ERP_i)*Q64*Ramure*Pc/MaxiM</f>
        <v>5.7005211623999676E-5</v>
      </c>
      <c r="Q64" s="304">
        <f t="shared" si="4"/>
        <v>0.5</v>
      </c>
      <c r="R64" s="176">
        <f t="shared" si="5"/>
        <v>0.83746439779856496</v>
      </c>
      <c r="S64" s="814">
        <f t="shared" si="6"/>
        <v>-1</v>
      </c>
      <c r="T64" s="175">
        <f t="shared" si="7"/>
        <v>5</v>
      </c>
      <c r="U64" s="250">
        <f t="shared" si="21"/>
        <v>-0.16253560220143509</v>
      </c>
      <c r="V64" s="382">
        <f t="shared" si="8"/>
        <v>40.576041719934558</v>
      </c>
      <c r="W64" s="58"/>
      <c r="X64" s="157">
        <f t="shared" si="9"/>
        <v>43515</v>
      </c>
      <c r="Y64" s="384">
        <f t="shared" si="10"/>
        <v>29.169</v>
      </c>
      <c r="Z64" s="384">
        <f t="shared" si="11"/>
        <v>29.33879627636183</v>
      </c>
      <c r="AA64" s="385">
        <f t="shared" si="12"/>
        <v>29.847968779449342</v>
      </c>
      <c r="AB64" s="196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1.7058866110784936E-2</v>
      </c>
      <c r="AD64" s="230">
        <f>(INDEX(Models!$BJ64:$BT64,,AH64)*(1-AF64)+INDEX(Models!$BJ64:$BT64,,AH64+1)*AF64-ERP_i)*AE64*Ramure*Pc/MaxiM</f>
        <v>5.7005211623999676E-5</v>
      </c>
      <c r="AE64" s="304">
        <f t="shared" si="14"/>
        <v>0.5</v>
      </c>
      <c r="AF64" s="176">
        <f t="shared" si="15"/>
        <v>0.83746439779856496</v>
      </c>
      <c r="AG64" s="175">
        <f t="shared" si="16"/>
        <v>-1</v>
      </c>
      <c r="AH64" s="175">
        <f t="shared" si="17"/>
        <v>5</v>
      </c>
      <c r="AI64" s="224">
        <f t="shared" si="22"/>
        <v>-0.16253560220143509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43516</v>
      </c>
      <c r="B65" s="616">
        <v>40.15</v>
      </c>
      <c r="C65" s="389"/>
      <c r="D65" s="392">
        <f t="shared" si="0"/>
        <v>40.384602531716887</v>
      </c>
      <c r="E65" s="384">
        <f t="shared" si="1"/>
        <v>41.087816545717928</v>
      </c>
      <c r="F65" s="384">
        <f t="shared" si="2"/>
        <v>41.090103497422589</v>
      </c>
      <c r="G65" s="110">
        <f t="shared" si="23"/>
        <v>0.98101072997076744</v>
      </c>
      <c r="H65" s="413" t="b">
        <f>Wh_hp&gt;='2018'!Maxi_hp</f>
        <v>1</v>
      </c>
      <c r="I65" s="389">
        <f>IF(H65,Wh_hp,'2018'!Maxi_hp)</f>
        <v>41.090103497422589</v>
      </c>
      <c r="J65" s="85">
        <f>IF(H65,An,'2018'!An_max)</f>
        <v>2019</v>
      </c>
      <c r="K65" s="196">
        <f t="shared" si="3"/>
        <v>43516</v>
      </c>
      <c r="L65" s="147">
        <f>IF(t&lt;Tvie,1-EXP((T0-t)*PertePVj)+'2018'!Pspv,1-EXP((T0-t)*PertePVj)+Pspv)</f>
        <v>5.8092073961266699E-3</v>
      </c>
      <c r="M65" s="847"/>
      <c r="N65" s="847"/>
      <c r="O65" s="48">
        <f>IF(t&lt;Tnet,'2018'!Resal+('2018'!Salim-'2018'!Resal)*(1-EXP(('2018'!Tnet-t)/('2018'!Tau_j))),Resal+(Salim-Resal)*(1-EXP((Tnet-t)/(Tau_j))))*Salcycl</f>
        <v>1.7114903470681741E-2</v>
      </c>
      <c r="P65" s="168">
        <f>(INDEX(Models!$BJ65:$BT65,,T65)*(1-R65)+INDEX(Models!$BJ65:$BT65,,T65+1)*R65-ERP_i)*Q65*Ramure*Pc/MaxiM</f>
        <v>5.720880453945887E-5</v>
      </c>
      <c r="Q65" s="304">
        <f t="shared" si="4"/>
        <v>0.5</v>
      </c>
      <c r="R65" s="176">
        <f t="shared" si="5"/>
        <v>0.83759331524211111</v>
      </c>
      <c r="S65" s="814">
        <f t="shared" si="6"/>
        <v>-1</v>
      </c>
      <c r="T65" s="175">
        <f t="shared" si="7"/>
        <v>5</v>
      </c>
      <c r="U65" s="250">
        <f t="shared" si="21"/>
        <v>-0.16240668475788891</v>
      </c>
      <c r="V65" s="382">
        <f t="shared" si="8"/>
        <v>40.92711370506089</v>
      </c>
      <c r="W65" s="58"/>
      <c r="X65" s="157">
        <f t="shared" si="9"/>
        <v>43516</v>
      </c>
      <c r="Y65" s="384">
        <f t="shared" si="10"/>
        <v>40.15</v>
      </c>
      <c r="Z65" s="384">
        <f t="shared" si="11"/>
        <v>40.384602531716887</v>
      </c>
      <c r="AA65" s="385">
        <f t="shared" si="12"/>
        <v>41.087816545717928</v>
      </c>
      <c r="AB65" s="196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1.7114903470681741E-2</v>
      </c>
      <c r="AD65" s="230">
        <f>(INDEX(Models!$BJ65:$BT65,,AH65)*(1-AF65)+INDEX(Models!$BJ65:$BT65,,AH65+1)*AF65-ERP_i)*AE65*Ramure*Pc/MaxiM</f>
        <v>5.720880453945887E-5</v>
      </c>
      <c r="AE65" s="304">
        <f t="shared" si="14"/>
        <v>0.5</v>
      </c>
      <c r="AF65" s="176">
        <f t="shared" si="15"/>
        <v>0.83759331524211111</v>
      </c>
      <c r="AG65" s="175">
        <f t="shared" si="16"/>
        <v>-1</v>
      </c>
      <c r="AH65" s="175">
        <f t="shared" si="17"/>
        <v>5</v>
      </c>
      <c r="AI65" s="224">
        <f t="shared" si="22"/>
        <v>-0.16240668475788891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43517</v>
      </c>
      <c r="B66" s="616">
        <v>38.462000000000003</v>
      </c>
      <c r="C66" s="389"/>
      <c r="D66" s="392">
        <f t="shared" si="0"/>
        <v>38.687586649463974</v>
      </c>
      <c r="E66" s="384">
        <f t="shared" si="1"/>
        <v>39.363492424440608</v>
      </c>
      <c r="F66" s="384">
        <f t="shared" si="2"/>
        <v>39.365531433595841</v>
      </c>
      <c r="G66" s="110">
        <f t="shared" si="23"/>
        <v>0.93185346836948713</v>
      </c>
      <c r="H66" s="413" t="b">
        <f>Wh_hp&gt;='2018'!Maxi_hp</f>
        <v>1</v>
      </c>
      <c r="I66" s="389">
        <f>IF(H66,Wh_hp,'2018'!Maxi_hp)</f>
        <v>39.365531433595841</v>
      </c>
      <c r="J66" s="85">
        <f>IF(H66,An,'2018'!An_max)</f>
        <v>2019</v>
      </c>
      <c r="K66" s="196">
        <f t="shared" si="3"/>
        <v>43517</v>
      </c>
      <c r="L66" s="147">
        <f>IF(t&lt;Tvie,1-EXP((T0-t)*PertePVj)+'2018'!Pspv,1-EXP((T0-t)*PertePVj)+Pspv)</f>
        <v>5.8309827260081271E-3</v>
      </c>
      <c r="M66" s="847"/>
      <c r="N66" s="847"/>
      <c r="O66" s="48">
        <f>IF(t&lt;Tnet,'2018'!Resal+('2018'!Salim-'2018'!Resal)*(1-EXP(('2018'!Tnet-t)/('2018'!Tau_j))),Resal+(Salim-Resal)*(1-EXP((Tnet-t)/(Tau_j))))*Salcycl</f>
        <v>1.7170879242334916E-2</v>
      </c>
      <c r="P66" s="168">
        <f>(INDEX(Models!$BJ66:$BT66,,T66)*(1-R66)+INDEX(Models!$BJ66:$BT66,,T66+1)*R66-ERP_i)*Q66*Ramure*Pc/MaxiM</f>
        <v>5.7382721970694858E-5</v>
      </c>
      <c r="Q66" s="304">
        <f t="shared" si="4"/>
        <v>0.5</v>
      </c>
      <c r="R66" s="176">
        <f t="shared" si="5"/>
        <v>0.83772752219168312</v>
      </c>
      <c r="S66" s="814">
        <f t="shared" si="6"/>
        <v>-1</v>
      </c>
      <c r="T66" s="175">
        <f t="shared" si="7"/>
        <v>5</v>
      </c>
      <c r="U66" s="250">
        <f t="shared" si="21"/>
        <v>-0.16227247780831694</v>
      </c>
      <c r="V66" s="382">
        <f t="shared" si="8"/>
        <v>41.274499102334055</v>
      </c>
      <c r="W66" s="58"/>
      <c r="X66" s="157">
        <f t="shared" si="9"/>
        <v>43517</v>
      </c>
      <c r="Y66" s="384">
        <f t="shared" si="10"/>
        <v>38.462000000000003</v>
      </c>
      <c r="Z66" s="384">
        <f t="shared" si="11"/>
        <v>38.687586649463974</v>
      </c>
      <c r="AA66" s="385">
        <f t="shared" si="12"/>
        <v>39.363492424440608</v>
      </c>
      <c r="AB66" s="196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1.7170879242334916E-2</v>
      </c>
      <c r="AD66" s="230">
        <f>(INDEX(Models!$BJ66:$BT66,,AH66)*(1-AF66)+INDEX(Models!$BJ66:$BT66,,AH66+1)*AF66-ERP_i)*AE66*Ramure*Pc/MaxiM</f>
        <v>5.7382721970694858E-5</v>
      </c>
      <c r="AE66" s="304">
        <f t="shared" si="14"/>
        <v>0.5</v>
      </c>
      <c r="AF66" s="176">
        <f t="shared" si="15"/>
        <v>0.83772752219168312</v>
      </c>
      <c r="AG66" s="175">
        <f t="shared" si="16"/>
        <v>-1</v>
      </c>
      <c r="AH66" s="175">
        <f t="shared" si="17"/>
        <v>5</v>
      </c>
      <c r="AI66" s="224">
        <f t="shared" si="22"/>
        <v>-0.16227247780831694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43518</v>
      </c>
      <c r="B67" s="616">
        <v>39.709000000000003</v>
      </c>
      <c r="C67" s="389"/>
      <c r="D67" s="392">
        <f t="shared" si="0"/>
        <v>39.942775381337576</v>
      </c>
      <c r="E67" s="384">
        <f t="shared" si="1"/>
        <v>40.642922583150494</v>
      </c>
      <c r="F67" s="384">
        <f t="shared" si="2"/>
        <v>40.645104573688002</v>
      </c>
      <c r="G67" s="110">
        <f t="shared" si="23"/>
        <v>0.95411491744870391</v>
      </c>
      <c r="H67" s="413" t="b">
        <f>Wh_hp&gt;='2018'!Maxi_hp</f>
        <v>1</v>
      </c>
      <c r="I67" s="389">
        <f>IF(H67,Wh_hp,'2018'!Maxi_hp)</f>
        <v>40.645104573688002</v>
      </c>
      <c r="J67" s="85">
        <f>IF(H67,An,'2018'!An_max)</f>
        <v>2019</v>
      </c>
      <c r="K67" s="196">
        <f t="shared" si="3"/>
        <v>43518</v>
      </c>
      <c r="L67" s="147">
        <f>IF(t&lt;Tvie,1-EXP((T0-t)*PertePVj)+'2018'!Pspv,1-EXP((T0-t)*PertePVj)+Pspv)</f>
        <v>5.8527575789538711E-3</v>
      </c>
      <c r="M67" s="847"/>
      <c r="N67" s="847"/>
      <c r="O67" s="48">
        <f>IF(t&lt;Tnet,'2018'!Resal+('2018'!Salim-'2018'!Resal)*(1-EXP(('2018'!Tnet-t)/('2018'!Tau_j))),Resal+(Salim-Resal)*(1-EXP((Tnet-t)/(Tau_j))))*Salcycl</f>
        <v>1.7226792693869553E-2</v>
      </c>
      <c r="P67" s="168">
        <f>(INDEX(Models!$BJ67:$BT67,,T67)*(1-R67)+INDEX(Models!$BJ67:$BT67,,T67+1)*R67-ERP_i)*Q67*Ramure*Pc/MaxiM</f>
        <v>5.7449495411112407E-5</v>
      </c>
      <c r="Q67" s="304">
        <f t="shared" si="4"/>
        <v>0.5</v>
      </c>
      <c r="R67" s="176">
        <f t="shared" si="5"/>
        <v>0.83786723054712464</v>
      </c>
      <c r="S67" s="814">
        <f t="shared" si="6"/>
        <v>-1</v>
      </c>
      <c r="T67" s="175">
        <f t="shared" si="7"/>
        <v>5</v>
      </c>
      <c r="U67" s="250">
        <f t="shared" si="21"/>
        <v>-0.16213276945287536</v>
      </c>
      <c r="V67" s="382">
        <f t="shared" si="8"/>
        <v>41.618519677764667</v>
      </c>
      <c r="W67" s="58"/>
      <c r="X67" s="157">
        <f t="shared" si="9"/>
        <v>43518</v>
      </c>
      <c r="Y67" s="384">
        <f t="shared" si="10"/>
        <v>39.709000000000003</v>
      </c>
      <c r="Z67" s="384">
        <f t="shared" si="11"/>
        <v>39.942775381337576</v>
      </c>
      <c r="AA67" s="385">
        <f t="shared" si="12"/>
        <v>40.642922583150494</v>
      </c>
      <c r="AB67" s="196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1.7226792693869553E-2</v>
      </c>
      <c r="AD67" s="230">
        <f>(INDEX(Models!$BJ67:$BT67,,AH67)*(1-AF67)+INDEX(Models!$BJ67:$BT67,,AH67+1)*AF67-ERP_i)*AE67*Ramure*Pc/MaxiM</f>
        <v>5.7449495411112407E-5</v>
      </c>
      <c r="AE67" s="304">
        <f t="shared" si="14"/>
        <v>0.5</v>
      </c>
      <c r="AF67" s="176">
        <f t="shared" si="15"/>
        <v>0.83786723054712464</v>
      </c>
      <c r="AG67" s="175">
        <f t="shared" si="16"/>
        <v>-1</v>
      </c>
      <c r="AH67" s="175">
        <f t="shared" si="17"/>
        <v>5</v>
      </c>
      <c r="AI67" s="224">
        <f t="shared" si="22"/>
        <v>-0.16213276945287536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43519</v>
      </c>
      <c r="B68" s="616">
        <v>40.545999999999999</v>
      </c>
      <c r="C68" s="389"/>
      <c r="D68" s="392">
        <f t="shared" si="0"/>
        <v>40.78559628870066</v>
      </c>
      <c r="E68" s="384">
        <f t="shared" si="1"/>
        <v>41.502875686599346</v>
      </c>
      <c r="F68" s="384">
        <f t="shared" si="2"/>
        <v>41.50514386113214</v>
      </c>
      <c r="G68" s="110">
        <f t="shared" si="23"/>
        <v>0.96631022528733912</v>
      </c>
      <c r="H68" s="413" t="b">
        <f>Wh_hp&gt;='2018'!Maxi_hp</f>
        <v>1</v>
      </c>
      <c r="I68" s="389">
        <f>IF(H68,Wh_hp,'2018'!Maxi_hp)</f>
        <v>41.50514386113214</v>
      </c>
      <c r="J68" s="85">
        <f>IF(H68,An,'2018'!An_max)</f>
        <v>2019</v>
      </c>
      <c r="K68" s="196">
        <f t="shared" si="3"/>
        <v>43519</v>
      </c>
      <c r="L68" s="147">
        <f>IF(t&lt;Tvie,1-EXP((T0-t)*PertePVj)+'2018'!Pspv,1-EXP((T0-t)*PertePVj)+Pspv)</f>
        <v>5.87453195497456E-3</v>
      </c>
      <c r="M68" s="847"/>
      <c r="N68" s="847"/>
      <c r="O68" s="48">
        <f>IF(t&lt;Tnet,'2018'!Resal+('2018'!Salim-'2018'!Resal)*(1-EXP(('2018'!Tnet-t)/('2018'!Tau_j))),Resal+(Salim-Resal)*(1-EXP((Tnet-t)/(Tau_j))))*Salcycl</f>
        <v>1.7282643335731252E-2</v>
      </c>
      <c r="P68" s="168">
        <f>(INDEX(Models!$BJ68:$BT68,,T68)*(1-R68)+INDEX(Models!$BJ68:$BT68,,T68+1)*R68-ERP_i)*Q68*Ramure*Pc/MaxiM</f>
        <v>5.741090170934459E-5</v>
      </c>
      <c r="Q68" s="304">
        <f t="shared" si="4"/>
        <v>0.5</v>
      </c>
      <c r="R68" s="176">
        <f t="shared" si="5"/>
        <v>0.83801266026335131</v>
      </c>
      <c r="S68" s="814">
        <f t="shared" si="6"/>
        <v>-1</v>
      </c>
      <c r="T68" s="175">
        <f t="shared" si="7"/>
        <v>5</v>
      </c>
      <c r="U68" s="250">
        <f t="shared" si="21"/>
        <v>-0.16198733973664864</v>
      </c>
      <c r="V68" s="382">
        <f t="shared" si="8"/>
        <v>41.959493866068215</v>
      </c>
      <c r="W68" s="58"/>
      <c r="X68" s="157">
        <f t="shared" si="9"/>
        <v>43519</v>
      </c>
      <c r="Y68" s="384">
        <f t="shared" si="10"/>
        <v>40.545999999999999</v>
      </c>
      <c r="Z68" s="384">
        <f t="shared" si="11"/>
        <v>40.78559628870066</v>
      </c>
      <c r="AA68" s="385">
        <f t="shared" si="12"/>
        <v>41.502875686599346</v>
      </c>
      <c r="AB68" s="196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1.7282643335731252E-2</v>
      </c>
      <c r="AD68" s="230">
        <f>(INDEX(Models!$BJ68:$BT68,,AH68)*(1-AF68)+INDEX(Models!$BJ68:$BT68,,AH68+1)*AF68-ERP_i)*AE68*Ramure*Pc/MaxiM</f>
        <v>5.741090170934459E-5</v>
      </c>
      <c r="AE68" s="304">
        <f t="shared" si="14"/>
        <v>0.5</v>
      </c>
      <c r="AF68" s="176">
        <f t="shared" si="15"/>
        <v>0.83801266026335131</v>
      </c>
      <c r="AG68" s="175">
        <f t="shared" si="16"/>
        <v>-1</v>
      </c>
      <c r="AH68" s="175">
        <f t="shared" si="17"/>
        <v>5</v>
      </c>
      <c r="AI68" s="224">
        <f t="shared" si="22"/>
        <v>-0.16198733973664864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43520</v>
      </c>
      <c r="B69" s="616">
        <v>40.715000000000003</v>
      </c>
      <c r="C69" s="389"/>
      <c r="D69" s="392">
        <f t="shared" si="0"/>
        <v>40.956492003563213</v>
      </c>
      <c r="E69" s="384">
        <f t="shared" si="1"/>
        <v>41.679142945310076</v>
      </c>
      <c r="F69" s="384">
        <f t="shared" si="2"/>
        <v>41.681402391567552</v>
      </c>
      <c r="G69" s="110">
        <f t="shared" si="23"/>
        <v>0.96257803305792911</v>
      </c>
      <c r="H69" s="413" t="b">
        <f>Wh_hp&gt;='2018'!Maxi_hp</f>
        <v>1</v>
      </c>
      <c r="I69" s="389">
        <f>IF(H69,Wh_hp,'2018'!Maxi_hp)</f>
        <v>41.681402391567552</v>
      </c>
      <c r="J69" s="85">
        <f>IF(H69,An,'2018'!An_max)</f>
        <v>2019</v>
      </c>
      <c r="K69" s="196">
        <f t="shared" si="3"/>
        <v>43520</v>
      </c>
      <c r="L69" s="147">
        <f>IF(t&lt;Tvie,1-EXP((T0-t)*PertePVj)+'2018'!Pspv,1-EXP((T0-t)*PertePVj)+Pspv)</f>
        <v>5.8963058540805191E-3</v>
      </c>
      <c r="M69" s="847"/>
      <c r="N69" s="847"/>
      <c r="O69" s="48">
        <f>IF(t&lt;Tnet,'2018'!Resal+('2018'!Salim-'2018'!Resal)*(1-EXP(('2018'!Tnet-t)/('2018'!Tau_j))),Resal+(Salim-Resal)*(1-EXP((Tnet-t)/(Tau_j))))*Salcycl</f>
        <v>1.7338430943628136E-2</v>
      </c>
      <c r="P69" s="168">
        <f>(INDEX(Models!$BJ69:$BT69,,T69)*(1-R69)+INDEX(Models!$BJ69:$BT69,,T69+1)*R69-ERP_i)*Q69*Ramure*Pc/MaxiM</f>
        <v>5.7268890357413456E-5</v>
      </c>
      <c r="Q69" s="304">
        <f t="shared" si="4"/>
        <v>0.5</v>
      </c>
      <c r="R69" s="176">
        <f t="shared" si="5"/>
        <v>0.83816403961968233</v>
      </c>
      <c r="S69" s="814">
        <f t="shared" si="6"/>
        <v>-1</v>
      </c>
      <c r="T69" s="175">
        <f t="shared" si="7"/>
        <v>5</v>
      </c>
      <c r="U69" s="250">
        <f t="shared" si="21"/>
        <v>-0.16183596038031767</v>
      </c>
      <c r="V69" s="382">
        <f t="shared" si="8"/>
        <v>42.297739977496192</v>
      </c>
      <c r="W69" s="58"/>
      <c r="X69" s="157">
        <f t="shared" si="9"/>
        <v>43520</v>
      </c>
      <c r="Y69" s="384">
        <f t="shared" si="10"/>
        <v>40.715000000000003</v>
      </c>
      <c r="Z69" s="384">
        <f t="shared" si="11"/>
        <v>40.956492003563213</v>
      </c>
      <c r="AA69" s="385">
        <f t="shared" si="12"/>
        <v>41.679142945310076</v>
      </c>
      <c r="AB69" s="196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1.7338430943628136E-2</v>
      </c>
      <c r="AD69" s="230">
        <f>(INDEX(Models!$BJ69:$BT69,,AH69)*(1-AF69)+INDEX(Models!$BJ69:$BT69,,AH69+1)*AF69-ERP_i)*AE69*Ramure*Pc/MaxiM</f>
        <v>5.7268890357413456E-5</v>
      </c>
      <c r="AE69" s="304">
        <f t="shared" si="14"/>
        <v>0.5</v>
      </c>
      <c r="AF69" s="176">
        <f t="shared" si="15"/>
        <v>0.83816403961968233</v>
      </c>
      <c r="AG69" s="175">
        <f t="shared" si="16"/>
        <v>-1</v>
      </c>
      <c r="AH69" s="175">
        <f t="shared" si="17"/>
        <v>5</v>
      </c>
      <c r="AI69" s="224">
        <f t="shared" si="22"/>
        <v>-0.16183596038031767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43521</v>
      </c>
      <c r="B70" s="616">
        <v>41.631999999999998</v>
      </c>
      <c r="C70" s="389"/>
      <c r="D70" s="392">
        <f t="shared" si="0"/>
        <v>41.879848262093738</v>
      </c>
      <c r="E70" s="384">
        <f t="shared" si="1"/>
        <v>42.621208188322697</v>
      </c>
      <c r="F70" s="384">
        <f t="shared" si="2"/>
        <v>42.62355723611401</v>
      </c>
      <c r="G70" s="110">
        <f t="shared" si="23"/>
        <v>0.97650546865199261</v>
      </c>
      <c r="H70" s="413" t="b">
        <f>Wh_hp&gt;='2018'!Maxi_hp</f>
        <v>1</v>
      </c>
      <c r="I70" s="389">
        <f>IF(H70,Wh_hp,'2018'!Maxi_hp)</f>
        <v>42.62355723611401</v>
      </c>
      <c r="J70" s="85">
        <f>IF(H70,An,'2018'!An_max)</f>
        <v>2019</v>
      </c>
      <c r="K70" s="196">
        <f t="shared" si="3"/>
        <v>43521</v>
      </c>
      <c r="L70" s="147">
        <f>IF(t&lt;Tvie,1-EXP((T0-t)*PertePVj)+'2018'!Pspv,1-EXP((T0-t)*PertePVj)+Pspv)</f>
        <v>5.9180792762821843E-3</v>
      </c>
      <c r="M70" s="847"/>
      <c r="N70" s="847"/>
      <c r="O70" s="48">
        <f>IF(t&lt;Tnet,'2018'!Resal+('2018'!Salim-'2018'!Resal)*(1-EXP(('2018'!Tnet-t)/('2018'!Tau_j))),Resal+(Salim-Resal)*(1-EXP((Tnet-t)/(Tau_j))))*Salcycl</f>
        <v>1.7394155579852241E-2</v>
      </c>
      <c r="P70" s="168">
        <f>(INDEX(Models!$BJ70:$BT70,,T70)*(1-R70)+INDEX(Models!$BJ70:$BT70,,T70+1)*R70-ERP_i)*Q70*Ramure*Pc/MaxiM</f>
        <v>5.7025314523398364E-5</v>
      </c>
      <c r="Q70" s="304">
        <f t="shared" si="4"/>
        <v>0.5</v>
      </c>
      <c r="R70" s="176">
        <f t="shared" si="5"/>
        <v>0.83832160549496393</v>
      </c>
      <c r="S70" s="814">
        <f t="shared" si="6"/>
        <v>-1</v>
      </c>
      <c r="T70" s="175">
        <f t="shared" si="7"/>
        <v>5</v>
      </c>
      <c r="U70" s="250">
        <f t="shared" si="21"/>
        <v>-0.16167839450503604</v>
      </c>
      <c r="V70" s="382">
        <f t="shared" si="8"/>
        <v>42.633576212100913</v>
      </c>
      <c r="W70" s="58"/>
      <c r="X70" s="157">
        <f t="shared" si="9"/>
        <v>43521</v>
      </c>
      <c r="Y70" s="384">
        <f t="shared" si="10"/>
        <v>41.631999999999998</v>
      </c>
      <c r="Z70" s="384">
        <f t="shared" si="11"/>
        <v>41.879848262093738</v>
      </c>
      <c r="AA70" s="385">
        <f t="shared" si="12"/>
        <v>42.621208188322697</v>
      </c>
      <c r="AB70" s="196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1.7394155579852241E-2</v>
      </c>
      <c r="AD70" s="230">
        <f>(INDEX(Models!$BJ70:$BT70,,AH70)*(1-AF70)+INDEX(Models!$BJ70:$BT70,,AH70+1)*AF70-ERP_i)*AE70*Ramure*Pc/MaxiM</f>
        <v>5.7025314523398364E-5</v>
      </c>
      <c r="AE70" s="304">
        <f t="shared" si="14"/>
        <v>0.5</v>
      </c>
      <c r="AF70" s="176">
        <f t="shared" si="15"/>
        <v>0.83832160549496393</v>
      </c>
      <c r="AG70" s="175">
        <f t="shared" si="16"/>
        <v>-1</v>
      </c>
      <c r="AH70" s="175">
        <f t="shared" si="17"/>
        <v>5</v>
      </c>
      <c r="AI70" s="224">
        <f t="shared" si="22"/>
        <v>-0.16167839450503604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43522</v>
      </c>
      <c r="B71" s="616">
        <v>38.71</v>
      </c>
      <c r="C71" s="389"/>
      <c r="D71" s="392">
        <f t="shared" si="0"/>
        <v>38.941305600583242</v>
      </c>
      <c r="E71" s="384">
        <f t="shared" si="1"/>
        <v>39.632892343444112</v>
      </c>
      <c r="F71" s="384">
        <f t="shared" si="2"/>
        <v>39.634820926127432</v>
      </c>
      <c r="G71" s="110">
        <f t="shared" si="23"/>
        <v>0.90091001303648655</v>
      </c>
      <c r="H71" s="413" t="b">
        <f>Wh_hp&gt;='2018'!Maxi_hp</f>
        <v>1</v>
      </c>
      <c r="I71" s="389">
        <f>IF(H71,Wh_hp,'2018'!Maxi_hp)</f>
        <v>39.634820926127432</v>
      </c>
      <c r="J71" s="85">
        <f>IF(H71,An,'2018'!An_max)</f>
        <v>2019</v>
      </c>
      <c r="K71" s="196">
        <f t="shared" si="3"/>
        <v>43522</v>
      </c>
      <c r="L71" s="147">
        <f>IF(t&lt;Tvie,1-EXP((T0-t)*PertePVj)+'2018'!Pspv,1-EXP((T0-t)*PertePVj)+Pspv)</f>
        <v>5.9398522215899918E-3</v>
      </c>
      <c r="M71" s="847"/>
      <c r="N71" s="847"/>
      <c r="O71" s="48">
        <f>IF(t&lt;Tnet,'2018'!Resal+('2018'!Salim-'2018'!Resal)*(1-EXP(('2018'!Tnet-t)/('2018'!Tau_j))),Resal+(Salim-Resal)*(1-EXP((Tnet-t)/(Tau_j))))*Salcycl</f>
        <v>1.7449817612800855E-2</v>
      </c>
      <c r="P71" s="168">
        <f>(INDEX(Models!$BJ71:$BT71,,T71)*(1-R71)+INDEX(Models!$BJ71:$BT71,,T71+1)*R71-ERP_i)*Q71*Ramure*Pc/MaxiM</f>
        <v>5.6681944118193633E-5</v>
      </c>
      <c r="Q71" s="304">
        <f t="shared" si="4"/>
        <v>0.5</v>
      </c>
      <c r="R71" s="176">
        <f t="shared" si="5"/>
        <v>0.83848560364830316</v>
      </c>
      <c r="S71" s="814">
        <f t="shared" si="6"/>
        <v>-1</v>
      </c>
      <c r="T71" s="175">
        <f t="shared" si="7"/>
        <v>5</v>
      </c>
      <c r="U71" s="250">
        <f t="shared" si="21"/>
        <v>-0.16151439635169687</v>
      </c>
      <c r="V71" s="382">
        <f t="shared" si="8"/>
        <v>42.967320652115561</v>
      </c>
      <c r="W71" s="58"/>
      <c r="X71" s="157">
        <f t="shared" si="9"/>
        <v>43522</v>
      </c>
      <c r="Y71" s="384">
        <f t="shared" si="10"/>
        <v>38.71</v>
      </c>
      <c r="Z71" s="384">
        <f t="shared" si="11"/>
        <v>38.941305600583242</v>
      </c>
      <c r="AA71" s="385">
        <f t="shared" si="12"/>
        <v>39.632892343444112</v>
      </c>
      <c r="AB71" s="196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1.7449817612800855E-2</v>
      </c>
      <c r="AD71" s="230">
        <f>(INDEX(Models!$BJ71:$BT71,,AH71)*(1-AF71)+INDEX(Models!$BJ71:$BT71,,AH71+1)*AF71-ERP_i)*AE71*Ramure*Pc/MaxiM</f>
        <v>5.6681944118193633E-5</v>
      </c>
      <c r="AE71" s="304">
        <f t="shared" si="14"/>
        <v>0.5</v>
      </c>
      <c r="AF71" s="176">
        <f t="shared" si="15"/>
        <v>0.83848560364830316</v>
      </c>
      <c r="AG71" s="175">
        <f t="shared" si="16"/>
        <v>-1</v>
      </c>
      <c r="AH71" s="175">
        <f t="shared" si="17"/>
        <v>5</v>
      </c>
      <c r="AI71" s="224">
        <f t="shared" si="22"/>
        <v>-0.16151439635169687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43523</v>
      </c>
      <c r="B72" s="616">
        <v>42.377000000000002</v>
      </c>
      <c r="C72" s="389"/>
      <c r="D72" s="392">
        <f t="shared" si="0"/>
        <v>42.631150921899732</v>
      </c>
      <c r="E72" s="384">
        <f t="shared" si="1"/>
        <v>43.390723665467725</v>
      </c>
      <c r="F72" s="384">
        <f t="shared" si="2"/>
        <v>43.393091127418728</v>
      </c>
      <c r="G72" s="110">
        <f t="shared" si="23"/>
        <v>0.97869797588749197</v>
      </c>
      <c r="H72" s="413" t="b">
        <f>Wh_hp&gt;='2018'!Maxi_hp</f>
        <v>1</v>
      </c>
      <c r="I72" s="389">
        <f>IF(H72,Wh_hp,'2018'!Maxi_hp)</f>
        <v>43.393091127418728</v>
      </c>
      <c r="J72" s="85">
        <f>IF(H72,An,'2018'!An_max)</f>
        <v>2019</v>
      </c>
      <c r="K72" s="196">
        <f t="shared" si="3"/>
        <v>43523</v>
      </c>
      <c r="L72" s="147">
        <f>IF(t&lt;Tvie,1-EXP((T0-t)*PertePVj)+'2018'!Pspv,1-EXP((T0-t)*PertePVj)+Pspv)</f>
        <v>5.9616246900144887E-3</v>
      </c>
      <c r="M72" s="847"/>
      <c r="N72" s="847"/>
      <c r="O72" s="48">
        <f>IF(t&lt;Tnet,'2018'!Resal+('2018'!Salim-'2018'!Resal)*(1-EXP(('2018'!Tnet-t)/('2018'!Tau_j))),Resal+(Salim-Resal)*(1-EXP((Tnet-t)/(Tau_j))))*Salcycl</f>
        <v>1.7505417734539737E-2</v>
      </c>
      <c r="P72" s="168">
        <f>(INDEX(Models!$BJ72:$BT72,,T72)*(1-R72)+INDEX(Models!$BJ72:$BT72,,T72+1)*R72-ERP_i)*Q72*Ramure*Pc/MaxiM</f>
        <v>5.6270766779331735E-5</v>
      </c>
      <c r="Q72" s="304">
        <f t="shared" si="4"/>
        <v>0.5</v>
      </c>
      <c r="R72" s="176">
        <f t="shared" si="5"/>
        <v>0.83865628900518918</v>
      </c>
      <c r="S72" s="814">
        <f t="shared" si="6"/>
        <v>-1</v>
      </c>
      <c r="T72" s="175">
        <f t="shared" si="7"/>
        <v>5</v>
      </c>
      <c r="U72" s="250">
        <f t="shared" si="21"/>
        <v>-0.16134371099481079</v>
      </c>
      <c r="V72" s="382">
        <f t="shared" si="8"/>
        <v>43.299289953954272</v>
      </c>
      <c r="W72" s="58"/>
      <c r="X72" s="157">
        <f t="shared" si="9"/>
        <v>43523</v>
      </c>
      <c r="Y72" s="384">
        <f t="shared" si="10"/>
        <v>42.377000000000002</v>
      </c>
      <c r="Z72" s="384">
        <f t="shared" si="11"/>
        <v>42.631150921899732</v>
      </c>
      <c r="AA72" s="385">
        <f t="shared" si="12"/>
        <v>43.390723665467725</v>
      </c>
      <c r="AB72" s="196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1.7505417734539737E-2</v>
      </c>
      <c r="AD72" s="230">
        <f>(INDEX(Models!$BJ72:$BT72,,AH72)*(1-AF72)+INDEX(Models!$BJ72:$BT72,,AH72+1)*AF72-ERP_i)*AE72*Ramure*Pc/MaxiM</f>
        <v>5.6270766779331735E-5</v>
      </c>
      <c r="AE72" s="304">
        <f t="shared" si="14"/>
        <v>0.5</v>
      </c>
      <c r="AF72" s="176">
        <f t="shared" si="15"/>
        <v>0.83865628900518918</v>
      </c>
      <c r="AG72" s="175">
        <f t="shared" si="16"/>
        <v>-1</v>
      </c>
      <c r="AH72" s="175">
        <f t="shared" si="17"/>
        <v>5</v>
      </c>
      <c r="AI72" s="224">
        <f t="shared" si="22"/>
        <v>-0.16134371099481079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43524</v>
      </c>
      <c r="B73" s="616">
        <v>35.146000000000001</v>
      </c>
      <c r="C73" s="389"/>
      <c r="D73" s="392">
        <f t="shared" si="0"/>
        <v>35.35755829698244</v>
      </c>
      <c r="E73" s="384">
        <f t="shared" si="1"/>
        <v>35.989569579970897</v>
      </c>
      <c r="F73" s="384">
        <f t="shared" si="2"/>
        <v>35.991021294726998</v>
      </c>
      <c r="G73" s="110">
        <f t="shared" si="23"/>
        <v>0.80553784640331338</v>
      </c>
      <c r="H73" s="413" t="b">
        <f>Wh_hp&gt;='2018'!Maxi_hp</f>
        <v>1</v>
      </c>
      <c r="I73" s="389">
        <f>IF(H73,Wh_hp,'2018'!Maxi_hp)</f>
        <v>35.991021294726998</v>
      </c>
      <c r="J73" s="85">
        <f>IF(H73,An,'2018'!An_max)</f>
        <v>2019</v>
      </c>
      <c r="K73" s="196">
        <f t="shared" si="3"/>
        <v>43524</v>
      </c>
      <c r="L73" s="147">
        <f>IF(t&lt;Tvie,1-EXP((T0-t)*PertePVj)+'2018'!Pspv,1-EXP((T0-t)*PertePVj)+Pspv)</f>
        <v>5.983396681566E-3</v>
      </c>
      <c r="M73" s="847"/>
      <c r="N73" s="847"/>
      <c r="O73" s="48">
        <f>IF(t&lt;Tnet,'2018'!Resal+('2018'!Salim-'2018'!Resal)*(1-EXP(('2018'!Tnet-t)/('2018'!Tau_j))),Resal+(Salim-Resal)*(1-EXP((Tnet-t)/(Tau_j))))*Salcycl</f>
        <v>1.7560956976273231E-2</v>
      </c>
      <c r="P73" s="168">
        <f>(INDEX(Models!$BJ73:$BT73,,T73)*(1-R73)+INDEX(Models!$BJ73:$BT73,,T73+1)*R73-ERP_i)*Q73*Ramure*Pc/MaxiM</f>
        <v>5.5849687856514891E-5</v>
      </c>
      <c r="Q73" s="304">
        <f t="shared" si="4"/>
        <v>0.5</v>
      </c>
      <c r="R73" s="176">
        <f t="shared" si="5"/>
        <v>0.83883392594874184</v>
      </c>
      <c r="S73" s="814">
        <f t="shared" si="6"/>
        <v>-1</v>
      </c>
      <c r="T73" s="175">
        <f t="shared" si="7"/>
        <v>5</v>
      </c>
      <c r="U73" s="250">
        <f t="shared" si="21"/>
        <v>-0.16116607405125818</v>
      </c>
      <c r="V73" s="382">
        <f t="shared" si="8"/>
        <v>43.629799483939941</v>
      </c>
      <c r="W73" s="58"/>
      <c r="X73" s="157">
        <f t="shared" si="9"/>
        <v>43524</v>
      </c>
      <c r="Y73" s="384">
        <f t="shared" si="10"/>
        <v>35.146000000000001</v>
      </c>
      <c r="Z73" s="384">
        <f t="shared" si="11"/>
        <v>35.35755829698244</v>
      </c>
      <c r="AA73" s="385">
        <f t="shared" si="12"/>
        <v>35.989569579970897</v>
      </c>
      <c r="AB73" s="196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1.7560956976273231E-2</v>
      </c>
      <c r="AD73" s="230">
        <f>(INDEX(Models!$BJ73:$BT73,,AH73)*(1-AF73)+INDEX(Models!$BJ73:$BT73,,AH73+1)*AF73-ERP_i)*AE73*Ramure*Pc/MaxiM</f>
        <v>5.5849687856514891E-5</v>
      </c>
      <c r="AE73" s="304">
        <f t="shared" si="14"/>
        <v>0.5</v>
      </c>
      <c r="AF73" s="176">
        <f t="shared" si="15"/>
        <v>0.83883392594874184</v>
      </c>
      <c r="AG73" s="175">
        <f t="shared" si="16"/>
        <v>-1</v>
      </c>
      <c r="AH73" s="175">
        <f t="shared" si="17"/>
        <v>5</v>
      </c>
      <c r="AI73" s="224">
        <f t="shared" si="22"/>
        <v>-0.16116607405125818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43525</v>
      </c>
      <c r="B74" s="616">
        <v>14.827</v>
      </c>
      <c r="C74" s="389"/>
      <c r="D74" s="392">
        <f t="shared" si="0"/>
        <v>14.916576551101681</v>
      </c>
      <c r="E74" s="384">
        <f t="shared" si="1"/>
        <v>15.184065683389882</v>
      </c>
      <c r="F74" s="384">
        <f t="shared" si="2"/>
        <v>15.184110510636032</v>
      </c>
      <c r="G74" s="110">
        <f t="shared" si="23"/>
        <v>0.33727258960123235</v>
      </c>
      <c r="H74" s="413" t="b">
        <f>Wh_hp&gt;='2018'!Maxi_hp</f>
        <v>1</v>
      </c>
      <c r="I74" s="389">
        <f>IF(H74,Wh_hp,'2018'!Maxi_hp)</f>
        <v>15.184110510636032</v>
      </c>
      <c r="J74" s="85">
        <f>IF(H74,An,'2018'!An_max)</f>
        <v>2019</v>
      </c>
      <c r="K74" s="196">
        <f t="shared" si="3"/>
        <v>43525</v>
      </c>
      <c r="L74" s="147">
        <f>IF(t&lt;Tvie,1-EXP((T0-t)*PertePVj)+'2018'!Pspv,1-EXP((T0-t)*PertePVj)+Pspv)</f>
        <v>6.0051681962550729E-3</v>
      </c>
      <c r="M74" s="847"/>
      <c r="N74" s="847"/>
      <c r="O74" s="48">
        <f>IF(t&lt;Tnet,'2018'!Resal+('2018'!Salim-'2018'!Resal)*(1-EXP(('2018'!Tnet-t)/('2018'!Tau_j))),Resal+(Salim-Resal)*(1-EXP((Tnet-t)/(Tau_j))))*Salcycl</f>
        <v>1.7616436721609618E-2</v>
      </c>
      <c r="P74" s="168">
        <f>(INDEX(Models!$BJ74:$BT74,,T74)*(1-R74)+INDEX(Models!$BJ74:$BT74,,T74+1)*R74-ERP_i)*Q74*Ramure*Pc/MaxiM</f>
        <v>5.5418533543641854E-5</v>
      </c>
      <c r="Q74" s="304">
        <f t="shared" si="4"/>
        <v>0.5</v>
      </c>
      <c r="R74" s="176">
        <f t="shared" si="5"/>
        <v>0.83901878861577706</v>
      </c>
      <c r="S74" s="814">
        <f t="shared" si="6"/>
        <v>-1</v>
      </c>
      <c r="T74" s="175">
        <f t="shared" si="7"/>
        <v>5</v>
      </c>
      <c r="U74" s="250">
        <f t="shared" si="21"/>
        <v>-0.16098121138422292</v>
      </c>
      <c r="V74" s="382">
        <f t="shared" si="8"/>
        <v>43.959166968189479</v>
      </c>
      <c r="W74" s="58"/>
      <c r="X74" s="157">
        <f t="shared" si="9"/>
        <v>43525</v>
      </c>
      <c r="Y74" s="384">
        <f t="shared" si="10"/>
        <v>14.827</v>
      </c>
      <c r="Z74" s="384">
        <f t="shared" si="11"/>
        <v>14.916576551101681</v>
      </c>
      <c r="AA74" s="385">
        <f t="shared" si="12"/>
        <v>15.184065683389882</v>
      </c>
      <c r="AB74" s="196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1.7616436721609618E-2</v>
      </c>
      <c r="AD74" s="230">
        <f>(INDEX(Models!$BJ74:$BT74,,AH74)*(1-AF74)+INDEX(Models!$BJ74:$BT74,,AH74+1)*AF74-ERP_i)*AE74*Ramure*Pc/MaxiM</f>
        <v>5.5418533543641854E-5</v>
      </c>
      <c r="AE74" s="304">
        <f t="shared" si="14"/>
        <v>0.5</v>
      </c>
      <c r="AF74" s="176">
        <f t="shared" si="15"/>
        <v>0.83901878861577706</v>
      </c>
      <c r="AG74" s="175">
        <f t="shared" si="16"/>
        <v>-1</v>
      </c>
      <c r="AH74" s="175">
        <f t="shared" si="17"/>
        <v>5</v>
      </c>
      <c r="AI74" s="224">
        <f t="shared" si="22"/>
        <v>-0.16098121138422292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43526</v>
      </c>
      <c r="B75" s="616">
        <v>22.048999999999999</v>
      </c>
      <c r="C75" s="389"/>
      <c r="D75" s="392">
        <f t="shared" si="0"/>
        <v>22.18269374726323</v>
      </c>
      <c r="E75" s="384">
        <f t="shared" si="1"/>
        <v>22.581755337175739</v>
      </c>
      <c r="F75" s="384">
        <f t="shared" si="2"/>
        <v>22.582106252857731</v>
      </c>
      <c r="G75" s="110">
        <f t="shared" si="23"/>
        <v>0.49783857462463843</v>
      </c>
      <c r="H75" s="413" t="b">
        <f>Wh_hp&gt;='2018'!Maxi_hp</f>
        <v>1</v>
      </c>
      <c r="I75" s="389">
        <f>IF(H75,Wh_hp,'2018'!Maxi_hp)</f>
        <v>22.582106252857731</v>
      </c>
      <c r="J75" s="85">
        <f>IF(H75,An,'2018'!An_max)</f>
        <v>2019</v>
      </c>
      <c r="K75" s="196">
        <f t="shared" si="3"/>
        <v>43526</v>
      </c>
      <c r="L75" s="147">
        <f>IF(t&lt;Tvie,1-EXP((T0-t)*PertePVj)+'2018'!Pspv,1-EXP((T0-t)*PertePVj)+Pspv)</f>
        <v>6.0269392340920325E-3</v>
      </c>
      <c r="M75" s="847"/>
      <c r="N75" s="847"/>
      <c r="O75" s="48">
        <f>IF(t&lt;Tnet,'2018'!Resal+('2018'!Salim-'2018'!Resal)*(1-EXP(('2018'!Tnet-t)/('2018'!Tau_j))),Resal+(Salim-Resal)*(1-EXP((Tnet-t)/(Tau_j))))*Salcycl</f>
        <v>1.7671858717534905E-2</v>
      </c>
      <c r="P75" s="168">
        <f>(INDEX(Models!$BJ75:$BT75,,T75)*(1-R75)+INDEX(Models!$BJ75:$BT75,,T75+1)*R75-ERP_i)*Q75*Ramure*Pc/MaxiM</f>
        <v>5.4977159331668125E-5</v>
      </c>
      <c r="Q75" s="304">
        <f t="shared" si="4"/>
        <v>0.5</v>
      </c>
      <c r="R75" s="176">
        <f t="shared" si="5"/>
        <v>0.83921116119733408</v>
      </c>
      <c r="S75" s="814">
        <f t="shared" si="6"/>
        <v>-1</v>
      </c>
      <c r="T75" s="175">
        <f t="shared" si="7"/>
        <v>5</v>
      </c>
      <c r="U75" s="250">
        <f t="shared" si="21"/>
        <v>-0.16078883880266598</v>
      </c>
      <c r="V75" s="382">
        <f t="shared" si="8"/>
        <v>44.287710013587841</v>
      </c>
      <c r="W75" s="58"/>
      <c r="X75" s="157">
        <f t="shared" si="9"/>
        <v>43526</v>
      </c>
      <c r="Y75" s="384">
        <f t="shared" si="10"/>
        <v>22.048999999999999</v>
      </c>
      <c r="Z75" s="384">
        <f t="shared" si="11"/>
        <v>22.18269374726323</v>
      </c>
      <c r="AA75" s="385">
        <f t="shared" si="12"/>
        <v>22.581755337175739</v>
      </c>
      <c r="AB75" s="196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1.7671858717534905E-2</v>
      </c>
      <c r="AD75" s="230">
        <f>(INDEX(Models!$BJ75:$BT75,,AH75)*(1-AF75)+INDEX(Models!$BJ75:$BT75,,AH75+1)*AF75-ERP_i)*AE75*Ramure*Pc/MaxiM</f>
        <v>5.4977159331668125E-5</v>
      </c>
      <c r="AE75" s="304">
        <f t="shared" si="14"/>
        <v>0.5</v>
      </c>
      <c r="AF75" s="176">
        <f t="shared" si="15"/>
        <v>0.83921116119733408</v>
      </c>
      <c r="AG75" s="175">
        <f t="shared" si="16"/>
        <v>-1</v>
      </c>
      <c r="AH75" s="175">
        <f t="shared" si="17"/>
        <v>5</v>
      </c>
      <c r="AI75" s="224">
        <f t="shared" si="22"/>
        <v>-0.16078883880266598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43527</v>
      </c>
      <c r="B76" s="616">
        <v>37.594999999999999</v>
      </c>
      <c r="C76" s="389"/>
      <c r="D76" s="392">
        <f t="shared" si="0"/>
        <v>37.823785099418131</v>
      </c>
      <c r="E76" s="384">
        <f t="shared" si="1"/>
        <v>38.506396660149122</v>
      </c>
      <c r="F76" s="384">
        <f t="shared" si="2"/>
        <v>38.508024321438462</v>
      </c>
      <c r="G76" s="110">
        <f t="shared" si="23"/>
        <v>0.84262939535420456</v>
      </c>
      <c r="H76" s="413" t="b">
        <f>Wh_hp&gt;='2018'!Maxi_hp</f>
        <v>1</v>
      </c>
      <c r="I76" s="389">
        <f>IF(H76,Wh_hp,'2018'!Maxi_hp)</f>
        <v>38.508024321438462</v>
      </c>
      <c r="J76" s="85">
        <f>IF(H76,An,'2018'!An_max)</f>
        <v>2019</v>
      </c>
      <c r="K76" s="196">
        <f t="shared" si="3"/>
        <v>43527</v>
      </c>
      <c r="L76" s="147">
        <f>IF(t&lt;Tvie,1-EXP((T0-t)*PertePVj)+'2018'!Pspv,1-EXP((T0-t)*PertePVj)+Pspv)</f>
        <v>6.0487097950874258E-3</v>
      </c>
      <c r="M76" s="847"/>
      <c r="N76" s="847"/>
      <c r="O76" s="48">
        <f>IF(t&lt;Tnet,'2018'!Resal+('2018'!Salim-'2018'!Resal)*(1-EXP(('2018'!Tnet-t)/('2018'!Tau_j))),Resal+(Salim-Resal)*(1-EXP((Tnet-t)/(Tau_j))))*Salcycl</f>
        <v>1.7727225083032389E-2</v>
      </c>
      <c r="P76" s="168">
        <f>(INDEX(Models!$BJ76:$BT76,,T76)*(1-R76)+INDEX(Models!$BJ76:$BT76,,T76+1)*R76-ERP_i)*Q76*Ramure*Pc/MaxiM</f>
        <v>5.4525449426230027E-5</v>
      </c>
      <c r="Q76" s="304">
        <f t="shared" si="4"/>
        <v>0.5</v>
      </c>
      <c r="R76" s="176">
        <f t="shared" si="5"/>
        <v>0.83941133824324876</v>
      </c>
      <c r="S76" s="814">
        <f t="shared" si="6"/>
        <v>-1</v>
      </c>
      <c r="T76" s="175">
        <f t="shared" si="7"/>
        <v>5</v>
      </c>
      <c r="U76" s="250">
        <f t="shared" si="21"/>
        <v>-0.16058866175675127</v>
      </c>
      <c r="V76" s="382">
        <f t="shared" si="8"/>
        <v>44.615746107370057</v>
      </c>
      <c r="W76" s="58"/>
      <c r="X76" s="157">
        <f t="shared" si="9"/>
        <v>43527</v>
      </c>
      <c r="Y76" s="384">
        <f t="shared" si="10"/>
        <v>37.594999999999999</v>
      </c>
      <c r="Z76" s="384">
        <f t="shared" si="11"/>
        <v>37.823785099418131</v>
      </c>
      <c r="AA76" s="385">
        <f t="shared" si="12"/>
        <v>38.506396660149122</v>
      </c>
      <c r="AB76" s="196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1.7727225083032389E-2</v>
      </c>
      <c r="AD76" s="230">
        <f>(INDEX(Models!$BJ76:$BT76,,AH76)*(1-AF76)+INDEX(Models!$BJ76:$BT76,,AH76+1)*AF76-ERP_i)*AE76*Ramure*Pc/MaxiM</f>
        <v>5.4525449426230027E-5</v>
      </c>
      <c r="AE76" s="304">
        <f t="shared" si="14"/>
        <v>0.5</v>
      </c>
      <c r="AF76" s="176">
        <f t="shared" si="15"/>
        <v>0.83941133824324876</v>
      </c>
      <c r="AG76" s="175">
        <f t="shared" si="16"/>
        <v>-1</v>
      </c>
      <c r="AH76" s="175">
        <f t="shared" si="17"/>
        <v>5</v>
      </c>
      <c r="AI76" s="224">
        <f t="shared" si="22"/>
        <v>-0.16058866175675127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43528</v>
      </c>
      <c r="B77" s="616">
        <v>9.2490000000000006</v>
      </c>
      <c r="C77" s="389"/>
      <c r="D77" s="392">
        <f t="shared" si="0"/>
        <v>9.3054887824202854</v>
      </c>
      <c r="E77" s="384">
        <f t="shared" si="1"/>
        <v>9.473959836205319</v>
      </c>
      <c r="F77" s="384">
        <f t="shared" si="2"/>
        <v>9.473959836205319</v>
      </c>
      <c r="G77" s="110">
        <f t="shared" si="23"/>
        <v>0.20578016642346633</v>
      </c>
      <c r="H77" s="413" t="b">
        <f>Wh_hp&gt;='2018'!Maxi_hp</f>
        <v>1</v>
      </c>
      <c r="I77" s="389">
        <f>IF(H77,Wh_hp,'2018'!Maxi_hp)</f>
        <v>9.473959836205319</v>
      </c>
      <c r="J77" s="85">
        <f>IF(H77,An,'2018'!An_max)</f>
        <v>2019</v>
      </c>
      <c r="K77" s="196">
        <f t="shared" si="3"/>
        <v>43528</v>
      </c>
      <c r="L77" s="147">
        <f>IF(t&lt;Tvie,1-EXP((T0-t)*PertePVj)+'2018'!Pspv,1-EXP((T0-t)*PertePVj)+Pspv)</f>
        <v>6.070479879251689E-3</v>
      </c>
      <c r="M77" s="847"/>
      <c r="N77" s="847"/>
      <c r="O77" s="48">
        <f>IF(t&lt;Tnet,'2018'!Resal+('2018'!Salim-'2018'!Resal)*(1-EXP(('2018'!Tnet-t)/('2018'!Tau_j))),Resal+(Salim-Resal)*(1-EXP((Tnet-t)/(Tau_j))))*Salcycl</f>
        <v>1.7782538315310424E-2</v>
      </c>
      <c r="P77" s="168">
        <f>(INDEX(Models!$BJ77:$BT77,,T77)*(1-R77)+INDEX(Models!$BJ77:$BT77,,T77+1)*R77-ERP_i)*Q77*Ramure*Pc/MaxiM</f>
        <v>5.4063316040057271E-5</v>
      </c>
      <c r="Q77" s="304">
        <f t="shared" si="4"/>
        <v>0.5</v>
      </c>
      <c r="R77" s="176">
        <f t="shared" si="5"/>
        <v>0.83961962497030773</v>
      </c>
      <c r="S77" s="814">
        <f t="shared" si="6"/>
        <v>-1</v>
      </c>
      <c r="T77" s="175">
        <f t="shared" si="7"/>
        <v>5</v>
      </c>
      <c r="U77" s="250">
        <f t="shared" si="21"/>
        <v>-0.16038037502969227</v>
      </c>
      <c r="V77" s="382">
        <f t="shared" si="8"/>
        <v>44.943592616976737</v>
      </c>
      <c r="W77" s="58"/>
      <c r="X77" s="157">
        <f t="shared" si="9"/>
        <v>43528</v>
      </c>
      <c r="Y77" s="384">
        <f t="shared" si="10"/>
        <v>9.2490000000000006</v>
      </c>
      <c r="Z77" s="384">
        <f t="shared" si="11"/>
        <v>9.3054887824202854</v>
      </c>
      <c r="AA77" s="385">
        <f t="shared" si="12"/>
        <v>9.473959836205319</v>
      </c>
      <c r="AB77" s="196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1.7782538315310424E-2</v>
      </c>
      <c r="AD77" s="230">
        <f>(INDEX(Models!$BJ77:$BT77,,AH77)*(1-AF77)+INDEX(Models!$BJ77:$BT77,,AH77+1)*AF77-ERP_i)*AE77*Ramure*Pc/MaxiM</f>
        <v>5.4063316040057271E-5</v>
      </c>
      <c r="AE77" s="304">
        <f t="shared" si="14"/>
        <v>0.5</v>
      </c>
      <c r="AF77" s="176">
        <f t="shared" si="15"/>
        <v>0.83961962497030773</v>
      </c>
      <c r="AG77" s="175">
        <f t="shared" si="16"/>
        <v>-1</v>
      </c>
      <c r="AH77" s="175">
        <f t="shared" si="17"/>
        <v>5</v>
      </c>
      <c r="AI77" s="224">
        <f t="shared" si="22"/>
        <v>-0.16038037502969227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43529</v>
      </c>
      <c r="B78" s="616">
        <v>44.231000000000002</v>
      </c>
      <c r="C78" s="389"/>
      <c r="D78" s="392">
        <f t="shared" si="0"/>
        <v>44.502118005571845</v>
      </c>
      <c r="E78" s="384">
        <f t="shared" si="1"/>
        <v>45.3103551166869</v>
      </c>
      <c r="F78" s="384">
        <f t="shared" si="2"/>
        <v>45.312703719886137</v>
      </c>
      <c r="G78" s="110">
        <f t="shared" si="23"/>
        <v>0.97701328451804526</v>
      </c>
      <c r="H78" s="413" t="b">
        <f>Wh_hp&gt;='2018'!Maxi_hp</f>
        <v>1</v>
      </c>
      <c r="I78" s="389">
        <f>IF(H78,Wh_hp,'2018'!Maxi_hp)</f>
        <v>45.312703719886137</v>
      </c>
      <c r="J78" s="85">
        <f>IF(H78,An,'2018'!An_max)</f>
        <v>2019</v>
      </c>
      <c r="K78" s="196">
        <f t="shared" si="3"/>
        <v>43529</v>
      </c>
      <c r="L78" s="147">
        <f>IF(t&lt;Tvie,1-EXP((T0-t)*PertePVj)+'2018'!Pspv,1-EXP((T0-t)*PertePVj)+Pspv)</f>
        <v>6.0922494865951471E-3</v>
      </c>
      <c r="M78" s="847"/>
      <c r="N78" s="847"/>
      <c r="O78" s="48">
        <f>IF(t&lt;Tnet,'2018'!Resal+('2018'!Salim-'2018'!Resal)*(1-EXP(('2018'!Tnet-t)/('2018'!Tau_j))),Resal+(Salim-Resal)*(1-EXP((Tnet-t)/(Tau_j))))*Salcycl</f>
        <v>1.7837801293625187E-2</v>
      </c>
      <c r="P78" s="168">
        <f>(INDEX(Models!$BJ78:$BT78,,T78)*(1-R78)+INDEX(Models!$BJ78:$BT78,,T78+1)*R78-ERP_i)*Q78*Ramure*Pc/MaxiM</f>
        <v>5.359069856302426E-5</v>
      </c>
      <c r="Q78" s="304">
        <f t="shared" si="4"/>
        <v>0.5</v>
      </c>
      <c r="R78" s="176">
        <f t="shared" si="5"/>
        <v>0.83983633757344511</v>
      </c>
      <c r="S78" s="814">
        <f t="shared" si="6"/>
        <v>-1</v>
      </c>
      <c r="T78" s="175">
        <f t="shared" si="7"/>
        <v>5</v>
      </c>
      <c r="U78" s="250">
        <f t="shared" si="21"/>
        <v>-0.16016366242655489</v>
      </c>
      <c r="V78" s="382">
        <f t="shared" si="8"/>
        <v>45.271566788366933</v>
      </c>
      <c r="W78" s="58"/>
      <c r="X78" s="157">
        <f t="shared" si="9"/>
        <v>43529</v>
      </c>
      <c r="Y78" s="384">
        <f t="shared" si="10"/>
        <v>44.231000000000002</v>
      </c>
      <c r="Z78" s="384">
        <f t="shared" si="11"/>
        <v>44.502118005571845</v>
      </c>
      <c r="AA78" s="385">
        <f t="shared" si="12"/>
        <v>45.3103551166869</v>
      </c>
      <c r="AB78" s="196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1.7837801293625187E-2</v>
      </c>
      <c r="AD78" s="230">
        <f>(INDEX(Models!$BJ78:$BT78,,AH78)*(1-AF78)+INDEX(Models!$BJ78:$BT78,,AH78+1)*AF78-ERP_i)*AE78*Ramure*Pc/MaxiM</f>
        <v>5.359069856302426E-5</v>
      </c>
      <c r="AE78" s="304">
        <f t="shared" si="14"/>
        <v>0.5</v>
      </c>
      <c r="AF78" s="176">
        <f t="shared" si="15"/>
        <v>0.83983633757344511</v>
      </c>
      <c r="AG78" s="175">
        <f t="shared" si="16"/>
        <v>-1</v>
      </c>
      <c r="AH78" s="175">
        <f t="shared" si="17"/>
        <v>5</v>
      </c>
      <c r="AI78" s="224">
        <f t="shared" si="22"/>
        <v>-0.16016366242655489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43530</v>
      </c>
      <c r="B79" s="616">
        <v>24.129000000000001</v>
      </c>
      <c r="C79" s="389"/>
      <c r="D79" s="392">
        <f t="shared" ref="D79:D142" si="24">Wh/(1-Ppv)</f>
        <v>24.277432675353193</v>
      </c>
      <c r="E79" s="384">
        <f t="shared" si="1"/>
        <v>24.719743472480989</v>
      </c>
      <c r="F79" s="384">
        <f t="shared" ref="F79:F142" si="25">Wh_sa/(1-Pvg*MEDIAN((-Sdif+Wh/Env_an)/Csdif,0,1))</f>
        <v>24.720173237036324</v>
      </c>
      <c r="G79" s="110">
        <f t="shared" si="23"/>
        <v>0.5291298854126103</v>
      </c>
      <c r="H79" s="413" t="b">
        <f>Wh_hp&gt;='2018'!Maxi_hp</f>
        <v>1</v>
      </c>
      <c r="I79" s="389">
        <f>IF(H79,Wh_hp,'2018'!Maxi_hp)</f>
        <v>24.720173237036324</v>
      </c>
      <c r="J79" s="85">
        <f>IF(H79,An,'2018'!An_max)</f>
        <v>2019</v>
      </c>
      <c r="K79" s="196">
        <f t="shared" ref="K79:K142" si="26">t</f>
        <v>43530</v>
      </c>
      <c r="L79" s="147">
        <f>IF(t&lt;Tvie,1-EXP((T0-t)*PertePVj)+'2018'!Pspv,1-EXP((T0-t)*PertePVj)+Pspv)</f>
        <v>6.1140186171284583E-3</v>
      </c>
      <c r="M79" s="847"/>
      <c r="N79" s="847"/>
      <c r="O79" s="48">
        <f>IF(t&lt;Tnet,'2018'!Resal+('2018'!Salim-'2018'!Resal)*(1-EXP(('2018'!Tnet-t)/('2018'!Tau_j))),Resal+(Salim-Resal)*(1-EXP((Tnet-t)/(Tau_j))))*Salcycl</f>
        <v>1.7893017280709047E-2</v>
      </c>
      <c r="P79" s="168">
        <f>(INDEX(Models!$BJ79:$BT79,,T79)*(1-R79)+INDEX(Models!$BJ79:$BT79,,T79+1)*R79-ERP_i)*Q79*Ramure*Pc/MaxiM</f>
        <v>5.3107952621018593E-5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0.84006180353938398</v>
      </c>
      <c r="S79" s="814">
        <f t="shared" ref="S79:S142" si="29">INDEX(Echel_vg,T79)</f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-0.15993819646061602</v>
      </c>
      <c r="V79" s="382">
        <f t="shared" ref="V79:V142" si="32">MaxiM*(1-Ppv)*(1-Pvg)*(1-Psa)</f>
        <v>45.599650851918057</v>
      </c>
      <c r="W79" s="58"/>
      <c r="X79" s="157">
        <f t="shared" ref="X79:X142" si="33">t</f>
        <v>43530</v>
      </c>
      <c r="Y79" s="384">
        <f t="shared" ref="Y79:Y142" si="34">Wh_pvt_s*(1-Ppv)</f>
        <v>24.129000000000001</v>
      </c>
      <c r="Z79" s="384">
        <f t="shared" ref="Z79:Z142" si="35">Wh_sa_s*(1-Psa_s)</f>
        <v>24.277432675353193</v>
      </c>
      <c r="AA79" s="385">
        <f t="shared" ref="AA79:AA142" si="36">Wh_hp*(1-Pvg_s*MEDIAN((-Sdif+Wh/Env_an)/Csdif,0,1))</f>
        <v>24.719743472480989</v>
      </c>
      <c r="AB79" s="196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1.7893017280709047E-2</v>
      </c>
      <c r="AD79" s="230">
        <f>(INDEX(Models!$BJ79:$BT79,,AH79)*(1-AF79)+INDEX(Models!$BJ79:$BT79,,AH79+1)*AF79-ERP_i)*AE79*Ramure*Pc/MaxiM</f>
        <v>5.3107952621018593E-5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0.84006180353938398</v>
      </c>
      <c r="AG79" s="175">
        <f t="shared" ref="AG79:AG142" si="40">INDEX(Echel_vg,AH79)</f>
        <v>-1</v>
      </c>
      <c r="AH79" s="175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-0.15993819646061602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43531</v>
      </c>
      <c r="B80" s="616">
        <v>40.97</v>
      </c>
      <c r="C80" s="389"/>
      <c r="D80" s="392">
        <f t="shared" si="24"/>
        <v>41.222935160827369</v>
      </c>
      <c r="E80" s="384">
        <f t="shared" ref="E80:E143" si="46">Wh_pvt/(1-Psa)</f>
        <v>41.97633438254794</v>
      </c>
      <c r="F80" s="384">
        <f t="shared" si="25"/>
        <v>41.978203972024616</v>
      </c>
      <c r="G80" s="110">
        <f t="shared" ref="G80:G143" si="47">+Wh_hp/MaxiM</f>
        <v>0.89205142289544981</v>
      </c>
      <c r="H80" s="413" t="b">
        <f>Wh_hp&gt;='2018'!Maxi_hp</f>
        <v>1</v>
      </c>
      <c r="I80" s="389">
        <f>IF(H80,Wh_hp,'2018'!Maxi_hp)</f>
        <v>41.978203972024616</v>
      </c>
      <c r="J80" s="85">
        <f>IF(H80,An,'2018'!An_max)</f>
        <v>2019</v>
      </c>
      <c r="K80" s="196">
        <f t="shared" si="26"/>
        <v>43531</v>
      </c>
      <c r="L80" s="147">
        <f>IF(t&lt;Tvie,1-EXP((T0-t)*PertePVj)+'2018'!Pspv,1-EXP((T0-t)*PertePVj)+Pspv)</f>
        <v>6.1357872708618366E-3</v>
      </c>
      <c r="M80" s="847"/>
      <c r="N80" s="847"/>
      <c r="O80" s="48">
        <f>IF(t&lt;Tnet,'2018'!Resal+('2018'!Salim-'2018'!Resal)*(1-EXP(('2018'!Tnet-t)/('2018'!Tau_j))),Resal+(Salim-Resal)*(1-EXP((Tnet-t)/(Tau_j))))*Salcycl</f>
        <v>1.7948189921838428E-2</v>
      </c>
      <c r="P80" s="168">
        <f>(INDEX(Models!$BJ80:$BT80,,T80)*(1-R80)+INDEX(Models!$BJ80:$BT80,,T80+1)*R80-ERP_i)*Q80*Ramure*Pc/MaxiM</f>
        <v>5.2656949816473287E-5</v>
      </c>
      <c r="Q80" s="304">
        <f t="shared" si="27"/>
        <v>0.5</v>
      </c>
      <c r="R80" s="176">
        <f t="shared" si="28"/>
        <v>0.84029636196204538</v>
      </c>
      <c r="S80" s="814">
        <f t="shared" si="29"/>
        <v>-1</v>
      </c>
      <c r="T80" s="175">
        <f t="shared" si="30"/>
        <v>5</v>
      </c>
      <c r="U80" s="250">
        <f t="shared" si="31"/>
        <v>-0.15970363803795468</v>
      </c>
      <c r="V80" s="382">
        <f t="shared" si="32"/>
        <v>45.927472638198246</v>
      </c>
      <c r="W80" s="58"/>
      <c r="X80" s="157">
        <f t="shared" si="33"/>
        <v>43531</v>
      </c>
      <c r="Y80" s="384">
        <f t="shared" si="34"/>
        <v>40.97</v>
      </c>
      <c r="Z80" s="384">
        <f t="shared" si="35"/>
        <v>41.222935160827369</v>
      </c>
      <c r="AA80" s="385">
        <f t="shared" si="36"/>
        <v>41.97633438254794</v>
      </c>
      <c r="AB80" s="196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1.7948189921838428E-2</v>
      </c>
      <c r="AD80" s="230">
        <f>(INDEX(Models!$BJ80:$BT80,,AH80)*(1-AF80)+INDEX(Models!$BJ80:$BT80,,AH80+1)*AF80-ERP_i)*AE80*Ramure*Pc/MaxiM</f>
        <v>5.2656949816473287E-5</v>
      </c>
      <c r="AE80" s="304">
        <f t="shared" si="38"/>
        <v>0.5</v>
      </c>
      <c r="AF80" s="176">
        <f t="shared" si="39"/>
        <v>0.84029636196204538</v>
      </c>
      <c r="AG80" s="175">
        <f t="shared" si="40"/>
        <v>-1</v>
      </c>
      <c r="AH80" s="175">
        <f t="shared" si="41"/>
        <v>5</v>
      </c>
      <c r="AI80" s="224">
        <f t="shared" si="42"/>
        <v>-0.15970363803795468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43532</v>
      </c>
      <c r="B81" s="616">
        <v>26.864999999999998</v>
      </c>
      <c r="C81" s="389"/>
      <c r="D81" s="392">
        <f t="shared" si="24"/>
        <v>27.031447637663369</v>
      </c>
      <c r="E81" s="384">
        <f t="shared" si="46"/>
        <v>27.527025577005908</v>
      </c>
      <c r="F81" s="384">
        <f t="shared" si="25"/>
        <v>27.527602935099704</v>
      </c>
      <c r="G81" s="110">
        <f t="shared" si="47"/>
        <v>0.5807861700837611</v>
      </c>
      <c r="H81" s="413" t="b">
        <f>Wh_hp&gt;='2018'!Maxi_hp</f>
        <v>1</v>
      </c>
      <c r="I81" s="389">
        <f>IF(H81,Wh_hp,'2018'!Maxi_hp)</f>
        <v>27.527602935099704</v>
      </c>
      <c r="J81" s="85">
        <f>IF(H81,An,'2018'!An_max)</f>
        <v>2019</v>
      </c>
      <c r="K81" s="196">
        <f t="shared" si="26"/>
        <v>43532</v>
      </c>
      <c r="L81" s="147">
        <f>IF(t&lt;Tvie,1-EXP((T0-t)*PertePVj)+'2018'!Pspv,1-EXP((T0-t)*PertePVj)+Pspv)</f>
        <v>6.1575554478058292E-3</v>
      </c>
      <c r="M81" s="847"/>
      <c r="N81" s="847"/>
      <c r="O81" s="48">
        <f>IF(t&lt;Tnet,'2018'!Resal+('2018'!Salim-'2018'!Resal)*(1-EXP(('2018'!Tnet-t)/('2018'!Tau_j))),Resal+(Salim-Resal)*(1-EXP((Tnet-t)/(Tau_j))))*Salcycl</f>
        <v>1.8003323241596855E-2</v>
      </c>
      <c r="P81" s="168">
        <f>(INDEX(Models!$BJ81:$BT81,,T81)*(1-R81)+INDEX(Models!$BJ81:$BT81,,T81+1)*R81-ERP_i)*Q81*Ramure*Pc/MaxiM</f>
        <v>5.2284271723230819E-5</v>
      </c>
      <c r="Q81" s="304">
        <f t="shared" si="27"/>
        <v>0.5</v>
      </c>
      <c r="R81" s="176">
        <f t="shared" si="28"/>
        <v>0.84054036385897135</v>
      </c>
      <c r="S81" s="814">
        <f t="shared" si="29"/>
        <v>-1</v>
      </c>
      <c r="T81" s="175">
        <f t="shared" si="30"/>
        <v>5</v>
      </c>
      <c r="U81" s="250">
        <f t="shared" si="31"/>
        <v>-0.15945963614102862</v>
      </c>
      <c r="V81" s="382">
        <f t="shared" si="32"/>
        <v>46.254818399556335</v>
      </c>
      <c r="W81" s="58"/>
      <c r="X81" s="157">
        <f t="shared" si="33"/>
        <v>43532</v>
      </c>
      <c r="Y81" s="384">
        <f t="shared" si="34"/>
        <v>26.864999999999998</v>
      </c>
      <c r="Z81" s="384">
        <f t="shared" si="35"/>
        <v>27.031447637663369</v>
      </c>
      <c r="AA81" s="385">
        <f t="shared" si="36"/>
        <v>27.527025577005908</v>
      </c>
      <c r="AB81" s="196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1.8003323241596855E-2</v>
      </c>
      <c r="AD81" s="230">
        <f>(INDEX(Models!$BJ81:$BT81,,AH81)*(1-AF81)+INDEX(Models!$BJ81:$BT81,,AH81+1)*AF81-ERP_i)*AE81*Ramure*Pc/MaxiM</f>
        <v>5.2284271723230819E-5</v>
      </c>
      <c r="AE81" s="304">
        <f t="shared" si="38"/>
        <v>0.5</v>
      </c>
      <c r="AF81" s="176">
        <f t="shared" si="39"/>
        <v>0.84054036385897135</v>
      </c>
      <c r="AG81" s="175">
        <f t="shared" si="40"/>
        <v>-1</v>
      </c>
      <c r="AH81" s="175">
        <f t="shared" si="41"/>
        <v>5</v>
      </c>
      <c r="AI81" s="224">
        <f t="shared" si="42"/>
        <v>-0.15945963614102862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43533</v>
      </c>
      <c r="B82" s="616">
        <v>21.917000000000002</v>
      </c>
      <c r="C82" s="389"/>
      <c r="D82" s="392">
        <f t="shared" si="24"/>
        <v>22.053274308422591</v>
      </c>
      <c r="E82" s="384">
        <f t="shared" si="46"/>
        <v>22.458845611995962</v>
      </c>
      <c r="F82" s="384">
        <f t="shared" si="25"/>
        <v>22.459130026968971</v>
      </c>
      <c r="G82" s="110">
        <f t="shared" si="47"/>
        <v>0.47049041172394812</v>
      </c>
      <c r="H82" s="413" t="b">
        <f>Wh_hp&gt;='2018'!Maxi_hp</f>
        <v>1</v>
      </c>
      <c r="I82" s="389">
        <f>IF(H82,Wh_hp,'2018'!Maxi_hp)</f>
        <v>22.459130026968971</v>
      </c>
      <c r="J82" s="85">
        <f>IF(H82,An,'2018'!An_max)</f>
        <v>2019</v>
      </c>
      <c r="K82" s="196">
        <f t="shared" si="26"/>
        <v>43533</v>
      </c>
      <c r="L82" s="147">
        <f>IF(t&lt;Tvie,1-EXP((T0-t)*PertePVj)+'2018'!Pspv,1-EXP((T0-t)*PertePVj)+Pspv)</f>
        <v>6.1793231479709831E-3</v>
      </c>
      <c r="M82" s="847"/>
      <c r="N82" s="847"/>
      <c r="O82" s="48">
        <f>IF(t&lt;Tnet,'2018'!Resal+('2018'!Salim-'2018'!Resal)*(1-EXP(('2018'!Tnet-t)/('2018'!Tau_j))),Resal+(Salim-Resal)*(1-EXP((Tnet-t)/(Tau_j))))*Salcycl</f>
        <v>1.8058421638409799E-2</v>
      </c>
      <c r="P82" s="168">
        <f>(INDEX(Models!$BJ82:$BT82,,T82)*(1-R82)+INDEX(Models!$BJ82:$BT82,,T82+1)*R82-ERP_i)*Q82*Ramure*Pc/MaxiM</f>
        <v>5.1988881757463354E-5</v>
      </c>
      <c r="Q82" s="304">
        <f t="shared" si="27"/>
        <v>0.5</v>
      </c>
      <c r="R82" s="176">
        <f t="shared" si="28"/>
        <v>0.84079417248792354</v>
      </c>
      <c r="S82" s="814">
        <f t="shared" si="29"/>
        <v>-1</v>
      </c>
      <c r="T82" s="175">
        <f t="shared" si="30"/>
        <v>5</v>
      </c>
      <c r="U82" s="250">
        <f t="shared" si="31"/>
        <v>-0.15920582751207649</v>
      </c>
      <c r="V82" s="382">
        <f t="shared" si="32"/>
        <v>46.581476587541516</v>
      </c>
      <c r="W82" s="58"/>
      <c r="X82" s="157">
        <f t="shared" si="33"/>
        <v>43533</v>
      </c>
      <c r="Y82" s="384">
        <f t="shared" si="34"/>
        <v>21.917000000000002</v>
      </c>
      <c r="Z82" s="384">
        <f t="shared" si="35"/>
        <v>22.053274308422591</v>
      </c>
      <c r="AA82" s="385">
        <f t="shared" si="36"/>
        <v>22.458845611995962</v>
      </c>
      <c r="AB82" s="196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1.8058421638409799E-2</v>
      </c>
      <c r="AD82" s="230">
        <f>(INDEX(Models!$BJ82:$BT82,,AH82)*(1-AF82)+INDEX(Models!$BJ82:$BT82,,AH82+1)*AF82-ERP_i)*AE82*Ramure*Pc/MaxiM</f>
        <v>5.1988881757463354E-5</v>
      </c>
      <c r="AE82" s="304">
        <f t="shared" si="38"/>
        <v>0.5</v>
      </c>
      <c r="AF82" s="176">
        <f t="shared" si="39"/>
        <v>0.84079417248792354</v>
      </c>
      <c r="AG82" s="175">
        <f t="shared" si="40"/>
        <v>-1</v>
      </c>
      <c r="AH82" s="175">
        <f t="shared" si="41"/>
        <v>5</v>
      </c>
      <c r="AI82" s="224">
        <f t="shared" si="42"/>
        <v>-0.15920582751207649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43534</v>
      </c>
      <c r="B83" s="616">
        <v>17.452999999999999</v>
      </c>
      <c r="C83" s="389"/>
      <c r="D83" s="392">
        <f t="shared" si="24"/>
        <v>17.5619029472692</v>
      </c>
      <c r="E83" s="384">
        <f t="shared" si="46"/>
        <v>17.885878628751385</v>
      </c>
      <c r="F83" s="384">
        <f t="shared" si="25"/>
        <v>17.885973968608262</v>
      </c>
      <c r="G83" s="110">
        <f t="shared" si="47"/>
        <v>0.37205751374345841</v>
      </c>
      <c r="H83" s="413" t="b">
        <f>Wh_hp&gt;='2018'!Maxi_hp</f>
        <v>1</v>
      </c>
      <c r="I83" s="389">
        <f>IF(H83,Wh_hp,'2018'!Maxi_hp)</f>
        <v>17.885973968608262</v>
      </c>
      <c r="J83" s="85">
        <f>IF(H83,An,'2018'!An_max)</f>
        <v>2019</v>
      </c>
      <c r="K83" s="196">
        <f t="shared" si="26"/>
        <v>43534</v>
      </c>
      <c r="L83" s="147">
        <f>IF(t&lt;Tvie,1-EXP((T0-t)*PertePVj)+'2018'!Pspv,1-EXP((T0-t)*PertePVj)+Pspv)</f>
        <v>6.2010903713675125E-3</v>
      </c>
      <c r="M83" s="847"/>
      <c r="N83" s="847"/>
      <c r="O83" s="48">
        <f>IF(t&lt;Tnet,'2018'!Resal+('2018'!Salim-'2018'!Resal)*(1-EXP(('2018'!Tnet-t)/('2018'!Tau_j))),Resal+(Salim-Resal)*(1-EXP((Tnet-t)/(Tau_j))))*Salcycl</f>
        <v>1.8113489876946689E-2</v>
      </c>
      <c r="P83" s="168">
        <f>(INDEX(Models!$BJ83:$BT83,,T83)*(1-R83)+INDEX(Models!$BJ83:$BT83,,T83+1)*R83-ERP_i)*Q83*Ramure*Pc/MaxiM</f>
        <v>5.1769806174449637E-5</v>
      </c>
      <c r="Q83" s="304">
        <f t="shared" si="27"/>
        <v>0.5</v>
      </c>
      <c r="R83" s="176">
        <f t="shared" si="28"/>
        <v>0.84105816366272557</v>
      </c>
      <c r="S83" s="814">
        <f t="shared" si="29"/>
        <v>-1</v>
      </c>
      <c r="T83" s="175">
        <f t="shared" si="30"/>
        <v>5</v>
      </c>
      <c r="U83" s="250">
        <f t="shared" si="31"/>
        <v>-0.15894183633727443</v>
      </c>
      <c r="V83" s="382">
        <f t="shared" si="32"/>
        <v>46.907235694767863</v>
      </c>
      <c r="W83" s="58"/>
      <c r="X83" s="157">
        <f t="shared" si="33"/>
        <v>43534</v>
      </c>
      <c r="Y83" s="384">
        <f t="shared" si="34"/>
        <v>17.452999999999999</v>
      </c>
      <c r="Z83" s="384">
        <f t="shared" si="35"/>
        <v>17.5619029472692</v>
      </c>
      <c r="AA83" s="385">
        <f t="shared" si="36"/>
        <v>17.885878628751385</v>
      </c>
      <c r="AB83" s="196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1.8113489876946689E-2</v>
      </c>
      <c r="AD83" s="230">
        <f>(INDEX(Models!$BJ83:$BT83,,AH83)*(1-AF83)+INDEX(Models!$BJ83:$BT83,,AH83+1)*AF83-ERP_i)*AE83*Ramure*Pc/MaxiM</f>
        <v>5.1769806174449637E-5</v>
      </c>
      <c r="AE83" s="304">
        <f t="shared" si="38"/>
        <v>0.5</v>
      </c>
      <c r="AF83" s="176">
        <f t="shared" si="39"/>
        <v>0.84105816366272557</v>
      </c>
      <c r="AG83" s="175">
        <f t="shared" si="40"/>
        <v>-1</v>
      </c>
      <c r="AH83" s="175">
        <f t="shared" si="41"/>
        <v>5</v>
      </c>
      <c r="AI83" s="224">
        <f t="shared" si="42"/>
        <v>-0.15894183633727443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43535</v>
      </c>
      <c r="B84" s="616">
        <v>34.662999999999997</v>
      </c>
      <c r="C84" s="389"/>
      <c r="D84" s="392">
        <f t="shared" si="24"/>
        <v>34.880053589757452</v>
      </c>
      <c r="E84" s="384">
        <f t="shared" si="46"/>
        <v>35.525499808152233</v>
      </c>
      <c r="F84" s="384">
        <f t="shared" si="25"/>
        <v>35.526636663400112</v>
      </c>
      <c r="G84" s="110">
        <f t="shared" si="47"/>
        <v>0.73387543663784494</v>
      </c>
      <c r="H84" s="413" t="b">
        <f>Wh_hp&gt;='2018'!Maxi_hp</f>
        <v>1</v>
      </c>
      <c r="I84" s="389">
        <f>IF(H84,Wh_hp,'2018'!Maxi_hp)</f>
        <v>35.526636663400112</v>
      </c>
      <c r="J84" s="85">
        <f>IF(H84,An,'2018'!An_max)</f>
        <v>2019</v>
      </c>
      <c r="K84" s="196">
        <f t="shared" si="26"/>
        <v>43535</v>
      </c>
      <c r="L84" s="147">
        <f>IF(t&lt;Tvie,1-EXP((T0-t)*PertePVj)+'2018'!Pspv,1-EXP((T0-t)*PertePVj)+Pspv)</f>
        <v>6.2228571180060754E-3</v>
      </c>
      <c r="M84" s="847"/>
      <c r="N84" s="847"/>
      <c r="O84" s="48">
        <f>IF(t&lt;Tnet,'2018'!Resal+('2018'!Salim-'2018'!Resal)*(1-EXP(('2018'!Tnet-t)/('2018'!Tau_j))),Resal+(Salim-Resal)*(1-EXP((Tnet-t)/(Tau_j))))*Salcycl</f>
        <v>1.8168533078503361E-2</v>
      </c>
      <c r="P84" s="168">
        <f>(INDEX(Models!$BJ84:$BT84,,T84)*(1-R84)+INDEX(Models!$BJ84:$BT84,,T84+1)*R84-ERP_i)*Q84*Ramure*Pc/MaxiM</f>
        <v>5.1626137677964383E-5</v>
      </c>
      <c r="Q84" s="304">
        <f t="shared" si="27"/>
        <v>0.5</v>
      </c>
      <c r="R84" s="176">
        <f t="shared" si="28"/>
        <v>0.84133272606732445</v>
      </c>
      <c r="S84" s="814">
        <f t="shared" si="29"/>
        <v>-1</v>
      </c>
      <c r="T84" s="175">
        <f t="shared" si="30"/>
        <v>5</v>
      </c>
      <c r="U84" s="250">
        <f t="shared" si="31"/>
        <v>-0.15866727393267552</v>
      </c>
      <c r="V84" s="382">
        <f t="shared" si="32"/>
        <v>47.231884254125013</v>
      </c>
      <c r="W84" s="58"/>
      <c r="X84" s="157">
        <f t="shared" si="33"/>
        <v>43535</v>
      </c>
      <c r="Y84" s="384">
        <f t="shared" si="34"/>
        <v>34.662999999999997</v>
      </c>
      <c r="Z84" s="384">
        <f t="shared" si="35"/>
        <v>34.880053589757452</v>
      </c>
      <c r="AA84" s="385">
        <f t="shared" si="36"/>
        <v>35.525499808152233</v>
      </c>
      <c r="AB84" s="196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1.8168533078503361E-2</v>
      </c>
      <c r="AD84" s="230">
        <f>(INDEX(Models!$BJ84:$BT84,,AH84)*(1-AF84)+INDEX(Models!$BJ84:$BT84,,AH84+1)*AF84-ERP_i)*AE84*Ramure*Pc/MaxiM</f>
        <v>5.1626137677964383E-5</v>
      </c>
      <c r="AE84" s="304">
        <f t="shared" si="38"/>
        <v>0.5</v>
      </c>
      <c r="AF84" s="176">
        <f t="shared" si="39"/>
        <v>0.84133272606732445</v>
      </c>
      <c r="AG84" s="175">
        <f t="shared" si="40"/>
        <v>-1</v>
      </c>
      <c r="AH84" s="175">
        <f t="shared" si="41"/>
        <v>5</v>
      </c>
      <c r="AI84" s="224">
        <f t="shared" si="42"/>
        <v>-0.15866727393267552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43536</v>
      </c>
      <c r="B85" s="616">
        <v>41.234000000000002</v>
      </c>
      <c r="C85" s="389"/>
      <c r="D85" s="392">
        <f t="shared" si="24"/>
        <v>41.493108837885615</v>
      </c>
      <c r="E85" s="384">
        <f t="shared" si="46"/>
        <v>42.263296416868528</v>
      </c>
      <c r="F85" s="384">
        <f t="shared" si="25"/>
        <v>42.265061694393857</v>
      </c>
      <c r="G85" s="110">
        <f t="shared" si="47"/>
        <v>0.86706788941993929</v>
      </c>
      <c r="H85" s="413" t="b">
        <f>Wh_hp&gt;='2018'!Maxi_hp</f>
        <v>1</v>
      </c>
      <c r="I85" s="389">
        <f>IF(H85,Wh_hp,'2018'!Maxi_hp)</f>
        <v>42.265061694393857</v>
      </c>
      <c r="J85" s="85">
        <f>IF(H85,An,'2018'!An_max)</f>
        <v>2019</v>
      </c>
      <c r="K85" s="196">
        <f t="shared" si="26"/>
        <v>43536</v>
      </c>
      <c r="L85" s="147">
        <f>IF(t&lt;Tvie,1-EXP((T0-t)*PertePVj)+'2018'!Pspv,1-EXP((T0-t)*PertePVj)+Pspv)</f>
        <v>6.244623387896997E-3</v>
      </c>
      <c r="M85" s="847"/>
      <c r="N85" s="847"/>
      <c r="O85" s="48">
        <f>IF(t&lt;Tnet,'2018'!Resal+('2018'!Salim-'2018'!Resal)*(1-EXP(('2018'!Tnet-t)/('2018'!Tau_j))),Resal+(Salim-Resal)*(1-EXP((Tnet-t)/(Tau_j))))*Salcycl</f>
        <v>1.8223556709492973E-2</v>
      </c>
      <c r="P85" s="168">
        <f>(INDEX(Models!$BJ85:$BT85,,T85)*(1-R85)+INDEX(Models!$BJ85:$BT85,,T85+1)*R85-ERP_i)*Q85*Ramure*Pc/MaxiM</f>
        <v>5.1557039035327414E-5</v>
      </c>
      <c r="Q85" s="304">
        <f t="shared" si="27"/>
        <v>0.5</v>
      </c>
      <c r="R85" s="176">
        <f t="shared" si="28"/>
        <v>0.84161826156693764</v>
      </c>
      <c r="S85" s="814">
        <f t="shared" si="29"/>
        <v>-1</v>
      </c>
      <c r="T85" s="175">
        <f t="shared" si="30"/>
        <v>5</v>
      </c>
      <c r="U85" s="250">
        <f t="shared" si="31"/>
        <v>-0.15838173843306236</v>
      </c>
      <c r="V85" s="382">
        <f t="shared" si="32"/>
        <v>47.5552108395175</v>
      </c>
      <c r="W85" s="58"/>
      <c r="X85" s="157">
        <f t="shared" si="33"/>
        <v>43536</v>
      </c>
      <c r="Y85" s="384">
        <f t="shared" si="34"/>
        <v>41.234000000000002</v>
      </c>
      <c r="Z85" s="384">
        <f t="shared" si="35"/>
        <v>41.493108837885615</v>
      </c>
      <c r="AA85" s="385">
        <f t="shared" si="36"/>
        <v>42.263296416868528</v>
      </c>
      <c r="AB85" s="196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1.8223556709492973E-2</v>
      </c>
      <c r="AD85" s="230">
        <f>(INDEX(Models!$BJ85:$BT85,,AH85)*(1-AF85)+INDEX(Models!$BJ85:$BT85,,AH85+1)*AF85-ERP_i)*AE85*Ramure*Pc/MaxiM</f>
        <v>5.1557039035327414E-5</v>
      </c>
      <c r="AE85" s="304">
        <f t="shared" si="38"/>
        <v>0.5</v>
      </c>
      <c r="AF85" s="176">
        <f t="shared" si="39"/>
        <v>0.84161826156693764</v>
      </c>
      <c r="AG85" s="175">
        <f t="shared" si="40"/>
        <v>-1</v>
      </c>
      <c r="AH85" s="175">
        <f t="shared" si="41"/>
        <v>5</v>
      </c>
      <c r="AI85" s="224">
        <f t="shared" si="42"/>
        <v>-0.15838173843306236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43537</v>
      </c>
      <c r="B86" s="616">
        <v>22.452999999999999</v>
      </c>
      <c r="C86" s="389"/>
      <c r="D86" s="392">
        <f t="shared" si="24"/>
        <v>22.594586472219831</v>
      </c>
      <c r="E86" s="384">
        <f t="shared" si="46"/>
        <v>23.015272665725274</v>
      </c>
      <c r="F86" s="384">
        <f t="shared" si="25"/>
        <v>23.015558931893313</v>
      </c>
      <c r="G86" s="110">
        <f t="shared" si="47"/>
        <v>0.46895418752189505</v>
      </c>
      <c r="H86" s="413" t="b">
        <f>Wh_hp&gt;='2018'!Maxi_hp</f>
        <v>1</v>
      </c>
      <c r="I86" s="389">
        <f>IF(H86,Wh_hp,'2018'!Maxi_hp)</f>
        <v>23.015558931893313</v>
      </c>
      <c r="J86" s="85">
        <f>IF(H86,An,'2018'!An_max)</f>
        <v>2019</v>
      </c>
      <c r="K86" s="196">
        <f t="shared" si="26"/>
        <v>43537</v>
      </c>
      <c r="L86" s="147">
        <f>IF(t&lt;Tvie,1-EXP((T0-t)*PertePVj)+'2018'!Pspv,1-EXP((T0-t)*PertePVj)+Pspv)</f>
        <v>6.2663891810507133E-3</v>
      </c>
      <c r="M86" s="847"/>
      <c r="N86" s="847"/>
      <c r="O86" s="48">
        <f>IF(t&lt;Tnet,'2018'!Resal+('2018'!Salim-'2018'!Resal)*(1-EXP(('2018'!Tnet-t)/('2018'!Tau_j))),Resal+(Salim-Resal)*(1-EXP((Tnet-t)/(Tau_j))))*Salcycl</f>
        <v>1.8278566568187358E-2</v>
      </c>
      <c r="P86" s="168">
        <f>(INDEX(Models!$BJ86:$BT86,,T86)*(1-R86)+INDEX(Models!$BJ86:$BT86,,T86+1)*R86-ERP_i)*Q86*Ramure*Pc/MaxiM</f>
        <v>5.1526478161954301E-5</v>
      </c>
      <c r="Q86" s="304">
        <f t="shared" si="27"/>
        <v>0.5</v>
      </c>
      <c r="R86" s="176">
        <f t="shared" si="28"/>
        <v>0.84191518551504507</v>
      </c>
      <c r="S86" s="814">
        <f t="shared" si="29"/>
        <v>-1</v>
      </c>
      <c r="T86" s="175">
        <f t="shared" si="30"/>
        <v>5</v>
      </c>
      <c r="U86" s="250">
        <f t="shared" si="31"/>
        <v>-0.1580848144849549</v>
      </c>
      <c r="V86" s="382">
        <f t="shared" si="32"/>
        <v>47.877005753604315</v>
      </c>
      <c r="W86" s="58"/>
      <c r="X86" s="157">
        <f t="shared" si="33"/>
        <v>43537</v>
      </c>
      <c r="Y86" s="384">
        <f t="shared" si="34"/>
        <v>22.452999999999999</v>
      </c>
      <c r="Z86" s="384">
        <f t="shared" si="35"/>
        <v>22.594586472219831</v>
      </c>
      <c r="AA86" s="385">
        <f t="shared" si="36"/>
        <v>23.015272665725274</v>
      </c>
      <c r="AB86" s="196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1.8278566568187358E-2</v>
      </c>
      <c r="AD86" s="230">
        <f>(INDEX(Models!$BJ86:$BT86,,AH86)*(1-AF86)+INDEX(Models!$BJ86:$BT86,,AH86+1)*AF86-ERP_i)*AE86*Ramure*Pc/MaxiM</f>
        <v>5.1526478161954301E-5</v>
      </c>
      <c r="AE86" s="304">
        <f t="shared" si="38"/>
        <v>0.5</v>
      </c>
      <c r="AF86" s="176">
        <f t="shared" si="39"/>
        <v>0.84191518551504507</v>
      </c>
      <c r="AG86" s="175">
        <f t="shared" si="40"/>
        <v>-1</v>
      </c>
      <c r="AH86" s="175">
        <f t="shared" si="41"/>
        <v>5</v>
      </c>
      <c r="AI86" s="224">
        <f t="shared" si="42"/>
        <v>-0.1580848144849549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43538</v>
      </c>
      <c r="B87" s="616">
        <v>24.1</v>
      </c>
      <c r="C87" s="389"/>
      <c r="D87" s="392">
        <f t="shared" si="24"/>
        <v>24.252503488888753</v>
      </c>
      <c r="E87" s="384">
        <f t="shared" si="46"/>
        <v>24.705442416420038</v>
      </c>
      <c r="F87" s="384">
        <f t="shared" si="25"/>
        <v>24.705806047807531</v>
      </c>
      <c r="G87" s="110">
        <f t="shared" si="47"/>
        <v>0.50001211475903329</v>
      </c>
      <c r="H87" s="413" t="b">
        <f>Wh_hp&gt;='2018'!Maxi_hp</f>
        <v>1</v>
      </c>
      <c r="I87" s="389">
        <f>IF(H87,Wh_hp,'2018'!Maxi_hp)</f>
        <v>24.705806047807531</v>
      </c>
      <c r="J87" s="85">
        <f>IF(H87,An,'2018'!An_max)</f>
        <v>2019</v>
      </c>
      <c r="K87" s="196">
        <f t="shared" si="26"/>
        <v>43538</v>
      </c>
      <c r="L87" s="147">
        <f>IF(t&lt;Tvie,1-EXP((T0-t)*PertePVj)+'2018'!Pspv,1-EXP((T0-t)*PertePVj)+Pspv)</f>
        <v>6.2881544974777714E-3</v>
      </c>
      <c r="M87" s="847"/>
      <c r="N87" s="847"/>
      <c r="O87" s="48">
        <f>IF(t&lt;Tnet,'2018'!Resal+('2018'!Salim-'2018'!Resal)*(1-EXP(('2018'!Tnet-t)/('2018'!Tau_j))),Resal+(Salim-Resal)*(1-EXP((Tnet-t)/(Tau_j))))*Salcycl</f>
        <v>1.8333568769861253E-2</v>
      </c>
      <c r="P87" s="168">
        <f>(INDEX(Models!$BJ87:$BT87,,T87)*(1-R87)+INDEX(Models!$BJ87:$BT87,,T87+1)*R87-ERP_i)*Q87*Ramure*Pc/MaxiM</f>
        <v>5.1506748235677116E-5</v>
      </c>
      <c r="Q87" s="304">
        <f t="shared" si="27"/>
        <v>0.5</v>
      </c>
      <c r="R87" s="176">
        <f t="shared" si="28"/>
        <v>0.8422239270548677</v>
      </c>
      <c r="S87" s="814">
        <f t="shared" si="29"/>
        <v>-1</v>
      </c>
      <c r="T87" s="175">
        <f t="shared" si="30"/>
        <v>5</v>
      </c>
      <c r="U87" s="250">
        <f t="shared" si="31"/>
        <v>-0.15777607294513232</v>
      </c>
      <c r="V87" s="382">
        <f t="shared" si="32"/>
        <v>48.197058986836801</v>
      </c>
      <c r="W87" s="58"/>
      <c r="X87" s="157">
        <f t="shared" si="33"/>
        <v>43538</v>
      </c>
      <c r="Y87" s="384">
        <f t="shared" si="34"/>
        <v>24.1</v>
      </c>
      <c r="Z87" s="384">
        <f t="shared" si="35"/>
        <v>24.252503488888753</v>
      </c>
      <c r="AA87" s="385">
        <f t="shared" si="36"/>
        <v>24.705442416420038</v>
      </c>
      <c r="AB87" s="196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1.8333568769861253E-2</v>
      </c>
      <c r="AD87" s="230">
        <f>(INDEX(Models!$BJ87:$BT87,,AH87)*(1-AF87)+INDEX(Models!$BJ87:$BT87,,AH87+1)*AF87-ERP_i)*AE87*Ramure*Pc/MaxiM</f>
        <v>5.1506748235677116E-5</v>
      </c>
      <c r="AE87" s="304">
        <f t="shared" si="38"/>
        <v>0.5</v>
      </c>
      <c r="AF87" s="176">
        <f t="shared" si="39"/>
        <v>0.8422239270548677</v>
      </c>
      <c r="AG87" s="175">
        <f t="shared" si="40"/>
        <v>-1</v>
      </c>
      <c r="AH87" s="175">
        <f t="shared" si="41"/>
        <v>5</v>
      </c>
      <c r="AI87" s="224">
        <f t="shared" si="42"/>
        <v>-0.15777607294513232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43539</v>
      </c>
      <c r="B88" s="616">
        <v>13.311999999999999</v>
      </c>
      <c r="C88" s="389"/>
      <c r="D88" s="392">
        <f t="shared" si="24"/>
        <v>13.396531030198696</v>
      </c>
      <c r="E88" s="384">
        <f t="shared" si="46"/>
        <v>13.647488830199048</v>
      </c>
      <c r="F88" s="384">
        <f t="shared" si="25"/>
        <v>13.647488830199048</v>
      </c>
      <c r="G88" s="110">
        <f t="shared" si="47"/>
        <v>0.2743743329412564</v>
      </c>
      <c r="H88" s="413" t="b">
        <f>Wh_hp&gt;='2018'!Maxi_hp</f>
        <v>1</v>
      </c>
      <c r="I88" s="389">
        <f>IF(H88,Wh_hp,'2018'!Maxi_hp)</f>
        <v>13.647488830199048</v>
      </c>
      <c r="J88" s="85">
        <f>IF(H88,An,'2018'!An_max)</f>
        <v>2019</v>
      </c>
      <c r="K88" s="196">
        <f t="shared" si="26"/>
        <v>43539</v>
      </c>
      <c r="L88" s="147">
        <f>IF(t&lt;Tvie,1-EXP((T0-t)*PertePVj)+'2018'!Pspv,1-EXP((T0-t)*PertePVj)+Pspv)</f>
        <v>6.3099193371884965E-3</v>
      </c>
      <c r="M88" s="847"/>
      <c r="N88" s="847"/>
      <c r="O88" s="48">
        <f>IF(t&lt;Tnet,'2018'!Resal+('2018'!Salim-'2018'!Resal)*(1-EXP(('2018'!Tnet-t)/('2018'!Tau_j))),Resal+(Salim-Resal)*(1-EXP((Tnet-t)/(Tau_j))))*Salcycl</f>
        <v>1.8388569730501327E-2</v>
      </c>
      <c r="P88" s="168">
        <f>(INDEX(Models!$BJ88:$BT88,,T88)*(1-R88)+INDEX(Models!$BJ88:$BT88,,T88+1)*R88-ERP_i)*Q88*Ramure*Pc/MaxiM</f>
        <v>5.149820712388836E-5</v>
      </c>
      <c r="Q88" s="304">
        <f t="shared" si="27"/>
        <v>0.5</v>
      </c>
      <c r="R88" s="176">
        <f t="shared" si="28"/>
        <v>0.84254492941384662</v>
      </c>
      <c r="S88" s="814">
        <f t="shared" si="29"/>
        <v>-1</v>
      </c>
      <c r="T88" s="175">
        <f t="shared" si="30"/>
        <v>5</v>
      </c>
      <c r="U88" s="250">
        <f t="shared" si="31"/>
        <v>-0.15745507058615335</v>
      </c>
      <c r="V88" s="382">
        <f t="shared" si="32"/>
        <v>48.515159246753306</v>
      </c>
      <c r="W88" s="58"/>
      <c r="X88" s="157">
        <f t="shared" si="33"/>
        <v>43539</v>
      </c>
      <c r="Y88" s="384">
        <f t="shared" si="34"/>
        <v>13.311999999999999</v>
      </c>
      <c r="Z88" s="384">
        <f t="shared" si="35"/>
        <v>13.396531030198696</v>
      </c>
      <c r="AA88" s="385">
        <f t="shared" si="36"/>
        <v>13.647488830199048</v>
      </c>
      <c r="AB88" s="196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1.8388569730501327E-2</v>
      </c>
      <c r="AD88" s="230">
        <f>(INDEX(Models!$BJ88:$BT88,,AH88)*(1-AF88)+INDEX(Models!$BJ88:$BT88,,AH88+1)*AF88-ERP_i)*AE88*Ramure*Pc/MaxiM</f>
        <v>5.149820712388836E-5</v>
      </c>
      <c r="AE88" s="304">
        <f t="shared" si="38"/>
        <v>0.5</v>
      </c>
      <c r="AF88" s="176">
        <f t="shared" si="39"/>
        <v>0.84254492941384662</v>
      </c>
      <c r="AG88" s="175">
        <f t="shared" si="40"/>
        <v>-1</v>
      </c>
      <c r="AH88" s="175">
        <f t="shared" si="41"/>
        <v>5</v>
      </c>
      <c r="AI88" s="224">
        <f t="shared" si="42"/>
        <v>-0.15745507058615335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43540</v>
      </c>
      <c r="B89" s="616">
        <v>47.84</v>
      </c>
      <c r="C89" s="389"/>
      <c r="D89" s="392">
        <f t="shared" si="24"/>
        <v>48.144837885286726</v>
      </c>
      <c r="E89" s="384">
        <f t="shared" si="46"/>
        <v>49.049485811940691</v>
      </c>
      <c r="F89" s="384">
        <f t="shared" si="25"/>
        <v>49.051938799054867</v>
      </c>
      <c r="G89" s="110">
        <f t="shared" si="47"/>
        <v>0.97970214021811985</v>
      </c>
      <c r="H89" s="413" t="b">
        <f>Wh_hp&gt;='2018'!Maxi_hp</f>
        <v>1</v>
      </c>
      <c r="I89" s="389">
        <f>IF(H89,Wh_hp,'2018'!Maxi_hp)</f>
        <v>49.051938799054867</v>
      </c>
      <c r="J89" s="85">
        <f>IF(H89,An,'2018'!An_max)</f>
        <v>2019</v>
      </c>
      <c r="K89" s="196">
        <f t="shared" si="26"/>
        <v>43540</v>
      </c>
      <c r="L89" s="147">
        <f>IF(t&lt;Tvie,1-EXP((T0-t)*PertePVj)+'2018'!Pspv,1-EXP((T0-t)*PertePVj)+Pspv)</f>
        <v>6.3316837001933246E-3</v>
      </c>
      <c r="M89" s="847"/>
      <c r="N89" s="847"/>
      <c r="O89" s="48">
        <f>IF(t&lt;Tnet,'2018'!Resal+('2018'!Salim-'2018'!Resal)*(1-EXP(('2018'!Tnet-t)/('2018'!Tau_j))),Resal+(Salim-Resal)*(1-EXP((Tnet-t)/(Tau_j))))*Salcycl</f>
        <v>1.8443576149247517E-2</v>
      </c>
      <c r="P89" s="168">
        <f>(INDEX(Models!$BJ89:$BT89,,T89)*(1-R89)+INDEX(Models!$BJ89:$BT89,,T89+1)*R89-ERP_i)*Q89*Ramure*Pc/MaxiM</f>
        <v>5.1501224722014503E-5</v>
      </c>
      <c r="Q89" s="304">
        <f t="shared" si="27"/>
        <v>0.5</v>
      </c>
      <c r="R89" s="176">
        <f t="shared" si="28"/>
        <v>0.8428786501895098</v>
      </c>
      <c r="S89" s="814">
        <f t="shared" si="29"/>
        <v>-1</v>
      </c>
      <c r="T89" s="175">
        <f t="shared" si="30"/>
        <v>5</v>
      </c>
      <c r="U89" s="250">
        <f t="shared" si="31"/>
        <v>-0.1571213498104902</v>
      </c>
      <c r="V89" s="382">
        <f t="shared" si="32"/>
        <v>48.831095283429427</v>
      </c>
      <c r="W89" s="58"/>
      <c r="X89" s="157">
        <f t="shared" si="33"/>
        <v>43540</v>
      </c>
      <c r="Y89" s="384">
        <f t="shared" si="34"/>
        <v>47.84</v>
      </c>
      <c r="Z89" s="384">
        <f t="shared" si="35"/>
        <v>48.144837885286726</v>
      </c>
      <c r="AA89" s="385">
        <f t="shared" si="36"/>
        <v>49.049485811940691</v>
      </c>
      <c r="AB89" s="196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1.8443576149247517E-2</v>
      </c>
      <c r="AD89" s="230">
        <f>(INDEX(Models!$BJ89:$BT89,,AH89)*(1-AF89)+INDEX(Models!$BJ89:$BT89,,AH89+1)*AF89-ERP_i)*AE89*Ramure*Pc/MaxiM</f>
        <v>5.1501224722014503E-5</v>
      </c>
      <c r="AE89" s="304">
        <f t="shared" si="38"/>
        <v>0.5</v>
      </c>
      <c r="AF89" s="176">
        <f t="shared" si="39"/>
        <v>0.8428786501895098</v>
      </c>
      <c r="AG89" s="175">
        <f t="shared" si="40"/>
        <v>-1</v>
      </c>
      <c r="AH89" s="175">
        <f t="shared" si="41"/>
        <v>5</v>
      </c>
      <c r="AI89" s="224">
        <f t="shared" si="42"/>
        <v>-0.1571213498104902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43541</v>
      </c>
      <c r="B90" s="616">
        <v>15.983000000000001</v>
      </c>
      <c r="C90" s="389"/>
      <c r="D90" s="392">
        <f t="shared" si="24"/>
        <v>16.085196452580067</v>
      </c>
      <c r="E90" s="384">
        <f t="shared" si="46"/>
        <v>16.388358050706923</v>
      </c>
      <c r="F90" s="384">
        <f t="shared" si="25"/>
        <v>16.388388472743916</v>
      </c>
      <c r="G90" s="110">
        <f t="shared" si="47"/>
        <v>0.32520741056302399</v>
      </c>
      <c r="H90" s="413" t="b">
        <f>Wh_hp&gt;='2018'!Maxi_hp</f>
        <v>1</v>
      </c>
      <c r="I90" s="389">
        <f>IF(H90,Wh_hp,'2018'!Maxi_hp)</f>
        <v>16.388388472743916</v>
      </c>
      <c r="J90" s="85">
        <f>IF(H90,An,'2018'!An_max)</f>
        <v>2019</v>
      </c>
      <c r="K90" s="196">
        <f t="shared" si="26"/>
        <v>43541</v>
      </c>
      <c r="L90" s="147">
        <f>IF(t&lt;Tvie,1-EXP((T0-t)*PertePVj)+'2018'!Pspv,1-EXP((T0-t)*PertePVj)+Pspv)</f>
        <v>6.3534475865028028E-3</v>
      </c>
      <c r="M90" s="847"/>
      <c r="N90" s="847"/>
      <c r="O90" s="48">
        <f>IF(t&lt;Tnet,'2018'!Resal+('2018'!Salim-'2018'!Resal)*(1-EXP(('2018'!Tnet-t)/('2018'!Tau_j))),Resal+(Salim-Resal)*(1-EXP((Tnet-t)/(Tau_j))))*Salcycl</f>
        <v>1.8498594989738892E-2</v>
      </c>
      <c r="P90" s="168">
        <f>(INDEX(Models!$BJ90:$BT90,,T90)*(1-R90)+INDEX(Models!$BJ90:$BT90,,T90+1)*R90-ERP_i)*Q90*Ramure*Pc/MaxiM</f>
        <v>5.1516183124324846E-5</v>
      </c>
      <c r="Q90" s="304">
        <f t="shared" si="27"/>
        <v>0.5</v>
      </c>
      <c r="R90" s="176">
        <f t="shared" si="28"/>
        <v>0.84322556162496831</v>
      </c>
      <c r="S90" s="814">
        <f t="shared" si="29"/>
        <v>-1</v>
      </c>
      <c r="T90" s="175">
        <f t="shared" si="30"/>
        <v>5</v>
      </c>
      <c r="U90" s="250">
        <f t="shared" si="31"/>
        <v>-0.15677443837503166</v>
      </c>
      <c r="V90" s="382">
        <f t="shared" si="32"/>
        <v>49.144655889636006</v>
      </c>
      <c r="W90" s="58"/>
      <c r="X90" s="157">
        <f t="shared" si="33"/>
        <v>43541</v>
      </c>
      <c r="Y90" s="384">
        <f t="shared" si="34"/>
        <v>15.982999999999999</v>
      </c>
      <c r="Z90" s="384">
        <f t="shared" si="35"/>
        <v>16.085196452580067</v>
      </c>
      <c r="AA90" s="385">
        <f t="shared" si="36"/>
        <v>16.388358050706923</v>
      </c>
      <c r="AB90" s="196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1.8498594989738892E-2</v>
      </c>
      <c r="AD90" s="230">
        <f>(INDEX(Models!$BJ90:$BT90,,AH90)*(1-AF90)+INDEX(Models!$BJ90:$BT90,,AH90+1)*AF90-ERP_i)*AE90*Ramure*Pc/MaxiM</f>
        <v>5.1516183124324846E-5</v>
      </c>
      <c r="AE90" s="304">
        <f t="shared" si="38"/>
        <v>0.5</v>
      </c>
      <c r="AF90" s="176">
        <f t="shared" si="39"/>
        <v>0.84322556162496831</v>
      </c>
      <c r="AG90" s="175">
        <f t="shared" si="40"/>
        <v>-1</v>
      </c>
      <c r="AH90" s="175">
        <f t="shared" si="41"/>
        <v>5</v>
      </c>
      <c r="AI90" s="224">
        <f t="shared" si="42"/>
        <v>-0.15677443837503166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43542</v>
      </c>
      <c r="B91" s="616">
        <v>31.166</v>
      </c>
      <c r="C91" s="389"/>
      <c r="D91" s="392">
        <f t="shared" si="24"/>
        <v>31.365964642694248</v>
      </c>
      <c r="E91" s="384">
        <f t="shared" si="46"/>
        <v>31.958918706163516</v>
      </c>
      <c r="F91" s="384">
        <f t="shared" si="25"/>
        <v>31.959695723000372</v>
      </c>
      <c r="G91" s="110">
        <f t="shared" si="47"/>
        <v>0.63016387329779899</v>
      </c>
      <c r="H91" s="413" t="b">
        <f>Wh_hp&gt;='2018'!Maxi_hp</f>
        <v>1</v>
      </c>
      <c r="I91" s="389">
        <f>IF(H91,Wh_hp,'2018'!Maxi_hp)</f>
        <v>31.959695723000372</v>
      </c>
      <c r="J91" s="85">
        <f>IF(H91,An,'2018'!An_max)</f>
        <v>2019</v>
      </c>
      <c r="K91" s="196">
        <f t="shared" si="26"/>
        <v>43542</v>
      </c>
      <c r="L91" s="147">
        <f>IF(t&lt;Tvie,1-EXP((T0-t)*PertePVj)+'2018'!Pspv,1-EXP((T0-t)*PertePVj)+Pspv)</f>
        <v>6.3752109961273673E-3</v>
      </c>
      <c r="M91" s="847"/>
      <c r="N91" s="847"/>
      <c r="O91" s="48">
        <f>IF(t&lt;Tnet,'2018'!Resal+('2018'!Salim-'2018'!Resal)*(1-EXP(('2018'!Tnet-t)/('2018'!Tau_j))),Resal+(Salim-Resal)*(1-EXP((Tnet-t)/(Tau_j))))*Salcycl</f>
        <v>1.8553633460537278E-2</v>
      </c>
      <c r="P91" s="168">
        <f>(INDEX(Models!$BJ91:$BT91,,T91)*(1-R91)+INDEX(Models!$BJ91:$BT91,,T91+1)*R91-ERP_i)*Q91*Ramure*Pc/MaxiM</f>
        <v>5.154347680539295E-5</v>
      </c>
      <c r="Q91" s="304">
        <f t="shared" si="27"/>
        <v>0.5</v>
      </c>
      <c r="R91" s="176">
        <f t="shared" si="28"/>
        <v>0.84358615087214361</v>
      </c>
      <c r="S91" s="814">
        <f t="shared" si="29"/>
        <v>-1</v>
      </c>
      <c r="T91" s="175">
        <f t="shared" si="30"/>
        <v>5</v>
      </c>
      <c r="U91" s="250">
        <f t="shared" si="31"/>
        <v>-0.15641384912785639</v>
      </c>
      <c r="V91" s="382">
        <f t="shared" si="32"/>
        <v>49.455629902209097</v>
      </c>
      <c r="W91" s="58"/>
      <c r="X91" s="157">
        <f t="shared" si="33"/>
        <v>43542</v>
      </c>
      <c r="Y91" s="384">
        <f t="shared" si="34"/>
        <v>31.166</v>
      </c>
      <c r="Z91" s="384">
        <f t="shared" si="35"/>
        <v>31.365964642694248</v>
      </c>
      <c r="AA91" s="385">
        <f t="shared" si="36"/>
        <v>31.958918706163516</v>
      </c>
      <c r="AB91" s="196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1.8553633460537278E-2</v>
      </c>
      <c r="AD91" s="230">
        <f>(INDEX(Models!$BJ91:$BT91,,AH91)*(1-AF91)+INDEX(Models!$BJ91:$BT91,,AH91+1)*AF91-ERP_i)*AE91*Ramure*Pc/MaxiM</f>
        <v>5.154347680539295E-5</v>
      </c>
      <c r="AE91" s="304">
        <f t="shared" si="38"/>
        <v>0.5</v>
      </c>
      <c r="AF91" s="176">
        <f t="shared" si="39"/>
        <v>0.84358615087214361</v>
      </c>
      <c r="AG91" s="175">
        <f t="shared" si="40"/>
        <v>-1</v>
      </c>
      <c r="AH91" s="175">
        <f t="shared" si="41"/>
        <v>5</v>
      </c>
      <c r="AI91" s="224">
        <f t="shared" si="42"/>
        <v>-0.15641384912785639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43543</v>
      </c>
      <c r="B92" s="616">
        <v>15.8</v>
      </c>
      <c r="C92" s="389"/>
      <c r="D92" s="392">
        <f t="shared" si="24"/>
        <v>15.901722906862613</v>
      </c>
      <c r="E92" s="384">
        <f t="shared" si="46"/>
        <v>16.20324420093711</v>
      </c>
      <c r="F92" s="384">
        <f t="shared" si="25"/>
        <v>16.203265096267224</v>
      </c>
      <c r="G92" s="110">
        <f t="shared" si="47"/>
        <v>0.31748386147563001</v>
      </c>
      <c r="H92" s="413" t="b">
        <f>Wh_hp&gt;='2018'!Maxi_hp</f>
        <v>1</v>
      </c>
      <c r="I92" s="389">
        <f>IF(H92,Wh_hp,'2018'!Maxi_hp)</f>
        <v>16.203265096267224</v>
      </c>
      <c r="J92" s="85">
        <f>IF(H92,An,'2018'!An_max)</f>
        <v>2019</v>
      </c>
      <c r="K92" s="196">
        <f t="shared" si="26"/>
        <v>43543</v>
      </c>
      <c r="L92" s="147">
        <f>IF(t&lt;Tvie,1-EXP((T0-t)*PertePVj)+'2018'!Pspv,1-EXP((T0-t)*PertePVj)+Pspv)</f>
        <v>6.3969739290773431E-3</v>
      </c>
      <c r="M92" s="847"/>
      <c r="N92" s="847"/>
      <c r="O92" s="48">
        <f>IF(t&lt;Tnet,'2018'!Resal+('2018'!Salim-'2018'!Resal)*(1-EXP(('2018'!Tnet-t)/('2018'!Tau_j))),Resal+(Salim-Resal)*(1-EXP((Tnet-t)/(Tau_j))))*Salcycl</f>
        <v>1.8608698994801276E-2</v>
      </c>
      <c r="P92" s="168">
        <f>(INDEX(Models!$BJ92:$BT92,,T92)*(1-R92)+INDEX(Models!$BJ92:$BT92,,T92+1)*R92-ERP_i)*Q92*Ramure*Pc/MaxiM</f>
        <v>5.1583512821170569E-5</v>
      </c>
      <c r="Q92" s="304">
        <f t="shared" si="27"/>
        <v>0.5</v>
      </c>
      <c r="R92" s="176">
        <f t="shared" si="28"/>
        <v>0.84396092024066749</v>
      </c>
      <c r="S92" s="814">
        <f t="shared" si="29"/>
        <v>-1</v>
      </c>
      <c r="T92" s="175">
        <f t="shared" si="30"/>
        <v>5</v>
      </c>
      <c r="U92" s="250">
        <f t="shared" si="31"/>
        <v>-0.15603907975933246</v>
      </c>
      <c r="V92" s="382">
        <f t="shared" si="32"/>
        <v>49.763806202082584</v>
      </c>
      <c r="W92" s="58"/>
      <c r="X92" s="157">
        <f t="shared" si="33"/>
        <v>43543</v>
      </c>
      <c r="Y92" s="384">
        <f t="shared" si="34"/>
        <v>15.799999999999999</v>
      </c>
      <c r="Z92" s="384">
        <f t="shared" si="35"/>
        <v>15.901722906862611</v>
      </c>
      <c r="AA92" s="385">
        <f t="shared" si="36"/>
        <v>16.20324420093711</v>
      </c>
      <c r="AB92" s="196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1.8608698994801276E-2</v>
      </c>
      <c r="AD92" s="230">
        <f>(INDEX(Models!$BJ92:$BT92,,AH92)*(1-AF92)+INDEX(Models!$BJ92:$BT92,,AH92+1)*AF92-ERP_i)*AE92*Ramure*Pc/MaxiM</f>
        <v>5.1583512821170569E-5</v>
      </c>
      <c r="AE92" s="304">
        <f t="shared" si="38"/>
        <v>0.5</v>
      </c>
      <c r="AF92" s="176">
        <f t="shared" si="39"/>
        <v>0.84396092024066749</v>
      </c>
      <c r="AG92" s="175">
        <f t="shared" si="40"/>
        <v>-1</v>
      </c>
      <c r="AH92" s="175">
        <f t="shared" si="41"/>
        <v>5</v>
      </c>
      <c r="AI92" s="224">
        <f t="shared" si="42"/>
        <v>-0.15603907975933246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43544</v>
      </c>
      <c r="B93" s="616">
        <v>50.872</v>
      </c>
      <c r="C93" s="389"/>
      <c r="D93" s="392">
        <f t="shared" si="24"/>
        <v>51.200643432957136</v>
      </c>
      <c r="E93" s="384">
        <f t="shared" si="46"/>
        <v>52.17441626299987</v>
      </c>
      <c r="F93" s="384">
        <f t="shared" si="25"/>
        <v>52.177110378201441</v>
      </c>
      <c r="G93" s="110">
        <f t="shared" si="47"/>
        <v>1.0159858820426382</v>
      </c>
      <c r="H93" s="413" t="b">
        <f>Wh_hp&gt;='2018'!Maxi_hp</f>
        <v>1</v>
      </c>
      <c r="I93" s="389">
        <f>IF(H93,Wh_hp,'2018'!Maxi_hp)</f>
        <v>52.177110378201441</v>
      </c>
      <c r="J93" s="85">
        <f>IF(H93,An,'2018'!An_max)</f>
        <v>2019</v>
      </c>
      <c r="K93" s="196">
        <f t="shared" si="26"/>
        <v>43544</v>
      </c>
      <c r="L93" s="147">
        <f>IF(t&lt;Tvie,1-EXP((T0-t)*PertePVj)+'2018'!Pspv,1-EXP((T0-t)*PertePVj)+Pspv)</f>
        <v>6.4187363853632773E-3</v>
      </c>
      <c r="M93" s="847"/>
      <c r="N93" s="847"/>
      <c r="O93" s="48">
        <f>IF(t&lt;Tnet,'2018'!Resal+('2018'!Salim-'2018'!Resal)*(1-EXP(('2018'!Tnet-t)/('2018'!Tau_j))),Resal+(Salim-Resal)*(1-EXP((Tnet-t)/(Tau_j))))*Salcycl</f>
        <v>1.8663799229380117E-2</v>
      </c>
      <c r="P93" s="168">
        <f>(INDEX(Models!$BJ93:$BT93,,T93)*(1-R93)+INDEX(Models!$BJ93:$BT93,,T93+1)*R93-ERP_i)*Q93*Ramure*Pc/MaxiM</f>
        <v>5.1634043779694118E-5</v>
      </c>
      <c r="Q93" s="304">
        <f t="shared" si="27"/>
        <v>0.5</v>
      </c>
      <c r="R93" s="176">
        <f t="shared" si="28"/>
        <v>0.84435038743024049</v>
      </c>
      <c r="S93" s="814">
        <f t="shared" si="29"/>
        <v>-1</v>
      </c>
      <c r="T93" s="175">
        <f t="shared" si="30"/>
        <v>5</v>
      </c>
      <c r="U93" s="250">
        <f t="shared" si="31"/>
        <v>-0.15564961256975957</v>
      </c>
      <c r="V93" s="382">
        <f t="shared" si="32"/>
        <v>50.071561917496261</v>
      </c>
      <c r="W93" s="58"/>
      <c r="X93" s="157">
        <f t="shared" si="33"/>
        <v>43544</v>
      </c>
      <c r="Y93" s="384">
        <f t="shared" si="34"/>
        <v>50.872</v>
      </c>
      <c r="Z93" s="384">
        <f t="shared" si="35"/>
        <v>51.200643432957136</v>
      </c>
      <c r="AA93" s="385">
        <f t="shared" si="36"/>
        <v>52.17441626299987</v>
      </c>
      <c r="AB93" s="196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1.8663799229380117E-2</v>
      </c>
      <c r="AD93" s="230">
        <f>(INDEX(Models!$BJ93:$BT93,,AH93)*(1-AF93)+INDEX(Models!$BJ93:$BT93,,AH93+1)*AF93-ERP_i)*AE93*Ramure*Pc/MaxiM</f>
        <v>5.1634043779694118E-5</v>
      </c>
      <c r="AE93" s="304">
        <f t="shared" si="38"/>
        <v>0.5</v>
      </c>
      <c r="AF93" s="176">
        <f t="shared" si="39"/>
        <v>0.84435038743024049</v>
      </c>
      <c r="AG93" s="175">
        <f t="shared" si="40"/>
        <v>-1</v>
      </c>
      <c r="AH93" s="175">
        <f t="shared" si="41"/>
        <v>5</v>
      </c>
      <c r="AI93" s="224">
        <f t="shared" si="42"/>
        <v>-0.15564961256975957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43545</v>
      </c>
      <c r="B94" s="616">
        <v>50.087000000000003</v>
      </c>
      <c r="C94" s="389"/>
      <c r="D94" s="392">
        <f t="shared" si="24"/>
        <v>50.411676318908619</v>
      </c>
      <c r="E94" s="384">
        <f t="shared" si="46"/>
        <v>51.373330716081668</v>
      </c>
      <c r="F94" s="384">
        <f t="shared" si="25"/>
        <v>51.375961738890339</v>
      </c>
      <c r="G94" s="110">
        <f t="shared" si="47"/>
        <v>0.99416831943419226</v>
      </c>
      <c r="H94" s="413" t="b">
        <f>Wh_hp&gt;='2018'!Maxi_hp</f>
        <v>1</v>
      </c>
      <c r="I94" s="389">
        <f>IF(H94,Wh_hp,'2018'!Maxi_hp)</f>
        <v>51.375961738890339</v>
      </c>
      <c r="J94" s="85">
        <f>IF(H94,An,'2018'!An_max)</f>
        <v>2019</v>
      </c>
      <c r="K94" s="196">
        <f t="shared" si="26"/>
        <v>43545</v>
      </c>
      <c r="L94" s="147">
        <f>IF(t&lt;Tvie,1-EXP((T0-t)*PertePVj)+'2018'!Pspv,1-EXP((T0-t)*PertePVj)+Pspv)</f>
        <v>6.440498364995495E-3</v>
      </c>
      <c r="M94" s="847"/>
      <c r="N94" s="847"/>
      <c r="O94" s="48">
        <f>IF(t&lt;Tnet,'2018'!Resal+('2018'!Salim-'2018'!Resal)*(1-EXP(('2018'!Tnet-t)/('2018'!Tau_j))),Resal+(Salim-Resal)*(1-EXP((Tnet-t)/(Tau_j))))*Salcycl</f>
        <v>1.8718941983491413E-2</v>
      </c>
      <c r="P94" s="168">
        <f>(INDEX(Models!$BJ94:$BT94,,T94)*(1-R94)+INDEX(Models!$BJ94:$BT94,,T94+1)*R94-ERP_i)*Q94*Ramure*Pc/MaxiM</f>
        <v>5.1641355268484528E-5</v>
      </c>
      <c r="Q94" s="304">
        <f t="shared" si="27"/>
        <v>0.5</v>
      </c>
      <c r="R94" s="176">
        <f t="shared" si="28"/>
        <v>0.84475508574406055</v>
      </c>
      <c r="S94" s="814">
        <f t="shared" si="29"/>
        <v>-1</v>
      </c>
      <c r="T94" s="175">
        <f t="shared" si="30"/>
        <v>5</v>
      </c>
      <c r="U94" s="250">
        <f t="shared" si="31"/>
        <v>-0.15524491425593942</v>
      </c>
      <c r="V94" s="382">
        <f t="shared" si="32"/>
        <v>50.380783085522701</v>
      </c>
      <c r="W94" s="58"/>
      <c r="X94" s="157">
        <f t="shared" si="33"/>
        <v>43545</v>
      </c>
      <c r="Y94" s="384">
        <f t="shared" si="34"/>
        <v>50.087000000000003</v>
      </c>
      <c r="Z94" s="384">
        <f t="shared" si="35"/>
        <v>50.411676318908619</v>
      </c>
      <c r="AA94" s="385">
        <f t="shared" si="36"/>
        <v>51.373330716081668</v>
      </c>
      <c r="AB94" s="196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1.8718941983491413E-2</v>
      </c>
      <c r="AD94" s="230">
        <f>(INDEX(Models!$BJ94:$BT94,,AH94)*(1-AF94)+INDEX(Models!$BJ94:$BT94,,AH94+1)*AF94-ERP_i)*AE94*Ramure*Pc/MaxiM</f>
        <v>5.1641355268484528E-5</v>
      </c>
      <c r="AE94" s="304">
        <f t="shared" si="38"/>
        <v>0.5</v>
      </c>
      <c r="AF94" s="176">
        <f t="shared" si="39"/>
        <v>0.84475508574406055</v>
      </c>
      <c r="AG94" s="175">
        <f t="shared" si="40"/>
        <v>-1</v>
      </c>
      <c r="AH94" s="175">
        <f t="shared" si="41"/>
        <v>5</v>
      </c>
      <c r="AI94" s="224">
        <f t="shared" si="42"/>
        <v>-0.15524491425593942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43546</v>
      </c>
      <c r="B95" s="616">
        <v>49.317</v>
      </c>
      <c r="C95" s="389"/>
      <c r="D95" s="392">
        <f t="shared" si="24"/>
        <v>49.637772183115104</v>
      </c>
      <c r="E95" s="384">
        <f t="shared" si="46"/>
        <v>50.587508916829641</v>
      </c>
      <c r="F95" s="384">
        <f t="shared" si="25"/>
        <v>50.590016829396532</v>
      </c>
      <c r="G95" s="110">
        <f t="shared" si="47"/>
        <v>0.9729018632964801</v>
      </c>
      <c r="H95" s="413" t="b">
        <f>Wh_hp&gt;='2018'!Maxi_hp</f>
        <v>1</v>
      </c>
      <c r="I95" s="389">
        <f>IF(H95,Wh_hp,'2018'!Maxi_hp)</f>
        <v>50.590016829396532</v>
      </c>
      <c r="J95" s="85">
        <f>IF(H95,An,'2018'!An_max)</f>
        <v>2019</v>
      </c>
      <c r="K95" s="196">
        <f t="shared" si="26"/>
        <v>43546</v>
      </c>
      <c r="L95" s="147">
        <f>IF(t&lt;Tvie,1-EXP((T0-t)*PertePVj)+'2018'!Pspv,1-EXP((T0-t)*PertePVj)+Pspv)</f>
        <v>6.4622598679845433E-3</v>
      </c>
      <c r="M95" s="847"/>
      <c r="N95" s="847"/>
      <c r="O95" s="48">
        <f>IF(t&lt;Tnet,'2018'!Resal+('2018'!Salim-'2018'!Resal)*(1-EXP(('2018'!Tnet-t)/('2018'!Tau_j))),Resal+(Salim-Resal)*(1-EXP((Tnet-t)/(Tau_j))))*Salcycl</f>
        <v>1.8774135237139025E-2</v>
      </c>
      <c r="P95" s="168">
        <f>(INDEX(Models!$BJ95:$BT95,,T95)*(1-R95)+INDEX(Models!$BJ95:$BT95,,T95+1)*R95-ERP_i)*Q95*Ramure*Pc/MaxiM</f>
        <v>5.1569464702293736E-5</v>
      </c>
      <c r="Q95" s="304">
        <f t="shared" si="27"/>
        <v>0.5</v>
      </c>
      <c r="R95" s="176">
        <f t="shared" si="28"/>
        <v>0.84517556428076546</v>
      </c>
      <c r="S95" s="814">
        <f t="shared" si="29"/>
        <v>-1</v>
      </c>
      <c r="T95" s="175">
        <f t="shared" si="30"/>
        <v>5</v>
      </c>
      <c r="U95" s="250">
        <f t="shared" si="31"/>
        <v>-0.1548244357192346</v>
      </c>
      <c r="V95" s="382">
        <f t="shared" si="32"/>
        <v>50.690520194594185</v>
      </c>
      <c r="W95" s="58"/>
      <c r="X95" s="157">
        <f t="shared" si="33"/>
        <v>43546</v>
      </c>
      <c r="Y95" s="384">
        <f t="shared" si="34"/>
        <v>49.317</v>
      </c>
      <c r="Z95" s="384">
        <f t="shared" si="35"/>
        <v>49.637772183115104</v>
      </c>
      <c r="AA95" s="385">
        <f t="shared" si="36"/>
        <v>50.587508916829641</v>
      </c>
      <c r="AB95" s="196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1.8774135237139025E-2</v>
      </c>
      <c r="AD95" s="230">
        <f>(INDEX(Models!$BJ95:$BT95,,AH95)*(1-AF95)+INDEX(Models!$BJ95:$BT95,,AH95+1)*AF95-ERP_i)*AE95*Ramure*Pc/MaxiM</f>
        <v>5.1569464702293736E-5</v>
      </c>
      <c r="AE95" s="304">
        <f t="shared" si="38"/>
        <v>0.5</v>
      </c>
      <c r="AF95" s="176">
        <f t="shared" si="39"/>
        <v>0.84517556428076546</v>
      </c>
      <c r="AG95" s="175">
        <f t="shared" si="40"/>
        <v>-1</v>
      </c>
      <c r="AH95" s="175">
        <f t="shared" si="41"/>
        <v>5</v>
      </c>
      <c r="AI95" s="224">
        <f t="shared" si="42"/>
        <v>-0.1548244357192346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43547</v>
      </c>
      <c r="B96" s="616">
        <v>46.487000000000002</v>
      </c>
      <c r="C96" s="389"/>
      <c r="D96" s="392">
        <f t="shared" si="24"/>
        <v>46.790389865542537</v>
      </c>
      <c r="E96" s="384">
        <f t="shared" si="46"/>
        <v>47.688331928017618</v>
      </c>
      <c r="F96" s="384">
        <f t="shared" si="25"/>
        <v>47.690474211698294</v>
      </c>
      <c r="G96" s="110">
        <f t="shared" si="47"/>
        <v>0.91150705819511624</v>
      </c>
      <c r="H96" s="413" t="b">
        <f>Wh_hp&gt;='2018'!Maxi_hp</f>
        <v>1</v>
      </c>
      <c r="I96" s="389">
        <f>IF(H96,Wh_hp,'2018'!Maxi_hp)</f>
        <v>47.690474211698294</v>
      </c>
      <c r="J96" s="85">
        <f>IF(H96,An,'2018'!An_max)</f>
        <v>2019</v>
      </c>
      <c r="K96" s="196">
        <f t="shared" si="26"/>
        <v>43547</v>
      </c>
      <c r="L96" s="147">
        <f>IF(t&lt;Tvie,1-EXP((T0-t)*PertePVj)+'2018'!Pspv,1-EXP((T0-t)*PertePVj)+Pspv)</f>
        <v>6.4840208943408584E-3</v>
      </c>
      <c r="M96" s="847"/>
      <c r="N96" s="847"/>
      <c r="O96" s="48">
        <f>IF(t&lt;Tnet,'2018'!Resal+('2018'!Salim-'2018'!Resal)*(1-EXP(('2018'!Tnet-t)/('2018'!Tau_j))),Resal+(Salim-Resal)*(1-EXP((Tnet-t)/(Tau_j))))*Salcycl</f>
        <v>1.8829387109418342E-2</v>
      </c>
      <c r="P96" s="168">
        <f>(INDEX(Models!$BJ96:$BT96,,T96)*(1-R96)+INDEX(Models!$BJ96:$BT96,,T96+1)*R96-ERP_i)*Q96*Ramure*Pc/MaxiM</f>
        <v>5.1420665889684185E-5</v>
      </c>
      <c r="Q96" s="304">
        <f t="shared" si="27"/>
        <v>0.5</v>
      </c>
      <c r="R96" s="176">
        <f t="shared" si="28"/>
        <v>0.84561238810214223</v>
      </c>
      <c r="S96" s="814">
        <f t="shared" si="29"/>
        <v>-1</v>
      </c>
      <c r="T96" s="175">
        <f t="shared" si="30"/>
        <v>5</v>
      </c>
      <c r="U96" s="250">
        <f t="shared" si="31"/>
        <v>-0.15438761189785782</v>
      </c>
      <c r="V96" s="382">
        <f t="shared" si="32"/>
        <v>50.999822106591722</v>
      </c>
      <c r="W96" s="58"/>
      <c r="X96" s="157">
        <f t="shared" si="33"/>
        <v>43547</v>
      </c>
      <c r="Y96" s="384">
        <f t="shared" si="34"/>
        <v>46.487000000000002</v>
      </c>
      <c r="Z96" s="384">
        <f t="shared" si="35"/>
        <v>46.790389865542537</v>
      </c>
      <c r="AA96" s="385">
        <f t="shared" si="36"/>
        <v>47.688331928017618</v>
      </c>
      <c r="AB96" s="196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1.8829387109418342E-2</v>
      </c>
      <c r="AD96" s="230">
        <f>(INDEX(Models!$BJ96:$BT96,,AH96)*(1-AF96)+INDEX(Models!$BJ96:$BT96,,AH96+1)*AF96-ERP_i)*AE96*Ramure*Pc/MaxiM</f>
        <v>5.1420665889684185E-5</v>
      </c>
      <c r="AE96" s="304">
        <f t="shared" si="38"/>
        <v>0.5</v>
      </c>
      <c r="AF96" s="176">
        <f t="shared" si="39"/>
        <v>0.84561238810214223</v>
      </c>
      <c r="AG96" s="175">
        <f t="shared" si="40"/>
        <v>-1</v>
      </c>
      <c r="AH96" s="175">
        <f t="shared" si="41"/>
        <v>5</v>
      </c>
      <c r="AI96" s="224">
        <f t="shared" si="42"/>
        <v>-0.15438761189785782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43548</v>
      </c>
      <c r="B97" s="616">
        <v>49.712000000000003</v>
      </c>
      <c r="C97" s="389"/>
      <c r="D97" s="392">
        <f t="shared" si="24"/>
        <v>50.037533255359996</v>
      </c>
      <c r="E97" s="384">
        <f t="shared" si="46"/>
        <v>51.000665826985831</v>
      </c>
      <c r="F97" s="384">
        <f t="shared" si="25"/>
        <v>51.00316102488015</v>
      </c>
      <c r="G97" s="110">
        <f t="shared" si="47"/>
        <v>0.96889648396429739</v>
      </c>
      <c r="H97" s="413" t="b">
        <f>Wh_hp&gt;='2018'!Maxi_hp</f>
        <v>1</v>
      </c>
      <c r="I97" s="389">
        <f>IF(H97,Wh_hp,'2018'!Maxi_hp)</f>
        <v>51.00316102488015</v>
      </c>
      <c r="J97" s="85">
        <f>IF(H97,An,'2018'!An_max)</f>
        <v>2019</v>
      </c>
      <c r="K97" s="196">
        <f t="shared" si="26"/>
        <v>43548</v>
      </c>
      <c r="L97" s="147">
        <f>IF(t&lt;Tvie,1-EXP((T0-t)*PertePVj)+'2018'!Pspv,1-EXP((T0-t)*PertePVj)+Pspv)</f>
        <v>6.5057814440747652E-3</v>
      </c>
      <c r="M97" s="847"/>
      <c r="N97" s="847"/>
      <c r="O97" s="48">
        <f>IF(t&lt;Tnet,'2018'!Resal+('2018'!Salim-'2018'!Resal)*(1-EXP(('2018'!Tnet-t)/('2018'!Tau_j))),Resal+(Salim-Resal)*(1-EXP((Tnet-t)/(Tau_j))))*Salcycl</f>
        <v>1.8884705836844411E-2</v>
      </c>
      <c r="P97" s="168">
        <f>(INDEX(Models!$BJ97:$BT97,,T97)*(1-R97)+INDEX(Models!$BJ97:$BT97,,T97+1)*R97-ERP_i)*Q97*Ramure*Pc/MaxiM</f>
        <v>5.119712786128023E-5</v>
      </c>
      <c r="Q97" s="304">
        <f t="shared" si="27"/>
        <v>0.5</v>
      </c>
      <c r="R97" s="176">
        <f t="shared" si="28"/>
        <v>0.84606613837367806</v>
      </c>
      <c r="S97" s="814">
        <f t="shared" si="29"/>
        <v>-1</v>
      </c>
      <c r="T97" s="175">
        <f t="shared" si="30"/>
        <v>5</v>
      </c>
      <c r="U97" s="250">
        <f t="shared" si="31"/>
        <v>-0.15393386162632194</v>
      </c>
      <c r="V97" s="382">
        <f t="shared" si="32"/>
        <v>51.307737964560346</v>
      </c>
      <c r="W97" s="58"/>
      <c r="X97" s="157">
        <f t="shared" si="33"/>
        <v>43548</v>
      </c>
      <c r="Y97" s="384">
        <f t="shared" si="34"/>
        <v>49.712000000000003</v>
      </c>
      <c r="Z97" s="384">
        <f t="shared" si="35"/>
        <v>50.037533255359996</v>
      </c>
      <c r="AA97" s="385">
        <f t="shared" si="36"/>
        <v>51.000665826985831</v>
      </c>
      <c r="AB97" s="196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1.8884705836844411E-2</v>
      </c>
      <c r="AD97" s="230">
        <f>(INDEX(Models!$BJ97:$BT97,,AH97)*(1-AF97)+INDEX(Models!$BJ97:$BT97,,AH97+1)*AF97-ERP_i)*AE97*Ramure*Pc/MaxiM</f>
        <v>5.119712786128023E-5</v>
      </c>
      <c r="AE97" s="304">
        <f t="shared" si="38"/>
        <v>0.5</v>
      </c>
      <c r="AF97" s="176">
        <f t="shared" si="39"/>
        <v>0.84606613837367806</v>
      </c>
      <c r="AG97" s="175">
        <f t="shared" si="40"/>
        <v>-1</v>
      </c>
      <c r="AH97" s="175">
        <f t="shared" si="41"/>
        <v>5</v>
      </c>
      <c r="AI97" s="224">
        <f t="shared" si="42"/>
        <v>-0.15393386162632194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43549</v>
      </c>
      <c r="B98" s="616">
        <v>42.124000000000002</v>
      </c>
      <c r="C98" s="389"/>
      <c r="D98" s="392">
        <f t="shared" si="24"/>
        <v>42.400772804844856</v>
      </c>
      <c r="E98" s="384">
        <f t="shared" si="46"/>
        <v>43.219351636040692</v>
      </c>
      <c r="F98" s="384">
        <f t="shared" si="25"/>
        <v>43.22097379837588</v>
      </c>
      <c r="G98" s="110">
        <f t="shared" si="47"/>
        <v>0.81613504238221968</v>
      </c>
      <c r="H98" s="413" t="b">
        <f>Wh_hp&gt;='2018'!Maxi_hp</f>
        <v>1</v>
      </c>
      <c r="I98" s="389">
        <f>IF(H98,Wh_hp,'2018'!Maxi_hp)</f>
        <v>43.22097379837588</v>
      </c>
      <c r="J98" s="85">
        <f>IF(H98,An,'2018'!An_max)</f>
        <v>2019</v>
      </c>
      <c r="K98" s="196">
        <f t="shared" si="26"/>
        <v>43549</v>
      </c>
      <c r="L98" s="147">
        <f>IF(t&lt;Tvie,1-EXP((T0-t)*PertePVj)+'2018'!Pspv,1-EXP((T0-t)*PertePVj)+Pspv)</f>
        <v>6.527541517196811E-3</v>
      </c>
      <c r="M98" s="847"/>
      <c r="N98" s="847"/>
      <c r="O98" s="48">
        <f>IF(t&lt;Tnet,'2018'!Resal+('2018'!Salim-'2018'!Resal)*(1-EXP(('2018'!Tnet-t)/('2018'!Tau_j))),Resal+(Salim-Resal)*(1-EXP((Tnet-t)/(Tau_j))))*Salcycl</f>
        <v>1.89400997518256E-2</v>
      </c>
      <c r="P98" s="168">
        <f>(INDEX(Models!$BJ98:$BT98,,T98)*(1-R98)+INDEX(Models!$BJ98:$BT98,,T98+1)*R98-ERP_i)*Q98*Ramure*Pc/MaxiM</f>
        <v>5.0900878573587597E-5</v>
      </c>
      <c r="Q98" s="304">
        <f t="shared" si="27"/>
        <v>0.5</v>
      </c>
      <c r="R98" s="176">
        <f t="shared" si="28"/>
        <v>0.84653741247482639</v>
      </c>
      <c r="S98" s="814">
        <f t="shared" si="29"/>
        <v>-1</v>
      </c>
      <c r="T98" s="175">
        <f t="shared" si="30"/>
        <v>5</v>
      </c>
      <c r="U98" s="250">
        <f t="shared" si="31"/>
        <v>-0.15346258752517358</v>
      </c>
      <c r="V98" s="382">
        <f t="shared" si="32"/>
        <v>51.613317200788558</v>
      </c>
      <c r="W98" s="58"/>
      <c r="X98" s="157">
        <f t="shared" si="33"/>
        <v>43549</v>
      </c>
      <c r="Y98" s="384">
        <f t="shared" si="34"/>
        <v>42.124000000000002</v>
      </c>
      <c r="Z98" s="384">
        <f t="shared" si="35"/>
        <v>42.400772804844856</v>
      </c>
      <c r="AA98" s="385">
        <f t="shared" si="36"/>
        <v>43.219351636040692</v>
      </c>
      <c r="AB98" s="196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1.89400997518256E-2</v>
      </c>
      <c r="AD98" s="230">
        <f>(INDEX(Models!$BJ98:$BT98,,AH98)*(1-AF98)+INDEX(Models!$BJ98:$BT98,,AH98+1)*AF98-ERP_i)*AE98*Ramure*Pc/MaxiM</f>
        <v>5.0900878573587597E-5</v>
      </c>
      <c r="AE98" s="304">
        <f t="shared" si="38"/>
        <v>0.5</v>
      </c>
      <c r="AF98" s="176">
        <f t="shared" si="39"/>
        <v>0.84653741247482639</v>
      </c>
      <c r="AG98" s="175">
        <f t="shared" si="40"/>
        <v>-1</v>
      </c>
      <c r="AH98" s="175">
        <f t="shared" si="41"/>
        <v>5</v>
      </c>
      <c r="AI98" s="224">
        <f t="shared" si="42"/>
        <v>-0.15346258752517358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43550</v>
      </c>
      <c r="B99" s="616">
        <v>52.8</v>
      </c>
      <c r="C99" s="389"/>
      <c r="D99" s="392">
        <f t="shared" si="24"/>
        <v>53.148082797859971</v>
      </c>
      <c r="E99" s="384">
        <f t="shared" si="46"/>
        <v>54.177210179633846</v>
      </c>
      <c r="F99" s="384">
        <f t="shared" si="25"/>
        <v>54.179948097742042</v>
      </c>
      <c r="G99" s="110">
        <f t="shared" si="47"/>
        <v>1.0170351552190624</v>
      </c>
      <c r="H99" s="413" t="b">
        <f>Wh_hp&gt;='2018'!Maxi_hp</f>
        <v>1</v>
      </c>
      <c r="I99" s="389">
        <f>IF(H99,Wh_hp,'2018'!Maxi_hp)</f>
        <v>54.179948097742042</v>
      </c>
      <c r="J99" s="85">
        <f>IF(H99,An,'2018'!An_max)</f>
        <v>2019</v>
      </c>
      <c r="K99" s="196">
        <f t="shared" si="26"/>
        <v>43550</v>
      </c>
      <c r="L99" s="147">
        <f>IF(t&lt;Tvie,1-EXP((T0-t)*PertePVj)+'2018'!Pspv,1-EXP((T0-t)*PertePVj)+Pspv)</f>
        <v>6.5493011137175428E-3</v>
      </c>
      <c r="M99" s="847"/>
      <c r="N99" s="847"/>
      <c r="O99" s="48">
        <f>IF(t&lt;Tnet,'2018'!Resal+('2018'!Salim-'2018'!Resal)*(1-EXP(('2018'!Tnet-t)/('2018'!Tau_j))),Resal+(Salim-Resal)*(1-EXP((Tnet-t)/(Tau_j))))*Salcycl</f>
        <v>1.8995577261391415E-2</v>
      </c>
      <c r="P99" s="168">
        <f>(INDEX(Models!$BJ99:$BT99,,T99)*(1-R99)+INDEX(Models!$BJ99:$BT99,,T99+1)*R99-ERP_i)*Q99*Ramure*Pc/MaxiM</f>
        <v>5.0533789793489735E-5</v>
      </c>
      <c r="Q99" s="304">
        <f t="shared" si="27"/>
        <v>0.5</v>
      </c>
      <c r="R99" s="176">
        <f t="shared" si="28"/>
        <v>0.84702682407566865</v>
      </c>
      <c r="S99" s="814">
        <f t="shared" si="29"/>
        <v>-1</v>
      </c>
      <c r="T99" s="175">
        <f t="shared" si="30"/>
        <v>5</v>
      </c>
      <c r="U99" s="250">
        <f t="shared" si="31"/>
        <v>-0.15297317592433141</v>
      </c>
      <c r="V99" s="382">
        <f t="shared" si="32"/>
        <v>51.915609533307858</v>
      </c>
      <c r="W99" s="58"/>
      <c r="X99" s="157">
        <f t="shared" si="33"/>
        <v>43550</v>
      </c>
      <c r="Y99" s="384">
        <f t="shared" si="34"/>
        <v>52.8</v>
      </c>
      <c r="Z99" s="384">
        <f t="shared" si="35"/>
        <v>53.148082797859971</v>
      </c>
      <c r="AA99" s="385">
        <f t="shared" si="36"/>
        <v>54.177210179633846</v>
      </c>
      <c r="AB99" s="196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1.8995577261391415E-2</v>
      </c>
      <c r="AD99" s="230">
        <f>(INDEX(Models!$BJ99:$BT99,,AH99)*(1-AF99)+INDEX(Models!$BJ99:$BT99,,AH99+1)*AF99-ERP_i)*AE99*Ramure*Pc/MaxiM</f>
        <v>5.0533789793489735E-5</v>
      </c>
      <c r="AE99" s="304">
        <f t="shared" si="38"/>
        <v>0.5</v>
      </c>
      <c r="AF99" s="176">
        <f t="shared" si="39"/>
        <v>0.84702682407566865</v>
      </c>
      <c r="AG99" s="175">
        <f t="shared" si="40"/>
        <v>-1</v>
      </c>
      <c r="AH99" s="175">
        <f t="shared" si="41"/>
        <v>5</v>
      </c>
      <c r="AI99" s="224">
        <f t="shared" si="42"/>
        <v>-0.15297317592433141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43551</v>
      </c>
      <c r="B100" s="616">
        <v>52.261000000000003</v>
      </c>
      <c r="C100" s="389"/>
      <c r="D100" s="392">
        <f t="shared" si="24"/>
        <v>52.60668167397197</v>
      </c>
      <c r="E100" s="384">
        <f t="shared" si="46"/>
        <v>53.628363501083548</v>
      </c>
      <c r="F100" s="384">
        <f t="shared" si="25"/>
        <v>53.631049698889107</v>
      </c>
      <c r="G100" s="110">
        <f t="shared" si="47"/>
        <v>1.000906553042562</v>
      </c>
      <c r="H100" s="413" t="b">
        <f>Wh_hp&gt;='2018'!Maxi_hp</f>
        <v>1</v>
      </c>
      <c r="I100" s="389">
        <f>IF(H100,Wh_hp,'2018'!Maxi_hp)</f>
        <v>53.631049698889107</v>
      </c>
      <c r="J100" s="85">
        <f>IF(H100,An,'2018'!An_max)</f>
        <v>2019</v>
      </c>
      <c r="K100" s="196">
        <f t="shared" si="26"/>
        <v>43551</v>
      </c>
      <c r="L100" s="147">
        <f>IF(t&lt;Tvie,1-EXP((T0-t)*PertePVj)+'2018'!Pspv,1-EXP((T0-t)*PertePVj)+Pspv)</f>
        <v>6.5710602336470636E-3</v>
      </c>
      <c r="M100" s="847"/>
      <c r="N100" s="847"/>
      <c r="O100" s="48">
        <f>IF(t&lt;Tnet,'2018'!Resal+('2018'!Salim-'2018'!Resal)*(1-EXP(('2018'!Tnet-t)/('2018'!Tau_j))),Resal+(Salim-Resal)*(1-EXP((Tnet-t)/(Tau_j))))*Salcycl</f>
        <v>1.9051146826267247E-2</v>
      </c>
      <c r="P100" s="168">
        <f>(INDEX(Models!$BJ100:$BT100,,T100)*(1-R100)+INDEX(Models!$BJ100:$BT100,,T100+1)*R100-ERP_i)*Q100*Ramure*Pc/MaxiM</f>
        <v>5.0086616253818166E-5</v>
      </c>
      <c r="Q100" s="304">
        <f t="shared" si="27"/>
        <v>0.5</v>
      </c>
      <c r="R100" s="176">
        <f t="shared" si="28"/>
        <v>0.84753500317644737</v>
      </c>
      <c r="S100" s="814">
        <f t="shared" si="29"/>
        <v>-1</v>
      </c>
      <c r="T100" s="175">
        <f t="shared" si="30"/>
        <v>5</v>
      </c>
      <c r="U100" s="250">
        <f t="shared" si="31"/>
        <v>-0.15246499682355266</v>
      </c>
      <c r="V100" s="382">
        <f t="shared" si="32"/>
        <v>52.213665542639006</v>
      </c>
      <c r="W100" s="58"/>
      <c r="X100" s="157">
        <f t="shared" si="33"/>
        <v>43551</v>
      </c>
      <c r="Y100" s="384">
        <f t="shared" si="34"/>
        <v>52.261000000000003</v>
      </c>
      <c r="Z100" s="384">
        <f t="shared" si="35"/>
        <v>52.60668167397197</v>
      </c>
      <c r="AA100" s="385">
        <f t="shared" si="36"/>
        <v>53.628363501083548</v>
      </c>
      <c r="AB100" s="196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1.9051146826267247E-2</v>
      </c>
      <c r="AD100" s="230">
        <f>(INDEX(Models!$BJ100:$BT100,,AH100)*(1-AF100)+INDEX(Models!$BJ100:$BT100,,AH100+1)*AF100-ERP_i)*AE100*Ramure*Pc/MaxiM</f>
        <v>5.0086616253818166E-5</v>
      </c>
      <c r="AE100" s="304">
        <f t="shared" si="38"/>
        <v>0.5</v>
      </c>
      <c r="AF100" s="176">
        <f t="shared" si="39"/>
        <v>0.84753500317644737</v>
      </c>
      <c r="AG100" s="175">
        <f t="shared" si="40"/>
        <v>-1</v>
      </c>
      <c r="AH100" s="175">
        <f t="shared" si="41"/>
        <v>5</v>
      </c>
      <c r="AI100" s="224">
        <f t="shared" si="42"/>
        <v>-0.15246499682355266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43552</v>
      </c>
      <c r="B101" s="616">
        <v>51.308999999999997</v>
      </c>
      <c r="C101" s="389"/>
      <c r="D101" s="392">
        <f t="shared" si="24"/>
        <v>51.649515903435884</v>
      </c>
      <c r="E101" s="384">
        <f t="shared" si="46"/>
        <v>52.655596751451959</v>
      </c>
      <c r="F101" s="384">
        <f t="shared" si="25"/>
        <v>52.658123194281352</v>
      </c>
      <c r="G101" s="110">
        <f t="shared" si="47"/>
        <v>0.97719109182425024</v>
      </c>
      <c r="H101" s="413" t="b">
        <f>Wh_hp&gt;='2018'!Maxi_hp</f>
        <v>1</v>
      </c>
      <c r="I101" s="389">
        <f>IF(H101,Wh_hp,'2018'!Maxi_hp)</f>
        <v>52.658123194281352</v>
      </c>
      <c r="J101" s="85">
        <f>IF(H101,An,'2018'!An_max)</f>
        <v>2019</v>
      </c>
      <c r="K101" s="196">
        <f t="shared" si="26"/>
        <v>43552</v>
      </c>
      <c r="L101" s="147">
        <f>IF(t&lt;Tvie,1-EXP((T0-t)*PertePVj)+'2018'!Pspv,1-EXP((T0-t)*PertePVj)+Pspv)</f>
        <v>6.5928188769961427E-3</v>
      </c>
      <c r="M101" s="847"/>
      <c r="N101" s="847"/>
      <c r="O101" s="48">
        <f>IF(t&lt;Tnet,'2018'!Resal+('2018'!Salim-'2018'!Resal)*(1-EXP(('2018'!Tnet-t)/('2018'!Tau_j))),Resal+(Salim-Resal)*(1-EXP((Tnet-t)/(Tau_j))))*Salcycl</f>
        <v>1.910681694037264E-2</v>
      </c>
      <c r="P101" s="168">
        <f>(INDEX(Models!$BJ101:$BT101,,T101)*(1-R101)+INDEX(Models!$BJ101:$BT101,,T101+1)*R101-ERP_i)*Q101*Ramure*Pc/MaxiM</f>
        <v>4.9594085873321657E-5</v>
      </c>
      <c r="Q101" s="304">
        <f t="shared" si="27"/>
        <v>0.5</v>
      </c>
      <c r="R101" s="176">
        <f t="shared" si="28"/>
        <v>0.8480625961062459</v>
      </c>
      <c r="S101" s="814">
        <f t="shared" si="29"/>
        <v>-1</v>
      </c>
      <c r="T101" s="175">
        <f t="shared" si="30"/>
        <v>5</v>
      </c>
      <c r="U101" s="250">
        <f t="shared" si="31"/>
        <v>-0.15193740389375412</v>
      </c>
      <c r="V101" s="382">
        <f t="shared" si="32"/>
        <v>52.506533795339571</v>
      </c>
      <c r="W101" s="58"/>
      <c r="X101" s="157">
        <f t="shared" si="33"/>
        <v>43552</v>
      </c>
      <c r="Y101" s="384">
        <f t="shared" si="34"/>
        <v>51.308999999999997</v>
      </c>
      <c r="Z101" s="384">
        <f t="shared" si="35"/>
        <v>51.649515903435884</v>
      </c>
      <c r="AA101" s="385">
        <f t="shared" si="36"/>
        <v>52.655596751451959</v>
      </c>
      <c r="AB101" s="196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1.910681694037264E-2</v>
      </c>
      <c r="AD101" s="230">
        <f>(INDEX(Models!$BJ101:$BT101,,AH101)*(1-AF101)+INDEX(Models!$BJ101:$BT101,,AH101+1)*AF101-ERP_i)*AE101*Ramure*Pc/MaxiM</f>
        <v>4.9594085873321657E-5</v>
      </c>
      <c r="AE101" s="304">
        <f t="shared" si="38"/>
        <v>0.5</v>
      </c>
      <c r="AF101" s="176">
        <f t="shared" si="39"/>
        <v>0.8480625961062459</v>
      </c>
      <c r="AG101" s="175">
        <f t="shared" si="40"/>
        <v>-1</v>
      </c>
      <c r="AH101" s="175">
        <f t="shared" si="41"/>
        <v>5</v>
      </c>
      <c r="AI101" s="224">
        <f t="shared" si="42"/>
        <v>-0.15193740389375412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43553</v>
      </c>
      <c r="B102" s="616">
        <v>52.241</v>
      </c>
      <c r="C102" s="389"/>
      <c r="D102" s="392">
        <f t="shared" si="24"/>
        <v>52.588853019944189</v>
      </c>
      <c r="E102" s="384">
        <f t="shared" si="46"/>
        <v>53.616280141254705</v>
      </c>
      <c r="F102" s="384">
        <f t="shared" si="25"/>
        <v>53.618871231907633</v>
      </c>
      <c r="G102" s="110">
        <f t="shared" si="47"/>
        <v>0.98953837801992028</v>
      </c>
      <c r="H102" s="413" t="b">
        <f>Wh_hp&gt;='2018'!Maxi_hp</f>
        <v>1</v>
      </c>
      <c r="I102" s="389">
        <f>IF(H102,Wh_hp,'2018'!Maxi_hp)</f>
        <v>53.618871231907633</v>
      </c>
      <c r="J102" s="85">
        <f>IF(H102,An,'2018'!An_max)</f>
        <v>2019</v>
      </c>
      <c r="K102" s="196">
        <f t="shared" si="26"/>
        <v>43553</v>
      </c>
      <c r="L102" s="147">
        <f>IF(t&lt;Tvie,1-EXP((T0-t)*PertePVj)+'2018'!Pspv,1-EXP((T0-t)*PertePVj)+Pspv)</f>
        <v>6.614577043775105E-3</v>
      </c>
      <c r="M102" s="847"/>
      <c r="N102" s="847"/>
      <c r="O102" s="48">
        <f>IF(t&lt;Tnet,'2018'!Resal+('2018'!Salim-'2018'!Resal)*(1-EXP(('2018'!Tnet-t)/('2018'!Tau_j))),Resal+(Salim-Resal)*(1-EXP((Tnet-t)/(Tau_j))))*Salcycl</f>
        <v>1.9162596110802694E-2</v>
      </c>
      <c r="P102" s="168">
        <f>(INDEX(Models!$BJ102:$BT102,,T102)*(1-R102)+INDEX(Models!$BJ102:$BT102,,T102+1)*R102-ERP_i)*Q102*Ramure*Pc/MaxiM</f>
        <v>4.9057349555095882E-5</v>
      </c>
      <c r="Q102" s="304">
        <f t="shared" si="27"/>
        <v>0.5</v>
      </c>
      <c r="R102" s="176">
        <f t="shared" si="28"/>
        <v>0.84861026547687768</v>
      </c>
      <c r="S102" s="814">
        <f t="shared" si="29"/>
        <v>-1</v>
      </c>
      <c r="T102" s="175">
        <f t="shared" si="30"/>
        <v>5</v>
      </c>
      <c r="U102" s="250">
        <f t="shared" si="31"/>
        <v>-0.15138973452312229</v>
      </c>
      <c r="V102" s="382">
        <f t="shared" si="32"/>
        <v>52.793264879501542</v>
      </c>
      <c r="W102" s="58"/>
      <c r="X102" s="157">
        <f t="shared" si="33"/>
        <v>43553</v>
      </c>
      <c r="Y102" s="384">
        <f t="shared" si="34"/>
        <v>52.241</v>
      </c>
      <c r="Z102" s="384">
        <f t="shared" si="35"/>
        <v>52.588853019944189</v>
      </c>
      <c r="AA102" s="385">
        <f t="shared" si="36"/>
        <v>53.616280141254705</v>
      </c>
      <c r="AB102" s="196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1.9162596110802694E-2</v>
      </c>
      <c r="AD102" s="230">
        <f>(INDEX(Models!$BJ102:$BT102,,AH102)*(1-AF102)+INDEX(Models!$BJ102:$BT102,,AH102+1)*AF102-ERP_i)*AE102*Ramure*Pc/MaxiM</f>
        <v>4.9057349555095882E-5</v>
      </c>
      <c r="AE102" s="304">
        <f t="shared" si="38"/>
        <v>0.5</v>
      </c>
      <c r="AF102" s="176">
        <f t="shared" si="39"/>
        <v>0.84861026547687768</v>
      </c>
      <c r="AG102" s="175">
        <f t="shared" si="40"/>
        <v>-1</v>
      </c>
      <c r="AH102" s="175">
        <f t="shared" si="41"/>
        <v>5</v>
      </c>
      <c r="AI102" s="224">
        <f t="shared" si="42"/>
        <v>-0.15138973452312229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43554</v>
      </c>
      <c r="B103" s="616">
        <v>53.183</v>
      </c>
      <c r="C103" s="389"/>
      <c r="D103" s="392">
        <f t="shared" si="24"/>
        <v>53.538298067061376</v>
      </c>
      <c r="E103" s="384">
        <f t="shared" si="46"/>
        <v>54.587385341306685</v>
      </c>
      <c r="F103" s="384">
        <f t="shared" si="25"/>
        <v>54.590031723801168</v>
      </c>
      <c r="G103" s="110">
        <f t="shared" si="47"/>
        <v>1.0020743223147321</v>
      </c>
      <c r="H103" s="413" t="b">
        <f>Wh_hp&gt;='2018'!Maxi_hp</f>
        <v>1</v>
      </c>
      <c r="I103" s="389">
        <f>IF(H103,Wh_hp,'2018'!Maxi_hp)</f>
        <v>54.590031723801168</v>
      </c>
      <c r="J103" s="85">
        <f>IF(H103,An,'2018'!An_max)</f>
        <v>2019</v>
      </c>
      <c r="K103" s="196">
        <f t="shared" si="26"/>
        <v>43554</v>
      </c>
      <c r="L103" s="147">
        <f>IF(t&lt;Tvie,1-EXP((T0-t)*PertePVj)+'2018'!Pspv,1-EXP((T0-t)*PertePVj)+Pspv)</f>
        <v>6.6363347339942758E-3</v>
      </c>
      <c r="M103" s="847"/>
      <c r="N103" s="847"/>
      <c r="O103" s="48">
        <f>IF(t&lt;Tnet,'2018'!Resal+('2018'!Salim-'2018'!Resal)*(1-EXP(('2018'!Tnet-t)/('2018'!Tau_j))),Resal+(Salim-Resal)*(1-EXP((Tnet-t)/(Tau_j))))*Salcycl</f>
        <v>1.9218492838334593E-2</v>
      </c>
      <c r="P103" s="168">
        <f>(INDEX(Models!$BJ103:$BT103,,T103)*(1-R103)+INDEX(Models!$BJ103:$BT103,,T103+1)*R103-ERP_i)*Q103*Ramure*Pc/MaxiM</f>
        <v>4.8477394332176772E-5</v>
      </c>
      <c r="Q103" s="304">
        <f t="shared" si="27"/>
        <v>0.5</v>
      </c>
      <c r="R103" s="176">
        <f t="shared" si="28"/>
        <v>0.84917869008784874</v>
      </c>
      <c r="S103" s="814">
        <f t="shared" si="29"/>
        <v>-1</v>
      </c>
      <c r="T103" s="175">
        <f t="shared" si="30"/>
        <v>5</v>
      </c>
      <c r="U103" s="250">
        <f t="shared" si="31"/>
        <v>-0.15082130991215129</v>
      </c>
      <c r="V103" s="382">
        <f t="shared" si="32"/>
        <v>53.072909679144772</v>
      </c>
      <c r="W103" s="58"/>
      <c r="X103" s="157">
        <f t="shared" si="33"/>
        <v>43554</v>
      </c>
      <c r="Y103" s="384">
        <f t="shared" si="34"/>
        <v>53.183</v>
      </c>
      <c r="Z103" s="384">
        <f t="shared" si="35"/>
        <v>53.538298067061376</v>
      </c>
      <c r="AA103" s="385">
        <f t="shared" si="36"/>
        <v>54.587385341306685</v>
      </c>
      <c r="AB103" s="196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1.9218492838334593E-2</v>
      </c>
      <c r="AD103" s="230">
        <f>(INDEX(Models!$BJ103:$BT103,,AH103)*(1-AF103)+INDEX(Models!$BJ103:$BT103,,AH103+1)*AF103-ERP_i)*AE103*Ramure*Pc/MaxiM</f>
        <v>4.8477394332176772E-5</v>
      </c>
      <c r="AE103" s="304">
        <f t="shared" si="38"/>
        <v>0.5</v>
      </c>
      <c r="AF103" s="176">
        <f t="shared" si="39"/>
        <v>0.84917869008784874</v>
      </c>
      <c r="AG103" s="175">
        <f t="shared" si="40"/>
        <v>-1</v>
      </c>
      <c r="AH103" s="175">
        <f t="shared" si="41"/>
        <v>5</v>
      </c>
      <c r="AI103" s="224">
        <f t="shared" si="42"/>
        <v>-0.15082130991215129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43555</v>
      </c>
      <c r="B104" s="616">
        <v>44.935000000000002</v>
      </c>
      <c r="C104" s="389"/>
      <c r="D104" s="392">
        <f t="shared" si="24"/>
        <v>45.236186690346038</v>
      </c>
      <c r="E104" s="384">
        <f t="shared" si="46"/>
        <v>46.125228119213446</v>
      </c>
      <c r="F104" s="384">
        <f t="shared" si="25"/>
        <v>46.12693840051368</v>
      </c>
      <c r="G104" s="110">
        <f t="shared" si="47"/>
        <v>0.84234549728652353</v>
      </c>
      <c r="H104" s="413" t="b">
        <f>Wh_hp&gt;='2018'!Maxi_hp</f>
        <v>1</v>
      </c>
      <c r="I104" s="389">
        <f>IF(H104,Wh_hp,'2018'!Maxi_hp)</f>
        <v>46.12693840051368</v>
      </c>
      <c r="J104" s="85">
        <f>IF(H104,An,'2018'!An_max)</f>
        <v>2019</v>
      </c>
      <c r="K104" s="196">
        <f t="shared" si="26"/>
        <v>43555</v>
      </c>
      <c r="L104" s="147">
        <f>IF(t&lt;Tvie,1-EXP((T0-t)*PertePVj)+'2018'!Pspv,1-EXP((T0-t)*PertePVj)+Pspv)</f>
        <v>6.658091947664313E-3</v>
      </c>
      <c r="M104" s="847"/>
      <c r="N104" s="847"/>
      <c r="O104" s="48">
        <f>IF(t&lt;Tnet,'2018'!Resal+('2018'!Salim-'2018'!Resal)*(1-EXP(('2018'!Tnet-t)/('2018'!Tau_j))),Resal+(Salim-Resal)*(1-EXP((Tnet-t)/(Tau_j))))*Salcycl</f>
        <v>1.9274515598483925E-2</v>
      </c>
      <c r="P104" s="168">
        <f>(INDEX(Models!$BJ104:$BT104,,T104)*(1-R104)+INDEX(Models!$BJ104:$BT104,,T104+1)*R104-ERP_i)*Q104*Ramure*Pc/MaxiM</f>
        <v>4.7855036144193699E-5</v>
      </c>
      <c r="Q104" s="304">
        <f t="shared" si="27"/>
        <v>0.5</v>
      </c>
      <c r="R104" s="176">
        <f t="shared" si="28"/>
        <v>0.8497685647780473</v>
      </c>
      <c r="S104" s="814">
        <f t="shared" si="29"/>
        <v>-1</v>
      </c>
      <c r="T104" s="175">
        <f t="shared" si="30"/>
        <v>5</v>
      </c>
      <c r="U104" s="250">
        <f t="shared" si="31"/>
        <v>-0.15023143522195273</v>
      </c>
      <c r="V104" s="382">
        <f t="shared" si="32"/>
        <v>53.344519377969952</v>
      </c>
      <c r="W104" s="58"/>
      <c r="X104" s="157">
        <f t="shared" si="33"/>
        <v>43555</v>
      </c>
      <c r="Y104" s="384">
        <f t="shared" si="34"/>
        <v>44.935000000000002</v>
      </c>
      <c r="Z104" s="384">
        <f t="shared" si="35"/>
        <v>45.236186690346038</v>
      </c>
      <c r="AA104" s="385">
        <f t="shared" si="36"/>
        <v>46.125228119213446</v>
      </c>
      <c r="AB104" s="196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1.9274515598483925E-2</v>
      </c>
      <c r="AD104" s="230">
        <f>(INDEX(Models!$BJ104:$BT104,,AH104)*(1-AF104)+INDEX(Models!$BJ104:$BT104,,AH104+1)*AF104-ERP_i)*AE104*Ramure*Pc/MaxiM</f>
        <v>4.7855036144193699E-5</v>
      </c>
      <c r="AE104" s="304">
        <f t="shared" si="38"/>
        <v>0.5</v>
      </c>
      <c r="AF104" s="176">
        <f t="shared" si="39"/>
        <v>0.8497685647780473</v>
      </c>
      <c r="AG104" s="175">
        <f t="shared" si="40"/>
        <v>-1</v>
      </c>
      <c r="AH104" s="175">
        <f t="shared" si="41"/>
        <v>5</v>
      </c>
      <c r="AI104" s="224">
        <f t="shared" si="42"/>
        <v>-0.15023143522195273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43556</v>
      </c>
      <c r="B105" s="616">
        <v>46.38</v>
      </c>
      <c r="C105" s="389"/>
      <c r="D105" s="392">
        <f t="shared" si="24"/>
        <v>46.691894792017067</v>
      </c>
      <c r="E105" s="384">
        <f t="shared" si="46"/>
        <v>47.612272045289849</v>
      </c>
      <c r="F105" s="384">
        <f t="shared" si="25"/>
        <v>47.614086244663021</v>
      </c>
      <c r="G105" s="110">
        <f t="shared" si="47"/>
        <v>0.86517530543632926</v>
      </c>
      <c r="H105" s="413" t="b">
        <f>Wh_hp&gt;='2018'!Maxi_hp</f>
        <v>1</v>
      </c>
      <c r="I105" s="389">
        <f>IF(H105,Wh_hp,'2018'!Maxi_hp)</f>
        <v>47.614086244663021</v>
      </c>
      <c r="J105" s="85">
        <f>IF(H105,An,'2018'!An_max)</f>
        <v>2019</v>
      </c>
      <c r="K105" s="196">
        <f t="shared" si="26"/>
        <v>43556</v>
      </c>
      <c r="L105" s="147">
        <f>IF(t&lt;Tvie,1-EXP((T0-t)*PertePVj)+'2018'!Pspv,1-EXP((T0-t)*PertePVj)+Pspv)</f>
        <v>6.6798486847954308E-3</v>
      </c>
      <c r="M105" s="847"/>
      <c r="N105" s="847"/>
      <c r="O105" s="48">
        <f>IF(t&lt;Tnet,'2018'!Resal+('2018'!Salim-'2018'!Resal)*(1-EXP(('2018'!Tnet-t)/('2018'!Tau_j))),Resal+(Salim-Resal)*(1-EXP((Tnet-t)/(Tau_j))))*Salcycl</f>
        <v>1.9330672823117932E-2</v>
      </c>
      <c r="P105" s="168">
        <f>(INDEX(Models!$BJ105:$BT105,,T105)*(1-R105)+INDEX(Models!$BJ105:$BT105,,T105+1)*R105-ERP_i)*Q105*Ramure*Pc/MaxiM</f>
        <v>4.7190912812928753E-5</v>
      </c>
      <c r="Q105" s="304">
        <f t="shared" si="27"/>
        <v>0.5</v>
      </c>
      <c r="R105" s="176">
        <f t="shared" si="28"/>
        <v>0.85038060021961837</v>
      </c>
      <c r="S105" s="814">
        <f t="shared" si="29"/>
        <v>-1</v>
      </c>
      <c r="T105" s="175">
        <f t="shared" si="30"/>
        <v>5</v>
      </c>
      <c r="U105" s="250">
        <f t="shared" si="31"/>
        <v>-0.14961939978038161</v>
      </c>
      <c r="V105" s="382">
        <f t="shared" si="32"/>
        <v>53.607145460580455</v>
      </c>
      <c r="W105" s="58"/>
      <c r="X105" s="157">
        <f t="shared" si="33"/>
        <v>43556</v>
      </c>
      <c r="Y105" s="384">
        <f t="shared" si="34"/>
        <v>46.38</v>
      </c>
      <c r="Z105" s="384">
        <f t="shared" si="35"/>
        <v>46.691894792017067</v>
      </c>
      <c r="AA105" s="385">
        <f t="shared" si="36"/>
        <v>47.612272045289849</v>
      </c>
      <c r="AB105" s="196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1.9330672823117932E-2</v>
      </c>
      <c r="AD105" s="230">
        <f>(INDEX(Models!$BJ105:$BT105,,AH105)*(1-AF105)+INDEX(Models!$BJ105:$BT105,,AH105+1)*AF105-ERP_i)*AE105*Ramure*Pc/MaxiM</f>
        <v>4.7190912812928753E-5</v>
      </c>
      <c r="AE105" s="304">
        <f t="shared" si="38"/>
        <v>0.5</v>
      </c>
      <c r="AF105" s="176">
        <f t="shared" si="39"/>
        <v>0.85038060021961837</v>
      </c>
      <c r="AG105" s="175">
        <f t="shared" si="40"/>
        <v>-1</v>
      </c>
      <c r="AH105" s="175">
        <f t="shared" si="41"/>
        <v>5</v>
      </c>
      <c r="AI105" s="224">
        <f t="shared" si="42"/>
        <v>-0.14961939978038161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43557</v>
      </c>
      <c r="B106" s="616">
        <v>16.876000000000001</v>
      </c>
      <c r="C106" s="389"/>
      <c r="D106" s="392">
        <f t="shared" si="24"/>
        <v>16.989859325275891</v>
      </c>
      <c r="E106" s="384">
        <f t="shared" si="46"/>
        <v>17.325753233382372</v>
      </c>
      <c r="F106" s="384">
        <f t="shared" si="25"/>
        <v>17.32576857249483</v>
      </c>
      <c r="G106" s="110">
        <f t="shared" si="47"/>
        <v>0.31331750219643412</v>
      </c>
      <c r="H106" s="413" t="b">
        <f>Wh_hp&gt;='2018'!Maxi_hp</f>
        <v>1</v>
      </c>
      <c r="I106" s="389">
        <f>IF(H106,Wh_hp,'2018'!Maxi_hp)</f>
        <v>17.32576857249483</v>
      </c>
      <c r="J106" s="85">
        <f>IF(H106,An,'2018'!An_max)</f>
        <v>2019</v>
      </c>
      <c r="K106" s="196">
        <f t="shared" si="26"/>
        <v>43557</v>
      </c>
      <c r="L106" s="147">
        <f>IF(t&lt;Tvie,1-EXP((T0-t)*PertePVj)+'2018'!Pspv,1-EXP((T0-t)*PertePVj)+Pspv)</f>
        <v>6.7016049453981763E-3</v>
      </c>
      <c r="M106" s="847"/>
      <c r="N106" s="847"/>
      <c r="O106" s="48">
        <f>IF(t&lt;Tnet,'2018'!Resal+('2018'!Salim-'2018'!Resal)*(1-EXP(('2018'!Tnet-t)/('2018'!Tau_j))),Resal+(Salim-Resal)*(1-EXP((Tnet-t)/(Tau_j))))*Salcycl</f>
        <v>1.9386972882616038E-2</v>
      </c>
      <c r="P106" s="168">
        <f>(INDEX(Models!$BJ106:$BT106,,T106)*(1-R106)+INDEX(Models!$BJ106:$BT106,,T106+1)*R106-ERP_i)*Q106*Ramure*Pc/MaxiM</f>
        <v>4.64854770752946E-5</v>
      </c>
      <c r="Q106" s="304">
        <f t="shared" si="27"/>
        <v>0.5</v>
      </c>
      <c r="R106" s="176">
        <f t="shared" si="28"/>
        <v>0.85101552264928204</v>
      </c>
      <c r="S106" s="814">
        <f t="shared" si="29"/>
        <v>-1</v>
      </c>
      <c r="T106" s="175">
        <f t="shared" si="30"/>
        <v>5</v>
      </c>
      <c r="U106" s="250">
        <f t="shared" si="31"/>
        <v>-0.14898447735071799</v>
      </c>
      <c r="V106" s="382">
        <f t="shared" si="32"/>
        <v>53.859839724957908</v>
      </c>
      <c r="W106" s="58"/>
      <c r="X106" s="157">
        <f t="shared" si="33"/>
        <v>43557</v>
      </c>
      <c r="Y106" s="384">
        <f t="shared" si="34"/>
        <v>16.876000000000001</v>
      </c>
      <c r="Z106" s="384">
        <f t="shared" si="35"/>
        <v>16.989859325275891</v>
      </c>
      <c r="AA106" s="385">
        <f t="shared" si="36"/>
        <v>17.325753233382372</v>
      </c>
      <c r="AB106" s="196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1.9386972882616038E-2</v>
      </c>
      <c r="AD106" s="230">
        <f>(INDEX(Models!$BJ106:$BT106,,AH106)*(1-AF106)+INDEX(Models!$BJ106:$BT106,,AH106+1)*AF106-ERP_i)*AE106*Ramure*Pc/MaxiM</f>
        <v>4.64854770752946E-5</v>
      </c>
      <c r="AE106" s="304">
        <f t="shared" si="38"/>
        <v>0.5</v>
      </c>
      <c r="AF106" s="176">
        <f t="shared" si="39"/>
        <v>0.85101552264928204</v>
      </c>
      <c r="AG106" s="175">
        <f t="shared" si="40"/>
        <v>-1</v>
      </c>
      <c r="AH106" s="175">
        <f t="shared" si="41"/>
        <v>5</v>
      </c>
      <c r="AI106" s="224">
        <f t="shared" si="42"/>
        <v>-0.14898447735071799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43558</v>
      </c>
      <c r="B107" s="616">
        <v>17.195</v>
      </c>
      <c r="C107" s="389"/>
      <c r="D107" s="392">
        <f t="shared" si="24"/>
        <v>17.311390724570312</v>
      </c>
      <c r="E107" s="384">
        <f t="shared" si="46"/>
        <v>17.654657721433267</v>
      </c>
      <c r="F107" s="384">
        <f t="shared" si="25"/>
        <v>17.654678268420525</v>
      </c>
      <c r="G107" s="110">
        <f t="shared" si="47"/>
        <v>0.31779816326930865</v>
      </c>
      <c r="H107" s="413" t="b">
        <f>Wh_hp&gt;='2018'!Maxi_hp</f>
        <v>1</v>
      </c>
      <c r="I107" s="389">
        <f>IF(H107,Wh_hp,'2018'!Maxi_hp)</f>
        <v>17.654678268420525</v>
      </c>
      <c r="J107" s="85">
        <f>IF(H107,An,'2018'!An_max)</f>
        <v>2019</v>
      </c>
      <c r="K107" s="196">
        <f t="shared" si="26"/>
        <v>43558</v>
      </c>
      <c r="L107" s="147">
        <f>IF(t&lt;Tvie,1-EXP((T0-t)*PertePVj)+'2018'!Pspv,1-EXP((T0-t)*PertePVj)+Pspv)</f>
        <v>6.7233607294829856E-3</v>
      </c>
      <c r="M107" s="847"/>
      <c r="N107" s="847"/>
      <c r="O107" s="48">
        <f>IF(t&lt;Tnet,'2018'!Resal+('2018'!Salim-'2018'!Resal)*(1-EXP(('2018'!Tnet-t)/('2018'!Tau_j))),Resal+(Salim-Resal)*(1-EXP((Tnet-t)/(Tau_j))))*Salcycl</f>
        <v>1.9443424068551575E-2</v>
      </c>
      <c r="P107" s="168">
        <f>(INDEX(Models!$BJ107:$BT107,,T107)*(1-R107)+INDEX(Models!$BJ107:$BT107,,T107+1)*R107-ERP_i)*Q107*Ramure*Pc/MaxiM</f>
        <v>4.5736789182997527E-5</v>
      </c>
      <c r="Q107" s="304">
        <f t="shared" si="27"/>
        <v>0.5</v>
      </c>
      <c r="R107" s="176">
        <f t="shared" si="28"/>
        <v>0.85167407353217017</v>
      </c>
      <c r="S107" s="814">
        <f t="shared" si="29"/>
        <v>-1</v>
      </c>
      <c r="T107" s="175">
        <f t="shared" si="30"/>
        <v>5</v>
      </c>
      <c r="U107" s="250">
        <f t="shared" si="31"/>
        <v>-0.14832592646782983</v>
      </c>
      <c r="V107" s="382">
        <f t="shared" si="32"/>
        <v>54.104257211985967</v>
      </c>
      <c r="W107" s="58"/>
      <c r="X107" s="157">
        <f t="shared" si="33"/>
        <v>43558</v>
      </c>
      <c r="Y107" s="384">
        <f t="shared" si="34"/>
        <v>17.195</v>
      </c>
      <c r="Z107" s="384">
        <f t="shared" si="35"/>
        <v>17.311390724570312</v>
      </c>
      <c r="AA107" s="385">
        <f t="shared" si="36"/>
        <v>17.654657721433267</v>
      </c>
      <c r="AB107" s="196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1.9443424068551575E-2</v>
      </c>
      <c r="AD107" s="230">
        <f>(INDEX(Models!$BJ107:$BT107,,AH107)*(1-AF107)+INDEX(Models!$BJ107:$BT107,,AH107+1)*AF107-ERP_i)*AE107*Ramure*Pc/MaxiM</f>
        <v>4.5736789182997527E-5</v>
      </c>
      <c r="AE107" s="304">
        <f t="shared" si="38"/>
        <v>0.5</v>
      </c>
      <c r="AF107" s="176">
        <f t="shared" si="39"/>
        <v>0.85167407353217017</v>
      </c>
      <c r="AG107" s="175">
        <f t="shared" si="40"/>
        <v>-1</v>
      </c>
      <c r="AH107" s="175">
        <f t="shared" si="41"/>
        <v>5</v>
      </c>
      <c r="AI107" s="224">
        <f t="shared" si="42"/>
        <v>-0.14832592646782983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43559</v>
      </c>
      <c r="B108" s="616">
        <v>40.996000000000002</v>
      </c>
      <c r="C108" s="389"/>
      <c r="D108" s="392">
        <f t="shared" si="24"/>
        <v>41.274400621552488</v>
      </c>
      <c r="E108" s="384">
        <f t="shared" si="46"/>
        <v>42.09525964005519</v>
      </c>
      <c r="F108" s="384">
        <f t="shared" si="25"/>
        <v>42.096486462846208</v>
      </c>
      <c r="G108" s="110">
        <f t="shared" si="47"/>
        <v>0.75438681262901564</v>
      </c>
      <c r="H108" s="413" t="b">
        <f>Wh_hp&gt;='2018'!Maxi_hp</f>
        <v>1</v>
      </c>
      <c r="I108" s="389">
        <f>IF(H108,Wh_hp,'2018'!Maxi_hp)</f>
        <v>42.096486462846208</v>
      </c>
      <c r="J108" s="85">
        <f>IF(H108,An,'2018'!An_max)</f>
        <v>2019</v>
      </c>
      <c r="K108" s="196">
        <f t="shared" si="26"/>
        <v>43559</v>
      </c>
      <c r="L108" s="147">
        <f>IF(t&lt;Tvie,1-EXP((T0-t)*PertePVj)+'2018'!Pspv,1-EXP((T0-t)*PertePVj)+Pspv)</f>
        <v>6.7451160370602947E-3</v>
      </c>
      <c r="M108" s="847"/>
      <c r="N108" s="847"/>
      <c r="O108" s="48">
        <f>IF(t&lt;Tnet,'2018'!Resal+('2018'!Salim-'2018'!Resal)*(1-EXP(('2018'!Tnet-t)/('2018'!Tau_j))),Resal+(Salim-Resal)*(1-EXP((Tnet-t)/(Tau_j))))*Salcycl</f>
        <v>1.9500034576853537E-2</v>
      </c>
      <c r="P108" s="168">
        <f>(INDEX(Models!$BJ108:$BT108,,T108)*(1-R108)+INDEX(Models!$BJ108:$BT108,,T108+1)*R108-ERP_i)*Q108*Ramure*Pc/MaxiM</f>
        <v>4.4894893894908053E-5</v>
      </c>
      <c r="Q108" s="304">
        <f t="shared" si="27"/>
        <v>0.5</v>
      </c>
      <c r="R108" s="176">
        <f t="shared" si="28"/>
        <v>0.85235700915308177</v>
      </c>
      <c r="S108" s="814">
        <f t="shared" si="29"/>
        <v>-1</v>
      </c>
      <c r="T108" s="175">
        <f t="shared" si="30"/>
        <v>5</v>
      </c>
      <c r="U108" s="250">
        <f t="shared" si="31"/>
        <v>-0.14764299084691823</v>
      </c>
      <c r="V108" s="382">
        <f t="shared" si="32"/>
        <v>54.342617785733275</v>
      </c>
      <c r="W108" s="58"/>
      <c r="X108" s="157">
        <f t="shared" si="33"/>
        <v>43559</v>
      </c>
      <c r="Y108" s="384">
        <f t="shared" si="34"/>
        <v>40.996000000000002</v>
      </c>
      <c r="Z108" s="384">
        <f t="shared" si="35"/>
        <v>41.274400621552488</v>
      </c>
      <c r="AA108" s="385">
        <f t="shared" si="36"/>
        <v>42.09525964005519</v>
      </c>
      <c r="AB108" s="196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1.9500034576853537E-2</v>
      </c>
      <c r="AD108" s="230">
        <f>(INDEX(Models!$BJ108:$BT108,,AH108)*(1-AF108)+INDEX(Models!$BJ108:$BT108,,AH108+1)*AF108-ERP_i)*AE108*Ramure*Pc/MaxiM</f>
        <v>4.4894893894908053E-5</v>
      </c>
      <c r="AE108" s="304">
        <f t="shared" si="38"/>
        <v>0.5</v>
      </c>
      <c r="AF108" s="176">
        <f t="shared" si="39"/>
        <v>0.85235700915308177</v>
      </c>
      <c r="AG108" s="175">
        <f t="shared" si="40"/>
        <v>-1</v>
      </c>
      <c r="AH108" s="175">
        <f t="shared" si="41"/>
        <v>5</v>
      </c>
      <c r="AI108" s="224">
        <f t="shared" si="42"/>
        <v>-0.14764299084691823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43560</v>
      </c>
      <c r="B109" s="616">
        <v>50.097999999999999</v>
      </c>
      <c r="C109" s="389"/>
      <c r="D109" s="392">
        <f t="shared" si="24"/>
        <v>50.439316340352455</v>
      </c>
      <c r="E109" s="384">
        <f t="shared" si="46"/>
        <v>51.445424868036696</v>
      </c>
      <c r="F109" s="384">
        <f t="shared" si="25"/>
        <v>51.447423725153172</v>
      </c>
      <c r="G109" s="110">
        <f t="shared" si="47"/>
        <v>0.91796449347977471</v>
      </c>
      <c r="H109" s="413" t="b">
        <f>Wh_hp&gt;='2018'!Maxi_hp</f>
        <v>1</v>
      </c>
      <c r="I109" s="389">
        <f>IF(H109,Wh_hp,'2018'!Maxi_hp)</f>
        <v>51.447423725153172</v>
      </c>
      <c r="J109" s="85">
        <f>IF(H109,An,'2018'!An_max)</f>
        <v>2019</v>
      </c>
      <c r="K109" s="196">
        <f t="shared" si="26"/>
        <v>43560</v>
      </c>
      <c r="L109" s="147">
        <f>IF(t&lt;Tvie,1-EXP((T0-t)*PertePVj)+'2018'!Pspv,1-EXP((T0-t)*PertePVj)+Pspv)</f>
        <v>6.7668708681405398E-3</v>
      </c>
      <c r="M109" s="847"/>
      <c r="N109" s="847"/>
      <c r="O109" s="48">
        <f>IF(t&lt;Tnet,'2018'!Resal+('2018'!Salim-'2018'!Resal)*(1-EXP(('2018'!Tnet-t)/('2018'!Tau_j))),Resal+(Salim-Resal)*(1-EXP((Tnet-t)/(Tau_j))))*Salcycl</f>
        <v>1.955681249139295E-2</v>
      </c>
      <c r="P109" s="168">
        <f>(INDEX(Models!$BJ109:$BT109,,T109)*(1-R109)+INDEX(Models!$BJ109:$BT109,,T109+1)*R109-ERP_i)*Q109*Ramure*Pc/MaxiM</f>
        <v>4.4009791292870432E-5</v>
      </c>
      <c r="Q109" s="304">
        <f t="shared" si="27"/>
        <v>0.5</v>
      </c>
      <c r="R109" s="176">
        <f t="shared" si="28"/>
        <v>0.85306510012989301</v>
      </c>
      <c r="S109" s="814">
        <f t="shared" si="29"/>
        <v>-1</v>
      </c>
      <c r="T109" s="175">
        <f t="shared" si="30"/>
        <v>5</v>
      </c>
      <c r="U109" s="250">
        <f t="shared" si="31"/>
        <v>-0.14693489987010699</v>
      </c>
      <c r="V109" s="382">
        <f t="shared" si="32"/>
        <v>54.574814137159883</v>
      </c>
      <c r="W109" s="58"/>
      <c r="X109" s="157">
        <f t="shared" si="33"/>
        <v>43560</v>
      </c>
      <c r="Y109" s="384">
        <f t="shared" si="34"/>
        <v>50.097999999999999</v>
      </c>
      <c r="Z109" s="384">
        <f t="shared" si="35"/>
        <v>50.439316340352455</v>
      </c>
      <c r="AA109" s="385">
        <f t="shared" si="36"/>
        <v>51.445424868036696</v>
      </c>
      <c r="AB109" s="196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1.955681249139295E-2</v>
      </c>
      <c r="AD109" s="230">
        <f>(INDEX(Models!$BJ109:$BT109,,AH109)*(1-AF109)+INDEX(Models!$BJ109:$BT109,,AH109+1)*AF109-ERP_i)*AE109*Ramure*Pc/MaxiM</f>
        <v>4.4009791292870432E-5</v>
      </c>
      <c r="AE109" s="304">
        <f t="shared" si="38"/>
        <v>0.5</v>
      </c>
      <c r="AF109" s="176">
        <f t="shared" si="39"/>
        <v>0.85306510012989301</v>
      </c>
      <c r="AG109" s="175">
        <f t="shared" si="40"/>
        <v>-1</v>
      </c>
      <c r="AH109" s="175">
        <f t="shared" si="41"/>
        <v>5</v>
      </c>
      <c r="AI109" s="224">
        <f t="shared" si="42"/>
        <v>-0.14693489987010699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43561</v>
      </c>
      <c r="B110" s="616">
        <v>22.684000000000001</v>
      </c>
      <c r="C110" s="389"/>
      <c r="D110" s="392">
        <f t="shared" si="24"/>
        <v>22.839045721850535</v>
      </c>
      <c r="E110" s="384">
        <f t="shared" si="46"/>
        <v>23.295967369166615</v>
      </c>
      <c r="F110" s="384">
        <f t="shared" si="25"/>
        <v>23.296130723456791</v>
      </c>
      <c r="G110" s="110">
        <f t="shared" si="47"/>
        <v>0.41392107291196018</v>
      </c>
      <c r="H110" s="413" t="b">
        <f>Wh_hp&gt;='2018'!Maxi_hp</f>
        <v>1</v>
      </c>
      <c r="I110" s="389">
        <f>IF(H110,Wh_hp,'2018'!Maxi_hp)</f>
        <v>23.296130723456791</v>
      </c>
      <c r="J110" s="85">
        <f>IF(H110,An,'2018'!An_max)</f>
        <v>2019</v>
      </c>
      <c r="K110" s="196">
        <f t="shared" si="26"/>
        <v>43561</v>
      </c>
      <c r="L110" s="147">
        <f>IF(t&lt;Tvie,1-EXP((T0-t)*PertePVj)+'2018'!Pspv,1-EXP((T0-t)*PertePVj)+Pspv)</f>
        <v>6.788625222734157E-3</v>
      </c>
      <c r="M110" s="847"/>
      <c r="N110" s="847"/>
      <c r="O110" s="48">
        <f>IF(t&lt;Tnet,'2018'!Resal+('2018'!Salim-'2018'!Resal)*(1-EXP(('2018'!Tnet-t)/('2018'!Tau_j))),Resal+(Salim-Resal)*(1-EXP((Tnet-t)/(Tau_j))))*Salcycl</f>
        <v>1.961376576792594E-2</v>
      </c>
      <c r="P110" s="168">
        <f>(INDEX(Models!$BJ110:$BT110,,T110)*(1-R110)+INDEX(Models!$BJ110:$BT110,,T110+1)*R110-ERP_i)*Q110*Ramure*Pc/MaxiM</f>
        <v>4.308080499090682E-5</v>
      </c>
      <c r="Q110" s="304">
        <f t="shared" si="27"/>
        <v>0.5</v>
      </c>
      <c r="R110" s="176">
        <f t="shared" si="28"/>
        <v>0.85379913084371717</v>
      </c>
      <c r="S110" s="814">
        <f t="shared" si="29"/>
        <v>-1</v>
      </c>
      <c r="T110" s="175">
        <f t="shared" si="30"/>
        <v>5</v>
      </c>
      <c r="U110" s="250">
        <f t="shared" si="31"/>
        <v>-0.14620086915628289</v>
      </c>
      <c r="V110" s="382">
        <f t="shared" si="32"/>
        <v>54.800741725195302</v>
      </c>
      <c r="W110" s="58"/>
      <c r="X110" s="157">
        <f t="shared" si="33"/>
        <v>43561</v>
      </c>
      <c r="Y110" s="384">
        <f t="shared" si="34"/>
        <v>22.684000000000001</v>
      </c>
      <c r="Z110" s="384">
        <f t="shared" si="35"/>
        <v>22.839045721850535</v>
      </c>
      <c r="AA110" s="385">
        <f t="shared" si="36"/>
        <v>23.295967369166615</v>
      </c>
      <c r="AB110" s="196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1.961376576792594E-2</v>
      </c>
      <c r="AD110" s="230">
        <f>(INDEX(Models!$BJ110:$BT110,,AH110)*(1-AF110)+INDEX(Models!$BJ110:$BT110,,AH110+1)*AF110-ERP_i)*AE110*Ramure*Pc/MaxiM</f>
        <v>4.308080499090682E-5</v>
      </c>
      <c r="AE110" s="304">
        <f t="shared" si="38"/>
        <v>0.5</v>
      </c>
      <c r="AF110" s="176">
        <f t="shared" si="39"/>
        <v>0.85379913084371717</v>
      </c>
      <c r="AG110" s="175">
        <f t="shared" si="40"/>
        <v>-1</v>
      </c>
      <c r="AH110" s="175">
        <f t="shared" si="41"/>
        <v>5</v>
      </c>
      <c r="AI110" s="224">
        <f t="shared" si="42"/>
        <v>-0.14620086915628289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43562</v>
      </c>
      <c r="B111" s="616">
        <v>34.360999999999997</v>
      </c>
      <c r="C111" s="389"/>
      <c r="D111" s="392">
        <f t="shared" si="24"/>
        <v>34.596616071050462</v>
      </c>
      <c r="E111" s="384">
        <f t="shared" si="46"/>
        <v>35.290818307175201</v>
      </c>
      <c r="F111" s="384">
        <f t="shared" si="25"/>
        <v>35.291507217279737</v>
      </c>
      <c r="G111" s="110">
        <f t="shared" si="47"/>
        <v>0.62450089061732716</v>
      </c>
      <c r="H111" s="413" t="b">
        <f>Wh_hp&gt;='2018'!Maxi_hp</f>
        <v>1</v>
      </c>
      <c r="I111" s="389">
        <f>IF(H111,Wh_hp,'2018'!Maxi_hp)</f>
        <v>35.291507217279737</v>
      </c>
      <c r="J111" s="85">
        <f>IF(H111,An,'2018'!An_max)</f>
        <v>2019</v>
      </c>
      <c r="K111" s="196">
        <f t="shared" si="26"/>
        <v>43562</v>
      </c>
      <c r="L111" s="147">
        <f>IF(t&lt;Tvie,1-EXP((T0-t)*PertePVj)+'2018'!Pspv,1-EXP((T0-t)*PertePVj)+Pspv)</f>
        <v>6.8103791008515824E-3</v>
      </c>
      <c r="M111" s="847"/>
      <c r="N111" s="847"/>
      <c r="O111" s="48">
        <f>IF(t&lt;Tnet,'2018'!Resal+('2018'!Salim-'2018'!Resal)*(1-EXP(('2018'!Tnet-t)/('2018'!Tau_j))),Resal+(Salim-Resal)*(1-EXP((Tnet-t)/(Tau_j))))*Salcycl</f>
        <v>1.9670902218314329E-2</v>
      </c>
      <c r="P111" s="168">
        <f>(INDEX(Models!$BJ111:$BT111,,T111)*(1-R111)+INDEX(Models!$BJ111:$BT111,,T111+1)*R111-ERP_i)*Q111*Ramure*Pc/MaxiM</f>
        <v>4.2107127664038204E-5</v>
      </c>
      <c r="Q111" s="304">
        <f t="shared" si="27"/>
        <v>0.5</v>
      </c>
      <c r="R111" s="176">
        <f t="shared" si="28"/>
        <v>0.85455989878028649</v>
      </c>
      <c r="S111" s="814">
        <f t="shared" si="29"/>
        <v>-1</v>
      </c>
      <c r="T111" s="175">
        <f t="shared" si="30"/>
        <v>5</v>
      </c>
      <c r="U111" s="250">
        <f t="shared" si="31"/>
        <v>-0.14544010121971346</v>
      </c>
      <c r="V111" s="382">
        <f t="shared" si="32"/>
        <v>55.020296054261919</v>
      </c>
      <c r="W111" s="58"/>
      <c r="X111" s="157">
        <f t="shared" si="33"/>
        <v>43562</v>
      </c>
      <c r="Y111" s="384">
        <f t="shared" si="34"/>
        <v>34.360999999999997</v>
      </c>
      <c r="Z111" s="384">
        <f t="shared" si="35"/>
        <v>34.596616071050462</v>
      </c>
      <c r="AA111" s="385">
        <f t="shared" si="36"/>
        <v>35.290818307175201</v>
      </c>
      <c r="AB111" s="196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1.9670902218314329E-2</v>
      </c>
      <c r="AD111" s="230">
        <f>(INDEX(Models!$BJ111:$BT111,,AH111)*(1-AF111)+INDEX(Models!$BJ111:$BT111,,AH111+1)*AF111-ERP_i)*AE111*Ramure*Pc/MaxiM</f>
        <v>4.2107127664038204E-5</v>
      </c>
      <c r="AE111" s="304">
        <f t="shared" si="38"/>
        <v>0.5</v>
      </c>
      <c r="AF111" s="176">
        <f t="shared" si="39"/>
        <v>0.85455989878028649</v>
      </c>
      <c r="AG111" s="175">
        <f t="shared" si="40"/>
        <v>-1</v>
      </c>
      <c r="AH111" s="175">
        <f t="shared" si="41"/>
        <v>5</v>
      </c>
      <c r="AI111" s="224">
        <f t="shared" si="42"/>
        <v>-0.14544010121971346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43563</v>
      </c>
      <c r="B112" s="616">
        <v>34.456000000000003</v>
      </c>
      <c r="C112" s="389"/>
      <c r="D112" s="392">
        <f t="shared" si="24"/>
        <v>34.693027359835369</v>
      </c>
      <c r="E112" s="384">
        <f t="shared" si="46"/>
        <v>35.39123374119049</v>
      </c>
      <c r="F112" s="384">
        <f t="shared" si="25"/>
        <v>35.39190645503411</v>
      </c>
      <c r="G112" s="110">
        <f t="shared" si="47"/>
        <v>0.62381197306089509</v>
      </c>
      <c r="H112" s="413" t="b">
        <f>Wh_hp&gt;='2018'!Maxi_hp</f>
        <v>1</v>
      </c>
      <c r="I112" s="389">
        <f>IF(H112,Wh_hp,'2018'!Maxi_hp)</f>
        <v>35.39190645503411</v>
      </c>
      <c r="J112" s="85">
        <f>IF(H112,An,'2018'!An_max)</f>
        <v>2019</v>
      </c>
      <c r="K112" s="196">
        <f t="shared" si="26"/>
        <v>43563</v>
      </c>
      <c r="L112" s="147">
        <f>IF(t&lt;Tvie,1-EXP((T0-t)*PertePVj)+'2018'!Pspv,1-EXP((T0-t)*PertePVj)+Pspv)</f>
        <v>6.832132502503252E-3</v>
      </c>
      <c r="M112" s="847"/>
      <c r="N112" s="847"/>
      <c r="O112" s="48">
        <f>IF(t&lt;Tnet,'2018'!Resal+('2018'!Salim-'2018'!Resal)*(1-EXP(('2018'!Tnet-t)/('2018'!Tau_j))),Resal+(Salim-Resal)*(1-EXP((Tnet-t)/(Tau_j))))*Salcycl</f>
        <v>1.9728229494935707E-2</v>
      </c>
      <c r="P112" s="168">
        <f>(INDEX(Models!$BJ112:$BT112,,T112)*(1-R112)+INDEX(Models!$BJ112:$BT112,,T112+1)*R112-ERP_i)*Q112*Ramure*Pc/MaxiM</f>
        <v>4.1087817293236304E-5</v>
      </c>
      <c r="Q112" s="304">
        <f t="shared" si="27"/>
        <v>0.5</v>
      </c>
      <c r="R112" s="176">
        <f t="shared" si="28"/>
        <v>0.85534821377693271</v>
      </c>
      <c r="S112" s="814">
        <f t="shared" si="29"/>
        <v>-1</v>
      </c>
      <c r="T112" s="175">
        <f t="shared" si="30"/>
        <v>5</v>
      </c>
      <c r="U112" s="250">
        <f t="shared" si="31"/>
        <v>-0.14465178622306732</v>
      </c>
      <c r="V112" s="382">
        <f t="shared" si="32"/>
        <v>55.233372676684283</v>
      </c>
      <c r="W112" s="58"/>
      <c r="X112" s="157">
        <f t="shared" si="33"/>
        <v>43563</v>
      </c>
      <c r="Y112" s="384">
        <f t="shared" si="34"/>
        <v>34.456000000000003</v>
      </c>
      <c r="Z112" s="384">
        <f t="shared" si="35"/>
        <v>34.693027359835369</v>
      </c>
      <c r="AA112" s="385">
        <f t="shared" si="36"/>
        <v>35.39123374119049</v>
      </c>
      <c r="AB112" s="196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1.9728229494935707E-2</v>
      </c>
      <c r="AD112" s="230">
        <f>(INDEX(Models!$BJ112:$BT112,,AH112)*(1-AF112)+INDEX(Models!$BJ112:$BT112,,AH112+1)*AF112-ERP_i)*AE112*Ramure*Pc/MaxiM</f>
        <v>4.1087817293236304E-5</v>
      </c>
      <c r="AE112" s="304">
        <f t="shared" si="38"/>
        <v>0.5</v>
      </c>
      <c r="AF112" s="176">
        <f t="shared" si="39"/>
        <v>0.85534821377693271</v>
      </c>
      <c r="AG112" s="175">
        <f t="shared" si="40"/>
        <v>-1</v>
      </c>
      <c r="AH112" s="175">
        <f t="shared" si="41"/>
        <v>5</v>
      </c>
      <c r="AI112" s="224">
        <f t="shared" si="42"/>
        <v>-0.14465178622306732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43564</v>
      </c>
      <c r="B113" s="616">
        <v>46.523000000000003</v>
      </c>
      <c r="C113" s="389"/>
      <c r="D113" s="392">
        <f t="shared" si="24"/>
        <v>46.844063846572254</v>
      </c>
      <c r="E113" s="384">
        <f t="shared" si="46"/>
        <v>47.789617513837932</v>
      </c>
      <c r="F113" s="384">
        <f t="shared" si="25"/>
        <v>47.791090722584649</v>
      </c>
      <c r="G113" s="110">
        <f t="shared" si="47"/>
        <v>0.83915374484109684</v>
      </c>
      <c r="H113" s="413" t="b">
        <f>Wh_hp&gt;='2018'!Maxi_hp</f>
        <v>1</v>
      </c>
      <c r="I113" s="389">
        <f>IF(H113,Wh_hp,'2018'!Maxi_hp)</f>
        <v>47.791090722584649</v>
      </c>
      <c r="J113" s="85">
        <f>IF(H113,An,'2018'!An_max)</f>
        <v>2019</v>
      </c>
      <c r="K113" s="196">
        <f t="shared" si="26"/>
        <v>43564</v>
      </c>
      <c r="L113" s="147">
        <f>IF(t&lt;Tvie,1-EXP((T0-t)*PertePVj)+'2018'!Pspv,1-EXP((T0-t)*PertePVj)+Pspv)</f>
        <v>6.853885427699602E-3</v>
      </c>
      <c r="M113" s="847"/>
      <c r="N113" s="847"/>
      <c r="O113" s="48">
        <f>IF(t&lt;Tnet,'2018'!Resal+('2018'!Salim-'2018'!Resal)*(1-EXP(('2018'!Tnet-t)/('2018'!Tau_j))),Resal+(Salim-Resal)*(1-EXP((Tnet-t)/(Tau_j))))*Salcycl</f>
        <v>1.9785755075187355E-2</v>
      </c>
      <c r="P113" s="168">
        <f>(INDEX(Models!$BJ113:$BT113,,T113)*(1-R113)+INDEX(Models!$BJ113:$BT113,,T113+1)*R113-ERP_i)*Q113*Ramure*Pc/MaxiM</f>
        <v>4.0021793253626111E-5</v>
      </c>
      <c r="Q113" s="304">
        <f t="shared" si="27"/>
        <v>0.5</v>
      </c>
      <c r="R113" s="176">
        <f t="shared" si="28"/>
        <v>0.85616489716947231</v>
      </c>
      <c r="S113" s="814">
        <f t="shared" si="29"/>
        <v>-1</v>
      </c>
      <c r="T113" s="175">
        <f t="shared" si="30"/>
        <v>5</v>
      </c>
      <c r="U113" s="250">
        <f t="shared" si="31"/>
        <v>-0.14383510283052769</v>
      </c>
      <c r="V113" s="382">
        <f t="shared" si="32"/>
        <v>55.439867196565267</v>
      </c>
      <c r="W113" s="58"/>
      <c r="X113" s="157">
        <f t="shared" si="33"/>
        <v>43564</v>
      </c>
      <c r="Y113" s="384">
        <f t="shared" si="34"/>
        <v>46.523000000000003</v>
      </c>
      <c r="Z113" s="384">
        <f t="shared" si="35"/>
        <v>46.844063846572254</v>
      </c>
      <c r="AA113" s="385">
        <f t="shared" si="36"/>
        <v>47.789617513837932</v>
      </c>
      <c r="AB113" s="196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1.9785755075187355E-2</v>
      </c>
      <c r="AD113" s="230">
        <f>(INDEX(Models!$BJ113:$BT113,,AH113)*(1-AF113)+INDEX(Models!$BJ113:$BT113,,AH113+1)*AF113-ERP_i)*AE113*Ramure*Pc/MaxiM</f>
        <v>4.0021793253626111E-5</v>
      </c>
      <c r="AE113" s="304">
        <f t="shared" si="38"/>
        <v>0.5</v>
      </c>
      <c r="AF113" s="176">
        <f t="shared" si="39"/>
        <v>0.85616489716947231</v>
      </c>
      <c r="AG113" s="175">
        <f t="shared" si="40"/>
        <v>-1</v>
      </c>
      <c r="AH113" s="175">
        <f t="shared" si="41"/>
        <v>5</v>
      </c>
      <c r="AI113" s="224">
        <f t="shared" si="42"/>
        <v>-0.14383510283052769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43565</v>
      </c>
      <c r="B114" s="616">
        <v>28.818000000000001</v>
      </c>
      <c r="C114" s="389"/>
      <c r="D114" s="392">
        <f t="shared" si="24"/>
        <v>29.017513917773492</v>
      </c>
      <c r="E114" s="384">
        <f t="shared" si="46"/>
        <v>29.604979929823568</v>
      </c>
      <c r="F114" s="384">
        <f t="shared" si="25"/>
        <v>29.605338806775702</v>
      </c>
      <c r="G114" s="110">
        <f t="shared" si="47"/>
        <v>0.51792588538420048</v>
      </c>
      <c r="H114" s="413" t="b">
        <f>Wh_hp&gt;='2018'!Maxi_hp</f>
        <v>1</v>
      </c>
      <c r="I114" s="389">
        <f>IF(H114,Wh_hp,'2018'!Maxi_hp)</f>
        <v>29.605338806775702</v>
      </c>
      <c r="J114" s="85">
        <f>IF(H114,An,'2018'!An_max)</f>
        <v>2019</v>
      </c>
      <c r="K114" s="196">
        <f t="shared" si="26"/>
        <v>43565</v>
      </c>
      <c r="L114" s="147">
        <f>IF(t&lt;Tvie,1-EXP((T0-t)*PertePVj)+'2018'!Pspv,1-EXP((T0-t)*PertePVj)+Pspv)</f>
        <v>6.8756378764510684E-3</v>
      </c>
      <c r="M114" s="847"/>
      <c r="N114" s="847"/>
      <c r="O114" s="48">
        <f>IF(t&lt;Tnet,'2018'!Resal+('2018'!Salim-'2018'!Resal)*(1-EXP(('2018'!Tnet-t)/('2018'!Tau_j))),Resal+(Salim-Resal)*(1-EXP((Tnet-t)/(Tau_j))))*Salcycl</f>
        <v>1.9843486245983637E-2</v>
      </c>
      <c r="P114" s="168">
        <f>(INDEX(Models!$BJ114:$BT114,,T114)*(1-R114)+INDEX(Models!$BJ114:$BT114,,T114+1)*R114-ERP_i)*Q114*Ramure*Pc/MaxiM</f>
        <v>3.8934722017117735E-5</v>
      </c>
      <c r="Q114" s="304">
        <f t="shared" si="27"/>
        <v>0.5</v>
      </c>
      <c r="R114" s="176">
        <f t="shared" si="28"/>
        <v>0.85701078083327786</v>
      </c>
      <c r="S114" s="814">
        <f t="shared" si="29"/>
        <v>-1</v>
      </c>
      <c r="T114" s="175">
        <f t="shared" si="30"/>
        <v>5</v>
      </c>
      <c r="U114" s="250">
        <f t="shared" si="31"/>
        <v>-0.14298921916672219</v>
      </c>
      <c r="V114" s="382">
        <f t="shared" si="32"/>
        <v>55.639673775411026</v>
      </c>
      <c r="W114" s="58"/>
      <c r="X114" s="157">
        <f t="shared" si="33"/>
        <v>43565</v>
      </c>
      <c r="Y114" s="384">
        <f t="shared" si="34"/>
        <v>28.818000000000001</v>
      </c>
      <c r="Z114" s="384">
        <f t="shared" si="35"/>
        <v>29.017513917773492</v>
      </c>
      <c r="AA114" s="385">
        <f t="shared" si="36"/>
        <v>29.604979929823568</v>
      </c>
      <c r="AB114" s="196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1.9843486245983637E-2</v>
      </c>
      <c r="AD114" s="230">
        <f>(INDEX(Models!$BJ114:$BT114,,AH114)*(1-AF114)+INDEX(Models!$BJ114:$BT114,,AH114+1)*AF114-ERP_i)*AE114*Ramure*Pc/MaxiM</f>
        <v>3.8934722017117735E-5</v>
      </c>
      <c r="AE114" s="304">
        <f t="shared" si="38"/>
        <v>0.5</v>
      </c>
      <c r="AF114" s="176">
        <f t="shared" si="39"/>
        <v>0.85701078083327786</v>
      </c>
      <c r="AG114" s="175">
        <f t="shared" si="40"/>
        <v>-1</v>
      </c>
      <c r="AH114" s="175">
        <f t="shared" si="41"/>
        <v>5</v>
      </c>
      <c r="AI114" s="224">
        <f t="shared" si="42"/>
        <v>-0.14298921916672219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43566</v>
      </c>
      <c r="B115" s="616">
        <v>8.67</v>
      </c>
      <c r="C115" s="389"/>
      <c r="D115" s="392">
        <f t="shared" si="24"/>
        <v>8.7302157011546999</v>
      </c>
      <c r="E115" s="384">
        <f t="shared" si="46"/>
        <v>8.9074874396968422</v>
      </c>
      <c r="F115" s="384">
        <f t="shared" si="25"/>
        <v>8.9074874396968422</v>
      </c>
      <c r="G115" s="110">
        <f t="shared" si="47"/>
        <v>0.15527950290136497</v>
      </c>
      <c r="H115" s="413" t="b">
        <f>Wh_hp&gt;='2018'!Maxi_hp</f>
        <v>1</v>
      </c>
      <c r="I115" s="389">
        <f>IF(H115,Wh_hp,'2018'!Maxi_hp)</f>
        <v>8.9074874396968422</v>
      </c>
      <c r="J115" s="85">
        <f>IF(H115,An,'2018'!An_max)</f>
        <v>2019</v>
      </c>
      <c r="K115" s="196">
        <f t="shared" si="26"/>
        <v>43566</v>
      </c>
      <c r="L115" s="147">
        <f>IF(t&lt;Tvie,1-EXP((T0-t)*PertePVj)+'2018'!Pspv,1-EXP((T0-t)*PertePVj)+Pspv)</f>
        <v>6.8973898487680874E-3</v>
      </c>
      <c r="M115" s="847"/>
      <c r="N115" s="847"/>
      <c r="O115" s="48">
        <f>IF(t&lt;Tnet,'2018'!Resal+('2018'!Salim-'2018'!Resal)*(1-EXP(('2018'!Tnet-t)/('2018'!Tau_j))),Resal+(Salim-Resal)*(1-EXP((Tnet-t)/(Tau_j))))*Salcycl</f>
        <v>1.9901430088143428E-2</v>
      </c>
      <c r="P115" s="168">
        <f>(INDEX(Models!$BJ115:$BT115,,T115)*(1-R115)+INDEX(Models!$BJ115:$BT115,,T115+1)*R115-ERP_i)*Q115*Ramure*Pc/MaxiM</f>
        <v>3.7836306731296776E-5</v>
      </c>
      <c r="Q115" s="304">
        <f t="shared" si="27"/>
        <v>0.5</v>
      </c>
      <c r="R115" s="176">
        <f t="shared" si="28"/>
        <v>0.85788670611281614</v>
      </c>
      <c r="S115" s="814">
        <f t="shared" si="29"/>
        <v>-1</v>
      </c>
      <c r="T115" s="175">
        <f t="shared" si="30"/>
        <v>5</v>
      </c>
      <c r="U115" s="250">
        <f t="shared" si="31"/>
        <v>-0.14211329388718391</v>
      </c>
      <c r="V115" s="382">
        <f t="shared" si="32"/>
        <v>55.83268749081261</v>
      </c>
      <c r="W115" s="58"/>
      <c r="X115" s="157">
        <f t="shared" si="33"/>
        <v>43566</v>
      </c>
      <c r="Y115" s="384">
        <f t="shared" si="34"/>
        <v>8.67</v>
      </c>
      <c r="Z115" s="384">
        <f t="shared" si="35"/>
        <v>8.7302157011546999</v>
      </c>
      <c r="AA115" s="385">
        <f t="shared" si="36"/>
        <v>8.9074874396968422</v>
      </c>
      <c r="AB115" s="196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1.9901430088143428E-2</v>
      </c>
      <c r="AD115" s="230">
        <f>(INDEX(Models!$BJ115:$BT115,,AH115)*(1-AF115)+INDEX(Models!$BJ115:$BT115,,AH115+1)*AF115-ERP_i)*AE115*Ramure*Pc/MaxiM</f>
        <v>3.7836306731296776E-5</v>
      </c>
      <c r="AE115" s="304">
        <f t="shared" si="38"/>
        <v>0.5</v>
      </c>
      <c r="AF115" s="176">
        <f t="shared" si="39"/>
        <v>0.85788670611281614</v>
      </c>
      <c r="AG115" s="175">
        <f t="shared" si="40"/>
        <v>-1</v>
      </c>
      <c r="AH115" s="175">
        <f t="shared" si="41"/>
        <v>5</v>
      </c>
      <c r="AI115" s="224">
        <f t="shared" si="42"/>
        <v>-0.14211329388718391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43567</v>
      </c>
      <c r="B116" s="616">
        <v>55.639000000000003</v>
      </c>
      <c r="C116" s="389"/>
      <c r="D116" s="392">
        <f t="shared" si="24"/>
        <v>56.026656354384741</v>
      </c>
      <c r="E116" s="384">
        <f t="shared" si="46"/>
        <v>57.167700413717846</v>
      </c>
      <c r="F116" s="384">
        <f t="shared" si="25"/>
        <v>57.16977965777064</v>
      </c>
      <c r="G116" s="110">
        <f t="shared" si="47"/>
        <v>0.99321970773393964</v>
      </c>
      <c r="H116" s="413" t="b">
        <f>Wh_hp&gt;='2018'!Maxi_hp</f>
        <v>1</v>
      </c>
      <c r="I116" s="389">
        <f>IF(H116,Wh_hp,'2018'!Maxi_hp)</f>
        <v>57.16977965777064</v>
      </c>
      <c r="J116" s="85">
        <f>IF(H116,An,'2018'!An_max)</f>
        <v>2019</v>
      </c>
      <c r="K116" s="196">
        <f t="shared" si="26"/>
        <v>43567</v>
      </c>
      <c r="L116" s="147">
        <f>IF(t&lt;Tvie,1-EXP((T0-t)*PertePVj)+'2018'!Pspv,1-EXP((T0-t)*PertePVj)+Pspv)</f>
        <v>6.919141344660984E-3</v>
      </c>
      <c r="M116" s="847"/>
      <c r="N116" s="847"/>
      <c r="O116" s="48">
        <f>IF(t&lt;Tnet,'2018'!Resal+('2018'!Salim-'2018'!Resal)*(1-EXP(('2018'!Tnet-t)/('2018'!Tau_j))),Resal+(Salim-Resal)*(1-EXP((Tnet-t)/(Tau_j))))*Salcycl</f>
        <v>1.9959593460563595E-2</v>
      </c>
      <c r="P116" s="168">
        <f>(INDEX(Models!$BJ116:$BT116,,T116)*(1-R116)+INDEX(Models!$BJ116:$BT116,,T116+1)*R116-ERP_i)*Q116*Ramure*Pc/MaxiM</f>
        <v>3.6725343570182597E-5</v>
      </c>
      <c r="Q116" s="304">
        <f t="shared" si="27"/>
        <v>0.5</v>
      </c>
      <c r="R116" s="176">
        <f t="shared" si="28"/>
        <v>0.85879352263399311</v>
      </c>
      <c r="S116" s="814">
        <f t="shared" si="29"/>
        <v>-1</v>
      </c>
      <c r="T116" s="175">
        <f t="shared" si="30"/>
        <v>5</v>
      </c>
      <c r="U116" s="250">
        <f t="shared" si="31"/>
        <v>-0.14120647736600694</v>
      </c>
      <c r="V116" s="382">
        <f t="shared" si="32"/>
        <v>56.018804072047416</v>
      </c>
      <c r="W116" s="58"/>
      <c r="X116" s="157">
        <f t="shared" si="33"/>
        <v>43567</v>
      </c>
      <c r="Y116" s="384">
        <f t="shared" si="34"/>
        <v>55.639000000000003</v>
      </c>
      <c r="Z116" s="384">
        <f t="shared" si="35"/>
        <v>56.026656354384741</v>
      </c>
      <c r="AA116" s="385">
        <f t="shared" si="36"/>
        <v>57.167700413717846</v>
      </c>
      <c r="AB116" s="196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1.9959593460563595E-2</v>
      </c>
      <c r="AD116" s="230">
        <f>(INDEX(Models!$BJ116:$BT116,,AH116)*(1-AF116)+INDEX(Models!$BJ116:$BT116,,AH116+1)*AF116-ERP_i)*AE116*Ramure*Pc/MaxiM</f>
        <v>3.6725343570182597E-5</v>
      </c>
      <c r="AE116" s="304">
        <f t="shared" si="38"/>
        <v>0.5</v>
      </c>
      <c r="AF116" s="176">
        <f t="shared" si="39"/>
        <v>0.85879352263399311</v>
      </c>
      <c r="AG116" s="175">
        <f t="shared" si="40"/>
        <v>-1</v>
      </c>
      <c r="AH116" s="175">
        <f t="shared" si="41"/>
        <v>5</v>
      </c>
      <c r="AI116" s="224">
        <f t="shared" si="42"/>
        <v>-0.14120647736600694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43568</v>
      </c>
      <c r="B117" s="616">
        <v>56.746000000000002</v>
      </c>
      <c r="C117" s="389"/>
      <c r="D117" s="392">
        <f t="shared" si="24"/>
        <v>57.142620780240549</v>
      </c>
      <c r="E117" s="384">
        <f t="shared" si="46"/>
        <v>58.309866699637674</v>
      </c>
      <c r="F117" s="384">
        <f t="shared" si="25"/>
        <v>58.311942637393507</v>
      </c>
      <c r="G117" s="110">
        <f t="shared" si="47"/>
        <v>1.0097526866310433</v>
      </c>
      <c r="H117" s="413" t="b">
        <f>Wh_hp&gt;='2018'!Maxi_hp</f>
        <v>1</v>
      </c>
      <c r="I117" s="389">
        <f>IF(H117,Wh_hp,'2018'!Maxi_hp)</f>
        <v>58.311942637393507</v>
      </c>
      <c r="J117" s="85">
        <f>IF(H117,An,'2018'!An_max)</f>
        <v>2019</v>
      </c>
      <c r="K117" s="196">
        <f t="shared" si="26"/>
        <v>43568</v>
      </c>
      <c r="L117" s="147">
        <f>IF(t&lt;Tvie,1-EXP((T0-t)*PertePVj)+'2018'!Pspv,1-EXP((T0-t)*PertePVj)+Pspv)</f>
        <v>6.9408923641404163E-3</v>
      </c>
      <c r="M117" s="847"/>
      <c r="N117" s="847"/>
      <c r="O117" s="48">
        <f>IF(t&lt;Tnet,'2018'!Resal+('2018'!Salim-'2018'!Resal)*(1-EXP(('2018'!Tnet-t)/('2018'!Tau_j))),Resal+(Salim-Resal)*(1-EXP((Tnet-t)/(Tau_j))))*Salcycl</f>
        <v>2.0017982984076595E-2</v>
      </c>
      <c r="P117" s="168">
        <f>(INDEX(Models!$BJ117:$BT117,,T117)*(1-R117)+INDEX(Models!$BJ117:$BT117,,T117+1)*R117-ERP_i)*Q117*Ramure*Pc/MaxiM</f>
        <v>3.5600559026844738E-5</v>
      </c>
      <c r="Q117" s="304">
        <f t="shared" si="27"/>
        <v>0.5</v>
      </c>
      <c r="R117" s="176">
        <f t="shared" si="28"/>
        <v>0.85973208699374604</v>
      </c>
      <c r="S117" s="814">
        <f t="shared" si="29"/>
        <v>-1</v>
      </c>
      <c r="T117" s="175">
        <f t="shared" si="30"/>
        <v>5</v>
      </c>
      <c r="U117" s="250">
        <f t="shared" si="31"/>
        <v>-0.14026791300625399</v>
      </c>
      <c r="V117" s="382">
        <f t="shared" si="32"/>
        <v>56.197919303714222</v>
      </c>
      <c r="W117" s="58"/>
      <c r="X117" s="157">
        <f t="shared" si="33"/>
        <v>43568</v>
      </c>
      <c r="Y117" s="384">
        <f t="shared" si="34"/>
        <v>56.746000000000002</v>
      </c>
      <c r="Z117" s="384">
        <f t="shared" si="35"/>
        <v>57.142620780240549</v>
      </c>
      <c r="AA117" s="385">
        <f t="shared" si="36"/>
        <v>58.309866699637674</v>
      </c>
      <c r="AB117" s="196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2.0017982984076595E-2</v>
      </c>
      <c r="AD117" s="230">
        <f>(INDEX(Models!$BJ117:$BT117,,AH117)*(1-AF117)+INDEX(Models!$BJ117:$BT117,,AH117+1)*AF117-ERP_i)*AE117*Ramure*Pc/MaxiM</f>
        <v>3.5600559026844738E-5</v>
      </c>
      <c r="AE117" s="304">
        <f t="shared" si="38"/>
        <v>0.5</v>
      </c>
      <c r="AF117" s="176">
        <f t="shared" si="39"/>
        <v>0.85973208699374604</v>
      </c>
      <c r="AG117" s="175">
        <f t="shared" si="40"/>
        <v>-1</v>
      </c>
      <c r="AH117" s="175">
        <f t="shared" si="41"/>
        <v>5</v>
      </c>
      <c r="AI117" s="224">
        <f t="shared" si="42"/>
        <v>-0.14026791300625399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43569</v>
      </c>
      <c r="B118" s="616">
        <v>26.436</v>
      </c>
      <c r="C118" s="389"/>
      <c r="D118" s="392">
        <f t="shared" si="24"/>
        <v>26.621354988491113</v>
      </c>
      <c r="E118" s="384">
        <f t="shared" si="46"/>
        <v>27.166771530306615</v>
      </c>
      <c r="F118" s="384">
        <f t="shared" si="25"/>
        <v>27.166997518109898</v>
      </c>
      <c r="G118" s="110">
        <f t="shared" si="47"/>
        <v>0.46896118827265787</v>
      </c>
      <c r="H118" s="413" t="b">
        <f>Wh_hp&gt;='2018'!Maxi_hp</f>
        <v>1</v>
      </c>
      <c r="I118" s="389">
        <f>IF(H118,Wh_hp,'2018'!Maxi_hp)</f>
        <v>27.166997518109898</v>
      </c>
      <c r="J118" s="85">
        <f>IF(H118,An,'2018'!An_max)</f>
        <v>2019</v>
      </c>
      <c r="K118" s="196">
        <f t="shared" si="26"/>
        <v>43569</v>
      </c>
      <c r="L118" s="147">
        <f>IF(t&lt;Tvie,1-EXP((T0-t)*PertePVj)+'2018'!Pspv,1-EXP((T0-t)*PertePVj)+Pspv)</f>
        <v>6.9626429072165985E-3</v>
      </c>
      <c r="M118" s="847"/>
      <c r="N118" s="847"/>
      <c r="O118" s="48">
        <f>IF(t&lt;Tnet,'2018'!Resal+('2018'!Salim-'2018'!Resal)*(1-EXP(('2018'!Tnet-t)/('2018'!Tau_j))),Resal+(Salim-Resal)*(1-EXP((Tnet-t)/(Tau_j))))*Salcycl</f>
        <v>2.0076605024894011E-2</v>
      </c>
      <c r="P118" s="168">
        <f>(INDEX(Models!$BJ118:$BT118,,T118)*(1-R118)+INDEX(Models!$BJ118:$BT118,,T118+1)*R118-ERP_i)*Q118*Ramure*Pc/MaxiM</f>
        <v>3.4460607594101888E-5</v>
      </c>
      <c r="Q118" s="304">
        <f t="shared" si="27"/>
        <v>0.5</v>
      </c>
      <c r="R118" s="176">
        <f t="shared" si="28"/>
        <v>0.86070326132148411</v>
      </c>
      <c r="S118" s="814">
        <f t="shared" si="29"/>
        <v>-1</v>
      </c>
      <c r="T118" s="175">
        <f t="shared" si="30"/>
        <v>5</v>
      </c>
      <c r="U118" s="250">
        <f t="shared" si="31"/>
        <v>-0.13929673867851586</v>
      </c>
      <c r="V118" s="382">
        <f t="shared" si="32"/>
        <v>56.369929029783087</v>
      </c>
      <c r="W118" s="58"/>
      <c r="X118" s="157">
        <f t="shared" si="33"/>
        <v>43569</v>
      </c>
      <c r="Y118" s="384">
        <f t="shared" si="34"/>
        <v>26.436</v>
      </c>
      <c r="Z118" s="384">
        <f t="shared" si="35"/>
        <v>26.621354988491113</v>
      </c>
      <c r="AA118" s="385">
        <f t="shared" si="36"/>
        <v>27.166771530306615</v>
      </c>
      <c r="AB118" s="196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2.0076605024894011E-2</v>
      </c>
      <c r="AD118" s="230">
        <f>(INDEX(Models!$BJ118:$BT118,,AH118)*(1-AF118)+INDEX(Models!$BJ118:$BT118,,AH118+1)*AF118-ERP_i)*AE118*Ramure*Pc/MaxiM</f>
        <v>3.4460607594101888E-5</v>
      </c>
      <c r="AE118" s="304">
        <f t="shared" si="38"/>
        <v>0.5</v>
      </c>
      <c r="AF118" s="176">
        <f t="shared" si="39"/>
        <v>0.86070326132148411</v>
      </c>
      <c r="AG118" s="175">
        <f t="shared" si="40"/>
        <v>-1</v>
      </c>
      <c r="AH118" s="175">
        <f t="shared" si="41"/>
        <v>5</v>
      </c>
      <c r="AI118" s="224">
        <f t="shared" si="42"/>
        <v>-0.13929673867851586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43570</v>
      </c>
      <c r="B119" s="616">
        <v>37.628999999999998</v>
      </c>
      <c r="C119" s="389"/>
      <c r="D119" s="392">
        <f t="shared" si="24"/>
        <v>37.893664242289177</v>
      </c>
      <c r="E119" s="384">
        <f t="shared" si="46"/>
        <v>38.672350018761968</v>
      </c>
      <c r="F119" s="384">
        <f t="shared" si="25"/>
        <v>38.673022689802245</v>
      </c>
      <c r="G119" s="110">
        <f t="shared" si="47"/>
        <v>0.66558028785213785</v>
      </c>
      <c r="H119" s="413" t="b">
        <f>Wh_hp&gt;='2018'!Maxi_hp</f>
        <v>1</v>
      </c>
      <c r="I119" s="389">
        <f>IF(H119,Wh_hp,'2018'!Maxi_hp)</f>
        <v>38.673022689802245</v>
      </c>
      <c r="J119" s="85">
        <f>IF(H119,An,'2018'!An_max)</f>
        <v>2019</v>
      </c>
      <c r="K119" s="196">
        <f t="shared" si="26"/>
        <v>43570</v>
      </c>
      <c r="L119" s="147">
        <f>IF(t&lt;Tvie,1-EXP((T0-t)*PertePVj)+'2018'!Pspv,1-EXP((T0-t)*PertePVj)+Pspv)</f>
        <v>6.9843929739001887E-3</v>
      </c>
      <c r="M119" s="847"/>
      <c r="N119" s="847"/>
      <c r="O119" s="48">
        <f>IF(t&lt;Tnet,'2018'!Resal+('2018'!Salim-'2018'!Resal)*(1-EXP(('2018'!Tnet-t)/('2018'!Tau_j))),Resal+(Salim-Resal)*(1-EXP((Tnet-t)/(Tau_j))))*Salcycl</f>
        <v>2.0135465677545056E-2</v>
      </c>
      <c r="P119" s="168">
        <f>(INDEX(Models!$BJ119:$BT119,,T119)*(1-R119)+INDEX(Models!$BJ119:$BT119,,T119+1)*R119-ERP_i)*Q119*Ramure*Pc/MaxiM</f>
        <v>3.3304069358455921E-5</v>
      </c>
      <c r="Q119" s="304">
        <f t="shared" si="27"/>
        <v>0.5</v>
      </c>
      <c r="R119" s="176">
        <f t="shared" si="28"/>
        <v>0.86170791170720307</v>
      </c>
      <c r="S119" s="814">
        <f t="shared" si="29"/>
        <v>-1</v>
      </c>
      <c r="T119" s="175">
        <f t="shared" si="30"/>
        <v>5</v>
      </c>
      <c r="U119" s="250">
        <f t="shared" si="31"/>
        <v>-0.13829208829279696</v>
      </c>
      <c r="V119" s="382">
        <f t="shared" si="32"/>
        <v>56.534729151462422</v>
      </c>
      <c r="W119" s="58"/>
      <c r="X119" s="157">
        <f t="shared" si="33"/>
        <v>43570</v>
      </c>
      <c r="Y119" s="384">
        <f t="shared" si="34"/>
        <v>37.628999999999998</v>
      </c>
      <c r="Z119" s="384">
        <f t="shared" si="35"/>
        <v>37.893664242289177</v>
      </c>
      <c r="AA119" s="385">
        <f t="shared" si="36"/>
        <v>38.672350018761968</v>
      </c>
      <c r="AB119" s="196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2.0135465677545056E-2</v>
      </c>
      <c r="AD119" s="230">
        <f>(INDEX(Models!$BJ119:$BT119,,AH119)*(1-AF119)+INDEX(Models!$BJ119:$BT119,,AH119+1)*AF119-ERP_i)*AE119*Ramure*Pc/MaxiM</f>
        <v>3.3304069358455921E-5</v>
      </c>
      <c r="AE119" s="304">
        <f t="shared" si="38"/>
        <v>0.5</v>
      </c>
      <c r="AF119" s="176">
        <f t="shared" si="39"/>
        <v>0.86170791170720307</v>
      </c>
      <c r="AG119" s="175">
        <f t="shared" si="40"/>
        <v>-1</v>
      </c>
      <c r="AH119" s="175">
        <f t="shared" si="41"/>
        <v>5</v>
      </c>
      <c r="AI119" s="224">
        <f t="shared" si="42"/>
        <v>-0.13829208829279696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43571</v>
      </c>
      <c r="B120" s="616">
        <v>34.084000000000003</v>
      </c>
      <c r="C120" s="389"/>
      <c r="D120" s="392">
        <f t="shared" si="24"/>
        <v>34.324482215846622</v>
      </c>
      <c r="E120" s="384">
        <f t="shared" si="46"/>
        <v>35.031937149014816</v>
      </c>
      <c r="F120" s="384">
        <f t="shared" si="25"/>
        <v>35.032421484867271</v>
      </c>
      <c r="G120" s="110">
        <f t="shared" si="47"/>
        <v>0.60120028358301691</v>
      </c>
      <c r="H120" s="413" t="b">
        <f>Wh_hp&gt;='2018'!Maxi_hp</f>
        <v>1</v>
      </c>
      <c r="I120" s="389">
        <f>IF(H120,Wh_hp,'2018'!Maxi_hp)</f>
        <v>35.032421484867271</v>
      </c>
      <c r="J120" s="85">
        <f>IF(H120,An,'2018'!An_max)</f>
        <v>2019</v>
      </c>
      <c r="K120" s="196">
        <f t="shared" si="26"/>
        <v>43571</v>
      </c>
      <c r="L120" s="147">
        <f>IF(t&lt;Tvie,1-EXP((T0-t)*PertePVj)+'2018'!Pspv,1-EXP((T0-t)*PertePVj)+Pspv)</f>
        <v>7.0061425642014008E-3</v>
      </c>
      <c r="M120" s="847"/>
      <c r="N120" s="847"/>
      <c r="O120" s="48">
        <f>IF(t&lt;Tnet,'2018'!Resal+('2018'!Salim-'2018'!Resal)*(1-EXP(('2018'!Tnet-t)/('2018'!Tau_j))),Resal+(Salim-Resal)*(1-EXP((Tnet-t)/(Tau_j))))*Salcycl</f>
        <v>2.0194570747227105E-2</v>
      </c>
      <c r="P120" s="168">
        <f>(INDEX(Models!$BJ120:$BT120,,T120)*(1-R120)+INDEX(Models!$BJ120:$BT120,,T120+1)*R120-ERP_i)*Q120*Ramure*Pc/MaxiM</f>
        <v>3.2129447497003439E-5</v>
      </c>
      <c r="Q120" s="304">
        <f t="shared" si="27"/>
        <v>0.5</v>
      </c>
      <c r="R120" s="176">
        <f t="shared" si="28"/>
        <v>0.86274690649138852</v>
      </c>
      <c r="S120" s="814">
        <f t="shared" si="29"/>
        <v>-1</v>
      </c>
      <c r="T120" s="175">
        <f t="shared" si="30"/>
        <v>5</v>
      </c>
      <c r="U120" s="250">
        <f t="shared" si="31"/>
        <v>-0.13725309350861151</v>
      </c>
      <c r="V120" s="382">
        <f t="shared" si="32"/>
        <v>56.692215631936392</v>
      </c>
      <c r="W120" s="58"/>
      <c r="X120" s="157">
        <f t="shared" si="33"/>
        <v>43571</v>
      </c>
      <c r="Y120" s="384">
        <f t="shared" si="34"/>
        <v>34.084000000000003</v>
      </c>
      <c r="Z120" s="384">
        <f t="shared" si="35"/>
        <v>34.324482215846622</v>
      </c>
      <c r="AA120" s="385">
        <f t="shared" si="36"/>
        <v>35.031937149014816</v>
      </c>
      <c r="AB120" s="196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2.0194570747227105E-2</v>
      </c>
      <c r="AD120" s="230">
        <f>(INDEX(Models!$BJ120:$BT120,,AH120)*(1-AF120)+INDEX(Models!$BJ120:$BT120,,AH120+1)*AF120-ERP_i)*AE120*Ramure*Pc/MaxiM</f>
        <v>3.2129447497003439E-5</v>
      </c>
      <c r="AE120" s="304">
        <f t="shared" si="38"/>
        <v>0.5</v>
      </c>
      <c r="AF120" s="176">
        <f t="shared" si="39"/>
        <v>0.86274690649138852</v>
      </c>
      <c r="AG120" s="175">
        <f t="shared" si="40"/>
        <v>-1</v>
      </c>
      <c r="AH120" s="175">
        <f t="shared" si="41"/>
        <v>5</v>
      </c>
      <c r="AI120" s="224">
        <f t="shared" si="42"/>
        <v>-0.13725309350861151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43572</v>
      </c>
      <c r="B121" s="616">
        <v>32.942999999999998</v>
      </c>
      <c r="C121" s="389"/>
      <c r="D121" s="392">
        <f t="shared" si="24"/>
        <v>33.176158447868119</v>
      </c>
      <c r="E121" s="384">
        <f t="shared" si="46"/>
        <v>33.861996816509908</v>
      </c>
      <c r="F121" s="384">
        <f t="shared" si="25"/>
        <v>33.862415174984953</v>
      </c>
      <c r="G121" s="110">
        <f t="shared" si="47"/>
        <v>0.57954680882966125</v>
      </c>
      <c r="H121" s="413" t="b">
        <f>Wh_hp&gt;='2018'!Maxi_hp</f>
        <v>1</v>
      </c>
      <c r="I121" s="389">
        <f>IF(H121,Wh_hp,'2018'!Maxi_hp)</f>
        <v>33.862415174984953</v>
      </c>
      <c r="J121" s="85">
        <f>IF(H121,An,'2018'!An_max)</f>
        <v>2019</v>
      </c>
      <c r="K121" s="196">
        <f t="shared" si="26"/>
        <v>43572</v>
      </c>
      <c r="L121" s="147">
        <f>IF(t&lt;Tvie,1-EXP((T0-t)*PertePVj)+'2018'!Pspv,1-EXP((T0-t)*PertePVj)+Pspv)</f>
        <v>7.0278916781307821E-3</v>
      </c>
      <c r="M121" s="847"/>
      <c r="N121" s="847"/>
      <c r="O121" s="48">
        <f>IF(t&lt;Tnet,'2018'!Resal+('2018'!Salim-'2018'!Resal)*(1-EXP(('2018'!Tnet-t)/('2018'!Tau_j))),Resal+(Salim-Resal)*(1-EXP((Tnet-t)/(Tau_j))))*Salcycl</f>
        <v>2.0253925731497285E-2</v>
      </c>
      <c r="P121" s="168">
        <f>(INDEX(Models!$BJ121:$BT121,,T121)*(1-R121)+INDEX(Models!$BJ121:$BT121,,T121+1)*R121-ERP_i)*Q121*Ramure*Pc/MaxiM</f>
        <v>3.0935519426517905E-5</v>
      </c>
      <c r="Q121" s="304">
        <f t="shared" si="27"/>
        <v>0.5</v>
      </c>
      <c r="R121" s="176">
        <f t="shared" si="28"/>
        <v>0.86382111441219456</v>
      </c>
      <c r="S121" s="814">
        <f t="shared" si="29"/>
        <v>-1</v>
      </c>
      <c r="T121" s="175">
        <f t="shared" si="30"/>
        <v>5</v>
      </c>
      <c r="U121" s="250">
        <f t="shared" si="31"/>
        <v>-0.13617888558780544</v>
      </c>
      <c r="V121" s="382">
        <f t="shared" si="32"/>
        <v>56.841634499829738</v>
      </c>
      <c r="W121" s="58"/>
      <c r="X121" s="157">
        <f t="shared" si="33"/>
        <v>43572</v>
      </c>
      <c r="Y121" s="384">
        <f t="shared" si="34"/>
        <v>32.942999999999998</v>
      </c>
      <c r="Z121" s="384">
        <f t="shared" si="35"/>
        <v>33.176158447868119</v>
      </c>
      <c r="AA121" s="385">
        <f t="shared" si="36"/>
        <v>33.861996816509908</v>
      </c>
      <c r="AB121" s="196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2.0253925731497285E-2</v>
      </c>
      <c r="AD121" s="230">
        <f>(INDEX(Models!$BJ121:$BT121,,AH121)*(1-AF121)+INDEX(Models!$BJ121:$BT121,,AH121+1)*AF121-ERP_i)*AE121*Ramure*Pc/MaxiM</f>
        <v>3.0935519426517905E-5</v>
      </c>
      <c r="AE121" s="304">
        <f t="shared" si="38"/>
        <v>0.5</v>
      </c>
      <c r="AF121" s="176">
        <f t="shared" si="39"/>
        <v>0.86382111441219456</v>
      </c>
      <c r="AG121" s="175">
        <f t="shared" si="40"/>
        <v>-1</v>
      </c>
      <c r="AH121" s="175">
        <f t="shared" si="41"/>
        <v>5</v>
      </c>
      <c r="AI121" s="224">
        <f t="shared" si="42"/>
        <v>-0.13617888558780544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43573</v>
      </c>
      <c r="B122" s="616">
        <v>25.507999999999999</v>
      </c>
      <c r="C122" s="389"/>
      <c r="D122" s="392">
        <f t="shared" si="24"/>
        <v>25.689098907331093</v>
      </c>
      <c r="E122" s="384">
        <f t="shared" si="46"/>
        <v>26.221755475963612</v>
      </c>
      <c r="F122" s="384">
        <f t="shared" si="25"/>
        <v>26.221920529367605</v>
      </c>
      <c r="G122" s="110">
        <f t="shared" si="47"/>
        <v>0.44763506536240755</v>
      </c>
      <c r="H122" s="413" t="b">
        <f>Wh_hp&gt;='2018'!Maxi_hp</f>
        <v>1</v>
      </c>
      <c r="I122" s="389">
        <f>IF(H122,Wh_hp,'2018'!Maxi_hp)</f>
        <v>26.221920529367605</v>
      </c>
      <c r="J122" s="85">
        <f>IF(H122,An,'2018'!An_max)</f>
        <v>2019</v>
      </c>
      <c r="K122" s="196">
        <f t="shared" si="26"/>
        <v>43573</v>
      </c>
      <c r="L122" s="147">
        <f>IF(t&lt;Tvie,1-EXP((T0-t)*PertePVj)+'2018'!Pspv,1-EXP((T0-t)*PertePVj)+Pspv)</f>
        <v>7.0496403156987686E-3</v>
      </c>
      <c r="M122" s="847"/>
      <c r="N122" s="847"/>
      <c r="O122" s="48">
        <f>IF(t&lt;Tnet,'2018'!Resal+('2018'!Salim-'2018'!Resal)*(1-EXP(('2018'!Tnet-t)/('2018'!Tau_j))),Resal+(Salim-Resal)*(1-EXP((Tnet-t)/(Tau_j))))*Salcycl</f>
        <v>2.0313535801246507E-2</v>
      </c>
      <c r="P122" s="168">
        <f>(INDEX(Models!$BJ122:$BT122,,T122)*(1-R122)+INDEX(Models!$BJ122:$BT122,,T122+1)*R122-ERP_i)*Q122*Ramure*Pc/MaxiM</f>
        <v>2.984265786956027E-5</v>
      </c>
      <c r="Q122" s="304">
        <f t="shared" si="27"/>
        <v>0.5</v>
      </c>
      <c r="R122" s="176">
        <f t="shared" si="28"/>
        <v>0.86493140260582835</v>
      </c>
      <c r="S122" s="814">
        <f t="shared" si="29"/>
        <v>-1</v>
      </c>
      <c r="T122" s="175">
        <f t="shared" si="30"/>
        <v>5</v>
      </c>
      <c r="U122" s="250">
        <f t="shared" si="31"/>
        <v>-0.13506859739417171</v>
      </c>
      <c r="V122" s="382">
        <f t="shared" si="32"/>
        <v>56.982576440242426</v>
      </c>
      <c r="W122" s="58"/>
      <c r="X122" s="157">
        <f t="shared" si="33"/>
        <v>43573</v>
      </c>
      <c r="Y122" s="384">
        <f t="shared" si="34"/>
        <v>25.507999999999999</v>
      </c>
      <c r="Z122" s="384">
        <f t="shared" si="35"/>
        <v>25.689098907331093</v>
      </c>
      <c r="AA122" s="385">
        <f t="shared" si="36"/>
        <v>26.221755475963612</v>
      </c>
      <c r="AB122" s="196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2.0313535801246507E-2</v>
      </c>
      <c r="AD122" s="230">
        <f>(INDEX(Models!$BJ122:$BT122,,AH122)*(1-AF122)+INDEX(Models!$BJ122:$BT122,,AH122+1)*AF122-ERP_i)*AE122*Ramure*Pc/MaxiM</f>
        <v>2.984265786956027E-5</v>
      </c>
      <c r="AE122" s="304">
        <f t="shared" si="38"/>
        <v>0.5</v>
      </c>
      <c r="AF122" s="176">
        <f t="shared" si="39"/>
        <v>0.86493140260582835</v>
      </c>
      <c r="AG122" s="175">
        <f t="shared" si="40"/>
        <v>-1</v>
      </c>
      <c r="AH122" s="175">
        <f t="shared" si="41"/>
        <v>5</v>
      </c>
      <c r="AI122" s="224">
        <f t="shared" si="42"/>
        <v>-0.13506859739417171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43574</v>
      </c>
      <c r="B123" s="616">
        <v>50.87</v>
      </c>
      <c r="C123" s="389"/>
      <c r="D123" s="392">
        <f t="shared" si="24"/>
        <v>51.232283378327587</v>
      </c>
      <c r="E123" s="384">
        <f t="shared" si="46"/>
        <v>52.297767006996793</v>
      </c>
      <c r="F123" s="384">
        <f t="shared" si="25"/>
        <v>52.299042349529486</v>
      </c>
      <c r="G123" s="110">
        <f t="shared" si="47"/>
        <v>0.89064797392480943</v>
      </c>
      <c r="H123" s="413" t="b">
        <f>Wh_hp&gt;='2018'!Maxi_hp</f>
        <v>1</v>
      </c>
      <c r="I123" s="389">
        <f>IF(H123,Wh_hp,'2018'!Maxi_hp)</f>
        <v>52.299042349529486</v>
      </c>
      <c r="J123" s="85">
        <f>IF(H123,An,'2018'!An_max)</f>
        <v>2019</v>
      </c>
      <c r="K123" s="196">
        <f t="shared" si="26"/>
        <v>43574</v>
      </c>
      <c r="L123" s="147">
        <f>IF(t&lt;Tvie,1-EXP((T0-t)*PertePVj)+'2018'!Pspv,1-EXP((T0-t)*PertePVj)+Pspv)</f>
        <v>7.0713884769157964E-3</v>
      </c>
      <c r="M123" s="847"/>
      <c r="N123" s="847"/>
      <c r="O123" s="48">
        <f>IF(t&lt;Tnet,'2018'!Resal+('2018'!Salim-'2018'!Resal)*(1-EXP(('2018'!Tnet-t)/('2018'!Tau_j))),Resal+(Salim-Resal)*(1-EXP((Tnet-t)/(Tau_j))))*Salcycl</f>
        <v>2.0373405780913244E-2</v>
      </c>
      <c r="P123" s="168">
        <f>(INDEX(Models!$BJ123:$BT123,,T123)*(1-R123)+INDEX(Models!$BJ123:$BT123,,T123+1)*R123-ERP_i)*Q123*Ramure*Pc/MaxiM</f>
        <v>2.8900108418494137E-5</v>
      </c>
      <c r="Q123" s="304">
        <f t="shared" si="27"/>
        <v>0.5</v>
      </c>
      <c r="R123" s="176">
        <f t="shared" si="28"/>
        <v>0.86607863445661049</v>
      </c>
      <c r="S123" s="814">
        <f t="shared" si="29"/>
        <v>-1</v>
      </c>
      <c r="T123" s="175">
        <f t="shared" si="30"/>
        <v>5</v>
      </c>
      <c r="U123" s="250">
        <f t="shared" si="31"/>
        <v>-0.13392136554338957</v>
      </c>
      <c r="V123" s="382">
        <f t="shared" si="32"/>
        <v>57.11546180947542</v>
      </c>
      <c r="W123" s="58"/>
      <c r="X123" s="157">
        <f t="shared" si="33"/>
        <v>43574</v>
      </c>
      <c r="Y123" s="384">
        <f t="shared" si="34"/>
        <v>50.87</v>
      </c>
      <c r="Z123" s="384">
        <f t="shared" si="35"/>
        <v>51.232283378327587</v>
      </c>
      <c r="AA123" s="385">
        <f t="shared" si="36"/>
        <v>52.297767006996793</v>
      </c>
      <c r="AB123" s="196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2.0373405780913244E-2</v>
      </c>
      <c r="AD123" s="230">
        <f>(INDEX(Models!$BJ123:$BT123,,AH123)*(1-AF123)+INDEX(Models!$BJ123:$BT123,,AH123+1)*AF123-ERP_i)*AE123*Ramure*Pc/MaxiM</f>
        <v>2.8900108418494137E-5</v>
      </c>
      <c r="AE123" s="304">
        <f t="shared" si="38"/>
        <v>0.5</v>
      </c>
      <c r="AF123" s="176">
        <f t="shared" si="39"/>
        <v>0.86607863445661049</v>
      </c>
      <c r="AG123" s="175">
        <f t="shared" si="40"/>
        <v>-1</v>
      </c>
      <c r="AH123" s="175">
        <f t="shared" si="41"/>
        <v>5</v>
      </c>
      <c r="AI123" s="224">
        <f t="shared" si="42"/>
        <v>-0.13392136554338957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43575</v>
      </c>
      <c r="B124" s="616">
        <v>49.064999999999998</v>
      </c>
      <c r="C124" s="389"/>
      <c r="D124" s="392">
        <f t="shared" si="24"/>
        <v>49.415510947656259</v>
      </c>
      <c r="E124" s="384">
        <f t="shared" si="46"/>
        <v>50.446307598270444</v>
      </c>
      <c r="F124" s="384">
        <f t="shared" si="25"/>
        <v>50.447436278195291</v>
      </c>
      <c r="G124" s="110">
        <f t="shared" si="47"/>
        <v>0.85716469101127757</v>
      </c>
      <c r="H124" s="413" t="b">
        <f>Wh_hp&gt;='2018'!Maxi_hp</f>
        <v>1</v>
      </c>
      <c r="I124" s="389">
        <f>IF(H124,Wh_hp,'2018'!Maxi_hp)</f>
        <v>50.447436278195291</v>
      </c>
      <c r="J124" s="85">
        <f>IF(H124,An,'2018'!An_max)</f>
        <v>2019</v>
      </c>
      <c r="K124" s="196">
        <f t="shared" si="26"/>
        <v>43575</v>
      </c>
      <c r="L124" s="147">
        <f>IF(t&lt;Tvie,1-EXP((T0-t)*PertePVj)+'2018'!Pspv,1-EXP((T0-t)*PertePVj)+Pspv)</f>
        <v>7.0931361617923017E-3</v>
      </c>
      <c r="M124" s="847"/>
      <c r="N124" s="847"/>
      <c r="O124" s="48">
        <f>IF(t&lt;Tnet,'2018'!Resal+('2018'!Salim-'2018'!Resal)*(1-EXP(('2018'!Tnet-t)/('2018'!Tau_j))),Resal+(Salim-Resal)*(1-EXP((Tnet-t)/(Tau_j))))*Salcycl</f>
        <v>2.0433540127910703E-2</v>
      </c>
      <c r="P124" s="168">
        <f>(INDEX(Models!$BJ124:$BT124,,T124)*(1-R124)+INDEX(Models!$BJ124:$BT124,,T124+1)*R124-ERP_i)*Q124*Ramure*Pc/MaxiM</f>
        <v>2.8108801058839246E-5</v>
      </c>
      <c r="Q124" s="304">
        <f t="shared" si="27"/>
        <v>0.5</v>
      </c>
      <c r="R124" s="176">
        <f t="shared" si="28"/>
        <v>0.86726366729381188</v>
      </c>
      <c r="S124" s="814">
        <f t="shared" si="29"/>
        <v>-1</v>
      </c>
      <c r="T124" s="175">
        <f t="shared" si="30"/>
        <v>5</v>
      </c>
      <c r="U124" s="250">
        <f t="shared" si="31"/>
        <v>-0.13273633270618806</v>
      </c>
      <c r="V124" s="382">
        <f t="shared" si="32"/>
        <v>57.240713599202344</v>
      </c>
      <c r="W124" s="58"/>
      <c r="X124" s="157">
        <f t="shared" si="33"/>
        <v>43575</v>
      </c>
      <c r="Y124" s="384">
        <f t="shared" si="34"/>
        <v>49.064999999999998</v>
      </c>
      <c r="Z124" s="384">
        <f t="shared" si="35"/>
        <v>49.415510947656259</v>
      </c>
      <c r="AA124" s="385">
        <f t="shared" si="36"/>
        <v>50.446307598270444</v>
      </c>
      <c r="AB124" s="196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2.0433540127910703E-2</v>
      </c>
      <c r="AD124" s="230">
        <f>(INDEX(Models!$BJ124:$BT124,,AH124)*(1-AF124)+INDEX(Models!$BJ124:$BT124,,AH124+1)*AF124-ERP_i)*AE124*Ramure*Pc/MaxiM</f>
        <v>2.8108801058839246E-5</v>
      </c>
      <c r="AE124" s="304">
        <f t="shared" si="38"/>
        <v>0.5</v>
      </c>
      <c r="AF124" s="176">
        <f t="shared" si="39"/>
        <v>0.86726366729381188</v>
      </c>
      <c r="AG124" s="175">
        <f t="shared" si="40"/>
        <v>-1</v>
      </c>
      <c r="AH124" s="175">
        <f t="shared" si="41"/>
        <v>5</v>
      </c>
      <c r="AI124" s="224">
        <f t="shared" si="42"/>
        <v>-0.13273633270618806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43576</v>
      </c>
      <c r="B125" s="616">
        <v>19.044</v>
      </c>
      <c r="C125" s="389"/>
      <c r="D125" s="392">
        <f t="shared" si="24"/>
        <v>19.180466784157939</v>
      </c>
      <c r="E125" s="384">
        <f t="shared" si="46"/>
        <v>19.581774553968124</v>
      </c>
      <c r="F125" s="384">
        <f t="shared" si="25"/>
        <v>19.581799156313128</v>
      </c>
      <c r="G125" s="110">
        <f t="shared" si="47"/>
        <v>0.33200687308486793</v>
      </c>
      <c r="H125" s="413" t="b">
        <f>Wh_hp&gt;='2018'!Maxi_hp</f>
        <v>1</v>
      </c>
      <c r="I125" s="389">
        <f>IF(H125,Wh_hp,'2018'!Maxi_hp)</f>
        <v>19.581799156313128</v>
      </c>
      <c r="J125" s="85">
        <f>IF(H125,An,'2018'!An_max)</f>
        <v>2019</v>
      </c>
      <c r="K125" s="196">
        <f t="shared" si="26"/>
        <v>43576</v>
      </c>
      <c r="L125" s="147">
        <f>IF(t&lt;Tvie,1-EXP((T0-t)*PertePVj)+'2018'!Pspv,1-EXP((T0-t)*PertePVj)+Pspv)</f>
        <v>7.1148833703386094E-3</v>
      </c>
      <c r="M125" s="847"/>
      <c r="N125" s="847"/>
      <c r="O125" s="48">
        <f>IF(t&lt;Tnet,'2018'!Resal+('2018'!Salim-'2018'!Resal)*(1-EXP(('2018'!Tnet-t)/('2018'!Tau_j))),Resal+(Salim-Resal)*(1-EXP((Tnet-t)/(Tau_j))))*Salcycl</f>
        <v>2.0493942911259954E-2</v>
      </c>
      <c r="P125" s="168">
        <f>(INDEX(Models!$BJ125:$BT125,,T125)*(1-R125)+INDEX(Models!$BJ125:$BT125,,T125+1)*R125-ERP_i)*Q125*Ramure*Pc/MaxiM</f>
        <v>2.747012442423889E-5</v>
      </c>
      <c r="Q125" s="304">
        <f t="shared" si="27"/>
        <v>0.5</v>
      </c>
      <c r="R125" s="176">
        <f t="shared" si="28"/>
        <v>0.86848734993309584</v>
      </c>
      <c r="S125" s="814">
        <f t="shared" si="29"/>
        <v>-1</v>
      </c>
      <c r="T125" s="175">
        <f t="shared" si="30"/>
        <v>5</v>
      </c>
      <c r="U125" s="250">
        <f t="shared" si="31"/>
        <v>-0.13151265006690421</v>
      </c>
      <c r="V125" s="382">
        <f t="shared" si="32"/>
        <v>57.358754678900063</v>
      </c>
      <c r="W125" s="58"/>
      <c r="X125" s="157">
        <f t="shared" si="33"/>
        <v>43576</v>
      </c>
      <c r="Y125" s="384">
        <f t="shared" si="34"/>
        <v>19.044</v>
      </c>
      <c r="Z125" s="384">
        <f t="shared" si="35"/>
        <v>19.180466784157939</v>
      </c>
      <c r="AA125" s="385">
        <f t="shared" si="36"/>
        <v>19.581774553968124</v>
      </c>
      <c r="AB125" s="196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2.0493942911259954E-2</v>
      </c>
      <c r="AD125" s="230">
        <f>(INDEX(Models!$BJ125:$BT125,,AH125)*(1-AF125)+INDEX(Models!$BJ125:$BT125,,AH125+1)*AF125-ERP_i)*AE125*Ramure*Pc/MaxiM</f>
        <v>2.747012442423889E-5</v>
      </c>
      <c r="AE125" s="304">
        <f t="shared" si="38"/>
        <v>0.5</v>
      </c>
      <c r="AF125" s="176">
        <f t="shared" si="39"/>
        <v>0.86848734993309584</v>
      </c>
      <c r="AG125" s="175">
        <f t="shared" si="40"/>
        <v>-1</v>
      </c>
      <c r="AH125" s="175">
        <f t="shared" si="41"/>
        <v>5</v>
      </c>
      <c r="AI125" s="224">
        <f t="shared" si="42"/>
        <v>-0.13151265006690421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43577</v>
      </c>
      <c r="B126" s="616">
        <v>33.020000000000003</v>
      </c>
      <c r="C126" s="389"/>
      <c r="D126" s="392">
        <f t="shared" si="24"/>
        <v>33.257345372114045</v>
      </c>
      <c r="E126" s="384">
        <f t="shared" si="46"/>
        <v>33.95528324106639</v>
      </c>
      <c r="F126" s="384">
        <f t="shared" si="25"/>
        <v>33.955642649288201</v>
      </c>
      <c r="G126" s="110">
        <f t="shared" si="47"/>
        <v>0.57455113880775677</v>
      </c>
      <c r="H126" s="413" t="b">
        <f>Wh_hp&gt;='2018'!Maxi_hp</f>
        <v>1</v>
      </c>
      <c r="I126" s="389">
        <f>IF(H126,Wh_hp,'2018'!Maxi_hp)</f>
        <v>33.955642649288201</v>
      </c>
      <c r="J126" s="85">
        <f>IF(H126,An,'2018'!An_max)</f>
        <v>2019</v>
      </c>
      <c r="K126" s="196">
        <f t="shared" si="26"/>
        <v>43577</v>
      </c>
      <c r="L126" s="147">
        <f>IF(t&lt;Tvie,1-EXP((T0-t)*PertePVj)+'2018'!Pspv,1-EXP((T0-t)*PertePVj)+Pspv)</f>
        <v>7.1366301025652668E-3</v>
      </c>
      <c r="M126" s="847"/>
      <c r="N126" s="847"/>
      <c r="O126" s="48">
        <f>IF(t&lt;Tnet,'2018'!Resal+('2018'!Salim-'2018'!Resal)*(1-EXP(('2018'!Tnet-t)/('2018'!Tau_j))),Resal+(Salim-Resal)*(1-EXP((Tnet-t)/(Tau_j))))*Salcycl</f>
        <v>2.0554617789441287E-2</v>
      </c>
      <c r="P126" s="168">
        <f>(INDEX(Models!$BJ126:$BT126,,T126)*(1-R126)+INDEX(Models!$BJ126:$BT126,,T126+1)*R126-ERP_i)*Q126*Ramure*Pc/MaxiM</f>
        <v>2.6985839787041651E-5</v>
      </c>
      <c r="Q126" s="304">
        <f t="shared" si="27"/>
        <v>0.5</v>
      </c>
      <c r="R126" s="176">
        <f t="shared" si="28"/>
        <v>0.86975052006122522</v>
      </c>
      <c r="S126" s="814">
        <f t="shared" si="29"/>
        <v>-1</v>
      </c>
      <c r="T126" s="175">
        <f t="shared" si="30"/>
        <v>5</v>
      </c>
      <c r="U126" s="250">
        <f t="shared" si="31"/>
        <v>-0.13024947993877475</v>
      </c>
      <c r="V126" s="382">
        <f t="shared" si="32"/>
        <v>57.470007796239301</v>
      </c>
      <c r="W126" s="58"/>
      <c r="X126" s="157">
        <f t="shared" si="33"/>
        <v>43577</v>
      </c>
      <c r="Y126" s="384">
        <f t="shared" si="34"/>
        <v>33.020000000000003</v>
      </c>
      <c r="Z126" s="384">
        <f t="shared" si="35"/>
        <v>33.257345372114045</v>
      </c>
      <c r="AA126" s="385">
        <f t="shared" si="36"/>
        <v>33.95528324106639</v>
      </c>
      <c r="AB126" s="196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2.0554617789441287E-2</v>
      </c>
      <c r="AD126" s="230">
        <f>(INDEX(Models!$BJ126:$BT126,,AH126)*(1-AF126)+INDEX(Models!$BJ126:$BT126,,AH126+1)*AF126-ERP_i)*AE126*Ramure*Pc/MaxiM</f>
        <v>2.6985839787041651E-5</v>
      </c>
      <c r="AE126" s="304">
        <f t="shared" si="38"/>
        <v>0.5</v>
      </c>
      <c r="AF126" s="176">
        <f t="shared" si="39"/>
        <v>0.86975052006122522</v>
      </c>
      <c r="AG126" s="175">
        <f t="shared" si="40"/>
        <v>-1</v>
      </c>
      <c r="AH126" s="175">
        <f t="shared" si="41"/>
        <v>5</v>
      </c>
      <c r="AI126" s="224">
        <f t="shared" si="42"/>
        <v>-0.13024947993877475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43578</v>
      </c>
      <c r="B127" s="616">
        <v>37.881</v>
      </c>
      <c r="C127" s="389"/>
      <c r="D127" s="392">
        <f t="shared" si="24"/>
        <v>38.154121561766424</v>
      </c>
      <c r="E127" s="384">
        <f t="shared" si="46"/>
        <v>38.957247342971193</v>
      </c>
      <c r="F127" s="384">
        <f t="shared" si="25"/>
        <v>38.957778395725626</v>
      </c>
      <c r="G127" s="110">
        <f t="shared" si="47"/>
        <v>0.65793443746578562</v>
      </c>
      <c r="H127" s="413" t="b">
        <f>Wh_hp&gt;='2018'!Maxi_hp</f>
        <v>1</v>
      </c>
      <c r="I127" s="389">
        <f>IF(H127,Wh_hp,'2018'!Maxi_hp)</f>
        <v>38.957778395725626</v>
      </c>
      <c r="J127" s="85">
        <f>IF(H127,An,'2018'!An_max)</f>
        <v>2019</v>
      </c>
      <c r="K127" s="196">
        <f t="shared" si="26"/>
        <v>43578</v>
      </c>
      <c r="L127" s="147">
        <f>IF(t&lt;Tvie,1-EXP((T0-t)*PertePVj)+'2018'!Pspv,1-EXP((T0-t)*PertePVj)+Pspv)</f>
        <v>7.1583763584827098E-3</v>
      </c>
      <c r="M127" s="847"/>
      <c r="N127" s="847"/>
      <c r="O127" s="48">
        <f>IF(t&lt;Tnet,'2018'!Resal+('2018'!Salim-'2018'!Resal)*(1-EXP(('2018'!Tnet-t)/('2018'!Tau_j))),Resal+(Salim-Resal)*(1-EXP((Tnet-t)/(Tau_j))))*Salcycl</f>
        <v>2.0615567987497311E-2</v>
      </c>
      <c r="P127" s="168">
        <f>(INDEX(Models!$BJ127:$BT127,,T127)*(1-R127)+INDEX(Models!$BJ127:$BT127,,T127+1)*R127-ERP_i)*Q127*Ramure*Pc/MaxiM</f>
        <v>2.6658004636809391E-5</v>
      </c>
      <c r="Q127" s="304">
        <f t="shared" si="27"/>
        <v>0.5</v>
      </c>
      <c r="R127" s="176">
        <f t="shared" si="28"/>
        <v>0.87105400146364531</v>
      </c>
      <c r="S127" s="814">
        <f t="shared" si="29"/>
        <v>-1</v>
      </c>
      <c r="T127" s="175">
        <f t="shared" si="30"/>
        <v>5</v>
      </c>
      <c r="U127" s="250">
        <f t="shared" si="31"/>
        <v>-0.12894599853635472</v>
      </c>
      <c r="V127" s="382">
        <f t="shared" si="32"/>
        <v>57.574895580724025</v>
      </c>
      <c r="W127" s="58"/>
      <c r="X127" s="157">
        <f t="shared" si="33"/>
        <v>43578</v>
      </c>
      <c r="Y127" s="384">
        <f t="shared" si="34"/>
        <v>37.881</v>
      </c>
      <c r="Z127" s="384">
        <f t="shared" si="35"/>
        <v>38.154121561766424</v>
      </c>
      <c r="AA127" s="385">
        <f t="shared" si="36"/>
        <v>38.957247342971193</v>
      </c>
      <c r="AB127" s="196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2.0615567987497311E-2</v>
      </c>
      <c r="AD127" s="230">
        <f>(INDEX(Models!$BJ127:$BT127,,AH127)*(1-AF127)+INDEX(Models!$BJ127:$BT127,,AH127+1)*AF127-ERP_i)*AE127*Ramure*Pc/MaxiM</f>
        <v>2.6658004636809391E-5</v>
      </c>
      <c r="AE127" s="304">
        <f t="shared" si="38"/>
        <v>0.5</v>
      </c>
      <c r="AF127" s="176">
        <f t="shared" si="39"/>
        <v>0.87105400146364531</v>
      </c>
      <c r="AG127" s="175">
        <f t="shared" si="40"/>
        <v>-1</v>
      </c>
      <c r="AH127" s="175">
        <f t="shared" si="41"/>
        <v>5</v>
      </c>
      <c r="AI127" s="224">
        <f t="shared" si="42"/>
        <v>-0.12894599853635472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43579</v>
      </c>
      <c r="B128" s="616">
        <v>52.543999999999997</v>
      </c>
      <c r="C128" s="389"/>
      <c r="D128" s="392">
        <f t="shared" si="24"/>
        <v>52.924000789707065</v>
      </c>
      <c r="E128" s="384">
        <f t="shared" si="46"/>
        <v>54.041403888234939</v>
      </c>
      <c r="F128" s="384">
        <f t="shared" si="25"/>
        <v>54.042656770196878</v>
      </c>
      <c r="G128" s="110">
        <f t="shared" si="47"/>
        <v>0.91105128080326381</v>
      </c>
      <c r="H128" s="413" t="b">
        <f>Wh_hp&gt;='2018'!Maxi_hp</f>
        <v>1</v>
      </c>
      <c r="I128" s="389">
        <f>IF(H128,Wh_hp,'2018'!Maxi_hp)</f>
        <v>54.042656770196878</v>
      </c>
      <c r="J128" s="85">
        <f>IF(H128,An,'2018'!An_max)</f>
        <v>2019</v>
      </c>
      <c r="K128" s="196">
        <f t="shared" si="26"/>
        <v>43579</v>
      </c>
      <c r="L128" s="147">
        <f>IF(t&lt;Tvie,1-EXP((T0-t)*PertePVj)+'2018'!Pspv,1-EXP((T0-t)*PertePVj)+Pspv)</f>
        <v>7.1801221381013747E-3</v>
      </c>
      <c r="M128" s="847"/>
      <c r="N128" s="847"/>
      <c r="O128" s="48">
        <f>IF(t&lt;Tnet,'2018'!Resal+('2018'!Salim-'2018'!Resal)*(1-EXP(('2018'!Tnet-t)/('2018'!Tau_j))),Resal+(Salim-Resal)*(1-EXP((Tnet-t)/(Tau_j))))*Salcycl</f>
        <v>2.0676796273442769E-2</v>
      </c>
      <c r="P128" s="168">
        <f>(INDEX(Models!$BJ128:$BT128,,T128)*(1-R128)+INDEX(Models!$BJ128:$BT128,,T128+1)*R128-ERP_i)*Q128*Ramure*Pc/MaxiM</f>
        <v>2.6557773441356232E-5</v>
      </c>
      <c r="Q128" s="304">
        <f t="shared" si="27"/>
        <v>0.5</v>
      </c>
      <c r="R128" s="176">
        <f t="shared" si="28"/>
        <v>0.87239860109559419</v>
      </c>
      <c r="S128" s="814">
        <f t="shared" si="29"/>
        <v>-1</v>
      </c>
      <c r="T128" s="175">
        <f t="shared" si="30"/>
        <v>5</v>
      </c>
      <c r="U128" s="250">
        <f t="shared" si="31"/>
        <v>-0.12760139890440581</v>
      </c>
      <c r="V128" s="382">
        <f t="shared" si="32"/>
        <v>57.67383657724492</v>
      </c>
      <c r="W128" s="58"/>
      <c r="X128" s="157">
        <f t="shared" si="33"/>
        <v>43579</v>
      </c>
      <c r="Y128" s="384">
        <f t="shared" si="34"/>
        <v>52.543999999999997</v>
      </c>
      <c r="Z128" s="384">
        <f t="shared" si="35"/>
        <v>52.924000789707065</v>
      </c>
      <c r="AA128" s="385">
        <f t="shared" si="36"/>
        <v>54.041403888234939</v>
      </c>
      <c r="AB128" s="196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2.0676796273442769E-2</v>
      </c>
      <c r="AD128" s="230">
        <f>(INDEX(Models!$BJ128:$BT128,,AH128)*(1-AF128)+INDEX(Models!$BJ128:$BT128,,AH128+1)*AF128-ERP_i)*AE128*Ramure*Pc/MaxiM</f>
        <v>2.6557773441356232E-5</v>
      </c>
      <c r="AE128" s="304">
        <f t="shared" si="38"/>
        <v>0.5</v>
      </c>
      <c r="AF128" s="176">
        <f t="shared" si="39"/>
        <v>0.87239860109559419</v>
      </c>
      <c r="AG128" s="175">
        <f t="shared" si="40"/>
        <v>-1</v>
      </c>
      <c r="AH128" s="175">
        <f t="shared" si="41"/>
        <v>5</v>
      </c>
      <c r="AI128" s="224">
        <f t="shared" si="42"/>
        <v>-0.12760139890440581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43580</v>
      </c>
      <c r="B129" s="616">
        <v>35.622999999999998</v>
      </c>
      <c r="C129" s="389"/>
      <c r="D129" s="392">
        <f t="shared" si="24"/>
        <v>35.88141318134327</v>
      </c>
      <c r="E129" s="384">
        <f t="shared" si="46"/>
        <v>36.641291456751105</v>
      </c>
      <c r="F129" s="384">
        <f t="shared" si="25"/>
        <v>36.641733379751692</v>
      </c>
      <c r="G129" s="110">
        <f t="shared" si="47"/>
        <v>0.61665523250568255</v>
      </c>
      <c r="H129" s="413" t="b">
        <f>Wh_hp&gt;='2018'!Maxi_hp</f>
        <v>1</v>
      </c>
      <c r="I129" s="389">
        <f>IF(H129,Wh_hp,'2018'!Maxi_hp)</f>
        <v>36.641733379751692</v>
      </c>
      <c r="J129" s="85">
        <f>IF(H129,An,'2018'!An_max)</f>
        <v>2019</v>
      </c>
      <c r="K129" s="196">
        <f t="shared" si="26"/>
        <v>43580</v>
      </c>
      <c r="L129" s="147">
        <f>IF(t&lt;Tvie,1-EXP((T0-t)*PertePVj)+'2018'!Pspv,1-EXP((T0-t)*PertePVj)+Pspv)</f>
        <v>7.2018674414315864E-3</v>
      </c>
      <c r="M129" s="847"/>
      <c r="N129" s="847"/>
      <c r="O129" s="48">
        <f>IF(t&lt;Tnet,'2018'!Resal+('2018'!Salim-'2018'!Resal)*(1-EXP(('2018'!Tnet-t)/('2018'!Tau_j))),Resal+(Salim-Resal)*(1-EXP((Tnet-t)/(Tau_j))))*Salcycl</f>
        <v>2.073830493405893E-2</v>
      </c>
      <c r="P129" s="168">
        <f>(INDEX(Models!$BJ129:$BT129,,T129)*(1-R129)+INDEX(Models!$BJ129:$BT129,,T129+1)*R129-ERP_i)*Q129*Ramure*Pc/MaxiM</f>
        <v>2.6660581556896426E-5</v>
      </c>
      <c r="Q129" s="304">
        <f t="shared" si="27"/>
        <v>0.5</v>
      </c>
      <c r="R129" s="176">
        <f t="shared" si="28"/>
        <v>0.87378510599857373</v>
      </c>
      <c r="S129" s="814">
        <f t="shared" si="29"/>
        <v>-1</v>
      </c>
      <c r="T129" s="175">
        <f t="shared" si="30"/>
        <v>5</v>
      </c>
      <c r="U129" s="250">
        <f t="shared" si="31"/>
        <v>-0.1262148940014263</v>
      </c>
      <c r="V129" s="382">
        <f t="shared" si="32"/>
        <v>57.767254735683146</v>
      </c>
      <c r="W129" s="58"/>
      <c r="X129" s="157">
        <f t="shared" si="33"/>
        <v>43580</v>
      </c>
      <c r="Y129" s="384">
        <f t="shared" si="34"/>
        <v>35.622999999999998</v>
      </c>
      <c r="Z129" s="384">
        <f t="shared" si="35"/>
        <v>35.88141318134327</v>
      </c>
      <c r="AA129" s="385">
        <f t="shared" si="36"/>
        <v>36.641291456751105</v>
      </c>
      <c r="AB129" s="196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2.073830493405893E-2</v>
      </c>
      <c r="AD129" s="230">
        <f>(INDEX(Models!$BJ129:$BT129,,AH129)*(1-AF129)+INDEX(Models!$BJ129:$BT129,,AH129+1)*AF129-ERP_i)*AE129*Ramure*Pc/MaxiM</f>
        <v>2.6660581556896426E-5</v>
      </c>
      <c r="AE129" s="304">
        <f t="shared" si="38"/>
        <v>0.5</v>
      </c>
      <c r="AF129" s="176">
        <f t="shared" si="39"/>
        <v>0.87378510599857373</v>
      </c>
      <c r="AG129" s="175">
        <f t="shared" si="40"/>
        <v>-1</v>
      </c>
      <c r="AH129" s="175">
        <f t="shared" si="41"/>
        <v>5</v>
      </c>
      <c r="AI129" s="224">
        <f t="shared" si="42"/>
        <v>-0.1262148940014263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43581</v>
      </c>
      <c r="B130" s="616">
        <v>33.219000000000001</v>
      </c>
      <c r="C130" s="389"/>
      <c r="D130" s="392">
        <f t="shared" si="24"/>
        <v>33.460707174860467</v>
      </c>
      <c r="E130" s="384">
        <f t="shared" si="46"/>
        <v>34.171477171962117</v>
      </c>
      <c r="F130" s="384">
        <f t="shared" si="25"/>
        <v>34.171838151807052</v>
      </c>
      <c r="G130" s="110">
        <f t="shared" si="47"/>
        <v>0.57416172163799073</v>
      </c>
      <c r="H130" s="413" t="b">
        <f>Wh_hp&gt;='2018'!Maxi_hp</f>
        <v>1</v>
      </c>
      <c r="I130" s="389">
        <f>IF(H130,Wh_hp,'2018'!Maxi_hp)</f>
        <v>34.171838151807052</v>
      </c>
      <c r="J130" s="85">
        <f>IF(H130,An,'2018'!An_max)</f>
        <v>2019</v>
      </c>
      <c r="K130" s="196">
        <f t="shared" si="26"/>
        <v>43581</v>
      </c>
      <c r="L130" s="147">
        <f>IF(t&lt;Tvie,1-EXP((T0-t)*PertePVj)+'2018'!Pspv,1-EXP((T0-t)*PertePVj)+Pspv)</f>
        <v>7.2236122684837811E-3</v>
      </c>
      <c r="M130" s="847"/>
      <c r="N130" s="847"/>
      <c r="O130" s="48">
        <f>IF(t&lt;Tnet,'2018'!Resal+('2018'!Salim-'2018'!Resal)*(1-EXP(('2018'!Tnet-t)/('2018'!Tau_j))),Resal+(Salim-Resal)*(1-EXP((Tnet-t)/(Tau_j))))*Salcycl</f>
        <v>2.0800095750172727E-2</v>
      </c>
      <c r="P130" s="168">
        <f>(INDEX(Models!$BJ130:$BT130,,T130)*(1-R130)+INDEX(Models!$BJ130:$BT130,,T130+1)*R130-ERP_i)*Q130*Ramure*Pc/MaxiM</f>
        <v>2.6970618880234265E-5</v>
      </c>
      <c r="Q130" s="304">
        <f t="shared" si="27"/>
        <v>0.5</v>
      </c>
      <c r="R130" s="176">
        <f t="shared" si="28"/>
        <v>0.87521428006528912</v>
      </c>
      <c r="S130" s="814">
        <f t="shared" si="29"/>
        <v>-1</v>
      </c>
      <c r="T130" s="175">
        <f t="shared" si="30"/>
        <v>5</v>
      </c>
      <c r="U130" s="250">
        <f t="shared" si="31"/>
        <v>-0.12478571993471094</v>
      </c>
      <c r="V130" s="382">
        <f t="shared" si="32"/>
        <v>57.855572253874897</v>
      </c>
      <c r="W130" s="58"/>
      <c r="X130" s="157">
        <f t="shared" si="33"/>
        <v>43581</v>
      </c>
      <c r="Y130" s="384">
        <f t="shared" si="34"/>
        <v>33.219000000000001</v>
      </c>
      <c r="Z130" s="384">
        <f t="shared" si="35"/>
        <v>33.460707174860467</v>
      </c>
      <c r="AA130" s="385">
        <f t="shared" si="36"/>
        <v>34.171477171962117</v>
      </c>
      <c r="AB130" s="196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2.0800095750172727E-2</v>
      </c>
      <c r="AD130" s="230">
        <f>(INDEX(Models!$BJ130:$BT130,,AH130)*(1-AF130)+INDEX(Models!$BJ130:$BT130,,AH130+1)*AF130-ERP_i)*AE130*Ramure*Pc/MaxiM</f>
        <v>2.6970618880234265E-5</v>
      </c>
      <c r="AE130" s="304">
        <f t="shared" si="38"/>
        <v>0.5</v>
      </c>
      <c r="AF130" s="176">
        <f t="shared" si="39"/>
        <v>0.87521428006528912</v>
      </c>
      <c r="AG130" s="175">
        <f t="shared" si="40"/>
        <v>-1</v>
      </c>
      <c r="AH130" s="175">
        <f t="shared" si="41"/>
        <v>5</v>
      </c>
      <c r="AI130" s="224">
        <f t="shared" si="42"/>
        <v>-0.12478571993471094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43582</v>
      </c>
      <c r="B131" s="616">
        <v>31.738</v>
      </c>
      <c r="C131" s="389"/>
      <c r="D131" s="392">
        <f t="shared" si="24"/>
        <v>31.969631380337102</v>
      </c>
      <c r="E131" s="384">
        <f t="shared" si="46"/>
        <v>32.650797875318517</v>
      </c>
      <c r="F131" s="384">
        <f t="shared" si="25"/>
        <v>32.651115623265042</v>
      </c>
      <c r="G131" s="110">
        <f t="shared" si="47"/>
        <v>0.54777128716180368</v>
      </c>
      <c r="H131" s="413" t="b">
        <f>Wh_hp&gt;='2018'!Maxi_hp</f>
        <v>1</v>
      </c>
      <c r="I131" s="389">
        <f>IF(H131,Wh_hp,'2018'!Maxi_hp)</f>
        <v>32.651115623265042</v>
      </c>
      <c r="J131" s="85">
        <f>IF(H131,An,'2018'!An_max)</f>
        <v>2019</v>
      </c>
      <c r="K131" s="196">
        <f t="shared" si="26"/>
        <v>43582</v>
      </c>
      <c r="L131" s="147">
        <f>IF(t&lt;Tvie,1-EXP((T0-t)*PertePVj)+'2018'!Pspv,1-EXP((T0-t)*PertePVj)+Pspv)</f>
        <v>7.245356619268617E-3</v>
      </c>
      <c r="M131" s="847"/>
      <c r="N131" s="847"/>
      <c r="O131" s="48">
        <f>IF(t&lt;Tnet,'2018'!Resal+('2018'!Salim-'2018'!Resal)*(1-EXP(('2018'!Tnet-t)/('2018'!Tau_j))),Resal+(Salim-Resal)*(1-EXP((Tnet-t)/(Tau_j))))*Salcycl</f>
        <v>2.0862169971543654E-2</v>
      </c>
      <c r="P131" s="168">
        <f>(INDEX(Models!$BJ131:$BT131,,T131)*(1-R131)+INDEX(Models!$BJ131:$BT131,,T131+1)*R131-ERP_i)*Q131*Ramure*Pc/MaxiM</f>
        <v>2.7492531906001338E-5</v>
      </c>
      <c r="Q131" s="304">
        <f t="shared" si="27"/>
        <v>0.5</v>
      </c>
      <c r="R131" s="176">
        <f t="shared" si="28"/>
        <v>0.87668686065757007</v>
      </c>
      <c r="S131" s="814">
        <f t="shared" si="29"/>
        <v>-1</v>
      </c>
      <c r="T131" s="175">
        <f t="shared" si="30"/>
        <v>5</v>
      </c>
      <c r="U131" s="250">
        <f t="shared" si="31"/>
        <v>-0.12331313934242996</v>
      </c>
      <c r="V131" s="382">
        <f t="shared" si="32"/>
        <v>57.939211204077971</v>
      </c>
      <c r="W131" s="58"/>
      <c r="X131" s="157">
        <f t="shared" si="33"/>
        <v>43582</v>
      </c>
      <c r="Y131" s="384">
        <f t="shared" si="34"/>
        <v>31.738000000000003</v>
      </c>
      <c r="Z131" s="384">
        <f t="shared" si="35"/>
        <v>31.969631380337105</v>
      </c>
      <c r="AA131" s="385">
        <f t="shared" si="36"/>
        <v>32.650797875318517</v>
      </c>
      <c r="AB131" s="196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2.0862169971543654E-2</v>
      </c>
      <c r="AD131" s="230">
        <f>(INDEX(Models!$BJ131:$BT131,,AH131)*(1-AF131)+INDEX(Models!$BJ131:$BT131,,AH131+1)*AF131-ERP_i)*AE131*Ramure*Pc/MaxiM</f>
        <v>2.7492531906001338E-5</v>
      </c>
      <c r="AE131" s="304">
        <f t="shared" si="38"/>
        <v>0.5</v>
      </c>
      <c r="AF131" s="176">
        <f t="shared" si="39"/>
        <v>0.87668686065757007</v>
      </c>
      <c r="AG131" s="175">
        <f t="shared" si="40"/>
        <v>-1</v>
      </c>
      <c r="AH131" s="175">
        <f t="shared" si="41"/>
        <v>5</v>
      </c>
      <c r="AI131" s="224">
        <f t="shared" si="42"/>
        <v>-0.12331313934242996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43583</v>
      </c>
      <c r="B132" s="616">
        <v>44.973999999999997</v>
      </c>
      <c r="C132" s="389"/>
      <c r="D132" s="392">
        <f t="shared" si="24"/>
        <v>45.303223074777272</v>
      </c>
      <c r="E132" s="384">
        <f t="shared" si="46"/>
        <v>46.271430940581823</v>
      </c>
      <c r="F132" s="384">
        <f t="shared" si="25"/>
        <v>46.272317689396395</v>
      </c>
      <c r="G132" s="110">
        <f t="shared" si="47"/>
        <v>0.77515826295542223</v>
      </c>
      <c r="H132" s="413" t="b">
        <f>Wh_hp&gt;='2018'!Maxi_hp</f>
        <v>1</v>
      </c>
      <c r="I132" s="389">
        <f>IF(H132,Wh_hp,'2018'!Maxi_hp)</f>
        <v>46.272317689396395</v>
      </c>
      <c r="J132" s="85">
        <f>IF(H132,An,'2018'!An_max)</f>
        <v>2019</v>
      </c>
      <c r="K132" s="196">
        <f t="shared" si="26"/>
        <v>43583</v>
      </c>
      <c r="L132" s="147">
        <f>IF(t&lt;Tvie,1-EXP((T0-t)*PertePVj)+'2018'!Pspv,1-EXP((T0-t)*PertePVj)+Pspv)</f>
        <v>7.2671004937961969E-3</v>
      </c>
      <c r="M132" s="847"/>
      <c r="N132" s="847"/>
      <c r="O132" s="48">
        <f>IF(t&lt;Tnet,'2018'!Resal+('2018'!Salim-'2018'!Resal)*(1-EXP(('2018'!Tnet-t)/('2018'!Tau_j))),Resal+(Salim-Resal)*(1-EXP((Tnet-t)/(Tau_j))))*Salcycl</f>
        <v>2.0924528291503486E-2</v>
      </c>
      <c r="P132" s="168">
        <f>(INDEX(Models!$BJ132:$BT132,,T132)*(1-R132)+INDEX(Models!$BJ132:$BT132,,T132+1)*R132-ERP_i)*Q132*Ramure*Pc/MaxiM</f>
        <v>2.8231418045235579E-5</v>
      </c>
      <c r="Q132" s="304">
        <f t="shared" si="27"/>
        <v>0.5</v>
      </c>
      <c r="R132" s="176">
        <f t="shared" si="28"/>
        <v>0.87820355508329639</v>
      </c>
      <c r="S132" s="814">
        <f t="shared" si="29"/>
        <v>-1</v>
      </c>
      <c r="T132" s="175">
        <f t="shared" si="30"/>
        <v>5</v>
      </c>
      <c r="U132" s="250">
        <f t="shared" si="31"/>
        <v>-0.12179644491670358</v>
      </c>
      <c r="V132" s="382">
        <f t="shared" si="32"/>
        <v>58.018593531034462</v>
      </c>
      <c r="W132" s="58"/>
      <c r="X132" s="157">
        <f t="shared" si="33"/>
        <v>43583</v>
      </c>
      <c r="Y132" s="384">
        <f t="shared" si="34"/>
        <v>44.973999999999997</v>
      </c>
      <c r="Z132" s="384">
        <f t="shared" si="35"/>
        <v>45.303223074777272</v>
      </c>
      <c r="AA132" s="385">
        <f t="shared" si="36"/>
        <v>46.271430940581823</v>
      </c>
      <c r="AB132" s="196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2.0924528291503486E-2</v>
      </c>
      <c r="AD132" s="230">
        <f>(INDEX(Models!$BJ132:$BT132,,AH132)*(1-AF132)+INDEX(Models!$BJ132:$BT132,,AH132+1)*AF132-ERP_i)*AE132*Ramure*Pc/MaxiM</f>
        <v>2.8231418045235579E-5</v>
      </c>
      <c r="AE132" s="304">
        <f t="shared" si="38"/>
        <v>0.5</v>
      </c>
      <c r="AF132" s="176">
        <f t="shared" si="39"/>
        <v>0.87820355508329639</v>
      </c>
      <c r="AG132" s="175">
        <f t="shared" si="40"/>
        <v>-1</v>
      </c>
      <c r="AH132" s="175">
        <f t="shared" si="41"/>
        <v>5</v>
      </c>
      <c r="AI132" s="224">
        <f t="shared" si="42"/>
        <v>-0.12179644491670358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43584</v>
      </c>
      <c r="B133" s="616">
        <v>51.866</v>
      </c>
      <c r="C133" s="389"/>
      <c r="D133" s="392">
        <f t="shared" si="24"/>
        <v>52.246818906869805</v>
      </c>
      <c r="E133" s="384">
        <f t="shared" si="46"/>
        <v>53.366837849011134</v>
      </c>
      <c r="F133" s="384">
        <f t="shared" si="25"/>
        <v>53.368157207245993</v>
      </c>
      <c r="G133" s="110">
        <f t="shared" si="47"/>
        <v>0.89278827708622865</v>
      </c>
      <c r="H133" s="413" t="b">
        <f>Wh_hp&gt;='2018'!Maxi_hp</f>
        <v>1</v>
      </c>
      <c r="I133" s="389">
        <f>IF(H133,Wh_hp,'2018'!Maxi_hp)</f>
        <v>53.368157207245993</v>
      </c>
      <c r="J133" s="85">
        <f>IF(H133,An,'2018'!An_max)</f>
        <v>2019</v>
      </c>
      <c r="K133" s="196">
        <f t="shared" si="26"/>
        <v>43584</v>
      </c>
      <c r="L133" s="147">
        <f>IF(t&lt;Tvie,1-EXP((T0-t)*PertePVj)+'2018'!Pspv,1-EXP((T0-t)*PertePVj)+Pspv)</f>
        <v>7.2888438920772902E-3</v>
      </c>
      <c r="M133" s="847"/>
      <c r="N133" s="847"/>
      <c r="O133" s="48">
        <f>IF(t&lt;Tnet,'2018'!Resal+('2018'!Salim-'2018'!Resal)*(1-EXP(('2018'!Tnet-t)/('2018'!Tau_j))),Resal+(Salim-Resal)*(1-EXP((Tnet-t)/(Tau_j))))*Salcycl</f>
        <v>2.0987170821515685E-2</v>
      </c>
      <c r="P133" s="168">
        <f>(INDEX(Models!$BJ133:$BT133,,T133)*(1-R133)+INDEX(Models!$BJ133:$BT133,,T133+1)*R133-ERP_i)*Q133*Ramure*Pc/MaxiM</f>
        <v>2.9192818971970363E-5</v>
      </c>
      <c r="Q133" s="304">
        <f t="shared" si="27"/>
        <v>0.5</v>
      </c>
      <c r="R133" s="176">
        <f t="shared" si="28"/>
        <v>0.87976503693997565</v>
      </c>
      <c r="S133" s="814">
        <f t="shared" si="29"/>
        <v>-1</v>
      </c>
      <c r="T133" s="175">
        <f t="shared" si="30"/>
        <v>5</v>
      </c>
      <c r="U133" s="250">
        <f t="shared" si="31"/>
        <v>-0.12023496306002432</v>
      </c>
      <c r="V133" s="382">
        <f t="shared" si="32"/>
        <v>58.094141055434534</v>
      </c>
      <c r="W133" s="58"/>
      <c r="X133" s="157">
        <f t="shared" si="33"/>
        <v>43584</v>
      </c>
      <c r="Y133" s="384">
        <f t="shared" si="34"/>
        <v>51.866</v>
      </c>
      <c r="Z133" s="384">
        <f t="shared" si="35"/>
        <v>52.246818906869805</v>
      </c>
      <c r="AA133" s="385">
        <f t="shared" si="36"/>
        <v>53.366837849011134</v>
      </c>
      <c r="AB133" s="196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2.0987170821515685E-2</v>
      </c>
      <c r="AD133" s="230">
        <f>(INDEX(Models!$BJ133:$BT133,,AH133)*(1-AF133)+INDEX(Models!$BJ133:$BT133,,AH133+1)*AF133-ERP_i)*AE133*Ramure*Pc/MaxiM</f>
        <v>2.9192818971970363E-5</v>
      </c>
      <c r="AE133" s="304">
        <f t="shared" si="38"/>
        <v>0.5</v>
      </c>
      <c r="AF133" s="176">
        <f t="shared" si="39"/>
        <v>0.87976503693997565</v>
      </c>
      <c r="AG133" s="175">
        <f t="shared" si="40"/>
        <v>-1</v>
      </c>
      <c r="AH133" s="175">
        <f t="shared" si="41"/>
        <v>5</v>
      </c>
      <c r="AI133" s="224">
        <f t="shared" si="42"/>
        <v>-0.12023496306002432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43585</v>
      </c>
      <c r="B134" s="616">
        <v>58.558999999999997</v>
      </c>
      <c r="C134" s="389"/>
      <c r="D134" s="392">
        <f t="shared" si="24"/>
        <v>58.99025336843701</v>
      </c>
      <c r="E134" s="384">
        <f t="shared" si="46"/>
        <v>60.258704956840418</v>
      </c>
      <c r="F134" s="384">
        <f t="shared" si="25"/>
        <v>60.260535835391735</v>
      </c>
      <c r="G134" s="110">
        <f t="shared" si="47"/>
        <v>1.0067517564426798</v>
      </c>
      <c r="H134" s="413" t="b">
        <f>Wh_hp&gt;='2018'!Maxi_hp</f>
        <v>1</v>
      </c>
      <c r="I134" s="389">
        <f>IF(H134,Wh_hp,'2018'!Maxi_hp)</f>
        <v>60.260535835391735</v>
      </c>
      <c r="J134" s="85">
        <f>IF(H134,An,'2018'!An_max)</f>
        <v>2019</v>
      </c>
      <c r="K134" s="196">
        <f t="shared" si="26"/>
        <v>43585</v>
      </c>
      <c r="L134" s="147">
        <f>IF(t&lt;Tvie,1-EXP((T0-t)*PertePVj)+'2018'!Pspv,1-EXP((T0-t)*PertePVj)+Pspv)</f>
        <v>7.3105868141219998E-3</v>
      </c>
      <c r="M134" s="847"/>
      <c r="N134" s="847"/>
      <c r="O134" s="48">
        <f>IF(t&lt;Tnet,'2018'!Resal+('2018'!Salim-'2018'!Resal)*(1-EXP(('2018'!Tnet-t)/('2018'!Tau_j))),Resal+(Salim-Resal)*(1-EXP((Tnet-t)/(Tau_j))))*Salcycl</f>
        <v>2.1050097065841732E-2</v>
      </c>
      <c r="P134" s="168">
        <f>(INDEX(Models!$BJ134:$BT134,,T134)*(1-R134)+INDEX(Models!$BJ134:$BT134,,T134+1)*R134-ERP_i)*Q134*Ramure*Pc/MaxiM</f>
        <v>3.0382712764492015E-5</v>
      </c>
      <c r="Q134" s="304">
        <f t="shared" si="27"/>
        <v>0.5</v>
      </c>
      <c r="R134" s="176">
        <f t="shared" si="28"/>
        <v>0.88137194233434313</v>
      </c>
      <c r="S134" s="814">
        <f t="shared" si="29"/>
        <v>-1</v>
      </c>
      <c r="T134" s="175">
        <f t="shared" si="30"/>
        <v>5</v>
      </c>
      <c r="U134" s="250">
        <f t="shared" si="31"/>
        <v>-0.11862805766565684</v>
      </c>
      <c r="V134" s="382">
        <f t="shared" si="32"/>
        <v>58.166275474816224</v>
      </c>
      <c r="W134" s="58"/>
      <c r="X134" s="157">
        <f t="shared" si="33"/>
        <v>43585</v>
      </c>
      <c r="Y134" s="384">
        <f t="shared" si="34"/>
        <v>58.558999999999997</v>
      </c>
      <c r="Z134" s="384">
        <f t="shared" si="35"/>
        <v>58.99025336843701</v>
      </c>
      <c r="AA134" s="385">
        <f t="shared" si="36"/>
        <v>60.258704956840418</v>
      </c>
      <c r="AB134" s="196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2.1050097065841732E-2</v>
      </c>
      <c r="AD134" s="230">
        <f>(INDEX(Models!$BJ134:$BT134,,AH134)*(1-AF134)+INDEX(Models!$BJ134:$BT134,,AH134+1)*AF134-ERP_i)*AE134*Ramure*Pc/MaxiM</f>
        <v>3.0382712764492015E-5</v>
      </c>
      <c r="AE134" s="304">
        <f t="shared" si="38"/>
        <v>0.5</v>
      </c>
      <c r="AF134" s="176">
        <f t="shared" si="39"/>
        <v>0.88137194233434313</v>
      </c>
      <c r="AG134" s="175">
        <f t="shared" si="40"/>
        <v>-1</v>
      </c>
      <c r="AH134" s="175">
        <f t="shared" si="41"/>
        <v>5</v>
      </c>
      <c r="AI134" s="224">
        <f t="shared" si="42"/>
        <v>-0.11862805766565684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43586</v>
      </c>
      <c r="B135" s="616">
        <v>55.308</v>
      </c>
      <c r="C135" s="389"/>
      <c r="D135" s="392">
        <f t="shared" si="24"/>
        <v>55.71653195753467</v>
      </c>
      <c r="E135" s="384">
        <f t="shared" si="46"/>
        <v>56.918264691056081</v>
      </c>
      <c r="F135" s="384">
        <f t="shared" si="25"/>
        <v>56.919945297038041</v>
      </c>
      <c r="G135" s="110">
        <f t="shared" si="47"/>
        <v>0.94976119000338388</v>
      </c>
      <c r="H135" s="413" t="b">
        <f>Wh_hp&gt;='2018'!Maxi_hp</f>
        <v>1</v>
      </c>
      <c r="I135" s="389">
        <f>IF(H135,Wh_hp,'2018'!Maxi_hp)</f>
        <v>56.919945297038041</v>
      </c>
      <c r="J135" s="85">
        <f>IF(H135,An,'2018'!An_max)</f>
        <v>2019</v>
      </c>
      <c r="K135" s="196">
        <f t="shared" si="26"/>
        <v>43586</v>
      </c>
      <c r="L135" s="147">
        <f>IF(t&lt;Tvie,1-EXP((T0-t)*PertePVj)+'2018'!Pspv,1-EXP((T0-t)*PertePVj)+Pspv)</f>
        <v>7.3323292599409839E-3</v>
      </c>
      <c r="M135" s="847"/>
      <c r="N135" s="847"/>
      <c r="O135" s="48">
        <f>IF(t&lt;Tnet,'2018'!Resal+('2018'!Salim-'2018'!Resal)*(1-EXP(('2018'!Tnet-t)/('2018'!Tau_j))),Resal+(Salim-Resal)*(1-EXP((Tnet-t)/(Tau_j))))*Salcycl</f>
        <v>2.1113305896520919E-2</v>
      </c>
      <c r="P135" s="168">
        <f>(INDEX(Models!$BJ135:$BT135,,T135)*(1-R135)+INDEX(Models!$BJ135:$BT135,,T135+1)*R135-ERP_i)*Q135*Ramure*Pc/MaxiM</f>
        <v>3.1808577989551902E-5</v>
      </c>
      <c r="Q135" s="304">
        <f t="shared" si="27"/>
        <v>0.5</v>
      </c>
      <c r="R135" s="176">
        <f t="shared" si="28"/>
        <v>0.88302486598917918</v>
      </c>
      <c r="S135" s="814">
        <f t="shared" si="29"/>
        <v>-1</v>
      </c>
      <c r="T135" s="175">
        <f t="shared" si="30"/>
        <v>5</v>
      </c>
      <c r="U135" s="250">
        <f t="shared" si="31"/>
        <v>-0.11697513401082085</v>
      </c>
      <c r="V135" s="382">
        <f t="shared" si="32"/>
        <v>58.233453126546117</v>
      </c>
      <c r="W135" s="58"/>
      <c r="X135" s="157">
        <f t="shared" si="33"/>
        <v>43586</v>
      </c>
      <c r="Y135" s="384">
        <f t="shared" si="34"/>
        <v>55.308</v>
      </c>
      <c r="Z135" s="384">
        <f t="shared" si="35"/>
        <v>55.71653195753467</v>
      </c>
      <c r="AA135" s="385">
        <f t="shared" si="36"/>
        <v>56.918264691056081</v>
      </c>
      <c r="AB135" s="196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2.1113305896520919E-2</v>
      </c>
      <c r="AD135" s="230">
        <f>(INDEX(Models!$BJ135:$BT135,,AH135)*(1-AF135)+INDEX(Models!$BJ135:$BT135,,AH135+1)*AF135-ERP_i)*AE135*Ramure*Pc/MaxiM</f>
        <v>3.1808577989551902E-5</v>
      </c>
      <c r="AE135" s="304">
        <f t="shared" si="38"/>
        <v>0.5</v>
      </c>
      <c r="AF135" s="176">
        <f t="shared" si="39"/>
        <v>0.88302486598917918</v>
      </c>
      <c r="AG135" s="175">
        <f t="shared" si="40"/>
        <v>-1</v>
      </c>
      <c r="AH135" s="175">
        <f t="shared" si="41"/>
        <v>5</v>
      </c>
      <c r="AI135" s="224">
        <f t="shared" si="42"/>
        <v>-0.11697513401082085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43587</v>
      </c>
      <c r="B136" s="616">
        <v>35.622</v>
      </c>
      <c r="C136" s="389"/>
      <c r="D136" s="392">
        <f t="shared" si="24"/>
        <v>35.885907520039218</v>
      </c>
      <c r="E136" s="384">
        <f t="shared" si="46"/>
        <v>36.662297497768726</v>
      </c>
      <c r="F136" s="384">
        <f t="shared" si="25"/>
        <v>36.66284332439055</v>
      </c>
      <c r="G136" s="110">
        <f t="shared" si="47"/>
        <v>0.61106216348303888</v>
      </c>
      <c r="H136" s="413" t="b">
        <f>Wh_hp&gt;='2018'!Maxi_hp</f>
        <v>1</v>
      </c>
      <c r="I136" s="389">
        <f>IF(H136,Wh_hp,'2018'!Maxi_hp)</f>
        <v>36.66284332439055</v>
      </c>
      <c r="J136" s="85">
        <f>IF(H136,An,'2018'!An_max)</f>
        <v>2019</v>
      </c>
      <c r="K136" s="196">
        <f t="shared" si="26"/>
        <v>43587</v>
      </c>
      <c r="L136" s="147">
        <f>IF(t&lt;Tvie,1-EXP((T0-t)*PertePVj)+'2018'!Pspv,1-EXP((T0-t)*PertePVj)+Pspv)</f>
        <v>7.3540712295446786E-3</v>
      </c>
      <c r="M136" s="847"/>
      <c r="N136" s="847"/>
      <c r="O136" s="48">
        <f>IF(t&lt;Tnet,'2018'!Resal+('2018'!Salim-'2018'!Resal)*(1-EXP(('2018'!Tnet-t)/('2018'!Tau_j))),Resal+(Salim-Resal)*(1-EXP((Tnet-t)/(Tau_j))))*Salcycl</f>
        <v>2.1176795528887842E-2</v>
      </c>
      <c r="P136" s="168">
        <f>(INDEX(Models!$BJ136:$BT136,,T136)*(1-R136)+INDEX(Models!$BJ136:$BT136,,T136+1)*R136-ERP_i)*Q136*Ramure*Pc/MaxiM</f>
        <v>3.350144520600565E-5</v>
      </c>
      <c r="Q136" s="304">
        <f t="shared" si="27"/>
        <v>0.5</v>
      </c>
      <c r="R136" s="176">
        <f t="shared" si="28"/>
        <v>0.88472435725044019</v>
      </c>
      <c r="S136" s="814">
        <f t="shared" si="29"/>
        <v>-1</v>
      </c>
      <c r="T136" s="175">
        <f t="shared" si="30"/>
        <v>5</v>
      </c>
      <c r="U136" s="250">
        <f t="shared" si="31"/>
        <v>-0.11527564274955979</v>
      </c>
      <c r="V136" s="382">
        <f t="shared" si="32"/>
        <v>58.29412956847289</v>
      </c>
      <c r="W136" s="58"/>
      <c r="X136" s="157">
        <f t="shared" si="33"/>
        <v>43587</v>
      </c>
      <c r="Y136" s="384">
        <f t="shared" si="34"/>
        <v>35.622</v>
      </c>
      <c r="Z136" s="384">
        <f t="shared" si="35"/>
        <v>35.885907520039218</v>
      </c>
      <c r="AA136" s="385">
        <f t="shared" si="36"/>
        <v>36.662297497768726</v>
      </c>
      <c r="AB136" s="196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2.1176795528887842E-2</v>
      </c>
      <c r="AD136" s="230">
        <f>(INDEX(Models!$BJ136:$BT136,,AH136)*(1-AF136)+INDEX(Models!$BJ136:$BT136,,AH136+1)*AF136-ERP_i)*AE136*Ramure*Pc/MaxiM</f>
        <v>3.350144520600565E-5</v>
      </c>
      <c r="AE136" s="304">
        <f t="shared" si="38"/>
        <v>0.5</v>
      </c>
      <c r="AF136" s="176">
        <f t="shared" si="39"/>
        <v>0.88472435725044019</v>
      </c>
      <c r="AG136" s="175">
        <f t="shared" si="40"/>
        <v>-1</v>
      </c>
      <c r="AH136" s="175">
        <f t="shared" si="41"/>
        <v>5</v>
      </c>
      <c r="AI136" s="224">
        <f t="shared" si="42"/>
        <v>-0.11527564274955979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43588</v>
      </c>
      <c r="B137" s="616">
        <v>20.824000000000002</v>
      </c>
      <c r="C137" s="389"/>
      <c r="D137" s="392">
        <f t="shared" si="24"/>
        <v>20.978735222162889</v>
      </c>
      <c r="E137" s="384">
        <f t="shared" si="46"/>
        <v>21.434005578670281</v>
      </c>
      <c r="F137" s="384">
        <f t="shared" si="25"/>
        <v>21.434067126231508</v>
      </c>
      <c r="G137" s="110">
        <f t="shared" si="47"/>
        <v>0.35687704269024628</v>
      </c>
      <c r="H137" s="413" t="b">
        <f>Wh_hp&gt;='2018'!Maxi_hp</f>
        <v>1</v>
      </c>
      <c r="I137" s="389">
        <f>IF(H137,Wh_hp,'2018'!Maxi_hp)</f>
        <v>21.434067126231508</v>
      </c>
      <c r="J137" s="85">
        <f>IF(H137,An,'2018'!An_max)</f>
        <v>2019</v>
      </c>
      <c r="K137" s="196">
        <f t="shared" si="26"/>
        <v>43588</v>
      </c>
      <c r="L137" s="147">
        <f>IF(t&lt;Tvie,1-EXP((T0-t)*PertePVj)+'2018'!Pspv,1-EXP((T0-t)*PertePVj)+Pspv)</f>
        <v>7.3758127229432979E-3</v>
      </c>
      <c r="M137" s="847"/>
      <c r="N137" s="847"/>
      <c r="O137" s="48">
        <f>IF(t&lt;Tnet,'2018'!Resal+('2018'!Salim-'2018'!Resal)*(1-EXP(('2018'!Tnet-t)/('2018'!Tau_j))),Resal+(Salim-Resal)*(1-EXP((Tnet-t)/(Tau_j))))*Salcycl</f>
        <v>2.1240563497867373E-2</v>
      </c>
      <c r="P137" s="168">
        <f>(INDEX(Models!$BJ137:$BT137,,T137)*(1-R137)+INDEX(Models!$BJ137:$BT137,,T137+1)*R137-ERP_i)*Q137*Ramure*Pc/MaxiM</f>
        <v>3.53328641849842E-5</v>
      </c>
      <c r="Q137" s="304">
        <f t="shared" si="27"/>
        <v>0.5</v>
      </c>
      <c r="R137" s="176">
        <f t="shared" si="28"/>
        <v>0.88647091600977845</v>
      </c>
      <c r="S137" s="814">
        <f t="shared" si="29"/>
        <v>-1</v>
      </c>
      <c r="T137" s="175">
        <f t="shared" si="30"/>
        <v>5</v>
      </c>
      <c r="U137" s="250">
        <f t="shared" si="31"/>
        <v>-0.11352908399022153</v>
      </c>
      <c r="V137" s="382">
        <f t="shared" si="32"/>
        <v>58.348735086141943</v>
      </c>
      <c r="W137" s="58"/>
      <c r="X137" s="157">
        <f t="shared" si="33"/>
        <v>43588</v>
      </c>
      <c r="Y137" s="384">
        <f t="shared" si="34"/>
        <v>20.824000000000002</v>
      </c>
      <c r="Z137" s="384">
        <f t="shared" si="35"/>
        <v>20.978735222162889</v>
      </c>
      <c r="AA137" s="385">
        <f t="shared" si="36"/>
        <v>21.434005578670281</v>
      </c>
      <c r="AB137" s="196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2.1240563497867373E-2</v>
      </c>
      <c r="AD137" s="230">
        <f>(INDEX(Models!$BJ137:$BT137,,AH137)*(1-AF137)+INDEX(Models!$BJ137:$BT137,,AH137+1)*AF137-ERP_i)*AE137*Ramure*Pc/MaxiM</f>
        <v>3.53328641849842E-5</v>
      </c>
      <c r="AE137" s="304">
        <f t="shared" si="38"/>
        <v>0.5</v>
      </c>
      <c r="AF137" s="176">
        <f t="shared" si="39"/>
        <v>0.88647091600977845</v>
      </c>
      <c r="AG137" s="175">
        <f t="shared" si="40"/>
        <v>-1</v>
      </c>
      <c r="AH137" s="175">
        <f t="shared" si="41"/>
        <v>5</v>
      </c>
      <c r="AI137" s="224">
        <f t="shared" si="42"/>
        <v>-0.11352908399022153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43589</v>
      </c>
      <c r="B138" s="616">
        <v>31.356000000000002</v>
      </c>
      <c r="C138" s="389"/>
      <c r="D138" s="392">
        <f t="shared" si="24"/>
        <v>31.589686402799114</v>
      </c>
      <c r="E138" s="384">
        <f t="shared" si="46"/>
        <v>32.277342487733151</v>
      </c>
      <c r="F138" s="384">
        <f t="shared" si="25"/>
        <v>32.277750091000783</v>
      </c>
      <c r="G138" s="110">
        <f t="shared" si="47"/>
        <v>0.53692577558494547</v>
      </c>
      <c r="H138" s="413" t="b">
        <f>Wh_hp&gt;='2018'!Maxi_hp</f>
        <v>1</v>
      </c>
      <c r="I138" s="389">
        <f>IF(H138,Wh_hp,'2018'!Maxi_hp)</f>
        <v>32.277750091000783</v>
      </c>
      <c r="J138" s="85">
        <f>IF(H138,An,'2018'!An_max)</f>
        <v>2019</v>
      </c>
      <c r="K138" s="196">
        <f t="shared" si="26"/>
        <v>43589</v>
      </c>
      <c r="L138" s="147">
        <f>IF(t&lt;Tvie,1-EXP((T0-t)*PertePVj)+'2018'!Pspv,1-EXP((T0-t)*PertePVj)+Pspv)</f>
        <v>7.3975537401475E-3</v>
      </c>
      <c r="M138" s="847"/>
      <c r="N138" s="847"/>
      <c r="O138" s="48">
        <f>IF(t&lt;Tnet,'2018'!Resal+('2018'!Salim-'2018'!Resal)*(1-EXP(('2018'!Tnet-t)/('2018'!Tau_j))),Resal+(Salim-Resal)*(1-EXP((Tnet-t)/(Tau_j))))*Salcycl</f>
        <v>2.1304606635300819E-2</v>
      </c>
      <c r="P138" s="168">
        <f>(INDEX(Models!$BJ138:$BT138,,T138)*(1-R138)+INDEX(Models!$BJ138:$BT138,,T138+1)*R138-ERP_i)*Q138*Ramure*Pc/MaxiM</f>
        <v>3.7307473682258111E-5</v>
      </c>
      <c r="Q138" s="304">
        <f t="shared" si="27"/>
        <v>0.5</v>
      </c>
      <c r="R138" s="176">
        <f t="shared" si="28"/>
        <v>0.88826498855955272</v>
      </c>
      <c r="S138" s="814">
        <f t="shared" si="29"/>
        <v>-1</v>
      </c>
      <c r="T138" s="175">
        <f t="shared" si="30"/>
        <v>5</v>
      </c>
      <c r="U138" s="250">
        <f t="shared" si="31"/>
        <v>-0.11173501144044728</v>
      </c>
      <c r="V138" s="382">
        <f t="shared" si="32"/>
        <v>58.39769213227941</v>
      </c>
      <c r="W138" s="58"/>
      <c r="X138" s="157">
        <f t="shared" si="33"/>
        <v>43589</v>
      </c>
      <c r="Y138" s="384">
        <f t="shared" si="34"/>
        <v>31.356000000000002</v>
      </c>
      <c r="Z138" s="384">
        <f t="shared" si="35"/>
        <v>31.589686402799114</v>
      </c>
      <c r="AA138" s="385">
        <f t="shared" si="36"/>
        <v>32.277342487733151</v>
      </c>
      <c r="AB138" s="196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2.1304606635300819E-2</v>
      </c>
      <c r="AD138" s="230">
        <f>(INDEX(Models!$BJ138:$BT138,,AH138)*(1-AF138)+INDEX(Models!$BJ138:$BT138,,AH138+1)*AF138-ERP_i)*AE138*Ramure*Pc/MaxiM</f>
        <v>3.7307473682258111E-5</v>
      </c>
      <c r="AE138" s="304">
        <f t="shared" si="38"/>
        <v>0.5</v>
      </c>
      <c r="AF138" s="176">
        <f t="shared" si="39"/>
        <v>0.88826498855955272</v>
      </c>
      <c r="AG138" s="175">
        <f t="shared" si="40"/>
        <v>-1</v>
      </c>
      <c r="AH138" s="175">
        <f t="shared" si="41"/>
        <v>5</v>
      </c>
      <c r="AI138" s="224">
        <f t="shared" si="42"/>
        <v>-0.11173501144044728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43590</v>
      </c>
      <c r="B139" s="616">
        <v>44.24</v>
      </c>
      <c r="C139" s="389"/>
      <c r="D139" s="392">
        <f t="shared" si="24"/>
        <v>44.570683013590468</v>
      </c>
      <c r="E139" s="384">
        <f t="shared" si="46"/>
        <v>45.54390717015275</v>
      </c>
      <c r="F139" s="384">
        <f t="shared" si="25"/>
        <v>45.545079595250776</v>
      </c>
      <c r="G139" s="110">
        <f t="shared" si="47"/>
        <v>0.75698694719599746</v>
      </c>
      <c r="H139" s="413" t="b">
        <f>Wh_hp&gt;='2018'!Maxi_hp</f>
        <v>1</v>
      </c>
      <c r="I139" s="389">
        <f>IF(H139,Wh_hp,'2018'!Maxi_hp)</f>
        <v>45.545079595250776</v>
      </c>
      <c r="J139" s="85">
        <f>IF(H139,An,'2018'!An_max)</f>
        <v>2019</v>
      </c>
      <c r="K139" s="196">
        <f t="shared" si="26"/>
        <v>43590</v>
      </c>
      <c r="L139" s="147">
        <f>IF(t&lt;Tvie,1-EXP((T0-t)*PertePVj)+'2018'!Pspv,1-EXP((T0-t)*PertePVj)+Pspv)</f>
        <v>7.4192942811676099E-3</v>
      </c>
      <c r="M139" s="847"/>
      <c r="N139" s="847"/>
      <c r="O139" s="48">
        <f>IF(t&lt;Tnet,'2018'!Resal+('2018'!Salim-'2018'!Resal)*(1-EXP(('2018'!Tnet-t)/('2018'!Tau_j))),Resal+(Salim-Resal)*(1-EXP((Tnet-t)/(Tau_j))))*Salcycl</f>
        <v>2.1368921048567503E-2</v>
      </c>
      <c r="P139" s="168">
        <f>(INDEX(Models!$BJ139:$BT139,,T139)*(1-R139)+INDEX(Models!$BJ139:$BT139,,T139+1)*R139-ERP_i)*Q139*Ramure*Pc/MaxiM</f>
        <v>3.9430114515911145E-5</v>
      </c>
      <c r="Q139" s="304">
        <f t="shared" si="27"/>
        <v>0.5</v>
      </c>
      <c r="R139" s="176">
        <f t="shared" si="28"/>
        <v>0.89010696339949857</v>
      </c>
      <c r="S139" s="814">
        <f t="shared" si="29"/>
        <v>-1</v>
      </c>
      <c r="T139" s="175">
        <f t="shared" si="30"/>
        <v>5</v>
      </c>
      <c r="U139" s="250">
        <f t="shared" si="31"/>
        <v>-0.10989303660050145</v>
      </c>
      <c r="V139" s="382">
        <f t="shared" si="32"/>
        <v>58.441423051809828</v>
      </c>
      <c r="W139" s="58"/>
      <c r="X139" s="157">
        <f t="shared" si="33"/>
        <v>43590</v>
      </c>
      <c r="Y139" s="384">
        <f t="shared" si="34"/>
        <v>44.24</v>
      </c>
      <c r="Z139" s="384">
        <f t="shared" si="35"/>
        <v>44.570683013590468</v>
      </c>
      <c r="AA139" s="385">
        <f t="shared" si="36"/>
        <v>45.54390717015275</v>
      </c>
      <c r="AB139" s="196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2.1368921048567503E-2</v>
      </c>
      <c r="AD139" s="230">
        <f>(INDEX(Models!$BJ139:$BT139,,AH139)*(1-AF139)+INDEX(Models!$BJ139:$BT139,,AH139+1)*AF139-ERP_i)*AE139*Ramure*Pc/MaxiM</f>
        <v>3.9430114515911145E-5</v>
      </c>
      <c r="AE139" s="304">
        <f t="shared" si="38"/>
        <v>0.5</v>
      </c>
      <c r="AF139" s="176">
        <f t="shared" si="39"/>
        <v>0.89010696339949857</v>
      </c>
      <c r="AG139" s="175">
        <f t="shared" si="40"/>
        <v>-1</v>
      </c>
      <c r="AH139" s="175">
        <f t="shared" si="41"/>
        <v>5</v>
      </c>
      <c r="AI139" s="224">
        <f t="shared" si="42"/>
        <v>-0.10989303660050145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43591</v>
      </c>
      <c r="B140" s="616">
        <v>61.08</v>
      </c>
      <c r="C140" s="389"/>
      <c r="D140" s="392">
        <f t="shared" si="24"/>
        <v>61.53790566966979</v>
      </c>
      <c r="E140" s="384">
        <f t="shared" si="46"/>
        <v>62.885767908239906</v>
      </c>
      <c r="F140" s="384">
        <f t="shared" si="25"/>
        <v>62.888390720107274</v>
      </c>
      <c r="G140" s="110">
        <f t="shared" si="47"/>
        <v>1.0444533917430607</v>
      </c>
      <c r="H140" s="413" t="b">
        <f>Wh_hp&gt;='2018'!Maxi_hp</f>
        <v>1</v>
      </c>
      <c r="I140" s="389">
        <f>IF(H140,Wh_hp,'2018'!Maxi_hp)</f>
        <v>62.888390720107274</v>
      </c>
      <c r="J140" s="85">
        <f>IF(H140,An,'2018'!An_max)</f>
        <v>2019</v>
      </c>
      <c r="K140" s="196">
        <f t="shared" si="26"/>
        <v>43591</v>
      </c>
      <c r="L140" s="147">
        <f>IF(t&lt;Tvie,1-EXP((T0-t)*PertePVj)+'2018'!Pspv,1-EXP((T0-t)*PertePVj)+Pspv)</f>
        <v>7.4410343460141748E-3</v>
      </c>
      <c r="M140" s="847"/>
      <c r="N140" s="847"/>
      <c r="O140" s="48">
        <f>IF(t&lt;Tnet,'2018'!Resal+('2018'!Salim-'2018'!Resal)*(1-EXP(('2018'!Tnet-t)/('2018'!Tau_j))),Resal+(Salim-Resal)*(1-EXP((Tnet-t)/(Tau_j))))*Salcycl</f>
        <v>2.1433502100775069E-2</v>
      </c>
      <c r="P140" s="168">
        <f>(INDEX(Models!$BJ140:$BT140,,T140)*(1-R140)+INDEX(Models!$BJ140:$BT140,,T140+1)*R140-ERP_i)*Q140*Ramure*Pc/MaxiM</f>
        <v>4.170581942608268E-5</v>
      </c>
      <c r="Q140" s="304">
        <f t="shared" si="27"/>
        <v>0.5</v>
      </c>
      <c r="R140" s="176">
        <f t="shared" si="28"/>
        <v>0.89199716701630338</v>
      </c>
      <c r="S140" s="814">
        <f t="shared" si="29"/>
        <v>-1</v>
      </c>
      <c r="T140" s="175">
        <f t="shared" si="30"/>
        <v>5</v>
      </c>
      <c r="U140" s="250">
        <f t="shared" si="31"/>
        <v>-0.10800283298369663</v>
      </c>
      <c r="V140" s="382">
        <f t="shared" si="32"/>
        <v>58.480350088255435</v>
      </c>
      <c r="W140" s="58"/>
      <c r="X140" s="157">
        <f t="shared" si="33"/>
        <v>43591</v>
      </c>
      <c r="Y140" s="384">
        <f t="shared" si="34"/>
        <v>61.08</v>
      </c>
      <c r="Z140" s="384">
        <f t="shared" si="35"/>
        <v>61.53790566966979</v>
      </c>
      <c r="AA140" s="385">
        <f t="shared" si="36"/>
        <v>62.885767908239906</v>
      </c>
      <c r="AB140" s="196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2.1433502100775069E-2</v>
      </c>
      <c r="AD140" s="230">
        <f>(INDEX(Models!$BJ140:$BT140,,AH140)*(1-AF140)+INDEX(Models!$BJ140:$BT140,,AH140+1)*AF140-ERP_i)*AE140*Ramure*Pc/MaxiM</f>
        <v>4.170581942608268E-5</v>
      </c>
      <c r="AE140" s="304">
        <f t="shared" si="38"/>
        <v>0.5</v>
      </c>
      <c r="AF140" s="176">
        <f t="shared" si="39"/>
        <v>0.89199716701630338</v>
      </c>
      <c r="AG140" s="175">
        <f t="shared" si="40"/>
        <v>-1</v>
      </c>
      <c r="AH140" s="175">
        <f t="shared" si="41"/>
        <v>5</v>
      </c>
      <c r="AI140" s="224">
        <f t="shared" si="42"/>
        <v>-0.10800283298369663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43592</v>
      </c>
      <c r="B141" s="616">
        <v>46.38</v>
      </c>
      <c r="C141" s="389"/>
      <c r="D141" s="392">
        <f t="shared" si="24"/>
        <v>46.728725917780835</v>
      </c>
      <c r="E141" s="384">
        <f t="shared" si="46"/>
        <v>47.75538768892897</v>
      </c>
      <c r="F141" s="384">
        <f t="shared" si="25"/>
        <v>47.756871160029</v>
      </c>
      <c r="G141" s="110">
        <f t="shared" si="47"/>
        <v>0.79260832956339944</v>
      </c>
      <c r="H141" s="413" t="b">
        <f>Wh_hp&gt;='2018'!Maxi_hp</f>
        <v>1</v>
      </c>
      <c r="I141" s="389">
        <f>IF(H141,Wh_hp,'2018'!Maxi_hp)</f>
        <v>47.756871160029</v>
      </c>
      <c r="J141" s="85">
        <f>IF(H141,An,'2018'!An_max)</f>
        <v>2019</v>
      </c>
      <c r="K141" s="196">
        <f t="shared" si="26"/>
        <v>43592</v>
      </c>
      <c r="L141" s="147">
        <f>IF(t&lt;Tvie,1-EXP((T0-t)*PertePVj)+'2018'!Pspv,1-EXP((T0-t)*PertePVj)+Pspv)</f>
        <v>7.4627739346974087E-3</v>
      </c>
      <c r="M141" s="847"/>
      <c r="N141" s="847"/>
      <c r="O141" s="48">
        <f>IF(t&lt;Tnet,'2018'!Resal+('2018'!Salim-'2018'!Resal)*(1-EXP(('2018'!Tnet-t)/('2018'!Tau_j))),Resal+(Salim-Resal)*(1-EXP((Tnet-t)/(Tau_j))))*Salcycl</f>
        <v>2.1498344392797096E-2</v>
      </c>
      <c r="P141" s="168">
        <f>(INDEX(Models!$BJ141:$BT141,,T141)*(1-R141)+INDEX(Models!$BJ141:$BT141,,T141+1)*R141-ERP_i)*Q141*Ramure*Pc/MaxiM</f>
        <v>4.4139801429343067E-5</v>
      </c>
      <c r="Q141" s="304">
        <f t="shared" si="27"/>
        <v>0.5</v>
      </c>
      <c r="R141" s="176">
        <f t="shared" si="28"/>
        <v>0.8939358596593947</v>
      </c>
      <c r="S141" s="814">
        <f t="shared" si="29"/>
        <v>-1</v>
      </c>
      <c r="T141" s="175">
        <f t="shared" si="30"/>
        <v>5</v>
      </c>
      <c r="U141" s="250">
        <f t="shared" si="31"/>
        <v>-0.10606414034060524</v>
      </c>
      <c r="V141" s="382">
        <f t="shared" si="32"/>
        <v>58.514895375986193</v>
      </c>
      <c r="W141" s="58"/>
      <c r="X141" s="157">
        <f t="shared" si="33"/>
        <v>43592</v>
      </c>
      <c r="Y141" s="384">
        <f t="shared" si="34"/>
        <v>46.38</v>
      </c>
      <c r="Z141" s="384">
        <f t="shared" si="35"/>
        <v>46.728725917780835</v>
      </c>
      <c r="AA141" s="385">
        <f t="shared" si="36"/>
        <v>47.75538768892897</v>
      </c>
      <c r="AB141" s="196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2.1498344392797096E-2</v>
      </c>
      <c r="AD141" s="230">
        <f>(INDEX(Models!$BJ141:$BT141,,AH141)*(1-AF141)+INDEX(Models!$BJ141:$BT141,,AH141+1)*AF141-ERP_i)*AE141*Ramure*Pc/MaxiM</f>
        <v>4.4139801429343067E-5</v>
      </c>
      <c r="AE141" s="304">
        <f t="shared" si="38"/>
        <v>0.5</v>
      </c>
      <c r="AF141" s="176">
        <f t="shared" si="39"/>
        <v>0.8939358596593947</v>
      </c>
      <c r="AG141" s="175">
        <f t="shared" si="40"/>
        <v>-1</v>
      </c>
      <c r="AH141" s="175">
        <f t="shared" si="41"/>
        <v>5</v>
      </c>
      <c r="AI141" s="224">
        <f t="shared" si="42"/>
        <v>-0.10606414034060524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43593</v>
      </c>
      <c r="B142" s="616">
        <v>31.998999999999999</v>
      </c>
      <c r="C142" s="389"/>
      <c r="D142" s="392">
        <f t="shared" si="24"/>
        <v>32.240302968212163</v>
      </c>
      <c r="E142" s="384">
        <f t="shared" si="46"/>
        <v>32.950836409661285</v>
      </c>
      <c r="F142" s="384">
        <f t="shared" si="25"/>
        <v>32.951378839915776</v>
      </c>
      <c r="G142" s="110">
        <f t="shared" si="47"/>
        <v>0.54654997559915608</v>
      </c>
      <c r="H142" s="413" t="b">
        <f>Wh_hp&gt;='2018'!Maxi_hp</f>
        <v>1</v>
      </c>
      <c r="I142" s="389">
        <f>IF(H142,Wh_hp,'2018'!Maxi_hp)</f>
        <v>32.951378839915776</v>
      </c>
      <c r="J142" s="85">
        <f>IF(H142,An,'2018'!An_max)</f>
        <v>2019</v>
      </c>
      <c r="K142" s="196">
        <f t="shared" si="26"/>
        <v>43593</v>
      </c>
      <c r="L142" s="147">
        <f>IF(t&lt;Tvie,1-EXP((T0-t)*PertePVj)+'2018'!Pspv,1-EXP((T0-t)*PertePVj)+Pspv)</f>
        <v>7.4845130472278587E-3</v>
      </c>
      <c r="M142" s="847"/>
      <c r="N142" s="847"/>
      <c r="O142" s="48">
        <f>IF(t&lt;Tnet,'2018'!Resal+('2018'!Salim-'2018'!Resal)*(1-EXP(('2018'!Tnet-t)/('2018'!Tau_j))),Resal+(Salim-Resal)*(1-EXP((Tnet-t)/(Tau_j))))*Salcycl</f>
        <v>2.1563441747439079E-2</v>
      </c>
      <c r="P142" s="168">
        <f>(INDEX(Models!$BJ142:$BT142,,T142)*(1-R142)+INDEX(Models!$BJ142:$BT142,,T142+1)*R142-ERP_i)*Q142*Ramure*Pc/MaxiM</f>
        <v>4.6734138740371747E-5</v>
      </c>
      <c r="Q142" s="304">
        <f t="shared" si="27"/>
        <v>0.5</v>
      </c>
      <c r="R142" s="176">
        <f t="shared" si="28"/>
        <v>0.89592323113827455</v>
      </c>
      <c r="S142" s="814">
        <f t="shared" si="29"/>
        <v>-1</v>
      </c>
      <c r="T142" s="175">
        <f t="shared" si="30"/>
        <v>5</v>
      </c>
      <c r="U142" s="250">
        <f t="shared" si="31"/>
        <v>-0.10407676886172547</v>
      </c>
      <c r="V142" s="382">
        <f t="shared" si="32"/>
        <v>58.545481144533269</v>
      </c>
      <c r="W142" s="58"/>
      <c r="X142" s="157">
        <f t="shared" si="33"/>
        <v>43593</v>
      </c>
      <c r="Y142" s="384">
        <f t="shared" si="34"/>
        <v>31.998999999999999</v>
      </c>
      <c r="Z142" s="384">
        <f t="shared" si="35"/>
        <v>32.240302968212163</v>
      </c>
      <c r="AA142" s="385">
        <f t="shared" si="36"/>
        <v>32.950836409661285</v>
      </c>
      <c r="AB142" s="196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2.1563441747439079E-2</v>
      </c>
      <c r="AD142" s="230">
        <f>(INDEX(Models!$BJ142:$BT142,,AH142)*(1-AF142)+INDEX(Models!$BJ142:$BT142,,AH142+1)*AF142-ERP_i)*AE142*Ramure*Pc/MaxiM</f>
        <v>4.6734138740371747E-5</v>
      </c>
      <c r="AE142" s="304">
        <f t="shared" si="38"/>
        <v>0.5</v>
      </c>
      <c r="AF142" s="176">
        <f t="shared" si="39"/>
        <v>0.89592323113827455</v>
      </c>
      <c r="AG142" s="175">
        <f t="shared" si="40"/>
        <v>-1</v>
      </c>
      <c r="AH142" s="175">
        <f t="shared" si="41"/>
        <v>5</v>
      </c>
      <c r="AI142" s="224">
        <f t="shared" si="42"/>
        <v>-0.10407676886172547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43594</v>
      </c>
      <c r="B143" s="616">
        <v>49.420999999999999</v>
      </c>
      <c r="C143" s="389"/>
      <c r="D143" s="392">
        <f t="shared" ref="D143:D206" si="48">Wh/(1-Ppv)</f>
        <v>49.794772091849723</v>
      </c>
      <c r="E143" s="384">
        <f t="shared" si="46"/>
        <v>50.895581799815226</v>
      </c>
      <c r="F143" s="384">
        <f t="shared" ref="F143:F206" si="49">Wh_sa/(1-Pvg*MEDIAN((-Sdif+Wh/Env_an)/Csdif,0,1))</f>
        <v>50.897535517189496</v>
      </c>
      <c r="G143" s="110">
        <f t="shared" si="47"/>
        <v>0.84374794003035547</v>
      </c>
      <c r="H143" s="413" t="b">
        <f>Wh_hp&gt;='2018'!Maxi_hp</f>
        <v>1</v>
      </c>
      <c r="I143" s="389">
        <f>IF(H143,Wh_hp,'2018'!Maxi_hp)</f>
        <v>50.897535517189496</v>
      </c>
      <c r="J143" s="85">
        <f>IF(H143,An,'2018'!An_max)</f>
        <v>2019</v>
      </c>
      <c r="K143" s="196">
        <f t="shared" ref="K143:K206" si="50">t</f>
        <v>43594</v>
      </c>
      <c r="L143" s="147">
        <f>IF(t&lt;Tvie,1-EXP((T0-t)*PertePVj)+'2018'!Pspv,1-EXP((T0-t)*PertePVj)+Pspv)</f>
        <v>7.506251683615961E-3</v>
      </c>
      <c r="M143" s="847"/>
      <c r="N143" s="847"/>
      <c r="O143" s="48">
        <f>IF(t&lt;Tnet,'2018'!Resal+('2018'!Salim-'2018'!Resal)*(1-EXP(('2018'!Tnet-t)/('2018'!Tau_j))),Resal+(Salim-Resal)*(1-EXP((Tnet-t)/(Tau_j))))*Salcycl</f>
        <v>2.1628787196013591E-2</v>
      </c>
      <c r="P143" s="168">
        <f>(INDEX(Models!$BJ143:$BT143,,T143)*(1-R143)+INDEX(Models!$BJ143:$BT143,,T143+1)*R143-ERP_i)*Q143*Ramure*Pc/MaxiM</f>
        <v>4.9414905220162119E-5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0.89795939666868174</v>
      </c>
      <c r="S143" s="814">
        <f t="shared" ref="S143:S206" si="53">INDEX(Echel_vg,T143)</f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-0.10204060333131823</v>
      </c>
      <c r="V143" s="382">
        <f t="shared" ref="V143:V206" si="56">MaxiM*(1-Ppv)*(1-Pvg)*(1-Psa)</f>
        <v>58.572533976647435</v>
      </c>
      <c r="W143" s="58"/>
      <c r="X143" s="157">
        <f t="shared" ref="X143:X206" si="57">t</f>
        <v>43594</v>
      </c>
      <c r="Y143" s="384">
        <f t="shared" ref="Y143:Y206" si="58">Wh_pvt_s*(1-Ppv)</f>
        <v>49.420999999999999</v>
      </c>
      <c r="Z143" s="384">
        <f t="shared" ref="Z143:Z206" si="59">Wh_sa_s*(1-Psa_s)</f>
        <v>49.794772091849723</v>
      </c>
      <c r="AA143" s="385">
        <f t="shared" ref="AA143:AA206" si="60">Wh_hp*(1-Pvg_s*MEDIAN((-Sdif+Wh/Env_an)/Csdif,0,1))</f>
        <v>50.895581799815226</v>
      </c>
      <c r="AB143" s="196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2.1628787196013591E-2</v>
      </c>
      <c r="AD143" s="230">
        <f>(INDEX(Models!$BJ143:$BT143,,AH143)*(1-AF143)+INDEX(Models!$BJ143:$BT143,,AH143+1)*AF143-ERP_i)*AE143*Ramure*Pc/MaxiM</f>
        <v>4.9414905220162119E-5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0.89795939666868174</v>
      </c>
      <c r="AG143" s="175">
        <f t="shared" ref="AG143:AG206" si="64">INDEX(Echel_vg,AH143)</f>
        <v>-1</v>
      </c>
      <c r="AH143" s="175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-0.10204060333131823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40.341000000000001</v>
      </c>
      <c r="C144" s="389"/>
      <c r="D144" s="392">
        <f t="shared" si="48"/>
        <v>40.646990128874137</v>
      </c>
      <c r="E144" s="384">
        <f t="shared" ref="E144:E169" si="70">Wh_pvt/(1-Psa)</f>
        <v>41.548355652592015</v>
      </c>
      <c r="F144" s="384">
        <f t="shared" si="49"/>
        <v>41.5495588934956</v>
      </c>
      <c r="G144" s="110">
        <f t="shared" ref="G144:G169" si="71">+Wh_hp/MaxiM</f>
        <v>0.68843838173512706</v>
      </c>
      <c r="H144" s="413" t="b">
        <f>Wh_hp&gt;='2018'!Maxi_hp</f>
        <v>1</v>
      </c>
      <c r="I144" s="389">
        <f>IF(H144,Wh_hp,'2018'!Maxi_hp)</f>
        <v>41.5495588934956</v>
      </c>
      <c r="J144" s="85">
        <f>IF(H144,An,'2018'!An_max)</f>
        <v>2019</v>
      </c>
      <c r="K144" s="196">
        <f t="shared" si="50"/>
        <v>43595</v>
      </c>
      <c r="L144" s="147">
        <f>IF(t&lt;Tvie,1-EXP((T0-t)*PertePVj)+'2018'!Pspv,1-EXP((T0-t)*PertePVj)+Pspv)</f>
        <v>7.5279898438721515E-3</v>
      </c>
      <c r="M144" s="847"/>
      <c r="N144" s="847"/>
      <c r="O144" s="48">
        <f>IF(t&lt;Tnet,'2018'!Resal+('2018'!Salim-'2018'!Resal)*(1-EXP(('2018'!Tnet-t)/('2018'!Tau_j))),Resal+(Salim-Resal)*(1-EXP((Tnet-t)/(Tau_j))))*Salcycl</f>
        <v>2.1694372967601343E-2</v>
      </c>
      <c r="P144" s="168">
        <f>(INDEX(Models!$BJ144:$BT144,,T144)*(1-R144)+INDEX(Models!$BJ144:$BT144,,T144+1)*R144-ERP_i)*Q144*Ramure*Pc/MaxiM</f>
        <v>5.2184820733442682E-5</v>
      </c>
      <c r="Q144" s="304">
        <f t="shared" si="51"/>
        <v>0.5</v>
      </c>
      <c r="R144" s="176">
        <f t="shared" si="52"/>
        <v>0.90004439279671267</v>
      </c>
      <c r="S144" s="814">
        <f t="shared" si="53"/>
        <v>-1</v>
      </c>
      <c r="T144" s="175">
        <f t="shared" si="54"/>
        <v>5</v>
      </c>
      <c r="U144" s="250">
        <f t="shared" si="55"/>
        <v>-9.9955607203287292E-2</v>
      </c>
      <c r="V144" s="382">
        <f t="shared" si="56"/>
        <v>58.596475875410754</v>
      </c>
      <c r="W144" s="58"/>
      <c r="X144" s="157">
        <f t="shared" si="57"/>
        <v>43595</v>
      </c>
      <c r="Y144" s="384">
        <f t="shared" si="58"/>
        <v>40.341000000000001</v>
      </c>
      <c r="Z144" s="384">
        <f t="shared" si="59"/>
        <v>40.646990128874137</v>
      </c>
      <c r="AA144" s="385">
        <f t="shared" si="60"/>
        <v>41.548355652592015</v>
      </c>
      <c r="AB144" s="196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2.1694372967601343E-2</v>
      </c>
      <c r="AD144" s="230">
        <f>(INDEX(Models!$BJ144:$BT144,,AH144)*(1-AF144)+INDEX(Models!$BJ144:$BT144,,AH144+1)*AF144-ERP_i)*AE144*Ramure*Pc/MaxiM</f>
        <v>5.2184820733442682E-5</v>
      </c>
      <c r="AE144" s="304">
        <f t="shared" si="62"/>
        <v>0.5</v>
      </c>
      <c r="AF144" s="176">
        <f t="shared" si="63"/>
        <v>0.90004439279671267</v>
      </c>
      <c r="AG144" s="175">
        <f t="shared" si="64"/>
        <v>-1</v>
      </c>
      <c r="AH144" s="175">
        <f t="shared" si="65"/>
        <v>5</v>
      </c>
      <c r="AI144" s="224">
        <f t="shared" si="66"/>
        <v>-9.9955607203287292E-2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43596</v>
      </c>
      <c r="B145" s="616">
        <v>37.866999999999997</v>
      </c>
      <c r="C145" s="389"/>
      <c r="D145" s="392">
        <f t="shared" si="48"/>
        <v>38.155060309148737</v>
      </c>
      <c r="E145" s="384">
        <f t="shared" si="70"/>
        <v>39.003790213690031</v>
      </c>
      <c r="F145" s="384">
        <f t="shared" si="49"/>
        <v>39.004851483109995</v>
      </c>
      <c r="G145" s="110">
        <f t="shared" si="71"/>
        <v>0.64598111597786145</v>
      </c>
      <c r="H145" s="413" t="b">
        <f>Wh_hp&gt;='2018'!Maxi_hp</f>
        <v>1</v>
      </c>
      <c r="I145" s="389">
        <f>IF(H145,Wh_hp,'2018'!Maxi_hp)</f>
        <v>39.004851483109995</v>
      </c>
      <c r="J145" s="85">
        <f>IF(H145,An,'2018'!An_max)</f>
        <v>2019</v>
      </c>
      <c r="K145" s="196">
        <f t="shared" si="50"/>
        <v>43596</v>
      </c>
      <c r="L145" s="147">
        <f>IF(t&lt;Tvie,1-EXP((T0-t)*PertePVj)+'2018'!Pspv,1-EXP((T0-t)*PertePVj)+Pspv)</f>
        <v>7.5497275280068665E-3</v>
      </c>
      <c r="M145" s="847"/>
      <c r="N145" s="847"/>
      <c r="O145" s="48">
        <f>IF(t&lt;Tnet,'2018'!Resal+('2018'!Salim-'2018'!Resal)*(1-EXP(('2018'!Tnet-t)/('2018'!Tau_j))),Resal+(Salim-Resal)*(1-EXP((Tnet-t)/(Tau_j))))*Salcycl</f>
        <v>2.1760190481267486E-2</v>
      </c>
      <c r="P145" s="168">
        <f>(INDEX(Models!$BJ145:$BT145,,T145)*(1-R145)+INDEX(Models!$BJ145:$BT145,,T145+1)*R145-ERP_i)*Q145*Ramure*Pc/MaxiM</f>
        <v>5.5046548472094755E-5</v>
      </c>
      <c r="Q145" s="304">
        <f t="shared" si="51"/>
        <v>0.5</v>
      </c>
      <c r="R145" s="176">
        <f t="shared" si="52"/>
        <v>0.90217817343173123</v>
      </c>
      <c r="S145" s="814">
        <f t="shared" si="53"/>
        <v>-1</v>
      </c>
      <c r="T145" s="175">
        <f t="shared" si="54"/>
        <v>5</v>
      </c>
      <c r="U145" s="250">
        <f t="shared" si="55"/>
        <v>-9.7821826568268738E-2</v>
      </c>
      <c r="V145" s="382">
        <f t="shared" si="56"/>
        <v>58.617728749487938</v>
      </c>
      <c r="W145" s="58"/>
      <c r="X145" s="157">
        <f t="shared" si="57"/>
        <v>43596</v>
      </c>
      <c r="Y145" s="384">
        <f t="shared" si="58"/>
        <v>37.866999999999997</v>
      </c>
      <c r="Z145" s="384">
        <f t="shared" si="59"/>
        <v>38.155060309148737</v>
      </c>
      <c r="AA145" s="385">
        <f t="shared" si="60"/>
        <v>39.003790213690031</v>
      </c>
      <c r="AB145" s="196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2.1760190481267486E-2</v>
      </c>
      <c r="AD145" s="230">
        <f>(INDEX(Models!$BJ145:$BT145,,AH145)*(1-AF145)+INDEX(Models!$BJ145:$BT145,,AH145+1)*AF145-ERP_i)*AE145*Ramure*Pc/MaxiM</f>
        <v>5.5046548472094755E-5</v>
      </c>
      <c r="AE145" s="304">
        <f t="shared" si="62"/>
        <v>0.5</v>
      </c>
      <c r="AF145" s="176">
        <f t="shared" si="63"/>
        <v>0.90217817343173123</v>
      </c>
      <c r="AG145" s="175">
        <f t="shared" si="64"/>
        <v>-1</v>
      </c>
      <c r="AH145" s="175">
        <f t="shared" si="65"/>
        <v>5</v>
      </c>
      <c r="AI145" s="224">
        <f t="shared" si="66"/>
        <v>-9.7821826568268738E-2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43597</v>
      </c>
      <c r="B146" s="616">
        <v>53.878999999999998</v>
      </c>
      <c r="C146" s="389"/>
      <c r="D146" s="392">
        <f t="shared" si="48"/>
        <v>54.290055238757397</v>
      </c>
      <c r="E146" s="384">
        <f t="shared" si="70"/>
        <v>55.501442507204743</v>
      </c>
      <c r="F146" s="384">
        <f t="shared" si="49"/>
        <v>55.50428873596136</v>
      </c>
      <c r="G146" s="110">
        <f t="shared" si="71"/>
        <v>0.91885499181641295</v>
      </c>
      <c r="H146" s="413" t="b">
        <f>Wh_hp&gt;='2018'!Maxi_hp</f>
        <v>1</v>
      </c>
      <c r="I146" s="389">
        <f>IF(H146,Wh_hp,'2018'!Maxi_hp)</f>
        <v>55.50428873596136</v>
      </c>
      <c r="J146" s="85">
        <f>IF(H146,An,'2018'!An_max)</f>
        <v>2019</v>
      </c>
      <c r="K146" s="196">
        <f t="shared" si="50"/>
        <v>43597</v>
      </c>
      <c r="L146" s="147">
        <f>IF(t&lt;Tvie,1-EXP((T0-t)*PertePVj)+'2018'!Pspv,1-EXP((T0-t)*PertePVj)+Pspv)</f>
        <v>7.571464736030431E-3</v>
      </c>
      <c r="M146" s="847"/>
      <c r="N146" s="847"/>
      <c r="O146" s="48">
        <f>IF(t&lt;Tnet,'2018'!Resal+('2018'!Salim-'2018'!Resal)*(1-EXP(('2018'!Tnet-t)/('2018'!Tau_j))),Resal+(Salim-Resal)*(1-EXP((Tnet-t)/(Tau_j))))*Salcycl</f>
        <v>2.1826230341492371E-2</v>
      </c>
      <c r="P146" s="168">
        <f>(INDEX(Models!$BJ146:$BT146,,T146)*(1-R146)+INDEX(Models!$BJ146:$BT146,,T146+1)*R146-ERP_i)*Q146*Ramure*Pc/MaxiM</f>
        <v>5.8002680805410112E-5</v>
      </c>
      <c r="Q146" s="304">
        <f t="shared" si="51"/>
        <v>0.5</v>
      </c>
      <c r="R146" s="176">
        <f t="shared" si="52"/>
        <v>0.90436060602042856</v>
      </c>
      <c r="S146" s="814">
        <f t="shared" si="53"/>
        <v>-1</v>
      </c>
      <c r="T146" s="175">
        <f t="shared" si="54"/>
        <v>5</v>
      </c>
      <c r="U146" s="250">
        <f t="shared" si="55"/>
        <v>-9.5639393979571483E-2</v>
      </c>
      <c r="V146" s="382">
        <f t="shared" si="56"/>
        <v>58.636714410550091</v>
      </c>
      <c r="W146" s="58"/>
      <c r="X146" s="157">
        <f t="shared" si="57"/>
        <v>43597</v>
      </c>
      <c r="Y146" s="384">
        <f t="shared" si="58"/>
        <v>53.878999999999998</v>
      </c>
      <c r="Z146" s="384">
        <f t="shared" si="59"/>
        <v>54.290055238757397</v>
      </c>
      <c r="AA146" s="385">
        <f t="shared" si="60"/>
        <v>55.501442507204743</v>
      </c>
      <c r="AB146" s="196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2.1826230341492371E-2</v>
      </c>
      <c r="AD146" s="230">
        <f>(INDEX(Models!$BJ146:$BT146,,AH146)*(1-AF146)+INDEX(Models!$BJ146:$BT146,,AH146+1)*AF146-ERP_i)*AE146*Ramure*Pc/MaxiM</f>
        <v>5.8002680805410112E-5</v>
      </c>
      <c r="AE146" s="304">
        <f t="shared" si="62"/>
        <v>0.5</v>
      </c>
      <c r="AF146" s="176">
        <f t="shared" si="63"/>
        <v>0.90436060602042856</v>
      </c>
      <c r="AG146" s="175">
        <f t="shared" si="64"/>
        <v>-1</v>
      </c>
      <c r="AH146" s="175">
        <f t="shared" si="65"/>
        <v>5</v>
      </c>
      <c r="AI146" s="224">
        <f t="shared" si="66"/>
        <v>-9.5639393979571483E-2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43598</v>
      </c>
      <c r="B147" s="616">
        <v>60.631</v>
      </c>
      <c r="C147" s="389"/>
      <c r="D147" s="392">
        <f t="shared" si="48"/>
        <v>61.094905929387501</v>
      </c>
      <c r="E147" s="384">
        <f t="shared" si="70"/>
        <v>62.462362088133098</v>
      </c>
      <c r="F147" s="384">
        <f t="shared" si="49"/>
        <v>62.466176005743364</v>
      </c>
      <c r="G147" s="110">
        <f t="shared" si="71"/>
        <v>1.0337087040644222</v>
      </c>
      <c r="H147" s="413" t="b">
        <f>Wh_hp&gt;='2018'!Maxi_hp</f>
        <v>1</v>
      </c>
      <c r="I147" s="389">
        <f>IF(H147,Wh_hp,'2018'!Maxi_hp)</f>
        <v>62.466176005743364</v>
      </c>
      <c r="J147" s="85">
        <f>IF(H147,An,'2018'!An_max)</f>
        <v>2019</v>
      </c>
      <c r="K147" s="196">
        <f t="shared" si="50"/>
        <v>43598</v>
      </c>
      <c r="L147" s="147">
        <f>IF(t&lt;Tvie,1-EXP((T0-t)*PertePVj)+'2018'!Pspv,1-EXP((T0-t)*PertePVj)+Pspv)</f>
        <v>7.5932014679533921E-3</v>
      </c>
      <c r="M147" s="847"/>
      <c r="N147" s="847"/>
      <c r="O147" s="48">
        <f>IF(t&lt;Tnet,'2018'!Resal+('2018'!Salim-'2018'!Resal)*(1-EXP(('2018'!Tnet-t)/('2018'!Tau_j))),Resal+(Salim-Resal)*(1-EXP((Tnet-t)/(Tau_j))))*Salcycl</f>
        <v>2.1892482337061585E-2</v>
      </c>
      <c r="P147" s="168">
        <f>(INDEX(Models!$BJ147:$BT147,,T147)*(1-R147)+INDEX(Models!$BJ147:$BT147,,T147+1)*R147-ERP_i)*Q147*Ramure*Pc/MaxiM</f>
        <v>6.1055724139608958E-5</v>
      </c>
      <c r="Q147" s="304">
        <f t="shared" si="51"/>
        <v>0.5</v>
      </c>
      <c r="R147" s="176">
        <f t="shared" si="52"/>
        <v>0.90659146789569978</v>
      </c>
      <c r="S147" s="814">
        <f t="shared" si="53"/>
        <v>-1</v>
      </c>
      <c r="T147" s="175">
        <f t="shared" si="54"/>
        <v>5</v>
      </c>
      <c r="U147" s="250">
        <f t="shared" si="55"/>
        <v>-9.3408532104300224E-2</v>
      </c>
      <c r="V147" s="382">
        <f t="shared" si="56"/>
        <v>58.653854573929756</v>
      </c>
      <c r="W147" s="58"/>
      <c r="X147" s="157">
        <f t="shared" si="57"/>
        <v>43598</v>
      </c>
      <c r="Y147" s="384">
        <f t="shared" si="58"/>
        <v>60.631</v>
      </c>
      <c r="Z147" s="384">
        <f t="shared" si="59"/>
        <v>61.094905929387501</v>
      </c>
      <c r="AA147" s="385">
        <f t="shared" si="60"/>
        <v>62.462362088133098</v>
      </c>
      <c r="AB147" s="196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2.1892482337061585E-2</v>
      </c>
      <c r="AD147" s="230">
        <f>(INDEX(Models!$BJ147:$BT147,,AH147)*(1-AF147)+INDEX(Models!$BJ147:$BT147,,AH147+1)*AF147-ERP_i)*AE147*Ramure*Pc/MaxiM</f>
        <v>6.1055724139608958E-5</v>
      </c>
      <c r="AE147" s="304">
        <f t="shared" si="62"/>
        <v>0.5</v>
      </c>
      <c r="AF147" s="176">
        <f t="shared" si="63"/>
        <v>0.90659146789569978</v>
      </c>
      <c r="AG147" s="175">
        <f t="shared" si="64"/>
        <v>-1</v>
      </c>
      <c r="AH147" s="175">
        <f t="shared" si="65"/>
        <v>5</v>
      </c>
      <c r="AI147" s="224">
        <f t="shared" si="66"/>
        <v>-9.3408532104300224E-2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43599</v>
      </c>
      <c r="B148" s="616">
        <v>59.686999999999998</v>
      </c>
      <c r="C148" s="389"/>
      <c r="D148" s="392">
        <f t="shared" si="48"/>
        <v>60.145000432692044</v>
      </c>
      <c r="E148" s="384">
        <f t="shared" si="70"/>
        <v>61.495373366530409</v>
      </c>
      <c r="F148" s="384">
        <f t="shared" si="49"/>
        <v>61.499322120098213</v>
      </c>
      <c r="G148" s="110">
        <f t="shared" si="71"/>
        <v>1.0173416836702862</v>
      </c>
      <c r="H148" s="413" t="b">
        <f>Wh_hp&gt;='2018'!Maxi_hp</f>
        <v>1</v>
      </c>
      <c r="I148" s="389">
        <f>IF(H148,Wh_hp,'2018'!Maxi_hp)</f>
        <v>61.499322120098213</v>
      </c>
      <c r="J148" s="85">
        <f>IF(H148,An,'2018'!An_max)</f>
        <v>2019</v>
      </c>
      <c r="K148" s="196">
        <f t="shared" si="50"/>
        <v>43599</v>
      </c>
      <c r="L148" s="147">
        <f>IF(t&lt;Tvie,1-EXP((T0-t)*PertePVj)+'2018'!Pspv,1-EXP((T0-t)*PertePVj)+Pspv)</f>
        <v>7.6149377237861859E-3</v>
      </c>
      <c r="M148" s="847"/>
      <c r="N148" s="847"/>
      <c r="O148" s="48">
        <f>IF(t&lt;Tnet,'2018'!Resal+('2018'!Salim-'2018'!Resal)*(1-EXP(('2018'!Tnet-t)/('2018'!Tau_j))),Resal+(Salim-Resal)*(1-EXP((Tnet-t)/(Tau_j))))*Salcycl</f>
        <v>2.1958935443643048E-2</v>
      </c>
      <c r="P148" s="168">
        <f>(INDEX(Models!$BJ148:$BT148,,T148)*(1-R148)+INDEX(Models!$BJ148:$BT148,,T148+1)*R148-ERP_i)*Q148*Ramure*Pc/MaxiM</f>
        <v>6.4208082815841864E-5</v>
      </c>
      <c r="Q148" s="304">
        <f t="shared" si="51"/>
        <v>0.5</v>
      </c>
      <c r="R148" s="176">
        <f t="shared" si="52"/>
        <v>0.90887044283506124</v>
      </c>
      <c r="S148" s="814">
        <f t="shared" si="53"/>
        <v>-1</v>
      </c>
      <c r="T148" s="175">
        <f t="shared" si="54"/>
        <v>5</v>
      </c>
      <c r="U148" s="250">
        <f t="shared" si="55"/>
        <v>-9.1129557164938799E-2</v>
      </c>
      <c r="V148" s="382">
        <f t="shared" si="56"/>
        <v>58.669570861056123</v>
      </c>
      <c r="W148" s="58"/>
      <c r="X148" s="157">
        <f t="shared" si="57"/>
        <v>43599</v>
      </c>
      <c r="Y148" s="384">
        <f t="shared" si="58"/>
        <v>59.686999999999998</v>
      </c>
      <c r="Z148" s="384">
        <f t="shared" si="59"/>
        <v>60.145000432692044</v>
      </c>
      <c r="AA148" s="385">
        <f t="shared" si="60"/>
        <v>61.495373366530409</v>
      </c>
      <c r="AB148" s="196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2.1958935443643048E-2</v>
      </c>
      <c r="AD148" s="230">
        <f>(INDEX(Models!$BJ148:$BT148,,AH148)*(1-AF148)+INDEX(Models!$BJ148:$BT148,,AH148+1)*AF148-ERP_i)*AE148*Ramure*Pc/MaxiM</f>
        <v>6.4208082815841864E-5</v>
      </c>
      <c r="AE148" s="304">
        <f t="shared" si="62"/>
        <v>0.5</v>
      </c>
      <c r="AF148" s="176">
        <f t="shared" si="63"/>
        <v>0.90887044283506124</v>
      </c>
      <c r="AG148" s="175">
        <f t="shared" si="64"/>
        <v>-1</v>
      </c>
      <c r="AH148" s="175">
        <f t="shared" si="65"/>
        <v>5</v>
      </c>
      <c r="AI148" s="224">
        <f t="shared" si="66"/>
        <v>-9.1129557164938799E-2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43600</v>
      </c>
      <c r="B149" s="616">
        <v>60.054000000000002</v>
      </c>
      <c r="C149" s="389"/>
      <c r="D149" s="392">
        <f t="shared" si="48"/>
        <v>60.516142018287468</v>
      </c>
      <c r="E149" s="384">
        <f t="shared" si="70"/>
        <v>61.879064162052302</v>
      </c>
      <c r="F149" s="384">
        <f t="shared" si="49"/>
        <v>61.883239006526935</v>
      </c>
      <c r="G149" s="110">
        <f t="shared" si="71"/>
        <v>1.0233587454437119</v>
      </c>
      <c r="H149" s="413" t="b">
        <f>Wh_hp&gt;='2018'!Maxi_hp</f>
        <v>1</v>
      </c>
      <c r="I149" s="389">
        <f>IF(H149,Wh_hp,'2018'!Maxi_hp)</f>
        <v>61.883239006526935</v>
      </c>
      <c r="J149" s="85">
        <f>IF(H149,An,'2018'!An_max)</f>
        <v>2019</v>
      </c>
      <c r="K149" s="196">
        <f t="shared" si="50"/>
        <v>43600</v>
      </c>
      <c r="L149" s="147">
        <f>IF(t&lt;Tvie,1-EXP((T0-t)*PertePVj)+'2018'!Pspv,1-EXP((T0-t)*PertePVj)+Pspv)</f>
        <v>7.6366735035391375E-3</v>
      </c>
      <c r="M149" s="847"/>
      <c r="N149" s="847"/>
      <c r="O149" s="48">
        <f>IF(t&lt;Tnet,'2018'!Resal+('2018'!Salim-'2018'!Resal)*(1-EXP(('2018'!Tnet-t)/('2018'!Tau_j))),Resal+(Salim-Resal)*(1-EXP((Tnet-t)/(Tau_j))))*Salcycl</f>
        <v>2.2025577830258363E-2</v>
      </c>
      <c r="P149" s="168">
        <f>(INDEX(Models!$BJ149:$BT149,,T149)*(1-R149)+INDEX(Models!$BJ149:$BT149,,T149+1)*R149-ERP_i)*Q149*Ramure*Pc/MaxiM</f>
        <v>6.7463250819753125E-5</v>
      </c>
      <c r="Q149" s="304">
        <f t="shared" si="51"/>
        <v>0.5</v>
      </c>
      <c r="R149" s="176">
        <f t="shared" si="52"/>
        <v>0.91119711786408497</v>
      </c>
      <c r="S149" s="814">
        <f t="shared" si="53"/>
        <v>-1</v>
      </c>
      <c r="T149" s="175">
        <f t="shared" si="54"/>
        <v>5</v>
      </c>
      <c r="U149" s="250">
        <f t="shared" si="55"/>
        <v>-8.8802882135915029E-2</v>
      </c>
      <c r="V149" s="382">
        <f t="shared" si="56"/>
        <v>58.683233291724648</v>
      </c>
      <c r="W149" s="58"/>
      <c r="X149" s="157">
        <f t="shared" si="57"/>
        <v>43600</v>
      </c>
      <c r="Y149" s="384">
        <f t="shared" si="58"/>
        <v>60.054000000000002</v>
      </c>
      <c r="Z149" s="384">
        <f t="shared" si="59"/>
        <v>60.516142018287468</v>
      </c>
      <c r="AA149" s="385">
        <f t="shared" si="60"/>
        <v>61.879064162052302</v>
      </c>
      <c r="AB149" s="196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2.2025577830258363E-2</v>
      </c>
      <c r="AD149" s="230">
        <f>(INDEX(Models!$BJ149:$BT149,,AH149)*(1-AF149)+INDEX(Models!$BJ149:$BT149,,AH149+1)*AF149-ERP_i)*AE149*Ramure*Pc/MaxiM</f>
        <v>6.7463250819753125E-5</v>
      </c>
      <c r="AE149" s="304">
        <f t="shared" si="62"/>
        <v>0.5</v>
      </c>
      <c r="AF149" s="176">
        <f t="shared" si="63"/>
        <v>0.91119711786408497</v>
      </c>
      <c r="AG149" s="175">
        <f t="shared" si="64"/>
        <v>-1</v>
      </c>
      <c r="AH149" s="175">
        <f t="shared" si="65"/>
        <v>5</v>
      </c>
      <c r="AI149" s="224">
        <f t="shared" si="66"/>
        <v>-8.8802882135915029E-2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43601</v>
      </c>
      <c r="B150" s="616">
        <v>51.271000000000001</v>
      </c>
      <c r="C150" s="389"/>
      <c r="D150" s="392">
        <f t="shared" si="48"/>
        <v>51.666684592321843</v>
      </c>
      <c r="E150" s="384">
        <f t="shared" si="70"/>
        <v>52.833912352192399</v>
      </c>
      <c r="F150" s="384">
        <f t="shared" si="49"/>
        <v>52.836978218882514</v>
      </c>
      <c r="G150" s="110">
        <f t="shared" si="71"/>
        <v>0.87352034726952565</v>
      </c>
      <c r="H150" s="413" t="b">
        <f>Wh_hp&gt;='2018'!Maxi_hp</f>
        <v>1</v>
      </c>
      <c r="I150" s="389">
        <f>IF(H150,Wh_hp,'2018'!Maxi_hp)</f>
        <v>52.836978218882514</v>
      </c>
      <c r="J150" s="85">
        <f>IF(H150,An,'2018'!An_max)</f>
        <v>2019</v>
      </c>
      <c r="K150" s="196">
        <f t="shared" si="50"/>
        <v>43601</v>
      </c>
      <c r="L150" s="147">
        <f>IF(t&lt;Tvie,1-EXP((T0-t)*PertePVj)+'2018'!Pspv,1-EXP((T0-t)*PertePVj)+Pspv)</f>
        <v>7.658408807222794E-3</v>
      </c>
      <c r="M150" s="847"/>
      <c r="N150" s="847"/>
      <c r="O150" s="48">
        <f>IF(t&lt;Tnet,'2018'!Resal+('2018'!Salim-'2018'!Resal)*(1-EXP(('2018'!Tnet-t)/('2018'!Tau_j))),Resal+(Salim-Resal)*(1-EXP((Tnet-t)/(Tau_j))))*Salcycl</f>
        <v>2.2092396869832141E-2</v>
      </c>
      <c r="P150" s="168">
        <f>(INDEX(Models!$BJ150:$BT150,,T150)*(1-R150)+INDEX(Models!$BJ150:$BT150,,T150+1)*R150-ERP_i)*Q150*Ramure*Pc/MaxiM</f>
        <v>7.0820019264749954E-5</v>
      </c>
      <c r="Q150" s="304">
        <f t="shared" si="51"/>
        <v>0.5</v>
      </c>
      <c r="R150" s="176">
        <f t="shared" si="52"/>
        <v>0.91357098034076067</v>
      </c>
      <c r="S150" s="814">
        <f t="shared" si="53"/>
        <v>-1</v>
      </c>
      <c r="T150" s="175">
        <f t="shared" si="54"/>
        <v>5</v>
      </c>
      <c r="U150" s="250">
        <f t="shared" si="55"/>
        <v>-8.6429019659239353E-2</v>
      </c>
      <c r="V150" s="382">
        <f t="shared" si="56"/>
        <v>58.69393209873207</v>
      </c>
      <c r="W150" s="58"/>
      <c r="X150" s="157">
        <f t="shared" si="57"/>
        <v>43601</v>
      </c>
      <c r="Y150" s="384">
        <f t="shared" si="58"/>
        <v>51.271000000000001</v>
      </c>
      <c r="Z150" s="384">
        <f t="shared" si="59"/>
        <v>51.666684592321843</v>
      </c>
      <c r="AA150" s="385">
        <f t="shared" si="60"/>
        <v>52.833912352192399</v>
      </c>
      <c r="AB150" s="196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2.2092396869832141E-2</v>
      </c>
      <c r="AD150" s="230">
        <f>(INDEX(Models!$BJ150:$BT150,,AH150)*(1-AF150)+INDEX(Models!$BJ150:$BT150,,AH150+1)*AF150-ERP_i)*AE150*Ramure*Pc/MaxiM</f>
        <v>7.0820019264749954E-5</v>
      </c>
      <c r="AE150" s="304">
        <f t="shared" si="62"/>
        <v>0.5</v>
      </c>
      <c r="AF150" s="176">
        <f t="shared" si="63"/>
        <v>0.91357098034076067</v>
      </c>
      <c r="AG150" s="175">
        <f t="shared" si="64"/>
        <v>-1</v>
      </c>
      <c r="AH150" s="175">
        <f t="shared" si="65"/>
        <v>5</v>
      </c>
      <c r="AI150" s="224">
        <f t="shared" si="66"/>
        <v>-8.6429019659239353E-2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43602</v>
      </c>
      <c r="B151" s="616">
        <v>6.5220000000000002</v>
      </c>
      <c r="C151" s="389"/>
      <c r="D151" s="392">
        <f t="shared" si="48"/>
        <v>6.5724775717881467</v>
      </c>
      <c r="E151" s="384">
        <f t="shared" si="70"/>
        <v>6.7214200675174078</v>
      </c>
      <c r="F151" s="384">
        <f t="shared" si="49"/>
        <v>6.7214200675174078</v>
      </c>
      <c r="G151" s="110">
        <f t="shared" si="71"/>
        <v>0.11109591393787001</v>
      </c>
      <c r="H151" s="413" t="b">
        <f>Wh_hp&gt;='2018'!Maxi_hp</f>
        <v>1</v>
      </c>
      <c r="I151" s="389">
        <f>IF(H151,Wh_hp,'2018'!Maxi_hp)</f>
        <v>6.7214200675174078</v>
      </c>
      <c r="J151" s="85">
        <f>IF(H151,An,'2018'!An_max)</f>
        <v>2019</v>
      </c>
      <c r="K151" s="196">
        <f t="shared" si="50"/>
        <v>43602</v>
      </c>
      <c r="L151" s="147">
        <f>IF(t&lt;Tvie,1-EXP((T0-t)*PertePVj)+'2018'!Pspv,1-EXP((T0-t)*PertePVj)+Pspv)</f>
        <v>7.6801436348474805E-3</v>
      </c>
      <c r="M151" s="847"/>
      <c r="N151" s="847"/>
      <c r="O151" s="48">
        <f>IF(t&lt;Tnet,'2018'!Resal+('2018'!Salim-'2018'!Resal)*(1-EXP(('2018'!Tnet-t)/('2018'!Tau_j))),Resal+(Salim-Resal)*(1-EXP((Tnet-t)/(Tau_j))))*Salcycl</f>
        <v>2.2159379153976089E-2</v>
      </c>
      <c r="P151" s="168">
        <f>(INDEX(Models!$BJ151:$BT151,,T151)*(1-R151)+INDEX(Models!$BJ151:$BT151,,T151+1)*R151-ERP_i)*Q151*Ramure*Pc/MaxiM</f>
        <v>7.4253843557136519E-5</v>
      </c>
      <c r="Q151" s="304">
        <f t="shared" si="51"/>
        <v>0.5</v>
      </c>
      <c r="R151" s="176">
        <f t="shared" si="52"/>
        <v>0.91599141535674489</v>
      </c>
      <c r="S151" s="814">
        <f t="shared" si="53"/>
        <v>-1</v>
      </c>
      <c r="T151" s="175">
        <f t="shared" si="54"/>
        <v>5</v>
      </c>
      <c r="U151" s="250">
        <f t="shared" si="55"/>
        <v>-8.4008584643255071E-2</v>
      </c>
      <c r="V151" s="382">
        <f t="shared" si="56"/>
        <v>58.70167034297458</v>
      </c>
      <c r="W151" s="58"/>
      <c r="X151" s="157">
        <f t="shared" si="57"/>
        <v>43602</v>
      </c>
      <c r="Y151" s="384">
        <f t="shared" si="58"/>
        <v>6.5220000000000002</v>
      </c>
      <c r="Z151" s="384">
        <f t="shared" si="59"/>
        <v>6.5724775717881467</v>
      </c>
      <c r="AA151" s="385">
        <f t="shared" si="60"/>
        <v>6.7214200675174078</v>
      </c>
      <c r="AB151" s="196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2.2159379153976089E-2</v>
      </c>
      <c r="AD151" s="230">
        <f>(INDEX(Models!$BJ151:$BT151,,AH151)*(1-AF151)+INDEX(Models!$BJ151:$BT151,,AH151+1)*AF151-ERP_i)*AE151*Ramure*Pc/MaxiM</f>
        <v>7.4253843557136519E-5</v>
      </c>
      <c r="AE151" s="304">
        <f t="shared" si="62"/>
        <v>0.5</v>
      </c>
      <c r="AF151" s="176">
        <f t="shared" si="63"/>
        <v>0.91599141535674489</v>
      </c>
      <c r="AG151" s="175">
        <f t="shared" si="64"/>
        <v>-1</v>
      </c>
      <c r="AH151" s="175">
        <f t="shared" si="65"/>
        <v>5</v>
      </c>
      <c r="AI151" s="224">
        <f t="shared" si="66"/>
        <v>-8.4008584643255071E-2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43603</v>
      </c>
      <c r="B152" s="616">
        <v>37.152999999999999</v>
      </c>
      <c r="C152" s="389"/>
      <c r="D152" s="392">
        <f t="shared" si="48"/>
        <v>37.441368854562519</v>
      </c>
      <c r="E152" s="384">
        <f t="shared" si="70"/>
        <v>38.292476997073706</v>
      </c>
      <c r="F152" s="384">
        <f t="shared" si="49"/>
        <v>38.293893069775258</v>
      </c>
      <c r="G152" s="110">
        <f t="shared" si="71"/>
        <v>0.63283480482537002</v>
      </c>
      <c r="H152" s="413" t="b">
        <f>Wh_hp&gt;='2018'!Maxi_hp</f>
        <v>1</v>
      </c>
      <c r="I152" s="389">
        <f>IF(H152,Wh_hp,'2018'!Maxi_hp)</f>
        <v>38.293893069775258</v>
      </c>
      <c r="J152" s="85">
        <f>IF(H152,An,'2018'!An_max)</f>
        <v>2019</v>
      </c>
      <c r="K152" s="196">
        <f t="shared" si="50"/>
        <v>43603</v>
      </c>
      <c r="L152" s="147">
        <f>IF(t&lt;Tvie,1-EXP((T0-t)*PertePVj)+'2018'!Pspv,1-EXP((T0-t)*PertePVj)+Pspv)</f>
        <v>7.7018779864236331E-3</v>
      </c>
      <c r="M152" s="847"/>
      <c r="N152" s="847"/>
      <c r="O152" s="48">
        <f>IF(t&lt;Tnet,'2018'!Resal+('2018'!Salim-'2018'!Resal)*(1-EXP(('2018'!Tnet-t)/('2018'!Tau_j))),Resal+(Salim-Resal)*(1-EXP((Tnet-t)/(Tau_j))))*Salcycl</f>
        <v>2.2226510512135991E-2</v>
      </c>
      <c r="P152" s="168">
        <f>(INDEX(Models!$BJ152:$BT152,,T152)*(1-R152)+INDEX(Models!$BJ152:$BT152,,T152+1)*R152-ERP_i)*Q152*Ramure*Pc/MaxiM</f>
        <v>7.7766339100933369E-5</v>
      </c>
      <c r="Q152" s="304">
        <f t="shared" si="51"/>
        <v>0.5</v>
      </c>
      <c r="R152" s="176">
        <f t="shared" si="52"/>
        <v>0.91845770349111922</v>
      </c>
      <c r="S152" s="814">
        <f t="shared" si="53"/>
        <v>-1</v>
      </c>
      <c r="T152" s="175">
        <f t="shared" si="54"/>
        <v>5</v>
      </c>
      <c r="U152" s="250">
        <f t="shared" si="55"/>
        <v>-8.1542296508880813E-2</v>
      </c>
      <c r="V152" s="382">
        <f t="shared" si="56"/>
        <v>58.706449600142783</v>
      </c>
      <c r="W152" s="58"/>
      <c r="X152" s="157">
        <f t="shared" si="57"/>
        <v>43603</v>
      </c>
      <c r="Y152" s="384">
        <f t="shared" si="58"/>
        <v>37.152999999999999</v>
      </c>
      <c r="Z152" s="384">
        <f t="shared" si="59"/>
        <v>37.441368854562519</v>
      </c>
      <c r="AA152" s="385">
        <f t="shared" si="60"/>
        <v>38.292476997073706</v>
      </c>
      <c r="AB152" s="196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2.2226510512135991E-2</v>
      </c>
      <c r="AD152" s="230">
        <f>(INDEX(Models!$BJ152:$BT152,,AH152)*(1-AF152)+INDEX(Models!$BJ152:$BT152,,AH152+1)*AF152-ERP_i)*AE152*Ramure*Pc/MaxiM</f>
        <v>7.7766339100933369E-5</v>
      </c>
      <c r="AE152" s="304">
        <f t="shared" si="62"/>
        <v>0.5</v>
      </c>
      <c r="AF152" s="176">
        <f t="shared" si="63"/>
        <v>0.91845770349111922</v>
      </c>
      <c r="AG152" s="175">
        <f t="shared" si="64"/>
        <v>-1</v>
      </c>
      <c r="AH152" s="175">
        <f t="shared" si="65"/>
        <v>5</v>
      </c>
      <c r="AI152" s="224">
        <f t="shared" si="66"/>
        <v>-8.1542296508880813E-2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43604</v>
      </c>
      <c r="B153" s="616">
        <v>26.378</v>
      </c>
      <c r="C153" s="389"/>
      <c r="D153" s="392">
        <f t="shared" si="48"/>
        <v>26.583319239810919</v>
      </c>
      <c r="E153" s="384">
        <f t="shared" si="70"/>
        <v>27.189475312952403</v>
      </c>
      <c r="F153" s="384">
        <f t="shared" si="49"/>
        <v>27.189947152435149</v>
      </c>
      <c r="G153" s="110">
        <f t="shared" si="71"/>
        <v>0.44927760528980026</v>
      </c>
      <c r="H153" s="413" t="b">
        <f>Wh_hp&gt;='2018'!Maxi_hp</f>
        <v>1</v>
      </c>
      <c r="I153" s="389">
        <f>IF(H153,Wh_hp,'2018'!Maxi_hp)</f>
        <v>27.189947152435149</v>
      </c>
      <c r="J153" s="85">
        <f>IF(H153,An,'2018'!An_max)</f>
        <v>2019</v>
      </c>
      <c r="K153" s="196">
        <f t="shared" si="50"/>
        <v>43604</v>
      </c>
      <c r="L153" s="147">
        <f>IF(t&lt;Tvie,1-EXP((T0-t)*PertePVj)+'2018'!Pspv,1-EXP((T0-t)*PertePVj)+Pspv)</f>
        <v>7.7236118619616878E-3</v>
      </c>
      <c r="M153" s="847"/>
      <c r="N153" s="847"/>
      <c r="O153" s="48">
        <f>IF(t&lt;Tnet,'2018'!Resal+('2018'!Salim-'2018'!Resal)*(1-EXP(('2018'!Tnet-t)/('2018'!Tau_j))),Resal+(Salim-Resal)*(1-EXP((Tnet-t)/(Tau_j))))*Salcycl</f>
        <v>2.229377603519719E-2</v>
      </c>
      <c r="P153" s="168">
        <f>(INDEX(Models!$BJ153:$BT153,,T153)*(1-R153)+INDEX(Models!$BJ153:$BT153,,T153+1)*R153-ERP_i)*Q153*Ramure*Pc/MaxiM</f>
        <v>8.1359006488377589E-5</v>
      </c>
      <c r="Q153" s="304">
        <f t="shared" si="51"/>
        <v>0.5</v>
      </c>
      <c r="R153" s="176">
        <f t="shared" si="52"/>
        <v>0.92096901895149708</v>
      </c>
      <c r="S153" s="814">
        <f t="shared" si="53"/>
        <v>-1</v>
      </c>
      <c r="T153" s="175">
        <f t="shared" si="54"/>
        <v>5</v>
      </c>
      <c r="U153" s="250">
        <f t="shared" si="55"/>
        <v>-7.9030981048502924E-2</v>
      </c>
      <c r="V153" s="382">
        <f t="shared" si="56"/>
        <v>58.708271504451652</v>
      </c>
      <c r="W153" s="58"/>
      <c r="X153" s="157">
        <f t="shared" si="57"/>
        <v>43604</v>
      </c>
      <c r="Y153" s="384">
        <f t="shared" si="58"/>
        <v>26.378</v>
      </c>
      <c r="Z153" s="384">
        <f t="shared" si="59"/>
        <v>26.583319239810919</v>
      </c>
      <c r="AA153" s="385">
        <f t="shared" si="60"/>
        <v>27.189475312952403</v>
      </c>
      <c r="AB153" s="196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2.229377603519719E-2</v>
      </c>
      <c r="AD153" s="230">
        <f>(INDEX(Models!$BJ153:$BT153,,AH153)*(1-AF153)+INDEX(Models!$BJ153:$BT153,,AH153+1)*AF153-ERP_i)*AE153*Ramure*Pc/MaxiM</f>
        <v>8.1359006488377589E-5</v>
      </c>
      <c r="AE153" s="304">
        <f t="shared" si="62"/>
        <v>0.5</v>
      </c>
      <c r="AF153" s="176">
        <f t="shared" si="63"/>
        <v>0.92096901895149708</v>
      </c>
      <c r="AG153" s="175">
        <f t="shared" si="64"/>
        <v>-1</v>
      </c>
      <c r="AH153" s="175">
        <f t="shared" si="65"/>
        <v>5</v>
      </c>
      <c r="AI153" s="224">
        <f t="shared" si="66"/>
        <v>-7.9030981048502924E-2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43605</v>
      </c>
      <c r="B154" s="616">
        <v>53.805999999999997</v>
      </c>
      <c r="C154" s="389"/>
      <c r="D154" s="392">
        <f t="shared" si="48"/>
        <v>54.225999085062078</v>
      </c>
      <c r="E154" s="384">
        <f t="shared" si="70"/>
        <v>55.466289668697065</v>
      </c>
      <c r="F154" s="384">
        <f t="shared" si="49"/>
        <v>55.470443953014524</v>
      </c>
      <c r="G154" s="110">
        <f t="shared" si="71"/>
        <v>0.9165061755981514</v>
      </c>
      <c r="H154" s="413" t="b">
        <f>Wh_hp&gt;='2018'!Maxi_hp</f>
        <v>1</v>
      </c>
      <c r="I154" s="389">
        <f>IF(H154,Wh_hp,'2018'!Maxi_hp)</f>
        <v>55.470443953014524</v>
      </c>
      <c r="J154" s="85">
        <f>IF(H154,An,'2018'!An_max)</f>
        <v>2019</v>
      </c>
      <c r="K154" s="196">
        <f t="shared" si="50"/>
        <v>43605</v>
      </c>
      <c r="L154" s="147">
        <f>IF(t&lt;Tvie,1-EXP((T0-t)*PertePVj)+'2018'!Pspv,1-EXP((T0-t)*PertePVj)+Pspv)</f>
        <v>7.7453452614721918E-3</v>
      </c>
      <c r="M154" s="847"/>
      <c r="N154" s="847"/>
      <c r="O154" s="48">
        <f>IF(t&lt;Tnet,'2018'!Resal+('2018'!Salim-'2018'!Resal)*(1-EXP(('2018'!Tnet-t)/('2018'!Tau_j))),Resal+(Salim-Resal)*(1-EXP((Tnet-t)/(Tau_j))))*Salcycl</f>
        <v>2.2361160103610733E-2</v>
      </c>
      <c r="P154" s="168">
        <f>(INDEX(Models!$BJ154:$BT154,,T154)*(1-R154)+INDEX(Models!$BJ154:$BT154,,T154+1)*R154-ERP_i)*Q154*Ramure*Pc/MaxiM</f>
        <v>8.5033221956554167E-5</v>
      </c>
      <c r="Q154" s="304">
        <f t="shared" si="51"/>
        <v>0.5</v>
      </c>
      <c r="R154" s="176">
        <f t="shared" si="52"/>
        <v>0.92352442813609348</v>
      </c>
      <c r="S154" s="814">
        <f t="shared" si="53"/>
        <v>-1</v>
      </c>
      <c r="T154" s="175">
        <f t="shared" si="54"/>
        <v>5</v>
      </c>
      <c r="U154" s="250">
        <f t="shared" si="55"/>
        <v>-7.6475571863906522E-2</v>
      </c>
      <c r="V154" s="382">
        <f t="shared" si="56"/>
        <v>58.707137742416982</v>
      </c>
      <c r="W154" s="58"/>
      <c r="X154" s="157">
        <f t="shared" si="57"/>
        <v>43605</v>
      </c>
      <c r="Y154" s="384">
        <f t="shared" si="58"/>
        <v>53.805999999999997</v>
      </c>
      <c r="Z154" s="384">
        <f t="shared" si="59"/>
        <v>54.225999085062078</v>
      </c>
      <c r="AA154" s="385">
        <f t="shared" si="60"/>
        <v>55.466289668697065</v>
      </c>
      <c r="AB154" s="196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2.2361160103610733E-2</v>
      </c>
      <c r="AD154" s="230">
        <f>(INDEX(Models!$BJ154:$BT154,,AH154)*(1-AF154)+INDEX(Models!$BJ154:$BT154,,AH154+1)*AF154-ERP_i)*AE154*Ramure*Pc/MaxiM</f>
        <v>8.5033221956554167E-5</v>
      </c>
      <c r="AE154" s="304">
        <f t="shared" si="62"/>
        <v>0.5</v>
      </c>
      <c r="AF154" s="176">
        <f t="shared" si="63"/>
        <v>0.92352442813609348</v>
      </c>
      <c r="AG154" s="175">
        <f t="shared" si="64"/>
        <v>-1</v>
      </c>
      <c r="AH154" s="175">
        <f t="shared" si="65"/>
        <v>5</v>
      </c>
      <c r="AI154" s="224">
        <f t="shared" si="66"/>
        <v>-7.6475571863906522E-2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43606</v>
      </c>
      <c r="B155" s="616">
        <v>44.146999999999998</v>
      </c>
      <c r="C155" s="389"/>
      <c r="D155" s="392">
        <f t="shared" si="48"/>
        <v>44.492577326747465</v>
      </c>
      <c r="E155" s="384">
        <f t="shared" si="70"/>
        <v>45.51338085328765</v>
      </c>
      <c r="F155" s="384">
        <f t="shared" si="49"/>
        <v>45.515990653806597</v>
      </c>
      <c r="G155" s="110">
        <f t="shared" si="71"/>
        <v>0.75201563400859672</v>
      </c>
      <c r="H155" s="413" t="b">
        <f>Wh_hp&gt;='2018'!Maxi_hp</f>
        <v>1</v>
      </c>
      <c r="I155" s="389">
        <f>IF(H155,Wh_hp,'2018'!Maxi_hp)</f>
        <v>45.515990653806597</v>
      </c>
      <c r="J155" s="85">
        <f>IF(H155,An,'2018'!An_max)</f>
        <v>2019</v>
      </c>
      <c r="K155" s="196">
        <f t="shared" si="50"/>
        <v>43606</v>
      </c>
      <c r="L155" s="147">
        <f>IF(t&lt;Tvie,1-EXP((T0-t)*PertePVj)+'2018'!Pspv,1-EXP((T0-t)*PertePVj)+Pspv)</f>
        <v>7.7670781849653592E-3</v>
      </c>
      <c r="M155" s="847"/>
      <c r="N155" s="847"/>
      <c r="O155" s="48">
        <f>IF(t&lt;Tnet,'2018'!Resal+('2018'!Salim-'2018'!Resal)*(1-EXP(('2018'!Tnet-t)/('2018'!Tau_j))),Resal+(Salim-Resal)*(1-EXP((Tnet-t)/(Tau_j))))*Salcycl</f>
        <v>2.2428646420065923E-2</v>
      </c>
      <c r="P155" s="168">
        <f>(INDEX(Models!$BJ155:$BT155,,T155)*(1-R155)+INDEX(Models!$BJ155:$BT155,,T155+1)*R155-ERP_i)*Q155*Ramure*Pc/MaxiM</f>
        <v>8.8790227922551691E-5</v>
      </c>
      <c r="Q155" s="304">
        <f t="shared" si="51"/>
        <v>0.5</v>
      </c>
      <c r="R155" s="176">
        <f t="shared" si="52"/>
        <v>0.92612288864865921</v>
      </c>
      <c r="S155" s="814">
        <f t="shared" si="53"/>
        <v>-1</v>
      </c>
      <c r="T155" s="175">
        <f t="shared" si="54"/>
        <v>5</v>
      </c>
      <c r="U155" s="250">
        <f t="shared" si="55"/>
        <v>-7.3877111351340799E-2</v>
      </c>
      <c r="V155" s="382">
        <f t="shared" si="56"/>
        <v>58.703050052383389</v>
      </c>
      <c r="W155" s="58"/>
      <c r="X155" s="157">
        <f t="shared" si="57"/>
        <v>43606</v>
      </c>
      <c r="Y155" s="384">
        <f t="shared" si="58"/>
        <v>44.146999999999998</v>
      </c>
      <c r="Z155" s="384">
        <f t="shared" si="59"/>
        <v>44.492577326747465</v>
      </c>
      <c r="AA155" s="385">
        <f t="shared" si="60"/>
        <v>45.51338085328765</v>
      </c>
      <c r="AB155" s="196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2.2428646420065923E-2</v>
      </c>
      <c r="AD155" s="230">
        <f>(INDEX(Models!$BJ155:$BT155,,AH155)*(1-AF155)+INDEX(Models!$BJ155:$BT155,,AH155+1)*AF155-ERP_i)*AE155*Ramure*Pc/MaxiM</f>
        <v>8.8790227922551691E-5</v>
      </c>
      <c r="AE155" s="304">
        <f t="shared" si="62"/>
        <v>0.5</v>
      </c>
      <c r="AF155" s="176">
        <f t="shared" si="63"/>
        <v>0.92612288864865921</v>
      </c>
      <c r="AG155" s="175">
        <f t="shared" si="64"/>
        <v>-1</v>
      </c>
      <c r="AH155" s="175">
        <f t="shared" si="65"/>
        <v>5</v>
      </c>
      <c r="AI155" s="224">
        <f t="shared" si="66"/>
        <v>-7.3877111351340799E-2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43607</v>
      </c>
      <c r="B156" s="616">
        <v>58.106000000000002</v>
      </c>
      <c r="C156" s="389"/>
      <c r="D156" s="392">
        <f t="shared" si="48"/>
        <v>58.562129335628363</v>
      </c>
      <c r="E156" s="384">
        <f t="shared" si="70"/>
        <v>59.909874945553938</v>
      </c>
      <c r="F156" s="384">
        <f t="shared" si="49"/>
        <v>59.915343833320051</v>
      </c>
      <c r="G156" s="110">
        <f t="shared" si="71"/>
        <v>0.98994669454321327</v>
      </c>
      <c r="H156" s="413" t="b">
        <f>Wh_hp&gt;='2018'!Maxi_hp</f>
        <v>1</v>
      </c>
      <c r="I156" s="389">
        <f>IF(H156,Wh_hp,'2018'!Maxi_hp)</f>
        <v>59.915343833320051</v>
      </c>
      <c r="J156" s="85">
        <f>IF(H156,An,'2018'!An_max)</f>
        <v>2019</v>
      </c>
      <c r="K156" s="196">
        <f t="shared" si="50"/>
        <v>43607</v>
      </c>
      <c r="L156" s="147">
        <f>IF(t&lt;Tvie,1-EXP((T0-t)*PertePVj)+'2018'!Pspv,1-EXP((T0-t)*PertePVj)+Pspv)</f>
        <v>7.788810632451848E-3</v>
      </c>
      <c r="M156" s="847"/>
      <c r="N156" s="847"/>
      <c r="O156" s="48">
        <f>IF(t&lt;Tnet,'2018'!Resal+('2018'!Salim-'2018'!Resal)*(1-EXP(('2018'!Tnet-t)/('2018'!Tau_j))),Resal+(Salim-Resal)*(1-EXP((Tnet-t)/(Tau_j))))*Salcycl</f>
        <v>2.2496218046697807E-2</v>
      </c>
      <c r="P156" s="168">
        <f>(INDEX(Models!$BJ156:$BT156,,T156)*(1-R156)+INDEX(Models!$BJ156:$BT156,,T156+1)*R156-ERP_i)*Q156*Ramure*Pc/MaxiM</f>
        <v>9.2606746742326896E-5</v>
      </c>
      <c r="Q156" s="304">
        <f t="shared" si="51"/>
        <v>0.5</v>
      </c>
      <c r="R156" s="176">
        <f t="shared" si="52"/>
        <v>0.92876324879599259</v>
      </c>
      <c r="S156" s="814">
        <f t="shared" si="53"/>
        <v>-1</v>
      </c>
      <c r="T156" s="175">
        <f t="shared" si="54"/>
        <v>5</v>
      </c>
      <c r="U156" s="250">
        <f t="shared" si="55"/>
        <v>-7.1236751204007451E-2</v>
      </c>
      <c r="V156" s="382">
        <f t="shared" si="56"/>
        <v>58.696011656035544</v>
      </c>
      <c r="W156" s="58"/>
      <c r="X156" s="157">
        <f t="shared" si="57"/>
        <v>43607</v>
      </c>
      <c r="Y156" s="384">
        <f t="shared" si="58"/>
        <v>58.106000000000002</v>
      </c>
      <c r="Z156" s="384">
        <f t="shared" si="59"/>
        <v>58.562129335628363</v>
      </c>
      <c r="AA156" s="385">
        <f t="shared" si="60"/>
        <v>59.909874945553938</v>
      </c>
      <c r="AB156" s="196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2.2496218046697807E-2</v>
      </c>
      <c r="AD156" s="230">
        <f>(INDEX(Models!$BJ156:$BT156,,AH156)*(1-AF156)+INDEX(Models!$BJ156:$BT156,,AH156+1)*AF156-ERP_i)*AE156*Ramure*Pc/MaxiM</f>
        <v>9.2606746742326896E-5</v>
      </c>
      <c r="AE156" s="304">
        <f t="shared" si="62"/>
        <v>0.5</v>
      </c>
      <c r="AF156" s="176">
        <f t="shared" si="63"/>
        <v>0.92876324879599259</v>
      </c>
      <c r="AG156" s="175">
        <f t="shared" si="64"/>
        <v>-1</v>
      </c>
      <c r="AH156" s="175">
        <f t="shared" si="65"/>
        <v>5</v>
      </c>
      <c r="AI156" s="224">
        <f t="shared" si="66"/>
        <v>-7.1236751204007451E-2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43608</v>
      </c>
      <c r="B157" s="616">
        <v>51.39</v>
      </c>
      <c r="C157" s="389"/>
      <c r="D157" s="392">
        <f t="shared" si="48"/>
        <v>51.79454348856919</v>
      </c>
      <c r="E157" s="384">
        <f t="shared" si="70"/>
        <v>52.99020696459359</v>
      </c>
      <c r="F157" s="384">
        <f t="shared" si="49"/>
        <v>52.994412062052</v>
      </c>
      <c r="G157" s="110">
        <f t="shared" si="71"/>
        <v>0.87566196475147362</v>
      </c>
      <c r="H157" s="413" t="b">
        <f>Wh_hp&gt;='2018'!Maxi_hp</f>
        <v>1</v>
      </c>
      <c r="I157" s="389">
        <f>IF(H157,Wh_hp,'2018'!Maxi_hp)</f>
        <v>52.994412062052</v>
      </c>
      <c r="J157" s="85">
        <f>IF(H157,An,'2018'!An_max)</f>
        <v>2019</v>
      </c>
      <c r="K157" s="196">
        <f t="shared" si="50"/>
        <v>43608</v>
      </c>
      <c r="L157" s="147">
        <f>IF(t&lt;Tvie,1-EXP((T0-t)*PertePVj)+'2018'!Pspv,1-EXP((T0-t)*PertePVj)+Pspv)</f>
        <v>7.8105426039418724E-3</v>
      </c>
      <c r="M157" s="847"/>
      <c r="N157" s="847"/>
      <c r="O157" s="48">
        <f>IF(t&lt;Tnet,'2018'!Resal+('2018'!Salim-'2018'!Resal)*(1-EXP(('2018'!Tnet-t)/('2018'!Tau_j))),Resal+(Salim-Resal)*(1-EXP((Tnet-t)/(Tau_j))))*Salcycl</f>
        <v>2.2563857446778961E-2</v>
      </c>
      <c r="P157" s="168">
        <f>(INDEX(Models!$BJ157:$BT157,,T157)*(1-R157)+INDEX(Models!$BJ157:$BT157,,T157+1)*R157-ERP_i)*Q157*Ramure*Pc/MaxiM</f>
        <v>9.648619278197899E-5</v>
      </c>
      <c r="Q157" s="304">
        <f t="shared" si="51"/>
        <v>0.5</v>
      </c>
      <c r="R157" s="176">
        <f t="shared" si="52"/>
        <v>0.93144424759505595</v>
      </c>
      <c r="S157" s="814">
        <f t="shared" si="53"/>
        <v>-1</v>
      </c>
      <c r="T157" s="175">
        <f t="shared" si="54"/>
        <v>5</v>
      </c>
      <c r="U157" s="250">
        <f t="shared" si="55"/>
        <v>-6.8555752404944048E-2</v>
      </c>
      <c r="V157" s="382">
        <f t="shared" si="56"/>
        <v>58.686024243261393</v>
      </c>
      <c r="W157" s="58"/>
      <c r="X157" s="157">
        <f t="shared" si="57"/>
        <v>43608</v>
      </c>
      <c r="Y157" s="384">
        <f t="shared" si="58"/>
        <v>51.39</v>
      </c>
      <c r="Z157" s="384">
        <f t="shared" si="59"/>
        <v>51.79454348856919</v>
      </c>
      <c r="AA157" s="385">
        <f t="shared" si="60"/>
        <v>52.99020696459359</v>
      </c>
      <c r="AB157" s="196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2.2563857446778961E-2</v>
      </c>
      <c r="AD157" s="230">
        <f>(INDEX(Models!$BJ157:$BT157,,AH157)*(1-AF157)+INDEX(Models!$BJ157:$BT157,,AH157+1)*AF157-ERP_i)*AE157*Ramure*Pc/MaxiM</f>
        <v>9.648619278197899E-5</v>
      </c>
      <c r="AE157" s="304">
        <f t="shared" si="62"/>
        <v>0.5</v>
      </c>
      <c r="AF157" s="176">
        <f t="shared" si="63"/>
        <v>0.93144424759505595</v>
      </c>
      <c r="AG157" s="175">
        <f t="shared" si="64"/>
        <v>-1</v>
      </c>
      <c r="AH157" s="175">
        <f t="shared" si="65"/>
        <v>5</v>
      </c>
      <c r="AI157" s="224">
        <f t="shared" si="66"/>
        <v>-6.8555752404944048E-2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43609</v>
      </c>
      <c r="B158" s="616">
        <v>11.535</v>
      </c>
      <c r="C158" s="389"/>
      <c r="D158" s="392">
        <f t="shared" si="48"/>
        <v>11.626058476685589</v>
      </c>
      <c r="E158" s="384">
        <f t="shared" si="70"/>
        <v>11.895266759857652</v>
      </c>
      <c r="F158" s="384">
        <f t="shared" si="49"/>
        <v>11.895266759857652</v>
      </c>
      <c r="G158" s="110">
        <f t="shared" si="71"/>
        <v>0.19657804978297033</v>
      </c>
      <c r="H158" s="413" t="b">
        <f>Wh_hp&gt;='2018'!Maxi_hp</f>
        <v>1</v>
      </c>
      <c r="I158" s="389">
        <f>IF(H158,Wh_hp,'2018'!Maxi_hp)</f>
        <v>11.895266759857652</v>
      </c>
      <c r="J158" s="85">
        <f>IF(H158,An,'2018'!An_max)</f>
        <v>2019</v>
      </c>
      <c r="K158" s="196">
        <f t="shared" si="50"/>
        <v>43609</v>
      </c>
      <c r="L158" s="147">
        <f>IF(t&lt;Tvie,1-EXP((T0-t)*PertePVj)+'2018'!Pspv,1-EXP((T0-t)*PertePVj)+Pspv)</f>
        <v>7.8322740994459794E-3</v>
      </c>
      <c r="M158" s="847"/>
      <c r="N158" s="847"/>
      <c r="O158" s="48">
        <f>IF(t&lt;Tnet,'2018'!Resal+('2018'!Salim-'2018'!Resal)*(1-EXP(('2018'!Tnet-t)/('2018'!Tau_j))),Resal+(Salim-Resal)*(1-EXP((Tnet-t)/(Tau_j))))*Salcycl</f>
        <v>2.2631546530805451E-2</v>
      </c>
      <c r="P158" s="168">
        <f>(INDEX(Models!$BJ158:$BT158,,T158)*(1-R158)+INDEX(Models!$BJ158:$BT158,,T158+1)*R158-ERP_i)*Q158*Ramure*Pc/MaxiM</f>
        <v>1.0042796919351347E-4</v>
      </c>
      <c r="Q158" s="304">
        <f t="shared" si="51"/>
        <v>0.5</v>
      </c>
      <c r="R158" s="176">
        <f t="shared" si="52"/>
        <v>0.9341645153135536</v>
      </c>
      <c r="S158" s="814">
        <f t="shared" si="53"/>
        <v>-1</v>
      </c>
      <c r="T158" s="175">
        <f t="shared" si="54"/>
        <v>5</v>
      </c>
      <c r="U158" s="250">
        <f t="shared" si="55"/>
        <v>-6.5835484686446344E-2</v>
      </c>
      <c r="V158" s="382">
        <f t="shared" si="56"/>
        <v>58.673089778381438</v>
      </c>
      <c r="W158" s="58"/>
      <c r="X158" s="157">
        <f t="shared" si="57"/>
        <v>43609</v>
      </c>
      <c r="Y158" s="384">
        <f t="shared" si="58"/>
        <v>11.535</v>
      </c>
      <c r="Z158" s="384">
        <f t="shared" si="59"/>
        <v>11.626058476685589</v>
      </c>
      <c r="AA158" s="385">
        <f t="shared" si="60"/>
        <v>11.895266759857652</v>
      </c>
      <c r="AB158" s="196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2.2631546530805451E-2</v>
      </c>
      <c r="AD158" s="230">
        <f>(INDEX(Models!$BJ158:$BT158,,AH158)*(1-AF158)+INDEX(Models!$BJ158:$BT158,,AH158+1)*AF158-ERP_i)*AE158*Ramure*Pc/MaxiM</f>
        <v>1.0042796919351347E-4</v>
      </c>
      <c r="AE158" s="304">
        <f t="shared" si="62"/>
        <v>0.5</v>
      </c>
      <c r="AF158" s="176">
        <f t="shared" si="63"/>
        <v>0.9341645153135536</v>
      </c>
      <c r="AG158" s="175">
        <f t="shared" si="64"/>
        <v>-1</v>
      </c>
      <c r="AH158" s="175">
        <f t="shared" si="65"/>
        <v>5</v>
      </c>
      <c r="AI158" s="224">
        <f t="shared" si="66"/>
        <v>-6.5835484686446344E-2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43610</v>
      </c>
      <c r="B159" s="616">
        <v>30.920999999999999</v>
      </c>
      <c r="C159" s="389"/>
      <c r="D159" s="392">
        <f t="shared" si="48"/>
        <v>31.165776165540972</v>
      </c>
      <c r="E159" s="384">
        <f t="shared" si="70"/>
        <v>31.889647785818667</v>
      </c>
      <c r="F159" s="384">
        <f t="shared" si="49"/>
        <v>31.890728490978354</v>
      </c>
      <c r="G159" s="110">
        <f t="shared" si="71"/>
        <v>0.52711028209296029</v>
      </c>
      <c r="H159" s="413" t="b">
        <f>Wh_hp&gt;='2018'!Maxi_hp</f>
        <v>1</v>
      </c>
      <c r="I159" s="389">
        <f>IF(H159,Wh_hp,'2018'!Maxi_hp)</f>
        <v>31.890728490978354</v>
      </c>
      <c r="J159" s="85">
        <f>IF(H159,An,'2018'!An_max)</f>
        <v>2019</v>
      </c>
      <c r="K159" s="196">
        <f t="shared" si="50"/>
        <v>43610</v>
      </c>
      <c r="L159" s="147">
        <f>IF(t&lt;Tvie,1-EXP((T0-t)*PertePVj)+'2018'!Pspv,1-EXP((T0-t)*PertePVj)+Pspv)</f>
        <v>7.8540051189744942E-3</v>
      </c>
      <c r="M159" s="847"/>
      <c r="N159" s="847"/>
      <c r="O159" s="48">
        <f>IF(t&lt;Tnet,'2018'!Resal+('2018'!Salim-'2018'!Resal)*(1-EXP(('2018'!Tnet-t)/('2018'!Tau_j))),Resal+(Salim-Resal)*(1-EXP((Tnet-t)/(Tau_j))))*Salcycl</f>
        <v>2.2699266706846515E-2</v>
      </c>
      <c r="P159" s="168">
        <f>(INDEX(Models!$BJ159:$BT159,,T159)*(1-R159)+INDEX(Models!$BJ159:$BT159,,T159+1)*R159-ERP_i)*Q159*Ramure*Pc/MaxiM</f>
        <v>1.0443183760143098E-4</v>
      </c>
      <c r="Q159" s="304">
        <f t="shared" si="51"/>
        <v>0.5</v>
      </c>
      <c r="R159" s="176">
        <f t="shared" si="52"/>
        <v>0.93692257456418393</v>
      </c>
      <c r="S159" s="814">
        <f t="shared" si="53"/>
        <v>-1</v>
      </c>
      <c r="T159" s="175">
        <f t="shared" si="54"/>
        <v>5</v>
      </c>
      <c r="U159" s="250">
        <f t="shared" si="55"/>
        <v>-6.3077425435816084E-2</v>
      </c>
      <c r="V159" s="382">
        <f t="shared" si="56"/>
        <v>58.657210232552991</v>
      </c>
      <c r="W159" s="58"/>
      <c r="X159" s="157">
        <f t="shared" si="57"/>
        <v>43610</v>
      </c>
      <c r="Y159" s="384">
        <f t="shared" si="58"/>
        <v>30.920999999999999</v>
      </c>
      <c r="Z159" s="384">
        <f t="shared" si="59"/>
        <v>31.165776165540972</v>
      </c>
      <c r="AA159" s="385">
        <f t="shared" si="60"/>
        <v>31.889647785818667</v>
      </c>
      <c r="AB159" s="196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2.2699266706846515E-2</v>
      </c>
      <c r="AD159" s="230">
        <f>(INDEX(Models!$BJ159:$BT159,,AH159)*(1-AF159)+INDEX(Models!$BJ159:$BT159,,AH159+1)*AF159-ERP_i)*AE159*Ramure*Pc/MaxiM</f>
        <v>1.0443183760143098E-4</v>
      </c>
      <c r="AE159" s="304">
        <f t="shared" si="62"/>
        <v>0.5</v>
      </c>
      <c r="AF159" s="176">
        <f t="shared" si="63"/>
        <v>0.93692257456418393</v>
      </c>
      <c r="AG159" s="175">
        <f t="shared" si="64"/>
        <v>-1</v>
      </c>
      <c r="AH159" s="175">
        <f t="shared" si="65"/>
        <v>5</v>
      </c>
      <c r="AI159" s="224">
        <f t="shared" si="66"/>
        <v>-6.3077425435816084E-2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43611</v>
      </c>
      <c r="B160" s="616">
        <v>24.114999999999998</v>
      </c>
      <c r="C160" s="389"/>
      <c r="D160" s="392">
        <f t="shared" si="48"/>
        <v>24.30643102565779</v>
      </c>
      <c r="E160" s="384">
        <f t="shared" si="70"/>
        <v>24.872707940857545</v>
      </c>
      <c r="F160" s="384">
        <f t="shared" si="49"/>
        <v>24.873136834222876</v>
      </c>
      <c r="G160" s="110">
        <f t="shared" si="71"/>
        <v>0.41121184173164765</v>
      </c>
      <c r="H160" s="413" t="b">
        <f>Wh_hp&gt;='2018'!Maxi_hp</f>
        <v>1</v>
      </c>
      <c r="I160" s="389">
        <f>IF(H160,Wh_hp,'2018'!Maxi_hp)</f>
        <v>24.873136834222876</v>
      </c>
      <c r="J160" s="85">
        <f>IF(H160,An,'2018'!An_max)</f>
        <v>2019</v>
      </c>
      <c r="K160" s="196">
        <f t="shared" si="50"/>
        <v>43611</v>
      </c>
      <c r="L160" s="147">
        <f>IF(t&lt;Tvie,1-EXP((T0-t)*PertePVj)+'2018'!Pspv,1-EXP((T0-t)*PertePVj)+Pspv)</f>
        <v>7.8757356625379638E-3</v>
      </c>
      <c r="M160" s="847"/>
      <c r="N160" s="847"/>
      <c r="O160" s="48">
        <f>IF(t&lt;Tnet,'2018'!Resal+('2018'!Salim-'2018'!Resal)*(1-EXP(('2018'!Tnet-t)/('2018'!Tau_j))),Resal+(Salim-Resal)*(1-EXP((Tnet-t)/(Tau_j))))*Salcycl</f>
        <v>2.2766998934987303E-2</v>
      </c>
      <c r="P160" s="168">
        <f>(INDEX(Models!$BJ160:$BT160,,T160)*(1-R160)+INDEX(Models!$BJ160:$BT160,,T160+1)*R160-ERP_i)*Q160*Ramure*Pc/MaxiM</f>
        <v>1.0849737888187972E-4</v>
      </c>
      <c r="Q160" s="304">
        <f t="shared" si="51"/>
        <v>0.5</v>
      </c>
      <c r="R160" s="176">
        <f t="shared" si="52"/>
        <v>0.93971684196868333</v>
      </c>
      <c r="S160" s="814">
        <f t="shared" si="53"/>
        <v>-1</v>
      </c>
      <c r="T160" s="175">
        <f t="shared" si="54"/>
        <v>5</v>
      </c>
      <c r="U160" s="250">
        <f t="shared" si="55"/>
        <v>-6.0283158031316689E-2</v>
      </c>
      <c r="V160" s="382">
        <f t="shared" si="56"/>
        <v>58.638387617570295</v>
      </c>
      <c r="W160" s="58"/>
      <c r="X160" s="157">
        <f t="shared" si="57"/>
        <v>43611</v>
      </c>
      <c r="Y160" s="384">
        <f t="shared" si="58"/>
        <v>24.114999999999998</v>
      </c>
      <c r="Z160" s="384">
        <f t="shared" si="59"/>
        <v>24.30643102565779</v>
      </c>
      <c r="AA160" s="385">
        <f t="shared" si="60"/>
        <v>24.872707940857545</v>
      </c>
      <c r="AB160" s="196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2.2766998934987303E-2</v>
      </c>
      <c r="AD160" s="230">
        <f>(INDEX(Models!$BJ160:$BT160,,AH160)*(1-AF160)+INDEX(Models!$BJ160:$BT160,,AH160+1)*AF160-ERP_i)*AE160*Ramure*Pc/MaxiM</f>
        <v>1.0849737888187972E-4</v>
      </c>
      <c r="AE160" s="304">
        <f t="shared" si="62"/>
        <v>0.5</v>
      </c>
      <c r="AF160" s="176">
        <f t="shared" si="63"/>
        <v>0.93971684196868333</v>
      </c>
      <c r="AG160" s="175">
        <f t="shared" si="64"/>
        <v>-1</v>
      </c>
      <c r="AH160" s="175">
        <f t="shared" si="65"/>
        <v>5</v>
      </c>
      <c r="AI160" s="224">
        <f t="shared" si="66"/>
        <v>-6.0283158031316689E-2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43612</v>
      </c>
      <c r="B161" s="616">
        <v>31.844999999999999</v>
      </c>
      <c r="C161" s="389"/>
      <c r="D161" s="392">
        <f t="shared" si="48"/>
        <v>32.098496778295818</v>
      </c>
      <c r="E161" s="384">
        <f t="shared" si="70"/>
        <v>32.848585146874221</v>
      </c>
      <c r="F161" s="384">
        <f t="shared" si="49"/>
        <v>32.849870923861268</v>
      </c>
      <c r="G161" s="110">
        <f t="shared" si="71"/>
        <v>0.54323599145356216</v>
      </c>
      <c r="H161" s="413" t="b">
        <f>Wh_hp&gt;='2018'!Maxi_hp</f>
        <v>1</v>
      </c>
      <c r="I161" s="389">
        <f>IF(H161,Wh_hp,'2018'!Maxi_hp)</f>
        <v>32.849870923861268</v>
      </c>
      <c r="J161" s="85">
        <f>IF(H161,An,'2018'!An_max)</f>
        <v>2019</v>
      </c>
      <c r="K161" s="196">
        <f t="shared" si="50"/>
        <v>43612</v>
      </c>
      <c r="L161" s="147">
        <f>IF(t&lt;Tvie,1-EXP((T0-t)*PertePVj)+'2018'!Pspv,1-EXP((T0-t)*PertePVj)+Pspv)</f>
        <v>7.8974657301467133E-3</v>
      </c>
      <c r="M161" s="847"/>
      <c r="N161" s="847"/>
      <c r="O161" s="48">
        <f>IF(t&lt;Tnet,'2018'!Resal+('2018'!Salim-'2018'!Resal)*(1-EXP(('2018'!Tnet-t)/('2018'!Tau_j))),Resal+(Salim-Resal)*(1-EXP((Tnet-t)/(Tau_j))))*Salcycl</f>
        <v>2.2834723785653866E-2</v>
      </c>
      <c r="P161" s="168">
        <f>(INDEX(Models!$BJ161:$BT161,,T161)*(1-R161)+INDEX(Models!$BJ161:$BT161,,T161+1)*R161-ERP_i)*Q161*Ramure*Pc/MaxiM</f>
        <v>1.1262398944209694E-4</v>
      </c>
      <c r="Q161" s="304">
        <f t="shared" si="51"/>
        <v>0.5</v>
      </c>
      <c r="R161" s="176">
        <f t="shared" si="52"/>
        <v>0.94254563040326877</v>
      </c>
      <c r="S161" s="814">
        <f t="shared" si="53"/>
        <v>-1</v>
      </c>
      <c r="T161" s="175">
        <f t="shared" si="54"/>
        <v>5</v>
      </c>
      <c r="U161" s="250">
        <f t="shared" si="55"/>
        <v>-5.7454369596731183E-2</v>
      </c>
      <c r="V161" s="382">
        <f t="shared" si="56"/>
        <v>58.616623978808235</v>
      </c>
      <c r="W161" s="58"/>
      <c r="X161" s="157">
        <f t="shared" si="57"/>
        <v>43612</v>
      </c>
      <c r="Y161" s="384">
        <f t="shared" si="58"/>
        <v>31.845000000000002</v>
      </c>
      <c r="Z161" s="384">
        <f t="shared" si="59"/>
        <v>32.098496778295818</v>
      </c>
      <c r="AA161" s="385">
        <f t="shared" si="60"/>
        <v>32.848585146874221</v>
      </c>
      <c r="AB161" s="196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2.2834723785653866E-2</v>
      </c>
      <c r="AD161" s="230">
        <f>(INDEX(Models!$BJ161:$BT161,,AH161)*(1-AF161)+INDEX(Models!$BJ161:$BT161,,AH161+1)*AF161-ERP_i)*AE161*Ramure*Pc/MaxiM</f>
        <v>1.1262398944209694E-4</v>
      </c>
      <c r="AE161" s="304">
        <f t="shared" si="62"/>
        <v>0.5</v>
      </c>
      <c r="AF161" s="176">
        <f t="shared" si="63"/>
        <v>0.94254563040326877</v>
      </c>
      <c r="AG161" s="175">
        <f t="shared" si="64"/>
        <v>-1</v>
      </c>
      <c r="AH161" s="175">
        <f t="shared" si="65"/>
        <v>5</v>
      </c>
      <c r="AI161" s="224">
        <f t="shared" si="66"/>
        <v>-5.7454369596731183E-2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43613</v>
      </c>
      <c r="B162" s="616">
        <v>26.547999999999998</v>
      </c>
      <c r="C162" s="389"/>
      <c r="D162" s="392">
        <f t="shared" si="48"/>
        <v>26.759917009594435</v>
      </c>
      <c r="E162" s="384">
        <f t="shared" si="70"/>
        <v>27.387149040649735</v>
      </c>
      <c r="F162" s="384">
        <f t="shared" si="49"/>
        <v>27.387848751134555</v>
      </c>
      <c r="G162" s="110">
        <f t="shared" si="71"/>
        <v>0.45305865495842113</v>
      </c>
      <c r="H162" s="413" t="b">
        <f>Wh_hp&gt;='2018'!Maxi_hp</f>
        <v>1</v>
      </c>
      <c r="I162" s="389">
        <f>IF(H162,Wh_hp,'2018'!Maxi_hp)</f>
        <v>27.387848751134555</v>
      </c>
      <c r="J162" s="85">
        <f>IF(H162,An,'2018'!An_max)</f>
        <v>2019</v>
      </c>
      <c r="K162" s="196">
        <f t="shared" si="50"/>
        <v>43613</v>
      </c>
      <c r="L162" s="147">
        <f>IF(t&lt;Tvie,1-EXP((T0-t)*PertePVj)+'2018'!Pspv,1-EXP((T0-t)*PertePVj)+Pspv)</f>
        <v>7.9191953218112898E-3</v>
      </c>
      <c r="M162" s="847"/>
      <c r="N162" s="847"/>
      <c r="O162" s="48">
        <f>IF(t&lt;Tnet,'2018'!Resal+('2018'!Salim-'2018'!Resal)*(1-EXP(('2018'!Tnet-t)/('2018'!Tau_j))),Resal+(Salim-Resal)*(1-EXP((Tnet-t)/(Tau_j))))*Salcycl</f>
        <v>2.2902421501570784E-2</v>
      </c>
      <c r="P162" s="168">
        <f>(INDEX(Models!$BJ162:$BT162,,T162)*(1-R162)+INDEX(Models!$BJ162:$BT162,,T162+1)*R162-ERP_i)*Q162*Ramure*Pc/MaxiM</f>
        <v>1.1681087843957672E-4</v>
      </c>
      <c r="Q162" s="304">
        <f t="shared" si="51"/>
        <v>0.5</v>
      </c>
      <c r="R162" s="176">
        <f t="shared" si="52"/>
        <v>0.94540715183219426</v>
      </c>
      <c r="S162" s="814">
        <f t="shared" si="53"/>
        <v>-1</v>
      </c>
      <c r="T162" s="175">
        <f t="shared" si="54"/>
        <v>5</v>
      </c>
      <c r="U162" s="250">
        <f t="shared" si="55"/>
        <v>-5.4592848167805755E-2</v>
      </c>
      <c r="V162" s="382">
        <f t="shared" si="56"/>
        <v>58.591921390813958</v>
      </c>
      <c r="W162" s="58"/>
      <c r="X162" s="157">
        <f t="shared" si="57"/>
        <v>43613</v>
      </c>
      <c r="Y162" s="384">
        <f t="shared" si="58"/>
        <v>26.547999999999998</v>
      </c>
      <c r="Z162" s="384">
        <f t="shared" si="59"/>
        <v>26.759917009594435</v>
      </c>
      <c r="AA162" s="385">
        <f t="shared" si="60"/>
        <v>27.387149040649735</v>
      </c>
      <c r="AB162" s="196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2.2902421501570784E-2</v>
      </c>
      <c r="AD162" s="230">
        <f>(INDEX(Models!$BJ162:$BT162,,AH162)*(1-AF162)+INDEX(Models!$BJ162:$BT162,,AH162+1)*AF162-ERP_i)*AE162*Ramure*Pc/MaxiM</f>
        <v>1.1681087843957672E-4</v>
      </c>
      <c r="AE162" s="304">
        <f t="shared" si="62"/>
        <v>0.5</v>
      </c>
      <c r="AF162" s="176">
        <f t="shared" si="63"/>
        <v>0.94540715183219426</v>
      </c>
      <c r="AG162" s="175">
        <f t="shared" si="64"/>
        <v>-1</v>
      </c>
      <c r="AH162" s="175">
        <f t="shared" si="65"/>
        <v>5</v>
      </c>
      <c r="AI162" s="224">
        <f t="shared" si="66"/>
        <v>-5.4592848167805755E-2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43614</v>
      </c>
      <c r="B163" s="616">
        <v>37.590000000000003</v>
      </c>
      <c r="C163" s="389"/>
      <c r="D163" s="392">
        <f t="shared" si="48"/>
        <v>37.890888683910248</v>
      </c>
      <c r="E163" s="384">
        <f t="shared" si="70"/>
        <v>38.781707295209841</v>
      </c>
      <c r="F163" s="384">
        <f t="shared" si="49"/>
        <v>38.784000331331129</v>
      </c>
      <c r="G163" s="110">
        <f t="shared" si="71"/>
        <v>0.64182902271358599</v>
      </c>
      <c r="H163" s="413" t="b">
        <f>Wh_hp&gt;='2018'!Maxi_hp</f>
        <v>1</v>
      </c>
      <c r="I163" s="389">
        <f>IF(H163,Wh_hp,'2018'!Maxi_hp)</f>
        <v>38.784000331331129</v>
      </c>
      <c r="J163" s="85">
        <f>IF(H163,An,'2018'!An_max)</f>
        <v>2019</v>
      </c>
      <c r="K163" s="196">
        <f t="shared" si="50"/>
        <v>43614</v>
      </c>
      <c r="L163" s="147">
        <f>IF(t&lt;Tvie,1-EXP((T0-t)*PertePVj)+'2018'!Pspv,1-EXP((T0-t)*PertePVj)+Pspv)</f>
        <v>7.9409244375420185E-3</v>
      </c>
      <c r="M163" s="847"/>
      <c r="N163" s="847"/>
      <c r="O163" s="48">
        <f>IF(t&lt;Tnet,'2018'!Resal+('2018'!Salim-'2018'!Resal)*(1-EXP(('2018'!Tnet-t)/('2018'!Tau_j))),Resal+(Salim-Resal)*(1-EXP((Tnet-t)/(Tau_j))))*Salcycl</f>
        <v>2.2970072063063167E-2</v>
      </c>
      <c r="P163" s="168">
        <f>(INDEX(Models!$BJ163:$BT163,,T163)*(1-R163)+INDEX(Models!$BJ163:$BT163,,T163+1)*R163-ERP_i)*Q163*Ramure*Pc/MaxiM</f>
        <v>1.2105894714073422E-4</v>
      </c>
      <c r="Q163" s="304">
        <f t="shared" si="51"/>
        <v>0.5</v>
      </c>
      <c r="R163" s="176">
        <f t="shared" si="52"/>
        <v>0.94829952073092749</v>
      </c>
      <c r="S163" s="814">
        <f t="shared" si="53"/>
        <v>-1</v>
      </c>
      <c r="T163" s="175">
        <f t="shared" si="54"/>
        <v>5</v>
      </c>
      <c r="U163" s="250">
        <f t="shared" si="55"/>
        <v>-5.1700479269072563E-2</v>
      </c>
      <c r="V163" s="382">
        <f t="shared" si="56"/>
        <v>58.563371815979195</v>
      </c>
      <c r="W163" s="58"/>
      <c r="X163" s="157">
        <f t="shared" si="57"/>
        <v>43614</v>
      </c>
      <c r="Y163" s="384">
        <f t="shared" si="58"/>
        <v>37.590000000000003</v>
      </c>
      <c r="Z163" s="384">
        <f t="shared" si="59"/>
        <v>37.890888683910248</v>
      </c>
      <c r="AA163" s="385">
        <f t="shared" si="60"/>
        <v>38.781707295209841</v>
      </c>
      <c r="AB163" s="196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2.2970072063063167E-2</v>
      </c>
      <c r="AD163" s="230">
        <f>(INDEX(Models!$BJ163:$BT163,,AH163)*(1-AF163)+INDEX(Models!$BJ163:$BT163,,AH163+1)*AF163-ERP_i)*AE163*Ramure*Pc/MaxiM</f>
        <v>1.2105894714073422E-4</v>
      </c>
      <c r="AE163" s="304">
        <f t="shared" si="62"/>
        <v>0.5</v>
      </c>
      <c r="AF163" s="176">
        <f t="shared" si="63"/>
        <v>0.94829952073092749</v>
      </c>
      <c r="AG163" s="175">
        <f t="shared" si="64"/>
        <v>-1</v>
      </c>
      <c r="AH163" s="175">
        <f t="shared" si="65"/>
        <v>5</v>
      </c>
      <c r="AI163" s="224">
        <f t="shared" si="66"/>
        <v>-5.1700479269072563E-2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43615</v>
      </c>
      <c r="B164" s="616">
        <v>57.402999999999999</v>
      </c>
      <c r="C164" s="389"/>
      <c r="D164" s="392">
        <f t="shared" si="48"/>
        <v>57.863748958713067</v>
      </c>
      <c r="E164" s="384">
        <f t="shared" si="70"/>
        <v>59.228228467595585</v>
      </c>
      <c r="F164" s="384">
        <f t="shared" si="49"/>
        <v>59.235447555070827</v>
      </c>
      <c r="G164" s="110">
        <f t="shared" si="71"/>
        <v>0.98073566240195742</v>
      </c>
      <c r="H164" s="413" t="b">
        <f>Wh_hp&gt;='2018'!Maxi_hp</f>
        <v>1</v>
      </c>
      <c r="I164" s="389">
        <f>IF(H164,Wh_hp,'2018'!Maxi_hp)</f>
        <v>59.235447555070827</v>
      </c>
      <c r="J164" s="85">
        <f>IF(H164,An,'2018'!An_max)</f>
        <v>2019</v>
      </c>
      <c r="K164" s="196">
        <f t="shared" si="50"/>
        <v>43615</v>
      </c>
      <c r="L164" s="147">
        <f>IF(t&lt;Tvie,1-EXP((T0-t)*PertePVj)+'2018'!Pspv,1-EXP((T0-t)*PertePVj)+Pspv)</f>
        <v>7.9626530773493354E-3</v>
      </c>
      <c r="M164" s="847"/>
      <c r="N164" s="847"/>
      <c r="O164" s="48">
        <f>IF(t&lt;Tnet,'2018'!Resal+('2018'!Salim-'2018'!Resal)*(1-EXP(('2018'!Tnet-t)/('2018'!Tau_j))),Resal+(Salim-Resal)*(1-EXP((Tnet-t)/(Tau_j))))*Salcycl</f>
        <v>2.3037655256378915E-2</v>
      </c>
      <c r="P164" s="168">
        <f>(INDEX(Models!$BJ164:$BT164,,T164)*(1-R164)+INDEX(Models!$BJ164:$BT164,,T164+1)*R164-ERP_i)*Q164*Ramure*Pc/MaxiM</f>
        <v>1.2531931413479759E-4</v>
      </c>
      <c r="Q164" s="304">
        <f t="shared" si="51"/>
        <v>0.5</v>
      </c>
      <c r="R164" s="176">
        <f t="shared" si="52"/>
        <v>0.95122075809497997</v>
      </c>
      <c r="S164" s="814">
        <f t="shared" si="53"/>
        <v>-1</v>
      </c>
      <c r="T164" s="175">
        <f t="shared" si="54"/>
        <v>5</v>
      </c>
      <c r="U164" s="250">
        <f t="shared" si="55"/>
        <v>-4.8779241905020032E-2</v>
      </c>
      <c r="V164" s="382">
        <f t="shared" si="56"/>
        <v>58.530350467551244</v>
      </c>
      <c r="W164" s="58"/>
      <c r="X164" s="157">
        <f t="shared" si="57"/>
        <v>43615</v>
      </c>
      <c r="Y164" s="384">
        <f t="shared" si="58"/>
        <v>57.402999999999999</v>
      </c>
      <c r="Z164" s="384">
        <f t="shared" si="59"/>
        <v>57.863748958713067</v>
      </c>
      <c r="AA164" s="385">
        <f t="shared" si="60"/>
        <v>59.228228467595585</v>
      </c>
      <c r="AB164" s="196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2.3037655256378915E-2</v>
      </c>
      <c r="AD164" s="230">
        <f>(INDEX(Models!$BJ164:$BT164,,AH164)*(1-AF164)+INDEX(Models!$BJ164:$BT164,,AH164+1)*AF164-ERP_i)*AE164*Ramure*Pc/MaxiM</f>
        <v>1.2531931413479759E-4</v>
      </c>
      <c r="AE164" s="304">
        <f t="shared" si="62"/>
        <v>0.5</v>
      </c>
      <c r="AF164" s="176">
        <f t="shared" si="63"/>
        <v>0.95122075809497997</v>
      </c>
      <c r="AG164" s="175">
        <f t="shared" si="64"/>
        <v>-1</v>
      </c>
      <c r="AH164" s="175">
        <f t="shared" si="65"/>
        <v>5</v>
      </c>
      <c r="AI164" s="224">
        <f t="shared" si="66"/>
        <v>-4.8779241905020032E-2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43616</v>
      </c>
      <c r="B165" s="616">
        <v>58.332999999999998</v>
      </c>
      <c r="C165" s="389"/>
      <c r="D165" s="392">
        <f t="shared" si="48"/>
        <v>58.802501590638492</v>
      </c>
      <c r="E165" s="384">
        <f t="shared" si="70"/>
        <v>60.193276313681821</v>
      </c>
      <c r="F165" s="384">
        <f t="shared" si="49"/>
        <v>60.201047487090179</v>
      </c>
      <c r="G165" s="110">
        <f t="shared" si="71"/>
        <v>0.99725935635974872</v>
      </c>
      <c r="H165" s="413" t="b">
        <f>Wh_hp&gt;='2018'!Maxi_hp</f>
        <v>1</v>
      </c>
      <c r="I165" s="389">
        <f>IF(H165,Wh_hp,'2018'!Maxi_hp)</f>
        <v>60.201047487090179</v>
      </c>
      <c r="J165" s="85">
        <f>IF(H165,An,'2018'!An_max)</f>
        <v>2019</v>
      </c>
      <c r="K165" s="196">
        <f t="shared" si="50"/>
        <v>43616</v>
      </c>
      <c r="L165" s="147">
        <f>IF(t&lt;Tvie,1-EXP((T0-t)*PertePVj)+'2018'!Pspv,1-EXP((T0-t)*PertePVj)+Pspv)</f>
        <v>7.9843812412436765E-3</v>
      </c>
      <c r="M165" s="847"/>
      <c r="N165" s="847"/>
      <c r="O165" s="48">
        <f>IF(t&lt;Tnet,'2018'!Resal+('2018'!Salim-'2018'!Resal)*(1-EXP(('2018'!Tnet-t)/('2018'!Tau_j))),Resal+(Salim-Resal)*(1-EXP((Tnet-t)/(Tau_j))))*Salcycl</f>
        <v>2.3105150744672249E-2</v>
      </c>
      <c r="P165" s="168">
        <f>(INDEX(Models!$BJ165:$BT165,,T165)*(1-R165)+INDEX(Models!$BJ165:$BT165,,T165+1)*R165-ERP_i)*Q165*Ramure*Pc/MaxiM</f>
        <v>1.295943077810518E-4</v>
      </c>
      <c r="Q165" s="304">
        <f t="shared" si="51"/>
        <v>0.5</v>
      </c>
      <c r="R165" s="176">
        <f t="shared" si="52"/>
        <v>0.95416879602475602</v>
      </c>
      <c r="S165" s="814">
        <f t="shared" si="53"/>
        <v>-1</v>
      </c>
      <c r="T165" s="175">
        <f t="shared" si="54"/>
        <v>5</v>
      </c>
      <c r="U165" s="250">
        <f t="shared" si="55"/>
        <v>-4.5831203975244039E-2</v>
      </c>
      <c r="V165" s="382">
        <f t="shared" si="56"/>
        <v>58.49327963900167</v>
      </c>
      <c r="W165" s="58"/>
      <c r="X165" s="157">
        <f t="shared" si="57"/>
        <v>43616</v>
      </c>
      <c r="Y165" s="384">
        <f t="shared" si="58"/>
        <v>58.332999999999998</v>
      </c>
      <c r="Z165" s="384">
        <f t="shared" si="59"/>
        <v>58.802501590638492</v>
      </c>
      <c r="AA165" s="385">
        <f t="shared" si="60"/>
        <v>60.193276313681821</v>
      </c>
      <c r="AB165" s="196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2.3105150744672249E-2</v>
      </c>
      <c r="AD165" s="230">
        <f>(INDEX(Models!$BJ165:$BT165,,AH165)*(1-AF165)+INDEX(Models!$BJ165:$BT165,,AH165+1)*AF165-ERP_i)*AE165*Ramure*Pc/MaxiM</f>
        <v>1.295943077810518E-4</v>
      </c>
      <c r="AE165" s="304">
        <f t="shared" si="62"/>
        <v>0.5</v>
      </c>
      <c r="AF165" s="176">
        <f t="shared" si="63"/>
        <v>0.95416879602475602</v>
      </c>
      <c r="AG165" s="175">
        <f t="shared" si="64"/>
        <v>-1</v>
      </c>
      <c r="AH165" s="175">
        <f t="shared" si="65"/>
        <v>5</v>
      </c>
      <c r="AI165" s="224">
        <f t="shared" si="66"/>
        <v>-4.5831203975244039E-2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43617</v>
      </c>
      <c r="B166" s="616">
        <v>59.13</v>
      </c>
      <c r="C166" s="389"/>
      <c r="D166" s="392">
        <f t="shared" si="48"/>
        <v>59.607221911593328</v>
      </c>
      <c r="E166" s="384">
        <f t="shared" si="70"/>
        <v>61.021238897369415</v>
      </c>
      <c r="F166" s="384">
        <f t="shared" si="49"/>
        <v>61.029409506694016</v>
      </c>
      <c r="G166" s="110">
        <f t="shared" si="71"/>
        <v>1.0115891915483697</v>
      </c>
      <c r="H166" s="413" t="b">
        <f>Wh_hp&gt;='2018'!Maxi_hp</f>
        <v>1</v>
      </c>
      <c r="I166" s="389">
        <f>IF(H166,Wh_hp,'2018'!Maxi_hp)</f>
        <v>61.029409506694016</v>
      </c>
      <c r="J166" s="85">
        <f>IF(H166,An,'2018'!An_max)</f>
        <v>2019</v>
      </c>
      <c r="K166" s="196">
        <f t="shared" si="50"/>
        <v>43617</v>
      </c>
      <c r="L166" s="147">
        <f>IF(t&lt;Tvie,1-EXP((T0-t)*PertePVj)+'2018'!Pspv,1-EXP((T0-t)*PertePVj)+Pspv)</f>
        <v>8.0061089292354781E-3</v>
      </c>
      <c r="M166" s="847"/>
      <c r="N166" s="847"/>
      <c r="O166" s="48">
        <f>IF(t&lt;Tnet,'2018'!Resal+('2018'!Salim-'2018'!Resal)*(1-EXP(('2018'!Tnet-t)/('2018'!Tau_j))),Resal+(Salim-Resal)*(1-EXP((Tnet-t)/(Tau_j))))*Salcycl</f>
        <v>2.317253814125764E-2</v>
      </c>
      <c r="P166" s="168">
        <f>(INDEX(Models!$BJ166:$BT166,,T166)*(1-R166)+INDEX(Models!$BJ166:$BT166,,T166+1)*R166-ERP_i)*Q166*Ramure*Pc/MaxiM</f>
        <v>1.3387986858533069E-4</v>
      </c>
      <c r="Q166" s="304">
        <f t="shared" si="51"/>
        <v>0.5</v>
      </c>
      <c r="R166" s="176">
        <f t="shared" si="52"/>
        <v>0.95714148287100542</v>
      </c>
      <c r="S166" s="814">
        <f t="shared" si="53"/>
        <v>-1</v>
      </c>
      <c r="T166" s="175">
        <f t="shared" si="54"/>
        <v>5</v>
      </c>
      <c r="U166" s="250">
        <f t="shared" si="55"/>
        <v>-4.2858517128994633E-2</v>
      </c>
      <c r="V166" s="382">
        <f t="shared" si="56"/>
        <v>58.452581832644725</v>
      </c>
      <c r="W166" s="58"/>
      <c r="X166" s="157">
        <f t="shared" si="57"/>
        <v>43617</v>
      </c>
      <c r="Y166" s="384">
        <f t="shared" si="58"/>
        <v>59.13</v>
      </c>
      <c r="Z166" s="384">
        <f t="shared" si="59"/>
        <v>59.607221911593328</v>
      </c>
      <c r="AA166" s="385">
        <f t="shared" si="60"/>
        <v>61.021238897369415</v>
      </c>
      <c r="AB166" s="196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2.317253814125764E-2</v>
      </c>
      <c r="AD166" s="230">
        <f>(INDEX(Models!$BJ166:$BT166,,AH166)*(1-AF166)+INDEX(Models!$BJ166:$BT166,,AH166+1)*AF166-ERP_i)*AE166*Ramure*Pc/MaxiM</f>
        <v>1.3387986858533069E-4</v>
      </c>
      <c r="AE166" s="304">
        <f t="shared" si="62"/>
        <v>0.5</v>
      </c>
      <c r="AF166" s="176">
        <f t="shared" si="63"/>
        <v>0.95714148287100542</v>
      </c>
      <c r="AG166" s="175">
        <f t="shared" si="64"/>
        <v>-1</v>
      </c>
      <c r="AH166" s="175">
        <f t="shared" si="65"/>
        <v>5</v>
      </c>
      <c r="AI166" s="224">
        <f t="shared" si="66"/>
        <v>-4.2858517128994633E-2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43618</v>
      </c>
      <c r="B167" s="616">
        <v>58.582000000000001</v>
      </c>
      <c r="C167" s="389"/>
      <c r="D167" s="392">
        <f t="shared" si="48"/>
        <v>59.056092634819848</v>
      </c>
      <c r="E167" s="384">
        <f t="shared" si="70"/>
        <v>60.461198622300692</v>
      </c>
      <c r="F167" s="384">
        <f t="shared" si="49"/>
        <v>60.469553797129123</v>
      </c>
      <c r="G167" s="110">
        <f t="shared" si="71"/>
        <v>1.0029673774080281</v>
      </c>
      <c r="H167" s="413" t="b">
        <f>Wh_hp&gt;='2018'!Maxi_hp</f>
        <v>1</v>
      </c>
      <c r="I167" s="389">
        <f>IF(H167,Wh_hp,'2018'!Maxi_hp)</f>
        <v>60.469553797129123</v>
      </c>
      <c r="J167" s="85">
        <f>IF(H167,An,'2018'!An_max)</f>
        <v>2019</v>
      </c>
      <c r="K167" s="196">
        <f t="shared" si="50"/>
        <v>43618</v>
      </c>
      <c r="L167" s="147">
        <f>IF(t&lt;Tvie,1-EXP((T0-t)*PertePVj)+'2018'!Pspv,1-EXP((T0-t)*PertePVj)+Pspv)</f>
        <v>8.0278361413351762E-3</v>
      </c>
      <c r="M167" s="847"/>
      <c r="N167" s="847"/>
      <c r="O167" s="48">
        <f>IF(t&lt;Tnet,'2018'!Resal+('2018'!Salim-'2018'!Resal)*(1-EXP(('2018'!Tnet-t)/('2018'!Tau_j))),Resal+(Salim-Resal)*(1-EXP((Tnet-t)/(Tau_j))))*Salcycl</f>
        <v>2.3239797084713808E-2</v>
      </c>
      <c r="P167" s="168">
        <f>(INDEX(Models!$BJ167:$BT167,,T167)*(1-R167)+INDEX(Models!$BJ167:$BT167,,T167+1)*R167-ERP_i)*Q167*Ramure*Pc/MaxiM</f>
        <v>1.3817159717206576E-4</v>
      </c>
      <c r="Q167" s="304">
        <f t="shared" si="51"/>
        <v>0.5</v>
      </c>
      <c r="R167" s="176">
        <f t="shared" si="52"/>
        <v>0.96013658891965292</v>
      </c>
      <c r="S167" s="814">
        <f t="shared" si="53"/>
        <v>-1</v>
      </c>
      <c r="T167" s="175">
        <f t="shared" si="54"/>
        <v>5</v>
      </c>
      <c r="U167" s="250">
        <f t="shared" si="55"/>
        <v>-3.9863411080347105E-2</v>
      </c>
      <c r="V167" s="382">
        <f t="shared" si="56"/>
        <v>58.408679404302916</v>
      </c>
      <c r="W167" s="58"/>
      <c r="X167" s="157">
        <f t="shared" si="57"/>
        <v>43618</v>
      </c>
      <c r="Y167" s="384">
        <f t="shared" si="58"/>
        <v>58.582000000000001</v>
      </c>
      <c r="Z167" s="384">
        <f t="shared" si="59"/>
        <v>59.056092634819848</v>
      </c>
      <c r="AA167" s="385">
        <f t="shared" si="60"/>
        <v>60.461198622300692</v>
      </c>
      <c r="AB167" s="196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2.3239797084713808E-2</v>
      </c>
      <c r="AD167" s="230">
        <f>(INDEX(Models!$BJ167:$BT167,,AH167)*(1-AF167)+INDEX(Models!$BJ167:$BT167,,AH167+1)*AF167-ERP_i)*AE167*Ramure*Pc/MaxiM</f>
        <v>1.3817159717206576E-4</v>
      </c>
      <c r="AE167" s="304">
        <f t="shared" si="62"/>
        <v>0.5</v>
      </c>
      <c r="AF167" s="176">
        <f t="shared" si="63"/>
        <v>0.96013658891965292</v>
      </c>
      <c r="AG167" s="175">
        <f t="shared" si="64"/>
        <v>-1</v>
      </c>
      <c r="AH167" s="175">
        <f t="shared" si="65"/>
        <v>5</v>
      </c>
      <c r="AI167" s="224">
        <f t="shared" si="66"/>
        <v>-3.9863411080347105E-2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43619</v>
      </c>
      <c r="B168" s="616">
        <v>43.506</v>
      </c>
      <c r="C168" s="389"/>
      <c r="D168" s="392">
        <f t="shared" si="48"/>
        <v>43.859046149731768</v>
      </c>
      <c r="E168" s="384">
        <f t="shared" si="70"/>
        <v>44.905658162460888</v>
      </c>
      <c r="F168" s="384">
        <f t="shared" si="49"/>
        <v>44.909729617782297</v>
      </c>
      <c r="G168" s="110">
        <f t="shared" si="71"/>
        <v>0.74541225411377743</v>
      </c>
      <c r="H168" s="413" t="b">
        <f>Wh_hp&gt;='2018'!Maxi_hp</f>
        <v>1</v>
      </c>
      <c r="I168" s="389">
        <f>IF(H168,Wh_hp,'2018'!Maxi_hp)</f>
        <v>44.909729617782297</v>
      </c>
      <c r="J168" s="85">
        <f>IF(H168,An,'2018'!An_max)</f>
        <v>2019</v>
      </c>
      <c r="K168" s="196">
        <f t="shared" si="50"/>
        <v>43619</v>
      </c>
      <c r="L168" s="147">
        <f>IF(t&lt;Tvie,1-EXP((T0-t)*PertePVj)+'2018'!Pspv,1-EXP((T0-t)*PertePVj)+Pspv)</f>
        <v>8.0495628775530959E-3</v>
      </c>
      <c r="M168" s="847"/>
      <c r="N168" s="847"/>
      <c r="O168" s="48">
        <f>IF(t&lt;Tnet,'2018'!Resal+('2018'!Salim-'2018'!Resal)*(1-EXP(('2018'!Tnet-t)/('2018'!Tau_j))),Resal+(Salim-Resal)*(1-EXP((Tnet-t)/(Tau_j))))*Salcycl</f>
        <v>2.3306907315391284E-2</v>
      </c>
      <c r="P168" s="168">
        <f>(INDEX(Models!$BJ168:$BT168,,T168)*(1-R168)+INDEX(Models!$BJ168:$BT168,,T168+1)*R168-ERP_i)*Q168*Ramure*Pc/MaxiM</f>
        <v>1.4246476143377773E-4</v>
      </c>
      <c r="Q168" s="304">
        <f t="shared" si="51"/>
        <v>0.5</v>
      </c>
      <c r="R168" s="176">
        <f t="shared" si="52"/>
        <v>0.96315181258901605</v>
      </c>
      <c r="S168" s="814">
        <f t="shared" si="53"/>
        <v>-1</v>
      </c>
      <c r="T168" s="175">
        <f t="shared" si="54"/>
        <v>5</v>
      </c>
      <c r="U168" s="250">
        <f t="shared" si="55"/>
        <v>-3.6848187410983946E-2</v>
      </c>
      <c r="V168" s="382">
        <f t="shared" si="56"/>
        <v>58.361994559040923</v>
      </c>
      <c r="W168" s="58"/>
      <c r="X168" s="157">
        <f t="shared" si="57"/>
        <v>43619</v>
      </c>
      <c r="Y168" s="384">
        <f t="shared" si="58"/>
        <v>43.506</v>
      </c>
      <c r="Z168" s="384">
        <f t="shared" si="59"/>
        <v>43.859046149731768</v>
      </c>
      <c r="AA168" s="385">
        <f t="shared" si="60"/>
        <v>44.905658162460888</v>
      </c>
      <c r="AB168" s="196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2.3306907315391284E-2</v>
      </c>
      <c r="AD168" s="230">
        <f>(INDEX(Models!$BJ168:$BT168,,AH168)*(1-AF168)+INDEX(Models!$BJ168:$BT168,,AH168+1)*AF168-ERP_i)*AE168*Ramure*Pc/MaxiM</f>
        <v>1.4246476143377773E-4</v>
      </c>
      <c r="AE168" s="304">
        <f t="shared" si="62"/>
        <v>0.5</v>
      </c>
      <c r="AF168" s="176">
        <f t="shared" si="63"/>
        <v>0.96315181258901605</v>
      </c>
      <c r="AG168" s="175">
        <f t="shared" si="64"/>
        <v>-1</v>
      </c>
      <c r="AH168" s="175">
        <f t="shared" si="65"/>
        <v>5</v>
      </c>
      <c r="AI168" s="224">
        <f t="shared" si="66"/>
        <v>-3.6848187410983946E-2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43620</v>
      </c>
      <c r="B169" s="616">
        <v>54.871000000000002</v>
      </c>
      <c r="C169" s="389"/>
      <c r="D169" s="392">
        <f t="shared" si="48"/>
        <v>55.317483402925987</v>
      </c>
      <c r="E169" s="384">
        <f t="shared" si="70"/>
        <v>56.641411181019365</v>
      </c>
      <c r="F169" s="384">
        <f t="shared" si="49"/>
        <v>56.649023658356676</v>
      </c>
      <c r="G169" s="110">
        <f t="shared" si="71"/>
        <v>0.94096288253592086</v>
      </c>
      <c r="H169" s="413" t="b">
        <f>Wh_hp&gt;='2018'!Maxi_hp</f>
        <v>1</v>
      </c>
      <c r="I169" s="389">
        <f>IF(H169,Wh_hp,'2018'!Maxi_hp)</f>
        <v>56.649023658356676</v>
      </c>
      <c r="J169" s="85">
        <f>IF(H169,An,'2018'!An_max)</f>
        <v>2019</v>
      </c>
      <c r="K169" s="196">
        <f t="shared" si="50"/>
        <v>43620</v>
      </c>
      <c r="L169" s="147">
        <f>IF(t&lt;Tvie,1-EXP((T0-t)*PertePVj)+'2018'!Pspv,1-EXP((T0-t)*PertePVj)+Pspv)</f>
        <v>8.0712891378997842E-3</v>
      </c>
      <c r="M169" s="847"/>
      <c r="N169" s="847"/>
      <c r="O169" s="48">
        <f>IF(t&lt;Tnet,'2018'!Resal+('2018'!Salim-'2018'!Resal)*(1-EXP(('2018'!Tnet-t)/('2018'!Tau_j))),Resal+(Salim-Resal)*(1-EXP((Tnet-t)/(Tau_j))))*Salcycl</f>
        <v>2.3373848752854306E-2</v>
      </c>
      <c r="P169" s="168">
        <f>(INDEX(Models!$BJ169:$BT169,,T169)*(1-R169)+INDEX(Models!$BJ169:$BT169,,T169+1)*R169-ERP_i)*Q169*Ramure*Pc/MaxiM</f>
        <v>1.4675430569400434E-4</v>
      </c>
      <c r="Q169" s="304">
        <f t="shared" si="51"/>
        <v>0.5</v>
      </c>
      <c r="R169" s="176">
        <f t="shared" si="52"/>
        <v>0.96618478710681188</v>
      </c>
      <c r="S169" s="814">
        <f t="shared" si="53"/>
        <v>-1</v>
      </c>
      <c r="T169" s="175">
        <f t="shared" si="54"/>
        <v>5</v>
      </c>
      <c r="U169" s="250">
        <f t="shared" si="55"/>
        <v>-3.3815212893188062E-2</v>
      </c>
      <c r="V169" s="382">
        <f t="shared" si="56"/>
        <v>58.312949340207346</v>
      </c>
      <c r="W169" s="58"/>
      <c r="X169" s="157">
        <f t="shared" si="57"/>
        <v>43620</v>
      </c>
      <c r="Y169" s="384">
        <f t="shared" si="58"/>
        <v>54.871000000000002</v>
      </c>
      <c r="Z169" s="384">
        <f t="shared" si="59"/>
        <v>55.317483402925987</v>
      </c>
      <c r="AA169" s="385">
        <f t="shared" si="60"/>
        <v>56.641411181019365</v>
      </c>
      <c r="AB169" s="196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2.3373848752854306E-2</v>
      </c>
      <c r="AD169" s="230">
        <f>(INDEX(Models!$BJ169:$BT169,,AH169)*(1-AF169)+INDEX(Models!$BJ169:$BT169,,AH169+1)*AF169-ERP_i)*AE169*Ramure*Pc/MaxiM</f>
        <v>1.4675430569400434E-4</v>
      </c>
      <c r="AE169" s="304">
        <f t="shared" si="62"/>
        <v>0.5</v>
      </c>
      <c r="AF169" s="176">
        <f t="shared" si="63"/>
        <v>0.96618478710681188</v>
      </c>
      <c r="AG169" s="175">
        <f t="shared" si="64"/>
        <v>-1</v>
      </c>
      <c r="AH169" s="175">
        <f t="shared" si="65"/>
        <v>5</v>
      </c>
      <c r="AI169" s="224">
        <f t="shared" si="66"/>
        <v>-3.3815212893188062E-2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43621</v>
      </c>
      <c r="B170" s="616">
        <v>10.288</v>
      </c>
      <c r="C170" s="389"/>
      <c r="D170" s="392">
        <f t="shared" si="48"/>
        <v>10.371940267357818</v>
      </c>
      <c r="E170" s="384">
        <f t="shared" ref="E170:E232" si="73">Wh_pvt/(1-Psa)</f>
        <v>10.620900565877157</v>
      </c>
      <c r="F170" s="384">
        <f t="shared" si="49"/>
        <v>10.620900565877157</v>
      </c>
      <c r="G170" s="110">
        <f t="shared" ref="G170:G232" si="74">+Wh_hp/MaxiM</f>
        <v>0.1765550825823809</v>
      </c>
      <c r="H170" s="413" t="b">
        <f>Wh_hp&gt;='2018'!Maxi_hp</f>
        <v>1</v>
      </c>
      <c r="I170" s="389">
        <f>IF(H170,Wh_hp,'2018'!Maxi_hp)</f>
        <v>10.620900565877157</v>
      </c>
      <c r="J170" s="85">
        <f>IF(H170,An,'2018'!An_max)</f>
        <v>2019</v>
      </c>
      <c r="K170" s="196">
        <f t="shared" si="50"/>
        <v>43621</v>
      </c>
      <c r="L170" s="147">
        <f>IF(t&lt;Tvie,1-EXP((T0-t)*PertePVj)+'2018'!Pspv,1-EXP((T0-t)*PertePVj)+Pspv)</f>
        <v>8.0930149223855663E-3</v>
      </c>
      <c r="M170" s="847"/>
      <c r="N170" s="847"/>
      <c r="O170" s="48">
        <f>IF(t&lt;Tnet,'2018'!Resal+('2018'!Salim-'2018'!Resal)*(1-EXP(('2018'!Tnet-t)/('2018'!Tau_j))),Resal+(Salim-Resal)*(1-EXP((Tnet-t)/(Tau_j))))*Salcycl</f>
        <v>2.3440601573768611E-2</v>
      </c>
      <c r="P170" s="168">
        <f>(INDEX(Models!$BJ170:$BT170,,T170)*(1-R170)+INDEX(Models!$BJ170:$BT170,,T170+1)*R170-ERP_i)*Q170*Ramure*Pc/MaxiM</f>
        <v>1.5097208885406002E-4</v>
      </c>
      <c r="Q170" s="304">
        <f t="shared" si="51"/>
        <v>0.5</v>
      </c>
      <c r="R170" s="176">
        <f t="shared" si="52"/>
        <v>0.96923308762897509</v>
      </c>
      <c r="S170" s="814">
        <f t="shared" si="53"/>
        <v>-1</v>
      </c>
      <c r="T170" s="175">
        <f t="shared" si="54"/>
        <v>5</v>
      </c>
      <c r="U170" s="250">
        <f t="shared" si="55"/>
        <v>-3.0766912371024913E-2</v>
      </c>
      <c r="V170" s="382">
        <f t="shared" si="56"/>
        <v>58.26196928853745</v>
      </c>
      <c r="W170" s="58"/>
      <c r="X170" s="157">
        <f t="shared" si="57"/>
        <v>43621</v>
      </c>
      <c r="Y170" s="384">
        <f t="shared" si="58"/>
        <v>10.288</v>
      </c>
      <c r="Z170" s="384">
        <f t="shared" si="59"/>
        <v>10.371940267357818</v>
      </c>
      <c r="AA170" s="385">
        <f t="shared" si="60"/>
        <v>10.620900565877157</v>
      </c>
      <c r="AB170" s="196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2.3440601573768611E-2</v>
      </c>
      <c r="AD170" s="230">
        <f>(INDEX(Models!$BJ170:$BT170,,AH170)*(1-AF170)+INDEX(Models!$BJ170:$BT170,,AH170+1)*AF170-ERP_i)*AE170*Ramure*Pc/MaxiM</f>
        <v>1.5097208885406002E-4</v>
      </c>
      <c r="AE170" s="304">
        <f t="shared" si="62"/>
        <v>0.5</v>
      </c>
      <c r="AF170" s="176">
        <f t="shared" si="63"/>
        <v>0.96923308762897509</v>
      </c>
      <c r="AG170" s="175">
        <f t="shared" si="64"/>
        <v>-1</v>
      </c>
      <c r="AH170" s="175">
        <f t="shared" si="65"/>
        <v>5</v>
      </c>
      <c r="AI170" s="224">
        <f t="shared" si="66"/>
        <v>-3.0766912371024913E-2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43622</v>
      </c>
      <c r="B171" s="616">
        <v>56.466999999999999</v>
      </c>
      <c r="C171" s="389"/>
      <c r="D171" s="392">
        <f t="shared" si="48"/>
        <v>56.928963752472526</v>
      </c>
      <c r="E171" s="384">
        <f t="shared" si="73"/>
        <v>58.299416668709917</v>
      </c>
      <c r="F171" s="384">
        <f t="shared" si="49"/>
        <v>58.308075737012821</v>
      </c>
      <c r="G171" s="110">
        <f t="shared" si="74"/>
        <v>0.97005901178183607</v>
      </c>
      <c r="H171" s="413" t="b">
        <f>Wh_hp&gt;='2018'!Maxi_hp</f>
        <v>1</v>
      </c>
      <c r="I171" s="389">
        <f>IF(H171,Wh_hp,'2018'!Maxi_hp)</f>
        <v>58.308075737012821</v>
      </c>
      <c r="J171" s="85">
        <f>IF(H171,An,'2018'!An_max)</f>
        <v>2019</v>
      </c>
      <c r="K171" s="196">
        <f t="shared" si="50"/>
        <v>43622</v>
      </c>
      <c r="L171" s="147">
        <f>IF(t&lt;Tvie,1-EXP((T0-t)*PertePVj)+'2018'!Pspv,1-EXP((T0-t)*PertePVj)+Pspv)</f>
        <v>8.1147402310209893E-3</v>
      </c>
      <c r="M171" s="847"/>
      <c r="N171" s="847"/>
      <c r="O171" s="48">
        <f>IF(t&lt;Tnet,'2018'!Resal+('2018'!Salim-'2018'!Resal)*(1-EXP(('2018'!Tnet-t)/('2018'!Tau_j))),Resal+(Salim-Resal)*(1-EXP((Tnet-t)/(Tau_j))))*Salcycl</f>
        <v>2.350714628973169E-2</v>
      </c>
      <c r="P171" s="168">
        <f>(INDEX(Models!$BJ171:$BT171,,T171)*(1-R171)+INDEX(Models!$BJ171:$BT171,,T171+1)*R171-ERP_i)*Q171*Ramure*Pc/MaxiM</f>
        <v>1.551398159163511E-4</v>
      </c>
      <c r="Q171" s="304">
        <f t="shared" si="51"/>
        <v>0.5</v>
      </c>
      <c r="R171" s="176">
        <f t="shared" si="52"/>
        <v>0.97229423875725907</v>
      </c>
      <c r="S171" s="814">
        <f t="shared" si="53"/>
        <v>-1</v>
      </c>
      <c r="T171" s="175">
        <f t="shared" si="54"/>
        <v>5</v>
      </c>
      <c r="U171" s="250">
        <f t="shared" si="55"/>
        <v>-2.7705761242740934E-2</v>
      </c>
      <c r="V171" s="382">
        <f t="shared" si="56"/>
        <v>58.209474513447475</v>
      </c>
      <c r="W171" s="58"/>
      <c r="X171" s="157">
        <f t="shared" si="57"/>
        <v>43622</v>
      </c>
      <c r="Y171" s="384">
        <f t="shared" si="58"/>
        <v>56.466999999999999</v>
      </c>
      <c r="Z171" s="384">
        <f t="shared" si="59"/>
        <v>56.928963752472526</v>
      </c>
      <c r="AA171" s="385">
        <f t="shared" si="60"/>
        <v>58.299416668709917</v>
      </c>
      <c r="AB171" s="196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2.350714628973169E-2</v>
      </c>
      <c r="AD171" s="230">
        <f>(INDEX(Models!$BJ171:$BT171,,AH171)*(1-AF171)+INDEX(Models!$BJ171:$BT171,,AH171+1)*AF171-ERP_i)*AE171*Ramure*Pc/MaxiM</f>
        <v>1.551398159163511E-4</v>
      </c>
      <c r="AE171" s="304">
        <f t="shared" si="62"/>
        <v>0.5</v>
      </c>
      <c r="AF171" s="176">
        <f t="shared" si="63"/>
        <v>0.97229423875725907</v>
      </c>
      <c r="AG171" s="175">
        <f t="shared" si="64"/>
        <v>-1</v>
      </c>
      <c r="AH171" s="175">
        <f t="shared" si="65"/>
        <v>5</v>
      </c>
      <c r="AI171" s="224">
        <f t="shared" si="66"/>
        <v>-2.7705761242740934E-2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43623</v>
      </c>
      <c r="B172" s="616">
        <v>19.942</v>
      </c>
      <c r="C172" s="389"/>
      <c r="D172" s="392">
        <f t="shared" si="48"/>
        <v>20.105588417748478</v>
      </c>
      <c r="E172" s="384">
        <f t="shared" si="73"/>
        <v>20.590989360550729</v>
      </c>
      <c r="F172" s="384">
        <f t="shared" si="49"/>
        <v>20.591190353584764</v>
      </c>
      <c r="G172" s="110">
        <f t="shared" si="74"/>
        <v>0.34285469651429523</v>
      </c>
      <c r="H172" s="413" t="b">
        <f>Wh_hp&gt;='2018'!Maxi_hp</f>
        <v>1</v>
      </c>
      <c r="I172" s="389">
        <f>IF(H172,Wh_hp,'2018'!Maxi_hp)</f>
        <v>20.591190353584764</v>
      </c>
      <c r="J172" s="85">
        <f>IF(H172,An,'2018'!An_max)</f>
        <v>2019</v>
      </c>
      <c r="K172" s="196">
        <f t="shared" si="50"/>
        <v>43623</v>
      </c>
      <c r="L172" s="147">
        <f>IF(t&lt;Tvie,1-EXP((T0-t)*PertePVj)+'2018'!Pspv,1-EXP((T0-t)*PertePVj)+Pspv)</f>
        <v>8.1364650638162672E-3</v>
      </c>
      <c r="M172" s="847"/>
      <c r="N172" s="847"/>
      <c r="O172" s="48">
        <f>IF(t&lt;Tnet,'2018'!Resal+('2018'!Salim-'2018'!Resal)*(1-EXP(('2018'!Tnet-t)/('2018'!Tau_j))),Resal+(Salim-Resal)*(1-EXP((Tnet-t)/(Tau_j))))*Salcycl</f>
        <v>2.3573463824531168E-2</v>
      </c>
      <c r="P172" s="168">
        <f>(INDEX(Models!$BJ172:$BT172,,T172)*(1-R172)+INDEX(Models!$BJ172:$BT172,,T172+1)*R172-ERP_i)*Q172*Ramure*Pc/MaxiM</f>
        <v>1.5925020212317401E-4</v>
      </c>
      <c r="Q172" s="304">
        <f t="shared" si="51"/>
        <v>0.5</v>
      </c>
      <c r="R172" s="176">
        <f t="shared" si="52"/>
        <v>0.97536572240795461</v>
      </c>
      <c r="S172" s="814">
        <f t="shared" si="53"/>
        <v>-1</v>
      </c>
      <c r="T172" s="175">
        <f t="shared" si="54"/>
        <v>5</v>
      </c>
      <c r="U172" s="250">
        <f t="shared" si="55"/>
        <v>-2.4634277592045339E-2</v>
      </c>
      <c r="V172" s="382">
        <f t="shared" si="56"/>
        <v>58.155886625718672</v>
      </c>
      <c r="W172" s="58"/>
      <c r="X172" s="157">
        <f t="shared" si="57"/>
        <v>43623</v>
      </c>
      <c r="Y172" s="384">
        <f t="shared" si="58"/>
        <v>19.942</v>
      </c>
      <c r="Z172" s="384">
        <f t="shared" si="59"/>
        <v>20.105588417748478</v>
      </c>
      <c r="AA172" s="385">
        <f t="shared" si="60"/>
        <v>20.590989360550729</v>
      </c>
      <c r="AB172" s="196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2.3573463824531168E-2</v>
      </c>
      <c r="AD172" s="230">
        <f>(INDEX(Models!$BJ172:$BT172,,AH172)*(1-AF172)+INDEX(Models!$BJ172:$BT172,,AH172+1)*AF172-ERP_i)*AE172*Ramure*Pc/MaxiM</f>
        <v>1.5925020212317401E-4</v>
      </c>
      <c r="AE172" s="304">
        <f t="shared" si="62"/>
        <v>0.5</v>
      </c>
      <c r="AF172" s="176">
        <f t="shared" si="63"/>
        <v>0.97536572240795461</v>
      </c>
      <c r="AG172" s="175">
        <f t="shared" si="64"/>
        <v>-1</v>
      </c>
      <c r="AH172" s="175">
        <f t="shared" si="65"/>
        <v>5</v>
      </c>
      <c r="AI172" s="224">
        <f t="shared" si="66"/>
        <v>-2.4634277592045339E-2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43624</v>
      </c>
      <c r="B173" s="616">
        <v>59.862000000000002</v>
      </c>
      <c r="C173" s="389"/>
      <c r="D173" s="392">
        <f t="shared" si="48"/>
        <v>60.354382484684386</v>
      </c>
      <c r="E173" s="384">
        <f t="shared" si="73"/>
        <v>61.815676366181862</v>
      </c>
      <c r="F173" s="384">
        <f t="shared" si="49"/>
        <v>61.825772248847073</v>
      </c>
      <c r="G173" s="110">
        <f t="shared" si="74"/>
        <v>1.0302981694537248</v>
      </c>
      <c r="H173" s="413" t="b">
        <f>Wh_hp&gt;='2018'!Maxi_hp</f>
        <v>1</v>
      </c>
      <c r="I173" s="389">
        <f>IF(H173,Wh_hp,'2018'!Maxi_hp)</f>
        <v>61.825772248847073</v>
      </c>
      <c r="J173" s="85">
        <f>IF(H173,An,'2018'!An_max)</f>
        <v>2019</v>
      </c>
      <c r="K173" s="196">
        <f t="shared" si="50"/>
        <v>43624</v>
      </c>
      <c r="L173" s="147">
        <f>IF(t&lt;Tvie,1-EXP((T0-t)*PertePVj)+'2018'!Pspv,1-EXP((T0-t)*PertePVj)+Pspv)</f>
        <v>8.1581894207820582E-3</v>
      </c>
      <c r="M173" s="847"/>
      <c r="N173" s="847"/>
      <c r="O173" s="48">
        <f>IF(t&lt;Tnet,'2018'!Resal+('2018'!Salim-'2018'!Resal)*(1-EXP(('2018'!Tnet-t)/('2018'!Tau_j))),Resal+(Salim-Resal)*(1-EXP((Tnet-t)/(Tau_j))))*Salcycl</f>
        <v>2.3639535590310557E-2</v>
      </c>
      <c r="P173" s="168">
        <f>(INDEX(Models!$BJ173:$BT173,,T173)*(1-R173)+INDEX(Models!$BJ173:$BT173,,T173+1)*R173-ERP_i)*Q173*Ramure*Pc/MaxiM</f>
        <v>1.6329569850853694E-4</v>
      </c>
      <c r="Q173" s="304">
        <f t="shared" si="51"/>
        <v>0.5</v>
      </c>
      <c r="R173" s="176">
        <f t="shared" si="52"/>
        <v>0.97844498597991458</v>
      </c>
      <c r="S173" s="814">
        <f t="shared" si="53"/>
        <v>-1</v>
      </c>
      <c r="T173" s="175">
        <f t="shared" si="54"/>
        <v>5</v>
      </c>
      <c r="U173" s="250">
        <f t="shared" si="55"/>
        <v>-2.1555014020085445E-2</v>
      </c>
      <c r="V173" s="382">
        <f t="shared" si="56"/>
        <v>58.101627057863723</v>
      </c>
      <c r="W173" s="58"/>
      <c r="X173" s="157">
        <f t="shared" si="57"/>
        <v>43624</v>
      </c>
      <c r="Y173" s="384">
        <f t="shared" si="58"/>
        <v>59.862000000000002</v>
      </c>
      <c r="Z173" s="384">
        <f t="shared" si="59"/>
        <v>60.354382484684386</v>
      </c>
      <c r="AA173" s="385">
        <f t="shared" si="60"/>
        <v>61.815676366181862</v>
      </c>
      <c r="AB173" s="196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2.3639535590310557E-2</v>
      </c>
      <c r="AD173" s="230">
        <f>(INDEX(Models!$BJ173:$BT173,,AH173)*(1-AF173)+INDEX(Models!$BJ173:$BT173,,AH173+1)*AF173-ERP_i)*AE173*Ramure*Pc/MaxiM</f>
        <v>1.6329569850853694E-4</v>
      </c>
      <c r="AE173" s="304">
        <f t="shared" si="62"/>
        <v>0.5</v>
      </c>
      <c r="AF173" s="176">
        <f t="shared" si="63"/>
        <v>0.97844498597991458</v>
      </c>
      <c r="AG173" s="175">
        <f t="shared" si="64"/>
        <v>-1</v>
      </c>
      <c r="AH173" s="175">
        <f t="shared" si="65"/>
        <v>5</v>
      </c>
      <c r="AI173" s="224">
        <f t="shared" si="66"/>
        <v>-2.1555014020085445E-2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43625</v>
      </c>
      <c r="B174" s="616">
        <v>50.18</v>
      </c>
      <c r="C174" s="389"/>
      <c r="D174" s="392">
        <f t="shared" si="48"/>
        <v>50.593853333881647</v>
      </c>
      <c r="E174" s="384">
        <f t="shared" si="73"/>
        <v>51.822319215060482</v>
      </c>
      <c r="F174" s="384">
        <f t="shared" si="49"/>
        <v>51.829310106828679</v>
      </c>
      <c r="G174" s="110">
        <f t="shared" si="74"/>
        <v>0.86444215006023273</v>
      </c>
      <c r="H174" s="413" t="b">
        <f>Wh_hp&gt;='2018'!Maxi_hp</f>
        <v>1</v>
      </c>
      <c r="I174" s="389">
        <f>IF(H174,Wh_hp,'2018'!Maxi_hp)</f>
        <v>51.829310106828679</v>
      </c>
      <c r="J174" s="85">
        <f>IF(H174,An,'2018'!An_max)</f>
        <v>2019</v>
      </c>
      <c r="K174" s="196">
        <f t="shared" si="50"/>
        <v>43625</v>
      </c>
      <c r="L174" s="147">
        <f>IF(t&lt;Tvie,1-EXP((T0-t)*PertePVj)+'2018'!Pspv,1-EXP((T0-t)*PertePVj)+Pspv)</f>
        <v>8.1799133019286874E-3</v>
      </c>
      <c r="M174" s="847"/>
      <c r="N174" s="847"/>
      <c r="O174" s="48">
        <f>IF(t&lt;Tnet,'2018'!Resal+('2018'!Salim-'2018'!Resal)*(1-EXP(('2018'!Tnet-t)/('2018'!Tau_j))),Resal+(Salim-Resal)*(1-EXP((Tnet-t)/(Tau_j))))*Salcycl</f>
        <v>2.3705343562119476E-2</v>
      </c>
      <c r="P174" s="168">
        <f>(INDEX(Models!$BJ174:$BT174,,T174)*(1-R174)+INDEX(Models!$BJ174:$BT174,,T174+1)*R174-ERP_i)*Q174*Ramure*Pc/MaxiM</f>
        <v>1.6726851820571766E-4</v>
      </c>
      <c r="Q174" s="304">
        <f t="shared" si="51"/>
        <v>0.5</v>
      </c>
      <c r="R174" s="176">
        <f t="shared" si="52"/>
        <v>0.98152945076649811</v>
      </c>
      <c r="S174" s="814">
        <f t="shared" si="53"/>
        <v>-1</v>
      </c>
      <c r="T174" s="175">
        <f t="shared" si="54"/>
        <v>5</v>
      </c>
      <c r="U174" s="250">
        <f t="shared" si="55"/>
        <v>-1.8470549233501915E-2</v>
      </c>
      <c r="V174" s="382">
        <f t="shared" si="56"/>
        <v>58.047117058022167</v>
      </c>
      <c r="W174" s="58"/>
      <c r="X174" s="157">
        <f t="shared" si="57"/>
        <v>43625</v>
      </c>
      <c r="Y174" s="384">
        <f t="shared" si="58"/>
        <v>50.18</v>
      </c>
      <c r="Z174" s="384">
        <f t="shared" si="59"/>
        <v>50.593853333881647</v>
      </c>
      <c r="AA174" s="385">
        <f t="shared" si="60"/>
        <v>51.822319215060482</v>
      </c>
      <c r="AB174" s="196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2.3705343562119476E-2</v>
      </c>
      <c r="AD174" s="230">
        <f>(INDEX(Models!$BJ174:$BT174,,AH174)*(1-AF174)+INDEX(Models!$BJ174:$BT174,,AH174+1)*AF174-ERP_i)*AE174*Ramure*Pc/MaxiM</f>
        <v>1.6726851820571766E-4</v>
      </c>
      <c r="AE174" s="304">
        <f t="shared" si="62"/>
        <v>0.5</v>
      </c>
      <c r="AF174" s="176">
        <f t="shared" si="63"/>
        <v>0.98152945076649811</v>
      </c>
      <c r="AG174" s="175">
        <f t="shared" si="64"/>
        <v>-1</v>
      </c>
      <c r="AH174" s="175">
        <f t="shared" si="65"/>
        <v>5</v>
      </c>
      <c r="AI174" s="224">
        <f t="shared" si="66"/>
        <v>-1.8470549233501915E-2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43626</v>
      </c>
      <c r="B175" s="616">
        <v>23.998000000000001</v>
      </c>
      <c r="C175" s="389"/>
      <c r="D175" s="392">
        <f t="shared" si="48"/>
        <v>24.196450496578294</v>
      </c>
      <c r="E175" s="384">
        <f t="shared" si="73"/>
        <v>24.785626408486092</v>
      </c>
      <c r="F175" s="384">
        <f t="shared" si="49"/>
        <v>24.786316169912393</v>
      </c>
      <c r="G175" s="110">
        <f t="shared" si="74"/>
        <v>0.41375083539733826</v>
      </c>
      <c r="H175" s="413" t="b">
        <f>Wh_hp&gt;='2018'!Maxi_hp</f>
        <v>1</v>
      </c>
      <c r="I175" s="389">
        <f>IF(H175,Wh_hp,'2018'!Maxi_hp)</f>
        <v>24.786316169912393</v>
      </c>
      <c r="J175" s="85">
        <f>IF(H175,An,'2018'!An_max)</f>
        <v>2019</v>
      </c>
      <c r="K175" s="196">
        <f t="shared" si="50"/>
        <v>43626</v>
      </c>
      <c r="L175" s="147">
        <f>IF(t&lt;Tvie,1-EXP((T0-t)*PertePVj)+'2018'!Pspv,1-EXP((T0-t)*PertePVj)+Pspv)</f>
        <v>8.2016367072664798E-3</v>
      </c>
      <c r="M175" s="847"/>
      <c r="N175" s="847"/>
      <c r="O175" s="48">
        <f>IF(t&lt;Tnet,'2018'!Resal+('2018'!Salim-'2018'!Resal)*(1-EXP(('2018'!Tnet-t)/('2018'!Tau_j))),Resal+(Salim-Resal)*(1-EXP((Tnet-t)/(Tau_j))))*Salcycl</f>
        <v>2.3770870350328467E-2</v>
      </c>
      <c r="P175" s="168">
        <f>(INDEX(Models!$BJ175:$BT175,,T175)*(1-R175)+INDEX(Models!$BJ175:$BT175,,T175+1)*R175-ERP_i)*Q175*Ramure*Pc/MaxiM</f>
        <v>1.7116066487326816E-4</v>
      </c>
      <c r="Q175" s="304">
        <f t="shared" si="51"/>
        <v>0.5</v>
      </c>
      <c r="R175" s="176">
        <f t="shared" si="52"/>
        <v>0.984616520553105</v>
      </c>
      <c r="S175" s="814">
        <f t="shared" si="53"/>
        <v>-1</v>
      </c>
      <c r="T175" s="175">
        <f t="shared" si="54"/>
        <v>5</v>
      </c>
      <c r="U175" s="250">
        <f t="shared" si="55"/>
        <v>-1.5383479446894999E-2</v>
      </c>
      <c r="V175" s="382">
        <f t="shared" si="56"/>
        <v>57.992777685907036</v>
      </c>
      <c r="W175" s="58"/>
      <c r="X175" s="157">
        <f t="shared" si="57"/>
        <v>43626</v>
      </c>
      <c r="Y175" s="384">
        <f t="shared" si="58"/>
        <v>23.998000000000001</v>
      </c>
      <c r="Z175" s="384">
        <f t="shared" si="59"/>
        <v>24.196450496578294</v>
      </c>
      <c r="AA175" s="385">
        <f t="shared" si="60"/>
        <v>24.785626408486092</v>
      </c>
      <c r="AB175" s="196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2.3770870350328467E-2</v>
      </c>
      <c r="AD175" s="230">
        <f>(INDEX(Models!$BJ175:$BT175,,AH175)*(1-AF175)+INDEX(Models!$BJ175:$BT175,,AH175+1)*AF175-ERP_i)*AE175*Ramure*Pc/MaxiM</f>
        <v>1.7116066487326816E-4</v>
      </c>
      <c r="AE175" s="304">
        <f t="shared" si="62"/>
        <v>0.5</v>
      </c>
      <c r="AF175" s="176">
        <f t="shared" si="63"/>
        <v>0.984616520553105</v>
      </c>
      <c r="AG175" s="175">
        <f t="shared" si="64"/>
        <v>-1</v>
      </c>
      <c r="AH175" s="175">
        <f t="shared" si="65"/>
        <v>5</v>
      </c>
      <c r="AI175" s="224">
        <f t="shared" si="66"/>
        <v>-1.5383479446894999E-2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43627</v>
      </c>
      <c r="B176" s="616">
        <v>29.811</v>
      </c>
      <c r="C176" s="389"/>
      <c r="D176" s="392">
        <f t="shared" si="48"/>
        <v>30.058179217735002</v>
      </c>
      <c r="E176" s="384">
        <f t="shared" si="73"/>
        <v>30.792143814444394</v>
      </c>
      <c r="F176" s="384">
        <f t="shared" si="49"/>
        <v>30.793794973537548</v>
      </c>
      <c r="G176" s="110">
        <f t="shared" si="74"/>
        <v>0.51446119334896201</v>
      </c>
      <c r="H176" s="413" t="b">
        <f>Wh_hp&gt;='2018'!Maxi_hp</f>
        <v>1</v>
      </c>
      <c r="I176" s="389">
        <f>IF(H176,Wh_hp,'2018'!Maxi_hp)</f>
        <v>30.793794973537548</v>
      </c>
      <c r="J176" s="85">
        <f>IF(H176,An,'2018'!An_max)</f>
        <v>2019</v>
      </c>
      <c r="K176" s="196">
        <f t="shared" si="50"/>
        <v>43627</v>
      </c>
      <c r="L176" s="147">
        <f>IF(t&lt;Tvie,1-EXP((T0-t)*PertePVj)+'2018'!Pspv,1-EXP((T0-t)*PertePVj)+Pspv)</f>
        <v>8.2233596368059825E-3</v>
      </c>
      <c r="M176" s="847"/>
      <c r="N176" s="847"/>
      <c r="O176" s="48">
        <f>IF(t&lt;Tnet,'2018'!Resal+('2018'!Salim-'2018'!Resal)*(1-EXP(('2018'!Tnet-t)/('2018'!Tau_j))),Resal+(Salim-Resal)*(1-EXP((Tnet-t)/(Tau_j))))*Salcycl</f>
        <v>2.3836099270395587E-2</v>
      </c>
      <c r="P176" s="168">
        <f>(INDEX(Models!$BJ176:$BT176,,T176)*(1-R176)+INDEX(Models!$BJ176:$BT176,,T176+1)*R176-ERP_i)*Q176*Ramure*Pc/MaxiM</f>
        <v>1.749639631065621E-4</v>
      </c>
      <c r="Q176" s="304">
        <f t="shared" si="51"/>
        <v>0.5</v>
      </c>
      <c r="R176" s="176">
        <f t="shared" si="52"/>
        <v>0.98770359033971189</v>
      </c>
      <c r="S176" s="814">
        <f t="shared" si="53"/>
        <v>-1</v>
      </c>
      <c r="T176" s="175">
        <f t="shared" si="54"/>
        <v>5</v>
      </c>
      <c r="U176" s="250">
        <f t="shared" si="55"/>
        <v>-1.2296409660288082E-2</v>
      </c>
      <c r="V176" s="382">
        <f t="shared" si="56"/>
        <v>57.939029809122083</v>
      </c>
      <c r="W176" s="58"/>
      <c r="X176" s="157">
        <f t="shared" si="57"/>
        <v>43627</v>
      </c>
      <c r="Y176" s="384">
        <f t="shared" si="58"/>
        <v>29.811</v>
      </c>
      <c r="Z176" s="384">
        <f t="shared" si="59"/>
        <v>30.058179217735002</v>
      </c>
      <c r="AA176" s="385">
        <f t="shared" si="60"/>
        <v>30.792143814444394</v>
      </c>
      <c r="AB176" s="196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2.3836099270395587E-2</v>
      </c>
      <c r="AD176" s="230">
        <f>(INDEX(Models!$BJ176:$BT176,,AH176)*(1-AF176)+INDEX(Models!$BJ176:$BT176,,AH176+1)*AF176-ERP_i)*AE176*Ramure*Pc/MaxiM</f>
        <v>1.749639631065621E-4</v>
      </c>
      <c r="AE176" s="304">
        <f t="shared" si="62"/>
        <v>0.5</v>
      </c>
      <c r="AF176" s="176">
        <f t="shared" si="63"/>
        <v>0.98770359033971189</v>
      </c>
      <c r="AG176" s="175">
        <f t="shared" si="64"/>
        <v>-1</v>
      </c>
      <c r="AH176" s="175">
        <f t="shared" si="65"/>
        <v>5</v>
      </c>
      <c r="AI176" s="224">
        <f t="shared" si="66"/>
        <v>-1.2296409660288082E-2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43628</v>
      </c>
      <c r="B177" s="616">
        <v>55.451999999999998</v>
      </c>
      <c r="C177" s="389"/>
      <c r="D177" s="392">
        <f t="shared" si="48"/>
        <v>55.913007335410406</v>
      </c>
      <c r="E177" s="384">
        <f t="shared" si="73"/>
        <v>57.282107819817483</v>
      </c>
      <c r="F177" s="384">
        <f t="shared" si="49"/>
        <v>57.291729611874956</v>
      </c>
      <c r="G177" s="110">
        <f t="shared" si="74"/>
        <v>0.95795404648571425</v>
      </c>
      <c r="H177" s="413" t="b">
        <f>Wh_hp&gt;='2018'!Maxi_hp</f>
        <v>1</v>
      </c>
      <c r="I177" s="389">
        <f>IF(H177,Wh_hp,'2018'!Maxi_hp)</f>
        <v>57.291729611874956</v>
      </c>
      <c r="J177" s="85">
        <f>IF(H177,An,'2018'!An_max)</f>
        <v>2019</v>
      </c>
      <c r="K177" s="196">
        <f t="shared" si="50"/>
        <v>43628</v>
      </c>
      <c r="L177" s="147">
        <f>IF(t&lt;Tvie,1-EXP((T0-t)*PertePVj)+'2018'!Pspv,1-EXP((T0-t)*PertePVj)+Pspv)</f>
        <v>8.2450820905576316E-3</v>
      </c>
      <c r="M177" s="847"/>
      <c r="N177" s="847"/>
      <c r="O177" s="48">
        <f>IF(t&lt;Tnet,'2018'!Resal+('2018'!Salim-'2018'!Resal)*(1-EXP(('2018'!Tnet-t)/('2018'!Tau_j))),Resal+(Salim-Resal)*(1-EXP((Tnet-t)/(Tau_j))))*Salcycl</f>
        <v>2.3901014409484084E-2</v>
      </c>
      <c r="P177" s="168">
        <f>(INDEX(Models!$BJ177:$BT177,,T177)*(1-R177)+INDEX(Models!$BJ177:$BT177,,T177+1)*R177-ERP_i)*Q177*Ramure*Pc/MaxiM</f>
        <v>1.7867332747925125E-4</v>
      </c>
      <c r="Q177" s="304">
        <f t="shared" si="51"/>
        <v>0.5</v>
      </c>
      <c r="R177" s="176">
        <f t="shared" si="52"/>
        <v>0.99078805512629542</v>
      </c>
      <c r="S177" s="814">
        <f t="shared" si="53"/>
        <v>-1</v>
      </c>
      <c r="T177" s="175">
        <f t="shared" si="54"/>
        <v>5</v>
      </c>
      <c r="U177" s="250">
        <f t="shared" si="55"/>
        <v>-9.2119448737045528E-3</v>
      </c>
      <c r="V177" s="382">
        <f t="shared" si="56"/>
        <v>57.88524525885726</v>
      </c>
      <c r="W177" s="58"/>
      <c r="X177" s="157">
        <f t="shared" si="57"/>
        <v>43628</v>
      </c>
      <c r="Y177" s="384">
        <f t="shared" si="58"/>
        <v>55.451999999999998</v>
      </c>
      <c r="Z177" s="384">
        <f t="shared" si="59"/>
        <v>55.913007335410406</v>
      </c>
      <c r="AA177" s="385">
        <f t="shared" si="60"/>
        <v>57.282107819817483</v>
      </c>
      <c r="AB177" s="196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2.3901014409484084E-2</v>
      </c>
      <c r="AD177" s="230">
        <f>(INDEX(Models!$BJ177:$BT177,,AH177)*(1-AF177)+INDEX(Models!$BJ177:$BT177,,AH177+1)*AF177-ERP_i)*AE177*Ramure*Pc/MaxiM</f>
        <v>1.7867332747925125E-4</v>
      </c>
      <c r="AE177" s="304">
        <f t="shared" si="62"/>
        <v>0.5</v>
      </c>
      <c r="AF177" s="176">
        <f t="shared" si="63"/>
        <v>0.99078805512629542</v>
      </c>
      <c r="AG177" s="175">
        <f t="shared" si="64"/>
        <v>-1</v>
      </c>
      <c r="AH177" s="175">
        <f t="shared" si="65"/>
        <v>5</v>
      </c>
      <c r="AI177" s="224">
        <f t="shared" si="66"/>
        <v>-9.2119448737045528E-3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43629</v>
      </c>
      <c r="B178" s="616">
        <v>59.107999999999997</v>
      </c>
      <c r="C178" s="389"/>
      <c r="D178" s="392">
        <f t="shared" si="48"/>
        <v>59.60070737017513</v>
      </c>
      <c r="E178" s="384">
        <f t="shared" si="73"/>
        <v>61.064146317256473</v>
      </c>
      <c r="F178" s="384">
        <f t="shared" si="49"/>
        <v>61.075275136442549</v>
      </c>
      <c r="G178" s="110">
        <f t="shared" si="74"/>
        <v>1.0220900586431916</v>
      </c>
      <c r="H178" s="413" t="b">
        <f>Wh_hp&gt;='2018'!Maxi_hp</f>
        <v>1</v>
      </c>
      <c r="I178" s="389">
        <f>IF(H178,Wh_hp,'2018'!Maxi_hp)</f>
        <v>61.075275136442549</v>
      </c>
      <c r="J178" s="85">
        <f>IF(H178,An,'2018'!An_max)</f>
        <v>2019</v>
      </c>
      <c r="K178" s="196">
        <f t="shared" si="50"/>
        <v>43629</v>
      </c>
      <c r="L178" s="147">
        <f>IF(t&lt;Tvie,1-EXP((T0-t)*PertePVj)+'2018'!Pspv,1-EXP((T0-t)*PertePVj)+Pspv)</f>
        <v>8.2668040685317523E-3</v>
      </c>
      <c r="M178" s="847"/>
      <c r="N178" s="847"/>
      <c r="O178" s="48">
        <f>IF(t&lt;Tnet,'2018'!Resal+('2018'!Salim-'2018'!Resal)*(1-EXP(('2018'!Tnet-t)/('2018'!Tau_j))),Resal+(Salim-Resal)*(1-EXP((Tnet-t)/(Tau_j))))*Salcycl</f>
        <v>2.3965600689447246E-2</v>
      </c>
      <c r="P178" s="168">
        <f>(INDEX(Models!$BJ178:$BT178,,T178)*(1-R178)+INDEX(Models!$BJ178:$BT178,,T178+1)*R178-ERP_i)*Q178*Ramure*Pc/MaxiM</f>
        <v>1.822148023274108E-4</v>
      </c>
      <c r="Q178" s="304">
        <f t="shared" si="51"/>
        <v>0.5</v>
      </c>
      <c r="R178" s="176">
        <f t="shared" si="52"/>
        <v>0.9938673186982554</v>
      </c>
      <c r="S178" s="814">
        <f t="shared" si="53"/>
        <v>-1</v>
      </c>
      <c r="T178" s="175">
        <f t="shared" si="54"/>
        <v>5</v>
      </c>
      <c r="U178" s="250">
        <f t="shared" si="55"/>
        <v>-6.1326813017446302E-3</v>
      </c>
      <c r="V178" s="382">
        <f t="shared" si="56"/>
        <v>57.830520412716787</v>
      </c>
      <c r="W178" s="58"/>
      <c r="X178" s="157">
        <f t="shared" si="57"/>
        <v>43629</v>
      </c>
      <c r="Y178" s="384">
        <f t="shared" si="58"/>
        <v>59.107999999999997</v>
      </c>
      <c r="Z178" s="384">
        <f t="shared" si="59"/>
        <v>59.60070737017513</v>
      </c>
      <c r="AA178" s="385">
        <f t="shared" si="60"/>
        <v>61.064146317256473</v>
      </c>
      <c r="AB178" s="196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2.3965600689447246E-2</v>
      </c>
      <c r="AD178" s="230">
        <f>(INDEX(Models!$BJ178:$BT178,,AH178)*(1-AF178)+INDEX(Models!$BJ178:$BT178,,AH178+1)*AF178-ERP_i)*AE178*Ramure*Pc/MaxiM</f>
        <v>1.822148023274108E-4</v>
      </c>
      <c r="AE178" s="304">
        <f t="shared" si="62"/>
        <v>0.5</v>
      </c>
      <c r="AF178" s="176">
        <f t="shared" si="63"/>
        <v>0.9938673186982554</v>
      </c>
      <c r="AG178" s="175">
        <f t="shared" si="64"/>
        <v>-1</v>
      </c>
      <c r="AH178" s="175">
        <f t="shared" si="65"/>
        <v>5</v>
      </c>
      <c r="AI178" s="224">
        <f t="shared" si="66"/>
        <v>-6.1326813017446302E-3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43630</v>
      </c>
      <c r="B179" s="616">
        <v>25.603999999999999</v>
      </c>
      <c r="C179" s="389"/>
      <c r="D179" s="392">
        <f t="shared" si="48"/>
        <v>25.817993095961029</v>
      </c>
      <c r="E179" s="384">
        <f t="shared" si="73"/>
        <v>26.453670673507755</v>
      </c>
      <c r="F179" s="384">
        <f t="shared" si="49"/>
        <v>26.4546751071789</v>
      </c>
      <c r="G179" s="110">
        <f t="shared" si="74"/>
        <v>0.4431031390814667</v>
      </c>
      <c r="H179" s="413" t="b">
        <f>Wh_hp&gt;='2018'!Maxi_hp</f>
        <v>1</v>
      </c>
      <c r="I179" s="389">
        <f>IF(H179,Wh_hp,'2018'!Maxi_hp)</f>
        <v>26.4546751071789</v>
      </c>
      <c r="J179" s="85">
        <f>IF(H179,An,'2018'!An_max)</f>
        <v>2019</v>
      </c>
      <c r="K179" s="196">
        <f t="shared" si="50"/>
        <v>43630</v>
      </c>
      <c r="L179" s="147">
        <f>IF(t&lt;Tvie,1-EXP((T0-t)*PertePVj)+'2018'!Pspv,1-EXP((T0-t)*PertePVj)+Pspv)</f>
        <v>8.2885255707387806E-3</v>
      </c>
      <c r="M179" s="847"/>
      <c r="N179" s="847"/>
      <c r="O179" s="48">
        <f>IF(t&lt;Tnet,'2018'!Resal+('2018'!Salim-'2018'!Resal)*(1-EXP(('2018'!Tnet-t)/('2018'!Tau_j))),Resal+(Salim-Resal)*(1-EXP((Tnet-t)/(Tau_j))))*Salcycl</f>
        <v>2.4029843925717703E-2</v>
      </c>
      <c r="P179" s="168">
        <f>(INDEX(Models!$BJ179:$BT179,,T179)*(1-R179)+INDEX(Models!$BJ179:$BT179,,T179+1)*R179-ERP_i)*Q179*Ramure*Pc/MaxiM</f>
        <v>1.8563896527289283E-4</v>
      </c>
      <c r="Q179" s="304">
        <f t="shared" si="51"/>
        <v>0.5</v>
      </c>
      <c r="R179" s="176">
        <f t="shared" si="52"/>
        <v>0.99693880234895094</v>
      </c>
      <c r="S179" s="814">
        <f t="shared" si="53"/>
        <v>-1</v>
      </c>
      <c r="T179" s="175">
        <f t="shared" si="54"/>
        <v>5</v>
      </c>
      <c r="U179" s="250">
        <f t="shared" si="55"/>
        <v>-3.0611976510490635E-3</v>
      </c>
      <c r="V179" s="382">
        <f t="shared" si="56"/>
        <v>57.77485337746856</v>
      </c>
      <c r="W179" s="58"/>
      <c r="X179" s="157">
        <f t="shared" si="57"/>
        <v>43630</v>
      </c>
      <c r="Y179" s="384">
        <f t="shared" si="58"/>
        <v>25.603999999999999</v>
      </c>
      <c r="Z179" s="384">
        <f t="shared" si="59"/>
        <v>25.817993095961029</v>
      </c>
      <c r="AA179" s="385">
        <f t="shared" si="60"/>
        <v>26.453670673507755</v>
      </c>
      <c r="AB179" s="196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2.4029843925717703E-2</v>
      </c>
      <c r="AD179" s="230">
        <f>(INDEX(Models!$BJ179:$BT179,,AH179)*(1-AF179)+INDEX(Models!$BJ179:$BT179,,AH179+1)*AF179-ERP_i)*AE179*Ramure*Pc/MaxiM</f>
        <v>1.8563896527289283E-4</v>
      </c>
      <c r="AE179" s="304">
        <f t="shared" si="62"/>
        <v>0.5</v>
      </c>
      <c r="AF179" s="176">
        <f t="shared" si="63"/>
        <v>0.99693880234895094</v>
      </c>
      <c r="AG179" s="175">
        <f t="shared" si="64"/>
        <v>-1</v>
      </c>
      <c r="AH179" s="175">
        <f t="shared" si="65"/>
        <v>5</v>
      </c>
      <c r="AI179" s="224">
        <f t="shared" si="66"/>
        <v>-3.0611976510490635E-3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43631</v>
      </c>
      <c r="B180" s="616">
        <v>19.28</v>
      </c>
      <c r="C180" s="389"/>
      <c r="D180" s="392">
        <f t="shared" si="48"/>
        <v>19.441564192676225</v>
      </c>
      <c r="E180" s="384">
        <f t="shared" si="73"/>
        <v>19.921548623968096</v>
      </c>
      <c r="F180" s="384">
        <f t="shared" si="49"/>
        <v>19.921731642404556</v>
      </c>
      <c r="G180" s="110">
        <f t="shared" si="74"/>
        <v>0.33397644319997127</v>
      </c>
      <c r="H180" s="413" t="b">
        <f>Wh_hp&gt;='2018'!Maxi_hp</f>
        <v>1</v>
      </c>
      <c r="I180" s="389">
        <f>IF(H180,Wh_hp,'2018'!Maxi_hp)</f>
        <v>19.921731642404556</v>
      </c>
      <c r="J180" s="85">
        <f>IF(H180,An,'2018'!An_max)</f>
        <v>2019</v>
      </c>
      <c r="K180" s="196">
        <f t="shared" si="50"/>
        <v>43631</v>
      </c>
      <c r="L180" s="147">
        <f>IF(t&lt;Tvie,1-EXP((T0-t)*PertePVj)+'2018'!Pspv,1-EXP((T0-t)*PertePVj)+Pspv)</f>
        <v>8.3102465971891526E-3</v>
      </c>
      <c r="M180" s="847"/>
      <c r="N180" s="847"/>
      <c r="O180" s="48">
        <f>IF(t&lt;Tnet,'2018'!Resal+('2018'!Salim-'2018'!Resal)*(1-EXP(('2018'!Tnet-t)/('2018'!Tau_j))),Resal+(Salim-Resal)*(1-EXP((Tnet-t)/(Tau_j))))*Salcycl</f>
        <v>2.4093730881663968E-2</v>
      </c>
      <c r="P180" s="168">
        <f>(INDEX(Models!$BJ180:$BT180,,T180)*(1-R180)+INDEX(Models!$BJ180:$BT180,,T180+1)*R180-ERP_i)*Q180*Ramure*Pc/MaxiM</f>
        <v>1.889387599429462E-4</v>
      </c>
      <c r="Q180" s="304">
        <f t="shared" si="51"/>
        <v>0.5</v>
      </c>
      <c r="R180" s="176">
        <f t="shared" si="52"/>
        <v>0.99999995347723492</v>
      </c>
      <c r="S180" s="814">
        <f t="shared" si="53"/>
        <v>-1</v>
      </c>
      <c r="T180" s="175">
        <f t="shared" si="54"/>
        <v>5</v>
      </c>
      <c r="U180" s="250">
        <f t="shared" si="55"/>
        <v>-4.6522765057011028E-8</v>
      </c>
      <c r="V180" s="382">
        <f t="shared" si="56"/>
        <v>57.718245535828466</v>
      </c>
      <c r="W180" s="58"/>
      <c r="X180" s="157">
        <f t="shared" si="57"/>
        <v>43631</v>
      </c>
      <c r="Y180" s="384">
        <f t="shared" si="58"/>
        <v>19.28</v>
      </c>
      <c r="Z180" s="384">
        <f t="shared" si="59"/>
        <v>19.441564192676225</v>
      </c>
      <c r="AA180" s="385">
        <f t="shared" si="60"/>
        <v>19.921548623968096</v>
      </c>
      <c r="AB180" s="196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2.4093730881663968E-2</v>
      </c>
      <c r="AD180" s="230">
        <f>(INDEX(Models!$BJ180:$BT180,,AH180)*(1-AF180)+INDEX(Models!$BJ180:$BT180,,AH180+1)*AF180-ERP_i)*AE180*Ramure*Pc/MaxiM</f>
        <v>1.889387599429462E-4</v>
      </c>
      <c r="AE180" s="304">
        <f t="shared" si="62"/>
        <v>0.5</v>
      </c>
      <c r="AF180" s="176">
        <f t="shared" si="63"/>
        <v>0.99999995347723492</v>
      </c>
      <c r="AG180" s="175">
        <f t="shared" si="64"/>
        <v>-1</v>
      </c>
      <c r="AH180" s="175">
        <f t="shared" si="65"/>
        <v>5</v>
      </c>
      <c r="AI180" s="224">
        <f t="shared" si="66"/>
        <v>-4.6522765057011028E-8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43632</v>
      </c>
      <c r="B181" s="616">
        <v>58.531999999999996</v>
      </c>
      <c r="C181" s="389"/>
      <c r="D181" s="392">
        <f t="shared" si="48"/>
        <v>59.023784231158359</v>
      </c>
      <c r="E181" s="384">
        <f t="shared" si="73"/>
        <v>60.484933858357877</v>
      </c>
      <c r="F181" s="384">
        <f t="shared" si="49"/>
        <v>60.496565061953568</v>
      </c>
      <c r="G181" s="110">
        <f t="shared" si="74"/>
        <v>1.0151110011010165</v>
      </c>
      <c r="H181" s="413" t="b">
        <f>Wh_hp&gt;='2018'!Maxi_hp</f>
        <v>1</v>
      </c>
      <c r="I181" s="389">
        <f>IF(H181,Wh_hp,'2018'!Maxi_hp)</f>
        <v>60.496565061953568</v>
      </c>
      <c r="J181" s="85">
        <f>IF(H181,An,'2018'!An_max)</f>
        <v>2019</v>
      </c>
      <c r="K181" s="196">
        <f t="shared" si="50"/>
        <v>43632</v>
      </c>
      <c r="L181" s="147">
        <f>IF(t&lt;Tvie,1-EXP((T0-t)*PertePVj)+'2018'!Pspv,1-EXP((T0-t)*PertePVj)+Pspv)</f>
        <v>8.3319671478934154E-3</v>
      </c>
      <c r="M181" s="847"/>
      <c r="N181" s="847"/>
      <c r="O181" s="48">
        <f>IF(t&lt;Tnet,'2018'!Resal+('2018'!Salim-'2018'!Resal)*(1-EXP(('2018'!Tnet-t)/('2018'!Tau_j))),Resal+(Salim-Resal)*(1-EXP((Tnet-t)/(Tau_j))))*Salcycl</f>
        <v>2.4157249318007078E-2</v>
      </c>
      <c r="P181" s="168">
        <f>(INDEX(Models!$BJ181:$BT181,,T181)*(1-R181)+INDEX(Models!$BJ181:$BT181,,T181+1)*R181-ERP_i)*Q181*Ramure*Pc/MaxiM</f>
        <v>1.9226221495016868E-4</v>
      </c>
      <c r="Q181" s="304">
        <f t="shared" si="51"/>
        <v>0.5</v>
      </c>
      <c r="R181" s="176">
        <f t="shared" si="52"/>
        <v>3.0482539993980928E-3</v>
      </c>
      <c r="S181" s="814">
        <f t="shared" si="53"/>
        <v>0</v>
      </c>
      <c r="T181" s="175">
        <f t="shared" si="54"/>
        <v>6</v>
      </c>
      <c r="U181" s="250">
        <f t="shared" si="55"/>
        <v>3.0482539993980928E-3</v>
      </c>
      <c r="V181" s="382">
        <f t="shared" si="56"/>
        <v>57.660689261090297</v>
      </c>
      <c r="W181" s="58"/>
      <c r="X181" s="157">
        <f t="shared" si="57"/>
        <v>43632</v>
      </c>
      <c r="Y181" s="384">
        <f t="shared" si="58"/>
        <v>58.531999999999996</v>
      </c>
      <c r="Z181" s="384">
        <f t="shared" si="59"/>
        <v>59.023784231158359</v>
      </c>
      <c r="AA181" s="385">
        <f t="shared" si="60"/>
        <v>60.484933858357877</v>
      </c>
      <c r="AB181" s="196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2.4157249318007078E-2</v>
      </c>
      <c r="AD181" s="230">
        <f>(INDEX(Models!$BJ181:$BT181,,AH181)*(1-AF181)+INDEX(Models!$BJ181:$BT181,,AH181+1)*AF181-ERP_i)*AE181*Ramure*Pc/MaxiM</f>
        <v>1.9226221495016868E-4</v>
      </c>
      <c r="AE181" s="304">
        <f t="shared" si="62"/>
        <v>0.5</v>
      </c>
      <c r="AF181" s="176">
        <f t="shared" si="63"/>
        <v>3.0482539993980928E-3</v>
      </c>
      <c r="AG181" s="175">
        <f t="shared" si="64"/>
        <v>0</v>
      </c>
      <c r="AH181" s="175">
        <f t="shared" si="65"/>
        <v>6</v>
      </c>
      <c r="AI181" s="224">
        <f t="shared" si="66"/>
        <v>3.0482539993980928E-3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43633</v>
      </c>
      <c r="B182" s="616">
        <v>57.701000000000001</v>
      </c>
      <c r="C182" s="389"/>
      <c r="D182" s="392">
        <f t="shared" si="48"/>
        <v>58.187076638651988</v>
      </c>
      <c r="E182" s="384">
        <f t="shared" si="73"/>
        <v>59.631371597927789</v>
      </c>
      <c r="F182" s="384">
        <f t="shared" si="49"/>
        <v>59.643028752560177</v>
      </c>
      <c r="G182" s="110">
        <f t="shared" si="74"/>
        <v>1.0017153048874998</v>
      </c>
      <c r="H182" s="413" t="b">
        <f>Wh_hp&gt;='2018'!Maxi_hp</f>
        <v>1</v>
      </c>
      <c r="I182" s="389">
        <f>IF(H182,Wh_hp,'2018'!Maxi_hp)</f>
        <v>59.643028752560177</v>
      </c>
      <c r="J182" s="85">
        <f>IF(H182,An,'2018'!An_max)</f>
        <v>2019</v>
      </c>
      <c r="K182" s="196">
        <f t="shared" si="50"/>
        <v>43633</v>
      </c>
      <c r="L182" s="147">
        <f>IF(t&lt;Tvie,1-EXP((T0-t)*PertePVj)+'2018'!Pspv,1-EXP((T0-t)*PertePVj)+Pspv)</f>
        <v>8.3536872228617831E-3</v>
      </c>
      <c r="M182" s="847"/>
      <c r="N182" s="847"/>
      <c r="O182" s="48">
        <f>IF(t&lt;Tnet,'2018'!Resal+('2018'!Salim-'2018'!Resal)*(1-EXP(('2018'!Tnet-t)/('2018'!Tau_j))),Resal+(Salim-Resal)*(1-EXP((Tnet-t)/(Tau_j))))*Salcycl</f>
        <v>2.4220388036923772E-2</v>
      </c>
      <c r="P182" s="168">
        <f>(INDEX(Models!$BJ182:$BT182,,T182)*(1-R182)+INDEX(Models!$BJ182:$BT182,,T182+1)*R182-ERP_i)*Q182*Ramure*Pc/MaxiM</f>
        <v>1.9544873686329044E-4</v>
      </c>
      <c r="Q182" s="304">
        <f t="shared" si="51"/>
        <v>0.5</v>
      </c>
      <c r="R182" s="176">
        <f t="shared" si="52"/>
        <v>6.0812285171939762E-3</v>
      </c>
      <c r="S182" s="814">
        <f t="shared" si="53"/>
        <v>0</v>
      </c>
      <c r="T182" s="175">
        <f t="shared" si="54"/>
        <v>6</v>
      </c>
      <c r="U182" s="250">
        <f t="shared" si="55"/>
        <v>6.0812285171939762E-3</v>
      </c>
      <c r="V182" s="382">
        <f t="shared" si="56"/>
        <v>57.602194673945064</v>
      </c>
      <c r="W182" s="58"/>
      <c r="X182" s="157">
        <f t="shared" si="57"/>
        <v>43633</v>
      </c>
      <c r="Y182" s="384">
        <f t="shared" si="58"/>
        <v>57.701000000000001</v>
      </c>
      <c r="Z182" s="384">
        <f t="shared" si="59"/>
        <v>58.187076638651988</v>
      </c>
      <c r="AA182" s="385">
        <f t="shared" si="60"/>
        <v>59.631371597927789</v>
      </c>
      <c r="AB182" s="196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2.4220388036923772E-2</v>
      </c>
      <c r="AD182" s="230">
        <f>(INDEX(Models!$BJ182:$BT182,,AH182)*(1-AF182)+INDEX(Models!$BJ182:$BT182,,AH182+1)*AF182-ERP_i)*AE182*Ramure*Pc/MaxiM</f>
        <v>1.9544873686329044E-4</v>
      </c>
      <c r="AE182" s="304">
        <f t="shared" si="62"/>
        <v>0.5</v>
      </c>
      <c r="AF182" s="176">
        <f t="shared" si="63"/>
        <v>6.0812285171939762E-3</v>
      </c>
      <c r="AG182" s="175">
        <f t="shared" si="64"/>
        <v>0</v>
      </c>
      <c r="AH182" s="175">
        <f t="shared" si="65"/>
        <v>6</v>
      </c>
      <c r="AI182" s="224">
        <f t="shared" si="66"/>
        <v>6.0812285171939762E-3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43634</v>
      </c>
      <c r="B183" s="616">
        <v>55.93</v>
      </c>
      <c r="C183" s="389"/>
      <c r="D183" s="392">
        <f t="shared" si="48"/>
        <v>56.402392987006401</v>
      </c>
      <c r="E183" s="384">
        <f t="shared" si="73"/>
        <v>57.80610658812693</v>
      </c>
      <c r="F183" s="384">
        <f t="shared" si="49"/>
        <v>57.817123290426146</v>
      </c>
      <c r="G183" s="110">
        <f t="shared" si="74"/>
        <v>0.97196506653093906</v>
      </c>
      <c r="H183" s="413" t="b">
        <f>Wh_hp&gt;='2018'!Maxi_hp</f>
        <v>1</v>
      </c>
      <c r="I183" s="389">
        <f>IF(H183,Wh_hp,'2018'!Maxi_hp)</f>
        <v>57.817123290426146</v>
      </c>
      <c r="J183" s="85">
        <f>IF(H183,An,'2018'!An_max)</f>
        <v>2019</v>
      </c>
      <c r="K183" s="196">
        <f t="shared" si="50"/>
        <v>43634</v>
      </c>
      <c r="L183" s="147">
        <f>IF(t&lt;Tvie,1-EXP((T0-t)*PertePVj)+'2018'!Pspv,1-EXP((T0-t)*PertePVj)+Pspv)</f>
        <v>8.3754068221046918E-3</v>
      </c>
      <c r="M183" s="847"/>
      <c r="N183" s="847"/>
      <c r="O183" s="48">
        <f>IF(t&lt;Tnet,'2018'!Resal+('2018'!Salim-'2018'!Resal)*(1-EXP(('2018'!Tnet-t)/('2018'!Tau_j))),Resal+(Salim-Resal)*(1-EXP((Tnet-t)/(Tau_j))))*Salcycl</f>
        <v>2.4283136920500423E-2</v>
      </c>
      <c r="P183" s="168">
        <f>(INDEX(Models!$BJ183:$BT183,,T183)*(1-R183)+INDEX(Models!$BJ183:$BT183,,T183+1)*R183-ERP_i)*Q183*Ramure*Pc/MaxiM</f>
        <v>1.9849130408385783E-4</v>
      </c>
      <c r="Q183" s="304">
        <f t="shared" si="51"/>
        <v>0.5</v>
      </c>
      <c r="R183" s="176">
        <f t="shared" si="52"/>
        <v>9.0964521865571357E-3</v>
      </c>
      <c r="S183" s="814">
        <f t="shared" si="53"/>
        <v>0</v>
      </c>
      <c r="T183" s="175">
        <f t="shared" si="54"/>
        <v>6</v>
      </c>
      <c r="U183" s="250">
        <f t="shared" si="55"/>
        <v>9.0964521865571357E-3</v>
      </c>
      <c r="V183" s="382">
        <f t="shared" si="56"/>
        <v>57.542762949976726</v>
      </c>
      <c r="W183" s="58"/>
      <c r="X183" s="157">
        <f t="shared" si="57"/>
        <v>43634</v>
      </c>
      <c r="Y183" s="384">
        <f t="shared" si="58"/>
        <v>55.93</v>
      </c>
      <c r="Z183" s="384">
        <f t="shared" si="59"/>
        <v>56.402392987006401</v>
      </c>
      <c r="AA183" s="385">
        <f t="shared" si="60"/>
        <v>57.80610658812693</v>
      </c>
      <c r="AB183" s="196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2.4283136920500423E-2</v>
      </c>
      <c r="AD183" s="230">
        <f>(INDEX(Models!$BJ183:$BT183,,AH183)*(1-AF183)+INDEX(Models!$BJ183:$BT183,,AH183+1)*AF183-ERP_i)*AE183*Ramure*Pc/MaxiM</f>
        <v>1.9849130408385783E-4</v>
      </c>
      <c r="AE183" s="304">
        <f t="shared" si="62"/>
        <v>0.5</v>
      </c>
      <c r="AF183" s="176">
        <f t="shared" si="63"/>
        <v>9.0964521865571357E-3</v>
      </c>
      <c r="AG183" s="175">
        <f t="shared" si="64"/>
        <v>0</v>
      </c>
      <c r="AH183" s="175">
        <f t="shared" si="65"/>
        <v>6</v>
      </c>
      <c r="AI183" s="224">
        <f t="shared" si="66"/>
        <v>9.0964521865571357E-3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43635</v>
      </c>
      <c r="B184" s="616">
        <v>47.420999999999999</v>
      </c>
      <c r="C184" s="389"/>
      <c r="D184" s="392">
        <f t="shared" si="48"/>
        <v>47.822572161484096</v>
      </c>
      <c r="E184" s="384">
        <f t="shared" si="73"/>
        <v>49.015887819382648</v>
      </c>
      <c r="F184" s="384">
        <f t="shared" si="49"/>
        <v>49.023288922737898</v>
      </c>
      <c r="G184" s="110">
        <f t="shared" si="74"/>
        <v>0.82492402944777365</v>
      </c>
      <c r="H184" s="413" t="b">
        <f>Wh_hp&gt;='2018'!Maxi_hp</f>
        <v>1</v>
      </c>
      <c r="I184" s="389">
        <f>IF(H184,Wh_hp,'2018'!Maxi_hp)</f>
        <v>49.023288922737898</v>
      </c>
      <c r="J184" s="85">
        <f>IF(H184,An,'2018'!An_max)</f>
        <v>2019</v>
      </c>
      <c r="K184" s="196">
        <f t="shared" si="50"/>
        <v>43635</v>
      </c>
      <c r="L184" s="147">
        <f>IF(t&lt;Tvie,1-EXP((T0-t)*PertePVj)+'2018'!Pspv,1-EXP((T0-t)*PertePVj)+Pspv)</f>
        <v>8.3971259456327996E-3</v>
      </c>
      <c r="M184" s="847"/>
      <c r="N184" s="847"/>
      <c r="O184" s="48">
        <f>IF(t&lt;Tnet,'2018'!Resal+('2018'!Salim-'2018'!Resal)*(1-EXP(('2018'!Tnet-t)/('2018'!Tau_j))),Resal+(Salim-Resal)*(1-EXP((Tnet-t)/(Tau_j))))*Salcycl</f>
        <v>2.4345486963242759E-2</v>
      </c>
      <c r="P184" s="168">
        <f>(INDEX(Models!$BJ184:$BT184,,T184)*(1-R184)+INDEX(Models!$BJ184:$BT184,,T184+1)*R184-ERP_i)*Q184*Ramure*Pc/MaxiM</f>
        <v>2.0130810028247319E-4</v>
      </c>
      <c r="Q184" s="304">
        <f t="shared" si="51"/>
        <v>0.5</v>
      </c>
      <c r="R184" s="176">
        <f t="shared" si="52"/>
        <v>1.2091558235204636E-2</v>
      </c>
      <c r="S184" s="814">
        <f t="shared" si="53"/>
        <v>0</v>
      </c>
      <c r="T184" s="175">
        <f t="shared" si="54"/>
        <v>6</v>
      </c>
      <c r="U184" s="250">
        <f t="shared" si="55"/>
        <v>1.2091558235204636E-2</v>
      </c>
      <c r="V184" s="382">
        <f t="shared" si="56"/>
        <v>57.482399492972327</v>
      </c>
      <c r="W184" s="58"/>
      <c r="X184" s="157">
        <f t="shared" si="57"/>
        <v>43635</v>
      </c>
      <c r="Y184" s="384">
        <f t="shared" si="58"/>
        <v>47.420999999999999</v>
      </c>
      <c r="Z184" s="384">
        <f t="shared" si="59"/>
        <v>47.822572161484096</v>
      </c>
      <c r="AA184" s="385">
        <f t="shared" si="60"/>
        <v>49.015887819382648</v>
      </c>
      <c r="AB184" s="196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2.4345486963242759E-2</v>
      </c>
      <c r="AD184" s="230">
        <f>(INDEX(Models!$BJ184:$BT184,,AH184)*(1-AF184)+INDEX(Models!$BJ184:$BT184,,AH184+1)*AF184-ERP_i)*AE184*Ramure*Pc/MaxiM</f>
        <v>2.0130810028247319E-4</v>
      </c>
      <c r="AE184" s="304">
        <f t="shared" si="62"/>
        <v>0.5</v>
      </c>
      <c r="AF184" s="176">
        <f t="shared" si="63"/>
        <v>1.2091558235204636E-2</v>
      </c>
      <c r="AG184" s="175">
        <f t="shared" si="64"/>
        <v>0</v>
      </c>
      <c r="AH184" s="175">
        <f t="shared" si="65"/>
        <v>6</v>
      </c>
      <c r="AI184" s="224">
        <f t="shared" si="66"/>
        <v>1.2091558235204636E-2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43636</v>
      </c>
      <c r="B185" s="616">
        <v>24.768999999999998</v>
      </c>
      <c r="C185" s="389"/>
      <c r="D185" s="392">
        <f t="shared" si="48"/>
        <v>24.979296817964254</v>
      </c>
      <c r="E185" s="384">
        <f t="shared" si="73"/>
        <v>25.604230283964039</v>
      </c>
      <c r="F185" s="384">
        <f t="shared" si="49"/>
        <v>25.605210313751606</v>
      </c>
      <c r="G185" s="110">
        <f t="shared" si="74"/>
        <v>0.43128563141332421</v>
      </c>
      <c r="H185" s="413" t="b">
        <f>Wh_hp&gt;='2018'!Maxi_hp</f>
        <v>1</v>
      </c>
      <c r="I185" s="389">
        <f>IF(H185,Wh_hp,'2018'!Maxi_hp)</f>
        <v>25.605210313751606</v>
      </c>
      <c r="J185" s="85">
        <f>IF(H185,An,'2018'!An_max)</f>
        <v>2019</v>
      </c>
      <c r="K185" s="196">
        <f t="shared" si="50"/>
        <v>43636</v>
      </c>
      <c r="L185" s="147">
        <f>IF(t&lt;Tvie,1-EXP((T0-t)*PertePVj)+'2018'!Pspv,1-EXP((T0-t)*PertePVj)+Pspv)</f>
        <v>8.4188445934562095E-3</v>
      </c>
      <c r="M185" s="847"/>
      <c r="N185" s="847"/>
      <c r="O185" s="48">
        <f>IF(t&lt;Tnet,'2018'!Resal+('2018'!Salim-'2018'!Resal)*(1-EXP(('2018'!Tnet-t)/('2018'!Tau_j))),Resal+(Salim-Resal)*(1-EXP((Tnet-t)/(Tau_j))))*Salcycl</f>
        <v>2.4407430298390247E-2</v>
      </c>
      <c r="P185" s="168">
        <f>(INDEX(Models!$BJ185:$BT185,,T185)*(1-R185)+INDEX(Models!$BJ185:$BT185,,T185+1)*R185-ERP_i)*Q185*Ramure*Pc/MaxiM</f>
        <v>2.0396488160733385E-4</v>
      </c>
      <c r="Q185" s="304">
        <f t="shared" si="51"/>
        <v>0.5</v>
      </c>
      <c r="R185" s="176">
        <f t="shared" si="52"/>
        <v>1.5064245081454014E-2</v>
      </c>
      <c r="S185" s="814">
        <f t="shared" si="53"/>
        <v>0</v>
      </c>
      <c r="T185" s="175">
        <f t="shared" si="54"/>
        <v>6</v>
      </c>
      <c r="U185" s="250">
        <f t="shared" si="55"/>
        <v>1.5064245081454014E-2</v>
      </c>
      <c r="V185" s="382">
        <f t="shared" si="56"/>
        <v>57.421101138382454</v>
      </c>
      <c r="W185" s="58"/>
      <c r="X185" s="157">
        <f t="shared" si="57"/>
        <v>43636</v>
      </c>
      <c r="Y185" s="384">
        <f t="shared" si="58"/>
        <v>24.768999999999998</v>
      </c>
      <c r="Z185" s="384">
        <f t="shared" si="59"/>
        <v>24.979296817964254</v>
      </c>
      <c r="AA185" s="385">
        <f t="shared" si="60"/>
        <v>25.604230283964039</v>
      </c>
      <c r="AB185" s="196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2.4407430298390247E-2</v>
      </c>
      <c r="AD185" s="230">
        <f>(INDEX(Models!$BJ185:$BT185,,AH185)*(1-AF185)+INDEX(Models!$BJ185:$BT185,,AH185+1)*AF185-ERP_i)*AE185*Ramure*Pc/MaxiM</f>
        <v>2.0396488160733385E-4</v>
      </c>
      <c r="AE185" s="304">
        <f t="shared" si="62"/>
        <v>0.5</v>
      </c>
      <c r="AF185" s="176">
        <f t="shared" si="63"/>
        <v>1.5064245081454014E-2</v>
      </c>
      <c r="AG185" s="175">
        <f t="shared" si="64"/>
        <v>0</v>
      </c>
      <c r="AH185" s="175">
        <f t="shared" si="65"/>
        <v>6</v>
      </c>
      <c r="AI185" s="224">
        <f t="shared" si="66"/>
        <v>1.5064245081454014E-2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43637</v>
      </c>
      <c r="B186" s="616">
        <v>9.3179999999999996</v>
      </c>
      <c r="C186" s="389"/>
      <c r="D186" s="392">
        <f t="shared" si="48"/>
        <v>9.3973186579607262</v>
      </c>
      <c r="E186" s="384">
        <f t="shared" si="73"/>
        <v>9.6330288578609427</v>
      </c>
      <c r="F186" s="384">
        <f t="shared" si="49"/>
        <v>9.6330288578609427</v>
      </c>
      <c r="G186" s="110">
        <f t="shared" si="74"/>
        <v>0.16241736359509945</v>
      </c>
      <c r="H186" s="413" t="b">
        <f>Wh_hp&gt;='2018'!Maxi_hp</f>
        <v>1</v>
      </c>
      <c r="I186" s="389">
        <f>IF(H186,Wh_hp,'2018'!Maxi_hp)</f>
        <v>9.6330288578609427</v>
      </c>
      <c r="J186" s="85">
        <f>IF(H186,An,'2018'!An_max)</f>
        <v>2019</v>
      </c>
      <c r="K186" s="196">
        <f t="shared" si="50"/>
        <v>43637</v>
      </c>
      <c r="L186" s="147">
        <f>IF(t&lt;Tvie,1-EXP((T0-t)*PertePVj)+'2018'!Pspv,1-EXP((T0-t)*PertePVj)+Pspv)</f>
        <v>8.4405627655855797E-3</v>
      </c>
      <c r="M186" s="847"/>
      <c r="N186" s="847"/>
      <c r="O186" s="48">
        <f>IF(t&lt;Tnet,'2018'!Resal+('2018'!Salim-'2018'!Resal)*(1-EXP(('2018'!Tnet-t)/('2018'!Tau_j))),Resal+(Salim-Resal)*(1-EXP((Tnet-t)/(Tau_j))))*Salcycl</f>
        <v>2.4468960217830973E-2</v>
      </c>
      <c r="P186" s="168">
        <f>(INDEX(Models!$BJ186:$BT186,,T186)*(1-R186)+INDEX(Models!$BJ186:$BT186,,T186+1)*R186-ERP_i)*Q186*Ramure*Pc/MaxiM</f>
        <v>2.0645495120007011E-4</v>
      </c>
      <c r="Q186" s="304">
        <f t="shared" si="51"/>
        <v>0.5</v>
      </c>
      <c r="R186" s="176">
        <f t="shared" si="52"/>
        <v>1.8012283011230035E-2</v>
      </c>
      <c r="S186" s="814">
        <f t="shared" si="53"/>
        <v>0</v>
      </c>
      <c r="T186" s="175">
        <f t="shared" si="54"/>
        <v>6</v>
      </c>
      <c r="U186" s="250">
        <f t="shared" si="55"/>
        <v>1.8012283011230035E-2</v>
      </c>
      <c r="V186" s="382">
        <f t="shared" si="56"/>
        <v>57.358868821374024</v>
      </c>
      <c r="W186" s="58"/>
      <c r="X186" s="157">
        <f t="shared" si="57"/>
        <v>43637</v>
      </c>
      <c r="Y186" s="384">
        <f t="shared" si="58"/>
        <v>9.3179999999999996</v>
      </c>
      <c r="Z186" s="384">
        <f t="shared" si="59"/>
        <v>9.3973186579607262</v>
      </c>
      <c r="AA186" s="385">
        <f t="shared" si="60"/>
        <v>9.6330288578609427</v>
      </c>
      <c r="AB186" s="196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2.4468960217830973E-2</v>
      </c>
      <c r="AD186" s="230">
        <f>(INDEX(Models!$BJ186:$BT186,,AH186)*(1-AF186)+INDEX(Models!$BJ186:$BT186,,AH186+1)*AF186-ERP_i)*AE186*Ramure*Pc/MaxiM</f>
        <v>2.0645495120007011E-4</v>
      </c>
      <c r="AE186" s="304">
        <f t="shared" si="62"/>
        <v>0.5</v>
      </c>
      <c r="AF186" s="176">
        <f t="shared" si="63"/>
        <v>1.8012283011230035E-2</v>
      </c>
      <c r="AG186" s="175">
        <f t="shared" si="64"/>
        <v>0</v>
      </c>
      <c r="AH186" s="175">
        <f t="shared" si="65"/>
        <v>6</v>
      </c>
      <c r="AI186" s="224">
        <f t="shared" si="66"/>
        <v>1.8012283011230035E-2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43638</v>
      </c>
      <c r="B187" s="616">
        <v>51.646999999999998</v>
      </c>
      <c r="C187" s="389"/>
      <c r="D187" s="392">
        <f t="shared" si="48"/>
        <v>52.087781414978522</v>
      </c>
      <c r="E187" s="384">
        <f t="shared" si="73"/>
        <v>53.397629056878607</v>
      </c>
      <c r="F187" s="384">
        <f t="shared" si="49"/>
        <v>53.407208612541737</v>
      </c>
      <c r="G187" s="110">
        <f t="shared" si="74"/>
        <v>0.90138488690592722</v>
      </c>
      <c r="H187" s="413" t="b">
        <f>Wh_hp&gt;='2018'!Maxi_hp</f>
        <v>1</v>
      </c>
      <c r="I187" s="389">
        <f>IF(H187,Wh_hp,'2018'!Maxi_hp)</f>
        <v>53.407208612541737</v>
      </c>
      <c r="J187" s="85">
        <f>IF(H187,An,'2018'!An_max)</f>
        <v>2019</v>
      </c>
      <c r="K187" s="196">
        <f t="shared" si="50"/>
        <v>43638</v>
      </c>
      <c r="L187" s="147">
        <f>IF(t&lt;Tvie,1-EXP((T0-t)*PertePVj)+'2018'!Pspv,1-EXP((T0-t)*PertePVj)+Pspv)</f>
        <v>8.4622804620312353E-3</v>
      </c>
      <c r="M187" s="847"/>
      <c r="N187" s="847"/>
      <c r="O187" s="48">
        <f>IF(t&lt;Tnet,'2018'!Resal+('2018'!Salim-'2018'!Resal)*(1-EXP(('2018'!Tnet-t)/('2018'!Tau_j))),Resal+(Salim-Resal)*(1-EXP((Tnet-t)/(Tau_j))))*Salcycl</f>
        <v>2.4530071185461244E-2</v>
      </c>
      <c r="P187" s="168">
        <f>(INDEX(Models!$BJ187:$BT187,,T187)*(1-R187)+INDEX(Models!$BJ187:$BT187,,T187+1)*R187-ERP_i)*Q187*Ramure*Pc/MaxiM</f>
        <v>2.0877181754375457E-4</v>
      </c>
      <c r="Q187" s="304">
        <f t="shared" si="51"/>
        <v>0.5</v>
      </c>
      <c r="R187" s="176">
        <f t="shared" si="52"/>
        <v>2.0933520375282594E-2</v>
      </c>
      <c r="S187" s="814">
        <f t="shared" si="53"/>
        <v>0</v>
      </c>
      <c r="T187" s="175">
        <f t="shared" si="54"/>
        <v>6</v>
      </c>
      <c r="U187" s="250">
        <f t="shared" si="55"/>
        <v>2.0933520375282594E-2</v>
      </c>
      <c r="V187" s="382">
        <f t="shared" si="56"/>
        <v>57.295703389219518</v>
      </c>
      <c r="W187" s="58"/>
      <c r="X187" s="157">
        <f t="shared" si="57"/>
        <v>43638</v>
      </c>
      <c r="Y187" s="384">
        <f t="shared" si="58"/>
        <v>51.646999999999998</v>
      </c>
      <c r="Z187" s="384">
        <f t="shared" si="59"/>
        <v>52.087781414978522</v>
      </c>
      <c r="AA187" s="385">
        <f t="shared" si="60"/>
        <v>53.397629056878607</v>
      </c>
      <c r="AB187" s="196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2.4530071185461244E-2</v>
      </c>
      <c r="AD187" s="230">
        <f>(INDEX(Models!$BJ187:$BT187,,AH187)*(1-AF187)+INDEX(Models!$BJ187:$BT187,,AH187+1)*AF187-ERP_i)*AE187*Ramure*Pc/MaxiM</f>
        <v>2.0877181754375457E-4</v>
      </c>
      <c r="AE187" s="304">
        <f t="shared" si="62"/>
        <v>0.5</v>
      </c>
      <c r="AF187" s="176">
        <f t="shared" si="63"/>
        <v>2.0933520375282594E-2</v>
      </c>
      <c r="AG187" s="175">
        <f t="shared" si="64"/>
        <v>0</v>
      </c>
      <c r="AH187" s="175">
        <f t="shared" si="65"/>
        <v>6</v>
      </c>
      <c r="AI187" s="224">
        <f t="shared" si="66"/>
        <v>2.0933520375282594E-2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43639</v>
      </c>
      <c r="B188" s="616">
        <v>51.613999999999997</v>
      </c>
      <c r="C188" s="389"/>
      <c r="D188" s="392">
        <f t="shared" si="48"/>
        <v>52.05563992853051</v>
      </c>
      <c r="E188" s="384">
        <f t="shared" si="73"/>
        <v>53.367999535078198</v>
      </c>
      <c r="F188" s="384">
        <f t="shared" si="49"/>
        <v>53.377678678761548</v>
      </c>
      <c r="G188" s="110">
        <f t="shared" si="74"/>
        <v>0.90181766950946285</v>
      </c>
      <c r="H188" s="413" t="b">
        <f>Wh_hp&gt;='2018'!Maxi_hp</f>
        <v>1</v>
      </c>
      <c r="I188" s="389">
        <f>IF(H188,Wh_hp,'2018'!Maxi_hp)</f>
        <v>53.377678678761548</v>
      </c>
      <c r="J188" s="85">
        <f>IF(H188,An,'2018'!An_max)</f>
        <v>2019</v>
      </c>
      <c r="K188" s="196">
        <f t="shared" si="50"/>
        <v>43639</v>
      </c>
      <c r="L188" s="147">
        <f>IF(t&lt;Tvie,1-EXP((T0-t)*PertePVj)+'2018'!Pspv,1-EXP((T0-t)*PertePVj)+Pspv)</f>
        <v>8.4839976828036123E-3</v>
      </c>
      <c r="M188" s="847"/>
      <c r="N188" s="847"/>
      <c r="O188" s="48">
        <f>IF(t&lt;Tnet,'2018'!Resal+('2018'!Salim-'2018'!Resal)*(1-EXP(('2018'!Tnet-t)/('2018'!Tau_j))),Resal+(Salim-Resal)*(1-EXP((Tnet-t)/(Tau_j))))*Salcycl</f>
        <v>2.4590758843885195E-2</v>
      </c>
      <c r="P188" s="168">
        <f>(INDEX(Models!$BJ188:$BT188,,T188)*(1-R188)+INDEX(Models!$BJ188:$BT188,,T188+1)*R188-ERP_i)*Q188*Ramure*Pc/MaxiM</f>
        <v>2.1090705593477277E-4</v>
      </c>
      <c r="Q188" s="304">
        <f t="shared" si="51"/>
        <v>0.5</v>
      </c>
      <c r="R188" s="176">
        <f t="shared" si="52"/>
        <v>2.3825889274015771E-2</v>
      </c>
      <c r="S188" s="814">
        <f t="shared" si="53"/>
        <v>0</v>
      </c>
      <c r="T188" s="175">
        <f t="shared" si="54"/>
        <v>6</v>
      </c>
      <c r="U188" s="250">
        <f t="shared" si="55"/>
        <v>2.3825889274015771E-2</v>
      </c>
      <c r="V188" s="382">
        <f t="shared" si="56"/>
        <v>57.231605724342117</v>
      </c>
      <c r="W188" s="58"/>
      <c r="X188" s="157">
        <f t="shared" si="57"/>
        <v>43639</v>
      </c>
      <c r="Y188" s="384">
        <f t="shared" si="58"/>
        <v>51.613999999999997</v>
      </c>
      <c r="Z188" s="384">
        <f t="shared" si="59"/>
        <v>52.05563992853051</v>
      </c>
      <c r="AA188" s="385">
        <f t="shared" si="60"/>
        <v>53.367999535078198</v>
      </c>
      <c r="AB188" s="196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2.4590758843885195E-2</v>
      </c>
      <c r="AD188" s="230">
        <f>(INDEX(Models!$BJ188:$BT188,,AH188)*(1-AF188)+INDEX(Models!$BJ188:$BT188,,AH188+1)*AF188-ERP_i)*AE188*Ramure*Pc/MaxiM</f>
        <v>2.1090705593477277E-4</v>
      </c>
      <c r="AE188" s="304">
        <f t="shared" si="62"/>
        <v>0.5</v>
      </c>
      <c r="AF188" s="176">
        <f t="shared" si="63"/>
        <v>2.3825889274015771E-2</v>
      </c>
      <c r="AG188" s="175">
        <f t="shared" si="64"/>
        <v>0</v>
      </c>
      <c r="AH188" s="175">
        <f t="shared" si="65"/>
        <v>6</v>
      </c>
      <c r="AI188" s="224">
        <f t="shared" si="66"/>
        <v>2.3825889274015771E-2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43640</v>
      </c>
      <c r="B189" s="616">
        <v>37.917000000000002</v>
      </c>
      <c r="C189" s="389"/>
      <c r="D189" s="392">
        <f t="shared" si="48"/>
        <v>38.24227789484646</v>
      </c>
      <c r="E189" s="384">
        <f t="shared" si="73"/>
        <v>39.208815182655052</v>
      </c>
      <c r="F189" s="384">
        <f t="shared" si="49"/>
        <v>39.213146740475274</v>
      </c>
      <c r="G189" s="110">
        <f t="shared" si="74"/>
        <v>0.66320426144252964</v>
      </c>
      <c r="H189" s="413" t="b">
        <f>Wh_hp&gt;='2018'!Maxi_hp</f>
        <v>1</v>
      </c>
      <c r="I189" s="389">
        <f>IF(H189,Wh_hp,'2018'!Maxi_hp)</f>
        <v>39.213146740475274</v>
      </c>
      <c r="J189" s="85">
        <f>IF(H189,An,'2018'!An_max)</f>
        <v>2019</v>
      </c>
      <c r="K189" s="196">
        <f t="shared" si="50"/>
        <v>43640</v>
      </c>
      <c r="L189" s="147">
        <f>IF(t&lt;Tvie,1-EXP((T0-t)*PertePVj)+'2018'!Pspv,1-EXP((T0-t)*PertePVj)+Pspv)</f>
        <v>8.5057144279130359E-3</v>
      </c>
      <c r="M189" s="847"/>
      <c r="N189" s="847"/>
      <c r="O189" s="48">
        <f>IF(t&lt;Tnet,'2018'!Resal+('2018'!Salim-'2018'!Resal)*(1-EXP(('2018'!Tnet-t)/('2018'!Tau_j))),Resal+(Salim-Resal)*(1-EXP((Tnet-t)/(Tau_j))))*Salcycl</f>
        <v>2.4651020014401288E-2</v>
      </c>
      <c r="P189" s="168">
        <f>(INDEX(Models!$BJ189:$BT189,,T189)*(1-R189)+INDEX(Models!$BJ189:$BT189,,T189+1)*R189-ERP_i)*Q189*Ramure*Pc/MaxiM</f>
        <v>2.1285228626943451E-4</v>
      </c>
      <c r="Q189" s="304">
        <f t="shared" si="51"/>
        <v>0.5</v>
      </c>
      <c r="R189" s="176">
        <f t="shared" si="52"/>
        <v>2.66874107029412E-2</v>
      </c>
      <c r="S189" s="814">
        <f t="shared" si="53"/>
        <v>0</v>
      </c>
      <c r="T189" s="175">
        <f t="shared" si="54"/>
        <v>6</v>
      </c>
      <c r="U189" s="250">
        <f t="shared" si="55"/>
        <v>2.66874107029412E-2</v>
      </c>
      <c r="V189" s="382">
        <f t="shared" si="56"/>
        <v>57.166576631333591</v>
      </c>
      <c r="W189" s="58"/>
      <c r="X189" s="157">
        <f t="shared" si="57"/>
        <v>43640</v>
      </c>
      <c r="Y189" s="384">
        <f t="shared" si="58"/>
        <v>37.917000000000002</v>
      </c>
      <c r="Z189" s="384">
        <f t="shared" si="59"/>
        <v>38.24227789484646</v>
      </c>
      <c r="AA189" s="385">
        <f t="shared" si="60"/>
        <v>39.208815182655052</v>
      </c>
      <c r="AB189" s="196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2.4651020014401288E-2</v>
      </c>
      <c r="AD189" s="230">
        <f>(INDEX(Models!$BJ189:$BT189,,AH189)*(1-AF189)+INDEX(Models!$BJ189:$BT189,,AH189+1)*AF189-ERP_i)*AE189*Ramure*Pc/MaxiM</f>
        <v>2.1285228626943451E-4</v>
      </c>
      <c r="AE189" s="304">
        <f t="shared" si="62"/>
        <v>0.5</v>
      </c>
      <c r="AF189" s="176">
        <f t="shared" si="63"/>
        <v>2.66874107029412E-2</v>
      </c>
      <c r="AG189" s="175">
        <f t="shared" si="64"/>
        <v>0</v>
      </c>
      <c r="AH189" s="175">
        <f t="shared" si="65"/>
        <v>6</v>
      </c>
      <c r="AI189" s="224">
        <f t="shared" si="66"/>
        <v>2.66874107029412E-2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43641</v>
      </c>
      <c r="B190" s="616">
        <v>50.197000000000003</v>
      </c>
      <c r="C190" s="389"/>
      <c r="D190" s="392">
        <f t="shared" si="48"/>
        <v>50.628733012055967</v>
      </c>
      <c r="E190" s="384">
        <f t="shared" si="73"/>
        <v>51.911510706042641</v>
      </c>
      <c r="F190" s="384">
        <f t="shared" si="49"/>
        <v>51.920728499345152</v>
      </c>
      <c r="G190" s="110">
        <f t="shared" si="74"/>
        <v>0.87906474544982682</v>
      </c>
      <c r="H190" s="413" t="b">
        <f>Wh_hp&gt;='2018'!Maxi_hp</f>
        <v>1</v>
      </c>
      <c r="I190" s="389">
        <f>IF(H190,Wh_hp,'2018'!Maxi_hp)</f>
        <v>51.920728499345152</v>
      </c>
      <c r="J190" s="85">
        <f>IF(H190,An,'2018'!An_max)</f>
        <v>2019</v>
      </c>
      <c r="K190" s="196">
        <f t="shared" si="50"/>
        <v>43641</v>
      </c>
      <c r="L190" s="147">
        <f>IF(t&lt;Tvie,1-EXP((T0-t)*PertePVj)+'2018'!Pspv,1-EXP((T0-t)*PertePVj)+Pspv)</f>
        <v>8.5274306973701641E-3</v>
      </c>
      <c r="M190" s="847"/>
      <c r="N190" s="847"/>
      <c r="O190" s="48">
        <f>IF(t&lt;Tnet,'2018'!Resal+('2018'!Salim-'2018'!Resal)*(1-EXP(('2018'!Tnet-t)/('2018'!Tau_j))),Resal+(Salim-Resal)*(1-EXP((Tnet-t)/(Tau_j))))*Salcycl</f>
        <v>2.4710852690275426E-2</v>
      </c>
      <c r="P190" s="168">
        <f>(INDEX(Models!$BJ190:$BT190,,T190)*(1-R190)+INDEX(Models!$BJ190:$BT190,,T190+1)*R190-ERP_i)*Q190*Ramure*Pc/MaxiM</f>
        <v>2.1460145458229021E-4</v>
      </c>
      <c r="Q190" s="304">
        <f t="shared" si="51"/>
        <v>0.5</v>
      </c>
      <c r="R190" s="176">
        <f t="shared" si="52"/>
        <v>2.9516199137526705E-2</v>
      </c>
      <c r="S190" s="814">
        <f t="shared" si="53"/>
        <v>0</v>
      </c>
      <c r="T190" s="175">
        <f t="shared" si="54"/>
        <v>6</v>
      </c>
      <c r="U190" s="250">
        <f t="shared" si="55"/>
        <v>2.9516199137526705E-2</v>
      </c>
      <c r="V190" s="382">
        <f t="shared" si="56"/>
        <v>57.100616706373913</v>
      </c>
      <c r="W190" s="58"/>
      <c r="X190" s="157">
        <f t="shared" si="57"/>
        <v>43641</v>
      </c>
      <c r="Y190" s="384">
        <f t="shared" si="58"/>
        <v>50.197000000000003</v>
      </c>
      <c r="Z190" s="384">
        <f t="shared" si="59"/>
        <v>50.628733012055967</v>
      </c>
      <c r="AA190" s="385">
        <f t="shared" si="60"/>
        <v>51.911510706042641</v>
      </c>
      <c r="AB190" s="196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2.4710852690275426E-2</v>
      </c>
      <c r="AD190" s="230">
        <f>(INDEX(Models!$BJ190:$BT190,,AH190)*(1-AF190)+INDEX(Models!$BJ190:$BT190,,AH190+1)*AF190-ERP_i)*AE190*Ramure*Pc/MaxiM</f>
        <v>2.1460145458229021E-4</v>
      </c>
      <c r="AE190" s="304">
        <f t="shared" si="62"/>
        <v>0.5</v>
      </c>
      <c r="AF190" s="176">
        <f t="shared" si="63"/>
        <v>2.9516199137526705E-2</v>
      </c>
      <c r="AG190" s="175">
        <f t="shared" si="64"/>
        <v>0</v>
      </c>
      <c r="AH190" s="175">
        <f t="shared" si="65"/>
        <v>6</v>
      </c>
      <c r="AI190" s="224">
        <f t="shared" si="66"/>
        <v>2.9516199137526705E-2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43642</v>
      </c>
      <c r="B191" s="616">
        <v>55.725000000000001</v>
      </c>
      <c r="C191" s="389"/>
      <c r="D191" s="392">
        <f t="shared" si="48"/>
        <v>56.205509131174047</v>
      </c>
      <c r="E191" s="384">
        <f t="shared" si="73"/>
        <v>57.633095666245381</v>
      </c>
      <c r="F191" s="384">
        <f t="shared" si="49"/>
        <v>57.645147266339038</v>
      </c>
      <c r="G191" s="110">
        <f t="shared" si="74"/>
        <v>0.97705042915232776</v>
      </c>
      <c r="H191" s="413" t="b">
        <f>Wh_hp&gt;='2018'!Maxi_hp</f>
        <v>1</v>
      </c>
      <c r="I191" s="389">
        <f>IF(H191,Wh_hp,'2018'!Maxi_hp)</f>
        <v>57.645147266339038</v>
      </c>
      <c r="J191" s="85">
        <f>IF(H191,An,'2018'!An_max)</f>
        <v>2019</v>
      </c>
      <c r="K191" s="196">
        <f t="shared" si="50"/>
        <v>43642</v>
      </c>
      <c r="L191" s="147">
        <f>IF(t&lt;Tvie,1-EXP((T0-t)*PertePVj)+'2018'!Pspv,1-EXP((T0-t)*PertePVj)+Pspv)</f>
        <v>8.5491464911851001E-3</v>
      </c>
      <c r="M191" s="847"/>
      <c r="N191" s="847"/>
      <c r="O191" s="48">
        <f>IF(t&lt;Tnet,'2018'!Resal+('2018'!Salim-'2018'!Resal)*(1-EXP(('2018'!Tnet-t)/('2018'!Tau_j))),Resal+(Salim-Resal)*(1-EXP((Tnet-t)/(Tau_j))))*Salcycl</f>
        <v>2.4770256023353653E-2</v>
      </c>
      <c r="P191" s="168">
        <f>(INDEX(Models!$BJ191:$BT191,,T191)*(1-R191)+INDEX(Models!$BJ191:$BT191,,T191+1)*R191-ERP_i)*Q191*Ramure*Pc/MaxiM</f>
        <v>2.1614965192038698E-4</v>
      </c>
      <c r="Q191" s="304">
        <f t="shared" si="51"/>
        <v>0.5</v>
      </c>
      <c r="R191" s="176">
        <f t="shared" si="52"/>
        <v>3.2310466542026073E-2</v>
      </c>
      <c r="S191" s="814">
        <f t="shared" si="53"/>
        <v>0</v>
      </c>
      <c r="T191" s="175">
        <f t="shared" si="54"/>
        <v>6</v>
      </c>
      <c r="U191" s="250">
        <f t="shared" si="55"/>
        <v>3.2310466542026073E-2</v>
      </c>
      <c r="V191" s="382">
        <f t="shared" si="56"/>
        <v>57.033499479006245</v>
      </c>
      <c r="W191" s="58"/>
      <c r="X191" s="157">
        <f t="shared" si="57"/>
        <v>43642</v>
      </c>
      <c r="Y191" s="384">
        <f t="shared" si="58"/>
        <v>55.725000000000001</v>
      </c>
      <c r="Z191" s="384">
        <f t="shared" si="59"/>
        <v>56.205509131174047</v>
      </c>
      <c r="AA191" s="385">
        <f t="shared" si="60"/>
        <v>57.633095666245381</v>
      </c>
      <c r="AB191" s="196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2.4770256023353653E-2</v>
      </c>
      <c r="AD191" s="230">
        <f>(INDEX(Models!$BJ191:$BT191,,AH191)*(1-AF191)+INDEX(Models!$BJ191:$BT191,,AH191+1)*AF191-ERP_i)*AE191*Ramure*Pc/MaxiM</f>
        <v>2.1614965192038698E-4</v>
      </c>
      <c r="AE191" s="304">
        <f t="shared" si="62"/>
        <v>0.5</v>
      </c>
      <c r="AF191" s="176">
        <f t="shared" si="63"/>
        <v>3.2310466542026073E-2</v>
      </c>
      <c r="AG191" s="175">
        <f t="shared" si="64"/>
        <v>0</v>
      </c>
      <c r="AH191" s="175">
        <f t="shared" si="65"/>
        <v>6</v>
      </c>
      <c r="AI191" s="224">
        <f t="shared" si="66"/>
        <v>3.2310466542026073E-2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43643</v>
      </c>
      <c r="B192" s="616">
        <v>55.637999999999998</v>
      </c>
      <c r="C192" s="389"/>
      <c r="D192" s="392">
        <f t="shared" si="48"/>
        <v>56.118988091816554</v>
      </c>
      <c r="E192" s="384">
        <f t="shared" si="73"/>
        <v>57.54785708898762</v>
      </c>
      <c r="F192" s="384">
        <f t="shared" si="49"/>
        <v>57.559954834573851</v>
      </c>
      <c r="G192" s="110">
        <f t="shared" si="74"/>
        <v>0.97669667661177484</v>
      </c>
      <c r="H192" s="413" t="b">
        <f>Wh_hp&gt;='2018'!Maxi_hp</f>
        <v>1</v>
      </c>
      <c r="I192" s="389">
        <f>IF(H192,Wh_hp,'2018'!Maxi_hp)</f>
        <v>57.559954834573851</v>
      </c>
      <c r="J192" s="85">
        <f>IF(H192,An,'2018'!An_max)</f>
        <v>2019</v>
      </c>
      <c r="K192" s="196">
        <f t="shared" si="50"/>
        <v>43643</v>
      </c>
      <c r="L192" s="147">
        <f>IF(t&lt;Tvie,1-EXP((T0-t)*PertePVj)+'2018'!Pspv,1-EXP((T0-t)*PertePVj)+Pspv)</f>
        <v>8.5708618093685018E-3</v>
      </c>
      <c r="M192" s="847"/>
      <c r="N192" s="847"/>
      <c r="O192" s="48">
        <f>IF(t&lt;Tnet,'2018'!Resal+('2018'!Salim-'2018'!Resal)*(1-EXP(('2018'!Tnet-t)/('2018'!Tau_j))),Resal+(Salim-Resal)*(1-EXP((Tnet-t)/(Tau_j))))*Salcycl</f>
        <v>2.4829230304120126E-2</v>
      </c>
      <c r="P192" s="168">
        <f>(INDEX(Models!$BJ192:$BT192,,T192)*(1-R192)+INDEX(Models!$BJ192:$BT192,,T192+1)*R192-ERP_i)*Q192*Ramure*Pc/MaxiM</f>
        <v>2.17411975696397E-4</v>
      </c>
      <c r="Q192" s="304">
        <f t="shared" si="51"/>
        <v>0.5</v>
      </c>
      <c r="R192" s="176">
        <f t="shared" si="52"/>
        <v>3.5068525792656374E-2</v>
      </c>
      <c r="S192" s="814">
        <f t="shared" si="53"/>
        <v>0</v>
      </c>
      <c r="T192" s="175">
        <f t="shared" si="54"/>
        <v>6</v>
      </c>
      <c r="U192" s="250">
        <f t="shared" si="55"/>
        <v>3.5068525792656374E-2</v>
      </c>
      <c r="V192" s="382">
        <f t="shared" si="56"/>
        <v>56.965072858511292</v>
      </c>
      <c r="W192" s="58"/>
      <c r="X192" s="157">
        <f t="shared" si="57"/>
        <v>43643</v>
      </c>
      <c r="Y192" s="384">
        <f t="shared" si="58"/>
        <v>55.637999999999998</v>
      </c>
      <c r="Z192" s="384">
        <f t="shared" si="59"/>
        <v>56.118988091816554</v>
      </c>
      <c r="AA192" s="385">
        <f t="shared" si="60"/>
        <v>57.54785708898762</v>
      </c>
      <c r="AB192" s="196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2.4829230304120126E-2</v>
      </c>
      <c r="AD192" s="230">
        <f>(INDEX(Models!$BJ192:$BT192,,AH192)*(1-AF192)+INDEX(Models!$BJ192:$BT192,,AH192+1)*AF192-ERP_i)*AE192*Ramure*Pc/MaxiM</f>
        <v>2.17411975696397E-4</v>
      </c>
      <c r="AE192" s="304">
        <f t="shared" si="62"/>
        <v>0.5</v>
      </c>
      <c r="AF192" s="176">
        <f t="shared" si="63"/>
        <v>3.5068525792656374E-2</v>
      </c>
      <c r="AG192" s="175">
        <f t="shared" si="64"/>
        <v>0</v>
      </c>
      <c r="AH192" s="175">
        <f t="shared" si="65"/>
        <v>6</v>
      </c>
      <c r="AI192" s="224">
        <f t="shared" si="66"/>
        <v>3.5068525792656374E-2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43644</v>
      </c>
      <c r="B193" s="616">
        <v>54.341999999999999</v>
      </c>
      <c r="C193" s="389"/>
      <c r="D193" s="392">
        <f t="shared" si="48"/>
        <v>54.812984773184695</v>
      </c>
      <c r="E193" s="384">
        <f t="shared" si="73"/>
        <v>56.211975890236637</v>
      </c>
      <c r="F193" s="384">
        <f t="shared" si="49"/>
        <v>56.223471140194263</v>
      </c>
      <c r="G193" s="110">
        <f t="shared" si="74"/>
        <v>0.95510714301532285</v>
      </c>
      <c r="H193" s="413" t="b">
        <f>Wh_hp&gt;='2018'!Maxi_hp</f>
        <v>1</v>
      </c>
      <c r="I193" s="389">
        <f>IF(H193,Wh_hp,'2018'!Maxi_hp)</f>
        <v>56.223471140194263</v>
      </c>
      <c r="J193" s="85">
        <f>IF(H193,An,'2018'!An_max)</f>
        <v>2019</v>
      </c>
      <c r="K193" s="196">
        <f t="shared" si="50"/>
        <v>43644</v>
      </c>
      <c r="L193" s="147">
        <f>IF(t&lt;Tvie,1-EXP((T0-t)*PertePVj)+'2018'!Pspv,1-EXP((T0-t)*PertePVj)+Pspv)</f>
        <v>8.5925766519306945E-3</v>
      </c>
      <c r="M193" s="847"/>
      <c r="N193" s="847"/>
      <c r="O193" s="48">
        <f>IF(t&lt;Tnet,'2018'!Resal+('2018'!Salim-'2018'!Resal)*(1-EXP(('2018'!Tnet-t)/('2018'!Tau_j))),Resal+(Salim-Resal)*(1-EXP((Tnet-t)/(Tau_j))))*Salcycl</f>
        <v>2.4887776935358128E-2</v>
      </c>
      <c r="P193" s="168">
        <f>(INDEX(Models!$BJ193:$BT193,,T193)*(1-R193)+INDEX(Models!$BJ193:$BT193,,T193+1)*R193-ERP_i)*Q193*Ramure*Pc/MaxiM</f>
        <v>2.1846285215802968E-4</v>
      </c>
      <c r="Q193" s="304">
        <f t="shared" si="51"/>
        <v>0.5</v>
      </c>
      <c r="R193" s="176">
        <f t="shared" si="52"/>
        <v>3.7788793511154078E-2</v>
      </c>
      <c r="S193" s="814">
        <f t="shared" si="53"/>
        <v>0</v>
      </c>
      <c r="T193" s="175">
        <f t="shared" si="54"/>
        <v>6</v>
      </c>
      <c r="U193" s="250">
        <f t="shared" si="55"/>
        <v>3.7788793511154078E-2</v>
      </c>
      <c r="V193" s="382">
        <f t="shared" si="56"/>
        <v>56.895437443354972</v>
      </c>
      <c r="W193" s="58"/>
      <c r="X193" s="157">
        <f t="shared" si="57"/>
        <v>43644</v>
      </c>
      <c r="Y193" s="384">
        <f t="shared" si="58"/>
        <v>54.341999999999999</v>
      </c>
      <c r="Z193" s="384">
        <f t="shared" si="59"/>
        <v>54.812984773184695</v>
      </c>
      <c r="AA193" s="385">
        <f t="shared" si="60"/>
        <v>56.211975890236637</v>
      </c>
      <c r="AB193" s="196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2.4887776935358128E-2</v>
      </c>
      <c r="AD193" s="230">
        <f>(INDEX(Models!$BJ193:$BT193,,AH193)*(1-AF193)+INDEX(Models!$BJ193:$BT193,,AH193+1)*AF193-ERP_i)*AE193*Ramure*Pc/MaxiM</f>
        <v>2.1846285215802968E-4</v>
      </c>
      <c r="AE193" s="304">
        <f t="shared" si="62"/>
        <v>0.5</v>
      </c>
      <c r="AF193" s="176">
        <f t="shared" si="63"/>
        <v>3.7788793511154078E-2</v>
      </c>
      <c r="AG193" s="175">
        <f t="shared" si="64"/>
        <v>0</v>
      </c>
      <c r="AH193" s="175">
        <f t="shared" si="65"/>
        <v>6</v>
      </c>
      <c r="AI193" s="224">
        <f t="shared" si="66"/>
        <v>3.7788793511154078E-2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43645</v>
      </c>
      <c r="B194" s="616">
        <v>53.505000000000003</v>
      </c>
      <c r="C194" s="389"/>
      <c r="D194" s="392">
        <f t="shared" si="48"/>
        <v>53.96991253282134</v>
      </c>
      <c r="E194" s="384">
        <f t="shared" si="73"/>
        <v>55.350685099667182</v>
      </c>
      <c r="F194" s="384">
        <f t="shared" si="49"/>
        <v>55.361812565230082</v>
      </c>
      <c r="G194" s="110">
        <f t="shared" si="74"/>
        <v>0.94156277450002468</v>
      </c>
      <c r="H194" s="413" t="b">
        <f>Wh_hp&gt;='2018'!Maxi_hp</f>
        <v>1</v>
      </c>
      <c r="I194" s="389">
        <f>IF(H194,Wh_hp,'2018'!Maxi_hp)</f>
        <v>55.361812565230082</v>
      </c>
      <c r="J194" s="85">
        <f>IF(H194,An,'2018'!An_max)</f>
        <v>2019</v>
      </c>
      <c r="K194" s="196">
        <f t="shared" si="50"/>
        <v>43645</v>
      </c>
      <c r="L194" s="147">
        <f>IF(t&lt;Tvie,1-EXP((T0-t)*PertePVj)+'2018'!Pspv,1-EXP((T0-t)*PertePVj)+Pspv)</f>
        <v>8.6142910188821142E-3</v>
      </c>
      <c r="M194" s="847"/>
      <c r="N194" s="847"/>
      <c r="O194" s="48">
        <f>IF(t&lt;Tnet,'2018'!Resal+('2018'!Salim-'2018'!Resal)*(1-EXP(('2018'!Tnet-t)/('2018'!Tau_j))),Resal+(Salim-Resal)*(1-EXP((Tnet-t)/(Tau_j))))*Salcycl</f>
        <v>2.4945898399623405E-2</v>
      </c>
      <c r="P194" s="168">
        <f>(INDEX(Models!$BJ194:$BT194,,T194)*(1-R194)+INDEX(Models!$BJ194:$BT194,,T194+1)*R194-ERP_i)*Q194*Ramure*Pc/MaxiM</f>
        <v>2.1929724404862937E-4</v>
      </c>
      <c r="Q194" s="304">
        <f t="shared" si="51"/>
        <v>0.5</v>
      </c>
      <c r="R194" s="176">
        <f t="shared" si="52"/>
        <v>4.0469792310217467E-2</v>
      </c>
      <c r="S194" s="814">
        <f t="shared" si="53"/>
        <v>0</v>
      </c>
      <c r="T194" s="175">
        <f t="shared" si="54"/>
        <v>6</v>
      </c>
      <c r="U194" s="250">
        <f t="shared" si="55"/>
        <v>4.0469792310217467E-2</v>
      </c>
      <c r="V194" s="382">
        <f t="shared" si="56"/>
        <v>56.824698265520475</v>
      </c>
      <c r="W194" s="58"/>
      <c r="X194" s="157">
        <f t="shared" si="57"/>
        <v>43645</v>
      </c>
      <c r="Y194" s="384">
        <f t="shared" si="58"/>
        <v>53.505000000000003</v>
      </c>
      <c r="Z194" s="384">
        <f t="shared" si="59"/>
        <v>53.96991253282134</v>
      </c>
      <c r="AA194" s="385">
        <f t="shared" si="60"/>
        <v>55.350685099667182</v>
      </c>
      <c r="AB194" s="196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2.4945898399623405E-2</v>
      </c>
      <c r="AD194" s="230">
        <f>(INDEX(Models!$BJ194:$BT194,,AH194)*(1-AF194)+INDEX(Models!$BJ194:$BT194,,AH194+1)*AF194-ERP_i)*AE194*Ramure*Pc/MaxiM</f>
        <v>2.1929724404862937E-4</v>
      </c>
      <c r="AE194" s="304">
        <f t="shared" si="62"/>
        <v>0.5</v>
      </c>
      <c r="AF194" s="176">
        <f t="shared" si="63"/>
        <v>4.0469792310217467E-2</v>
      </c>
      <c r="AG194" s="175">
        <f t="shared" si="64"/>
        <v>0</v>
      </c>
      <c r="AH194" s="175">
        <f t="shared" si="65"/>
        <v>6</v>
      </c>
      <c r="AI194" s="224">
        <f t="shared" si="66"/>
        <v>4.0469792310217467E-2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43646</v>
      </c>
      <c r="B195" s="616">
        <v>50.33</v>
      </c>
      <c r="C195" s="389"/>
      <c r="D195" s="392">
        <f t="shared" si="48"/>
        <v>50.768436466610503</v>
      </c>
      <c r="E195" s="384">
        <f t="shared" si="73"/>
        <v>52.070383412663098</v>
      </c>
      <c r="F195" s="384">
        <f t="shared" si="49"/>
        <v>52.079984666293029</v>
      </c>
      <c r="G195" s="110">
        <f t="shared" si="74"/>
        <v>0.88679445089534059</v>
      </c>
      <c r="H195" s="413" t="b">
        <f>Wh_hp&gt;='2018'!Maxi_hp</f>
        <v>1</v>
      </c>
      <c r="I195" s="389">
        <f>IF(H195,Wh_hp,'2018'!Maxi_hp)</f>
        <v>52.079984666293029</v>
      </c>
      <c r="J195" s="85">
        <f>IF(H195,An,'2018'!An_max)</f>
        <v>2019</v>
      </c>
      <c r="K195" s="196">
        <f t="shared" si="50"/>
        <v>43646</v>
      </c>
      <c r="L195" s="147">
        <f>IF(t&lt;Tvie,1-EXP((T0-t)*PertePVj)+'2018'!Pspv,1-EXP((T0-t)*PertePVj)+Pspv)</f>
        <v>8.636004910233086E-3</v>
      </c>
      <c r="M195" s="847"/>
      <c r="N195" s="847"/>
      <c r="O195" s="48">
        <f>IF(t&lt;Tnet,'2018'!Resal+('2018'!Salim-'2018'!Resal)*(1-EXP(('2018'!Tnet-t)/('2018'!Tau_j))),Resal+(Salim-Resal)*(1-EXP((Tnet-t)/(Tau_j))))*Salcycl</f>
        <v>2.500359822078772E-2</v>
      </c>
      <c r="P195" s="168">
        <f>(INDEX(Models!$BJ195:$BT195,,T195)*(1-R195)+INDEX(Models!$BJ195:$BT195,,T195+1)*R195-ERP_i)*Q195*Ramure*Pc/MaxiM</f>
        <v>2.1991041416898451E-4</v>
      </c>
      <c r="Q195" s="304">
        <f t="shared" si="51"/>
        <v>0.5</v>
      </c>
      <c r="R195" s="176">
        <f t="shared" si="52"/>
        <v>4.3110152457550815E-2</v>
      </c>
      <c r="S195" s="814">
        <f t="shared" si="53"/>
        <v>0</v>
      </c>
      <c r="T195" s="175">
        <f t="shared" si="54"/>
        <v>6</v>
      </c>
      <c r="U195" s="250">
        <f t="shared" si="55"/>
        <v>4.3110152457550815E-2</v>
      </c>
      <c r="V195" s="382">
        <f t="shared" si="56"/>
        <v>56.752960239744048</v>
      </c>
      <c r="W195" s="58"/>
      <c r="X195" s="157">
        <f t="shared" si="57"/>
        <v>43646</v>
      </c>
      <c r="Y195" s="384">
        <f t="shared" si="58"/>
        <v>50.33</v>
      </c>
      <c r="Z195" s="384">
        <f t="shared" si="59"/>
        <v>50.768436466610503</v>
      </c>
      <c r="AA195" s="385">
        <f t="shared" si="60"/>
        <v>52.070383412663098</v>
      </c>
      <c r="AB195" s="196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2.500359822078772E-2</v>
      </c>
      <c r="AD195" s="230">
        <f>(INDEX(Models!$BJ195:$BT195,,AH195)*(1-AF195)+INDEX(Models!$BJ195:$BT195,,AH195+1)*AF195-ERP_i)*AE195*Ramure*Pc/MaxiM</f>
        <v>2.1991041416898451E-4</v>
      </c>
      <c r="AE195" s="304">
        <f t="shared" si="62"/>
        <v>0.5</v>
      </c>
      <c r="AF195" s="176">
        <f t="shared" si="63"/>
        <v>4.3110152457550815E-2</v>
      </c>
      <c r="AG195" s="175">
        <f t="shared" si="64"/>
        <v>0</v>
      </c>
      <c r="AH195" s="175">
        <f t="shared" si="65"/>
        <v>6</v>
      </c>
      <c r="AI195" s="224">
        <f t="shared" si="66"/>
        <v>4.3110152457550815E-2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43647</v>
      </c>
      <c r="B196" s="616">
        <v>17.567</v>
      </c>
      <c r="C196" s="389"/>
      <c r="D196" s="392">
        <f t="shared" si="48"/>
        <v>17.720418391048465</v>
      </c>
      <c r="E196" s="384">
        <f t="shared" si="73"/>
        <v>18.175923033809081</v>
      </c>
      <c r="F196" s="384">
        <f t="shared" si="49"/>
        <v>18.17597984191335</v>
      </c>
      <c r="G196" s="110">
        <f t="shared" si="74"/>
        <v>0.30986385377657549</v>
      </c>
      <c r="H196" s="413" t="b">
        <f>Wh_hp&gt;='2018'!Maxi_hp</f>
        <v>1</v>
      </c>
      <c r="I196" s="389">
        <f>IF(H196,Wh_hp,'2018'!Maxi_hp)</f>
        <v>18.17597984191335</v>
      </c>
      <c r="J196" s="85">
        <f>IF(H196,An,'2018'!An_max)</f>
        <v>2019</v>
      </c>
      <c r="K196" s="196">
        <f t="shared" si="50"/>
        <v>43647</v>
      </c>
      <c r="L196" s="147">
        <f>IF(t&lt;Tvie,1-EXP((T0-t)*PertePVj)+'2018'!Pspv,1-EXP((T0-t)*PertePVj)+Pspv)</f>
        <v>8.657718325994268E-3</v>
      </c>
      <c r="M196" s="847"/>
      <c r="N196" s="847"/>
      <c r="O196" s="48">
        <f>IF(t&lt;Tnet,'2018'!Resal+('2018'!Salim-'2018'!Resal)*(1-EXP(('2018'!Tnet-t)/('2018'!Tau_j))),Resal+(Salim-Resal)*(1-EXP((Tnet-t)/(Tau_j))))*Salcycl</f>
        <v>2.5060880919958305E-2</v>
      </c>
      <c r="P196" s="168">
        <f>(INDEX(Models!$BJ196:$BT196,,T196)*(1-R196)+INDEX(Models!$BJ196:$BT196,,T196+1)*R196-ERP_i)*Q196*Ramure*Pc/MaxiM</f>
        <v>2.2029792979418633E-4</v>
      </c>
      <c r="Q196" s="304">
        <f t="shared" si="51"/>
        <v>0.5</v>
      </c>
      <c r="R196" s="176">
        <f t="shared" si="52"/>
        <v>4.5708612970116552E-2</v>
      </c>
      <c r="S196" s="814">
        <f t="shared" si="53"/>
        <v>0</v>
      </c>
      <c r="T196" s="175">
        <f t="shared" si="54"/>
        <v>6</v>
      </c>
      <c r="U196" s="250">
        <f t="shared" si="55"/>
        <v>4.5708612970116552E-2</v>
      </c>
      <c r="V196" s="382">
        <f t="shared" si="56"/>
        <v>56.680328166885367</v>
      </c>
      <c r="W196" s="58"/>
      <c r="X196" s="157">
        <f t="shared" si="57"/>
        <v>43647</v>
      </c>
      <c r="Y196" s="384">
        <f t="shared" si="58"/>
        <v>17.567</v>
      </c>
      <c r="Z196" s="384">
        <f t="shared" si="59"/>
        <v>17.720418391048465</v>
      </c>
      <c r="AA196" s="385">
        <f t="shared" si="60"/>
        <v>18.175923033809081</v>
      </c>
      <c r="AB196" s="196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2.5060880919958305E-2</v>
      </c>
      <c r="AD196" s="230">
        <f>(INDEX(Models!$BJ196:$BT196,,AH196)*(1-AF196)+INDEX(Models!$BJ196:$BT196,,AH196+1)*AF196-ERP_i)*AE196*Ramure*Pc/MaxiM</f>
        <v>2.2029792979418633E-4</v>
      </c>
      <c r="AE196" s="304">
        <f t="shared" si="62"/>
        <v>0.5</v>
      </c>
      <c r="AF196" s="176">
        <f t="shared" si="63"/>
        <v>4.5708612970116552E-2</v>
      </c>
      <c r="AG196" s="175">
        <f t="shared" si="64"/>
        <v>0</v>
      </c>
      <c r="AH196" s="175">
        <f t="shared" si="65"/>
        <v>6</v>
      </c>
      <c r="AI196" s="224">
        <f t="shared" si="66"/>
        <v>4.5708612970116552E-2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43648</v>
      </c>
      <c r="B197" s="616">
        <v>28.048999999999999</v>
      </c>
      <c r="C197" s="389"/>
      <c r="D197" s="392">
        <f t="shared" si="48"/>
        <v>28.294580869865246</v>
      </c>
      <c r="E197" s="384">
        <f t="shared" si="73"/>
        <v>29.023588158394706</v>
      </c>
      <c r="F197" s="384">
        <f t="shared" si="49"/>
        <v>29.025375299017885</v>
      </c>
      <c r="G197" s="110">
        <f t="shared" si="74"/>
        <v>0.49542617331782396</v>
      </c>
      <c r="H197" s="413" t="b">
        <f>Wh_hp&gt;='2018'!Maxi_hp</f>
        <v>1</v>
      </c>
      <c r="I197" s="389">
        <f>IF(H197,Wh_hp,'2018'!Maxi_hp)</f>
        <v>29.025375299017885</v>
      </c>
      <c r="J197" s="85">
        <f>IF(H197,An,'2018'!An_max)</f>
        <v>2019</v>
      </c>
      <c r="K197" s="196">
        <f t="shared" si="50"/>
        <v>43648</v>
      </c>
      <c r="L197" s="147">
        <f>IF(t&lt;Tvie,1-EXP((T0-t)*PertePVj)+'2018'!Pspv,1-EXP((T0-t)*PertePVj)+Pspv)</f>
        <v>8.6794312661757633E-3</v>
      </c>
      <c r="M197" s="847"/>
      <c r="N197" s="847"/>
      <c r="O197" s="48">
        <f>IF(t&lt;Tnet,'2018'!Resal+('2018'!Salim-'2018'!Resal)*(1-EXP(('2018'!Tnet-t)/('2018'!Tau_j))),Resal+(Salim-Resal)*(1-EXP((Tnet-t)/(Tau_j))))*Salcycl</f>
        <v>2.5117751966122846E-2</v>
      </c>
      <c r="P197" s="168">
        <f>(INDEX(Models!$BJ197:$BT197,,T197)*(1-R197)+INDEX(Models!$BJ197:$BT197,,T197+1)*R197-ERP_i)*Q197*Ramure*Pc/MaxiM</f>
        <v>2.2045566483298363E-4</v>
      </c>
      <c r="Q197" s="304">
        <f t="shared" si="51"/>
        <v>0.5</v>
      </c>
      <c r="R197" s="176">
        <f t="shared" si="52"/>
        <v>4.8264022154712927E-2</v>
      </c>
      <c r="S197" s="814">
        <f t="shared" si="53"/>
        <v>0</v>
      </c>
      <c r="T197" s="175">
        <f t="shared" si="54"/>
        <v>6</v>
      </c>
      <c r="U197" s="250">
        <f t="shared" si="55"/>
        <v>4.8264022154712927E-2</v>
      </c>
      <c r="V197" s="382">
        <f t="shared" si="56"/>
        <v>56.606906737293365</v>
      </c>
      <c r="W197" s="58"/>
      <c r="X197" s="157">
        <f t="shared" si="57"/>
        <v>43648</v>
      </c>
      <c r="Y197" s="384">
        <f t="shared" si="58"/>
        <v>28.048999999999999</v>
      </c>
      <c r="Z197" s="384">
        <f t="shared" si="59"/>
        <v>28.294580869865246</v>
      </c>
      <c r="AA197" s="385">
        <f t="shared" si="60"/>
        <v>29.023588158394706</v>
      </c>
      <c r="AB197" s="196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2.5117751966122846E-2</v>
      </c>
      <c r="AD197" s="230">
        <f>(INDEX(Models!$BJ197:$BT197,,AH197)*(1-AF197)+INDEX(Models!$BJ197:$BT197,,AH197+1)*AF197-ERP_i)*AE197*Ramure*Pc/MaxiM</f>
        <v>2.2045566483298363E-4</v>
      </c>
      <c r="AE197" s="304">
        <f t="shared" si="62"/>
        <v>0.5</v>
      </c>
      <c r="AF197" s="176">
        <f t="shared" si="63"/>
        <v>4.8264022154712927E-2</v>
      </c>
      <c r="AG197" s="175">
        <f t="shared" si="64"/>
        <v>0</v>
      </c>
      <c r="AH197" s="175">
        <f t="shared" si="65"/>
        <v>6</v>
      </c>
      <c r="AI197" s="224">
        <f t="shared" si="66"/>
        <v>4.8264022154712927E-2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43649</v>
      </c>
      <c r="B198" s="616">
        <v>48.776000000000003</v>
      </c>
      <c r="C198" s="389"/>
      <c r="D198" s="392">
        <f t="shared" si="48"/>
        <v>49.204132226652817</v>
      </c>
      <c r="E198" s="384">
        <f t="shared" si="73"/>
        <v>50.474795723669473</v>
      </c>
      <c r="F198" s="384">
        <f t="shared" si="49"/>
        <v>50.483737643611768</v>
      </c>
      <c r="G198" s="110">
        <f t="shared" si="74"/>
        <v>0.86275382354733499</v>
      </c>
      <c r="H198" s="413" t="b">
        <f>Wh_hp&gt;='2018'!Maxi_hp</f>
        <v>1</v>
      </c>
      <c r="I198" s="389">
        <f>IF(H198,Wh_hp,'2018'!Maxi_hp)</f>
        <v>50.483737643611768</v>
      </c>
      <c r="J198" s="85">
        <f>IF(H198,An,'2018'!An_max)</f>
        <v>2019</v>
      </c>
      <c r="K198" s="196">
        <f t="shared" si="50"/>
        <v>43649</v>
      </c>
      <c r="L198" s="147">
        <f>IF(t&lt;Tvie,1-EXP((T0-t)*PertePVj)+'2018'!Pspv,1-EXP((T0-t)*PertePVj)+Pspv)</f>
        <v>8.70114373078823E-3</v>
      </c>
      <c r="M198" s="847"/>
      <c r="N198" s="847"/>
      <c r="O198" s="48">
        <f>IF(t&lt;Tnet,'2018'!Resal+('2018'!Salim-'2018'!Resal)*(1-EXP(('2018'!Tnet-t)/('2018'!Tau_j))),Resal+(Salim-Resal)*(1-EXP((Tnet-t)/(Tau_j))))*Salcycl</f>
        <v>2.517421772191146E-2</v>
      </c>
      <c r="P198" s="168">
        <f>(INDEX(Models!$BJ198:$BT198,,T198)*(1-R198)+INDEX(Models!$BJ198:$BT198,,T198+1)*R198-ERP_i)*Q198*Ramure*Pc/MaxiM</f>
        <v>2.2030791708280614E-4</v>
      </c>
      <c r="Q198" s="304">
        <f t="shared" si="51"/>
        <v>0.5</v>
      </c>
      <c r="R198" s="176">
        <f t="shared" si="52"/>
        <v>5.0775337615090815E-2</v>
      </c>
      <c r="S198" s="814">
        <f t="shared" si="53"/>
        <v>0</v>
      </c>
      <c r="T198" s="175">
        <f t="shared" si="54"/>
        <v>6</v>
      </c>
      <c r="U198" s="250">
        <f t="shared" si="55"/>
        <v>5.0775337615090815E-2</v>
      </c>
      <c r="V198" s="382">
        <f t="shared" si="56"/>
        <v>56.532804600821557</v>
      </c>
      <c r="W198" s="58"/>
      <c r="X198" s="157">
        <f t="shared" si="57"/>
        <v>43649</v>
      </c>
      <c r="Y198" s="384">
        <f t="shared" si="58"/>
        <v>48.776000000000003</v>
      </c>
      <c r="Z198" s="384">
        <f t="shared" si="59"/>
        <v>49.204132226652817</v>
      </c>
      <c r="AA198" s="385">
        <f t="shared" si="60"/>
        <v>50.474795723669473</v>
      </c>
      <c r="AB198" s="196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2.517421772191146E-2</v>
      </c>
      <c r="AD198" s="230">
        <f>(INDEX(Models!$BJ198:$BT198,,AH198)*(1-AF198)+INDEX(Models!$BJ198:$BT198,,AH198+1)*AF198-ERP_i)*AE198*Ramure*Pc/MaxiM</f>
        <v>2.2030791708280614E-4</v>
      </c>
      <c r="AE198" s="304">
        <f t="shared" si="62"/>
        <v>0.5</v>
      </c>
      <c r="AF198" s="176">
        <f t="shared" si="63"/>
        <v>5.0775337615090815E-2</v>
      </c>
      <c r="AG198" s="175">
        <f t="shared" si="64"/>
        <v>0</v>
      </c>
      <c r="AH198" s="175">
        <f t="shared" si="65"/>
        <v>6</v>
      </c>
      <c r="AI198" s="224">
        <f t="shared" si="66"/>
        <v>5.0775337615090815E-2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43650</v>
      </c>
      <c r="B199" s="616">
        <v>34.527999999999999</v>
      </c>
      <c r="C199" s="389"/>
      <c r="D199" s="392">
        <f t="shared" si="48"/>
        <v>34.831833054189318</v>
      </c>
      <c r="E199" s="384">
        <f t="shared" si="73"/>
        <v>35.733396854603008</v>
      </c>
      <c r="F199" s="384">
        <f t="shared" si="49"/>
        <v>35.736895242129243</v>
      </c>
      <c r="G199" s="110">
        <f t="shared" si="74"/>
        <v>0.61149370197402564</v>
      </c>
      <c r="H199" s="413" t="b">
        <f>Wh_hp&gt;='2018'!Maxi_hp</f>
        <v>1</v>
      </c>
      <c r="I199" s="389">
        <f>IF(H199,Wh_hp,'2018'!Maxi_hp)</f>
        <v>35.736895242129243</v>
      </c>
      <c r="J199" s="85">
        <f>IF(H199,An,'2018'!An_max)</f>
        <v>2019</v>
      </c>
      <c r="K199" s="196">
        <f t="shared" si="50"/>
        <v>43650</v>
      </c>
      <c r="L199" s="147">
        <f>IF(t&lt;Tvie,1-EXP((T0-t)*PertePVj)+'2018'!Pspv,1-EXP((T0-t)*PertePVj)+Pspv)</f>
        <v>8.7228557198419931E-3</v>
      </c>
      <c r="M199" s="847"/>
      <c r="N199" s="847"/>
      <c r="O199" s="48">
        <f>IF(t&lt;Tnet,'2018'!Resal+('2018'!Salim-'2018'!Resal)*(1-EXP(('2018'!Tnet-t)/('2018'!Tau_j))),Resal+(Salim-Resal)*(1-EXP((Tnet-t)/(Tau_j))))*Salcycl</f>
        <v>2.5230285384904697E-2</v>
      </c>
      <c r="P199" s="168">
        <f>(INDEX(Models!$BJ199:$BT199,,T199)*(1-R199)+INDEX(Models!$BJ199:$BT199,,T199+1)*R199-ERP_i)*Q199*Ramure*Pc/MaxiM</f>
        <v>2.199357389821373E-4</v>
      </c>
      <c r="Q199" s="304">
        <f t="shared" si="51"/>
        <v>0.5</v>
      </c>
      <c r="R199" s="176">
        <f t="shared" si="52"/>
        <v>5.3241625749465088E-2</v>
      </c>
      <c r="S199" s="814">
        <f t="shared" si="53"/>
        <v>0</v>
      </c>
      <c r="T199" s="175">
        <f t="shared" si="54"/>
        <v>6</v>
      </c>
      <c r="U199" s="250">
        <f t="shared" si="55"/>
        <v>5.3241625749465088E-2</v>
      </c>
      <c r="V199" s="382">
        <f t="shared" si="56"/>
        <v>56.458121449322604</v>
      </c>
      <c r="W199" s="58"/>
      <c r="X199" s="157">
        <f t="shared" si="57"/>
        <v>43650</v>
      </c>
      <c r="Y199" s="384">
        <f t="shared" si="58"/>
        <v>34.527999999999999</v>
      </c>
      <c r="Z199" s="384">
        <f t="shared" si="59"/>
        <v>34.831833054189318</v>
      </c>
      <c r="AA199" s="385">
        <f t="shared" si="60"/>
        <v>35.733396854603008</v>
      </c>
      <c r="AB199" s="196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2.5230285384904697E-2</v>
      </c>
      <c r="AD199" s="230">
        <f>(INDEX(Models!$BJ199:$BT199,,AH199)*(1-AF199)+INDEX(Models!$BJ199:$BT199,,AH199+1)*AF199-ERP_i)*AE199*Ramure*Pc/MaxiM</f>
        <v>2.199357389821373E-4</v>
      </c>
      <c r="AE199" s="304">
        <f t="shared" si="62"/>
        <v>0.5</v>
      </c>
      <c r="AF199" s="176">
        <f t="shared" si="63"/>
        <v>5.3241625749465088E-2</v>
      </c>
      <c r="AG199" s="175">
        <f t="shared" si="64"/>
        <v>0</v>
      </c>
      <c r="AH199" s="175">
        <f t="shared" si="65"/>
        <v>6</v>
      </c>
      <c r="AI199" s="224">
        <f t="shared" si="66"/>
        <v>5.3241625749465088E-2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43651</v>
      </c>
      <c r="B200" s="616">
        <v>52.83</v>
      </c>
      <c r="C200" s="389"/>
      <c r="D200" s="392">
        <f t="shared" si="48"/>
        <v>53.29605090037019</v>
      </c>
      <c r="E200" s="384">
        <f t="shared" si="73"/>
        <v>54.678653300513204</v>
      </c>
      <c r="F200" s="384">
        <f t="shared" si="49"/>
        <v>54.689568868177631</v>
      </c>
      <c r="G200" s="110">
        <f t="shared" si="74"/>
        <v>0.93696668499883451</v>
      </c>
      <c r="H200" s="413" t="b">
        <f>Wh_hp&gt;='2018'!Maxi_hp</f>
        <v>1</v>
      </c>
      <c r="I200" s="389">
        <f>IF(H200,Wh_hp,'2018'!Maxi_hp)</f>
        <v>54.689568868177631</v>
      </c>
      <c r="J200" s="85">
        <f>IF(H200,An,'2018'!An_max)</f>
        <v>2019</v>
      </c>
      <c r="K200" s="196">
        <f t="shared" si="50"/>
        <v>43651</v>
      </c>
      <c r="L200" s="147">
        <f>IF(t&lt;Tvie,1-EXP((T0-t)*PertePVj)+'2018'!Pspv,1-EXP((T0-t)*PertePVj)+Pspv)</f>
        <v>8.7445672333473778E-3</v>
      </c>
      <c r="M200" s="847"/>
      <c r="N200" s="847"/>
      <c r="O200" s="48">
        <f>IF(t&lt;Tnet,'2018'!Resal+('2018'!Salim-'2018'!Resal)*(1-EXP(('2018'!Tnet-t)/('2018'!Tau_j))),Resal+(Salim-Resal)*(1-EXP((Tnet-t)/(Tau_j))))*Salcycl</f>
        <v>2.5285962924950823E-2</v>
      </c>
      <c r="P200" s="168">
        <f>(INDEX(Models!$BJ200:$BT200,,T200)*(1-R200)+INDEX(Models!$BJ200:$BT200,,T200+1)*R200-ERP_i)*Q200*Ramure*Pc/MaxiM</f>
        <v>2.1933630946531697E-4</v>
      </c>
      <c r="Q200" s="304">
        <f t="shared" si="51"/>
        <v>0.5</v>
      </c>
      <c r="R200" s="176">
        <f t="shared" si="52"/>
        <v>5.5662060765449384E-2</v>
      </c>
      <c r="S200" s="814">
        <f t="shared" si="53"/>
        <v>0</v>
      </c>
      <c r="T200" s="175">
        <f t="shared" si="54"/>
        <v>6</v>
      </c>
      <c r="U200" s="250">
        <f t="shared" si="55"/>
        <v>5.5662060765449384E-2</v>
      </c>
      <c r="V200" s="382">
        <f t="shared" si="56"/>
        <v>56.382961650664868</v>
      </c>
      <c r="W200" s="58"/>
      <c r="X200" s="157">
        <f t="shared" si="57"/>
        <v>43651</v>
      </c>
      <c r="Y200" s="384">
        <f t="shared" si="58"/>
        <v>52.83</v>
      </c>
      <c r="Z200" s="384">
        <f t="shared" si="59"/>
        <v>53.29605090037019</v>
      </c>
      <c r="AA200" s="385">
        <f t="shared" si="60"/>
        <v>54.678653300513204</v>
      </c>
      <c r="AB200" s="196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2.5285962924950823E-2</v>
      </c>
      <c r="AD200" s="230">
        <f>(INDEX(Models!$BJ200:$BT200,,AH200)*(1-AF200)+INDEX(Models!$BJ200:$BT200,,AH200+1)*AF200-ERP_i)*AE200*Ramure*Pc/MaxiM</f>
        <v>2.1933630946531697E-4</v>
      </c>
      <c r="AE200" s="304">
        <f t="shared" si="62"/>
        <v>0.5</v>
      </c>
      <c r="AF200" s="176">
        <f t="shared" si="63"/>
        <v>5.5662060765449384E-2</v>
      </c>
      <c r="AG200" s="175">
        <f t="shared" si="64"/>
        <v>0</v>
      </c>
      <c r="AH200" s="175">
        <f t="shared" si="65"/>
        <v>6</v>
      </c>
      <c r="AI200" s="224">
        <f t="shared" si="66"/>
        <v>5.5662060765449384E-2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43652</v>
      </c>
      <c r="B201" s="616">
        <v>53.051000000000002</v>
      </c>
      <c r="C201" s="389"/>
      <c r="D201" s="392">
        <f t="shared" si="48"/>
        <v>53.520172727255975</v>
      </c>
      <c r="E201" s="384">
        <f t="shared" si="73"/>
        <v>54.911704452916389</v>
      </c>
      <c r="F201" s="384">
        <f t="shared" si="49"/>
        <v>54.922713948894305</v>
      </c>
      <c r="G201" s="110">
        <f t="shared" si="74"/>
        <v>0.94214995389455003</v>
      </c>
      <c r="H201" s="413" t="b">
        <f>Wh_hp&gt;='2018'!Maxi_hp</f>
        <v>1</v>
      </c>
      <c r="I201" s="389">
        <f>IF(H201,Wh_hp,'2018'!Maxi_hp)</f>
        <v>54.922713948894305</v>
      </c>
      <c r="J201" s="85">
        <f>IF(H201,An,'2018'!An_max)</f>
        <v>2019</v>
      </c>
      <c r="K201" s="196">
        <f t="shared" si="50"/>
        <v>43652</v>
      </c>
      <c r="L201" s="147">
        <f>IF(t&lt;Tvie,1-EXP((T0-t)*PertePVj)+'2018'!Pspv,1-EXP((T0-t)*PertePVj)+Pspv)</f>
        <v>8.7662782713150422E-3</v>
      </c>
      <c r="M201" s="847"/>
      <c r="N201" s="847"/>
      <c r="O201" s="48">
        <f>IF(t&lt;Tnet,'2018'!Resal+('2018'!Salim-'2018'!Resal)*(1-EXP(('2018'!Tnet-t)/('2018'!Tau_j))),Resal+(Salim-Resal)*(1-EXP((Tnet-t)/(Tau_j))))*Salcycl</f>
        <v>2.5341259017985319E-2</v>
      </c>
      <c r="P201" s="168">
        <f>(INDEX(Models!$BJ201:$BT201,,T201)*(1-R201)+INDEX(Models!$BJ201:$BT201,,T201+1)*R201-ERP_i)*Q201*Ramure*Pc/MaxiM</f>
        <v>2.1850708671951232E-4</v>
      </c>
      <c r="Q201" s="304">
        <f t="shared" si="51"/>
        <v>0.5</v>
      </c>
      <c r="R201" s="176">
        <f t="shared" si="52"/>
        <v>5.8035923242125059E-2</v>
      </c>
      <c r="S201" s="814">
        <f t="shared" si="53"/>
        <v>0</v>
      </c>
      <c r="T201" s="175">
        <f t="shared" si="54"/>
        <v>6</v>
      </c>
      <c r="U201" s="250">
        <f t="shared" si="55"/>
        <v>5.8035923242125059E-2</v>
      </c>
      <c r="V201" s="382">
        <f t="shared" si="56"/>
        <v>56.307429483003816</v>
      </c>
      <c r="W201" s="58"/>
      <c r="X201" s="157">
        <f t="shared" si="57"/>
        <v>43652</v>
      </c>
      <c r="Y201" s="384">
        <f t="shared" si="58"/>
        <v>53.051000000000002</v>
      </c>
      <c r="Z201" s="384">
        <f t="shared" si="59"/>
        <v>53.520172727255975</v>
      </c>
      <c r="AA201" s="385">
        <f t="shared" si="60"/>
        <v>54.911704452916389</v>
      </c>
      <c r="AB201" s="196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2.5341259017985319E-2</v>
      </c>
      <c r="AD201" s="230">
        <f>(INDEX(Models!$BJ201:$BT201,,AH201)*(1-AF201)+INDEX(Models!$BJ201:$BT201,,AH201+1)*AF201-ERP_i)*AE201*Ramure*Pc/MaxiM</f>
        <v>2.1850708671951232E-4</v>
      </c>
      <c r="AE201" s="304">
        <f t="shared" si="62"/>
        <v>0.5</v>
      </c>
      <c r="AF201" s="176">
        <f t="shared" si="63"/>
        <v>5.8035923242125059E-2</v>
      </c>
      <c r="AG201" s="175">
        <f t="shared" si="64"/>
        <v>0</v>
      </c>
      <c r="AH201" s="175">
        <f t="shared" si="65"/>
        <v>6</v>
      </c>
      <c r="AI201" s="224">
        <f t="shared" si="66"/>
        <v>5.8035923242125059E-2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43653</v>
      </c>
      <c r="B202" s="616">
        <v>48.427</v>
      </c>
      <c r="C202" s="389"/>
      <c r="D202" s="392">
        <f t="shared" si="48"/>
        <v>48.856349049908644</v>
      </c>
      <c r="E202" s="384">
        <f t="shared" si="73"/>
        <v>50.129445623491947</v>
      </c>
      <c r="F202" s="384">
        <f t="shared" si="49"/>
        <v>50.138186272546442</v>
      </c>
      <c r="G202" s="110">
        <f t="shared" si="74"/>
        <v>0.8611685712272914</v>
      </c>
      <c r="H202" s="413" t="b">
        <f>Wh_hp&gt;='2018'!Maxi_hp</f>
        <v>1</v>
      </c>
      <c r="I202" s="389">
        <f>IF(H202,Wh_hp,'2018'!Maxi_hp)</f>
        <v>50.138186272546442</v>
      </c>
      <c r="J202" s="85">
        <f>IF(H202,An,'2018'!An_max)</f>
        <v>2019</v>
      </c>
      <c r="K202" s="196">
        <f t="shared" si="50"/>
        <v>43653</v>
      </c>
      <c r="L202" s="147">
        <f>IF(t&lt;Tvie,1-EXP((T0-t)*PertePVj)+'2018'!Pspv,1-EXP((T0-t)*PertePVj)+Pspv)</f>
        <v>8.7879888337552003E-3</v>
      </c>
      <c r="M202" s="847"/>
      <c r="N202" s="847"/>
      <c r="O202" s="48">
        <f>IF(t&lt;Tnet,'2018'!Resal+('2018'!Salim-'2018'!Resal)*(1-EXP(('2018'!Tnet-t)/('2018'!Tau_j))),Resal+(Salim-Resal)*(1-EXP((Tnet-t)/(Tau_j))))*Salcycl</f>
        <v>2.5396182976870844E-2</v>
      </c>
      <c r="P202" s="168">
        <f>(INDEX(Models!$BJ202:$BT202,,T202)*(1-R202)+INDEX(Models!$BJ202:$BT202,,T202+1)*R202-ERP_i)*Q202*Ramure*Pc/MaxiM</f>
        <v>2.1744580019057046E-4</v>
      </c>
      <c r="Q202" s="304">
        <f t="shared" si="51"/>
        <v>0.5</v>
      </c>
      <c r="R202" s="176">
        <f t="shared" si="52"/>
        <v>6.0362598271148815E-2</v>
      </c>
      <c r="S202" s="814">
        <f t="shared" si="53"/>
        <v>0</v>
      </c>
      <c r="T202" s="175">
        <f t="shared" si="54"/>
        <v>6</v>
      </c>
      <c r="U202" s="250">
        <f t="shared" si="55"/>
        <v>6.0362598271148815E-2</v>
      </c>
      <c r="V202" s="382">
        <f t="shared" si="56"/>
        <v>56.231629139817002</v>
      </c>
      <c r="W202" s="58"/>
      <c r="X202" s="157">
        <f t="shared" si="57"/>
        <v>43653</v>
      </c>
      <c r="Y202" s="384">
        <f t="shared" si="58"/>
        <v>48.427</v>
      </c>
      <c r="Z202" s="384">
        <f t="shared" si="59"/>
        <v>48.856349049908644</v>
      </c>
      <c r="AA202" s="385">
        <f t="shared" si="60"/>
        <v>50.129445623491947</v>
      </c>
      <c r="AB202" s="196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2.5396182976870844E-2</v>
      </c>
      <c r="AD202" s="230">
        <f>(INDEX(Models!$BJ202:$BT202,,AH202)*(1-AF202)+INDEX(Models!$BJ202:$BT202,,AH202+1)*AF202-ERP_i)*AE202*Ramure*Pc/MaxiM</f>
        <v>2.1744580019057046E-4</v>
      </c>
      <c r="AE202" s="304">
        <f t="shared" si="62"/>
        <v>0.5</v>
      </c>
      <c r="AF202" s="176">
        <f t="shared" si="63"/>
        <v>6.0362598271148815E-2</v>
      </c>
      <c r="AG202" s="175">
        <f t="shared" si="64"/>
        <v>0</v>
      </c>
      <c r="AH202" s="175">
        <f t="shared" si="65"/>
        <v>6</v>
      </c>
      <c r="AI202" s="224">
        <f t="shared" si="66"/>
        <v>6.0362598271148815E-2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43654</v>
      </c>
      <c r="B203" s="616">
        <v>32.264000000000003</v>
      </c>
      <c r="C203" s="389"/>
      <c r="D203" s="392">
        <f t="shared" si="48"/>
        <v>32.550762416528144</v>
      </c>
      <c r="E203" s="384">
        <f t="shared" si="73"/>
        <v>33.400838632659024</v>
      </c>
      <c r="F203" s="384">
        <f t="shared" si="49"/>
        <v>33.403670461783271</v>
      </c>
      <c r="G203" s="110">
        <f t="shared" si="74"/>
        <v>0.57447028944897394</v>
      </c>
      <c r="H203" s="413" t="b">
        <f>Wh_hp&gt;='2018'!Maxi_hp</f>
        <v>1</v>
      </c>
      <c r="I203" s="389">
        <f>IF(H203,Wh_hp,'2018'!Maxi_hp)</f>
        <v>33.403670461783271</v>
      </c>
      <c r="J203" s="85">
        <f>IF(H203,An,'2018'!An_max)</f>
        <v>2019</v>
      </c>
      <c r="K203" s="196">
        <f t="shared" si="50"/>
        <v>43654</v>
      </c>
      <c r="L203" s="147">
        <f>IF(t&lt;Tvie,1-EXP((T0-t)*PertePVj)+'2018'!Pspv,1-EXP((T0-t)*PertePVj)+Pspv)</f>
        <v>8.8096989206782883E-3</v>
      </c>
      <c r="M203" s="847"/>
      <c r="N203" s="847"/>
      <c r="O203" s="48">
        <f>IF(t&lt;Tnet,'2018'!Resal+('2018'!Salim-'2018'!Resal)*(1-EXP(('2018'!Tnet-t)/('2018'!Tau_j))),Resal+(Salim-Resal)*(1-EXP((Tnet-t)/(Tau_j))))*Salcycl</f>
        <v>2.545074467979638E-2</v>
      </c>
      <c r="P203" s="168">
        <f>(INDEX(Models!$BJ203:$BT203,,T203)*(1-R203)+INDEX(Models!$BJ203:$BT203,,T203+1)*R203-ERP_i)*Q203*Ramure*Pc/MaxiM</f>
        <v>2.1615044121179854E-4</v>
      </c>
      <c r="Q203" s="304">
        <f t="shared" si="51"/>
        <v>0.5</v>
      </c>
      <c r="R203" s="176">
        <f t="shared" si="52"/>
        <v>6.2641573210510254E-2</v>
      </c>
      <c r="S203" s="814">
        <f t="shared" si="53"/>
        <v>0</v>
      </c>
      <c r="T203" s="175">
        <f t="shared" si="54"/>
        <v>6</v>
      </c>
      <c r="U203" s="250">
        <f t="shared" si="55"/>
        <v>6.2641573210510254E-2</v>
      </c>
      <c r="V203" s="382">
        <f t="shared" si="56"/>
        <v>56.155664736250763</v>
      </c>
      <c r="W203" s="58"/>
      <c r="X203" s="157">
        <f t="shared" si="57"/>
        <v>43654</v>
      </c>
      <c r="Y203" s="384">
        <f t="shared" si="58"/>
        <v>32.264000000000003</v>
      </c>
      <c r="Z203" s="384">
        <f t="shared" si="59"/>
        <v>32.550762416528144</v>
      </c>
      <c r="AA203" s="385">
        <f t="shared" si="60"/>
        <v>33.400838632659024</v>
      </c>
      <c r="AB203" s="196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2.545074467979638E-2</v>
      </c>
      <c r="AD203" s="230">
        <f>(INDEX(Models!$BJ203:$BT203,,AH203)*(1-AF203)+INDEX(Models!$BJ203:$BT203,,AH203+1)*AF203-ERP_i)*AE203*Ramure*Pc/MaxiM</f>
        <v>2.1615044121179854E-4</v>
      </c>
      <c r="AE203" s="304">
        <f t="shared" si="62"/>
        <v>0.5</v>
      </c>
      <c r="AF203" s="176">
        <f t="shared" si="63"/>
        <v>6.2641573210510254E-2</v>
      </c>
      <c r="AG203" s="175">
        <f t="shared" si="64"/>
        <v>0</v>
      </c>
      <c r="AH203" s="175">
        <f t="shared" si="65"/>
        <v>6</v>
      </c>
      <c r="AI203" s="224">
        <f t="shared" si="66"/>
        <v>6.2641573210510254E-2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43655</v>
      </c>
      <c r="B204" s="616">
        <v>23.283000000000001</v>
      </c>
      <c r="C204" s="389"/>
      <c r="D204" s="392">
        <f t="shared" si="48"/>
        <v>23.490453794059636</v>
      </c>
      <c r="E204" s="384">
        <f t="shared" si="73"/>
        <v>24.105257284227264</v>
      </c>
      <c r="F204" s="384">
        <f t="shared" si="49"/>
        <v>24.106108549792729</v>
      </c>
      <c r="G204" s="110">
        <f t="shared" si="74"/>
        <v>0.41510296680086733</v>
      </c>
      <c r="H204" s="413" t="b">
        <f>Wh_hp&gt;='2018'!Maxi_hp</f>
        <v>1</v>
      </c>
      <c r="I204" s="389">
        <f>IF(H204,Wh_hp,'2018'!Maxi_hp)</f>
        <v>24.106108549792729</v>
      </c>
      <c r="J204" s="85">
        <f>IF(H204,An,'2018'!An_max)</f>
        <v>2019</v>
      </c>
      <c r="K204" s="196">
        <f t="shared" si="50"/>
        <v>43655</v>
      </c>
      <c r="L204" s="147">
        <f>IF(t&lt;Tvie,1-EXP((T0-t)*PertePVj)+'2018'!Pspv,1-EXP((T0-t)*PertePVj)+Pspv)</f>
        <v>8.8314085320947422E-3</v>
      </c>
      <c r="M204" s="847"/>
      <c r="N204" s="847"/>
      <c r="O204" s="48">
        <f>IF(t&lt;Tnet,'2018'!Resal+('2018'!Salim-'2018'!Resal)*(1-EXP(('2018'!Tnet-t)/('2018'!Tau_j))),Resal+(Salim-Resal)*(1-EXP((Tnet-t)/(Tau_j))))*Salcycl</f>
        <v>2.5504954496789804E-2</v>
      </c>
      <c r="P204" s="168">
        <f>(INDEX(Models!$BJ204:$BT204,,T204)*(1-R204)+INDEX(Models!$BJ204:$BT204,,T204+1)*R204-ERP_i)*Q204*Ramure*Pc/MaxiM</f>
        <v>2.1461925244188468E-4</v>
      </c>
      <c r="Q204" s="304">
        <f t="shared" si="51"/>
        <v>0.5</v>
      </c>
      <c r="R204" s="176">
        <f t="shared" si="52"/>
        <v>6.4872435085781499E-2</v>
      </c>
      <c r="S204" s="814">
        <f t="shared" si="53"/>
        <v>0</v>
      </c>
      <c r="T204" s="175">
        <f t="shared" si="54"/>
        <v>6</v>
      </c>
      <c r="U204" s="250">
        <f t="shared" si="55"/>
        <v>6.4872435085781499E-2</v>
      </c>
      <c r="V204" s="382">
        <f t="shared" si="56"/>
        <v>56.079640313897698</v>
      </c>
      <c r="W204" s="58"/>
      <c r="X204" s="157">
        <f t="shared" si="57"/>
        <v>43655</v>
      </c>
      <c r="Y204" s="384">
        <f t="shared" si="58"/>
        <v>23.283000000000001</v>
      </c>
      <c r="Z204" s="384">
        <f t="shared" si="59"/>
        <v>23.490453794059636</v>
      </c>
      <c r="AA204" s="385">
        <f t="shared" si="60"/>
        <v>24.105257284227264</v>
      </c>
      <c r="AB204" s="196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2.5504954496789804E-2</v>
      </c>
      <c r="AD204" s="230">
        <f>(INDEX(Models!$BJ204:$BT204,,AH204)*(1-AF204)+INDEX(Models!$BJ204:$BT204,,AH204+1)*AF204-ERP_i)*AE204*Ramure*Pc/MaxiM</f>
        <v>2.1461925244188468E-4</v>
      </c>
      <c r="AE204" s="304">
        <f t="shared" si="62"/>
        <v>0.5</v>
      </c>
      <c r="AF204" s="176">
        <f t="shared" si="63"/>
        <v>6.4872435085781499E-2</v>
      </c>
      <c r="AG204" s="175">
        <f t="shared" si="64"/>
        <v>0</v>
      </c>
      <c r="AH204" s="175">
        <f t="shared" si="65"/>
        <v>6</v>
      </c>
      <c r="AI204" s="224">
        <f t="shared" si="66"/>
        <v>6.4872435085781499E-2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43656</v>
      </c>
      <c r="B205" s="616">
        <v>55.597000000000001</v>
      </c>
      <c r="C205" s="389"/>
      <c r="D205" s="392">
        <f t="shared" si="48"/>
        <v>56.093603270173801</v>
      </c>
      <c r="E205" s="384">
        <f t="shared" si="73"/>
        <v>57.564894225056932</v>
      </c>
      <c r="F205" s="384">
        <f t="shared" si="49"/>
        <v>57.577022545392943</v>
      </c>
      <c r="G205" s="110">
        <f t="shared" si="74"/>
        <v>0.9927411378437313</v>
      </c>
      <c r="H205" s="413" t="b">
        <f>Wh_hp&gt;='2018'!Maxi_hp</f>
        <v>1</v>
      </c>
      <c r="I205" s="389">
        <f>IF(H205,Wh_hp,'2018'!Maxi_hp)</f>
        <v>57.577022545392943</v>
      </c>
      <c r="J205" s="85">
        <f>IF(H205,An,'2018'!An_max)</f>
        <v>2019</v>
      </c>
      <c r="K205" s="196">
        <f t="shared" si="50"/>
        <v>43656</v>
      </c>
      <c r="L205" s="147">
        <f>IF(t&lt;Tvie,1-EXP((T0-t)*PertePVj)+'2018'!Pspv,1-EXP((T0-t)*PertePVj)+Pspv)</f>
        <v>8.8531176680149981E-3</v>
      </c>
      <c r="M205" s="847"/>
      <c r="N205" s="847"/>
      <c r="O205" s="48">
        <f>IF(t&lt;Tnet,'2018'!Resal+('2018'!Salim-'2018'!Resal)*(1-EXP(('2018'!Tnet-t)/('2018'!Tau_j))),Resal+(Salim-Resal)*(1-EXP((Tnet-t)/(Tau_j))))*Salcycl</f>
        <v>2.5558823214908329E-2</v>
      </c>
      <c r="P205" s="168">
        <f>(INDEX(Models!$BJ205:$BT205,,T205)*(1-R205)+INDEX(Models!$BJ205:$BT205,,T205+1)*R205-ERP_i)*Q205*Ramure*Pc/MaxiM</f>
        <v>2.1285171036446973E-4</v>
      </c>
      <c r="Q205" s="304">
        <f t="shared" si="51"/>
        <v>0.5</v>
      </c>
      <c r="R205" s="176">
        <f t="shared" si="52"/>
        <v>6.7054867674478713E-2</v>
      </c>
      <c r="S205" s="814">
        <f t="shared" si="53"/>
        <v>0</v>
      </c>
      <c r="T205" s="175">
        <f t="shared" si="54"/>
        <v>6</v>
      </c>
      <c r="U205" s="250">
        <f t="shared" si="55"/>
        <v>6.7054867674478713E-2</v>
      </c>
      <c r="V205" s="382">
        <f t="shared" si="56"/>
        <v>56.003398243944552</v>
      </c>
      <c r="W205" s="58"/>
      <c r="X205" s="157">
        <f t="shared" si="57"/>
        <v>43656</v>
      </c>
      <c r="Y205" s="384">
        <f t="shared" si="58"/>
        <v>55.597000000000001</v>
      </c>
      <c r="Z205" s="384">
        <f t="shared" si="59"/>
        <v>56.093603270173801</v>
      </c>
      <c r="AA205" s="385">
        <f t="shared" si="60"/>
        <v>57.564894225056932</v>
      </c>
      <c r="AB205" s="196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2.5558823214908329E-2</v>
      </c>
      <c r="AD205" s="230">
        <f>(INDEX(Models!$BJ205:$BT205,,AH205)*(1-AF205)+INDEX(Models!$BJ205:$BT205,,AH205+1)*AF205-ERP_i)*AE205*Ramure*Pc/MaxiM</f>
        <v>2.1285171036446973E-4</v>
      </c>
      <c r="AE205" s="304">
        <f t="shared" si="62"/>
        <v>0.5</v>
      </c>
      <c r="AF205" s="176">
        <f t="shared" si="63"/>
        <v>6.7054867674478713E-2</v>
      </c>
      <c r="AG205" s="175">
        <f t="shared" si="64"/>
        <v>0</v>
      </c>
      <c r="AH205" s="175">
        <f t="shared" si="65"/>
        <v>6</v>
      </c>
      <c r="AI205" s="224">
        <f t="shared" si="66"/>
        <v>6.7054867674478713E-2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43657</v>
      </c>
      <c r="B206" s="616">
        <v>56.235999999999997</v>
      </c>
      <c r="C206" s="389"/>
      <c r="D206" s="392">
        <f t="shared" si="48"/>
        <v>56.739553684907285</v>
      </c>
      <c r="E206" s="384">
        <f t="shared" si="73"/>
        <v>58.230986796174761</v>
      </c>
      <c r="F206" s="384">
        <f t="shared" si="49"/>
        <v>58.243264696264866</v>
      </c>
      <c r="G206" s="110">
        <f t="shared" si="74"/>
        <v>1.0055302083695925</v>
      </c>
      <c r="H206" s="413" t="b">
        <f>Wh_hp&gt;='2018'!Maxi_hp</f>
        <v>1</v>
      </c>
      <c r="I206" s="389">
        <f>IF(H206,Wh_hp,'2018'!Maxi_hp)</f>
        <v>58.243264696264866</v>
      </c>
      <c r="J206" s="85">
        <f>IF(H206,An,'2018'!An_max)</f>
        <v>2019</v>
      </c>
      <c r="K206" s="196">
        <f t="shared" si="50"/>
        <v>43657</v>
      </c>
      <c r="L206" s="147">
        <f>IF(t&lt;Tvie,1-EXP((T0-t)*PertePVj)+'2018'!Pspv,1-EXP((T0-t)*PertePVj)+Pspv)</f>
        <v>8.8748263284494922E-3</v>
      </c>
      <c r="M206" s="847"/>
      <c r="N206" s="847"/>
      <c r="O206" s="48">
        <f>IF(t&lt;Tnet,'2018'!Resal+('2018'!Salim-'2018'!Resal)*(1-EXP(('2018'!Tnet-t)/('2018'!Tau_j))),Resal+(Salim-Resal)*(1-EXP((Tnet-t)/(Tau_j))))*Salcycl</f>
        <v>2.561236196267665E-2</v>
      </c>
      <c r="P206" s="168">
        <f>(INDEX(Models!$BJ206:$BT206,,T206)*(1-R206)+INDEX(Models!$BJ206:$BT206,,T206+1)*R206-ERP_i)*Q206*Ramure*Pc/MaxiM</f>
        <v>2.1080377540871797E-4</v>
      </c>
      <c r="Q206" s="304">
        <f t="shared" si="51"/>
        <v>0.5</v>
      </c>
      <c r="R206" s="176">
        <f t="shared" si="52"/>
        <v>6.9188648309497308E-2</v>
      </c>
      <c r="S206" s="814">
        <f t="shared" si="53"/>
        <v>0</v>
      </c>
      <c r="T206" s="175">
        <f t="shared" si="54"/>
        <v>6</v>
      </c>
      <c r="U206" s="250">
        <f t="shared" si="55"/>
        <v>6.9188648309497308E-2</v>
      </c>
      <c r="V206" s="382">
        <f t="shared" si="56"/>
        <v>55.926713620253473</v>
      </c>
      <c r="W206" s="58"/>
      <c r="X206" s="157">
        <f t="shared" si="57"/>
        <v>43657</v>
      </c>
      <c r="Y206" s="384">
        <f t="shared" si="58"/>
        <v>56.235999999999997</v>
      </c>
      <c r="Z206" s="384">
        <f t="shared" si="59"/>
        <v>56.739553684907285</v>
      </c>
      <c r="AA206" s="385">
        <f t="shared" si="60"/>
        <v>58.230986796174761</v>
      </c>
      <c r="AB206" s="196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2.561236196267665E-2</v>
      </c>
      <c r="AD206" s="230">
        <f>(INDEX(Models!$BJ206:$BT206,,AH206)*(1-AF206)+INDEX(Models!$BJ206:$BT206,,AH206+1)*AF206-ERP_i)*AE206*Ramure*Pc/MaxiM</f>
        <v>2.1080377540871797E-4</v>
      </c>
      <c r="AE206" s="304">
        <f t="shared" si="62"/>
        <v>0.5</v>
      </c>
      <c r="AF206" s="176">
        <f t="shared" si="63"/>
        <v>6.9188648309497308E-2</v>
      </c>
      <c r="AG206" s="175">
        <f t="shared" si="64"/>
        <v>0</v>
      </c>
      <c r="AH206" s="175">
        <f t="shared" si="65"/>
        <v>6</v>
      </c>
      <c r="AI206" s="224">
        <f t="shared" si="66"/>
        <v>6.9188648309497308E-2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43658</v>
      </c>
      <c r="B207" s="616">
        <v>57.253</v>
      </c>
      <c r="C207" s="389"/>
      <c r="D207" s="392">
        <f t="shared" ref="D207:D270" si="75">Wh/(1-Ppv)</f>
        <v>57.766925445963523</v>
      </c>
      <c r="E207" s="384">
        <f t="shared" si="73"/>
        <v>59.288601928386839</v>
      </c>
      <c r="F207" s="384">
        <f t="shared" ref="F207:F270" si="76">Wh_sa/(1-Pvg*MEDIAN((-Sdif+Wh/Env_an)/Csdif,0,1))</f>
        <v>59.300969895752004</v>
      </c>
      <c r="G207" s="110">
        <f t="shared" si="74"/>
        <v>1.0251285522548668</v>
      </c>
      <c r="H207" s="413" t="b">
        <f>Wh_hp&gt;='2018'!Maxi_hp</f>
        <v>1</v>
      </c>
      <c r="I207" s="389">
        <f>IF(H207,Wh_hp,'2018'!Maxi_hp)</f>
        <v>59.300969895752004</v>
      </c>
      <c r="J207" s="85">
        <f>IF(H207,An,'2018'!An_max)</f>
        <v>2019</v>
      </c>
      <c r="K207" s="196">
        <f t="shared" ref="K207:K270" si="77">t</f>
        <v>43658</v>
      </c>
      <c r="L207" s="147">
        <f>IF(t&lt;Tvie,1-EXP((T0-t)*PertePVj)+'2018'!Pspv,1-EXP((T0-t)*PertePVj)+Pspv)</f>
        <v>8.8965345134086604E-3</v>
      </c>
      <c r="M207" s="847"/>
      <c r="N207" s="847"/>
      <c r="O207" s="48">
        <f>IF(t&lt;Tnet,'2018'!Resal+('2018'!Salim-'2018'!Resal)*(1-EXP(('2018'!Tnet-t)/('2018'!Tau_j))),Resal+(Salim-Resal)*(1-EXP((Tnet-t)/(Tau_j))))*Salcycl</f>
        <v>2.5665582134341884E-2</v>
      </c>
      <c r="P207" s="168">
        <f>(INDEX(Models!$BJ207:$BT207,,T207)*(1-R207)+INDEX(Models!$BJ207:$BT207,,T207+1)*R207-ERP_i)*Q207*Ramure*Pc/MaxiM</f>
        <v>2.0856264892314168E-4</v>
      </c>
      <c r="Q207" s="304">
        <f t="shared" ref="Q207:Q270" si="78">IF(OR(t&lt;Ttai,Notai),Dd+PousD*Croivg,Dens+PousD*(Croivg-Croi_tai))</f>
        <v>0.5</v>
      </c>
      <c r="R207" s="176">
        <f t="shared" ref="R207:R270" si="79">(Hp_vg-S207)/(INDEX(Echel_vg,T207+1)-S207)</f>
        <v>7.1273644437528233E-2</v>
      </c>
      <c r="S207" s="814">
        <f t="shared" ref="S207:S270" si="80">INDEX(Echel_vg,T207)</f>
        <v>0</v>
      </c>
      <c r="T207" s="175">
        <f t="shared" ref="T207:T270" si="81">MIN(MATCH(Hp_vg,Echel_vg),10)</f>
        <v>6</v>
      </c>
      <c r="U207" s="250">
        <f t="shared" ref="U207:U270" si="82">IF(OR(t&lt;Ttai,Notai),Hdd+PousH*Croivg,Hdtf+PousH*(Croivg-Croi_tai))</f>
        <v>7.1273644437528233E-2</v>
      </c>
      <c r="V207" s="382">
        <f t="shared" ref="V207:V270" si="83">MaxiM*(1-Ppv)*(1-Pvg)*(1-Psa)</f>
        <v>55.849580888237519</v>
      </c>
      <c r="W207" s="58"/>
      <c r="X207" s="157">
        <f t="shared" ref="X207:X270" si="84">t</f>
        <v>43658</v>
      </c>
      <c r="Y207" s="384">
        <f t="shared" ref="Y207:Y270" si="85">Wh_pvt_s*(1-Ppv)</f>
        <v>57.253</v>
      </c>
      <c r="Z207" s="384">
        <f t="shared" ref="Z207:Z270" si="86">Wh_sa_s*(1-Psa_s)</f>
        <v>57.766925445963523</v>
      </c>
      <c r="AA207" s="385">
        <f t="shared" ref="AA207:AA270" si="87">Wh_hp*(1-Pvg_s*MEDIAN((-Sdif+Wh/Env_an)/Csdif,0,1))</f>
        <v>59.288601928386839</v>
      </c>
      <c r="AB207" s="196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2.5665582134341884E-2</v>
      </c>
      <c r="AD207" s="230">
        <f>(INDEX(Models!$BJ207:$BT207,,AH207)*(1-AF207)+INDEX(Models!$BJ207:$BT207,,AH207+1)*AF207-ERP_i)*AE207*Ramure*Pc/MaxiM</f>
        <v>2.0856264892314168E-4</v>
      </c>
      <c r="AE207" s="304">
        <f t="shared" ref="AE207:AE270" si="89">IF(OR(t&lt;Ttai,Notai),Dd_s+PousD*Croivg,Dens_s+PousD*(Croivg-Croi_tai))</f>
        <v>0.5</v>
      </c>
      <c r="AF207" s="176">
        <f t="shared" ref="AF207:AF270" si="90">(Hp_vg_s-AG207)/(INDEX(Echel_vg,AH207+1)-AG207)</f>
        <v>7.1273644437528233E-2</v>
      </c>
      <c r="AG207" s="175">
        <f t="shared" ref="AG207:AG270" si="91">INDEX(Echel_vg,AH207)</f>
        <v>0</v>
      </c>
      <c r="AH207" s="175">
        <f t="shared" ref="AH207:AH270" si="92">MIN(MATCH(Hp_vg_s,Echel_vg),10)</f>
        <v>6</v>
      </c>
      <c r="AI207" s="224">
        <f t="shared" ref="AI207:AI270" si="93">IF(OR(t&lt;Ttai,Notai),Hdd_s+PousH*Croivg,Hdtai_s+PousH*(Croivg-Croi_tai))</f>
        <v>7.1273644437528233E-2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50.103000000000002</v>
      </c>
      <c r="C208" s="389"/>
      <c r="D208" s="392">
        <f t="shared" si="75"/>
        <v>50.553851492914468</v>
      </c>
      <c r="E208" s="384">
        <f t="shared" si="73"/>
        <v>51.888341562261147</v>
      </c>
      <c r="F208" s="384">
        <f t="shared" si="76"/>
        <v>51.897485728868915</v>
      </c>
      <c r="G208" s="110">
        <f t="shared" si="74"/>
        <v>0.89832712890269995</v>
      </c>
      <c r="H208" s="413" t="b">
        <f>Wh_hp&gt;='2018'!Maxi_hp</f>
        <v>1</v>
      </c>
      <c r="I208" s="389">
        <f>IF(H208,Wh_hp,'2018'!Maxi_hp)</f>
        <v>51.897485728868915</v>
      </c>
      <c r="J208" s="85">
        <f>IF(H208,An,'2018'!An_max)</f>
        <v>2019</v>
      </c>
      <c r="K208" s="196">
        <f t="shared" si="77"/>
        <v>43659</v>
      </c>
      <c r="L208" s="147">
        <f>IF(t&lt;Tvie,1-EXP((T0-t)*PertePVj)+'2018'!Pspv,1-EXP((T0-t)*PertePVj)+Pspv)</f>
        <v>8.918242222902828E-3</v>
      </c>
      <c r="M208" s="847"/>
      <c r="N208" s="847"/>
      <c r="O208" s="48">
        <f>IF(t&lt;Tnet,'2018'!Resal+('2018'!Salim-'2018'!Resal)*(1-EXP(('2018'!Tnet-t)/('2018'!Tau_j))),Resal+(Salim-Resal)*(1-EXP((Tnet-t)/(Tau_j))))*Salcycl</f>
        <v>2.5718495314509454E-2</v>
      </c>
      <c r="P208" s="168">
        <f>(INDEX(Models!$BJ208:$BT208,,T208)*(1-R208)+INDEX(Models!$BJ208:$BT208,,T208+1)*R208-ERP_i)*Q208*Ramure*Pc/MaxiM</f>
        <v>2.0612830736183656E-4</v>
      </c>
      <c r="Q208" s="304">
        <f t="shared" si="78"/>
        <v>0.5</v>
      </c>
      <c r="R208" s="176">
        <f t="shared" si="79"/>
        <v>7.3309809967935485E-2</v>
      </c>
      <c r="S208" s="814">
        <f t="shared" si="80"/>
        <v>0</v>
      </c>
      <c r="T208" s="175">
        <f t="shared" si="81"/>
        <v>6</v>
      </c>
      <c r="U208" s="250">
        <f t="shared" si="82"/>
        <v>7.3309809967935485E-2</v>
      </c>
      <c r="V208" s="382">
        <f t="shared" si="83"/>
        <v>55.771999376715101</v>
      </c>
      <c r="W208" s="58"/>
      <c r="X208" s="157">
        <f t="shared" si="84"/>
        <v>43659</v>
      </c>
      <c r="Y208" s="384">
        <f t="shared" si="85"/>
        <v>50.103000000000002</v>
      </c>
      <c r="Z208" s="384">
        <f t="shared" si="86"/>
        <v>50.553851492914468</v>
      </c>
      <c r="AA208" s="385">
        <f t="shared" si="87"/>
        <v>51.888341562261147</v>
      </c>
      <c r="AB208" s="196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2.5718495314509454E-2</v>
      </c>
      <c r="AD208" s="230">
        <f>(INDEX(Models!$BJ208:$BT208,,AH208)*(1-AF208)+INDEX(Models!$BJ208:$BT208,,AH208+1)*AF208-ERP_i)*AE208*Ramure*Pc/MaxiM</f>
        <v>2.0612830736183656E-4</v>
      </c>
      <c r="AE208" s="304">
        <f t="shared" si="89"/>
        <v>0.5</v>
      </c>
      <c r="AF208" s="176">
        <f t="shared" si="90"/>
        <v>7.3309809967935485E-2</v>
      </c>
      <c r="AG208" s="175">
        <f t="shared" si="91"/>
        <v>0</v>
      </c>
      <c r="AH208" s="175">
        <f t="shared" si="92"/>
        <v>6</v>
      </c>
      <c r="AI208" s="224">
        <f t="shared" si="93"/>
        <v>7.3309809967935485E-2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43660</v>
      </c>
      <c r="B209" s="616">
        <v>56.399000000000001</v>
      </c>
      <c r="C209" s="389"/>
      <c r="D209" s="392">
        <f t="shared" si="75"/>
        <v>56.907752430436297</v>
      </c>
      <c r="E209" s="384">
        <f t="shared" si="73"/>
        <v>58.413123652671771</v>
      </c>
      <c r="F209" s="384">
        <f t="shared" si="76"/>
        <v>58.425013192463943</v>
      </c>
      <c r="G209" s="110">
        <f t="shared" si="74"/>
        <v>1.0126590296368438</v>
      </c>
      <c r="H209" s="413" t="b">
        <f>Wh_hp&gt;='2018'!Maxi_hp</f>
        <v>1</v>
      </c>
      <c r="I209" s="389">
        <f>IF(H209,Wh_hp,'2018'!Maxi_hp)</f>
        <v>58.425013192463943</v>
      </c>
      <c r="J209" s="85">
        <f>IF(H209,An,'2018'!An_max)</f>
        <v>2019</v>
      </c>
      <c r="K209" s="196">
        <f t="shared" si="77"/>
        <v>43660</v>
      </c>
      <c r="L209" s="147">
        <f>IF(t&lt;Tvie,1-EXP((T0-t)*PertePVj)+'2018'!Pspv,1-EXP((T0-t)*PertePVj)+Pspv)</f>
        <v>8.9399494569424309E-3</v>
      </c>
      <c r="M209" s="847"/>
      <c r="N209" s="847"/>
      <c r="O209" s="48">
        <f>IF(t&lt;Tnet,'2018'!Resal+('2018'!Salim-'2018'!Resal)*(1-EXP(('2018'!Tnet-t)/('2018'!Tau_j))),Resal+(Salim-Resal)*(1-EXP((Tnet-t)/(Tau_j))))*Salcycl</f>
        <v>2.577111320371275E-2</v>
      </c>
      <c r="P209" s="168">
        <f>(INDEX(Models!$BJ209:$BT209,,T209)*(1-R209)+INDEX(Models!$BJ209:$BT209,,T209+1)*R209-ERP_i)*Q209*Ramure*Pc/MaxiM</f>
        <v>2.0350084907996336E-4</v>
      </c>
      <c r="Q209" s="304">
        <f t="shared" si="78"/>
        <v>0.5</v>
      </c>
      <c r="R209" s="176">
        <f t="shared" si="79"/>
        <v>7.5297181446815242E-2</v>
      </c>
      <c r="S209" s="814">
        <f t="shared" si="80"/>
        <v>0</v>
      </c>
      <c r="T209" s="175">
        <f t="shared" si="81"/>
        <v>6</v>
      </c>
      <c r="U209" s="250">
        <f t="shared" si="82"/>
        <v>7.5297181446815242E-2</v>
      </c>
      <c r="V209" s="382">
        <f t="shared" si="83"/>
        <v>55.693968403388062</v>
      </c>
      <c r="W209" s="58"/>
      <c r="X209" s="157">
        <f t="shared" si="84"/>
        <v>43660</v>
      </c>
      <c r="Y209" s="384">
        <f t="shared" si="85"/>
        <v>56.399000000000001</v>
      </c>
      <c r="Z209" s="384">
        <f t="shared" si="86"/>
        <v>56.907752430436297</v>
      </c>
      <c r="AA209" s="385">
        <f t="shared" si="87"/>
        <v>58.413123652671771</v>
      </c>
      <c r="AB209" s="196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2.577111320371275E-2</v>
      </c>
      <c r="AD209" s="230">
        <f>(INDEX(Models!$BJ209:$BT209,,AH209)*(1-AF209)+INDEX(Models!$BJ209:$BT209,,AH209+1)*AF209-ERP_i)*AE209*Ramure*Pc/MaxiM</f>
        <v>2.0350084907996336E-4</v>
      </c>
      <c r="AE209" s="304">
        <f t="shared" si="89"/>
        <v>0.5</v>
      </c>
      <c r="AF209" s="176">
        <f t="shared" si="90"/>
        <v>7.5297181446815242E-2</v>
      </c>
      <c r="AG209" s="175">
        <f t="shared" si="91"/>
        <v>0</v>
      </c>
      <c r="AH209" s="175">
        <f t="shared" si="92"/>
        <v>6</v>
      </c>
      <c r="AI209" s="224">
        <f t="shared" si="93"/>
        <v>7.5297181446815242E-2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43661</v>
      </c>
      <c r="B210" s="616">
        <v>57.609000000000002</v>
      </c>
      <c r="C210" s="389"/>
      <c r="D210" s="392">
        <f t="shared" si="75"/>
        <v>58.12994054297581</v>
      </c>
      <c r="E210" s="384">
        <f t="shared" si="73"/>
        <v>59.670847544534865</v>
      </c>
      <c r="F210" s="384">
        <f t="shared" si="76"/>
        <v>59.682824722317406</v>
      </c>
      <c r="G210" s="110">
        <f t="shared" si="74"/>
        <v>1.0358445608925131</v>
      </c>
      <c r="H210" s="413" t="b">
        <f>Wh_hp&gt;='2018'!Maxi_hp</f>
        <v>1</v>
      </c>
      <c r="I210" s="389">
        <f>IF(H210,Wh_hp,'2018'!Maxi_hp)</f>
        <v>59.682824722317406</v>
      </c>
      <c r="J210" s="85">
        <f>IF(H210,An,'2018'!An_max)</f>
        <v>2019</v>
      </c>
      <c r="K210" s="196">
        <f t="shared" si="77"/>
        <v>43661</v>
      </c>
      <c r="L210" s="147">
        <f>IF(t&lt;Tvie,1-EXP((T0-t)*PertePVj)+'2018'!Pspv,1-EXP((T0-t)*PertePVj)+Pspv)</f>
        <v>8.9616562155379054E-3</v>
      </c>
      <c r="M210" s="847"/>
      <c r="N210" s="847"/>
      <c r="O210" s="48">
        <f>IF(t&lt;Tnet,'2018'!Resal+('2018'!Salim-'2018'!Resal)*(1-EXP(('2018'!Tnet-t)/('2018'!Tau_j))),Resal+(Salim-Resal)*(1-EXP((Tnet-t)/(Tau_j))))*Salcycl</f>
        <v>2.5823447545453678E-2</v>
      </c>
      <c r="P210" s="168">
        <f>(INDEX(Models!$BJ210:$BT210,,T210)*(1-R210)+INDEX(Models!$BJ210:$BT210,,T210+1)*R210-ERP_i)*Q210*Ramure*Pc/MaxiM</f>
        <v>2.0068047781357509E-4</v>
      </c>
      <c r="Q210" s="304">
        <f t="shared" si="78"/>
        <v>0.5</v>
      </c>
      <c r="R210" s="176">
        <f t="shared" si="79"/>
        <v>7.7235874089906675E-2</v>
      </c>
      <c r="S210" s="814">
        <f t="shared" si="80"/>
        <v>0</v>
      </c>
      <c r="T210" s="175">
        <f t="shared" si="81"/>
        <v>6</v>
      </c>
      <c r="U210" s="250">
        <f t="shared" si="82"/>
        <v>7.7235874089906675E-2</v>
      </c>
      <c r="V210" s="382">
        <f t="shared" si="83"/>
        <v>55.615487279638224</v>
      </c>
      <c r="W210" s="58"/>
      <c r="X210" s="157">
        <f t="shared" si="84"/>
        <v>43661</v>
      </c>
      <c r="Y210" s="384">
        <f t="shared" si="85"/>
        <v>57.609000000000002</v>
      </c>
      <c r="Z210" s="384">
        <f t="shared" si="86"/>
        <v>58.12994054297581</v>
      </c>
      <c r="AA210" s="385">
        <f t="shared" si="87"/>
        <v>59.670847544534865</v>
      </c>
      <c r="AB210" s="196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2.5823447545453678E-2</v>
      </c>
      <c r="AD210" s="230">
        <f>(INDEX(Models!$BJ210:$BT210,,AH210)*(1-AF210)+INDEX(Models!$BJ210:$BT210,,AH210+1)*AF210-ERP_i)*AE210*Ramure*Pc/MaxiM</f>
        <v>2.0068047781357509E-4</v>
      </c>
      <c r="AE210" s="304">
        <f t="shared" si="89"/>
        <v>0.5</v>
      </c>
      <c r="AF210" s="176">
        <f t="shared" si="90"/>
        <v>7.7235874089906675E-2</v>
      </c>
      <c r="AG210" s="175">
        <f t="shared" si="91"/>
        <v>0</v>
      </c>
      <c r="AH210" s="175">
        <f t="shared" si="92"/>
        <v>6</v>
      </c>
      <c r="AI210" s="224">
        <f t="shared" si="93"/>
        <v>7.7235874089906675E-2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43662</v>
      </c>
      <c r="B211" s="616">
        <v>56.651000000000003</v>
      </c>
      <c r="C211" s="389"/>
      <c r="D211" s="392">
        <f t="shared" si="75"/>
        <v>57.164529692293549</v>
      </c>
      <c r="E211" s="384">
        <f t="shared" si="73"/>
        <v>58.682981777344118</v>
      </c>
      <c r="F211" s="384">
        <f t="shared" si="76"/>
        <v>58.694583788185525</v>
      </c>
      <c r="G211" s="110">
        <f t="shared" si="74"/>
        <v>1.0200668672654836</v>
      </c>
      <c r="H211" s="413" t="b">
        <f>Wh_hp&gt;='2018'!Maxi_hp</f>
        <v>1</v>
      </c>
      <c r="I211" s="389">
        <f>IF(H211,Wh_hp,'2018'!Maxi_hp)</f>
        <v>58.694583788185525</v>
      </c>
      <c r="J211" s="85">
        <f>IF(H211,An,'2018'!An_max)</f>
        <v>2019</v>
      </c>
      <c r="K211" s="196">
        <f t="shared" si="77"/>
        <v>43662</v>
      </c>
      <c r="L211" s="147">
        <f>IF(t&lt;Tvie,1-EXP((T0-t)*PertePVj)+'2018'!Pspv,1-EXP((T0-t)*PertePVj)+Pspv)</f>
        <v>8.9833624986995764E-3</v>
      </c>
      <c r="M211" s="847"/>
      <c r="N211" s="847"/>
      <c r="O211" s="48">
        <f>IF(t&lt;Tnet,'2018'!Resal+('2018'!Salim-'2018'!Resal)*(1-EXP(('2018'!Tnet-t)/('2018'!Tau_j))),Resal+(Salim-Resal)*(1-EXP((Tnet-t)/(Tau_j))))*Salcycl</f>
        <v>2.5875510055230314E-2</v>
      </c>
      <c r="P211" s="168">
        <f>(INDEX(Models!$BJ211:$BT211,,T211)*(1-R211)+INDEX(Models!$BJ211:$BT211,,T211+1)*R211-ERP_i)*Q211*Ramure*Pc/MaxiM</f>
        <v>1.9766748637780137E-4</v>
      </c>
      <c r="Q211" s="304">
        <f t="shared" si="78"/>
        <v>0.5</v>
      </c>
      <c r="R211" s="176">
        <f t="shared" si="79"/>
        <v>7.9126077706711512E-2</v>
      </c>
      <c r="S211" s="814">
        <f t="shared" si="80"/>
        <v>0</v>
      </c>
      <c r="T211" s="175">
        <f t="shared" si="81"/>
        <v>6</v>
      </c>
      <c r="U211" s="250">
        <f t="shared" si="82"/>
        <v>7.9126077706711512E-2</v>
      </c>
      <c r="V211" s="382">
        <f t="shared" si="83"/>
        <v>55.536555316089839</v>
      </c>
      <c r="W211" s="58"/>
      <c r="X211" s="157">
        <f t="shared" si="84"/>
        <v>43662</v>
      </c>
      <c r="Y211" s="384">
        <f t="shared" si="85"/>
        <v>56.651000000000003</v>
      </c>
      <c r="Z211" s="384">
        <f t="shared" si="86"/>
        <v>57.164529692293549</v>
      </c>
      <c r="AA211" s="385">
        <f t="shared" si="87"/>
        <v>58.682981777344118</v>
      </c>
      <c r="AB211" s="196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2.5875510055230314E-2</v>
      </c>
      <c r="AD211" s="230">
        <f>(INDEX(Models!$BJ211:$BT211,,AH211)*(1-AF211)+INDEX(Models!$BJ211:$BT211,,AH211+1)*AF211-ERP_i)*AE211*Ramure*Pc/MaxiM</f>
        <v>1.9766748637780137E-4</v>
      </c>
      <c r="AE211" s="304">
        <f t="shared" si="89"/>
        <v>0.5</v>
      </c>
      <c r="AF211" s="176">
        <f t="shared" si="90"/>
        <v>7.9126077706711512E-2</v>
      </c>
      <c r="AG211" s="175">
        <f t="shared" si="91"/>
        <v>0</v>
      </c>
      <c r="AH211" s="175">
        <f t="shared" si="92"/>
        <v>6</v>
      </c>
      <c r="AI211" s="224">
        <f t="shared" si="93"/>
        <v>7.9126077706711512E-2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43663</v>
      </c>
      <c r="B212" s="616">
        <v>50.298999999999999</v>
      </c>
      <c r="C212" s="389"/>
      <c r="D212" s="392">
        <f t="shared" si="75"/>
        <v>50.756061803506363</v>
      </c>
      <c r="E212" s="384">
        <f t="shared" si="73"/>
        <v>52.107057765950039</v>
      </c>
      <c r="F212" s="384">
        <f t="shared" si="76"/>
        <v>52.115845251782453</v>
      </c>
      <c r="G212" s="110">
        <f t="shared" si="74"/>
        <v>0.90696474427122764</v>
      </c>
      <c r="H212" s="413" t="b">
        <f>Wh_hp&gt;='2018'!Maxi_hp</f>
        <v>1</v>
      </c>
      <c r="I212" s="389">
        <f>IF(H212,Wh_hp,'2018'!Maxi_hp)</f>
        <v>52.115845251782453</v>
      </c>
      <c r="J212" s="85">
        <f>IF(H212,An,'2018'!An_max)</f>
        <v>2019</v>
      </c>
      <c r="K212" s="196">
        <f t="shared" si="77"/>
        <v>43663</v>
      </c>
      <c r="L212" s="147">
        <f>IF(t&lt;Tvie,1-EXP((T0-t)*PertePVj)+'2018'!Pspv,1-EXP((T0-t)*PertePVj)+Pspv)</f>
        <v>9.0050683064379911E-3</v>
      </c>
      <c r="M212" s="847"/>
      <c r="N212" s="847"/>
      <c r="O212" s="48">
        <f>IF(t&lt;Tnet,'2018'!Resal+('2018'!Salim-'2018'!Resal)*(1-EXP(('2018'!Tnet-t)/('2018'!Tau_j))),Resal+(Salim-Resal)*(1-EXP((Tnet-t)/(Tau_j))))*Salcycl</f>
        <v>2.5927312352041969E-2</v>
      </c>
      <c r="P212" s="168">
        <f>(INDEX(Models!$BJ212:$BT212,,T212)*(1-R212)+INDEX(Models!$BJ212:$BT212,,T212+1)*R212-ERP_i)*Q212*Ramure*Pc/MaxiM</f>
        <v>1.9445210821140082E-4</v>
      </c>
      <c r="Q212" s="304">
        <f t="shared" si="78"/>
        <v>0.5</v>
      </c>
      <c r="R212" s="176">
        <f t="shared" si="79"/>
        <v>8.0968052546657315E-2</v>
      </c>
      <c r="S212" s="814">
        <f t="shared" si="80"/>
        <v>0</v>
      </c>
      <c r="T212" s="175">
        <f t="shared" si="81"/>
        <v>6</v>
      </c>
      <c r="U212" s="250">
        <f t="shared" si="82"/>
        <v>8.0968052546657315E-2</v>
      </c>
      <c r="V212" s="382">
        <f t="shared" si="83"/>
        <v>55.457172388857515</v>
      </c>
      <c r="W212" s="58"/>
      <c r="X212" s="157">
        <f t="shared" si="84"/>
        <v>43663</v>
      </c>
      <c r="Y212" s="384">
        <f t="shared" si="85"/>
        <v>50.298999999999999</v>
      </c>
      <c r="Z212" s="384">
        <f t="shared" si="86"/>
        <v>50.756061803506363</v>
      </c>
      <c r="AA212" s="385">
        <f t="shared" si="87"/>
        <v>52.107057765950039</v>
      </c>
      <c r="AB212" s="196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2.5927312352041969E-2</v>
      </c>
      <c r="AD212" s="230">
        <f>(INDEX(Models!$BJ212:$BT212,,AH212)*(1-AF212)+INDEX(Models!$BJ212:$BT212,,AH212+1)*AF212-ERP_i)*AE212*Ramure*Pc/MaxiM</f>
        <v>1.9445210821140082E-4</v>
      </c>
      <c r="AE212" s="304">
        <f t="shared" si="89"/>
        <v>0.5</v>
      </c>
      <c r="AF212" s="176">
        <f t="shared" si="90"/>
        <v>8.0968052546657315E-2</v>
      </c>
      <c r="AG212" s="175">
        <f t="shared" si="91"/>
        <v>0</v>
      </c>
      <c r="AH212" s="175">
        <f t="shared" si="92"/>
        <v>6</v>
      </c>
      <c r="AI212" s="224">
        <f t="shared" si="93"/>
        <v>8.0968052546657315E-2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43664</v>
      </c>
      <c r="B213" s="616">
        <v>37.850999999999999</v>
      </c>
      <c r="C213" s="389"/>
      <c r="D213" s="392">
        <f t="shared" si="75"/>
        <v>38.195784702464088</v>
      </c>
      <c r="E213" s="384">
        <f t="shared" si="73"/>
        <v>39.214533817560415</v>
      </c>
      <c r="F213" s="384">
        <f t="shared" si="76"/>
        <v>39.218640233255186</v>
      </c>
      <c r="G213" s="110">
        <f t="shared" si="74"/>
        <v>0.68345163396996844</v>
      </c>
      <c r="H213" s="413" t="b">
        <f>Wh_hp&gt;='2018'!Maxi_hp</f>
        <v>1</v>
      </c>
      <c r="I213" s="389">
        <f>IF(H213,Wh_hp,'2018'!Maxi_hp)</f>
        <v>39.218640233255186</v>
      </c>
      <c r="J213" s="85">
        <f>IF(H213,An,'2018'!An_max)</f>
        <v>2019</v>
      </c>
      <c r="K213" s="196">
        <f t="shared" si="77"/>
        <v>43664</v>
      </c>
      <c r="L213" s="147">
        <f>IF(t&lt;Tvie,1-EXP((T0-t)*PertePVj)+'2018'!Pspv,1-EXP((T0-t)*PertePVj)+Pspv)</f>
        <v>9.0267736387635855E-3</v>
      </c>
      <c r="M213" s="847"/>
      <c r="N213" s="847"/>
      <c r="O213" s="48">
        <f>IF(t&lt;Tnet,'2018'!Resal+('2018'!Salim-'2018'!Resal)*(1-EXP(('2018'!Tnet-t)/('2018'!Tau_j))),Resal+(Salim-Resal)*(1-EXP((Tnet-t)/(Tau_j))))*Salcycl</f>
        <v>2.5978865892831982E-2</v>
      </c>
      <c r="P213" s="168">
        <f>(INDEX(Models!$BJ213:$BT213,,T213)*(1-R213)+INDEX(Models!$BJ213:$BT213,,T213+1)*R213-ERP_i)*Q213*Ramure*Pc/MaxiM</f>
        <v>1.9111330944206176E-4</v>
      </c>
      <c r="Q213" s="304">
        <f t="shared" si="78"/>
        <v>0.5</v>
      </c>
      <c r="R213" s="176">
        <f t="shared" si="79"/>
        <v>8.2762125096431549E-2</v>
      </c>
      <c r="S213" s="814">
        <f t="shared" si="80"/>
        <v>0</v>
      </c>
      <c r="T213" s="175">
        <f t="shared" si="81"/>
        <v>6</v>
      </c>
      <c r="U213" s="250">
        <f t="shared" si="82"/>
        <v>8.2762125096431549E-2</v>
      </c>
      <c r="V213" s="382">
        <f t="shared" si="83"/>
        <v>55.377333467971994</v>
      </c>
      <c r="W213" s="58"/>
      <c r="X213" s="157">
        <f t="shared" si="84"/>
        <v>43664</v>
      </c>
      <c r="Y213" s="384">
        <f t="shared" si="85"/>
        <v>37.850999999999999</v>
      </c>
      <c r="Z213" s="384">
        <f t="shared" si="86"/>
        <v>38.195784702464088</v>
      </c>
      <c r="AA213" s="385">
        <f t="shared" si="87"/>
        <v>39.214533817560415</v>
      </c>
      <c r="AB213" s="196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2.5978865892831982E-2</v>
      </c>
      <c r="AD213" s="230">
        <f>(INDEX(Models!$BJ213:$BT213,,AH213)*(1-AF213)+INDEX(Models!$BJ213:$BT213,,AH213+1)*AF213-ERP_i)*AE213*Ramure*Pc/MaxiM</f>
        <v>1.9111330944206176E-4</v>
      </c>
      <c r="AE213" s="304">
        <f t="shared" si="89"/>
        <v>0.5</v>
      </c>
      <c r="AF213" s="176">
        <f t="shared" si="90"/>
        <v>8.2762125096431549E-2</v>
      </c>
      <c r="AG213" s="175">
        <f t="shared" si="91"/>
        <v>0</v>
      </c>
      <c r="AH213" s="175">
        <f t="shared" si="92"/>
        <v>6</v>
      </c>
      <c r="AI213" s="224">
        <f t="shared" si="93"/>
        <v>8.2762125096431549E-2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43665</v>
      </c>
      <c r="B214" s="616">
        <v>55.38</v>
      </c>
      <c r="C214" s="389"/>
      <c r="D214" s="392">
        <f t="shared" si="75"/>
        <v>55.88568037710909</v>
      </c>
      <c r="E214" s="384">
        <f t="shared" si="73"/>
        <v>57.379273298961522</v>
      </c>
      <c r="F214" s="384">
        <f t="shared" si="76"/>
        <v>57.390042684949307</v>
      </c>
      <c r="G214" s="110">
        <f t="shared" si="74"/>
        <v>1.0015003000330476</v>
      </c>
      <c r="H214" s="413" t="b">
        <f>Wh_hp&gt;='2018'!Maxi_hp</f>
        <v>1</v>
      </c>
      <c r="I214" s="389">
        <f>IF(H214,Wh_hp,'2018'!Maxi_hp)</f>
        <v>57.390042684949307</v>
      </c>
      <c r="J214" s="85">
        <f>IF(H214,An,'2018'!An_max)</f>
        <v>2019</v>
      </c>
      <c r="K214" s="196">
        <f t="shared" si="77"/>
        <v>43665</v>
      </c>
      <c r="L214" s="147">
        <f>IF(t&lt;Tvie,1-EXP((T0-t)*PertePVj)+'2018'!Pspv,1-EXP((T0-t)*PertePVj)+Pspv)</f>
        <v>9.0484784956865738E-3</v>
      </c>
      <c r="M214" s="847"/>
      <c r="N214" s="847"/>
      <c r="O214" s="48">
        <f>IF(t&lt;Tnet,'2018'!Resal+('2018'!Salim-'2018'!Resal)*(1-EXP(('2018'!Tnet-t)/('2018'!Tau_j))),Resal+(Salim-Resal)*(1-EXP((Tnet-t)/(Tau_j))))*Salcycl</f>
        <v>2.6030181910293836E-2</v>
      </c>
      <c r="P214" s="168">
        <f>(INDEX(Models!$BJ214:$BT214,,T214)*(1-R214)+INDEX(Models!$BJ214:$BT214,,T214+1)*R214-ERP_i)*Q214*Ramure*Pc/MaxiM</f>
        <v>1.8765251747424963E-4</v>
      </c>
      <c r="Q214" s="304">
        <f t="shared" si="78"/>
        <v>0.5</v>
      </c>
      <c r="R214" s="176">
        <f t="shared" si="79"/>
        <v>8.4508683855769817E-2</v>
      </c>
      <c r="S214" s="814">
        <f t="shared" si="80"/>
        <v>0</v>
      </c>
      <c r="T214" s="175">
        <f t="shared" si="81"/>
        <v>6</v>
      </c>
      <c r="U214" s="250">
        <f t="shared" si="82"/>
        <v>8.4508683855769817E-2</v>
      </c>
      <c r="V214" s="382">
        <f t="shared" si="83"/>
        <v>55.297037852282799</v>
      </c>
      <c r="W214" s="58"/>
      <c r="X214" s="157">
        <f t="shared" si="84"/>
        <v>43665</v>
      </c>
      <c r="Y214" s="384">
        <f t="shared" si="85"/>
        <v>55.38</v>
      </c>
      <c r="Z214" s="384">
        <f t="shared" si="86"/>
        <v>55.88568037710909</v>
      </c>
      <c r="AA214" s="385">
        <f t="shared" si="87"/>
        <v>57.379273298961522</v>
      </c>
      <c r="AB214" s="196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2.6030181910293836E-2</v>
      </c>
      <c r="AD214" s="230">
        <f>(INDEX(Models!$BJ214:$BT214,,AH214)*(1-AF214)+INDEX(Models!$BJ214:$BT214,,AH214+1)*AF214-ERP_i)*AE214*Ramure*Pc/MaxiM</f>
        <v>1.8765251747424963E-4</v>
      </c>
      <c r="AE214" s="304">
        <f t="shared" si="89"/>
        <v>0.5</v>
      </c>
      <c r="AF214" s="176">
        <f t="shared" si="90"/>
        <v>8.4508683855769817E-2</v>
      </c>
      <c r="AG214" s="175">
        <f t="shared" si="91"/>
        <v>0</v>
      </c>
      <c r="AH214" s="175">
        <f t="shared" si="92"/>
        <v>6</v>
      </c>
      <c r="AI214" s="224">
        <f t="shared" si="93"/>
        <v>8.4508683855769817E-2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43666</v>
      </c>
      <c r="B215" s="616">
        <v>25.585999999999999</v>
      </c>
      <c r="C215" s="389"/>
      <c r="D215" s="392">
        <f t="shared" si="75"/>
        <v>25.820193880420629</v>
      </c>
      <c r="E215" s="384">
        <f t="shared" si="73"/>
        <v>26.51165145610123</v>
      </c>
      <c r="F215" s="384">
        <f t="shared" si="76"/>
        <v>26.512790488631865</v>
      </c>
      <c r="G215" s="110">
        <f t="shared" si="74"/>
        <v>0.46331239925688267</v>
      </c>
      <c r="H215" s="413" t="b">
        <f>Wh_hp&gt;='2018'!Maxi_hp</f>
        <v>1</v>
      </c>
      <c r="I215" s="389">
        <f>IF(H215,Wh_hp,'2018'!Maxi_hp)</f>
        <v>26.512790488631865</v>
      </c>
      <c r="J215" s="85">
        <f>IF(H215,An,'2018'!An_max)</f>
        <v>2019</v>
      </c>
      <c r="K215" s="196">
        <f t="shared" si="77"/>
        <v>43666</v>
      </c>
      <c r="L215" s="147">
        <f>IF(t&lt;Tvie,1-EXP((T0-t)*PertePVj)+'2018'!Pspv,1-EXP((T0-t)*PertePVj)+Pspv)</f>
        <v>9.0701828772176141E-3</v>
      </c>
      <c r="M215" s="847"/>
      <c r="N215" s="847"/>
      <c r="O215" s="48">
        <f>IF(t&lt;Tnet,'2018'!Resal+('2018'!Salim-'2018'!Resal)*(1-EXP(('2018'!Tnet-t)/('2018'!Tau_j))),Resal+(Salim-Resal)*(1-EXP((Tnet-t)/(Tau_j))))*Salcycl</f>
        <v>2.6081271354428375E-2</v>
      </c>
      <c r="P215" s="168">
        <f>(INDEX(Models!$BJ215:$BT215,,T215)*(1-R215)+INDEX(Models!$BJ215:$BT215,,T215+1)*R215-ERP_i)*Q215*Ramure*Pc/MaxiM</f>
        <v>1.8407114469258699E-4</v>
      </c>
      <c r="Q215" s="304">
        <f t="shared" si="78"/>
        <v>0.5</v>
      </c>
      <c r="R215" s="176">
        <f t="shared" si="79"/>
        <v>8.6208175117030883E-2</v>
      </c>
      <c r="S215" s="814">
        <f t="shared" si="80"/>
        <v>0</v>
      </c>
      <c r="T215" s="175">
        <f t="shared" si="81"/>
        <v>6</v>
      </c>
      <c r="U215" s="250">
        <f t="shared" si="82"/>
        <v>8.6208175117030883E-2</v>
      </c>
      <c r="V215" s="382">
        <f t="shared" si="83"/>
        <v>55.216284860309976</v>
      </c>
      <c r="W215" s="58"/>
      <c r="X215" s="157">
        <f t="shared" si="84"/>
        <v>43666</v>
      </c>
      <c r="Y215" s="384">
        <f t="shared" si="85"/>
        <v>25.585999999999999</v>
      </c>
      <c r="Z215" s="384">
        <f t="shared" si="86"/>
        <v>25.820193880420629</v>
      </c>
      <c r="AA215" s="385">
        <f t="shared" si="87"/>
        <v>26.51165145610123</v>
      </c>
      <c r="AB215" s="196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2.6081271354428375E-2</v>
      </c>
      <c r="AD215" s="230">
        <f>(INDEX(Models!$BJ215:$BT215,,AH215)*(1-AF215)+INDEX(Models!$BJ215:$BT215,,AH215+1)*AF215-ERP_i)*AE215*Ramure*Pc/MaxiM</f>
        <v>1.8407114469258699E-4</v>
      </c>
      <c r="AE215" s="304">
        <f t="shared" si="89"/>
        <v>0.5</v>
      </c>
      <c r="AF215" s="176">
        <f t="shared" si="90"/>
        <v>8.6208175117030883E-2</v>
      </c>
      <c r="AG215" s="175">
        <f t="shared" si="91"/>
        <v>0</v>
      </c>
      <c r="AH215" s="175">
        <f t="shared" si="92"/>
        <v>6</v>
      </c>
      <c r="AI215" s="224">
        <f t="shared" si="93"/>
        <v>8.6208175117030883E-2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43667</v>
      </c>
      <c r="B216" s="616">
        <v>44.029000000000003</v>
      </c>
      <c r="C216" s="389"/>
      <c r="D216" s="392">
        <f t="shared" si="75"/>
        <v>44.432979620154093</v>
      </c>
      <c r="E216" s="384">
        <f t="shared" si="73"/>
        <v>45.625265670948579</v>
      </c>
      <c r="F216" s="384">
        <f t="shared" si="76"/>
        <v>45.631127748934247</v>
      </c>
      <c r="G216" s="110">
        <f t="shared" si="74"/>
        <v>0.79852462989912032</v>
      </c>
      <c r="H216" s="413" t="b">
        <f>Wh_hp&gt;='2018'!Maxi_hp</f>
        <v>1</v>
      </c>
      <c r="I216" s="389">
        <f>IF(H216,Wh_hp,'2018'!Maxi_hp)</f>
        <v>45.631127748934247</v>
      </c>
      <c r="J216" s="85">
        <f>IF(H216,An,'2018'!An_max)</f>
        <v>2019</v>
      </c>
      <c r="K216" s="196">
        <f t="shared" si="77"/>
        <v>43667</v>
      </c>
      <c r="L216" s="147">
        <f>IF(t&lt;Tvie,1-EXP((T0-t)*PertePVj)+'2018'!Pspv,1-EXP((T0-t)*PertePVj)+Pspv)</f>
        <v>9.0918867833669204E-3</v>
      </c>
      <c r="M216" s="847"/>
      <c r="N216" s="847"/>
      <c r="O216" s="48">
        <f>IF(t&lt;Tnet,'2018'!Resal+('2018'!Salim-'2018'!Resal)*(1-EXP(('2018'!Tnet-t)/('2018'!Tau_j))),Resal+(Salim-Resal)*(1-EXP((Tnet-t)/(Tau_j))))*Salcycl</f>
        <v>2.6132144838197778E-2</v>
      </c>
      <c r="P216" s="168">
        <f>(INDEX(Models!$BJ216:$BT216,,T216)*(1-R216)+INDEX(Models!$BJ216:$BT216,,T216+1)*R216-ERP_i)*Q216*Ramure*Pc/MaxiM</f>
        <v>1.8037057848857498E-4</v>
      </c>
      <c r="Q216" s="304">
        <f t="shared" si="78"/>
        <v>0.5</v>
      </c>
      <c r="R216" s="176">
        <f t="shared" si="79"/>
        <v>8.7861098771866875E-2</v>
      </c>
      <c r="S216" s="814">
        <f t="shared" si="80"/>
        <v>0</v>
      </c>
      <c r="T216" s="175">
        <f t="shared" si="81"/>
        <v>6</v>
      </c>
      <c r="U216" s="250">
        <f t="shared" si="82"/>
        <v>8.7861098771866875E-2</v>
      </c>
      <c r="V216" s="382">
        <f t="shared" si="83"/>
        <v>55.135073834538474</v>
      </c>
      <c r="W216" s="58"/>
      <c r="X216" s="157">
        <f t="shared" si="84"/>
        <v>43667</v>
      </c>
      <c r="Y216" s="384">
        <f t="shared" si="85"/>
        <v>44.029000000000003</v>
      </c>
      <c r="Z216" s="384">
        <f t="shared" si="86"/>
        <v>44.432979620154093</v>
      </c>
      <c r="AA216" s="385">
        <f t="shared" si="87"/>
        <v>45.625265670948579</v>
      </c>
      <c r="AB216" s="196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2.6132144838197778E-2</v>
      </c>
      <c r="AD216" s="230">
        <f>(INDEX(Models!$BJ216:$BT216,,AH216)*(1-AF216)+INDEX(Models!$BJ216:$BT216,,AH216+1)*AF216-ERP_i)*AE216*Ramure*Pc/MaxiM</f>
        <v>1.8037057848857498E-4</v>
      </c>
      <c r="AE216" s="304">
        <f t="shared" si="89"/>
        <v>0.5</v>
      </c>
      <c r="AF216" s="176">
        <f t="shared" si="90"/>
        <v>8.7861098771866875E-2</v>
      </c>
      <c r="AG216" s="175">
        <f t="shared" si="91"/>
        <v>0</v>
      </c>
      <c r="AH216" s="175">
        <f t="shared" si="92"/>
        <v>6</v>
      </c>
      <c r="AI216" s="224">
        <f t="shared" si="93"/>
        <v>8.7861098771866875E-2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43668</v>
      </c>
      <c r="B217" s="616">
        <v>48.720999999999997</v>
      </c>
      <c r="C217" s="389"/>
      <c r="D217" s="392">
        <f t="shared" si="75"/>
        <v>49.169107093243227</v>
      </c>
      <c r="E217" s="384">
        <f t="shared" si="73"/>
        <v>50.491106265943898</v>
      </c>
      <c r="F217" s="384">
        <f t="shared" si="76"/>
        <v>50.498556893111655</v>
      </c>
      <c r="G217" s="110">
        <f t="shared" si="74"/>
        <v>0.88495138702065934</v>
      </c>
      <c r="H217" s="413" t="b">
        <f>Wh_hp&gt;='2018'!Maxi_hp</f>
        <v>1</v>
      </c>
      <c r="I217" s="389">
        <f>IF(H217,Wh_hp,'2018'!Maxi_hp)</f>
        <v>50.498556893111655</v>
      </c>
      <c r="J217" s="85">
        <f>IF(H217,An,'2018'!An_max)</f>
        <v>2019</v>
      </c>
      <c r="K217" s="196">
        <f t="shared" si="77"/>
        <v>43668</v>
      </c>
      <c r="L217" s="147">
        <f>IF(t&lt;Tvie,1-EXP((T0-t)*PertePVj)+'2018'!Pspv,1-EXP((T0-t)*PertePVj)+Pspv)</f>
        <v>9.1135902141450398E-3</v>
      </c>
      <c r="M217" s="847"/>
      <c r="N217" s="847"/>
      <c r="O217" s="48">
        <f>IF(t&lt;Tnet,'2018'!Resal+('2018'!Salim-'2018'!Resal)*(1-EXP(('2018'!Tnet-t)/('2018'!Tau_j))),Resal+(Salim-Resal)*(1-EXP((Tnet-t)/(Tau_j))))*Salcycl</f>
        <v>2.6182812587577525E-2</v>
      </c>
      <c r="P217" s="168">
        <f>(INDEX(Models!$BJ217:$BT217,,T217)*(1-R217)+INDEX(Models!$BJ217:$BT217,,T217+1)*R217-ERP_i)*Q217*Ramure*Pc/MaxiM</f>
        <v>1.7655217224742481E-4</v>
      </c>
      <c r="Q217" s="304">
        <f t="shared" si="78"/>
        <v>0.5</v>
      </c>
      <c r="R217" s="176">
        <f t="shared" si="79"/>
        <v>8.9468004166234349E-2</v>
      </c>
      <c r="S217" s="814">
        <f t="shared" si="80"/>
        <v>0</v>
      </c>
      <c r="T217" s="175">
        <f t="shared" si="81"/>
        <v>6</v>
      </c>
      <c r="U217" s="250">
        <f t="shared" si="82"/>
        <v>8.9468004166234349E-2</v>
      </c>
      <c r="V217" s="382">
        <f t="shared" si="83"/>
        <v>55.053404143502974</v>
      </c>
      <c r="W217" s="58"/>
      <c r="X217" s="157">
        <f t="shared" si="84"/>
        <v>43668</v>
      </c>
      <c r="Y217" s="384">
        <f t="shared" si="85"/>
        <v>48.720999999999997</v>
      </c>
      <c r="Z217" s="384">
        <f t="shared" si="86"/>
        <v>49.169107093243227</v>
      </c>
      <c r="AA217" s="385">
        <f t="shared" si="87"/>
        <v>50.491106265943898</v>
      </c>
      <c r="AB217" s="196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2.6182812587577525E-2</v>
      </c>
      <c r="AD217" s="230">
        <f>(INDEX(Models!$BJ217:$BT217,,AH217)*(1-AF217)+INDEX(Models!$BJ217:$BT217,,AH217+1)*AF217-ERP_i)*AE217*Ramure*Pc/MaxiM</f>
        <v>1.7655217224742481E-4</v>
      </c>
      <c r="AE217" s="304">
        <f t="shared" si="89"/>
        <v>0.5</v>
      </c>
      <c r="AF217" s="176">
        <f t="shared" si="90"/>
        <v>8.9468004166234349E-2</v>
      </c>
      <c r="AG217" s="175">
        <f t="shared" si="91"/>
        <v>0</v>
      </c>
      <c r="AH217" s="175">
        <f t="shared" si="92"/>
        <v>6</v>
      </c>
      <c r="AI217" s="224">
        <f t="shared" si="93"/>
        <v>8.9468004166234349E-2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43669</v>
      </c>
      <c r="B218" s="616">
        <v>53.264000000000003</v>
      </c>
      <c r="C218" s="389"/>
      <c r="D218" s="392">
        <f t="shared" si="75"/>
        <v>53.755068308346594</v>
      </c>
      <c r="E218" s="384">
        <f t="shared" si="73"/>
        <v>55.203230349702608</v>
      </c>
      <c r="F218" s="384">
        <f t="shared" si="76"/>
        <v>55.212338097424414</v>
      </c>
      <c r="G218" s="110">
        <f t="shared" si="74"/>
        <v>0.96893499052334675</v>
      </c>
      <c r="H218" s="413" t="b">
        <f>Wh_hp&gt;='2018'!Maxi_hp</f>
        <v>1</v>
      </c>
      <c r="I218" s="389">
        <f>IF(H218,Wh_hp,'2018'!Maxi_hp)</f>
        <v>55.212338097424414</v>
      </c>
      <c r="J218" s="85">
        <f>IF(H218,An,'2018'!An_max)</f>
        <v>2019</v>
      </c>
      <c r="K218" s="196">
        <f t="shared" si="77"/>
        <v>43669</v>
      </c>
      <c r="L218" s="147">
        <f>IF(t&lt;Tvie,1-EXP((T0-t)*PertePVj)+'2018'!Pspv,1-EXP((T0-t)*PertePVj)+Pspv)</f>
        <v>9.1352931695622974E-3</v>
      </c>
      <c r="M218" s="847"/>
      <c r="N218" s="847"/>
      <c r="O218" s="48">
        <f>IF(t&lt;Tnet,'2018'!Resal+('2018'!Salim-'2018'!Resal)*(1-EXP(('2018'!Tnet-t)/('2018'!Tau_j))),Resal+(Salim-Resal)*(1-EXP((Tnet-t)/(Tau_j))))*Salcycl</f>
        <v>2.6233284396260274E-2</v>
      </c>
      <c r="P218" s="168">
        <f>(INDEX(Models!$BJ218:$BT218,,T218)*(1-R218)+INDEX(Models!$BJ218:$BT218,,T218+1)*R218-ERP_i)*Q218*Ramure*Pc/MaxiM</f>
        <v>1.726172373093802E-4</v>
      </c>
      <c r="Q218" s="304">
        <f t="shared" si="78"/>
        <v>0.5</v>
      </c>
      <c r="R218" s="176">
        <f t="shared" si="79"/>
        <v>9.1029486022913608E-2</v>
      </c>
      <c r="S218" s="814">
        <f t="shared" si="80"/>
        <v>0</v>
      </c>
      <c r="T218" s="175">
        <f t="shared" si="81"/>
        <v>6</v>
      </c>
      <c r="U218" s="250">
        <f t="shared" si="82"/>
        <v>9.1029486022913608E-2</v>
      </c>
      <c r="V218" s="382">
        <f t="shared" si="83"/>
        <v>54.971275185425107</v>
      </c>
      <c r="W218" s="58"/>
      <c r="X218" s="157">
        <f t="shared" si="84"/>
        <v>43669</v>
      </c>
      <c r="Y218" s="384">
        <f t="shared" si="85"/>
        <v>53.264000000000003</v>
      </c>
      <c r="Z218" s="384">
        <f t="shared" si="86"/>
        <v>53.755068308346594</v>
      </c>
      <c r="AA218" s="385">
        <f t="shared" si="87"/>
        <v>55.203230349702608</v>
      </c>
      <c r="AB218" s="196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2.6233284396260274E-2</v>
      </c>
      <c r="AD218" s="230">
        <f>(INDEX(Models!$BJ218:$BT218,,AH218)*(1-AF218)+INDEX(Models!$BJ218:$BT218,,AH218+1)*AF218-ERP_i)*AE218*Ramure*Pc/MaxiM</f>
        <v>1.726172373093802E-4</v>
      </c>
      <c r="AE218" s="304">
        <f t="shared" si="89"/>
        <v>0.5</v>
      </c>
      <c r="AF218" s="176">
        <f t="shared" si="90"/>
        <v>9.1029486022913608E-2</v>
      </c>
      <c r="AG218" s="175">
        <f t="shared" si="91"/>
        <v>0</v>
      </c>
      <c r="AH218" s="175">
        <f t="shared" si="92"/>
        <v>6</v>
      </c>
      <c r="AI218" s="224">
        <f t="shared" si="93"/>
        <v>9.1029486022913608E-2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43670</v>
      </c>
      <c r="B219" s="616">
        <v>53.362000000000002</v>
      </c>
      <c r="C219" s="389"/>
      <c r="D219" s="392">
        <f t="shared" si="75"/>
        <v>53.855151386960515</v>
      </c>
      <c r="E219" s="384">
        <f t="shared" si="73"/>
        <v>55.308865810161279</v>
      </c>
      <c r="F219" s="384">
        <f t="shared" si="76"/>
        <v>55.317819769739138</v>
      </c>
      <c r="G219" s="110">
        <f t="shared" si="74"/>
        <v>0.97216722290333835</v>
      </c>
      <c r="H219" s="413" t="b">
        <f>Wh_hp&gt;='2018'!Maxi_hp</f>
        <v>1</v>
      </c>
      <c r="I219" s="389">
        <f>IF(H219,Wh_hp,'2018'!Maxi_hp)</f>
        <v>55.317819769739138</v>
      </c>
      <c r="J219" s="85">
        <f>IF(H219,An,'2018'!An_max)</f>
        <v>2019</v>
      </c>
      <c r="K219" s="196">
        <f t="shared" si="77"/>
        <v>43670</v>
      </c>
      <c r="L219" s="147">
        <f>IF(t&lt;Tvie,1-EXP((T0-t)*PertePVj)+'2018'!Pspv,1-EXP((T0-t)*PertePVj)+Pspv)</f>
        <v>9.1569956496290184E-3</v>
      </c>
      <c r="M219" s="847"/>
      <c r="N219" s="847"/>
      <c r="O219" s="48">
        <f>IF(t&lt;Tnet,'2018'!Resal+('2018'!Salim-'2018'!Resal)*(1-EXP(('2018'!Tnet-t)/('2018'!Tau_j))),Resal+(Salim-Resal)*(1-EXP((Tnet-t)/(Tau_j))))*Salcycl</f>
        <v>2.6283569585216323E-2</v>
      </c>
      <c r="P219" s="168">
        <f>(INDEX(Models!$BJ219:$BT219,,T219)*(1-R219)+INDEX(Models!$BJ219:$BT219,,T219+1)*R219-ERP_i)*Q219*Ramure*Pc/MaxiM</f>
        <v>1.6856467743169029E-4</v>
      </c>
      <c r="Q219" s="304">
        <f t="shared" si="78"/>
        <v>0.5</v>
      </c>
      <c r="R219" s="176">
        <f t="shared" si="79"/>
        <v>9.2546180448639936E-2</v>
      </c>
      <c r="S219" s="814">
        <f t="shared" si="80"/>
        <v>0</v>
      </c>
      <c r="T219" s="175">
        <f t="shared" si="81"/>
        <v>6</v>
      </c>
      <c r="U219" s="250">
        <f t="shared" si="82"/>
        <v>9.2546180448639936E-2</v>
      </c>
      <c r="V219" s="382">
        <f t="shared" si="83"/>
        <v>54.889365861710822</v>
      </c>
      <c r="W219" s="58"/>
      <c r="X219" s="157">
        <f t="shared" si="84"/>
        <v>43670</v>
      </c>
      <c r="Y219" s="384">
        <f t="shared" si="85"/>
        <v>53.362000000000002</v>
      </c>
      <c r="Z219" s="384">
        <f t="shared" si="86"/>
        <v>53.855151386960515</v>
      </c>
      <c r="AA219" s="385">
        <f t="shared" si="87"/>
        <v>55.308865810161279</v>
      </c>
      <c r="AB219" s="196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2.6283569585216323E-2</v>
      </c>
      <c r="AD219" s="230">
        <f>(INDEX(Models!$BJ219:$BT219,,AH219)*(1-AF219)+INDEX(Models!$BJ219:$BT219,,AH219+1)*AF219-ERP_i)*AE219*Ramure*Pc/MaxiM</f>
        <v>1.6856467743169029E-4</v>
      </c>
      <c r="AE219" s="304">
        <f t="shared" si="89"/>
        <v>0.5</v>
      </c>
      <c r="AF219" s="176">
        <f t="shared" si="90"/>
        <v>9.2546180448639936E-2</v>
      </c>
      <c r="AG219" s="175">
        <f t="shared" si="91"/>
        <v>0</v>
      </c>
      <c r="AH219" s="175">
        <f t="shared" si="92"/>
        <v>6</v>
      </c>
      <c r="AI219" s="224">
        <f t="shared" si="93"/>
        <v>9.2546180448639936E-2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43671</v>
      </c>
      <c r="B220" s="616">
        <v>53.381</v>
      </c>
      <c r="C220" s="389"/>
      <c r="D220" s="392">
        <f t="shared" si="75"/>
        <v>53.875506989632974</v>
      </c>
      <c r="E220" s="384">
        <f t="shared" si="73"/>
        <v>55.33261828531132</v>
      </c>
      <c r="F220" s="384">
        <f t="shared" si="76"/>
        <v>55.341377168756047</v>
      </c>
      <c r="G220" s="110">
        <f t="shared" si="74"/>
        <v>0.97395509736258346</v>
      </c>
      <c r="H220" s="413" t="b">
        <f>Wh_hp&gt;='2018'!Maxi_hp</f>
        <v>1</v>
      </c>
      <c r="I220" s="389">
        <f>IF(H220,Wh_hp,'2018'!Maxi_hp)</f>
        <v>55.341377168756047</v>
      </c>
      <c r="J220" s="85">
        <f>IF(H220,An,'2018'!An_max)</f>
        <v>2019</v>
      </c>
      <c r="K220" s="196">
        <f t="shared" si="77"/>
        <v>43671</v>
      </c>
      <c r="L220" s="147">
        <f>IF(t&lt;Tvie,1-EXP((T0-t)*PertePVj)+'2018'!Pspv,1-EXP((T0-t)*PertePVj)+Pspv)</f>
        <v>9.1786976543558607E-3</v>
      </c>
      <c r="M220" s="847"/>
      <c r="N220" s="847"/>
      <c r="O220" s="48">
        <f>IF(t&lt;Tnet,'2018'!Resal+('2018'!Salim-'2018'!Resal)*(1-EXP(('2018'!Tnet-t)/('2018'!Tau_j))),Resal+(Salim-Resal)*(1-EXP((Tnet-t)/(Tau_j))))*Salcycl</f>
        <v>2.6333676967264547E-2</v>
      </c>
      <c r="P220" s="168">
        <f>(INDEX(Models!$BJ220:$BT220,,T220)*(1-R220)+INDEX(Models!$BJ220:$BT220,,T220+1)*R220-ERP_i)*Q220*Ramure*Pc/MaxiM</f>
        <v>1.6438493871501973E-4</v>
      </c>
      <c r="Q220" s="304">
        <f t="shared" si="78"/>
        <v>0.5</v>
      </c>
      <c r="R220" s="176">
        <f t="shared" si="79"/>
        <v>9.401876104092094E-2</v>
      </c>
      <c r="S220" s="814">
        <f t="shared" si="80"/>
        <v>0</v>
      </c>
      <c r="T220" s="175">
        <f t="shared" si="81"/>
        <v>6</v>
      </c>
      <c r="U220" s="250">
        <f t="shared" si="82"/>
        <v>9.401876104092094E-2</v>
      </c>
      <c r="V220" s="382">
        <f t="shared" si="83"/>
        <v>54.808146366180381</v>
      </c>
      <c r="W220" s="58"/>
      <c r="X220" s="157">
        <f t="shared" si="84"/>
        <v>43671</v>
      </c>
      <c r="Y220" s="384">
        <f t="shared" si="85"/>
        <v>53.381</v>
      </c>
      <c r="Z220" s="384">
        <f t="shared" si="86"/>
        <v>53.875506989632974</v>
      </c>
      <c r="AA220" s="385">
        <f t="shared" si="87"/>
        <v>55.33261828531132</v>
      </c>
      <c r="AB220" s="196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2.6333676967264547E-2</v>
      </c>
      <c r="AD220" s="230">
        <f>(INDEX(Models!$BJ220:$BT220,,AH220)*(1-AF220)+INDEX(Models!$BJ220:$BT220,,AH220+1)*AF220-ERP_i)*AE220*Ramure*Pc/MaxiM</f>
        <v>1.6438493871501973E-4</v>
      </c>
      <c r="AE220" s="304">
        <f t="shared" si="89"/>
        <v>0.5</v>
      </c>
      <c r="AF220" s="176">
        <f t="shared" si="90"/>
        <v>9.401876104092094E-2</v>
      </c>
      <c r="AG220" s="175">
        <f t="shared" si="91"/>
        <v>0</v>
      </c>
      <c r="AH220" s="175">
        <f t="shared" si="92"/>
        <v>6</v>
      </c>
      <c r="AI220" s="224">
        <f t="shared" si="93"/>
        <v>9.401876104092094E-2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43672</v>
      </c>
      <c r="B221" s="616">
        <v>23.998999999999999</v>
      </c>
      <c r="C221" s="389"/>
      <c r="D221" s="392">
        <f t="shared" si="75"/>
        <v>24.221850695366637</v>
      </c>
      <c r="E221" s="384">
        <f t="shared" si="73"/>
        <v>24.87822828783623</v>
      </c>
      <c r="F221" s="384">
        <f t="shared" si="76"/>
        <v>24.879016628804536</v>
      </c>
      <c r="G221" s="110">
        <f t="shared" si="74"/>
        <v>0.43846339102696419</v>
      </c>
      <c r="H221" s="413" t="b">
        <f>Wh_hp&gt;='2018'!Maxi_hp</f>
        <v>1</v>
      </c>
      <c r="I221" s="389">
        <f>IF(H221,Wh_hp,'2018'!Maxi_hp)</f>
        <v>24.879016628804536</v>
      </c>
      <c r="J221" s="85">
        <f>IF(H221,An,'2018'!An_max)</f>
        <v>2019</v>
      </c>
      <c r="K221" s="196">
        <f t="shared" si="77"/>
        <v>43672</v>
      </c>
      <c r="L221" s="147">
        <f>IF(t&lt;Tvie,1-EXP((T0-t)*PertePVj)+'2018'!Pspv,1-EXP((T0-t)*PertePVj)+Pspv)</f>
        <v>9.2003991837530386E-3</v>
      </c>
      <c r="M221" s="847"/>
      <c r="N221" s="847"/>
      <c r="O221" s="48">
        <f>IF(t&lt;Tnet,'2018'!Resal+('2018'!Salim-'2018'!Resal)*(1-EXP(('2018'!Tnet-t)/('2018'!Tau_j))),Resal+(Salim-Resal)*(1-EXP((Tnet-t)/(Tau_j))))*Salcycl</f>
        <v>2.6383614816755913E-2</v>
      </c>
      <c r="P221" s="168">
        <f>(INDEX(Models!$BJ221:$BT221,,T221)*(1-R221)+INDEX(Models!$BJ221:$BT221,,T221+1)*R221-ERP_i)*Q221*Ramure*Pc/MaxiM</f>
        <v>1.601280191609657E-4</v>
      </c>
      <c r="Q221" s="304">
        <f t="shared" si="78"/>
        <v>0.5</v>
      </c>
      <c r="R221" s="176">
        <f t="shared" si="79"/>
        <v>9.5447935107636328E-2</v>
      </c>
      <c r="S221" s="814">
        <f t="shared" si="80"/>
        <v>0</v>
      </c>
      <c r="T221" s="175">
        <f t="shared" si="81"/>
        <v>6</v>
      </c>
      <c r="U221" s="250">
        <f t="shared" si="82"/>
        <v>9.5447935107636328E-2</v>
      </c>
      <c r="V221" s="382">
        <f t="shared" si="83"/>
        <v>54.727299785929659</v>
      </c>
      <c r="W221" s="58"/>
      <c r="X221" s="157">
        <f t="shared" si="84"/>
        <v>43672</v>
      </c>
      <c r="Y221" s="384">
        <f t="shared" si="85"/>
        <v>23.998999999999999</v>
      </c>
      <c r="Z221" s="384">
        <f t="shared" si="86"/>
        <v>24.221850695366637</v>
      </c>
      <c r="AA221" s="385">
        <f t="shared" si="87"/>
        <v>24.87822828783623</v>
      </c>
      <c r="AB221" s="196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2.6383614816755913E-2</v>
      </c>
      <c r="AD221" s="230">
        <f>(INDEX(Models!$BJ221:$BT221,,AH221)*(1-AF221)+INDEX(Models!$BJ221:$BT221,,AH221+1)*AF221-ERP_i)*AE221*Ramure*Pc/MaxiM</f>
        <v>1.601280191609657E-4</v>
      </c>
      <c r="AE221" s="304">
        <f t="shared" si="89"/>
        <v>0.5</v>
      </c>
      <c r="AF221" s="176">
        <f t="shared" si="90"/>
        <v>9.5447935107636328E-2</v>
      </c>
      <c r="AG221" s="175">
        <f t="shared" si="91"/>
        <v>0</v>
      </c>
      <c r="AH221" s="175">
        <f t="shared" si="92"/>
        <v>6</v>
      </c>
      <c r="AI221" s="224">
        <f t="shared" si="93"/>
        <v>9.5447935107636328E-2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43673</v>
      </c>
      <c r="B222" s="616">
        <v>11.595000000000001</v>
      </c>
      <c r="C222" s="389"/>
      <c r="D222" s="392">
        <f t="shared" si="75"/>
        <v>11.702925552521226</v>
      </c>
      <c r="E222" s="384">
        <f t="shared" si="73"/>
        <v>12.020672692001748</v>
      </c>
      <c r="F222" s="384">
        <f t="shared" si="76"/>
        <v>12.020672692001748</v>
      </c>
      <c r="G222" s="110">
        <f t="shared" si="74"/>
        <v>0.21214882942237012</v>
      </c>
      <c r="H222" s="413" t="b">
        <f>Wh_hp&gt;='2018'!Maxi_hp</f>
        <v>1</v>
      </c>
      <c r="I222" s="389">
        <f>IF(H222,Wh_hp,'2018'!Maxi_hp)</f>
        <v>12.020672692001748</v>
      </c>
      <c r="J222" s="85">
        <f>IF(H222,An,'2018'!An_max)</f>
        <v>2019</v>
      </c>
      <c r="K222" s="196">
        <f t="shared" si="77"/>
        <v>43673</v>
      </c>
      <c r="L222" s="147">
        <f>IF(t&lt;Tvie,1-EXP((T0-t)*PertePVj)+'2018'!Pspv,1-EXP((T0-t)*PertePVj)+Pspv)</f>
        <v>9.222100237831099E-3</v>
      </c>
      <c r="M222" s="847"/>
      <c r="N222" s="847"/>
      <c r="O222" s="48">
        <f>IF(t&lt;Tnet,'2018'!Resal+('2018'!Salim-'2018'!Resal)*(1-EXP(('2018'!Tnet-t)/('2018'!Tau_j))),Resal+(Salim-Resal)*(1-EXP((Tnet-t)/(Tau_j))))*Salcycl</f>
        <v>2.6433390844419462E-2</v>
      </c>
      <c r="P222" s="168">
        <f>(INDEX(Models!$BJ222:$BT222,,T222)*(1-R222)+INDEX(Models!$BJ222:$BT222,,T222+1)*R222-ERP_i)*Q222*Ramure*Pc/MaxiM</f>
        <v>1.5579650282390549E-4</v>
      </c>
      <c r="Q222" s="304">
        <f t="shared" si="78"/>
        <v>0.5</v>
      </c>
      <c r="R222" s="176">
        <f t="shared" si="79"/>
        <v>9.6834440010615808E-2</v>
      </c>
      <c r="S222" s="814">
        <f t="shared" si="80"/>
        <v>0</v>
      </c>
      <c r="T222" s="175">
        <f t="shared" si="81"/>
        <v>6</v>
      </c>
      <c r="U222" s="250">
        <f t="shared" si="82"/>
        <v>9.6834440010615808E-2</v>
      </c>
      <c r="V222" s="382">
        <f t="shared" si="83"/>
        <v>54.646511937469633</v>
      </c>
      <c r="W222" s="58"/>
      <c r="X222" s="157">
        <f t="shared" si="84"/>
        <v>43673</v>
      </c>
      <c r="Y222" s="384">
        <f t="shared" si="85"/>
        <v>11.595000000000001</v>
      </c>
      <c r="Z222" s="384">
        <f t="shared" si="86"/>
        <v>11.702925552521226</v>
      </c>
      <c r="AA222" s="385">
        <f t="shared" si="87"/>
        <v>12.020672692001748</v>
      </c>
      <c r="AB222" s="196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2.6433390844419462E-2</v>
      </c>
      <c r="AD222" s="230">
        <f>(INDEX(Models!$BJ222:$BT222,,AH222)*(1-AF222)+INDEX(Models!$BJ222:$BT222,,AH222+1)*AF222-ERP_i)*AE222*Ramure*Pc/MaxiM</f>
        <v>1.5579650282390549E-4</v>
      </c>
      <c r="AE222" s="304">
        <f t="shared" si="89"/>
        <v>0.5</v>
      </c>
      <c r="AF222" s="176">
        <f t="shared" si="90"/>
        <v>9.6834440010615808E-2</v>
      </c>
      <c r="AG222" s="175">
        <f t="shared" si="91"/>
        <v>0</v>
      </c>
      <c r="AH222" s="175">
        <f t="shared" si="92"/>
        <v>6</v>
      </c>
      <c r="AI222" s="224">
        <f t="shared" si="93"/>
        <v>9.6834440010615808E-2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43674</v>
      </c>
      <c r="B223" s="616">
        <v>56.305999999999997</v>
      </c>
      <c r="C223" s="389"/>
      <c r="D223" s="392">
        <f t="shared" si="75"/>
        <v>56.831337564588026</v>
      </c>
      <c r="E223" s="384">
        <f t="shared" si="73"/>
        <v>58.377345516791671</v>
      </c>
      <c r="F223" s="384">
        <f t="shared" si="76"/>
        <v>58.386184765777948</v>
      </c>
      <c r="G223" s="110">
        <f t="shared" si="74"/>
        <v>1.0318980349859759</v>
      </c>
      <c r="H223" s="413" t="b">
        <f>Wh_hp&gt;='2018'!Maxi_hp</f>
        <v>1</v>
      </c>
      <c r="I223" s="389">
        <f>IF(H223,Wh_hp,'2018'!Maxi_hp)</f>
        <v>58.386184765777948</v>
      </c>
      <c r="J223" s="85">
        <f>IF(H223,An,'2018'!An_max)</f>
        <v>2019</v>
      </c>
      <c r="K223" s="196">
        <f t="shared" si="77"/>
        <v>43674</v>
      </c>
      <c r="L223" s="147">
        <f>IF(t&lt;Tvie,1-EXP((T0-t)*PertePVj)+'2018'!Pspv,1-EXP((T0-t)*PertePVj)+Pspv)</f>
        <v>9.2438008166003671E-3</v>
      </c>
      <c r="M223" s="847"/>
      <c r="N223" s="847"/>
      <c r="O223" s="48">
        <f>IF(t&lt;Tnet,'2018'!Resal+('2018'!Salim-'2018'!Resal)*(1-EXP(('2018'!Tnet-t)/('2018'!Tau_j))),Resal+(Salim-Resal)*(1-EXP((Tnet-t)/(Tau_j))))*Salcycl</f>
        <v>2.6483012177368617E-2</v>
      </c>
      <c r="P223" s="168">
        <f>(INDEX(Models!$BJ223:$BT223,,T223)*(1-R223)+INDEX(Models!$BJ223:$BT223,,T223+1)*R223-ERP_i)*Q223*Ramure*Pc/MaxiM</f>
        <v>1.5139281701206106E-4</v>
      </c>
      <c r="Q223" s="304">
        <f t="shared" si="78"/>
        <v>0.5</v>
      </c>
      <c r="R223" s="176">
        <f t="shared" si="79"/>
        <v>9.8179039642564747E-2</v>
      </c>
      <c r="S223" s="814">
        <f t="shared" si="80"/>
        <v>0</v>
      </c>
      <c r="T223" s="175">
        <f t="shared" si="81"/>
        <v>6</v>
      </c>
      <c r="U223" s="250">
        <f t="shared" si="82"/>
        <v>9.8179039642564747E-2</v>
      </c>
      <c r="V223" s="382">
        <f t="shared" si="83"/>
        <v>54.565468768205598</v>
      </c>
      <c r="W223" s="58"/>
      <c r="X223" s="157">
        <f t="shared" si="84"/>
        <v>43674</v>
      </c>
      <c r="Y223" s="384">
        <f t="shared" si="85"/>
        <v>56.305999999999997</v>
      </c>
      <c r="Z223" s="384">
        <f t="shared" si="86"/>
        <v>56.831337564588026</v>
      </c>
      <c r="AA223" s="385">
        <f t="shared" si="87"/>
        <v>58.377345516791671</v>
      </c>
      <c r="AB223" s="196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2.6483012177368617E-2</v>
      </c>
      <c r="AD223" s="230">
        <f>(INDEX(Models!$BJ223:$BT223,,AH223)*(1-AF223)+INDEX(Models!$BJ223:$BT223,,AH223+1)*AF223-ERP_i)*AE223*Ramure*Pc/MaxiM</f>
        <v>1.5139281701206106E-4</v>
      </c>
      <c r="AE223" s="304">
        <f t="shared" si="89"/>
        <v>0.5</v>
      </c>
      <c r="AF223" s="176">
        <f t="shared" si="90"/>
        <v>9.8179039642564747E-2</v>
      </c>
      <c r="AG223" s="175">
        <f t="shared" si="91"/>
        <v>0</v>
      </c>
      <c r="AH223" s="175">
        <f t="shared" si="92"/>
        <v>6</v>
      </c>
      <c r="AI223" s="224">
        <f t="shared" si="93"/>
        <v>9.8179039642564747E-2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43675</v>
      </c>
      <c r="B224" s="616">
        <v>55.826000000000001</v>
      </c>
      <c r="C224" s="389"/>
      <c r="D224" s="392">
        <f t="shared" si="75"/>
        <v>56.348093310411876</v>
      </c>
      <c r="E224" s="384">
        <f t="shared" si="73"/>
        <v>57.883896958119173</v>
      </c>
      <c r="F224" s="384">
        <f t="shared" si="76"/>
        <v>57.892402465153239</v>
      </c>
      <c r="G224" s="110">
        <f t="shared" si="74"/>
        <v>1.0246337857421075</v>
      </c>
      <c r="H224" s="413" t="b">
        <f>Wh_hp&gt;='2018'!Maxi_hp</f>
        <v>1</v>
      </c>
      <c r="I224" s="389">
        <f>IF(H224,Wh_hp,'2018'!Maxi_hp)</f>
        <v>57.892402465153239</v>
      </c>
      <c r="J224" s="85">
        <f>IF(H224,An,'2018'!An_max)</f>
        <v>2019</v>
      </c>
      <c r="K224" s="196">
        <f t="shared" si="77"/>
        <v>43675</v>
      </c>
      <c r="L224" s="147">
        <f>IF(t&lt;Tvie,1-EXP((T0-t)*PertePVj)+'2018'!Pspv,1-EXP((T0-t)*PertePVj)+Pspv)</f>
        <v>9.265500920071168E-3</v>
      </c>
      <c r="M224" s="847"/>
      <c r="N224" s="847"/>
      <c r="O224" s="48">
        <f>IF(t&lt;Tnet,'2018'!Resal+('2018'!Salim-'2018'!Resal)*(1-EXP(('2018'!Tnet-t)/('2018'!Tau_j))),Resal+(Salim-Resal)*(1-EXP((Tnet-t)/(Tau_j))))*Salcycl</f>
        <v>2.6532485344214124E-2</v>
      </c>
      <c r="P224" s="168">
        <f>(INDEX(Models!$BJ224:$BT224,,T224)*(1-R224)+INDEX(Models!$BJ224:$BT224,,T224+1)*R224-ERP_i)*Q224*Ramure*Pc/MaxiM</f>
        <v>1.4691922725412775E-4</v>
      </c>
      <c r="Q224" s="304">
        <f t="shared" si="78"/>
        <v>0.5</v>
      </c>
      <c r="R224" s="176">
        <f t="shared" si="79"/>
        <v>9.9482521044984784E-2</v>
      </c>
      <c r="S224" s="814">
        <f t="shared" si="80"/>
        <v>0</v>
      </c>
      <c r="T224" s="175">
        <f t="shared" si="81"/>
        <v>6</v>
      </c>
      <c r="U224" s="250">
        <f t="shared" si="82"/>
        <v>9.9482521044984784E-2</v>
      </c>
      <c r="V224" s="382">
        <f t="shared" si="83"/>
        <v>54.483856356119588</v>
      </c>
      <c r="W224" s="58"/>
      <c r="X224" s="157">
        <f t="shared" si="84"/>
        <v>43675</v>
      </c>
      <c r="Y224" s="384">
        <f t="shared" si="85"/>
        <v>55.826000000000001</v>
      </c>
      <c r="Z224" s="384">
        <f t="shared" si="86"/>
        <v>56.348093310411876</v>
      </c>
      <c r="AA224" s="385">
        <f t="shared" si="87"/>
        <v>57.883896958119173</v>
      </c>
      <c r="AB224" s="196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2.6532485344214124E-2</v>
      </c>
      <c r="AD224" s="230">
        <f>(INDEX(Models!$BJ224:$BT224,,AH224)*(1-AF224)+INDEX(Models!$BJ224:$BT224,,AH224+1)*AF224-ERP_i)*AE224*Ramure*Pc/MaxiM</f>
        <v>1.4691922725412775E-4</v>
      </c>
      <c r="AE224" s="304">
        <f t="shared" si="89"/>
        <v>0.5</v>
      </c>
      <c r="AF224" s="176">
        <f t="shared" si="90"/>
        <v>9.9482521044984784E-2</v>
      </c>
      <c r="AG224" s="175">
        <f t="shared" si="91"/>
        <v>0</v>
      </c>
      <c r="AH224" s="175">
        <f t="shared" si="92"/>
        <v>6</v>
      </c>
      <c r="AI224" s="224">
        <f t="shared" si="93"/>
        <v>9.9482521044984784E-2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43676</v>
      </c>
      <c r="B225" s="616">
        <v>25.939</v>
      </c>
      <c r="C225" s="389"/>
      <c r="D225" s="392">
        <f t="shared" si="75"/>
        <v>26.182158961057613</v>
      </c>
      <c r="E225" s="384">
        <f t="shared" si="73"/>
        <v>26.897133625141105</v>
      </c>
      <c r="F225" s="384">
        <f t="shared" si="76"/>
        <v>26.898100939612632</v>
      </c>
      <c r="G225" s="110">
        <f t="shared" si="74"/>
        <v>0.47675718311148702</v>
      </c>
      <c r="H225" s="413" t="b">
        <f>Wh_hp&gt;='2018'!Maxi_hp</f>
        <v>1</v>
      </c>
      <c r="I225" s="389">
        <f>IF(H225,Wh_hp,'2018'!Maxi_hp)</f>
        <v>26.898100939612632</v>
      </c>
      <c r="J225" s="85">
        <f>IF(H225,An,'2018'!An_max)</f>
        <v>2019</v>
      </c>
      <c r="K225" s="196">
        <f t="shared" si="77"/>
        <v>43676</v>
      </c>
      <c r="L225" s="147">
        <f>IF(t&lt;Tvie,1-EXP((T0-t)*PertePVj)+'2018'!Pspv,1-EXP((T0-t)*PertePVj)+Pspv)</f>
        <v>9.2872005482541597E-3</v>
      </c>
      <c r="M225" s="847"/>
      <c r="N225" s="847"/>
      <c r="O225" s="48">
        <f>IF(t&lt;Tnet,'2018'!Resal+('2018'!Salim-'2018'!Resal)*(1-EXP(('2018'!Tnet-t)/('2018'!Tau_j))),Resal+(Salim-Resal)*(1-EXP((Tnet-t)/(Tau_j))))*Salcycl</f>
        <v>2.6581816265179876E-2</v>
      </c>
      <c r="P225" s="168">
        <f>(INDEX(Models!$BJ225:$BT225,,T225)*(1-R225)+INDEX(Models!$BJ225:$BT225,,T225+1)*R225-ERP_i)*Q225*Ramure*Pc/MaxiM</f>
        <v>1.4237783322147184E-4</v>
      </c>
      <c r="Q225" s="304">
        <f t="shared" si="78"/>
        <v>0.5</v>
      </c>
      <c r="R225" s="176">
        <f t="shared" si="79"/>
        <v>0.10074569117311422</v>
      </c>
      <c r="S225" s="814">
        <f t="shared" si="80"/>
        <v>0</v>
      </c>
      <c r="T225" s="175">
        <f t="shared" si="81"/>
        <v>6</v>
      </c>
      <c r="U225" s="250">
        <f t="shared" si="82"/>
        <v>0.10074569117311422</v>
      </c>
      <c r="V225" s="382">
        <f t="shared" si="83"/>
        <v>54.401360910706948</v>
      </c>
      <c r="W225" s="58"/>
      <c r="X225" s="157">
        <f t="shared" si="84"/>
        <v>43676</v>
      </c>
      <c r="Y225" s="384">
        <f t="shared" si="85"/>
        <v>25.939</v>
      </c>
      <c r="Z225" s="384">
        <f t="shared" si="86"/>
        <v>26.182158961057613</v>
      </c>
      <c r="AA225" s="385">
        <f t="shared" si="87"/>
        <v>26.897133625141105</v>
      </c>
      <c r="AB225" s="196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2.6581816265179876E-2</v>
      </c>
      <c r="AD225" s="230">
        <f>(INDEX(Models!$BJ225:$BT225,,AH225)*(1-AF225)+INDEX(Models!$BJ225:$BT225,,AH225+1)*AF225-ERP_i)*AE225*Ramure*Pc/MaxiM</f>
        <v>1.4237783322147184E-4</v>
      </c>
      <c r="AE225" s="304">
        <f t="shared" si="89"/>
        <v>0.5</v>
      </c>
      <c r="AF225" s="176">
        <f t="shared" si="90"/>
        <v>0.10074569117311422</v>
      </c>
      <c r="AG225" s="175">
        <f t="shared" si="91"/>
        <v>0</v>
      </c>
      <c r="AH225" s="175">
        <f t="shared" si="92"/>
        <v>6</v>
      </c>
      <c r="AI225" s="224">
        <f t="shared" si="93"/>
        <v>0.10074569117311422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43677</v>
      </c>
      <c r="B226" s="616">
        <v>52.314999999999998</v>
      </c>
      <c r="C226" s="389"/>
      <c r="D226" s="392">
        <f t="shared" si="75"/>
        <v>52.806571073687103</v>
      </c>
      <c r="E226" s="384">
        <f t="shared" si="73"/>
        <v>54.251339039567036</v>
      </c>
      <c r="F226" s="384">
        <f t="shared" si="76"/>
        <v>54.258423369971332</v>
      </c>
      <c r="G226" s="110">
        <f t="shared" si="74"/>
        <v>0.96312349648343143</v>
      </c>
      <c r="H226" s="413" t="b">
        <f>Wh_hp&gt;='2018'!Maxi_hp</f>
        <v>1</v>
      </c>
      <c r="I226" s="389">
        <f>IF(H226,Wh_hp,'2018'!Maxi_hp)</f>
        <v>54.258423369971332</v>
      </c>
      <c r="J226" s="85">
        <f>IF(H226,An,'2018'!An_max)</f>
        <v>2019</v>
      </c>
      <c r="K226" s="196">
        <f t="shared" si="77"/>
        <v>43677</v>
      </c>
      <c r="L226" s="147">
        <f>IF(t&lt;Tvie,1-EXP((T0-t)*PertePVj)+'2018'!Pspv,1-EXP((T0-t)*PertePVj)+Pspv)</f>
        <v>9.3088997011595565E-3</v>
      </c>
      <c r="M226" s="847"/>
      <c r="N226" s="847"/>
      <c r="O226" s="48">
        <f>IF(t&lt;Tnet,'2018'!Resal+('2018'!Salim-'2018'!Resal)*(1-EXP(('2018'!Tnet-t)/('2018'!Tau_j))),Resal+(Salim-Resal)*(1-EXP((Tnet-t)/(Tau_j))))*Salcycl</f>
        <v>2.663101024706915E-2</v>
      </c>
      <c r="P226" s="168">
        <f>(INDEX(Models!$BJ226:$BT226,,T226)*(1-R226)+INDEX(Models!$BJ226:$BT226,,T226+1)*R226-ERP_i)*Q226*Ramure*Pc/MaxiM</f>
        <v>1.3782585071838883E-4</v>
      </c>
      <c r="Q226" s="304">
        <f t="shared" si="78"/>
        <v>0.5</v>
      </c>
      <c r="R226" s="176">
        <f t="shared" si="79"/>
        <v>0.10196937381239807</v>
      </c>
      <c r="S226" s="814">
        <f t="shared" si="80"/>
        <v>0</v>
      </c>
      <c r="T226" s="175">
        <f t="shared" si="81"/>
        <v>6</v>
      </c>
      <c r="U226" s="250">
        <f t="shared" si="82"/>
        <v>0.10196937381239807</v>
      </c>
      <c r="V226" s="382">
        <f t="shared" si="83"/>
        <v>54.317665768230874</v>
      </c>
      <c r="W226" s="58"/>
      <c r="X226" s="157">
        <f t="shared" si="84"/>
        <v>43677</v>
      </c>
      <c r="Y226" s="384">
        <f t="shared" si="85"/>
        <v>52.314999999999998</v>
      </c>
      <c r="Z226" s="384">
        <f t="shared" si="86"/>
        <v>52.806571073687103</v>
      </c>
      <c r="AA226" s="385">
        <f t="shared" si="87"/>
        <v>54.251339039567036</v>
      </c>
      <c r="AB226" s="196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2.663101024706915E-2</v>
      </c>
      <c r="AD226" s="230">
        <f>(INDEX(Models!$BJ226:$BT226,,AH226)*(1-AF226)+INDEX(Models!$BJ226:$BT226,,AH226+1)*AF226-ERP_i)*AE226*Ramure*Pc/MaxiM</f>
        <v>1.3782585071838883E-4</v>
      </c>
      <c r="AE226" s="304">
        <f t="shared" si="89"/>
        <v>0.5</v>
      </c>
      <c r="AF226" s="176">
        <f t="shared" si="90"/>
        <v>0.10196937381239807</v>
      </c>
      <c r="AG226" s="175">
        <f t="shared" si="91"/>
        <v>0</v>
      </c>
      <c r="AH226" s="175">
        <f t="shared" si="92"/>
        <v>6</v>
      </c>
      <c r="AI226" s="224">
        <f t="shared" si="93"/>
        <v>0.10196937381239807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43678</v>
      </c>
      <c r="B227" s="616">
        <v>47.887999999999998</v>
      </c>
      <c r="C227" s="389"/>
      <c r="D227" s="392">
        <f t="shared" si="75"/>
        <v>48.339032094493525</v>
      </c>
      <c r="E227" s="384">
        <f t="shared" si="73"/>
        <v>49.66407314085469</v>
      </c>
      <c r="F227" s="384">
        <f t="shared" si="76"/>
        <v>49.669586605965968</v>
      </c>
      <c r="G227" s="110">
        <f t="shared" si="74"/>
        <v>0.88299398691329323</v>
      </c>
      <c r="H227" s="413" t="b">
        <f>Wh_hp&gt;='2018'!Maxi_hp</f>
        <v>0</v>
      </c>
      <c r="I227" s="389">
        <f>IF(H227,Wh_hp,'2018'!Maxi_hp)</f>
        <v>53.056225384758235</v>
      </c>
      <c r="J227" s="85">
        <f>IF(H227,An,'2018'!An_max)</f>
        <v>2018</v>
      </c>
      <c r="K227" s="196">
        <f t="shared" si="77"/>
        <v>43678</v>
      </c>
      <c r="L227" s="147">
        <f>IF(t&lt;Tvie,1-EXP((T0-t)*PertePVj)+'2018'!Pspv,1-EXP((T0-t)*PertePVj)+Pspv)</f>
        <v>9.3305983787976832E-3</v>
      </c>
      <c r="M227" s="847"/>
      <c r="N227" s="847"/>
      <c r="O227" s="48">
        <f>IF(t&lt;Tnet,'2018'!Resal+('2018'!Salim-'2018'!Resal)*(1-EXP(('2018'!Tnet-t)/('2018'!Tau_j))),Resal+(Salim-Resal)*(1-EXP((Tnet-t)/(Tau_j))))*Salcycl</f>
        <v>2.6680071982882917E-2</v>
      </c>
      <c r="P227" s="168">
        <f>(INDEX(Models!$BJ227:$BT227,,T227)*(1-R227)+INDEX(Models!$BJ227:$BT227,,T227+1)*R227-ERP_i)*Q227*Ramure*Pc/MaxiM</f>
        <v>1.3327644416440268E-4</v>
      </c>
      <c r="Q227" s="304">
        <f t="shared" si="78"/>
        <v>0.5</v>
      </c>
      <c r="R227" s="176">
        <f t="shared" si="79"/>
        <v>0.10315440664959963</v>
      </c>
      <c r="S227" s="814">
        <f t="shared" si="80"/>
        <v>0</v>
      </c>
      <c r="T227" s="175">
        <f t="shared" si="81"/>
        <v>6</v>
      </c>
      <c r="U227" s="250">
        <f t="shared" si="82"/>
        <v>0.10315440664959963</v>
      </c>
      <c r="V227" s="382">
        <f t="shared" si="83"/>
        <v>54.232456792337956</v>
      </c>
      <c r="W227" s="58"/>
      <c r="X227" s="157">
        <f t="shared" si="84"/>
        <v>43678</v>
      </c>
      <c r="Y227" s="384">
        <f t="shared" si="85"/>
        <v>47.887999999999998</v>
      </c>
      <c r="Z227" s="384">
        <f t="shared" si="86"/>
        <v>48.339032094493525</v>
      </c>
      <c r="AA227" s="385">
        <f t="shared" si="87"/>
        <v>49.66407314085469</v>
      </c>
      <c r="AB227" s="196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2.6680071982882917E-2</v>
      </c>
      <c r="AD227" s="230">
        <f>(INDEX(Models!$BJ227:$BT227,,AH227)*(1-AF227)+INDEX(Models!$BJ227:$BT227,,AH227+1)*AF227-ERP_i)*AE227*Ramure*Pc/MaxiM</f>
        <v>1.3327644416440268E-4</v>
      </c>
      <c r="AE227" s="304">
        <f t="shared" si="89"/>
        <v>0.5</v>
      </c>
      <c r="AF227" s="176">
        <f t="shared" si="90"/>
        <v>0.10315440664959963</v>
      </c>
      <c r="AG227" s="175">
        <f t="shared" si="91"/>
        <v>0</v>
      </c>
      <c r="AH227" s="175">
        <f t="shared" si="92"/>
        <v>6</v>
      </c>
      <c r="AI227" s="224">
        <f t="shared" si="93"/>
        <v>0.10315440664959963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43679</v>
      </c>
      <c r="B228" s="616">
        <v>53.392000000000003</v>
      </c>
      <c r="C228" s="389"/>
      <c r="D228" s="392">
        <f t="shared" si="75"/>
        <v>53.896051861563961</v>
      </c>
      <c r="E228" s="384">
        <f t="shared" si="73"/>
        <v>55.376202690952191</v>
      </c>
      <c r="F228" s="384">
        <f t="shared" si="76"/>
        <v>55.3831905498918</v>
      </c>
      <c r="G228" s="110">
        <f t="shared" si="74"/>
        <v>0.98608271576444806</v>
      </c>
      <c r="H228" s="413" t="b">
        <f>Wh_hp&gt;='2018'!Maxi_hp</f>
        <v>1</v>
      </c>
      <c r="I228" s="389">
        <f>IF(H228,Wh_hp,'2018'!Maxi_hp)</f>
        <v>55.3831905498918</v>
      </c>
      <c r="J228" s="85">
        <f>IF(H228,An,'2018'!An_max)</f>
        <v>2019</v>
      </c>
      <c r="K228" s="196">
        <f t="shared" si="77"/>
        <v>43679</v>
      </c>
      <c r="L228" s="147">
        <f>IF(t&lt;Tvie,1-EXP((T0-t)*PertePVj)+'2018'!Pspv,1-EXP((T0-t)*PertePVj)+Pspv)</f>
        <v>9.352296581179198E-3</v>
      </c>
      <c r="M228" s="847"/>
      <c r="N228" s="847"/>
      <c r="O228" s="48">
        <f>IF(t&lt;Tnet,'2018'!Resal+('2018'!Salim-'2018'!Resal)*(1-EXP(('2018'!Tnet-t)/('2018'!Tau_j))),Resal+(Salim-Resal)*(1-EXP((Tnet-t)/(Tau_j))))*Salcycl</f>
        <v>2.6729005555848007E-2</v>
      </c>
      <c r="P228" s="168">
        <f>(INDEX(Models!$BJ228:$BT228,,T228)*(1-R228)+INDEX(Models!$BJ228:$BT228,,T228+1)*R228-ERP_i)*Q228*Ramure*Pc/MaxiM</f>
        <v>1.2873188314729402E-4</v>
      </c>
      <c r="Q228" s="304">
        <f t="shared" si="78"/>
        <v>0.5</v>
      </c>
      <c r="R228" s="176">
        <f t="shared" si="79"/>
        <v>0.10430163850038171</v>
      </c>
      <c r="S228" s="814">
        <f t="shared" si="80"/>
        <v>0</v>
      </c>
      <c r="T228" s="175">
        <f t="shared" si="81"/>
        <v>6</v>
      </c>
      <c r="U228" s="250">
        <f t="shared" si="82"/>
        <v>0.10430163850038171</v>
      </c>
      <c r="V228" s="382">
        <f t="shared" si="83"/>
        <v>54.145420562689679</v>
      </c>
      <c r="W228" s="58"/>
      <c r="X228" s="157">
        <f t="shared" si="84"/>
        <v>43679</v>
      </c>
      <c r="Y228" s="384">
        <f t="shared" si="85"/>
        <v>53.392000000000003</v>
      </c>
      <c r="Z228" s="384">
        <f t="shared" si="86"/>
        <v>53.896051861563961</v>
      </c>
      <c r="AA228" s="385">
        <f t="shared" si="87"/>
        <v>55.376202690952191</v>
      </c>
      <c r="AB228" s="196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2.6729005555848007E-2</v>
      </c>
      <c r="AD228" s="230">
        <f>(INDEX(Models!$BJ228:$BT228,,AH228)*(1-AF228)+INDEX(Models!$BJ228:$BT228,,AH228+1)*AF228-ERP_i)*AE228*Ramure*Pc/MaxiM</f>
        <v>1.2873188314729402E-4</v>
      </c>
      <c r="AE228" s="304">
        <f t="shared" si="89"/>
        <v>0.5</v>
      </c>
      <c r="AF228" s="176">
        <f t="shared" si="90"/>
        <v>0.10430163850038171</v>
      </c>
      <c r="AG228" s="175">
        <f t="shared" si="91"/>
        <v>0</v>
      </c>
      <c r="AH228" s="175">
        <f t="shared" si="92"/>
        <v>6</v>
      </c>
      <c r="AI228" s="224">
        <f t="shared" si="93"/>
        <v>0.10430163850038171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43680</v>
      </c>
      <c r="B229" s="616">
        <v>54.072000000000003</v>
      </c>
      <c r="C229" s="389"/>
      <c r="D229" s="392">
        <f t="shared" si="75"/>
        <v>54.583666983631495</v>
      </c>
      <c r="E229" s="384">
        <f t="shared" si="73"/>
        <v>56.085514483671936</v>
      </c>
      <c r="F229" s="384">
        <f t="shared" si="76"/>
        <v>56.092480847378184</v>
      </c>
      <c r="G229" s="110">
        <f t="shared" si="74"/>
        <v>1.0002914781556322</v>
      </c>
      <c r="H229" s="413" t="b">
        <f>Wh_hp&gt;='2018'!Maxi_hp</f>
        <v>1</v>
      </c>
      <c r="I229" s="389">
        <f>IF(H229,Wh_hp,'2018'!Maxi_hp)</f>
        <v>56.092480847378184</v>
      </c>
      <c r="J229" s="85">
        <f>IF(H229,An,'2018'!An_max)</f>
        <v>2019</v>
      </c>
      <c r="K229" s="196">
        <f t="shared" si="77"/>
        <v>43680</v>
      </c>
      <c r="L229" s="147">
        <f>IF(t&lt;Tvie,1-EXP((T0-t)*PertePVj)+'2018'!Pspv,1-EXP((T0-t)*PertePVj)+Pspv)</f>
        <v>9.3739943083144261E-3</v>
      </c>
      <c r="M229" s="847"/>
      <c r="N229" s="847"/>
      <c r="O229" s="48">
        <f>IF(t&lt;Tnet,'2018'!Resal+('2018'!Salim-'2018'!Resal)*(1-EXP(('2018'!Tnet-t)/('2018'!Tau_j))),Resal+(Salim-Resal)*(1-EXP((Tnet-t)/(Tau_j))))*Salcycl</f>
        <v>2.6777814447573097E-2</v>
      </c>
      <c r="P229" s="168">
        <f>(INDEX(Models!$BJ229:$BT229,,T229)*(1-R229)+INDEX(Models!$BJ229:$BT229,,T229+1)*R229-ERP_i)*Q229*Ramure*Pc/MaxiM</f>
        <v>1.2419425208176865E-4</v>
      </c>
      <c r="Q229" s="304">
        <f t="shared" si="78"/>
        <v>0.5</v>
      </c>
      <c r="R229" s="176">
        <f t="shared" si="79"/>
        <v>0.10541192669401545</v>
      </c>
      <c r="S229" s="814">
        <f t="shared" si="80"/>
        <v>0</v>
      </c>
      <c r="T229" s="175">
        <f t="shared" si="81"/>
        <v>6</v>
      </c>
      <c r="U229" s="250">
        <f t="shared" si="82"/>
        <v>0.10541192669401545</v>
      </c>
      <c r="V229" s="382">
        <f t="shared" si="83"/>
        <v>54.05624378576092</v>
      </c>
      <c r="W229" s="58"/>
      <c r="X229" s="157">
        <f t="shared" si="84"/>
        <v>43680</v>
      </c>
      <c r="Y229" s="384">
        <f t="shared" si="85"/>
        <v>54.072000000000003</v>
      </c>
      <c r="Z229" s="384">
        <f t="shared" si="86"/>
        <v>54.583666983631495</v>
      </c>
      <c r="AA229" s="385">
        <f t="shared" si="87"/>
        <v>56.085514483671936</v>
      </c>
      <c r="AB229" s="196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2.6777814447573097E-2</v>
      </c>
      <c r="AD229" s="230">
        <f>(INDEX(Models!$BJ229:$BT229,,AH229)*(1-AF229)+INDEX(Models!$BJ229:$BT229,,AH229+1)*AF229-ERP_i)*AE229*Ramure*Pc/MaxiM</f>
        <v>1.2419425208176865E-4</v>
      </c>
      <c r="AE229" s="304">
        <f t="shared" si="89"/>
        <v>0.5</v>
      </c>
      <c r="AF229" s="176">
        <f t="shared" si="90"/>
        <v>0.10541192669401545</v>
      </c>
      <c r="AG229" s="175">
        <f t="shared" si="91"/>
        <v>0</v>
      </c>
      <c r="AH229" s="175">
        <f t="shared" si="92"/>
        <v>6</v>
      </c>
      <c r="AI229" s="224">
        <f t="shared" si="93"/>
        <v>0.10541192669401545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43681</v>
      </c>
      <c r="B230" s="616">
        <v>50.554000000000002</v>
      </c>
      <c r="C230" s="389"/>
      <c r="D230" s="392">
        <f t="shared" si="75"/>
        <v>51.033494978053504</v>
      </c>
      <c r="E230" s="384">
        <f t="shared" si="73"/>
        <v>52.440284347381692</v>
      </c>
      <c r="F230" s="384">
        <f t="shared" si="76"/>
        <v>52.44599368204598</v>
      </c>
      <c r="G230" s="110">
        <f t="shared" si="74"/>
        <v>0.93678895585213084</v>
      </c>
      <c r="H230" s="413" t="b">
        <f>Wh_hp&gt;='2018'!Maxi_hp</f>
        <v>0</v>
      </c>
      <c r="I230" s="389">
        <f>IF(H230,Wh_hp,'2018'!Maxi_hp)</f>
        <v>52.936123470546605</v>
      </c>
      <c r="J230" s="85">
        <f>IF(H230,An,'2018'!An_max)</f>
        <v>2018</v>
      </c>
      <c r="K230" s="196">
        <f t="shared" si="77"/>
        <v>43681</v>
      </c>
      <c r="L230" s="147">
        <f>IF(t&lt;Tvie,1-EXP((T0-t)*PertePVj)+'2018'!Pspv,1-EXP((T0-t)*PertePVj)+Pspv)</f>
        <v>9.3956915602136926E-3</v>
      </c>
      <c r="M230" s="847"/>
      <c r="N230" s="847"/>
      <c r="O230" s="48">
        <f>IF(t&lt;Tnet,'2018'!Resal+('2018'!Salim-'2018'!Resal)*(1-EXP(('2018'!Tnet-t)/('2018'!Tau_j))),Resal+(Salim-Resal)*(1-EXP((Tnet-t)/(Tau_j))))*Salcycl</f>
        <v>2.6826501550013548E-2</v>
      </c>
      <c r="P230" s="168">
        <f>(INDEX(Models!$BJ230:$BT230,,T230)*(1-R230)+INDEX(Models!$BJ230:$BT230,,T230+1)*R230-ERP_i)*Q230*Ramure*Pc/MaxiM</f>
        <v>1.1966545497137748E-4</v>
      </c>
      <c r="Q230" s="304">
        <f t="shared" si="78"/>
        <v>0.5</v>
      </c>
      <c r="R230" s="176">
        <f t="shared" si="79"/>
        <v>0.10648613461482154</v>
      </c>
      <c r="S230" s="814">
        <f t="shared" si="80"/>
        <v>0</v>
      </c>
      <c r="T230" s="175">
        <f t="shared" si="81"/>
        <v>6</v>
      </c>
      <c r="U230" s="250">
        <f t="shared" si="82"/>
        <v>0.10648613461482154</v>
      </c>
      <c r="V230" s="382">
        <f t="shared" si="83"/>
        <v>53.964613296565851</v>
      </c>
      <c r="W230" s="58"/>
      <c r="X230" s="157">
        <f t="shared" si="84"/>
        <v>43681</v>
      </c>
      <c r="Y230" s="384">
        <f t="shared" si="85"/>
        <v>50.554000000000002</v>
      </c>
      <c r="Z230" s="384">
        <f t="shared" si="86"/>
        <v>51.033494978053504</v>
      </c>
      <c r="AA230" s="385">
        <f t="shared" si="87"/>
        <v>52.440284347381692</v>
      </c>
      <c r="AB230" s="196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2.6826501550013548E-2</v>
      </c>
      <c r="AD230" s="230">
        <f>(INDEX(Models!$BJ230:$BT230,,AH230)*(1-AF230)+INDEX(Models!$BJ230:$BT230,,AH230+1)*AF230-ERP_i)*AE230*Ramure*Pc/MaxiM</f>
        <v>1.1966545497137748E-4</v>
      </c>
      <c r="AE230" s="304">
        <f t="shared" si="89"/>
        <v>0.5</v>
      </c>
      <c r="AF230" s="176">
        <f t="shared" si="90"/>
        <v>0.10648613461482154</v>
      </c>
      <c r="AG230" s="175">
        <f t="shared" si="91"/>
        <v>0</v>
      </c>
      <c r="AH230" s="175">
        <f t="shared" si="92"/>
        <v>6</v>
      </c>
      <c r="AI230" s="224">
        <f t="shared" si="93"/>
        <v>0.10648613461482154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43682</v>
      </c>
      <c r="B231" s="616">
        <v>51.078000000000003</v>
      </c>
      <c r="C231" s="389"/>
      <c r="D231" s="392">
        <f t="shared" si="75"/>
        <v>51.563594392439356</v>
      </c>
      <c r="E231" s="384">
        <f t="shared" si="73"/>
        <v>52.987640907562451</v>
      </c>
      <c r="F231" s="384">
        <f t="shared" si="76"/>
        <v>52.993291106123856</v>
      </c>
      <c r="G231" s="110">
        <f t="shared" si="74"/>
        <v>0.94815963611180887</v>
      </c>
      <c r="H231" s="413" t="b">
        <f>Wh_hp&gt;='2018'!Maxi_hp</f>
        <v>1</v>
      </c>
      <c r="I231" s="389">
        <f>IF(H231,Wh_hp,'2018'!Maxi_hp)</f>
        <v>52.993291106123856</v>
      </c>
      <c r="J231" s="85">
        <f>IF(H231,An,'2018'!An_max)</f>
        <v>2019</v>
      </c>
      <c r="K231" s="196">
        <f t="shared" si="77"/>
        <v>43682</v>
      </c>
      <c r="L231" s="147">
        <f>IF(t&lt;Tvie,1-EXP((T0-t)*PertePVj)+'2018'!Pspv,1-EXP((T0-t)*PertePVj)+Pspv)</f>
        <v>9.4173883368874334E-3</v>
      </c>
      <c r="M231" s="847"/>
      <c r="N231" s="847"/>
      <c r="O231" s="48">
        <f>IF(t&lt;Tnet,'2018'!Resal+('2018'!Salim-'2018'!Resal)*(1-EXP(('2018'!Tnet-t)/('2018'!Tau_j))),Resal+(Salim-Resal)*(1-EXP((Tnet-t)/(Tau_j))))*Salcycl</f>
        <v>2.6875069180893781E-2</v>
      </c>
      <c r="P231" s="168">
        <f>(INDEX(Models!$BJ231:$BT231,,T231)*(1-R231)+INDEX(Models!$BJ231:$BT231,,T231+1)*R231-ERP_i)*Q231*Ramure*Pc/MaxiM</f>
        <v>1.151472204657419E-4</v>
      </c>
      <c r="Q231" s="304">
        <f t="shared" si="78"/>
        <v>0.5</v>
      </c>
      <c r="R231" s="176">
        <f t="shared" si="79"/>
        <v>0.10752512939900694</v>
      </c>
      <c r="S231" s="814">
        <f t="shared" si="80"/>
        <v>0</v>
      </c>
      <c r="T231" s="175">
        <f t="shared" si="81"/>
        <v>6</v>
      </c>
      <c r="U231" s="250">
        <f t="shared" si="82"/>
        <v>0.10752512939900694</v>
      </c>
      <c r="V231" s="382">
        <f t="shared" si="83"/>
        <v>53.87021605514564</v>
      </c>
      <c r="W231" s="58"/>
      <c r="X231" s="157">
        <f t="shared" si="84"/>
        <v>43682</v>
      </c>
      <c r="Y231" s="384">
        <f t="shared" si="85"/>
        <v>51.078000000000003</v>
      </c>
      <c r="Z231" s="384">
        <f t="shared" si="86"/>
        <v>51.563594392439356</v>
      </c>
      <c r="AA231" s="385">
        <f t="shared" si="87"/>
        <v>52.987640907562451</v>
      </c>
      <c r="AB231" s="196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2.6875069180893781E-2</v>
      </c>
      <c r="AD231" s="230">
        <f>(INDEX(Models!$BJ231:$BT231,,AH231)*(1-AF231)+INDEX(Models!$BJ231:$BT231,,AH231+1)*AF231-ERP_i)*AE231*Ramure*Pc/MaxiM</f>
        <v>1.151472204657419E-4</v>
      </c>
      <c r="AE231" s="304">
        <f t="shared" si="89"/>
        <v>0.5</v>
      </c>
      <c r="AF231" s="176">
        <f t="shared" si="90"/>
        <v>0.10752512939900694</v>
      </c>
      <c r="AG231" s="175">
        <f t="shared" si="91"/>
        <v>0</v>
      </c>
      <c r="AH231" s="175">
        <f t="shared" si="92"/>
        <v>6</v>
      </c>
      <c r="AI231" s="224">
        <f t="shared" si="93"/>
        <v>0.10752512939900694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43683</v>
      </c>
      <c r="B232" s="616">
        <v>39.893999999999998</v>
      </c>
      <c r="C232" s="389"/>
      <c r="D232" s="392">
        <f t="shared" si="75"/>
        <v>40.274151121170263</v>
      </c>
      <c r="E232" s="384">
        <f t="shared" si="73"/>
        <v>41.388474505120101</v>
      </c>
      <c r="F232" s="384">
        <f t="shared" si="76"/>
        <v>41.391365533246365</v>
      </c>
      <c r="G232" s="110">
        <f t="shared" si="74"/>
        <v>0.74186982187498218</v>
      </c>
      <c r="H232" s="413" t="b">
        <f>Wh_hp&gt;='2018'!Maxi_hp</f>
        <v>0</v>
      </c>
      <c r="I232" s="389">
        <f>IF(H232,Wh_hp,'2018'!Maxi_hp)</f>
        <v>51.809337548737645</v>
      </c>
      <c r="J232" s="85">
        <f>IF(H232,An,'2018'!An_max)</f>
        <v>2018</v>
      </c>
      <c r="K232" s="196">
        <f t="shared" si="77"/>
        <v>43683</v>
      </c>
      <c r="L232" s="147">
        <f>IF(t&lt;Tvie,1-EXP((T0-t)*PertePVj)+'2018'!Pspv,1-EXP((T0-t)*PertePVj)+Pspv)</f>
        <v>9.4390846383460847E-3</v>
      </c>
      <c r="M232" s="847"/>
      <c r="N232" s="847"/>
      <c r="O232" s="48">
        <f>IF(t&lt;Tnet,'2018'!Resal+('2018'!Salim-'2018'!Resal)*(1-EXP(('2018'!Tnet-t)/('2018'!Tau_j))),Resal+(Salim-Resal)*(1-EXP((Tnet-t)/(Tau_j))))*Salcycl</f>
        <v>2.6923519102207642E-2</v>
      </c>
      <c r="P232" s="168">
        <f>(INDEX(Models!$BJ232:$BT232,,T232)*(1-R232)+INDEX(Models!$BJ232:$BT232,,T232+1)*R232-ERP_i)*Q232*Ramure*Pc/MaxiM</f>
        <v>1.1064110709359562E-4</v>
      </c>
      <c r="Q232" s="304">
        <f t="shared" si="78"/>
        <v>0.5</v>
      </c>
      <c r="R232" s="176">
        <f t="shared" si="79"/>
        <v>0.10852977978472589</v>
      </c>
      <c r="S232" s="814">
        <f t="shared" si="80"/>
        <v>0</v>
      </c>
      <c r="T232" s="175">
        <f t="shared" si="81"/>
        <v>6</v>
      </c>
      <c r="U232" s="250">
        <f t="shared" si="82"/>
        <v>0.10852977978472589</v>
      </c>
      <c r="V232" s="382">
        <f t="shared" si="83"/>
        <v>53.772739147222438</v>
      </c>
      <c r="W232" s="58"/>
      <c r="X232" s="157">
        <f t="shared" si="84"/>
        <v>43683</v>
      </c>
      <c r="Y232" s="384">
        <f t="shared" si="85"/>
        <v>39.893999999999998</v>
      </c>
      <c r="Z232" s="384">
        <f t="shared" si="86"/>
        <v>40.274151121170263</v>
      </c>
      <c r="AA232" s="385">
        <f t="shared" si="87"/>
        <v>41.388474505120101</v>
      </c>
      <c r="AB232" s="196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2.6923519102207642E-2</v>
      </c>
      <c r="AD232" s="230">
        <f>(INDEX(Models!$BJ232:$BT232,,AH232)*(1-AF232)+INDEX(Models!$BJ232:$BT232,,AH232+1)*AF232-ERP_i)*AE232*Ramure*Pc/MaxiM</f>
        <v>1.1064110709359562E-4</v>
      </c>
      <c r="AE232" s="304">
        <f t="shared" si="89"/>
        <v>0.5</v>
      </c>
      <c r="AF232" s="176">
        <f t="shared" si="90"/>
        <v>0.10852977978472589</v>
      </c>
      <c r="AG232" s="175">
        <f t="shared" si="91"/>
        <v>0</v>
      </c>
      <c r="AH232" s="175">
        <f t="shared" si="92"/>
        <v>6</v>
      </c>
      <c r="AI232" s="224">
        <f t="shared" si="93"/>
        <v>0.10852977978472589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43684</v>
      </c>
      <c r="B233" s="616">
        <v>43.158000000000001</v>
      </c>
      <c r="C233" s="389"/>
      <c r="D233" s="392">
        <f t="shared" si="75"/>
        <v>43.570208174334304</v>
      </c>
      <c r="E233" s="384">
        <f t="shared" ref="E233:E296" si="97">Wh_pvt/(1-Psa)</f>
        <v>44.777952506443633</v>
      </c>
      <c r="F233" s="384">
        <f t="shared" si="76"/>
        <v>44.781375615649246</v>
      </c>
      <c r="G233" s="110">
        <f t="shared" ref="G233:G296" si="98">+Wh_hp/MaxiM</f>
        <v>0.80407275287264679</v>
      </c>
      <c r="H233" s="413" t="b">
        <f>Wh_hp&gt;='2018'!Maxi_hp</f>
        <v>1</v>
      </c>
      <c r="I233" s="389">
        <f>IF(H233,Wh_hp,'2018'!Maxi_hp)</f>
        <v>44.781375615649246</v>
      </c>
      <c r="J233" s="85">
        <f>IF(H233,An,'2018'!An_max)</f>
        <v>2019</v>
      </c>
      <c r="K233" s="196">
        <f t="shared" si="77"/>
        <v>43684</v>
      </c>
      <c r="L233" s="147">
        <f>IF(t&lt;Tvie,1-EXP((T0-t)*PertePVj)+'2018'!Pspv,1-EXP((T0-t)*PertePVj)+Pspv)</f>
        <v>9.4607804646000826E-3</v>
      </c>
      <c r="M233" s="847"/>
      <c r="N233" s="847"/>
      <c r="O233" s="48">
        <f>IF(t&lt;Tnet,'2018'!Resal+('2018'!Salim-'2018'!Resal)*(1-EXP(('2018'!Tnet-t)/('2018'!Tau_j))),Resal+(Salim-Resal)*(1-EXP((Tnet-t)/(Tau_j))))*Salcycl</f>
        <v>2.6971852541393733E-2</v>
      </c>
      <c r="P233" s="168">
        <f>(INDEX(Models!$BJ233:$BT233,,T233)*(1-R233)+INDEX(Models!$BJ233:$BT233,,T233+1)*R233-ERP_i)*Q233*Ramure*Pc/MaxiM</f>
        <v>1.0614695984362843E-4</v>
      </c>
      <c r="Q233" s="304">
        <f t="shared" si="78"/>
        <v>0.5</v>
      </c>
      <c r="R233" s="176">
        <f t="shared" si="79"/>
        <v>0.10950095411246402</v>
      </c>
      <c r="S233" s="814">
        <f t="shared" si="80"/>
        <v>0</v>
      </c>
      <c r="T233" s="175">
        <f t="shared" si="81"/>
        <v>6</v>
      </c>
      <c r="U233" s="250">
        <f t="shared" si="82"/>
        <v>0.10950095411246402</v>
      </c>
      <c r="V233" s="382">
        <f t="shared" si="83"/>
        <v>53.672652971926169</v>
      </c>
      <c r="W233" s="58"/>
      <c r="X233" s="157">
        <f t="shared" si="84"/>
        <v>43684</v>
      </c>
      <c r="Y233" s="384">
        <f t="shared" si="85"/>
        <v>43.158000000000001</v>
      </c>
      <c r="Z233" s="384">
        <f t="shared" si="86"/>
        <v>43.570208174334304</v>
      </c>
      <c r="AA233" s="385">
        <f t="shared" si="87"/>
        <v>44.777952506443633</v>
      </c>
      <c r="AB233" s="196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2.6971852541393733E-2</v>
      </c>
      <c r="AD233" s="230">
        <f>(INDEX(Models!$BJ233:$BT233,,AH233)*(1-AF233)+INDEX(Models!$BJ233:$BT233,,AH233+1)*AF233-ERP_i)*AE233*Ramure*Pc/MaxiM</f>
        <v>1.0614695984362843E-4</v>
      </c>
      <c r="AE233" s="304">
        <f t="shared" si="89"/>
        <v>0.5</v>
      </c>
      <c r="AF233" s="176">
        <f t="shared" si="90"/>
        <v>0.10950095411246402</v>
      </c>
      <c r="AG233" s="175">
        <f t="shared" si="91"/>
        <v>0</v>
      </c>
      <c r="AH233" s="175">
        <f t="shared" si="92"/>
        <v>6</v>
      </c>
      <c r="AI233" s="224">
        <f t="shared" si="93"/>
        <v>0.10950095411246402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43685</v>
      </c>
      <c r="B234" s="616">
        <v>52.095999999999997</v>
      </c>
      <c r="C234" s="389"/>
      <c r="D234" s="392">
        <f t="shared" si="75"/>
        <v>52.59472823855328</v>
      </c>
      <c r="E234" s="384">
        <f t="shared" si="97"/>
        <v>54.05530641332183</v>
      </c>
      <c r="F234" s="384">
        <f t="shared" si="76"/>
        <v>54.060598352097749</v>
      </c>
      <c r="G234" s="110">
        <f t="shared" si="98"/>
        <v>0.97246937034641801</v>
      </c>
      <c r="H234" s="413" t="b">
        <f>Wh_hp&gt;='2018'!Maxi_hp</f>
        <v>1</v>
      </c>
      <c r="I234" s="389">
        <f>IF(H234,Wh_hp,'2018'!Maxi_hp)</f>
        <v>54.060598352097749</v>
      </c>
      <c r="J234" s="85">
        <f>IF(H234,An,'2018'!An_max)</f>
        <v>2019</v>
      </c>
      <c r="K234" s="196">
        <f t="shared" si="77"/>
        <v>43685</v>
      </c>
      <c r="L234" s="147">
        <f>IF(t&lt;Tvie,1-EXP((T0-t)*PertePVj)+'2018'!Pspv,1-EXP((T0-t)*PertePVj)+Pspv)</f>
        <v>9.4824758156598632E-3</v>
      </c>
      <c r="M234" s="847"/>
      <c r="N234" s="847"/>
      <c r="O234" s="48">
        <f>IF(t&lt;Tnet,'2018'!Resal+('2018'!Salim-'2018'!Resal)*(1-EXP(('2018'!Tnet-t)/('2018'!Tau_j))),Resal+(Salim-Resal)*(1-EXP((Tnet-t)/(Tau_j))))*Salcycl</f>
        <v>2.7020070214764189E-2</v>
      </c>
      <c r="P234" s="168">
        <f>(INDEX(Models!$BJ234:$BT234,,T234)*(1-R234)+INDEX(Models!$BJ234:$BT234,,T234+1)*R234-ERP_i)*Q234*Ramure*Pc/MaxiM</f>
        <v>1.0189596302103442E-4</v>
      </c>
      <c r="Q234" s="304">
        <f t="shared" si="78"/>
        <v>0.5</v>
      </c>
      <c r="R234" s="176">
        <f t="shared" si="79"/>
        <v>0.11043951847221695</v>
      </c>
      <c r="S234" s="814">
        <f t="shared" si="80"/>
        <v>0</v>
      </c>
      <c r="T234" s="175">
        <f t="shared" si="81"/>
        <v>6</v>
      </c>
      <c r="U234" s="250">
        <f t="shared" si="82"/>
        <v>0.11043951847221695</v>
      </c>
      <c r="V234" s="382">
        <f t="shared" si="83"/>
        <v>53.570624250194257</v>
      </c>
      <c r="W234" s="58"/>
      <c r="X234" s="157">
        <f t="shared" si="84"/>
        <v>43685</v>
      </c>
      <c r="Y234" s="384">
        <f t="shared" si="85"/>
        <v>52.095999999999997</v>
      </c>
      <c r="Z234" s="384">
        <f t="shared" si="86"/>
        <v>52.59472823855328</v>
      </c>
      <c r="AA234" s="385">
        <f t="shared" si="87"/>
        <v>54.05530641332183</v>
      </c>
      <c r="AB234" s="196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2.7020070214764189E-2</v>
      </c>
      <c r="AD234" s="230">
        <f>(INDEX(Models!$BJ234:$BT234,,AH234)*(1-AF234)+INDEX(Models!$BJ234:$BT234,,AH234+1)*AF234-ERP_i)*AE234*Ramure*Pc/MaxiM</f>
        <v>1.0189596302103442E-4</v>
      </c>
      <c r="AE234" s="304">
        <f t="shared" si="89"/>
        <v>0.5</v>
      </c>
      <c r="AF234" s="176">
        <f t="shared" si="90"/>
        <v>0.11043951847221695</v>
      </c>
      <c r="AG234" s="175">
        <f t="shared" si="91"/>
        <v>0</v>
      </c>
      <c r="AH234" s="175">
        <f t="shared" si="92"/>
        <v>6</v>
      </c>
      <c r="AI234" s="224">
        <f t="shared" si="93"/>
        <v>0.11043951847221695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43686</v>
      </c>
      <c r="B235" s="616">
        <v>49.55</v>
      </c>
      <c r="C235" s="389"/>
      <c r="D235" s="392">
        <f t="shared" si="75"/>
        <v>50.025450419709877</v>
      </c>
      <c r="E235" s="384">
        <f t="shared" si="97"/>
        <v>51.417220609055256</v>
      </c>
      <c r="F235" s="384">
        <f t="shared" si="76"/>
        <v>51.42172807624474</v>
      </c>
      <c r="G235" s="110">
        <f t="shared" si="98"/>
        <v>0.92673638321370588</v>
      </c>
      <c r="H235" s="413" t="b">
        <f>Wh_hp&gt;='2018'!Maxi_hp</f>
        <v>1</v>
      </c>
      <c r="I235" s="389">
        <f>IF(H235,Wh_hp,'2018'!Maxi_hp)</f>
        <v>51.42172807624474</v>
      </c>
      <c r="J235" s="85">
        <f>IF(H235,An,'2018'!An_max)</f>
        <v>2019</v>
      </c>
      <c r="K235" s="196">
        <f t="shared" si="77"/>
        <v>43686</v>
      </c>
      <c r="L235" s="147">
        <f>IF(t&lt;Tvie,1-EXP((T0-t)*PertePVj)+'2018'!Pspv,1-EXP((T0-t)*PertePVj)+Pspv)</f>
        <v>9.5041706915357516E-3</v>
      </c>
      <c r="M235" s="847"/>
      <c r="N235" s="847"/>
      <c r="O235" s="48">
        <f>IF(t&lt;Tnet,'2018'!Resal+('2018'!Salim-'2018'!Resal)*(1-EXP(('2018'!Tnet-t)/('2018'!Tau_j))),Resal+(Salim-Resal)*(1-EXP((Tnet-t)/(Tau_j))))*Salcycl</f>
        <v>2.7068172352751906E-2</v>
      </c>
      <c r="P235" s="168">
        <f>(INDEX(Models!$BJ235:$BT235,,T235)*(1-R235)+INDEX(Models!$BJ235:$BT235,,T235+1)*R235-ERP_i)*Q235*Ramure*Pc/MaxiM</f>
        <v>9.7902201940663449E-5</v>
      </c>
      <c r="Q235" s="304">
        <f t="shared" si="78"/>
        <v>0.5</v>
      </c>
      <c r="R235" s="176">
        <f t="shared" si="79"/>
        <v>0.11134633499339391</v>
      </c>
      <c r="S235" s="814">
        <f t="shared" si="80"/>
        <v>0</v>
      </c>
      <c r="T235" s="175">
        <f t="shared" si="81"/>
        <v>6</v>
      </c>
      <c r="U235" s="250">
        <f t="shared" si="82"/>
        <v>0.11134633499339391</v>
      </c>
      <c r="V235" s="382">
        <f t="shared" si="83"/>
        <v>53.466652649320693</v>
      </c>
      <c r="W235" s="58"/>
      <c r="X235" s="157">
        <f t="shared" si="84"/>
        <v>43686</v>
      </c>
      <c r="Y235" s="384">
        <f t="shared" si="85"/>
        <v>49.55</v>
      </c>
      <c r="Z235" s="384">
        <f t="shared" si="86"/>
        <v>50.025450419709877</v>
      </c>
      <c r="AA235" s="385">
        <f t="shared" si="87"/>
        <v>51.417220609055256</v>
      </c>
      <c r="AB235" s="196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2.7068172352751906E-2</v>
      </c>
      <c r="AD235" s="230">
        <f>(INDEX(Models!$BJ235:$BT235,,AH235)*(1-AF235)+INDEX(Models!$BJ235:$BT235,,AH235+1)*AF235-ERP_i)*AE235*Ramure*Pc/MaxiM</f>
        <v>9.7902201940663449E-5</v>
      </c>
      <c r="AE235" s="304">
        <f t="shared" si="89"/>
        <v>0.5</v>
      </c>
      <c r="AF235" s="176">
        <f t="shared" si="90"/>
        <v>0.11134633499339391</v>
      </c>
      <c r="AG235" s="175">
        <f t="shared" si="91"/>
        <v>0</v>
      </c>
      <c r="AH235" s="175">
        <f t="shared" si="92"/>
        <v>6</v>
      </c>
      <c r="AI235" s="224">
        <f t="shared" si="93"/>
        <v>0.11134633499339391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43687</v>
      </c>
      <c r="B236" s="616">
        <v>38.878</v>
      </c>
      <c r="C236" s="389"/>
      <c r="D236" s="392">
        <f t="shared" si="75"/>
        <v>39.251908383877705</v>
      </c>
      <c r="E236" s="384">
        <f t="shared" si="97"/>
        <v>40.345935165804072</v>
      </c>
      <c r="F236" s="384">
        <f t="shared" si="76"/>
        <v>40.348261535387543</v>
      </c>
      <c r="G236" s="110">
        <f t="shared" si="98"/>
        <v>0.72856151450812756</v>
      </c>
      <c r="H236" s="413" t="b">
        <f>Wh_hp&gt;='2018'!Maxi_hp</f>
        <v>0</v>
      </c>
      <c r="I236" s="389">
        <f>IF(H236,Wh_hp,'2018'!Maxi_hp)</f>
        <v>50.855662310425032</v>
      </c>
      <c r="J236" s="85">
        <f>IF(H236,An,'2018'!An_max)</f>
        <v>2018</v>
      </c>
      <c r="K236" s="196">
        <f t="shared" si="77"/>
        <v>43687</v>
      </c>
      <c r="L236" s="147">
        <f>IF(t&lt;Tvie,1-EXP((T0-t)*PertePVj)+'2018'!Pspv,1-EXP((T0-t)*PertePVj)+Pspv)</f>
        <v>9.5258650922380728E-3</v>
      </c>
      <c r="M236" s="847"/>
      <c r="N236" s="847"/>
      <c r="O236" s="48">
        <f>IF(t&lt;Tnet,'2018'!Resal+('2018'!Salim-'2018'!Resal)*(1-EXP(('2018'!Tnet-t)/('2018'!Tau_j))),Resal+(Salim-Resal)*(1-EXP((Tnet-t)/(Tau_j))))*Salcycl</f>
        <v>2.7116158726533311E-2</v>
      </c>
      <c r="P236" s="168">
        <f>(INDEX(Models!$BJ236:$BT236,,T236)*(1-R236)+INDEX(Models!$BJ236:$BT236,,T236+1)*R236-ERP_i)*Q236*Ramure*Pc/MaxiM</f>
        <v>9.4169832159555063E-5</v>
      </c>
      <c r="Q236" s="304">
        <f t="shared" si="78"/>
        <v>0.5</v>
      </c>
      <c r="R236" s="176">
        <f t="shared" si="79"/>
        <v>0.11222226027293219</v>
      </c>
      <c r="S236" s="814">
        <f t="shared" si="80"/>
        <v>0</v>
      </c>
      <c r="T236" s="175">
        <f t="shared" si="81"/>
        <v>6</v>
      </c>
      <c r="U236" s="250">
        <f t="shared" si="82"/>
        <v>0.11222226027293219</v>
      </c>
      <c r="V236" s="382">
        <f t="shared" si="83"/>
        <v>53.360738396970135</v>
      </c>
      <c r="W236" s="58"/>
      <c r="X236" s="157">
        <f t="shared" si="84"/>
        <v>43687</v>
      </c>
      <c r="Y236" s="384">
        <f t="shared" si="85"/>
        <v>38.878</v>
      </c>
      <c r="Z236" s="384">
        <f t="shared" si="86"/>
        <v>39.251908383877705</v>
      </c>
      <c r="AA236" s="385">
        <f t="shared" si="87"/>
        <v>40.345935165804072</v>
      </c>
      <c r="AB236" s="196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2.7116158726533311E-2</v>
      </c>
      <c r="AD236" s="230">
        <f>(INDEX(Models!$BJ236:$BT236,,AH236)*(1-AF236)+INDEX(Models!$BJ236:$BT236,,AH236+1)*AF236-ERP_i)*AE236*Ramure*Pc/MaxiM</f>
        <v>9.4169832159555063E-5</v>
      </c>
      <c r="AE236" s="304">
        <f t="shared" si="89"/>
        <v>0.5</v>
      </c>
      <c r="AF236" s="176">
        <f t="shared" si="90"/>
        <v>0.11222226027293219</v>
      </c>
      <c r="AG236" s="175">
        <f t="shared" si="91"/>
        <v>0</v>
      </c>
      <c r="AH236" s="175">
        <f t="shared" si="92"/>
        <v>6</v>
      </c>
      <c r="AI236" s="224">
        <f t="shared" si="93"/>
        <v>0.11222226027293219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43688</v>
      </c>
      <c r="B237" s="616">
        <v>25.853999999999999</v>
      </c>
      <c r="C237" s="389"/>
      <c r="D237" s="392">
        <f t="shared" si="75"/>
        <v>26.10322205310618</v>
      </c>
      <c r="E237" s="384">
        <f t="shared" si="97"/>
        <v>26.832089707342178</v>
      </c>
      <c r="F237" s="384">
        <f t="shared" si="76"/>
        <v>26.832734648119754</v>
      </c>
      <c r="G237" s="110">
        <f t="shared" si="98"/>
        <v>0.48546248561687849</v>
      </c>
      <c r="H237" s="413" t="b">
        <f>Wh_hp&gt;='2018'!Maxi_hp</f>
        <v>0</v>
      </c>
      <c r="I237" s="389">
        <f>IF(H237,Wh_hp,'2018'!Maxi_hp)</f>
        <v>54.32605328693775</v>
      </c>
      <c r="J237" s="85">
        <f>IF(H237,An,'2018'!An_max)</f>
        <v>2018</v>
      </c>
      <c r="K237" s="196">
        <f t="shared" si="77"/>
        <v>43688</v>
      </c>
      <c r="L237" s="147">
        <f>IF(t&lt;Tvie,1-EXP((T0-t)*PertePVj)+'2018'!Pspv,1-EXP((T0-t)*PertePVj)+Pspv)</f>
        <v>9.5475590177774849E-3</v>
      </c>
      <c r="M237" s="847"/>
      <c r="N237" s="847"/>
      <c r="O237" s="48">
        <f>IF(t&lt;Tnet,'2018'!Resal+('2018'!Salim-'2018'!Resal)*(1-EXP(('2018'!Tnet-t)/('2018'!Tau_j))),Resal+(Salim-Resal)*(1-EXP((Tnet-t)/(Tau_j))))*Salcycl</f>
        <v>2.7164028675580737E-2</v>
      </c>
      <c r="P237" s="168">
        <f>(INDEX(Models!$BJ237:$BT237,,T237)*(1-R237)+INDEX(Models!$BJ237:$BT237,,T237+1)*R237-ERP_i)*Q237*Ramure*Pc/MaxiM</f>
        <v>9.0702880079868926E-5</v>
      </c>
      <c r="Q237" s="304">
        <f t="shared" si="78"/>
        <v>0.5</v>
      </c>
      <c r="R237" s="176">
        <f t="shared" si="79"/>
        <v>0.1130681439367377</v>
      </c>
      <c r="S237" s="814">
        <f t="shared" si="80"/>
        <v>0</v>
      </c>
      <c r="T237" s="175">
        <f t="shared" si="81"/>
        <v>6</v>
      </c>
      <c r="U237" s="250">
        <f t="shared" si="82"/>
        <v>0.1130681439367377</v>
      </c>
      <c r="V237" s="382">
        <f t="shared" si="83"/>
        <v>53.252881754118278</v>
      </c>
      <c r="W237" s="58"/>
      <c r="X237" s="157">
        <f t="shared" si="84"/>
        <v>43688</v>
      </c>
      <c r="Y237" s="384">
        <f t="shared" si="85"/>
        <v>25.853999999999999</v>
      </c>
      <c r="Z237" s="384">
        <f t="shared" si="86"/>
        <v>26.10322205310618</v>
      </c>
      <c r="AA237" s="385">
        <f t="shared" si="87"/>
        <v>26.832089707342178</v>
      </c>
      <c r="AB237" s="196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2.7164028675580737E-2</v>
      </c>
      <c r="AD237" s="230">
        <f>(INDEX(Models!$BJ237:$BT237,,AH237)*(1-AF237)+INDEX(Models!$BJ237:$BT237,,AH237+1)*AF237-ERP_i)*AE237*Ramure*Pc/MaxiM</f>
        <v>9.0702880079868926E-5</v>
      </c>
      <c r="AE237" s="304">
        <f t="shared" si="89"/>
        <v>0.5</v>
      </c>
      <c r="AF237" s="176">
        <f t="shared" si="90"/>
        <v>0.1130681439367377</v>
      </c>
      <c r="AG237" s="175">
        <f t="shared" si="91"/>
        <v>0</v>
      </c>
      <c r="AH237" s="175">
        <f t="shared" si="92"/>
        <v>6</v>
      </c>
      <c r="AI237" s="224">
        <f t="shared" si="93"/>
        <v>0.1130681439367377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43689</v>
      </c>
      <c r="B238" s="616">
        <v>28.734000000000002</v>
      </c>
      <c r="C238" s="389"/>
      <c r="D238" s="392">
        <f t="shared" si="75"/>
        <v>29.011619511616981</v>
      </c>
      <c r="E238" s="384">
        <f t="shared" si="97"/>
        <v>29.823160837090715</v>
      </c>
      <c r="F238" s="384">
        <f t="shared" si="76"/>
        <v>29.824058189691819</v>
      </c>
      <c r="G238" s="110">
        <f t="shared" si="98"/>
        <v>0.54066020445907459</v>
      </c>
      <c r="H238" s="413" t="b">
        <f>Wh_hp&gt;='2018'!Maxi_hp</f>
        <v>0</v>
      </c>
      <c r="I238" s="389">
        <f>IF(H238,Wh_hp,'2018'!Maxi_hp)</f>
        <v>51.451294762618211</v>
      </c>
      <c r="J238" s="85">
        <f>IF(H238,An,'2018'!An_max)</f>
        <v>2018</v>
      </c>
      <c r="K238" s="196">
        <f t="shared" si="77"/>
        <v>43689</v>
      </c>
      <c r="L238" s="147">
        <f>IF(t&lt;Tvie,1-EXP((T0-t)*PertePVj)+'2018'!Pspv,1-EXP((T0-t)*PertePVj)+Pspv)</f>
        <v>9.5692524681640911E-3</v>
      </c>
      <c r="M238" s="847"/>
      <c r="N238" s="847"/>
      <c r="O238" s="48">
        <f>IF(t&lt;Tnet,'2018'!Resal+('2018'!Salim-'2018'!Resal)*(1-EXP(('2018'!Tnet-t)/('2018'!Tau_j))),Resal+(Salim-Resal)*(1-EXP((Tnet-t)/(Tau_j))))*Salcycl</f>
        <v>2.7211781135701378E-2</v>
      </c>
      <c r="P238" s="168">
        <f>(INDEX(Models!$BJ238:$BT238,,T238)*(1-R238)+INDEX(Models!$BJ238:$BT238,,T238+1)*R238-ERP_i)*Q238*Ramure*Pc/MaxiM</f>
        <v>8.7505253061880163E-5</v>
      </c>
      <c r="Q238" s="304">
        <f t="shared" si="78"/>
        <v>0.5</v>
      </c>
      <c r="R238" s="176">
        <f t="shared" si="79"/>
        <v>0.11388482732927735</v>
      </c>
      <c r="S238" s="814">
        <f t="shared" si="80"/>
        <v>0</v>
      </c>
      <c r="T238" s="175">
        <f t="shared" si="81"/>
        <v>6</v>
      </c>
      <c r="U238" s="250">
        <f t="shared" si="82"/>
        <v>0.11388482732927735</v>
      </c>
      <c r="V238" s="382">
        <f t="shared" si="83"/>
        <v>53.143083016183766</v>
      </c>
      <c r="W238" s="58"/>
      <c r="X238" s="157">
        <f t="shared" si="84"/>
        <v>43689</v>
      </c>
      <c r="Y238" s="384">
        <f t="shared" si="85"/>
        <v>28.734000000000002</v>
      </c>
      <c r="Z238" s="384">
        <f t="shared" si="86"/>
        <v>29.011619511616981</v>
      </c>
      <c r="AA238" s="385">
        <f t="shared" si="87"/>
        <v>29.823160837090715</v>
      </c>
      <c r="AB238" s="196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2.7211781135701378E-2</v>
      </c>
      <c r="AD238" s="230">
        <f>(INDEX(Models!$BJ238:$BT238,,AH238)*(1-AF238)+INDEX(Models!$BJ238:$BT238,,AH238+1)*AF238-ERP_i)*AE238*Ramure*Pc/MaxiM</f>
        <v>8.7505253061880163E-5</v>
      </c>
      <c r="AE238" s="304">
        <f t="shared" si="89"/>
        <v>0.5</v>
      </c>
      <c r="AF238" s="176">
        <f t="shared" si="90"/>
        <v>0.11388482732927735</v>
      </c>
      <c r="AG238" s="175">
        <f t="shared" si="91"/>
        <v>0</v>
      </c>
      <c r="AH238" s="175">
        <f t="shared" si="92"/>
        <v>6</v>
      </c>
      <c r="AI238" s="224">
        <f t="shared" si="93"/>
        <v>0.11388482732927735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43690</v>
      </c>
      <c r="B239" s="616">
        <v>49.418999999999997</v>
      </c>
      <c r="C239" s="389"/>
      <c r="D239" s="392">
        <f t="shared" si="75"/>
        <v>49.897564821966419</v>
      </c>
      <c r="E239" s="384">
        <f t="shared" si="97"/>
        <v>51.295859938743533</v>
      </c>
      <c r="F239" s="384">
        <f t="shared" si="76"/>
        <v>51.299776685989691</v>
      </c>
      <c r="G239" s="110">
        <f t="shared" si="98"/>
        <v>0.93187520603333263</v>
      </c>
      <c r="H239" s="413" t="b">
        <f>Wh_hp&gt;='2018'!Maxi_hp</f>
        <v>1</v>
      </c>
      <c r="I239" s="389">
        <f>IF(H239,Wh_hp,'2018'!Maxi_hp)</f>
        <v>51.299776685989691</v>
      </c>
      <c r="J239" s="85">
        <f>IF(H239,An,'2018'!An_max)</f>
        <v>2019</v>
      </c>
      <c r="K239" s="196">
        <f t="shared" si="77"/>
        <v>43690</v>
      </c>
      <c r="L239" s="147">
        <f>IF(t&lt;Tvie,1-EXP((T0-t)*PertePVj)+'2018'!Pspv,1-EXP((T0-t)*PertePVj)+Pspv)</f>
        <v>9.5909454434085495E-3</v>
      </c>
      <c r="M239" s="847"/>
      <c r="N239" s="847"/>
      <c r="O239" s="48">
        <f>IF(t&lt;Tnet,'2018'!Resal+('2018'!Salim-'2018'!Resal)*(1-EXP(('2018'!Tnet-t)/('2018'!Tau_j))),Resal+(Salim-Resal)*(1-EXP((Tnet-t)/(Tau_j))))*Salcycl</f>
        <v>2.7259414667127627E-2</v>
      </c>
      <c r="P239" s="168">
        <f>(INDEX(Models!$BJ239:$BT239,,T239)*(1-R239)+INDEX(Models!$BJ239:$BT239,,T239+1)*R239-ERP_i)*Q239*Ramure*Pc/MaxiM</f>
        <v>8.4580748795389687E-5</v>
      </c>
      <c r="Q239" s="304">
        <f t="shared" si="78"/>
        <v>0.5</v>
      </c>
      <c r="R239" s="176">
        <f t="shared" si="79"/>
        <v>0.11467314232592352</v>
      </c>
      <c r="S239" s="814">
        <f t="shared" si="80"/>
        <v>0</v>
      </c>
      <c r="T239" s="175">
        <f t="shared" si="81"/>
        <v>6</v>
      </c>
      <c r="U239" s="250">
        <f t="shared" si="82"/>
        <v>0.11467314232592352</v>
      </c>
      <c r="V239" s="382">
        <f t="shared" si="83"/>
        <v>53.031342504411938</v>
      </c>
      <c r="W239" s="58"/>
      <c r="X239" s="157">
        <f t="shared" si="84"/>
        <v>43690</v>
      </c>
      <c r="Y239" s="384">
        <f t="shared" si="85"/>
        <v>49.418999999999997</v>
      </c>
      <c r="Z239" s="384">
        <f t="shared" si="86"/>
        <v>49.897564821966419</v>
      </c>
      <c r="AA239" s="385">
        <f t="shared" si="87"/>
        <v>51.295859938743533</v>
      </c>
      <c r="AB239" s="196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2.7259414667127627E-2</v>
      </c>
      <c r="AD239" s="230">
        <f>(INDEX(Models!$BJ239:$BT239,,AH239)*(1-AF239)+INDEX(Models!$BJ239:$BT239,,AH239+1)*AF239-ERP_i)*AE239*Ramure*Pc/MaxiM</f>
        <v>8.4580748795389687E-5</v>
      </c>
      <c r="AE239" s="304">
        <f t="shared" si="89"/>
        <v>0.5</v>
      </c>
      <c r="AF239" s="176">
        <f t="shared" si="90"/>
        <v>0.11467314232592352</v>
      </c>
      <c r="AG239" s="175">
        <f t="shared" si="91"/>
        <v>0</v>
      </c>
      <c r="AH239" s="175">
        <f t="shared" si="92"/>
        <v>6</v>
      </c>
      <c r="AI239" s="224">
        <f t="shared" si="93"/>
        <v>0.11467314232592352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43691</v>
      </c>
      <c r="B240" s="616">
        <v>54.104999999999997</v>
      </c>
      <c r="C240" s="389"/>
      <c r="D240" s="392">
        <f t="shared" si="75"/>
        <v>54.630139754261677</v>
      </c>
      <c r="E240" s="384">
        <f t="shared" si="97"/>
        <v>56.16380058393397</v>
      </c>
      <c r="F240" s="384">
        <f t="shared" si="76"/>
        <v>56.168421438709679</v>
      </c>
      <c r="G240" s="110">
        <f t="shared" si="98"/>
        <v>1.0224378313956672</v>
      </c>
      <c r="H240" s="413" t="b">
        <f>Wh_hp&gt;='2018'!Maxi_hp</f>
        <v>1</v>
      </c>
      <c r="I240" s="389">
        <f>IF(H240,Wh_hp,'2018'!Maxi_hp)</f>
        <v>56.168421438709679</v>
      </c>
      <c r="J240" s="85">
        <f>IF(H240,An,'2018'!An_max)</f>
        <v>2019</v>
      </c>
      <c r="K240" s="196">
        <f t="shared" si="77"/>
        <v>43691</v>
      </c>
      <c r="L240" s="147">
        <f>IF(t&lt;Tvie,1-EXP((T0-t)*PertePVj)+'2018'!Pspv,1-EXP((T0-t)*PertePVj)+Pspv)</f>
        <v>9.6126379435211851E-3</v>
      </c>
      <c r="M240" s="847"/>
      <c r="N240" s="847"/>
      <c r="O240" s="48">
        <f>IF(t&lt;Tnet,'2018'!Resal+('2018'!Salim-'2018'!Resal)*(1-EXP(('2018'!Tnet-t)/('2018'!Tau_j))),Resal+(Salim-Resal)*(1-EXP((Tnet-t)/(Tau_j))))*Salcycl</f>
        <v>2.7306927482236891E-2</v>
      </c>
      <c r="P240" s="168">
        <f>(INDEX(Models!$BJ240:$BT240,,T240)*(1-R240)+INDEX(Models!$BJ240:$BT240,,T240+1)*R240-ERP_i)*Q240*Ramure*Pc/MaxiM</f>
        <v>8.2267841205892219E-5</v>
      </c>
      <c r="Q240" s="304">
        <f t="shared" si="78"/>
        <v>0.5</v>
      </c>
      <c r="R240" s="176">
        <f t="shared" si="79"/>
        <v>0.11543391026249289</v>
      </c>
      <c r="S240" s="814">
        <f t="shared" si="80"/>
        <v>0</v>
      </c>
      <c r="T240" s="175">
        <f t="shared" si="81"/>
        <v>6</v>
      </c>
      <c r="U240" s="250">
        <f t="shared" si="82"/>
        <v>0.11543391026249289</v>
      </c>
      <c r="V240" s="382">
        <f t="shared" si="83"/>
        <v>52.917642851834401</v>
      </c>
      <c r="W240" s="58"/>
      <c r="X240" s="157">
        <f t="shared" si="84"/>
        <v>43691</v>
      </c>
      <c r="Y240" s="384">
        <f t="shared" si="85"/>
        <v>54.104999999999997</v>
      </c>
      <c r="Z240" s="384">
        <f t="shared" si="86"/>
        <v>54.630139754261677</v>
      </c>
      <c r="AA240" s="385">
        <f t="shared" si="87"/>
        <v>56.16380058393397</v>
      </c>
      <c r="AB240" s="196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2.7306927482236891E-2</v>
      </c>
      <c r="AD240" s="230">
        <f>(INDEX(Models!$BJ240:$BT240,,AH240)*(1-AF240)+INDEX(Models!$BJ240:$BT240,,AH240+1)*AF240-ERP_i)*AE240*Ramure*Pc/MaxiM</f>
        <v>8.2267841205892219E-5</v>
      </c>
      <c r="AE240" s="304">
        <f t="shared" si="89"/>
        <v>0.5</v>
      </c>
      <c r="AF240" s="176">
        <f t="shared" si="90"/>
        <v>0.11543391026249289</v>
      </c>
      <c r="AG240" s="175">
        <f t="shared" si="91"/>
        <v>0</v>
      </c>
      <c r="AH240" s="175">
        <f t="shared" si="92"/>
        <v>6</v>
      </c>
      <c r="AI240" s="224">
        <f t="shared" si="93"/>
        <v>0.11543391026249289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43692</v>
      </c>
      <c r="B241" s="616">
        <v>26.280999999999999</v>
      </c>
      <c r="C241" s="389"/>
      <c r="D241" s="392">
        <f t="shared" si="75"/>
        <v>26.536662967290077</v>
      </c>
      <c r="E241" s="384">
        <f t="shared" si="97"/>
        <v>27.28296998998885</v>
      </c>
      <c r="F241" s="384">
        <f t="shared" si="76"/>
        <v>27.283590498354819</v>
      </c>
      <c r="G241" s="110">
        <f t="shared" si="98"/>
        <v>0.49769872161103978</v>
      </c>
      <c r="H241" s="413" t="b">
        <f>Wh_hp&gt;='2018'!Maxi_hp</f>
        <v>0</v>
      </c>
      <c r="I241" s="389">
        <f>IF(H241,Wh_hp,'2018'!Maxi_hp)</f>
        <v>54.459997130630313</v>
      </c>
      <c r="J241" s="85">
        <f>IF(H241,An,'2018'!An_max)</f>
        <v>2018</v>
      </c>
      <c r="K241" s="196">
        <f t="shared" si="77"/>
        <v>43692</v>
      </c>
      <c r="L241" s="147">
        <f>IF(t&lt;Tvie,1-EXP((T0-t)*PertePVj)+'2018'!Pspv,1-EXP((T0-t)*PertePVj)+Pspv)</f>
        <v>9.634329968512434E-3</v>
      </c>
      <c r="M241" s="847"/>
      <c r="N241" s="847"/>
      <c r="O241" s="48">
        <f>IF(t&lt;Tnet,'2018'!Resal+('2018'!Salim-'2018'!Resal)*(1-EXP(('2018'!Tnet-t)/('2018'!Tau_j))),Resal+(Salim-Resal)*(1-EXP((Tnet-t)/(Tau_j))))*Salcycl</f>
        <v>2.735431747249736E-2</v>
      </c>
      <c r="P241" s="168">
        <f>(INDEX(Models!$BJ241:$BT241,,T241)*(1-R241)+INDEX(Models!$BJ241:$BT241,,T241+1)*R241-ERP_i)*Q241*Ramure*Pc/MaxiM</f>
        <v>8.0515062386833869E-5</v>
      </c>
      <c r="Q241" s="304">
        <f t="shared" si="78"/>
        <v>0.5</v>
      </c>
      <c r="R241" s="176">
        <f t="shared" si="79"/>
        <v>0.116167940976317</v>
      </c>
      <c r="S241" s="814">
        <f t="shared" si="80"/>
        <v>0</v>
      </c>
      <c r="T241" s="175">
        <f t="shared" si="81"/>
        <v>6</v>
      </c>
      <c r="U241" s="250">
        <f t="shared" si="82"/>
        <v>0.116167940976317</v>
      </c>
      <c r="V241" s="382">
        <f t="shared" si="83"/>
        <v>52.80198745655548</v>
      </c>
      <c r="W241" s="58"/>
      <c r="X241" s="157">
        <f t="shared" si="84"/>
        <v>43692</v>
      </c>
      <c r="Y241" s="384">
        <f t="shared" si="85"/>
        <v>26.280999999999999</v>
      </c>
      <c r="Z241" s="384">
        <f t="shared" si="86"/>
        <v>26.536662967290077</v>
      </c>
      <c r="AA241" s="385">
        <f t="shared" si="87"/>
        <v>27.28296998998885</v>
      </c>
      <c r="AB241" s="196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2.735431747249736E-2</v>
      </c>
      <c r="AD241" s="230">
        <f>(INDEX(Models!$BJ241:$BT241,,AH241)*(1-AF241)+INDEX(Models!$BJ241:$BT241,,AH241+1)*AF241-ERP_i)*AE241*Ramure*Pc/MaxiM</f>
        <v>8.0515062386833869E-5</v>
      </c>
      <c r="AE241" s="304">
        <f t="shared" si="89"/>
        <v>0.5</v>
      </c>
      <c r="AF241" s="176">
        <f t="shared" si="90"/>
        <v>0.116167940976317</v>
      </c>
      <c r="AG241" s="175">
        <f t="shared" si="91"/>
        <v>0</v>
      </c>
      <c r="AH241" s="175">
        <f t="shared" si="92"/>
        <v>6</v>
      </c>
      <c r="AI241" s="224">
        <f t="shared" si="93"/>
        <v>0.116167940976317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43693</v>
      </c>
      <c r="B242" s="616">
        <v>53.554000000000002</v>
      </c>
      <c r="C242" s="389"/>
      <c r="D242" s="392">
        <f t="shared" si="75"/>
        <v>54.07616057009691</v>
      </c>
      <c r="E242" s="384">
        <f t="shared" si="97"/>
        <v>55.599679767443</v>
      </c>
      <c r="F242" s="384">
        <f t="shared" si="76"/>
        <v>55.604090749056766</v>
      </c>
      <c r="G242" s="110">
        <f t="shared" si="98"/>
        <v>1.0165062844838977</v>
      </c>
      <c r="H242" s="413" t="b">
        <f>Wh_hp&gt;='2018'!Maxi_hp</f>
        <v>1</v>
      </c>
      <c r="I242" s="389">
        <f>IF(H242,Wh_hp,'2018'!Maxi_hp)</f>
        <v>55.604090749056766</v>
      </c>
      <c r="J242" s="85">
        <f>IF(H242,An,'2018'!An_max)</f>
        <v>2019</v>
      </c>
      <c r="K242" s="196">
        <f t="shared" si="77"/>
        <v>43693</v>
      </c>
      <c r="L242" s="147">
        <f>IF(t&lt;Tvie,1-EXP((T0-t)*PertePVj)+'2018'!Pspv,1-EXP((T0-t)*PertePVj)+Pspv)</f>
        <v>9.6560215183926212E-3</v>
      </c>
      <c r="M242" s="847"/>
      <c r="N242" s="847"/>
      <c r="O242" s="48">
        <f>IF(t&lt;Tnet,'2018'!Resal+('2018'!Salim-'2018'!Resal)*(1-EXP(('2018'!Tnet-t)/('2018'!Tau_j))),Resal+(Salim-Resal)*(1-EXP((Tnet-t)/(Tau_j))))*Salcycl</f>
        <v>2.7401582234259564E-2</v>
      </c>
      <c r="P242" s="168">
        <f>(INDEX(Models!$BJ242:$BT242,,T242)*(1-R242)+INDEX(Models!$BJ242:$BT242,,T242+1)*R242-ERP_i)*Q242*Ramure*Pc/MaxiM</f>
        <v>7.9328365131811935E-5</v>
      </c>
      <c r="Q242" s="304">
        <f t="shared" si="78"/>
        <v>0.5</v>
      </c>
      <c r="R242" s="176">
        <f t="shared" si="79"/>
        <v>0.11687603195312823</v>
      </c>
      <c r="S242" s="814">
        <f t="shared" si="80"/>
        <v>0</v>
      </c>
      <c r="T242" s="175">
        <f t="shared" si="81"/>
        <v>6</v>
      </c>
      <c r="U242" s="250">
        <f t="shared" si="82"/>
        <v>0.11687603195312823</v>
      </c>
      <c r="V242" s="382">
        <f t="shared" si="83"/>
        <v>52.684376690489948</v>
      </c>
      <c r="W242" s="58"/>
      <c r="X242" s="157">
        <f t="shared" si="84"/>
        <v>43693</v>
      </c>
      <c r="Y242" s="384">
        <f t="shared" si="85"/>
        <v>53.554000000000002</v>
      </c>
      <c r="Z242" s="384">
        <f t="shared" si="86"/>
        <v>54.07616057009691</v>
      </c>
      <c r="AA242" s="385">
        <f t="shared" si="87"/>
        <v>55.599679767443</v>
      </c>
      <c r="AB242" s="196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2.7401582234259564E-2</v>
      </c>
      <c r="AD242" s="230">
        <f>(INDEX(Models!$BJ242:$BT242,,AH242)*(1-AF242)+INDEX(Models!$BJ242:$BT242,,AH242+1)*AF242-ERP_i)*AE242*Ramure*Pc/MaxiM</f>
        <v>7.9328365131811935E-5</v>
      </c>
      <c r="AE242" s="304">
        <f t="shared" si="89"/>
        <v>0.5</v>
      </c>
      <c r="AF242" s="176">
        <f t="shared" si="90"/>
        <v>0.11687603195312823</v>
      </c>
      <c r="AG242" s="175">
        <f t="shared" si="91"/>
        <v>0</v>
      </c>
      <c r="AH242" s="175">
        <f t="shared" si="92"/>
        <v>6</v>
      </c>
      <c r="AI242" s="224">
        <f t="shared" si="93"/>
        <v>0.11687603195312823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43694</v>
      </c>
      <c r="B243" s="616">
        <v>52.149000000000001</v>
      </c>
      <c r="C243" s="389"/>
      <c r="D243" s="392">
        <f t="shared" si="75"/>
        <v>52.658614940953065</v>
      </c>
      <c r="E243" s="384">
        <f t="shared" si="97"/>
        <v>54.144820920749737</v>
      </c>
      <c r="F243" s="384">
        <f t="shared" si="76"/>
        <v>54.149035020517147</v>
      </c>
      <c r="G243" s="110">
        <f t="shared" si="98"/>
        <v>0.99208867431270964</v>
      </c>
      <c r="H243" s="413" t="b">
        <f>Wh_hp&gt;='2018'!Maxi_hp</f>
        <v>1</v>
      </c>
      <c r="I243" s="389">
        <f>IF(H243,Wh_hp,'2018'!Maxi_hp)</f>
        <v>54.149035020517147</v>
      </c>
      <c r="J243" s="85">
        <f>IF(H243,An,'2018'!An_max)</f>
        <v>2019</v>
      </c>
      <c r="K243" s="196">
        <f t="shared" si="77"/>
        <v>43694</v>
      </c>
      <c r="L243" s="147">
        <f>IF(t&lt;Tvie,1-EXP((T0-t)*PertePVj)+'2018'!Pspv,1-EXP((T0-t)*PertePVj)+Pspv)</f>
        <v>9.677712593172183E-3</v>
      </c>
      <c r="M243" s="847"/>
      <c r="N243" s="847"/>
      <c r="O243" s="48">
        <f>IF(t&lt;Tnet,'2018'!Resal+('2018'!Salim-'2018'!Resal)*(1-EXP(('2018'!Tnet-t)/('2018'!Tau_j))),Resal+(Salim-Resal)*(1-EXP((Tnet-t)/(Tau_j))))*Salcycl</f>
        <v>2.7448719093041061E-2</v>
      </c>
      <c r="P243" s="168">
        <f>(INDEX(Models!$BJ243:$BT243,,T243)*(1-R243)+INDEX(Models!$BJ243:$BT243,,T243+1)*R243-ERP_i)*Q243*Ramure*Pc/MaxiM</f>
        <v>7.8713610883054635E-5</v>
      </c>
      <c r="Q243" s="304">
        <f t="shared" si="78"/>
        <v>0.5</v>
      </c>
      <c r="R243" s="176">
        <f t="shared" si="79"/>
        <v>0.11755896757403983</v>
      </c>
      <c r="S243" s="814">
        <f t="shared" si="80"/>
        <v>0</v>
      </c>
      <c r="T243" s="175">
        <f t="shared" si="81"/>
        <v>6</v>
      </c>
      <c r="U243" s="250">
        <f t="shared" si="82"/>
        <v>0.11755896757403983</v>
      </c>
      <c r="V243" s="382">
        <f t="shared" si="83"/>
        <v>52.564810948245622</v>
      </c>
      <c r="W243" s="58"/>
      <c r="X243" s="157">
        <f t="shared" si="84"/>
        <v>43694</v>
      </c>
      <c r="Y243" s="384">
        <f t="shared" si="85"/>
        <v>52.149000000000001</v>
      </c>
      <c r="Z243" s="384">
        <f t="shared" si="86"/>
        <v>52.658614940953065</v>
      </c>
      <c r="AA243" s="385">
        <f t="shared" si="87"/>
        <v>54.144820920749737</v>
      </c>
      <c r="AB243" s="196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2.7448719093041061E-2</v>
      </c>
      <c r="AD243" s="230">
        <f>(INDEX(Models!$BJ243:$BT243,,AH243)*(1-AF243)+INDEX(Models!$BJ243:$BT243,,AH243+1)*AF243-ERP_i)*AE243*Ramure*Pc/MaxiM</f>
        <v>7.8713610883054635E-5</v>
      </c>
      <c r="AE243" s="304">
        <f t="shared" si="89"/>
        <v>0.5</v>
      </c>
      <c r="AF243" s="176">
        <f t="shared" si="90"/>
        <v>0.11755896757403983</v>
      </c>
      <c r="AG243" s="175">
        <f t="shared" si="91"/>
        <v>0</v>
      </c>
      <c r="AH243" s="175">
        <f t="shared" si="92"/>
        <v>6</v>
      </c>
      <c r="AI243" s="224">
        <f t="shared" si="93"/>
        <v>0.11755896757403983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43695</v>
      </c>
      <c r="B244" s="616">
        <v>37.921999999999997</v>
      </c>
      <c r="C244" s="389"/>
      <c r="D244" s="392">
        <f t="shared" si="75"/>
        <v>38.293423352733093</v>
      </c>
      <c r="E244" s="384">
        <f t="shared" si="97"/>
        <v>39.376097711954912</v>
      </c>
      <c r="F244" s="384">
        <f t="shared" si="76"/>
        <v>39.377970328205905</v>
      </c>
      <c r="G244" s="110">
        <f t="shared" si="98"/>
        <v>0.72308238628948318</v>
      </c>
      <c r="H244" s="413" t="b">
        <f>Wh_hp&gt;='2018'!Maxi_hp</f>
        <v>1</v>
      </c>
      <c r="I244" s="389">
        <f>IF(H244,Wh_hp,'2018'!Maxi_hp)</f>
        <v>39.377970328205905</v>
      </c>
      <c r="J244" s="85">
        <f>IF(H244,An,'2018'!An_max)</f>
        <v>2019</v>
      </c>
      <c r="K244" s="196">
        <f t="shared" si="77"/>
        <v>43695</v>
      </c>
      <c r="L244" s="147">
        <f>IF(t&lt;Tvie,1-EXP((T0-t)*PertePVj)+'2018'!Pspv,1-EXP((T0-t)*PertePVj)+Pspv)</f>
        <v>9.6994031928615554E-3</v>
      </c>
      <c r="M244" s="847"/>
      <c r="N244" s="847"/>
      <c r="O244" s="48">
        <f>IF(t&lt;Tnet,'2018'!Resal+('2018'!Salim-'2018'!Resal)*(1-EXP(('2018'!Tnet-t)/('2018'!Tau_j))),Resal+(Salim-Resal)*(1-EXP((Tnet-t)/(Tau_j))))*Salcycl</f>
        <v>2.7495725125984402E-2</v>
      </c>
      <c r="P244" s="168">
        <f>(INDEX(Models!$BJ244:$BT244,,T244)*(1-R244)+INDEX(Models!$BJ244:$BT244,,T244+1)*R244-ERP_i)*Q244*Ramure*Pc/MaxiM</f>
        <v>7.86765765610258E-5</v>
      </c>
      <c r="Q244" s="304">
        <f t="shared" si="78"/>
        <v>0.5</v>
      </c>
      <c r="R244" s="176">
        <f t="shared" si="79"/>
        <v>0.11821751845692802</v>
      </c>
      <c r="S244" s="814">
        <f t="shared" si="80"/>
        <v>0</v>
      </c>
      <c r="T244" s="175">
        <f t="shared" si="81"/>
        <v>6</v>
      </c>
      <c r="U244" s="250">
        <f t="shared" si="82"/>
        <v>0.11821751845692802</v>
      </c>
      <c r="V244" s="382">
        <f t="shared" si="83"/>
        <v>52.443290650497353</v>
      </c>
      <c r="W244" s="58"/>
      <c r="X244" s="157">
        <f t="shared" si="84"/>
        <v>43695</v>
      </c>
      <c r="Y244" s="384">
        <f t="shared" si="85"/>
        <v>37.921999999999997</v>
      </c>
      <c r="Z244" s="384">
        <f t="shared" si="86"/>
        <v>38.293423352733093</v>
      </c>
      <c r="AA244" s="385">
        <f t="shared" si="87"/>
        <v>39.376097711954912</v>
      </c>
      <c r="AB244" s="196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2.7495725125984402E-2</v>
      </c>
      <c r="AD244" s="230">
        <f>(INDEX(Models!$BJ244:$BT244,,AH244)*(1-AF244)+INDEX(Models!$BJ244:$BT244,,AH244+1)*AF244-ERP_i)*AE244*Ramure*Pc/MaxiM</f>
        <v>7.86765765610258E-5</v>
      </c>
      <c r="AE244" s="304">
        <f t="shared" si="89"/>
        <v>0.5</v>
      </c>
      <c r="AF244" s="176">
        <f t="shared" si="90"/>
        <v>0.11821751845692802</v>
      </c>
      <c r="AG244" s="175">
        <f t="shared" si="91"/>
        <v>0</v>
      </c>
      <c r="AH244" s="175">
        <f t="shared" si="92"/>
        <v>6</v>
      </c>
      <c r="AI244" s="224">
        <f t="shared" si="93"/>
        <v>0.11821751845692802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43696</v>
      </c>
      <c r="B245" s="616">
        <v>33.844999999999999</v>
      </c>
      <c r="C245" s="389"/>
      <c r="D245" s="392">
        <f t="shared" si="75"/>
        <v>34.177240140741766</v>
      </c>
      <c r="E245" s="384">
        <f t="shared" si="97"/>
        <v>35.145231083345841</v>
      </c>
      <c r="F245" s="384">
        <f t="shared" si="76"/>
        <v>35.146610909239236</v>
      </c>
      <c r="G245" s="110">
        <f t="shared" si="98"/>
        <v>0.64686097551005162</v>
      </c>
      <c r="H245" s="413" t="b">
        <f>Wh_hp&gt;='2018'!Maxi_hp</f>
        <v>0</v>
      </c>
      <c r="I245" s="389">
        <f>IF(H245,Wh_hp,'2018'!Maxi_hp)</f>
        <v>51.308352268844715</v>
      </c>
      <c r="J245" s="85">
        <f>IF(H245,An,'2018'!An_max)</f>
        <v>2018</v>
      </c>
      <c r="K245" s="196">
        <f t="shared" si="77"/>
        <v>43696</v>
      </c>
      <c r="L245" s="147">
        <f>IF(t&lt;Tvie,1-EXP((T0-t)*PertePVj)+'2018'!Pspv,1-EXP((T0-t)*PertePVj)+Pspv)</f>
        <v>9.7210933174710634E-3</v>
      </c>
      <c r="M245" s="847"/>
      <c r="N245" s="847"/>
      <c r="O245" s="48">
        <f>IF(t&lt;Tnet,'2018'!Resal+('2018'!Salim-'2018'!Resal)*(1-EXP(('2018'!Tnet-t)/('2018'!Tau_j))),Resal+(Salim-Resal)*(1-EXP((Tnet-t)/(Tau_j))))*Salcycl</f>
        <v>2.7542597182204042E-2</v>
      </c>
      <c r="P245" s="168">
        <f>(INDEX(Models!$BJ245:$BT245,,T245)*(1-R245)+INDEX(Models!$BJ245:$BT245,,T245+1)*R245-ERP_i)*Q245*Ramure*Pc/MaxiM</f>
        <v>7.9222960412482271E-5</v>
      </c>
      <c r="Q245" s="304">
        <f t="shared" si="78"/>
        <v>0.5</v>
      </c>
      <c r="R245" s="176">
        <f t="shared" si="79"/>
        <v>0.11885244088659158</v>
      </c>
      <c r="S245" s="814">
        <f t="shared" si="80"/>
        <v>0</v>
      </c>
      <c r="T245" s="175">
        <f t="shared" si="81"/>
        <v>6</v>
      </c>
      <c r="U245" s="250">
        <f t="shared" si="82"/>
        <v>0.11885244088659158</v>
      </c>
      <c r="V245" s="382">
        <f t="shared" si="83"/>
        <v>52.319816240078467</v>
      </c>
      <c r="W245" s="58"/>
      <c r="X245" s="157">
        <f t="shared" si="84"/>
        <v>43696</v>
      </c>
      <c r="Y245" s="384">
        <f t="shared" si="85"/>
        <v>33.844999999999999</v>
      </c>
      <c r="Z245" s="384">
        <f t="shared" si="86"/>
        <v>34.177240140741766</v>
      </c>
      <c r="AA245" s="385">
        <f t="shared" si="87"/>
        <v>35.145231083345841</v>
      </c>
      <c r="AB245" s="196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2.7542597182204042E-2</v>
      </c>
      <c r="AD245" s="230">
        <f>(INDEX(Models!$BJ245:$BT245,,AH245)*(1-AF245)+INDEX(Models!$BJ245:$BT245,,AH245+1)*AF245-ERP_i)*AE245*Ramure*Pc/MaxiM</f>
        <v>7.9222960412482271E-5</v>
      </c>
      <c r="AE245" s="304">
        <f t="shared" si="89"/>
        <v>0.5</v>
      </c>
      <c r="AF245" s="176">
        <f t="shared" si="90"/>
        <v>0.11885244088659158</v>
      </c>
      <c r="AG245" s="175">
        <f t="shared" si="91"/>
        <v>0</v>
      </c>
      <c r="AH245" s="175">
        <f t="shared" si="92"/>
        <v>6</v>
      </c>
      <c r="AI245" s="224">
        <f t="shared" si="93"/>
        <v>0.11885244088659158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43697</v>
      </c>
      <c r="B246" s="616">
        <v>31.053000000000001</v>
      </c>
      <c r="C246" s="389"/>
      <c r="D246" s="392">
        <f t="shared" si="75"/>
        <v>31.358519247192241</v>
      </c>
      <c r="E246" s="384">
        <f t="shared" si="97"/>
        <v>32.248226264823849</v>
      </c>
      <c r="F246" s="384">
        <f t="shared" si="76"/>
        <v>32.24931820956872</v>
      </c>
      <c r="G246" s="110">
        <f t="shared" si="98"/>
        <v>0.59492135268673629</v>
      </c>
      <c r="H246" s="413" t="b">
        <f>Wh_hp&gt;='2018'!Maxi_hp</f>
        <v>0</v>
      </c>
      <c r="I246" s="389">
        <f>IF(H246,Wh_hp,'2018'!Maxi_hp)</f>
        <v>52.965267361196894</v>
      </c>
      <c r="J246" s="85">
        <f>IF(H246,An,'2018'!An_max)</f>
        <v>2018</v>
      </c>
      <c r="K246" s="196">
        <f t="shared" si="77"/>
        <v>43697</v>
      </c>
      <c r="L246" s="147">
        <f>IF(t&lt;Tvie,1-EXP((T0-t)*PertePVj)+'2018'!Pspv,1-EXP((T0-t)*PertePVj)+Pspv)</f>
        <v>9.7427829670112542E-3</v>
      </c>
      <c r="M246" s="847"/>
      <c r="N246" s="847"/>
      <c r="O246" s="48">
        <f>IF(t&lt;Tnet,'2018'!Resal+('2018'!Salim-'2018'!Resal)*(1-EXP(('2018'!Tnet-t)/('2018'!Tau_j))),Resal+(Salim-Resal)*(1-EXP((Tnet-t)/(Tau_j))))*Salcycl</f>
        <v>2.7589331900777902E-2</v>
      </c>
      <c r="P246" s="168">
        <f>(INDEX(Models!$BJ246:$BT246,,T246)*(1-R246)+INDEX(Models!$BJ246:$BT246,,T246+1)*R246-ERP_i)*Q246*Ramure*Pc/MaxiM</f>
        <v>8.0358386911411146E-5</v>
      </c>
      <c r="Q246" s="304">
        <f t="shared" si="78"/>
        <v>0.5</v>
      </c>
      <c r="R246" s="176">
        <f t="shared" si="79"/>
        <v>0.11946447632816276</v>
      </c>
      <c r="S246" s="814">
        <f t="shared" si="80"/>
        <v>0</v>
      </c>
      <c r="T246" s="175">
        <f t="shared" si="81"/>
        <v>6</v>
      </c>
      <c r="U246" s="250">
        <f t="shared" si="82"/>
        <v>0.11946447632816276</v>
      </c>
      <c r="V246" s="382">
        <f t="shared" si="83"/>
        <v>52.194388182460614</v>
      </c>
      <c r="W246" s="58"/>
      <c r="X246" s="157">
        <f t="shared" si="84"/>
        <v>43697</v>
      </c>
      <c r="Y246" s="384">
        <f t="shared" si="85"/>
        <v>31.052999999999997</v>
      </c>
      <c r="Z246" s="384">
        <f t="shared" si="86"/>
        <v>31.358519247192238</v>
      </c>
      <c r="AA246" s="385">
        <f t="shared" si="87"/>
        <v>32.248226264823849</v>
      </c>
      <c r="AB246" s="196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2.7589331900777902E-2</v>
      </c>
      <c r="AD246" s="230">
        <f>(INDEX(Models!$BJ246:$BT246,,AH246)*(1-AF246)+INDEX(Models!$BJ246:$BT246,,AH246+1)*AF246-ERP_i)*AE246*Ramure*Pc/MaxiM</f>
        <v>8.0358386911411146E-5</v>
      </c>
      <c r="AE246" s="304">
        <f t="shared" si="89"/>
        <v>0.5</v>
      </c>
      <c r="AF246" s="176">
        <f t="shared" si="90"/>
        <v>0.11946447632816276</v>
      </c>
      <c r="AG246" s="175">
        <f t="shared" si="91"/>
        <v>0</v>
      </c>
      <c r="AH246" s="175">
        <f t="shared" si="92"/>
        <v>6</v>
      </c>
      <c r="AI246" s="224">
        <f t="shared" si="93"/>
        <v>0.11946447632816276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43698</v>
      </c>
      <c r="B247" s="616">
        <v>48.683999999999997</v>
      </c>
      <c r="C247" s="389"/>
      <c r="D247" s="392">
        <f t="shared" si="75"/>
        <v>49.164061105022625</v>
      </c>
      <c r="E247" s="384">
        <f t="shared" si="97"/>
        <v>50.561371409921108</v>
      </c>
      <c r="F247" s="384">
        <f t="shared" si="76"/>
        <v>50.565136700212115</v>
      </c>
      <c r="G247" s="110">
        <f t="shared" si="98"/>
        <v>0.93499441784761927</v>
      </c>
      <c r="H247" s="413" t="b">
        <f>Wh_hp&gt;='2018'!Maxi_hp</f>
        <v>0</v>
      </c>
      <c r="I247" s="389">
        <f>IF(H247,Wh_hp,'2018'!Maxi_hp)</f>
        <v>52.237330268204516</v>
      </c>
      <c r="J247" s="85">
        <f>IF(H247,An,'2018'!An_max)</f>
        <v>2018</v>
      </c>
      <c r="K247" s="196">
        <f t="shared" si="77"/>
        <v>43698</v>
      </c>
      <c r="L247" s="147">
        <f>IF(t&lt;Tvie,1-EXP((T0-t)*PertePVj)+'2018'!Pspv,1-EXP((T0-t)*PertePVj)+Pspv)</f>
        <v>9.7644721414924529E-3</v>
      </c>
      <c r="M247" s="847"/>
      <c r="N247" s="847"/>
      <c r="O247" s="48">
        <f>IF(t&lt;Tnet,'2018'!Resal+('2018'!Salim-'2018'!Resal)*(1-EXP(('2018'!Tnet-t)/('2018'!Tau_j))),Resal+(Salim-Resal)*(1-EXP((Tnet-t)/(Tau_j))))*Salcycl</f>
        <v>2.763592572618196E-2</v>
      </c>
      <c r="P247" s="168">
        <f>(INDEX(Models!$BJ247:$BT247,,T247)*(1-R247)+INDEX(Models!$BJ247:$BT247,,T247+1)*R247-ERP_i)*Q247*Ramure*Pc/MaxiM</f>
        <v>8.2086272837224872E-5</v>
      </c>
      <c r="Q247" s="304">
        <f t="shared" si="78"/>
        <v>0.5</v>
      </c>
      <c r="R247" s="176">
        <f t="shared" si="79"/>
        <v>0.12005435101836132</v>
      </c>
      <c r="S247" s="814">
        <f t="shared" si="80"/>
        <v>0</v>
      </c>
      <c r="T247" s="175">
        <f t="shared" si="81"/>
        <v>6</v>
      </c>
      <c r="U247" s="250">
        <f t="shared" si="82"/>
        <v>0.12005435101836132</v>
      </c>
      <c r="V247" s="382">
        <f t="shared" si="83"/>
        <v>52.068363155966452</v>
      </c>
      <c r="W247" s="58"/>
      <c r="X247" s="157">
        <f t="shared" si="84"/>
        <v>43698</v>
      </c>
      <c r="Y247" s="384">
        <f t="shared" si="85"/>
        <v>48.683999999999997</v>
      </c>
      <c r="Z247" s="384">
        <f t="shared" si="86"/>
        <v>49.164061105022625</v>
      </c>
      <c r="AA247" s="385">
        <f t="shared" si="87"/>
        <v>50.561371409921108</v>
      </c>
      <c r="AB247" s="196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2.763592572618196E-2</v>
      </c>
      <c r="AD247" s="230">
        <f>(INDEX(Models!$BJ247:$BT247,,AH247)*(1-AF247)+INDEX(Models!$BJ247:$BT247,,AH247+1)*AF247-ERP_i)*AE247*Ramure*Pc/MaxiM</f>
        <v>8.2086272837224872E-5</v>
      </c>
      <c r="AE247" s="304">
        <f t="shared" si="89"/>
        <v>0.5</v>
      </c>
      <c r="AF247" s="176">
        <f t="shared" si="90"/>
        <v>0.12005435101836132</v>
      </c>
      <c r="AG247" s="175">
        <f t="shared" si="91"/>
        <v>0</v>
      </c>
      <c r="AH247" s="175">
        <f t="shared" si="92"/>
        <v>6</v>
      </c>
      <c r="AI247" s="224">
        <f t="shared" si="93"/>
        <v>0.12005435101836132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43699</v>
      </c>
      <c r="B248" s="616">
        <v>53.866999999999997</v>
      </c>
      <c r="C248" s="389"/>
      <c r="D248" s="392">
        <f t="shared" si="75"/>
        <v>54.399360895365568</v>
      </c>
      <c r="E248" s="384">
        <f t="shared" si="97"/>
        <v>55.948138234094344</v>
      </c>
      <c r="F248" s="384">
        <f t="shared" si="76"/>
        <v>55.9528605164124</v>
      </c>
      <c r="G248" s="110">
        <f t="shared" si="98"/>
        <v>1.0370469733181378</v>
      </c>
      <c r="H248" s="413" t="b">
        <f>Wh_hp&gt;='2018'!Maxi_hp</f>
        <v>1</v>
      </c>
      <c r="I248" s="389">
        <f>IF(H248,Wh_hp,'2018'!Maxi_hp)</f>
        <v>55.9528605164124</v>
      </c>
      <c r="J248" s="85">
        <f>IF(H248,An,'2018'!An_max)</f>
        <v>2019</v>
      </c>
      <c r="K248" s="196">
        <f t="shared" si="77"/>
        <v>43699</v>
      </c>
      <c r="L248" s="147">
        <f>IF(t&lt;Tvie,1-EXP((T0-t)*PertePVj)+'2018'!Pspv,1-EXP((T0-t)*PertePVj)+Pspv)</f>
        <v>9.7861608409249845E-3</v>
      </c>
      <c r="M248" s="847"/>
      <c r="N248" s="847"/>
      <c r="O248" s="48">
        <f>IF(t&lt;Tnet,'2018'!Resal+('2018'!Salim-'2018'!Resal)*(1-EXP(('2018'!Tnet-t)/('2018'!Tau_j))),Resal+(Salim-Resal)*(1-EXP((Tnet-t)/(Tau_j))))*Salcycl</f>
        <v>2.7682374921011447E-2</v>
      </c>
      <c r="P248" s="168">
        <f>(INDEX(Models!$BJ248:$BT248,,T248)*(1-R248)+INDEX(Models!$BJ248:$BT248,,T248+1)*R248-ERP_i)*Q248*Ramure*Pc/MaxiM</f>
        <v>8.4397513808410164E-5</v>
      </c>
      <c r="Q248" s="304">
        <f t="shared" si="78"/>
        <v>0.5</v>
      </c>
      <c r="R248" s="176">
        <f t="shared" si="79"/>
        <v>0.12062277562933232</v>
      </c>
      <c r="S248" s="814">
        <f t="shared" si="80"/>
        <v>0</v>
      </c>
      <c r="T248" s="175">
        <f t="shared" si="81"/>
        <v>6</v>
      </c>
      <c r="U248" s="250">
        <f t="shared" si="82"/>
        <v>0.12062277562933232</v>
      </c>
      <c r="V248" s="382">
        <f t="shared" si="83"/>
        <v>51.942680887102952</v>
      </c>
      <c r="W248" s="58"/>
      <c r="X248" s="157">
        <f t="shared" si="84"/>
        <v>43699</v>
      </c>
      <c r="Y248" s="384">
        <f t="shared" si="85"/>
        <v>53.866999999999997</v>
      </c>
      <c r="Z248" s="384">
        <f t="shared" si="86"/>
        <v>54.399360895365568</v>
      </c>
      <c r="AA248" s="385">
        <f t="shared" si="87"/>
        <v>55.948138234094344</v>
      </c>
      <c r="AB248" s="196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2.7682374921011447E-2</v>
      </c>
      <c r="AD248" s="230">
        <f>(INDEX(Models!$BJ248:$BT248,,AH248)*(1-AF248)+INDEX(Models!$BJ248:$BT248,,AH248+1)*AF248-ERP_i)*AE248*Ramure*Pc/MaxiM</f>
        <v>8.4397513808410164E-5</v>
      </c>
      <c r="AE248" s="304">
        <f t="shared" si="89"/>
        <v>0.5</v>
      </c>
      <c r="AF248" s="176">
        <f t="shared" si="90"/>
        <v>0.12062277562933232</v>
      </c>
      <c r="AG248" s="175">
        <f t="shared" si="91"/>
        <v>0</v>
      </c>
      <c r="AH248" s="175">
        <f t="shared" si="92"/>
        <v>6</v>
      </c>
      <c r="AI248" s="224">
        <f t="shared" si="93"/>
        <v>0.12062277562933232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43700</v>
      </c>
      <c r="B249" s="616">
        <v>51.341000000000001</v>
      </c>
      <c r="C249" s="389"/>
      <c r="D249" s="392">
        <f t="shared" si="75"/>
        <v>51.849532387766608</v>
      </c>
      <c r="E249" s="384">
        <f t="shared" si="97"/>
        <v>53.328254248861313</v>
      </c>
      <c r="F249" s="384">
        <f t="shared" si="76"/>
        <v>53.332836013800012</v>
      </c>
      <c r="G249" s="110">
        <f t="shared" si="98"/>
        <v>0.99081788776998492</v>
      </c>
      <c r="H249" s="413" t="b">
        <f>Wh_hp&gt;='2018'!Maxi_hp</f>
        <v>1</v>
      </c>
      <c r="I249" s="389">
        <f>IF(H249,Wh_hp,'2018'!Maxi_hp)</f>
        <v>53.332836013800012</v>
      </c>
      <c r="J249" s="85">
        <f>IF(H249,An,'2018'!An_max)</f>
        <v>2019</v>
      </c>
      <c r="K249" s="196">
        <f t="shared" si="77"/>
        <v>43700</v>
      </c>
      <c r="L249" s="147">
        <f>IF(t&lt;Tvie,1-EXP((T0-t)*PertePVj)+'2018'!Pspv,1-EXP((T0-t)*PertePVj)+Pspv)</f>
        <v>9.8078490653193962E-3</v>
      </c>
      <c r="M249" s="847"/>
      <c r="N249" s="847"/>
      <c r="O249" s="48">
        <f>IF(t&lt;Tnet,'2018'!Resal+('2018'!Salim-'2018'!Resal)*(1-EXP(('2018'!Tnet-t)/('2018'!Tau_j))),Resal+(Salim-Resal)*(1-EXP((Tnet-t)/(Tau_j))))*Salcycl</f>
        <v>2.7728675575879717E-2</v>
      </c>
      <c r="P249" s="168">
        <f>(INDEX(Models!$BJ249:$BT249,,T249)*(1-R249)+INDEX(Models!$BJ249:$BT249,,T249+1)*R249-ERP_i)*Q249*Ramure*Pc/MaxiM</f>
        <v>8.7050622393529755E-5</v>
      </c>
      <c r="Q249" s="304">
        <f t="shared" si="78"/>
        <v>0.5</v>
      </c>
      <c r="R249" s="176">
        <f t="shared" si="79"/>
        <v>0.1211704449999641</v>
      </c>
      <c r="S249" s="814">
        <f t="shared" si="80"/>
        <v>0</v>
      </c>
      <c r="T249" s="175">
        <f t="shared" si="81"/>
        <v>6</v>
      </c>
      <c r="U249" s="250">
        <f t="shared" si="82"/>
        <v>0.1211704449999641</v>
      </c>
      <c r="V249" s="382">
        <f t="shared" si="83"/>
        <v>51.81672839296629</v>
      </c>
      <c r="W249" s="58"/>
      <c r="X249" s="157">
        <f t="shared" si="84"/>
        <v>43700</v>
      </c>
      <c r="Y249" s="384">
        <f t="shared" si="85"/>
        <v>51.341000000000001</v>
      </c>
      <c r="Z249" s="384">
        <f t="shared" si="86"/>
        <v>51.849532387766608</v>
      </c>
      <c r="AA249" s="385">
        <f t="shared" si="87"/>
        <v>53.328254248861313</v>
      </c>
      <c r="AB249" s="196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2.7728675575879717E-2</v>
      </c>
      <c r="AD249" s="230">
        <f>(INDEX(Models!$BJ249:$BT249,,AH249)*(1-AF249)+INDEX(Models!$BJ249:$BT249,,AH249+1)*AF249-ERP_i)*AE249*Ramure*Pc/MaxiM</f>
        <v>8.7050622393529755E-5</v>
      </c>
      <c r="AE249" s="304">
        <f t="shared" si="89"/>
        <v>0.5</v>
      </c>
      <c r="AF249" s="176">
        <f t="shared" si="90"/>
        <v>0.1211704449999641</v>
      </c>
      <c r="AG249" s="175">
        <f t="shared" si="91"/>
        <v>0</v>
      </c>
      <c r="AH249" s="175">
        <f t="shared" si="92"/>
        <v>6</v>
      </c>
      <c r="AI249" s="224">
        <f t="shared" si="93"/>
        <v>0.1211704449999641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43701</v>
      </c>
      <c r="B250" s="616">
        <v>51.593000000000004</v>
      </c>
      <c r="C250" s="389"/>
      <c r="D250" s="392">
        <f t="shared" si="75"/>
        <v>52.10516968364081</v>
      </c>
      <c r="E250" s="384">
        <f t="shared" si="97"/>
        <v>53.593725969388089</v>
      </c>
      <c r="F250" s="384">
        <f t="shared" si="76"/>
        <v>53.598539486969429</v>
      </c>
      <c r="G250" s="110">
        <f t="shared" si="98"/>
        <v>0.99812550173097558</v>
      </c>
      <c r="H250" s="413" t="b">
        <f>Wh_hp&gt;='2018'!Maxi_hp</f>
        <v>1</v>
      </c>
      <c r="I250" s="389">
        <f>IF(H250,Wh_hp,'2018'!Maxi_hp)</f>
        <v>53.598539486969429</v>
      </c>
      <c r="J250" s="85">
        <f>IF(H250,An,'2018'!An_max)</f>
        <v>2019</v>
      </c>
      <c r="K250" s="196">
        <f t="shared" si="77"/>
        <v>43701</v>
      </c>
      <c r="L250" s="147">
        <f>IF(t&lt;Tvie,1-EXP((T0-t)*PertePVj)+'2018'!Pspv,1-EXP((T0-t)*PertePVj)+Pspv)</f>
        <v>9.8295368146860129E-3</v>
      </c>
      <c r="M250" s="847"/>
      <c r="N250" s="847"/>
      <c r="O250" s="48">
        <f>IF(t&lt;Tnet,'2018'!Resal+('2018'!Salim-'2018'!Resal)*(1-EXP(('2018'!Tnet-t)/('2018'!Tau_j))),Resal+(Salim-Resal)*(1-EXP((Tnet-t)/(Tau_j))))*Salcycl</f>
        <v>2.7774823616434512E-2</v>
      </c>
      <c r="P250" s="168">
        <f>(INDEX(Models!$BJ250:$BT250,,T250)*(1-R250)+INDEX(Models!$BJ250:$BT250,,T250+1)*R250-ERP_i)*Q250*Ramure*Pc/MaxiM</f>
        <v>9.0047984033722454E-5</v>
      </c>
      <c r="Q250" s="304">
        <f t="shared" si="78"/>
        <v>0.5</v>
      </c>
      <c r="R250" s="176">
        <f t="shared" si="79"/>
        <v>0.12169803792976264</v>
      </c>
      <c r="S250" s="814">
        <f t="shared" si="80"/>
        <v>0</v>
      </c>
      <c r="T250" s="175">
        <f t="shared" si="81"/>
        <v>6</v>
      </c>
      <c r="U250" s="250">
        <f t="shared" si="82"/>
        <v>0.12169803792976264</v>
      </c>
      <c r="V250" s="382">
        <f t="shared" si="83"/>
        <v>51.689880150448758</v>
      </c>
      <c r="W250" s="58"/>
      <c r="X250" s="157">
        <f t="shared" si="84"/>
        <v>43701</v>
      </c>
      <c r="Y250" s="384">
        <f t="shared" si="85"/>
        <v>51.593000000000004</v>
      </c>
      <c r="Z250" s="384">
        <f t="shared" si="86"/>
        <v>52.10516968364081</v>
      </c>
      <c r="AA250" s="385">
        <f t="shared" si="87"/>
        <v>53.593725969388089</v>
      </c>
      <c r="AB250" s="196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2.7774823616434512E-2</v>
      </c>
      <c r="AD250" s="230">
        <f>(INDEX(Models!$BJ250:$BT250,,AH250)*(1-AF250)+INDEX(Models!$BJ250:$BT250,,AH250+1)*AF250-ERP_i)*AE250*Ramure*Pc/MaxiM</f>
        <v>9.0047984033722454E-5</v>
      </c>
      <c r="AE250" s="304">
        <f t="shared" si="89"/>
        <v>0.5</v>
      </c>
      <c r="AF250" s="176">
        <f t="shared" si="90"/>
        <v>0.12169803792976264</v>
      </c>
      <c r="AG250" s="175">
        <f t="shared" si="91"/>
        <v>0</v>
      </c>
      <c r="AH250" s="175">
        <f t="shared" si="92"/>
        <v>6</v>
      </c>
      <c r="AI250" s="224">
        <f t="shared" si="93"/>
        <v>0.12169803792976264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43702</v>
      </c>
      <c r="B251" s="616">
        <v>44.963999999999999</v>
      </c>
      <c r="C251" s="389"/>
      <c r="D251" s="392">
        <f t="shared" si="75"/>
        <v>45.411357458511077</v>
      </c>
      <c r="E251" s="384">
        <f t="shared" si="97"/>
        <v>46.710892549626401</v>
      </c>
      <c r="F251" s="384">
        <f t="shared" si="76"/>
        <v>46.714457837398044</v>
      </c>
      <c r="G251" s="110">
        <f t="shared" si="98"/>
        <v>0.87203093229265971</v>
      </c>
      <c r="H251" s="413" t="b">
        <f>Wh_hp&gt;='2018'!Maxi_hp</f>
        <v>1</v>
      </c>
      <c r="I251" s="389">
        <f>IF(H251,Wh_hp,'2018'!Maxi_hp)</f>
        <v>46.714457837398044</v>
      </c>
      <c r="J251" s="85">
        <f>IF(H251,An,'2018'!An_max)</f>
        <v>2019</v>
      </c>
      <c r="K251" s="196">
        <f t="shared" si="77"/>
        <v>43702</v>
      </c>
      <c r="L251" s="147">
        <f>IF(t&lt;Tvie,1-EXP((T0-t)*PertePVj)+'2018'!Pspv,1-EXP((T0-t)*PertePVj)+Pspv)</f>
        <v>9.8512240890352709E-3</v>
      </c>
      <c r="M251" s="847"/>
      <c r="N251" s="847"/>
      <c r="O251" s="48">
        <f>IF(t&lt;Tnet,'2018'!Resal+('2018'!Salim-'2018'!Resal)*(1-EXP(('2018'!Tnet-t)/('2018'!Tau_j))),Resal+(Salim-Resal)*(1-EXP((Tnet-t)/(Tau_j))))*Salcycl</f>
        <v>2.7820814807481567E-2</v>
      </c>
      <c r="P251" s="168">
        <f>(INDEX(Models!$BJ251:$BT251,,T251)*(1-R251)+INDEX(Models!$BJ251:$BT251,,T251+1)*R251-ERP_i)*Q251*Ramure*Pc/MaxiM</f>
        <v>9.3392177196908516E-5</v>
      </c>
      <c r="Q251" s="304">
        <f t="shared" si="78"/>
        <v>0.5</v>
      </c>
      <c r="R251" s="176">
        <f t="shared" si="79"/>
        <v>0.12220621703054141</v>
      </c>
      <c r="S251" s="814">
        <f t="shared" si="80"/>
        <v>0</v>
      </c>
      <c r="T251" s="175">
        <f t="shared" si="81"/>
        <v>6</v>
      </c>
      <c r="U251" s="250">
        <f t="shared" si="82"/>
        <v>0.12220621703054141</v>
      </c>
      <c r="V251" s="382">
        <f t="shared" si="83"/>
        <v>51.56151081551787</v>
      </c>
      <c r="W251" s="58"/>
      <c r="X251" s="157">
        <f t="shared" si="84"/>
        <v>43702</v>
      </c>
      <c r="Y251" s="384">
        <f t="shared" si="85"/>
        <v>44.963999999999999</v>
      </c>
      <c r="Z251" s="384">
        <f t="shared" si="86"/>
        <v>45.411357458511077</v>
      </c>
      <c r="AA251" s="385">
        <f t="shared" si="87"/>
        <v>46.710892549626401</v>
      </c>
      <c r="AB251" s="196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2.7820814807481567E-2</v>
      </c>
      <c r="AD251" s="230">
        <f>(INDEX(Models!$BJ251:$BT251,,AH251)*(1-AF251)+INDEX(Models!$BJ251:$BT251,,AH251+1)*AF251-ERP_i)*AE251*Ramure*Pc/MaxiM</f>
        <v>9.3392177196908516E-5</v>
      </c>
      <c r="AE251" s="304">
        <f t="shared" si="89"/>
        <v>0.5</v>
      </c>
      <c r="AF251" s="176">
        <f t="shared" si="90"/>
        <v>0.12220621703054141</v>
      </c>
      <c r="AG251" s="175">
        <f t="shared" si="91"/>
        <v>0</v>
      </c>
      <c r="AH251" s="175">
        <f t="shared" si="92"/>
        <v>6</v>
      </c>
      <c r="AI251" s="224">
        <f t="shared" si="93"/>
        <v>0.12220621703054141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43703</v>
      </c>
      <c r="B252" s="616">
        <v>42.752000000000002</v>
      </c>
      <c r="C252" s="389"/>
      <c r="D252" s="392">
        <f t="shared" si="75"/>
        <v>43.178295463422408</v>
      </c>
      <c r="E252" s="384">
        <f t="shared" si="97"/>
        <v>44.416020940365115</v>
      </c>
      <c r="F252" s="384">
        <f t="shared" si="76"/>
        <v>44.419293809158852</v>
      </c>
      <c r="G252" s="110">
        <f t="shared" si="98"/>
        <v>0.83123025598605493</v>
      </c>
      <c r="H252" s="413" t="b">
        <f>Wh_hp&gt;='2018'!Maxi_hp</f>
        <v>0</v>
      </c>
      <c r="I252" s="389">
        <f>IF(H252,Wh_hp,'2018'!Maxi_hp)</f>
        <v>53.423762617483668</v>
      </c>
      <c r="J252" s="85">
        <f>IF(H252,An,'2018'!An_max)</f>
        <v>2018</v>
      </c>
      <c r="K252" s="196">
        <f t="shared" si="77"/>
        <v>43703</v>
      </c>
      <c r="L252" s="147">
        <f>IF(t&lt;Tvie,1-EXP((T0-t)*PertePVj)+'2018'!Pspv,1-EXP((T0-t)*PertePVj)+Pspv)</f>
        <v>9.8729108883776062E-3</v>
      </c>
      <c r="M252" s="847"/>
      <c r="N252" s="847"/>
      <c r="O252" s="48">
        <f>IF(t&lt;Tnet,'2018'!Resal+('2018'!Salim-'2018'!Resal)*(1-EXP(('2018'!Tnet-t)/('2018'!Tau_j))),Resal+(Salim-Resal)*(1-EXP((Tnet-t)/(Tau_j))))*Salcycl</f>
        <v>2.7866644754255078E-2</v>
      </c>
      <c r="P252" s="168">
        <f>(INDEX(Models!$BJ252:$BT252,,T252)*(1-R252)+INDEX(Models!$BJ252:$BT252,,T252+1)*R252-ERP_i)*Q252*Ramure*Pc/MaxiM</f>
        <v>9.7085926036595031E-5</v>
      </c>
      <c r="Q252" s="304">
        <f t="shared" si="78"/>
        <v>0.5</v>
      </c>
      <c r="R252" s="176">
        <f t="shared" si="79"/>
        <v>0.12269562863138361</v>
      </c>
      <c r="S252" s="814">
        <f t="shared" si="80"/>
        <v>0</v>
      </c>
      <c r="T252" s="175">
        <f t="shared" si="81"/>
        <v>6</v>
      </c>
      <c r="U252" s="250">
        <f t="shared" si="82"/>
        <v>0.12269562863138361</v>
      </c>
      <c r="V252" s="382">
        <f t="shared" si="83"/>
        <v>51.430995228342105</v>
      </c>
      <c r="W252" s="58"/>
      <c r="X252" s="157">
        <f t="shared" si="84"/>
        <v>43703</v>
      </c>
      <c r="Y252" s="384">
        <f t="shared" si="85"/>
        <v>42.752000000000002</v>
      </c>
      <c r="Z252" s="384">
        <f t="shared" si="86"/>
        <v>43.178295463422408</v>
      </c>
      <c r="AA252" s="385">
        <f t="shared" si="87"/>
        <v>44.416020940365115</v>
      </c>
      <c r="AB252" s="196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2.7866644754255078E-2</v>
      </c>
      <c r="AD252" s="230">
        <f>(INDEX(Models!$BJ252:$BT252,,AH252)*(1-AF252)+INDEX(Models!$BJ252:$BT252,,AH252+1)*AF252-ERP_i)*AE252*Ramure*Pc/MaxiM</f>
        <v>9.7085926036595031E-5</v>
      </c>
      <c r="AE252" s="304">
        <f t="shared" si="89"/>
        <v>0.5</v>
      </c>
      <c r="AF252" s="176">
        <f t="shared" si="90"/>
        <v>0.12269562863138361</v>
      </c>
      <c r="AG252" s="175">
        <f t="shared" si="91"/>
        <v>0</v>
      </c>
      <c r="AH252" s="175">
        <f t="shared" si="92"/>
        <v>6</v>
      </c>
      <c r="AI252" s="224">
        <f t="shared" si="93"/>
        <v>0.12269562863138361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43704</v>
      </c>
      <c r="B253" s="616">
        <v>34.905000000000001</v>
      </c>
      <c r="C253" s="389"/>
      <c r="D253" s="392">
        <f t="shared" si="75"/>
        <v>35.253822372585631</v>
      </c>
      <c r="E253" s="384">
        <f t="shared" si="97"/>
        <v>36.266092756227032</v>
      </c>
      <c r="F253" s="384">
        <f t="shared" si="76"/>
        <v>36.268086190519348</v>
      </c>
      <c r="G253" s="110">
        <f t="shared" si="98"/>
        <v>0.68040833578444149</v>
      </c>
      <c r="H253" s="413" t="b">
        <f>Wh_hp&gt;='2018'!Maxi_hp</f>
        <v>0</v>
      </c>
      <c r="I253" s="389">
        <f>IF(H253,Wh_hp,'2018'!Maxi_hp)</f>
        <v>52.471560857407106</v>
      </c>
      <c r="J253" s="85">
        <f>IF(H253,An,'2018'!An_max)</f>
        <v>2018</v>
      </c>
      <c r="K253" s="196">
        <f t="shared" si="77"/>
        <v>43704</v>
      </c>
      <c r="L253" s="147">
        <f>IF(t&lt;Tvie,1-EXP((T0-t)*PertePVj)+'2018'!Pspv,1-EXP((T0-t)*PertePVj)+Pspv)</f>
        <v>9.8945972127233439E-3</v>
      </c>
      <c r="M253" s="847"/>
      <c r="N253" s="847"/>
      <c r="O253" s="48">
        <f>IF(t&lt;Tnet,'2018'!Resal+('2018'!Salim-'2018'!Resal)*(1-EXP(('2018'!Tnet-t)/('2018'!Tau_j))),Resal+(Salim-Resal)*(1-EXP((Tnet-t)/(Tau_j))))*Salcycl</f>
        <v>2.7912308900924825E-2</v>
      </c>
      <c r="P253" s="168">
        <f>(INDEX(Models!$BJ253:$BT253,,T253)*(1-R253)+INDEX(Models!$BJ253:$BT253,,T253+1)*R253-ERP_i)*Q253*Ramure*Pc/MaxiM</f>
        <v>1.0113219552678361E-4</v>
      </c>
      <c r="Q253" s="304">
        <f t="shared" si="78"/>
        <v>0.5</v>
      </c>
      <c r="R253" s="176">
        <f t="shared" si="79"/>
        <v>0.12316690273253195</v>
      </c>
      <c r="S253" s="814">
        <f t="shared" si="80"/>
        <v>0</v>
      </c>
      <c r="T253" s="175">
        <f t="shared" si="81"/>
        <v>6</v>
      </c>
      <c r="U253" s="250">
        <f t="shared" si="82"/>
        <v>0.12316690273253195</v>
      </c>
      <c r="V253" s="382">
        <f t="shared" si="83"/>
        <v>51.297708405789713</v>
      </c>
      <c r="W253" s="58"/>
      <c r="X253" s="157">
        <f t="shared" si="84"/>
        <v>43704</v>
      </c>
      <c r="Y253" s="384">
        <f t="shared" si="85"/>
        <v>34.905000000000001</v>
      </c>
      <c r="Z253" s="384">
        <f t="shared" si="86"/>
        <v>35.253822372585631</v>
      </c>
      <c r="AA253" s="385">
        <f t="shared" si="87"/>
        <v>36.266092756227032</v>
      </c>
      <c r="AB253" s="196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2.7912308900924825E-2</v>
      </c>
      <c r="AD253" s="230">
        <f>(INDEX(Models!$BJ253:$BT253,,AH253)*(1-AF253)+INDEX(Models!$BJ253:$BT253,,AH253+1)*AF253-ERP_i)*AE253*Ramure*Pc/MaxiM</f>
        <v>1.0113219552678361E-4</v>
      </c>
      <c r="AE253" s="304">
        <f t="shared" si="89"/>
        <v>0.5</v>
      </c>
      <c r="AF253" s="176">
        <f t="shared" si="90"/>
        <v>0.12316690273253195</v>
      </c>
      <c r="AG253" s="175">
        <f t="shared" si="91"/>
        <v>0</v>
      </c>
      <c r="AH253" s="175">
        <f t="shared" si="92"/>
        <v>6</v>
      </c>
      <c r="AI253" s="224">
        <f t="shared" si="93"/>
        <v>0.12316690273253195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43705</v>
      </c>
      <c r="B254" s="616">
        <v>40.564999999999998</v>
      </c>
      <c r="C254" s="389"/>
      <c r="D254" s="392">
        <f t="shared" si="75"/>
        <v>40.971282838038647</v>
      </c>
      <c r="E254" s="384">
        <f t="shared" si="97"/>
        <v>42.149695707170892</v>
      </c>
      <c r="F254" s="384">
        <f t="shared" si="76"/>
        <v>42.152824432324039</v>
      </c>
      <c r="G254" s="110">
        <f t="shared" si="98"/>
        <v>0.79286389100501231</v>
      </c>
      <c r="H254" s="413" t="b">
        <f>Wh_hp&gt;='2018'!Maxi_hp</f>
        <v>0</v>
      </c>
      <c r="I254" s="389">
        <f>IF(H254,Wh_hp,'2018'!Maxi_hp)</f>
        <v>43.434894355637773</v>
      </c>
      <c r="J254" s="85">
        <f>IF(H254,An,'2018'!An_max)</f>
        <v>2018</v>
      </c>
      <c r="K254" s="196">
        <f t="shared" si="77"/>
        <v>43705</v>
      </c>
      <c r="L254" s="147">
        <f>IF(t&lt;Tvie,1-EXP((T0-t)*PertePVj)+'2018'!Pspv,1-EXP((T0-t)*PertePVj)+Pspv)</f>
        <v>9.9162830620829201E-3</v>
      </c>
      <c r="M254" s="847"/>
      <c r="N254" s="847"/>
      <c r="O254" s="48">
        <f>IF(t&lt;Tnet,'2018'!Resal+('2018'!Salim-'2018'!Resal)*(1-EXP(('2018'!Tnet-t)/('2018'!Tau_j))),Resal+(Salim-Resal)*(1-EXP((Tnet-t)/(Tau_j))))*Salcycl</f>
        <v>2.7957802526478635E-2</v>
      </c>
      <c r="P254" s="168">
        <f>(INDEX(Models!$BJ254:$BT254,,T254)*(1-R254)+INDEX(Models!$BJ254:$BT254,,T254+1)*R254-ERP_i)*Q254*Ramure*Pc/MaxiM</f>
        <v>1.0541198249042059E-4</v>
      </c>
      <c r="Q254" s="304">
        <f t="shared" si="78"/>
        <v>0.5</v>
      </c>
      <c r="R254" s="176">
        <f t="shared" si="79"/>
        <v>0.12362065300406783</v>
      </c>
      <c r="S254" s="814">
        <f t="shared" si="80"/>
        <v>0</v>
      </c>
      <c r="T254" s="175">
        <f t="shared" si="81"/>
        <v>6</v>
      </c>
      <c r="U254" s="250">
        <f t="shared" si="82"/>
        <v>0.12362065300406783</v>
      </c>
      <c r="V254" s="382">
        <f t="shared" si="83"/>
        <v>51.161031799614584</v>
      </c>
      <c r="W254" s="58"/>
      <c r="X254" s="157">
        <f t="shared" si="84"/>
        <v>43705</v>
      </c>
      <c r="Y254" s="384">
        <f t="shared" si="85"/>
        <v>40.564999999999998</v>
      </c>
      <c r="Z254" s="384">
        <f t="shared" si="86"/>
        <v>40.971282838038647</v>
      </c>
      <c r="AA254" s="385">
        <f t="shared" si="87"/>
        <v>42.149695707170892</v>
      </c>
      <c r="AB254" s="196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2.7957802526478635E-2</v>
      </c>
      <c r="AD254" s="230">
        <f>(INDEX(Models!$BJ254:$BT254,,AH254)*(1-AF254)+INDEX(Models!$BJ254:$BT254,,AH254+1)*AF254-ERP_i)*AE254*Ramure*Pc/MaxiM</f>
        <v>1.0541198249042059E-4</v>
      </c>
      <c r="AE254" s="304">
        <f t="shared" si="89"/>
        <v>0.5</v>
      </c>
      <c r="AF254" s="176">
        <f t="shared" si="90"/>
        <v>0.12362065300406783</v>
      </c>
      <c r="AG254" s="175">
        <f t="shared" si="91"/>
        <v>0</v>
      </c>
      <c r="AH254" s="175">
        <f t="shared" si="92"/>
        <v>6</v>
      </c>
      <c r="AI254" s="224">
        <f t="shared" si="93"/>
        <v>0.12362065300406783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43706</v>
      </c>
      <c r="B255" s="616">
        <v>48.433999999999997</v>
      </c>
      <c r="C255" s="389"/>
      <c r="D255" s="392">
        <f t="shared" si="75"/>
        <v>48.92016707631106</v>
      </c>
      <c r="E255" s="384">
        <f t="shared" si="97"/>
        <v>50.329551586073663</v>
      </c>
      <c r="F255" s="384">
        <f t="shared" si="76"/>
        <v>50.33466777055876</v>
      </c>
      <c r="G255" s="110">
        <f t="shared" si="98"/>
        <v>0.94929978828438788</v>
      </c>
      <c r="H255" s="413" t="b">
        <f>Wh_hp&gt;='2018'!Maxi_hp</f>
        <v>1</v>
      </c>
      <c r="I255" s="389">
        <f>IF(H255,Wh_hp,'2018'!Maxi_hp)</f>
        <v>50.33466777055876</v>
      </c>
      <c r="J255" s="85">
        <f>IF(H255,An,'2018'!An_max)</f>
        <v>2019</v>
      </c>
      <c r="K255" s="196">
        <f t="shared" si="77"/>
        <v>43706</v>
      </c>
      <c r="L255" s="147">
        <f>IF(t&lt;Tvie,1-EXP((T0-t)*PertePVj)+'2018'!Pspv,1-EXP((T0-t)*PertePVj)+Pspv)</f>
        <v>9.9379684364667709E-3</v>
      </c>
      <c r="M255" s="847"/>
      <c r="N255" s="847"/>
      <c r="O255" s="48">
        <f>IF(t&lt;Tnet,'2018'!Resal+('2018'!Salim-'2018'!Resal)*(1-EXP(('2018'!Tnet-t)/('2018'!Tau_j))),Resal+(Salim-Resal)*(1-EXP((Tnet-t)/(Tau_j))))*Salcycl</f>
        <v>2.8003120738166631E-2</v>
      </c>
      <c r="P255" s="168">
        <f>(INDEX(Models!$BJ255:$BT255,,T255)*(1-R255)+INDEX(Models!$BJ255:$BT255,,T255+1)*R255-ERP_i)*Q255*Ramure*Pc/MaxiM</f>
        <v>1.0957884776977379E-4</v>
      </c>
      <c r="Q255" s="304">
        <f t="shared" si="78"/>
        <v>0.5</v>
      </c>
      <c r="R255" s="176">
        <f t="shared" si="79"/>
        <v>0.1240574768254446</v>
      </c>
      <c r="S255" s="814">
        <f t="shared" si="80"/>
        <v>0</v>
      </c>
      <c r="T255" s="175">
        <f t="shared" si="81"/>
        <v>6</v>
      </c>
      <c r="U255" s="250">
        <f t="shared" si="82"/>
        <v>0.1240574768254446</v>
      </c>
      <c r="V255" s="382">
        <f t="shared" si="83"/>
        <v>51.020358595870768</v>
      </c>
      <c r="W255" s="58"/>
      <c r="X255" s="157">
        <f t="shared" si="84"/>
        <v>43706</v>
      </c>
      <c r="Y255" s="384">
        <f t="shared" si="85"/>
        <v>48.433999999999997</v>
      </c>
      <c r="Z255" s="384">
        <f t="shared" si="86"/>
        <v>48.92016707631106</v>
      </c>
      <c r="AA255" s="385">
        <f t="shared" si="87"/>
        <v>50.329551586073663</v>
      </c>
      <c r="AB255" s="196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2.8003120738166631E-2</v>
      </c>
      <c r="AD255" s="230">
        <f>(INDEX(Models!$BJ255:$BT255,,AH255)*(1-AF255)+INDEX(Models!$BJ255:$BT255,,AH255+1)*AF255-ERP_i)*AE255*Ramure*Pc/MaxiM</f>
        <v>1.0957884776977379E-4</v>
      </c>
      <c r="AE255" s="304">
        <f t="shared" si="89"/>
        <v>0.5</v>
      </c>
      <c r="AF255" s="176">
        <f t="shared" si="90"/>
        <v>0.1240574768254446</v>
      </c>
      <c r="AG255" s="175">
        <f t="shared" si="91"/>
        <v>0</v>
      </c>
      <c r="AH255" s="175">
        <f t="shared" si="92"/>
        <v>6</v>
      </c>
      <c r="AI255" s="224">
        <f t="shared" si="93"/>
        <v>0.1240574768254446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43707</v>
      </c>
      <c r="B256" s="616">
        <v>48.465000000000003</v>
      </c>
      <c r="C256" s="389"/>
      <c r="D256" s="392">
        <f t="shared" si="75"/>
        <v>48.952550432212277</v>
      </c>
      <c r="E256" s="384">
        <f t="shared" si="97"/>
        <v>50.365206769204192</v>
      </c>
      <c r="F256" s="384">
        <f t="shared" si="76"/>
        <v>50.370543169731143</v>
      </c>
      <c r="G256" s="110">
        <f t="shared" si="98"/>
        <v>0.95262046152509572</v>
      </c>
      <c r="H256" s="413" t="b">
        <f>Wh_hp&gt;='2018'!Maxi_hp</f>
        <v>1</v>
      </c>
      <c r="I256" s="389">
        <f>IF(H256,Wh_hp,'2018'!Maxi_hp)</f>
        <v>50.370543169731143</v>
      </c>
      <c r="J256" s="85">
        <f>IF(H256,An,'2018'!An_max)</f>
        <v>2019</v>
      </c>
      <c r="K256" s="196">
        <f t="shared" si="77"/>
        <v>43707</v>
      </c>
      <c r="L256" s="147">
        <f>IF(t&lt;Tvie,1-EXP((T0-t)*PertePVj)+'2018'!Pspv,1-EXP((T0-t)*PertePVj)+Pspv)</f>
        <v>9.9596533358852213E-3</v>
      </c>
      <c r="M256" s="847"/>
      <c r="N256" s="847"/>
      <c r="O256" s="48">
        <f>IF(t&lt;Tnet,'2018'!Resal+('2018'!Salim-'2018'!Resal)*(1-EXP(('2018'!Tnet-t)/('2018'!Tau_j))),Resal+(Salim-Resal)*(1-EXP((Tnet-t)/(Tau_j))))*Salcycl</f>
        <v>2.804825846273876E-2</v>
      </c>
      <c r="P256" s="168">
        <f>(INDEX(Models!$BJ256:$BT256,,T256)*(1-R256)+INDEX(Models!$BJ256:$BT256,,T256+1)*R256-ERP_i)*Q256*Ramure*Pc/MaxiM</f>
        <v>1.136329451077498E-4</v>
      </c>
      <c r="Q256" s="304">
        <f t="shared" si="78"/>
        <v>0.5</v>
      </c>
      <c r="R256" s="176">
        <f t="shared" si="79"/>
        <v>0.12447795536214945</v>
      </c>
      <c r="S256" s="814">
        <f t="shared" si="80"/>
        <v>0</v>
      </c>
      <c r="T256" s="175">
        <f t="shared" si="81"/>
        <v>6</v>
      </c>
      <c r="U256" s="250">
        <f t="shared" si="82"/>
        <v>0.12447795536214945</v>
      </c>
      <c r="V256" s="382">
        <f t="shared" si="83"/>
        <v>50.875064329426863</v>
      </c>
      <c r="W256" s="58"/>
      <c r="X256" s="157">
        <f t="shared" si="84"/>
        <v>43707</v>
      </c>
      <c r="Y256" s="384">
        <f t="shared" si="85"/>
        <v>48.465000000000003</v>
      </c>
      <c r="Z256" s="384">
        <f t="shared" si="86"/>
        <v>48.952550432212277</v>
      </c>
      <c r="AA256" s="385">
        <f t="shared" si="87"/>
        <v>50.365206769204192</v>
      </c>
      <c r="AB256" s="196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2.804825846273876E-2</v>
      </c>
      <c r="AD256" s="230">
        <f>(INDEX(Models!$BJ256:$BT256,,AH256)*(1-AF256)+INDEX(Models!$BJ256:$BT256,,AH256+1)*AF256-ERP_i)*AE256*Ramure*Pc/MaxiM</f>
        <v>1.136329451077498E-4</v>
      </c>
      <c r="AE256" s="304">
        <f t="shared" si="89"/>
        <v>0.5</v>
      </c>
      <c r="AF256" s="176">
        <f t="shared" si="90"/>
        <v>0.12447795536214945</v>
      </c>
      <c r="AG256" s="175">
        <f t="shared" si="91"/>
        <v>0</v>
      </c>
      <c r="AH256" s="175">
        <f t="shared" si="92"/>
        <v>6</v>
      </c>
      <c r="AI256" s="224">
        <f t="shared" si="93"/>
        <v>0.12447795536214945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43708</v>
      </c>
      <c r="B257" s="616">
        <v>46.420999999999999</v>
      </c>
      <c r="C257" s="389"/>
      <c r="D257" s="392">
        <f t="shared" si="75"/>
        <v>46.889015096932575</v>
      </c>
      <c r="E257" s="384">
        <f t="shared" si="97"/>
        <v>48.244353882901777</v>
      </c>
      <c r="F257" s="384">
        <f t="shared" si="76"/>
        <v>48.249339217894772</v>
      </c>
      <c r="G257" s="110">
        <f t="shared" si="98"/>
        <v>0.91514585278853844</v>
      </c>
      <c r="H257" s="413" t="b">
        <f>Wh_hp&gt;='2018'!Maxi_hp</f>
        <v>1</v>
      </c>
      <c r="I257" s="389">
        <f>IF(H257,Wh_hp,'2018'!Maxi_hp)</f>
        <v>48.249339217894772</v>
      </c>
      <c r="J257" s="85">
        <f>IF(H257,An,'2018'!An_max)</f>
        <v>2019</v>
      </c>
      <c r="K257" s="196">
        <f t="shared" si="77"/>
        <v>43708</v>
      </c>
      <c r="L257" s="147">
        <f>IF(t&lt;Tvie,1-EXP((T0-t)*PertePVj)+'2018'!Pspv,1-EXP((T0-t)*PertePVj)+Pspv)</f>
        <v>9.9813377603487075E-3</v>
      </c>
      <c r="M257" s="847"/>
      <c r="N257" s="847"/>
      <c r="O257" s="48">
        <f>IF(t&lt;Tnet,'2018'!Resal+('2018'!Salim-'2018'!Resal)*(1-EXP(('2018'!Tnet-t)/('2018'!Tau_j))),Resal+(Salim-Resal)*(1-EXP((Tnet-t)/(Tau_j))))*Salcycl</f>
        <v>2.8093210435751029E-2</v>
      </c>
      <c r="P257" s="168">
        <f>(INDEX(Models!$BJ257:$BT257,,T257)*(1-R257)+INDEX(Models!$BJ257:$BT257,,T257+1)*R257-ERP_i)*Q257*Ramure*Pc/MaxiM</f>
        <v>1.1757465361790978E-4</v>
      </c>
      <c r="Q257" s="304">
        <f t="shared" si="78"/>
        <v>0.5</v>
      </c>
      <c r="R257" s="176">
        <f t="shared" si="79"/>
        <v>0.12488265367596957</v>
      </c>
      <c r="S257" s="814">
        <f t="shared" si="80"/>
        <v>0</v>
      </c>
      <c r="T257" s="175">
        <f t="shared" si="81"/>
        <v>6</v>
      </c>
      <c r="U257" s="250">
        <f t="shared" si="82"/>
        <v>0.12488265367596957</v>
      </c>
      <c r="V257" s="382">
        <f t="shared" si="83"/>
        <v>50.724524708387776</v>
      </c>
      <c r="W257" s="58"/>
      <c r="X257" s="157">
        <f t="shared" si="84"/>
        <v>43708</v>
      </c>
      <c r="Y257" s="384">
        <f t="shared" si="85"/>
        <v>46.420999999999999</v>
      </c>
      <c r="Z257" s="384">
        <f t="shared" si="86"/>
        <v>46.889015096932575</v>
      </c>
      <c r="AA257" s="385">
        <f t="shared" si="87"/>
        <v>48.244353882901777</v>
      </c>
      <c r="AB257" s="196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2.8093210435751029E-2</v>
      </c>
      <c r="AD257" s="230">
        <f>(INDEX(Models!$BJ257:$BT257,,AH257)*(1-AF257)+INDEX(Models!$BJ257:$BT257,,AH257+1)*AF257-ERP_i)*AE257*Ramure*Pc/MaxiM</f>
        <v>1.1757465361790978E-4</v>
      </c>
      <c r="AE257" s="304">
        <f t="shared" si="89"/>
        <v>0.5</v>
      </c>
      <c r="AF257" s="176">
        <f t="shared" si="90"/>
        <v>0.12488265367596957</v>
      </c>
      <c r="AG257" s="175">
        <f t="shared" si="91"/>
        <v>0</v>
      </c>
      <c r="AH257" s="175">
        <f t="shared" si="92"/>
        <v>6</v>
      </c>
      <c r="AI257" s="224">
        <f t="shared" si="93"/>
        <v>0.12488265367596957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43709</v>
      </c>
      <c r="B258" s="616">
        <v>15.823</v>
      </c>
      <c r="C258" s="389"/>
      <c r="D258" s="392">
        <f t="shared" si="75"/>
        <v>15.982877066280146</v>
      </c>
      <c r="E258" s="384">
        <f t="shared" si="97"/>
        <v>16.445623547859135</v>
      </c>
      <c r="F258" s="384">
        <f t="shared" si="76"/>
        <v>16.44566035529013</v>
      </c>
      <c r="G258" s="110">
        <f t="shared" si="98"/>
        <v>0.3128673915588851</v>
      </c>
      <c r="H258" s="413" t="b">
        <f>Wh_hp&gt;='2018'!Maxi_hp</f>
        <v>0</v>
      </c>
      <c r="I258" s="389">
        <f>IF(H258,Wh_hp,'2018'!Maxi_hp)</f>
        <v>53.126958868503813</v>
      </c>
      <c r="J258" s="85">
        <f>IF(H258,An,'2018'!An_max)</f>
        <v>2018</v>
      </c>
      <c r="K258" s="196">
        <f t="shared" si="77"/>
        <v>43709</v>
      </c>
      <c r="L258" s="147">
        <f>IF(t&lt;Tvie,1-EXP((T0-t)*PertePVj)+'2018'!Pspv,1-EXP((T0-t)*PertePVj)+Pspv)</f>
        <v>1.0003021709867665E-2</v>
      </c>
      <c r="M258" s="847"/>
      <c r="N258" s="847"/>
      <c r="O258" s="48">
        <f>IF(t&lt;Tnet,'2018'!Resal+('2018'!Salim-'2018'!Resal)*(1-EXP(('2018'!Tnet-t)/('2018'!Tau_j))),Resal+(Salim-Resal)*(1-EXP((Tnet-t)/(Tau_j))))*Salcycl</f>
        <v>2.8137971189254783E-2</v>
      </c>
      <c r="P258" s="168">
        <f>(INDEX(Models!$BJ258:$BT258,,T258)*(1-R258)+INDEX(Models!$BJ258:$BT258,,T258+1)*R258-ERP_i)*Q258*Ramure*Pc/MaxiM</f>
        <v>1.214045632753353E-4</v>
      </c>
      <c r="Q258" s="304">
        <f t="shared" si="78"/>
        <v>0.5</v>
      </c>
      <c r="R258" s="176">
        <f t="shared" si="79"/>
        <v>0.12527212086554246</v>
      </c>
      <c r="S258" s="814">
        <f t="shared" si="80"/>
        <v>0</v>
      </c>
      <c r="T258" s="175">
        <f t="shared" si="81"/>
        <v>6</v>
      </c>
      <c r="U258" s="250">
        <f t="shared" si="82"/>
        <v>0.12527212086554246</v>
      </c>
      <c r="V258" s="382">
        <f t="shared" si="83"/>
        <v>50.56811560445793</v>
      </c>
      <c r="W258" s="58"/>
      <c r="X258" s="157">
        <f t="shared" si="84"/>
        <v>43709</v>
      </c>
      <c r="Y258" s="384">
        <f t="shared" si="85"/>
        <v>15.823</v>
      </c>
      <c r="Z258" s="384">
        <f t="shared" si="86"/>
        <v>15.982877066280146</v>
      </c>
      <c r="AA258" s="385">
        <f t="shared" si="87"/>
        <v>16.445623547859135</v>
      </c>
      <c r="AB258" s="196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2.8137971189254783E-2</v>
      </c>
      <c r="AD258" s="230">
        <f>(INDEX(Models!$BJ258:$BT258,,AH258)*(1-AF258)+INDEX(Models!$BJ258:$BT258,,AH258+1)*AF258-ERP_i)*AE258*Ramure*Pc/MaxiM</f>
        <v>1.214045632753353E-4</v>
      </c>
      <c r="AE258" s="304">
        <f t="shared" si="89"/>
        <v>0.5</v>
      </c>
      <c r="AF258" s="176">
        <f t="shared" si="90"/>
        <v>0.12527212086554246</v>
      </c>
      <c r="AG258" s="175">
        <f t="shared" si="91"/>
        <v>0</v>
      </c>
      <c r="AH258" s="175">
        <f t="shared" si="92"/>
        <v>6</v>
      </c>
      <c r="AI258" s="224">
        <f t="shared" si="93"/>
        <v>0.12527212086554246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43710</v>
      </c>
      <c r="B259" s="616">
        <v>48.841000000000001</v>
      </c>
      <c r="C259" s="389"/>
      <c r="D259" s="392">
        <f t="shared" si="75"/>
        <v>49.335574590374065</v>
      </c>
      <c r="E259" s="384">
        <f t="shared" si="97"/>
        <v>50.766297549832949</v>
      </c>
      <c r="F259" s="384">
        <f t="shared" si="76"/>
        <v>50.772368728046843</v>
      </c>
      <c r="G259" s="110">
        <f t="shared" si="98"/>
        <v>0.96896186083323621</v>
      </c>
      <c r="H259" s="413" t="b">
        <f>Wh_hp&gt;='2018'!Maxi_hp</f>
        <v>0</v>
      </c>
      <c r="I259" s="389">
        <f>IF(H259,Wh_hp,'2018'!Maxi_hp)</f>
        <v>50.943890407811566</v>
      </c>
      <c r="J259" s="85">
        <f>IF(H259,An,'2018'!An_max)</f>
        <v>2018</v>
      </c>
      <c r="K259" s="196">
        <f t="shared" si="77"/>
        <v>43710</v>
      </c>
      <c r="L259" s="147">
        <f>IF(t&lt;Tvie,1-EXP((T0-t)*PertePVj)+'2018'!Pspv,1-EXP((T0-t)*PertePVj)+Pspv)</f>
        <v>1.0024705184452531E-2</v>
      </c>
      <c r="M259" s="847"/>
      <c r="N259" s="847"/>
      <c r="O259" s="48">
        <f>IF(t&lt;Tnet,'2018'!Resal+('2018'!Salim-'2018'!Resal)*(1-EXP(('2018'!Tnet-t)/('2018'!Tau_j))),Resal+(Salim-Resal)*(1-EXP((Tnet-t)/(Tau_j))))*Salcycl</f>
        <v>2.8182535038220193E-2</v>
      </c>
      <c r="P259" s="168">
        <f>(INDEX(Models!$BJ259:$BT259,,T259)*(1-R259)+INDEX(Models!$BJ259:$BT259,,T259+1)*R259-ERP_i)*Q259*Ramure*Pc/MaxiM</f>
        <v>1.2512346075018246E-4</v>
      </c>
      <c r="Q259" s="304">
        <f t="shared" si="78"/>
        <v>0.5</v>
      </c>
      <c r="R259" s="176">
        <f t="shared" si="79"/>
        <v>0.12564689023406639</v>
      </c>
      <c r="S259" s="814">
        <f t="shared" si="80"/>
        <v>0</v>
      </c>
      <c r="T259" s="175">
        <f t="shared" si="81"/>
        <v>6</v>
      </c>
      <c r="U259" s="250">
        <f t="shared" si="82"/>
        <v>0.12564689023406639</v>
      </c>
      <c r="V259" s="382">
        <f t="shared" si="83"/>
        <v>50.405213062467773</v>
      </c>
      <c r="W259" s="58"/>
      <c r="X259" s="157">
        <f t="shared" si="84"/>
        <v>43710</v>
      </c>
      <c r="Y259" s="384">
        <f t="shared" si="85"/>
        <v>48.841000000000001</v>
      </c>
      <c r="Z259" s="384">
        <f t="shared" si="86"/>
        <v>49.335574590374065</v>
      </c>
      <c r="AA259" s="385">
        <f t="shared" si="87"/>
        <v>50.766297549832949</v>
      </c>
      <c r="AB259" s="196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2.8182535038220193E-2</v>
      </c>
      <c r="AD259" s="230">
        <f>(INDEX(Models!$BJ259:$BT259,,AH259)*(1-AF259)+INDEX(Models!$BJ259:$BT259,,AH259+1)*AF259-ERP_i)*AE259*Ramure*Pc/MaxiM</f>
        <v>1.2512346075018246E-4</v>
      </c>
      <c r="AE259" s="304">
        <f t="shared" si="89"/>
        <v>0.5</v>
      </c>
      <c r="AF259" s="176">
        <f t="shared" si="90"/>
        <v>0.12564689023406639</v>
      </c>
      <c r="AG259" s="175">
        <f t="shared" si="91"/>
        <v>0</v>
      </c>
      <c r="AH259" s="175">
        <f t="shared" si="92"/>
        <v>6</v>
      </c>
      <c r="AI259" s="224">
        <f t="shared" si="93"/>
        <v>0.12564689023406639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43711</v>
      </c>
      <c r="B260" s="616">
        <v>51.350999999999999</v>
      </c>
      <c r="C260" s="389"/>
      <c r="D260" s="392">
        <f t="shared" si="75"/>
        <v>51.872127529093113</v>
      </c>
      <c r="E260" s="384">
        <f t="shared" si="97"/>
        <v>53.378846686644088</v>
      </c>
      <c r="F260" s="384">
        <f t="shared" si="76"/>
        <v>53.385719153898613</v>
      </c>
      <c r="G260" s="110">
        <f t="shared" si="98"/>
        <v>1.0222116535340211</v>
      </c>
      <c r="H260" s="413" t="b">
        <f>Wh_hp&gt;='2018'!Maxi_hp</f>
        <v>1</v>
      </c>
      <c r="I260" s="389">
        <f>IF(H260,Wh_hp,'2018'!Maxi_hp)</f>
        <v>53.385719153898613</v>
      </c>
      <c r="J260" s="85">
        <f>IF(H260,An,'2018'!An_max)</f>
        <v>2019</v>
      </c>
      <c r="K260" s="196">
        <f t="shared" si="77"/>
        <v>43711</v>
      </c>
      <c r="L260" s="147">
        <f>IF(t&lt;Tvie,1-EXP((T0-t)*PertePVj)+'2018'!Pspv,1-EXP((T0-t)*PertePVj)+Pspv)</f>
        <v>1.0046388184113519E-2</v>
      </c>
      <c r="M260" s="847"/>
      <c r="N260" s="847"/>
      <c r="O260" s="48">
        <f>IF(t&lt;Tnet,'2018'!Resal+('2018'!Salim-'2018'!Resal)*(1-EXP(('2018'!Tnet-t)/('2018'!Tau_j))),Resal+(Salim-Resal)*(1-EXP((Tnet-t)/(Tau_j))))*Salcycl</f>
        <v>2.8226896066077176E-2</v>
      </c>
      <c r="P260" s="168">
        <f>(INDEX(Models!$BJ260:$BT260,,T260)*(1-R260)+INDEX(Models!$BJ260:$BT260,,T260+1)*R260-ERP_i)*Q260*Ramure*Pc/MaxiM</f>
        <v>1.287323157474481E-4</v>
      </c>
      <c r="Q260" s="304">
        <f t="shared" si="78"/>
        <v>0.5</v>
      </c>
      <c r="R260" s="176">
        <f t="shared" si="79"/>
        <v>0.12600747948124169</v>
      </c>
      <c r="S260" s="814">
        <f t="shared" si="80"/>
        <v>0</v>
      </c>
      <c r="T260" s="175">
        <f t="shared" si="81"/>
        <v>6</v>
      </c>
      <c r="U260" s="250">
        <f t="shared" si="82"/>
        <v>0.12600747948124169</v>
      </c>
      <c r="V260" s="382">
        <f t="shared" si="83"/>
        <v>50.235193291396918</v>
      </c>
      <c r="W260" s="58"/>
      <c r="X260" s="157">
        <f t="shared" si="84"/>
        <v>43711</v>
      </c>
      <c r="Y260" s="384">
        <f t="shared" si="85"/>
        <v>51.350999999999999</v>
      </c>
      <c r="Z260" s="384">
        <f t="shared" si="86"/>
        <v>51.872127529093113</v>
      </c>
      <c r="AA260" s="385">
        <f t="shared" si="87"/>
        <v>53.378846686644088</v>
      </c>
      <c r="AB260" s="196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2.8226896066077176E-2</v>
      </c>
      <c r="AD260" s="230">
        <f>(INDEX(Models!$BJ260:$BT260,,AH260)*(1-AF260)+INDEX(Models!$BJ260:$BT260,,AH260+1)*AF260-ERP_i)*AE260*Ramure*Pc/MaxiM</f>
        <v>1.287323157474481E-4</v>
      </c>
      <c r="AE260" s="304">
        <f t="shared" si="89"/>
        <v>0.5</v>
      </c>
      <c r="AF260" s="176">
        <f t="shared" si="90"/>
        <v>0.12600747948124169</v>
      </c>
      <c r="AG260" s="175">
        <f t="shared" si="91"/>
        <v>0</v>
      </c>
      <c r="AH260" s="175">
        <f t="shared" si="92"/>
        <v>6</v>
      </c>
      <c r="AI260" s="224">
        <f t="shared" si="93"/>
        <v>0.12600747948124169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43712</v>
      </c>
      <c r="B261" s="616">
        <v>51.012999999999998</v>
      </c>
      <c r="C261" s="389"/>
      <c r="D261" s="392">
        <f t="shared" si="75"/>
        <v>51.531826068615558</v>
      </c>
      <c r="E261" s="384">
        <f t="shared" si="97"/>
        <v>53.031069999895969</v>
      </c>
      <c r="F261" s="384">
        <f t="shared" si="76"/>
        <v>53.038083158550982</v>
      </c>
      <c r="G261" s="110">
        <f t="shared" si="98"/>
        <v>1.0190621905871711</v>
      </c>
      <c r="H261" s="413" t="b">
        <f>Wh_hp&gt;='2018'!Maxi_hp</f>
        <v>1</v>
      </c>
      <c r="I261" s="389">
        <f>IF(H261,Wh_hp,'2018'!Maxi_hp)</f>
        <v>53.038083158550982</v>
      </c>
      <c r="J261" s="85">
        <f>IF(H261,An,'2018'!An_max)</f>
        <v>2019</v>
      </c>
      <c r="K261" s="196">
        <f t="shared" si="77"/>
        <v>43712</v>
      </c>
      <c r="L261" s="147">
        <f>IF(t&lt;Tvie,1-EXP((T0-t)*PertePVj)+'2018'!Pspv,1-EXP((T0-t)*PertePVj)+Pspv)</f>
        <v>1.0068070708861288E-2</v>
      </c>
      <c r="M261" s="847"/>
      <c r="N261" s="847"/>
      <c r="O261" s="48">
        <f>IF(t&lt;Tnet,'2018'!Resal+('2018'!Salim-'2018'!Resal)*(1-EXP(('2018'!Tnet-t)/('2018'!Tau_j))),Resal+(Salim-Resal)*(1-EXP((Tnet-t)/(Tau_j))))*Salcycl</f>
        <v>2.827104810978455E-2</v>
      </c>
      <c r="P261" s="168">
        <f>(INDEX(Models!$BJ261:$BT261,,T261)*(1-R261)+INDEX(Models!$BJ261:$BT261,,T261+1)*R261-ERP_i)*Q261*Ramure*Pc/MaxiM</f>
        <v>1.322287352287799E-4</v>
      </c>
      <c r="Q261" s="304">
        <f t="shared" si="78"/>
        <v>0.5</v>
      </c>
      <c r="R261" s="176">
        <f t="shared" si="79"/>
        <v>0.12635439091670025</v>
      </c>
      <c r="S261" s="814">
        <f t="shared" si="80"/>
        <v>0</v>
      </c>
      <c r="T261" s="175">
        <f t="shared" si="81"/>
        <v>6</v>
      </c>
      <c r="U261" s="250">
        <f t="shared" si="82"/>
        <v>0.12635439091670025</v>
      </c>
      <c r="V261" s="382">
        <f t="shared" si="83"/>
        <v>50.058770182226993</v>
      </c>
      <c r="W261" s="58"/>
      <c r="X261" s="157">
        <f t="shared" si="84"/>
        <v>43712</v>
      </c>
      <c r="Y261" s="384">
        <f t="shared" si="85"/>
        <v>51.012999999999998</v>
      </c>
      <c r="Z261" s="384">
        <f t="shared" si="86"/>
        <v>51.531826068615558</v>
      </c>
      <c r="AA261" s="385">
        <f t="shared" si="87"/>
        <v>53.031069999895969</v>
      </c>
      <c r="AB261" s="196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2.827104810978455E-2</v>
      </c>
      <c r="AD261" s="230">
        <f>(INDEX(Models!$BJ261:$BT261,,AH261)*(1-AF261)+INDEX(Models!$BJ261:$BT261,,AH261+1)*AF261-ERP_i)*AE261*Ramure*Pc/MaxiM</f>
        <v>1.322287352287799E-4</v>
      </c>
      <c r="AE261" s="304">
        <f t="shared" si="89"/>
        <v>0.5</v>
      </c>
      <c r="AF261" s="176">
        <f t="shared" si="90"/>
        <v>0.12635439091670025</v>
      </c>
      <c r="AG261" s="175">
        <f t="shared" si="91"/>
        <v>0</v>
      </c>
      <c r="AH261" s="175">
        <f t="shared" si="92"/>
        <v>6</v>
      </c>
      <c r="AI261" s="224">
        <f t="shared" si="93"/>
        <v>0.12635439091670025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43713</v>
      </c>
      <c r="B262" s="616">
        <v>40.098999999999997</v>
      </c>
      <c r="C262" s="389"/>
      <c r="D262" s="392">
        <f t="shared" si="75"/>
        <v>40.507712807043745</v>
      </c>
      <c r="E262" s="384">
        <f t="shared" si="97"/>
        <v>41.688111035043065</v>
      </c>
      <c r="F262" s="384">
        <f t="shared" si="76"/>
        <v>41.692181341346064</v>
      </c>
      <c r="G262" s="110">
        <f t="shared" si="98"/>
        <v>0.80392488036198251</v>
      </c>
      <c r="H262" s="413" t="b">
        <f>Wh_hp&gt;='2018'!Maxi_hp</f>
        <v>0</v>
      </c>
      <c r="I262" s="389">
        <f>IF(H262,Wh_hp,'2018'!Maxi_hp)</f>
        <v>43.889332565471292</v>
      </c>
      <c r="J262" s="85">
        <f>IF(H262,An,'2018'!An_max)</f>
        <v>2018</v>
      </c>
      <c r="K262" s="196">
        <f t="shared" si="77"/>
        <v>43713</v>
      </c>
      <c r="L262" s="147">
        <f>IF(t&lt;Tvie,1-EXP((T0-t)*PertePVj)+'2018'!Pspv,1-EXP((T0-t)*PertePVj)+Pspv)</f>
        <v>1.0089752758706161E-2</v>
      </c>
      <c r="M262" s="847"/>
      <c r="N262" s="847"/>
      <c r="O262" s="48">
        <f>IF(t&lt;Tnet,'2018'!Resal+('2018'!Salim-'2018'!Resal)*(1-EXP(('2018'!Tnet-t)/('2018'!Tau_j))),Resal+(Salim-Resal)*(1-EXP((Tnet-t)/(Tau_j))))*Salcycl</f>
        <v>2.8314984744861001E-2</v>
      </c>
      <c r="P262" s="168">
        <f>(INDEX(Models!$BJ262:$BT262,,T262)*(1-R262)+INDEX(Models!$BJ262:$BT262,,T262+1)*R262-ERP_i)*Q262*Ramure*Pc/MaxiM</f>
        <v>1.3560584126504505E-4</v>
      </c>
      <c r="Q262" s="304">
        <f t="shared" si="78"/>
        <v>0.5</v>
      </c>
      <c r="R262" s="176">
        <f t="shared" si="79"/>
        <v>0.12668811169236338</v>
      </c>
      <c r="S262" s="814">
        <f t="shared" si="80"/>
        <v>0</v>
      </c>
      <c r="T262" s="175">
        <f t="shared" si="81"/>
        <v>6</v>
      </c>
      <c r="U262" s="250">
        <f t="shared" si="82"/>
        <v>0.12668811169236338</v>
      </c>
      <c r="V262" s="382">
        <f t="shared" si="83"/>
        <v>49.877143922337353</v>
      </c>
      <c r="W262" s="58"/>
      <c r="X262" s="157">
        <f t="shared" si="84"/>
        <v>43713</v>
      </c>
      <c r="Y262" s="384">
        <f t="shared" si="85"/>
        <v>40.098999999999997</v>
      </c>
      <c r="Z262" s="384">
        <f t="shared" si="86"/>
        <v>40.507712807043745</v>
      </c>
      <c r="AA262" s="385">
        <f t="shared" si="87"/>
        <v>41.688111035043065</v>
      </c>
      <c r="AB262" s="196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2.8314984744861001E-2</v>
      </c>
      <c r="AD262" s="230">
        <f>(INDEX(Models!$BJ262:$BT262,,AH262)*(1-AF262)+INDEX(Models!$BJ262:$BT262,,AH262+1)*AF262-ERP_i)*AE262*Ramure*Pc/MaxiM</f>
        <v>1.3560584126504505E-4</v>
      </c>
      <c r="AE262" s="304">
        <f t="shared" si="89"/>
        <v>0.5</v>
      </c>
      <c r="AF262" s="176">
        <f t="shared" si="90"/>
        <v>0.12668811169236338</v>
      </c>
      <c r="AG262" s="175">
        <f t="shared" si="91"/>
        <v>0</v>
      </c>
      <c r="AH262" s="175">
        <f t="shared" si="92"/>
        <v>6</v>
      </c>
      <c r="AI262" s="224">
        <f t="shared" si="93"/>
        <v>0.12668811169236338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43714</v>
      </c>
      <c r="B263" s="616">
        <v>51.978000000000002</v>
      </c>
      <c r="C263" s="389"/>
      <c r="D263" s="392">
        <f t="shared" si="75"/>
        <v>52.508940705877443</v>
      </c>
      <c r="E263" s="384">
        <f t="shared" si="97"/>
        <v>54.041486983387749</v>
      </c>
      <c r="F263" s="384">
        <f t="shared" si="76"/>
        <v>54.048993300295933</v>
      </c>
      <c r="G263" s="110">
        <f t="shared" si="98"/>
        <v>1.0460366580730125</v>
      </c>
      <c r="H263" s="413" t="b">
        <f>Wh_hp&gt;='2018'!Maxi_hp</f>
        <v>1</v>
      </c>
      <c r="I263" s="389">
        <f>IF(H263,Wh_hp,'2018'!Maxi_hp)</f>
        <v>54.048993300295933</v>
      </c>
      <c r="J263" s="85">
        <f>IF(H263,An,'2018'!An_max)</f>
        <v>2019</v>
      </c>
      <c r="K263" s="196">
        <f t="shared" si="77"/>
        <v>43714</v>
      </c>
      <c r="L263" s="147">
        <f>IF(t&lt;Tvie,1-EXP((T0-t)*PertePVj)+'2018'!Pspv,1-EXP((T0-t)*PertePVj)+Pspv)</f>
        <v>1.0111434333658353E-2</v>
      </c>
      <c r="M263" s="847"/>
      <c r="N263" s="847"/>
      <c r="O263" s="48">
        <f>IF(t&lt;Tnet,'2018'!Resal+('2018'!Salim-'2018'!Resal)*(1-EXP(('2018'!Tnet-t)/('2018'!Tau_j))),Resal+(Salim-Resal)*(1-EXP((Tnet-t)/(Tau_j))))*Salcycl</f>
        <v>2.8358699270828871E-2</v>
      </c>
      <c r="P263" s="168">
        <f>(INDEX(Models!$BJ263:$BT263,,T263)*(1-R263)+INDEX(Models!$BJ263:$BT263,,T263+1)*R263-ERP_i)*Q263*Ramure*Pc/MaxiM</f>
        <v>1.3887986528211168E-4</v>
      </c>
      <c r="Q263" s="304">
        <f t="shared" si="78"/>
        <v>0.5</v>
      </c>
      <c r="R263" s="176">
        <f t="shared" si="79"/>
        <v>0.12700911405134235</v>
      </c>
      <c r="S263" s="814">
        <f t="shared" si="80"/>
        <v>0</v>
      </c>
      <c r="T263" s="175">
        <f t="shared" si="81"/>
        <v>6</v>
      </c>
      <c r="U263" s="250">
        <f t="shared" si="82"/>
        <v>0.12700911405134235</v>
      </c>
      <c r="V263" s="382">
        <f t="shared" si="83"/>
        <v>49.690419163466814</v>
      </c>
      <c r="W263" s="58"/>
      <c r="X263" s="157">
        <f t="shared" si="84"/>
        <v>43714</v>
      </c>
      <c r="Y263" s="384">
        <f t="shared" si="85"/>
        <v>51.978000000000002</v>
      </c>
      <c r="Z263" s="384">
        <f t="shared" si="86"/>
        <v>52.508940705877443</v>
      </c>
      <c r="AA263" s="385">
        <f t="shared" si="87"/>
        <v>54.041486983387749</v>
      </c>
      <c r="AB263" s="196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2.8358699270828871E-2</v>
      </c>
      <c r="AD263" s="230">
        <f>(INDEX(Models!$BJ263:$BT263,,AH263)*(1-AF263)+INDEX(Models!$BJ263:$BT263,,AH263+1)*AF263-ERP_i)*AE263*Ramure*Pc/MaxiM</f>
        <v>1.3887986528211168E-4</v>
      </c>
      <c r="AE263" s="304">
        <f t="shared" si="89"/>
        <v>0.5</v>
      </c>
      <c r="AF263" s="176">
        <f t="shared" si="90"/>
        <v>0.12700911405134235</v>
      </c>
      <c r="AG263" s="175">
        <f t="shared" si="91"/>
        <v>0</v>
      </c>
      <c r="AH263" s="175">
        <f t="shared" si="92"/>
        <v>6</v>
      </c>
      <c r="AI263" s="224">
        <f t="shared" si="93"/>
        <v>0.12700911405134235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43715</v>
      </c>
      <c r="B264" s="616">
        <v>50.819000000000003</v>
      </c>
      <c r="C264" s="389"/>
      <c r="D264" s="392">
        <f t="shared" si="75"/>
        <v>51.339226306441489</v>
      </c>
      <c r="E264" s="384">
        <f t="shared" si="97"/>
        <v>52.839997679965116</v>
      </c>
      <c r="F264" s="384">
        <f t="shared" si="76"/>
        <v>52.847504684614634</v>
      </c>
      <c r="G264" s="110">
        <f t="shared" si="98"/>
        <v>1.0266733993721751</v>
      </c>
      <c r="H264" s="413" t="b">
        <f>Wh_hp&gt;='2018'!Maxi_hp</f>
        <v>1</v>
      </c>
      <c r="I264" s="389">
        <f>IF(H264,Wh_hp,'2018'!Maxi_hp)</f>
        <v>52.847504684614634</v>
      </c>
      <c r="J264" s="85">
        <f>IF(H264,An,'2018'!An_max)</f>
        <v>2019</v>
      </c>
      <c r="K264" s="196">
        <f t="shared" si="77"/>
        <v>43715</v>
      </c>
      <c r="L264" s="147">
        <f>IF(t&lt;Tvie,1-EXP((T0-t)*PertePVj)+'2018'!Pspv,1-EXP((T0-t)*PertePVj)+Pspv)</f>
        <v>1.0133115433728523E-2</v>
      </c>
      <c r="M264" s="847"/>
      <c r="N264" s="847"/>
      <c r="O264" s="48">
        <f>IF(t&lt;Tnet,'2018'!Resal+('2018'!Salim-'2018'!Resal)*(1-EXP(('2018'!Tnet-t)/('2018'!Tau_j))),Resal+(Salim-Resal)*(1-EXP((Tnet-t)/(Tau_j))))*Salcycl</f>
        <v>2.840218469753383E-2</v>
      </c>
      <c r="P264" s="168">
        <f>(INDEX(Models!$BJ264:$BT264,,T264)*(1-R264)+INDEX(Models!$BJ264:$BT264,,T264+1)*R264-ERP_i)*Q264*Ramure*Pc/MaxiM</f>
        <v>1.420503142829839E-4</v>
      </c>
      <c r="Q264" s="304">
        <f t="shared" si="78"/>
        <v>0.5</v>
      </c>
      <c r="R264" s="176">
        <f t="shared" si="79"/>
        <v>0.12731785559116493</v>
      </c>
      <c r="S264" s="814">
        <f t="shared" si="80"/>
        <v>0</v>
      </c>
      <c r="T264" s="175">
        <f t="shared" si="81"/>
        <v>6</v>
      </c>
      <c r="U264" s="250">
        <f t="shared" si="82"/>
        <v>0.12731785559116493</v>
      </c>
      <c r="V264" s="382">
        <f t="shared" si="83"/>
        <v>49.498701369955164</v>
      </c>
      <c r="W264" s="58"/>
      <c r="X264" s="157">
        <f t="shared" si="84"/>
        <v>43715</v>
      </c>
      <c r="Y264" s="384">
        <f t="shared" si="85"/>
        <v>50.819000000000003</v>
      </c>
      <c r="Z264" s="384">
        <f t="shared" si="86"/>
        <v>51.339226306441489</v>
      </c>
      <c r="AA264" s="385">
        <f t="shared" si="87"/>
        <v>52.839997679965116</v>
      </c>
      <c r="AB264" s="196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2.840218469753383E-2</v>
      </c>
      <c r="AD264" s="230">
        <f>(INDEX(Models!$BJ264:$BT264,,AH264)*(1-AF264)+INDEX(Models!$BJ264:$BT264,,AH264+1)*AF264-ERP_i)*AE264*Ramure*Pc/MaxiM</f>
        <v>1.420503142829839E-4</v>
      </c>
      <c r="AE264" s="304">
        <f t="shared" si="89"/>
        <v>0.5</v>
      </c>
      <c r="AF264" s="176">
        <f t="shared" si="90"/>
        <v>0.12731785559116493</v>
      </c>
      <c r="AG264" s="175">
        <f t="shared" si="91"/>
        <v>0</v>
      </c>
      <c r="AH264" s="175">
        <f t="shared" si="92"/>
        <v>6</v>
      </c>
      <c r="AI264" s="224">
        <f t="shared" si="93"/>
        <v>0.12731785559116493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43716</v>
      </c>
      <c r="B265" s="616">
        <v>43.944000000000003</v>
      </c>
      <c r="C265" s="389"/>
      <c r="D265" s="392">
        <f t="shared" si="75"/>
        <v>44.394820346693372</v>
      </c>
      <c r="E265" s="384">
        <f t="shared" si="97"/>
        <v>45.694623738183552</v>
      </c>
      <c r="F265" s="384">
        <f t="shared" si="76"/>
        <v>45.700225966062746</v>
      </c>
      <c r="G265" s="110">
        <f t="shared" si="98"/>
        <v>0.89130104794956422</v>
      </c>
      <c r="H265" s="413" t="b">
        <f>Wh_hp&gt;='2018'!Maxi_hp</f>
        <v>0</v>
      </c>
      <c r="I265" s="389">
        <f>IF(H265,Wh_hp,'2018'!Maxi_hp)</f>
        <v>46.460443083143332</v>
      </c>
      <c r="J265" s="85">
        <f>IF(H265,An,'2018'!An_max)</f>
        <v>2018</v>
      </c>
      <c r="K265" s="196">
        <f t="shared" si="77"/>
        <v>43716</v>
      </c>
      <c r="L265" s="147">
        <f>IF(t&lt;Tvie,1-EXP((T0-t)*PertePVj)+'2018'!Pspv,1-EXP((T0-t)*PertePVj)+Pspv)</f>
        <v>1.0154796058926885E-2</v>
      </c>
      <c r="M265" s="847"/>
      <c r="N265" s="847"/>
      <c r="O265" s="48">
        <f>IF(t&lt;Tnet,'2018'!Resal+('2018'!Salim-'2018'!Resal)*(1-EXP(('2018'!Tnet-t)/('2018'!Tau_j))),Resal+(Salim-Resal)*(1-EXP((Tnet-t)/(Tau_j))))*Salcycl</f>
        <v>2.8445433732809784E-2</v>
      </c>
      <c r="P265" s="168">
        <f>(INDEX(Models!$BJ265:$BT265,,T265)*(1-R265)+INDEX(Models!$BJ265:$BT265,,T265+1)*R265-ERP_i)*Q265*Ramure*Pc/MaxiM</f>
        <v>1.4511658957508394E-4</v>
      </c>
      <c r="Q265" s="304">
        <f t="shared" si="78"/>
        <v>0.5</v>
      </c>
      <c r="R265" s="176">
        <f t="shared" si="79"/>
        <v>0.12761477953927242</v>
      </c>
      <c r="S265" s="814">
        <f t="shared" si="80"/>
        <v>0</v>
      </c>
      <c r="T265" s="175">
        <f t="shared" si="81"/>
        <v>6</v>
      </c>
      <c r="U265" s="250">
        <f t="shared" si="82"/>
        <v>0.12761477953927242</v>
      </c>
      <c r="V265" s="382">
        <f t="shared" si="83"/>
        <v>49.302095980578294</v>
      </c>
      <c r="W265" s="58"/>
      <c r="X265" s="157">
        <f t="shared" si="84"/>
        <v>43716</v>
      </c>
      <c r="Y265" s="384">
        <f t="shared" si="85"/>
        <v>43.944000000000003</v>
      </c>
      <c r="Z265" s="384">
        <f t="shared" si="86"/>
        <v>44.394820346693372</v>
      </c>
      <c r="AA265" s="385">
        <f t="shared" si="87"/>
        <v>45.694623738183552</v>
      </c>
      <c r="AB265" s="196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2.8445433732809784E-2</v>
      </c>
      <c r="AD265" s="230">
        <f>(INDEX(Models!$BJ265:$BT265,,AH265)*(1-AF265)+INDEX(Models!$BJ265:$BT265,,AH265+1)*AF265-ERP_i)*AE265*Ramure*Pc/MaxiM</f>
        <v>1.4511658957508394E-4</v>
      </c>
      <c r="AE265" s="304">
        <f t="shared" si="89"/>
        <v>0.5</v>
      </c>
      <c r="AF265" s="176">
        <f t="shared" si="90"/>
        <v>0.12761477953927242</v>
      </c>
      <c r="AG265" s="175">
        <f t="shared" si="91"/>
        <v>0</v>
      </c>
      <c r="AH265" s="175">
        <f t="shared" si="92"/>
        <v>6</v>
      </c>
      <c r="AI265" s="224">
        <f t="shared" si="93"/>
        <v>0.12761477953927242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43717</v>
      </c>
      <c r="B266" s="616">
        <v>39.768000000000001</v>
      </c>
      <c r="C266" s="389"/>
      <c r="D266" s="392">
        <f t="shared" si="75"/>
        <v>40.176858848231994</v>
      </c>
      <c r="E266" s="384">
        <f t="shared" si="97"/>
        <v>41.354998181850092</v>
      </c>
      <c r="F266" s="384">
        <f t="shared" si="76"/>
        <v>41.359459626507402</v>
      </c>
      <c r="G266" s="110">
        <f t="shared" si="98"/>
        <v>0.8098946456102214</v>
      </c>
      <c r="H266" s="413" t="b">
        <f>Wh_hp&gt;='2018'!Maxi_hp</f>
        <v>1</v>
      </c>
      <c r="I266" s="389">
        <f>IF(H266,Wh_hp,'2018'!Maxi_hp)</f>
        <v>41.359459626507402</v>
      </c>
      <c r="J266" s="85">
        <f>IF(H266,An,'2018'!An_max)</f>
        <v>2019</v>
      </c>
      <c r="K266" s="196">
        <f t="shared" si="77"/>
        <v>43717</v>
      </c>
      <c r="L266" s="147">
        <f>IF(t&lt;Tvie,1-EXP((T0-t)*PertePVj)+'2018'!Pspv,1-EXP((T0-t)*PertePVj)+Pspv)</f>
        <v>1.0176476209263985E-2</v>
      </c>
      <c r="M266" s="847"/>
      <c r="N266" s="847"/>
      <c r="O266" s="48">
        <f>IF(t&lt;Tnet,'2018'!Resal+('2018'!Salim-'2018'!Resal)*(1-EXP(('2018'!Tnet-t)/('2018'!Tau_j))),Resal+(Salim-Resal)*(1-EXP((Tnet-t)/(Tau_j))))*Salcycl</f>
        <v>2.8488438771958557E-2</v>
      </c>
      <c r="P266" s="168">
        <f>(INDEX(Models!$BJ266:$BT266,,T266)*(1-R266)+INDEX(Models!$BJ266:$BT266,,T266+1)*R266-ERP_i)*Q266*Ramure*Pc/MaxiM</f>
        <v>1.4807798750908358E-4</v>
      </c>
      <c r="Q266" s="304">
        <f t="shared" si="78"/>
        <v>0.5</v>
      </c>
      <c r="R266" s="176">
        <f t="shared" si="79"/>
        <v>0.12790031503888555</v>
      </c>
      <c r="S266" s="814">
        <f t="shared" si="80"/>
        <v>0</v>
      </c>
      <c r="T266" s="175">
        <f t="shared" si="81"/>
        <v>6</v>
      </c>
      <c r="U266" s="250">
        <f t="shared" si="82"/>
        <v>0.12790031503888555</v>
      </c>
      <c r="V266" s="382">
        <f t="shared" si="83"/>
        <v>49.100708408864406</v>
      </c>
      <c r="W266" s="58"/>
      <c r="X266" s="157">
        <f t="shared" si="84"/>
        <v>43717</v>
      </c>
      <c r="Y266" s="384">
        <f t="shared" si="85"/>
        <v>39.768000000000001</v>
      </c>
      <c r="Z266" s="384">
        <f t="shared" si="86"/>
        <v>40.176858848231994</v>
      </c>
      <c r="AA266" s="385">
        <f t="shared" si="87"/>
        <v>41.354998181850092</v>
      </c>
      <c r="AB266" s="196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2.8488438771958557E-2</v>
      </c>
      <c r="AD266" s="230">
        <f>(INDEX(Models!$BJ266:$BT266,,AH266)*(1-AF266)+INDEX(Models!$BJ266:$BT266,,AH266+1)*AF266-ERP_i)*AE266*Ramure*Pc/MaxiM</f>
        <v>1.4807798750908358E-4</v>
      </c>
      <c r="AE266" s="304">
        <f t="shared" si="89"/>
        <v>0.5</v>
      </c>
      <c r="AF266" s="176">
        <f t="shared" si="90"/>
        <v>0.12790031503888555</v>
      </c>
      <c r="AG266" s="175">
        <f t="shared" si="91"/>
        <v>0</v>
      </c>
      <c r="AH266" s="175">
        <f t="shared" si="92"/>
        <v>6</v>
      </c>
      <c r="AI266" s="224">
        <f t="shared" si="93"/>
        <v>0.12790031503888555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43718</v>
      </c>
      <c r="B267" s="616">
        <v>13.036</v>
      </c>
      <c r="C267" s="389"/>
      <c r="D267" s="392">
        <f t="shared" si="75"/>
        <v>13.1703129040464</v>
      </c>
      <c r="E267" s="384">
        <f t="shared" si="97"/>
        <v>13.557113511099423</v>
      </c>
      <c r="F267" s="384">
        <f t="shared" si="76"/>
        <v>13.557113511099423</v>
      </c>
      <c r="G267" s="110">
        <f t="shared" si="98"/>
        <v>0.26657382792970757</v>
      </c>
      <c r="H267" s="413" t="b">
        <f>Wh_hp&gt;='2018'!Maxi_hp</f>
        <v>0</v>
      </c>
      <c r="I267" s="389">
        <f>IF(H267,Wh_hp,'2018'!Maxi_hp)</f>
        <v>39.968590517595452</v>
      </c>
      <c r="J267" s="85">
        <f>IF(H267,An,'2018'!An_max)</f>
        <v>2018</v>
      </c>
      <c r="K267" s="196">
        <f t="shared" si="77"/>
        <v>43718</v>
      </c>
      <c r="L267" s="147">
        <f>IF(t&lt;Tvie,1-EXP((T0-t)*PertePVj)+'2018'!Pspv,1-EXP((T0-t)*PertePVj)+Pspv)</f>
        <v>1.0198155884750038E-2</v>
      </c>
      <c r="M267" s="847"/>
      <c r="N267" s="847"/>
      <c r="O267" s="48">
        <f>IF(t&lt;Tnet,'2018'!Resal+('2018'!Salim-'2018'!Resal)*(1-EXP(('2018'!Tnet-t)/('2018'!Tau_j))),Resal+(Salim-Resal)*(1-EXP((Tnet-t)/(Tau_j))))*Salcycl</f>
        <v>2.8531191889508412E-2</v>
      </c>
      <c r="P267" s="168">
        <f>(INDEX(Models!$BJ267:$BT267,,T267)*(1-R267)+INDEX(Models!$BJ267:$BT267,,T267+1)*R267-ERP_i)*Q267*Ramure*Pc/MaxiM</f>
        <v>1.5093370030422085E-4</v>
      </c>
      <c r="Q267" s="304">
        <f t="shared" si="78"/>
        <v>0.5</v>
      </c>
      <c r="R267" s="176">
        <f t="shared" si="79"/>
        <v>0.12817487744348444</v>
      </c>
      <c r="S267" s="814">
        <f t="shared" si="80"/>
        <v>0</v>
      </c>
      <c r="T267" s="175">
        <f t="shared" si="81"/>
        <v>6</v>
      </c>
      <c r="U267" s="250">
        <f t="shared" si="82"/>
        <v>0.12817487744348444</v>
      </c>
      <c r="V267" s="382">
        <f t="shared" si="83"/>
        <v>48.894644044800067</v>
      </c>
      <c r="W267" s="58"/>
      <c r="X267" s="157">
        <f t="shared" si="84"/>
        <v>43718</v>
      </c>
      <c r="Y267" s="384">
        <f t="shared" si="85"/>
        <v>13.036</v>
      </c>
      <c r="Z267" s="384">
        <f t="shared" si="86"/>
        <v>13.1703129040464</v>
      </c>
      <c r="AA267" s="385">
        <f t="shared" si="87"/>
        <v>13.557113511099423</v>
      </c>
      <c r="AB267" s="196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2.8531191889508412E-2</v>
      </c>
      <c r="AD267" s="230">
        <f>(INDEX(Models!$BJ267:$BT267,,AH267)*(1-AF267)+INDEX(Models!$BJ267:$BT267,,AH267+1)*AF267-ERP_i)*AE267*Ramure*Pc/MaxiM</f>
        <v>1.5093370030422085E-4</v>
      </c>
      <c r="AE267" s="304">
        <f t="shared" si="89"/>
        <v>0.5</v>
      </c>
      <c r="AF267" s="176">
        <f t="shared" si="90"/>
        <v>0.12817487744348444</v>
      </c>
      <c r="AG267" s="175">
        <f t="shared" si="91"/>
        <v>0</v>
      </c>
      <c r="AH267" s="175">
        <f t="shared" si="92"/>
        <v>6</v>
      </c>
      <c r="AI267" s="224">
        <f t="shared" si="93"/>
        <v>0.12817487744348444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43719</v>
      </c>
      <c r="B268" s="616">
        <v>40.594999999999999</v>
      </c>
      <c r="C268" s="389"/>
      <c r="D268" s="392">
        <f t="shared" si="75"/>
        <v>41.014157930213152</v>
      </c>
      <c r="E268" s="384">
        <f t="shared" si="97"/>
        <v>42.220554755295083</v>
      </c>
      <c r="F268" s="384">
        <f t="shared" si="76"/>
        <v>42.225497785819705</v>
      </c>
      <c r="G268" s="110">
        <f t="shared" si="98"/>
        <v>0.83381616854028384</v>
      </c>
      <c r="H268" s="413" t="b">
        <f>Wh_hp&gt;='2018'!Maxi_hp</f>
        <v>0</v>
      </c>
      <c r="I268" s="389">
        <f>IF(H268,Wh_hp,'2018'!Maxi_hp)</f>
        <v>48.625367547378296</v>
      </c>
      <c r="J268" s="85">
        <f>IF(H268,An,'2018'!An_max)</f>
        <v>2018</v>
      </c>
      <c r="K268" s="196">
        <f t="shared" si="77"/>
        <v>43719</v>
      </c>
      <c r="L268" s="147">
        <f>IF(t&lt;Tvie,1-EXP((T0-t)*PertePVj)+'2018'!Pspv,1-EXP((T0-t)*PertePVj)+Pspv)</f>
        <v>1.0219835085395701E-2</v>
      </c>
      <c r="M268" s="847"/>
      <c r="N268" s="847"/>
      <c r="O268" s="48">
        <f>IF(t&lt;Tnet,'2018'!Resal+('2018'!Salim-'2018'!Resal)*(1-EXP(('2018'!Tnet-t)/('2018'!Tau_j))),Resal+(Salim-Resal)*(1-EXP((Tnet-t)/(Tau_j))))*Salcycl</f>
        <v>2.8573684833703723E-2</v>
      </c>
      <c r="P268" s="168">
        <f>(INDEX(Models!$BJ268:$BT268,,T268)*(1-R268)+INDEX(Models!$BJ268:$BT268,,T268+1)*R268-ERP_i)*Q268*Ramure*Pc/MaxiM</f>
        <v>1.5349707766230361E-4</v>
      </c>
      <c r="Q268" s="304">
        <f t="shared" si="78"/>
        <v>0.5</v>
      </c>
      <c r="R268" s="176">
        <f t="shared" si="79"/>
        <v>0.12843886861828646</v>
      </c>
      <c r="S268" s="814">
        <f t="shared" si="80"/>
        <v>0</v>
      </c>
      <c r="T268" s="175">
        <f t="shared" si="81"/>
        <v>6</v>
      </c>
      <c r="U268" s="250">
        <f t="shared" si="82"/>
        <v>0.12843886861828646</v>
      </c>
      <c r="V268" s="382">
        <f t="shared" si="83"/>
        <v>48.684017298556554</v>
      </c>
      <c r="W268" s="58"/>
      <c r="X268" s="157">
        <f t="shared" si="84"/>
        <v>43719</v>
      </c>
      <c r="Y268" s="384">
        <f t="shared" si="85"/>
        <v>40.594999999999999</v>
      </c>
      <c r="Z268" s="384">
        <f t="shared" si="86"/>
        <v>41.014157930213152</v>
      </c>
      <c r="AA268" s="385">
        <f t="shared" si="87"/>
        <v>42.220554755295083</v>
      </c>
      <c r="AB268" s="196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2.8573684833703723E-2</v>
      </c>
      <c r="AD268" s="230">
        <f>(INDEX(Models!$BJ268:$BT268,,AH268)*(1-AF268)+INDEX(Models!$BJ268:$BT268,,AH268+1)*AF268-ERP_i)*AE268*Ramure*Pc/MaxiM</f>
        <v>1.5349707766230361E-4</v>
      </c>
      <c r="AE268" s="304">
        <f t="shared" si="89"/>
        <v>0.5</v>
      </c>
      <c r="AF268" s="176">
        <f t="shared" si="90"/>
        <v>0.12843886861828646</v>
      </c>
      <c r="AG268" s="175">
        <f t="shared" si="91"/>
        <v>0</v>
      </c>
      <c r="AH268" s="175">
        <f t="shared" si="92"/>
        <v>6</v>
      </c>
      <c r="AI268" s="224">
        <f t="shared" si="93"/>
        <v>0.12843886861828646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43720</v>
      </c>
      <c r="B269" s="616">
        <v>48.93</v>
      </c>
      <c r="C269" s="389"/>
      <c r="D269" s="392">
        <f t="shared" si="75"/>
        <v>49.43630257560325</v>
      </c>
      <c r="E269" s="384">
        <f t="shared" si="97"/>
        <v>50.892641782860792</v>
      </c>
      <c r="F269" s="384">
        <f t="shared" si="76"/>
        <v>50.900576803696573</v>
      </c>
      <c r="G269" s="110">
        <f t="shared" si="98"/>
        <v>1.0095127480972357</v>
      </c>
      <c r="H269" s="413" t="b">
        <f>Wh_hp&gt;='2018'!Maxi_hp</f>
        <v>1</v>
      </c>
      <c r="I269" s="389">
        <f>IF(H269,Wh_hp,'2018'!Maxi_hp)</f>
        <v>50.900576803696573</v>
      </c>
      <c r="J269" s="85">
        <f>IF(H269,An,'2018'!An_max)</f>
        <v>2019</v>
      </c>
      <c r="K269" s="196">
        <f t="shared" si="77"/>
        <v>43720</v>
      </c>
      <c r="L269" s="147">
        <f>IF(t&lt;Tvie,1-EXP((T0-t)*PertePVj)+'2018'!Pspv,1-EXP((T0-t)*PertePVj)+Pspv)</f>
        <v>1.0241513811211078E-2</v>
      </c>
      <c r="M269" s="847"/>
      <c r="N269" s="847"/>
      <c r="O269" s="48">
        <f>IF(t&lt;Tnet,'2018'!Resal+('2018'!Salim-'2018'!Resal)*(1-EXP(('2018'!Tnet-t)/('2018'!Tau_j))),Resal+(Salim-Resal)*(1-EXP((Tnet-t)/(Tau_j))))*Salcycl</f>
        <v>2.8615909024160641E-2</v>
      </c>
      <c r="P269" s="168">
        <f>(INDEX(Models!$BJ269:$BT269,,T269)*(1-R269)+INDEX(Models!$BJ269:$BT269,,T269+1)*R269-ERP_i)*Q269*Ramure*Pc/MaxiM</f>
        <v>1.5589255238465446E-4</v>
      </c>
      <c r="Q269" s="304">
        <f t="shared" si="78"/>
        <v>0.5</v>
      </c>
      <c r="R269" s="176">
        <f t="shared" si="79"/>
        <v>0.12869267724723865</v>
      </c>
      <c r="S269" s="814">
        <f t="shared" si="80"/>
        <v>0</v>
      </c>
      <c r="T269" s="175">
        <f t="shared" si="81"/>
        <v>6</v>
      </c>
      <c r="U269" s="250">
        <f t="shared" si="82"/>
        <v>0.12869267724723865</v>
      </c>
      <c r="V269" s="382">
        <f t="shared" si="83"/>
        <v>48.468927304013683</v>
      </c>
      <c r="W269" s="58"/>
      <c r="X269" s="157">
        <f t="shared" si="84"/>
        <v>43720</v>
      </c>
      <c r="Y269" s="384">
        <f t="shared" si="85"/>
        <v>48.93</v>
      </c>
      <c r="Z269" s="384">
        <f t="shared" si="86"/>
        <v>49.43630257560325</v>
      </c>
      <c r="AA269" s="385">
        <f t="shared" si="87"/>
        <v>50.892641782860792</v>
      </c>
      <c r="AB269" s="196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2.8615909024160641E-2</v>
      </c>
      <c r="AD269" s="230">
        <f>(INDEX(Models!$BJ269:$BT269,,AH269)*(1-AF269)+INDEX(Models!$BJ269:$BT269,,AH269+1)*AF269-ERP_i)*AE269*Ramure*Pc/MaxiM</f>
        <v>1.5589255238465446E-4</v>
      </c>
      <c r="AE269" s="304">
        <f t="shared" si="89"/>
        <v>0.5</v>
      </c>
      <c r="AF269" s="176">
        <f t="shared" si="90"/>
        <v>0.12869267724723865</v>
      </c>
      <c r="AG269" s="175">
        <f t="shared" si="91"/>
        <v>0</v>
      </c>
      <c r="AH269" s="175">
        <f t="shared" si="92"/>
        <v>6</v>
      </c>
      <c r="AI269" s="224">
        <f t="shared" si="93"/>
        <v>0.12869267724723865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43721</v>
      </c>
      <c r="B270" s="616">
        <v>37.408000000000001</v>
      </c>
      <c r="C270" s="389"/>
      <c r="D270" s="392">
        <f t="shared" si="75"/>
        <v>37.795906649105007</v>
      </c>
      <c r="E270" s="384">
        <f t="shared" si="97"/>
        <v>38.911012834336233</v>
      </c>
      <c r="F270" s="384">
        <f t="shared" si="76"/>
        <v>38.915190887850905</v>
      </c>
      <c r="G270" s="110">
        <f t="shared" si="98"/>
        <v>0.77526434754469076</v>
      </c>
      <c r="H270" s="413" t="b">
        <f>Wh_hp&gt;='2018'!Maxi_hp</f>
        <v>1</v>
      </c>
      <c r="I270" s="389">
        <f>IF(H270,Wh_hp,'2018'!Maxi_hp)</f>
        <v>38.915190887850905</v>
      </c>
      <c r="J270" s="85">
        <f>IF(H270,An,'2018'!An_max)</f>
        <v>2019</v>
      </c>
      <c r="K270" s="196">
        <f t="shared" si="77"/>
        <v>43721</v>
      </c>
      <c r="L270" s="147">
        <f>IF(t&lt;Tvie,1-EXP((T0-t)*PertePVj)+'2018'!Pspv,1-EXP((T0-t)*PertePVj)+Pspv)</f>
        <v>1.0263192062206827E-2</v>
      </c>
      <c r="M270" s="847"/>
      <c r="N270" s="847"/>
      <c r="O270" s="48">
        <f>IF(t&lt;Tnet,'2018'!Resal+('2018'!Salim-'2018'!Resal)*(1-EXP(('2018'!Tnet-t)/('2018'!Tau_j))),Resal+(Salim-Resal)*(1-EXP((Tnet-t)/(Tau_j))))*Salcycl</f>
        <v>2.8657855553099913E-2</v>
      </c>
      <c r="P270" s="168">
        <f>(INDEX(Models!$BJ270:$BT270,,T270)*(1-R270)+INDEX(Models!$BJ270:$BT270,,T270+1)*R270-ERP_i)*Q270*Ramure*Pc/MaxiM</f>
        <v>1.5811813238271295E-4</v>
      </c>
      <c r="Q270" s="304">
        <f t="shared" si="78"/>
        <v>0.5</v>
      </c>
      <c r="R270" s="176">
        <f t="shared" si="79"/>
        <v>0.12893667914416473</v>
      </c>
      <c r="S270" s="814">
        <f t="shared" si="80"/>
        <v>0</v>
      </c>
      <c r="T270" s="175">
        <f t="shared" si="81"/>
        <v>6</v>
      </c>
      <c r="U270" s="250">
        <f t="shared" si="82"/>
        <v>0.12893667914416473</v>
      </c>
      <c r="V270" s="382">
        <f t="shared" si="83"/>
        <v>48.249479378758529</v>
      </c>
      <c r="W270" s="58"/>
      <c r="X270" s="157">
        <f t="shared" si="84"/>
        <v>43721</v>
      </c>
      <c r="Y270" s="384">
        <f t="shared" si="85"/>
        <v>37.408000000000001</v>
      </c>
      <c r="Z270" s="384">
        <f t="shared" si="86"/>
        <v>37.795906649105007</v>
      </c>
      <c r="AA270" s="385">
        <f t="shared" si="87"/>
        <v>38.911012834336233</v>
      </c>
      <c r="AB270" s="196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2.8657855553099913E-2</v>
      </c>
      <c r="AD270" s="230">
        <f>(INDEX(Models!$BJ270:$BT270,,AH270)*(1-AF270)+INDEX(Models!$BJ270:$BT270,,AH270+1)*AF270-ERP_i)*AE270*Ramure*Pc/MaxiM</f>
        <v>1.5811813238271295E-4</v>
      </c>
      <c r="AE270" s="304">
        <f t="shared" si="89"/>
        <v>0.5</v>
      </c>
      <c r="AF270" s="176">
        <f t="shared" si="90"/>
        <v>0.12893667914416473</v>
      </c>
      <c r="AG270" s="175">
        <f t="shared" si="91"/>
        <v>0</v>
      </c>
      <c r="AH270" s="175">
        <f t="shared" si="92"/>
        <v>6</v>
      </c>
      <c r="AI270" s="224">
        <f t="shared" si="93"/>
        <v>0.12893667914416473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43722</v>
      </c>
      <c r="B271" s="616">
        <v>42.021999999999998</v>
      </c>
      <c r="C271" s="389"/>
      <c r="D271" s="392">
        <f t="shared" ref="D271:D334" si="99">Wh/(1-Ppv)</f>
        <v>42.458682018065531</v>
      </c>
      <c r="E271" s="384">
        <f t="shared" si="97"/>
        <v>43.713230542034168</v>
      </c>
      <c r="F271" s="384">
        <f t="shared" ref="F271:F334" si="100">Wh_sa/(1-Pvg*MEDIAN((-Sdif+Wh/Env_an)/Csdif,0,1))</f>
        <v>43.718982516558725</v>
      </c>
      <c r="G271" s="110">
        <f t="shared" si="98"/>
        <v>0.87496338132530649</v>
      </c>
      <c r="H271" s="413" t="b">
        <f>Wh_hp&gt;='2018'!Maxi_hp</f>
        <v>1</v>
      </c>
      <c r="I271" s="389">
        <f>IF(H271,Wh_hp,'2018'!Maxi_hp)</f>
        <v>43.718982516558725</v>
      </c>
      <c r="J271" s="85">
        <f>IF(H271,An,'2018'!An_max)</f>
        <v>2019</v>
      </c>
      <c r="K271" s="196">
        <f t="shared" ref="K271:K334" si="101">t</f>
        <v>43722</v>
      </c>
      <c r="L271" s="147">
        <f>IF(t&lt;Tvie,1-EXP((T0-t)*PertePVj)+'2018'!Pspv,1-EXP((T0-t)*PertePVj)+Pspv)</f>
        <v>1.0284869838393274E-2</v>
      </c>
      <c r="M271" s="847"/>
      <c r="N271" s="847"/>
      <c r="O271" s="48">
        <f>IF(t&lt;Tnet,'2018'!Resal+('2018'!Salim-'2018'!Resal)*(1-EXP(('2018'!Tnet-t)/('2018'!Tau_j))),Resal+(Salim-Resal)*(1-EXP((Tnet-t)/(Tau_j))))*Salcycl</f>
        <v>2.8699515190538965E-2</v>
      </c>
      <c r="P271" s="168">
        <f>(INDEX(Models!$BJ271:$BT271,,T271)*(1-R271)+INDEX(Models!$BJ271:$BT271,,T271+1)*R271-ERP_i)*Q271*Ramure*Pc/MaxiM</f>
        <v>1.6017172566705286E-4</v>
      </c>
      <c r="Q271" s="304">
        <f t="shared" ref="Q271:Q334" si="102">IF(OR(t&lt;Ttai,Notai),Dd+PousD*Croivg,Dens+PousD*(Croivg-Croi_tai))</f>
        <v>0.5</v>
      </c>
      <c r="R271" s="176">
        <f t="shared" ref="R271:R334" si="103">(Hp_vg-S271)/(INDEX(Echel_vg,T271+1)-S271)</f>
        <v>0.12917123756682608</v>
      </c>
      <c r="S271" s="814">
        <f t="shared" ref="S271:S334" si="104">INDEX(Echel_vg,T271)</f>
        <v>0</v>
      </c>
      <c r="T271" s="175">
        <f t="shared" ref="T271:T334" si="105">MIN(MATCH(Hp_vg,Echel_vg),10)</f>
        <v>6</v>
      </c>
      <c r="U271" s="250">
        <f t="shared" ref="U271:U334" si="106">IF(OR(t&lt;Ttai,Notai),Hdd+PousH*Croivg,Hdtf+PousH*(Croivg-Croi_tai))</f>
        <v>0.12917123756682608</v>
      </c>
      <c r="V271" s="382">
        <f t="shared" ref="V271:V334" si="107">MaxiM*(1-Ppv)*(1-Pvg)*(1-Psa)</f>
        <v>48.025778804120677</v>
      </c>
      <c r="W271" s="58"/>
      <c r="X271" s="157">
        <f t="shared" ref="X271:X334" si="108">t</f>
        <v>43722</v>
      </c>
      <c r="Y271" s="384">
        <f t="shared" ref="Y271:Y334" si="109">Wh_pvt_s*(1-Ppv)</f>
        <v>42.021999999999998</v>
      </c>
      <c r="Z271" s="384">
        <f t="shared" ref="Z271:Z334" si="110">Wh_sa_s*(1-Psa_s)</f>
        <v>42.458682018065531</v>
      </c>
      <c r="AA271" s="385">
        <f t="shared" ref="AA271:AA334" si="111">Wh_hp*(1-Pvg_s*MEDIAN((-Sdif+Wh/Env_an)/Csdif,0,1))</f>
        <v>43.713230542034168</v>
      </c>
      <c r="AB271" s="196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2.8699515190538965E-2</v>
      </c>
      <c r="AD271" s="230">
        <f>(INDEX(Models!$BJ271:$BT271,,AH271)*(1-AF271)+INDEX(Models!$BJ271:$BT271,,AH271+1)*AF271-ERP_i)*AE271*Ramure*Pc/MaxiM</f>
        <v>1.6017172566705286E-4</v>
      </c>
      <c r="AE271" s="304">
        <f t="shared" ref="AE271:AE334" si="113">IF(OR(t&lt;Ttai,Notai),Dd_s+PousD*Croivg,Dens_s+PousD*(Croivg-Croi_tai))</f>
        <v>0.5</v>
      </c>
      <c r="AF271" s="176">
        <f t="shared" ref="AF271:AF334" si="114">(Hp_vg_s-AG271)/(INDEX(Echel_vg,AH271+1)-AG271)</f>
        <v>0.12917123756682608</v>
      </c>
      <c r="AG271" s="175">
        <f t="shared" ref="AG271:AG334" si="115">INDEX(Echel_vg,AH271)</f>
        <v>0</v>
      </c>
      <c r="AH271" s="175">
        <f t="shared" ref="AH271:AH334" si="116">MIN(MATCH(Hp_vg_s,Echel_vg),10)</f>
        <v>6</v>
      </c>
      <c r="AI271" s="224">
        <f t="shared" ref="AI271:AI334" si="117">IF(OR(t&lt;Ttai,Notai),Hdd_s+PousH*Croivg,Hdtai_s+PousH*(Croivg-Croi_tai))</f>
        <v>0.12917123756682608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42.24</v>
      </c>
      <c r="C272" s="389"/>
      <c r="D272" s="392">
        <f t="shared" si="99"/>
        <v>42.67988221800011</v>
      </c>
      <c r="E272" s="384">
        <f t="shared" si="97"/>
        <v>43.942837980680913</v>
      </c>
      <c r="F272" s="384">
        <f t="shared" si="100"/>
        <v>43.948776875325692</v>
      </c>
      <c r="G272" s="110">
        <f t="shared" si="98"/>
        <v>0.88369647076970304</v>
      </c>
      <c r="H272" s="413" t="b">
        <f>Wh_hp&gt;='2018'!Maxi_hp</f>
        <v>1</v>
      </c>
      <c r="I272" s="389">
        <f>IF(H272,Wh_hp,'2018'!Maxi_hp)</f>
        <v>43.948776875325692</v>
      </c>
      <c r="J272" s="85">
        <f>IF(H272,An,'2018'!An_max)</f>
        <v>2019</v>
      </c>
      <c r="K272" s="196">
        <f t="shared" si="101"/>
        <v>43723</v>
      </c>
      <c r="L272" s="147">
        <f>IF(t&lt;Tvie,1-EXP((T0-t)*PertePVj)+'2018'!Pspv,1-EXP((T0-t)*PertePVj)+Pspv)</f>
        <v>1.0306547139780742E-2</v>
      </c>
      <c r="M272" s="847"/>
      <c r="N272" s="847"/>
      <c r="O272" s="48">
        <f>IF(t&lt;Tnet,'2018'!Resal+('2018'!Salim-'2018'!Resal)*(1-EXP(('2018'!Tnet-t)/('2018'!Tau_j))),Resal+(Salim-Resal)*(1-EXP((Tnet-t)/(Tau_j))))*Salcycl</f>
        <v>2.8740878393790754E-2</v>
      </c>
      <c r="P272" s="168">
        <f>(INDEX(Models!$BJ272:$BT272,,T272)*(1-R272)+INDEX(Models!$BJ272:$BT272,,T272+1)*R272-ERP_i)*Q272*Ramure*Pc/MaxiM</f>
        <v>1.6205114308900752E-4</v>
      </c>
      <c r="Q272" s="304">
        <f t="shared" si="102"/>
        <v>0.5</v>
      </c>
      <c r="R272" s="176">
        <f t="shared" si="103"/>
        <v>0.12939670353276489</v>
      </c>
      <c r="S272" s="814">
        <f t="shared" si="104"/>
        <v>0</v>
      </c>
      <c r="T272" s="175">
        <f t="shared" si="105"/>
        <v>6</v>
      </c>
      <c r="U272" s="250">
        <f t="shared" si="106"/>
        <v>0.12939670353276489</v>
      </c>
      <c r="V272" s="382">
        <f t="shared" si="107"/>
        <v>47.79793083605788</v>
      </c>
      <c r="W272" s="58"/>
      <c r="X272" s="157">
        <f t="shared" si="108"/>
        <v>43723</v>
      </c>
      <c r="Y272" s="384">
        <f t="shared" si="109"/>
        <v>42.24</v>
      </c>
      <c r="Z272" s="384">
        <f t="shared" si="110"/>
        <v>42.67988221800011</v>
      </c>
      <c r="AA272" s="385">
        <f t="shared" si="111"/>
        <v>43.942837980680913</v>
      </c>
      <c r="AB272" s="196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2.8740878393790754E-2</v>
      </c>
      <c r="AD272" s="230">
        <f>(INDEX(Models!$BJ272:$BT272,,AH272)*(1-AF272)+INDEX(Models!$BJ272:$BT272,,AH272+1)*AF272-ERP_i)*AE272*Ramure*Pc/MaxiM</f>
        <v>1.6205114308900752E-4</v>
      </c>
      <c r="AE272" s="304">
        <f t="shared" si="113"/>
        <v>0.5</v>
      </c>
      <c r="AF272" s="176">
        <f t="shared" si="114"/>
        <v>0.12939670353276489</v>
      </c>
      <c r="AG272" s="175">
        <f t="shared" si="115"/>
        <v>0</v>
      </c>
      <c r="AH272" s="175">
        <f t="shared" si="116"/>
        <v>6</v>
      </c>
      <c r="AI272" s="224">
        <f t="shared" si="117"/>
        <v>0.12939670353276489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43724</v>
      </c>
      <c r="B273" s="616">
        <v>42.768999999999998</v>
      </c>
      <c r="C273" s="389"/>
      <c r="D273" s="392">
        <f t="shared" si="99"/>
        <v>43.215337686407949</v>
      </c>
      <c r="E273" s="384">
        <f t="shared" si="97"/>
        <v>44.496019234070609</v>
      </c>
      <c r="F273" s="384">
        <f t="shared" si="100"/>
        <v>44.502256749918637</v>
      </c>
      <c r="G273" s="110">
        <f t="shared" si="98"/>
        <v>0.89912866855370455</v>
      </c>
      <c r="H273" s="413" t="b">
        <f>Wh_hp&gt;='2018'!Maxi_hp</f>
        <v>0</v>
      </c>
      <c r="I273" s="389">
        <f>IF(H273,Wh_hp,'2018'!Maxi_hp)</f>
        <v>47.140487034967791</v>
      </c>
      <c r="J273" s="85">
        <f>IF(H273,An,'2018'!An_max)</f>
        <v>2018</v>
      </c>
      <c r="K273" s="196">
        <f t="shared" si="101"/>
        <v>43724</v>
      </c>
      <c r="L273" s="147">
        <f>IF(t&lt;Tvie,1-EXP((T0-t)*PertePVj)+'2018'!Pspv,1-EXP((T0-t)*PertePVj)+Pspv)</f>
        <v>1.0328223966379668E-2</v>
      </c>
      <c r="M273" s="847"/>
      <c r="N273" s="847"/>
      <c r="O273" s="48">
        <f>IF(t&lt;Tnet,'2018'!Resal+('2018'!Salim-'2018'!Resal)*(1-EXP(('2018'!Tnet-t)/('2018'!Tau_j))),Resal+(Salim-Resal)*(1-EXP((Tnet-t)/(Tau_j))))*Salcycl</f>
        <v>2.8781935321576899E-2</v>
      </c>
      <c r="P273" s="168">
        <f>(INDEX(Models!$BJ273:$BT273,,T273)*(1-R273)+INDEX(Models!$BJ273:$BT273,,T273+1)*R273-ERP_i)*Q273*Ramure*Pc/MaxiM</f>
        <v>1.637541017492696E-4</v>
      </c>
      <c r="Q273" s="304">
        <f t="shared" si="102"/>
        <v>0.5</v>
      </c>
      <c r="R273" s="176">
        <f t="shared" si="103"/>
        <v>0.12961341613590227</v>
      </c>
      <c r="S273" s="814">
        <f t="shared" si="104"/>
        <v>0</v>
      </c>
      <c r="T273" s="175">
        <f t="shared" si="105"/>
        <v>6</v>
      </c>
      <c r="U273" s="250">
        <f t="shared" si="106"/>
        <v>0.12961341613590227</v>
      </c>
      <c r="V273" s="382">
        <f t="shared" si="107"/>
        <v>47.566040695437941</v>
      </c>
      <c r="W273" s="58"/>
      <c r="X273" s="157">
        <f t="shared" si="108"/>
        <v>43724</v>
      </c>
      <c r="Y273" s="384">
        <f t="shared" si="109"/>
        <v>42.768999999999998</v>
      </c>
      <c r="Z273" s="384">
        <f t="shared" si="110"/>
        <v>43.215337686407949</v>
      </c>
      <c r="AA273" s="385">
        <f t="shared" si="111"/>
        <v>44.496019234070609</v>
      </c>
      <c r="AB273" s="196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2.8781935321576899E-2</v>
      </c>
      <c r="AD273" s="230">
        <f>(INDEX(Models!$BJ273:$BT273,,AH273)*(1-AF273)+INDEX(Models!$BJ273:$BT273,,AH273+1)*AF273-ERP_i)*AE273*Ramure*Pc/MaxiM</f>
        <v>1.637541017492696E-4</v>
      </c>
      <c r="AE273" s="304">
        <f t="shared" si="113"/>
        <v>0.5</v>
      </c>
      <c r="AF273" s="176">
        <f t="shared" si="114"/>
        <v>0.12961341613590227</v>
      </c>
      <c r="AG273" s="175">
        <f t="shared" si="115"/>
        <v>0</v>
      </c>
      <c r="AH273" s="175">
        <f t="shared" si="116"/>
        <v>6</v>
      </c>
      <c r="AI273" s="224">
        <f t="shared" si="117"/>
        <v>0.12961341613590227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43725</v>
      </c>
      <c r="B274" s="616">
        <v>41.546999999999997</v>
      </c>
      <c r="C274" s="389"/>
      <c r="D274" s="392">
        <f t="shared" si="99"/>
        <v>41.981504385599045</v>
      </c>
      <c r="E274" s="384">
        <f t="shared" si="97"/>
        <v>43.227434724624402</v>
      </c>
      <c r="F274" s="384">
        <f t="shared" si="100"/>
        <v>43.233332964322344</v>
      </c>
      <c r="G274" s="110">
        <f t="shared" si="98"/>
        <v>0.87778604959223283</v>
      </c>
      <c r="H274" s="413" t="b">
        <f>Wh_hp&gt;='2018'!Maxi_hp</f>
        <v>0</v>
      </c>
      <c r="I274" s="389">
        <f>IF(H274,Wh_hp,'2018'!Maxi_hp)</f>
        <v>43.247436238069149</v>
      </c>
      <c r="J274" s="85">
        <f>IF(H274,An,'2018'!An_max)</f>
        <v>2018</v>
      </c>
      <c r="K274" s="196">
        <f t="shared" si="101"/>
        <v>43725</v>
      </c>
      <c r="L274" s="147">
        <f>IF(t&lt;Tvie,1-EXP((T0-t)*PertePVj)+'2018'!Pspv,1-EXP((T0-t)*PertePVj)+Pspv)</f>
        <v>1.0349900318200489E-2</v>
      </c>
      <c r="M274" s="847"/>
      <c r="N274" s="847"/>
      <c r="O274" s="48">
        <f>IF(t&lt;Tnet,'2018'!Resal+('2018'!Salim-'2018'!Resal)*(1-EXP(('2018'!Tnet-t)/('2018'!Tau_j))),Resal+(Salim-Resal)*(1-EXP((Tnet-t)/(Tau_j))))*Salcycl</f>
        <v>2.8822675853018179E-2</v>
      </c>
      <c r="P274" s="168">
        <f>(INDEX(Models!$BJ274:$BT274,,T274)*(1-R274)+INDEX(Models!$BJ274:$BT274,,T274+1)*R274-ERP_i)*Q274*Ramure*Pc/MaxiM</f>
        <v>1.6527822899791868E-4</v>
      </c>
      <c r="Q274" s="304">
        <f t="shared" si="102"/>
        <v>0.5</v>
      </c>
      <c r="R274" s="176">
        <f t="shared" si="103"/>
        <v>0.1298217028629613</v>
      </c>
      <c r="S274" s="814">
        <f t="shared" si="104"/>
        <v>0</v>
      </c>
      <c r="T274" s="175">
        <f t="shared" si="105"/>
        <v>6</v>
      </c>
      <c r="U274" s="250">
        <f t="shared" si="106"/>
        <v>0.1298217028629613</v>
      </c>
      <c r="V274" s="382">
        <f t="shared" si="107"/>
        <v>47.330213572811104</v>
      </c>
      <c r="W274" s="58"/>
      <c r="X274" s="157">
        <f t="shared" si="108"/>
        <v>43725</v>
      </c>
      <c r="Y274" s="384">
        <f t="shared" si="109"/>
        <v>41.546999999999997</v>
      </c>
      <c r="Z274" s="384">
        <f t="shared" si="110"/>
        <v>41.981504385599045</v>
      </c>
      <c r="AA274" s="385">
        <f t="shared" si="111"/>
        <v>43.227434724624402</v>
      </c>
      <c r="AB274" s="196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2.8822675853018179E-2</v>
      </c>
      <c r="AD274" s="230">
        <f>(INDEX(Models!$BJ274:$BT274,,AH274)*(1-AF274)+INDEX(Models!$BJ274:$BT274,,AH274+1)*AF274-ERP_i)*AE274*Ramure*Pc/MaxiM</f>
        <v>1.6527822899791868E-4</v>
      </c>
      <c r="AE274" s="304">
        <f t="shared" si="113"/>
        <v>0.5</v>
      </c>
      <c r="AF274" s="176">
        <f t="shared" si="114"/>
        <v>0.1298217028629613</v>
      </c>
      <c r="AG274" s="175">
        <f t="shared" si="115"/>
        <v>0</v>
      </c>
      <c r="AH274" s="175">
        <f t="shared" si="116"/>
        <v>6</v>
      </c>
      <c r="AI274" s="224">
        <f t="shared" si="117"/>
        <v>0.1298217028629613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43726</v>
      </c>
      <c r="B275" s="616">
        <v>26.718</v>
      </c>
      <c r="C275" s="389"/>
      <c r="D275" s="392">
        <f t="shared" si="99"/>
        <v>26.998011937934653</v>
      </c>
      <c r="E275" s="384">
        <f t="shared" si="97"/>
        <v>27.800417890758791</v>
      </c>
      <c r="F275" s="384">
        <f t="shared" si="100"/>
        <v>27.802187502485033</v>
      </c>
      <c r="G275" s="110">
        <f t="shared" si="98"/>
        <v>0.56733594177886715</v>
      </c>
      <c r="H275" s="413" t="b">
        <f>Wh_hp&gt;='2018'!Maxi_hp</f>
        <v>0</v>
      </c>
      <c r="I275" s="389">
        <f>IF(H275,Wh_hp,'2018'!Maxi_hp)</f>
        <v>42.121370274248335</v>
      </c>
      <c r="J275" s="85">
        <f>IF(H275,An,'2018'!An_max)</f>
        <v>2018</v>
      </c>
      <c r="K275" s="196">
        <f t="shared" si="101"/>
        <v>43726</v>
      </c>
      <c r="L275" s="147">
        <f>IF(t&lt;Tvie,1-EXP((T0-t)*PertePVj)+'2018'!Pspv,1-EXP((T0-t)*PertePVj)+Pspv)</f>
        <v>1.0371576195253529E-2</v>
      </c>
      <c r="M275" s="847"/>
      <c r="N275" s="847"/>
      <c r="O275" s="48">
        <f>IF(t&lt;Tnet,'2018'!Resal+('2018'!Salim-'2018'!Resal)*(1-EXP(('2018'!Tnet-t)/('2018'!Tau_j))),Resal+(Salim-Resal)*(1-EXP((Tnet-t)/(Tau_j))))*Salcycl</f>
        <v>2.8863089611716436E-2</v>
      </c>
      <c r="P275" s="168">
        <f>(INDEX(Models!$BJ275:$BT275,,T275)*(1-R275)+INDEX(Models!$BJ275:$BT275,,T275+1)*R275-ERP_i)*Q275*Ramure*Pc/MaxiM</f>
        <v>1.6662677709932758E-4</v>
      </c>
      <c r="Q275" s="304">
        <f t="shared" si="102"/>
        <v>0.5</v>
      </c>
      <c r="R275" s="176">
        <f t="shared" si="103"/>
        <v>0.13002187990887598</v>
      </c>
      <c r="S275" s="814">
        <f t="shared" si="104"/>
        <v>0</v>
      </c>
      <c r="T275" s="175">
        <f t="shared" si="105"/>
        <v>6</v>
      </c>
      <c r="U275" s="250">
        <f t="shared" si="106"/>
        <v>0.13002187990887598</v>
      </c>
      <c r="V275" s="382">
        <f t="shared" si="107"/>
        <v>47.088940654747539</v>
      </c>
      <c r="W275" s="58"/>
      <c r="X275" s="157">
        <f t="shared" si="108"/>
        <v>43726</v>
      </c>
      <c r="Y275" s="384">
        <f t="shared" si="109"/>
        <v>26.718</v>
      </c>
      <c r="Z275" s="384">
        <f t="shared" si="110"/>
        <v>26.998011937934653</v>
      </c>
      <c r="AA275" s="385">
        <f t="shared" si="111"/>
        <v>27.800417890758791</v>
      </c>
      <c r="AB275" s="196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2.8863089611716436E-2</v>
      </c>
      <c r="AD275" s="230">
        <f>(INDEX(Models!$BJ275:$BT275,,AH275)*(1-AF275)+INDEX(Models!$BJ275:$BT275,,AH275+1)*AF275-ERP_i)*AE275*Ramure*Pc/MaxiM</f>
        <v>1.6662677709932758E-4</v>
      </c>
      <c r="AE275" s="304">
        <f t="shared" si="113"/>
        <v>0.5</v>
      </c>
      <c r="AF275" s="176">
        <f t="shared" si="114"/>
        <v>0.13002187990887598</v>
      </c>
      <c r="AG275" s="175">
        <f t="shared" si="115"/>
        <v>0</v>
      </c>
      <c r="AH275" s="175">
        <f t="shared" si="116"/>
        <v>6</v>
      </c>
      <c r="AI275" s="224">
        <f t="shared" si="117"/>
        <v>0.13002187990887598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43727</v>
      </c>
      <c r="B276" s="616">
        <v>41.488999999999997</v>
      </c>
      <c r="C276" s="389"/>
      <c r="D276" s="392">
        <f t="shared" si="99"/>
        <v>41.924734311863602</v>
      </c>
      <c r="E276" s="384">
        <f t="shared" si="97"/>
        <v>43.172557919853723</v>
      </c>
      <c r="F276" s="384">
        <f t="shared" si="100"/>
        <v>43.178617640852714</v>
      </c>
      <c r="G276" s="110">
        <f t="shared" si="98"/>
        <v>0.88571565212144698</v>
      </c>
      <c r="H276" s="413" t="b">
        <f>Wh_hp&gt;='2018'!Maxi_hp</f>
        <v>1</v>
      </c>
      <c r="I276" s="389">
        <f>IF(H276,Wh_hp,'2018'!Maxi_hp)</f>
        <v>43.178617640852714</v>
      </c>
      <c r="J276" s="85">
        <f>IF(H276,An,'2018'!An_max)</f>
        <v>2019</v>
      </c>
      <c r="K276" s="196">
        <f t="shared" si="101"/>
        <v>43727</v>
      </c>
      <c r="L276" s="147">
        <f>IF(t&lt;Tvie,1-EXP((T0-t)*PertePVj)+'2018'!Pspv,1-EXP((T0-t)*PertePVj)+Pspv)</f>
        <v>1.0393251597549225E-2</v>
      </c>
      <c r="M276" s="847"/>
      <c r="N276" s="847"/>
      <c r="O276" s="48">
        <f>IF(t&lt;Tnet,'2018'!Resal+('2018'!Salim-'2018'!Resal)*(1-EXP(('2018'!Tnet-t)/('2018'!Tau_j))),Resal+(Salim-Resal)*(1-EXP((Tnet-t)/(Tau_j))))*Salcycl</f>
        <v>2.8903165995088843E-2</v>
      </c>
      <c r="P276" s="168">
        <f>(INDEX(Models!$BJ276:$BT276,,T276)*(1-R276)+INDEX(Models!$BJ276:$BT276,,T276+1)*R276-ERP_i)*Q276*Ramure*Pc/MaxiM</f>
        <v>1.6771701452541563E-4</v>
      </c>
      <c r="Q276" s="304">
        <f t="shared" si="102"/>
        <v>0.5</v>
      </c>
      <c r="R276" s="176">
        <f t="shared" si="103"/>
        <v>0.13021425249043295</v>
      </c>
      <c r="S276" s="814">
        <f t="shared" si="104"/>
        <v>0</v>
      </c>
      <c r="T276" s="175">
        <f t="shared" si="105"/>
        <v>6</v>
      </c>
      <c r="U276" s="250">
        <f t="shared" si="106"/>
        <v>0.13021425249043295</v>
      </c>
      <c r="V276" s="382">
        <f t="shared" si="107"/>
        <v>46.841064543374628</v>
      </c>
      <c r="W276" s="58"/>
      <c r="X276" s="157">
        <f t="shared" si="108"/>
        <v>43727</v>
      </c>
      <c r="Y276" s="384">
        <f t="shared" si="109"/>
        <v>41.488999999999997</v>
      </c>
      <c r="Z276" s="384">
        <f t="shared" si="110"/>
        <v>41.924734311863602</v>
      </c>
      <c r="AA276" s="385">
        <f t="shared" si="111"/>
        <v>43.172557919853723</v>
      </c>
      <c r="AB276" s="196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2.8903165995088843E-2</v>
      </c>
      <c r="AD276" s="230">
        <f>(INDEX(Models!$BJ276:$BT276,,AH276)*(1-AF276)+INDEX(Models!$BJ276:$BT276,,AH276+1)*AF276-ERP_i)*AE276*Ramure*Pc/MaxiM</f>
        <v>1.6771701452541563E-4</v>
      </c>
      <c r="AE276" s="304">
        <f t="shared" si="113"/>
        <v>0.5</v>
      </c>
      <c r="AF276" s="176">
        <f t="shared" si="114"/>
        <v>0.13021425249043295</v>
      </c>
      <c r="AG276" s="175">
        <f t="shared" si="115"/>
        <v>0</v>
      </c>
      <c r="AH276" s="175">
        <f t="shared" si="116"/>
        <v>6</v>
      </c>
      <c r="AI276" s="224">
        <f t="shared" si="117"/>
        <v>0.13021425249043295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43728</v>
      </c>
      <c r="B277" s="616">
        <v>46.228000000000002</v>
      </c>
      <c r="C277" s="389"/>
      <c r="D277" s="392">
        <f t="shared" si="99"/>
        <v>46.714528380740013</v>
      </c>
      <c r="E277" s="384">
        <f t="shared" si="97"/>
        <v>48.106880740747307</v>
      </c>
      <c r="F277" s="384">
        <f t="shared" si="100"/>
        <v>48.114900996687737</v>
      </c>
      <c r="G277" s="110">
        <f t="shared" si="98"/>
        <v>0.99228764443730499</v>
      </c>
      <c r="H277" s="413" t="b">
        <f>Wh_hp&gt;='2018'!Maxi_hp</f>
        <v>1</v>
      </c>
      <c r="I277" s="389">
        <f>IF(H277,Wh_hp,'2018'!Maxi_hp)</f>
        <v>48.114900996687737</v>
      </c>
      <c r="J277" s="85">
        <f>IF(H277,An,'2018'!An_max)</f>
        <v>2019</v>
      </c>
      <c r="K277" s="196">
        <f t="shared" si="101"/>
        <v>43728</v>
      </c>
      <c r="L277" s="147">
        <f>IF(t&lt;Tvie,1-EXP((T0-t)*PertePVj)+'2018'!Pspv,1-EXP((T0-t)*PertePVj)+Pspv)</f>
        <v>1.0414926525098012E-2</v>
      </c>
      <c r="M277" s="847"/>
      <c r="N277" s="847"/>
      <c r="O277" s="48">
        <f>IF(t&lt;Tnet,'2018'!Resal+('2018'!Salim-'2018'!Resal)*(1-EXP(('2018'!Tnet-t)/('2018'!Tau_j))),Resal+(Salim-Resal)*(1-EXP((Tnet-t)/(Tau_j))))*Salcycl</f>
        <v>2.8942894209059496E-2</v>
      </c>
      <c r="P277" s="168">
        <f>(INDEX(Models!$BJ277:$BT277,,T277)*(1-R277)+INDEX(Models!$BJ277:$BT277,,T277+1)*R277-ERP_i)*Q277*Ramure*Pc/MaxiM</f>
        <v>1.6854618801672789E-4</v>
      </c>
      <c r="Q277" s="304">
        <f t="shared" si="102"/>
        <v>0.5</v>
      </c>
      <c r="R277" s="176">
        <f t="shared" si="103"/>
        <v>0.13039911515746822</v>
      </c>
      <c r="S277" s="814">
        <f t="shared" si="104"/>
        <v>0</v>
      </c>
      <c r="T277" s="175">
        <f t="shared" si="105"/>
        <v>6</v>
      </c>
      <c r="U277" s="250">
        <f t="shared" si="106"/>
        <v>0.13039911515746822</v>
      </c>
      <c r="V277" s="382">
        <f t="shared" si="107"/>
        <v>46.587211299806818</v>
      </c>
      <c r="W277" s="58"/>
      <c r="X277" s="157">
        <f t="shared" si="108"/>
        <v>43728</v>
      </c>
      <c r="Y277" s="384">
        <f t="shared" si="109"/>
        <v>46.228000000000002</v>
      </c>
      <c r="Z277" s="384">
        <f t="shared" si="110"/>
        <v>46.714528380740013</v>
      </c>
      <c r="AA277" s="385">
        <f t="shared" si="111"/>
        <v>48.106880740747307</v>
      </c>
      <c r="AB277" s="196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2.8942894209059496E-2</v>
      </c>
      <c r="AD277" s="230">
        <f>(INDEX(Models!$BJ277:$BT277,,AH277)*(1-AF277)+INDEX(Models!$BJ277:$BT277,,AH277+1)*AF277-ERP_i)*AE277*Ramure*Pc/MaxiM</f>
        <v>1.6854618801672789E-4</v>
      </c>
      <c r="AE277" s="304">
        <f t="shared" si="113"/>
        <v>0.5</v>
      </c>
      <c r="AF277" s="176">
        <f t="shared" si="114"/>
        <v>0.13039911515746822</v>
      </c>
      <c r="AG277" s="175">
        <f t="shared" si="115"/>
        <v>0</v>
      </c>
      <c r="AH277" s="175">
        <f t="shared" si="116"/>
        <v>6</v>
      </c>
      <c r="AI277" s="224">
        <f t="shared" si="117"/>
        <v>0.13039911515746822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43729</v>
      </c>
      <c r="B278" s="616">
        <v>33.933999999999997</v>
      </c>
      <c r="C278" s="389"/>
      <c r="D278" s="392">
        <f t="shared" si="99"/>
        <v>34.291890780857891</v>
      </c>
      <c r="E278" s="384">
        <f t="shared" si="97"/>
        <v>35.315411330885361</v>
      </c>
      <c r="F278" s="384">
        <f t="shared" si="100"/>
        <v>35.319101418935979</v>
      </c>
      <c r="G278" s="110">
        <f t="shared" si="98"/>
        <v>0.73242534839897</v>
      </c>
      <c r="H278" s="413" t="b">
        <f>Wh_hp&gt;='2018'!Maxi_hp</f>
        <v>1</v>
      </c>
      <c r="I278" s="389">
        <f>IF(H278,Wh_hp,'2018'!Maxi_hp)</f>
        <v>35.319101418935979</v>
      </c>
      <c r="J278" s="85">
        <f>IF(H278,An,'2018'!An_max)</f>
        <v>2019</v>
      </c>
      <c r="K278" s="196">
        <f t="shared" si="101"/>
        <v>43729</v>
      </c>
      <c r="L278" s="147">
        <f>IF(t&lt;Tvie,1-EXP((T0-t)*PertePVj)+'2018'!Pspv,1-EXP((T0-t)*PertePVj)+Pspv)</f>
        <v>1.0436600977910215E-2</v>
      </c>
      <c r="M278" s="847"/>
      <c r="N278" s="847"/>
      <c r="O278" s="48">
        <f>IF(t&lt;Tnet,'2018'!Resal+('2018'!Salim-'2018'!Resal)*(1-EXP(('2018'!Tnet-t)/('2018'!Tau_j))),Resal+(Salim-Resal)*(1-EXP((Tnet-t)/(Tau_j))))*Salcycl</f>
        <v>2.8982263308153729E-2</v>
      </c>
      <c r="P278" s="168">
        <f>(INDEX(Models!$BJ278:$BT278,,T278)*(1-R278)+INDEX(Models!$BJ278:$BT278,,T278+1)*R278-ERP_i)*Q278*Ramure*Pc/MaxiM</f>
        <v>1.6910888746078003E-4</v>
      </c>
      <c r="Q278" s="304">
        <f t="shared" si="102"/>
        <v>0.5</v>
      </c>
      <c r="R278" s="176">
        <f t="shared" si="103"/>
        <v>0.13057675210102082</v>
      </c>
      <c r="S278" s="814">
        <f t="shared" si="104"/>
        <v>0</v>
      </c>
      <c r="T278" s="175">
        <f t="shared" si="105"/>
        <v>6</v>
      </c>
      <c r="U278" s="250">
        <f t="shared" si="106"/>
        <v>0.13057675210102082</v>
      </c>
      <c r="V278" s="382">
        <f t="shared" si="107"/>
        <v>46.328006913883044</v>
      </c>
      <c r="W278" s="58"/>
      <c r="X278" s="157">
        <f t="shared" si="108"/>
        <v>43729</v>
      </c>
      <c r="Y278" s="384">
        <f t="shared" si="109"/>
        <v>33.933999999999997</v>
      </c>
      <c r="Z278" s="384">
        <f t="shared" si="110"/>
        <v>34.291890780857891</v>
      </c>
      <c r="AA278" s="385">
        <f t="shared" si="111"/>
        <v>35.315411330885361</v>
      </c>
      <c r="AB278" s="196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2.8982263308153729E-2</v>
      </c>
      <c r="AD278" s="230">
        <f>(INDEX(Models!$BJ278:$BT278,,AH278)*(1-AF278)+INDEX(Models!$BJ278:$BT278,,AH278+1)*AF278-ERP_i)*AE278*Ramure*Pc/MaxiM</f>
        <v>1.6910888746078003E-4</v>
      </c>
      <c r="AE278" s="304">
        <f t="shared" si="113"/>
        <v>0.5</v>
      </c>
      <c r="AF278" s="176">
        <f t="shared" si="114"/>
        <v>0.13057675210102082</v>
      </c>
      <c r="AG278" s="175">
        <f t="shared" si="115"/>
        <v>0</v>
      </c>
      <c r="AH278" s="175">
        <f t="shared" si="116"/>
        <v>6</v>
      </c>
      <c r="AI278" s="224">
        <f t="shared" si="117"/>
        <v>0.13057675210102082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43730</v>
      </c>
      <c r="B279" s="616">
        <v>11.356999999999999</v>
      </c>
      <c r="C279" s="389"/>
      <c r="D279" s="392">
        <f t="shared" si="99"/>
        <v>11.477029934735667</v>
      </c>
      <c r="E279" s="384">
        <f t="shared" si="97"/>
        <v>11.820063085237258</v>
      </c>
      <c r="F279" s="384">
        <f t="shared" si="100"/>
        <v>11.820063085237258</v>
      </c>
      <c r="G279" s="110">
        <f t="shared" si="98"/>
        <v>0.24650610237990114</v>
      </c>
      <c r="H279" s="413" t="b">
        <f>Wh_hp&gt;='2018'!Maxi_hp</f>
        <v>0</v>
      </c>
      <c r="I279" s="389">
        <f>IF(H279,Wh_hp,'2018'!Maxi_hp)</f>
        <v>43.967294700182691</v>
      </c>
      <c r="J279" s="85">
        <f>IF(H279,An,'2018'!An_max)</f>
        <v>2018</v>
      </c>
      <c r="K279" s="196">
        <f t="shared" si="101"/>
        <v>43730</v>
      </c>
      <c r="L279" s="147">
        <f>IF(t&lt;Tvie,1-EXP((T0-t)*PertePVj)+'2018'!Pspv,1-EXP((T0-t)*PertePVj)+Pspv)</f>
        <v>1.0458274955996383E-2</v>
      </c>
      <c r="M279" s="847"/>
      <c r="N279" s="847"/>
      <c r="O279" s="48">
        <f>IF(t&lt;Tnet,'2018'!Resal+('2018'!Salim-'2018'!Resal)*(1-EXP(('2018'!Tnet-t)/('2018'!Tau_j))),Resal+(Salim-Resal)*(1-EXP((Tnet-t)/(Tau_j))))*Salcycl</f>
        <v>2.9021262240979472E-2</v>
      </c>
      <c r="P279" s="168">
        <f>(INDEX(Models!$BJ279:$BT279,,T279)*(1-R279)+INDEX(Models!$BJ279:$BT279,,T279+1)*R279-ERP_i)*Q279*Ramure*Pc/MaxiM</f>
        <v>1.693995108145244E-4</v>
      </c>
      <c r="Q279" s="304">
        <f t="shared" si="102"/>
        <v>0.5</v>
      </c>
      <c r="R279" s="176">
        <f t="shared" si="103"/>
        <v>0.1307474374579069</v>
      </c>
      <c r="S279" s="814">
        <f t="shared" si="104"/>
        <v>0</v>
      </c>
      <c r="T279" s="175">
        <f t="shared" si="105"/>
        <v>6</v>
      </c>
      <c r="U279" s="250">
        <f t="shared" si="106"/>
        <v>0.1307474374579069</v>
      </c>
      <c r="V279" s="382">
        <f t="shared" si="107"/>
        <v>46.064077197796443</v>
      </c>
      <c r="W279" s="58"/>
      <c r="X279" s="157">
        <f t="shared" si="108"/>
        <v>43730</v>
      </c>
      <c r="Y279" s="384">
        <f t="shared" si="109"/>
        <v>11.356999999999999</v>
      </c>
      <c r="Z279" s="384">
        <f t="shared" si="110"/>
        <v>11.477029934735667</v>
      </c>
      <c r="AA279" s="385">
        <f t="shared" si="111"/>
        <v>11.820063085237258</v>
      </c>
      <c r="AB279" s="196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2.9021262240979472E-2</v>
      </c>
      <c r="AD279" s="230">
        <f>(INDEX(Models!$BJ279:$BT279,,AH279)*(1-AF279)+INDEX(Models!$BJ279:$BT279,,AH279+1)*AF279-ERP_i)*AE279*Ramure*Pc/MaxiM</f>
        <v>1.693995108145244E-4</v>
      </c>
      <c r="AE279" s="304">
        <f t="shared" si="113"/>
        <v>0.5</v>
      </c>
      <c r="AF279" s="176">
        <f t="shared" si="114"/>
        <v>0.1307474374579069</v>
      </c>
      <c r="AG279" s="175">
        <f t="shared" si="115"/>
        <v>0</v>
      </c>
      <c r="AH279" s="175">
        <f t="shared" si="116"/>
        <v>6</v>
      </c>
      <c r="AI279" s="224">
        <f t="shared" si="117"/>
        <v>0.1307474374579069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43731</v>
      </c>
      <c r="B280" s="616">
        <v>40.807000000000002</v>
      </c>
      <c r="C280" s="389"/>
      <c r="D280" s="392">
        <f t="shared" si="99"/>
        <v>41.239184528363566</v>
      </c>
      <c r="E280" s="384">
        <f t="shared" si="97"/>
        <v>42.473458120320956</v>
      </c>
      <c r="F280" s="384">
        <f t="shared" si="100"/>
        <v>42.479534712632002</v>
      </c>
      <c r="G280" s="110">
        <f t="shared" si="98"/>
        <v>0.89103592899581407</v>
      </c>
      <c r="H280" s="413" t="b">
        <f>Wh_hp&gt;='2018'!Maxi_hp</f>
        <v>0</v>
      </c>
      <c r="I280" s="389">
        <f>IF(H280,Wh_hp,'2018'!Maxi_hp)</f>
        <v>44.179127561148483</v>
      </c>
      <c r="J280" s="85">
        <f>IF(H280,An,'2018'!An_max)</f>
        <v>2018</v>
      </c>
      <c r="K280" s="196">
        <f t="shared" si="101"/>
        <v>43731</v>
      </c>
      <c r="L280" s="147">
        <f>IF(t&lt;Tvie,1-EXP((T0-t)*PertePVj)+'2018'!Pspv,1-EXP((T0-t)*PertePVj)+Pspv)</f>
        <v>1.0479948459366728E-2</v>
      </c>
      <c r="M280" s="847"/>
      <c r="N280" s="847"/>
      <c r="O280" s="48">
        <f>IF(t&lt;Tnet,'2018'!Resal+('2018'!Salim-'2018'!Resal)*(1-EXP(('2018'!Tnet-t)/('2018'!Tau_j))),Resal+(Salim-Resal)*(1-EXP((Tnet-t)/(Tau_j))))*Salcycl</f>
        <v>2.9059879901016807E-2</v>
      </c>
      <c r="P280" s="168">
        <f>(INDEX(Models!$BJ280:$BT280,,T280)*(1-R280)+INDEX(Models!$BJ280:$BT280,,T280+1)*R280-ERP_i)*Q280*Ramure*Pc/MaxiM</f>
        <v>1.6941319816425756E-4</v>
      </c>
      <c r="Q280" s="304">
        <f t="shared" si="102"/>
        <v>0.5</v>
      </c>
      <c r="R280" s="176">
        <f t="shared" si="103"/>
        <v>0.13091143561124602</v>
      </c>
      <c r="S280" s="814">
        <f t="shared" si="104"/>
        <v>0</v>
      </c>
      <c r="T280" s="175">
        <f t="shared" si="105"/>
        <v>6</v>
      </c>
      <c r="U280" s="250">
        <f t="shared" si="106"/>
        <v>0.13091143561124602</v>
      </c>
      <c r="V280" s="382">
        <f t="shared" si="107"/>
        <v>45.796047739671366</v>
      </c>
      <c r="W280" s="58"/>
      <c r="X280" s="157">
        <f t="shared" si="108"/>
        <v>43731</v>
      </c>
      <c r="Y280" s="384">
        <f t="shared" si="109"/>
        <v>40.807000000000002</v>
      </c>
      <c r="Z280" s="384">
        <f t="shared" si="110"/>
        <v>41.239184528363566</v>
      </c>
      <c r="AA280" s="385">
        <f t="shared" si="111"/>
        <v>42.473458120320956</v>
      </c>
      <c r="AB280" s="196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2.9059879901016807E-2</v>
      </c>
      <c r="AD280" s="230">
        <f>(INDEX(Models!$BJ280:$BT280,,AH280)*(1-AF280)+INDEX(Models!$BJ280:$BT280,,AH280+1)*AF280-ERP_i)*AE280*Ramure*Pc/MaxiM</f>
        <v>1.6941319816425756E-4</v>
      </c>
      <c r="AE280" s="304">
        <f t="shared" si="113"/>
        <v>0.5</v>
      </c>
      <c r="AF280" s="176">
        <f t="shared" si="114"/>
        <v>0.13091143561124602</v>
      </c>
      <c r="AG280" s="175">
        <f t="shared" si="115"/>
        <v>0</v>
      </c>
      <c r="AH280" s="175">
        <f t="shared" si="116"/>
        <v>6</v>
      </c>
      <c r="AI280" s="224">
        <f t="shared" si="117"/>
        <v>0.13091143561124602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43732</v>
      </c>
      <c r="B281" s="616">
        <v>29.446000000000002</v>
      </c>
      <c r="C281" s="389"/>
      <c r="D281" s="392">
        <f t="shared" si="99"/>
        <v>29.758512635747429</v>
      </c>
      <c r="E281" s="384">
        <f t="shared" si="97"/>
        <v>30.65038063536106</v>
      </c>
      <c r="F281" s="384">
        <f t="shared" si="100"/>
        <v>30.65294944053089</v>
      </c>
      <c r="G281" s="110">
        <f t="shared" si="98"/>
        <v>0.64676071977845595</v>
      </c>
      <c r="H281" s="413" t="b">
        <f>Wh_hp&gt;='2018'!Maxi_hp</f>
        <v>0</v>
      </c>
      <c r="I281" s="389">
        <f>IF(H281,Wh_hp,'2018'!Maxi_hp)</f>
        <v>38.94326033196662</v>
      </c>
      <c r="J281" s="85">
        <f>IF(H281,An,'2018'!An_max)</f>
        <v>2018</v>
      </c>
      <c r="K281" s="196">
        <f t="shared" si="101"/>
        <v>43732</v>
      </c>
      <c r="L281" s="147">
        <f>IF(t&lt;Tvie,1-EXP((T0-t)*PertePVj)+'2018'!Pspv,1-EXP((T0-t)*PertePVj)+Pspv)</f>
        <v>1.0501621488031687E-2</v>
      </c>
      <c r="M281" s="847"/>
      <c r="N281" s="847"/>
      <c r="O281" s="48">
        <f>IF(t&lt;Tnet,'2018'!Resal+('2018'!Salim-'2018'!Resal)*(1-EXP(('2018'!Tnet-t)/('2018'!Tau_j))),Resal+(Salim-Resal)*(1-EXP((Tnet-t)/(Tau_j))))*Salcycl</f>
        <v>2.9098105182572859E-2</v>
      </c>
      <c r="P281" s="168">
        <f>(INDEX(Models!$BJ281:$BT281,,T281)*(1-R281)+INDEX(Models!$BJ281:$BT281,,T281+1)*R281-ERP_i)*Q281*Ramure*Pc/MaxiM</f>
        <v>1.6914451028313127E-4</v>
      </c>
      <c r="Q281" s="304">
        <f t="shared" si="102"/>
        <v>0.5</v>
      </c>
      <c r="R281" s="176">
        <f t="shared" si="103"/>
        <v>0.13106900148652767</v>
      </c>
      <c r="S281" s="814">
        <f t="shared" si="104"/>
        <v>0</v>
      </c>
      <c r="T281" s="175">
        <f t="shared" si="105"/>
        <v>6</v>
      </c>
      <c r="U281" s="250">
        <f t="shared" si="106"/>
        <v>0.13106900148652767</v>
      </c>
      <c r="V281" s="382">
        <f t="shared" si="107"/>
        <v>45.524543960501539</v>
      </c>
      <c r="W281" s="58"/>
      <c r="X281" s="157">
        <f t="shared" si="108"/>
        <v>43732</v>
      </c>
      <c r="Y281" s="384">
        <f t="shared" si="109"/>
        <v>29.446000000000002</v>
      </c>
      <c r="Z281" s="384">
        <f t="shared" si="110"/>
        <v>29.758512635747429</v>
      </c>
      <c r="AA281" s="385">
        <f t="shared" si="111"/>
        <v>30.65038063536106</v>
      </c>
      <c r="AB281" s="196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2.9098105182572859E-2</v>
      </c>
      <c r="AD281" s="230">
        <f>(INDEX(Models!$BJ281:$BT281,,AH281)*(1-AF281)+INDEX(Models!$BJ281:$BT281,,AH281+1)*AF281-ERP_i)*AE281*Ramure*Pc/MaxiM</f>
        <v>1.6914451028313127E-4</v>
      </c>
      <c r="AE281" s="304">
        <f t="shared" si="113"/>
        <v>0.5</v>
      </c>
      <c r="AF281" s="176">
        <f t="shared" si="114"/>
        <v>0.13106900148652767</v>
      </c>
      <c r="AG281" s="175">
        <f t="shared" si="115"/>
        <v>0</v>
      </c>
      <c r="AH281" s="175">
        <f t="shared" si="116"/>
        <v>6</v>
      </c>
      <c r="AI281" s="224">
        <f t="shared" si="117"/>
        <v>0.13106900148652767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43733</v>
      </c>
      <c r="B282" s="616">
        <v>28.864000000000001</v>
      </c>
      <c r="C282" s="389"/>
      <c r="D282" s="392">
        <f t="shared" si="99"/>
        <v>29.170974744730611</v>
      </c>
      <c r="E282" s="384">
        <f t="shared" si="97"/>
        <v>30.046404596932071</v>
      </c>
      <c r="F282" s="384">
        <f t="shared" si="100"/>
        <v>30.048851687910236</v>
      </c>
      <c r="G282" s="110">
        <f t="shared" si="98"/>
        <v>0.63782016319712997</v>
      </c>
      <c r="H282" s="413" t="b">
        <f>Wh_hp&gt;='2018'!Maxi_hp</f>
        <v>0</v>
      </c>
      <c r="I282" s="389">
        <f>IF(H282,Wh_hp,'2018'!Maxi_hp)</f>
        <v>46.527927467994083</v>
      </c>
      <c r="J282" s="85">
        <f>IF(H282,An,'2018'!An_max)</f>
        <v>2018</v>
      </c>
      <c r="K282" s="196">
        <f t="shared" si="101"/>
        <v>43733</v>
      </c>
      <c r="L282" s="147">
        <f>IF(t&lt;Tvie,1-EXP((T0-t)*PertePVj)+'2018'!Pspv,1-EXP((T0-t)*PertePVj)+Pspv)</f>
        <v>1.0523294042001807E-2</v>
      </c>
      <c r="M282" s="847"/>
      <c r="N282" s="847"/>
      <c r="O282" s="48">
        <f>IF(t&lt;Tnet,'2018'!Resal+('2018'!Salim-'2018'!Resal)*(1-EXP(('2018'!Tnet-t)/('2018'!Tau_j))),Resal+(Salim-Resal)*(1-EXP((Tnet-t)/(Tau_j))))*Salcycl</f>
        <v>2.9135927041695021E-2</v>
      </c>
      <c r="P282" s="168">
        <f>(INDEX(Models!$BJ282:$BT282,,T282)*(1-R282)+INDEX(Models!$BJ282:$BT282,,T282+1)*R282-ERP_i)*Q282*Ramure*Pc/MaxiM</f>
        <v>1.6871866643934034E-4</v>
      </c>
      <c r="Q282" s="304">
        <f t="shared" si="102"/>
        <v>0.5</v>
      </c>
      <c r="R282" s="176">
        <f t="shared" si="103"/>
        <v>0.13122038084285864</v>
      </c>
      <c r="S282" s="814">
        <f t="shared" si="104"/>
        <v>0</v>
      </c>
      <c r="T282" s="175">
        <f t="shared" si="105"/>
        <v>6</v>
      </c>
      <c r="U282" s="250">
        <f t="shared" si="106"/>
        <v>0.13122038084285864</v>
      </c>
      <c r="V282" s="382">
        <f t="shared" si="107"/>
        <v>45.250185184907622</v>
      </c>
      <c r="W282" s="58"/>
      <c r="X282" s="157">
        <f t="shared" si="108"/>
        <v>43733</v>
      </c>
      <c r="Y282" s="384">
        <f t="shared" si="109"/>
        <v>28.864000000000001</v>
      </c>
      <c r="Z282" s="384">
        <f t="shared" si="110"/>
        <v>29.170974744730611</v>
      </c>
      <c r="AA282" s="385">
        <f t="shared" si="111"/>
        <v>30.046404596932071</v>
      </c>
      <c r="AB282" s="196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2.9135927041695021E-2</v>
      </c>
      <c r="AD282" s="230">
        <f>(INDEX(Models!$BJ282:$BT282,,AH282)*(1-AF282)+INDEX(Models!$BJ282:$BT282,,AH282+1)*AF282-ERP_i)*AE282*Ramure*Pc/MaxiM</f>
        <v>1.6871866643934034E-4</v>
      </c>
      <c r="AE282" s="304">
        <f t="shared" si="113"/>
        <v>0.5</v>
      </c>
      <c r="AF282" s="176">
        <f t="shared" si="114"/>
        <v>0.13122038084285864</v>
      </c>
      <c r="AG282" s="175">
        <f t="shared" si="115"/>
        <v>0</v>
      </c>
      <c r="AH282" s="175">
        <f t="shared" si="116"/>
        <v>6</v>
      </c>
      <c r="AI282" s="224">
        <f t="shared" si="117"/>
        <v>0.13122038084285864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43734</v>
      </c>
      <c r="B283" s="616">
        <v>32.799999999999997</v>
      </c>
      <c r="C283" s="389"/>
      <c r="D283" s="392">
        <f t="shared" si="99"/>
        <v>33.149560997655826</v>
      </c>
      <c r="E283" s="384">
        <f t="shared" si="97"/>
        <v>34.145705075676105</v>
      </c>
      <c r="F283" s="384">
        <f t="shared" si="100"/>
        <v>34.149230553086007</v>
      </c>
      <c r="G283" s="110">
        <f t="shared" si="98"/>
        <v>0.72926947807119535</v>
      </c>
      <c r="H283" s="413" t="b">
        <f>Wh_hp&gt;='2018'!Maxi_hp</f>
        <v>0</v>
      </c>
      <c r="I283" s="389">
        <f>IF(H283,Wh_hp,'2018'!Maxi_hp)</f>
        <v>45.350079953012298</v>
      </c>
      <c r="J283" s="85">
        <f>IF(H283,An,'2018'!An_max)</f>
        <v>2018</v>
      </c>
      <c r="K283" s="196">
        <f t="shared" si="101"/>
        <v>43734</v>
      </c>
      <c r="L283" s="147">
        <f>IF(t&lt;Tvie,1-EXP((T0-t)*PertePVj)+'2018'!Pspv,1-EXP((T0-t)*PertePVj)+Pspv)</f>
        <v>1.0544966121287302E-2</v>
      </c>
      <c r="M283" s="847"/>
      <c r="N283" s="847"/>
      <c r="O283" s="48">
        <f>IF(t&lt;Tnet,'2018'!Resal+('2018'!Salim-'2018'!Resal)*(1-EXP(('2018'!Tnet-t)/('2018'!Tau_j))),Resal+(Salim-Resal)*(1-EXP((Tnet-t)/(Tau_j))))*Salcycl</f>
        <v>2.9173334561771534E-2</v>
      </c>
      <c r="P283" s="168">
        <f>(INDEX(Models!$BJ283:$BT283,,T283)*(1-R283)+INDEX(Models!$BJ283:$BT283,,T283+1)*R283-ERP_i)*Q283*Ramure*Pc/MaxiM</f>
        <v>1.6832825192521819E-4</v>
      </c>
      <c r="Q283" s="304">
        <f t="shared" si="102"/>
        <v>0.5</v>
      </c>
      <c r="R283" s="176">
        <f t="shared" si="103"/>
        <v>0.13136581055908542</v>
      </c>
      <c r="S283" s="814">
        <f t="shared" si="104"/>
        <v>0</v>
      </c>
      <c r="T283" s="175">
        <f t="shared" si="105"/>
        <v>6</v>
      </c>
      <c r="U283" s="250">
        <f t="shared" si="106"/>
        <v>0.13136581055908542</v>
      </c>
      <c r="V283" s="382">
        <f t="shared" si="107"/>
        <v>44.973587659282771</v>
      </c>
      <c r="W283" s="58"/>
      <c r="X283" s="157">
        <f t="shared" si="108"/>
        <v>43734</v>
      </c>
      <c r="Y283" s="384">
        <f t="shared" si="109"/>
        <v>32.799999999999997</v>
      </c>
      <c r="Z283" s="384">
        <f t="shared" si="110"/>
        <v>33.149560997655826</v>
      </c>
      <c r="AA283" s="385">
        <f t="shared" si="111"/>
        <v>34.145705075676105</v>
      </c>
      <c r="AB283" s="196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2.9173334561771534E-2</v>
      </c>
      <c r="AD283" s="230">
        <f>(INDEX(Models!$BJ283:$BT283,,AH283)*(1-AF283)+INDEX(Models!$BJ283:$BT283,,AH283+1)*AF283-ERP_i)*AE283*Ramure*Pc/MaxiM</f>
        <v>1.6832825192521819E-4</v>
      </c>
      <c r="AE283" s="304">
        <f t="shared" si="113"/>
        <v>0.5</v>
      </c>
      <c r="AF283" s="176">
        <f t="shared" si="114"/>
        <v>0.13136581055908542</v>
      </c>
      <c r="AG283" s="175">
        <f t="shared" si="115"/>
        <v>0</v>
      </c>
      <c r="AH283" s="175">
        <f t="shared" si="116"/>
        <v>6</v>
      </c>
      <c r="AI283" s="224">
        <f t="shared" si="117"/>
        <v>0.13136581055908542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43735</v>
      </c>
      <c r="B284" s="616">
        <v>35.206000000000003</v>
      </c>
      <c r="C284" s="389"/>
      <c r="D284" s="392">
        <f t="shared" si="99"/>
        <v>35.581981912438216</v>
      </c>
      <c r="E284" s="384">
        <f t="shared" si="97"/>
        <v>36.652616458944223</v>
      </c>
      <c r="F284" s="384">
        <f t="shared" si="100"/>
        <v>36.656906228981114</v>
      </c>
      <c r="G284" s="110">
        <f t="shared" si="98"/>
        <v>0.78764760549779378</v>
      </c>
      <c r="H284" s="413" t="b">
        <f>Wh_hp&gt;='2018'!Maxi_hp</f>
        <v>0</v>
      </c>
      <c r="I284" s="389">
        <f>IF(H284,Wh_hp,'2018'!Maxi_hp)</f>
        <v>44.445052403607114</v>
      </c>
      <c r="J284" s="85">
        <f>IF(H284,An,'2018'!An_max)</f>
        <v>2018</v>
      </c>
      <c r="K284" s="196">
        <f t="shared" si="101"/>
        <v>43735</v>
      </c>
      <c r="L284" s="147">
        <f>IF(t&lt;Tvie,1-EXP((T0-t)*PertePVj)+'2018'!Pspv,1-EXP((T0-t)*PertePVj)+Pspv)</f>
        <v>1.0566637725898609E-2</v>
      </c>
      <c r="M284" s="847"/>
      <c r="N284" s="847"/>
      <c r="O284" s="48">
        <f>IF(t&lt;Tnet,'2018'!Resal+('2018'!Salim-'2018'!Resal)*(1-EXP(('2018'!Tnet-t)/('2018'!Tau_j))),Resal+(Salim-Resal)*(1-EXP((Tnet-t)/(Tau_j))))*Salcycl</f>
        <v>2.9210317023486053E-2</v>
      </c>
      <c r="P284" s="168">
        <f>(INDEX(Models!$BJ284:$BT284,,T284)*(1-R284)+INDEX(Models!$BJ284:$BT284,,T284+1)*R284-ERP_i)*Q284*Ramure*Pc/MaxiM</f>
        <v>1.679710376221098E-4</v>
      </c>
      <c r="Q284" s="304">
        <f t="shared" si="102"/>
        <v>0.5</v>
      </c>
      <c r="R284" s="176">
        <f t="shared" si="103"/>
        <v>0.13150551891452694</v>
      </c>
      <c r="S284" s="814">
        <f t="shared" si="104"/>
        <v>0</v>
      </c>
      <c r="T284" s="175">
        <f t="shared" si="105"/>
        <v>6</v>
      </c>
      <c r="U284" s="250">
        <f t="shared" si="106"/>
        <v>0.13150551891452694</v>
      </c>
      <c r="V284" s="382">
        <f t="shared" si="107"/>
        <v>44.695376376328809</v>
      </c>
      <c r="W284" s="58"/>
      <c r="X284" s="157">
        <f t="shared" si="108"/>
        <v>43735</v>
      </c>
      <c r="Y284" s="384">
        <f t="shared" si="109"/>
        <v>35.206000000000003</v>
      </c>
      <c r="Z284" s="384">
        <f t="shared" si="110"/>
        <v>35.581981912438216</v>
      </c>
      <c r="AA284" s="385">
        <f t="shared" si="111"/>
        <v>36.652616458944223</v>
      </c>
      <c r="AB284" s="196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2.9210317023486053E-2</v>
      </c>
      <c r="AD284" s="230">
        <f>(INDEX(Models!$BJ284:$BT284,,AH284)*(1-AF284)+INDEX(Models!$BJ284:$BT284,,AH284+1)*AF284-ERP_i)*AE284*Ramure*Pc/MaxiM</f>
        <v>1.679710376221098E-4</v>
      </c>
      <c r="AE284" s="304">
        <f t="shared" si="113"/>
        <v>0.5</v>
      </c>
      <c r="AF284" s="176">
        <f t="shared" si="114"/>
        <v>0.13150551891452694</v>
      </c>
      <c r="AG284" s="175">
        <f t="shared" si="115"/>
        <v>0</v>
      </c>
      <c r="AH284" s="175">
        <f t="shared" si="116"/>
        <v>6</v>
      </c>
      <c r="AI284" s="224">
        <f t="shared" si="117"/>
        <v>0.13150551891452694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43736</v>
      </c>
      <c r="B285" s="616">
        <v>30.492000000000001</v>
      </c>
      <c r="C285" s="389"/>
      <c r="D285" s="392">
        <f t="shared" si="99"/>
        <v>30.818313825197588</v>
      </c>
      <c r="E285" s="384">
        <f t="shared" si="97"/>
        <v>31.74680841259973</v>
      </c>
      <c r="F285" s="384">
        <f t="shared" si="100"/>
        <v>31.749747342197761</v>
      </c>
      <c r="G285" s="110">
        <f t="shared" si="98"/>
        <v>0.68645509615296418</v>
      </c>
      <c r="H285" s="413" t="b">
        <f>Wh_hp&gt;='2018'!Maxi_hp</f>
        <v>0</v>
      </c>
      <c r="I285" s="389">
        <f>IF(H285,Wh_hp,'2018'!Maxi_hp)</f>
        <v>42.089507508036213</v>
      </c>
      <c r="J285" s="85">
        <f>IF(H285,An,'2018'!An_max)</f>
        <v>2018</v>
      </c>
      <c r="K285" s="196">
        <f t="shared" si="101"/>
        <v>43736</v>
      </c>
      <c r="L285" s="147">
        <f>IF(t&lt;Tvie,1-EXP((T0-t)*PertePVj)+'2018'!Pspv,1-EXP((T0-t)*PertePVj)+Pspv)</f>
        <v>1.0588308855846162E-2</v>
      </c>
      <c r="M285" s="847"/>
      <c r="N285" s="847"/>
      <c r="O285" s="48">
        <f>IF(t&lt;Tnet,'2018'!Resal+('2018'!Salim-'2018'!Resal)*(1-EXP(('2018'!Tnet-t)/('2018'!Tau_j))),Resal+(Salim-Resal)*(1-EXP((Tnet-t)/(Tau_j))))*Salcycl</f>
        <v>2.9246863978731118E-2</v>
      </c>
      <c r="P285" s="168">
        <f>(INDEX(Models!$BJ285:$BT285,,T285)*(1-R285)+INDEX(Models!$BJ285:$BT285,,T285+1)*R285-ERP_i)*Q285*Ramure*Pc/MaxiM</f>
        <v>1.6764476099671724E-4</v>
      </c>
      <c r="Q285" s="304">
        <f t="shared" si="102"/>
        <v>0.5</v>
      </c>
      <c r="R285" s="176">
        <f t="shared" si="103"/>
        <v>0.13163972586409894</v>
      </c>
      <c r="S285" s="814">
        <f t="shared" si="104"/>
        <v>0</v>
      </c>
      <c r="T285" s="175">
        <f t="shared" si="105"/>
        <v>6</v>
      </c>
      <c r="U285" s="250">
        <f t="shared" si="106"/>
        <v>0.13163972586409894</v>
      </c>
      <c r="V285" s="382">
        <f t="shared" si="107"/>
        <v>44.416176149814156</v>
      </c>
      <c r="W285" s="58"/>
      <c r="X285" s="157">
        <f t="shared" si="108"/>
        <v>43736</v>
      </c>
      <c r="Y285" s="384">
        <f t="shared" si="109"/>
        <v>30.492000000000001</v>
      </c>
      <c r="Z285" s="384">
        <f t="shared" si="110"/>
        <v>30.818313825197588</v>
      </c>
      <c r="AA285" s="385">
        <f t="shared" si="111"/>
        <v>31.74680841259973</v>
      </c>
      <c r="AB285" s="196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2.9246863978731118E-2</v>
      </c>
      <c r="AD285" s="230">
        <f>(INDEX(Models!$BJ285:$BT285,,AH285)*(1-AF285)+INDEX(Models!$BJ285:$BT285,,AH285+1)*AF285-ERP_i)*AE285*Ramure*Pc/MaxiM</f>
        <v>1.6764476099671724E-4</v>
      </c>
      <c r="AE285" s="304">
        <f t="shared" si="113"/>
        <v>0.5</v>
      </c>
      <c r="AF285" s="176">
        <f t="shared" si="114"/>
        <v>0.13163972586409894</v>
      </c>
      <c r="AG285" s="175">
        <f t="shared" si="115"/>
        <v>0</v>
      </c>
      <c r="AH285" s="175">
        <f t="shared" si="116"/>
        <v>6</v>
      </c>
      <c r="AI285" s="224">
        <f t="shared" si="117"/>
        <v>0.13163972586409894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43737</v>
      </c>
      <c r="B286" s="616">
        <v>43.341000000000001</v>
      </c>
      <c r="C286" s="389"/>
      <c r="D286" s="392">
        <f t="shared" si="99"/>
        <v>43.805778411414664</v>
      </c>
      <c r="E286" s="384">
        <f t="shared" si="97"/>
        <v>45.12723774979149</v>
      </c>
      <c r="F286" s="384">
        <f t="shared" si="100"/>
        <v>45.134596389109774</v>
      </c>
      <c r="G286" s="110">
        <f t="shared" si="98"/>
        <v>0.98196965309899997</v>
      </c>
      <c r="H286" s="413" t="b">
        <f>Wh_hp&gt;='2018'!Maxi_hp</f>
        <v>1</v>
      </c>
      <c r="I286" s="389">
        <f>IF(H286,Wh_hp,'2018'!Maxi_hp)</f>
        <v>45.134596389109774</v>
      </c>
      <c r="J286" s="85">
        <f>IF(H286,An,'2018'!An_max)</f>
        <v>2019</v>
      </c>
      <c r="K286" s="196">
        <f t="shared" si="101"/>
        <v>43737</v>
      </c>
      <c r="L286" s="147">
        <f>IF(t&lt;Tvie,1-EXP((T0-t)*PertePVj)+'2018'!Pspv,1-EXP((T0-t)*PertePVj)+Pspv)</f>
        <v>1.0609979511140399E-2</v>
      </c>
      <c r="M286" s="847"/>
      <c r="N286" s="847"/>
      <c r="O286" s="48">
        <f>IF(t&lt;Tnet,'2018'!Resal+('2018'!Salim-'2018'!Resal)*(1-EXP(('2018'!Tnet-t)/('2018'!Tau_j))),Resal+(Salim-Resal)*(1-EXP((Tnet-t)/(Tau_j))))*Salcycl</f>
        <v>2.9282965328028081E-2</v>
      </c>
      <c r="P286" s="168">
        <f>(INDEX(Models!$BJ286:$BT286,,T286)*(1-R286)+INDEX(Models!$BJ286:$BT286,,T286+1)*R286-ERP_i)*Q286*Ramure*Pc/MaxiM</f>
        <v>1.6734712231328914E-4</v>
      </c>
      <c r="Q286" s="304">
        <f t="shared" si="102"/>
        <v>0.5</v>
      </c>
      <c r="R286" s="176">
        <f t="shared" si="103"/>
        <v>0.13176864330764509</v>
      </c>
      <c r="S286" s="814">
        <f t="shared" si="104"/>
        <v>0</v>
      </c>
      <c r="T286" s="175">
        <f t="shared" si="105"/>
        <v>6</v>
      </c>
      <c r="U286" s="250">
        <f t="shared" si="106"/>
        <v>0.13176864330764509</v>
      </c>
      <c r="V286" s="382">
        <f t="shared" si="107"/>
        <v>44.13661161185842</v>
      </c>
      <c r="W286" s="58"/>
      <c r="X286" s="157">
        <f t="shared" si="108"/>
        <v>43737</v>
      </c>
      <c r="Y286" s="384">
        <f t="shared" si="109"/>
        <v>43.341000000000001</v>
      </c>
      <c r="Z286" s="384">
        <f t="shared" si="110"/>
        <v>43.805778411414664</v>
      </c>
      <c r="AA286" s="385">
        <f t="shared" si="111"/>
        <v>45.12723774979149</v>
      </c>
      <c r="AB286" s="196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2.9282965328028081E-2</v>
      </c>
      <c r="AD286" s="230">
        <f>(INDEX(Models!$BJ286:$BT286,,AH286)*(1-AF286)+INDEX(Models!$BJ286:$BT286,,AH286+1)*AF286-ERP_i)*AE286*Ramure*Pc/MaxiM</f>
        <v>1.6734712231328914E-4</v>
      </c>
      <c r="AE286" s="304">
        <f t="shared" si="113"/>
        <v>0.5</v>
      </c>
      <c r="AF286" s="176">
        <f t="shared" si="114"/>
        <v>0.13176864330764509</v>
      </c>
      <c r="AG286" s="175">
        <f t="shared" si="115"/>
        <v>0</v>
      </c>
      <c r="AH286" s="175">
        <f t="shared" si="116"/>
        <v>6</v>
      </c>
      <c r="AI286" s="224">
        <f t="shared" si="117"/>
        <v>0.13176864330764509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43738</v>
      </c>
      <c r="B287" s="616">
        <v>26.282</v>
      </c>
      <c r="C287" s="389"/>
      <c r="D287" s="392">
        <f t="shared" si="99"/>
        <v>26.564423646473653</v>
      </c>
      <c r="E287" s="384">
        <f t="shared" si="97"/>
        <v>27.366779623551864</v>
      </c>
      <c r="F287" s="384">
        <f t="shared" si="100"/>
        <v>27.368734508343543</v>
      </c>
      <c r="G287" s="110">
        <f t="shared" si="98"/>
        <v>0.59920427551146949</v>
      </c>
      <c r="H287" s="413" t="b">
        <f>Wh_hp&gt;='2018'!Maxi_hp</f>
        <v>0</v>
      </c>
      <c r="I287" s="389">
        <f>IF(H287,Wh_hp,'2018'!Maxi_hp)</f>
        <v>39.258046137495292</v>
      </c>
      <c r="J287" s="85">
        <f>IF(H287,An,'2018'!An_max)</f>
        <v>2018</v>
      </c>
      <c r="K287" s="196">
        <f t="shared" si="101"/>
        <v>43738</v>
      </c>
      <c r="L287" s="147">
        <f>IF(t&lt;Tvie,1-EXP((T0-t)*PertePVj)+'2018'!Pspv,1-EXP((T0-t)*PertePVj)+Pspv)</f>
        <v>1.0631649691791645E-2</v>
      </c>
      <c r="M287" s="847"/>
      <c r="N287" s="847"/>
      <c r="O287" s="48">
        <f>IF(t&lt;Tnet,'2018'!Resal+('2018'!Salim-'2018'!Resal)*(1-EXP(('2018'!Tnet-t)/('2018'!Tau_j))),Resal+(Salim-Resal)*(1-EXP((Tnet-t)/(Tau_j))))*Salcycl</f>
        <v>2.9318611400944678E-2</v>
      </c>
      <c r="P287" s="168">
        <f>(INDEX(Models!$BJ287:$BT287,,T287)*(1-R287)+INDEX(Models!$BJ287:$BT287,,T287+1)*R287-ERP_i)*Q287*Ramure*Pc/MaxiM</f>
        <v>1.6707578135051403E-4</v>
      </c>
      <c r="Q287" s="304">
        <f t="shared" si="102"/>
        <v>0.5</v>
      </c>
      <c r="R287" s="176">
        <f t="shared" si="103"/>
        <v>0.13189247535333048</v>
      </c>
      <c r="S287" s="814">
        <f t="shared" si="104"/>
        <v>0</v>
      </c>
      <c r="T287" s="175">
        <f t="shared" si="105"/>
        <v>6</v>
      </c>
      <c r="U287" s="250">
        <f t="shared" si="106"/>
        <v>0.13189247535333048</v>
      </c>
      <c r="V287" s="382">
        <f t="shared" si="107"/>
        <v>43.857307216636734</v>
      </c>
      <c r="W287" s="58"/>
      <c r="X287" s="157">
        <f t="shared" si="108"/>
        <v>43738</v>
      </c>
      <c r="Y287" s="384">
        <f t="shared" si="109"/>
        <v>26.282</v>
      </c>
      <c r="Z287" s="384">
        <f t="shared" si="110"/>
        <v>26.564423646473653</v>
      </c>
      <c r="AA287" s="385">
        <f t="shared" si="111"/>
        <v>27.366779623551864</v>
      </c>
      <c r="AB287" s="196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2.9318611400944678E-2</v>
      </c>
      <c r="AD287" s="230">
        <f>(INDEX(Models!$BJ287:$BT287,,AH287)*(1-AF287)+INDEX(Models!$BJ287:$BT287,,AH287+1)*AF287-ERP_i)*AE287*Ramure*Pc/MaxiM</f>
        <v>1.6707578135051403E-4</v>
      </c>
      <c r="AE287" s="304">
        <f t="shared" si="113"/>
        <v>0.5</v>
      </c>
      <c r="AF287" s="176">
        <f t="shared" si="114"/>
        <v>0.13189247535333048</v>
      </c>
      <c r="AG287" s="175">
        <f t="shared" si="115"/>
        <v>0</v>
      </c>
      <c r="AH287" s="175">
        <f t="shared" si="116"/>
        <v>6</v>
      </c>
      <c r="AI287" s="224">
        <f t="shared" si="117"/>
        <v>0.13189247535333048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43739</v>
      </c>
      <c r="B288" s="616">
        <v>33.069000000000003</v>
      </c>
      <c r="C288" s="389"/>
      <c r="D288" s="392">
        <f t="shared" si="99"/>
        <v>33.425088139853827</v>
      </c>
      <c r="E288" s="384">
        <f t="shared" si="97"/>
        <v>34.435912797210491</v>
      </c>
      <c r="F288" s="384">
        <f t="shared" si="100"/>
        <v>34.439678824320929</v>
      </c>
      <c r="G288" s="110">
        <f t="shared" si="98"/>
        <v>0.75878713716645474</v>
      </c>
      <c r="H288" s="413" t="b">
        <f>Wh_hp&gt;='2018'!Maxi_hp</f>
        <v>1</v>
      </c>
      <c r="I288" s="389">
        <f>IF(H288,Wh_hp,'2018'!Maxi_hp)</f>
        <v>34.439678824320929</v>
      </c>
      <c r="J288" s="85">
        <f>IF(H288,An,'2018'!An_max)</f>
        <v>2019</v>
      </c>
      <c r="K288" s="196">
        <f t="shared" si="101"/>
        <v>43739</v>
      </c>
      <c r="L288" s="147">
        <f>IF(t&lt;Tvie,1-EXP((T0-t)*PertePVj)+'2018'!Pspv,1-EXP((T0-t)*PertePVj)+Pspv)</f>
        <v>1.0653319397810335E-2</v>
      </c>
      <c r="M288" s="847"/>
      <c r="N288" s="847"/>
      <c r="O288" s="48">
        <f>IF(t&lt;Tnet,'2018'!Resal+('2018'!Salim-'2018'!Resal)*(1-EXP(('2018'!Tnet-t)/('2018'!Tau_j))),Resal+(Salim-Resal)*(1-EXP((Tnet-t)/(Tau_j))))*Salcycl</f>
        <v>2.9353793038950429E-2</v>
      </c>
      <c r="P288" s="168">
        <f>(INDEX(Models!$BJ288:$BT288,,T288)*(1-R288)+INDEX(Models!$BJ288:$BT288,,T288+1)*R288-ERP_i)*Q288*Ramure*Pc/MaxiM</f>
        <v>1.6682835470376489E-4</v>
      </c>
      <c r="Q288" s="304">
        <f t="shared" si="102"/>
        <v>0.5</v>
      </c>
      <c r="R288" s="176">
        <f t="shared" si="103"/>
        <v>0.13201141857497944</v>
      </c>
      <c r="S288" s="814">
        <f t="shared" si="104"/>
        <v>0</v>
      </c>
      <c r="T288" s="175">
        <f t="shared" si="105"/>
        <v>6</v>
      </c>
      <c r="U288" s="250">
        <f t="shared" si="106"/>
        <v>0.13201141857497944</v>
      </c>
      <c r="V288" s="382">
        <f t="shared" si="107"/>
        <v>43.57888723603692</v>
      </c>
      <c r="W288" s="58"/>
      <c r="X288" s="157">
        <f t="shared" si="108"/>
        <v>43739</v>
      </c>
      <c r="Y288" s="384">
        <f t="shared" si="109"/>
        <v>33.069000000000003</v>
      </c>
      <c r="Z288" s="384">
        <f t="shared" si="110"/>
        <v>33.425088139853827</v>
      </c>
      <c r="AA288" s="385">
        <f t="shared" si="111"/>
        <v>34.435912797210491</v>
      </c>
      <c r="AB288" s="196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2.9353793038950429E-2</v>
      </c>
      <c r="AD288" s="230">
        <f>(INDEX(Models!$BJ288:$BT288,,AH288)*(1-AF288)+INDEX(Models!$BJ288:$BT288,,AH288+1)*AF288-ERP_i)*AE288*Ramure*Pc/MaxiM</f>
        <v>1.6682835470376489E-4</v>
      </c>
      <c r="AE288" s="304">
        <f t="shared" si="113"/>
        <v>0.5</v>
      </c>
      <c r="AF288" s="176">
        <f t="shared" si="114"/>
        <v>0.13201141857497944</v>
      </c>
      <c r="AG288" s="175">
        <f t="shared" si="115"/>
        <v>0</v>
      </c>
      <c r="AH288" s="175">
        <f t="shared" si="116"/>
        <v>6</v>
      </c>
      <c r="AI288" s="224">
        <f t="shared" si="117"/>
        <v>0.13201141857497944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43740</v>
      </c>
      <c r="B289" s="616">
        <v>26.341000000000001</v>
      </c>
      <c r="C289" s="389"/>
      <c r="D289" s="392">
        <f t="shared" si="99"/>
        <v>26.625223963055706</v>
      </c>
      <c r="E289" s="384">
        <f t="shared" si="97"/>
        <v>27.431391456976627</v>
      </c>
      <c r="F289" s="384">
        <f t="shared" si="100"/>
        <v>27.433404606939192</v>
      </c>
      <c r="G289" s="110">
        <f t="shared" si="98"/>
        <v>0.6082651353602343</v>
      </c>
      <c r="H289" s="413" t="b">
        <f>Wh_hp&gt;='2018'!Maxi_hp</f>
        <v>0</v>
      </c>
      <c r="I289" s="389">
        <f>IF(H289,Wh_hp,'2018'!Maxi_hp)</f>
        <v>42.828343839340114</v>
      </c>
      <c r="J289" s="85">
        <f>IF(H289,An,'2018'!An_max)</f>
        <v>2018</v>
      </c>
      <c r="K289" s="196">
        <f t="shared" si="101"/>
        <v>43740</v>
      </c>
      <c r="L289" s="147">
        <f>IF(t&lt;Tvie,1-EXP((T0-t)*PertePVj)+'2018'!Pspv,1-EXP((T0-t)*PertePVj)+Pspv)</f>
        <v>1.0674988629206905E-2</v>
      </c>
      <c r="M289" s="847"/>
      <c r="N289" s="847"/>
      <c r="O289" s="48">
        <f>IF(t&lt;Tnet,'2018'!Resal+('2018'!Salim-'2018'!Resal)*(1-EXP(('2018'!Tnet-t)/('2018'!Tau_j))),Resal+(Salim-Resal)*(1-EXP((Tnet-t)/(Tau_j))))*Salcycl</f>
        <v>2.9388501680103027E-2</v>
      </c>
      <c r="P289" s="168">
        <f>(INDEX(Models!$BJ289:$BT289,,T289)*(1-R289)+INDEX(Models!$BJ289:$BT289,,T289+1)*R289-ERP_i)*Q289*Ramure*Pc/MaxiM</f>
        <v>1.6660581557639809E-4</v>
      </c>
      <c r="Q289" s="304">
        <f t="shared" si="102"/>
        <v>0.5</v>
      </c>
      <c r="R289" s="176">
        <f t="shared" si="103"/>
        <v>0.13212566226327327</v>
      </c>
      <c r="S289" s="814">
        <f t="shared" si="104"/>
        <v>0</v>
      </c>
      <c r="T289" s="175">
        <f t="shared" si="105"/>
        <v>6</v>
      </c>
      <c r="U289" s="250">
        <f t="shared" si="106"/>
        <v>0.13212566226327327</v>
      </c>
      <c r="V289" s="382">
        <f t="shared" si="107"/>
        <v>43.301091433196916</v>
      </c>
      <c r="W289" s="58"/>
      <c r="X289" s="157">
        <f t="shared" si="108"/>
        <v>43740</v>
      </c>
      <c r="Y289" s="384">
        <f t="shared" si="109"/>
        <v>26.341000000000001</v>
      </c>
      <c r="Z289" s="384">
        <f t="shared" si="110"/>
        <v>26.625223963055706</v>
      </c>
      <c r="AA289" s="385">
        <f t="shared" si="111"/>
        <v>27.431391456976627</v>
      </c>
      <c r="AB289" s="196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2.9388501680103027E-2</v>
      </c>
      <c r="AD289" s="230">
        <f>(INDEX(Models!$BJ289:$BT289,,AH289)*(1-AF289)+INDEX(Models!$BJ289:$BT289,,AH289+1)*AF289-ERP_i)*AE289*Ramure*Pc/MaxiM</f>
        <v>1.6660581557639809E-4</v>
      </c>
      <c r="AE289" s="304">
        <f t="shared" si="113"/>
        <v>0.5</v>
      </c>
      <c r="AF289" s="176">
        <f t="shared" si="114"/>
        <v>0.13212566226327327</v>
      </c>
      <c r="AG289" s="175">
        <f t="shared" si="115"/>
        <v>0</v>
      </c>
      <c r="AH289" s="175">
        <f t="shared" si="116"/>
        <v>6</v>
      </c>
      <c r="AI289" s="224">
        <f t="shared" si="117"/>
        <v>0.13212566226327327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43741</v>
      </c>
      <c r="B290" s="616">
        <v>36.883000000000003</v>
      </c>
      <c r="C290" s="389"/>
      <c r="D290" s="392">
        <f t="shared" si="99"/>
        <v>37.281790540144229</v>
      </c>
      <c r="E290" s="384">
        <f t="shared" si="97"/>
        <v>38.411975708871033</v>
      </c>
      <c r="F290" s="384">
        <f t="shared" si="100"/>
        <v>38.417067438817448</v>
      </c>
      <c r="G290" s="110">
        <f t="shared" si="98"/>
        <v>0.85725588966474597</v>
      </c>
      <c r="H290" s="413" t="b">
        <f>Wh_hp&gt;='2018'!Maxi_hp</f>
        <v>0</v>
      </c>
      <c r="I290" s="389">
        <f>IF(H290,Wh_hp,'2018'!Maxi_hp)</f>
        <v>41.859424132175342</v>
      </c>
      <c r="J290" s="85">
        <f>IF(H290,An,'2018'!An_max)</f>
        <v>2018</v>
      </c>
      <c r="K290" s="196">
        <f t="shared" si="101"/>
        <v>43741</v>
      </c>
      <c r="L290" s="147">
        <f>IF(t&lt;Tvie,1-EXP((T0-t)*PertePVj)+'2018'!Pspv,1-EXP((T0-t)*PertePVj)+Pspv)</f>
        <v>1.069665738599157E-2</v>
      </c>
      <c r="M290" s="847"/>
      <c r="N290" s="847"/>
      <c r="O290" s="48">
        <f>IF(t&lt;Tnet,'2018'!Resal+('2018'!Salim-'2018'!Resal)*(1-EXP(('2018'!Tnet-t)/('2018'!Tau_j))),Resal+(Salim-Resal)*(1-EXP((Tnet-t)/(Tau_j))))*Salcycl</f>
        <v>2.9422729444916102E-2</v>
      </c>
      <c r="P290" s="168">
        <f>(INDEX(Models!$BJ290:$BT290,,T290)*(1-R290)+INDEX(Models!$BJ290:$BT290,,T290+1)*R290-ERP_i)*Q290*Ramure*Pc/MaxiM</f>
        <v>1.66479914758211E-4</v>
      </c>
      <c r="Q290" s="304">
        <f t="shared" si="102"/>
        <v>0.5</v>
      </c>
      <c r="R290" s="176">
        <f t="shared" si="103"/>
        <v>0.13223538867074608</v>
      </c>
      <c r="S290" s="814">
        <f t="shared" si="104"/>
        <v>0</v>
      </c>
      <c r="T290" s="175">
        <f t="shared" si="105"/>
        <v>6</v>
      </c>
      <c r="U290" s="250">
        <f t="shared" si="106"/>
        <v>0.13223538867074608</v>
      </c>
      <c r="V290" s="382">
        <f t="shared" si="107"/>
        <v>43.023032454352851</v>
      </c>
      <c r="W290" s="58"/>
      <c r="X290" s="157">
        <f t="shared" si="108"/>
        <v>43741</v>
      </c>
      <c r="Y290" s="384">
        <f t="shared" si="109"/>
        <v>36.883000000000003</v>
      </c>
      <c r="Z290" s="384">
        <f t="shared" si="110"/>
        <v>37.281790540144229</v>
      </c>
      <c r="AA290" s="385">
        <f t="shared" si="111"/>
        <v>38.411975708871033</v>
      </c>
      <c r="AB290" s="196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2.9422729444916102E-2</v>
      </c>
      <c r="AD290" s="230">
        <f>(INDEX(Models!$BJ290:$BT290,,AH290)*(1-AF290)+INDEX(Models!$BJ290:$BT290,,AH290+1)*AF290-ERP_i)*AE290*Ramure*Pc/MaxiM</f>
        <v>1.66479914758211E-4</v>
      </c>
      <c r="AE290" s="304">
        <f t="shared" si="113"/>
        <v>0.5</v>
      </c>
      <c r="AF290" s="176">
        <f t="shared" si="114"/>
        <v>0.13223538867074608</v>
      </c>
      <c r="AG290" s="175">
        <f t="shared" si="115"/>
        <v>0</v>
      </c>
      <c r="AH290" s="175">
        <f t="shared" si="116"/>
        <v>6</v>
      </c>
      <c r="AI290" s="224">
        <f t="shared" si="117"/>
        <v>0.13223538867074608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43742</v>
      </c>
      <c r="B291" s="616">
        <v>10.762</v>
      </c>
      <c r="C291" s="389"/>
      <c r="D291" s="392">
        <f t="shared" si="99"/>
        <v>10.878600381705049</v>
      </c>
      <c r="E291" s="384">
        <f t="shared" si="97"/>
        <v>11.208771205751814</v>
      </c>
      <c r="F291" s="384">
        <f t="shared" si="100"/>
        <v>11.208771205751814</v>
      </c>
      <c r="G291" s="110">
        <f t="shared" si="98"/>
        <v>0.25173377295415422</v>
      </c>
      <c r="H291" s="413" t="b">
        <f>Wh_hp&gt;='2018'!Maxi_hp</f>
        <v>0</v>
      </c>
      <c r="I291" s="389">
        <f>IF(H291,Wh_hp,'2018'!Maxi_hp)</f>
        <v>43.452210521350182</v>
      </c>
      <c r="J291" s="85">
        <f>IF(H291,An,'2018'!An_max)</f>
        <v>2018</v>
      </c>
      <c r="K291" s="196">
        <f t="shared" si="101"/>
        <v>43742</v>
      </c>
      <c r="L291" s="147">
        <f>IF(t&lt;Tvie,1-EXP((T0-t)*PertePVj)+'2018'!Pspv,1-EXP((T0-t)*PertePVj)+Pspv)</f>
        <v>1.0718325668174988E-2</v>
      </c>
      <c r="M291" s="847"/>
      <c r="N291" s="847"/>
      <c r="O291" s="48">
        <f>IF(t&lt;Tnet,'2018'!Resal+('2018'!Salim-'2018'!Resal)*(1-EXP(('2018'!Tnet-t)/('2018'!Tau_j))),Resal+(Salim-Resal)*(1-EXP((Tnet-t)/(Tau_j))))*Salcycl</f>
        <v>2.9456469222722517E-2</v>
      </c>
      <c r="P291" s="168">
        <f>(INDEX(Models!$BJ291:$BT291,,T291)*(1-R291)+INDEX(Models!$BJ291:$BT291,,T291+1)*R291-ERP_i)*Q291*Ramure*Pc/MaxiM</f>
        <v>1.6654232711088774E-4</v>
      </c>
      <c r="Q291" s="304">
        <f t="shared" si="102"/>
        <v>0.5</v>
      </c>
      <c r="R291" s="176">
        <f t="shared" si="103"/>
        <v>0.13234077325054439</v>
      </c>
      <c r="S291" s="814">
        <f t="shared" si="104"/>
        <v>0</v>
      </c>
      <c r="T291" s="175">
        <f t="shared" si="105"/>
        <v>6</v>
      </c>
      <c r="U291" s="250">
        <f t="shared" si="106"/>
        <v>0.13234077325054439</v>
      </c>
      <c r="V291" s="382">
        <f t="shared" si="107"/>
        <v>42.744394386188631</v>
      </c>
      <c r="W291" s="58"/>
      <c r="X291" s="157">
        <f t="shared" si="108"/>
        <v>43742</v>
      </c>
      <c r="Y291" s="384">
        <f t="shared" si="109"/>
        <v>10.762</v>
      </c>
      <c r="Z291" s="384">
        <f t="shared" si="110"/>
        <v>10.878600381705049</v>
      </c>
      <c r="AA291" s="385">
        <f t="shared" si="111"/>
        <v>11.208771205751814</v>
      </c>
      <c r="AB291" s="196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2.9456469222722517E-2</v>
      </c>
      <c r="AD291" s="230">
        <f>(INDEX(Models!$BJ291:$BT291,,AH291)*(1-AF291)+INDEX(Models!$BJ291:$BT291,,AH291+1)*AF291-ERP_i)*AE291*Ramure*Pc/MaxiM</f>
        <v>1.6654232711088774E-4</v>
      </c>
      <c r="AE291" s="304">
        <f t="shared" si="113"/>
        <v>0.5</v>
      </c>
      <c r="AF291" s="176">
        <f t="shared" si="114"/>
        <v>0.13234077325054439</v>
      </c>
      <c r="AG291" s="175">
        <f t="shared" si="115"/>
        <v>0</v>
      </c>
      <c r="AH291" s="175">
        <f t="shared" si="116"/>
        <v>6</v>
      </c>
      <c r="AI291" s="224">
        <f t="shared" si="117"/>
        <v>0.13234077325054439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43743</v>
      </c>
      <c r="B292" s="616">
        <v>36.978000000000002</v>
      </c>
      <c r="C292" s="389"/>
      <c r="D292" s="392">
        <f t="shared" si="99"/>
        <v>37.379455103944096</v>
      </c>
      <c r="E292" s="384">
        <f t="shared" si="97"/>
        <v>38.515259108888621</v>
      </c>
      <c r="F292" s="384">
        <f t="shared" si="100"/>
        <v>38.520498199151085</v>
      </c>
      <c r="G292" s="110">
        <f t="shared" si="98"/>
        <v>0.87076365786692422</v>
      </c>
      <c r="H292" s="413" t="b">
        <f>Wh_hp&gt;='2018'!Maxi_hp</f>
        <v>0</v>
      </c>
      <c r="I292" s="389">
        <f>IF(H292,Wh_hp,'2018'!Maxi_hp)</f>
        <v>43.149247591520734</v>
      </c>
      <c r="J292" s="85">
        <f>IF(H292,An,'2018'!An_max)</f>
        <v>2018</v>
      </c>
      <c r="K292" s="196">
        <f t="shared" si="101"/>
        <v>43743</v>
      </c>
      <c r="L292" s="147">
        <f>IF(t&lt;Tvie,1-EXP((T0-t)*PertePVj)+'2018'!Pspv,1-EXP((T0-t)*PertePVj)+Pspv)</f>
        <v>1.0739993475767262E-2</v>
      </c>
      <c r="M292" s="847"/>
      <c r="N292" s="847"/>
      <c r="O292" s="48">
        <f>IF(t&lt;Tnet,'2018'!Resal+('2018'!Salim-'2018'!Resal)*(1-EXP(('2018'!Tnet-t)/('2018'!Tau_j))),Resal+(Salim-Resal)*(1-EXP((Tnet-t)/(Tau_j))))*Salcycl</f>
        <v>2.9489714757816712E-2</v>
      </c>
      <c r="P292" s="168">
        <f>(INDEX(Models!$BJ292:$BT292,,T292)*(1-R292)+INDEX(Models!$BJ292:$BT292,,T292+1)*R292-ERP_i)*Q292*Ramure*Pc/MaxiM</f>
        <v>1.6679587689788535E-4</v>
      </c>
      <c r="Q292" s="304">
        <f t="shared" si="102"/>
        <v>0.5</v>
      </c>
      <c r="R292" s="176">
        <f t="shared" si="103"/>
        <v>0.13244198488893338</v>
      </c>
      <c r="S292" s="814">
        <f t="shared" si="104"/>
        <v>0</v>
      </c>
      <c r="T292" s="175">
        <f t="shared" si="105"/>
        <v>6</v>
      </c>
      <c r="U292" s="250">
        <f t="shared" si="106"/>
        <v>0.13244198488893338</v>
      </c>
      <c r="V292" s="382">
        <f t="shared" si="107"/>
        <v>42.464865215178513</v>
      </c>
      <c r="W292" s="58"/>
      <c r="X292" s="157">
        <f t="shared" si="108"/>
        <v>43743</v>
      </c>
      <c r="Y292" s="384">
        <f t="shared" si="109"/>
        <v>36.978000000000002</v>
      </c>
      <c r="Z292" s="384">
        <f t="shared" si="110"/>
        <v>37.379455103944096</v>
      </c>
      <c r="AA292" s="385">
        <f t="shared" si="111"/>
        <v>38.515259108888621</v>
      </c>
      <c r="AB292" s="196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2.9489714757816712E-2</v>
      </c>
      <c r="AD292" s="230">
        <f>(INDEX(Models!$BJ292:$BT292,,AH292)*(1-AF292)+INDEX(Models!$BJ292:$BT292,,AH292+1)*AF292-ERP_i)*AE292*Ramure*Pc/MaxiM</f>
        <v>1.6679587689788535E-4</v>
      </c>
      <c r="AE292" s="304">
        <f t="shared" si="113"/>
        <v>0.5</v>
      </c>
      <c r="AF292" s="176">
        <f t="shared" si="114"/>
        <v>0.13244198488893338</v>
      </c>
      <c r="AG292" s="175">
        <f t="shared" si="115"/>
        <v>0</v>
      </c>
      <c r="AH292" s="175">
        <f t="shared" si="116"/>
        <v>6</v>
      </c>
      <c r="AI292" s="224">
        <f t="shared" si="117"/>
        <v>0.13244198488893338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43744</v>
      </c>
      <c r="B293" s="616">
        <v>18.484000000000002</v>
      </c>
      <c r="C293" s="389"/>
      <c r="D293" s="392">
        <f t="shared" si="99"/>
        <v>18.685082520267162</v>
      </c>
      <c r="E293" s="384">
        <f t="shared" si="97"/>
        <v>19.253493011709931</v>
      </c>
      <c r="F293" s="384">
        <f t="shared" si="100"/>
        <v>19.254128637977889</v>
      </c>
      <c r="G293" s="110">
        <f t="shared" si="98"/>
        <v>0.43811541213784727</v>
      </c>
      <c r="H293" s="413" t="b">
        <f>Wh_hp&gt;='2018'!Maxi_hp</f>
        <v>0</v>
      </c>
      <c r="I293" s="389">
        <f>IF(H293,Wh_hp,'2018'!Maxi_hp)</f>
        <v>40.753647143943134</v>
      </c>
      <c r="J293" s="85">
        <f>IF(H293,An,'2018'!An_max)</f>
        <v>2018</v>
      </c>
      <c r="K293" s="196">
        <f t="shared" si="101"/>
        <v>43744</v>
      </c>
      <c r="L293" s="147">
        <f>IF(t&lt;Tvie,1-EXP((T0-t)*PertePVj)+'2018'!Pspv,1-EXP((T0-t)*PertePVj)+Pspv)</f>
        <v>1.076166080877905E-2</v>
      </c>
      <c r="M293" s="847"/>
      <c r="N293" s="847"/>
      <c r="O293" s="48">
        <f>IF(t&lt;Tnet,'2018'!Resal+('2018'!Salim-'2018'!Resal)*(1-EXP(('2018'!Tnet-t)/('2018'!Tau_j))),Resal+(Salim-Resal)*(1-EXP((Tnet-t)/(Tau_j))))*Salcycl</f>
        <v>2.9522460734634635E-2</v>
      </c>
      <c r="P293" s="168">
        <f>(INDEX(Models!$BJ293:$BT293,,T293)*(1-R293)+INDEX(Models!$BJ293:$BT293,,T293+1)*R293-ERP_i)*Q293*Ramure*Pc/MaxiM</f>
        <v>1.6724338635436882E-4</v>
      </c>
      <c r="Q293" s="304">
        <f t="shared" si="102"/>
        <v>0.5</v>
      </c>
      <c r="R293" s="176">
        <f t="shared" si="103"/>
        <v>0.13253918613155685</v>
      </c>
      <c r="S293" s="814">
        <f t="shared" si="104"/>
        <v>0</v>
      </c>
      <c r="T293" s="175">
        <f t="shared" si="105"/>
        <v>6</v>
      </c>
      <c r="U293" s="250">
        <f t="shared" si="106"/>
        <v>0.13253918613155685</v>
      </c>
      <c r="V293" s="382">
        <f t="shared" si="107"/>
        <v>42.184132951577993</v>
      </c>
      <c r="W293" s="58"/>
      <c r="X293" s="157">
        <f t="shared" si="108"/>
        <v>43744</v>
      </c>
      <c r="Y293" s="384">
        <f t="shared" si="109"/>
        <v>18.484000000000002</v>
      </c>
      <c r="Z293" s="384">
        <f t="shared" si="110"/>
        <v>18.685082520267162</v>
      </c>
      <c r="AA293" s="385">
        <f t="shared" si="111"/>
        <v>19.253493011709931</v>
      </c>
      <c r="AB293" s="196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2.9522460734634635E-2</v>
      </c>
      <c r="AD293" s="230">
        <f>(INDEX(Models!$BJ293:$BT293,,AH293)*(1-AF293)+INDEX(Models!$BJ293:$BT293,,AH293+1)*AF293-ERP_i)*AE293*Ramure*Pc/MaxiM</f>
        <v>1.6724338635436882E-4</v>
      </c>
      <c r="AE293" s="304">
        <f t="shared" si="113"/>
        <v>0.5</v>
      </c>
      <c r="AF293" s="176">
        <f t="shared" si="114"/>
        <v>0.13253918613155685</v>
      </c>
      <c r="AG293" s="175">
        <f t="shared" si="115"/>
        <v>0</v>
      </c>
      <c r="AH293" s="175">
        <f t="shared" si="116"/>
        <v>6</v>
      </c>
      <c r="AI293" s="224">
        <f t="shared" si="117"/>
        <v>0.13253918613155685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43745</v>
      </c>
      <c r="B294" s="616">
        <v>32.152000000000001</v>
      </c>
      <c r="C294" s="389"/>
      <c r="D294" s="392">
        <f t="shared" si="99"/>
        <v>32.5024849451626</v>
      </c>
      <c r="E294" s="384">
        <f t="shared" si="97"/>
        <v>33.492341135550163</v>
      </c>
      <c r="F294" s="384">
        <f t="shared" si="100"/>
        <v>33.496095409254593</v>
      </c>
      <c r="G294" s="110">
        <f t="shared" si="98"/>
        <v>0.76727347753985164</v>
      </c>
      <c r="H294" s="413" t="b">
        <f>Wh_hp&gt;='2018'!Maxi_hp</f>
        <v>1</v>
      </c>
      <c r="I294" s="389">
        <f>IF(H294,Wh_hp,'2018'!Maxi_hp)</f>
        <v>33.496095409254593</v>
      </c>
      <c r="J294" s="85">
        <f>IF(H294,An,'2018'!An_max)</f>
        <v>2019</v>
      </c>
      <c r="K294" s="196">
        <f t="shared" si="101"/>
        <v>43745</v>
      </c>
      <c r="L294" s="147">
        <f>IF(t&lt;Tvie,1-EXP((T0-t)*PertePVj)+'2018'!Pspv,1-EXP((T0-t)*PertePVj)+Pspv)</f>
        <v>1.0783327667220677E-2</v>
      </c>
      <c r="M294" s="847"/>
      <c r="N294" s="847"/>
      <c r="O294" s="48">
        <f>IF(t&lt;Tnet,'2018'!Resal+('2018'!Salim-'2018'!Resal)*(1-EXP(('2018'!Tnet-t)/('2018'!Tau_j))),Resal+(Salim-Resal)*(1-EXP((Tnet-t)/(Tau_j))))*Salcycl</f>
        <v>2.955470286121302E-2</v>
      </c>
      <c r="P294" s="168">
        <f>(INDEX(Models!$BJ294:$BT294,,T294)*(1-R294)+INDEX(Models!$BJ294:$BT294,,T294+1)*R294-ERP_i)*Q294*Ramure*Pc/MaxiM</f>
        <v>1.6788769002856462E-4</v>
      </c>
      <c r="Q294" s="304">
        <f t="shared" si="102"/>
        <v>0.5</v>
      </c>
      <c r="R294" s="176">
        <f t="shared" si="103"/>
        <v>0.13263253340347059</v>
      </c>
      <c r="S294" s="814">
        <f t="shared" si="104"/>
        <v>0</v>
      </c>
      <c r="T294" s="175">
        <f t="shared" si="105"/>
        <v>6</v>
      </c>
      <c r="U294" s="250">
        <f t="shared" si="106"/>
        <v>0.13263253340347059</v>
      </c>
      <c r="V294" s="382">
        <f t="shared" si="107"/>
        <v>41.901885626464733</v>
      </c>
      <c r="W294" s="58"/>
      <c r="X294" s="157">
        <f t="shared" si="108"/>
        <v>43745</v>
      </c>
      <c r="Y294" s="384">
        <f t="shared" si="109"/>
        <v>32.152000000000001</v>
      </c>
      <c r="Z294" s="384">
        <f t="shared" si="110"/>
        <v>32.5024849451626</v>
      </c>
      <c r="AA294" s="385">
        <f t="shared" si="111"/>
        <v>33.492341135550163</v>
      </c>
      <c r="AB294" s="196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2.955470286121302E-2</v>
      </c>
      <c r="AD294" s="230">
        <f>(INDEX(Models!$BJ294:$BT294,,AH294)*(1-AF294)+INDEX(Models!$BJ294:$BT294,,AH294+1)*AF294-ERP_i)*AE294*Ramure*Pc/MaxiM</f>
        <v>1.6788769002856462E-4</v>
      </c>
      <c r="AE294" s="304">
        <f t="shared" si="113"/>
        <v>0.5</v>
      </c>
      <c r="AF294" s="176">
        <f t="shared" si="114"/>
        <v>0.13263253340347059</v>
      </c>
      <c r="AG294" s="175">
        <f t="shared" si="115"/>
        <v>0</v>
      </c>
      <c r="AH294" s="175">
        <f t="shared" si="116"/>
        <v>6</v>
      </c>
      <c r="AI294" s="224">
        <f t="shared" si="117"/>
        <v>0.13263253340347059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43746</v>
      </c>
      <c r="B295" s="616">
        <v>38.999000000000002</v>
      </c>
      <c r="C295" s="389"/>
      <c r="D295" s="392">
        <f t="shared" si="99"/>
        <v>39.424986747269031</v>
      </c>
      <c r="E295" s="384">
        <f t="shared" si="97"/>
        <v>40.626994808265181</v>
      </c>
      <c r="F295" s="384">
        <f t="shared" si="100"/>
        <v>40.633234602985112</v>
      </c>
      <c r="G295" s="110">
        <f t="shared" si="98"/>
        <v>0.93706053185321503</v>
      </c>
      <c r="H295" s="413" t="b">
        <f>Wh_hp&gt;='2018'!Maxi_hp</f>
        <v>1</v>
      </c>
      <c r="I295" s="389">
        <f>IF(H295,Wh_hp,'2018'!Maxi_hp)</f>
        <v>40.633234602985112</v>
      </c>
      <c r="J295" s="85">
        <f>IF(H295,An,'2018'!An_max)</f>
        <v>2019</v>
      </c>
      <c r="K295" s="196">
        <f t="shared" si="101"/>
        <v>43746</v>
      </c>
      <c r="L295" s="147">
        <f>IF(t&lt;Tvie,1-EXP((T0-t)*PertePVj)+'2018'!Pspv,1-EXP((T0-t)*PertePVj)+Pspv)</f>
        <v>1.0804994051102357E-2</v>
      </c>
      <c r="M295" s="847"/>
      <c r="N295" s="847"/>
      <c r="O295" s="48">
        <f>IF(t&lt;Tnet,'2018'!Resal+('2018'!Salim-'2018'!Resal)*(1-EXP(('2018'!Tnet-t)/('2018'!Tau_j))),Resal+(Salim-Resal)*(1-EXP((Tnet-t)/(Tau_j))))*Salcycl</f>
        <v>2.9586437950158525E-2</v>
      </c>
      <c r="P295" s="168">
        <f>(INDEX(Models!$BJ295:$BT295,,T295)*(1-R295)+INDEX(Models!$BJ295:$BT295,,T295+1)*R295-ERP_i)*Q295*Ramure*Pc/MaxiM</f>
        <v>1.6873165096207161E-4</v>
      </c>
      <c r="Q295" s="304">
        <f t="shared" si="102"/>
        <v>0.5</v>
      </c>
      <c r="R295" s="176">
        <f t="shared" si="103"/>
        <v>0.13272217722298729</v>
      </c>
      <c r="S295" s="814">
        <f t="shared" si="104"/>
        <v>0</v>
      </c>
      <c r="T295" s="175">
        <f t="shared" si="105"/>
        <v>6</v>
      </c>
      <c r="U295" s="250">
        <f t="shared" si="106"/>
        <v>0.13272217722298729</v>
      </c>
      <c r="V295" s="382">
        <f t="shared" si="107"/>
        <v>41.617811286723914</v>
      </c>
      <c r="W295" s="58"/>
      <c r="X295" s="157">
        <f t="shared" si="108"/>
        <v>43746</v>
      </c>
      <c r="Y295" s="384">
        <f t="shared" si="109"/>
        <v>38.999000000000002</v>
      </c>
      <c r="Z295" s="384">
        <f t="shared" si="110"/>
        <v>39.424986747269031</v>
      </c>
      <c r="AA295" s="385">
        <f t="shared" si="111"/>
        <v>40.626994808265181</v>
      </c>
      <c r="AB295" s="196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2.9586437950158525E-2</v>
      </c>
      <c r="AD295" s="230">
        <f>(INDEX(Models!$BJ295:$BT295,,AH295)*(1-AF295)+INDEX(Models!$BJ295:$BT295,,AH295+1)*AF295-ERP_i)*AE295*Ramure*Pc/MaxiM</f>
        <v>1.6873165096207161E-4</v>
      </c>
      <c r="AE295" s="304">
        <f t="shared" si="113"/>
        <v>0.5</v>
      </c>
      <c r="AF295" s="176">
        <f t="shared" si="114"/>
        <v>0.13272217722298729</v>
      </c>
      <c r="AG295" s="175">
        <f t="shared" si="115"/>
        <v>0</v>
      </c>
      <c r="AH295" s="175">
        <f t="shared" si="116"/>
        <v>6</v>
      </c>
      <c r="AI295" s="224">
        <f t="shared" si="117"/>
        <v>0.13272217722298729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43747</v>
      </c>
      <c r="B296" s="616">
        <v>8.8339999999999996</v>
      </c>
      <c r="C296" s="389"/>
      <c r="D296" s="392">
        <f t="shared" si="99"/>
        <v>8.9306895388493324</v>
      </c>
      <c r="E296" s="384">
        <f t="shared" si="97"/>
        <v>9.2032688637231992</v>
      </c>
      <c r="F296" s="384">
        <f t="shared" si="100"/>
        <v>9.2032688637231992</v>
      </c>
      <c r="G296" s="110">
        <f t="shared" si="98"/>
        <v>0.21369849240713537</v>
      </c>
      <c r="H296" s="413" t="b">
        <f>Wh_hp&gt;='2018'!Maxi_hp</f>
        <v>0</v>
      </c>
      <c r="I296" s="389">
        <f>IF(H296,Wh_hp,'2018'!Maxi_hp)</f>
        <v>35.624108011340375</v>
      </c>
      <c r="J296" s="85">
        <f>IF(H296,An,'2018'!An_max)</f>
        <v>2018</v>
      </c>
      <c r="K296" s="196">
        <f t="shared" si="101"/>
        <v>43747</v>
      </c>
      <c r="L296" s="147">
        <f>IF(t&lt;Tvie,1-EXP((T0-t)*PertePVj)+'2018'!Pspv,1-EXP((T0-t)*PertePVj)+Pspv)</f>
        <v>1.0826659960434748E-2</v>
      </c>
      <c r="M296" s="847"/>
      <c r="N296" s="847"/>
      <c r="O296" s="48">
        <f>IF(t&lt;Tnet,'2018'!Resal+('2018'!Salim-'2018'!Resal)*(1-EXP(('2018'!Tnet-t)/('2018'!Tau_j))),Resal+(Salim-Resal)*(1-EXP((Tnet-t)/(Tau_j))))*Salcycl</f>
        <v>2.9617663996354737E-2</v>
      </c>
      <c r="P296" s="168">
        <f>(INDEX(Models!$BJ296:$BT296,,T296)*(1-R296)+INDEX(Models!$BJ296:$BT296,,T296+1)*R296-ERP_i)*Q296*Ramure*Pc/MaxiM</f>
        <v>1.696326788439914E-4</v>
      </c>
      <c r="Q296" s="304">
        <f t="shared" si="102"/>
        <v>0.5</v>
      </c>
      <c r="R296" s="176">
        <f t="shared" si="103"/>
        <v>0.13280826240938481</v>
      </c>
      <c r="S296" s="814">
        <f t="shared" si="104"/>
        <v>0</v>
      </c>
      <c r="T296" s="175">
        <f t="shared" si="105"/>
        <v>6</v>
      </c>
      <c r="U296" s="250">
        <f t="shared" si="106"/>
        <v>0.13280826240938481</v>
      </c>
      <c r="V296" s="382">
        <f t="shared" si="107"/>
        <v>41.331604006300296</v>
      </c>
      <c r="W296" s="58"/>
      <c r="X296" s="157">
        <f t="shared" si="108"/>
        <v>43747</v>
      </c>
      <c r="Y296" s="384">
        <f t="shared" si="109"/>
        <v>8.8339999999999996</v>
      </c>
      <c r="Z296" s="384">
        <f t="shared" si="110"/>
        <v>8.9306895388493324</v>
      </c>
      <c r="AA296" s="385">
        <f t="shared" si="111"/>
        <v>9.2032688637231992</v>
      </c>
      <c r="AB296" s="196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2.9617663996354737E-2</v>
      </c>
      <c r="AD296" s="230">
        <f>(INDEX(Models!$BJ296:$BT296,,AH296)*(1-AF296)+INDEX(Models!$BJ296:$BT296,,AH296+1)*AF296-ERP_i)*AE296*Ramure*Pc/MaxiM</f>
        <v>1.696326788439914E-4</v>
      </c>
      <c r="AE296" s="304">
        <f t="shared" si="113"/>
        <v>0.5</v>
      </c>
      <c r="AF296" s="176">
        <f t="shared" si="114"/>
        <v>0.13280826240938481</v>
      </c>
      <c r="AG296" s="175">
        <f t="shared" si="115"/>
        <v>0</v>
      </c>
      <c r="AH296" s="175">
        <f t="shared" si="116"/>
        <v>6</v>
      </c>
      <c r="AI296" s="224">
        <f t="shared" si="117"/>
        <v>0.13280826240938481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43748</v>
      </c>
      <c r="B297" s="616">
        <v>29.702000000000002</v>
      </c>
      <c r="C297" s="389"/>
      <c r="D297" s="392">
        <f t="shared" si="99"/>
        <v>30.027750811692062</v>
      </c>
      <c r="E297" s="384">
        <f t="shared" ref="E297:E360" si="121">Wh_pvt/(1-Psa)</f>
        <v>30.945226658608682</v>
      </c>
      <c r="F297" s="384">
        <f t="shared" si="100"/>
        <v>30.948419560361163</v>
      </c>
      <c r="G297" s="110">
        <f t="shared" ref="G297:G360" si="122">+Wh_hp/MaxiM</f>
        <v>0.72363209458711386</v>
      </c>
      <c r="H297" s="413" t="b">
        <f>Wh_hp&gt;='2018'!Maxi_hp</f>
        <v>1</v>
      </c>
      <c r="I297" s="389">
        <f>IF(H297,Wh_hp,'2018'!Maxi_hp)</f>
        <v>30.948419560361163</v>
      </c>
      <c r="J297" s="85">
        <f>IF(H297,An,'2018'!An_max)</f>
        <v>2019</v>
      </c>
      <c r="K297" s="196">
        <f t="shared" si="101"/>
        <v>43748</v>
      </c>
      <c r="L297" s="147">
        <f>IF(t&lt;Tvie,1-EXP((T0-t)*PertePVj)+'2018'!Pspv,1-EXP((T0-t)*PertePVj)+Pspv)</f>
        <v>1.0848325395228064E-2</v>
      </c>
      <c r="M297" s="847"/>
      <c r="N297" s="847"/>
      <c r="O297" s="48">
        <f>IF(t&lt;Tnet,'2018'!Resal+('2018'!Salim-'2018'!Resal)*(1-EXP(('2018'!Tnet-t)/('2018'!Tau_j))),Resal+(Salim-Resal)*(1-EXP((Tnet-t)/(Tau_j))))*Salcycl</f>
        <v>2.9648380250638314E-2</v>
      </c>
      <c r="P297" s="168">
        <f>(INDEX(Models!$BJ297:$BT297,,T297)*(1-R297)+INDEX(Models!$BJ297:$BT297,,T297+1)*R297-ERP_i)*Q297*Ramure*Pc/MaxiM</f>
        <v>1.7045366496082326E-4</v>
      </c>
      <c r="Q297" s="304">
        <f t="shared" si="102"/>
        <v>0.5</v>
      </c>
      <c r="R297" s="176">
        <f t="shared" si="103"/>
        <v>0.13289092828453947</v>
      </c>
      <c r="S297" s="814">
        <f t="shared" si="104"/>
        <v>0</v>
      </c>
      <c r="T297" s="175">
        <f t="shared" si="105"/>
        <v>6</v>
      </c>
      <c r="U297" s="250">
        <f t="shared" si="106"/>
        <v>0.13289092828453947</v>
      </c>
      <c r="V297" s="382">
        <f t="shared" si="107"/>
        <v>41.04295748036499</v>
      </c>
      <c r="W297" s="58"/>
      <c r="X297" s="157">
        <f t="shared" si="108"/>
        <v>43748</v>
      </c>
      <c r="Y297" s="384">
        <f t="shared" si="109"/>
        <v>29.702000000000002</v>
      </c>
      <c r="Z297" s="384">
        <f t="shared" si="110"/>
        <v>30.027750811692062</v>
      </c>
      <c r="AA297" s="385">
        <f t="shared" si="111"/>
        <v>30.945226658608682</v>
      </c>
      <c r="AB297" s="196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2.9648380250638314E-2</v>
      </c>
      <c r="AD297" s="230">
        <f>(INDEX(Models!$BJ297:$BT297,,AH297)*(1-AF297)+INDEX(Models!$BJ297:$BT297,,AH297+1)*AF297-ERP_i)*AE297*Ramure*Pc/MaxiM</f>
        <v>1.7045366496082326E-4</v>
      </c>
      <c r="AE297" s="304">
        <f t="shared" si="113"/>
        <v>0.5</v>
      </c>
      <c r="AF297" s="176">
        <f t="shared" si="114"/>
        <v>0.13289092828453947</v>
      </c>
      <c r="AG297" s="175">
        <f t="shared" si="115"/>
        <v>0</v>
      </c>
      <c r="AH297" s="175">
        <f t="shared" si="116"/>
        <v>6</v>
      </c>
      <c r="AI297" s="224">
        <f t="shared" si="117"/>
        <v>0.13289092828453947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43749</v>
      </c>
      <c r="B298" s="616">
        <v>41.393999999999998</v>
      </c>
      <c r="C298" s="389"/>
      <c r="D298" s="392">
        <f t="shared" si="99"/>
        <v>41.848897107951437</v>
      </c>
      <c r="E298" s="384">
        <f t="shared" si="121"/>
        <v>43.128901990336935</v>
      </c>
      <c r="F298" s="384">
        <f t="shared" si="100"/>
        <v>43.136286710165194</v>
      </c>
      <c r="G298" s="110">
        <f t="shared" si="122"/>
        <v>1.0157648042165444</v>
      </c>
      <c r="H298" s="413" t="b">
        <f>Wh_hp&gt;='2018'!Maxi_hp</f>
        <v>1</v>
      </c>
      <c r="I298" s="389">
        <f>IF(H298,Wh_hp,'2018'!Maxi_hp)</f>
        <v>43.136286710165194</v>
      </c>
      <c r="J298" s="85">
        <f>IF(H298,An,'2018'!An_max)</f>
        <v>2019</v>
      </c>
      <c r="K298" s="196">
        <f t="shared" si="101"/>
        <v>43749</v>
      </c>
      <c r="L298" s="147">
        <f>IF(t&lt;Tvie,1-EXP((T0-t)*PertePVj)+'2018'!Pspv,1-EXP((T0-t)*PertePVj)+Pspv)</f>
        <v>1.0869990355492742E-2</v>
      </c>
      <c r="M298" s="847"/>
      <c r="N298" s="847"/>
      <c r="O298" s="48">
        <f>IF(t&lt;Tnet,'2018'!Resal+('2018'!Salim-'2018'!Resal)*(1-EXP(('2018'!Tnet-t)/('2018'!Tau_j))),Resal+(Salim-Resal)*(1-EXP((Tnet-t)/(Tau_j))))*Salcycl</f>
        <v>2.9678587288688361E-2</v>
      </c>
      <c r="P298" s="168">
        <f>(INDEX(Models!$BJ298:$BT298,,T298)*(1-R298)+INDEX(Models!$BJ298:$BT298,,T298+1)*R298-ERP_i)*Q298*Ramure*Pc/MaxiM</f>
        <v>1.7119507476095696E-4</v>
      </c>
      <c r="Q298" s="304">
        <f t="shared" si="102"/>
        <v>0.5</v>
      </c>
      <c r="R298" s="176">
        <f t="shared" si="103"/>
        <v>0.13297030886855926</v>
      </c>
      <c r="S298" s="814">
        <f t="shared" si="104"/>
        <v>0</v>
      </c>
      <c r="T298" s="175">
        <f t="shared" si="105"/>
        <v>6</v>
      </c>
      <c r="U298" s="250">
        <f t="shared" si="106"/>
        <v>0.13297030886855926</v>
      </c>
      <c r="V298" s="382">
        <f t="shared" si="107"/>
        <v>40.75155964074483</v>
      </c>
      <c r="W298" s="58"/>
      <c r="X298" s="157">
        <f t="shared" si="108"/>
        <v>43749</v>
      </c>
      <c r="Y298" s="384">
        <f t="shared" si="109"/>
        <v>41.393999999999998</v>
      </c>
      <c r="Z298" s="384">
        <f t="shared" si="110"/>
        <v>41.848897107951437</v>
      </c>
      <c r="AA298" s="385">
        <f t="shared" si="111"/>
        <v>43.128901990336935</v>
      </c>
      <c r="AB298" s="196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2.9678587288688361E-2</v>
      </c>
      <c r="AD298" s="230">
        <f>(INDEX(Models!$BJ298:$BT298,,AH298)*(1-AF298)+INDEX(Models!$BJ298:$BT298,,AH298+1)*AF298-ERP_i)*AE298*Ramure*Pc/MaxiM</f>
        <v>1.7119507476095696E-4</v>
      </c>
      <c r="AE298" s="304">
        <f t="shared" si="113"/>
        <v>0.5</v>
      </c>
      <c r="AF298" s="176">
        <f t="shared" si="114"/>
        <v>0.13297030886855926</v>
      </c>
      <c r="AG298" s="175">
        <f t="shared" si="115"/>
        <v>0</v>
      </c>
      <c r="AH298" s="175">
        <f t="shared" si="116"/>
        <v>6</v>
      </c>
      <c r="AI298" s="224">
        <f t="shared" si="117"/>
        <v>0.13297030886855926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43750</v>
      </c>
      <c r="B299" s="616">
        <v>16.760000000000002</v>
      </c>
      <c r="C299" s="389"/>
      <c r="D299" s="392">
        <f t="shared" si="99"/>
        <v>16.944554236179123</v>
      </c>
      <c r="E299" s="384">
        <f t="shared" si="121"/>
        <v>17.463360771255239</v>
      </c>
      <c r="F299" s="384">
        <f t="shared" si="100"/>
        <v>17.463850693890276</v>
      </c>
      <c r="G299" s="110">
        <f t="shared" si="122"/>
        <v>0.41420641703040179</v>
      </c>
      <c r="H299" s="413" t="b">
        <f>Wh_hp&gt;='2018'!Maxi_hp</f>
        <v>0</v>
      </c>
      <c r="I299" s="389">
        <f>IF(H299,Wh_hp,'2018'!Maxi_hp)</f>
        <v>36.936776591122225</v>
      </c>
      <c r="J299" s="85">
        <f>IF(H299,An,'2018'!An_max)</f>
        <v>2018</v>
      </c>
      <c r="K299" s="196">
        <f t="shared" si="101"/>
        <v>43750</v>
      </c>
      <c r="L299" s="147">
        <f>IF(t&lt;Tvie,1-EXP((T0-t)*PertePVj)+'2018'!Pspv,1-EXP((T0-t)*PertePVj)+Pspv)</f>
        <v>1.0891654841239218E-2</v>
      </c>
      <c r="M299" s="847"/>
      <c r="N299" s="847"/>
      <c r="O299" s="48">
        <f>IF(t&lt;Tnet,'2018'!Resal+('2018'!Salim-'2018'!Resal)*(1-EXP(('2018'!Tnet-t)/('2018'!Tau_j))),Resal+(Salim-Resal)*(1-EXP((Tnet-t)/(Tau_j))))*Salcycl</f>
        <v>2.9708287074391476E-2</v>
      </c>
      <c r="P299" s="168">
        <f>(INDEX(Models!$BJ299:$BT299,,T299)*(1-R299)+INDEX(Models!$BJ299:$BT299,,T299+1)*R299-ERP_i)*Q299*Ramure*Pc/MaxiM</f>
        <v>1.7185752046611124E-4</v>
      </c>
      <c r="Q299" s="304">
        <f t="shared" si="102"/>
        <v>0.5</v>
      </c>
      <c r="R299" s="176">
        <f t="shared" si="103"/>
        <v>0.13304653306950015</v>
      </c>
      <c r="S299" s="814">
        <f t="shared" si="104"/>
        <v>0</v>
      </c>
      <c r="T299" s="175">
        <f t="shared" si="105"/>
        <v>6</v>
      </c>
      <c r="U299" s="250">
        <f t="shared" si="106"/>
        <v>0.13304653306950015</v>
      </c>
      <c r="V299" s="382">
        <f t="shared" si="107"/>
        <v>40.457098413932187</v>
      </c>
      <c r="W299" s="58"/>
      <c r="X299" s="157">
        <f t="shared" si="108"/>
        <v>43750</v>
      </c>
      <c r="Y299" s="384">
        <f t="shared" si="109"/>
        <v>16.760000000000002</v>
      </c>
      <c r="Z299" s="384">
        <f t="shared" si="110"/>
        <v>16.944554236179123</v>
      </c>
      <c r="AA299" s="385">
        <f t="shared" si="111"/>
        <v>17.463360771255239</v>
      </c>
      <c r="AB299" s="196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2.9708287074391476E-2</v>
      </c>
      <c r="AD299" s="230">
        <f>(INDEX(Models!$BJ299:$BT299,,AH299)*(1-AF299)+INDEX(Models!$BJ299:$BT299,,AH299+1)*AF299-ERP_i)*AE299*Ramure*Pc/MaxiM</f>
        <v>1.7185752046611124E-4</v>
      </c>
      <c r="AE299" s="304">
        <f t="shared" si="113"/>
        <v>0.5</v>
      </c>
      <c r="AF299" s="176">
        <f t="shared" si="114"/>
        <v>0.13304653306950015</v>
      </c>
      <c r="AG299" s="175">
        <f t="shared" si="115"/>
        <v>0</v>
      </c>
      <c r="AH299" s="175">
        <f t="shared" si="116"/>
        <v>6</v>
      </c>
      <c r="AI299" s="224">
        <f t="shared" si="117"/>
        <v>0.13304653306950015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43751</v>
      </c>
      <c r="B300" s="616">
        <v>36.317</v>
      </c>
      <c r="C300" s="389"/>
      <c r="D300" s="392">
        <f t="shared" si="99"/>
        <v>36.717712099677264</v>
      </c>
      <c r="E300" s="384">
        <f t="shared" si="121"/>
        <v>37.843069743484222</v>
      </c>
      <c r="F300" s="384">
        <f t="shared" si="100"/>
        <v>37.84870437550817</v>
      </c>
      <c r="G300" s="110">
        <f t="shared" si="122"/>
        <v>0.9043030761358446</v>
      </c>
      <c r="H300" s="413" t="b">
        <f>Wh_hp&gt;='2018'!Maxi_hp</f>
        <v>1</v>
      </c>
      <c r="I300" s="389">
        <f>IF(H300,Wh_hp,'2018'!Maxi_hp)</f>
        <v>37.84870437550817</v>
      </c>
      <c r="J300" s="85">
        <f>IF(H300,An,'2018'!An_max)</f>
        <v>2019</v>
      </c>
      <c r="K300" s="196">
        <f t="shared" si="101"/>
        <v>43751</v>
      </c>
      <c r="L300" s="147">
        <f>IF(t&lt;Tvie,1-EXP((T0-t)*PertePVj)+'2018'!Pspv,1-EXP((T0-t)*PertePVj)+Pspv)</f>
        <v>1.0913318852477816E-2</v>
      </c>
      <c r="M300" s="847"/>
      <c r="N300" s="847"/>
      <c r="O300" s="48">
        <f>IF(t&lt;Tnet,'2018'!Resal+('2018'!Salim-'2018'!Resal)*(1-EXP(('2018'!Tnet-t)/('2018'!Tau_j))),Resal+(Salim-Resal)*(1-EXP((Tnet-t)/(Tau_j))))*Salcycl</f>
        <v>2.9737483016972186E-2</v>
      </c>
      <c r="P300" s="168">
        <f>(INDEX(Models!$BJ300:$BT300,,T300)*(1-R300)+INDEX(Models!$BJ300:$BT300,,T300+1)*R300-ERP_i)*Q300*Ramure*Pc/MaxiM</f>
        <v>1.7244176401155588E-4</v>
      </c>
      <c r="Q300" s="304">
        <f t="shared" si="102"/>
        <v>0.5</v>
      </c>
      <c r="R300" s="176">
        <f t="shared" si="103"/>
        <v>0.13311972486725665</v>
      </c>
      <c r="S300" s="814">
        <f t="shared" si="104"/>
        <v>0</v>
      </c>
      <c r="T300" s="175">
        <f t="shared" si="105"/>
        <v>6</v>
      </c>
      <c r="U300" s="250">
        <f t="shared" si="106"/>
        <v>0.13311972486725665</v>
      </c>
      <c r="V300" s="382">
        <f t="shared" si="107"/>
        <v>40.159261719557747</v>
      </c>
      <c r="W300" s="58"/>
      <c r="X300" s="157">
        <f t="shared" si="108"/>
        <v>43751</v>
      </c>
      <c r="Y300" s="384">
        <f t="shared" si="109"/>
        <v>36.317</v>
      </c>
      <c r="Z300" s="384">
        <f t="shared" si="110"/>
        <v>36.717712099677264</v>
      </c>
      <c r="AA300" s="385">
        <f t="shared" si="111"/>
        <v>37.843069743484222</v>
      </c>
      <c r="AB300" s="196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2.9737483016972186E-2</v>
      </c>
      <c r="AD300" s="230">
        <f>(INDEX(Models!$BJ300:$BT300,,AH300)*(1-AF300)+INDEX(Models!$BJ300:$BT300,,AH300+1)*AF300-ERP_i)*AE300*Ramure*Pc/MaxiM</f>
        <v>1.7244176401155588E-4</v>
      </c>
      <c r="AE300" s="304">
        <f t="shared" si="113"/>
        <v>0.5</v>
      </c>
      <c r="AF300" s="176">
        <f t="shared" si="114"/>
        <v>0.13311972486725665</v>
      </c>
      <c r="AG300" s="175">
        <f t="shared" si="115"/>
        <v>0</v>
      </c>
      <c r="AH300" s="175">
        <f t="shared" si="116"/>
        <v>6</v>
      </c>
      <c r="AI300" s="224">
        <f t="shared" si="117"/>
        <v>0.13311972486725665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43752</v>
      </c>
      <c r="B301" s="616">
        <v>11.412000000000001</v>
      </c>
      <c r="C301" s="389"/>
      <c r="D301" s="392">
        <f t="shared" si="99"/>
        <v>11.538169682279548</v>
      </c>
      <c r="E301" s="384">
        <f t="shared" si="121"/>
        <v>11.892153669238009</v>
      </c>
      <c r="F301" s="384">
        <f t="shared" si="100"/>
        <v>11.892153669238009</v>
      </c>
      <c r="G301" s="110">
        <f t="shared" si="122"/>
        <v>0.28626879080623319</v>
      </c>
      <c r="H301" s="413" t="b">
        <f>Wh_hp&gt;='2018'!Maxi_hp</f>
        <v>0</v>
      </c>
      <c r="I301" s="389">
        <f>IF(H301,Wh_hp,'2018'!Maxi_hp)</f>
        <v>38.327866224803074</v>
      </c>
      <c r="J301" s="85">
        <f>IF(H301,An,'2018'!An_max)</f>
        <v>2018</v>
      </c>
      <c r="K301" s="196">
        <f t="shared" si="101"/>
        <v>43752</v>
      </c>
      <c r="L301" s="147">
        <f>IF(t&lt;Tvie,1-EXP((T0-t)*PertePVj)+'2018'!Pspv,1-EXP((T0-t)*PertePVj)+Pspv)</f>
        <v>1.0934982389218972E-2</v>
      </c>
      <c r="M301" s="847"/>
      <c r="N301" s="847"/>
      <c r="O301" s="48">
        <f>IF(t&lt;Tnet,'2018'!Resal+('2018'!Salim-'2018'!Resal)*(1-EXP(('2018'!Tnet-t)/('2018'!Tau_j))),Resal+(Salim-Resal)*(1-EXP((Tnet-t)/(Tau_j))))*Salcycl</f>
        <v>2.976618002121249E-2</v>
      </c>
      <c r="P301" s="168">
        <f>(INDEX(Models!$BJ301:$BT301,,T301)*(1-R301)+INDEX(Models!$BJ301:$BT301,,T301+1)*R301-ERP_i)*Q301*Ramure*Pc/MaxiM</f>
        <v>1.7294871949594817E-4</v>
      </c>
      <c r="Q301" s="304">
        <f t="shared" si="102"/>
        <v>0.5</v>
      </c>
      <c r="R301" s="176">
        <f t="shared" si="103"/>
        <v>0.13319000349172511</v>
      </c>
      <c r="S301" s="814">
        <f t="shared" si="104"/>
        <v>0</v>
      </c>
      <c r="T301" s="175">
        <f t="shared" si="105"/>
        <v>6</v>
      </c>
      <c r="U301" s="250">
        <f t="shared" si="106"/>
        <v>0.13319000349172511</v>
      </c>
      <c r="V301" s="382">
        <f t="shared" si="107"/>
        <v>39.857737467917765</v>
      </c>
      <c r="W301" s="58"/>
      <c r="X301" s="157">
        <f t="shared" si="108"/>
        <v>43752</v>
      </c>
      <c r="Y301" s="384">
        <f t="shared" si="109"/>
        <v>11.412000000000001</v>
      </c>
      <c r="Z301" s="384">
        <f t="shared" si="110"/>
        <v>11.538169682279548</v>
      </c>
      <c r="AA301" s="385">
        <f t="shared" si="111"/>
        <v>11.892153669238009</v>
      </c>
      <c r="AB301" s="196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2.976618002121249E-2</v>
      </c>
      <c r="AD301" s="230">
        <f>(INDEX(Models!$BJ301:$BT301,,AH301)*(1-AF301)+INDEX(Models!$BJ301:$BT301,,AH301+1)*AF301-ERP_i)*AE301*Ramure*Pc/MaxiM</f>
        <v>1.7294871949594817E-4</v>
      </c>
      <c r="AE301" s="304">
        <f t="shared" si="113"/>
        <v>0.5</v>
      </c>
      <c r="AF301" s="176">
        <f t="shared" si="114"/>
        <v>0.13319000349172511</v>
      </c>
      <c r="AG301" s="175">
        <f t="shared" si="115"/>
        <v>0</v>
      </c>
      <c r="AH301" s="175">
        <f t="shared" si="116"/>
        <v>6</v>
      </c>
      <c r="AI301" s="224">
        <f t="shared" si="117"/>
        <v>0.13319000349172511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43753</v>
      </c>
      <c r="B302" s="616">
        <v>32.372</v>
      </c>
      <c r="C302" s="389"/>
      <c r="D302" s="392">
        <f t="shared" si="99"/>
        <v>32.730617774361363</v>
      </c>
      <c r="E302" s="384">
        <f t="shared" si="121"/>
        <v>33.735753795353766</v>
      </c>
      <c r="F302" s="384">
        <f t="shared" si="100"/>
        <v>33.740086539652182</v>
      </c>
      <c r="G302" s="110">
        <f t="shared" si="122"/>
        <v>0.81842560303516143</v>
      </c>
      <c r="H302" s="413" t="b">
        <f>Wh_hp&gt;='2018'!Maxi_hp</f>
        <v>1</v>
      </c>
      <c r="I302" s="389">
        <f>IF(H302,Wh_hp,'2018'!Maxi_hp)</f>
        <v>33.740086539652182</v>
      </c>
      <c r="J302" s="85">
        <f>IF(H302,An,'2018'!An_max)</f>
        <v>2019</v>
      </c>
      <c r="K302" s="196">
        <f t="shared" si="101"/>
        <v>43753</v>
      </c>
      <c r="L302" s="147">
        <f>IF(t&lt;Tvie,1-EXP((T0-t)*PertePVj)+'2018'!Pspv,1-EXP((T0-t)*PertePVj)+Pspv)</f>
        <v>1.0956645451473124E-2</v>
      </c>
      <c r="M302" s="847"/>
      <c r="N302" s="847"/>
      <c r="O302" s="48">
        <f>IF(t&lt;Tnet,'2018'!Resal+('2018'!Salim-'2018'!Resal)*(1-EXP(('2018'!Tnet-t)/('2018'!Tau_j))),Resal+(Salim-Resal)*(1-EXP((Tnet-t)/(Tau_j))))*Salcycl</f>
        <v>2.9794384530125322E-2</v>
      </c>
      <c r="P302" s="168">
        <f>(INDEX(Models!$BJ302:$BT302,,T302)*(1-R302)+INDEX(Models!$BJ302:$BT302,,T302+1)*R302-ERP_i)*Q302*Ramure*Pc/MaxiM</f>
        <v>1.7337945507877028E-4</v>
      </c>
      <c r="Q302" s="304">
        <f t="shared" si="102"/>
        <v>0.5</v>
      </c>
      <c r="R302" s="176">
        <f t="shared" si="103"/>
        <v>0.13325748359534473</v>
      </c>
      <c r="S302" s="814">
        <f t="shared" si="104"/>
        <v>0</v>
      </c>
      <c r="T302" s="175">
        <f t="shared" si="105"/>
        <v>6</v>
      </c>
      <c r="U302" s="250">
        <f t="shared" si="106"/>
        <v>0.13325748359534473</v>
      </c>
      <c r="V302" s="382">
        <f t="shared" si="107"/>
        <v>39.552213560164965</v>
      </c>
      <c r="W302" s="58"/>
      <c r="X302" s="157">
        <f t="shared" si="108"/>
        <v>43753</v>
      </c>
      <c r="Y302" s="384">
        <f t="shared" si="109"/>
        <v>32.372</v>
      </c>
      <c r="Z302" s="384">
        <f t="shared" si="110"/>
        <v>32.730617774361363</v>
      </c>
      <c r="AA302" s="385">
        <f t="shared" si="111"/>
        <v>33.735753795353766</v>
      </c>
      <c r="AB302" s="196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2.9794384530125322E-2</v>
      </c>
      <c r="AD302" s="230">
        <f>(INDEX(Models!$BJ302:$BT302,,AH302)*(1-AF302)+INDEX(Models!$BJ302:$BT302,,AH302+1)*AF302-ERP_i)*AE302*Ramure*Pc/MaxiM</f>
        <v>1.7337945507877028E-4</v>
      </c>
      <c r="AE302" s="304">
        <f t="shared" si="113"/>
        <v>0.5</v>
      </c>
      <c r="AF302" s="176">
        <f t="shared" si="114"/>
        <v>0.13325748359534473</v>
      </c>
      <c r="AG302" s="175">
        <f t="shared" si="115"/>
        <v>0</v>
      </c>
      <c r="AH302" s="175">
        <f t="shared" si="116"/>
        <v>6</v>
      </c>
      <c r="AI302" s="224">
        <f t="shared" si="117"/>
        <v>0.13325748359534473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43754</v>
      </c>
      <c r="B303" s="616">
        <v>34.963999999999999</v>
      </c>
      <c r="C303" s="389"/>
      <c r="D303" s="392">
        <f t="shared" si="99"/>
        <v>35.352106312939789</v>
      </c>
      <c r="E303" s="384">
        <f t="shared" si="121"/>
        <v>36.43878764820581</v>
      </c>
      <c r="F303" s="384">
        <f t="shared" si="100"/>
        <v>36.444133710863234</v>
      </c>
      <c r="G303" s="110">
        <f t="shared" si="122"/>
        <v>0.89099001794293853</v>
      </c>
      <c r="H303" s="413" t="b">
        <f>Wh_hp&gt;='2018'!Maxi_hp</f>
        <v>1</v>
      </c>
      <c r="I303" s="389">
        <f>IF(H303,Wh_hp,'2018'!Maxi_hp)</f>
        <v>36.444133710863234</v>
      </c>
      <c r="J303" s="85">
        <f>IF(H303,An,'2018'!An_max)</f>
        <v>2019</v>
      </c>
      <c r="K303" s="196">
        <f t="shared" si="101"/>
        <v>43754</v>
      </c>
      <c r="L303" s="147">
        <f>IF(t&lt;Tvie,1-EXP((T0-t)*PertePVj)+'2018'!Pspv,1-EXP((T0-t)*PertePVj)+Pspv)</f>
        <v>1.0978308039250595E-2</v>
      </c>
      <c r="M303" s="847"/>
      <c r="N303" s="847"/>
      <c r="O303" s="48">
        <f>IF(t&lt;Tnet,'2018'!Resal+('2018'!Salim-'2018'!Resal)*(1-EXP(('2018'!Tnet-t)/('2018'!Tau_j))),Resal+(Salim-Resal)*(1-EXP((Tnet-t)/(Tau_j))))*Salcycl</f>
        <v>2.9822104559494904E-2</v>
      </c>
      <c r="P303" s="168">
        <f>(INDEX(Models!$BJ303:$BT303,,T303)*(1-R303)+INDEX(Models!$BJ303:$BT303,,T303+1)*R303-ERP_i)*Q303*Ramure*Pc/MaxiM</f>
        <v>1.7374271085260378E-4</v>
      </c>
      <c r="Q303" s="304">
        <f t="shared" si="102"/>
        <v>0.5</v>
      </c>
      <c r="R303" s="176">
        <f t="shared" si="103"/>
        <v>0.13332227542012454</v>
      </c>
      <c r="S303" s="814">
        <f t="shared" si="104"/>
        <v>0</v>
      </c>
      <c r="T303" s="175">
        <f t="shared" si="105"/>
        <v>6</v>
      </c>
      <c r="U303" s="250">
        <f t="shared" si="106"/>
        <v>0.13332227542012454</v>
      </c>
      <c r="V303" s="382">
        <f t="shared" si="107"/>
        <v>39.240679868342227</v>
      </c>
      <c r="W303" s="58"/>
      <c r="X303" s="157">
        <f t="shared" si="108"/>
        <v>43754</v>
      </c>
      <c r="Y303" s="384">
        <f t="shared" si="109"/>
        <v>34.963999999999999</v>
      </c>
      <c r="Z303" s="384">
        <f t="shared" si="110"/>
        <v>35.352106312939789</v>
      </c>
      <c r="AA303" s="385">
        <f t="shared" si="111"/>
        <v>36.43878764820581</v>
      </c>
      <c r="AB303" s="196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2.9822104559494904E-2</v>
      </c>
      <c r="AD303" s="230">
        <f>(INDEX(Models!$BJ303:$BT303,,AH303)*(1-AF303)+INDEX(Models!$BJ303:$BT303,,AH303+1)*AF303-ERP_i)*AE303*Ramure*Pc/MaxiM</f>
        <v>1.7374271085260378E-4</v>
      </c>
      <c r="AE303" s="304">
        <f t="shared" si="113"/>
        <v>0.5</v>
      </c>
      <c r="AF303" s="176">
        <f t="shared" si="114"/>
        <v>0.13332227542012454</v>
      </c>
      <c r="AG303" s="175">
        <f t="shared" si="115"/>
        <v>0</v>
      </c>
      <c r="AH303" s="175">
        <f t="shared" si="116"/>
        <v>6</v>
      </c>
      <c r="AI303" s="224">
        <f t="shared" si="117"/>
        <v>0.13332227542012454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43755</v>
      </c>
      <c r="B304" s="616">
        <v>19.018000000000001</v>
      </c>
      <c r="C304" s="389"/>
      <c r="D304" s="392">
        <f t="shared" si="99"/>
        <v>19.229524192161744</v>
      </c>
      <c r="E304" s="384">
        <f t="shared" si="121"/>
        <v>19.821173326726289</v>
      </c>
      <c r="F304" s="384">
        <f t="shared" si="100"/>
        <v>19.82210217302681</v>
      </c>
      <c r="G304" s="110">
        <f t="shared" si="122"/>
        <v>0.48855489918375145</v>
      </c>
      <c r="H304" s="413" t="b">
        <f>Wh_hp&gt;='2018'!Maxi_hp</f>
        <v>0</v>
      </c>
      <c r="I304" s="389">
        <f>IF(H304,Wh_hp,'2018'!Maxi_hp)</f>
        <v>24.006785135758257</v>
      </c>
      <c r="J304" s="85">
        <f>IF(H304,An,'2018'!An_max)</f>
        <v>2018</v>
      </c>
      <c r="K304" s="196">
        <f t="shared" si="101"/>
        <v>43755</v>
      </c>
      <c r="L304" s="147">
        <f>IF(t&lt;Tvie,1-EXP((T0-t)*PertePVj)+'2018'!Pspv,1-EXP((T0-t)*PertePVj)+Pspv)</f>
        <v>1.0999970152561822E-2</v>
      </c>
      <c r="M304" s="847"/>
      <c r="N304" s="847"/>
      <c r="O304" s="48">
        <f>IF(t&lt;Tnet,'2018'!Resal+('2018'!Salim-'2018'!Resal)*(1-EXP(('2018'!Tnet-t)/('2018'!Tau_j))),Resal+(Salim-Resal)*(1-EXP((Tnet-t)/(Tau_j))))*Salcycl</f>
        <v>2.9849349723751469E-2</v>
      </c>
      <c r="P304" s="168">
        <f>(INDEX(Models!$BJ304:$BT304,,T304)*(1-R304)+INDEX(Models!$BJ304:$BT304,,T304+1)*R304-ERP_i)*Q304*Ramure*Pc/MaxiM</f>
        <v>1.7390473273547479E-4</v>
      </c>
      <c r="Q304" s="304">
        <f t="shared" si="102"/>
        <v>0.5</v>
      </c>
      <c r="R304" s="176">
        <f t="shared" si="103"/>
        <v>0.13338448495927141</v>
      </c>
      <c r="S304" s="814">
        <f t="shared" si="104"/>
        <v>0</v>
      </c>
      <c r="T304" s="175">
        <f t="shared" si="105"/>
        <v>6</v>
      </c>
      <c r="U304" s="250">
        <f t="shared" si="106"/>
        <v>0.13338448495927141</v>
      </c>
      <c r="V304" s="382">
        <f t="shared" si="107"/>
        <v>38.922102234810552</v>
      </c>
      <c r="W304" s="58"/>
      <c r="X304" s="157">
        <f t="shared" si="108"/>
        <v>43755</v>
      </c>
      <c r="Y304" s="384">
        <f t="shared" si="109"/>
        <v>19.018000000000001</v>
      </c>
      <c r="Z304" s="384">
        <f t="shared" si="110"/>
        <v>19.229524192161744</v>
      </c>
      <c r="AA304" s="385">
        <f t="shared" si="111"/>
        <v>19.821173326726289</v>
      </c>
      <c r="AB304" s="196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2.9849349723751469E-2</v>
      </c>
      <c r="AD304" s="230">
        <f>(INDEX(Models!$BJ304:$BT304,,AH304)*(1-AF304)+INDEX(Models!$BJ304:$BT304,,AH304+1)*AF304-ERP_i)*AE304*Ramure*Pc/MaxiM</f>
        <v>1.7390473273547479E-4</v>
      </c>
      <c r="AE304" s="304">
        <f t="shared" si="113"/>
        <v>0.5</v>
      </c>
      <c r="AF304" s="176">
        <f t="shared" si="114"/>
        <v>0.13338448495927141</v>
      </c>
      <c r="AG304" s="175">
        <f t="shared" si="115"/>
        <v>0</v>
      </c>
      <c r="AH304" s="175">
        <f t="shared" si="116"/>
        <v>6</v>
      </c>
      <c r="AI304" s="224">
        <f t="shared" si="117"/>
        <v>0.13338448495927141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43756</v>
      </c>
      <c r="B305" s="616">
        <v>14.433</v>
      </c>
      <c r="C305" s="389"/>
      <c r="D305" s="392">
        <f t="shared" si="99"/>
        <v>14.593848019288499</v>
      </c>
      <c r="E305" s="384">
        <f t="shared" si="121"/>
        <v>15.043283120261071</v>
      </c>
      <c r="F305" s="384">
        <f t="shared" si="100"/>
        <v>15.043559255562021</v>
      </c>
      <c r="G305" s="110">
        <f t="shared" si="122"/>
        <v>0.37387678403903735</v>
      </c>
      <c r="H305" s="413" t="b">
        <f>Wh_hp&gt;='2018'!Maxi_hp</f>
        <v>1</v>
      </c>
      <c r="I305" s="389">
        <f>IF(H305,Wh_hp,'2018'!Maxi_hp)</f>
        <v>15.043559255562021</v>
      </c>
      <c r="J305" s="85">
        <f>IF(H305,An,'2018'!An_max)</f>
        <v>2019</v>
      </c>
      <c r="K305" s="196">
        <f t="shared" si="101"/>
        <v>43756</v>
      </c>
      <c r="L305" s="147">
        <f>IF(t&lt;Tvie,1-EXP((T0-t)*PertePVj)+'2018'!Pspv,1-EXP((T0-t)*PertePVj)+Pspv)</f>
        <v>1.102163179141713E-2</v>
      </c>
      <c r="M305" s="847"/>
      <c r="N305" s="847"/>
      <c r="O305" s="48">
        <f>IF(t&lt;Tnet,'2018'!Resal+('2018'!Salim-'2018'!Resal)*(1-EXP(('2018'!Tnet-t)/('2018'!Tau_j))),Resal+(Salim-Resal)*(1-EXP((Tnet-t)/(Tau_j))))*Salcycl</f>
        <v>2.9876131252708365E-2</v>
      </c>
      <c r="P305" s="168">
        <f>(INDEX(Models!$BJ305:$BT305,,T305)*(1-R305)+INDEX(Models!$BJ305:$BT305,,T305+1)*R305-ERP_i)*Q305*Ramure*Pc/MaxiM</f>
        <v>1.7378802194024069E-4</v>
      </c>
      <c r="Q305" s="304">
        <f t="shared" si="102"/>
        <v>0.5</v>
      </c>
      <c r="R305" s="176">
        <f t="shared" si="103"/>
        <v>0.13344421411353569</v>
      </c>
      <c r="S305" s="814">
        <f t="shared" si="104"/>
        <v>0</v>
      </c>
      <c r="T305" s="175">
        <f t="shared" si="105"/>
        <v>6</v>
      </c>
      <c r="U305" s="250">
        <f t="shared" si="106"/>
        <v>0.13344421411353569</v>
      </c>
      <c r="V305" s="382">
        <f t="shared" si="107"/>
        <v>38.59762686640132</v>
      </c>
      <c r="W305" s="58"/>
      <c r="X305" s="157">
        <f t="shared" si="108"/>
        <v>43756</v>
      </c>
      <c r="Y305" s="384">
        <f t="shared" si="109"/>
        <v>14.433</v>
      </c>
      <c r="Z305" s="384">
        <f t="shared" si="110"/>
        <v>14.593848019288499</v>
      </c>
      <c r="AA305" s="385">
        <f t="shared" si="111"/>
        <v>15.043283120261071</v>
      </c>
      <c r="AB305" s="196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2.9876131252708365E-2</v>
      </c>
      <c r="AD305" s="230">
        <f>(INDEX(Models!$BJ305:$BT305,,AH305)*(1-AF305)+INDEX(Models!$BJ305:$BT305,,AH305+1)*AF305-ERP_i)*AE305*Ramure*Pc/MaxiM</f>
        <v>1.7378802194024069E-4</v>
      </c>
      <c r="AE305" s="304">
        <f t="shared" si="113"/>
        <v>0.5</v>
      </c>
      <c r="AF305" s="176">
        <f t="shared" si="114"/>
        <v>0.13344421411353569</v>
      </c>
      <c r="AG305" s="175">
        <f t="shared" si="115"/>
        <v>0</v>
      </c>
      <c r="AH305" s="175">
        <f t="shared" si="116"/>
        <v>6</v>
      </c>
      <c r="AI305" s="224">
        <f t="shared" si="117"/>
        <v>0.13344421411353569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43757</v>
      </c>
      <c r="B306" s="616">
        <v>29.971</v>
      </c>
      <c r="C306" s="389"/>
      <c r="D306" s="392">
        <f t="shared" si="99"/>
        <v>30.305674441076729</v>
      </c>
      <c r="E306" s="384">
        <f t="shared" si="121"/>
        <v>31.239822032243787</v>
      </c>
      <c r="F306" s="384">
        <f t="shared" si="100"/>
        <v>31.243561276608393</v>
      </c>
      <c r="G306" s="110">
        <f t="shared" si="122"/>
        <v>0.78313680909847316</v>
      </c>
      <c r="H306" s="413" t="b">
        <f>Wh_hp&gt;='2018'!Maxi_hp</f>
        <v>1</v>
      </c>
      <c r="I306" s="389">
        <f>IF(H306,Wh_hp,'2018'!Maxi_hp)</f>
        <v>31.243561276608393</v>
      </c>
      <c r="J306" s="85">
        <f>IF(H306,An,'2018'!An_max)</f>
        <v>2019</v>
      </c>
      <c r="K306" s="196">
        <f t="shared" si="101"/>
        <v>43757</v>
      </c>
      <c r="L306" s="147">
        <f>IF(t&lt;Tvie,1-EXP((T0-t)*PertePVj)+'2018'!Pspv,1-EXP((T0-t)*PertePVj)+Pspv)</f>
        <v>1.1043292955826955E-2</v>
      </c>
      <c r="M306" s="847"/>
      <c r="N306" s="847"/>
      <c r="O306" s="48">
        <f>IF(t&lt;Tnet,'2018'!Resal+('2018'!Salim-'2018'!Resal)*(1-EXP(('2018'!Tnet-t)/('2018'!Tau_j))),Resal+(Salim-Resal)*(1-EXP((Tnet-t)/(Tau_j))))*Salcycl</f>
        <v>2.9902461998755625E-2</v>
      </c>
      <c r="P306" s="168">
        <f>(INDEX(Models!$BJ306:$BT306,,T306)*(1-R306)+INDEX(Models!$BJ306:$BT306,,T306+1)*R306-ERP_i)*Q306*Ramure*Pc/MaxiM</f>
        <v>1.7338575693450953E-4</v>
      </c>
      <c r="Q306" s="304">
        <f t="shared" si="102"/>
        <v>0.5</v>
      </c>
      <c r="R306" s="176">
        <f t="shared" si="103"/>
        <v>0.13350156084239378</v>
      </c>
      <c r="S306" s="814">
        <f t="shared" si="104"/>
        <v>0</v>
      </c>
      <c r="T306" s="175">
        <f t="shared" si="105"/>
        <v>6</v>
      </c>
      <c r="U306" s="250">
        <f t="shared" si="106"/>
        <v>0.13350156084239378</v>
      </c>
      <c r="V306" s="382">
        <f t="shared" si="107"/>
        <v>38.268396860237111</v>
      </c>
      <c r="W306" s="58"/>
      <c r="X306" s="157">
        <f t="shared" si="108"/>
        <v>43757</v>
      </c>
      <c r="Y306" s="384">
        <f t="shared" si="109"/>
        <v>29.971</v>
      </c>
      <c r="Z306" s="384">
        <f t="shared" si="110"/>
        <v>30.305674441076729</v>
      </c>
      <c r="AA306" s="385">
        <f t="shared" si="111"/>
        <v>31.239822032243787</v>
      </c>
      <c r="AB306" s="196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2.9902461998755625E-2</v>
      </c>
      <c r="AD306" s="230">
        <f>(INDEX(Models!$BJ306:$BT306,,AH306)*(1-AF306)+INDEX(Models!$BJ306:$BT306,,AH306+1)*AF306-ERP_i)*AE306*Ramure*Pc/MaxiM</f>
        <v>1.7338575693450953E-4</v>
      </c>
      <c r="AE306" s="304">
        <f t="shared" si="113"/>
        <v>0.5</v>
      </c>
      <c r="AF306" s="176">
        <f t="shared" si="114"/>
        <v>0.13350156084239378</v>
      </c>
      <c r="AG306" s="175">
        <f t="shared" si="115"/>
        <v>0</v>
      </c>
      <c r="AH306" s="175">
        <f t="shared" si="116"/>
        <v>6</v>
      </c>
      <c r="AI306" s="224">
        <f t="shared" si="117"/>
        <v>0.13350156084239378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43758</v>
      </c>
      <c r="B307" s="616">
        <v>11.599</v>
      </c>
      <c r="C307" s="389"/>
      <c r="D307" s="392">
        <f t="shared" si="99"/>
        <v>11.728778389198361</v>
      </c>
      <c r="E307" s="384">
        <f t="shared" si="121"/>
        <v>12.090631106466827</v>
      </c>
      <c r="F307" s="384">
        <f t="shared" si="100"/>
        <v>12.090648273497406</v>
      </c>
      <c r="G307" s="110">
        <f t="shared" si="122"/>
        <v>0.30570301181732934</v>
      </c>
      <c r="H307" s="413" t="b">
        <f>Wh_hp&gt;='2018'!Maxi_hp</f>
        <v>0</v>
      </c>
      <c r="I307" s="389">
        <f>IF(H307,Wh_hp,'2018'!Maxi_hp)</f>
        <v>12.529354555401051</v>
      </c>
      <c r="J307" s="85">
        <f>IF(H307,An,'2018'!An_max)</f>
        <v>2018</v>
      </c>
      <c r="K307" s="196">
        <f t="shared" si="101"/>
        <v>43758</v>
      </c>
      <c r="L307" s="147">
        <f>IF(t&lt;Tvie,1-EXP((T0-t)*PertePVj)+'2018'!Pspv,1-EXP((T0-t)*PertePVj)+Pspv)</f>
        <v>1.1064953645801734E-2</v>
      </c>
      <c r="M307" s="847"/>
      <c r="N307" s="847"/>
      <c r="O307" s="48">
        <f>IF(t&lt;Tnet,'2018'!Resal+('2018'!Salim-'2018'!Resal)*(1-EXP(('2018'!Tnet-t)/('2018'!Tau_j))),Resal+(Salim-Resal)*(1-EXP((Tnet-t)/(Tau_j))))*Salcycl</f>
        <v>2.9928356434175261E-2</v>
      </c>
      <c r="P307" s="168">
        <f>(INDEX(Models!$BJ307:$BT307,,T307)*(1-R307)+INDEX(Models!$BJ307:$BT307,,T307+1)*R307-ERP_i)*Q307*Ramure*Pc/MaxiM</f>
        <v>1.7269100152362825E-4</v>
      </c>
      <c r="Q307" s="304">
        <f t="shared" si="102"/>
        <v>0.5</v>
      </c>
      <c r="R307" s="176">
        <f t="shared" si="103"/>
        <v>0.13355661931018981</v>
      </c>
      <c r="S307" s="814">
        <f t="shared" si="104"/>
        <v>0</v>
      </c>
      <c r="T307" s="175">
        <f t="shared" si="105"/>
        <v>6</v>
      </c>
      <c r="U307" s="250">
        <f t="shared" si="106"/>
        <v>0.13355661931018981</v>
      </c>
      <c r="V307" s="382">
        <f t="shared" si="107"/>
        <v>37.935555015536224</v>
      </c>
      <c r="W307" s="58"/>
      <c r="X307" s="157">
        <f t="shared" si="108"/>
        <v>43758</v>
      </c>
      <c r="Y307" s="384">
        <f t="shared" si="109"/>
        <v>11.599</v>
      </c>
      <c r="Z307" s="384">
        <f t="shared" si="110"/>
        <v>11.728778389198361</v>
      </c>
      <c r="AA307" s="385">
        <f t="shared" si="111"/>
        <v>12.090631106466827</v>
      </c>
      <c r="AB307" s="196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2.9928356434175261E-2</v>
      </c>
      <c r="AD307" s="230">
        <f>(INDEX(Models!$BJ307:$BT307,,AH307)*(1-AF307)+INDEX(Models!$BJ307:$BT307,,AH307+1)*AF307-ERP_i)*AE307*Ramure*Pc/MaxiM</f>
        <v>1.7269100152362825E-4</v>
      </c>
      <c r="AE307" s="304">
        <f t="shared" si="113"/>
        <v>0.5</v>
      </c>
      <c r="AF307" s="176">
        <f t="shared" si="114"/>
        <v>0.13355661931018981</v>
      </c>
      <c r="AG307" s="175">
        <f t="shared" si="115"/>
        <v>0</v>
      </c>
      <c r="AH307" s="175">
        <f t="shared" si="116"/>
        <v>6</v>
      </c>
      <c r="AI307" s="224">
        <f t="shared" si="117"/>
        <v>0.13355661931018981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43759</v>
      </c>
      <c r="B308" s="616">
        <v>23.652999999999999</v>
      </c>
      <c r="C308" s="389"/>
      <c r="D308" s="392">
        <f t="shared" si="99"/>
        <v>23.918171532045363</v>
      </c>
      <c r="E308" s="384">
        <f t="shared" si="121"/>
        <v>24.656735202391683</v>
      </c>
      <c r="F308" s="384">
        <f t="shared" si="100"/>
        <v>24.658725492939233</v>
      </c>
      <c r="G308" s="110">
        <f t="shared" si="122"/>
        <v>0.62900783021054507</v>
      </c>
      <c r="H308" s="413" t="b">
        <f>Wh_hp&gt;='2018'!Maxi_hp</f>
        <v>1</v>
      </c>
      <c r="I308" s="389">
        <f>IF(H308,Wh_hp,'2018'!Maxi_hp)</f>
        <v>24.658725492939233</v>
      </c>
      <c r="J308" s="85">
        <f>IF(H308,An,'2018'!An_max)</f>
        <v>2019</v>
      </c>
      <c r="K308" s="196">
        <f t="shared" si="101"/>
        <v>43759</v>
      </c>
      <c r="L308" s="147">
        <f>IF(t&lt;Tvie,1-EXP((T0-t)*PertePVj)+'2018'!Pspv,1-EXP((T0-t)*PertePVj)+Pspv)</f>
        <v>1.1086613861351791E-2</v>
      </c>
      <c r="M308" s="847"/>
      <c r="N308" s="847"/>
      <c r="O308" s="48">
        <f>IF(t&lt;Tnet,'2018'!Resal+('2018'!Salim-'2018'!Resal)*(1-EXP(('2018'!Tnet-t)/('2018'!Tau_j))),Resal+(Salim-Resal)*(1-EXP((Tnet-t)/(Tau_j))))*Salcycl</f>
        <v>2.9953830638319013E-2</v>
      </c>
      <c r="P308" s="168">
        <f>(INDEX(Models!$BJ308:$BT308,,T308)*(1-R308)+INDEX(Models!$BJ308:$BT308,,T308+1)*R308-ERP_i)*Q308*Ramure*Pc/MaxiM</f>
        <v>1.7169676428324625E-4</v>
      </c>
      <c r="Q308" s="304">
        <f t="shared" si="102"/>
        <v>0.5</v>
      </c>
      <c r="R308" s="176">
        <f t="shared" si="103"/>
        <v>0.13360948002736101</v>
      </c>
      <c r="S308" s="814">
        <f t="shared" si="104"/>
        <v>0</v>
      </c>
      <c r="T308" s="175">
        <f t="shared" si="105"/>
        <v>6</v>
      </c>
      <c r="U308" s="250">
        <f t="shared" si="106"/>
        <v>0.13360948002736101</v>
      </c>
      <c r="V308" s="382">
        <f t="shared" si="107"/>
        <v>37.60024384718718</v>
      </c>
      <c r="W308" s="58"/>
      <c r="X308" s="157">
        <f t="shared" si="108"/>
        <v>43759</v>
      </c>
      <c r="Y308" s="384">
        <f t="shared" si="109"/>
        <v>23.652999999999999</v>
      </c>
      <c r="Z308" s="384">
        <f t="shared" si="110"/>
        <v>23.918171532045363</v>
      </c>
      <c r="AA308" s="385">
        <f t="shared" si="111"/>
        <v>24.656735202391683</v>
      </c>
      <c r="AB308" s="196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2.9953830638319013E-2</v>
      </c>
      <c r="AD308" s="230">
        <f>(INDEX(Models!$BJ308:$BT308,,AH308)*(1-AF308)+INDEX(Models!$BJ308:$BT308,,AH308+1)*AF308-ERP_i)*AE308*Ramure*Pc/MaxiM</f>
        <v>1.7169676428324625E-4</v>
      </c>
      <c r="AE308" s="304">
        <f t="shared" si="113"/>
        <v>0.5</v>
      </c>
      <c r="AF308" s="176">
        <f t="shared" si="114"/>
        <v>0.13360948002736101</v>
      </c>
      <c r="AG308" s="175">
        <f t="shared" si="115"/>
        <v>0</v>
      </c>
      <c r="AH308" s="175">
        <f t="shared" si="116"/>
        <v>6</v>
      </c>
      <c r="AI308" s="224">
        <f t="shared" si="117"/>
        <v>0.13360948002736101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43760</v>
      </c>
      <c r="B309" s="616">
        <v>3.798</v>
      </c>
      <c r="C309" s="389"/>
      <c r="D309" s="392">
        <f t="shared" si="99"/>
        <v>3.840663136940119</v>
      </c>
      <c r="E309" s="384">
        <f t="shared" si="121"/>
        <v>3.9593604159183329</v>
      </c>
      <c r="F309" s="384">
        <f t="shared" si="100"/>
        <v>3.9593604159183329</v>
      </c>
      <c r="G309" s="110">
        <f t="shared" si="122"/>
        <v>0.10190513707712318</v>
      </c>
      <c r="H309" s="413" t="b">
        <f>Wh_hp&gt;='2018'!Maxi_hp</f>
        <v>0</v>
      </c>
      <c r="I309" s="389">
        <f>IF(H309,Wh_hp,'2018'!Maxi_hp)</f>
        <v>23.413535326248176</v>
      </c>
      <c r="J309" s="85">
        <f>IF(H309,An,'2018'!An_max)</f>
        <v>2018</v>
      </c>
      <c r="K309" s="196">
        <f t="shared" si="101"/>
        <v>43760</v>
      </c>
      <c r="L309" s="147">
        <f>IF(t&lt;Tvie,1-EXP((T0-t)*PertePVj)+'2018'!Pspv,1-EXP((T0-t)*PertePVj)+Pspv)</f>
        <v>1.1108273602487562E-2</v>
      </c>
      <c r="M309" s="847"/>
      <c r="N309" s="847"/>
      <c r="O309" s="48">
        <f>IF(t&lt;Tnet,'2018'!Resal+('2018'!Salim-'2018'!Resal)*(1-EXP(('2018'!Tnet-t)/('2018'!Tau_j))),Resal+(Salim-Resal)*(1-EXP((Tnet-t)/(Tau_j))))*Salcycl</f>
        <v>2.9978902274468346E-2</v>
      </c>
      <c r="P309" s="168">
        <f>(INDEX(Models!$BJ309:$BT309,,T309)*(1-R309)+INDEX(Models!$BJ309:$BT309,,T309+1)*R309-ERP_i)*Q309*Ramure*Pc/MaxiM</f>
        <v>1.7039606245612313E-4</v>
      </c>
      <c r="Q309" s="304">
        <f t="shared" si="102"/>
        <v>0.5</v>
      </c>
      <c r="R309" s="176">
        <f t="shared" si="103"/>
        <v>0.13366022998686855</v>
      </c>
      <c r="S309" s="814">
        <f t="shared" si="104"/>
        <v>0</v>
      </c>
      <c r="T309" s="175">
        <f t="shared" si="105"/>
        <v>6</v>
      </c>
      <c r="U309" s="250">
        <f t="shared" si="106"/>
        <v>0.13366022998686855</v>
      </c>
      <c r="V309" s="382">
        <f t="shared" si="107"/>
        <v>37.26360559115782</v>
      </c>
      <c r="W309" s="58"/>
      <c r="X309" s="157">
        <f t="shared" si="108"/>
        <v>43760</v>
      </c>
      <c r="Y309" s="384">
        <f t="shared" si="109"/>
        <v>3.798</v>
      </c>
      <c r="Z309" s="384">
        <f t="shared" si="110"/>
        <v>3.840663136940119</v>
      </c>
      <c r="AA309" s="385">
        <f t="shared" si="111"/>
        <v>3.9593604159183329</v>
      </c>
      <c r="AB309" s="196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2.9978902274468346E-2</v>
      </c>
      <c r="AD309" s="230">
        <f>(INDEX(Models!$BJ309:$BT309,,AH309)*(1-AF309)+INDEX(Models!$BJ309:$BT309,,AH309+1)*AF309-ERP_i)*AE309*Ramure*Pc/MaxiM</f>
        <v>1.7039606245612313E-4</v>
      </c>
      <c r="AE309" s="304">
        <f t="shared" si="113"/>
        <v>0.5</v>
      </c>
      <c r="AF309" s="176">
        <f t="shared" si="114"/>
        <v>0.13366022998686855</v>
      </c>
      <c r="AG309" s="175">
        <f t="shared" si="115"/>
        <v>0</v>
      </c>
      <c r="AH309" s="175">
        <f t="shared" si="116"/>
        <v>6</v>
      </c>
      <c r="AI309" s="224">
        <f t="shared" si="117"/>
        <v>0.13366022998686855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43761</v>
      </c>
      <c r="B310" s="616">
        <v>19.158999999999999</v>
      </c>
      <c r="C310" s="389"/>
      <c r="D310" s="392">
        <f t="shared" si="99"/>
        <v>19.37463842503605</v>
      </c>
      <c r="E310" s="384">
        <f t="shared" si="121"/>
        <v>19.973927982008846</v>
      </c>
      <c r="F310" s="384">
        <f t="shared" si="100"/>
        <v>19.974983658973745</v>
      </c>
      <c r="G310" s="110">
        <f t="shared" si="122"/>
        <v>0.51877736400792718</v>
      </c>
      <c r="H310" s="413" t="b">
        <f>Wh_hp&gt;='2018'!Maxi_hp</f>
        <v>0</v>
      </c>
      <c r="I310" s="389">
        <f>IF(H310,Wh_hp,'2018'!Maxi_hp)</f>
        <v>38.121231488419959</v>
      </c>
      <c r="J310" s="85">
        <f>IF(H310,An,'2018'!An_max)</f>
        <v>2018</v>
      </c>
      <c r="K310" s="196">
        <f t="shared" si="101"/>
        <v>43761</v>
      </c>
      <c r="L310" s="147">
        <f>IF(t&lt;Tvie,1-EXP((T0-t)*PertePVj)+'2018'!Pspv,1-EXP((T0-t)*PertePVj)+Pspv)</f>
        <v>1.1129932869219372E-2</v>
      </c>
      <c r="M310" s="847"/>
      <c r="N310" s="847"/>
      <c r="O310" s="48">
        <f>IF(t&lt;Tnet,'2018'!Resal+('2018'!Salim-'2018'!Resal)*(1-EXP(('2018'!Tnet-t)/('2018'!Tau_j))),Resal+(Salim-Resal)*(1-EXP((Tnet-t)/(Tau_j))))*Salcycl</f>
        <v>3.0003590556278957E-2</v>
      </c>
      <c r="P310" s="168">
        <f>(INDEX(Models!$BJ310:$BT310,,T310)*(1-R310)+INDEX(Models!$BJ310:$BT310,,T310+1)*R310-ERP_i)*Q310*Ramure*Pc/MaxiM</f>
        <v>1.6905211001148963E-4</v>
      </c>
      <c r="Q310" s="304">
        <f t="shared" si="102"/>
        <v>0.5</v>
      </c>
      <c r="R310" s="176">
        <f t="shared" si="103"/>
        <v>0.13370895279596162</v>
      </c>
      <c r="S310" s="814">
        <f t="shared" si="104"/>
        <v>0</v>
      </c>
      <c r="T310" s="175">
        <f t="shared" si="105"/>
        <v>6</v>
      </c>
      <c r="U310" s="250">
        <f t="shared" si="106"/>
        <v>0.13370895279596162</v>
      </c>
      <c r="V310" s="382">
        <f t="shared" si="107"/>
        <v>36.926772242380935</v>
      </c>
      <c r="W310" s="58"/>
      <c r="X310" s="157">
        <f t="shared" si="108"/>
        <v>43761</v>
      </c>
      <c r="Y310" s="384">
        <f t="shared" si="109"/>
        <v>19.158999999999999</v>
      </c>
      <c r="Z310" s="384">
        <f t="shared" si="110"/>
        <v>19.37463842503605</v>
      </c>
      <c r="AA310" s="385">
        <f t="shared" si="111"/>
        <v>19.973927982008846</v>
      </c>
      <c r="AB310" s="196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3.0003590556278957E-2</v>
      </c>
      <c r="AD310" s="230">
        <f>(INDEX(Models!$BJ310:$BT310,,AH310)*(1-AF310)+INDEX(Models!$BJ310:$BT310,,AH310+1)*AF310-ERP_i)*AE310*Ramure*Pc/MaxiM</f>
        <v>1.6905211001148963E-4</v>
      </c>
      <c r="AE310" s="304">
        <f t="shared" si="113"/>
        <v>0.5</v>
      </c>
      <c r="AF310" s="176">
        <f t="shared" si="114"/>
        <v>0.13370895279596162</v>
      </c>
      <c r="AG310" s="175">
        <f t="shared" si="115"/>
        <v>0</v>
      </c>
      <c r="AH310" s="175">
        <f t="shared" si="116"/>
        <v>6</v>
      </c>
      <c r="AI310" s="224">
        <f t="shared" si="117"/>
        <v>0.13370895279596162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43762</v>
      </c>
      <c r="B311" s="616">
        <v>18.981999999999999</v>
      </c>
      <c r="C311" s="389"/>
      <c r="D311" s="392">
        <f t="shared" si="99"/>
        <v>19.1960666973165</v>
      </c>
      <c r="E311" s="384">
        <f t="shared" si="121"/>
        <v>19.790329039355832</v>
      </c>
      <c r="F311" s="384">
        <f t="shared" si="100"/>
        <v>19.791367004845018</v>
      </c>
      <c r="G311" s="110">
        <f t="shared" si="122"/>
        <v>0.51870329206293386</v>
      </c>
      <c r="H311" s="413" t="b">
        <f>Wh_hp&gt;='2018'!Maxi_hp</f>
        <v>0</v>
      </c>
      <c r="I311" s="389">
        <f>IF(H311,Wh_hp,'2018'!Maxi_hp)</f>
        <v>36.096534017835943</v>
      </c>
      <c r="J311" s="85">
        <f>IF(H311,An,'2018'!An_max)</f>
        <v>2018</v>
      </c>
      <c r="K311" s="196">
        <f t="shared" si="101"/>
        <v>43762</v>
      </c>
      <c r="L311" s="147">
        <f>IF(t&lt;Tvie,1-EXP((T0-t)*PertePVj)+'2018'!Pspv,1-EXP((T0-t)*PertePVj)+Pspv)</f>
        <v>1.1151591661557658E-2</v>
      </c>
      <c r="M311" s="847"/>
      <c r="N311" s="847"/>
      <c r="O311" s="48">
        <f>IF(t&lt;Tnet,'2018'!Resal+('2018'!Salim-'2018'!Resal)*(1-EXP(('2018'!Tnet-t)/('2018'!Tau_j))),Resal+(Salim-Resal)*(1-EXP((Tnet-t)/(Tau_j))))*Salcycl</f>
        <v>3.0027916203796322E-2</v>
      </c>
      <c r="P311" s="168">
        <f>(INDEX(Models!$BJ311:$BT311,,T311)*(1-R311)+INDEX(Models!$BJ311:$BT311,,T311+1)*R311-ERP_i)*Q311*Ramure*Pc/MaxiM</f>
        <v>1.6781508761558821E-4</v>
      </c>
      <c r="Q311" s="304">
        <f t="shared" si="102"/>
        <v>0.5</v>
      </c>
      <c r="R311" s="176">
        <f t="shared" si="103"/>
        <v>0.1337557288033972</v>
      </c>
      <c r="S311" s="814">
        <f t="shared" si="104"/>
        <v>0</v>
      </c>
      <c r="T311" s="175">
        <f t="shared" si="105"/>
        <v>6</v>
      </c>
      <c r="U311" s="250">
        <f t="shared" si="106"/>
        <v>0.1337557288033972</v>
      </c>
      <c r="V311" s="382">
        <f t="shared" si="107"/>
        <v>36.590880041659133</v>
      </c>
      <c r="W311" s="58"/>
      <c r="X311" s="157">
        <f t="shared" si="108"/>
        <v>43762</v>
      </c>
      <c r="Y311" s="384">
        <f t="shared" si="109"/>
        <v>18.981999999999999</v>
      </c>
      <c r="Z311" s="384">
        <f t="shared" si="110"/>
        <v>19.1960666973165</v>
      </c>
      <c r="AA311" s="385">
        <f t="shared" si="111"/>
        <v>19.790329039355832</v>
      </c>
      <c r="AB311" s="196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3.0027916203796322E-2</v>
      </c>
      <c r="AD311" s="230">
        <f>(INDEX(Models!$BJ311:$BT311,,AH311)*(1-AF311)+INDEX(Models!$BJ311:$BT311,,AH311+1)*AF311-ERP_i)*AE311*Ramure*Pc/MaxiM</f>
        <v>1.6781508761558821E-4</v>
      </c>
      <c r="AE311" s="304">
        <f t="shared" si="113"/>
        <v>0.5</v>
      </c>
      <c r="AF311" s="176">
        <f t="shared" si="114"/>
        <v>0.1337557288033972</v>
      </c>
      <c r="AG311" s="175">
        <f t="shared" si="115"/>
        <v>0</v>
      </c>
      <c r="AH311" s="175">
        <f t="shared" si="116"/>
        <v>6</v>
      </c>
      <c r="AI311" s="224">
        <f t="shared" si="117"/>
        <v>0.1337557288033972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43763</v>
      </c>
      <c r="B312" s="616">
        <v>30.036000000000001</v>
      </c>
      <c r="C312" s="389"/>
      <c r="D312" s="392">
        <f t="shared" si="99"/>
        <v>30.375391846324639</v>
      </c>
      <c r="E312" s="384">
        <f t="shared" si="121"/>
        <v>31.316512594670659</v>
      </c>
      <c r="F312" s="384">
        <f t="shared" si="100"/>
        <v>31.320453536222395</v>
      </c>
      <c r="G312" s="110">
        <f t="shared" si="122"/>
        <v>0.82838387335774977</v>
      </c>
      <c r="H312" s="413" t="b">
        <f>Wh_hp&gt;='2018'!Maxi_hp</f>
        <v>0</v>
      </c>
      <c r="I312" s="389">
        <f>IF(H312,Wh_hp,'2018'!Maxi_hp)</f>
        <v>37.235103928768822</v>
      </c>
      <c r="J312" s="85">
        <f>IF(H312,An,'2018'!An_max)</f>
        <v>2018</v>
      </c>
      <c r="K312" s="196">
        <f t="shared" si="101"/>
        <v>43763</v>
      </c>
      <c r="L312" s="147">
        <f>IF(t&lt;Tvie,1-EXP((T0-t)*PertePVj)+'2018'!Pspv,1-EXP((T0-t)*PertePVj)+Pspv)</f>
        <v>1.1173249979512745E-2</v>
      </c>
      <c r="M312" s="847"/>
      <c r="N312" s="847"/>
      <c r="O312" s="48">
        <f>IF(t&lt;Tnet,'2018'!Resal+('2018'!Salim-'2018'!Resal)*(1-EXP(('2018'!Tnet-t)/('2018'!Tau_j))),Resal+(Salim-Resal)*(1-EXP((Tnet-t)/(Tau_j))))*Salcycl</f>
        <v>3.0051901389114954E-2</v>
      </c>
      <c r="P312" s="168">
        <f>(INDEX(Models!$BJ312:$BT312,,T312)*(1-R312)+INDEX(Models!$BJ312:$BT312,,T312+1)*R312-ERP_i)*Q312*Ramure*Pc/MaxiM</f>
        <v>1.6668350157522823E-4</v>
      </c>
      <c r="Q312" s="304">
        <f t="shared" si="102"/>
        <v>0.5</v>
      </c>
      <c r="R312" s="176">
        <f t="shared" si="103"/>
        <v>0.13380063522224217</v>
      </c>
      <c r="S312" s="814">
        <f t="shared" si="104"/>
        <v>0</v>
      </c>
      <c r="T312" s="175">
        <f t="shared" si="105"/>
        <v>6</v>
      </c>
      <c r="U312" s="250">
        <f t="shared" si="106"/>
        <v>0.13380063522224217</v>
      </c>
      <c r="V312" s="382">
        <f t="shared" si="107"/>
        <v>36.257070700197559</v>
      </c>
      <c r="W312" s="58"/>
      <c r="X312" s="157">
        <f t="shared" si="108"/>
        <v>43763</v>
      </c>
      <c r="Y312" s="384">
        <f t="shared" si="109"/>
        <v>30.036000000000001</v>
      </c>
      <c r="Z312" s="384">
        <f t="shared" si="110"/>
        <v>30.375391846324639</v>
      </c>
      <c r="AA312" s="385">
        <f t="shared" si="111"/>
        <v>31.316512594670659</v>
      </c>
      <c r="AB312" s="196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3.0051901389114954E-2</v>
      </c>
      <c r="AD312" s="230">
        <f>(INDEX(Models!$BJ312:$BT312,,AH312)*(1-AF312)+INDEX(Models!$BJ312:$BT312,,AH312+1)*AF312-ERP_i)*AE312*Ramure*Pc/MaxiM</f>
        <v>1.6668350157522823E-4</v>
      </c>
      <c r="AE312" s="304">
        <f t="shared" si="113"/>
        <v>0.5</v>
      </c>
      <c r="AF312" s="176">
        <f t="shared" si="114"/>
        <v>0.13380063522224217</v>
      </c>
      <c r="AG312" s="175">
        <f t="shared" si="115"/>
        <v>0</v>
      </c>
      <c r="AH312" s="175">
        <f t="shared" si="116"/>
        <v>6</v>
      </c>
      <c r="AI312" s="224">
        <f t="shared" si="117"/>
        <v>0.13380063522224217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43764</v>
      </c>
      <c r="B313" s="616">
        <v>36.207999999999998</v>
      </c>
      <c r="C313" s="389"/>
      <c r="D313" s="392">
        <f t="shared" si="99"/>
        <v>36.617934400283318</v>
      </c>
      <c r="E313" s="384">
        <f t="shared" si="121"/>
        <v>37.753389084028115</v>
      </c>
      <c r="F313" s="384">
        <f t="shared" si="100"/>
        <v>37.759644135743372</v>
      </c>
      <c r="G313" s="110">
        <f t="shared" si="122"/>
        <v>1.0078358415281203</v>
      </c>
      <c r="H313" s="413" t="b">
        <f>Wh_hp&gt;='2018'!Maxi_hp</f>
        <v>1</v>
      </c>
      <c r="I313" s="389">
        <f>IF(H313,Wh_hp,'2018'!Maxi_hp)</f>
        <v>37.759644135743372</v>
      </c>
      <c r="J313" s="85">
        <f>IF(H313,An,'2018'!An_max)</f>
        <v>2019</v>
      </c>
      <c r="K313" s="196">
        <f t="shared" si="101"/>
        <v>43764</v>
      </c>
      <c r="L313" s="147">
        <f>IF(t&lt;Tvie,1-EXP((T0-t)*PertePVj)+'2018'!Pspv,1-EXP((T0-t)*PertePVj)+Pspv)</f>
        <v>1.1194907823095179E-2</v>
      </c>
      <c r="M313" s="847"/>
      <c r="N313" s="847"/>
      <c r="O313" s="48">
        <f>IF(t&lt;Tnet,'2018'!Resal+('2018'!Salim-'2018'!Resal)*(1-EXP(('2018'!Tnet-t)/('2018'!Tau_j))),Resal+(Salim-Resal)*(1-EXP((Tnet-t)/(Tau_j))))*Salcycl</f>
        <v>3.007556967184067E-2</v>
      </c>
      <c r="P313" s="168">
        <f>(INDEX(Models!$BJ313:$BT313,,T313)*(1-R313)+INDEX(Models!$BJ313:$BT313,,T313+1)*R313-ERP_i)*Q313*Ramure*Pc/MaxiM</f>
        <v>1.6565441381738368E-4</v>
      </c>
      <c r="Q313" s="304">
        <f t="shared" si="102"/>
        <v>0.5</v>
      </c>
      <c r="R313" s="176">
        <f t="shared" si="103"/>
        <v>0.13384374624837986</v>
      </c>
      <c r="S313" s="814">
        <f t="shared" si="104"/>
        <v>0</v>
      </c>
      <c r="T313" s="175">
        <f t="shared" si="105"/>
        <v>6</v>
      </c>
      <c r="U313" s="250">
        <f t="shared" si="106"/>
        <v>0.13384374624837986</v>
      </c>
      <c r="V313" s="382">
        <f t="shared" si="107"/>
        <v>35.926485750992946</v>
      </c>
      <c r="W313" s="58"/>
      <c r="X313" s="157">
        <f t="shared" si="108"/>
        <v>43764</v>
      </c>
      <c r="Y313" s="384">
        <f t="shared" si="109"/>
        <v>36.207999999999998</v>
      </c>
      <c r="Z313" s="384">
        <f t="shared" si="110"/>
        <v>36.617934400283318</v>
      </c>
      <c r="AA313" s="385">
        <f t="shared" si="111"/>
        <v>37.753389084028115</v>
      </c>
      <c r="AB313" s="196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3.007556967184067E-2</v>
      </c>
      <c r="AD313" s="230">
        <f>(INDEX(Models!$BJ313:$BT313,,AH313)*(1-AF313)+INDEX(Models!$BJ313:$BT313,,AH313+1)*AF313-ERP_i)*AE313*Ramure*Pc/MaxiM</f>
        <v>1.6565441381738368E-4</v>
      </c>
      <c r="AE313" s="304">
        <f t="shared" si="113"/>
        <v>0.5</v>
      </c>
      <c r="AF313" s="176">
        <f t="shared" si="114"/>
        <v>0.13384374624837986</v>
      </c>
      <c r="AG313" s="175">
        <f t="shared" si="115"/>
        <v>0</v>
      </c>
      <c r="AH313" s="175">
        <f t="shared" si="116"/>
        <v>6</v>
      </c>
      <c r="AI313" s="224">
        <f t="shared" si="117"/>
        <v>0.13384374624837986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43765</v>
      </c>
      <c r="B314" s="616">
        <v>25.074000000000002</v>
      </c>
      <c r="C314" s="389"/>
      <c r="D314" s="392">
        <f t="shared" si="99"/>
        <v>25.358434534127099</v>
      </c>
      <c r="E314" s="384">
        <f t="shared" si="121"/>
        <v>26.145383003322099</v>
      </c>
      <c r="F314" s="384">
        <f t="shared" si="100"/>
        <v>26.147870847482597</v>
      </c>
      <c r="G314" s="110">
        <f t="shared" si="122"/>
        <v>0.70427155900695115</v>
      </c>
      <c r="H314" s="413" t="b">
        <f>Wh_hp&gt;='2018'!Maxi_hp</f>
        <v>1</v>
      </c>
      <c r="I314" s="389">
        <f>IF(H314,Wh_hp,'2018'!Maxi_hp)</f>
        <v>26.147870847482597</v>
      </c>
      <c r="J314" s="85">
        <f>IF(H314,An,'2018'!An_max)</f>
        <v>2019</v>
      </c>
      <c r="K314" s="196">
        <f t="shared" si="101"/>
        <v>43765</v>
      </c>
      <c r="L314" s="147">
        <f>IF(t&lt;Tvie,1-EXP((T0-t)*PertePVj)+'2018'!Pspv,1-EXP((T0-t)*PertePVj)+Pspv)</f>
        <v>1.1216565192315286E-2</v>
      </c>
      <c r="M314" s="847"/>
      <c r="N314" s="847"/>
      <c r="O314" s="48">
        <f>IF(t&lt;Tnet,'2018'!Resal+('2018'!Salim-'2018'!Resal)*(1-EXP(('2018'!Tnet-t)/('2018'!Tau_j))),Resal+(Salim-Resal)*(1-EXP((Tnet-t)/(Tau_j))))*Salcycl</f>
        <v>3.0098945924602039E-2</v>
      </c>
      <c r="P314" s="168">
        <f>(INDEX(Models!$BJ314:$BT314,,T314)*(1-R314)+INDEX(Models!$BJ314:$BT314,,T314+1)*R314-ERP_i)*Q314*Ramure*Pc/MaxiM</f>
        <v>1.6472482106517922E-4</v>
      </c>
      <c r="Q314" s="304">
        <f t="shared" si="102"/>
        <v>0.5</v>
      </c>
      <c r="R314" s="176">
        <f t="shared" si="103"/>
        <v>0.13388513317484624</v>
      </c>
      <c r="S314" s="814">
        <f t="shared" si="104"/>
        <v>0</v>
      </c>
      <c r="T314" s="175">
        <f t="shared" si="105"/>
        <v>6</v>
      </c>
      <c r="U314" s="250">
        <f t="shared" si="106"/>
        <v>0.13388513317484624</v>
      </c>
      <c r="V314" s="382">
        <f t="shared" si="107"/>
        <v>35.600266507557649</v>
      </c>
      <c r="W314" s="58"/>
      <c r="X314" s="157">
        <f t="shared" si="108"/>
        <v>43765</v>
      </c>
      <c r="Y314" s="384">
        <f t="shared" si="109"/>
        <v>25.074000000000002</v>
      </c>
      <c r="Z314" s="384">
        <f t="shared" si="110"/>
        <v>25.358434534127099</v>
      </c>
      <c r="AA314" s="385">
        <f t="shared" si="111"/>
        <v>26.145383003322099</v>
      </c>
      <c r="AB314" s="196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3.0098945924602039E-2</v>
      </c>
      <c r="AD314" s="230">
        <f>(INDEX(Models!$BJ314:$BT314,,AH314)*(1-AF314)+INDEX(Models!$BJ314:$BT314,,AH314+1)*AF314-ERP_i)*AE314*Ramure*Pc/MaxiM</f>
        <v>1.6472482106517922E-4</v>
      </c>
      <c r="AE314" s="304">
        <f t="shared" si="113"/>
        <v>0.5</v>
      </c>
      <c r="AF314" s="176">
        <f t="shared" si="114"/>
        <v>0.13388513317484624</v>
      </c>
      <c r="AG314" s="175">
        <f t="shared" si="115"/>
        <v>0</v>
      </c>
      <c r="AH314" s="175">
        <f t="shared" si="116"/>
        <v>6</v>
      </c>
      <c r="AI314" s="224">
        <f t="shared" si="117"/>
        <v>0.13388513317484624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43766</v>
      </c>
      <c r="B315" s="616">
        <v>10.266</v>
      </c>
      <c r="C315" s="389"/>
      <c r="D315" s="392">
        <f t="shared" si="99"/>
        <v>10.382682896248843</v>
      </c>
      <c r="E315" s="384">
        <f t="shared" si="121"/>
        <v>10.705143841186073</v>
      </c>
      <c r="F315" s="384">
        <f t="shared" si="100"/>
        <v>10.705143841186073</v>
      </c>
      <c r="G315" s="110">
        <f t="shared" si="122"/>
        <v>0.29094238176766563</v>
      </c>
      <c r="H315" s="413" t="b">
        <f>Wh_hp&gt;='2018'!Maxi_hp</f>
        <v>1</v>
      </c>
      <c r="I315" s="389">
        <f>IF(H315,Wh_hp,'2018'!Maxi_hp)</f>
        <v>10.705143841186073</v>
      </c>
      <c r="J315" s="85">
        <f>IF(H315,An,'2018'!An_max)</f>
        <v>2019</v>
      </c>
      <c r="K315" s="196">
        <f t="shared" si="101"/>
        <v>43766</v>
      </c>
      <c r="L315" s="147">
        <f>IF(t&lt;Tvie,1-EXP((T0-t)*PertePVj)+'2018'!Pspv,1-EXP((T0-t)*PertePVj)+Pspv)</f>
        <v>1.1238222087183281E-2</v>
      </c>
      <c r="M315" s="847"/>
      <c r="N315" s="847"/>
      <c r="O315" s="48">
        <f>IF(t&lt;Tnet,'2018'!Resal+('2018'!Salim-'2018'!Resal)*(1-EXP(('2018'!Tnet-t)/('2018'!Tau_j))),Resal+(Salim-Resal)*(1-EXP((Tnet-t)/(Tau_j))))*Salcycl</f>
        <v>3.0122056248942704E-2</v>
      </c>
      <c r="P315" s="168">
        <f>(INDEX(Models!$BJ315:$BT315,,T315)*(1-R315)+INDEX(Models!$BJ315:$BT315,,T315+1)*R315-ERP_i)*Q315*Ramure*Pc/MaxiM</f>
        <v>1.6389162478216149E-4</v>
      </c>
      <c r="Q315" s="304">
        <f t="shared" si="102"/>
        <v>0.5</v>
      </c>
      <c r="R315" s="176">
        <f t="shared" si="103"/>
        <v>0.13392486450211549</v>
      </c>
      <c r="S315" s="814">
        <f t="shared" si="104"/>
        <v>0</v>
      </c>
      <c r="T315" s="175">
        <f t="shared" si="105"/>
        <v>6</v>
      </c>
      <c r="U315" s="250">
        <f t="shared" si="106"/>
        <v>0.13392486450211549</v>
      </c>
      <c r="V315" s="382">
        <f t="shared" si="107"/>
        <v>35.279554069151189</v>
      </c>
      <c r="W315" s="58"/>
      <c r="X315" s="157">
        <f t="shared" si="108"/>
        <v>43766</v>
      </c>
      <c r="Y315" s="384">
        <f t="shared" si="109"/>
        <v>10.266</v>
      </c>
      <c r="Z315" s="384">
        <f t="shared" si="110"/>
        <v>10.382682896248843</v>
      </c>
      <c r="AA315" s="385">
        <f t="shared" si="111"/>
        <v>10.705143841186073</v>
      </c>
      <c r="AB315" s="196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3.0122056248942704E-2</v>
      </c>
      <c r="AD315" s="230">
        <f>(INDEX(Models!$BJ315:$BT315,,AH315)*(1-AF315)+INDEX(Models!$BJ315:$BT315,,AH315+1)*AF315-ERP_i)*AE315*Ramure*Pc/MaxiM</f>
        <v>1.6389162478216149E-4</v>
      </c>
      <c r="AE315" s="304">
        <f t="shared" si="113"/>
        <v>0.5</v>
      </c>
      <c r="AF315" s="176">
        <f t="shared" si="114"/>
        <v>0.13392486450211549</v>
      </c>
      <c r="AG315" s="175">
        <f t="shared" si="115"/>
        <v>0</v>
      </c>
      <c r="AH315" s="175">
        <f t="shared" si="116"/>
        <v>6</v>
      </c>
      <c r="AI315" s="224">
        <f t="shared" si="117"/>
        <v>0.13392486450211549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43767</v>
      </c>
      <c r="B316" s="616">
        <v>29.138000000000002</v>
      </c>
      <c r="C316" s="389"/>
      <c r="D316" s="392">
        <f t="shared" si="99"/>
        <v>29.469826667924092</v>
      </c>
      <c r="E316" s="384">
        <f t="shared" si="121"/>
        <v>30.385804554867427</v>
      </c>
      <c r="F316" s="384">
        <f t="shared" si="100"/>
        <v>30.389582180422003</v>
      </c>
      <c r="G316" s="110">
        <f t="shared" si="122"/>
        <v>0.83330359595976755</v>
      </c>
      <c r="H316" s="413" t="b">
        <f>Wh_hp&gt;='2018'!Maxi_hp</f>
        <v>1</v>
      </c>
      <c r="I316" s="389">
        <f>IF(H316,Wh_hp,'2018'!Maxi_hp)</f>
        <v>30.389582180422003</v>
      </c>
      <c r="J316" s="85">
        <f>IF(H316,An,'2018'!An_max)</f>
        <v>2019</v>
      </c>
      <c r="K316" s="196">
        <f t="shared" si="101"/>
        <v>43767</v>
      </c>
      <c r="L316" s="147">
        <f>IF(t&lt;Tvie,1-EXP((T0-t)*PertePVj)+'2018'!Pspv,1-EXP((T0-t)*PertePVj)+Pspv)</f>
        <v>1.125987850770982E-2</v>
      </c>
      <c r="M316" s="847"/>
      <c r="N316" s="847"/>
      <c r="O316" s="48">
        <f>IF(t&lt;Tnet,'2018'!Resal+('2018'!Salim-'2018'!Resal)*(1-EXP(('2018'!Tnet-t)/('2018'!Tau_j))),Resal+(Salim-Resal)*(1-EXP((Tnet-t)/(Tau_j))))*Salcycl</f>
        <v>3.0144927882010206E-2</v>
      </c>
      <c r="P316" s="168">
        <f>(INDEX(Models!$BJ316:$BT316,,T316)*(1-R316)+INDEX(Models!$BJ316:$BT316,,T316+1)*R316-ERP_i)*Q316*Ramure*Pc/MaxiM</f>
        <v>1.6315160210836078E-4</v>
      </c>
      <c r="Q316" s="304">
        <f t="shared" si="102"/>
        <v>0.5</v>
      </c>
      <c r="R316" s="176">
        <f t="shared" si="103"/>
        <v>0.13396300604445716</v>
      </c>
      <c r="S316" s="814">
        <f t="shared" si="104"/>
        <v>0</v>
      </c>
      <c r="T316" s="175">
        <f t="shared" si="105"/>
        <v>6</v>
      </c>
      <c r="U316" s="250">
        <f t="shared" si="106"/>
        <v>0.13396300604445716</v>
      </c>
      <c r="V316" s="382">
        <f t="shared" si="107"/>
        <v>34.965489330422997</v>
      </c>
      <c r="W316" s="58"/>
      <c r="X316" s="157">
        <f t="shared" si="108"/>
        <v>43767</v>
      </c>
      <c r="Y316" s="384">
        <f t="shared" si="109"/>
        <v>29.138000000000002</v>
      </c>
      <c r="Z316" s="384">
        <f t="shared" si="110"/>
        <v>29.469826667924092</v>
      </c>
      <c r="AA316" s="385">
        <f t="shared" si="111"/>
        <v>30.385804554867427</v>
      </c>
      <c r="AB316" s="196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3.0144927882010206E-2</v>
      </c>
      <c r="AD316" s="230">
        <f>(INDEX(Models!$BJ316:$BT316,,AH316)*(1-AF316)+INDEX(Models!$BJ316:$BT316,,AH316+1)*AF316-ERP_i)*AE316*Ramure*Pc/MaxiM</f>
        <v>1.6315160210836078E-4</v>
      </c>
      <c r="AE316" s="304">
        <f t="shared" si="113"/>
        <v>0.5</v>
      </c>
      <c r="AF316" s="176">
        <f t="shared" si="114"/>
        <v>0.13396300604445716</v>
      </c>
      <c r="AG316" s="175">
        <f t="shared" si="115"/>
        <v>0</v>
      </c>
      <c r="AH316" s="175">
        <f t="shared" si="116"/>
        <v>6</v>
      </c>
      <c r="AI316" s="224">
        <f t="shared" si="117"/>
        <v>0.13396300604445716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43768</v>
      </c>
      <c r="B317" s="616">
        <v>22.527999999999999</v>
      </c>
      <c r="C317" s="389"/>
      <c r="D317" s="392">
        <f t="shared" si="99"/>
        <v>22.785050330335643</v>
      </c>
      <c r="E317" s="384">
        <f t="shared" si="121"/>
        <v>23.493801685863357</v>
      </c>
      <c r="F317" s="384">
        <f t="shared" si="100"/>
        <v>23.495711101351525</v>
      </c>
      <c r="G317" s="110">
        <f t="shared" si="122"/>
        <v>0.64998667232840968</v>
      </c>
      <c r="H317" s="413" t="b">
        <f>Wh_hp&gt;='2018'!Maxi_hp</f>
        <v>0</v>
      </c>
      <c r="I317" s="389">
        <f>IF(H317,Wh_hp,'2018'!Maxi_hp)</f>
        <v>32.225870251285528</v>
      </c>
      <c r="J317" s="85">
        <f>IF(H317,An,'2018'!An_max)</f>
        <v>2018</v>
      </c>
      <c r="K317" s="196">
        <f t="shared" si="101"/>
        <v>43768</v>
      </c>
      <c r="L317" s="147">
        <f>IF(t&lt;Tvie,1-EXP((T0-t)*PertePVj)+'2018'!Pspv,1-EXP((T0-t)*PertePVj)+Pspv)</f>
        <v>1.1281534453905118E-2</v>
      </c>
      <c r="M317" s="847"/>
      <c r="N317" s="847"/>
      <c r="O317" s="48">
        <f>IF(t&lt;Tnet,'2018'!Resal+('2018'!Salim-'2018'!Resal)*(1-EXP(('2018'!Tnet-t)/('2018'!Tau_j))),Resal+(Salim-Resal)*(1-EXP((Tnet-t)/(Tau_j))))*Salcycl</f>
        <v>3.016758909453901E-2</v>
      </c>
      <c r="P317" s="168">
        <f>(INDEX(Models!$BJ317:$BT317,,T317)*(1-R317)+INDEX(Models!$BJ317:$BT317,,T317+1)*R317-ERP_i)*Q317*Ramure*Pc/MaxiM</f>
        <v>1.6251477226883294E-4</v>
      </c>
      <c r="Q317" s="304">
        <f t="shared" si="102"/>
        <v>0.5</v>
      </c>
      <c r="R317" s="176">
        <f t="shared" si="103"/>
        <v>0.13399962103248281</v>
      </c>
      <c r="S317" s="814">
        <f t="shared" si="104"/>
        <v>0</v>
      </c>
      <c r="T317" s="175">
        <f t="shared" si="105"/>
        <v>6</v>
      </c>
      <c r="U317" s="250">
        <f t="shared" si="106"/>
        <v>0.13399962103248281</v>
      </c>
      <c r="V317" s="382">
        <f t="shared" si="107"/>
        <v>34.65635596911266</v>
      </c>
      <c r="W317" s="58"/>
      <c r="X317" s="157">
        <f t="shared" si="108"/>
        <v>43768</v>
      </c>
      <c r="Y317" s="384">
        <f t="shared" si="109"/>
        <v>22.527999999999999</v>
      </c>
      <c r="Z317" s="384">
        <f t="shared" si="110"/>
        <v>22.785050330335643</v>
      </c>
      <c r="AA317" s="385">
        <f t="shared" si="111"/>
        <v>23.493801685863357</v>
      </c>
      <c r="AB317" s="196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3.016758909453901E-2</v>
      </c>
      <c r="AD317" s="230">
        <f>(INDEX(Models!$BJ317:$BT317,,AH317)*(1-AF317)+INDEX(Models!$BJ317:$BT317,,AH317+1)*AF317-ERP_i)*AE317*Ramure*Pc/MaxiM</f>
        <v>1.6251477226883294E-4</v>
      </c>
      <c r="AE317" s="304">
        <f t="shared" si="113"/>
        <v>0.5</v>
      </c>
      <c r="AF317" s="176">
        <f t="shared" si="114"/>
        <v>0.13399962103248281</v>
      </c>
      <c r="AG317" s="175">
        <f t="shared" si="115"/>
        <v>0</v>
      </c>
      <c r="AH317" s="175">
        <f t="shared" si="116"/>
        <v>6</v>
      </c>
      <c r="AI317" s="224">
        <f t="shared" si="117"/>
        <v>0.13399962103248281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43769</v>
      </c>
      <c r="B318" s="616">
        <v>19.452999999999999</v>
      </c>
      <c r="C318" s="389"/>
      <c r="D318" s="392">
        <f t="shared" si="99"/>
        <v>19.675394723423537</v>
      </c>
      <c r="E318" s="384">
        <f t="shared" si="121"/>
        <v>20.287887446948435</v>
      </c>
      <c r="F318" s="384">
        <f t="shared" si="100"/>
        <v>20.289141306284865</v>
      </c>
      <c r="G318" s="110">
        <f t="shared" si="122"/>
        <v>0.56626591457295283</v>
      </c>
      <c r="H318" s="413" t="b">
        <f>Wh_hp&gt;='2018'!Maxi_hp</f>
        <v>1</v>
      </c>
      <c r="I318" s="389">
        <f>IF(H318,Wh_hp,'2018'!Maxi_hp)</f>
        <v>20.289141306284865</v>
      </c>
      <c r="J318" s="85">
        <f>IF(H318,An,'2018'!An_max)</f>
        <v>2019</v>
      </c>
      <c r="K318" s="196">
        <f t="shared" si="101"/>
        <v>43769</v>
      </c>
      <c r="L318" s="147">
        <f>IF(t&lt;Tvie,1-EXP((T0-t)*PertePVj)+'2018'!Pspv,1-EXP((T0-t)*PertePVj)+Pspv)</f>
        <v>1.1303189925779611E-2</v>
      </c>
      <c r="M318" s="847"/>
      <c r="N318" s="847"/>
      <c r="O318" s="48">
        <f>IF(t&lt;Tnet,'2018'!Resal+('2018'!Salim-'2018'!Resal)*(1-EXP(('2018'!Tnet-t)/('2018'!Tau_j))),Resal+(Salim-Resal)*(1-EXP((Tnet-t)/(Tau_j))))*Salcycl</f>
        <v>3.0190069080702927E-2</v>
      </c>
      <c r="P318" s="168">
        <f>(INDEX(Models!$BJ318:$BT318,,T318)*(1-R318)+INDEX(Models!$BJ318:$BT318,,T318+1)*R318-ERP_i)*Q318*Ramure*Pc/MaxiM</f>
        <v>1.6243314945201277E-4</v>
      </c>
      <c r="Q318" s="304">
        <f t="shared" si="102"/>
        <v>0.5</v>
      </c>
      <c r="R318" s="176">
        <f t="shared" si="103"/>
        <v>0.13403477021199933</v>
      </c>
      <c r="S318" s="814">
        <f t="shared" si="104"/>
        <v>0</v>
      </c>
      <c r="T318" s="175">
        <f t="shared" si="105"/>
        <v>6</v>
      </c>
      <c r="U318" s="250">
        <f t="shared" si="106"/>
        <v>0.13403477021199933</v>
      </c>
      <c r="V318" s="382">
        <f t="shared" si="107"/>
        <v>34.349661091333708</v>
      </c>
      <c r="W318" s="58"/>
      <c r="X318" s="157">
        <f t="shared" si="108"/>
        <v>43769</v>
      </c>
      <c r="Y318" s="384">
        <f t="shared" si="109"/>
        <v>19.452999999999999</v>
      </c>
      <c r="Z318" s="384">
        <f t="shared" si="110"/>
        <v>19.675394723423537</v>
      </c>
      <c r="AA318" s="385">
        <f t="shared" si="111"/>
        <v>20.287887446948435</v>
      </c>
      <c r="AB318" s="196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3.0190069080702927E-2</v>
      </c>
      <c r="AD318" s="230">
        <f>(INDEX(Models!$BJ318:$BT318,,AH318)*(1-AF318)+INDEX(Models!$BJ318:$BT318,,AH318+1)*AF318-ERP_i)*AE318*Ramure*Pc/MaxiM</f>
        <v>1.6243314945201277E-4</v>
      </c>
      <c r="AE318" s="304">
        <f t="shared" si="113"/>
        <v>0.5</v>
      </c>
      <c r="AF318" s="176">
        <f t="shared" si="114"/>
        <v>0.13403477021199933</v>
      </c>
      <c r="AG318" s="175">
        <f t="shared" si="115"/>
        <v>0</v>
      </c>
      <c r="AH318" s="175">
        <f t="shared" si="116"/>
        <v>6</v>
      </c>
      <c r="AI318" s="224">
        <f t="shared" si="117"/>
        <v>0.13403477021199933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43770</v>
      </c>
      <c r="B319" s="616">
        <v>7.4089999999999998</v>
      </c>
      <c r="C319" s="389"/>
      <c r="D319" s="392">
        <f t="shared" si="99"/>
        <v>7.4938668802955286</v>
      </c>
      <c r="E319" s="384">
        <f t="shared" si="121"/>
        <v>7.7273279877039709</v>
      </c>
      <c r="F319" s="384">
        <f t="shared" si="100"/>
        <v>7.7273279877039709</v>
      </c>
      <c r="G319" s="110">
        <f t="shared" si="122"/>
        <v>0.21758570111752887</v>
      </c>
      <c r="H319" s="413" t="b">
        <f>Wh_hp&gt;='2018'!Maxi_hp</f>
        <v>0</v>
      </c>
      <c r="I319" s="389">
        <f>IF(H319,Wh_hp,'2018'!Maxi_hp)</f>
        <v>24.704492111184788</v>
      </c>
      <c r="J319" s="85">
        <f>IF(H319,An,'2018'!An_max)</f>
        <v>2018</v>
      </c>
      <c r="K319" s="196">
        <f t="shared" si="101"/>
        <v>43770</v>
      </c>
      <c r="L319" s="147">
        <f>IF(t&lt;Tvie,1-EXP((T0-t)*PertePVj)+'2018'!Pspv,1-EXP((T0-t)*PertePVj)+Pspv)</f>
        <v>1.1324844923343735E-2</v>
      </c>
      <c r="M319" s="847"/>
      <c r="N319" s="847"/>
      <c r="O319" s="48">
        <f>IF(t&lt;Tnet,'2018'!Resal+('2018'!Salim-'2018'!Resal)*(1-EXP(('2018'!Tnet-t)/('2018'!Tau_j))),Resal+(Salim-Resal)*(1-EXP((Tnet-t)/(Tau_j))))*Salcycl</f>
        <v>3.0212397840487015E-2</v>
      </c>
      <c r="P319" s="168">
        <f>(INDEX(Models!$BJ319:$BT319,,T319)*(1-R319)+INDEX(Models!$BJ319:$BT319,,T319+1)*R319-ERP_i)*Q319*Ramure*Pc/MaxiM</f>
        <v>1.6305605925111155E-4</v>
      </c>
      <c r="Q319" s="304">
        <f t="shared" si="102"/>
        <v>0.5</v>
      </c>
      <c r="R319" s="176">
        <f t="shared" si="103"/>
        <v>0.13406851193928432</v>
      </c>
      <c r="S319" s="814">
        <f t="shared" si="104"/>
        <v>0</v>
      </c>
      <c r="T319" s="175">
        <f t="shared" si="105"/>
        <v>6</v>
      </c>
      <c r="U319" s="250">
        <f t="shared" si="106"/>
        <v>0.13406851193928432</v>
      </c>
      <c r="V319" s="382">
        <f t="shared" si="107"/>
        <v>34.045398569898175</v>
      </c>
      <c r="W319" s="58"/>
      <c r="X319" s="157">
        <f t="shared" si="108"/>
        <v>43770</v>
      </c>
      <c r="Y319" s="384">
        <f t="shared" si="109"/>
        <v>7.4089999999999998</v>
      </c>
      <c r="Z319" s="384">
        <f t="shared" si="110"/>
        <v>7.4938668802955286</v>
      </c>
      <c r="AA319" s="385">
        <f t="shared" si="111"/>
        <v>7.7273279877039709</v>
      </c>
      <c r="AB319" s="196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3.0212397840487015E-2</v>
      </c>
      <c r="AD319" s="230">
        <f>(INDEX(Models!$BJ319:$BT319,,AH319)*(1-AF319)+INDEX(Models!$BJ319:$BT319,,AH319+1)*AF319-ERP_i)*AE319*Ramure*Pc/MaxiM</f>
        <v>1.6305605925111155E-4</v>
      </c>
      <c r="AE319" s="304">
        <f t="shared" si="113"/>
        <v>0.5</v>
      </c>
      <c r="AF319" s="176">
        <f t="shared" si="114"/>
        <v>0.13406851193928432</v>
      </c>
      <c r="AG319" s="175">
        <f t="shared" si="115"/>
        <v>0</v>
      </c>
      <c r="AH319" s="175">
        <f t="shared" si="116"/>
        <v>6</v>
      </c>
      <c r="AI319" s="224">
        <f t="shared" si="117"/>
        <v>0.13406851193928432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43771</v>
      </c>
      <c r="B320" s="616">
        <v>5.2389999999999999</v>
      </c>
      <c r="C320" s="389"/>
      <c r="D320" s="392">
        <f t="shared" si="99"/>
        <v>5.2991265363117659</v>
      </c>
      <c r="E320" s="384">
        <f t="shared" si="121"/>
        <v>5.4643386631446775</v>
      </c>
      <c r="F320" s="384">
        <f t="shared" si="100"/>
        <v>5.4643386631446775</v>
      </c>
      <c r="G320" s="110">
        <f t="shared" si="122"/>
        <v>0.15523369880470375</v>
      </c>
      <c r="H320" s="413" t="b">
        <f>Wh_hp&gt;='2018'!Maxi_hp</f>
        <v>0</v>
      </c>
      <c r="I320" s="389">
        <f>IF(H320,Wh_hp,'2018'!Maxi_hp)</f>
        <v>8.2432370305725993</v>
      </c>
      <c r="J320" s="85">
        <f>IF(H320,An,'2018'!An_max)</f>
        <v>2018</v>
      </c>
      <c r="K320" s="196">
        <f t="shared" si="101"/>
        <v>43771</v>
      </c>
      <c r="L320" s="147">
        <f>IF(t&lt;Tvie,1-EXP((T0-t)*PertePVj)+'2018'!Pspv,1-EXP((T0-t)*PertePVj)+Pspv)</f>
        <v>1.1346499446607816E-2</v>
      </c>
      <c r="M320" s="847"/>
      <c r="N320" s="847"/>
      <c r="O320" s="48">
        <f>IF(t&lt;Tnet,'2018'!Resal+('2018'!Salim-'2018'!Resal)*(1-EXP(('2018'!Tnet-t)/('2018'!Tau_j))),Resal+(Salim-Resal)*(1-EXP((Tnet-t)/(Tau_j))))*Salcycl</f>
        <v>3.0234606055297812E-2</v>
      </c>
      <c r="P320" s="168">
        <f>(INDEX(Models!$BJ320:$BT320,,T320)*(1-R320)+INDEX(Models!$BJ320:$BT320,,T320+1)*R320-ERP_i)*Q320*Ramure*Pc/MaxiM</f>
        <v>1.6438915282950505E-4</v>
      </c>
      <c r="Q320" s="304">
        <f t="shared" si="102"/>
        <v>0.5</v>
      </c>
      <c r="R320" s="176">
        <f t="shared" si="103"/>
        <v>0.13410090227289678</v>
      </c>
      <c r="S320" s="814">
        <f t="shared" si="104"/>
        <v>0</v>
      </c>
      <c r="T320" s="175">
        <f t="shared" si="105"/>
        <v>6</v>
      </c>
      <c r="U320" s="250">
        <f t="shared" si="106"/>
        <v>0.13410090227289678</v>
      </c>
      <c r="V320" s="382">
        <f t="shared" si="107"/>
        <v>33.743567315356678</v>
      </c>
      <c r="W320" s="58"/>
      <c r="X320" s="157">
        <f t="shared" si="108"/>
        <v>43771</v>
      </c>
      <c r="Y320" s="384">
        <f t="shared" si="109"/>
        <v>5.2389999999999999</v>
      </c>
      <c r="Z320" s="384">
        <f t="shared" si="110"/>
        <v>5.2991265363117659</v>
      </c>
      <c r="AA320" s="385">
        <f t="shared" si="111"/>
        <v>5.4643386631446775</v>
      </c>
      <c r="AB320" s="196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3.0234606055297812E-2</v>
      </c>
      <c r="AD320" s="230">
        <f>(INDEX(Models!$BJ320:$BT320,,AH320)*(1-AF320)+INDEX(Models!$BJ320:$BT320,,AH320+1)*AF320-ERP_i)*AE320*Ramure*Pc/MaxiM</f>
        <v>1.6438915282950505E-4</v>
      </c>
      <c r="AE320" s="304">
        <f t="shared" si="113"/>
        <v>0.5</v>
      </c>
      <c r="AF320" s="176">
        <f t="shared" si="114"/>
        <v>0.13410090227289678</v>
      </c>
      <c r="AG320" s="175">
        <f t="shared" si="115"/>
        <v>0</v>
      </c>
      <c r="AH320" s="175">
        <f t="shared" si="116"/>
        <v>6</v>
      </c>
      <c r="AI320" s="224">
        <f t="shared" si="117"/>
        <v>0.13410090227289678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43772</v>
      </c>
      <c r="B321" s="616">
        <v>14.23</v>
      </c>
      <c r="C321" s="389"/>
      <c r="D321" s="392">
        <f t="shared" si="99"/>
        <v>14.393628983644534</v>
      </c>
      <c r="E321" s="384">
        <f t="shared" si="121"/>
        <v>14.842721114013534</v>
      </c>
      <c r="F321" s="384">
        <f t="shared" si="100"/>
        <v>14.843163981268308</v>
      </c>
      <c r="G321" s="110">
        <f t="shared" si="122"/>
        <v>0.42542714302070261</v>
      </c>
      <c r="H321" s="413" t="b">
        <f>Wh_hp&gt;='2018'!Maxi_hp</f>
        <v>0</v>
      </c>
      <c r="I321" s="389">
        <f>IF(H321,Wh_hp,'2018'!Maxi_hp)</f>
        <v>28.748753429905516</v>
      </c>
      <c r="J321" s="85">
        <f>IF(H321,An,'2018'!An_max)</f>
        <v>2018</v>
      </c>
      <c r="K321" s="196">
        <f t="shared" si="101"/>
        <v>43772</v>
      </c>
      <c r="L321" s="147">
        <f>IF(t&lt;Tvie,1-EXP((T0-t)*PertePVj)+'2018'!Pspv,1-EXP((T0-t)*PertePVj)+Pspv)</f>
        <v>1.1368153495582289E-2</v>
      </c>
      <c r="M321" s="847"/>
      <c r="N321" s="847"/>
      <c r="O321" s="48">
        <f>IF(t&lt;Tnet,'2018'!Resal+('2018'!Salim-'2018'!Resal)*(1-EXP(('2018'!Tnet-t)/('2018'!Tau_j))),Resal+(Salim-Resal)*(1-EXP((Tnet-t)/(Tau_j))))*Salcycl</f>
        <v>3.0256724957595238E-2</v>
      </c>
      <c r="P321" s="168">
        <f>(INDEX(Models!$BJ321:$BT321,,T321)*(1-R321)+INDEX(Models!$BJ321:$BT321,,T321+1)*R321-ERP_i)*Q321*Ramure*Pc/MaxiM</f>
        <v>1.6643796101933973E-4</v>
      </c>
      <c r="Q321" s="304">
        <f t="shared" si="102"/>
        <v>0.5</v>
      </c>
      <c r="R321" s="176">
        <f t="shared" si="103"/>
        <v>0.13413199506213275</v>
      </c>
      <c r="S321" s="814">
        <f t="shared" si="104"/>
        <v>0</v>
      </c>
      <c r="T321" s="175">
        <f t="shared" si="105"/>
        <v>6</v>
      </c>
      <c r="U321" s="250">
        <f t="shared" si="106"/>
        <v>0.13413199506213275</v>
      </c>
      <c r="V321" s="382">
        <f t="shared" si="107"/>
        <v>33.444166259378328</v>
      </c>
      <c r="W321" s="58"/>
      <c r="X321" s="157">
        <f t="shared" si="108"/>
        <v>43772</v>
      </c>
      <c r="Y321" s="384">
        <f t="shared" si="109"/>
        <v>14.23</v>
      </c>
      <c r="Z321" s="384">
        <f t="shared" si="110"/>
        <v>14.393628983644534</v>
      </c>
      <c r="AA321" s="385">
        <f t="shared" si="111"/>
        <v>14.842721114013534</v>
      </c>
      <c r="AB321" s="196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3.0256724957595238E-2</v>
      </c>
      <c r="AD321" s="230">
        <f>(INDEX(Models!$BJ321:$BT321,,AH321)*(1-AF321)+INDEX(Models!$BJ321:$BT321,,AH321+1)*AF321-ERP_i)*AE321*Ramure*Pc/MaxiM</f>
        <v>1.6643796101933973E-4</v>
      </c>
      <c r="AE321" s="304">
        <f t="shared" si="113"/>
        <v>0.5</v>
      </c>
      <c r="AF321" s="176">
        <f t="shared" si="114"/>
        <v>0.13413199506213275</v>
      </c>
      <c r="AG321" s="175">
        <f t="shared" si="115"/>
        <v>0</v>
      </c>
      <c r="AH321" s="175">
        <f t="shared" si="116"/>
        <v>6</v>
      </c>
      <c r="AI321" s="224">
        <f t="shared" si="117"/>
        <v>0.13413199506213275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43773</v>
      </c>
      <c r="B322" s="616">
        <v>13.757</v>
      </c>
      <c r="C322" s="389"/>
      <c r="D322" s="392">
        <f t="shared" si="99"/>
        <v>13.915494801071656</v>
      </c>
      <c r="E322" s="384">
        <f t="shared" si="121"/>
        <v>14.349995238812479</v>
      </c>
      <c r="F322" s="384">
        <f t="shared" si="100"/>
        <v>14.350394253202975</v>
      </c>
      <c r="G322" s="110">
        <f t="shared" si="122"/>
        <v>0.4149688965753966</v>
      </c>
      <c r="H322" s="413" t="b">
        <f>Wh_hp&gt;='2018'!Maxi_hp</f>
        <v>0</v>
      </c>
      <c r="I322" s="389">
        <f>IF(H322,Wh_hp,'2018'!Maxi_hp)</f>
        <v>22.319752291324583</v>
      </c>
      <c r="J322" s="85">
        <f>IF(H322,An,'2018'!An_max)</f>
        <v>2018</v>
      </c>
      <c r="K322" s="196">
        <f t="shared" si="101"/>
        <v>43773</v>
      </c>
      <c r="L322" s="147">
        <f>IF(t&lt;Tvie,1-EXP((T0-t)*PertePVj)+'2018'!Pspv,1-EXP((T0-t)*PertePVj)+Pspv)</f>
        <v>1.138980707027748E-2</v>
      </c>
      <c r="M322" s="847"/>
      <c r="N322" s="847"/>
      <c r="O322" s="48">
        <f>IF(t&lt;Tnet,'2018'!Resal+('2018'!Salim-'2018'!Resal)*(1-EXP(('2018'!Tnet-t)/('2018'!Tau_j))),Resal+(Salim-Resal)*(1-EXP((Tnet-t)/(Tau_j))))*Salcycl</f>
        <v>3.0278786195386962E-2</v>
      </c>
      <c r="P322" s="168">
        <f>(INDEX(Models!$BJ322:$BT322,,T322)*(1-R322)+INDEX(Models!$BJ322:$BT322,,T322+1)*R322-ERP_i)*Q322*Ramure*Pc/MaxiM</f>
        <v>1.6920795117489378E-4</v>
      </c>
      <c r="Q322" s="304">
        <f t="shared" si="102"/>
        <v>0.5</v>
      </c>
      <c r="R322" s="176">
        <f t="shared" si="103"/>
        <v>0.13416184203223613</v>
      </c>
      <c r="S322" s="814">
        <f t="shared" si="104"/>
        <v>0</v>
      </c>
      <c r="T322" s="175">
        <f t="shared" si="105"/>
        <v>6</v>
      </c>
      <c r="U322" s="250">
        <f t="shared" si="106"/>
        <v>0.13416184203223613</v>
      </c>
      <c r="V322" s="382">
        <f t="shared" si="107"/>
        <v>33.147194357541885</v>
      </c>
      <c r="W322" s="58"/>
      <c r="X322" s="157">
        <f t="shared" si="108"/>
        <v>43773</v>
      </c>
      <c r="Y322" s="384">
        <f t="shared" si="109"/>
        <v>13.757</v>
      </c>
      <c r="Z322" s="384">
        <f t="shared" si="110"/>
        <v>13.915494801071656</v>
      </c>
      <c r="AA322" s="385">
        <f t="shared" si="111"/>
        <v>14.349995238812479</v>
      </c>
      <c r="AB322" s="196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3.0278786195386962E-2</v>
      </c>
      <c r="AD322" s="230">
        <f>(INDEX(Models!$BJ322:$BT322,,AH322)*(1-AF322)+INDEX(Models!$BJ322:$BT322,,AH322+1)*AF322-ERP_i)*AE322*Ramure*Pc/MaxiM</f>
        <v>1.6920795117489378E-4</v>
      </c>
      <c r="AE322" s="304">
        <f t="shared" si="113"/>
        <v>0.5</v>
      </c>
      <c r="AF322" s="176">
        <f t="shared" si="114"/>
        <v>0.13416184203223613</v>
      </c>
      <c r="AG322" s="175">
        <f t="shared" si="115"/>
        <v>0</v>
      </c>
      <c r="AH322" s="175">
        <f t="shared" si="116"/>
        <v>6</v>
      </c>
      <c r="AI322" s="224">
        <f t="shared" si="117"/>
        <v>0.13416184203223613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43774</v>
      </c>
      <c r="B323" s="616">
        <v>13.172000000000001</v>
      </c>
      <c r="C323" s="389"/>
      <c r="D323" s="392">
        <f t="shared" si="99"/>
        <v>13.324046829709827</v>
      </c>
      <c r="E323" s="384">
        <f t="shared" si="121"/>
        <v>13.74039199761428</v>
      </c>
      <c r="F323" s="384">
        <f t="shared" si="100"/>
        <v>13.740734202893693</v>
      </c>
      <c r="G323" s="110">
        <f t="shared" si="122"/>
        <v>0.40088251299074207</v>
      </c>
      <c r="H323" s="413" t="b">
        <f>Wh_hp&gt;='2018'!Maxi_hp</f>
        <v>1</v>
      </c>
      <c r="I323" s="389">
        <f>IF(H323,Wh_hp,'2018'!Maxi_hp)</f>
        <v>13.740734202893693</v>
      </c>
      <c r="J323" s="85">
        <f>IF(H323,An,'2018'!An_max)</f>
        <v>2019</v>
      </c>
      <c r="K323" s="196">
        <f t="shared" si="101"/>
        <v>43774</v>
      </c>
      <c r="L323" s="147">
        <f>IF(t&lt;Tvie,1-EXP((T0-t)*PertePVj)+'2018'!Pspv,1-EXP((T0-t)*PertePVj)+Pspv)</f>
        <v>1.1411460170703824E-2</v>
      </c>
      <c r="M323" s="847"/>
      <c r="N323" s="847"/>
      <c r="O323" s="48">
        <f>IF(t&lt;Tnet,'2018'!Resal+('2018'!Salim-'2018'!Resal)*(1-EXP(('2018'!Tnet-t)/('2018'!Tau_j))),Resal+(Salim-Resal)*(1-EXP((Tnet-t)/(Tau_j))))*Salcycl</f>
        <v>3.03008216924773E-2</v>
      </c>
      <c r="P323" s="168">
        <f>(INDEX(Models!$BJ323:$BT323,,T323)*(1-R323)+INDEX(Models!$BJ323:$BT323,,T323+1)*R323-ERP_i)*Q323*Ramure*Pc/MaxiM</f>
        <v>1.7270458792251531E-4</v>
      </c>
      <c r="Q323" s="304">
        <f t="shared" si="102"/>
        <v>0.5</v>
      </c>
      <c r="R323" s="176">
        <f t="shared" si="103"/>
        <v>0.13419049286646978</v>
      </c>
      <c r="S323" s="814">
        <f t="shared" si="104"/>
        <v>0</v>
      </c>
      <c r="T323" s="175">
        <f t="shared" si="105"/>
        <v>6</v>
      </c>
      <c r="U323" s="250">
        <f t="shared" si="106"/>
        <v>0.13419049286646978</v>
      </c>
      <c r="V323" s="382">
        <f t="shared" si="107"/>
        <v>32.852650592567301</v>
      </c>
      <c r="W323" s="58"/>
      <c r="X323" s="157">
        <f t="shared" si="108"/>
        <v>43774</v>
      </c>
      <c r="Y323" s="384">
        <f t="shared" si="109"/>
        <v>13.172000000000001</v>
      </c>
      <c r="Z323" s="384">
        <f t="shared" si="110"/>
        <v>13.324046829709827</v>
      </c>
      <c r="AA323" s="385">
        <f t="shared" si="111"/>
        <v>13.74039199761428</v>
      </c>
      <c r="AB323" s="196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3.03008216924773E-2</v>
      </c>
      <c r="AD323" s="230">
        <f>(INDEX(Models!$BJ323:$BT323,,AH323)*(1-AF323)+INDEX(Models!$BJ323:$BT323,,AH323+1)*AF323-ERP_i)*AE323*Ramure*Pc/MaxiM</f>
        <v>1.7270458792251531E-4</v>
      </c>
      <c r="AE323" s="304">
        <f t="shared" si="113"/>
        <v>0.5</v>
      </c>
      <c r="AF323" s="176">
        <f t="shared" si="114"/>
        <v>0.13419049286646978</v>
      </c>
      <c r="AG323" s="175">
        <f t="shared" si="115"/>
        <v>0</v>
      </c>
      <c r="AH323" s="175">
        <f t="shared" si="116"/>
        <v>6</v>
      </c>
      <c r="AI323" s="224">
        <f t="shared" si="117"/>
        <v>0.13419049286646978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43775</v>
      </c>
      <c r="B324" s="616">
        <v>14.378</v>
      </c>
      <c r="C324" s="389"/>
      <c r="D324" s="392">
        <f t="shared" si="99"/>
        <v>14.544286467735635</v>
      </c>
      <c r="E324" s="384">
        <f t="shared" si="121"/>
        <v>14.999102196338866</v>
      </c>
      <c r="F324" s="384">
        <f t="shared" si="100"/>
        <v>14.999638513573254</v>
      </c>
      <c r="G324" s="110">
        <f t="shared" si="122"/>
        <v>0.44151518155660663</v>
      </c>
      <c r="H324" s="413" t="b">
        <f>Wh_hp&gt;='2018'!Maxi_hp</f>
        <v>0</v>
      </c>
      <c r="I324" s="389">
        <f>IF(H324,Wh_hp,'2018'!Maxi_hp)</f>
        <v>23.891288220345345</v>
      </c>
      <c r="J324" s="85">
        <f>IF(H324,An,'2018'!An_max)</f>
        <v>2018</v>
      </c>
      <c r="K324" s="196">
        <f t="shared" si="101"/>
        <v>43775</v>
      </c>
      <c r="L324" s="147">
        <f>IF(t&lt;Tvie,1-EXP((T0-t)*PertePVj)+'2018'!Pspv,1-EXP((T0-t)*PertePVj)+Pspv)</f>
        <v>1.1433112796871647E-2</v>
      </c>
      <c r="M324" s="847"/>
      <c r="N324" s="847"/>
      <c r="O324" s="48">
        <f>IF(t&lt;Tnet,'2018'!Resal+('2018'!Salim-'2018'!Resal)*(1-EXP(('2018'!Tnet-t)/('2018'!Tau_j))),Resal+(Salim-Resal)*(1-EXP((Tnet-t)/(Tau_j))))*Salcycl</f>
        <v>3.0322863505406757E-2</v>
      </c>
      <c r="P324" s="168">
        <f>(INDEX(Models!$BJ324:$BT324,,T324)*(1-R324)+INDEX(Models!$BJ324:$BT324,,T324+1)*R324-ERP_i)*Q324*Ramure*Pc/MaxiM</f>
        <v>1.7678478562318498E-4</v>
      </c>
      <c r="Q324" s="304">
        <f t="shared" si="102"/>
        <v>0.5</v>
      </c>
      <c r="R324" s="176">
        <f t="shared" si="103"/>
        <v>0.13421799528515133</v>
      </c>
      <c r="S324" s="814">
        <f t="shared" si="104"/>
        <v>0</v>
      </c>
      <c r="T324" s="175">
        <f t="shared" si="105"/>
        <v>6</v>
      </c>
      <c r="U324" s="250">
        <f t="shared" si="106"/>
        <v>0.13421799528515133</v>
      </c>
      <c r="V324" s="382">
        <f t="shared" si="107"/>
        <v>32.560538814315294</v>
      </c>
      <c r="W324" s="58"/>
      <c r="X324" s="157">
        <f t="shared" si="108"/>
        <v>43775</v>
      </c>
      <c r="Y324" s="384">
        <f t="shared" si="109"/>
        <v>14.378</v>
      </c>
      <c r="Z324" s="384">
        <f t="shared" si="110"/>
        <v>14.544286467735635</v>
      </c>
      <c r="AA324" s="385">
        <f t="shared" si="111"/>
        <v>14.999102196338866</v>
      </c>
      <c r="AB324" s="196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3.0322863505406757E-2</v>
      </c>
      <c r="AD324" s="230">
        <f>(INDEX(Models!$BJ324:$BT324,,AH324)*(1-AF324)+INDEX(Models!$BJ324:$BT324,,AH324+1)*AF324-ERP_i)*AE324*Ramure*Pc/MaxiM</f>
        <v>1.7678478562318498E-4</v>
      </c>
      <c r="AE324" s="304">
        <f t="shared" si="113"/>
        <v>0.5</v>
      </c>
      <c r="AF324" s="176">
        <f t="shared" si="114"/>
        <v>0.13421799528515133</v>
      </c>
      <c r="AG324" s="175">
        <f t="shared" si="115"/>
        <v>0</v>
      </c>
      <c r="AH324" s="175">
        <f t="shared" si="116"/>
        <v>6</v>
      </c>
      <c r="AI324" s="224">
        <f t="shared" si="117"/>
        <v>0.13421799528515133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43776</v>
      </c>
      <c r="B325" s="616">
        <v>4.2039999999999997</v>
      </c>
      <c r="C325" s="389"/>
      <c r="D325" s="392">
        <f t="shared" si="99"/>
        <v>4.2527138374019113</v>
      </c>
      <c r="E325" s="384">
        <f t="shared" si="121"/>
        <v>4.3858007130217258</v>
      </c>
      <c r="F325" s="384">
        <f t="shared" si="100"/>
        <v>4.3858007130217258</v>
      </c>
      <c r="G325" s="110">
        <f t="shared" si="122"/>
        <v>0.1302486960521122</v>
      </c>
      <c r="H325" s="413" t="b">
        <f>Wh_hp&gt;='2018'!Maxi_hp</f>
        <v>0</v>
      </c>
      <c r="I325" s="389">
        <f>IF(H325,Wh_hp,'2018'!Maxi_hp)</f>
        <v>11.583280193183116</v>
      </c>
      <c r="J325" s="85">
        <f>IF(H325,An,'2018'!An_max)</f>
        <v>2018</v>
      </c>
      <c r="K325" s="196">
        <f t="shared" si="101"/>
        <v>43776</v>
      </c>
      <c r="L325" s="147">
        <f>IF(t&lt;Tvie,1-EXP((T0-t)*PertePVj)+'2018'!Pspv,1-EXP((T0-t)*PertePVj)+Pspv)</f>
        <v>1.1454764948791496E-2</v>
      </c>
      <c r="M325" s="847"/>
      <c r="N325" s="847"/>
      <c r="O325" s="48">
        <f>IF(t&lt;Tnet,'2018'!Resal+('2018'!Salim-'2018'!Resal)*(1-EXP(('2018'!Tnet-t)/('2018'!Tau_j))),Resal+(Salim-Resal)*(1-EXP((Tnet-t)/(Tau_j))))*Salcycl</f>
        <v>3.0344943678054345E-2</v>
      </c>
      <c r="P325" s="168">
        <f>(INDEX(Models!$BJ325:$BT325,,T325)*(1-R325)+INDEX(Models!$BJ325:$BT325,,T325+1)*R325-ERP_i)*Q325*Ramure*Pc/MaxiM</f>
        <v>1.8117373787867596E-4</v>
      </c>
      <c r="Q325" s="304">
        <f t="shared" si="102"/>
        <v>0.5</v>
      </c>
      <c r="R325" s="176">
        <f t="shared" si="103"/>
        <v>0.13424439512175396</v>
      </c>
      <c r="S325" s="814">
        <f t="shared" si="104"/>
        <v>0</v>
      </c>
      <c r="T325" s="175">
        <f t="shared" si="105"/>
        <v>6</v>
      </c>
      <c r="U325" s="250">
        <f t="shared" si="106"/>
        <v>0.13424439512175396</v>
      </c>
      <c r="V325" s="382">
        <f t="shared" si="107"/>
        <v>32.270866987599263</v>
      </c>
      <c r="W325" s="58"/>
      <c r="X325" s="157">
        <f t="shared" si="108"/>
        <v>43776</v>
      </c>
      <c r="Y325" s="384">
        <f t="shared" si="109"/>
        <v>4.2039999999999997</v>
      </c>
      <c r="Z325" s="384">
        <f t="shared" si="110"/>
        <v>4.2527138374019113</v>
      </c>
      <c r="AA325" s="385">
        <f t="shared" si="111"/>
        <v>4.3858007130217258</v>
      </c>
      <c r="AB325" s="196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3.0344943678054345E-2</v>
      </c>
      <c r="AD325" s="230">
        <f>(INDEX(Models!$BJ325:$BT325,,AH325)*(1-AF325)+INDEX(Models!$BJ325:$BT325,,AH325+1)*AF325-ERP_i)*AE325*Ramure*Pc/MaxiM</f>
        <v>1.8117373787867596E-4</v>
      </c>
      <c r="AE325" s="304">
        <f t="shared" si="113"/>
        <v>0.5</v>
      </c>
      <c r="AF325" s="176">
        <f t="shared" si="114"/>
        <v>0.13424439512175396</v>
      </c>
      <c r="AG325" s="175">
        <f t="shared" si="115"/>
        <v>0</v>
      </c>
      <c r="AH325" s="175">
        <f t="shared" si="116"/>
        <v>6</v>
      </c>
      <c r="AI325" s="224">
        <f t="shared" si="117"/>
        <v>0.13424439512175396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43777</v>
      </c>
      <c r="B326" s="616">
        <v>16.135999999999999</v>
      </c>
      <c r="C326" s="389"/>
      <c r="D326" s="392">
        <f t="shared" si="99"/>
        <v>16.323333374539029</v>
      </c>
      <c r="E326" s="384">
        <f t="shared" si="121"/>
        <v>16.834549730242635</v>
      </c>
      <c r="F326" s="384">
        <f t="shared" si="100"/>
        <v>16.835463965728913</v>
      </c>
      <c r="G326" s="110">
        <f t="shared" si="122"/>
        <v>0.50444164387370993</v>
      </c>
      <c r="H326" s="413" t="b">
        <f>Wh_hp&gt;='2018'!Maxi_hp</f>
        <v>1</v>
      </c>
      <c r="I326" s="389">
        <f>IF(H326,Wh_hp,'2018'!Maxi_hp)</f>
        <v>16.835463965728913</v>
      </c>
      <c r="J326" s="85">
        <f>IF(H326,An,'2018'!An_max)</f>
        <v>2019</v>
      </c>
      <c r="K326" s="196">
        <f t="shared" si="101"/>
        <v>43777</v>
      </c>
      <c r="L326" s="147">
        <f>IF(t&lt;Tvie,1-EXP((T0-t)*PertePVj)+'2018'!Pspv,1-EXP((T0-t)*PertePVj)+Pspv)</f>
        <v>1.1476416626473585E-2</v>
      </c>
      <c r="M326" s="847"/>
      <c r="N326" s="847"/>
      <c r="O326" s="48">
        <f>IF(t&lt;Tnet,'2018'!Resal+('2018'!Salim-'2018'!Resal)*(1-EXP(('2018'!Tnet-t)/('2018'!Tau_j))),Resal+(Salim-Resal)*(1-EXP((Tnet-t)/(Tau_j))))*Salcycl</f>
        <v>3.0367094094903201E-2</v>
      </c>
      <c r="P326" s="168">
        <f>(INDEX(Models!$BJ326:$BT326,,T326)*(1-R326)+INDEX(Models!$BJ326:$BT326,,T326+1)*R326-ERP_i)*Q326*Ramure*Pc/MaxiM</f>
        <v>1.8587486595836127E-4</v>
      </c>
      <c r="Q326" s="304">
        <f t="shared" si="102"/>
        <v>0.5</v>
      </c>
      <c r="R326" s="176">
        <f t="shared" si="103"/>
        <v>0.13426973639617357</v>
      </c>
      <c r="S326" s="814">
        <f t="shared" si="104"/>
        <v>0</v>
      </c>
      <c r="T326" s="175">
        <f t="shared" si="105"/>
        <v>6</v>
      </c>
      <c r="U326" s="250">
        <f t="shared" si="106"/>
        <v>0.13426973639617357</v>
      </c>
      <c r="V326" s="382">
        <f t="shared" si="107"/>
        <v>31.983633896015188</v>
      </c>
      <c r="W326" s="58"/>
      <c r="X326" s="157">
        <f t="shared" si="108"/>
        <v>43777</v>
      </c>
      <c r="Y326" s="384">
        <f t="shared" si="109"/>
        <v>16.135999999999999</v>
      </c>
      <c r="Z326" s="384">
        <f t="shared" si="110"/>
        <v>16.323333374539029</v>
      </c>
      <c r="AA326" s="385">
        <f t="shared" si="111"/>
        <v>16.834549730242635</v>
      </c>
      <c r="AB326" s="196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3.0367094094903201E-2</v>
      </c>
      <c r="AD326" s="230">
        <f>(INDEX(Models!$BJ326:$BT326,,AH326)*(1-AF326)+INDEX(Models!$BJ326:$BT326,,AH326+1)*AF326-ERP_i)*AE326*Ramure*Pc/MaxiM</f>
        <v>1.8587486595836127E-4</v>
      </c>
      <c r="AE326" s="304">
        <f t="shared" si="113"/>
        <v>0.5</v>
      </c>
      <c r="AF326" s="176">
        <f t="shared" si="114"/>
        <v>0.13426973639617357</v>
      </c>
      <c r="AG326" s="175">
        <f t="shared" si="115"/>
        <v>0</v>
      </c>
      <c r="AH326" s="175">
        <f t="shared" si="116"/>
        <v>6</v>
      </c>
      <c r="AI326" s="224">
        <f t="shared" si="117"/>
        <v>0.13426973639617357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43778</v>
      </c>
      <c r="B327" s="616">
        <v>19.928000000000001</v>
      </c>
      <c r="C327" s="389"/>
      <c r="D327" s="392">
        <f t="shared" si="99"/>
        <v>20.159798733272876</v>
      </c>
      <c r="E327" s="384">
        <f t="shared" si="121"/>
        <v>20.791643178682598</v>
      </c>
      <c r="F327" s="384">
        <f t="shared" si="100"/>
        <v>20.793506863818212</v>
      </c>
      <c r="G327" s="110">
        <f t="shared" si="122"/>
        <v>0.62860290372172356</v>
      </c>
      <c r="H327" s="413" t="b">
        <f>Wh_hp&gt;='2018'!Maxi_hp</f>
        <v>1</v>
      </c>
      <c r="I327" s="389">
        <f>IF(H327,Wh_hp,'2018'!Maxi_hp)</f>
        <v>20.793506863818212</v>
      </c>
      <c r="J327" s="85">
        <f>IF(H327,An,'2018'!An_max)</f>
        <v>2019</v>
      </c>
      <c r="K327" s="196">
        <f t="shared" si="101"/>
        <v>43778</v>
      </c>
      <c r="L327" s="147">
        <f>IF(t&lt;Tvie,1-EXP((T0-t)*PertePVj)+'2018'!Pspv,1-EXP((T0-t)*PertePVj)+Pspv)</f>
        <v>1.1498067829928349E-2</v>
      </c>
      <c r="M327" s="847"/>
      <c r="N327" s="847"/>
      <c r="O327" s="48">
        <f>IF(t&lt;Tnet,'2018'!Resal+('2018'!Salim-'2018'!Resal)*(1-EXP(('2018'!Tnet-t)/('2018'!Tau_j))),Resal+(Salim-Resal)*(1-EXP((Tnet-t)/(Tau_j))))*Salcycl</f>
        <v>3.0389346333989858E-2</v>
      </c>
      <c r="P327" s="168">
        <f>(INDEX(Models!$BJ327:$BT327,,T327)*(1-R327)+INDEX(Models!$BJ327:$BT327,,T327+1)*R327-ERP_i)*Q327*Ramure*Pc/MaxiM</f>
        <v>1.9089181542243191E-4</v>
      </c>
      <c r="Q327" s="304">
        <f t="shared" si="102"/>
        <v>0.5</v>
      </c>
      <c r="R327" s="176">
        <f t="shared" si="103"/>
        <v>0.13429406138525529</v>
      </c>
      <c r="S327" s="814">
        <f t="shared" si="104"/>
        <v>0</v>
      </c>
      <c r="T327" s="175">
        <f t="shared" si="105"/>
        <v>6</v>
      </c>
      <c r="U327" s="250">
        <f t="shared" si="106"/>
        <v>0.13429406138525529</v>
      </c>
      <c r="V327" s="382">
        <f t="shared" si="107"/>
        <v>31.698838360965865</v>
      </c>
      <c r="W327" s="58"/>
      <c r="X327" s="157">
        <f t="shared" si="108"/>
        <v>43778</v>
      </c>
      <c r="Y327" s="384">
        <f t="shared" si="109"/>
        <v>19.928000000000001</v>
      </c>
      <c r="Z327" s="384">
        <f t="shared" si="110"/>
        <v>20.159798733272876</v>
      </c>
      <c r="AA327" s="385">
        <f t="shared" si="111"/>
        <v>20.791643178682598</v>
      </c>
      <c r="AB327" s="196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3.0389346333989858E-2</v>
      </c>
      <c r="AD327" s="230">
        <f>(INDEX(Models!$BJ327:$BT327,,AH327)*(1-AF327)+INDEX(Models!$BJ327:$BT327,,AH327+1)*AF327-ERP_i)*AE327*Ramure*Pc/MaxiM</f>
        <v>1.9089181542243191E-4</v>
      </c>
      <c r="AE327" s="304">
        <f t="shared" si="113"/>
        <v>0.5</v>
      </c>
      <c r="AF327" s="176">
        <f t="shared" si="114"/>
        <v>0.13429406138525529</v>
      </c>
      <c r="AG327" s="175">
        <f t="shared" si="115"/>
        <v>0</v>
      </c>
      <c r="AH327" s="175">
        <f t="shared" si="116"/>
        <v>6</v>
      </c>
      <c r="AI327" s="224">
        <f t="shared" si="117"/>
        <v>0.13429406138525529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43779</v>
      </c>
      <c r="B328" s="616">
        <v>21.117999999999999</v>
      </c>
      <c r="C328" s="389"/>
      <c r="D328" s="392">
        <f t="shared" si="99"/>
        <v>21.364108517387791</v>
      </c>
      <c r="E328" s="384">
        <f t="shared" si="121"/>
        <v>22.034206901958822</v>
      </c>
      <c r="F328" s="384">
        <f t="shared" si="100"/>
        <v>22.036506104684872</v>
      </c>
      <c r="G328" s="110">
        <f t="shared" si="122"/>
        <v>0.67213321541772353</v>
      </c>
      <c r="H328" s="413" t="b">
        <f>Wh_hp&gt;='2018'!Maxi_hp</f>
        <v>1</v>
      </c>
      <c r="I328" s="389">
        <f>IF(H328,Wh_hp,'2018'!Maxi_hp)</f>
        <v>22.036506104684872</v>
      </c>
      <c r="J328" s="85">
        <f>IF(H328,An,'2018'!An_max)</f>
        <v>2019</v>
      </c>
      <c r="K328" s="196">
        <f t="shared" si="101"/>
        <v>43779</v>
      </c>
      <c r="L328" s="147">
        <f>IF(t&lt;Tvie,1-EXP((T0-t)*PertePVj)+'2018'!Pspv,1-EXP((T0-t)*PertePVj)+Pspv)</f>
        <v>1.1519718559166225E-2</v>
      </c>
      <c r="M328" s="847"/>
      <c r="N328" s="847"/>
      <c r="O328" s="48">
        <f>IF(t&lt;Tnet,'2018'!Resal+('2018'!Salim-'2018'!Resal)*(1-EXP(('2018'!Tnet-t)/('2018'!Tau_j))),Resal+(Salim-Resal)*(1-EXP((Tnet-t)/(Tau_j))))*Salcycl</f>
        <v>3.0411731520568478E-2</v>
      </c>
      <c r="P328" s="168">
        <f>(INDEX(Models!$BJ328:$BT328,,T328)*(1-R328)+INDEX(Models!$BJ328:$BT328,,T328+1)*R328-ERP_i)*Q328*Ramure*Pc/MaxiM</f>
        <v>1.9622848143765822E-4</v>
      </c>
      <c r="Q328" s="304">
        <f t="shared" si="102"/>
        <v>0.5</v>
      </c>
      <c r="R328" s="176">
        <f t="shared" si="103"/>
        <v>0.13431741069067638</v>
      </c>
      <c r="S328" s="814">
        <f t="shared" si="104"/>
        <v>0</v>
      </c>
      <c r="T328" s="175">
        <f t="shared" si="105"/>
        <v>6</v>
      </c>
      <c r="U328" s="250">
        <f t="shared" si="106"/>
        <v>0.13431741069067638</v>
      </c>
      <c r="V328" s="382">
        <f t="shared" si="107"/>
        <v>31.41647924765719</v>
      </c>
      <c r="W328" s="58"/>
      <c r="X328" s="157">
        <f t="shared" si="108"/>
        <v>43779</v>
      </c>
      <c r="Y328" s="384">
        <f t="shared" si="109"/>
        <v>21.117999999999999</v>
      </c>
      <c r="Z328" s="384">
        <f t="shared" si="110"/>
        <v>21.364108517387791</v>
      </c>
      <c r="AA328" s="385">
        <f t="shared" si="111"/>
        <v>22.034206901958822</v>
      </c>
      <c r="AB328" s="196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3.0411731520568478E-2</v>
      </c>
      <c r="AD328" s="230">
        <f>(INDEX(Models!$BJ328:$BT328,,AH328)*(1-AF328)+INDEX(Models!$BJ328:$BT328,,AH328+1)*AF328-ERP_i)*AE328*Ramure*Pc/MaxiM</f>
        <v>1.9622848143765822E-4</v>
      </c>
      <c r="AE328" s="304">
        <f t="shared" si="113"/>
        <v>0.5</v>
      </c>
      <c r="AF328" s="176">
        <f t="shared" si="114"/>
        <v>0.13431741069067638</v>
      </c>
      <c r="AG328" s="175">
        <f t="shared" si="115"/>
        <v>0</v>
      </c>
      <c r="AH328" s="175">
        <f t="shared" si="116"/>
        <v>6</v>
      </c>
      <c r="AI328" s="224">
        <f t="shared" si="117"/>
        <v>0.13431741069067638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43780</v>
      </c>
      <c r="B329" s="616">
        <v>24.98</v>
      </c>
      <c r="C329" s="389"/>
      <c r="D329" s="392">
        <f t="shared" si="99"/>
        <v>25.271669660097754</v>
      </c>
      <c r="E329" s="384">
        <f t="shared" si="121"/>
        <v>26.064937263721777</v>
      </c>
      <c r="F329" s="384">
        <f t="shared" si="100"/>
        <v>26.068713625810158</v>
      </c>
      <c r="G329" s="110">
        <f t="shared" si="122"/>
        <v>0.8022266715964812</v>
      </c>
      <c r="H329" s="413" t="b">
        <f>Wh_hp&gt;='2018'!Maxi_hp</f>
        <v>0</v>
      </c>
      <c r="I329" s="389">
        <f>IF(H329,Wh_hp,'2018'!Maxi_hp)</f>
        <v>26.823928749005539</v>
      </c>
      <c r="J329" s="85">
        <f>IF(H329,An,'2018'!An_max)</f>
        <v>2018</v>
      </c>
      <c r="K329" s="196">
        <f t="shared" si="101"/>
        <v>43780</v>
      </c>
      <c r="L329" s="147">
        <f>IF(t&lt;Tvie,1-EXP((T0-t)*PertePVj)+'2018'!Pspv,1-EXP((T0-t)*PertePVj)+Pspv)</f>
        <v>1.1541368814197539E-2</v>
      </c>
      <c r="M329" s="847"/>
      <c r="N329" s="847"/>
      <c r="O329" s="48">
        <f>IF(t&lt;Tnet,'2018'!Resal+('2018'!Salim-'2018'!Resal)*(1-EXP(('2018'!Tnet-t)/('2018'!Tau_j))),Resal+(Salim-Resal)*(1-EXP((Tnet-t)/(Tau_j))))*Salcycl</f>
        <v>3.043428018252417E-2</v>
      </c>
      <c r="P329" s="168">
        <f>(INDEX(Models!$BJ329:$BT329,,T329)*(1-R329)+INDEX(Models!$BJ329:$BT329,,T329+1)*R329-ERP_i)*Q329*Ramure*Pc/MaxiM</f>
        <v>2.0188903307748256E-4</v>
      </c>
      <c r="Q329" s="304">
        <f t="shared" si="102"/>
        <v>0.5</v>
      </c>
      <c r="R329" s="176">
        <f t="shared" si="103"/>
        <v>0.13433982330427469</v>
      </c>
      <c r="S329" s="814">
        <f t="shared" si="104"/>
        <v>0</v>
      </c>
      <c r="T329" s="175">
        <f t="shared" si="105"/>
        <v>6</v>
      </c>
      <c r="U329" s="250">
        <f t="shared" si="106"/>
        <v>0.13433982330427469</v>
      </c>
      <c r="V329" s="382">
        <f t="shared" si="107"/>
        <v>31.136555463646875</v>
      </c>
      <c r="W329" s="58"/>
      <c r="X329" s="157">
        <f t="shared" si="108"/>
        <v>43780</v>
      </c>
      <c r="Y329" s="384">
        <f t="shared" si="109"/>
        <v>24.98</v>
      </c>
      <c r="Z329" s="384">
        <f t="shared" si="110"/>
        <v>25.271669660097754</v>
      </c>
      <c r="AA329" s="385">
        <f t="shared" si="111"/>
        <v>26.064937263721777</v>
      </c>
      <c r="AB329" s="196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3.043428018252417E-2</v>
      </c>
      <c r="AD329" s="230">
        <f>(INDEX(Models!$BJ329:$BT329,,AH329)*(1-AF329)+INDEX(Models!$BJ329:$BT329,,AH329+1)*AF329-ERP_i)*AE329*Ramure*Pc/MaxiM</f>
        <v>2.0188903307748256E-4</v>
      </c>
      <c r="AE329" s="304">
        <f t="shared" si="113"/>
        <v>0.5</v>
      </c>
      <c r="AF329" s="176">
        <f t="shared" si="114"/>
        <v>0.13433982330427469</v>
      </c>
      <c r="AG329" s="175">
        <f t="shared" si="115"/>
        <v>0</v>
      </c>
      <c r="AH329" s="175">
        <f t="shared" si="116"/>
        <v>6</v>
      </c>
      <c r="AI329" s="224">
        <f t="shared" si="117"/>
        <v>0.13433982330427469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43781</v>
      </c>
      <c r="B330" s="616">
        <v>17.945</v>
      </c>
      <c r="C330" s="389"/>
      <c r="D330" s="392">
        <f t="shared" si="99"/>
        <v>18.154925743968949</v>
      </c>
      <c r="E330" s="384">
        <f t="shared" si="121"/>
        <v>18.725240817536829</v>
      </c>
      <c r="F330" s="384">
        <f t="shared" si="100"/>
        <v>18.726806397052368</v>
      </c>
      <c r="G330" s="110">
        <f t="shared" si="122"/>
        <v>0.58144240927307245</v>
      </c>
      <c r="H330" s="413" t="b">
        <f>Wh_hp&gt;='2018'!Maxi_hp</f>
        <v>0</v>
      </c>
      <c r="I330" s="389">
        <f>IF(H330,Wh_hp,'2018'!Maxi_hp)</f>
        <v>27.427217713351663</v>
      </c>
      <c r="J330" s="85">
        <f>IF(H330,An,'2018'!An_max)</f>
        <v>2018</v>
      </c>
      <c r="K330" s="196">
        <f t="shared" si="101"/>
        <v>43781</v>
      </c>
      <c r="L330" s="147">
        <f>IF(t&lt;Tvie,1-EXP((T0-t)*PertePVj)+'2018'!Pspv,1-EXP((T0-t)*PertePVj)+Pspv)</f>
        <v>1.1563018595032615E-2</v>
      </c>
      <c r="M330" s="847"/>
      <c r="N330" s="847"/>
      <c r="O330" s="48">
        <f>IF(t&lt;Tnet,'2018'!Resal+('2018'!Salim-'2018'!Resal)*(1-EXP(('2018'!Tnet-t)/('2018'!Tau_j))),Resal+(Salim-Resal)*(1-EXP((Tnet-t)/(Tau_j))))*Salcycl</f>
        <v>3.045702210856276E-2</v>
      </c>
      <c r="P330" s="168">
        <f>(INDEX(Models!$BJ330:$BT330,,T330)*(1-R330)+INDEX(Models!$BJ330:$BT330,,T330+1)*R330-ERP_i)*Q330*Ramure*Pc/MaxiM</f>
        <v>2.0787793616965124E-4</v>
      </c>
      <c r="Q330" s="304">
        <f t="shared" si="102"/>
        <v>0.5</v>
      </c>
      <c r="R330" s="176">
        <f t="shared" si="103"/>
        <v>0.1343613366709126</v>
      </c>
      <c r="S330" s="814">
        <f t="shared" si="104"/>
        <v>0</v>
      </c>
      <c r="T330" s="175">
        <f t="shared" si="105"/>
        <v>6</v>
      </c>
      <c r="U330" s="250">
        <f t="shared" si="106"/>
        <v>0.1343613366709126</v>
      </c>
      <c r="V330" s="382">
        <f t="shared" si="107"/>
        <v>30.859065966890508</v>
      </c>
      <c r="W330" s="58"/>
      <c r="X330" s="157">
        <f t="shared" si="108"/>
        <v>43781</v>
      </c>
      <c r="Y330" s="384">
        <f t="shared" si="109"/>
        <v>17.945</v>
      </c>
      <c r="Z330" s="384">
        <f t="shared" si="110"/>
        <v>18.154925743968949</v>
      </c>
      <c r="AA330" s="385">
        <f t="shared" si="111"/>
        <v>18.725240817536829</v>
      </c>
      <c r="AB330" s="196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3.045702210856276E-2</v>
      </c>
      <c r="AD330" s="230">
        <f>(INDEX(Models!$BJ330:$BT330,,AH330)*(1-AF330)+INDEX(Models!$BJ330:$BT330,,AH330+1)*AF330-ERP_i)*AE330*Ramure*Pc/MaxiM</f>
        <v>2.0787793616965124E-4</v>
      </c>
      <c r="AE330" s="304">
        <f t="shared" si="113"/>
        <v>0.5</v>
      </c>
      <c r="AF330" s="176">
        <f t="shared" si="114"/>
        <v>0.1343613366709126</v>
      </c>
      <c r="AG330" s="175">
        <f t="shared" si="115"/>
        <v>0</v>
      </c>
      <c r="AH330" s="175">
        <f t="shared" si="116"/>
        <v>6</v>
      </c>
      <c r="AI330" s="224">
        <f t="shared" si="117"/>
        <v>0.1343613366709126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43782</v>
      </c>
      <c r="B331" s="616">
        <v>20.856999999999999</v>
      </c>
      <c r="C331" s="389"/>
      <c r="D331" s="392">
        <f t="shared" si="99"/>
        <v>21.101453329060003</v>
      </c>
      <c r="E331" s="384">
        <f t="shared" si="121"/>
        <v>21.764845520388342</v>
      </c>
      <c r="F331" s="384">
        <f t="shared" si="100"/>
        <v>21.767389932485706</v>
      </c>
      <c r="G331" s="110">
        <f t="shared" si="122"/>
        <v>0.68191637384880321</v>
      </c>
      <c r="H331" s="413" t="b">
        <f>Wh_hp&gt;='2018'!Maxi_hp</f>
        <v>1</v>
      </c>
      <c r="I331" s="389">
        <f>IF(H331,Wh_hp,'2018'!Maxi_hp)</f>
        <v>21.767389932485706</v>
      </c>
      <c r="J331" s="85">
        <f>IF(H331,An,'2018'!An_max)</f>
        <v>2019</v>
      </c>
      <c r="K331" s="196">
        <f t="shared" si="101"/>
        <v>43782</v>
      </c>
      <c r="L331" s="147">
        <f>IF(t&lt;Tvie,1-EXP((T0-t)*PertePVj)+'2018'!Pspv,1-EXP((T0-t)*PertePVj)+Pspv)</f>
        <v>1.1584667901682111E-2</v>
      </c>
      <c r="M331" s="847"/>
      <c r="N331" s="847"/>
      <c r="O331" s="48">
        <f>IF(t&lt;Tnet,'2018'!Resal+('2018'!Salim-'2018'!Resal)*(1-EXP(('2018'!Tnet-t)/('2018'!Tau_j))),Resal+(Salim-Resal)*(1-EXP((Tnet-t)/(Tau_j))))*Salcycl</f>
        <v>3.0479986210189273E-2</v>
      </c>
      <c r="P331" s="168">
        <f>(INDEX(Models!$BJ331:$BT331,,T331)*(1-R331)+INDEX(Models!$BJ331:$BT331,,T331+1)*R331-ERP_i)*Q331*Ramure*Pc/MaxiM</f>
        <v>2.1420785069457382E-4</v>
      </c>
      <c r="Q331" s="304">
        <f t="shared" si="102"/>
        <v>0.5</v>
      </c>
      <c r="R331" s="176">
        <f t="shared" si="103"/>
        <v>0.13438198674896301</v>
      </c>
      <c r="S331" s="814">
        <f t="shared" si="104"/>
        <v>0</v>
      </c>
      <c r="T331" s="175">
        <f t="shared" si="105"/>
        <v>6</v>
      </c>
      <c r="U331" s="250">
        <f t="shared" si="106"/>
        <v>0.13438198674896301</v>
      </c>
      <c r="V331" s="382">
        <f t="shared" si="107"/>
        <v>30.582884976888714</v>
      </c>
      <c r="W331" s="58"/>
      <c r="X331" s="157">
        <f t="shared" si="108"/>
        <v>43782</v>
      </c>
      <c r="Y331" s="384">
        <f t="shared" si="109"/>
        <v>20.856999999999999</v>
      </c>
      <c r="Z331" s="384">
        <f t="shared" si="110"/>
        <v>21.101453329060003</v>
      </c>
      <c r="AA331" s="385">
        <f t="shared" si="111"/>
        <v>21.764845520388342</v>
      </c>
      <c r="AB331" s="196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3.0479986210189273E-2</v>
      </c>
      <c r="AD331" s="230">
        <f>(INDEX(Models!$BJ331:$BT331,,AH331)*(1-AF331)+INDEX(Models!$BJ331:$BT331,,AH331+1)*AF331-ERP_i)*AE331*Ramure*Pc/MaxiM</f>
        <v>2.1420785069457382E-4</v>
      </c>
      <c r="AE331" s="304">
        <f t="shared" si="113"/>
        <v>0.5</v>
      </c>
      <c r="AF331" s="176">
        <f t="shared" si="114"/>
        <v>0.13438198674896301</v>
      </c>
      <c r="AG331" s="175">
        <f t="shared" si="115"/>
        <v>0</v>
      </c>
      <c r="AH331" s="175">
        <f t="shared" si="116"/>
        <v>6</v>
      </c>
      <c r="AI331" s="224">
        <f t="shared" si="117"/>
        <v>0.13438198674896301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43783</v>
      </c>
      <c r="B332" s="616">
        <v>5.3979999999999997</v>
      </c>
      <c r="C332" s="389"/>
      <c r="D332" s="392">
        <f t="shared" si="99"/>
        <v>5.4613865824839793</v>
      </c>
      <c r="E332" s="384">
        <f t="shared" si="121"/>
        <v>5.6332177524178304</v>
      </c>
      <c r="F332" s="384">
        <f t="shared" si="100"/>
        <v>5.6332177524178304</v>
      </c>
      <c r="G332" s="110">
        <f t="shared" si="122"/>
        <v>0.17806995527837752</v>
      </c>
      <c r="H332" s="413" t="b">
        <f>Wh_hp&gt;='2018'!Maxi_hp</f>
        <v>0</v>
      </c>
      <c r="I332" s="389">
        <f>IF(H332,Wh_hp,'2018'!Maxi_hp)</f>
        <v>19.58552982115441</v>
      </c>
      <c r="J332" s="85">
        <f>IF(H332,An,'2018'!An_max)</f>
        <v>2018</v>
      </c>
      <c r="K332" s="196">
        <f t="shared" si="101"/>
        <v>43783</v>
      </c>
      <c r="L332" s="147">
        <f>IF(t&lt;Tvie,1-EXP((T0-t)*PertePVj)+'2018'!Pspv,1-EXP((T0-t)*PertePVj)+Pspv)</f>
        <v>1.160631673415613E-2</v>
      </c>
      <c r="M332" s="847"/>
      <c r="N332" s="847"/>
      <c r="O332" s="48">
        <f>IF(t&lt;Tnet,'2018'!Resal+('2018'!Salim-'2018'!Resal)*(1-EXP(('2018'!Tnet-t)/('2018'!Tau_j))),Resal+(Salim-Resal)*(1-EXP((Tnet-t)/(Tau_j))))*Salcycl</f>
        <v>3.0503200388463516E-2</v>
      </c>
      <c r="P332" s="168">
        <f>(INDEX(Models!$BJ332:$BT332,,T332)*(1-R332)+INDEX(Models!$BJ332:$BT332,,T332+1)*R332-ERP_i)*Q332*Ramure*Pc/MaxiM</f>
        <v>2.2039372116119415E-4</v>
      </c>
      <c r="Q332" s="304">
        <f t="shared" si="102"/>
        <v>0.5</v>
      </c>
      <c r="R332" s="176">
        <f t="shared" si="103"/>
        <v>0.13440180806850005</v>
      </c>
      <c r="S332" s="814">
        <f t="shared" si="104"/>
        <v>0</v>
      </c>
      <c r="T332" s="175">
        <f t="shared" si="105"/>
        <v>6</v>
      </c>
      <c r="U332" s="250">
        <f t="shared" si="106"/>
        <v>0.13440180806850005</v>
      </c>
      <c r="V332" s="382">
        <f t="shared" si="107"/>
        <v>30.307248105141124</v>
      </c>
      <c r="W332" s="58"/>
      <c r="X332" s="157">
        <f t="shared" si="108"/>
        <v>43783</v>
      </c>
      <c r="Y332" s="384">
        <f t="shared" si="109"/>
        <v>5.3979999999999997</v>
      </c>
      <c r="Z332" s="384">
        <f t="shared" si="110"/>
        <v>5.4613865824839793</v>
      </c>
      <c r="AA332" s="385">
        <f t="shared" si="111"/>
        <v>5.6332177524178304</v>
      </c>
      <c r="AB332" s="196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3.0503200388463516E-2</v>
      </c>
      <c r="AD332" s="230">
        <f>(INDEX(Models!$BJ332:$BT332,,AH332)*(1-AF332)+INDEX(Models!$BJ332:$BT332,,AH332+1)*AF332-ERP_i)*AE332*Ramure*Pc/MaxiM</f>
        <v>2.2039372116119415E-4</v>
      </c>
      <c r="AE332" s="304">
        <f t="shared" si="113"/>
        <v>0.5</v>
      </c>
      <c r="AF332" s="176">
        <f t="shared" si="114"/>
        <v>0.13440180806850005</v>
      </c>
      <c r="AG332" s="175">
        <f t="shared" si="115"/>
        <v>0</v>
      </c>
      <c r="AH332" s="175">
        <f t="shared" si="116"/>
        <v>6</v>
      </c>
      <c r="AI332" s="224">
        <f t="shared" si="117"/>
        <v>0.13440180806850005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43784</v>
      </c>
      <c r="B333" s="616">
        <v>16.585000000000001</v>
      </c>
      <c r="C333" s="389"/>
      <c r="D333" s="392">
        <f t="shared" si="99"/>
        <v>16.780118633720324</v>
      </c>
      <c r="E333" s="384">
        <f t="shared" si="121"/>
        <v>17.308489553017722</v>
      </c>
      <c r="F333" s="384">
        <f t="shared" si="100"/>
        <v>17.309899080302706</v>
      </c>
      <c r="G333" s="110">
        <f t="shared" si="122"/>
        <v>0.55215180459877289</v>
      </c>
      <c r="H333" s="413" t="b">
        <f>Wh_hp&gt;='2018'!Maxi_hp</f>
        <v>0</v>
      </c>
      <c r="I333" s="389">
        <f>IF(H333,Wh_hp,'2018'!Maxi_hp)</f>
        <v>18.911723039301261</v>
      </c>
      <c r="J333" s="85">
        <f>IF(H333,An,'2018'!An_max)</f>
        <v>2018</v>
      </c>
      <c r="K333" s="196">
        <f t="shared" si="101"/>
        <v>43784</v>
      </c>
      <c r="L333" s="147">
        <f>IF(t&lt;Tvie,1-EXP((T0-t)*PertePVj)+'2018'!Pspv,1-EXP((T0-t)*PertePVj)+Pspv)</f>
        <v>1.1627965092465109E-2</v>
      </c>
      <c r="M333" s="847"/>
      <c r="N333" s="847"/>
      <c r="O333" s="48">
        <f>IF(t&lt;Tnet,'2018'!Resal+('2018'!Salim-'2018'!Resal)*(1-EXP(('2018'!Tnet-t)/('2018'!Tau_j))),Resal+(Salim-Resal)*(1-EXP((Tnet-t)/(Tau_j))))*Salcycl</f>
        <v>3.0526691406488202E-2</v>
      </c>
      <c r="P333" s="168">
        <f>(INDEX(Models!$BJ333:$BT333,,T333)*(1-R333)+INDEX(Models!$BJ333:$BT333,,T333+1)*R333-ERP_i)*Q333*Ramure*Pc/MaxiM</f>
        <v>2.2598386367792586E-4</v>
      </c>
      <c r="Q333" s="304">
        <f t="shared" si="102"/>
        <v>0.5</v>
      </c>
      <c r="R333" s="176">
        <f t="shared" si="103"/>
        <v>0.13442083378727709</v>
      </c>
      <c r="S333" s="814">
        <f t="shared" si="104"/>
        <v>0</v>
      </c>
      <c r="T333" s="175">
        <f t="shared" si="105"/>
        <v>6</v>
      </c>
      <c r="U333" s="250">
        <f t="shared" si="106"/>
        <v>0.13442083378727709</v>
      </c>
      <c r="V333" s="382">
        <f t="shared" si="107"/>
        <v>30.032687068607526</v>
      </c>
      <c r="W333" s="58"/>
      <c r="X333" s="157">
        <f t="shared" si="108"/>
        <v>43784</v>
      </c>
      <c r="Y333" s="384">
        <f t="shared" si="109"/>
        <v>16.585000000000001</v>
      </c>
      <c r="Z333" s="384">
        <f t="shared" si="110"/>
        <v>16.780118633720324</v>
      </c>
      <c r="AA333" s="385">
        <f t="shared" si="111"/>
        <v>17.308489553017722</v>
      </c>
      <c r="AB333" s="196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3.0526691406488202E-2</v>
      </c>
      <c r="AD333" s="230">
        <f>(INDEX(Models!$BJ333:$BT333,,AH333)*(1-AF333)+INDEX(Models!$BJ333:$BT333,,AH333+1)*AF333-ERP_i)*AE333*Ramure*Pc/MaxiM</f>
        <v>2.2598386367792586E-4</v>
      </c>
      <c r="AE333" s="304">
        <f t="shared" si="113"/>
        <v>0.5</v>
      </c>
      <c r="AF333" s="176">
        <f t="shared" si="114"/>
        <v>0.13442083378727709</v>
      </c>
      <c r="AG333" s="175">
        <f t="shared" si="115"/>
        <v>0</v>
      </c>
      <c r="AH333" s="175">
        <f t="shared" si="116"/>
        <v>6</v>
      </c>
      <c r="AI333" s="224">
        <f t="shared" si="117"/>
        <v>0.13442083378727709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43785</v>
      </c>
      <c r="B334" s="616">
        <v>17.052</v>
      </c>
      <c r="C334" s="389"/>
      <c r="D334" s="392">
        <f t="shared" si="99"/>
        <v>17.252990663923946</v>
      </c>
      <c r="E334" s="384">
        <f t="shared" si="121"/>
        <v>17.796688113052287</v>
      </c>
      <c r="F334" s="384">
        <f t="shared" si="100"/>
        <v>17.798291320072277</v>
      </c>
      <c r="G334" s="110">
        <f t="shared" si="122"/>
        <v>0.57290852712130058</v>
      </c>
      <c r="H334" s="413" t="b">
        <f>Wh_hp&gt;='2018'!Maxi_hp</f>
        <v>0</v>
      </c>
      <c r="I334" s="389">
        <f>IF(H334,Wh_hp,'2018'!Maxi_hp)</f>
        <v>26.916043187141536</v>
      </c>
      <c r="J334" s="85">
        <f>IF(H334,An,'2018'!An_max)</f>
        <v>2018</v>
      </c>
      <c r="K334" s="196">
        <f t="shared" si="101"/>
        <v>43785</v>
      </c>
      <c r="L334" s="147">
        <f>IF(t&lt;Tvie,1-EXP((T0-t)*PertePVj)+'2018'!Pspv,1-EXP((T0-t)*PertePVj)+Pspv)</f>
        <v>1.1649612976619594E-2</v>
      </c>
      <c r="M334" s="847"/>
      <c r="N334" s="847"/>
      <c r="O334" s="48">
        <f>IF(t&lt;Tnet,'2018'!Resal+('2018'!Salim-'2018'!Resal)*(1-EXP(('2018'!Tnet-t)/('2018'!Tau_j))),Resal+(Salim-Resal)*(1-EXP((Tnet-t)/(Tau_j))))*Salcycl</f>
        <v>3.0550484768544592E-2</v>
      </c>
      <c r="P334" s="168">
        <f>(INDEX(Models!$BJ334:$BT334,,T334)*(1-R334)+INDEX(Models!$BJ334:$BT334,,T334+1)*R334-ERP_i)*Q334*Ramure*Pc/MaxiM</f>
        <v>2.3097435440113333E-4</v>
      </c>
      <c r="Q334" s="304">
        <f t="shared" si="102"/>
        <v>0.5</v>
      </c>
      <c r="R334" s="176">
        <f t="shared" si="103"/>
        <v>0.13443909574457086</v>
      </c>
      <c r="S334" s="814">
        <f t="shared" si="104"/>
        <v>0</v>
      </c>
      <c r="T334" s="175">
        <f t="shared" si="105"/>
        <v>6</v>
      </c>
      <c r="U334" s="250">
        <f t="shared" si="106"/>
        <v>0.13443909574457086</v>
      </c>
      <c r="V334" s="382">
        <f t="shared" si="107"/>
        <v>29.759719720500179</v>
      </c>
      <c r="W334" s="58"/>
      <c r="X334" s="157">
        <f t="shared" si="108"/>
        <v>43785</v>
      </c>
      <c r="Y334" s="384">
        <f t="shared" si="109"/>
        <v>17.052</v>
      </c>
      <c r="Z334" s="384">
        <f t="shared" si="110"/>
        <v>17.252990663923946</v>
      </c>
      <c r="AA334" s="385">
        <f t="shared" si="111"/>
        <v>17.796688113052287</v>
      </c>
      <c r="AB334" s="196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3.0550484768544592E-2</v>
      </c>
      <c r="AD334" s="230">
        <f>(INDEX(Models!$BJ334:$BT334,,AH334)*(1-AF334)+INDEX(Models!$BJ334:$BT334,,AH334+1)*AF334-ERP_i)*AE334*Ramure*Pc/MaxiM</f>
        <v>2.3097435440113333E-4</v>
      </c>
      <c r="AE334" s="304">
        <f t="shared" si="113"/>
        <v>0.5</v>
      </c>
      <c r="AF334" s="176">
        <f t="shared" si="114"/>
        <v>0.13443909574457086</v>
      </c>
      <c r="AG334" s="175">
        <f t="shared" si="115"/>
        <v>0</v>
      </c>
      <c r="AH334" s="175">
        <f t="shared" si="116"/>
        <v>6</v>
      </c>
      <c r="AI334" s="224">
        <f t="shared" si="117"/>
        <v>0.13443909574457086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43786</v>
      </c>
      <c r="B335" s="616">
        <v>9.298</v>
      </c>
      <c r="C335" s="389"/>
      <c r="D335" s="392">
        <f t="shared" ref="D335:D379" si="123">Wh/(1-Ppv)</f>
        <v>9.4078008938982549</v>
      </c>
      <c r="E335" s="384">
        <f t="shared" si="121"/>
        <v>9.7045125273223043</v>
      </c>
      <c r="F335" s="384">
        <f t="shared" ref="F335:F379" si="124">Wh_sa/(1-Pvg*MEDIAN((-Sdif+Wh/Env_an)/Csdif,0,1))</f>
        <v>9.7045624684137817</v>
      </c>
      <c r="G335" s="110">
        <f t="shared" si="122"/>
        <v>0.3152328786671883</v>
      </c>
      <c r="H335" s="413" t="b">
        <f>Wh_hp&gt;='2018'!Maxi_hp</f>
        <v>0</v>
      </c>
      <c r="I335" s="389">
        <f>IF(H335,Wh_hp,'2018'!Maxi_hp)</f>
        <v>29.428386616561589</v>
      </c>
      <c r="J335" s="85">
        <f>IF(H335,An,'2018'!An_max)</f>
        <v>2018</v>
      </c>
      <c r="K335" s="196">
        <f t="shared" ref="K335:K379" si="125">t</f>
        <v>43786</v>
      </c>
      <c r="L335" s="147">
        <f>IF(t&lt;Tvie,1-EXP((T0-t)*PertePVj)+'2018'!Pspv,1-EXP((T0-t)*PertePVj)+Pspv)</f>
        <v>1.16712603866298E-2</v>
      </c>
      <c r="M335" s="847"/>
      <c r="N335" s="847"/>
      <c r="O335" s="48">
        <f>IF(t&lt;Tnet,'2018'!Resal+('2018'!Salim-'2018'!Resal)*(1-EXP(('2018'!Tnet-t)/('2018'!Tau_j))),Resal+(Salim-Resal)*(1-EXP((Tnet-t)/(Tau_j))))*Salcycl</f>
        <v>3.0574604606741461E-2</v>
      </c>
      <c r="P335" s="168">
        <f>(INDEX(Models!$BJ335:$BT335,,T335)*(1-R335)+INDEX(Models!$BJ335:$BT335,,T335+1)*R335-ERP_i)*Q335*Ramure*Pc/MaxiM</f>
        <v>2.3536047291386787E-4</v>
      </c>
      <c r="Q335" s="304">
        <f t="shared" ref="Q335:Q379" si="126">IF(OR(t&lt;Ttai,Notai),Dd+PousD*Croivg,Dens+PousD*(Croivg-Croi_tai))</f>
        <v>0.5</v>
      </c>
      <c r="R335" s="176">
        <f t="shared" ref="R335:R379" si="127">(Hp_vg-S335)/(INDEX(Echel_vg,T335+1)-S335)</f>
        <v>0.13445662451296736</v>
      </c>
      <c r="S335" s="814">
        <f t="shared" ref="S335:S379" si="128">INDEX(Echel_vg,T335)</f>
        <v>0</v>
      </c>
      <c r="T335" s="175">
        <f t="shared" ref="T335:T379" si="129">MIN(MATCH(Hp_vg,Echel_vg),10)</f>
        <v>6</v>
      </c>
      <c r="U335" s="250">
        <f t="shared" ref="U335:U379" si="130">IF(OR(t&lt;Ttai,Notai),Hdd+PousH*Croivg,Hdtf+PousH*(Croivg-Croi_tai))</f>
        <v>0.13445662451296736</v>
      </c>
      <c r="V335" s="382">
        <f t="shared" ref="V335:V379" si="131">MaxiM*(1-Ppv)*(1-Pvg)*(1-Psa)</f>
        <v>29.488863901101368</v>
      </c>
      <c r="W335" s="58"/>
      <c r="X335" s="157">
        <f t="shared" ref="X335:X379" si="132">t</f>
        <v>43786</v>
      </c>
      <c r="Y335" s="384">
        <f t="shared" ref="Y335:Y379" si="133">Wh_pvt_s*(1-Ppv)</f>
        <v>9.298</v>
      </c>
      <c r="Z335" s="384">
        <f t="shared" ref="Z335:Z379" si="134">Wh_sa_s*(1-Psa_s)</f>
        <v>9.4078008938982549</v>
      </c>
      <c r="AA335" s="385">
        <f t="shared" ref="AA335:AA379" si="135">Wh_hp*(1-Pvg_s*MEDIAN((-Sdif+Wh/Env_an)/Csdif,0,1))</f>
        <v>9.7045125273223043</v>
      </c>
      <c r="AB335" s="196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3.0574604606741461E-2</v>
      </c>
      <c r="AD335" s="230">
        <f>(INDEX(Models!$BJ335:$BT335,,AH335)*(1-AF335)+INDEX(Models!$BJ335:$BT335,,AH335+1)*AF335-ERP_i)*AE335*Ramure*Pc/MaxiM</f>
        <v>2.3536047291386787E-4</v>
      </c>
      <c r="AE335" s="304">
        <f t="shared" ref="AE335:AE379" si="137">IF(OR(t&lt;Ttai,Notai),Dd_s+PousD*Croivg,Dens_s+PousD*(Croivg-Croi_tai))</f>
        <v>0.5</v>
      </c>
      <c r="AF335" s="176">
        <f t="shared" ref="AF335:AF379" si="138">(Hp_vg_s-AG335)/(INDEX(Echel_vg,AH335+1)-AG335)</f>
        <v>0.13445662451296736</v>
      </c>
      <c r="AG335" s="175">
        <f t="shared" ref="AG335:AG379" si="139">INDEX(Echel_vg,AH335)</f>
        <v>0</v>
      </c>
      <c r="AH335" s="175">
        <f t="shared" ref="AH335:AH379" si="140">MIN(MATCH(Hp_vg_s,Echel_vg),10)</f>
        <v>6</v>
      </c>
      <c r="AI335" s="224">
        <f t="shared" ref="AI335:AI379" si="141">IF(OR(t&lt;Ttai,Notai),Hdd_s+PousH*Croivg,Hdtai_s+PousH*(Croivg-Croi_tai))</f>
        <v>0.13445662451296736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10.358000000000001</v>
      </c>
      <c r="C336" s="389"/>
      <c r="D336" s="392">
        <f t="shared" si="123"/>
        <v>10.480548077357613</v>
      </c>
      <c r="E336" s="384">
        <f t="shared" si="121"/>
        <v>10.811365856662542</v>
      </c>
      <c r="F336" s="384">
        <f t="shared" si="124"/>
        <v>10.81156706132677</v>
      </c>
      <c r="G336" s="110">
        <f t="shared" si="122"/>
        <v>0.35439732502756915</v>
      </c>
      <c r="H336" s="413" t="b">
        <f>Wh_hp&gt;='2018'!Maxi_hp</f>
        <v>0</v>
      </c>
      <c r="I336" s="389">
        <f>IF(H336,Wh_hp,'2018'!Maxi_hp)</f>
        <v>23.853363752252868</v>
      </c>
      <c r="J336" s="85">
        <f>IF(H336,An,'2018'!An_max)</f>
        <v>2018</v>
      </c>
      <c r="K336" s="196">
        <f t="shared" si="125"/>
        <v>43787</v>
      </c>
      <c r="L336" s="147">
        <f>IF(t&lt;Tvie,1-EXP((T0-t)*PertePVj)+'2018'!Pspv,1-EXP((T0-t)*PertePVj)+Pspv)</f>
        <v>1.1692907322506163E-2</v>
      </c>
      <c r="M336" s="847"/>
      <c r="N336" s="847"/>
      <c r="O336" s="48">
        <f>IF(t&lt;Tnet,'2018'!Resal+('2018'!Salim-'2018'!Resal)*(1-EXP(('2018'!Tnet-t)/('2018'!Tau_j))),Resal+(Salim-Resal)*(1-EXP((Tnet-t)/(Tau_j))))*Salcycl</f>
        <v>3.0599073575986884E-2</v>
      </c>
      <c r="P336" s="168">
        <f>(INDEX(Models!$BJ336:$BT336,,T336)*(1-R336)+INDEX(Models!$BJ336:$BT336,,T336+1)*R336-ERP_i)*Q336*Ramure*Pc/MaxiM</f>
        <v>2.3913669926788986E-4</v>
      </c>
      <c r="Q336" s="304">
        <f t="shared" si="126"/>
        <v>0.5</v>
      </c>
      <c r="R336" s="176">
        <f t="shared" si="127"/>
        <v>0.13447344944816542</v>
      </c>
      <c r="S336" s="814">
        <f t="shared" si="128"/>
        <v>0</v>
      </c>
      <c r="T336" s="175">
        <f t="shared" si="129"/>
        <v>6</v>
      </c>
      <c r="U336" s="250">
        <f t="shared" si="130"/>
        <v>0.13447344944816542</v>
      </c>
      <c r="V336" s="382">
        <f t="shared" si="131"/>
        <v>29.22063743702217</v>
      </c>
      <c r="W336" s="58"/>
      <c r="X336" s="157">
        <f t="shared" si="132"/>
        <v>43787</v>
      </c>
      <c r="Y336" s="384">
        <f t="shared" si="133"/>
        <v>10.358000000000001</v>
      </c>
      <c r="Z336" s="384">
        <f t="shared" si="134"/>
        <v>10.480548077357613</v>
      </c>
      <c r="AA336" s="385">
        <f t="shared" si="135"/>
        <v>10.811365856662542</v>
      </c>
      <c r="AB336" s="196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3.0599073575986884E-2</v>
      </c>
      <c r="AD336" s="230">
        <f>(INDEX(Models!$BJ336:$BT336,,AH336)*(1-AF336)+INDEX(Models!$BJ336:$BT336,,AH336+1)*AF336-ERP_i)*AE336*Ramure*Pc/MaxiM</f>
        <v>2.3913669926788986E-4</v>
      </c>
      <c r="AE336" s="304">
        <f t="shared" si="137"/>
        <v>0.5</v>
      </c>
      <c r="AF336" s="176">
        <f t="shared" si="138"/>
        <v>0.13447344944816542</v>
      </c>
      <c r="AG336" s="175">
        <f t="shared" si="139"/>
        <v>0</v>
      </c>
      <c r="AH336" s="175">
        <f t="shared" si="140"/>
        <v>6</v>
      </c>
      <c r="AI336" s="224">
        <f t="shared" si="141"/>
        <v>0.13447344944816542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43788</v>
      </c>
      <c r="B337" s="616">
        <v>18.384</v>
      </c>
      <c r="C337" s="389"/>
      <c r="D337" s="392">
        <f t="shared" si="123"/>
        <v>18.601913111636378</v>
      </c>
      <c r="E337" s="384">
        <f t="shared" si="121"/>
        <v>19.189572918558135</v>
      </c>
      <c r="F337" s="384">
        <f t="shared" si="124"/>
        <v>19.191797690503449</v>
      </c>
      <c r="G337" s="110">
        <f t="shared" si="122"/>
        <v>0.63482376635795323</v>
      </c>
      <c r="H337" s="413" t="b">
        <f>Wh_hp&gt;='2018'!Maxi_hp</f>
        <v>1</v>
      </c>
      <c r="I337" s="389">
        <f>IF(H337,Wh_hp,'2018'!Maxi_hp)</f>
        <v>19.191797690503449</v>
      </c>
      <c r="J337" s="85">
        <f>IF(H337,An,'2018'!An_max)</f>
        <v>2019</v>
      </c>
      <c r="K337" s="196">
        <f t="shared" si="125"/>
        <v>43788</v>
      </c>
      <c r="L337" s="147">
        <f>IF(t&lt;Tvie,1-EXP((T0-t)*PertePVj)+'2018'!Pspv,1-EXP((T0-t)*PertePVj)+Pspv)</f>
        <v>1.1714553784259119E-2</v>
      </c>
      <c r="M337" s="847"/>
      <c r="N337" s="847"/>
      <c r="O337" s="48">
        <f>IF(t&lt;Tnet,'2018'!Resal+('2018'!Salim-'2018'!Resal)*(1-EXP(('2018'!Tnet-t)/('2018'!Tau_j))),Resal+(Salim-Resal)*(1-EXP((Tnet-t)/(Tau_j))))*Salcycl</f>
        <v>3.0623912758028744E-2</v>
      </c>
      <c r="P337" s="168">
        <f>(INDEX(Models!$BJ337:$BT337,,T337)*(1-R337)+INDEX(Models!$BJ337:$BT337,,T337+1)*R337-ERP_i)*Q337*Ramure*Pc/MaxiM</f>
        <v>2.4229671930368693E-4</v>
      </c>
      <c r="Q337" s="304">
        <f t="shared" si="126"/>
        <v>0.5</v>
      </c>
      <c r="R337" s="176">
        <f t="shared" si="127"/>
        <v>0.13448959873686772</v>
      </c>
      <c r="S337" s="814">
        <f t="shared" si="128"/>
        <v>0</v>
      </c>
      <c r="T337" s="175">
        <f t="shared" si="129"/>
        <v>6</v>
      </c>
      <c r="U337" s="250">
        <f t="shared" si="130"/>
        <v>0.13448959873686772</v>
      </c>
      <c r="V337" s="382">
        <f t="shared" si="131"/>
        <v>28.955558142984874</v>
      </c>
      <c r="W337" s="58"/>
      <c r="X337" s="157">
        <f t="shared" si="132"/>
        <v>43788</v>
      </c>
      <c r="Y337" s="384">
        <f t="shared" si="133"/>
        <v>18.384</v>
      </c>
      <c r="Z337" s="384">
        <f t="shared" si="134"/>
        <v>18.601913111636378</v>
      </c>
      <c r="AA337" s="385">
        <f t="shared" si="135"/>
        <v>19.189572918558135</v>
      </c>
      <c r="AB337" s="196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3.0623912758028744E-2</v>
      </c>
      <c r="AD337" s="230">
        <f>(INDEX(Models!$BJ337:$BT337,,AH337)*(1-AF337)+INDEX(Models!$BJ337:$BT337,,AH337+1)*AF337-ERP_i)*AE337*Ramure*Pc/MaxiM</f>
        <v>2.4229671930368693E-4</v>
      </c>
      <c r="AE337" s="304">
        <f t="shared" si="137"/>
        <v>0.5</v>
      </c>
      <c r="AF337" s="176">
        <f t="shared" si="138"/>
        <v>0.13448959873686772</v>
      </c>
      <c r="AG337" s="175">
        <f t="shared" si="139"/>
        <v>0</v>
      </c>
      <c r="AH337" s="175">
        <f t="shared" si="140"/>
        <v>6</v>
      </c>
      <c r="AI337" s="224">
        <f t="shared" si="141"/>
        <v>0.13448959873686772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43789</v>
      </c>
      <c r="B338" s="616">
        <v>29.456</v>
      </c>
      <c r="C338" s="389"/>
      <c r="D338" s="392">
        <f t="shared" si="123"/>
        <v>29.805806904190224</v>
      </c>
      <c r="E338" s="384">
        <f t="shared" si="121"/>
        <v>30.748213245125747</v>
      </c>
      <c r="F338" s="384">
        <f t="shared" si="124"/>
        <v>30.755738511673645</v>
      </c>
      <c r="G338" s="110">
        <f t="shared" si="122"/>
        <v>1.0265507701303029</v>
      </c>
      <c r="H338" s="413" t="b">
        <f>Wh_hp&gt;='2018'!Maxi_hp</f>
        <v>1</v>
      </c>
      <c r="I338" s="389">
        <f>IF(H338,Wh_hp,'2018'!Maxi_hp)</f>
        <v>30.755738511673645</v>
      </c>
      <c r="J338" s="85">
        <f>IF(H338,An,'2018'!An_max)</f>
        <v>2019</v>
      </c>
      <c r="K338" s="196">
        <f t="shared" si="125"/>
        <v>43789</v>
      </c>
      <c r="L338" s="147">
        <f>IF(t&lt;Tvie,1-EXP((T0-t)*PertePVj)+'2018'!Pspv,1-EXP((T0-t)*PertePVj)+Pspv)</f>
        <v>1.1736199771898992E-2</v>
      </c>
      <c r="M338" s="847"/>
      <c r="N338" s="847"/>
      <c r="O338" s="48">
        <f>IF(t&lt;Tnet,'2018'!Resal+('2018'!Salim-'2018'!Resal)*(1-EXP(('2018'!Tnet-t)/('2018'!Tau_j))),Resal+(Salim-Resal)*(1-EXP((Tnet-t)/(Tau_j))))*Salcycl</f>
        <v>3.064914157523984E-2</v>
      </c>
      <c r="P338" s="168">
        <f>(INDEX(Models!$BJ338:$BT338,,T338)*(1-R338)+INDEX(Models!$BJ338:$BT338,,T338+1)*R338-ERP_i)*Q338*Ramure*Pc/MaxiM</f>
        <v>2.4467845391008917E-4</v>
      </c>
      <c r="Q338" s="304">
        <f t="shared" si="126"/>
        <v>0.5</v>
      </c>
      <c r="R338" s="176">
        <f t="shared" si="127"/>
        <v>0.13450509944283112</v>
      </c>
      <c r="S338" s="814">
        <f t="shared" si="128"/>
        <v>0</v>
      </c>
      <c r="T338" s="175">
        <f t="shared" si="129"/>
        <v>6</v>
      </c>
      <c r="U338" s="250">
        <f t="shared" si="130"/>
        <v>0.13450509944283112</v>
      </c>
      <c r="V338" s="382">
        <f t="shared" si="131"/>
        <v>28.694148265322589</v>
      </c>
      <c r="W338" s="58"/>
      <c r="X338" s="157">
        <f t="shared" si="132"/>
        <v>43789</v>
      </c>
      <c r="Y338" s="384">
        <f t="shared" si="133"/>
        <v>29.456</v>
      </c>
      <c r="Z338" s="384">
        <f t="shared" si="134"/>
        <v>29.805806904190224</v>
      </c>
      <c r="AA338" s="385">
        <f t="shared" si="135"/>
        <v>30.748213245125747</v>
      </c>
      <c r="AB338" s="196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3.064914157523984E-2</v>
      </c>
      <c r="AD338" s="230">
        <f>(INDEX(Models!$BJ338:$BT338,,AH338)*(1-AF338)+INDEX(Models!$BJ338:$BT338,,AH338+1)*AF338-ERP_i)*AE338*Ramure*Pc/MaxiM</f>
        <v>2.4467845391008917E-4</v>
      </c>
      <c r="AE338" s="304">
        <f t="shared" si="137"/>
        <v>0.5</v>
      </c>
      <c r="AF338" s="176">
        <f t="shared" si="138"/>
        <v>0.13450509944283112</v>
      </c>
      <c r="AG338" s="175">
        <f t="shared" si="139"/>
        <v>0</v>
      </c>
      <c r="AH338" s="175">
        <f t="shared" si="140"/>
        <v>6</v>
      </c>
      <c r="AI338" s="224">
        <f t="shared" si="141"/>
        <v>0.13450509944283112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43790</v>
      </c>
      <c r="B339" s="616">
        <v>28.007000000000001</v>
      </c>
      <c r="C339" s="389"/>
      <c r="D339" s="392">
        <f t="shared" si="123"/>
        <v>28.34021992118857</v>
      </c>
      <c r="E339" s="384">
        <f t="shared" si="121"/>
        <v>29.237060245244116</v>
      </c>
      <c r="F339" s="384">
        <f t="shared" si="124"/>
        <v>29.244111126722764</v>
      </c>
      <c r="G339" s="110">
        <f t="shared" si="122"/>
        <v>0.98487634336324814</v>
      </c>
      <c r="H339" s="413" t="b">
        <f>Wh_hp&gt;='2018'!Maxi_hp</f>
        <v>1</v>
      </c>
      <c r="I339" s="389">
        <f>IF(H339,Wh_hp,'2018'!Maxi_hp)</f>
        <v>29.244111126722764</v>
      </c>
      <c r="J339" s="85">
        <f>IF(H339,An,'2018'!An_max)</f>
        <v>2019</v>
      </c>
      <c r="K339" s="196">
        <f t="shared" si="125"/>
        <v>43790</v>
      </c>
      <c r="L339" s="147">
        <f>IF(t&lt;Tvie,1-EXP((T0-t)*PertePVj)+'2018'!Pspv,1-EXP((T0-t)*PertePVj)+Pspv)</f>
        <v>1.1757845285436108E-2</v>
      </c>
      <c r="M339" s="847"/>
      <c r="N339" s="847"/>
      <c r="O339" s="48">
        <f>IF(t&lt;Tnet,'2018'!Resal+('2018'!Salim-'2018'!Resal)*(1-EXP(('2018'!Tnet-t)/('2018'!Tau_j))),Resal+(Salim-Resal)*(1-EXP((Tnet-t)/(Tau_j))))*Salcycl</f>
        <v>3.0674777714747553E-2</v>
      </c>
      <c r="P339" s="168">
        <f>(INDEX(Models!$BJ339:$BT339,,T339)*(1-R339)+INDEX(Models!$BJ339:$BT339,,T339+1)*R339-ERP_i)*Q339*Ramure*Pc/MaxiM</f>
        <v>2.4642657385494192E-4</v>
      </c>
      <c r="Q339" s="304">
        <f t="shared" si="126"/>
        <v>0.5</v>
      </c>
      <c r="R339" s="176">
        <f t="shared" si="127"/>
        <v>0.1345199775511422</v>
      </c>
      <c r="S339" s="814">
        <f t="shared" si="128"/>
        <v>0</v>
      </c>
      <c r="T339" s="175">
        <f t="shared" si="129"/>
        <v>6</v>
      </c>
      <c r="U339" s="250">
        <f t="shared" si="130"/>
        <v>0.1345199775511422</v>
      </c>
      <c r="V339" s="382">
        <f t="shared" si="131"/>
        <v>28.436921134689435</v>
      </c>
      <c r="W339" s="58"/>
      <c r="X339" s="157">
        <f t="shared" si="132"/>
        <v>43790</v>
      </c>
      <c r="Y339" s="384">
        <f t="shared" si="133"/>
        <v>28.007000000000001</v>
      </c>
      <c r="Z339" s="384">
        <f t="shared" si="134"/>
        <v>28.34021992118857</v>
      </c>
      <c r="AA339" s="385">
        <f t="shared" si="135"/>
        <v>29.237060245244116</v>
      </c>
      <c r="AB339" s="196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3.0674777714747553E-2</v>
      </c>
      <c r="AD339" s="230">
        <f>(INDEX(Models!$BJ339:$BT339,,AH339)*(1-AF339)+INDEX(Models!$BJ339:$BT339,,AH339+1)*AF339-ERP_i)*AE339*Ramure*Pc/MaxiM</f>
        <v>2.4642657385494192E-4</v>
      </c>
      <c r="AE339" s="304">
        <f t="shared" si="137"/>
        <v>0.5</v>
      </c>
      <c r="AF339" s="176">
        <f t="shared" si="138"/>
        <v>0.1345199775511422</v>
      </c>
      <c r="AG339" s="175">
        <f t="shared" si="139"/>
        <v>0</v>
      </c>
      <c r="AH339" s="175">
        <f t="shared" si="140"/>
        <v>6</v>
      </c>
      <c r="AI339" s="224">
        <f t="shared" si="141"/>
        <v>0.1345199775511422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43791</v>
      </c>
      <c r="B340" s="616">
        <v>11.362</v>
      </c>
      <c r="C340" s="389"/>
      <c r="D340" s="392">
        <f t="shared" si="123"/>
        <v>11.497433911521728</v>
      </c>
      <c r="E340" s="384">
        <f t="shared" si="121"/>
        <v>11.861594800813902</v>
      </c>
      <c r="F340" s="384">
        <f t="shared" si="124"/>
        <v>11.862027396169836</v>
      </c>
      <c r="G340" s="110">
        <f t="shared" si="122"/>
        <v>0.40304579895425535</v>
      </c>
      <c r="H340" s="413" t="b">
        <f>Wh_hp&gt;='2018'!Maxi_hp</f>
        <v>0</v>
      </c>
      <c r="I340" s="389">
        <f>IF(H340,Wh_hp,'2018'!Maxi_hp)</f>
        <v>24.691274592990638</v>
      </c>
      <c r="J340" s="85">
        <f>IF(H340,An,'2018'!An_max)</f>
        <v>2018</v>
      </c>
      <c r="K340" s="196">
        <f t="shared" si="125"/>
        <v>43791</v>
      </c>
      <c r="L340" s="147">
        <f>IF(t&lt;Tvie,1-EXP((T0-t)*PertePVj)+'2018'!Pspv,1-EXP((T0-t)*PertePVj)+Pspv)</f>
        <v>1.1779490324881015E-2</v>
      </c>
      <c r="M340" s="847"/>
      <c r="N340" s="847"/>
      <c r="O340" s="48">
        <f>IF(t&lt;Tnet,'2018'!Resal+('2018'!Salim-'2018'!Resal)*(1-EXP(('2018'!Tnet-t)/('2018'!Tau_j))),Resal+(Salim-Resal)*(1-EXP((Tnet-t)/(Tau_j))))*Salcycl</f>
        <v>3.0700837063426571E-2</v>
      </c>
      <c r="P340" s="168">
        <f>(INDEX(Models!$BJ340:$BT340,,T340)*(1-R340)+INDEX(Models!$BJ340:$BT340,,T340+1)*R340-ERP_i)*Q340*Ramure*Pc/MaxiM</f>
        <v>2.4753249060617771E-4</v>
      </c>
      <c r="Q340" s="304">
        <f t="shared" si="126"/>
        <v>0.5</v>
      </c>
      <c r="R340" s="176">
        <f t="shared" si="127"/>
        <v>0.13453425801078334</v>
      </c>
      <c r="S340" s="814">
        <f t="shared" si="128"/>
        <v>0</v>
      </c>
      <c r="T340" s="175">
        <f t="shared" si="129"/>
        <v>6</v>
      </c>
      <c r="U340" s="250">
        <f t="shared" si="130"/>
        <v>0.13453425801078334</v>
      </c>
      <c r="V340" s="382">
        <f t="shared" si="131"/>
        <v>28.184394522289022</v>
      </c>
      <c r="W340" s="58"/>
      <c r="X340" s="157">
        <f t="shared" si="132"/>
        <v>43791</v>
      </c>
      <c r="Y340" s="384">
        <f t="shared" si="133"/>
        <v>11.362</v>
      </c>
      <c r="Z340" s="384">
        <f t="shared" si="134"/>
        <v>11.497433911521728</v>
      </c>
      <c r="AA340" s="385">
        <f t="shared" si="135"/>
        <v>11.861594800813902</v>
      </c>
      <c r="AB340" s="196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3.0700837063426571E-2</v>
      </c>
      <c r="AD340" s="230">
        <f>(INDEX(Models!$BJ340:$BT340,,AH340)*(1-AF340)+INDEX(Models!$BJ340:$BT340,,AH340+1)*AF340-ERP_i)*AE340*Ramure*Pc/MaxiM</f>
        <v>2.4753249060617771E-4</v>
      </c>
      <c r="AE340" s="304">
        <f t="shared" si="137"/>
        <v>0.5</v>
      </c>
      <c r="AF340" s="176">
        <f t="shared" si="138"/>
        <v>0.13453425801078334</v>
      </c>
      <c r="AG340" s="175">
        <f t="shared" si="139"/>
        <v>0</v>
      </c>
      <c r="AH340" s="175">
        <f t="shared" si="140"/>
        <v>6</v>
      </c>
      <c r="AI340" s="224">
        <f t="shared" si="141"/>
        <v>0.13453425801078334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43792</v>
      </c>
      <c r="B341" s="616">
        <v>6.2329999999999997</v>
      </c>
      <c r="C341" s="389"/>
      <c r="D341" s="392">
        <f t="shared" si="123"/>
        <v>6.3074348899477037</v>
      </c>
      <c r="E341" s="384">
        <f t="shared" si="121"/>
        <v>6.507389622083255</v>
      </c>
      <c r="F341" s="384">
        <f t="shared" si="124"/>
        <v>6.507389622083255</v>
      </c>
      <c r="G341" s="110">
        <f t="shared" si="122"/>
        <v>0.22305312218364065</v>
      </c>
      <c r="H341" s="413" t="b">
        <f>Wh_hp&gt;='2018'!Maxi_hp</f>
        <v>0</v>
      </c>
      <c r="I341" s="389">
        <f>IF(H341,Wh_hp,'2018'!Maxi_hp)</f>
        <v>15.470600214097756</v>
      </c>
      <c r="J341" s="85">
        <f>IF(H341,An,'2018'!An_max)</f>
        <v>2018</v>
      </c>
      <c r="K341" s="196">
        <f t="shared" si="125"/>
        <v>43792</v>
      </c>
      <c r="L341" s="147">
        <f>IF(t&lt;Tvie,1-EXP((T0-t)*PertePVj)+'2018'!Pspv,1-EXP((T0-t)*PertePVj)+Pspv)</f>
        <v>1.1801134890244036E-2</v>
      </c>
      <c r="M341" s="847"/>
      <c r="N341" s="847"/>
      <c r="O341" s="48">
        <f>IF(t&lt;Tnet,'2018'!Resal+('2018'!Salim-'2018'!Resal)*(1-EXP(('2018'!Tnet-t)/('2018'!Tau_j))),Resal+(Salim-Resal)*(1-EXP((Tnet-t)/(Tau_j))))*Salcycl</f>
        <v>3.0727333654187807E-2</v>
      </c>
      <c r="P341" s="168">
        <f>(INDEX(Models!$BJ341:$BT341,,T341)*(1-R341)+INDEX(Models!$BJ341:$BT341,,T341+1)*R341-ERP_i)*Q341*Ramure*Pc/MaxiM</f>
        <v>2.4798542408651416E-4</v>
      </c>
      <c r="Q341" s="304">
        <f t="shared" si="126"/>
        <v>0.5</v>
      </c>
      <c r="R341" s="176">
        <f t="shared" si="127"/>
        <v>0.1345479647755532</v>
      </c>
      <c r="S341" s="814">
        <f t="shared" si="128"/>
        <v>0</v>
      </c>
      <c r="T341" s="175">
        <f t="shared" si="129"/>
        <v>6</v>
      </c>
      <c r="U341" s="250">
        <f t="shared" si="130"/>
        <v>0.1345479647755532</v>
      </c>
      <c r="V341" s="382">
        <f t="shared" si="131"/>
        <v>27.93708622343911</v>
      </c>
      <c r="W341" s="58"/>
      <c r="X341" s="157">
        <f t="shared" si="132"/>
        <v>43792</v>
      </c>
      <c r="Y341" s="384">
        <f t="shared" si="133"/>
        <v>6.2329999999999997</v>
      </c>
      <c r="Z341" s="384">
        <f t="shared" si="134"/>
        <v>6.3074348899477037</v>
      </c>
      <c r="AA341" s="385">
        <f t="shared" si="135"/>
        <v>6.507389622083255</v>
      </c>
      <c r="AB341" s="196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3.0727333654187807E-2</v>
      </c>
      <c r="AD341" s="230">
        <f>(INDEX(Models!$BJ341:$BT341,,AH341)*(1-AF341)+INDEX(Models!$BJ341:$BT341,,AH341+1)*AF341-ERP_i)*AE341*Ramure*Pc/MaxiM</f>
        <v>2.4798542408651416E-4</v>
      </c>
      <c r="AE341" s="304">
        <f t="shared" si="137"/>
        <v>0.5</v>
      </c>
      <c r="AF341" s="176">
        <f t="shared" si="138"/>
        <v>0.1345479647755532</v>
      </c>
      <c r="AG341" s="175">
        <f t="shared" si="139"/>
        <v>0</v>
      </c>
      <c r="AH341" s="175">
        <f t="shared" si="140"/>
        <v>6</v>
      </c>
      <c r="AI341" s="224">
        <f t="shared" si="141"/>
        <v>0.1345479647755532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43793</v>
      </c>
      <c r="B342" s="616">
        <v>11.571</v>
      </c>
      <c r="C342" s="389"/>
      <c r="D342" s="392">
        <f t="shared" si="123"/>
        <v>11.709438098638168</v>
      </c>
      <c r="E342" s="384">
        <f t="shared" si="121"/>
        <v>12.080979933648397</v>
      </c>
      <c r="F342" s="384">
        <f t="shared" si="124"/>
        <v>12.081483666612959</v>
      </c>
      <c r="G342" s="110">
        <f t="shared" si="122"/>
        <v>0.41770719081216184</v>
      </c>
      <c r="H342" s="413" t="b">
        <f>Wh_hp&gt;='2018'!Maxi_hp</f>
        <v>0</v>
      </c>
      <c r="I342" s="389">
        <f>IF(H342,Wh_hp,'2018'!Maxi_hp)</f>
        <v>22.765089906287312</v>
      </c>
      <c r="J342" s="85">
        <f>IF(H342,An,'2018'!An_max)</f>
        <v>2018</v>
      </c>
      <c r="K342" s="196">
        <f t="shared" si="125"/>
        <v>43793</v>
      </c>
      <c r="L342" s="147">
        <f>IF(t&lt;Tvie,1-EXP((T0-t)*PertePVj)+'2018'!Pspv,1-EXP((T0-t)*PertePVj)+Pspv)</f>
        <v>1.1822778981535387E-2</v>
      </c>
      <c r="M342" s="847"/>
      <c r="N342" s="847"/>
      <c r="O342" s="48">
        <f>IF(t&lt;Tnet,'2018'!Resal+('2018'!Salim-'2018'!Resal)*(1-EXP(('2018'!Tnet-t)/('2018'!Tau_j))),Resal+(Salim-Resal)*(1-EXP((Tnet-t)/(Tau_j))))*Salcycl</f>
        <v>3.075427962390672E-2</v>
      </c>
      <c r="P342" s="168">
        <f>(INDEX(Models!$BJ342:$BT342,,T342)*(1-R342)+INDEX(Models!$BJ342:$BT342,,T342+1)*R342-ERP_i)*Q342*Ramure*Pc/MaxiM</f>
        <v>2.4777505239271559E-4</v>
      </c>
      <c r="Q342" s="304">
        <f t="shared" si="126"/>
        <v>0.5</v>
      </c>
      <c r="R342" s="176">
        <f t="shared" si="127"/>
        <v>0.13456112084340199</v>
      </c>
      <c r="S342" s="814">
        <f t="shared" si="128"/>
        <v>0</v>
      </c>
      <c r="T342" s="175">
        <f t="shared" si="129"/>
        <v>6</v>
      </c>
      <c r="U342" s="250">
        <f t="shared" si="130"/>
        <v>0.13456112084340199</v>
      </c>
      <c r="V342" s="382">
        <f t="shared" si="131"/>
        <v>27.695513983099673</v>
      </c>
      <c r="W342" s="58"/>
      <c r="X342" s="157">
        <f t="shared" si="132"/>
        <v>43793</v>
      </c>
      <c r="Y342" s="384">
        <f t="shared" si="133"/>
        <v>11.571</v>
      </c>
      <c r="Z342" s="384">
        <f t="shared" si="134"/>
        <v>11.709438098638168</v>
      </c>
      <c r="AA342" s="385">
        <f t="shared" si="135"/>
        <v>12.080979933648397</v>
      </c>
      <c r="AB342" s="196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3.075427962390672E-2</v>
      </c>
      <c r="AD342" s="230">
        <f>(INDEX(Models!$BJ342:$BT342,,AH342)*(1-AF342)+INDEX(Models!$BJ342:$BT342,,AH342+1)*AF342-ERP_i)*AE342*Ramure*Pc/MaxiM</f>
        <v>2.4777505239271559E-4</v>
      </c>
      <c r="AE342" s="304">
        <f t="shared" si="137"/>
        <v>0.5</v>
      </c>
      <c r="AF342" s="176">
        <f t="shared" si="138"/>
        <v>0.13456112084340199</v>
      </c>
      <c r="AG342" s="175">
        <f t="shared" si="139"/>
        <v>0</v>
      </c>
      <c r="AH342" s="175">
        <f t="shared" si="140"/>
        <v>6</v>
      </c>
      <c r="AI342" s="224">
        <f t="shared" si="141"/>
        <v>0.13456112084340199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43794</v>
      </c>
      <c r="B343" s="616">
        <v>12.205</v>
      </c>
      <c r="C343" s="389"/>
      <c r="D343" s="392">
        <f t="shared" si="123"/>
        <v>12.351293945127669</v>
      </c>
      <c r="E343" s="384">
        <f t="shared" si="121"/>
        <v>12.743562266941712</v>
      </c>
      <c r="F343" s="384">
        <f t="shared" si="124"/>
        <v>12.744211609514938</v>
      </c>
      <c r="G343" s="110">
        <f t="shared" si="122"/>
        <v>0.44437441967459812</v>
      </c>
      <c r="H343" s="413" t="b">
        <f>Wh_hp&gt;='2018'!Maxi_hp</f>
        <v>1</v>
      </c>
      <c r="I343" s="389">
        <f>IF(H343,Wh_hp,'2018'!Maxi_hp)</f>
        <v>12.744211609514938</v>
      </c>
      <c r="J343" s="85">
        <f>IF(H343,An,'2018'!An_max)</f>
        <v>2019</v>
      </c>
      <c r="K343" s="196">
        <f t="shared" si="125"/>
        <v>43794</v>
      </c>
      <c r="L343" s="147">
        <f>IF(t&lt;Tvie,1-EXP((T0-t)*PertePVj)+'2018'!Pspv,1-EXP((T0-t)*PertePVj)+Pspv)</f>
        <v>1.1844422598765725E-2</v>
      </c>
      <c r="M343" s="847"/>
      <c r="N343" s="847"/>
      <c r="O343" s="48">
        <f>IF(t&lt;Tnet,'2018'!Resal+('2018'!Salim-'2018'!Resal)*(1-EXP(('2018'!Tnet-t)/('2018'!Tau_j))),Resal+(Salim-Resal)*(1-EXP((Tnet-t)/(Tau_j))))*Salcycl</f>
        <v>3.0781685183242126E-2</v>
      </c>
      <c r="P343" s="168">
        <f>(INDEX(Models!$BJ343:$BT343,,T343)*(1-R343)+INDEX(Models!$BJ343:$BT343,,T343+1)*R343-ERP_i)*Q343*Ramure*Pc/MaxiM</f>
        <v>2.4689186938724997E-4</v>
      </c>
      <c r="Q343" s="304">
        <f t="shared" si="126"/>
        <v>0.5</v>
      </c>
      <c r="R343" s="176">
        <f t="shared" si="127"/>
        <v>0.1345737482942404</v>
      </c>
      <c r="S343" s="814">
        <f t="shared" si="128"/>
        <v>0</v>
      </c>
      <c r="T343" s="175">
        <f t="shared" si="129"/>
        <v>6</v>
      </c>
      <c r="U343" s="250">
        <f t="shared" si="130"/>
        <v>0.1345737482942404</v>
      </c>
      <c r="V343" s="382">
        <f t="shared" si="131"/>
        <v>27.46019548222182</v>
      </c>
      <c r="W343" s="58"/>
      <c r="X343" s="157">
        <f t="shared" si="132"/>
        <v>43794</v>
      </c>
      <c r="Y343" s="384">
        <f t="shared" si="133"/>
        <v>12.205</v>
      </c>
      <c r="Z343" s="384">
        <f t="shared" si="134"/>
        <v>12.351293945127669</v>
      </c>
      <c r="AA343" s="385">
        <f t="shared" si="135"/>
        <v>12.743562266941712</v>
      </c>
      <c r="AB343" s="196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3.0781685183242126E-2</v>
      </c>
      <c r="AD343" s="230">
        <f>(INDEX(Models!$BJ343:$BT343,,AH343)*(1-AF343)+INDEX(Models!$BJ343:$BT343,,AH343+1)*AF343-ERP_i)*AE343*Ramure*Pc/MaxiM</f>
        <v>2.4689186938724997E-4</v>
      </c>
      <c r="AE343" s="304">
        <f t="shared" si="137"/>
        <v>0.5</v>
      </c>
      <c r="AF343" s="176">
        <f t="shared" si="138"/>
        <v>0.1345737482942404</v>
      </c>
      <c r="AG343" s="175">
        <f t="shared" si="139"/>
        <v>0</v>
      </c>
      <c r="AH343" s="175">
        <f t="shared" si="140"/>
        <v>6</v>
      </c>
      <c r="AI343" s="224">
        <f t="shared" si="141"/>
        <v>0.1345737482942404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43795</v>
      </c>
      <c r="B344" s="616">
        <v>21.004999999999999</v>
      </c>
      <c r="C344" s="389"/>
      <c r="D344" s="392">
        <f t="shared" si="123"/>
        <v>21.257239805018646</v>
      </c>
      <c r="E344" s="384">
        <f t="shared" si="121"/>
        <v>21.932985404065281</v>
      </c>
      <c r="F344" s="384">
        <f t="shared" si="124"/>
        <v>21.936609119645258</v>
      </c>
      <c r="G344" s="110">
        <f t="shared" si="122"/>
        <v>0.77128333114411607</v>
      </c>
      <c r="H344" s="413" t="b">
        <f>Wh_hp&gt;='2018'!Maxi_hp</f>
        <v>1</v>
      </c>
      <c r="I344" s="389">
        <f>IF(H344,Wh_hp,'2018'!Maxi_hp)</f>
        <v>21.936609119645258</v>
      </c>
      <c r="J344" s="85">
        <f>IF(H344,An,'2018'!An_max)</f>
        <v>2019</v>
      </c>
      <c r="K344" s="196">
        <f t="shared" si="125"/>
        <v>43795</v>
      </c>
      <c r="L344" s="147">
        <f>IF(t&lt;Tvie,1-EXP((T0-t)*PertePVj)+'2018'!Pspv,1-EXP((T0-t)*PertePVj)+Pspv)</f>
        <v>1.1866065741945264E-2</v>
      </c>
      <c r="M344" s="847"/>
      <c r="N344" s="847"/>
      <c r="O344" s="48">
        <f>IF(t&lt;Tnet,'2018'!Resal+('2018'!Salim-'2018'!Resal)*(1-EXP(('2018'!Tnet-t)/('2018'!Tau_j))),Resal+(Salim-Resal)*(1-EXP((Tnet-t)/(Tau_j))))*Salcycl</f>
        <v>3.0809558598501829E-2</v>
      </c>
      <c r="P344" s="168">
        <f>(INDEX(Models!$BJ344:$BT344,,T344)*(1-R344)+INDEX(Models!$BJ344:$BT344,,T344+1)*R344-ERP_i)*Q344*Ramure*Pc/MaxiM</f>
        <v>2.4532601278144428E-4</v>
      </c>
      <c r="Q344" s="304">
        <f t="shared" si="126"/>
        <v>0.5</v>
      </c>
      <c r="R344" s="176">
        <f t="shared" si="127"/>
        <v>0.13458586832627939</v>
      </c>
      <c r="S344" s="814">
        <f t="shared" si="128"/>
        <v>0</v>
      </c>
      <c r="T344" s="175">
        <f t="shared" si="129"/>
        <v>6</v>
      </c>
      <c r="U344" s="250">
        <f t="shared" si="130"/>
        <v>0.13458586832627939</v>
      </c>
      <c r="V344" s="382">
        <f t="shared" si="131"/>
        <v>27.231648375714187</v>
      </c>
      <c r="W344" s="58"/>
      <c r="X344" s="157">
        <f t="shared" si="132"/>
        <v>43795</v>
      </c>
      <c r="Y344" s="384">
        <f t="shared" si="133"/>
        <v>21.004999999999999</v>
      </c>
      <c r="Z344" s="384">
        <f t="shared" si="134"/>
        <v>21.257239805018646</v>
      </c>
      <c r="AA344" s="385">
        <f t="shared" si="135"/>
        <v>21.932985404065281</v>
      </c>
      <c r="AB344" s="196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3.0809558598501829E-2</v>
      </c>
      <c r="AD344" s="230">
        <f>(INDEX(Models!$BJ344:$BT344,,AH344)*(1-AF344)+INDEX(Models!$BJ344:$BT344,,AH344+1)*AF344-ERP_i)*AE344*Ramure*Pc/MaxiM</f>
        <v>2.4532601278144428E-4</v>
      </c>
      <c r="AE344" s="304">
        <f t="shared" si="137"/>
        <v>0.5</v>
      </c>
      <c r="AF344" s="176">
        <f t="shared" si="138"/>
        <v>0.13458586832627939</v>
      </c>
      <c r="AG344" s="175">
        <f t="shared" si="139"/>
        <v>0</v>
      </c>
      <c r="AH344" s="175">
        <f t="shared" si="140"/>
        <v>6</v>
      </c>
      <c r="AI344" s="224">
        <f t="shared" si="141"/>
        <v>0.13458586832627939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43796</v>
      </c>
      <c r="B345" s="616">
        <v>19.971</v>
      </c>
      <c r="C345" s="389"/>
      <c r="D345" s="392">
        <f t="shared" si="123"/>
        <v>20.211265632457629</v>
      </c>
      <c r="E345" s="384">
        <f t="shared" si="121"/>
        <v>20.854370761562748</v>
      </c>
      <c r="F345" s="384">
        <f t="shared" si="124"/>
        <v>20.857554346275965</v>
      </c>
      <c r="G345" s="110">
        <f t="shared" si="122"/>
        <v>0.73943074088068472</v>
      </c>
      <c r="H345" s="413" t="b">
        <f>Wh_hp&gt;='2018'!Maxi_hp</f>
        <v>0</v>
      </c>
      <c r="I345" s="389">
        <f>IF(H345,Wh_hp,'2018'!Maxi_hp)</f>
        <v>25.74929122512259</v>
      </c>
      <c r="J345" s="85">
        <f>IF(H345,An,'2018'!An_max)</f>
        <v>2018</v>
      </c>
      <c r="K345" s="196">
        <f t="shared" si="125"/>
        <v>43796</v>
      </c>
      <c r="L345" s="147">
        <f>IF(t&lt;Tvie,1-EXP((T0-t)*PertePVj)+'2018'!Pspv,1-EXP((T0-t)*PertePVj)+Pspv)</f>
        <v>1.1887708411084441E-2</v>
      </c>
      <c r="M345" s="847"/>
      <c r="N345" s="847"/>
      <c r="O345" s="48">
        <f>IF(t&lt;Tnet,'2018'!Resal+('2018'!Salim-'2018'!Resal)*(1-EXP(('2018'!Tnet-t)/('2018'!Tau_j))),Resal+(Salim-Resal)*(1-EXP((Tnet-t)/(Tau_j))))*Salcycl</f>
        <v>3.0837906185615643E-2</v>
      </c>
      <c r="P345" s="168">
        <f>(INDEX(Models!$BJ345:$BT345,,T345)*(1-R345)+INDEX(Models!$BJ345:$BT345,,T345+1)*R345-ERP_i)*Q345*Ramure*Pc/MaxiM</f>
        <v>2.4310534396159201E-4</v>
      </c>
      <c r="Q345" s="304">
        <f t="shared" si="126"/>
        <v>0.5</v>
      </c>
      <c r="R345" s="176">
        <f t="shared" si="127"/>
        <v>0.13459750129095577</v>
      </c>
      <c r="S345" s="814">
        <f t="shared" si="128"/>
        <v>0</v>
      </c>
      <c r="T345" s="175">
        <f t="shared" si="129"/>
        <v>6</v>
      </c>
      <c r="U345" s="250">
        <f t="shared" si="130"/>
        <v>0.13459750129095577</v>
      </c>
      <c r="V345" s="382">
        <f t="shared" si="131"/>
        <v>27.006170867883462</v>
      </c>
      <c r="W345" s="58"/>
      <c r="X345" s="157">
        <f t="shared" si="132"/>
        <v>43796</v>
      </c>
      <c r="Y345" s="384">
        <f t="shared" si="133"/>
        <v>19.971</v>
      </c>
      <c r="Z345" s="384">
        <f t="shared" si="134"/>
        <v>20.211265632457629</v>
      </c>
      <c r="AA345" s="385">
        <f t="shared" si="135"/>
        <v>20.854370761562748</v>
      </c>
      <c r="AB345" s="196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3.0837906185615643E-2</v>
      </c>
      <c r="AD345" s="230">
        <f>(INDEX(Models!$BJ345:$BT345,,AH345)*(1-AF345)+INDEX(Models!$BJ345:$BT345,,AH345+1)*AF345-ERP_i)*AE345*Ramure*Pc/MaxiM</f>
        <v>2.4310534396159201E-4</v>
      </c>
      <c r="AE345" s="304">
        <f t="shared" si="137"/>
        <v>0.5</v>
      </c>
      <c r="AF345" s="176">
        <f t="shared" si="138"/>
        <v>0.13459750129095577</v>
      </c>
      <c r="AG345" s="175">
        <f t="shared" si="139"/>
        <v>0</v>
      </c>
      <c r="AH345" s="175">
        <f t="shared" si="140"/>
        <v>6</v>
      </c>
      <c r="AI345" s="224">
        <f t="shared" si="141"/>
        <v>0.13459750129095577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43797</v>
      </c>
      <c r="B346" s="616">
        <v>9.4770000000000003</v>
      </c>
      <c r="C346" s="389"/>
      <c r="D346" s="392">
        <f t="shared" si="123"/>
        <v>9.5912252644169236</v>
      </c>
      <c r="E346" s="384">
        <f t="shared" si="121"/>
        <v>9.8967041832538385</v>
      </c>
      <c r="F346" s="384">
        <f t="shared" si="124"/>
        <v>9.8968872525576703</v>
      </c>
      <c r="G346" s="110">
        <f t="shared" si="122"/>
        <v>0.35379688916984237</v>
      </c>
      <c r="H346" s="413" t="b">
        <f>Wh_hp&gt;='2018'!Maxi_hp</f>
        <v>0</v>
      </c>
      <c r="I346" s="389">
        <f>IF(H346,Wh_hp,'2018'!Maxi_hp)</f>
        <v>19.489438693359329</v>
      </c>
      <c r="J346" s="85">
        <f>IF(H346,An,'2018'!An_max)</f>
        <v>2018</v>
      </c>
      <c r="K346" s="196">
        <f t="shared" si="125"/>
        <v>43797</v>
      </c>
      <c r="L346" s="147">
        <f>IF(t&lt;Tvie,1-EXP((T0-t)*PertePVj)+'2018'!Pspv,1-EXP((T0-t)*PertePVj)+Pspv)</f>
        <v>1.1909350606193581E-2</v>
      </c>
      <c r="M346" s="847"/>
      <c r="N346" s="847"/>
      <c r="O346" s="48">
        <f>IF(t&lt;Tnet,'2018'!Resal+('2018'!Salim-'2018'!Resal)*(1-EXP(('2018'!Tnet-t)/('2018'!Tau_j))),Resal+(Salim-Resal)*(1-EXP((Tnet-t)/(Tau_j))))*Salcycl</f>
        <v>3.0866732316179986E-2</v>
      </c>
      <c r="P346" s="168">
        <f>(INDEX(Models!$BJ346:$BT346,,T346)*(1-R346)+INDEX(Models!$BJ346:$BT346,,T346+1)*R346-ERP_i)*Q346*Ramure*Pc/MaxiM</f>
        <v>2.4033912801633468E-4</v>
      </c>
      <c r="Q346" s="304">
        <f t="shared" si="126"/>
        <v>0.5</v>
      </c>
      <c r="R346" s="176">
        <f t="shared" si="127"/>
        <v>0.13460866672649657</v>
      </c>
      <c r="S346" s="814">
        <f t="shared" si="128"/>
        <v>0</v>
      </c>
      <c r="T346" s="175">
        <f t="shared" si="129"/>
        <v>6</v>
      </c>
      <c r="U346" s="250">
        <f t="shared" si="130"/>
        <v>0.13460866672649657</v>
      </c>
      <c r="V346" s="382">
        <f t="shared" si="131"/>
        <v>26.780613000289549</v>
      </c>
      <c r="W346" s="58"/>
      <c r="X346" s="157">
        <f t="shared" si="132"/>
        <v>43797</v>
      </c>
      <c r="Y346" s="384">
        <f t="shared" si="133"/>
        <v>9.4770000000000003</v>
      </c>
      <c r="Z346" s="384">
        <f t="shared" si="134"/>
        <v>9.5912252644169236</v>
      </c>
      <c r="AA346" s="385">
        <f t="shared" si="135"/>
        <v>9.8967041832538385</v>
      </c>
      <c r="AB346" s="196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3.0866732316179986E-2</v>
      </c>
      <c r="AD346" s="230">
        <f>(INDEX(Models!$BJ346:$BT346,,AH346)*(1-AF346)+INDEX(Models!$BJ346:$BT346,,AH346+1)*AF346-ERP_i)*AE346*Ramure*Pc/MaxiM</f>
        <v>2.4033912801633468E-4</v>
      </c>
      <c r="AE346" s="304">
        <f t="shared" si="137"/>
        <v>0.5</v>
      </c>
      <c r="AF346" s="176">
        <f t="shared" si="138"/>
        <v>0.13460866672649657</v>
      </c>
      <c r="AG346" s="175">
        <f t="shared" si="139"/>
        <v>0</v>
      </c>
      <c r="AH346" s="175">
        <f t="shared" si="140"/>
        <v>6</v>
      </c>
      <c r="AI346" s="224">
        <f t="shared" si="141"/>
        <v>0.13460866672649657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43798</v>
      </c>
      <c r="B347" s="616">
        <v>17.581</v>
      </c>
      <c r="C347" s="389"/>
      <c r="D347" s="392">
        <f t="shared" si="123"/>
        <v>17.793291625865308</v>
      </c>
      <c r="E347" s="384">
        <f t="shared" si="121"/>
        <v>18.360560218430763</v>
      </c>
      <c r="F347" s="384">
        <f t="shared" si="124"/>
        <v>18.362815997987497</v>
      </c>
      <c r="G347" s="110">
        <f t="shared" si="122"/>
        <v>0.661951290345836</v>
      </c>
      <c r="H347" s="413" t="b">
        <f>Wh_hp&gt;='2018'!Maxi_hp</f>
        <v>0</v>
      </c>
      <c r="I347" s="389">
        <f>IF(H347,Wh_hp,'2018'!Maxi_hp)</f>
        <v>27.334557288633277</v>
      </c>
      <c r="J347" s="85">
        <f>IF(H347,An,'2018'!An_max)</f>
        <v>2018</v>
      </c>
      <c r="K347" s="196">
        <f t="shared" si="125"/>
        <v>43798</v>
      </c>
      <c r="L347" s="147">
        <f>IF(t&lt;Tvie,1-EXP((T0-t)*PertePVj)+'2018'!Pspv,1-EXP((T0-t)*PertePVj)+Pspv)</f>
        <v>1.1930992327283008E-2</v>
      </c>
      <c r="M347" s="847"/>
      <c r="N347" s="847"/>
      <c r="O347" s="48">
        <f>IF(t&lt;Tnet,'2018'!Resal+('2018'!Salim-'2018'!Resal)*(1-EXP(('2018'!Tnet-t)/('2018'!Tau_j))),Resal+(Salim-Resal)*(1-EXP((Tnet-t)/(Tau_j))))*Salcycl</f>
        <v>3.0896039435442661E-2</v>
      </c>
      <c r="P347" s="168">
        <f>(INDEX(Models!$BJ347:$BT347,,T347)*(1-R347)+INDEX(Models!$BJ347:$BT347,,T347+1)*R347-ERP_i)*Q347*Ramure*Pc/MaxiM</f>
        <v>2.3752765730830261E-4</v>
      </c>
      <c r="Q347" s="304">
        <f t="shared" si="126"/>
        <v>0.5</v>
      </c>
      <c r="R347" s="176">
        <f t="shared" si="127"/>
        <v>0.1346193833901741</v>
      </c>
      <c r="S347" s="814">
        <f t="shared" si="128"/>
        <v>0</v>
      </c>
      <c r="T347" s="175">
        <f t="shared" si="129"/>
        <v>6</v>
      </c>
      <c r="U347" s="250">
        <f t="shared" si="130"/>
        <v>0.1346193833901741</v>
      </c>
      <c r="V347" s="382">
        <f t="shared" si="131"/>
        <v>26.556309765258916</v>
      </c>
      <c r="W347" s="58"/>
      <c r="X347" s="157">
        <f t="shared" si="132"/>
        <v>43798</v>
      </c>
      <c r="Y347" s="384">
        <f t="shared" si="133"/>
        <v>17.581</v>
      </c>
      <c r="Z347" s="384">
        <f t="shared" si="134"/>
        <v>17.793291625865308</v>
      </c>
      <c r="AA347" s="385">
        <f t="shared" si="135"/>
        <v>18.360560218430763</v>
      </c>
      <c r="AB347" s="196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3.0896039435442661E-2</v>
      </c>
      <c r="AD347" s="230">
        <f>(INDEX(Models!$BJ347:$BT347,,AH347)*(1-AF347)+INDEX(Models!$BJ347:$BT347,,AH347+1)*AF347-ERP_i)*AE347*Ramure*Pc/MaxiM</f>
        <v>2.3752765730830261E-4</v>
      </c>
      <c r="AE347" s="304">
        <f t="shared" si="137"/>
        <v>0.5</v>
      </c>
      <c r="AF347" s="176">
        <f t="shared" si="138"/>
        <v>0.1346193833901741</v>
      </c>
      <c r="AG347" s="175">
        <f t="shared" si="139"/>
        <v>0</v>
      </c>
      <c r="AH347" s="175">
        <f t="shared" si="140"/>
        <v>6</v>
      </c>
      <c r="AI347" s="224">
        <f t="shared" si="141"/>
        <v>0.1346193833901741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43799</v>
      </c>
      <c r="B348" s="616">
        <v>13.851000000000001</v>
      </c>
      <c r="C348" s="389"/>
      <c r="D348" s="392">
        <f t="shared" si="123"/>
        <v>14.018558695325938</v>
      </c>
      <c r="E348" s="384">
        <f t="shared" si="121"/>
        <v>14.465929545645583</v>
      </c>
      <c r="F348" s="384">
        <f t="shared" si="124"/>
        <v>14.46702539434736</v>
      </c>
      <c r="G348" s="110">
        <f t="shared" si="122"/>
        <v>0.52587825758369622</v>
      </c>
      <c r="H348" s="413" t="b">
        <f>Wh_hp&gt;='2018'!Maxi_hp</f>
        <v>1</v>
      </c>
      <c r="I348" s="389">
        <f>IF(H348,Wh_hp,'2018'!Maxi_hp)</f>
        <v>14.46702539434736</v>
      </c>
      <c r="J348" s="85">
        <f>IF(H348,An,'2018'!An_max)</f>
        <v>2019</v>
      </c>
      <c r="K348" s="196">
        <f t="shared" si="125"/>
        <v>43799</v>
      </c>
      <c r="L348" s="147">
        <f>IF(t&lt;Tvie,1-EXP((T0-t)*PertePVj)+'2018'!Pspv,1-EXP((T0-t)*PertePVj)+Pspv)</f>
        <v>1.195263357436338E-2</v>
      </c>
      <c r="M348" s="847"/>
      <c r="N348" s="847"/>
      <c r="O348" s="48">
        <f>IF(t&lt;Tnet,'2018'!Resal+('2018'!Salim-'2018'!Resal)*(1-EXP(('2018'!Tnet-t)/('2018'!Tau_j))),Resal+(Salim-Resal)*(1-EXP((Tnet-t)/(Tau_j))))*Salcycl</f>
        <v>3.0925828092001825E-2</v>
      </c>
      <c r="P348" s="168">
        <f>(INDEX(Models!$BJ348:$BT348,,T348)*(1-R348)+INDEX(Models!$BJ348:$BT348,,T348+1)*R348-ERP_i)*Q348*Ramure*Pc/MaxiM</f>
        <v>2.3465741552439412E-4</v>
      </c>
      <c r="Q348" s="304">
        <f t="shared" si="126"/>
        <v>0.5</v>
      </c>
      <c r="R348" s="176">
        <f t="shared" si="127"/>
        <v>0.13462966928929954</v>
      </c>
      <c r="S348" s="814">
        <f t="shared" si="128"/>
        <v>0</v>
      </c>
      <c r="T348" s="175">
        <f t="shared" si="129"/>
        <v>6</v>
      </c>
      <c r="U348" s="250">
        <f t="shared" si="130"/>
        <v>0.13462966928929954</v>
      </c>
      <c r="V348" s="382">
        <f t="shared" si="131"/>
        <v>26.334609920977496</v>
      </c>
      <c r="W348" s="58"/>
      <c r="X348" s="157">
        <f t="shared" si="132"/>
        <v>43799</v>
      </c>
      <c r="Y348" s="384">
        <f t="shared" si="133"/>
        <v>13.851000000000001</v>
      </c>
      <c r="Z348" s="384">
        <f t="shared" si="134"/>
        <v>14.018558695325938</v>
      </c>
      <c r="AA348" s="385">
        <f t="shared" si="135"/>
        <v>14.465929545645583</v>
      </c>
      <c r="AB348" s="196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3.0925828092001825E-2</v>
      </c>
      <c r="AD348" s="230">
        <f>(INDEX(Models!$BJ348:$BT348,,AH348)*(1-AF348)+INDEX(Models!$BJ348:$BT348,,AH348+1)*AF348-ERP_i)*AE348*Ramure*Pc/MaxiM</f>
        <v>2.3465741552439412E-4</v>
      </c>
      <c r="AE348" s="304">
        <f t="shared" si="137"/>
        <v>0.5</v>
      </c>
      <c r="AF348" s="176">
        <f t="shared" si="138"/>
        <v>0.13462966928929954</v>
      </c>
      <c r="AG348" s="175">
        <f t="shared" si="139"/>
        <v>0</v>
      </c>
      <c r="AH348" s="175">
        <f t="shared" si="140"/>
        <v>6</v>
      </c>
      <c r="AI348" s="224">
        <f t="shared" si="141"/>
        <v>0.13462966928929954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43800</v>
      </c>
      <c r="B349" s="616">
        <v>7.9370000000000003</v>
      </c>
      <c r="C349" s="389"/>
      <c r="D349" s="392">
        <f t="shared" si="123"/>
        <v>8.0331916405900259</v>
      </c>
      <c r="E349" s="384">
        <f t="shared" si="121"/>
        <v>8.2898118604798832</v>
      </c>
      <c r="F349" s="384">
        <f t="shared" si="124"/>
        <v>8.2898225714909497</v>
      </c>
      <c r="G349" s="110">
        <f t="shared" si="122"/>
        <v>0.30383325279657497</v>
      </c>
      <c r="H349" s="413" t="b">
        <f>Wh_hp&gt;='2018'!Maxi_hp</f>
        <v>0</v>
      </c>
      <c r="I349" s="389">
        <f>IF(H349,Wh_hp,'2018'!Maxi_hp)</f>
        <v>19.764583319010047</v>
      </c>
      <c r="J349" s="85">
        <f>IF(H349,An,'2018'!An_max)</f>
        <v>2018</v>
      </c>
      <c r="K349" s="196">
        <f t="shared" si="125"/>
        <v>43800</v>
      </c>
      <c r="L349" s="147">
        <f>IF(t&lt;Tvie,1-EXP((T0-t)*PertePVj)+'2018'!Pspv,1-EXP((T0-t)*PertePVj)+Pspv)</f>
        <v>1.1974274347444802E-2</v>
      </c>
      <c r="M349" s="847"/>
      <c r="N349" s="847"/>
      <c r="O349" s="48">
        <f>IF(t&lt;Tnet,'2018'!Resal+('2018'!Salim-'2018'!Resal)*(1-EXP(('2018'!Tnet-t)/('2018'!Tau_j))),Resal+(Salim-Resal)*(1-EXP((Tnet-t)/(Tau_j))))*Salcycl</f>
        <v>3.0956096978900817E-2</v>
      </c>
      <c r="P349" s="168">
        <f>(INDEX(Models!$BJ349:$BT349,,T349)*(1-R349)+INDEX(Models!$BJ349:$BT349,,T349+1)*R349-ERP_i)*Q349*Ramure*Pc/MaxiM</f>
        <v>2.3171474312752601E-4</v>
      </c>
      <c r="Q349" s="304">
        <f t="shared" si="126"/>
        <v>0.5</v>
      </c>
      <c r="R349" s="176">
        <f t="shared" si="127"/>
        <v>0.13463954171100484</v>
      </c>
      <c r="S349" s="814">
        <f t="shared" si="128"/>
        <v>0</v>
      </c>
      <c r="T349" s="175">
        <f t="shared" si="129"/>
        <v>6</v>
      </c>
      <c r="U349" s="250">
        <f t="shared" si="130"/>
        <v>0.13463954171100484</v>
      </c>
      <c r="V349" s="382">
        <f t="shared" si="131"/>
        <v>26.116861995267051</v>
      </c>
      <c r="W349" s="58"/>
      <c r="X349" s="157">
        <f t="shared" si="132"/>
        <v>43800</v>
      </c>
      <c r="Y349" s="384">
        <f t="shared" si="133"/>
        <v>7.9370000000000003</v>
      </c>
      <c r="Z349" s="384">
        <f t="shared" si="134"/>
        <v>8.0331916405900259</v>
      </c>
      <c r="AA349" s="385">
        <f t="shared" si="135"/>
        <v>8.2898118604798832</v>
      </c>
      <c r="AB349" s="196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3.0956096978900817E-2</v>
      </c>
      <c r="AD349" s="230">
        <f>(INDEX(Models!$BJ349:$BT349,,AH349)*(1-AF349)+INDEX(Models!$BJ349:$BT349,,AH349+1)*AF349-ERP_i)*AE349*Ramure*Pc/MaxiM</f>
        <v>2.3171474312752601E-4</v>
      </c>
      <c r="AE349" s="304">
        <f t="shared" si="137"/>
        <v>0.5</v>
      </c>
      <c r="AF349" s="176">
        <f t="shared" si="138"/>
        <v>0.13463954171100484</v>
      </c>
      <c r="AG349" s="175">
        <f t="shared" si="139"/>
        <v>0</v>
      </c>
      <c r="AH349" s="175">
        <f t="shared" si="140"/>
        <v>6</v>
      </c>
      <c r="AI349" s="224">
        <f t="shared" si="141"/>
        <v>0.13463954171100484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43801</v>
      </c>
      <c r="B350" s="616">
        <v>3.4670000000000001</v>
      </c>
      <c r="C350" s="389"/>
      <c r="D350" s="392">
        <f t="shared" si="123"/>
        <v>3.5090948017281405</v>
      </c>
      <c r="E350" s="384">
        <f t="shared" si="121"/>
        <v>3.621307694665695</v>
      </c>
      <c r="F350" s="384">
        <f t="shared" si="124"/>
        <v>3.621307694665695</v>
      </c>
      <c r="G350" s="110">
        <f t="shared" si="122"/>
        <v>0.13380758619190702</v>
      </c>
      <c r="H350" s="413" t="b">
        <f>Wh_hp&gt;='2018'!Maxi_hp</f>
        <v>0</v>
      </c>
      <c r="I350" s="389">
        <f>IF(H350,Wh_hp,'2018'!Maxi_hp)</f>
        <v>8.101979012843012</v>
      </c>
      <c r="J350" s="85">
        <f>IF(H350,An,'2018'!An_max)</f>
        <v>2018</v>
      </c>
      <c r="K350" s="196">
        <f t="shared" si="125"/>
        <v>43801</v>
      </c>
      <c r="L350" s="147">
        <f>IF(t&lt;Tvie,1-EXP((T0-t)*PertePVj)+'2018'!Pspv,1-EXP((T0-t)*PertePVj)+Pspv)</f>
        <v>1.199591464653782E-2</v>
      </c>
      <c r="M350" s="847"/>
      <c r="N350" s="847"/>
      <c r="O350" s="48">
        <f>IF(t&lt;Tnet,'2018'!Resal+('2018'!Salim-'2018'!Resal)*(1-EXP(('2018'!Tnet-t)/('2018'!Tau_j))),Resal+(Salim-Resal)*(1-EXP((Tnet-t)/(Tau_j))))*Salcycl</f>
        <v>3.0986842985711433E-2</v>
      </c>
      <c r="P350" s="168">
        <f>(INDEX(Models!$BJ350:$BT350,,T350)*(1-R350)+INDEX(Models!$BJ350:$BT350,,T350+1)*R350-ERP_i)*Q350*Ramure*Pc/MaxiM</f>
        <v>2.2868590463682225E-4</v>
      </c>
      <c r="Q350" s="304">
        <f t="shared" si="126"/>
        <v>0.5</v>
      </c>
      <c r="R350" s="176">
        <f t="shared" si="127"/>
        <v>0.13464901725085798</v>
      </c>
      <c r="S350" s="814">
        <f t="shared" si="128"/>
        <v>0</v>
      </c>
      <c r="T350" s="175">
        <f t="shared" si="129"/>
        <v>6</v>
      </c>
      <c r="U350" s="250">
        <f t="shared" si="130"/>
        <v>0.13464901725085798</v>
      </c>
      <c r="V350" s="382">
        <f t="shared" si="131"/>
        <v>25.904414275864639</v>
      </c>
      <c r="W350" s="58"/>
      <c r="X350" s="157">
        <f t="shared" si="132"/>
        <v>43801</v>
      </c>
      <c r="Y350" s="384">
        <f t="shared" si="133"/>
        <v>3.4670000000000001</v>
      </c>
      <c r="Z350" s="384">
        <f t="shared" si="134"/>
        <v>3.5090948017281405</v>
      </c>
      <c r="AA350" s="385">
        <f t="shared" si="135"/>
        <v>3.621307694665695</v>
      </c>
      <c r="AB350" s="196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3.0986842985711433E-2</v>
      </c>
      <c r="AD350" s="230">
        <f>(INDEX(Models!$BJ350:$BT350,,AH350)*(1-AF350)+INDEX(Models!$BJ350:$BT350,,AH350+1)*AF350-ERP_i)*AE350*Ramure*Pc/MaxiM</f>
        <v>2.2868590463682225E-4</v>
      </c>
      <c r="AE350" s="304">
        <f t="shared" si="137"/>
        <v>0.5</v>
      </c>
      <c r="AF350" s="176">
        <f t="shared" si="138"/>
        <v>0.13464901725085798</v>
      </c>
      <c r="AG350" s="175">
        <f t="shared" si="139"/>
        <v>0</v>
      </c>
      <c r="AH350" s="175">
        <f t="shared" si="140"/>
        <v>6</v>
      </c>
      <c r="AI350" s="224">
        <f t="shared" si="141"/>
        <v>0.13464901725085798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43802</v>
      </c>
      <c r="B351" s="616">
        <v>3.7970000000000002</v>
      </c>
      <c r="C351" s="389"/>
      <c r="D351" s="392">
        <f t="shared" si="123"/>
        <v>3.8431856934152946</v>
      </c>
      <c r="E351" s="384">
        <f t="shared" si="121"/>
        <v>3.9662098329893865</v>
      </c>
      <c r="F351" s="384">
        <f t="shared" si="124"/>
        <v>3.9662098329893865</v>
      </c>
      <c r="G351" s="110">
        <f t="shared" si="122"/>
        <v>0.14771782798556776</v>
      </c>
      <c r="H351" s="413" t="b">
        <f>Wh_hp&gt;='2018'!Maxi_hp</f>
        <v>0</v>
      </c>
      <c r="I351" s="389">
        <f>IF(H351,Wh_hp,'2018'!Maxi_hp)</f>
        <v>9.7704257950431224</v>
      </c>
      <c r="J351" s="85">
        <f>IF(H351,An,'2018'!An_max)</f>
        <v>2018</v>
      </c>
      <c r="K351" s="196">
        <f t="shared" si="125"/>
        <v>43802</v>
      </c>
      <c r="L351" s="147">
        <f>IF(t&lt;Tvie,1-EXP((T0-t)*PertePVj)+'2018'!Pspv,1-EXP((T0-t)*PertePVj)+Pspv)</f>
        <v>1.2017554471652647E-2</v>
      </c>
      <c r="M351" s="847"/>
      <c r="N351" s="847"/>
      <c r="O351" s="48">
        <f>IF(t&lt;Tnet,'2018'!Resal+('2018'!Salim-'2018'!Resal)*(1-EXP(('2018'!Tnet-t)/('2018'!Tau_j))),Resal+(Salim-Resal)*(1-EXP((Tnet-t)/(Tau_j))))*Salcycl</f>
        <v>3.1018061261112631E-2</v>
      </c>
      <c r="P351" s="168">
        <f>(INDEX(Models!$BJ351:$BT351,,T351)*(1-R351)+INDEX(Models!$BJ351:$BT351,,T351+1)*R351-ERP_i)*Q351*Ramure*Pc/MaxiM</f>
        <v>2.2555717498881441E-4</v>
      </c>
      <c r="Q351" s="304">
        <f t="shared" si="126"/>
        <v>0.5</v>
      </c>
      <c r="R351" s="176">
        <f t="shared" si="127"/>
        <v>0.13465811184035553</v>
      </c>
      <c r="S351" s="814">
        <f t="shared" si="128"/>
        <v>0</v>
      </c>
      <c r="T351" s="175">
        <f t="shared" si="129"/>
        <v>6</v>
      </c>
      <c r="U351" s="250">
        <f t="shared" si="130"/>
        <v>0.13465811184035553</v>
      </c>
      <c r="V351" s="382">
        <f t="shared" si="131"/>
        <v>25.698614792640029</v>
      </c>
      <c r="W351" s="58"/>
      <c r="X351" s="157">
        <f t="shared" si="132"/>
        <v>43802</v>
      </c>
      <c r="Y351" s="384">
        <f t="shared" si="133"/>
        <v>3.7970000000000002</v>
      </c>
      <c r="Z351" s="384">
        <f t="shared" si="134"/>
        <v>3.8431856934152946</v>
      </c>
      <c r="AA351" s="385">
        <f t="shared" si="135"/>
        <v>3.9662098329893865</v>
      </c>
      <c r="AB351" s="196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3.1018061261112631E-2</v>
      </c>
      <c r="AD351" s="230">
        <f>(INDEX(Models!$BJ351:$BT351,,AH351)*(1-AF351)+INDEX(Models!$BJ351:$BT351,,AH351+1)*AF351-ERP_i)*AE351*Ramure*Pc/MaxiM</f>
        <v>2.2555717498881441E-4</v>
      </c>
      <c r="AE351" s="304">
        <f t="shared" si="137"/>
        <v>0.5</v>
      </c>
      <c r="AF351" s="176">
        <f t="shared" si="138"/>
        <v>0.13465811184035553</v>
      </c>
      <c r="AG351" s="175">
        <f t="shared" si="139"/>
        <v>0</v>
      </c>
      <c r="AH351" s="175">
        <f t="shared" si="140"/>
        <v>6</v>
      </c>
      <c r="AI351" s="224">
        <f t="shared" si="141"/>
        <v>0.13465811184035553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43803</v>
      </c>
      <c r="B352" s="616">
        <v>6.5289999999999999</v>
      </c>
      <c r="C352" s="389"/>
      <c r="D352" s="392">
        <f t="shared" si="123"/>
        <v>6.6085617558688474</v>
      </c>
      <c r="E352" s="384">
        <f t="shared" si="121"/>
        <v>6.8203313056719379</v>
      </c>
      <c r="F352" s="384">
        <f t="shared" si="124"/>
        <v>6.8203313056719379</v>
      </c>
      <c r="G352" s="110">
        <f t="shared" si="122"/>
        <v>0.25597415022425984</v>
      </c>
      <c r="H352" s="413" t="b">
        <f>Wh_hp&gt;='2018'!Maxi_hp</f>
        <v>1</v>
      </c>
      <c r="I352" s="389">
        <f>IF(H352,Wh_hp,'2018'!Maxi_hp)</f>
        <v>6.8203313056719379</v>
      </c>
      <c r="J352" s="85">
        <f>IF(H352,An,'2018'!An_max)</f>
        <v>2019</v>
      </c>
      <c r="K352" s="196">
        <f t="shared" si="125"/>
        <v>43803</v>
      </c>
      <c r="L352" s="147">
        <f>IF(t&lt;Tvie,1-EXP((T0-t)*PertePVj)+'2018'!Pspv,1-EXP((T0-t)*PertePVj)+Pspv)</f>
        <v>1.2039193822799832E-2</v>
      </c>
      <c r="M352" s="847"/>
      <c r="N352" s="847"/>
      <c r="O352" s="48">
        <f>IF(t&lt;Tnet,'2018'!Resal+('2018'!Salim-'2018'!Resal)*(1-EXP(('2018'!Tnet-t)/('2018'!Tau_j))),Resal+(Salim-Resal)*(1-EXP((Tnet-t)/(Tau_j))))*Salcycl</f>
        <v>3.1049745285390805E-2</v>
      </c>
      <c r="P352" s="168">
        <f>(INDEX(Models!$BJ352:$BT352,,T352)*(1-R352)+INDEX(Models!$BJ352:$BT352,,T352+1)*R352-ERP_i)*Q352*Ramure*Pc/MaxiM</f>
        <v>2.2244054204359229E-4</v>
      </c>
      <c r="Q352" s="304">
        <f t="shared" si="126"/>
        <v>0.5</v>
      </c>
      <c r="R352" s="176">
        <f t="shared" si="127"/>
        <v>0.13466684077333652</v>
      </c>
      <c r="S352" s="814">
        <f t="shared" si="128"/>
        <v>0</v>
      </c>
      <c r="T352" s="175">
        <f t="shared" si="129"/>
        <v>6</v>
      </c>
      <c r="U352" s="250">
        <f t="shared" si="130"/>
        <v>0.13466684077333652</v>
      </c>
      <c r="V352" s="382">
        <f t="shared" si="131"/>
        <v>25.500808108874235</v>
      </c>
      <c r="W352" s="58"/>
      <c r="X352" s="157">
        <f t="shared" si="132"/>
        <v>43803</v>
      </c>
      <c r="Y352" s="384">
        <f t="shared" si="133"/>
        <v>6.5289999999999999</v>
      </c>
      <c r="Z352" s="384">
        <f t="shared" si="134"/>
        <v>6.6085617558688474</v>
      </c>
      <c r="AA352" s="385">
        <f t="shared" si="135"/>
        <v>6.8203313056719379</v>
      </c>
      <c r="AB352" s="196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3.1049745285390805E-2</v>
      </c>
      <c r="AD352" s="230">
        <f>(INDEX(Models!$BJ352:$BT352,,AH352)*(1-AF352)+INDEX(Models!$BJ352:$BT352,,AH352+1)*AF352-ERP_i)*AE352*Ramure*Pc/MaxiM</f>
        <v>2.2244054204359229E-4</v>
      </c>
      <c r="AE352" s="304">
        <f t="shared" si="137"/>
        <v>0.5</v>
      </c>
      <c r="AF352" s="176">
        <f t="shared" si="138"/>
        <v>0.13466684077333652</v>
      </c>
      <c r="AG352" s="175">
        <f t="shared" si="139"/>
        <v>0</v>
      </c>
      <c r="AH352" s="175">
        <f t="shared" si="140"/>
        <v>6</v>
      </c>
      <c r="AI352" s="224">
        <f t="shared" si="141"/>
        <v>0.13466684077333652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43804</v>
      </c>
      <c r="B353" s="616">
        <v>9.2750000000000004</v>
      </c>
      <c r="C353" s="389"/>
      <c r="D353" s="392">
        <f t="shared" si="123"/>
        <v>9.3882298698088107</v>
      </c>
      <c r="E353" s="384">
        <f t="shared" si="121"/>
        <v>9.6893945353932889</v>
      </c>
      <c r="F353" s="384">
        <f t="shared" si="124"/>
        <v>9.6895963389983191</v>
      </c>
      <c r="G353" s="110">
        <f t="shared" si="122"/>
        <v>0.36634930853442904</v>
      </c>
      <c r="H353" s="413" t="b">
        <f>Wh_hp&gt;='2018'!Maxi_hp</f>
        <v>0</v>
      </c>
      <c r="I353" s="389">
        <f>IF(H353,Wh_hp,'2018'!Maxi_hp)</f>
        <v>21.154330156522605</v>
      </c>
      <c r="J353" s="85">
        <f>IF(H353,An,'2018'!An_max)</f>
        <v>2018</v>
      </c>
      <c r="K353" s="196">
        <f t="shared" si="125"/>
        <v>43804</v>
      </c>
      <c r="L353" s="147">
        <f>IF(t&lt;Tvie,1-EXP((T0-t)*PertePVj)+'2018'!Pspv,1-EXP((T0-t)*PertePVj)+Pspv)</f>
        <v>1.2060832699989699E-2</v>
      </c>
      <c r="M353" s="847"/>
      <c r="N353" s="847"/>
      <c r="O353" s="48">
        <f>IF(t&lt;Tnet,'2018'!Resal+('2018'!Salim-'2018'!Resal)*(1-EXP(('2018'!Tnet-t)/('2018'!Tau_j))),Resal+(Salim-Resal)*(1-EXP((Tnet-t)/(Tau_j))))*Salcycl</f>
        <v>3.1081886952212218E-2</v>
      </c>
      <c r="P353" s="168">
        <f>(INDEX(Models!$BJ353:$BT353,,T353)*(1-R353)+INDEX(Models!$BJ353:$BT353,,T353+1)*R353-ERP_i)*Q353*Ramure*Pc/MaxiM</f>
        <v>2.1948692301978215E-4</v>
      </c>
      <c r="Q353" s="304">
        <f t="shared" si="126"/>
        <v>0.5</v>
      </c>
      <c r="R353" s="176">
        <f t="shared" si="127"/>
        <v>0.1346752187313579</v>
      </c>
      <c r="S353" s="814">
        <f t="shared" si="128"/>
        <v>0</v>
      </c>
      <c r="T353" s="175">
        <f t="shared" si="129"/>
        <v>6</v>
      </c>
      <c r="U353" s="250">
        <f t="shared" si="130"/>
        <v>0.1346752187313579</v>
      </c>
      <c r="V353" s="382">
        <f t="shared" si="131"/>
        <v>25.312337633136472</v>
      </c>
      <c r="W353" s="58"/>
      <c r="X353" s="157">
        <f t="shared" si="132"/>
        <v>43804</v>
      </c>
      <c r="Y353" s="384">
        <f t="shared" si="133"/>
        <v>9.2750000000000004</v>
      </c>
      <c r="Z353" s="384">
        <f t="shared" si="134"/>
        <v>9.3882298698088107</v>
      </c>
      <c r="AA353" s="385">
        <f t="shared" si="135"/>
        <v>9.6893945353932889</v>
      </c>
      <c r="AB353" s="196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3.1081886952212218E-2</v>
      </c>
      <c r="AD353" s="230">
        <f>(INDEX(Models!$BJ353:$BT353,,AH353)*(1-AF353)+INDEX(Models!$BJ353:$BT353,,AH353+1)*AF353-ERP_i)*AE353*Ramure*Pc/MaxiM</f>
        <v>2.1948692301978215E-4</v>
      </c>
      <c r="AE353" s="304">
        <f t="shared" si="137"/>
        <v>0.5</v>
      </c>
      <c r="AF353" s="176">
        <f t="shared" si="138"/>
        <v>0.1346752187313579</v>
      </c>
      <c r="AG353" s="175">
        <f t="shared" si="139"/>
        <v>0</v>
      </c>
      <c r="AH353" s="175">
        <f t="shared" si="140"/>
        <v>6</v>
      </c>
      <c r="AI353" s="224">
        <f t="shared" si="141"/>
        <v>0.1346752187313579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43805</v>
      </c>
      <c r="B354" s="616">
        <v>13.345000000000001</v>
      </c>
      <c r="C354" s="389"/>
      <c r="D354" s="392">
        <f t="shared" si="123"/>
        <v>13.508212588253901</v>
      </c>
      <c r="E354" s="384">
        <f t="shared" si="121"/>
        <v>13.942010962939072</v>
      </c>
      <c r="F354" s="384">
        <f t="shared" si="124"/>
        <v>13.943007729919167</v>
      </c>
      <c r="G354" s="110">
        <f t="shared" si="122"/>
        <v>0.53086535686199654</v>
      </c>
      <c r="H354" s="413" t="b">
        <f>Wh_hp&gt;='2018'!Maxi_hp</f>
        <v>0</v>
      </c>
      <c r="I354" s="389">
        <f>IF(H354,Wh_hp,'2018'!Maxi_hp)</f>
        <v>16.508952914516239</v>
      </c>
      <c r="J354" s="85">
        <f>IF(H354,An,'2018'!An_max)</f>
        <v>2018</v>
      </c>
      <c r="K354" s="196">
        <f t="shared" si="125"/>
        <v>43805</v>
      </c>
      <c r="L354" s="147">
        <f>IF(t&lt;Tvie,1-EXP((T0-t)*PertePVj)+'2018'!Pspv,1-EXP((T0-t)*PertePVj)+Pspv)</f>
        <v>1.2082471103232573E-2</v>
      </c>
      <c r="M354" s="847"/>
      <c r="N354" s="847"/>
      <c r="O354" s="48">
        <f>IF(t&lt;Tnet,'2018'!Resal+('2018'!Salim-'2018'!Resal)*(1-EXP(('2018'!Tnet-t)/('2018'!Tau_j))),Resal+(Salim-Resal)*(1-EXP((Tnet-t)/(Tau_j))))*Salcycl</f>
        <v>3.1114476658948551E-2</v>
      </c>
      <c r="P354" s="168">
        <f>(INDEX(Models!$BJ354:$BT354,,T354)*(1-R354)+INDEX(Models!$BJ354:$BT354,,T354+1)*R354-ERP_i)*Q354*Ramure*Pc/MaxiM</f>
        <v>2.166862922175513E-4</v>
      </c>
      <c r="Q354" s="304">
        <f t="shared" si="126"/>
        <v>0.5</v>
      </c>
      <c r="R354" s="176">
        <f t="shared" si="127"/>
        <v>0.13468325980807166</v>
      </c>
      <c r="S354" s="814">
        <f t="shared" si="128"/>
        <v>0</v>
      </c>
      <c r="T354" s="175">
        <f t="shared" si="129"/>
        <v>6</v>
      </c>
      <c r="U354" s="250">
        <f t="shared" si="130"/>
        <v>0.13468325980807166</v>
      </c>
      <c r="V354" s="382">
        <f t="shared" si="131"/>
        <v>25.134550647604726</v>
      </c>
      <c r="W354" s="58"/>
      <c r="X354" s="157">
        <f t="shared" si="132"/>
        <v>43805</v>
      </c>
      <c r="Y354" s="384">
        <f t="shared" si="133"/>
        <v>13.345000000000001</v>
      </c>
      <c r="Z354" s="384">
        <f t="shared" si="134"/>
        <v>13.508212588253901</v>
      </c>
      <c r="AA354" s="385">
        <f t="shared" si="135"/>
        <v>13.942010962939072</v>
      </c>
      <c r="AB354" s="196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3.1114476658948551E-2</v>
      </c>
      <c r="AD354" s="230">
        <f>(INDEX(Models!$BJ354:$BT354,,AH354)*(1-AF354)+INDEX(Models!$BJ354:$BT354,,AH354+1)*AF354-ERP_i)*AE354*Ramure*Pc/MaxiM</f>
        <v>2.166862922175513E-4</v>
      </c>
      <c r="AE354" s="304">
        <f t="shared" si="137"/>
        <v>0.5</v>
      </c>
      <c r="AF354" s="176">
        <f t="shared" si="138"/>
        <v>0.13468325980807166</v>
      </c>
      <c r="AG354" s="175">
        <f t="shared" si="139"/>
        <v>0</v>
      </c>
      <c r="AH354" s="175">
        <f t="shared" si="140"/>
        <v>6</v>
      </c>
      <c r="AI354" s="224">
        <f t="shared" si="141"/>
        <v>0.13468325980807166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43806</v>
      </c>
      <c r="B355" s="616">
        <v>15.173</v>
      </c>
      <c r="C355" s="389"/>
      <c r="D355" s="392">
        <f t="shared" si="123"/>
        <v>15.358905871286554</v>
      </c>
      <c r="E355" s="384">
        <f t="shared" si="121"/>
        <v>15.852677187973741</v>
      </c>
      <c r="F355" s="384">
        <f t="shared" si="124"/>
        <v>15.854168658652329</v>
      </c>
      <c r="G355" s="110">
        <f t="shared" si="122"/>
        <v>0.60760562475666657</v>
      </c>
      <c r="H355" s="413" t="b">
        <f>Wh_hp&gt;='2018'!Maxi_hp</f>
        <v>0</v>
      </c>
      <c r="I355" s="389">
        <f>IF(H355,Wh_hp,'2018'!Maxi_hp)</f>
        <v>22.326722541325999</v>
      </c>
      <c r="J355" s="85">
        <f>IF(H355,An,'2018'!An_max)</f>
        <v>2018</v>
      </c>
      <c r="K355" s="196">
        <f t="shared" si="125"/>
        <v>43806</v>
      </c>
      <c r="L355" s="147">
        <f>IF(t&lt;Tvie,1-EXP((T0-t)*PertePVj)+'2018'!Pspv,1-EXP((T0-t)*PertePVj)+Pspv)</f>
        <v>1.210410903253889E-2</v>
      </c>
      <c r="M355" s="847"/>
      <c r="N355" s="847"/>
      <c r="O355" s="48">
        <f>IF(t&lt;Tnet,'2018'!Resal+('2018'!Salim-'2018'!Resal)*(1-EXP(('2018'!Tnet-t)/('2018'!Tau_j))),Resal+(Salim-Resal)*(1-EXP((Tnet-t)/(Tau_j))))*Salcycl</f>
        <v>3.114750340477342E-2</v>
      </c>
      <c r="P355" s="168">
        <f>(INDEX(Models!$BJ355:$BT355,,T355)*(1-R355)+INDEX(Models!$BJ355:$BT355,,T355+1)*R355-ERP_i)*Q355*Ramure*Pc/MaxiM</f>
        <v>2.1402874282487399E-4</v>
      </c>
      <c r="Q355" s="304">
        <f t="shared" si="126"/>
        <v>0.5</v>
      </c>
      <c r="R355" s="176">
        <f t="shared" si="127"/>
        <v>0.1346909775326427</v>
      </c>
      <c r="S355" s="814">
        <f t="shared" si="128"/>
        <v>0</v>
      </c>
      <c r="T355" s="175">
        <f t="shared" si="129"/>
        <v>6</v>
      </c>
      <c r="U355" s="250">
        <f t="shared" si="130"/>
        <v>0.1346909775326427</v>
      </c>
      <c r="V355" s="382">
        <f t="shared" si="131"/>
        <v>24.968794136657198</v>
      </c>
      <c r="W355" s="58"/>
      <c r="X355" s="157">
        <f t="shared" si="132"/>
        <v>43806</v>
      </c>
      <c r="Y355" s="384">
        <f t="shared" si="133"/>
        <v>15.173</v>
      </c>
      <c r="Z355" s="384">
        <f t="shared" si="134"/>
        <v>15.358905871286554</v>
      </c>
      <c r="AA355" s="385">
        <f t="shared" si="135"/>
        <v>15.852677187973741</v>
      </c>
      <c r="AB355" s="196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3.114750340477342E-2</v>
      </c>
      <c r="AD355" s="230">
        <f>(INDEX(Models!$BJ355:$BT355,,AH355)*(1-AF355)+INDEX(Models!$BJ355:$BT355,,AH355+1)*AF355-ERP_i)*AE355*Ramure*Pc/MaxiM</f>
        <v>2.1402874282487399E-4</v>
      </c>
      <c r="AE355" s="304">
        <f t="shared" si="137"/>
        <v>0.5</v>
      </c>
      <c r="AF355" s="176">
        <f t="shared" si="138"/>
        <v>0.1346909775326427</v>
      </c>
      <c r="AG355" s="175">
        <f t="shared" si="139"/>
        <v>0</v>
      </c>
      <c r="AH355" s="175">
        <f t="shared" si="140"/>
        <v>6</v>
      </c>
      <c r="AI355" s="224">
        <f t="shared" si="141"/>
        <v>0.1346909775326427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43807</v>
      </c>
      <c r="B356" s="616">
        <v>17.768000000000001</v>
      </c>
      <c r="C356" s="389"/>
      <c r="D356" s="392">
        <f t="shared" si="123"/>
        <v>17.986094826169808</v>
      </c>
      <c r="E356" s="384">
        <f t="shared" si="121"/>
        <v>18.564968264257576</v>
      </c>
      <c r="F356" s="384">
        <f t="shared" si="124"/>
        <v>18.567301939285336</v>
      </c>
      <c r="G356" s="110">
        <f t="shared" si="122"/>
        <v>0.7159162665219434</v>
      </c>
      <c r="H356" s="413" t="b">
        <f>Wh_hp&gt;='2018'!Maxi_hp</f>
        <v>1</v>
      </c>
      <c r="I356" s="389">
        <f>IF(H356,Wh_hp,'2018'!Maxi_hp)</f>
        <v>18.567301939285336</v>
      </c>
      <c r="J356" s="85">
        <f>IF(H356,An,'2018'!An_max)</f>
        <v>2019</v>
      </c>
      <c r="K356" s="196">
        <f t="shared" si="125"/>
        <v>43807</v>
      </c>
      <c r="L356" s="147">
        <f>IF(t&lt;Tvie,1-EXP((T0-t)*PertePVj)+'2018'!Pspv,1-EXP((T0-t)*PertePVj)+Pspv)</f>
        <v>1.2125746487919087E-2</v>
      </c>
      <c r="M356" s="847"/>
      <c r="N356" s="847"/>
      <c r="O356" s="48">
        <f>IF(t&lt;Tnet,'2018'!Resal+('2018'!Salim-'2018'!Resal)*(1-EXP(('2018'!Tnet-t)/('2018'!Tau_j))),Resal+(Salim-Resal)*(1-EXP((Tnet-t)/(Tau_j))))*Salcycl</f>
        <v>3.1180954895692004E-2</v>
      </c>
      <c r="P356" s="168">
        <f>(INDEX(Models!$BJ356:$BT356,,T356)*(1-R356)+INDEX(Models!$BJ356:$BT356,,T356+1)*R356-ERP_i)*Q356*Ramure*Pc/MaxiM</f>
        <v>2.1150447060186648E-4</v>
      </c>
      <c r="Q356" s="304">
        <f t="shared" si="126"/>
        <v>0.5</v>
      </c>
      <c r="R356" s="176">
        <f t="shared" si="127"/>
        <v>0.13469838489224312</v>
      </c>
      <c r="S356" s="814">
        <f t="shared" si="128"/>
        <v>0</v>
      </c>
      <c r="T356" s="175">
        <f t="shared" si="129"/>
        <v>6</v>
      </c>
      <c r="U356" s="250">
        <f t="shared" si="130"/>
        <v>0.13469838489224312</v>
      </c>
      <c r="V356" s="382">
        <f t="shared" si="131"/>
        <v>24.816414768853136</v>
      </c>
      <c r="W356" s="58"/>
      <c r="X356" s="157">
        <f t="shared" si="132"/>
        <v>43807</v>
      </c>
      <c r="Y356" s="384">
        <f t="shared" si="133"/>
        <v>17.768000000000001</v>
      </c>
      <c r="Z356" s="384">
        <f t="shared" si="134"/>
        <v>17.986094826169808</v>
      </c>
      <c r="AA356" s="385">
        <f t="shared" si="135"/>
        <v>18.564968264257576</v>
      </c>
      <c r="AB356" s="196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3.1180954895692004E-2</v>
      </c>
      <c r="AD356" s="230">
        <f>(INDEX(Models!$BJ356:$BT356,,AH356)*(1-AF356)+INDEX(Models!$BJ356:$BT356,,AH356+1)*AF356-ERP_i)*AE356*Ramure*Pc/MaxiM</f>
        <v>2.1150447060186648E-4</v>
      </c>
      <c r="AE356" s="304">
        <f t="shared" si="137"/>
        <v>0.5</v>
      </c>
      <c r="AF356" s="176">
        <f t="shared" si="138"/>
        <v>0.13469838489224312</v>
      </c>
      <c r="AG356" s="175">
        <f t="shared" si="139"/>
        <v>0</v>
      </c>
      <c r="AH356" s="175">
        <f t="shared" si="140"/>
        <v>6</v>
      </c>
      <c r="AI356" s="224">
        <f t="shared" si="141"/>
        <v>0.13469838489224312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43808</v>
      </c>
      <c r="B357" s="616">
        <v>9.8309999999999995</v>
      </c>
      <c r="C357" s="389"/>
      <c r="D357" s="392">
        <f t="shared" si="123"/>
        <v>9.9518894169931134</v>
      </c>
      <c r="E357" s="384">
        <f t="shared" si="121"/>
        <v>10.272545037188054</v>
      </c>
      <c r="F357" s="384">
        <f t="shared" si="124"/>
        <v>10.272846870874838</v>
      </c>
      <c r="G357" s="110">
        <f t="shared" si="122"/>
        <v>0.39828717258920582</v>
      </c>
      <c r="H357" s="413" t="b">
        <f>Wh_hp&gt;='2018'!Maxi_hp</f>
        <v>1</v>
      </c>
      <c r="I357" s="389">
        <f>IF(H357,Wh_hp,'2018'!Maxi_hp)</f>
        <v>10.272846870874838</v>
      </c>
      <c r="J357" s="85">
        <f>IF(H357,An,'2018'!An_max)</f>
        <v>2019</v>
      </c>
      <c r="K357" s="196">
        <f t="shared" si="125"/>
        <v>43808</v>
      </c>
      <c r="L357" s="147">
        <f>IF(t&lt;Tvie,1-EXP((T0-t)*PertePVj)+'2018'!Pspv,1-EXP((T0-t)*PertePVj)+Pspv)</f>
        <v>1.2147383469383488E-2</v>
      </c>
      <c r="M357" s="847"/>
      <c r="N357" s="847"/>
      <c r="O357" s="48">
        <f>IF(t&lt;Tnet,'2018'!Resal+('2018'!Salim-'2018'!Resal)*(1-EXP(('2018'!Tnet-t)/('2018'!Tau_j))),Resal+(Salim-Resal)*(1-EXP((Tnet-t)/(Tau_j))))*Salcycl</f>
        <v>3.1214817655617292E-2</v>
      </c>
      <c r="P357" s="168">
        <f>(INDEX(Models!$BJ357:$BT357,,T357)*(1-R357)+INDEX(Models!$BJ357:$BT357,,T357+1)*R357-ERP_i)*Q357*Ramure*Pc/MaxiM</f>
        <v>2.0910376438817757E-4</v>
      </c>
      <c r="Q357" s="304">
        <f t="shared" si="126"/>
        <v>0.5</v>
      </c>
      <c r="R357" s="176">
        <f t="shared" si="127"/>
        <v>0.13470549435365919</v>
      </c>
      <c r="S357" s="814">
        <f t="shared" si="128"/>
        <v>0</v>
      </c>
      <c r="T357" s="175">
        <f t="shared" si="129"/>
        <v>6</v>
      </c>
      <c r="U357" s="250">
        <f t="shared" si="130"/>
        <v>0.13470549435365919</v>
      </c>
      <c r="V357" s="382">
        <f t="shared" si="131"/>
        <v>24.678758887851597</v>
      </c>
      <c r="W357" s="58"/>
      <c r="X357" s="157">
        <f t="shared" si="132"/>
        <v>43808</v>
      </c>
      <c r="Y357" s="384">
        <f t="shared" si="133"/>
        <v>9.8309999999999995</v>
      </c>
      <c r="Z357" s="384">
        <f t="shared" si="134"/>
        <v>9.9518894169931134</v>
      </c>
      <c r="AA357" s="385">
        <f t="shared" si="135"/>
        <v>10.272545037188054</v>
      </c>
      <c r="AB357" s="196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3.1214817655617292E-2</v>
      </c>
      <c r="AD357" s="230">
        <f>(INDEX(Models!$BJ357:$BT357,,AH357)*(1-AF357)+INDEX(Models!$BJ357:$BT357,,AH357+1)*AF357-ERP_i)*AE357*Ramure*Pc/MaxiM</f>
        <v>2.0910376438817757E-4</v>
      </c>
      <c r="AE357" s="304">
        <f t="shared" si="137"/>
        <v>0.5</v>
      </c>
      <c r="AF357" s="176">
        <f t="shared" si="138"/>
        <v>0.13470549435365919</v>
      </c>
      <c r="AG357" s="175">
        <f t="shared" si="139"/>
        <v>0</v>
      </c>
      <c r="AH357" s="175">
        <f t="shared" si="140"/>
        <v>6</v>
      </c>
      <c r="AI357" s="224">
        <f t="shared" si="141"/>
        <v>0.13470549435365919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43809</v>
      </c>
      <c r="B358" s="616">
        <v>21.623000000000001</v>
      </c>
      <c r="C358" s="389"/>
      <c r="D358" s="392">
        <f t="shared" si="123"/>
        <v>21.889372207677958</v>
      </c>
      <c r="E358" s="384">
        <f t="shared" si="121"/>
        <v>22.595459463525401</v>
      </c>
      <c r="F358" s="384">
        <f t="shared" si="124"/>
        <v>22.599335595679641</v>
      </c>
      <c r="G358" s="110">
        <f t="shared" si="122"/>
        <v>0.88048559022323036</v>
      </c>
      <c r="H358" s="413" t="b">
        <f>Wh_hp&gt;='2018'!Maxi_hp</f>
        <v>1</v>
      </c>
      <c r="I358" s="389">
        <f>IF(H358,Wh_hp,'2018'!Maxi_hp)</f>
        <v>22.599335595679641</v>
      </c>
      <c r="J358" s="85">
        <f>IF(H358,An,'2018'!An_max)</f>
        <v>2019</v>
      </c>
      <c r="K358" s="196">
        <f t="shared" si="125"/>
        <v>43809</v>
      </c>
      <c r="L358" s="147">
        <f>IF(t&lt;Tvie,1-EXP((T0-t)*PertePVj)+'2018'!Pspv,1-EXP((T0-t)*PertePVj)+Pspv)</f>
        <v>1.2169019976942308E-2</v>
      </c>
      <c r="M358" s="847"/>
      <c r="N358" s="847"/>
      <c r="O358" s="48">
        <f>IF(t&lt;Tnet,'2018'!Resal+('2018'!Salim-'2018'!Resal)*(1-EXP(('2018'!Tnet-t)/('2018'!Tau_j))),Resal+(Salim-Resal)*(1-EXP((Tnet-t)/(Tau_j))))*Salcycl</f>
        <v>3.1249077142566688E-2</v>
      </c>
      <c r="P358" s="168">
        <f>(INDEX(Models!$BJ358:$BT358,,T358)*(1-R358)+INDEX(Models!$BJ358:$BT358,,T358+1)*R358-ERP_i)*Q358*Ramure*Pc/MaxiM</f>
        <v>2.0681700371177943E-4</v>
      </c>
      <c r="Q358" s="304">
        <f t="shared" si="126"/>
        <v>0.5</v>
      </c>
      <c r="R358" s="176">
        <f t="shared" si="127"/>
        <v>0.13471231788404592</v>
      </c>
      <c r="S358" s="814">
        <f t="shared" si="128"/>
        <v>0</v>
      </c>
      <c r="T358" s="175">
        <f t="shared" si="129"/>
        <v>6</v>
      </c>
      <c r="U358" s="250">
        <f t="shared" si="130"/>
        <v>0.13471231788404592</v>
      </c>
      <c r="V358" s="382">
        <f t="shared" si="131"/>
        <v>24.55717252016499</v>
      </c>
      <c r="W358" s="58"/>
      <c r="X358" s="157">
        <f t="shared" si="132"/>
        <v>43809</v>
      </c>
      <c r="Y358" s="384">
        <f t="shared" si="133"/>
        <v>21.623000000000001</v>
      </c>
      <c r="Z358" s="384">
        <f t="shared" si="134"/>
        <v>21.889372207677958</v>
      </c>
      <c r="AA358" s="385">
        <f t="shared" si="135"/>
        <v>22.595459463525401</v>
      </c>
      <c r="AB358" s="196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3.1249077142566688E-2</v>
      </c>
      <c r="AD358" s="230">
        <f>(INDEX(Models!$BJ358:$BT358,,AH358)*(1-AF358)+INDEX(Models!$BJ358:$BT358,,AH358+1)*AF358-ERP_i)*AE358*Ramure*Pc/MaxiM</f>
        <v>2.0681700371177943E-4</v>
      </c>
      <c r="AE358" s="304">
        <f t="shared" si="137"/>
        <v>0.5</v>
      </c>
      <c r="AF358" s="176">
        <f t="shared" si="138"/>
        <v>0.13471231788404592</v>
      </c>
      <c r="AG358" s="175">
        <f t="shared" si="139"/>
        <v>0</v>
      </c>
      <c r="AH358" s="175">
        <f t="shared" si="140"/>
        <v>6</v>
      </c>
      <c r="AI358" s="224">
        <f t="shared" si="141"/>
        <v>0.13471231788404592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43810</v>
      </c>
      <c r="B359" s="616">
        <v>1.6930000000000001</v>
      </c>
      <c r="C359" s="389"/>
      <c r="D359" s="392">
        <f t="shared" si="123"/>
        <v>1.7138934859257395</v>
      </c>
      <c r="E359" s="384">
        <f t="shared" si="121"/>
        <v>1.7692419519939528</v>
      </c>
      <c r="F359" s="384">
        <f t="shared" si="124"/>
        <v>1.7692419519939528</v>
      </c>
      <c r="G359" s="110">
        <f t="shared" si="122"/>
        <v>6.9231275777534962E-2</v>
      </c>
      <c r="H359" s="413" t="b">
        <f>Wh_hp&gt;='2018'!Maxi_hp</f>
        <v>0</v>
      </c>
      <c r="I359" s="389">
        <f>IF(H359,Wh_hp,'2018'!Maxi_hp)</f>
        <v>18.967198725102847</v>
      </c>
      <c r="J359" s="85">
        <f>IF(H359,An,'2018'!An_max)</f>
        <v>2018</v>
      </c>
      <c r="K359" s="196">
        <f t="shared" si="125"/>
        <v>43810</v>
      </c>
      <c r="L359" s="147">
        <f>IF(t&lt;Tvie,1-EXP((T0-t)*PertePVj)+'2018'!Pspv,1-EXP((T0-t)*PertePVj)+Pspv)</f>
        <v>1.2190656010606205E-2</v>
      </c>
      <c r="M359" s="847"/>
      <c r="N359" s="847"/>
      <c r="O359" s="48">
        <f>IF(t&lt;Tnet,'2018'!Resal+('2018'!Salim-'2018'!Resal)*(1-EXP(('2018'!Tnet-t)/('2018'!Tau_j))),Resal+(Salim-Resal)*(1-EXP((Tnet-t)/(Tau_j))))*Salcycl</f>
        <v>3.1283717869020199E-2</v>
      </c>
      <c r="P359" s="168">
        <f>(INDEX(Models!$BJ359:$BT359,,T359)*(1-R359)+INDEX(Models!$BJ359:$BT359,,T359+1)*R359-ERP_i)*Q359*Ramure*Pc/MaxiM</f>
        <v>2.046659673402383E-4</v>
      </c>
      <c r="Q359" s="304">
        <f t="shared" si="126"/>
        <v>0.5</v>
      </c>
      <c r="R359" s="176">
        <f t="shared" si="127"/>
        <v>0.13471886697086072</v>
      </c>
      <c r="S359" s="814">
        <f t="shared" si="128"/>
        <v>0</v>
      </c>
      <c r="T359" s="175">
        <f t="shared" si="129"/>
        <v>6</v>
      </c>
      <c r="U359" s="250">
        <f t="shared" si="130"/>
        <v>0.13471886697086072</v>
      </c>
      <c r="V359" s="382">
        <f t="shared" si="131"/>
        <v>24.449260561894004</v>
      </c>
      <c r="W359" s="58"/>
      <c r="X359" s="157">
        <f t="shared" si="132"/>
        <v>43810</v>
      </c>
      <c r="Y359" s="384">
        <f t="shared" si="133"/>
        <v>1.6930000000000001</v>
      </c>
      <c r="Z359" s="384">
        <f t="shared" si="134"/>
        <v>1.7138934859257395</v>
      </c>
      <c r="AA359" s="385">
        <f t="shared" si="135"/>
        <v>1.7692419519939528</v>
      </c>
      <c r="AB359" s="196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3.1283717869020199E-2</v>
      </c>
      <c r="AD359" s="230">
        <f>(INDEX(Models!$BJ359:$BT359,,AH359)*(1-AF359)+INDEX(Models!$BJ359:$BT359,,AH359+1)*AF359-ERP_i)*AE359*Ramure*Pc/MaxiM</f>
        <v>2.046659673402383E-4</v>
      </c>
      <c r="AE359" s="304">
        <f t="shared" si="137"/>
        <v>0.5</v>
      </c>
      <c r="AF359" s="176">
        <f t="shared" si="138"/>
        <v>0.13471886697086072</v>
      </c>
      <c r="AG359" s="175">
        <f t="shared" si="139"/>
        <v>0</v>
      </c>
      <c r="AH359" s="175">
        <f t="shared" si="140"/>
        <v>6</v>
      </c>
      <c r="AI359" s="224">
        <f t="shared" si="141"/>
        <v>0.13471886697086072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43811</v>
      </c>
      <c r="B360" s="616">
        <v>6.1420000000000003</v>
      </c>
      <c r="C360" s="389"/>
      <c r="D360" s="392">
        <f t="shared" si="123"/>
        <v>6.2179352380933706</v>
      </c>
      <c r="E360" s="384">
        <f t="shared" si="121"/>
        <v>6.418969158486453</v>
      </c>
      <c r="F360" s="384">
        <f t="shared" si="124"/>
        <v>6.418969158486453</v>
      </c>
      <c r="G360" s="110">
        <f t="shared" si="122"/>
        <v>0.25216797121448559</v>
      </c>
      <c r="H360" s="413" t="b">
        <f>Wh_hp&gt;='2018'!Maxi_hp</f>
        <v>1</v>
      </c>
      <c r="I360" s="389">
        <f>IF(H360,Wh_hp,'2018'!Maxi_hp)</f>
        <v>6.418969158486453</v>
      </c>
      <c r="J360" s="85">
        <f>IF(H360,An,'2018'!An_max)</f>
        <v>2019</v>
      </c>
      <c r="K360" s="196">
        <f t="shared" si="125"/>
        <v>43811</v>
      </c>
      <c r="L360" s="147">
        <f>IF(t&lt;Tvie,1-EXP((T0-t)*PertePVj)+'2018'!Pspv,1-EXP((T0-t)*PertePVj)+Pspv)</f>
        <v>1.2212291570385503E-2</v>
      </c>
      <c r="M360" s="847"/>
      <c r="N360" s="847"/>
      <c r="O360" s="48">
        <f>IF(t&lt;Tnet,'2018'!Resal+('2018'!Salim-'2018'!Resal)*(1-EXP(('2018'!Tnet-t)/('2018'!Tau_j))),Resal+(Salim-Resal)*(1-EXP((Tnet-t)/(Tau_j))))*Salcycl</f>
        <v>3.1318723525458482E-2</v>
      </c>
      <c r="P360" s="168">
        <f>(INDEX(Models!$BJ360:$BT360,,T360)*(1-R360)+INDEX(Models!$BJ360:$BT360,,T360+1)*R360-ERP_i)*Q360*Ramure*Pc/MaxiM</f>
        <v>2.0267827618673337E-4</v>
      </c>
      <c r="Q360" s="304">
        <f t="shared" si="126"/>
        <v>0.5</v>
      </c>
      <c r="R360" s="176">
        <f t="shared" si="127"/>
        <v>0.13472515264100954</v>
      </c>
      <c r="S360" s="814">
        <f t="shared" si="128"/>
        <v>0</v>
      </c>
      <c r="T360" s="175">
        <f t="shared" si="129"/>
        <v>6</v>
      </c>
      <c r="U360" s="250">
        <f t="shared" si="130"/>
        <v>0.13472515264100954</v>
      </c>
      <c r="V360" s="382">
        <f t="shared" si="131"/>
        <v>24.351844211034013</v>
      </c>
      <c r="W360" s="58"/>
      <c r="X360" s="157">
        <f t="shared" si="132"/>
        <v>43811</v>
      </c>
      <c r="Y360" s="384">
        <f t="shared" si="133"/>
        <v>6.1420000000000003</v>
      </c>
      <c r="Z360" s="384">
        <f t="shared" si="134"/>
        <v>6.2179352380933706</v>
      </c>
      <c r="AA360" s="385">
        <f t="shared" si="135"/>
        <v>6.418969158486453</v>
      </c>
      <c r="AB360" s="196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3.1318723525458482E-2</v>
      </c>
      <c r="AD360" s="230">
        <f>(INDEX(Models!$BJ360:$BT360,,AH360)*(1-AF360)+INDEX(Models!$BJ360:$BT360,,AH360+1)*AF360-ERP_i)*AE360*Ramure*Pc/MaxiM</f>
        <v>2.0267827618673337E-4</v>
      </c>
      <c r="AE360" s="304">
        <f t="shared" si="137"/>
        <v>0.5</v>
      </c>
      <c r="AF360" s="176">
        <f t="shared" si="138"/>
        <v>0.13472515264100954</v>
      </c>
      <c r="AG360" s="175">
        <f t="shared" si="139"/>
        <v>0</v>
      </c>
      <c r="AH360" s="175">
        <f t="shared" si="140"/>
        <v>6</v>
      </c>
      <c r="AI360" s="224">
        <f t="shared" si="141"/>
        <v>0.13472515264100954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43812</v>
      </c>
      <c r="B361" s="616">
        <v>1.835</v>
      </c>
      <c r="C361" s="389"/>
      <c r="D361" s="392">
        <f t="shared" si="123"/>
        <v>1.8577272995298364</v>
      </c>
      <c r="E361" s="384">
        <f t="shared" ref="E361:E379" si="145">Wh_pvt/(1-Psa)</f>
        <v>1.9178600308146774</v>
      </c>
      <c r="F361" s="384">
        <f t="shared" si="124"/>
        <v>1.9178600308146774</v>
      </c>
      <c r="G361" s="110">
        <f t="shared" ref="G361:G379" si="146">+Wh_hp/MaxiM</f>
        <v>7.560784492197907E-2</v>
      </c>
      <c r="H361" s="413" t="b">
        <f>Wh_hp&gt;='2018'!Maxi_hp</f>
        <v>1</v>
      </c>
      <c r="I361" s="389">
        <f>IF(H361,Wh_hp,'2018'!Maxi_hp)</f>
        <v>1.9178600308146774</v>
      </c>
      <c r="J361" s="85">
        <f>IF(H361,An,'2018'!An_max)</f>
        <v>2019</v>
      </c>
      <c r="K361" s="196">
        <f t="shared" si="125"/>
        <v>43812</v>
      </c>
      <c r="L361" s="147">
        <f>IF(t&lt;Tvie,1-EXP((T0-t)*PertePVj)+'2018'!Pspv,1-EXP((T0-t)*PertePVj)+Pspv)</f>
        <v>1.2233926656290417E-2</v>
      </c>
      <c r="M361" s="847"/>
      <c r="N361" s="847"/>
      <c r="O361" s="48">
        <f>IF(t&lt;Tnet,'2018'!Resal+('2018'!Salim-'2018'!Resal)*(1-EXP(('2018'!Tnet-t)/('2018'!Tau_j))),Resal+(Salim-Resal)*(1-EXP((Tnet-t)/(Tau_j))))*Salcycl</f>
        <v>3.1354077106084489E-2</v>
      </c>
      <c r="P361" s="168">
        <f>(INDEX(Models!$BJ361:$BT361,,T361)*(1-R361)+INDEX(Models!$BJ361:$BT361,,T361+1)*R361-ERP_i)*Q361*Ramure*Pc/MaxiM</f>
        <v>2.008641150354158E-4</v>
      </c>
      <c r="Q361" s="304">
        <f t="shared" si="126"/>
        <v>0.5</v>
      </c>
      <c r="R361" s="176">
        <f t="shared" si="127"/>
        <v>0.13473118547923507</v>
      </c>
      <c r="S361" s="814">
        <f t="shared" si="128"/>
        <v>0</v>
      </c>
      <c r="T361" s="175">
        <f t="shared" si="129"/>
        <v>6</v>
      </c>
      <c r="U361" s="250">
        <f t="shared" si="130"/>
        <v>0.13473118547923507</v>
      </c>
      <c r="V361" s="382">
        <f t="shared" si="131"/>
        <v>24.265093341069239</v>
      </c>
      <c r="W361" s="58"/>
      <c r="X361" s="157">
        <f t="shared" si="132"/>
        <v>43812</v>
      </c>
      <c r="Y361" s="384">
        <f t="shared" si="133"/>
        <v>1.835</v>
      </c>
      <c r="Z361" s="384">
        <f t="shared" si="134"/>
        <v>1.8577272995298364</v>
      </c>
      <c r="AA361" s="385">
        <f t="shared" si="135"/>
        <v>1.9178600308146774</v>
      </c>
      <c r="AB361" s="196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3.1354077106084489E-2</v>
      </c>
      <c r="AD361" s="230">
        <f>(INDEX(Models!$BJ361:$BT361,,AH361)*(1-AF361)+INDEX(Models!$BJ361:$BT361,,AH361+1)*AF361-ERP_i)*AE361*Ramure*Pc/MaxiM</f>
        <v>2.008641150354158E-4</v>
      </c>
      <c r="AE361" s="304">
        <f t="shared" si="137"/>
        <v>0.5</v>
      </c>
      <c r="AF361" s="176">
        <f t="shared" si="138"/>
        <v>0.13473118547923507</v>
      </c>
      <c r="AG361" s="175">
        <f t="shared" si="139"/>
        <v>0</v>
      </c>
      <c r="AH361" s="175">
        <f t="shared" si="140"/>
        <v>6</v>
      </c>
      <c r="AI361" s="224">
        <f t="shared" si="141"/>
        <v>0.13473118547923507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43813</v>
      </c>
      <c r="B362" s="616">
        <v>16.347999999999999</v>
      </c>
      <c r="C362" s="389"/>
      <c r="D362" s="392">
        <f t="shared" si="123"/>
        <v>16.550839831598495</v>
      </c>
      <c r="E362" s="384">
        <f t="shared" si="145"/>
        <v>17.087203052175209</v>
      </c>
      <c r="F362" s="384">
        <f t="shared" si="124"/>
        <v>17.089030984209259</v>
      </c>
      <c r="G362" s="110">
        <f t="shared" si="146"/>
        <v>0.67577705979796587</v>
      </c>
      <c r="H362" s="413" t="b">
        <f>Wh_hp&gt;='2018'!Maxi_hp</f>
        <v>1</v>
      </c>
      <c r="I362" s="389">
        <f>IF(H362,Wh_hp,'2018'!Maxi_hp)</f>
        <v>17.089030984209259</v>
      </c>
      <c r="J362" s="85">
        <f>IF(H362,An,'2018'!An_max)</f>
        <v>2019</v>
      </c>
      <c r="K362" s="196">
        <f t="shared" si="125"/>
        <v>43813</v>
      </c>
      <c r="L362" s="147">
        <f>IF(t&lt;Tvie,1-EXP((T0-t)*PertePVj)+'2018'!Pspv,1-EXP((T0-t)*PertePVj)+Pspv)</f>
        <v>1.2255561268331383E-2</v>
      </c>
      <c r="M362" s="847"/>
      <c r="N362" s="847"/>
      <c r="O362" s="48">
        <f>IF(t&lt;Tnet,'2018'!Resal+('2018'!Salim-'2018'!Resal)*(1-EXP(('2018'!Tnet-t)/('2018'!Tau_j))),Resal+(Salim-Resal)*(1-EXP((Tnet-t)/(Tau_j))))*Salcycl</f>
        <v>3.1389761035726348E-2</v>
      </c>
      <c r="P362" s="168">
        <f>(INDEX(Models!$BJ362:$BT362,,T362)*(1-R362)+INDEX(Models!$BJ362:$BT362,,T362+1)*R362-ERP_i)*Q362*Ramure*Pc/MaxiM</f>
        <v>1.9922246998414235E-4</v>
      </c>
      <c r="Q362" s="304">
        <f t="shared" si="126"/>
        <v>0.5</v>
      </c>
      <c r="R362" s="176">
        <f t="shared" si="127"/>
        <v>0.13473697564577669</v>
      </c>
      <c r="S362" s="814">
        <f t="shared" si="128"/>
        <v>0</v>
      </c>
      <c r="T362" s="175">
        <f t="shared" si="129"/>
        <v>6</v>
      </c>
      <c r="U362" s="250">
        <f t="shared" si="130"/>
        <v>0.13473697564577669</v>
      </c>
      <c r="V362" s="382">
        <f t="shared" si="131"/>
        <v>24.189178043557398</v>
      </c>
      <c r="W362" s="58"/>
      <c r="X362" s="157">
        <f t="shared" si="132"/>
        <v>43813</v>
      </c>
      <c r="Y362" s="384">
        <f t="shared" si="133"/>
        <v>16.347999999999999</v>
      </c>
      <c r="Z362" s="384">
        <f t="shared" si="134"/>
        <v>16.550839831598495</v>
      </c>
      <c r="AA362" s="385">
        <f t="shared" si="135"/>
        <v>17.087203052175209</v>
      </c>
      <c r="AB362" s="196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3.1389761035726348E-2</v>
      </c>
      <c r="AD362" s="230">
        <f>(INDEX(Models!$BJ362:$BT362,,AH362)*(1-AF362)+INDEX(Models!$BJ362:$BT362,,AH362+1)*AF362-ERP_i)*AE362*Ramure*Pc/MaxiM</f>
        <v>1.9922246998414235E-4</v>
      </c>
      <c r="AE362" s="304">
        <f t="shared" si="137"/>
        <v>0.5</v>
      </c>
      <c r="AF362" s="176">
        <f t="shared" si="138"/>
        <v>0.13473697564577669</v>
      </c>
      <c r="AG362" s="175">
        <f t="shared" si="139"/>
        <v>0</v>
      </c>
      <c r="AH362" s="175">
        <f t="shared" si="140"/>
        <v>6</v>
      </c>
      <c r="AI362" s="224">
        <f t="shared" si="141"/>
        <v>0.13473697564577669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43814</v>
      </c>
      <c r="B363" s="616">
        <v>24.372</v>
      </c>
      <c r="C363" s="389"/>
      <c r="D363" s="392">
        <f t="shared" si="123"/>
        <v>24.67493904834042</v>
      </c>
      <c r="E363" s="384">
        <f t="shared" si="145"/>
        <v>25.475526769613555</v>
      </c>
      <c r="F363" s="384">
        <f t="shared" si="124"/>
        <v>25.480565606345994</v>
      </c>
      <c r="G363" s="110">
        <f t="shared" si="146"/>
        <v>1.0102689810153267</v>
      </c>
      <c r="H363" s="413" t="b">
        <f>Wh_hp&gt;='2018'!Maxi_hp</f>
        <v>1</v>
      </c>
      <c r="I363" s="389">
        <f>IF(H363,Wh_hp,'2018'!Maxi_hp)</f>
        <v>25.480565606345994</v>
      </c>
      <c r="J363" s="85">
        <f>IF(H363,An,'2018'!An_max)</f>
        <v>2019</v>
      </c>
      <c r="K363" s="196">
        <f t="shared" si="125"/>
        <v>43814</v>
      </c>
      <c r="L363" s="147">
        <f>IF(t&lt;Tvie,1-EXP((T0-t)*PertePVj)+'2018'!Pspv,1-EXP((T0-t)*PertePVj)+Pspv)</f>
        <v>1.2277195406518948E-2</v>
      </c>
      <c r="M363" s="847"/>
      <c r="N363" s="847"/>
      <c r="O363" s="48">
        <f>IF(t&lt;Tnet,'2018'!Resal+('2018'!Salim-'2018'!Resal)*(1-EXP(('2018'!Tnet-t)/('2018'!Tau_j))),Resal+(Salim-Resal)*(1-EXP((Tnet-t)/(Tau_j))))*Salcycl</f>
        <v>3.1425757296922818E-2</v>
      </c>
      <c r="P363" s="168">
        <f>(INDEX(Models!$BJ363:$BT363,,T363)*(1-R363)+INDEX(Models!$BJ363:$BT363,,T363+1)*R363-ERP_i)*Q363*Ramure*Pc/MaxiM</f>
        <v>1.9775215394683763E-4</v>
      </c>
      <c r="Q363" s="304">
        <f t="shared" si="126"/>
        <v>0.5</v>
      </c>
      <c r="R363" s="176">
        <f t="shared" si="127"/>
        <v>0.1347425328933306</v>
      </c>
      <c r="S363" s="814">
        <f t="shared" si="128"/>
        <v>0</v>
      </c>
      <c r="T363" s="175">
        <f t="shared" si="129"/>
        <v>6</v>
      </c>
      <c r="U363" s="250">
        <f t="shared" si="130"/>
        <v>0.1347425328933306</v>
      </c>
      <c r="V363" s="382">
        <f t="shared" si="131"/>
        <v>24.12426834634276</v>
      </c>
      <c r="W363" s="58"/>
      <c r="X363" s="157">
        <f t="shared" si="132"/>
        <v>43814</v>
      </c>
      <c r="Y363" s="384">
        <f t="shared" si="133"/>
        <v>24.372</v>
      </c>
      <c r="Z363" s="384">
        <f t="shared" si="134"/>
        <v>24.67493904834042</v>
      </c>
      <c r="AA363" s="385">
        <f t="shared" si="135"/>
        <v>25.475526769613555</v>
      </c>
      <c r="AB363" s="196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3.1425757296922818E-2</v>
      </c>
      <c r="AD363" s="230">
        <f>(INDEX(Models!$BJ363:$BT363,,AH363)*(1-AF363)+INDEX(Models!$BJ363:$BT363,,AH363+1)*AF363-ERP_i)*AE363*Ramure*Pc/MaxiM</f>
        <v>1.9775215394683763E-4</v>
      </c>
      <c r="AE363" s="304">
        <f t="shared" si="137"/>
        <v>0.5</v>
      </c>
      <c r="AF363" s="176">
        <f t="shared" si="138"/>
        <v>0.1347425328933306</v>
      </c>
      <c r="AG363" s="175">
        <f t="shared" si="139"/>
        <v>0</v>
      </c>
      <c r="AH363" s="175">
        <f t="shared" si="140"/>
        <v>6</v>
      </c>
      <c r="AI363" s="224">
        <f t="shared" si="141"/>
        <v>0.1347425328933306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43815</v>
      </c>
      <c r="B364" s="616">
        <v>13.785</v>
      </c>
      <c r="C364" s="389"/>
      <c r="D364" s="392">
        <f t="shared" si="123"/>
        <v>13.95665045838952</v>
      </c>
      <c r="E364" s="384">
        <f t="shared" si="145"/>
        <v>14.410019166697982</v>
      </c>
      <c r="F364" s="384">
        <f t="shared" si="124"/>
        <v>14.411122046030226</v>
      </c>
      <c r="G364" s="110">
        <f t="shared" si="146"/>
        <v>0.57262321758441725</v>
      </c>
      <c r="H364" s="413" t="b">
        <f>Wh_hp&gt;='2018'!Maxi_hp</f>
        <v>1</v>
      </c>
      <c r="I364" s="389">
        <f>IF(H364,Wh_hp,'2018'!Maxi_hp)</f>
        <v>14.411122046030226</v>
      </c>
      <c r="J364" s="85">
        <f>IF(H364,An,'2018'!An_max)</f>
        <v>2019</v>
      </c>
      <c r="K364" s="196">
        <f t="shared" si="125"/>
        <v>43815</v>
      </c>
      <c r="L364" s="147">
        <f>IF(t&lt;Tvie,1-EXP((T0-t)*PertePVj)+'2018'!Pspv,1-EXP((T0-t)*PertePVj)+Pspv)</f>
        <v>1.2298829070863326E-2</v>
      </c>
      <c r="M364" s="847"/>
      <c r="N364" s="847"/>
      <c r="O364" s="48">
        <f>IF(t&lt;Tnet,'2018'!Resal+('2018'!Salim-'2018'!Resal)*(1-EXP(('2018'!Tnet-t)/('2018'!Tau_j))),Resal+(Salim-Resal)*(1-EXP((Tnet-t)/(Tau_j))))*Salcycl</f>
        <v>3.1462047556204013E-2</v>
      </c>
      <c r="P364" s="168">
        <f>(INDEX(Models!$BJ364:$BT364,,T364)*(1-R364)+INDEX(Models!$BJ364:$BT364,,T364+1)*R364-ERP_i)*Q364*Ramure*Pc/MaxiM</f>
        <v>1.964517953594078E-4</v>
      </c>
      <c r="Q364" s="304">
        <f t="shared" si="126"/>
        <v>0.5</v>
      </c>
      <c r="R364" s="176">
        <f t="shared" si="127"/>
        <v>0.13474786658333771</v>
      </c>
      <c r="S364" s="814">
        <f t="shared" si="128"/>
        <v>0</v>
      </c>
      <c r="T364" s="175">
        <f t="shared" si="129"/>
        <v>6</v>
      </c>
      <c r="U364" s="250">
        <f t="shared" si="130"/>
        <v>0.13474786658333771</v>
      </c>
      <c r="V364" s="382">
        <f t="shared" si="131"/>
        <v>24.070534209215612</v>
      </c>
      <c r="W364" s="58"/>
      <c r="X364" s="157">
        <f t="shared" si="132"/>
        <v>43815</v>
      </c>
      <c r="Y364" s="384">
        <f t="shared" si="133"/>
        <v>13.785</v>
      </c>
      <c r="Z364" s="384">
        <f t="shared" si="134"/>
        <v>13.95665045838952</v>
      </c>
      <c r="AA364" s="385">
        <f t="shared" si="135"/>
        <v>14.410019166697982</v>
      </c>
      <c r="AB364" s="196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3.1462047556204013E-2</v>
      </c>
      <c r="AD364" s="230">
        <f>(INDEX(Models!$BJ364:$BT364,,AH364)*(1-AF364)+INDEX(Models!$BJ364:$BT364,,AH364+1)*AF364-ERP_i)*AE364*Ramure*Pc/MaxiM</f>
        <v>1.964517953594078E-4</v>
      </c>
      <c r="AE364" s="304">
        <f t="shared" si="137"/>
        <v>0.5</v>
      </c>
      <c r="AF364" s="176">
        <f t="shared" si="138"/>
        <v>0.13474786658333771</v>
      </c>
      <c r="AG364" s="175">
        <f t="shared" si="139"/>
        <v>0</v>
      </c>
      <c r="AH364" s="175">
        <f t="shared" si="140"/>
        <v>6</v>
      </c>
      <c r="AI364" s="224">
        <f t="shared" si="141"/>
        <v>0.13474786658333771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43816</v>
      </c>
      <c r="B365" s="616">
        <v>11.996</v>
      </c>
      <c r="C365" s="389"/>
      <c r="D365" s="392">
        <f t="shared" si="123"/>
        <v>12.145639898003603</v>
      </c>
      <c r="E365" s="384">
        <f t="shared" si="145"/>
        <v>12.540653079749124</v>
      </c>
      <c r="F365" s="384">
        <f t="shared" si="124"/>
        <v>12.541350326075083</v>
      </c>
      <c r="G365" s="110">
        <f t="shared" si="146"/>
        <v>0.49917808944739878</v>
      </c>
      <c r="H365" s="413" t="b">
        <f>Wh_hp&gt;='2018'!Maxi_hp</f>
        <v>0</v>
      </c>
      <c r="I365" s="389">
        <f>IF(H365,Wh_hp,'2018'!Maxi_hp)</f>
        <v>21.146153256550573</v>
      </c>
      <c r="J365" s="85">
        <f>IF(H365,An,'2018'!An_max)</f>
        <v>2018</v>
      </c>
      <c r="K365" s="196">
        <f t="shared" si="125"/>
        <v>43816</v>
      </c>
      <c r="L365" s="147">
        <f>IF(t&lt;Tvie,1-EXP((T0-t)*PertePVj)+'2018'!Pspv,1-EXP((T0-t)*PertePVj)+Pspv)</f>
        <v>1.2320462261374843E-2</v>
      </c>
      <c r="M365" s="847"/>
      <c r="N365" s="847"/>
      <c r="O365" s="48">
        <f>IF(t&lt;Tnet,'2018'!Resal+('2018'!Salim-'2018'!Resal)*(1-EXP(('2018'!Tnet-t)/('2018'!Tau_j))),Resal+(Salim-Resal)*(1-EXP((Tnet-t)/(Tau_j))))*Salcycl</f>
        <v>3.1498613288600978E-2</v>
      </c>
      <c r="P365" s="168">
        <f>(INDEX(Models!$BJ365:$BT365,,T365)*(1-R365)+INDEX(Models!$BJ365:$BT365,,T365+1)*R365-ERP_i)*Q365*Ramure*Pc/MaxiM</f>
        <v>1.9531982688851806E-4</v>
      </c>
      <c r="Q365" s="304">
        <f t="shared" si="126"/>
        <v>0.5</v>
      </c>
      <c r="R365" s="176">
        <f t="shared" si="127"/>
        <v>0.13475298570162519</v>
      </c>
      <c r="S365" s="814">
        <f t="shared" si="128"/>
        <v>0</v>
      </c>
      <c r="T365" s="175">
        <f t="shared" si="129"/>
        <v>6</v>
      </c>
      <c r="U365" s="250">
        <f t="shared" si="130"/>
        <v>0.13475298570162519</v>
      </c>
      <c r="V365" s="382">
        <f t="shared" si="131"/>
        <v>24.028145527351601</v>
      </c>
      <c r="W365" s="58"/>
      <c r="X365" s="157">
        <f t="shared" si="132"/>
        <v>43816</v>
      </c>
      <c r="Y365" s="384">
        <f t="shared" si="133"/>
        <v>11.996</v>
      </c>
      <c r="Z365" s="384">
        <f t="shared" si="134"/>
        <v>12.145639898003603</v>
      </c>
      <c r="AA365" s="385">
        <f t="shared" si="135"/>
        <v>12.540653079749124</v>
      </c>
      <c r="AB365" s="196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3.1498613288600978E-2</v>
      </c>
      <c r="AD365" s="230">
        <f>(INDEX(Models!$BJ365:$BT365,,AH365)*(1-AF365)+INDEX(Models!$BJ365:$BT365,,AH365+1)*AF365-ERP_i)*AE365*Ramure*Pc/MaxiM</f>
        <v>1.9531982688851806E-4</v>
      </c>
      <c r="AE365" s="304">
        <f t="shared" si="137"/>
        <v>0.5</v>
      </c>
      <c r="AF365" s="176">
        <f t="shared" si="138"/>
        <v>0.13475298570162519</v>
      </c>
      <c r="AG365" s="175">
        <f t="shared" si="139"/>
        <v>0</v>
      </c>
      <c r="AH365" s="175">
        <f t="shared" si="140"/>
        <v>6</v>
      </c>
      <c r="AI365" s="224">
        <f t="shared" si="141"/>
        <v>0.13475298570162519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43817</v>
      </c>
      <c r="B366" s="616">
        <v>18.087</v>
      </c>
      <c r="C366" s="389"/>
      <c r="D366" s="392">
        <f t="shared" si="123"/>
        <v>18.313021045073583</v>
      </c>
      <c r="E366" s="384">
        <f t="shared" si="145"/>
        <v>18.909335172300825</v>
      </c>
      <c r="F366" s="384">
        <f t="shared" si="124"/>
        <v>18.911718783329363</v>
      </c>
      <c r="G366" s="110">
        <f t="shared" si="146"/>
        <v>0.75365917099685842</v>
      </c>
      <c r="H366" s="413" t="b">
        <f>Wh_hp&gt;='2018'!Maxi_hp</f>
        <v>1</v>
      </c>
      <c r="I366" s="389">
        <f>IF(H366,Wh_hp,'2018'!Maxi_hp)</f>
        <v>18.911718783329363</v>
      </c>
      <c r="J366" s="85">
        <f>IF(H366,An,'2018'!An_max)</f>
        <v>2019</v>
      </c>
      <c r="K366" s="196">
        <f t="shared" si="125"/>
        <v>43817</v>
      </c>
      <c r="L366" s="147">
        <f>IF(t&lt;Tvie,1-EXP((T0-t)*PertePVj)+'2018'!Pspv,1-EXP((T0-t)*PertePVj)+Pspv)</f>
        <v>1.2342094978064044E-2</v>
      </c>
      <c r="M366" s="847"/>
      <c r="N366" s="847"/>
      <c r="O366" s="48">
        <f>IF(t&lt;Tnet,'2018'!Resal+('2018'!Salim-'2018'!Resal)*(1-EXP(('2018'!Tnet-t)/('2018'!Tau_j))),Resal+(Salim-Resal)*(1-EXP((Tnet-t)/(Tau_j))))*Salcycl</f>
        <v>3.1535435899446448E-2</v>
      </c>
      <c r="P366" s="168">
        <f>(INDEX(Models!$BJ366:$BT366,,T366)*(1-R366)+INDEX(Models!$BJ366:$BT366,,T366+1)*R366-ERP_i)*Q366*Ramure*Pc/MaxiM</f>
        <v>1.9445690105555276E-4</v>
      </c>
      <c r="Q366" s="304">
        <f t="shared" si="126"/>
        <v>0.5</v>
      </c>
      <c r="R366" s="176">
        <f t="shared" si="127"/>
        <v>0.13475789887342676</v>
      </c>
      <c r="S366" s="814">
        <f t="shared" si="128"/>
        <v>0</v>
      </c>
      <c r="T366" s="175">
        <f t="shared" si="129"/>
        <v>6</v>
      </c>
      <c r="U366" s="250">
        <f t="shared" si="130"/>
        <v>0.13475789887342676</v>
      </c>
      <c r="V366" s="382">
        <f t="shared" si="131"/>
        <v>23.997269671052532</v>
      </c>
      <c r="W366" s="58"/>
      <c r="X366" s="157">
        <f t="shared" si="132"/>
        <v>43817</v>
      </c>
      <c r="Y366" s="384">
        <f t="shared" si="133"/>
        <v>18.087</v>
      </c>
      <c r="Z366" s="384">
        <f t="shared" si="134"/>
        <v>18.313021045073583</v>
      </c>
      <c r="AA366" s="385">
        <f t="shared" si="135"/>
        <v>18.909335172300825</v>
      </c>
      <c r="AB366" s="196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3.1535435899446448E-2</v>
      </c>
      <c r="AD366" s="230">
        <f>(INDEX(Models!$BJ366:$BT366,,AH366)*(1-AF366)+INDEX(Models!$BJ366:$BT366,,AH366+1)*AF366-ERP_i)*AE366*Ramure*Pc/MaxiM</f>
        <v>1.9445690105555276E-4</v>
      </c>
      <c r="AE366" s="304">
        <f t="shared" si="137"/>
        <v>0.5</v>
      </c>
      <c r="AF366" s="176">
        <f t="shared" si="138"/>
        <v>0.13475789887342676</v>
      </c>
      <c r="AG366" s="175">
        <f t="shared" si="139"/>
        <v>0</v>
      </c>
      <c r="AH366" s="175">
        <f t="shared" si="140"/>
        <v>6</v>
      </c>
      <c r="AI366" s="224">
        <f t="shared" si="141"/>
        <v>0.13475789887342676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43818</v>
      </c>
      <c r="B367" s="616">
        <v>11.414999999999999</v>
      </c>
      <c r="C367" s="389"/>
      <c r="D367" s="392">
        <f t="shared" si="123"/>
        <v>11.557898706858872</v>
      </c>
      <c r="E367" s="384">
        <f t="shared" si="145"/>
        <v>11.934707212647123</v>
      </c>
      <c r="F367" s="384">
        <f t="shared" si="124"/>
        <v>11.935288775883865</v>
      </c>
      <c r="G367" s="110">
        <f t="shared" si="146"/>
        <v>0.47599077650492622</v>
      </c>
      <c r="H367" s="413" t="b">
        <f>Wh_hp&gt;='2018'!Maxi_hp</f>
        <v>0</v>
      </c>
      <c r="I367" s="389">
        <f>IF(H367,Wh_hp,'2018'!Maxi_hp)</f>
        <v>23.272924365144423</v>
      </c>
      <c r="J367" s="85">
        <f>IF(H367,An,'2018'!An_max)</f>
        <v>2018</v>
      </c>
      <c r="K367" s="196">
        <f t="shared" si="125"/>
        <v>43818</v>
      </c>
      <c r="L367" s="147">
        <f>IF(t&lt;Tvie,1-EXP((T0-t)*PertePVj)+'2018'!Pspv,1-EXP((T0-t)*PertePVj)+Pspv)</f>
        <v>1.2363727220941256E-2</v>
      </c>
      <c r="M367" s="847"/>
      <c r="N367" s="847"/>
      <c r="O367" s="48">
        <f>IF(t&lt;Tnet,'2018'!Resal+('2018'!Salim-'2018'!Resal)*(1-EXP(('2018'!Tnet-t)/('2018'!Tau_j))),Resal+(Salim-Resal)*(1-EXP((Tnet-t)/(Tau_j))))*Salcycl</f>
        <v>3.1572496842565988E-2</v>
      </c>
      <c r="P367" s="168">
        <f>(INDEX(Models!$BJ367:$BT367,,T367)*(1-R367)+INDEX(Models!$BJ367:$BT367,,T367+1)*R367-ERP_i)*Q367*Ramure*Pc/MaxiM</f>
        <v>1.937322050550569E-4</v>
      </c>
      <c r="Q367" s="304">
        <f t="shared" si="126"/>
        <v>0.5</v>
      </c>
      <c r="R367" s="176">
        <f t="shared" si="127"/>
        <v>0.13476261437780646</v>
      </c>
      <c r="S367" s="814">
        <f t="shared" si="128"/>
        <v>0</v>
      </c>
      <c r="T367" s="175">
        <f t="shared" si="129"/>
        <v>6</v>
      </c>
      <c r="U367" s="250">
        <f t="shared" si="130"/>
        <v>0.13476261437780646</v>
      </c>
      <c r="V367" s="382">
        <f t="shared" si="131"/>
        <v>23.97807949448638</v>
      </c>
      <c r="W367" s="58"/>
      <c r="X367" s="157">
        <f t="shared" si="132"/>
        <v>43818</v>
      </c>
      <c r="Y367" s="384">
        <f t="shared" si="133"/>
        <v>11.414999999999999</v>
      </c>
      <c r="Z367" s="384">
        <f t="shared" si="134"/>
        <v>11.557898706858872</v>
      </c>
      <c r="AA367" s="385">
        <f t="shared" si="135"/>
        <v>11.934707212647123</v>
      </c>
      <c r="AB367" s="196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3.1572496842565988E-2</v>
      </c>
      <c r="AD367" s="230">
        <f>(INDEX(Models!$BJ367:$BT367,,AH367)*(1-AF367)+INDEX(Models!$BJ367:$BT367,,AH367+1)*AF367-ERP_i)*AE367*Ramure*Pc/MaxiM</f>
        <v>1.937322050550569E-4</v>
      </c>
      <c r="AE367" s="304">
        <f t="shared" si="137"/>
        <v>0.5</v>
      </c>
      <c r="AF367" s="176">
        <f t="shared" si="138"/>
        <v>0.13476261437780646</v>
      </c>
      <c r="AG367" s="175">
        <f t="shared" si="139"/>
        <v>0</v>
      </c>
      <c r="AH367" s="175">
        <f t="shared" si="140"/>
        <v>6</v>
      </c>
      <c r="AI367" s="224">
        <f t="shared" si="141"/>
        <v>0.13476261437780646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43819</v>
      </c>
      <c r="B368" s="616">
        <v>7.1879999999999997</v>
      </c>
      <c r="C368" s="389"/>
      <c r="D368" s="392">
        <f t="shared" si="123"/>
        <v>7.2781424064847782</v>
      </c>
      <c r="E368" s="384">
        <f t="shared" si="145"/>
        <v>7.5157124051234208</v>
      </c>
      <c r="F368" s="384">
        <f t="shared" si="124"/>
        <v>7.5157124051234208</v>
      </c>
      <c r="G368" s="110">
        <f t="shared" si="146"/>
        <v>0.29980761051164978</v>
      </c>
      <c r="H368" s="413" t="b">
        <f>Wh_hp&gt;='2018'!Maxi_hp</f>
        <v>0</v>
      </c>
      <c r="I368" s="389">
        <f>IF(H368,Wh_hp,'2018'!Maxi_hp)</f>
        <v>15.458197392110666</v>
      </c>
      <c r="J368" s="85">
        <f>IF(H368,An,'2018'!An_max)</f>
        <v>2018</v>
      </c>
      <c r="K368" s="196">
        <f t="shared" si="125"/>
        <v>43819</v>
      </c>
      <c r="L368" s="147">
        <f>IF(t&lt;Tvie,1-EXP((T0-t)*PertePVj)+'2018'!Pspv,1-EXP((T0-t)*PertePVj)+Pspv)</f>
        <v>1.2385358990016804E-2</v>
      </c>
      <c r="M368" s="847"/>
      <c r="N368" s="847"/>
      <c r="O368" s="48">
        <f>IF(t&lt;Tnet,'2018'!Resal+('2018'!Salim-'2018'!Resal)*(1-EXP(('2018'!Tnet-t)/('2018'!Tau_j))),Resal+(Salim-Resal)*(1-EXP((Tnet-t)/(Tau_j))))*Salcycl</f>
        <v>3.1609777734003273E-2</v>
      </c>
      <c r="P368" s="168">
        <f>(INDEX(Models!$BJ368:$BT368,,T368)*(1-R368)+INDEX(Models!$BJ368:$BT368,,T368+1)*R368-ERP_i)*Q368*Ramure*Pc/MaxiM</f>
        <v>1.9314348606306198E-4</v>
      </c>
      <c r="Q368" s="304">
        <f t="shared" si="126"/>
        <v>0.5</v>
      </c>
      <c r="R368" s="176">
        <f t="shared" si="127"/>
        <v>0.13476714016150948</v>
      </c>
      <c r="S368" s="814">
        <f t="shared" si="128"/>
        <v>0</v>
      </c>
      <c r="T368" s="175">
        <f t="shared" si="129"/>
        <v>6</v>
      </c>
      <c r="U368" s="250">
        <f t="shared" si="130"/>
        <v>0.13476714016150948</v>
      </c>
      <c r="V368" s="382">
        <f t="shared" si="131"/>
        <v>23.970744679754965</v>
      </c>
      <c r="W368" s="58"/>
      <c r="X368" s="157">
        <f t="shared" si="132"/>
        <v>43819</v>
      </c>
      <c r="Y368" s="384">
        <f t="shared" si="133"/>
        <v>7.1879999999999997</v>
      </c>
      <c r="Z368" s="384">
        <f t="shared" si="134"/>
        <v>7.2781424064847782</v>
      </c>
      <c r="AA368" s="385">
        <f t="shared" si="135"/>
        <v>7.5157124051234208</v>
      </c>
      <c r="AB368" s="196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3.1609777734003273E-2</v>
      </c>
      <c r="AD368" s="230">
        <f>(INDEX(Models!$BJ368:$BT368,,AH368)*(1-AF368)+INDEX(Models!$BJ368:$BT368,,AH368+1)*AF368-ERP_i)*AE368*Ramure*Pc/MaxiM</f>
        <v>1.9314348606306198E-4</v>
      </c>
      <c r="AE368" s="304">
        <f t="shared" si="137"/>
        <v>0.5</v>
      </c>
      <c r="AF368" s="176">
        <f t="shared" si="138"/>
        <v>0.13476714016150948</v>
      </c>
      <c r="AG368" s="175">
        <f t="shared" si="139"/>
        <v>0</v>
      </c>
      <c r="AH368" s="175">
        <f t="shared" si="140"/>
        <v>6</v>
      </c>
      <c r="AI368" s="224">
        <f t="shared" si="141"/>
        <v>0.13476714016150948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43820</v>
      </c>
      <c r="B369" s="616">
        <v>20.715</v>
      </c>
      <c r="C369" s="389"/>
      <c r="D369" s="392">
        <f t="shared" si="123"/>
        <v>20.975239593873045</v>
      </c>
      <c r="E369" s="384">
        <f t="shared" si="145"/>
        <v>21.660742761823833</v>
      </c>
      <c r="F369" s="384">
        <f t="shared" si="124"/>
        <v>21.664106207485137</v>
      </c>
      <c r="G369" s="110">
        <f t="shared" si="146"/>
        <v>0.86397700684601553</v>
      </c>
      <c r="H369" s="413" t="b">
        <f>Wh_hp&gt;='2018'!Maxi_hp</f>
        <v>1</v>
      </c>
      <c r="I369" s="389">
        <f>IF(H369,Wh_hp,'2018'!Maxi_hp)</f>
        <v>21.664106207485137</v>
      </c>
      <c r="J369" s="85">
        <f>IF(H369,An,'2018'!An_max)</f>
        <v>2019</v>
      </c>
      <c r="K369" s="196">
        <f t="shared" si="125"/>
        <v>43820</v>
      </c>
      <c r="L369" s="147">
        <f>IF(t&lt;Tvie,1-EXP((T0-t)*PertePVj)+'2018'!Pspv,1-EXP((T0-t)*PertePVj)+Pspv)</f>
        <v>1.2406990285301012E-2</v>
      </c>
      <c r="M369" s="847"/>
      <c r="N369" s="847"/>
      <c r="O369" s="48">
        <f>IF(t&lt;Tnet,'2018'!Resal+('2018'!Salim-'2018'!Resal)*(1-EXP(('2018'!Tnet-t)/('2018'!Tau_j))),Resal+(Salim-Resal)*(1-EXP((Tnet-t)/(Tau_j))))*Salcycl</f>
        <v>3.1647260460475016E-2</v>
      </c>
      <c r="P369" s="168">
        <f>(INDEX(Models!$BJ369:$BT369,,T369)*(1-R369)+INDEX(Models!$BJ369:$BT369,,T369+1)*R369-ERP_i)*Q369*Ramure*Pc/MaxiM</f>
        <v>1.9268831189503971E-4</v>
      </c>
      <c r="Q369" s="304">
        <f t="shared" si="126"/>
        <v>0.5</v>
      </c>
      <c r="R369" s="176">
        <f t="shared" si="127"/>
        <v>0.13477148385226162</v>
      </c>
      <c r="S369" s="814">
        <f t="shared" si="128"/>
        <v>0</v>
      </c>
      <c r="T369" s="175">
        <f t="shared" si="129"/>
        <v>6</v>
      </c>
      <c r="U369" s="250">
        <f t="shared" si="130"/>
        <v>0.13477148385226162</v>
      </c>
      <c r="V369" s="382">
        <f t="shared" si="131"/>
        <v>23.975434843651669</v>
      </c>
      <c r="W369" s="58"/>
      <c r="X369" s="157">
        <f t="shared" si="132"/>
        <v>43820</v>
      </c>
      <c r="Y369" s="384">
        <f t="shared" si="133"/>
        <v>20.715</v>
      </c>
      <c r="Z369" s="384">
        <f t="shared" si="134"/>
        <v>20.975239593873045</v>
      </c>
      <c r="AA369" s="385">
        <f t="shared" si="135"/>
        <v>21.660742761823833</v>
      </c>
      <c r="AB369" s="196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3.1647260460475016E-2</v>
      </c>
      <c r="AD369" s="230">
        <f>(INDEX(Models!$BJ369:$BT369,,AH369)*(1-AF369)+INDEX(Models!$BJ369:$BT369,,AH369+1)*AF369-ERP_i)*AE369*Ramure*Pc/MaxiM</f>
        <v>1.9268831189503971E-4</v>
      </c>
      <c r="AE369" s="304">
        <f t="shared" si="137"/>
        <v>0.5</v>
      </c>
      <c r="AF369" s="176">
        <f t="shared" si="138"/>
        <v>0.13477148385226162</v>
      </c>
      <c r="AG369" s="175">
        <f t="shared" si="139"/>
        <v>0</v>
      </c>
      <c r="AH369" s="175">
        <f t="shared" si="140"/>
        <v>6</v>
      </c>
      <c r="AI369" s="224">
        <f t="shared" si="141"/>
        <v>0.13477148385226162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43821</v>
      </c>
      <c r="B370" s="616">
        <v>6.97</v>
      </c>
      <c r="C370" s="389"/>
      <c r="D370" s="392">
        <f t="shared" si="123"/>
        <v>7.0577176991616675</v>
      </c>
      <c r="E370" s="384">
        <f t="shared" si="145"/>
        <v>7.2886583076205804</v>
      </c>
      <c r="F370" s="384">
        <f t="shared" si="124"/>
        <v>7.2886583076205804</v>
      </c>
      <c r="G370" s="110">
        <f t="shared" si="146"/>
        <v>0.29045375183371874</v>
      </c>
      <c r="H370" s="413" t="b">
        <f>Wh_hp&gt;='2018'!Maxi_hp</f>
        <v>1</v>
      </c>
      <c r="I370" s="389">
        <f>IF(H370,Wh_hp,'2018'!Maxi_hp)</f>
        <v>7.2886583076205804</v>
      </c>
      <c r="J370" s="85">
        <f>IF(H370,An,'2018'!An_max)</f>
        <v>2019</v>
      </c>
      <c r="K370" s="196">
        <f t="shared" si="125"/>
        <v>43821</v>
      </c>
      <c r="L370" s="147">
        <f>IF(t&lt;Tvie,1-EXP((T0-t)*PertePVj)+'2018'!Pspv,1-EXP((T0-t)*PertePVj)+Pspv)</f>
        <v>1.2428621106804427E-2</v>
      </c>
      <c r="M370" s="847"/>
      <c r="N370" s="847"/>
      <c r="O370" s="48">
        <f>IF(t&lt;Tnet,'2018'!Resal+('2018'!Salim-'2018'!Resal)*(1-EXP(('2018'!Tnet-t)/('2018'!Tau_j))),Resal+(Salim-Resal)*(1-EXP((Tnet-t)/(Tau_j))))*Salcycl</f>
        <v>3.1684927281809251E-2</v>
      </c>
      <c r="P370" s="168">
        <f>(INDEX(Models!$BJ370:$BT370,,T370)*(1-R370)+INDEX(Models!$BJ370:$BT370,,T370+1)*R370-ERP_i)*Q370*Ramure*Pc/MaxiM</f>
        <v>1.9236406897981328E-4</v>
      </c>
      <c r="Q370" s="304">
        <f t="shared" si="126"/>
        <v>0.5</v>
      </c>
      <c r="R370" s="176">
        <f t="shared" si="127"/>
        <v>0.13477565277153997</v>
      </c>
      <c r="S370" s="814">
        <f t="shared" si="128"/>
        <v>0</v>
      </c>
      <c r="T370" s="175">
        <f t="shared" si="129"/>
        <v>6</v>
      </c>
      <c r="U370" s="250">
        <f t="shared" si="130"/>
        <v>0.13477565277153997</v>
      </c>
      <c r="V370" s="382">
        <f t="shared" si="131"/>
        <v>23.992319529164437</v>
      </c>
      <c r="W370" s="58"/>
      <c r="X370" s="157">
        <f t="shared" si="132"/>
        <v>43821</v>
      </c>
      <c r="Y370" s="384">
        <f t="shared" si="133"/>
        <v>6.97</v>
      </c>
      <c r="Z370" s="384">
        <f t="shared" si="134"/>
        <v>7.0577176991616675</v>
      </c>
      <c r="AA370" s="385">
        <f t="shared" si="135"/>
        <v>7.2886583076205804</v>
      </c>
      <c r="AB370" s="196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3.1684927281809251E-2</v>
      </c>
      <c r="AD370" s="230">
        <f>(INDEX(Models!$BJ370:$BT370,,AH370)*(1-AF370)+INDEX(Models!$BJ370:$BT370,,AH370+1)*AF370-ERP_i)*AE370*Ramure*Pc/MaxiM</f>
        <v>1.9236406897981328E-4</v>
      </c>
      <c r="AE370" s="304">
        <f t="shared" si="137"/>
        <v>0.5</v>
      </c>
      <c r="AF370" s="176">
        <f t="shared" si="138"/>
        <v>0.13477565277153997</v>
      </c>
      <c r="AG370" s="175">
        <f t="shared" si="139"/>
        <v>0</v>
      </c>
      <c r="AH370" s="175">
        <f t="shared" si="140"/>
        <v>6</v>
      </c>
      <c r="AI370" s="224">
        <f t="shared" si="141"/>
        <v>0.13477565277153997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43822</v>
      </c>
      <c r="B371" s="616">
        <v>8.4120000000000008</v>
      </c>
      <c r="C371" s="389"/>
      <c r="D371" s="392">
        <f t="shared" si="123"/>
        <v>8.5180518879072427</v>
      </c>
      <c r="E371" s="384">
        <f t="shared" si="145"/>
        <v>8.7971208494577482</v>
      </c>
      <c r="F371" s="384">
        <f t="shared" si="124"/>
        <v>8.7972420495230441</v>
      </c>
      <c r="G371" s="110">
        <f t="shared" si="146"/>
        <v>0.3501228263232285</v>
      </c>
      <c r="H371" s="413" t="b">
        <f>Wh_hp&gt;='2018'!Maxi_hp</f>
        <v>1</v>
      </c>
      <c r="I371" s="389">
        <f>IF(H371,Wh_hp,'2018'!Maxi_hp)</f>
        <v>8.7972420495230441</v>
      </c>
      <c r="J371" s="85">
        <f>IF(H371,An,'2018'!An_max)</f>
        <v>2019</v>
      </c>
      <c r="K371" s="196">
        <f t="shared" si="125"/>
        <v>43822</v>
      </c>
      <c r="L371" s="147">
        <f>IF(t&lt;Tvie,1-EXP((T0-t)*PertePVj)+'2018'!Pspv,1-EXP((T0-t)*PertePVj)+Pspv)</f>
        <v>1.2450251454537375E-2</v>
      </c>
      <c r="M371" s="847"/>
      <c r="N371" s="847"/>
      <c r="O371" s="48">
        <f>IF(t&lt;Tnet,'2018'!Resal+('2018'!Salim-'2018'!Resal)*(1-EXP(('2018'!Tnet-t)/('2018'!Tau_j))),Resal+(Salim-Resal)*(1-EXP((Tnet-t)/(Tau_j))))*Salcycl</f>
        <v>3.1722760926685162E-2</v>
      </c>
      <c r="P371" s="168">
        <f>(INDEX(Models!$BJ371:$BT371,,T371)*(1-R371)+INDEX(Models!$BJ371:$BT371,,T371+1)*R371-ERP_i)*Q371*Ramure*Pc/MaxiM</f>
        <v>1.9216657839491661E-4</v>
      </c>
      <c r="Q371" s="304">
        <f t="shared" si="126"/>
        <v>0.5</v>
      </c>
      <c r="R371" s="176">
        <f t="shared" si="127"/>
        <v>0.13477565277153997</v>
      </c>
      <c r="S371" s="814">
        <f t="shared" si="128"/>
        <v>0</v>
      </c>
      <c r="T371" s="175">
        <f t="shared" si="129"/>
        <v>6</v>
      </c>
      <c r="U371" s="250">
        <f t="shared" si="130"/>
        <v>0.13477565277153997</v>
      </c>
      <c r="V371" s="382">
        <f t="shared" si="131"/>
        <v>24.021568244936848</v>
      </c>
      <c r="W371" s="58"/>
      <c r="X371" s="157">
        <f t="shared" si="132"/>
        <v>43822</v>
      </c>
      <c r="Y371" s="384">
        <f t="shared" si="133"/>
        <v>8.4120000000000008</v>
      </c>
      <c r="Z371" s="384">
        <f t="shared" si="134"/>
        <v>8.5180518879072427</v>
      </c>
      <c r="AA371" s="385">
        <f t="shared" si="135"/>
        <v>8.7971208494577482</v>
      </c>
      <c r="AB371" s="196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3.1722760926685162E-2</v>
      </c>
      <c r="AD371" s="230">
        <f>(INDEX(Models!$BJ371:$BT371,,AH371)*(1-AF371)+INDEX(Models!$BJ371:$BT371,,AH371+1)*AF371-ERP_i)*AE371*Ramure*Pc/MaxiM</f>
        <v>1.9216657839491661E-4</v>
      </c>
      <c r="AE371" s="304">
        <f t="shared" si="137"/>
        <v>0.5</v>
      </c>
      <c r="AF371" s="176">
        <f t="shared" si="138"/>
        <v>0.13477565277153997</v>
      </c>
      <c r="AG371" s="175">
        <f t="shared" si="139"/>
        <v>0</v>
      </c>
      <c r="AH371" s="175">
        <f t="shared" si="140"/>
        <v>6</v>
      </c>
      <c r="AI371" s="224">
        <f t="shared" si="141"/>
        <v>0.13477565277153997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43823</v>
      </c>
      <c r="B372" s="616">
        <v>15.746</v>
      </c>
      <c r="C372" s="389"/>
      <c r="D372" s="392">
        <f t="shared" si="123"/>
        <v>15.944862432051972</v>
      </c>
      <c r="E372" s="384">
        <f t="shared" si="145"/>
        <v>16.467895041912694</v>
      </c>
      <c r="F372" s="384">
        <f t="shared" si="124"/>
        <v>16.469496575417363</v>
      </c>
      <c r="G372" s="110">
        <f t="shared" si="146"/>
        <v>0.65429402311218354</v>
      </c>
      <c r="H372" s="413" t="b">
        <f>Wh_hp&gt;='2018'!Maxi_hp</f>
        <v>1</v>
      </c>
      <c r="I372" s="389">
        <f>IF(H372,Wh_hp,'2018'!Maxi_hp)</f>
        <v>16.469496575417363</v>
      </c>
      <c r="J372" s="85">
        <f>IF(H372,An,'2018'!An_max)</f>
        <v>2019</v>
      </c>
      <c r="K372" s="196">
        <f t="shared" si="125"/>
        <v>43823</v>
      </c>
      <c r="L372" s="147">
        <f>IF(t&lt;Tvie,1-EXP((T0-t)*PertePVj)+'2018'!Pspv,1-EXP((T0-t)*PertePVj)+Pspv)</f>
        <v>1.247188132851007E-2</v>
      </c>
      <c r="M372" s="847"/>
      <c r="N372" s="847"/>
      <c r="O372" s="48">
        <f>IF(t&lt;Tnet,'2018'!Resal+('2018'!Salim-'2018'!Resal)*(1-EXP(('2018'!Tnet-t)/('2018'!Tau_j))),Resal+(Salim-Resal)*(1-EXP((Tnet-t)/(Tau_j))))*Salcycl</f>
        <v>3.1760744681062353E-2</v>
      </c>
      <c r="P372" s="168">
        <f>(INDEX(Models!$BJ372:$BT372,,T372)*(1-R372)+INDEX(Models!$BJ372:$BT372,,T372+1)*R372-ERP_i)*Q372*Ramure*Pc/MaxiM</f>
        <v>1.9209401603391743E-4</v>
      </c>
      <c r="Q372" s="304">
        <f t="shared" si="126"/>
        <v>0.5</v>
      </c>
      <c r="R372" s="176">
        <f t="shared" si="127"/>
        <v>0.13477565277153997</v>
      </c>
      <c r="S372" s="814">
        <f t="shared" si="128"/>
        <v>0</v>
      </c>
      <c r="T372" s="175">
        <f t="shared" si="129"/>
        <v>6</v>
      </c>
      <c r="U372" s="250">
        <f t="shared" si="130"/>
        <v>0.13477565277153997</v>
      </c>
      <c r="V372" s="382">
        <f t="shared" si="131"/>
        <v>24.063350367225716</v>
      </c>
      <c r="W372" s="58"/>
      <c r="X372" s="157">
        <f t="shared" si="132"/>
        <v>43823</v>
      </c>
      <c r="Y372" s="384">
        <f t="shared" si="133"/>
        <v>15.746</v>
      </c>
      <c r="Z372" s="384">
        <f t="shared" si="134"/>
        <v>15.944862432051972</v>
      </c>
      <c r="AA372" s="385">
        <f t="shared" si="135"/>
        <v>16.467895041912694</v>
      </c>
      <c r="AB372" s="196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3.1760744681062353E-2</v>
      </c>
      <c r="AD372" s="230">
        <f>(INDEX(Models!$BJ372:$BT372,,AH372)*(1-AF372)+INDEX(Models!$BJ372:$BT372,,AH372+1)*AF372-ERP_i)*AE372*Ramure*Pc/MaxiM</f>
        <v>1.9209401603391743E-4</v>
      </c>
      <c r="AE372" s="304">
        <f t="shared" si="137"/>
        <v>0.5</v>
      </c>
      <c r="AF372" s="176">
        <f t="shared" si="138"/>
        <v>0.13477565277153997</v>
      </c>
      <c r="AG372" s="175">
        <f t="shared" si="139"/>
        <v>0</v>
      </c>
      <c r="AH372" s="175">
        <f t="shared" si="140"/>
        <v>6</v>
      </c>
      <c r="AI372" s="224">
        <f t="shared" si="141"/>
        <v>0.13477565277153997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43824</v>
      </c>
      <c r="B373" s="616">
        <v>10.291</v>
      </c>
      <c r="C373" s="389"/>
      <c r="D373" s="392">
        <f t="shared" si="123"/>
        <v>10.421197340783321</v>
      </c>
      <c r="E373" s="384">
        <f t="shared" si="145"/>
        <v>10.763463227646836</v>
      </c>
      <c r="F373" s="384">
        <f t="shared" si="124"/>
        <v>10.763837499436184</v>
      </c>
      <c r="G373" s="110">
        <f t="shared" si="146"/>
        <v>0.42661371904825296</v>
      </c>
      <c r="H373" s="413" t="b">
        <f>Wh_hp&gt;='2018'!Maxi_hp</f>
        <v>0</v>
      </c>
      <c r="I373" s="389">
        <f>IF(H373,Wh_hp,'2018'!Maxi_hp)</f>
        <v>16.698245889929026</v>
      </c>
      <c r="J373" s="85">
        <f>IF(H373,An,'2018'!An_max)</f>
        <v>2018</v>
      </c>
      <c r="K373" s="196">
        <f t="shared" si="125"/>
        <v>43824</v>
      </c>
      <c r="L373" s="147">
        <f>IF(t&lt;Tvie,1-EXP((T0-t)*PertePVj)+'2018'!Pspv,1-EXP((T0-t)*PertePVj)+Pspv)</f>
        <v>1.2493510728733059E-2</v>
      </c>
      <c r="M373" s="847"/>
      <c r="N373" s="847"/>
      <c r="O373" s="48">
        <f>IF(t&lt;Tnet,'2018'!Resal+('2018'!Salim-'2018'!Resal)*(1-EXP(('2018'!Tnet-t)/('2018'!Tau_j))),Resal+(Salim-Resal)*(1-EXP((Tnet-t)/(Tau_j))))*Salcycl</f>
        <v>3.1798862468761672E-2</v>
      </c>
      <c r="P373" s="168">
        <f>(INDEX(Models!$BJ373:$BT373,,T373)*(1-R373)+INDEX(Models!$BJ373:$BT373,,T373+1)*R373-ERP_i)*Q373*Ramure*Pc/MaxiM</f>
        <v>1.9213521854617857E-4</v>
      </c>
      <c r="Q373" s="304">
        <f t="shared" si="126"/>
        <v>0.5</v>
      </c>
      <c r="R373" s="176">
        <f t="shared" si="127"/>
        <v>0.13477565277153997</v>
      </c>
      <c r="S373" s="814">
        <f t="shared" si="128"/>
        <v>0</v>
      </c>
      <c r="T373" s="175">
        <f t="shared" si="129"/>
        <v>6</v>
      </c>
      <c r="U373" s="250">
        <f t="shared" si="130"/>
        <v>0.13477565277153997</v>
      </c>
      <c r="V373" s="382">
        <f t="shared" si="131"/>
        <v>24.118728609479952</v>
      </c>
      <c r="W373" s="58"/>
      <c r="X373" s="157">
        <f t="shared" si="132"/>
        <v>43824</v>
      </c>
      <c r="Y373" s="384">
        <f t="shared" si="133"/>
        <v>10.291</v>
      </c>
      <c r="Z373" s="384">
        <f t="shared" si="134"/>
        <v>10.421197340783321</v>
      </c>
      <c r="AA373" s="385">
        <f t="shared" si="135"/>
        <v>10.763463227646836</v>
      </c>
      <c r="AB373" s="196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3.1798862468761672E-2</v>
      </c>
      <c r="AD373" s="230">
        <f>(INDEX(Models!$BJ373:$BT373,,AH373)*(1-AF373)+INDEX(Models!$BJ373:$BT373,,AH373+1)*AF373-ERP_i)*AE373*Ramure*Pc/MaxiM</f>
        <v>1.9213521854617857E-4</v>
      </c>
      <c r="AE373" s="304">
        <f t="shared" si="137"/>
        <v>0.5</v>
      </c>
      <c r="AF373" s="176">
        <f t="shared" si="138"/>
        <v>0.13477565277153997</v>
      </c>
      <c r="AG373" s="175">
        <f t="shared" si="139"/>
        <v>0</v>
      </c>
      <c r="AH373" s="175">
        <f t="shared" si="140"/>
        <v>6</v>
      </c>
      <c r="AI373" s="224">
        <f t="shared" si="141"/>
        <v>0.13477565277153997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43825</v>
      </c>
      <c r="B374" s="616">
        <v>7.0049999999999999</v>
      </c>
      <c r="C374" s="389"/>
      <c r="D374" s="392">
        <f t="shared" si="123"/>
        <v>7.0937796429144075</v>
      </c>
      <c r="E374" s="384">
        <f t="shared" si="145"/>
        <v>7.327051713124499</v>
      </c>
      <c r="F374" s="384">
        <f t="shared" si="124"/>
        <v>7.327051713124499</v>
      </c>
      <c r="G374" s="110">
        <f t="shared" si="146"/>
        <v>0.28954745321170627</v>
      </c>
      <c r="H374" s="413" t="b">
        <f>Wh_hp&gt;='2018'!Maxi_hp</f>
        <v>0</v>
      </c>
      <c r="I374" s="389">
        <f>IF(H374,Wh_hp,'2018'!Maxi_hp)</f>
        <v>24.848198087219174</v>
      </c>
      <c r="J374" s="85">
        <f>IF(H374,An,'2018'!An_max)</f>
        <v>2018</v>
      </c>
      <c r="K374" s="196">
        <f t="shared" si="125"/>
        <v>43825</v>
      </c>
      <c r="L374" s="147">
        <f>IF(t&lt;Tvie,1-EXP((T0-t)*PertePVj)+'2018'!Pspv,1-EXP((T0-t)*PertePVj)+Pspv)</f>
        <v>1.2515139655216778E-2</v>
      </c>
      <c r="M374" s="847"/>
      <c r="N374" s="847"/>
      <c r="O374" s="48">
        <f>IF(t&lt;Tnet,'2018'!Resal+('2018'!Salim-'2018'!Resal)*(1-EXP(('2018'!Tnet-t)/('2018'!Tau_j))),Resal+(Salim-Resal)*(1-EXP((Tnet-t)/(Tau_j))))*Salcycl</f>
        <v>3.1837098923738441E-2</v>
      </c>
      <c r="P374" s="168">
        <f>(INDEX(Models!$BJ374:$BT374,,T374)*(1-R374)+INDEX(Models!$BJ374:$BT374,,T374+1)*R374-ERP_i)*Q374*Ramure*Pc/MaxiM</f>
        <v>1.9228281536594932E-4</v>
      </c>
      <c r="Q374" s="304">
        <f t="shared" si="126"/>
        <v>0.5</v>
      </c>
      <c r="R374" s="176">
        <f t="shared" si="127"/>
        <v>0.13477565277153997</v>
      </c>
      <c r="S374" s="814">
        <f t="shared" si="128"/>
        <v>0</v>
      </c>
      <c r="T374" s="175">
        <f t="shared" si="129"/>
        <v>6</v>
      </c>
      <c r="U374" s="250">
        <f t="shared" si="130"/>
        <v>0.13477565277153997</v>
      </c>
      <c r="V374" s="382">
        <f t="shared" si="131"/>
        <v>24.188273739564035</v>
      </c>
      <c r="W374" s="58"/>
      <c r="X374" s="157">
        <f t="shared" si="132"/>
        <v>43825</v>
      </c>
      <c r="Y374" s="384">
        <f t="shared" si="133"/>
        <v>7.0049999999999999</v>
      </c>
      <c r="Z374" s="384">
        <f t="shared" si="134"/>
        <v>7.0937796429144075</v>
      </c>
      <c r="AA374" s="385">
        <f t="shared" si="135"/>
        <v>7.327051713124499</v>
      </c>
      <c r="AB374" s="196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3.1837098923738441E-2</v>
      </c>
      <c r="AD374" s="230">
        <f>(INDEX(Models!$BJ374:$BT374,,AH374)*(1-AF374)+INDEX(Models!$BJ374:$BT374,,AH374+1)*AF374-ERP_i)*AE374*Ramure*Pc/MaxiM</f>
        <v>1.9228281536594932E-4</v>
      </c>
      <c r="AE374" s="304">
        <f t="shared" si="137"/>
        <v>0.5</v>
      </c>
      <c r="AF374" s="176">
        <f t="shared" si="138"/>
        <v>0.13477565277153997</v>
      </c>
      <c r="AG374" s="175">
        <f t="shared" si="139"/>
        <v>0</v>
      </c>
      <c r="AH374" s="175">
        <f t="shared" si="140"/>
        <v>6</v>
      </c>
      <c r="AI374" s="224">
        <f t="shared" si="141"/>
        <v>0.13477565277153997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43826</v>
      </c>
      <c r="B375" s="616">
        <v>20.581</v>
      </c>
      <c r="C375" s="389"/>
      <c r="D375" s="392">
        <f t="shared" si="123"/>
        <v>20.842295019497364</v>
      </c>
      <c r="E375" s="384">
        <f t="shared" si="145"/>
        <v>21.528526254654345</v>
      </c>
      <c r="F375" s="384">
        <f t="shared" si="124"/>
        <v>21.53177358404178</v>
      </c>
      <c r="G375" s="110">
        <f t="shared" si="146"/>
        <v>0.84791674679640305</v>
      </c>
      <c r="H375" s="413" t="b">
        <f>Wh_hp&gt;='2018'!Maxi_hp</f>
        <v>0</v>
      </c>
      <c r="I375" s="389">
        <f>IF(H375,Wh_hp,'2018'!Maxi_hp)</f>
        <v>25.062175747198527</v>
      </c>
      <c r="J375" s="85">
        <f>IF(H375,An,'2018'!An_max)</f>
        <v>2018</v>
      </c>
      <c r="K375" s="196">
        <f t="shared" si="125"/>
        <v>43826</v>
      </c>
      <c r="L375" s="147">
        <f>IF(t&lt;Tvie,1-EXP((T0-t)*PertePVj)+'2018'!Pspv,1-EXP((T0-t)*PertePVj)+Pspv)</f>
        <v>1.253676810797133E-2</v>
      </c>
      <c r="M375" s="847"/>
      <c r="N375" s="847"/>
      <c r="O375" s="48">
        <f>IF(t&lt;Tnet,'2018'!Resal+('2018'!Salim-'2018'!Resal)*(1-EXP(('2018'!Tnet-t)/('2018'!Tau_j))),Resal+(Salim-Resal)*(1-EXP((Tnet-t)/(Tau_j))))*Salcycl</f>
        <v>3.1875439453670093E-2</v>
      </c>
      <c r="P375" s="168">
        <f>(INDEX(Models!$BJ375:$BT375,,T375)*(1-R375)+INDEX(Models!$BJ375:$BT375,,T375+1)*R375-ERP_i)*Q375*Ramure*Pc/MaxiM</f>
        <v>1.9266457703033199E-4</v>
      </c>
      <c r="Q375" s="304">
        <f t="shared" si="126"/>
        <v>0.5</v>
      </c>
      <c r="R375" s="176">
        <f t="shared" si="127"/>
        <v>0.13477565277153997</v>
      </c>
      <c r="S375" s="814">
        <f t="shared" si="128"/>
        <v>0</v>
      </c>
      <c r="T375" s="175">
        <f t="shared" si="129"/>
        <v>6</v>
      </c>
      <c r="U375" s="250">
        <f t="shared" si="130"/>
        <v>0.13477565277153997</v>
      </c>
      <c r="V375" s="382">
        <f t="shared" si="131"/>
        <v>24.271414211346887</v>
      </c>
      <c r="W375" s="58"/>
      <c r="X375" s="157">
        <f t="shared" si="132"/>
        <v>43826</v>
      </c>
      <c r="Y375" s="384">
        <f t="shared" si="133"/>
        <v>20.581</v>
      </c>
      <c r="Z375" s="384">
        <f t="shared" si="134"/>
        <v>20.842295019497364</v>
      </c>
      <c r="AA375" s="385">
        <f t="shared" si="135"/>
        <v>21.528526254654345</v>
      </c>
      <c r="AB375" s="196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3.1875439453670093E-2</v>
      </c>
      <c r="AD375" s="230">
        <f>(INDEX(Models!$BJ375:$BT375,,AH375)*(1-AF375)+INDEX(Models!$BJ375:$BT375,,AH375+1)*AF375-ERP_i)*AE375*Ramure*Pc/MaxiM</f>
        <v>1.9266457703033199E-4</v>
      </c>
      <c r="AE375" s="304">
        <f t="shared" si="137"/>
        <v>0.5</v>
      </c>
      <c r="AF375" s="176">
        <f t="shared" si="138"/>
        <v>0.13477565277153997</v>
      </c>
      <c r="AG375" s="175">
        <f t="shared" si="139"/>
        <v>0</v>
      </c>
      <c r="AH375" s="175">
        <f t="shared" si="140"/>
        <v>6</v>
      </c>
      <c r="AI375" s="224">
        <f t="shared" si="141"/>
        <v>0.13477565277153997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43827</v>
      </c>
      <c r="B376" s="616">
        <v>3.2189999999999999</v>
      </c>
      <c r="C376" s="389"/>
      <c r="D376" s="392">
        <f t="shared" si="123"/>
        <v>3.2599396128782505</v>
      </c>
      <c r="E376" s="384">
        <f t="shared" si="145"/>
        <v>3.36740659002125</v>
      </c>
      <c r="F376" s="384">
        <f t="shared" si="124"/>
        <v>3.36740659002125</v>
      </c>
      <c r="G376" s="110">
        <f t="shared" si="146"/>
        <v>0.13207620994446126</v>
      </c>
      <c r="H376" s="413" t="b">
        <f>Wh_hp&gt;='2018'!Maxi_hp</f>
        <v>1</v>
      </c>
      <c r="I376" s="389">
        <f>IF(H376,Wh_hp,'2018'!Maxi_hp)</f>
        <v>3.36740659002125</v>
      </c>
      <c r="J376" s="85">
        <f>IF(H376,An,'2018'!An_max)</f>
        <v>2019</v>
      </c>
      <c r="K376" s="196">
        <f t="shared" si="125"/>
        <v>43827</v>
      </c>
      <c r="L376" s="147">
        <f>IF(t&lt;Tvie,1-EXP((T0-t)*PertePVj)+'2018'!Pspv,1-EXP((T0-t)*PertePVj)+Pspv)</f>
        <v>1.2558396087007373E-2</v>
      </c>
      <c r="M376" s="847"/>
      <c r="N376" s="847"/>
      <c r="O376" s="48">
        <f>IF(t&lt;Tnet,'2018'!Resal+('2018'!Salim-'2018'!Resal)*(1-EXP(('2018'!Tnet-t)/('2018'!Tau_j))),Resal+(Salim-Resal)*(1-EXP((Tnet-t)/(Tau_j))))*Salcycl</f>
        <v>3.1913870294564405E-2</v>
      </c>
      <c r="P376" s="168">
        <f>(INDEX(Models!$BJ376:$BT376,,T376)*(1-R376)+INDEX(Models!$BJ376:$BT376,,T376+1)*R376-ERP_i)*Q376*Ramure*Pc/MaxiM</f>
        <v>1.9318013498440103E-4</v>
      </c>
      <c r="Q376" s="304">
        <f t="shared" si="126"/>
        <v>0.5</v>
      </c>
      <c r="R376" s="176">
        <f t="shared" si="127"/>
        <v>0.13477565277153997</v>
      </c>
      <c r="S376" s="814">
        <f t="shared" si="128"/>
        <v>0</v>
      </c>
      <c r="T376" s="175">
        <f t="shared" si="129"/>
        <v>6</v>
      </c>
      <c r="U376" s="250">
        <f t="shared" si="130"/>
        <v>0.13477565277153997</v>
      </c>
      <c r="V376" s="382">
        <f t="shared" si="131"/>
        <v>24.367584097838893</v>
      </c>
      <c r="W376" s="58"/>
      <c r="X376" s="157">
        <f t="shared" si="132"/>
        <v>43827</v>
      </c>
      <c r="Y376" s="384">
        <f t="shared" si="133"/>
        <v>3.2189999999999999</v>
      </c>
      <c r="Z376" s="384">
        <f t="shared" si="134"/>
        <v>3.2599396128782505</v>
      </c>
      <c r="AA376" s="385">
        <f t="shared" si="135"/>
        <v>3.36740659002125</v>
      </c>
      <c r="AB376" s="196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3.1913870294564405E-2</v>
      </c>
      <c r="AD376" s="230">
        <f>(INDEX(Models!$BJ376:$BT376,,AH376)*(1-AF376)+INDEX(Models!$BJ376:$BT376,,AH376+1)*AF376-ERP_i)*AE376*Ramure*Pc/MaxiM</f>
        <v>1.9318013498440103E-4</v>
      </c>
      <c r="AE376" s="304">
        <f t="shared" si="137"/>
        <v>0.5</v>
      </c>
      <c r="AF376" s="176">
        <f t="shared" si="138"/>
        <v>0.13477565277153997</v>
      </c>
      <c r="AG376" s="175">
        <f t="shared" si="139"/>
        <v>0</v>
      </c>
      <c r="AH376" s="175">
        <f t="shared" si="140"/>
        <v>6</v>
      </c>
      <c r="AI376" s="224">
        <f t="shared" si="141"/>
        <v>0.13477565277153997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43828</v>
      </c>
      <c r="B377" s="616">
        <v>23.733000000000001</v>
      </c>
      <c r="C377" s="389"/>
      <c r="D377" s="392">
        <f t="shared" si="123"/>
        <v>24.035365464595003</v>
      </c>
      <c r="E377" s="384">
        <f t="shared" si="145"/>
        <v>24.828701535103015</v>
      </c>
      <c r="F377" s="384">
        <f t="shared" si="124"/>
        <v>24.833306177671162</v>
      </c>
      <c r="G377" s="110">
        <f t="shared" si="146"/>
        <v>0.96962705532523985</v>
      </c>
      <c r="H377" s="413" t="b">
        <f>Wh_hp&gt;='2018'!Maxi_hp</f>
        <v>1</v>
      </c>
      <c r="I377" s="389">
        <f>IF(H377,Wh_hp,'2018'!Maxi_hp)</f>
        <v>24.833306177671162</v>
      </c>
      <c r="J377" s="85">
        <f>IF(H377,An,'2018'!An_max)</f>
        <v>2019</v>
      </c>
      <c r="K377" s="196">
        <f t="shared" si="125"/>
        <v>43828</v>
      </c>
      <c r="L377" s="147">
        <f>IF(t&lt;Tvie,1-EXP((T0-t)*PertePVj)+'2018'!Pspv,1-EXP((T0-t)*PertePVj)+Pspv)</f>
        <v>1.2580023592335121E-2</v>
      </c>
      <c r="M377" s="847"/>
      <c r="N377" s="847"/>
      <c r="O377" s="48">
        <f>IF(t&lt;Tnet,'2018'!Resal+('2018'!Salim-'2018'!Resal)*(1-EXP(('2018'!Tnet-t)/('2018'!Tau_j))),Resal+(Salim-Resal)*(1-EXP((Tnet-t)/(Tau_j))))*Salcycl</f>
        <v>3.1952378556179717E-2</v>
      </c>
      <c r="P377" s="168">
        <f>(INDEX(Models!$BJ377:$BT377,,T377)*(1-R377)+INDEX(Models!$BJ377:$BT377,,T377+1)*R377-ERP_i)*Q377*Ramure*Pc/MaxiM</f>
        <v>1.9383006441561548E-4</v>
      </c>
      <c r="Q377" s="304">
        <f t="shared" si="126"/>
        <v>0.5</v>
      </c>
      <c r="R377" s="176">
        <f t="shared" si="127"/>
        <v>0.13477565277153997</v>
      </c>
      <c r="S377" s="814">
        <f t="shared" si="128"/>
        <v>0</v>
      </c>
      <c r="T377" s="175">
        <f t="shared" si="129"/>
        <v>6</v>
      </c>
      <c r="U377" s="250">
        <f t="shared" si="130"/>
        <v>0.13477565277153997</v>
      </c>
      <c r="V377" s="382">
        <f t="shared" si="131"/>
        <v>24.476215144030853</v>
      </c>
      <c r="W377" s="58"/>
      <c r="X377" s="157">
        <f t="shared" si="132"/>
        <v>43828</v>
      </c>
      <c r="Y377" s="384">
        <f t="shared" si="133"/>
        <v>23.733000000000001</v>
      </c>
      <c r="Z377" s="384">
        <f t="shared" si="134"/>
        <v>24.035365464595003</v>
      </c>
      <c r="AA377" s="385">
        <f t="shared" si="135"/>
        <v>24.828701535103015</v>
      </c>
      <c r="AB377" s="196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3.1952378556179717E-2</v>
      </c>
      <c r="AD377" s="230">
        <f>(INDEX(Models!$BJ377:$BT377,,AH377)*(1-AF377)+INDEX(Models!$BJ377:$BT377,,AH377+1)*AF377-ERP_i)*AE377*Ramure*Pc/MaxiM</f>
        <v>1.9383006441561548E-4</v>
      </c>
      <c r="AE377" s="304">
        <f t="shared" si="137"/>
        <v>0.5</v>
      </c>
      <c r="AF377" s="176">
        <f t="shared" si="138"/>
        <v>0.13477565277153997</v>
      </c>
      <c r="AG377" s="175">
        <f t="shared" si="139"/>
        <v>0</v>
      </c>
      <c r="AH377" s="175">
        <f t="shared" si="140"/>
        <v>6</v>
      </c>
      <c r="AI377" s="224">
        <f t="shared" si="141"/>
        <v>0.13477565277153997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43829</v>
      </c>
      <c r="B378" s="616">
        <v>24.814</v>
      </c>
      <c r="C378" s="389"/>
      <c r="D378" s="392">
        <f t="shared" si="123"/>
        <v>25.13068815203172</v>
      </c>
      <c r="E378" s="384">
        <f t="shared" si="145"/>
        <v>25.961212047196923</v>
      </c>
      <c r="F378" s="384">
        <f t="shared" si="124"/>
        <v>25.966265464195352</v>
      </c>
      <c r="G378" s="110">
        <f t="shared" si="146"/>
        <v>1.0088329105443894</v>
      </c>
      <c r="H378" s="413" t="b">
        <f>Wh_hp&gt;='2018'!Maxi_hp</f>
        <v>1</v>
      </c>
      <c r="I378" s="389">
        <f>IF(H378,Wh_hp,'2018'!Maxi_hp)</f>
        <v>25.966265464195352</v>
      </c>
      <c r="J378" s="85">
        <f>IF(H378,An,'2018'!An_max)</f>
        <v>2019</v>
      </c>
      <c r="K378" s="196">
        <f t="shared" si="125"/>
        <v>43829</v>
      </c>
      <c r="L378" s="147">
        <f>IF(t&lt;Tvie,1-EXP((T0-t)*PertePVj)+'2018'!Pspv,1-EXP((T0-t)*PertePVj)+Pspv)</f>
        <v>1.2601650623965011E-2</v>
      </c>
      <c r="M378" s="847"/>
      <c r="N378" s="847"/>
      <c r="O378" s="48">
        <f>IF(t&lt;Tnet,'2018'!Resal+('2018'!Salim-'2018'!Resal)*(1-EXP(('2018'!Tnet-t)/('2018'!Tau_j))),Resal+(Salim-Resal)*(1-EXP((Tnet-t)/(Tau_j))))*Salcycl</f>
        <v>3.199095225813528E-2</v>
      </c>
      <c r="P378" s="168">
        <f>(INDEX(Models!$BJ378:$BT378,,T378)*(1-R378)+INDEX(Models!$BJ378:$BT378,,T378+1)*R378-ERP_i)*Q378*Ramure*Pc/MaxiM</f>
        <v>1.9461470134774455E-4</v>
      </c>
      <c r="Q378" s="304">
        <f t="shared" si="126"/>
        <v>0.5</v>
      </c>
      <c r="R378" s="176">
        <f t="shared" si="127"/>
        <v>0.13477565277153997</v>
      </c>
      <c r="S378" s="814">
        <f t="shared" si="128"/>
        <v>0</v>
      </c>
      <c r="T378" s="175">
        <f t="shared" si="129"/>
        <v>6</v>
      </c>
      <c r="U378" s="250">
        <f t="shared" si="130"/>
        <v>0.13477565277153997</v>
      </c>
      <c r="V378" s="382">
        <f t="shared" si="131"/>
        <v>24.596739202936782</v>
      </c>
      <c r="W378" s="58"/>
      <c r="X378" s="157">
        <f t="shared" si="132"/>
        <v>43829</v>
      </c>
      <c r="Y378" s="384">
        <f t="shared" si="133"/>
        <v>24.814</v>
      </c>
      <c r="Z378" s="384">
        <f t="shared" si="134"/>
        <v>25.13068815203172</v>
      </c>
      <c r="AA378" s="385">
        <f t="shared" si="135"/>
        <v>25.961212047196923</v>
      </c>
      <c r="AB378" s="196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3.199095225813528E-2</v>
      </c>
      <c r="AD378" s="230">
        <f>(INDEX(Models!$BJ378:$BT378,,AH378)*(1-AF378)+INDEX(Models!$BJ378:$BT378,,AH378+1)*AF378-ERP_i)*AE378*Ramure*Pc/MaxiM</f>
        <v>1.9461470134774455E-4</v>
      </c>
      <c r="AE378" s="304">
        <f t="shared" si="137"/>
        <v>0.5</v>
      </c>
      <c r="AF378" s="176">
        <f t="shared" si="138"/>
        <v>0.13477565277153997</v>
      </c>
      <c r="AG378" s="175">
        <f t="shared" si="139"/>
        <v>0</v>
      </c>
      <c r="AH378" s="175">
        <f t="shared" si="140"/>
        <v>6</v>
      </c>
      <c r="AI378" s="224">
        <f t="shared" si="141"/>
        <v>0.13477565277153997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43830</v>
      </c>
      <c r="B379" s="616">
        <v>18.326000000000001</v>
      </c>
      <c r="C379" s="389"/>
      <c r="D379" s="392">
        <f t="shared" si="123"/>
        <v>18.560291706791894</v>
      </c>
      <c r="E379" s="384">
        <f t="shared" si="145"/>
        <v>19.174441005780878</v>
      </c>
      <c r="F379" s="384">
        <f t="shared" si="124"/>
        <v>19.176803787968637</v>
      </c>
      <c r="G379" s="110">
        <f t="shared" si="146"/>
        <v>0.74103196876425692</v>
      </c>
      <c r="H379" s="413" t="b">
        <f>Wh_hp&gt;='2018'!Maxi_hp</f>
        <v>1</v>
      </c>
      <c r="I379" s="389">
        <f>IF(H379,Wh_hp,'2018'!Maxi_hp)</f>
        <v>19.176803787968637</v>
      </c>
      <c r="J379" s="85">
        <f>IF(H379,An,'2018'!An_max)</f>
        <v>2019</v>
      </c>
      <c r="K379" s="196">
        <f t="shared" si="125"/>
        <v>43830</v>
      </c>
      <c r="L379" s="147">
        <f>IF(t&lt;Tvie,1-EXP((T0-t)*PertePVj)+'2018'!Pspv,1-EXP((T0-t)*PertePVj)+Pspv)</f>
        <v>1.2623277181907477E-2</v>
      </c>
      <c r="M379" s="847"/>
      <c r="N379" s="847"/>
      <c r="O379" s="48">
        <f>IF(t&lt;Tnet,'2018'!Resal+('2018'!Salim-'2018'!Resal)*(1-EXP(('2018'!Tnet-t)/('2018'!Tau_j))),Resal+(Salim-Resal)*(1-EXP((Tnet-t)/(Tau_j))))*Salcycl</f>
        <v>3.2029580356675087E-2</v>
      </c>
      <c r="P379" s="168">
        <f>(INDEX(Models!$BJ379:$BT379,,T379)*(1-R379)+INDEX(Models!$BJ379:$BT379,,T379+1)*R379-ERP_i)*Q379*Ramure*Pc/MaxiM</f>
        <v>1.9553416447521324E-4</v>
      </c>
      <c r="Q379" s="305">
        <f t="shared" si="126"/>
        <v>0.5</v>
      </c>
      <c r="R379" s="176">
        <f t="shared" si="127"/>
        <v>0.13477565277153997</v>
      </c>
      <c r="S379" s="814">
        <f t="shared" si="128"/>
        <v>0</v>
      </c>
      <c r="T379" s="175">
        <f t="shared" si="129"/>
        <v>6</v>
      </c>
      <c r="U379" s="306">
        <f t="shared" si="130"/>
        <v>0.13477565277153997</v>
      </c>
      <c r="V379" s="382">
        <f t="shared" si="131"/>
        <v>24.728588244884687</v>
      </c>
      <c r="W379" s="58"/>
      <c r="X379" s="157">
        <f t="shared" si="132"/>
        <v>43830</v>
      </c>
      <c r="Y379" s="384">
        <f t="shared" si="133"/>
        <v>18.326000000000001</v>
      </c>
      <c r="Z379" s="384">
        <f t="shared" si="134"/>
        <v>18.560291706791894</v>
      </c>
      <c r="AA379" s="385">
        <f t="shared" si="135"/>
        <v>19.174441005780878</v>
      </c>
      <c r="AB379" s="196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3.2029580356675087E-2</v>
      </c>
      <c r="AD379" s="230">
        <f>(INDEX(Models!$BJ379:$BT379,,AH379)*(1-AF379)+INDEX(Models!$BJ379:$BT379,,AH379+1)*AF379-ERP_i)*AE379*Ramure*Pc/MaxiM</f>
        <v>1.9553416447521324E-4</v>
      </c>
      <c r="AE379" s="305">
        <f t="shared" si="137"/>
        <v>0.5</v>
      </c>
      <c r="AF379" s="176">
        <f t="shared" si="138"/>
        <v>0.13477565277153997</v>
      </c>
      <c r="AG379" s="175">
        <f t="shared" si="139"/>
        <v>0</v>
      </c>
      <c r="AH379" s="175">
        <f t="shared" si="140"/>
        <v>6</v>
      </c>
      <c r="AI379" s="221">
        <f t="shared" si="141"/>
        <v>0.13477565277153997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8"/>
      <c r="C380" s="855"/>
      <c r="D380" s="393"/>
      <c r="E380" s="394"/>
      <c r="F380" s="394"/>
      <c r="G380" s="97"/>
      <c r="H380" s="413" t="b">
        <f>Wh_hp&gt;='2018'!Maxi_hp</f>
        <v>1</v>
      </c>
      <c r="I380" s="389">
        <f>IF(H380,Wh_hp,'2018'!Maxi_hp)</f>
        <v>0</v>
      </c>
      <c r="J380" s="85">
        <f>IF(H380,An,'2018'!An_max)</f>
        <v>2019</v>
      </c>
      <c r="K380" s="198"/>
      <c r="L380" s="213"/>
      <c r="M380" s="852"/>
      <c r="N380" s="852"/>
      <c r="O380" s="214"/>
      <c r="P380" s="321"/>
      <c r="Q380" s="228"/>
      <c r="R380" s="228"/>
      <c r="S380" s="228"/>
      <c r="T380" s="228"/>
      <c r="U380" s="322"/>
      <c r="V380" s="382">
        <f>(V379+V15)/2</f>
        <v>25.131681566131363</v>
      </c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2"/>
        <v>1</v>
      </c>
      <c r="AK380" s="264" t="b">
        <f t="shared" si="143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1.6930000000000001</v>
      </c>
      <c r="C381" s="374"/>
      <c r="D381" s="372">
        <f>MIN(D15:D380)</f>
        <v>1.7138934859257395</v>
      </c>
      <c r="E381" s="372">
        <f>MIN(E15:E380)</f>
        <v>1.7692419519939528</v>
      </c>
      <c r="F381" s="373">
        <f>MIN(F15:F380)</f>
        <v>1.7692419519939528</v>
      </c>
      <c r="G381" s="125">
        <f>+MIN(G15:G380)</f>
        <v>6.9231275777534962E-2</v>
      </c>
      <c r="H381" s="336"/>
      <c r="I381" s="373">
        <f>MIN(I15:I380)</f>
        <v>0</v>
      </c>
      <c r="J381" s="57">
        <f>MIN(J15:J380)</f>
        <v>2018</v>
      </c>
      <c r="K381" s="199" t="s">
        <v>7</v>
      </c>
      <c r="L381" s="146">
        <f t="shared" ref="L381:T381" si="147">MIN(L15:L380)</f>
        <v>4.7198325782269457E-3</v>
      </c>
      <c r="M381" s="849"/>
      <c r="N381" s="849"/>
      <c r="O381" s="47">
        <f t="shared" si="147"/>
        <v>1.4257607131938205E-2</v>
      </c>
      <c r="P381" s="167">
        <f t="shared" si="147"/>
        <v>2.6557773441356232E-5</v>
      </c>
      <c r="Q381" s="309">
        <f t="shared" si="147"/>
        <v>0.5</v>
      </c>
      <c r="R381" s="310">
        <f t="shared" si="147"/>
        <v>3.0482539993980928E-3</v>
      </c>
      <c r="S381" s="814">
        <f t="shared" si="147"/>
        <v>-1</v>
      </c>
      <c r="T381" s="175">
        <f t="shared" si="147"/>
        <v>5</v>
      </c>
      <c r="U381" s="251">
        <f>+MIN(U15:U380)</f>
        <v>-0.16522358340675736</v>
      </c>
      <c r="V381" s="372">
        <f>MIN(V15:V380)</f>
        <v>23.970744679754965</v>
      </c>
      <c r="W381" s="58"/>
      <c r="X381" s="112" t="s">
        <v>7</v>
      </c>
      <c r="Y381" s="372">
        <f>MIN(Y15:Y380)</f>
        <v>1.6930000000000001</v>
      </c>
      <c r="Z381" s="372">
        <f>MIN(Z15:Z380)</f>
        <v>1.7138934859257395</v>
      </c>
      <c r="AA381" s="372">
        <f>MIN(AA15:AA380)</f>
        <v>1.7692419519939528</v>
      </c>
      <c r="AB381" s="199" t="s">
        <v>7</v>
      </c>
      <c r="AC381" s="47">
        <f t="shared" ref="AC381:AH381" si="148">MIN(AC15:AC380)</f>
        <v>1.4257607131938205E-2</v>
      </c>
      <c r="AD381" s="167">
        <f t="shared" si="148"/>
        <v>2.6557773441356232E-5</v>
      </c>
      <c r="AE381" s="309">
        <f t="shared" si="148"/>
        <v>0.5</v>
      </c>
      <c r="AF381" s="310">
        <f t="shared" si="148"/>
        <v>3.0482539993980928E-3</v>
      </c>
      <c r="AG381" s="814">
        <f t="shared" si="148"/>
        <v>-1</v>
      </c>
      <c r="AH381" s="175">
        <f t="shared" si="148"/>
        <v>5</v>
      </c>
      <c r="AI381" s="225">
        <f>MIN(AI15:AI380)</f>
        <v>-0.16522358340675736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31.728049315068475</v>
      </c>
      <c r="C382" s="374"/>
      <c r="D382" s="374">
        <f>AVERAGE(D15:D380)</f>
        <v>32.000215933095532</v>
      </c>
      <c r="E382" s="374">
        <f>AVERAGE(E15:E380)</f>
        <v>32.790438886345619</v>
      </c>
      <c r="F382" s="375">
        <f>AVERAGE(F15:F380)</f>
        <v>32.793340884429306</v>
      </c>
      <c r="G382" s="126">
        <f>AVERAGE(G15:G380)</f>
        <v>0.67860143717706101</v>
      </c>
      <c r="H382" s="336"/>
      <c r="I382" s="375">
        <f>AVERAGE(I15:I380)</f>
        <v>35.089412866148926</v>
      </c>
      <c r="J382" s="59">
        <f>AVERAGE(J15:J380)</f>
        <v>2018.7896174863388</v>
      </c>
      <c r="K382" s="199" t="s">
        <v>8</v>
      </c>
      <c r="L382" s="147">
        <f t="shared" ref="L382:V382" si="149">AVERAGE(L15:L380)</f>
        <v>8.676791379910816E-3</v>
      </c>
      <c r="M382" s="847"/>
      <c r="N382" s="847"/>
      <c r="O382" s="48">
        <f t="shared" si="149"/>
        <v>2.4258741950433191E-2</v>
      </c>
      <c r="P382" s="168">
        <f t="shared" si="149"/>
        <v>1.2790590346942456E-4</v>
      </c>
      <c r="Q382" s="311">
        <f t="shared" si="149"/>
        <v>0.5</v>
      </c>
      <c r="R382" s="176">
        <f t="shared" si="149"/>
        <v>0.45750109534067412</v>
      </c>
      <c r="S382" s="814">
        <f t="shared" si="149"/>
        <v>-0.45479452054794522</v>
      </c>
      <c r="T382" s="175">
        <f t="shared" si="149"/>
        <v>5.5452054794520551</v>
      </c>
      <c r="U382" s="250">
        <f t="shared" si="149"/>
        <v>2.7065747927288567E-3</v>
      </c>
      <c r="V382" s="374">
        <f t="shared" si="149"/>
        <v>44.848771555309519</v>
      </c>
      <c r="X382" s="112" t="s">
        <v>8</v>
      </c>
      <c r="Y382" s="374">
        <f>AVERAGE(Y15:Y380)</f>
        <v>31.728049315068475</v>
      </c>
      <c r="Z382" s="374">
        <f>AVERAGE(Z15:Z380)</f>
        <v>32.000215933095532</v>
      </c>
      <c r="AA382" s="374">
        <f>AVERAGE(AA15:AA380)</f>
        <v>32.790438886345619</v>
      </c>
      <c r="AB382" s="199" t="s">
        <v>8</v>
      </c>
      <c r="AC382" s="48">
        <f t="shared" ref="AC382:AH382" si="150">AVERAGE(AC15:AC380)</f>
        <v>2.4258741950433191E-2</v>
      </c>
      <c r="AD382" s="168">
        <f t="shared" si="150"/>
        <v>1.2790590346942456E-4</v>
      </c>
      <c r="AE382" s="311">
        <f t="shared" si="150"/>
        <v>0.5</v>
      </c>
      <c r="AF382" s="176">
        <f t="shared" si="150"/>
        <v>0.45750109534067412</v>
      </c>
      <c r="AG382" s="814">
        <f t="shared" si="150"/>
        <v>-0.45479452054794522</v>
      </c>
      <c r="AH382" s="175">
        <f t="shared" si="150"/>
        <v>5.5452054794520551</v>
      </c>
      <c r="AI382" s="224">
        <f>AVERAGE(AI15:AI380)</f>
        <v>2.7065747927288567E-3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61.08</v>
      </c>
      <c r="C383" s="376"/>
      <c r="D383" s="376">
        <f>MAX(D15:D380)</f>
        <v>61.53790566966979</v>
      </c>
      <c r="E383" s="376">
        <f>MAX(E15:E380)</f>
        <v>62.885767908239906</v>
      </c>
      <c r="F383" s="377">
        <f>MAX(F15:F380)</f>
        <v>62.888390720107274</v>
      </c>
      <c r="G383" s="127">
        <f>+MAX(G15:G380)</f>
        <v>1.0460366580730125</v>
      </c>
      <c r="H383" s="336"/>
      <c r="I383" s="377">
        <f>MAX(I15:I380)</f>
        <v>62.888390720107274</v>
      </c>
      <c r="J383" s="60">
        <f>MAX(J15:J380)</f>
        <v>2019</v>
      </c>
      <c r="K383" s="199" t="s">
        <v>9</v>
      </c>
      <c r="L383" s="148">
        <f t="shared" ref="L383:T383" si="151">MAX(L15:L380)</f>
        <v>1.2623277181907477E-2</v>
      </c>
      <c r="M383" s="850"/>
      <c r="N383" s="850"/>
      <c r="O383" s="49">
        <f t="shared" si="151"/>
        <v>3.2029580356675087E-2</v>
      </c>
      <c r="P383" s="169">
        <f t="shared" si="151"/>
        <v>2.4798542408651416E-4</v>
      </c>
      <c r="Q383" s="312">
        <f t="shared" si="151"/>
        <v>0.5</v>
      </c>
      <c r="R383" s="313">
        <f t="shared" si="151"/>
        <v>0.99999995347723492</v>
      </c>
      <c r="S383" s="815">
        <f t="shared" si="151"/>
        <v>0</v>
      </c>
      <c r="T383" s="232">
        <f t="shared" si="151"/>
        <v>6</v>
      </c>
      <c r="U383" s="252">
        <f>+MAX(U15:U380)</f>
        <v>0.13477565277153997</v>
      </c>
      <c r="V383" s="376">
        <f>MAX(V15:V380)</f>
        <v>58.708271504451652</v>
      </c>
      <c r="X383" s="112" t="s">
        <v>9</v>
      </c>
      <c r="Y383" s="376">
        <f>MAX(Y15:Y380)</f>
        <v>61.08</v>
      </c>
      <c r="Z383" s="376">
        <f>MAX(Z15:Z380)</f>
        <v>61.53790566966979</v>
      </c>
      <c r="AA383" s="376">
        <f>MAX(AA15:AA380)</f>
        <v>62.885767908239906</v>
      </c>
      <c r="AB383" s="199" t="s">
        <v>9</v>
      </c>
      <c r="AC383" s="49">
        <f t="shared" ref="AC383:AH383" si="152">MAX(AC15:AC380)</f>
        <v>3.2029580356675087E-2</v>
      </c>
      <c r="AD383" s="169">
        <f t="shared" si="152"/>
        <v>2.4798542408651416E-4</v>
      </c>
      <c r="AE383" s="312">
        <f t="shared" si="152"/>
        <v>0.5</v>
      </c>
      <c r="AF383" s="313">
        <f t="shared" si="152"/>
        <v>0.99999995347723492</v>
      </c>
      <c r="AG383" s="815">
        <f t="shared" si="152"/>
        <v>0</v>
      </c>
      <c r="AH383" s="232">
        <f t="shared" si="152"/>
        <v>6</v>
      </c>
      <c r="AI383" s="226">
        <f>MAX(AI15:AI380)</f>
        <v>0.13477565277153997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'2019'!An+1</f>
        <v>2020</v>
      </c>
      <c r="K1" s="1295"/>
      <c r="L1" s="113" t="str">
        <f>"Calcul pertes et enveloppes en "&amp;TEXT(An,0)</f>
        <v>Calcul pertes et enveloppes en 2020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471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11134.546999999991</v>
      </c>
      <c r="AK6" s="515">
        <f>SUMIF(AK15:AK380,"FAUX",Wh)</f>
        <v>11134.546999999991</v>
      </c>
      <c r="AL6" s="515">
        <f>SUMIF(AJ15:AJ380,"FAUX",Wh_s)</f>
        <v>11134.546999999991</v>
      </c>
      <c r="AM6" s="515">
        <f>SUMIF(AK15:AK380,"FAUX",Wh_s)</f>
        <v>11134.546999999991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AND(YEAR(Tnet)=An,Resal_2020="I")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11320.175705829583</v>
      </c>
      <c r="AK8" s="515">
        <f>SUMIF(AK15:AK380,"FAUX",Wh_sa)</f>
        <v>11783.698030373718</v>
      </c>
      <c r="AL8" s="515">
        <f>SUMIF(AJ15:AJ380,"FAUX",Wh_pvt_s)</f>
        <v>11320.175705829583</v>
      </c>
      <c r="AM8" s="515">
        <f>SUMIF(AK15:AK380,"FAUX",Wh_sa_s)</f>
        <v>11783.698030373718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11320.175705829583</v>
      </c>
      <c r="E9" s="183">
        <f>SUM(E$15:E$380)</f>
        <v>11783.698030373718</v>
      </c>
      <c r="F9" s="183">
        <f>SUM(F$15:F$380)</f>
        <v>11785.490754079019</v>
      </c>
      <c r="H9" s="1296">
        <f>+SUM(Wh)</f>
        <v>11134.546999999991</v>
      </c>
      <c r="I9" s="1297"/>
      <c r="J9" s="1298"/>
      <c r="K9" s="190"/>
      <c r="L9" s="231"/>
      <c r="M9" s="231"/>
      <c r="N9" s="231"/>
      <c r="O9" s="222">
        <f>Tnet_2020</f>
        <v>43250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11134.546999999991</v>
      </c>
      <c r="Y9" s="1291"/>
      <c r="Z9" s="515">
        <f>SUM(Z$15:Z$380)</f>
        <v>11320.175705829583</v>
      </c>
      <c r="AA9" s="515">
        <f>SUM(AA$15:AA$380)</f>
        <v>11783.698030373718</v>
      </c>
      <c r="AB9" s="515">
        <f>F9</f>
        <v>11785.490754079019</v>
      </c>
      <c r="AC9" s="324">
        <f>IF(An_Tnet,Tnet,'2019'!Tnet_s)</f>
        <v>43250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59"/>
      <c r="AG10" s="260"/>
      <c r="AH10" s="261"/>
      <c r="AI10" s="522"/>
      <c r="AJ10" s="515">
        <f>SUMIF(AJ15:AJ380,"FAUX",Wh_sa)</f>
        <v>11783.698030373718</v>
      </c>
      <c r="AK10" s="515">
        <f>SUMIF(AK15:AK380,"FAUX",Wh_hp)</f>
        <v>11785.490754079019</v>
      </c>
      <c r="AL10" s="515">
        <f>SUMIF(AJ15:AJ380,"FAUX",Wh_sa_s)</f>
        <v>11783.698030373718</v>
      </c>
      <c r="AM10" s="515">
        <f>SUMIF(AK15:AK380,"FAUX",Wh_hp)</f>
        <v>11785.490754079019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185.62870582959113</v>
      </c>
      <c r="E11" s="51">
        <f>(E$9-D$9)*Prod_an/D$9</f>
        <v>455.92146644226523</v>
      </c>
      <c r="F11" s="185">
        <f>(F$9-E$9)*Prod_an/E$9</f>
        <v>1.6939645180345639</v>
      </c>
      <c r="G11" s="184" t="s">
        <v>6</v>
      </c>
      <c r="K11" s="193"/>
      <c r="L11" s="210">
        <f>Tvie_2020</f>
        <v>43250</v>
      </c>
      <c r="M11" s="846"/>
      <c r="N11" s="846"/>
      <c r="O11" s="201">
        <f>IF(An_Tnet,Salim_2020,'2019'!Salim)</f>
        <v>7.0000000000000007E-2</v>
      </c>
      <c r="P11" s="255">
        <f>Ttai_2020</f>
        <v>43101</v>
      </c>
      <c r="Q11" s="271">
        <f>Dens_2020</f>
        <v>0.5</v>
      </c>
      <c r="R11" s="276"/>
      <c r="S11" s="229"/>
      <c r="T11" s="229"/>
      <c r="U11" s="265">
        <f>Htf_2020</f>
        <v>0.43477565277153996</v>
      </c>
      <c r="V11" s="427"/>
      <c r="W11" s="518"/>
      <c r="X11" s="525" t="s">
        <v>43</v>
      </c>
      <c r="Y11" s="50">
        <f>Z$9-Prod_an_s</f>
        <v>185.62870582959113</v>
      </c>
      <c r="Z11" s="51">
        <f>(AA$9-Z$9)*Prod_an_s/Z$9</f>
        <v>455.92146644226523</v>
      </c>
      <c r="AA11" s="185">
        <f>(AB$9-AA$9)*Prod_an_s/AA$9</f>
        <v>1.6939645180345639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4.6976720512020398E-2</v>
      </c>
      <c r="K12" s="190"/>
      <c r="L12" s="211">
        <f>Pspv_2020</f>
        <v>0</v>
      </c>
      <c r="M12" s="211"/>
      <c r="N12" s="211"/>
      <c r="O12" s="204">
        <f>IF(An_Tnet,Tau_2020*365,'2019'!Tau_j)</f>
        <v>949</v>
      </c>
      <c r="P12" s="456">
        <f>INDEX(Croivg,MIN(MAX(Ttai-$A$15,0)+1,366))</f>
        <v>2.3909964587625958E-6</v>
      </c>
      <c r="Q12" s="279">
        <f>'2019'!Df</f>
        <v>0.5</v>
      </c>
      <c r="R12" s="277"/>
      <c r="S12" s="278"/>
      <c r="T12" s="278"/>
      <c r="U12" s="266">
        <f>'2019'!Hdf</f>
        <v>0.13477565277153997</v>
      </c>
      <c r="V12" s="517"/>
      <c r="W12" s="504"/>
      <c r="X12" s="505"/>
      <c r="Y12" s="504"/>
      <c r="Z12" s="427"/>
      <c r="AA12" s="427"/>
      <c r="AB12" s="531" t="s">
        <v>106</v>
      </c>
      <c r="AC12" s="317" t="b">
        <f>NOT(An_Tnet)</f>
        <v>1</v>
      </c>
      <c r="AD12" s="427"/>
      <c r="AE12" s="295">
        <f>'2019'!Df_s</f>
        <v>0.5</v>
      </c>
      <c r="AF12" s="202"/>
      <c r="AG12" s="202"/>
      <c r="AH12" s="202"/>
      <c r="AI12" s="296">
        <f>'2019'!Hdf_s</f>
        <v>0.13477565277153997</v>
      </c>
      <c r="AJ12" s="835">
        <f>IF($AJ8=0,0,($AJ10-$AJ8)*$AJ6/$AJ8)</f>
        <v>455.92146644226523</v>
      </c>
      <c r="AK12" s="836">
        <f>IF($AK8=0,0,($AK10-$AK8)*$AK6/$AK8)</f>
        <v>1.6939645180345639</v>
      </c>
      <c r="AL12" s="835">
        <f>IF($AL8=0,0,($AL10-$AL8)*$AL6/$AL8)</f>
        <v>455.92146644226523</v>
      </c>
      <c r="AM12" s="836">
        <f>IF($AM8=0,0,($AM10-$AM8)*$AM6/$AM8)</f>
        <v>1.6939645180345639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263" t="s">
        <v>41</v>
      </c>
      <c r="W13" s="854" t="s">
        <v>46</v>
      </c>
      <c r="X13" s="532"/>
      <c r="Y13" s="263" t="s">
        <v>100</v>
      </c>
      <c r="Z13" s="263" t="s">
        <v>101</v>
      </c>
      <c r="AA13" s="263" t="s">
        <v>74</v>
      </c>
      <c r="AB13" s="503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455.92146644226523</v>
      </c>
      <c r="AK13" s="73">
        <f>+AK11+AK12</f>
        <v>1.6939645180345639</v>
      </c>
      <c r="AL13" s="73">
        <f>+AL11+AL12</f>
        <v>455.92146644226523</v>
      </c>
      <c r="AM13" s="73">
        <f>+AM11+AM12</f>
        <v>1.6939645180345639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2020</v>
      </c>
      <c r="W14" s="84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43831</v>
      </c>
      <c r="B15" s="615">
        <v>15.144</v>
      </c>
      <c r="C15" s="389"/>
      <c r="D15" s="392">
        <f t="shared" ref="D15:D78" si="0">Wh/(1-Ppv)</f>
        <v>15.337946854273993</v>
      </c>
      <c r="E15" s="384">
        <f>Wh_pvt/(1-Psa)</f>
        <v>15.846103713451978</v>
      </c>
      <c r="F15" s="384">
        <f t="shared" ref="F15:F78" si="1">Wh_sa/(1-Pvg*MEDIAN((-Sdif+Wh/Env_an)/Csdif,0,1))</f>
        <v>15.847478497595024</v>
      </c>
      <c r="G15" s="110">
        <f>+Wh_hp/MaxiM</f>
        <v>0.60883029021070389</v>
      </c>
      <c r="H15" s="413" t="b">
        <f>Wh_hp&gt;='2019'!Maxi_hp</f>
        <v>1</v>
      </c>
      <c r="I15" s="378">
        <f>IF(H15,Wh_hp,'2019'!Maxi_hp)</f>
        <v>15.847478497595024</v>
      </c>
      <c r="J15" s="84">
        <f>IF(H15,An,'2019'!An_max)</f>
        <v>2020</v>
      </c>
      <c r="K15" s="196">
        <f>t</f>
        <v>43831</v>
      </c>
      <c r="L15" s="146">
        <f>IF(t&lt;Tvie,1-EXP((T0-t)*PertePVj)+'2019'!Pspv,1-EXP((T0-t)*PertePVj)+Pspv)</f>
        <v>1.2644903266172736E-2</v>
      </c>
      <c r="M15" s="849"/>
      <c r="N15" s="849"/>
      <c r="O15" s="47">
        <f>IF(t&lt;Tnet,'2019'!Resal+('2019'!Salim-'2019'!Resal)*(1-EXP(('2019'!Tnet-t)/('2019'!Tau_j))),Resal+(Salim-Resal)*(1-EXP((Tnet-t)/(Tau_j))))*Salcycl</f>
        <v>3.2068252762135083E-2</v>
      </c>
      <c r="P15" s="301">
        <f>(INDEX(Models!$BJ15:$BT15,,T15)*(1-R15)+INDEX(Models!$BJ15:$BT15,,T15+1)*R15-ERP_i)*Q15*Ramure*Pc/MaxiM</f>
        <v>1.9658865229117174E-4</v>
      </c>
      <c r="Q15" s="302">
        <f t="shared" ref="Q15:Q78" si="2">IF(OR(t&lt;Ttai,Notai),Dd+PousD*Croivg,Dens+PousD*(Croivg-Croi_tai))</f>
        <v>0.5</v>
      </c>
      <c r="R15" s="303">
        <f t="shared" ref="R15:R78" si="3">(Hp_vg-S15)/(INDEX(Echel_vg,T15+1)-S15)</f>
        <v>0.1347763700704776</v>
      </c>
      <c r="S15" s="813">
        <f t="shared" ref="S15:S78" si="4">INDEX(Echel_vg,T15)</f>
        <v>0</v>
      </c>
      <c r="T15" s="248">
        <f t="shared" ref="T15:T78" si="5">MIN(MATCH(Hp_vg,Echel_vg),10)</f>
        <v>6</v>
      </c>
      <c r="U15" s="249">
        <f>IF(OR(t&lt;Ttai,Notai),Hdd+PousH*Croivg,Hdtf+PousH*(Croivg-Croi_tai))</f>
        <v>0.1347763700704776</v>
      </c>
      <c r="V15" s="381">
        <f t="shared" ref="V15:V78" si="6">MaxiM*(1-Ppv)*(1-Pvg)*(1-Psa)</f>
        <v>24.871194349737817</v>
      </c>
      <c r="W15" s="401"/>
      <c r="X15" s="156">
        <f t="shared" ref="X15:X78" si="7">t</f>
        <v>43831</v>
      </c>
      <c r="Y15" s="384">
        <f t="shared" ref="Y15:Y78" si="8">Wh_pvt_s*(1-Ppv)</f>
        <v>15.144</v>
      </c>
      <c r="Z15" s="384">
        <f t="shared" ref="Z15:Z78" si="9">Wh_sa_s*(1-Psa_s)</f>
        <v>15.337946854273993</v>
      </c>
      <c r="AA15" s="385">
        <f t="shared" ref="AA15:AA78" si="10">Wh_hp*(1-Pvg_s*MEDIAN((-Sdif+Wh/Env_an)/Csdif,0,1))</f>
        <v>15.846103713451978</v>
      </c>
      <c r="AB15" s="196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3.2068252762135083E-2</v>
      </c>
      <c r="AD15" s="230">
        <f>(INDEX(Models!$BJ15:$BT15,,AH15)*(1-AF15)+INDEX(Models!$BJ15:$BT15,,AH15+1)*AF15-ERP_i)*AE15*Ramure*Pc/MaxiM</f>
        <v>1.9658865229117174E-4</v>
      </c>
      <c r="AE15" s="302">
        <f t="shared" ref="AE15:AE78" si="12">IF(OR(t&lt;Ttai,Notai),Dd_s+PousD*Croivg,Dens_s+PousD*(Croivg-Croi_tai))</f>
        <v>0.5</v>
      </c>
      <c r="AF15" s="303">
        <f>(Hp_vg_s-AG15)/(INDEX(Echel_vg,AH15+1)-AG15)</f>
        <v>0.1347763700704776</v>
      </c>
      <c r="AG15" s="813">
        <f>INDEX(Echel_vg,AH15)</f>
        <v>0</v>
      </c>
      <c r="AH15" s="248">
        <f t="shared" ref="AH15:AH78" si="13">MIN(MATCH(Hp_vg_s,Echel_vg),10)</f>
        <v>6</v>
      </c>
      <c r="AI15" s="223">
        <f>IF(OR(t&lt;Ttai,Notai),Hdd_s+PousH*Croivg,Hdtai_s+PousH*(Croivg-Croi_tai))</f>
        <v>0.1347763700704776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23.901</v>
      </c>
      <c r="C16" s="389"/>
      <c r="D16" s="392">
        <f t="shared" si="0"/>
        <v>24.207626601384533</v>
      </c>
      <c r="E16" s="384">
        <f t="shared" ref="E16:E79" si="17">Wh_pvt/(1-Psa)</f>
        <v>25.010642302035127</v>
      </c>
      <c r="F16" s="384">
        <f t="shared" si="1"/>
        <v>25.015272489823854</v>
      </c>
      <c r="G16" s="110">
        <f t="shared" ref="G16:G79" si="18">+Wh_hp/MaxiM</f>
        <v>0.95511135778895562</v>
      </c>
      <c r="H16" s="413" t="b">
        <f>Wh_hp&gt;='2019'!Maxi_hp</f>
        <v>1</v>
      </c>
      <c r="I16" s="379">
        <f>IF(H16,Wh_hp,'2019'!Maxi_hp)</f>
        <v>25.015272489823854</v>
      </c>
      <c r="J16" s="85">
        <f>IF(H16,An,'2019'!An_max)</f>
        <v>2020</v>
      </c>
      <c r="K16" s="196">
        <f t="shared" ref="K16:K78" si="19">t</f>
        <v>43832</v>
      </c>
      <c r="L16" s="147">
        <f>IF(t&lt;Tvie,1-EXP((T0-t)*PertePVj)+'2019'!Pspv,1-EXP((T0-t)*PertePVj)+Pspv)</f>
        <v>1.2666528876771221E-2</v>
      </c>
      <c r="M16" s="847"/>
      <c r="N16" s="847"/>
      <c r="O16" s="48">
        <f>IF(t&lt;Tnet,'2019'!Resal+('2019'!Salim-'2019'!Resal)*(1-EXP(('2019'!Tnet-t)/('2019'!Tau_j))),Resal+(Salim-Resal)*(1-EXP((Tnet-t)/(Tau_j))))*Salcycl</f>
        <v>3.2106960347245861E-2</v>
      </c>
      <c r="P16" s="168">
        <f>(INDEX(Models!$BJ16:$BT16,,T16)*(1-R16)+INDEX(Models!$BJ16:$BT16,,T16+1)*R16-ERP_i)*Q16*Ramure*Pc/MaxiM</f>
        <v>1.9777356804205558E-4</v>
      </c>
      <c r="Q16" s="304">
        <f t="shared" si="2"/>
        <v>0.5</v>
      </c>
      <c r="R16" s="176">
        <f t="shared" si="3"/>
        <v>0.13479389883887413</v>
      </c>
      <c r="S16" s="814">
        <f t="shared" si="4"/>
        <v>0</v>
      </c>
      <c r="T16" s="175">
        <f t="shared" si="5"/>
        <v>6</v>
      </c>
      <c r="U16" s="250">
        <f t="shared" ref="U16:U78" si="20">IF(OR(t&lt;Ttai,Notai),Hdd+PousH*Croivg,Hdtf+PousH*(Croivg-Croi_tai))</f>
        <v>0.13479389883887413</v>
      </c>
      <c r="V16" s="382">
        <f t="shared" si="6"/>
        <v>25.023989825988807</v>
      </c>
      <c r="W16" s="401"/>
      <c r="X16" s="157">
        <f t="shared" si="7"/>
        <v>43832</v>
      </c>
      <c r="Y16" s="384">
        <f t="shared" si="8"/>
        <v>23.901</v>
      </c>
      <c r="Z16" s="384">
        <f t="shared" si="9"/>
        <v>24.207626601384533</v>
      </c>
      <c r="AA16" s="385">
        <f t="shared" si="10"/>
        <v>25.010642302035127</v>
      </c>
      <c r="AB16" s="196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3.2106960347245861E-2</v>
      </c>
      <c r="AD16" s="230">
        <f>(INDEX(Models!$BJ16:$BT16,,AH16)*(1-AF16)+INDEX(Models!$BJ16:$BT16,,AH16+1)*AF16-ERP_i)*AE16*Ramure*Pc/MaxiM</f>
        <v>1.9777356804205558E-4</v>
      </c>
      <c r="AE16" s="304">
        <f t="shared" si="12"/>
        <v>0.5</v>
      </c>
      <c r="AF16" s="176">
        <f t="shared" ref="AF16:AF78" si="21">(Hp_vg_s-AG16)/(INDEX(Echel_vg,AH16+1)-AG16)</f>
        <v>0.13479389883887413</v>
      </c>
      <c r="AG16" s="814">
        <f t="shared" ref="AG16:AG79" si="22">INDEX(Echel_vg,AH16)</f>
        <v>0</v>
      </c>
      <c r="AH16" s="175">
        <f t="shared" si="13"/>
        <v>6</v>
      </c>
      <c r="AI16" s="224">
        <f t="shared" ref="AI16:AI78" si="23">IF(OR(t&lt;Ttai,Notai),Hdd_s+PousH*Croivg,Hdtai_s+PousH*(Croivg-Croi_tai))</f>
        <v>0.13479389883887413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43833</v>
      </c>
      <c r="B17" s="616">
        <v>8.7680000000000007</v>
      </c>
      <c r="C17" s="389"/>
      <c r="D17" s="392">
        <f t="shared" si="0"/>
        <v>8.8806794283331065</v>
      </c>
      <c r="E17" s="384">
        <f t="shared" si="17"/>
        <v>9.1756366448585194</v>
      </c>
      <c r="F17" s="384">
        <f t="shared" si="1"/>
        <v>9.1757622310356872</v>
      </c>
      <c r="G17" s="110">
        <f t="shared" si="18"/>
        <v>0.34805974414965779</v>
      </c>
      <c r="H17" s="413" t="b">
        <f>Wh_hp&gt;='2019'!Maxi_hp</f>
        <v>0</v>
      </c>
      <c r="I17" s="379">
        <f>IF(H17,Wh_hp,'2019'!Maxi_hp)</f>
        <v>27.472426453662738</v>
      </c>
      <c r="J17" s="85">
        <f>IF(H17,An,'2019'!An_max)</f>
        <v>2019</v>
      </c>
      <c r="K17" s="196">
        <f t="shared" si="19"/>
        <v>43833</v>
      </c>
      <c r="L17" s="147">
        <f>IF(t&lt;Tvie,1-EXP((T0-t)*PertePVj)+'2019'!Pspv,1-EXP((T0-t)*PertePVj)+Pspv)</f>
        <v>1.2688154013713371E-2</v>
      </c>
      <c r="M17" s="847"/>
      <c r="N17" s="847"/>
      <c r="O17" s="48">
        <f>IF(t&lt;Tnet,'2019'!Resal+('2019'!Salim-'2019'!Resal)*(1-EXP(('2019'!Tnet-t)/('2019'!Tau_j))),Resal+(Salim-Resal)*(1-EXP((Tnet-t)/(Tau_j))))*Salcycl</f>
        <v>3.2145694946485191E-2</v>
      </c>
      <c r="P17" s="168">
        <f>(INDEX(Models!$BJ17:$BT17,,T17)*(1-R17)+INDEX(Models!$BJ17:$BT17,,T17+1)*R17-ERP_i)*Q17*Ramure*Pc/MaxiM</f>
        <v>1.9908265853248576E-4</v>
      </c>
      <c r="Q17" s="304">
        <f t="shared" si="2"/>
        <v>0.5</v>
      </c>
      <c r="R17" s="176">
        <f t="shared" si="3"/>
        <v>0.1348121607961679</v>
      </c>
      <c r="S17" s="814">
        <f t="shared" si="4"/>
        <v>0</v>
      </c>
      <c r="T17" s="175">
        <f t="shared" si="5"/>
        <v>6</v>
      </c>
      <c r="U17" s="250">
        <f t="shared" si="20"/>
        <v>0.1348121607961679</v>
      </c>
      <c r="V17" s="382">
        <f t="shared" si="6"/>
        <v>25.186407143015074</v>
      </c>
      <c r="W17" s="401"/>
      <c r="X17" s="157">
        <f t="shared" si="7"/>
        <v>43833</v>
      </c>
      <c r="Y17" s="384">
        <f t="shared" si="8"/>
        <v>8.7680000000000007</v>
      </c>
      <c r="Z17" s="384">
        <f t="shared" si="9"/>
        <v>8.8806794283331065</v>
      </c>
      <c r="AA17" s="385">
        <f t="shared" si="10"/>
        <v>9.1756366448585194</v>
      </c>
      <c r="AB17" s="196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3.2145694946485191E-2</v>
      </c>
      <c r="AD17" s="230">
        <f>(INDEX(Models!$BJ17:$BT17,,AH17)*(1-AF17)+INDEX(Models!$BJ17:$BT17,,AH17+1)*AF17-ERP_i)*AE17*Ramure*Pc/MaxiM</f>
        <v>1.9908265853248576E-4</v>
      </c>
      <c r="AE17" s="304">
        <f t="shared" si="12"/>
        <v>0.5</v>
      </c>
      <c r="AF17" s="176">
        <f>(Hp_vg_s-AG17)/(INDEX(Echel_vg,AH17+1)-AG17)</f>
        <v>0.1348121607961679</v>
      </c>
      <c r="AG17" s="814">
        <f>INDEX(Echel_vg,AH17)</f>
        <v>0</v>
      </c>
      <c r="AH17" s="175">
        <f t="shared" si="13"/>
        <v>6</v>
      </c>
      <c r="AI17" s="224">
        <f t="shared" si="23"/>
        <v>0.1348121607961679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43834</v>
      </c>
      <c r="B18" s="616">
        <v>5.6680000000000001</v>
      </c>
      <c r="C18" s="389"/>
      <c r="D18" s="392">
        <f t="shared" si="0"/>
        <v>5.7409664124949566</v>
      </c>
      <c r="E18" s="384">
        <f t="shared" si="17"/>
        <v>5.9318807272936303</v>
      </c>
      <c r="F18" s="384">
        <f t="shared" si="1"/>
        <v>5.9318807272936303</v>
      </c>
      <c r="G18" s="110">
        <f t="shared" si="18"/>
        <v>0.22347545459249546</v>
      </c>
      <c r="H18" s="413" t="b">
        <f>Wh_hp&gt;='2019'!Maxi_hp</f>
        <v>0</v>
      </c>
      <c r="I18" s="379">
        <f>IF(H18,Wh_hp,'2019'!Maxi_hp)</f>
        <v>24.427777295299801</v>
      </c>
      <c r="J18" s="85">
        <f>IF(H18,An,'2019'!An_max)</f>
        <v>2019</v>
      </c>
      <c r="K18" s="196">
        <f t="shared" si="19"/>
        <v>43834</v>
      </c>
      <c r="L18" s="147">
        <f>IF(t&lt;Tvie,1-EXP((T0-t)*PertePVj)+'2019'!Pspv,1-EXP((T0-t)*PertePVj)+Pspv)</f>
        <v>1.270977867700962E-2</v>
      </c>
      <c r="M18" s="847"/>
      <c r="N18" s="847"/>
      <c r="O18" s="48">
        <f>IF(t&lt;Tnet,'2019'!Resal+('2019'!Salim-'2019'!Resal)*(1-EXP(('2019'!Tnet-t)/('2019'!Tau_j))),Resal+(Salim-Resal)*(1-EXP((Tnet-t)/(Tau_j))))*Salcycl</f>
        <v>3.2184449346771796E-2</v>
      </c>
      <c r="P18" s="168">
        <f>(INDEX(Models!$BJ18:$BT18,,T18)*(1-R18)+INDEX(Models!$BJ18:$BT18,,T18+1)*R18-ERP_i)*Q18*Ramure*Pc/MaxiM</f>
        <v>2.005156980019293E-4</v>
      </c>
      <c r="Q18" s="304">
        <f t="shared" si="2"/>
        <v>0.5</v>
      </c>
      <c r="R18" s="176">
        <f t="shared" si="3"/>
        <v>0.13483118651494497</v>
      </c>
      <c r="S18" s="814">
        <f t="shared" si="4"/>
        <v>0</v>
      </c>
      <c r="T18" s="175">
        <f t="shared" si="5"/>
        <v>6</v>
      </c>
      <c r="U18" s="250">
        <f t="shared" si="20"/>
        <v>0.13483118651494497</v>
      </c>
      <c r="V18" s="382">
        <f t="shared" si="6"/>
        <v>25.357878731501749</v>
      </c>
      <c r="W18" s="401"/>
      <c r="X18" s="157">
        <f t="shared" si="7"/>
        <v>43834</v>
      </c>
      <c r="Y18" s="384">
        <f t="shared" si="8"/>
        <v>5.6680000000000001</v>
      </c>
      <c r="Z18" s="384">
        <f>Wh_sa_s*(1-Psa_s)</f>
        <v>5.7409664124949566</v>
      </c>
      <c r="AA18" s="385">
        <f t="shared" si="10"/>
        <v>5.9318807272936303</v>
      </c>
      <c r="AB18" s="196">
        <f>t</f>
        <v>43834</v>
      </c>
      <c r="AC18" s="119">
        <f>IF(OR(t&lt;Tnet,NoTnet),'2019'!Resal_s+('2019'!Salim-'2019'!Resal_s)*(1-EXP(('2019'!Tnet_s-t)/'2019'!Tau_j)),Resal_s+(Salim-Resal_s)*(1-EXP((Tnet_s-t)/Tau_j)))*Salcycl</f>
        <v>3.2184449346771796E-2</v>
      </c>
      <c r="AD18" s="230">
        <f>(INDEX(Models!$BJ18:$BT18,,AH18)*(1-AF18)+INDEX(Models!$BJ18:$BT18,,AH18+1)*AF18-ERP_i)*AE18*Ramure*Pc/MaxiM</f>
        <v>2.005156980019293E-4</v>
      </c>
      <c r="AE18" s="304">
        <f t="shared" si="12"/>
        <v>0.5</v>
      </c>
      <c r="AF18" s="176">
        <f t="shared" si="21"/>
        <v>0.13483118651494497</v>
      </c>
      <c r="AG18" s="814">
        <f t="shared" si="22"/>
        <v>0</v>
      </c>
      <c r="AH18" s="175">
        <f t="shared" si="13"/>
        <v>6</v>
      </c>
      <c r="AI18" s="224">
        <f t="shared" si="23"/>
        <v>0.13483118651494497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43835</v>
      </c>
      <c r="B19" s="616">
        <v>12.97</v>
      </c>
      <c r="C19" s="389"/>
      <c r="D19" s="392">
        <f t="shared" si="0"/>
        <v>13.137255694813122</v>
      </c>
      <c r="E19" s="384">
        <f t="shared" si="17"/>
        <v>13.574675409914718</v>
      </c>
      <c r="F19" s="384">
        <f t="shared" si="1"/>
        <v>13.575490047291332</v>
      </c>
      <c r="G19" s="110">
        <f t="shared" si="18"/>
        <v>0.50780170773369004</v>
      </c>
      <c r="H19" s="413" t="b">
        <f>Wh_hp&gt;='2019'!Maxi_hp</f>
        <v>0</v>
      </c>
      <c r="I19" s="379">
        <f>IF(H19,Wh_hp,'2019'!Maxi_hp)</f>
        <v>27.076162439381022</v>
      </c>
      <c r="J19" s="85">
        <f>IF(H19,An,'2019'!An_max)</f>
        <v>2019</v>
      </c>
      <c r="K19" s="196">
        <f t="shared" si="19"/>
        <v>43835</v>
      </c>
      <c r="L19" s="147">
        <f>IF(t&lt;Tvie,1-EXP((T0-t)*PertePVj)+'2019'!Pspv,1-EXP((T0-t)*PertePVj)+Pspv)</f>
        <v>1.2731402866670072E-2</v>
      </c>
      <c r="M19" s="847"/>
      <c r="N19" s="847"/>
      <c r="O19" s="48">
        <f>IF(t&lt;Tnet,'2019'!Resal+('2019'!Salim-'2019'!Resal)*(1-EXP(('2019'!Tnet-t)/('2019'!Tau_j))),Resal+(Salim-Resal)*(1-EXP((Tnet-t)/(Tau_j))))*Salcycl</f>
        <v>3.2223217269866447E-2</v>
      </c>
      <c r="P19" s="168">
        <f>(INDEX(Models!$BJ19:$BT19,,T19)*(1-R19)+INDEX(Models!$BJ19:$BT19,,T19+1)*R19-ERP_i)*Q19*Ramure*Pc/MaxiM</f>
        <v>2.0207238623663114E-4</v>
      </c>
      <c r="Q19" s="304">
        <f t="shared" si="2"/>
        <v>0.5</v>
      </c>
      <c r="R19" s="176">
        <f t="shared" si="3"/>
        <v>0.13485100783448195</v>
      </c>
      <c r="S19" s="814">
        <f t="shared" si="4"/>
        <v>0</v>
      </c>
      <c r="T19" s="175">
        <f t="shared" si="5"/>
        <v>6</v>
      </c>
      <c r="U19" s="250">
        <f t="shared" si="20"/>
        <v>0.13485100783448195</v>
      </c>
      <c r="V19" s="382">
        <f t="shared" si="6"/>
        <v>25.53783714436349</v>
      </c>
      <c r="W19" s="401"/>
      <c r="X19" s="157">
        <f t="shared" si="7"/>
        <v>43835</v>
      </c>
      <c r="Y19" s="384">
        <f t="shared" si="8"/>
        <v>12.97</v>
      </c>
      <c r="Z19" s="384">
        <f t="shared" si="9"/>
        <v>13.137255694813122</v>
      </c>
      <c r="AA19" s="385">
        <f t="shared" si="10"/>
        <v>13.574675409914718</v>
      </c>
      <c r="AB19" s="196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3.2223217269866447E-2</v>
      </c>
      <c r="AD19" s="230">
        <f>(INDEX(Models!$BJ19:$BT19,,AH19)*(1-AF19)+INDEX(Models!$BJ19:$BT19,,AH19+1)*AF19-ERP_i)*AE19*Ramure*Pc/MaxiM</f>
        <v>2.0207238623663114E-4</v>
      </c>
      <c r="AE19" s="304">
        <f t="shared" si="12"/>
        <v>0.5</v>
      </c>
      <c r="AF19" s="176">
        <f t="shared" si="21"/>
        <v>0.13485100783448195</v>
      </c>
      <c r="AG19" s="814">
        <f t="shared" si="22"/>
        <v>0</v>
      </c>
      <c r="AH19" s="175">
        <f t="shared" si="13"/>
        <v>6</v>
      </c>
      <c r="AI19" s="224">
        <f t="shared" si="23"/>
        <v>0.13485100783448195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43836</v>
      </c>
      <c r="B20" s="616">
        <v>25.814</v>
      </c>
      <c r="C20" s="389"/>
      <c r="D20" s="392">
        <f t="shared" si="0"/>
        <v>26.147459242793552</v>
      </c>
      <c r="E20" s="384">
        <f t="shared" si="17"/>
        <v>27.019150909680974</v>
      </c>
      <c r="F20" s="384">
        <f t="shared" si="1"/>
        <v>27.024657247697341</v>
      </c>
      <c r="G20" s="110">
        <f t="shared" si="18"/>
        <v>1.0034317782693756</v>
      </c>
      <c r="H20" s="413" t="b">
        <f>Wh_hp&gt;='2019'!Maxi_hp</f>
        <v>1</v>
      </c>
      <c r="I20" s="379">
        <f>IF(H20,Wh_hp,'2019'!Maxi_hp)</f>
        <v>27.024657247697341</v>
      </c>
      <c r="J20" s="85">
        <f>IF(H20,An,'2019'!An_max)</f>
        <v>2020</v>
      </c>
      <c r="K20" s="196">
        <f t="shared" si="19"/>
        <v>43836</v>
      </c>
      <c r="L20" s="147">
        <f>IF(t&lt;Tvie,1-EXP((T0-t)*PertePVj)+'2019'!Pspv,1-EXP((T0-t)*PertePVj)+Pspv)</f>
        <v>1.2753026582705385E-2</v>
      </c>
      <c r="M20" s="847"/>
      <c r="N20" s="847"/>
      <c r="O20" s="48">
        <f>IF(t&lt;Tnet,'2019'!Resal+('2019'!Salim-'2019'!Resal)*(1-EXP(('2019'!Tnet-t)/('2019'!Tau_j))),Resal+(Salim-Resal)*(1-EXP((Tnet-t)/(Tau_j))))*Salcycl</f>
        <v>3.2261993346915041E-2</v>
      </c>
      <c r="P20" s="168">
        <f>(INDEX(Models!$BJ20:$BT20,,T20)*(1-R20)+INDEX(Models!$BJ20:$BT20,,T20+1)*R20-ERP_i)*Q20*Ramure*Pc/MaxiM</f>
        <v>2.0375237198750728E-4</v>
      </c>
      <c r="Q20" s="304">
        <f t="shared" si="2"/>
        <v>0.5</v>
      </c>
      <c r="R20" s="176">
        <f t="shared" si="3"/>
        <v>0.13487165791253239</v>
      </c>
      <c r="S20" s="814">
        <f t="shared" si="4"/>
        <v>0</v>
      </c>
      <c r="T20" s="175">
        <f t="shared" si="5"/>
        <v>6</v>
      </c>
      <c r="U20" s="250">
        <f t="shared" si="20"/>
        <v>0.13487165791253239</v>
      </c>
      <c r="V20" s="382">
        <f t="shared" si="6"/>
        <v>25.725715050126826</v>
      </c>
      <c r="W20" s="401"/>
      <c r="X20" s="157">
        <f t="shared" si="7"/>
        <v>43836</v>
      </c>
      <c r="Y20" s="384">
        <f t="shared" si="8"/>
        <v>25.814</v>
      </c>
      <c r="Z20" s="384">
        <f t="shared" si="9"/>
        <v>26.147459242793552</v>
      </c>
      <c r="AA20" s="385">
        <f t="shared" si="10"/>
        <v>27.019150909680974</v>
      </c>
      <c r="AB20" s="196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3.2261993346915041E-2</v>
      </c>
      <c r="AD20" s="230">
        <f>(INDEX(Models!$BJ20:$BT20,,AH20)*(1-AF20)+INDEX(Models!$BJ20:$BT20,,AH20+1)*AF20-ERP_i)*AE20*Ramure*Pc/MaxiM</f>
        <v>2.0375237198750728E-4</v>
      </c>
      <c r="AE20" s="304">
        <f t="shared" si="12"/>
        <v>0.5</v>
      </c>
      <c r="AF20" s="176">
        <f t="shared" si="21"/>
        <v>0.13487165791253239</v>
      </c>
      <c r="AG20" s="814">
        <f t="shared" si="22"/>
        <v>0</v>
      </c>
      <c r="AH20" s="175">
        <f t="shared" si="13"/>
        <v>6</v>
      </c>
      <c r="AI20" s="224">
        <f t="shared" si="23"/>
        <v>0.13487165791253239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43837</v>
      </c>
      <c r="B21" s="616">
        <v>7.101</v>
      </c>
      <c r="C21" s="389"/>
      <c r="D21" s="392">
        <f t="shared" si="0"/>
        <v>7.1928866076444953</v>
      </c>
      <c r="E21" s="384">
        <f t="shared" si="17"/>
        <v>7.4329775281312767</v>
      </c>
      <c r="F21" s="384">
        <f t="shared" si="1"/>
        <v>7.4329775281312767</v>
      </c>
      <c r="G21" s="110">
        <f t="shared" si="18"/>
        <v>0.27389203156844943</v>
      </c>
      <c r="H21" s="413" t="b">
        <f>Wh_hp&gt;='2019'!Maxi_hp</f>
        <v>1</v>
      </c>
      <c r="I21" s="379">
        <f>IF(H21,Wh_hp,'2019'!Maxi_hp)</f>
        <v>7.4329775281312767</v>
      </c>
      <c r="J21" s="85">
        <f>IF(H21,An,'2019'!An_max)</f>
        <v>2020</v>
      </c>
      <c r="K21" s="196">
        <f t="shared" si="19"/>
        <v>43837</v>
      </c>
      <c r="L21" s="147">
        <f>IF(t&lt;Tvie,1-EXP((T0-t)*PertePVj)+'2019'!Pspv,1-EXP((T0-t)*PertePVj)+Pspv)</f>
        <v>1.2774649825125772E-2</v>
      </c>
      <c r="M21" s="847"/>
      <c r="N21" s="847"/>
      <c r="O21" s="48">
        <f>IF(t&lt;Tnet,'2019'!Resal+('2019'!Salim-'2019'!Resal)*(1-EXP(('2019'!Tnet-t)/('2019'!Tau_j))),Resal+(Salim-Resal)*(1-EXP((Tnet-t)/(Tau_j))))*Salcycl</f>
        <v>3.2300773085633498E-2</v>
      </c>
      <c r="P21" s="168">
        <f>(INDEX(Models!$BJ21:$BT21,,T21)*(1-R21)+INDEX(Models!$BJ21:$BT21,,T21+1)*R21-ERP_i)*Q21*Ramure*Pc/MaxiM</f>
        <v>2.0555527582881498E-4</v>
      </c>
      <c r="Q21" s="304">
        <f t="shared" si="2"/>
        <v>0.5</v>
      </c>
      <c r="R21" s="176">
        <f t="shared" si="3"/>
        <v>0.1348931712791703</v>
      </c>
      <c r="S21" s="814">
        <f t="shared" si="4"/>
        <v>0</v>
      </c>
      <c r="T21" s="175">
        <f t="shared" si="5"/>
        <v>6</v>
      </c>
      <c r="U21" s="250">
        <f t="shared" si="20"/>
        <v>0.1348931712791703</v>
      </c>
      <c r="V21" s="382">
        <f t="shared" si="6"/>
        <v>25.920945240102998</v>
      </c>
      <c r="W21" s="401"/>
      <c r="X21" s="157">
        <f t="shared" si="7"/>
        <v>43837</v>
      </c>
      <c r="Y21" s="384">
        <f t="shared" si="8"/>
        <v>7.101</v>
      </c>
      <c r="Z21" s="384">
        <f t="shared" si="9"/>
        <v>7.1928866076444953</v>
      </c>
      <c r="AA21" s="385">
        <f t="shared" si="10"/>
        <v>7.4329775281312767</v>
      </c>
      <c r="AB21" s="196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3.2300773085633498E-2</v>
      </c>
      <c r="AD21" s="230">
        <f>(INDEX(Models!$BJ21:$BT21,,AH21)*(1-AF21)+INDEX(Models!$BJ21:$BT21,,AH21+1)*AF21-ERP_i)*AE21*Ramure*Pc/MaxiM</f>
        <v>2.0555527582881498E-4</v>
      </c>
      <c r="AE21" s="304">
        <f t="shared" si="12"/>
        <v>0.5</v>
      </c>
      <c r="AF21" s="176">
        <f t="shared" si="21"/>
        <v>0.1348931712791703</v>
      </c>
      <c r="AG21" s="814">
        <f t="shared" si="22"/>
        <v>0</v>
      </c>
      <c r="AH21" s="175">
        <f t="shared" si="13"/>
        <v>6</v>
      </c>
      <c r="AI21" s="224">
        <f t="shared" si="23"/>
        <v>0.1348931712791703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43838</v>
      </c>
      <c r="B22" s="616">
        <v>12.65</v>
      </c>
      <c r="C22" s="389"/>
      <c r="D22" s="392">
        <f t="shared" si="0"/>
        <v>12.813971066781416</v>
      </c>
      <c r="E22" s="384">
        <f t="shared" si="17"/>
        <v>13.242218491275587</v>
      </c>
      <c r="F22" s="384">
        <f t="shared" si="1"/>
        <v>13.242941706755252</v>
      </c>
      <c r="G22" s="110">
        <f t="shared" si="18"/>
        <v>0.48417429714922694</v>
      </c>
      <c r="H22" s="413" t="b">
        <f>Wh_hp&gt;='2019'!Maxi_hp</f>
        <v>1</v>
      </c>
      <c r="I22" s="379">
        <f>IF(H22,Wh_hp,'2019'!Maxi_hp)</f>
        <v>13.242941706755252</v>
      </c>
      <c r="J22" s="85">
        <f>IF(H22,An,'2019'!An_max)</f>
        <v>2020</v>
      </c>
      <c r="K22" s="196">
        <f t="shared" si="19"/>
        <v>43838</v>
      </c>
      <c r="L22" s="147">
        <f>IF(t&lt;Tvie,1-EXP((T0-t)*PertePVj)+'2019'!Pspv,1-EXP((T0-t)*PertePVj)+Pspv)</f>
        <v>1.2796272593941671E-2</v>
      </c>
      <c r="M22" s="847"/>
      <c r="N22" s="847"/>
      <c r="O22" s="48">
        <f>IF(t&lt;Tnet,'2019'!Resal+('2019'!Salim-'2019'!Resal)*(1-EXP(('2019'!Tnet-t)/('2019'!Tau_j))),Resal+(Salim-Resal)*(1-EXP((Tnet-t)/(Tau_j))))*Salcycl</f>
        <v>3.2339552830691835E-2</v>
      </c>
      <c r="P22" s="168">
        <f>(INDEX(Models!$BJ22:$BT22,,T22)*(1-R22)+INDEX(Models!$BJ22:$BT22,,T22+1)*R22-ERP_i)*Q22*Ramure*Pc/MaxiM</f>
        <v>2.0748071244776001E-4</v>
      </c>
      <c r="Q22" s="304">
        <f t="shared" si="2"/>
        <v>0.5</v>
      </c>
      <c r="R22" s="176">
        <f t="shared" si="3"/>
        <v>0.13491558389276859</v>
      </c>
      <c r="S22" s="814">
        <f t="shared" si="4"/>
        <v>0</v>
      </c>
      <c r="T22" s="175">
        <f t="shared" si="5"/>
        <v>6</v>
      </c>
      <c r="U22" s="250">
        <f t="shared" si="20"/>
        <v>0.13491558389276859</v>
      </c>
      <c r="V22" s="382">
        <f t="shared" si="6"/>
        <v>26.122960619662781</v>
      </c>
      <c r="W22" s="401"/>
      <c r="X22" s="157">
        <f t="shared" si="7"/>
        <v>43838</v>
      </c>
      <c r="Y22" s="384">
        <f t="shared" si="8"/>
        <v>12.65</v>
      </c>
      <c r="Z22" s="384">
        <f t="shared" si="9"/>
        <v>12.813971066781416</v>
      </c>
      <c r="AA22" s="385">
        <f t="shared" si="10"/>
        <v>13.242218491275587</v>
      </c>
      <c r="AB22" s="196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3.2339552830691835E-2</v>
      </c>
      <c r="AD22" s="230">
        <f>(INDEX(Models!$BJ22:$BT22,,AH22)*(1-AF22)+INDEX(Models!$BJ22:$BT22,,AH22+1)*AF22-ERP_i)*AE22*Ramure*Pc/MaxiM</f>
        <v>2.0748071244776001E-4</v>
      </c>
      <c r="AE22" s="304">
        <f t="shared" si="12"/>
        <v>0.5</v>
      </c>
      <c r="AF22" s="176">
        <f t="shared" si="21"/>
        <v>0.13491558389276859</v>
      </c>
      <c r="AG22" s="814">
        <f t="shared" si="22"/>
        <v>0</v>
      </c>
      <c r="AH22" s="175">
        <f t="shared" si="13"/>
        <v>6</v>
      </c>
      <c r="AI22" s="224">
        <f t="shared" si="23"/>
        <v>0.13491558389276859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43839</v>
      </c>
      <c r="B23" s="616">
        <v>25.109000000000002</v>
      </c>
      <c r="C23" s="389"/>
      <c r="D23" s="392">
        <f t="shared" si="0"/>
        <v>25.435023457177511</v>
      </c>
      <c r="E23" s="384">
        <f t="shared" si="17"/>
        <v>26.286124255322225</v>
      </c>
      <c r="F23" s="384">
        <f t="shared" si="1"/>
        <v>26.291265960705861</v>
      </c>
      <c r="G23" s="110">
        <f t="shared" si="18"/>
        <v>0.95343633720619247</v>
      </c>
      <c r="H23" s="413" t="b">
        <f>Wh_hp&gt;='2019'!Maxi_hp</f>
        <v>1</v>
      </c>
      <c r="I23" s="379">
        <f>IF(H23,Wh_hp,'2019'!Maxi_hp)</f>
        <v>26.291265960705861</v>
      </c>
      <c r="J23" s="85">
        <f>IF(H23,An,'2019'!An_max)</f>
        <v>2020</v>
      </c>
      <c r="K23" s="196">
        <f t="shared" si="19"/>
        <v>43839</v>
      </c>
      <c r="L23" s="147">
        <f>IF(t&lt;Tvie,1-EXP((T0-t)*PertePVj)+'2019'!Pspv,1-EXP((T0-t)*PertePVj)+Pspv)</f>
        <v>1.2817894889163517E-2</v>
      </c>
      <c r="M23" s="847"/>
      <c r="N23" s="847"/>
      <c r="O23" s="48">
        <f>IF(t&lt;Tnet,'2019'!Resal+('2019'!Salim-'2019'!Resal)*(1-EXP(('2019'!Tnet-t)/('2019'!Tau_j))),Resal+(Salim-Resal)*(1-EXP((Tnet-t)/(Tau_j))))*Salcycl</f>
        <v>3.2378329717907606E-2</v>
      </c>
      <c r="P23" s="168">
        <f>(INDEX(Models!$BJ23:$BT23,,T23)*(1-R23)+INDEX(Models!$BJ23:$BT23,,T23+1)*R23-ERP_i)*Q23*Ramure*Pc/MaxiM</f>
        <v>2.0949883776514677E-4</v>
      </c>
      <c r="Q23" s="304">
        <f t="shared" si="2"/>
        <v>0.5</v>
      </c>
      <c r="R23" s="176">
        <f t="shared" si="3"/>
        <v>0.13493893319818967</v>
      </c>
      <c r="S23" s="814">
        <f t="shared" si="4"/>
        <v>0</v>
      </c>
      <c r="T23" s="175">
        <f t="shared" si="5"/>
        <v>6</v>
      </c>
      <c r="U23" s="250">
        <f t="shared" si="20"/>
        <v>0.13493893319818967</v>
      </c>
      <c r="V23" s="382">
        <f t="shared" si="6"/>
        <v>26.334899498320588</v>
      </c>
      <c r="W23" s="401"/>
      <c r="X23" s="157">
        <f t="shared" si="7"/>
        <v>43839</v>
      </c>
      <c r="Y23" s="384">
        <f t="shared" si="8"/>
        <v>25.109000000000002</v>
      </c>
      <c r="Z23" s="384">
        <f t="shared" si="9"/>
        <v>25.435023457177511</v>
      </c>
      <c r="AA23" s="385">
        <f t="shared" si="10"/>
        <v>26.286124255322225</v>
      </c>
      <c r="AB23" s="196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3.2378329717907606E-2</v>
      </c>
      <c r="AD23" s="230">
        <f>(INDEX(Models!$BJ23:$BT23,,AH23)*(1-AF23)+INDEX(Models!$BJ23:$BT23,,AH23+1)*AF23-ERP_i)*AE23*Ramure*Pc/MaxiM</f>
        <v>2.0949883776514677E-4</v>
      </c>
      <c r="AE23" s="304">
        <f t="shared" si="12"/>
        <v>0.5</v>
      </c>
      <c r="AF23" s="176">
        <f t="shared" si="21"/>
        <v>0.13493893319818967</v>
      </c>
      <c r="AG23" s="814">
        <f t="shared" si="22"/>
        <v>0</v>
      </c>
      <c r="AH23" s="175">
        <f t="shared" si="13"/>
        <v>6</v>
      </c>
      <c r="AI23" s="224">
        <f t="shared" si="23"/>
        <v>0.13493893319818967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43840</v>
      </c>
      <c r="B24" s="616">
        <v>10.925000000000001</v>
      </c>
      <c r="C24" s="389"/>
      <c r="D24" s="392">
        <f t="shared" si="0"/>
        <v>11.06709616616553</v>
      </c>
      <c r="E24" s="384">
        <f t="shared" si="17"/>
        <v>11.437879053803155</v>
      </c>
      <c r="F24" s="384">
        <f t="shared" si="1"/>
        <v>11.438263718465906</v>
      </c>
      <c r="G24" s="110">
        <f t="shared" si="18"/>
        <v>0.41126581322061317</v>
      </c>
      <c r="H24" s="413" t="b">
        <f>Wh_hp&gt;='2019'!Maxi_hp</f>
        <v>0</v>
      </c>
      <c r="I24" s="379">
        <f>IF(H24,Wh_hp,'2019'!Maxi_hp)</f>
        <v>14.840705904124258</v>
      </c>
      <c r="J24" s="85">
        <f>IF(H24,An,'2019'!An_max)</f>
        <v>2019</v>
      </c>
      <c r="K24" s="196">
        <f t="shared" si="19"/>
        <v>43840</v>
      </c>
      <c r="L24" s="147">
        <f>IF(t&lt;Tvie,1-EXP((T0-t)*PertePVj)+'2019'!Pspv,1-EXP((T0-t)*PertePVj)+Pspv)</f>
        <v>1.2839516710801524E-2</v>
      </c>
      <c r="M24" s="847"/>
      <c r="N24" s="847"/>
      <c r="O24" s="48">
        <f>IF(t&lt;Tnet,'2019'!Resal+('2019'!Salim-'2019'!Resal)*(1-EXP(('2019'!Tnet-t)/('2019'!Tau_j))),Resal+(Salim-Resal)*(1-EXP((Tnet-t)/(Tau_j))))*Salcycl</f>
        <v>3.2417101622904183E-2</v>
      </c>
      <c r="P24" s="168">
        <f>(INDEX(Models!$BJ24:$BT24,,T24)*(1-R24)+INDEX(Models!$BJ24:$BT24,,T24+1)*R24-ERP_i)*Q24*Ramure*Pc/MaxiM</f>
        <v>2.1143315606395193E-4</v>
      </c>
      <c r="Q24" s="304">
        <f t="shared" si="2"/>
        <v>0.5</v>
      </c>
      <c r="R24" s="176">
        <f t="shared" si="3"/>
        <v>0.1349632581872714</v>
      </c>
      <c r="S24" s="814">
        <f t="shared" si="4"/>
        <v>0</v>
      </c>
      <c r="T24" s="175">
        <f t="shared" si="5"/>
        <v>6</v>
      </c>
      <c r="U24" s="250">
        <f t="shared" si="20"/>
        <v>0.1349632581872714</v>
      </c>
      <c r="V24" s="382">
        <f t="shared" si="6"/>
        <v>26.55960471329686</v>
      </c>
      <c r="W24" s="401"/>
      <c r="X24" s="157">
        <f t="shared" si="7"/>
        <v>43840</v>
      </c>
      <c r="Y24" s="384">
        <f t="shared" si="8"/>
        <v>10.925000000000001</v>
      </c>
      <c r="Z24" s="384">
        <f t="shared" si="9"/>
        <v>11.06709616616553</v>
      </c>
      <c r="AA24" s="385">
        <f t="shared" si="10"/>
        <v>11.437879053803155</v>
      </c>
      <c r="AB24" s="196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3.2417101622904183E-2</v>
      </c>
      <c r="AD24" s="230">
        <f>(INDEX(Models!$BJ24:$BT24,,AH24)*(1-AF24)+INDEX(Models!$BJ24:$BT24,,AH24+1)*AF24-ERP_i)*AE24*Ramure*Pc/MaxiM</f>
        <v>2.1143315606395193E-4</v>
      </c>
      <c r="AE24" s="304">
        <f t="shared" si="12"/>
        <v>0.5</v>
      </c>
      <c r="AF24" s="176">
        <f t="shared" si="21"/>
        <v>0.1349632581872714</v>
      </c>
      <c r="AG24" s="814">
        <f t="shared" si="22"/>
        <v>0</v>
      </c>
      <c r="AH24" s="175">
        <f t="shared" si="13"/>
        <v>6</v>
      </c>
      <c r="AI24" s="224">
        <f t="shared" si="23"/>
        <v>0.1349632581872714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43841</v>
      </c>
      <c r="B25" s="616">
        <v>27.175000000000001</v>
      </c>
      <c r="C25" s="389"/>
      <c r="D25" s="392">
        <f t="shared" si="0"/>
        <v>27.529054976685266</v>
      </c>
      <c r="E25" s="384">
        <f t="shared" si="17"/>
        <v>28.452505721173889</v>
      </c>
      <c r="F25" s="384">
        <f t="shared" si="1"/>
        <v>28.458572415915924</v>
      </c>
      <c r="G25" s="110">
        <f t="shared" si="18"/>
        <v>1.0141415036562136</v>
      </c>
      <c r="H25" s="413" t="b">
        <f>Wh_hp&gt;='2019'!Maxi_hp</f>
        <v>1</v>
      </c>
      <c r="I25" s="379">
        <f>IF(H25,Wh_hp,'2019'!Maxi_hp)</f>
        <v>28.458572415915924</v>
      </c>
      <c r="J25" s="85">
        <f>IF(H25,An,'2019'!An_max)</f>
        <v>2020</v>
      </c>
      <c r="K25" s="196">
        <f t="shared" si="19"/>
        <v>43841</v>
      </c>
      <c r="L25" s="147">
        <f>IF(t&lt;Tvie,1-EXP((T0-t)*PertePVj)+'2019'!Pspv,1-EXP((T0-t)*PertePVj)+Pspv)</f>
        <v>1.2861138058866128E-2</v>
      </c>
      <c r="M25" s="847"/>
      <c r="N25" s="847"/>
      <c r="O25" s="48">
        <f>IF(t&lt;Tnet,'2019'!Resal+('2019'!Salim-'2019'!Resal)*(1-EXP(('2019'!Tnet-t)/('2019'!Tau_j))),Resal+(Salim-Resal)*(1-EXP((Tnet-t)/(Tau_j))))*Salcycl</f>
        <v>3.2455867104928017E-2</v>
      </c>
      <c r="P25" s="168">
        <f>(INDEX(Models!$BJ25:$BT25,,T25)*(1-R25)+INDEX(Models!$BJ25:$BT25,,T25+1)*R25-ERP_i)*Q25*Ramure*Pc/MaxiM</f>
        <v>2.1317635520758498E-4</v>
      </c>
      <c r="Q25" s="304">
        <f t="shared" si="2"/>
        <v>0.5</v>
      </c>
      <c r="R25" s="176">
        <f t="shared" si="3"/>
        <v>0.13498859946169101</v>
      </c>
      <c r="S25" s="814">
        <f t="shared" si="4"/>
        <v>0</v>
      </c>
      <c r="T25" s="175">
        <f t="shared" si="5"/>
        <v>6</v>
      </c>
      <c r="U25" s="250">
        <f t="shared" si="20"/>
        <v>0.13498859946169101</v>
      </c>
      <c r="V25" s="382">
        <f t="shared" si="6"/>
        <v>26.796063371854785</v>
      </c>
      <c r="W25" s="401"/>
      <c r="X25" s="157">
        <f t="shared" si="7"/>
        <v>43841</v>
      </c>
      <c r="Y25" s="384">
        <f t="shared" si="8"/>
        <v>27.175000000000001</v>
      </c>
      <c r="Z25" s="384">
        <f t="shared" si="9"/>
        <v>27.529054976685266</v>
      </c>
      <c r="AA25" s="385">
        <f t="shared" si="10"/>
        <v>28.452505721173889</v>
      </c>
      <c r="AB25" s="196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3.2455867104928017E-2</v>
      </c>
      <c r="AD25" s="230">
        <f>(INDEX(Models!$BJ25:$BT25,,AH25)*(1-AF25)+INDEX(Models!$BJ25:$BT25,,AH25+1)*AF25-ERP_i)*AE25*Ramure*Pc/MaxiM</f>
        <v>2.1317635520758498E-4</v>
      </c>
      <c r="AE25" s="304">
        <f t="shared" si="12"/>
        <v>0.5</v>
      </c>
      <c r="AF25" s="176">
        <f t="shared" si="21"/>
        <v>0.13498859946169101</v>
      </c>
      <c r="AG25" s="814">
        <f t="shared" si="22"/>
        <v>0</v>
      </c>
      <c r="AH25" s="175">
        <f t="shared" si="13"/>
        <v>6</v>
      </c>
      <c r="AI25" s="224">
        <f t="shared" si="23"/>
        <v>0.13498859946169101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43842</v>
      </c>
      <c r="B26" s="616">
        <v>27.343</v>
      </c>
      <c r="C26" s="389"/>
      <c r="D26" s="392">
        <f t="shared" si="0"/>
        <v>27.699850496435911</v>
      </c>
      <c r="E26" s="384">
        <f t="shared" si="17"/>
        <v>28.630177384138765</v>
      </c>
      <c r="F26" s="384">
        <f t="shared" si="1"/>
        <v>28.636326712021056</v>
      </c>
      <c r="G26" s="110">
        <f t="shared" si="18"/>
        <v>1.011083732147398</v>
      </c>
      <c r="H26" s="413" t="b">
        <f>Wh_hp&gt;='2019'!Maxi_hp</f>
        <v>1</v>
      </c>
      <c r="I26" s="379">
        <f>IF(H26,Wh_hp,'2019'!Maxi_hp)</f>
        <v>28.636326712021056</v>
      </c>
      <c r="J26" s="85">
        <f>IF(H26,An,'2019'!An_max)</f>
        <v>2020</v>
      </c>
      <c r="K26" s="196">
        <f t="shared" si="19"/>
        <v>43842</v>
      </c>
      <c r="L26" s="147">
        <f>IF(t&lt;Tvie,1-EXP((T0-t)*PertePVj)+'2019'!Pspv,1-EXP((T0-t)*PertePVj)+Pspv)</f>
        <v>1.2882758933367766E-2</v>
      </c>
      <c r="M26" s="847"/>
      <c r="N26" s="847"/>
      <c r="O26" s="48">
        <f>IF(t&lt;Tnet,'2019'!Resal+('2019'!Salim-'2019'!Resal)*(1-EXP(('2019'!Tnet-t)/('2019'!Tau_j))),Resal+(Salim-Resal)*(1-EXP((Tnet-t)/(Tau_j))))*Salcycl</f>
        <v>3.2494625346549913E-2</v>
      </c>
      <c r="P26" s="168">
        <f>(INDEX(Models!$BJ26:$BT26,,T26)*(1-R26)+INDEX(Models!$BJ26:$BT26,,T26+1)*R26-ERP_i)*Q26*Ramure*Pc/MaxiM</f>
        <v>2.1473871087356175E-4</v>
      </c>
      <c r="Q26" s="304">
        <f t="shared" si="2"/>
        <v>0.5</v>
      </c>
      <c r="R26" s="176">
        <f t="shared" si="3"/>
        <v>0.13501499929829366</v>
      </c>
      <c r="S26" s="814">
        <f t="shared" si="4"/>
        <v>0</v>
      </c>
      <c r="T26" s="175">
        <f t="shared" si="5"/>
        <v>6</v>
      </c>
      <c r="U26" s="250">
        <f t="shared" si="20"/>
        <v>0.13501499929829366</v>
      </c>
      <c r="V26" s="382">
        <f t="shared" si="6"/>
        <v>27.043259752510661</v>
      </c>
      <c r="W26" s="401"/>
      <c r="X26" s="157">
        <f t="shared" si="7"/>
        <v>43842</v>
      </c>
      <c r="Y26" s="384">
        <f t="shared" si="8"/>
        <v>27.343</v>
      </c>
      <c r="Z26" s="384">
        <f t="shared" si="9"/>
        <v>27.699850496435911</v>
      </c>
      <c r="AA26" s="385">
        <f t="shared" si="10"/>
        <v>28.630177384138765</v>
      </c>
      <c r="AB26" s="196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3.2494625346549913E-2</v>
      </c>
      <c r="AD26" s="230">
        <f>(INDEX(Models!$BJ26:$BT26,,AH26)*(1-AF26)+INDEX(Models!$BJ26:$BT26,,AH26+1)*AF26-ERP_i)*AE26*Ramure*Pc/MaxiM</f>
        <v>2.1473871087356175E-4</v>
      </c>
      <c r="AE26" s="304">
        <f t="shared" si="12"/>
        <v>0.5</v>
      </c>
      <c r="AF26" s="176">
        <f t="shared" si="21"/>
        <v>0.13501499929829366</v>
      </c>
      <c r="AG26" s="814">
        <f t="shared" si="22"/>
        <v>0</v>
      </c>
      <c r="AH26" s="175">
        <f t="shared" si="13"/>
        <v>6</v>
      </c>
      <c r="AI26" s="224">
        <f t="shared" si="23"/>
        <v>0.13501499929829366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43843</v>
      </c>
      <c r="B27" s="616">
        <v>16.138999999999999</v>
      </c>
      <c r="C27" s="389"/>
      <c r="D27" s="392">
        <f t="shared" si="0"/>
        <v>16.349986426964477</v>
      </c>
      <c r="E27" s="384">
        <f t="shared" si="17"/>
        <v>16.899793773645936</v>
      </c>
      <c r="F27" s="384">
        <f t="shared" si="1"/>
        <v>16.901313212419812</v>
      </c>
      <c r="G27" s="110">
        <f t="shared" si="18"/>
        <v>0.59109366859133328</v>
      </c>
      <c r="H27" s="413" t="b">
        <f>Wh_hp&gt;='2019'!Maxi_hp</f>
        <v>1</v>
      </c>
      <c r="I27" s="379">
        <f>IF(H27,Wh_hp,'2019'!Maxi_hp)</f>
        <v>16.901313212419812</v>
      </c>
      <c r="J27" s="85">
        <f>IF(H27,An,'2019'!An_max)</f>
        <v>2020</v>
      </c>
      <c r="K27" s="196">
        <f t="shared" si="19"/>
        <v>43843</v>
      </c>
      <c r="L27" s="147">
        <f>IF(t&lt;Tvie,1-EXP((T0-t)*PertePVj)+'2019'!Pspv,1-EXP((T0-t)*PertePVj)+Pspv)</f>
        <v>1.2904379334316651E-2</v>
      </c>
      <c r="M27" s="847"/>
      <c r="N27" s="847"/>
      <c r="O27" s="48">
        <f>IF(t&lt;Tnet,'2019'!Resal+('2019'!Salim-'2019'!Resal)*(1-EXP(('2019'!Tnet-t)/('2019'!Tau_j))),Resal+(Salim-Resal)*(1-EXP((Tnet-t)/(Tau_j))))*Salcycl</f>
        <v>3.2533376089999691E-2</v>
      </c>
      <c r="P27" s="168">
        <f>(INDEX(Models!$BJ27:$BT27,,T27)*(1-R27)+INDEX(Models!$BJ27:$BT27,,T27+1)*R27-ERP_i)*Q27*Ramure*Pc/MaxiM</f>
        <v>2.1613082238824242E-4</v>
      </c>
      <c r="Q27" s="304">
        <f t="shared" si="2"/>
        <v>0.5</v>
      </c>
      <c r="R27" s="176">
        <f t="shared" si="3"/>
        <v>0.13504250171697516</v>
      </c>
      <c r="S27" s="814">
        <f t="shared" si="4"/>
        <v>0</v>
      </c>
      <c r="T27" s="175">
        <f t="shared" si="5"/>
        <v>6</v>
      </c>
      <c r="U27" s="250">
        <f t="shared" si="20"/>
        <v>0.13504250171697516</v>
      </c>
      <c r="V27" s="382">
        <f t="shared" si="6"/>
        <v>27.300178373222003</v>
      </c>
      <c r="W27" s="401"/>
      <c r="X27" s="157">
        <f t="shared" si="7"/>
        <v>43843</v>
      </c>
      <c r="Y27" s="384">
        <f t="shared" si="8"/>
        <v>16.138999999999999</v>
      </c>
      <c r="Z27" s="384">
        <f t="shared" si="9"/>
        <v>16.349986426964477</v>
      </c>
      <c r="AA27" s="385">
        <f t="shared" si="10"/>
        <v>16.899793773645936</v>
      </c>
      <c r="AB27" s="196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3.2533376089999691E-2</v>
      </c>
      <c r="AD27" s="230">
        <f>(INDEX(Models!$BJ27:$BT27,,AH27)*(1-AF27)+INDEX(Models!$BJ27:$BT27,,AH27+1)*AF27-ERP_i)*AE27*Ramure*Pc/MaxiM</f>
        <v>2.1613082238824242E-4</v>
      </c>
      <c r="AE27" s="304">
        <f t="shared" si="12"/>
        <v>0.5</v>
      </c>
      <c r="AF27" s="176">
        <f t="shared" si="21"/>
        <v>0.13504250171697516</v>
      </c>
      <c r="AG27" s="814">
        <f t="shared" si="22"/>
        <v>0</v>
      </c>
      <c r="AH27" s="175">
        <f t="shared" si="13"/>
        <v>6</v>
      </c>
      <c r="AI27" s="224">
        <f t="shared" si="23"/>
        <v>0.13504250171697516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43844</v>
      </c>
      <c r="B28" s="616">
        <v>26.565000000000001</v>
      </c>
      <c r="C28" s="389"/>
      <c r="D28" s="392">
        <f t="shared" si="0"/>
        <v>26.912875812888249</v>
      </c>
      <c r="E28" s="384">
        <f t="shared" si="17"/>
        <v>27.818999594007032</v>
      </c>
      <c r="F28" s="384">
        <f t="shared" si="1"/>
        <v>27.824733987377833</v>
      </c>
      <c r="G28" s="110">
        <f t="shared" si="18"/>
        <v>0.96368313670411643</v>
      </c>
      <c r="H28" s="413" t="b">
        <f>Wh_hp&gt;='2019'!Maxi_hp</f>
        <v>1</v>
      </c>
      <c r="I28" s="379">
        <f>IF(H28,Wh_hp,'2019'!Maxi_hp)</f>
        <v>27.824733987377833</v>
      </c>
      <c r="J28" s="85">
        <f>IF(H28,An,'2019'!An_max)</f>
        <v>2020</v>
      </c>
      <c r="K28" s="196">
        <f t="shared" si="19"/>
        <v>43844</v>
      </c>
      <c r="L28" s="147">
        <f>IF(t&lt;Tvie,1-EXP((T0-t)*PertePVj)+'2019'!Pspv,1-EXP((T0-t)*PertePVj)+Pspv)</f>
        <v>1.2925999261723442E-2</v>
      </c>
      <c r="M28" s="847"/>
      <c r="N28" s="847"/>
      <c r="O28" s="48">
        <f>IF(t&lt;Tnet,'2019'!Resal+('2019'!Salim-'2019'!Resal)*(1-EXP(('2019'!Tnet-t)/('2019'!Tau_j))),Resal+(Salim-Resal)*(1-EXP((Tnet-t)/(Tau_j))))*Salcycl</f>
        <v>3.2572119570898839E-2</v>
      </c>
      <c r="P28" s="168">
        <f>(INDEX(Models!$BJ28:$BT28,,T28)*(1-R28)+INDEX(Models!$BJ28:$BT28,,T28+1)*R28-ERP_i)*Q28*Ramure*Pc/MaxiM</f>
        <v>2.1736349417230967E-4</v>
      </c>
      <c r="Q28" s="304">
        <f t="shared" si="2"/>
        <v>0.5</v>
      </c>
      <c r="R28" s="176">
        <f t="shared" si="3"/>
        <v>0.13507115255120883</v>
      </c>
      <c r="S28" s="814">
        <f t="shared" si="4"/>
        <v>0</v>
      </c>
      <c r="T28" s="175">
        <f t="shared" si="5"/>
        <v>6</v>
      </c>
      <c r="U28" s="250">
        <f t="shared" si="20"/>
        <v>0.13507115255120883</v>
      </c>
      <c r="V28" s="382">
        <f t="shared" si="6"/>
        <v>27.565803987153686</v>
      </c>
      <c r="W28" s="401"/>
      <c r="X28" s="157">
        <f t="shared" si="7"/>
        <v>43844</v>
      </c>
      <c r="Y28" s="384">
        <f t="shared" si="8"/>
        <v>26.565000000000001</v>
      </c>
      <c r="Z28" s="384">
        <f t="shared" si="9"/>
        <v>26.912875812888249</v>
      </c>
      <c r="AA28" s="385">
        <f t="shared" si="10"/>
        <v>27.818999594007032</v>
      </c>
      <c r="AB28" s="196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3.2572119570898839E-2</v>
      </c>
      <c r="AD28" s="230">
        <f>(INDEX(Models!$BJ28:$BT28,,AH28)*(1-AF28)+INDEX(Models!$BJ28:$BT28,,AH28+1)*AF28-ERP_i)*AE28*Ramure*Pc/MaxiM</f>
        <v>2.1736349417230967E-4</v>
      </c>
      <c r="AE28" s="304">
        <f t="shared" si="12"/>
        <v>0.5</v>
      </c>
      <c r="AF28" s="176">
        <f t="shared" si="21"/>
        <v>0.13507115255120883</v>
      </c>
      <c r="AG28" s="814">
        <f t="shared" si="22"/>
        <v>0</v>
      </c>
      <c r="AH28" s="175">
        <f t="shared" si="13"/>
        <v>6</v>
      </c>
      <c r="AI28" s="224">
        <f t="shared" si="23"/>
        <v>0.13507115255120883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43845</v>
      </c>
      <c r="B29" s="616">
        <v>22.54</v>
      </c>
      <c r="C29" s="389"/>
      <c r="D29" s="392">
        <f t="shared" si="0"/>
        <v>22.835667516114825</v>
      </c>
      <c r="E29" s="384">
        <f t="shared" si="17"/>
        <v>23.605461843740905</v>
      </c>
      <c r="F29" s="384">
        <f t="shared" si="1"/>
        <v>23.609216797512069</v>
      </c>
      <c r="G29" s="110">
        <f t="shared" si="18"/>
        <v>0.80960388079899281</v>
      </c>
      <c r="H29" s="413" t="b">
        <f>Wh_hp&gt;='2019'!Maxi_hp</f>
        <v>0</v>
      </c>
      <c r="I29" s="379">
        <f>IF(H29,Wh_hp,'2019'!Maxi_hp)</f>
        <v>29.274911981383848</v>
      </c>
      <c r="J29" s="85">
        <f>IF(H29,An,'2019'!An_max)</f>
        <v>2019</v>
      </c>
      <c r="K29" s="196">
        <f t="shared" si="19"/>
        <v>43845</v>
      </c>
      <c r="L29" s="147">
        <f>IF(t&lt;Tvie,1-EXP((T0-t)*PertePVj)+'2019'!Pspv,1-EXP((T0-t)*PertePVj)+Pspv)</f>
        <v>1.2947618715598241E-2</v>
      </c>
      <c r="M29" s="847"/>
      <c r="N29" s="847"/>
      <c r="O29" s="48">
        <f>IF(t&lt;Tnet,'2019'!Resal+('2019'!Salim-'2019'!Resal)*(1-EXP(('2019'!Tnet-t)/('2019'!Tau_j))),Resal+(Salim-Resal)*(1-EXP((Tnet-t)/(Tau_j))))*Salcycl</f>
        <v>3.2610856450164899E-2</v>
      </c>
      <c r="P29" s="168">
        <f>(INDEX(Models!$BJ29:$BT29,,T29)*(1-R29)+INDEX(Models!$BJ29:$BT29,,T29+1)*R29-ERP_i)*Q29*Ramure*Pc/MaxiM</f>
        <v>2.1844762936917963E-4</v>
      </c>
      <c r="Q29" s="304">
        <f t="shared" si="2"/>
        <v>0.5</v>
      </c>
      <c r="R29" s="176">
        <f t="shared" si="3"/>
        <v>0.13510099952131222</v>
      </c>
      <c r="S29" s="814">
        <f t="shared" si="4"/>
        <v>0</v>
      </c>
      <c r="T29" s="175">
        <f t="shared" si="5"/>
        <v>6</v>
      </c>
      <c r="U29" s="250">
        <f t="shared" si="20"/>
        <v>0.13510099952131222</v>
      </c>
      <c r="V29" s="382">
        <f t="shared" si="6"/>
        <v>27.839121588969753</v>
      </c>
      <c r="W29" s="401"/>
      <c r="X29" s="157">
        <f t="shared" si="7"/>
        <v>43845</v>
      </c>
      <c r="Y29" s="384">
        <f t="shared" si="8"/>
        <v>22.54</v>
      </c>
      <c r="Z29" s="384">
        <f t="shared" si="9"/>
        <v>22.835667516114825</v>
      </c>
      <c r="AA29" s="385">
        <f t="shared" si="10"/>
        <v>23.605461843740905</v>
      </c>
      <c r="AB29" s="196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3.2610856450164899E-2</v>
      </c>
      <c r="AD29" s="230">
        <f>(INDEX(Models!$BJ29:$BT29,,AH29)*(1-AF29)+INDEX(Models!$BJ29:$BT29,,AH29+1)*AF29-ERP_i)*AE29*Ramure*Pc/MaxiM</f>
        <v>2.1844762936917963E-4</v>
      </c>
      <c r="AE29" s="304">
        <f t="shared" si="12"/>
        <v>0.5</v>
      </c>
      <c r="AF29" s="176">
        <f t="shared" si="21"/>
        <v>0.13510099952131222</v>
      </c>
      <c r="AG29" s="814">
        <f t="shared" si="22"/>
        <v>0</v>
      </c>
      <c r="AH29" s="175">
        <f t="shared" si="13"/>
        <v>6</v>
      </c>
      <c r="AI29" s="224">
        <f t="shared" si="23"/>
        <v>0.13510099952131222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43846</v>
      </c>
      <c r="B30" s="616">
        <v>24.605</v>
      </c>
      <c r="C30" s="389"/>
      <c r="D30" s="392">
        <f t="shared" si="0"/>
        <v>24.928301061827074</v>
      </c>
      <c r="E30" s="384">
        <f t="shared" si="17"/>
        <v>25.769670169171583</v>
      </c>
      <c r="F30" s="384">
        <f t="shared" si="1"/>
        <v>25.774305633957155</v>
      </c>
      <c r="G30" s="110">
        <f t="shared" si="18"/>
        <v>0.87499288533662756</v>
      </c>
      <c r="H30" s="413" t="b">
        <f>Wh_hp&gt;='2019'!Maxi_hp</f>
        <v>0</v>
      </c>
      <c r="I30" s="379">
        <f>IF(H30,Wh_hp,'2019'!Maxi_hp)</f>
        <v>29.727345676084568</v>
      </c>
      <c r="J30" s="85">
        <f>IF(H30,An,'2019'!An_max)</f>
        <v>2019</v>
      </c>
      <c r="K30" s="196">
        <f t="shared" si="19"/>
        <v>43846</v>
      </c>
      <c r="L30" s="147">
        <f>IF(t&lt;Tvie,1-EXP((T0-t)*PertePVj)+'2019'!Pspv,1-EXP((T0-t)*PertePVj)+Pspv)</f>
        <v>1.2969237695951485E-2</v>
      </c>
      <c r="M30" s="847"/>
      <c r="N30" s="847"/>
      <c r="O30" s="48">
        <f>IF(t&lt;Tnet,'2019'!Resal+('2019'!Salim-'2019'!Resal)*(1-EXP(('2019'!Tnet-t)/('2019'!Tau_j))),Resal+(Salim-Resal)*(1-EXP((Tnet-t)/(Tau_j))))*Salcycl</f>
        <v>3.2649587744861479E-2</v>
      </c>
      <c r="P30" s="168">
        <f>(INDEX(Models!$BJ30:$BT30,,T30)*(1-R30)+INDEX(Models!$BJ30:$BT30,,T30+1)*R30-ERP_i)*Q30*Ramure*Pc/MaxiM</f>
        <v>2.1893542778129922E-4</v>
      </c>
      <c r="Q30" s="304">
        <f t="shared" si="2"/>
        <v>0.5</v>
      </c>
      <c r="R30" s="176">
        <f t="shared" si="3"/>
        <v>0.13513209231054818</v>
      </c>
      <c r="S30" s="814">
        <f t="shared" si="4"/>
        <v>0</v>
      </c>
      <c r="T30" s="175">
        <f t="shared" si="5"/>
        <v>6</v>
      </c>
      <c r="U30" s="250">
        <f t="shared" si="20"/>
        <v>0.13513209231054818</v>
      </c>
      <c r="V30" s="382">
        <f t="shared" si="6"/>
        <v>28.119129309837465</v>
      </c>
      <c r="W30" s="401"/>
      <c r="X30" s="157">
        <f t="shared" si="7"/>
        <v>43846</v>
      </c>
      <c r="Y30" s="384">
        <f t="shared" si="8"/>
        <v>24.605</v>
      </c>
      <c r="Z30" s="384">
        <f t="shared" si="9"/>
        <v>24.928301061827074</v>
      </c>
      <c r="AA30" s="385">
        <f t="shared" si="10"/>
        <v>25.769670169171583</v>
      </c>
      <c r="AB30" s="196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3.2649587744861479E-2</v>
      </c>
      <c r="AD30" s="230">
        <f>(INDEX(Models!$BJ30:$BT30,,AH30)*(1-AF30)+INDEX(Models!$BJ30:$BT30,,AH30+1)*AF30-ERP_i)*AE30*Ramure*Pc/MaxiM</f>
        <v>2.1893542778129922E-4</v>
      </c>
      <c r="AE30" s="304">
        <f t="shared" si="12"/>
        <v>0.5</v>
      </c>
      <c r="AF30" s="176">
        <f t="shared" si="21"/>
        <v>0.13513209231054818</v>
      </c>
      <c r="AG30" s="814">
        <f t="shared" si="22"/>
        <v>0</v>
      </c>
      <c r="AH30" s="175">
        <f t="shared" si="13"/>
        <v>6</v>
      </c>
      <c r="AI30" s="224">
        <f t="shared" si="23"/>
        <v>0.13513209231054818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43847</v>
      </c>
      <c r="B31" s="616">
        <v>3.915</v>
      </c>
      <c r="C31" s="389"/>
      <c r="D31" s="392">
        <f t="shared" si="0"/>
        <v>3.9665286027019691</v>
      </c>
      <c r="E31" s="384">
        <f t="shared" si="17"/>
        <v>4.100569302760726</v>
      </c>
      <c r="F31" s="384">
        <f t="shared" si="1"/>
        <v>4.100569302760726</v>
      </c>
      <c r="G31" s="110">
        <f t="shared" si="18"/>
        <v>0.13779859235559769</v>
      </c>
      <c r="H31" s="413" t="b">
        <f>Wh_hp&gt;='2019'!Maxi_hp</f>
        <v>0</v>
      </c>
      <c r="I31" s="379">
        <f>IF(H31,Wh_hp,'2019'!Maxi_hp)</f>
        <v>10.061034741598794</v>
      </c>
      <c r="J31" s="85">
        <f>IF(H31,An,'2019'!An_max)</f>
        <v>2019</v>
      </c>
      <c r="K31" s="196">
        <f t="shared" si="19"/>
        <v>43847</v>
      </c>
      <c r="L31" s="147">
        <f>IF(t&lt;Tvie,1-EXP((T0-t)*PertePVj)+'2019'!Pspv,1-EXP((T0-t)*PertePVj)+Pspv)</f>
        <v>1.299085620279361E-2</v>
      </c>
      <c r="M31" s="847"/>
      <c r="N31" s="847"/>
      <c r="O31" s="48">
        <f>IF(t&lt;Tnet,'2019'!Resal+('2019'!Salim-'2019'!Resal)*(1-EXP(('2019'!Tnet-t)/('2019'!Tau_j))),Resal+(Salim-Resal)*(1-EXP((Tnet-t)/(Tau_j))))*Salcycl</f>
        <v>3.2688314758761224E-2</v>
      </c>
      <c r="P31" s="168">
        <f>(INDEX(Models!$BJ31:$BT31,,T31)*(1-R31)+INDEX(Models!$BJ31:$BT31,,T31+1)*R31-ERP_i)*Q31*Ramure*Pc/MaxiM</f>
        <v>2.1877475361457567E-4</v>
      </c>
      <c r="Q31" s="304">
        <f t="shared" si="2"/>
        <v>0.5</v>
      </c>
      <c r="R31" s="176">
        <f t="shared" si="3"/>
        <v>0.13516448264416067</v>
      </c>
      <c r="S31" s="814">
        <f t="shared" si="4"/>
        <v>0</v>
      </c>
      <c r="T31" s="175">
        <f t="shared" si="5"/>
        <v>6</v>
      </c>
      <c r="U31" s="250">
        <f t="shared" si="20"/>
        <v>0.13516448264416067</v>
      </c>
      <c r="V31" s="382">
        <f t="shared" si="6"/>
        <v>28.404814809275504</v>
      </c>
      <c r="W31" s="401"/>
      <c r="X31" s="157">
        <f t="shared" si="7"/>
        <v>43847</v>
      </c>
      <c r="Y31" s="384">
        <f t="shared" si="8"/>
        <v>3.9150000000000005</v>
      </c>
      <c r="Z31" s="384">
        <f t="shared" si="9"/>
        <v>3.9665286027019695</v>
      </c>
      <c r="AA31" s="385">
        <f t="shared" si="10"/>
        <v>4.100569302760726</v>
      </c>
      <c r="AB31" s="196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3.2688314758761224E-2</v>
      </c>
      <c r="AD31" s="230">
        <f>(INDEX(Models!$BJ31:$BT31,,AH31)*(1-AF31)+INDEX(Models!$BJ31:$BT31,,AH31+1)*AF31-ERP_i)*AE31*Ramure*Pc/MaxiM</f>
        <v>2.1877475361457567E-4</v>
      </c>
      <c r="AE31" s="304">
        <f t="shared" si="12"/>
        <v>0.5</v>
      </c>
      <c r="AF31" s="176">
        <f t="shared" si="21"/>
        <v>0.13516448264416067</v>
      </c>
      <c r="AG31" s="814">
        <f t="shared" si="22"/>
        <v>0</v>
      </c>
      <c r="AH31" s="175">
        <f t="shared" si="13"/>
        <v>6</v>
      </c>
      <c r="AI31" s="224">
        <f t="shared" si="23"/>
        <v>0.13516448264416067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43848</v>
      </c>
      <c r="B32" s="616">
        <v>19.643999999999998</v>
      </c>
      <c r="C32" s="389"/>
      <c r="D32" s="392">
        <f t="shared" si="0"/>
        <v>19.902987106951329</v>
      </c>
      <c r="E32" s="384">
        <f t="shared" si="17"/>
        <v>20.576391473457647</v>
      </c>
      <c r="F32" s="384">
        <f t="shared" si="1"/>
        <v>20.578856068253085</v>
      </c>
      <c r="G32" s="110">
        <f t="shared" si="18"/>
        <v>0.68450803398929749</v>
      </c>
      <c r="H32" s="413" t="b">
        <f>Wh_hp&gt;='2019'!Maxi_hp</f>
        <v>1</v>
      </c>
      <c r="I32" s="379">
        <f>IF(H32,Wh_hp,'2019'!Maxi_hp)</f>
        <v>20.578856068253085</v>
      </c>
      <c r="J32" s="85">
        <f>IF(H32,An,'2019'!An_max)</f>
        <v>2020</v>
      </c>
      <c r="K32" s="196">
        <f t="shared" si="19"/>
        <v>43848</v>
      </c>
      <c r="L32" s="147">
        <f>IF(t&lt;Tvie,1-EXP((T0-t)*PertePVj)+'2019'!Pspv,1-EXP((T0-t)*PertePVj)+Pspv)</f>
        <v>1.3012474236134941E-2</v>
      </c>
      <c r="M32" s="847"/>
      <c r="N32" s="847"/>
      <c r="O32" s="48">
        <f>IF(t&lt;Tnet,'2019'!Resal+('2019'!Salim-'2019'!Resal)*(1-EXP(('2019'!Tnet-t)/('2019'!Tau_j))),Resal+(Salim-Resal)*(1-EXP((Tnet-t)/(Tau_j))))*Salcycl</f>
        <v>3.2727039013374572E-2</v>
      </c>
      <c r="P32" s="168">
        <f>(INDEX(Models!$BJ32:$BT32,,T32)*(1-R32)+INDEX(Models!$BJ32:$BT32,,T32+1)*R32-ERP_i)*Q32*Ramure*Pc/MaxiM</f>
        <v>2.1799220511835668E-4</v>
      </c>
      <c r="Q32" s="304">
        <f t="shared" si="2"/>
        <v>0.5</v>
      </c>
      <c r="R32" s="176">
        <f t="shared" si="3"/>
        <v>0.13519822437144566</v>
      </c>
      <c r="S32" s="814">
        <f t="shared" si="4"/>
        <v>0</v>
      </c>
      <c r="T32" s="175">
        <f t="shared" si="5"/>
        <v>6</v>
      </c>
      <c r="U32" s="250">
        <f t="shared" si="20"/>
        <v>0.13519822437144566</v>
      </c>
      <c r="V32" s="382">
        <f t="shared" si="6"/>
        <v>28.695163807987541</v>
      </c>
      <c r="W32" s="401"/>
      <c r="X32" s="157">
        <f t="shared" si="7"/>
        <v>43848</v>
      </c>
      <c r="Y32" s="384">
        <f t="shared" si="8"/>
        <v>19.643999999999998</v>
      </c>
      <c r="Z32" s="384">
        <f t="shared" si="9"/>
        <v>19.902987106951329</v>
      </c>
      <c r="AA32" s="385">
        <f t="shared" si="10"/>
        <v>20.576391473457647</v>
      </c>
      <c r="AB32" s="196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3.2727039013374572E-2</v>
      </c>
      <c r="AD32" s="230">
        <f>(INDEX(Models!$BJ32:$BT32,,AH32)*(1-AF32)+INDEX(Models!$BJ32:$BT32,,AH32+1)*AF32-ERP_i)*AE32*Ramure*Pc/MaxiM</f>
        <v>2.1799220511835668E-4</v>
      </c>
      <c r="AE32" s="304">
        <f t="shared" si="12"/>
        <v>0.5</v>
      </c>
      <c r="AF32" s="176">
        <f t="shared" si="21"/>
        <v>0.13519822437144566</v>
      </c>
      <c r="AG32" s="814">
        <f t="shared" si="22"/>
        <v>0</v>
      </c>
      <c r="AH32" s="175">
        <f t="shared" si="13"/>
        <v>6</v>
      </c>
      <c r="AI32" s="224">
        <f t="shared" si="23"/>
        <v>0.13519822437144566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43849</v>
      </c>
      <c r="B33" s="616">
        <v>24.398</v>
      </c>
      <c r="C33" s="389"/>
      <c r="D33" s="392">
        <f t="shared" si="0"/>
        <v>24.72020542674786</v>
      </c>
      <c r="E33" s="384">
        <f t="shared" si="17"/>
        <v>25.557620336587718</v>
      </c>
      <c r="F33" s="384">
        <f t="shared" si="1"/>
        <v>25.561904638733733</v>
      </c>
      <c r="G33" s="110">
        <f t="shared" si="18"/>
        <v>0.84158361841903706</v>
      </c>
      <c r="H33" s="413" t="b">
        <f>Wh_hp&gt;='2019'!Maxi_hp</f>
        <v>1</v>
      </c>
      <c r="I33" s="379">
        <f>IF(H33,Wh_hp,'2019'!Maxi_hp)</f>
        <v>25.561904638733733</v>
      </c>
      <c r="J33" s="85">
        <f>IF(H33,An,'2019'!An_max)</f>
        <v>2020</v>
      </c>
      <c r="K33" s="196">
        <f t="shared" si="19"/>
        <v>43849</v>
      </c>
      <c r="L33" s="147">
        <f>IF(t&lt;Tvie,1-EXP((T0-t)*PertePVj)+'2019'!Pspv,1-EXP((T0-t)*PertePVj)+Pspv)</f>
        <v>1.3034091795985914E-2</v>
      </c>
      <c r="M33" s="847"/>
      <c r="N33" s="847"/>
      <c r="O33" s="48">
        <f>IF(t&lt;Tnet,'2019'!Resal+('2019'!Salim-'2019'!Resal)*(1-EXP(('2019'!Tnet-t)/('2019'!Tau_j))),Resal+(Salim-Resal)*(1-EXP((Tnet-t)/(Tau_j))))*Salcycl</f>
        <v>3.2765762180175788E-2</v>
      </c>
      <c r="P33" s="168">
        <f>(INDEX(Models!$BJ33:$BT33,,T33)*(1-R33)+INDEX(Models!$BJ33:$BT33,,T33+1)*R33-ERP_i)*Q33*Ramure*Pc/MaxiM</f>
        <v>2.166138998381454E-4</v>
      </c>
      <c r="Q33" s="304">
        <f t="shared" si="2"/>
        <v>0.5</v>
      </c>
      <c r="R33" s="176">
        <f t="shared" si="3"/>
        <v>0.13523337355096221</v>
      </c>
      <c r="S33" s="814">
        <f t="shared" si="4"/>
        <v>0</v>
      </c>
      <c r="T33" s="175">
        <f t="shared" si="5"/>
        <v>6</v>
      </c>
      <c r="U33" s="250">
        <f t="shared" si="20"/>
        <v>0.13523337355096221</v>
      </c>
      <c r="V33" s="382">
        <f t="shared" si="6"/>
        <v>28.989162271729448</v>
      </c>
      <c r="W33" s="401"/>
      <c r="X33" s="157">
        <f t="shared" si="7"/>
        <v>43849</v>
      </c>
      <c r="Y33" s="384">
        <f t="shared" si="8"/>
        <v>24.398</v>
      </c>
      <c r="Z33" s="384">
        <f t="shared" si="9"/>
        <v>24.72020542674786</v>
      </c>
      <c r="AA33" s="385">
        <f t="shared" si="10"/>
        <v>25.557620336587718</v>
      </c>
      <c r="AB33" s="196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3.2765762180175788E-2</v>
      </c>
      <c r="AD33" s="230">
        <f>(INDEX(Models!$BJ33:$BT33,,AH33)*(1-AF33)+INDEX(Models!$BJ33:$BT33,,AH33+1)*AF33-ERP_i)*AE33*Ramure*Pc/MaxiM</f>
        <v>2.166138998381454E-4</v>
      </c>
      <c r="AE33" s="304">
        <f t="shared" si="12"/>
        <v>0.5</v>
      </c>
      <c r="AF33" s="176">
        <f t="shared" si="21"/>
        <v>0.13523337355096221</v>
      </c>
      <c r="AG33" s="814">
        <f t="shared" si="22"/>
        <v>0</v>
      </c>
      <c r="AH33" s="175">
        <f t="shared" si="13"/>
        <v>6</v>
      </c>
      <c r="AI33" s="224">
        <f t="shared" si="23"/>
        <v>0.13523337355096221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43850</v>
      </c>
      <c r="B34" s="616">
        <v>9.6969999999999992</v>
      </c>
      <c r="C34" s="389"/>
      <c r="D34" s="392">
        <f t="shared" si="0"/>
        <v>9.8252759423927021</v>
      </c>
      <c r="E34" s="384">
        <f t="shared" si="17"/>
        <v>10.158521002551231</v>
      </c>
      <c r="F34" s="384">
        <f t="shared" si="1"/>
        <v>10.158617938876899</v>
      </c>
      <c r="G34" s="110">
        <f t="shared" si="18"/>
        <v>0.33104822446020904</v>
      </c>
      <c r="H34" s="413" t="b">
        <f>Wh_hp&gt;='2019'!Maxi_hp</f>
        <v>1</v>
      </c>
      <c r="I34" s="379">
        <f>IF(H34,Wh_hp,'2019'!Maxi_hp)</f>
        <v>10.158617938876899</v>
      </c>
      <c r="J34" s="85">
        <f>IF(H34,An,'2019'!An_max)</f>
        <v>2020</v>
      </c>
      <c r="K34" s="196">
        <f t="shared" si="19"/>
        <v>43850</v>
      </c>
      <c r="L34" s="147">
        <f>IF(t&lt;Tvie,1-EXP((T0-t)*PertePVj)+'2019'!Pspv,1-EXP((T0-t)*PertePVj)+Pspv)</f>
        <v>1.3055708882356853E-2</v>
      </c>
      <c r="M34" s="847"/>
      <c r="N34" s="847"/>
      <c r="O34" s="48">
        <f>IF(t&lt;Tnet,'2019'!Resal+('2019'!Salim-'2019'!Resal)*(1-EXP(('2019'!Tnet-t)/('2019'!Tau_j))),Resal+(Salim-Resal)*(1-EXP((Tnet-t)/(Tau_j))))*Salcycl</f>
        <v>3.2804486014729621E-2</v>
      </c>
      <c r="P34" s="168">
        <f>(INDEX(Models!$BJ34:$BT34,,T34)*(1-R34)+INDEX(Models!$BJ34:$BT34,,T34+1)*R34-ERP_i)*Q34*Ramure*Pc/MaxiM</f>
        <v>2.1466645274120875E-4</v>
      </c>
      <c r="Q34" s="304">
        <f t="shared" si="2"/>
        <v>0.5</v>
      </c>
      <c r="R34" s="176">
        <f t="shared" si="3"/>
        <v>0.13526998853898778</v>
      </c>
      <c r="S34" s="814">
        <f t="shared" si="4"/>
        <v>0</v>
      </c>
      <c r="T34" s="175">
        <f t="shared" si="5"/>
        <v>6</v>
      </c>
      <c r="U34" s="250">
        <f t="shared" si="20"/>
        <v>0.13526998853898778</v>
      </c>
      <c r="V34" s="382">
        <f t="shared" si="6"/>
        <v>29.285796375062041</v>
      </c>
      <c r="W34" s="401"/>
      <c r="X34" s="157">
        <f t="shared" si="7"/>
        <v>43850</v>
      </c>
      <c r="Y34" s="384">
        <f t="shared" si="8"/>
        <v>9.6969999999999992</v>
      </c>
      <c r="Z34" s="384">
        <f t="shared" si="9"/>
        <v>9.8252759423927021</v>
      </c>
      <c r="AA34" s="385">
        <f t="shared" si="10"/>
        <v>10.158521002551231</v>
      </c>
      <c r="AB34" s="196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3.2804486014729621E-2</v>
      </c>
      <c r="AD34" s="230">
        <f>(INDEX(Models!$BJ34:$BT34,,AH34)*(1-AF34)+INDEX(Models!$BJ34:$BT34,,AH34+1)*AF34-ERP_i)*AE34*Ramure*Pc/MaxiM</f>
        <v>2.1466645274120875E-4</v>
      </c>
      <c r="AE34" s="304">
        <f t="shared" si="12"/>
        <v>0.5</v>
      </c>
      <c r="AF34" s="176">
        <f t="shared" si="21"/>
        <v>0.13526998853898778</v>
      </c>
      <c r="AG34" s="814">
        <f t="shared" si="22"/>
        <v>0</v>
      </c>
      <c r="AH34" s="175">
        <f t="shared" si="13"/>
        <v>6</v>
      </c>
      <c r="AI34" s="224">
        <f t="shared" si="23"/>
        <v>0.13526998853898778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43851</v>
      </c>
      <c r="B35" s="616">
        <v>3.4790000000000001</v>
      </c>
      <c r="C35" s="389"/>
      <c r="D35" s="392">
        <f t="shared" si="0"/>
        <v>3.5250988652640225</v>
      </c>
      <c r="E35" s="384">
        <f t="shared" si="17"/>
        <v>3.6448060025747977</v>
      </c>
      <c r="F35" s="384">
        <f t="shared" si="1"/>
        <v>3.6448060025747977</v>
      </c>
      <c r="G35" s="110">
        <f t="shared" si="18"/>
        <v>0.11757218982974368</v>
      </c>
      <c r="H35" s="413" t="b">
        <f>Wh_hp&gt;='2019'!Maxi_hp</f>
        <v>0</v>
      </c>
      <c r="I35" s="379">
        <f>IF(H35,Wh_hp,'2019'!Maxi_hp)</f>
        <v>11.140345883990552</v>
      </c>
      <c r="J35" s="85">
        <f>IF(H35,An,'2019'!An_max)</f>
        <v>2019</v>
      </c>
      <c r="K35" s="196">
        <f t="shared" si="19"/>
        <v>43851</v>
      </c>
      <c r="L35" s="147">
        <f>IF(t&lt;Tvie,1-EXP((T0-t)*PertePVj)+'2019'!Pspv,1-EXP((T0-t)*PertePVj)+Pspv)</f>
        <v>1.3077325495258085E-2</v>
      </c>
      <c r="M35" s="847"/>
      <c r="N35" s="847"/>
      <c r="O35" s="48">
        <f>IF(t&lt;Tnet,'2019'!Resal+('2019'!Salim-'2019'!Resal)*(1-EXP(('2019'!Tnet-t)/('2019'!Tau_j))),Resal+(Salim-Resal)*(1-EXP((Tnet-t)/(Tau_j))))*Salcycl</f>
        <v>3.2843212293386929E-2</v>
      </c>
      <c r="P35" s="168">
        <f>(INDEX(Models!$BJ35:$BT35,,T35)*(1-R35)+INDEX(Models!$BJ35:$BT35,,T35+1)*R35-ERP_i)*Q35*Ramure*Pc/MaxiM</f>
        <v>2.1217607025736694E-4</v>
      </c>
      <c r="Q35" s="304">
        <f t="shared" si="2"/>
        <v>0.5</v>
      </c>
      <c r="R35" s="176">
        <f t="shared" si="3"/>
        <v>0.1353081300813295</v>
      </c>
      <c r="S35" s="814">
        <f t="shared" si="4"/>
        <v>0</v>
      </c>
      <c r="T35" s="175">
        <f t="shared" si="5"/>
        <v>6</v>
      </c>
      <c r="U35" s="250">
        <f t="shared" si="20"/>
        <v>0.1353081300813295</v>
      </c>
      <c r="V35" s="382">
        <f t="shared" si="6"/>
        <v>29.584052525418183</v>
      </c>
      <c r="W35" s="401"/>
      <c r="X35" s="157">
        <f t="shared" si="7"/>
        <v>43851</v>
      </c>
      <c r="Y35" s="384">
        <f t="shared" si="8"/>
        <v>3.4790000000000001</v>
      </c>
      <c r="Z35" s="384">
        <f t="shared" si="9"/>
        <v>3.5250988652640225</v>
      </c>
      <c r="AA35" s="385">
        <f t="shared" si="10"/>
        <v>3.6448060025747977</v>
      </c>
      <c r="AB35" s="196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3.2843212293386929E-2</v>
      </c>
      <c r="AD35" s="230">
        <f>(INDEX(Models!$BJ35:$BT35,,AH35)*(1-AF35)+INDEX(Models!$BJ35:$BT35,,AH35+1)*AF35-ERP_i)*AE35*Ramure*Pc/MaxiM</f>
        <v>2.1217607025736694E-4</v>
      </c>
      <c r="AE35" s="304">
        <f t="shared" si="12"/>
        <v>0.5</v>
      </c>
      <c r="AF35" s="176">
        <f t="shared" si="21"/>
        <v>0.1353081300813295</v>
      </c>
      <c r="AG35" s="814">
        <f t="shared" si="22"/>
        <v>0</v>
      </c>
      <c r="AH35" s="175">
        <f t="shared" si="13"/>
        <v>6</v>
      </c>
      <c r="AI35" s="224">
        <f t="shared" si="23"/>
        <v>0.1353081300813295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43852</v>
      </c>
      <c r="B36" s="616">
        <v>1.1759999999999999</v>
      </c>
      <c r="C36" s="389"/>
      <c r="D36" s="392">
        <f t="shared" si="0"/>
        <v>1.1916088143100414</v>
      </c>
      <c r="E36" s="384">
        <f t="shared" si="17"/>
        <v>1.232123426277755</v>
      </c>
      <c r="F36" s="384">
        <f t="shared" si="1"/>
        <v>1.232123426277755</v>
      </c>
      <c r="G36" s="110">
        <f t="shared" si="18"/>
        <v>3.9345355869441781E-2</v>
      </c>
      <c r="H36" s="413" t="b">
        <f>Wh_hp&gt;='2019'!Maxi_hp</f>
        <v>0</v>
      </c>
      <c r="I36" s="379">
        <f>IF(H36,Wh_hp,'2019'!Maxi_hp)</f>
        <v>11.402622058619018</v>
      </c>
      <c r="J36" s="85">
        <f>IF(H36,An,'2019'!An_max)</f>
        <v>2019</v>
      </c>
      <c r="K36" s="196">
        <f t="shared" si="19"/>
        <v>43852</v>
      </c>
      <c r="L36" s="147">
        <f>IF(t&lt;Tvie,1-EXP((T0-t)*PertePVj)+'2019'!Pspv,1-EXP((T0-t)*PertePVj)+Pspv)</f>
        <v>1.3098941634700045E-2</v>
      </c>
      <c r="M36" s="847"/>
      <c r="N36" s="847"/>
      <c r="O36" s="48">
        <f>IF(t&lt;Tnet,'2019'!Resal+('2019'!Salim-'2019'!Resal)*(1-EXP(('2019'!Tnet-t)/('2019'!Tau_j))),Resal+(Salim-Resal)*(1-EXP((Tnet-t)/(Tau_j))))*Salcycl</f>
        <v>3.2881942753177094E-2</v>
      </c>
      <c r="P36" s="168">
        <f>(INDEX(Models!$BJ36:$BT36,,T36)*(1-R36)+INDEX(Models!$BJ36:$BT36,,T36+1)*R36-ERP_i)*Q36*Ramure*Pc/MaxiM</f>
        <v>2.0916689497708769E-4</v>
      </c>
      <c r="Q36" s="304">
        <f t="shared" si="2"/>
        <v>0.5</v>
      </c>
      <c r="R36" s="176">
        <f t="shared" si="3"/>
        <v>0.13534786140859875</v>
      </c>
      <c r="S36" s="814">
        <f t="shared" si="4"/>
        <v>0</v>
      </c>
      <c r="T36" s="175">
        <f t="shared" si="5"/>
        <v>6</v>
      </c>
      <c r="U36" s="250">
        <f t="shared" si="20"/>
        <v>0.13534786140859875</v>
      </c>
      <c r="V36" s="382">
        <f t="shared" si="6"/>
        <v>29.88291740537225</v>
      </c>
      <c r="W36" s="401"/>
      <c r="X36" s="157">
        <f t="shared" si="7"/>
        <v>43852</v>
      </c>
      <c r="Y36" s="384">
        <f t="shared" si="8"/>
        <v>1.1759999999999999</v>
      </c>
      <c r="Z36" s="384">
        <f t="shared" si="9"/>
        <v>1.1916088143100414</v>
      </c>
      <c r="AA36" s="385">
        <f t="shared" si="10"/>
        <v>1.232123426277755</v>
      </c>
      <c r="AB36" s="196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3.2881942753177094E-2</v>
      </c>
      <c r="AD36" s="230">
        <f>(INDEX(Models!$BJ36:$BT36,,AH36)*(1-AF36)+INDEX(Models!$BJ36:$BT36,,AH36+1)*AF36-ERP_i)*AE36*Ramure*Pc/MaxiM</f>
        <v>2.0916689497708769E-4</v>
      </c>
      <c r="AE36" s="304">
        <f t="shared" si="12"/>
        <v>0.5</v>
      </c>
      <c r="AF36" s="176">
        <f t="shared" si="21"/>
        <v>0.13534786140859875</v>
      </c>
      <c r="AG36" s="814">
        <f t="shared" si="22"/>
        <v>0</v>
      </c>
      <c r="AH36" s="175">
        <f t="shared" si="13"/>
        <v>6</v>
      </c>
      <c r="AI36" s="224">
        <f t="shared" si="23"/>
        <v>0.13534786140859875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43853</v>
      </c>
      <c r="B37" s="616">
        <v>14.977</v>
      </c>
      <c r="C37" s="389"/>
      <c r="D37" s="392">
        <f t="shared" si="0"/>
        <v>15.176119140788863</v>
      </c>
      <c r="E37" s="384">
        <f t="shared" si="17"/>
        <v>15.692734620416541</v>
      </c>
      <c r="F37" s="384">
        <f t="shared" si="1"/>
        <v>15.693639055774922</v>
      </c>
      <c r="G37" s="110">
        <f t="shared" si="18"/>
        <v>0.49610333753086217</v>
      </c>
      <c r="H37" s="413" t="b">
        <f>Wh_hp&gt;='2019'!Maxi_hp</f>
        <v>1</v>
      </c>
      <c r="I37" s="379">
        <f>IF(H37,Wh_hp,'2019'!Maxi_hp)</f>
        <v>15.693639055774922</v>
      </c>
      <c r="J37" s="85">
        <f>IF(H37,An,'2019'!An_max)</f>
        <v>2020</v>
      </c>
      <c r="K37" s="196">
        <f t="shared" si="19"/>
        <v>43853</v>
      </c>
      <c r="L37" s="147">
        <f>IF(t&lt;Tvie,1-EXP((T0-t)*PertePVj)+'2019'!Pspv,1-EXP((T0-t)*PertePVj)+Pspv)</f>
        <v>1.3120557300692948E-2</v>
      </c>
      <c r="M37" s="847"/>
      <c r="N37" s="847"/>
      <c r="O37" s="48">
        <f>IF(t&lt;Tnet,'2019'!Resal+('2019'!Salim-'2019'!Resal)*(1-EXP(('2019'!Tnet-t)/('2019'!Tau_j))),Resal+(Salim-Resal)*(1-EXP((Tnet-t)/(Tau_j))))*Salcycl</f>
        <v>3.2920679035478725E-2</v>
      </c>
      <c r="P37" s="168">
        <f>(INDEX(Models!$BJ37:$BT37,,T37)*(1-R37)+INDEX(Models!$BJ37:$BT37,,T37+1)*R37-ERP_i)*Q37*Ramure*Pc/MaxiM</f>
        <v>2.056384450667839E-4</v>
      </c>
      <c r="Q37" s="304">
        <f t="shared" si="2"/>
        <v>0.5</v>
      </c>
      <c r="R37" s="176">
        <f t="shared" si="3"/>
        <v>0.13538924833506513</v>
      </c>
      <c r="S37" s="814">
        <f t="shared" si="4"/>
        <v>0</v>
      </c>
      <c r="T37" s="175">
        <f t="shared" si="5"/>
        <v>6</v>
      </c>
      <c r="U37" s="250">
        <f t="shared" si="20"/>
        <v>0.13538924833506513</v>
      </c>
      <c r="V37" s="382">
        <f t="shared" si="6"/>
        <v>30.184806324284587</v>
      </c>
      <c r="W37" s="401"/>
      <c r="X37" s="157">
        <f t="shared" si="7"/>
        <v>43853</v>
      </c>
      <c r="Y37" s="384">
        <f t="shared" si="8"/>
        <v>14.977</v>
      </c>
      <c r="Z37" s="384">
        <f t="shared" si="9"/>
        <v>15.176119140788863</v>
      </c>
      <c r="AA37" s="385">
        <f t="shared" si="10"/>
        <v>15.692734620416541</v>
      </c>
      <c r="AB37" s="196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3.2920679035478725E-2</v>
      </c>
      <c r="AD37" s="230">
        <f>(INDEX(Models!$BJ37:$BT37,,AH37)*(1-AF37)+INDEX(Models!$BJ37:$BT37,,AH37+1)*AF37-ERP_i)*AE37*Ramure*Pc/MaxiM</f>
        <v>2.056384450667839E-4</v>
      </c>
      <c r="AE37" s="304">
        <f t="shared" si="12"/>
        <v>0.5</v>
      </c>
      <c r="AF37" s="176">
        <f t="shared" si="21"/>
        <v>0.13538924833506513</v>
      </c>
      <c r="AG37" s="814">
        <f t="shared" si="22"/>
        <v>0</v>
      </c>
      <c r="AH37" s="175">
        <f t="shared" si="13"/>
        <v>6</v>
      </c>
      <c r="AI37" s="224">
        <f t="shared" si="23"/>
        <v>0.13538924833506513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43854</v>
      </c>
      <c r="B38" s="616">
        <v>13.71</v>
      </c>
      <c r="C38" s="389"/>
      <c r="D38" s="392">
        <f t="shared" si="0"/>
        <v>13.892578665193989</v>
      </c>
      <c r="E38" s="384">
        <f t="shared" si="17"/>
        <v>14.366076243702432</v>
      </c>
      <c r="F38" s="384">
        <f t="shared" si="1"/>
        <v>14.366694875881237</v>
      </c>
      <c r="G38" s="110">
        <f t="shared" si="18"/>
        <v>0.44954698445382418</v>
      </c>
      <c r="H38" s="413" t="b">
        <f>Wh_hp&gt;='2019'!Maxi_hp</f>
        <v>1</v>
      </c>
      <c r="I38" s="379">
        <f>IF(H38,Wh_hp,'2019'!Maxi_hp)</f>
        <v>14.366694875881237</v>
      </c>
      <c r="J38" s="85">
        <f>IF(H38,An,'2019'!An_max)</f>
        <v>2020</v>
      </c>
      <c r="K38" s="196">
        <f t="shared" si="19"/>
        <v>43854</v>
      </c>
      <c r="L38" s="147">
        <f>IF(t&lt;Tvie,1-EXP((T0-t)*PertePVj)+'2019'!Pspv,1-EXP((T0-t)*PertePVj)+Pspv)</f>
        <v>1.314217249324745E-2</v>
      </c>
      <c r="M38" s="847"/>
      <c r="N38" s="847"/>
      <c r="O38" s="48">
        <f>IF(t&lt;Tnet,'2019'!Resal+('2019'!Salim-'2019'!Resal)*(1-EXP(('2019'!Tnet-t)/('2019'!Tau_j))),Resal+(Salim-Resal)*(1-EXP((Tnet-t)/(Tau_j))))*Salcycl</f>
        <v>3.2959422633999098E-2</v>
      </c>
      <c r="P38" s="168">
        <f>(INDEX(Models!$BJ38:$BT38,,T38)*(1-R38)+INDEX(Models!$BJ38:$BT38,,T38+1)*R38-ERP_i)*Q38*Ramure*Pc/MaxiM</f>
        <v>2.0146018678774506E-4</v>
      </c>
      <c r="Q38" s="304">
        <f t="shared" si="2"/>
        <v>0.5</v>
      </c>
      <c r="R38" s="176">
        <f t="shared" si="3"/>
        <v>0.13543235936120282</v>
      </c>
      <c r="S38" s="814">
        <f t="shared" si="4"/>
        <v>0</v>
      </c>
      <c r="T38" s="175">
        <f t="shared" si="5"/>
        <v>6</v>
      </c>
      <c r="U38" s="250">
        <f t="shared" si="20"/>
        <v>0.13543235936120282</v>
      </c>
      <c r="V38" s="382">
        <f t="shared" si="6"/>
        <v>30.49253741245672</v>
      </c>
      <c r="W38" s="401"/>
      <c r="X38" s="157">
        <f t="shared" si="7"/>
        <v>43854</v>
      </c>
      <c r="Y38" s="384">
        <f t="shared" si="8"/>
        <v>13.71</v>
      </c>
      <c r="Z38" s="384">
        <f t="shared" si="9"/>
        <v>13.892578665193989</v>
      </c>
      <c r="AA38" s="385">
        <f t="shared" si="10"/>
        <v>14.366076243702432</v>
      </c>
      <c r="AB38" s="196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3.2959422633999098E-2</v>
      </c>
      <c r="AD38" s="230">
        <f>(INDEX(Models!$BJ38:$BT38,,AH38)*(1-AF38)+INDEX(Models!$BJ38:$BT38,,AH38+1)*AF38-ERP_i)*AE38*Ramure*Pc/MaxiM</f>
        <v>2.0146018678774506E-4</v>
      </c>
      <c r="AE38" s="304">
        <f t="shared" si="12"/>
        <v>0.5</v>
      </c>
      <c r="AF38" s="176">
        <f t="shared" si="21"/>
        <v>0.13543235936120282</v>
      </c>
      <c r="AG38" s="814">
        <f t="shared" si="22"/>
        <v>0</v>
      </c>
      <c r="AH38" s="175">
        <f t="shared" si="13"/>
        <v>6</v>
      </c>
      <c r="AI38" s="224">
        <f t="shared" si="23"/>
        <v>0.13543235936120282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43855</v>
      </c>
      <c r="B39" s="616">
        <v>14.728999999999999</v>
      </c>
      <c r="C39" s="389"/>
      <c r="D39" s="392">
        <f t="shared" si="0"/>
        <v>14.925475787307551</v>
      </c>
      <c r="E39" s="384">
        <f t="shared" si="17"/>
        <v>15.434795880508615</v>
      </c>
      <c r="F39" s="384">
        <f t="shared" si="1"/>
        <v>15.435568817597252</v>
      </c>
      <c r="G39" s="110">
        <f t="shared" si="18"/>
        <v>0.47805577602961041</v>
      </c>
      <c r="H39" s="413" t="b">
        <f>Wh_hp&gt;='2019'!Maxi_hp</f>
        <v>1</v>
      </c>
      <c r="I39" s="379">
        <f>IF(H39,Wh_hp,'2019'!Maxi_hp)</f>
        <v>15.435568817597252</v>
      </c>
      <c r="J39" s="85">
        <f>IF(H39,An,'2019'!An_max)</f>
        <v>2020</v>
      </c>
      <c r="K39" s="196">
        <f t="shared" si="19"/>
        <v>43855</v>
      </c>
      <c r="L39" s="147">
        <f>IF(t&lt;Tvie,1-EXP((T0-t)*PertePVj)+'2019'!Pspv,1-EXP((T0-t)*PertePVj)+Pspv)</f>
        <v>1.3163787212373657E-2</v>
      </c>
      <c r="M39" s="847"/>
      <c r="N39" s="847"/>
      <c r="O39" s="48">
        <f>IF(t&lt;Tnet,'2019'!Resal+('2019'!Salim-'2019'!Resal)*(1-EXP(('2019'!Tnet-t)/('2019'!Tau_j))),Resal+(Salim-Resal)*(1-EXP((Tnet-t)/(Tau_j))))*Salcycl</f>
        <v>3.299817484753672E-2</v>
      </c>
      <c r="P39" s="168">
        <f>(INDEX(Models!$BJ39:$BT39,,T39)*(1-R39)+INDEX(Models!$BJ39:$BT39,,T39+1)*R39-ERP_i)*Q39*Ramure*Pc/MaxiM</f>
        <v>1.9678519203176445E-4</v>
      </c>
      <c r="Q39" s="304">
        <f t="shared" si="2"/>
        <v>0.5</v>
      </c>
      <c r="R39" s="176">
        <f t="shared" si="3"/>
        <v>0.13547726578004776</v>
      </c>
      <c r="S39" s="814">
        <f t="shared" si="4"/>
        <v>0</v>
      </c>
      <c r="T39" s="175">
        <f t="shared" si="5"/>
        <v>6</v>
      </c>
      <c r="U39" s="250">
        <f t="shared" si="20"/>
        <v>0.13547726578004776</v>
      </c>
      <c r="V39" s="382">
        <f t="shared" si="6"/>
        <v>30.805692006516679</v>
      </c>
      <c r="W39" s="401"/>
      <c r="X39" s="157">
        <f t="shared" si="7"/>
        <v>43855</v>
      </c>
      <c r="Y39" s="384">
        <f t="shared" si="8"/>
        <v>14.728999999999999</v>
      </c>
      <c r="Z39" s="384">
        <f t="shared" si="9"/>
        <v>14.925475787307551</v>
      </c>
      <c r="AA39" s="385">
        <f t="shared" si="10"/>
        <v>15.434795880508615</v>
      </c>
      <c r="AB39" s="196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3.299817484753672E-2</v>
      </c>
      <c r="AD39" s="230">
        <f>(INDEX(Models!$BJ39:$BT39,,AH39)*(1-AF39)+INDEX(Models!$BJ39:$BT39,,AH39+1)*AF39-ERP_i)*AE39*Ramure*Pc/MaxiM</f>
        <v>1.9678519203176445E-4</v>
      </c>
      <c r="AE39" s="304">
        <f t="shared" si="12"/>
        <v>0.5</v>
      </c>
      <c r="AF39" s="176">
        <f t="shared" si="21"/>
        <v>0.13547726578004776</v>
      </c>
      <c r="AG39" s="814">
        <f t="shared" si="22"/>
        <v>0</v>
      </c>
      <c r="AH39" s="175">
        <f t="shared" si="13"/>
        <v>6</v>
      </c>
      <c r="AI39" s="224">
        <f t="shared" si="23"/>
        <v>0.13547726578004776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43856</v>
      </c>
      <c r="B40" s="616">
        <v>6.0110000000000001</v>
      </c>
      <c r="C40" s="389"/>
      <c r="D40" s="392">
        <f t="shared" si="0"/>
        <v>6.0913164528389014</v>
      </c>
      <c r="E40" s="384">
        <f t="shared" si="17"/>
        <v>6.2994303342775044</v>
      </c>
      <c r="F40" s="384">
        <f t="shared" si="1"/>
        <v>6.2994303342775044</v>
      </c>
      <c r="G40" s="110">
        <f t="shared" si="18"/>
        <v>0.19309458908397803</v>
      </c>
      <c r="H40" s="413" t="b">
        <f>Wh_hp&gt;='2019'!Maxi_hp</f>
        <v>0</v>
      </c>
      <c r="I40" s="379">
        <f>IF(H40,Wh_hp,'2019'!Maxi_hp)</f>
        <v>15.9371456567427</v>
      </c>
      <c r="J40" s="85">
        <f>IF(H40,An,'2019'!An_max)</f>
        <v>2019</v>
      </c>
      <c r="K40" s="196">
        <f t="shared" si="19"/>
        <v>43856</v>
      </c>
      <c r="L40" s="147">
        <f>IF(t&lt;Tvie,1-EXP((T0-t)*PertePVj)+'2019'!Pspv,1-EXP((T0-t)*PertePVj)+Pspv)</f>
        <v>1.3185401458082113E-2</v>
      </c>
      <c r="M40" s="847"/>
      <c r="N40" s="847"/>
      <c r="O40" s="48">
        <f>IF(t&lt;Tnet,'2019'!Resal+('2019'!Salim-'2019'!Resal)*(1-EXP(('2019'!Tnet-t)/('2019'!Tau_j))),Resal+(Salim-Resal)*(1-EXP((Tnet-t)/(Tau_j))))*Salcycl</f>
        <v>3.3036936737942765E-2</v>
      </c>
      <c r="P40" s="168">
        <f>(INDEX(Models!$BJ40:$BT40,,T40)*(1-R40)+INDEX(Models!$BJ40:$BT40,,T40+1)*R40-ERP_i)*Q40*Ramure*Pc/MaxiM</f>
        <v>1.9163363567023246E-4</v>
      </c>
      <c r="Q40" s="304">
        <f t="shared" si="2"/>
        <v>0.5</v>
      </c>
      <c r="R40" s="176">
        <f t="shared" si="3"/>
        <v>0.13552404178748337</v>
      </c>
      <c r="S40" s="814">
        <f t="shared" si="4"/>
        <v>0</v>
      </c>
      <c r="T40" s="175">
        <f t="shared" si="5"/>
        <v>6</v>
      </c>
      <c r="U40" s="250">
        <f t="shared" si="20"/>
        <v>0.13552404178748337</v>
      </c>
      <c r="V40" s="382">
        <f t="shared" si="6"/>
        <v>31.123855508982004</v>
      </c>
      <c r="W40" s="401"/>
      <c r="X40" s="157">
        <f t="shared" si="7"/>
        <v>43856</v>
      </c>
      <c r="Y40" s="384">
        <f t="shared" si="8"/>
        <v>6.0110000000000001</v>
      </c>
      <c r="Z40" s="384">
        <f t="shared" si="9"/>
        <v>6.0913164528389014</v>
      </c>
      <c r="AA40" s="385">
        <f t="shared" si="10"/>
        <v>6.2994303342775044</v>
      </c>
      <c r="AB40" s="196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3.3036936737942765E-2</v>
      </c>
      <c r="AD40" s="230">
        <f>(INDEX(Models!$BJ40:$BT40,,AH40)*(1-AF40)+INDEX(Models!$BJ40:$BT40,,AH40+1)*AF40-ERP_i)*AE40*Ramure*Pc/MaxiM</f>
        <v>1.9163363567023246E-4</v>
      </c>
      <c r="AE40" s="304">
        <f t="shared" si="12"/>
        <v>0.5</v>
      </c>
      <c r="AF40" s="176">
        <f t="shared" si="21"/>
        <v>0.13552404178748337</v>
      </c>
      <c r="AG40" s="814">
        <f t="shared" si="22"/>
        <v>0</v>
      </c>
      <c r="AH40" s="175">
        <f t="shared" si="13"/>
        <v>6</v>
      </c>
      <c r="AI40" s="224">
        <f t="shared" si="23"/>
        <v>0.13552404178748337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43857</v>
      </c>
      <c r="B41" s="616">
        <v>10.988</v>
      </c>
      <c r="C41" s="389"/>
      <c r="D41" s="392">
        <f t="shared" si="0"/>
        <v>11.135060919150463</v>
      </c>
      <c r="E41" s="384">
        <f t="shared" si="17"/>
        <v>11.515959443642471</v>
      </c>
      <c r="F41" s="384">
        <f t="shared" si="1"/>
        <v>11.51611068157394</v>
      </c>
      <c r="G41" s="110">
        <f t="shared" si="18"/>
        <v>0.34935718143414801</v>
      </c>
      <c r="H41" s="413" t="b">
        <f>Wh_hp&gt;='2019'!Maxi_hp</f>
        <v>0</v>
      </c>
      <c r="I41" s="379">
        <f>IF(H41,Wh_hp,'2019'!Maxi_hp)</f>
        <v>14.910785130627664</v>
      </c>
      <c r="J41" s="85">
        <f>IF(H41,An,'2019'!An_max)</f>
        <v>2019</v>
      </c>
      <c r="K41" s="196">
        <f t="shared" si="19"/>
        <v>43857</v>
      </c>
      <c r="L41" s="147">
        <f>IF(t&lt;Tvie,1-EXP((T0-t)*PertePVj)+'2019'!Pspv,1-EXP((T0-t)*PertePVj)+Pspv)</f>
        <v>1.3207015230383035E-2</v>
      </c>
      <c r="M41" s="847"/>
      <c r="N41" s="847"/>
      <c r="O41" s="48">
        <f>IF(t&lt;Tnet,'2019'!Resal+('2019'!Salim-'2019'!Resal)*(1-EXP(('2019'!Tnet-t)/('2019'!Tau_j))),Resal+(Salim-Resal)*(1-EXP((Tnet-t)/(Tau_j))))*Salcycl</f>
        <v>3.3075709093634088E-2</v>
      </c>
      <c r="P41" s="168">
        <f>(INDEX(Models!$BJ41:$BT41,,T41)*(1-R41)+INDEX(Models!$BJ41:$BT41,,T41+1)*R41-ERP_i)*Q41*Ramure*Pc/MaxiM</f>
        <v>1.8602501273336865E-4</v>
      </c>
      <c r="Q41" s="304">
        <f t="shared" si="2"/>
        <v>0.5</v>
      </c>
      <c r="R41" s="176">
        <f t="shared" si="3"/>
        <v>0.13557276459657641</v>
      </c>
      <c r="S41" s="814">
        <f t="shared" si="4"/>
        <v>0</v>
      </c>
      <c r="T41" s="175">
        <f t="shared" si="5"/>
        <v>6</v>
      </c>
      <c r="U41" s="250">
        <f t="shared" si="20"/>
        <v>0.13557276459657641</v>
      </c>
      <c r="V41" s="382">
        <f t="shared" si="6"/>
        <v>31.446613433020719</v>
      </c>
      <c r="W41" s="401"/>
      <c r="X41" s="157">
        <f t="shared" si="7"/>
        <v>43857</v>
      </c>
      <c r="Y41" s="384">
        <f t="shared" si="8"/>
        <v>10.988</v>
      </c>
      <c r="Z41" s="384">
        <f t="shared" si="9"/>
        <v>11.135060919150463</v>
      </c>
      <c r="AA41" s="385">
        <f t="shared" si="10"/>
        <v>11.515959443642471</v>
      </c>
      <c r="AB41" s="196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3.3075709093634088E-2</v>
      </c>
      <c r="AD41" s="230">
        <f>(INDEX(Models!$BJ41:$BT41,,AH41)*(1-AF41)+INDEX(Models!$BJ41:$BT41,,AH41+1)*AF41-ERP_i)*AE41*Ramure*Pc/MaxiM</f>
        <v>1.8602501273336865E-4</v>
      </c>
      <c r="AE41" s="304">
        <f t="shared" si="12"/>
        <v>0.5</v>
      </c>
      <c r="AF41" s="176">
        <f t="shared" si="21"/>
        <v>0.13557276459657641</v>
      </c>
      <c r="AG41" s="814">
        <f t="shared" si="22"/>
        <v>0</v>
      </c>
      <c r="AH41" s="175">
        <f t="shared" si="13"/>
        <v>6</v>
      </c>
      <c r="AI41" s="224">
        <f t="shared" si="23"/>
        <v>0.13557276459657641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43858</v>
      </c>
      <c r="B42" s="616">
        <v>18.856999999999999</v>
      </c>
      <c r="C42" s="389"/>
      <c r="D42" s="392">
        <f t="shared" si="0"/>
        <v>19.109796397817028</v>
      </c>
      <c r="E42" s="384">
        <f t="shared" si="17"/>
        <v>19.764280514691414</v>
      </c>
      <c r="F42" s="384">
        <f t="shared" si="1"/>
        <v>19.765771987607742</v>
      </c>
      <c r="G42" s="110">
        <f t="shared" si="18"/>
        <v>0.59341899376647778</v>
      </c>
      <c r="H42" s="413" t="b">
        <f>Wh_hp&gt;='2019'!Maxi_hp</f>
        <v>1</v>
      </c>
      <c r="I42" s="379">
        <f>IF(H42,Wh_hp,'2019'!Maxi_hp)</f>
        <v>19.765771987607742</v>
      </c>
      <c r="J42" s="85">
        <f>IF(H42,An,'2019'!An_max)</f>
        <v>2020</v>
      </c>
      <c r="K42" s="196">
        <f t="shared" si="19"/>
        <v>43858</v>
      </c>
      <c r="L42" s="147">
        <f>IF(t&lt;Tvie,1-EXP((T0-t)*PertePVj)+'2019'!Pspv,1-EXP((T0-t)*PertePVj)+Pspv)</f>
        <v>1.3228628529286968E-2</v>
      </c>
      <c r="M42" s="847"/>
      <c r="N42" s="847"/>
      <c r="O42" s="48">
        <f>IF(t&lt;Tnet,'2019'!Resal+('2019'!Salim-'2019'!Resal)*(1-EXP(('2019'!Tnet-t)/('2019'!Tau_j))),Resal+(Salim-Resal)*(1-EXP((Tnet-t)/(Tau_j))))*Salcycl</f>
        <v>3.311449239894608E-2</v>
      </c>
      <c r="P42" s="168">
        <f>(INDEX(Models!$BJ42:$BT42,,T42)*(1-R42)+INDEX(Models!$BJ42:$BT42,,T42+1)*R42-ERP_i)*Q42*Ramure*Pc/MaxiM</f>
        <v>1.7997807250884381E-4</v>
      </c>
      <c r="Q42" s="304">
        <f t="shared" si="2"/>
        <v>0.5</v>
      </c>
      <c r="R42" s="176">
        <f t="shared" si="3"/>
        <v>0.13562351455608398</v>
      </c>
      <c r="S42" s="814">
        <f t="shared" si="4"/>
        <v>0</v>
      </c>
      <c r="T42" s="175">
        <f t="shared" si="5"/>
        <v>6</v>
      </c>
      <c r="U42" s="250">
        <f t="shared" si="20"/>
        <v>0.13562351455608398</v>
      </c>
      <c r="V42" s="382">
        <f t="shared" si="6"/>
        <v>31.773551406675622</v>
      </c>
      <c r="W42" s="401"/>
      <c r="X42" s="157">
        <f t="shared" si="7"/>
        <v>43858</v>
      </c>
      <c r="Y42" s="384">
        <f t="shared" si="8"/>
        <v>18.856999999999999</v>
      </c>
      <c r="Z42" s="384">
        <f t="shared" si="9"/>
        <v>19.109796397817028</v>
      </c>
      <c r="AA42" s="385">
        <f t="shared" si="10"/>
        <v>19.764280514691414</v>
      </c>
      <c r="AB42" s="196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3.311449239894608E-2</v>
      </c>
      <c r="AD42" s="230">
        <f>(INDEX(Models!$BJ42:$BT42,,AH42)*(1-AF42)+INDEX(Models!$BJ42:$BT42,,AH42+1)*AF42-ERP_i)*AE42*Ramure*Pc/MaxiM</f>
        <v>1.7997807250884381E-4</v>
      </c>
      <c r="AE42" s="304">
        <f t="shared" si="12"/>
        <v>0.5</v>
      </c>
      <c r="AF42" s="176">
        <f t="shared" si="21"/>
        <v>0.13562351455608398</v>
      </c>
      <c r="AG42" s="814">
        <f t="shared" si="22"/>
        <v>0</v>
      </c>
      <c r="AH42" s="175">
        <f t="shared" si="13"/>
        <v>6</v>
      </c>
      <c r="AI42" s="224">
        <f t="shared" si="23"/>
        <v>0.13562351455608398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43859</v>
      </c>
      <c r="B43" s="616">
        <v>23.312999999999999</v>
      </c>
      <c r="C43" s="389"/>
      <c r="D43" s="392">
        <f t="shared" si="0"/>
        <v>23.626050876372819</v>
      </c>
      <c r="E43" s="384">
        <f t="shared" si="17"/>
        <v>24.436190922561341</v>
      </c>
      <c r="F43" s="384">
        <f t="shared" si="1"/>
        <v>24.438772504901799</v>
      </c>
      <c r="G43" s="110">
        <f t="shared" si="18"/>
        <v>0.72611612736888997</v>
      </c>
      <c r="H43" s="413" t="b">
        <f>Wh_hp&gt;='2019'!Maxi_hp</f>
        <v>1</v>
      </c>
      <c r="I43" s="379">
        <f>IF(H43,Wh_hp,'2019'!Maxi_hp)</f>
        <v>24.438772504901799</v>
      </c>
      <c r="J43" s="85">
        <f>IF(H43,An,'2019'!An_max)</f>
        <v>2020</v>
      </c>
      <c r="K43" s="196">
        <f t="shared" si="19"/>
        <v>43859</v>
      </c>
      <c r="L43" s="147">
        <f>IF(t&lt;Tvie,1-EXP((T0-t)*PertePVj)+'2019'!Pspv,1-EXP((T0-t)*PertePVj)+Pspv)</f>
        <v>1.3250241354804126E-2</v>
      </c>
      <c r="M43" s="847"/>
      <c r="N43" s="847"/>
      <c r="O43" s="48">
        <f>IF(t&lt;Tnet,'2019'!Resal+('2019'!Salim-'2019'!Resal)*(1-EXP(('2019'!Tnet-t)/('2019'!Tau_j))),Resal+(Salim-Resal)*(1-EXP((Tnet-t)/(Tau_j))))*Salcycl</f>
        <v>3.315328680954692E-2</v>
      </c>
      <c r="P43" s="168">
        <f>(INDEX(Models!$BJ43:$BT43,,T43)*(1-R43)+INDEX(Models!$BJ43:$BT43,,T43+1)*R43-ERP_i)*Q43*Ramure*Pc/MaxiM</f>
        <v>1.7351076472162894E-4</v>
      </c>
      <c r="Q43" s="304">
        <f t="shared" si="2"/>
        <v>0.5</v>
      </c>
      <c r="R43" s="176">
        <f t="shared" si="3"/>
        <v>0.13567637527325516</v>
      </c>
      <c r="S43" s="814">
        <f t="shared" si="4"/>
        <v>0</v>
      </c>
      <c r="T43" s="175">
        <f t="shared" si="5"/>
        <v>6</v>
      </c>
      <c r="U43" s="250">
        <f t="shared" si="20"/>
        <v>0.13567637527325516</v>
      </c>
      <c r="V43" s="382">
        <f t="shared" si="6"/>
        <v>32.104255172710303</v>
      </c>
      <c r="W43" s="401"/>
      <c r="X43" s="157">
        <f t="shared" si="7"/>
        <v>43859</v>
      </c>
      <c r="Y43" s="384">
        <f t="shared" si="8"/>
        <v>23.312999999999999</v>
      </c>
      <c r="Z43" s="384">
        <f t="shared" si="9"/>
        <v>23.626050876372819</v>
      </c>
      <c r="AA43" s="385">
        <f t="shared" si="10"/>
        <v>24.436190922561341</v>
      </c>
      <c r="AB43" s="196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3.315328680954692E-2</v>
      </c>
      <c r="AD43" s="230">
        <f>(INDEX(Models!$BJ43:$BT43,,AH43)*(1-AF43)+INDEX(Models!$BJ43:$BT43,,AH43+1)*AF43-ERP_i)*AE43*Ramure*Pc/MaxiM</f>
        <v>1.7351076472162894E-4</v>
      </c>
      <c r="AE43" s="304">
        <f t="shared" si="12"/>
        <v>0.5</v>
      </c>
      <c r="AF43" s="176">
        <f t="shared" si="21"/>
        <v>0.13567637527325516</v>
      </c>
      <c r="AG43" s="814">
        <f t="shared" si="22"/>
        <v>0</v>
      </c>
      <c r="AH43" s="175">
        <f t="shared" si="13"/>
        <v>6</v>
      </c>
      <c r="AI43" s="224">
        <f t="shared" si="23"/>
        <v>0.13567637527325516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43860</v>
      </c>
      <c r="B44" s="616">
        <v>10.468</v>
      </c>
      <c r="C44" s="389"/>
      <c r="D44" s="392">
        <f t="shared" si="0"/>
        <v>10.608798420645273</v>
      </c>
      <c r="E44" s="384">
        <f t="shared" si="17"/>
        <v>10.973015771108479</v>
      </c>
      <c r="F44" s="384">
        <f t="shared" si="1"/>
        <v>10.973075209769302</v>
      </c>
      <c r="G44" s="110">
        <f t="shared" si="18"/>
        <v>0.32265281741449509</v>
      </c>
      <c r="H44" s="413" t="b">
        <f>Wh_hp&gt;='2019'!Maxi_hp</f>
        <v>1</v>
      </c>
      <c r="I44" s="379">
        <f>IF(H44,Wh_hp,'2019'!Maxi_hp)</f>
        <v>10.973075209769302</v>
      </c>
      <c r="J44" s="85">
        <f>IF(H44,An,'2019'!An_max)</f>
        <v>2020</v>
      </c>
      <c r="K44" s="196">
        <f t="shared" si="19"/>
        <v>43860</v>
      </c>
      <c r="L44" s="147">
        <f>IF(t&lt;Tvie,1-EXP((T0-t)*PertePVj)+'2019'!Pspv,1-EXP((T0-t)*PertePVj)+Pspv)</f>
        <v>1.3271853706944947E-2</v>
      </c>
      <c r="M44" s="847"/>
      <c r="N44" s="847"/>
      <c r="O44" s="48">
        <f>IF(t&lt;Tnet,'2019'!Resal+('2019'!Salim-'2019'!Resal)*(1-EXP(('2019'!Tnet-t)/('2019'!Tau_j))),Resal+(Salim-Resal)*(1-EXP((Tnet-t)/(Tau_j))))*Salcycl</f>
        <v>3.3192092134067187E-2</v>
      </c>
      <c r="P44" s="168">
        <f>(INDEX(Models!$BJ44:$BT44,,T44)*(1-R44)+INDEX(Models!$BJ44:$BT44,,T44+1)*R44-ERP_i)*Q44*Ramure*Pc/MaxiM</f>
        <v>1.670005604757515E-4</v>
      </c>
      <c r="Q44" s="304">
        <f t="shared" si="2"/>
        <v>0.5</v>
      </c>
      <c r="R44" s="176">
        <f t="shared" si="3"/>
        <v>0.13573143374105123</v>
      </c>
      <c r="S44" s="814">
        <f t="shared" si="4"/>
        <v>0</v>
      </c>
      <c r="T44" s="175">
        <f t="shared" si="5"/>
        <v>6</v>
      </c>
      <c r="U44" s="250">
        <f t="shared" si="20"/>
        <v>0.13573143374105123</v>
      </c>
      <c r="V44" s="382">
        <f t="shared" si="6"/>
        <v>32.438298898558934</v>
      </c>
      <c r="W44" s="401"/>
      <c r="X44" s="157">
        <f t="shared" si="7"/>
        <v>43860</v>
      </c>
      <c r="Y44" s="384">
        <f t="shared" si="8"/>
        <v>10.468</v>
      </c>
      <c r="Z44" s="384">
        <f t="shared" si="9"/>
        <v>10.608798420645273</v>
      </c>
      <c r="AA44" s="385">
        <f t="shared" si="10"/>
        <v>10.973015771108479</v>
      </c>
      <c r="AB44" s="196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3.3192092134067187E-2</v>
      </c>
      <c r="AD44" s="230">
        <f>(INDEX(Models!$BJ44:$BT44,,AH44)*(1-AF44)+INDEX(Models!$BJ44:$BT44,,AH44+1)*AF44-ERP_i)*AE44*Ramure*Pc/MaxiM</f>
        <v>1.670005604757515E-4</v>
      </c>
      <c r="AE44" s="304">
        <f t="shared" si="12"/>
        <v>0.5</v>
      </c>
      <c r="AF44" s="176">
        <f t="shared" si="21"/>
        <v>0.13573143374105123</v>
      </c>
      <c r="AG44" s="814">
        <f t="shared" si="22"/>
        <v>0</v>
      </c>
      <c r="AH44" s="175">
        <f t="shared" si="13"/>
        <v>6</v>
      </c>
      <c r="AI44" s="224">
        <f t="shared" si="23"/>
        <v>0.13573143374105123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43861</v>
      </c>
      <c r="B45" s="616">
        <v>21.36</v>
      </c>
      <c r="C45" s="389"/>
      <c r="D45" s="392">
        <f t="shared" si="0"/>
        <v>21.647773937850257</v>
      </c>
      <c r="E45" s="384">
        <f t="shared" si="17"/>
        <v>22.391876315658223</v>
      </c>
      <c r="F45" s="384">
        <f t="shared" si="1"/>
        <v>22.393686095850722</v>
      </c>
      <c r="G45" s="110">
        <f t="shared" si="18"/>
        <v>0.65165900308205094</v>
      </c>
      <c r="H45" s="413" t="b">
        <f>Wh_hp&gt;='2019'!Maxi_hp</f>
        <v>1</v>
      </c>
      <c r="I45" s="379">
        <f>IF(H45,Wh_hp,'2019'!Maxi_hp)</f>
        <v>22.393686095850722</v>
      </c>
      <c r="J45" s="85">
        <f>IF(H45,An,'2019'!An_max)</f>
        <v>2020</v>
      </c>
      <c r="K45" s="196">
        <f t="shared" si="19"/>
        <v>43861</v>
      </c>
      <c r="L45" s="147">
        <f>IF(t&lt;Tvie,1-EXP((T0-t)*PertePVj)+'2019'!Pspv,1-EXP((T0-t)*PertePVj)+Pspv)</f>
        <v>1.3293465585719866E-2</v>
      </c>
      <c r="M45" s="847"/>
      <c r="N45" s="847"/>
      <c r="O45" s="48">
        <f>IF(t&lt;Tnet,'2019'!Resal+('2019'!Salim-'2019'!Resal)*(1-EXP(('2019'!Tnet-t)/('2019'!Tau_j))),Resal+(Salim-Resal)*(1-EXP((Tnet-t)/(Tau_j))))*Salcycl</f>
        <v>3.3230907822031301E-2</v>
      </c>
      <c r="P45" s="168">
        <f>(INDEX(Models!$BJ45:$BT45,,T45)*(1-R45)+INDEX(Models!$BJ45:$BT45,,T45+1)*R45-ERP_i)*Q45*Ramure*Pc/MaxiM</f>
        <v>1.6084669098608901E-4</v>
      </c>
      <c r="Q45" s="304">
        <f t="shared" si="2"/>
        <v>0.5</v>
      </c>
      <c r="R45" s="176">
        <f t="shared" si="3"/>
        <v>0.13578878046990928</v>
      </c>
      <c r="S45" s="814">
        <f t="shared" si="4"/>
        <v>0</v>
      </c>
      <c r="T45" s="175">
        <f t="shared" si="5"/>
        <v>6</v>
      </c>
      <c r="U45" s="250">
        <f t="shared" si="20"/>
        <v>0.13578878046990928</v>
      </c>
      <c r="V45" s="382">
        <f t="shared" si="6"/>
        <v>32.775255642542263</v>
      </c>
      <c r="W45" s="401"/>
      <c r="X45" s="157">
        <f t="shared" si="7"/>
        <v>43861</v>
      </c>
      <c r="Y45" s="384">
        <f t="shared" si="8"/>
        <v>21.36</v>
      </c>
      <c r="Z45" s="384">
        <f t="shared" si="9"/>
        <v>21.647773937850257</v>
      </c>
      <c r="AA45" s="385">
        <f t="shared" si="10"/>
        <v>22.391876315658223</v>
      </c>
      <c r="AB45" s="196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3.3230907822031301E-2</v>
      </c>
      <c r="AD45" s="230">
        <f>(INDEX(Models!$BJ45:$BT45,,AH45)*(1-AF45)+INDEX(Models!$BJ45:$BT45,,AH45+1)*AF45-ERP_i)*AE45*Ramure*Pc/MaxiM</f>
        <v>1.6084669098608901E-4</v>
      </c>
      <c r="AE45" s="304">
        <f t="shared" si="12"/>
        <v>0.5</v>
      </c>
      <c r="AF45" s="176">
        <f t="shared" si="21"/>
        <v>0.13578878046990928</v>
      </c>
      <c r="AG45" s="814">
        <f t="shared" si="22"/>
        <v>0</v>
      </c>
      <c r="AH45" s="175">
        <f t="shared" si="13"/>
        <v>6</v>
      </c>
      <c r="AI45" s="224">
        <f t="shared" si="23"/>
        <v>0.13578878046990928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43862</v>
      </c>
      <c r="B46" s="616">
        <v>11.858000000000001</v>
      </c>
      <c r="C46" s="389"/>
      <c r="D46" s="392">
        <f t="shared" si="0"/>
        <v>12.018020873207881</v>
      </c>
      <c r="E46" s="384">
        <f t="shared" si="17"/>
        <v>12.43161746655762</v>
      </c>
      <c r="F46" s="384">
        <f t="shared" si="1"/>
        <v>12.431777413094235</v>
      </c>
      <c r="G46" s="110">
        <f t="shared" si="18"/>
        <v>0.35803766732116998</v>
      </c>
      <c r="H46" s="413" t="b">
        <f>Wh_hp&gt;='2019'!Maxi_hp</f>
        <v>0</v>
      </c>
      <c r="I46" s="379">
        <f>IF(H46,Wh_hp,'2019'!Maxi_hp)</f>
        <v>27.773324166847818</v>
      </c>
      <c r="J46" s="85">
        <f>IF(H46,An,'2019'!An_max)</f>
        <v>2019</v>
      </c>
      <c r="K46" s="196">
        <f t="shared" si="19"/>
        <v>43862</v>
      </c>
      <c r="L46" s="147">
        <f>IF(t&lt;Tvie,1-EXP((T0-t)*PertePVj)+'2019'!Pspv,1-EXP((T0-t)*PertePVj)+Pspv)</f>
        <v>1.3315076991139096E-2</v>
      </c>
      <c r="M46" s="847"/>
      <c r="N46" s="847"/>
      <c r="O46" s="48">
        <f>IF(t&lt;Tnet,'2019'!Resal+('2019'!Salim-'2019'!Resal)*(1-EXP(('2019'!Tnet-t)/('2019'!Tau_j))),Resal+(Salim-Resal)*(1-EXP((Tnet-t)/(Tau_j))))*Salcycl</f>
        <v>3.3269732958109255E-2</v>
      </c>
      <c r="P46" s="168">
        <f>(INDEX(Models!$BJ46:$BT46,,T46)*(1-R46)+INDEX(Models!$BJ46:$BT46,,T46+1)*R46-ERP_i)*Q46*Ramure*Pc/MaxiM</f>
        <v>1.5504183445668948E-4</v>
      </c>
      <c r="Q46" s="304">
        <f t="shared" si="2"/>
        <v>0.5</v>
      </c>
      <c r="R46" s="176">
        <f t="shared" si="3"/>
        <v>0.13584850962417355</v>
      </c>
      <c r="S46" s="814">
        <f t="shared" si="4"/>
        <v>0</v>
      </c>
      <c r="T46" s="175">
        <f t="shared" si="5"/>
        <v>6</v>
      </c>
      <c r="U46" s="250">
        <f t="shared" si="20"/>
        <v>0.13584850962417355</v>
      </c>
      <c r="V46" s="382">
        <f t="shared" si="6"/>
        <v>33.114711491932418</v>
      </c>
      <c r="W46" s="401"/>
      <c r="X46" s="157">
        <f t="shared" si="7"/>
        <v>43862</v>
      </c>
      <c r="Y46" s="384">
        <f t="shared" si="8"/>
        <v>11.858000000000001</v>
      </c>
      <c r="Z46" s="384">
        <f t="shared" si="9"/>
        <v>12.018020873207881</v>
      </c>
      <c r="AA46" s="385">
        <f t="shared" si="10"/>
        <v>12.43161746655762</v>
      </c>
      <c r="AB46" s="196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3.3269732958109255E-2</v>
      </c>
      <c r="AD46" s="230">
        <f>(INDEX(Models!$BJ46:$BT46,,AH46)*(1-AF46)+INDEX(Models!$BJ46:$BT46,,AH46+1)*AF46-ERP_i)*AE46*Ramure*Pc/MaxiM</f>
        <v>1.5504183445668948E-4</v>
      </c>
      <c r="AE46" s="304">
        <f t="shared" si="12"/>
        <v>0.5</v>
      </c>
      <c r="AF46" s="176">
        <f t="shared" si="21"/>
        <v>0.13584850962417355</v>
      </c>
      <c r="AG46" s="814">
        <f t="shared" si="22"/>
        <v>0</v>
      </c>
      <c r="AH46" s="175">
        <f t="shared" si="13"/>
        <v>6</v>
      </c>
      <c r="AI46" s="224">
        <f t="shared" si="23"/>
        <v>0.13584850962417355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43863</v>
      </c>
      <c r="B47" s="616">
        <v>28.068999999999999</v>
      </c>
      <c r="C47" s="389"/>
      <c r="D47" s="392">
        <f t="shared" si="0"/>
        <v>28.448407533182436</v>
      </c>
      <c r="E47" s="384">
        <f t="shared" si="17"/>
        <v>29.428633109116401</v>
      </c>
      <c r="F47" s="384">
        <f t="shared" si="1"/>
        <v>29.432022805551405</v>
      </c>
      <c r="G47" s="110">
        <f t="shared" si="18"/>
        <v>0.83894733761287399</v>
      </c>
      <c r="H47" s="413" t="b">
        <f>Wh_hp&gt;='2019'!Maxi_hp</f>
        <v>1</v>
      </c>
      <c r="I47" s="379">
        <f>IF(H47,Wh_hp,'2019'!Maxi_hp)</f>
        <v>29.432022805551405</v>
      </c>
      <c r="J47" s="85">
        <f>IF(H47,An,'2019'!An_max)</f>
        <v>2020</v>
      </c>
      <c r="K47" s="196">
        <f t="shared" si="19"/>
        <v>43863</v>
      </c>
      <c r="L47" s="147">
        <f>IF(t&lt;Tvie,1-EXP((T0-t)*PertePVj)+'2019'!Pspv,1-EXP((T0-t)*PertePVj)+Pspv)</f>
        <v>1.3336687923213075E-2</v>
      </c>
      <c r="M47" s="847"/>
      <c r="N47" s="847"/>
      <c r="O47" s="48">
        <f>IF(t&lt;Tnet,'2019'!Resal+('2019'!Salim-'2019'!Resal)*(1-EXP(('2019'!Tnet-t)/('2019'!Tau_j))),Resal+(Salim-Resal)*(1-EXP((Tnet-t)/(Tau_j))))*Salcycl</f>
        <v>3.3308566262641351E-2</v>
      </c>
      <c r="P47" s="168">
        <f>(INDEX(Models!$BJ47:$BT47,,T47)*(1-R47)+INDEX(Models!$BJ47:$BT47,,T47+1)*R47-ERP_i)*Q47*Ramure*Pc/MaxiM</f>
        <v>1.4957848847874989E-4</v>
      </c>
      <c r="Q47" s="304">
        <f t="shared" si="2"/>
        <v>0.5</v>
      </c>
      <c r="R47" s="176">
        <f t="shared" si="3"/>
        <v>0.13591071916332048</v>
      </c>
      <c r="S47" s="814">
        <f t="shared" si="4"/>
        <v>0</v>
      </c>
      <c r="T47" s="175">
        <f t="shared" si="5"/>
        <v>6</v>
      </c>
      <c r="U47" s="250">
        <f t="shared" si="20"/>
        <v>0.13591071916332048</v>
      </c>
      <c r="V47" s="382">
        <f t="shared" si="6"/>
        <v>33.456252649474905</v>
      </c>
      <c r="W47" s="401"/>
      <c r="X47" s="157">
        <f t="shared" si="7"/>
        <v>43863</v>
      </c>
      <c r="Y47" s="384">
        <f t="shared" si="8"/>
        <v>28.068999999999999</v>
      </c>
      <c r="Z47" s="384">
        <f t="shared" si="9"/>
        <v>28.448407533182436</v>
      </c>
      <c r="AA47" s="385">
        <f t="shared" si="10"/>
        <v>29.428633109116401</v>
      </c>
      <c r="AB47" s="196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3.3308566262641351E-2</v>
      </c>
      <c r="AD47" s="230">
        <f>(INDEX(Models!$BJ47:$BT47,,AH47)*(1-AF47)+INDEX(Models!$BJ47:$BT47,,AH47+1)*AF47-ERP_i)*AE47*Ramure*Pc/MaxiM</f>
        <v>1.4957848847874989E-4</v>
      </c>
      <c r="AE47" s="304">
        <f t="shared" si="12"/>
        <v>0.5</v>
      </c>
      <c r="AF47" s="176">
        <f t="shared" si="21"/>
        <v>0.13591071916332048</v>
      </c>
      <c r="AG47" s="814">
        <f t="shared" si="22"/>
        <v>0</v>
      </c>
      <c r="AH47" s="175">
        <f t="shared" si="13"/>
        <v>6</v>
      </c>
      <c r="AI47" s="224">
        <f t="shared" si="23"/>
        <v>0.13591071916332048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43864</v>
      </c>
      <c r="B48" s="616">
        <v>26.559000000000001</v>
      </c>
      <c r="C48" s="389"/>
      <c r="D48" s="392">
        <f t="shared" si="0"/>
        <v>26.918586510629378</v>
      </c>
      <c r="E48" s="384">
        <f t="shared" si="17"/>
        <v>27.847219032412195</v>
      </c>
      <c r="F48" s="384">
        <f t="shared" si="1"/>
        <v>27.850010824525498</v>
      </c>
      <c r="G48" s="110">
        <f t="shared" si="18"/>
        <v>0.78574691915263062</v>
      </c>
      <c r="H48" s="413" t="b">
        <f>Wh_hp&gt;='2019'!Maxi_hp</f>
        <v>1</v>
      </c>
      <c r="I48" s="379">
        <f>IF(H48,Wh_hp,'2019'!Maxi_hp)</f>
        <v>27.850010824525498</v>
      </c>
      <c r="J48" s="85">
        <f>IF(H48,An,'2019'!An_max)</f>
        <v>2020</v>
      </c>
      <c r="K48" s="196">
        <f t="shared" si="19"/>
        <v>43864</v>
      </c>
      <c r="L48" s="147">
        <f>IF(t&lt;Tvie,1-EXP((T0-t)*PertePVj)+'2019'!Pspv,1-EXP((T0-t)*PertePVj)+Pspv)</f>
        <v>1.3358298381952127E-2</v>
      </c>
      <c r="M48" s="847"/>
      <c r="N48" s="847"/>
      <c r="O48" s="48">
        <f>IF(t&lt;Tnet,'2019'!Resal+('2019'!Salim-'2019'!Resal)*(1-EXP(('2019'!Tnet-t)/('2019'!Tau_j))),Resal+(Salim-Resal)*(1-EXP((Tnet-t)/(Tau_j))))*Salcycl</f>
        <v>3.3347406098323623E-2</v>
      </c>
      <c r="P48" s="168">
        <f>(INDEX(Models!$BJ48:$BT48,,T48)*(1-R48)+INDEX(Models!$BJ48:$BT48,,T48+1)*R48-ERP_i)*Q48*Ramure*Pc/MaxiM</f>
        <v>1.4444903162417211E-4</v>
      </c>
      <c r="Q48" s="304">
        <f t="shared" si="2"/>
        <v>0.5</v>
      </c>
      <c r="R48" s="176">
        <f t="shared" si="3"/>
        <v>0.13597551098810026</v>
      </c>
      <c r="S48" s="814">
        <f t="shared" si="4"/>
        <v>0</v>
      </c>
      <c r="T48" s="175">
        <f t="shared" si="5"/>
        <v>6</v>
      </c>
      <c r="U48" s="250">
        <f t="shared" si="20"/>
        <v>0.13597551098810026</v>
      </c>
      <c r="V48" s="382">
        <f t="shared" si="6"/>
        <v>33.799465437718737</v>
      </c>
      <c r="W48" s="401"/>
      <c r="X48" s="157">
        <f t="shared" si="7"/>
        <v>43864</v>
      </c>
      <c r="Y48" s="384">
        <f t="shared" si="8"/>
        <v>26.559000000000001</v>
      </c>
      <c r="Z48" s="384">
        <f t="shared" si="9"/>
        <v>26.918586510629378</v>
      </c>
      <c r="AA48" s="385">
        <f t="shared" si="10"/>
        <v>27.847219032412195</v>
      </c>
      <c r="AB48" s="196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3.3347406098323623E-2</v>
      </c>
      <c r="AD48" s="230">
        <f>(INDEX(Models!$BJ48:$BT48,,AH48)*(1-AF48)+INDEX(Models!$BJ48:$BT48,,AH48+1)*AF48-ERP_i)*AE48*Ramure*Pc/MaxiM</f>
        <v>1.4444903162417211E-4</v>
      </c>
      <c r="AE48" s="304">
        <f t="shared" si="12"/>
        <v>0.5</v>
      </c>
      <c r="AF48" s="176">
        <f t="shared" si="21"/>
        <v>0.13597551098810026</v>
      </c>
      <c r="AG48" s="814">
        <f t="shared" si="22"/>
        <v>0</v>
      </c>
      <c r="AH48" s="175">
        <f t="shared" si="13"/>
        <v>6</v>
      </c>
      <c r="AI48" s="224">
        <f t="shared" si="23"/>
        <v>0.13597551098810026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43865</v>
      </c>
      <c r="B49" s="616">
        <v>18.117999999999999</v>
      </c>
      <c r="C49" s="389"/>
      <c r="D49" s="392">
        <f t="shared" si="0"/>
        <v>18.363704685983848</v>
      </c>
      <c r="E49" s="384">
        <f t="shared" si="17"/>
        <v>18.997975866945389</v>
      </c>
      <c r="F49" s="384">
        <f t="shared" si="1"/>
        <v>18.998850013173008</v>
      </c>
      <c r="G49" s="110">
        <f t="shared" si="18"/>
        <v>0.53058625931839265</v>
      </c>
      <c r="H49" s="413" t="b">
        <f>Wh_hp&gt;='2019'!Maxi_hp</f>
        <v>0</v>
      </c>
      <c r="I49" s="379">
        <f>IF(H49,Wh_hp,'2019'!Maxi_hp)</f>
        <v>29.1914143774355</v>
      </c>
      <c r="J49" s="85">
        <f>IF(H49,An,'2019'!An_max)</f>
        <v>2019</v>
      </c>
      <c r="K49" s="196">
        <f t="shared" si="19"/>
        <v>43865</v>
      </c>
      <c r="L49" s="147">
        <f>IF(t&lt;Tvie,1-EXP((T0-t)*PertePVj)+'2019'!Pspv,1-EXP((T0-t)*PertePVj)+Pspv)</f>
        <v>1.33799083673668E-2</v>
      </c>
      <c r="M49" s="847"/>
      <c r="N49" s="847"/>
      <c r="O49" s="48">
        <f>IF(t&lt;Tnet,'2019'!Resal+('2019'!Salim-'2019'!Resal)*(1-EXP(('2019'!Tnet-t)/('2019'!Tau_j))),Resal+(Salim-Resal)*(1-EXP((Tnet-t)/(Tau_j))))*Salcycl</f>
        <v>3.3386250482879722E-2</v>
      </c>
      <c r="P49" s="168">
        <f>(INDEX(Models!$BJ49:$BT49,,T49)*(1-R49)+INDEX(Models!$BJ49:$BT49,,T49+1)*R49-ERP_i)*Q49*Ramure*Pc/MaxiM</f>
        <v>1.3964577942572083E-4</v>
      </c>
      <c r="Q49" s="304">
        <f t="shared" si="2"/>
        <v>0.5</v>
      </c>
      <c r="R49" s="176">
        <f t="shared" si="3"/>
        <v>0.13604299109171986</v>
      </c>
      <c r="S49" s="814">
        <f t="shared" si="4"/>
        <v>0</v>
      </c>
      <c r="T49" s="175">
        <f t="shared" si="5"/>
        <v>6</v>
      </c>
      <c r="U49" s="250">
        <f t="shared" si="20"/>
        <v>0.13604299109171986</v>
      </c>
      <c r="V49" s="382">
        <f t="shared" si="6"/>
        <v>34.14393629581793</v>
      </c>
      <c r="W49" s="401"/>
      <c r="X49" s="157">
        <f t="shared" si="7"/>
        <v>43865</v>
      </c>
      <c r="Y49" s="384">
        <f t="shared" si="8"/>
        <v>18.117999999999999</v>
      </c>
      <c r="Z49" s="384">
        <f t="shared" si="9"/>
        <v>18.363704685983848</v>
      </c>
      <c r="AA49" s="385">
        <f t="shared" si="10"/>
        <v>18.997975866945389</v>
      </c>
      <c r="AB49" s="196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3.3386250482879722E-2</v>
      </c>
      <c r="AD49" s="230">
        <f>(INDEX(Models!$BJ49:$BT49,,AH49)*(1-AF49)+INDEX(Models!$BJ49:$BT49,,AH49+1)*AF49-ERP_i)*AE49*Ramure*Pc/MaxiM</f>
        <v>1.3964577942572083E-4</v>
      </c>
      <c r="AE49" s="304">
        <f t="shared" si="12"/>
        <v>0.5</v>
      </c>
      <c r="AF49" s="176">
        <f t="shared" si="21"/>
        <v>0.13604299109171986</v>
      </c>
      <c r="AG49" s="814">
        <f t="shared" si="22"/>
        <v>0</v>
      </c>
      <c r="AH49" s="175">
        <f t="shared" si="13"/>
        <v>6</v>
      </c>
      <c r="AI49" s="224">
        <f t="shared" si="23"/>
        <v>0.13604299109171986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43866</v>
      </c>
      <c r="B50" s="616">
        <v>34.658999999999999</v>
      </c>
      <c r="C50" s="389"/>
      <c r="D50" s="392">
        <f t="shared" si="0"/>
        <v>35.129792542865182</v>
      </c>
      <c r="E50" s="384">
        <f t="shared" si="17"/>
        <v>36.3446148226463</v>
      </c>
      <c r="F50" s="384">
        <f t="shared" si="1"/>
        <v>36.34952786245141</v>
      </c>
      <c r="G50" s="110">
        <f t="shared" si="18"/>
        <v>1.0049217716079692</v>
      </c>
      <c r="H50" s="413" t="b">
        <f>Wh_hp&gt;='2019'!Maxi_hp</f>
        <v>1</v>
      </c>
      <c r="I50" s="379">
        <f>IF(H50,Wh_hp,'2019'!Maxi_hp)</f>
        <v>36.34952786245141</v>
      </c>
      <c r="J50" s="85">
        <f>IF(H50,An,'2019'!An_max)</f>
        <v>2020</v>
      </c>
      <c r="K50" s="196">
        <f t="shared" si="19"/>
        <v>43866</v>
      </c>
      <c r="L50" s="147">
        <f>IF(t&lt;Tvie,1-EXP((T0-t)*PertePVj)+'2019'!Pspv,1-EXP((T0-t)*PertePVj)+Pspv)</f>
        <v>1.3401517879467306E-2</v>
      </c>
      <c r="M50" s="847"/>
      <c r="N50" s="847"/>
      <c r="O50" s="48">
        <f>IF(t&lt;Tnet,'2019'!Resal+('2019'!Salim-'2019'!Resal)*(1-EXP(('2019'!Tnet-t)/('2019'!Tau_j))),Resal+(Salim-Resal)*(1-EXP((Tnet-t)/(Tau_j))))*Salcycl</f>
        <v>3.3425097107485598E-2</v>
      </c>
      <c r="P50" s="168">
        <f>(INDEX(Models!$BJ50:$BT50,,T50)*(1-R50)+INDEX(Models!$BJ50:$BT50,,T50+1)*R50-ERP_i)*Q50*Ramure*Pc/MaxiM</f>
        <v>1.3516103493001392E-4</v>
      </c>
      <c r="Q50" s="304">
        <f t="shared" si="2"/>
        <v>0.5</v>
      </c>
      <c r="R50" s="176">
        <f t="shared" si="3"/>
        <v>0.13611326971618837</v>
      </c>
      <c r="S50" s="814">
        <f t="shared" si="4"/>
        <v>0</v>
      </c>
      <c r="T50" s="175">
        <f t="shared" si="5"/>
        <v>6</v>
      </c>
      <c r="U50" s="250">
        <f t="shared" si="20"/>
        <v>0.13611326971618837</v>
      </c>
      <c r="V50" s="382">
        <f t="shared" si="6"/>
        <v>34.489251779810026</v>
      </c>
      <c r="W50" s="401"/>
      <c r="X50" s="157">
        <f t="shared" si="7"/>
        <v>43866</v>
      </c>
      <c r="Y50" s="384">
        <f t="shared" si="8"/>
        <v>34.658999999999999</v>
      </c>
      <c r="Z50" s="384">
        <f t="shared" si="9"/>
        <v>35.129792542865182</v>
      </c>
      <c r="AA50" s="385">
        <f t="shared" si="10"/>
        <v>36.3446148226463</v>
      </c>
      <c r="AB50" s="196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3.3425097107485598E-2</v>
      </c>
      <c r="AD50" s="230">
        <f>(INDEX(Models!$BJ50:$BT50,,AH50)*(1-AF50)+INDEX(Models!$BJ50:$BT50,,AH50+1)*AF50-ERP_i)*AE50*Ramure*Pc/MaxiM</f>
        <v>1.3516103493001392E-4</v>
      </c>
      <c r="AE50" s="304">
        <f t="shared" si="12"/>
        <v>0.5</v>
      </c>
      <c r="AF50" s="176">
        <f t="shared" si="21"/>
        <v>0.13611326971618837</v>
      </c>
      <c r="AG50" s="814">
        <f t="shared" si="22"/>
        <v>0</v>
      </c>
      <c r="AH50" s="175">
        <f t="shared" si="13"/>
        <v>6</v>
      </c>
      <c r="AI50" s="224">
        <f t="shared" si="23"/>
        <v>0.13611326971618837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43867</v>
      </c>
      <c r="B51" s="616">
        <v>36.148000000000003</v>
      </c>
      <c r="C51" s="389"/>
      <c r="D51" s="392">
        <f t="shared" si="0"/>
        <v>36.639820967103908</v>
      </c>
      <c r="E51" s="384">
        <f t="shared" si="17"/>
        <v>37.908385016179345</v>
      </c>
      <c r="F51" s="384">
        <f t="shared" si="1"/>
        <v>37.913350711029565</v>
      </c>
      <c r="G51" s="110">
        <f t="shared" si="18"/>
        <v>1.0375945710346632</v>
      </c>
      <c r="H51" s="413" t="b">
        <f>Wh_hp&gt;='2019'!Maxi_hp</f>
        <v>1</v>
      </c>
      <c r="I51" s="379">
        <f>IF(H51,Wh_hp,'2019'!Maxi_hp)</f>
        <v>37.913350711029565</v>
      </c>
      <c r="J51" s="85">
        <f>IF(H51,An,'2019'!An_max)</f>
        <v>2020</v>
      </c>
      <c r="K51" s="196">
        <f t="shared" si="19"/>
        <v>43867</v>
      </c>
      <c r="L51" s="147">
        <f>IF(t&lt;Tvie,1-EXP((T0-t)*PertePVj)+'2019'!Pspv,1-EXP((T0-t)*PertePVj)+Pspv)</f>
        <v>1.3423126918263972E-2</v>
      </c>
      <c r="M51" s="847"/>
      <c r="N51" s="847"/>
      <c r="O51" s="48">
        <f>IF(t&lt;Tnet,'2019'!Resal+('2019'!Salim-'2019'!Resal)*(1-EXP(('2019'!Tnet-t)/('2019'!Tau_j))),Resal+(Salim-Resal)*(1-EXP((Tnet-t)/(Tau_j))))*Salcycl</f>
        <v>3.3463943360657868E-2</v>
      </c>
      <c r="P51" s="168">
        <f>(INDEX(Models!$BJ51:$BT51,,T51)*(1-R51)+INDEX(Models!$BJ51:$BT51,,T51+1)*R51-ERP_i)*Q51*Ramure*Pc/MaxiM</f>
        <v>1.3097483490890802E-4</v>
      </c>
      <c r="Q51" s="304">
        <f t="shared" si="2"/>
        <v>0.5</v>
      </c>
      <c r="R51" s="176">
        <f t="shared" si="3"/>
        <v>0.13618646151394484</v>
      </c>
      <c r="S51" s="814">
        <f t="shared" si="4"/>
        <v>0</v>
      </c>
      <c r="T51" s="175">
        <f t="shared" si="5"/>
        <v>6</v>
      </c>
      <c r="U51" s="250">
        <f t="shared" si="20"/>
        <v>0.13618646151394484</v>
      </c>
      <c r="V51" s="382">
        <f t="shared" si="6"/>
        <v>34.838270177102146</v>
      </c>
      <c r="W51" s="401"/>
      <c r="X51" s="157">
        <f t="shared" si="7"/>
        <v>43867</v>
      </c>
      <c r="Y51" s="384">
        <f t="shared" si="8"/>
        <v>36.148000000000003</v>
      </c>
      <c r="Z51" s="384">
        <f t="shared" si="9"/>
        <v>36.639820967103908</v>
      </c>
      <c r="AA51" s="385">
        <f t="shared" si="10"/>
        <v>37.908385016179345</v>
      </c>
      <c r="AB51" s="196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3.3463943360657868E-2</v>
      </c>
      <c r="AD51" s="230">
        <f>(INDEX(Models!$BJ51:$BT51,,AH51)*(1-AF51)+INDEX(Models!$BJ51:$BT51,,AH51+1)*AF51-ERP_i)*AE51*Ramure*Pc/MaxiM</f>
        <v>1.3097483490890802E-4</v>
      </c>
      <c r="AE51" s="304">
        <f t="shared" si="12"/>
        <v>0.5</v>
      </c>
      <c r="AF51" s="176">
        <f t="shared" si="21"/>
        <v>0.13618646151394484</v>
      </c>
      <c r="AG51" s="814">
        <f t="shared" si="22"/>
        <v>0</v>
      </c>
      <c r="AH51" s="175">
        <f t="shared" si="13"/>
        <v>6</v>
      </c>
      <c r="AI51" s="224">
        <f t="shared" si="23"/>
        <v>0.13618646151394484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43868</v>
      </c>
      <c r="B52" s="616">
        <v>22.774000000000001</v>
      </c>
      <c r="C52" s="389"/>
      <c r="D52" s="392">
        <f t="shared" si="0"/>
        <v>23.08436315644969</v>
      </c>
      <c r="E52" s="384">
        <f t="shared" si="17"/>
        <v>23.884562552896107</v>
      </c>
      <c r="F52" s="384">
        <f t="shared" si="1"/>
        <v>23.886070109001885</v>
      </c>
      <c r="G52" s="110">
        <f t="shared" si="18"/>
        <v>0.64706792099023125</v>
      </c>
      <c r="H52" s="413" t="b">
        <f>Wh_hp&gt;='2019'!Maxi_hp</f>
        <v>1</v>
      </c>
      <c r="I52" s="379">
        <f>IF(H52,Wh_hp,'2019'!Maxi_hp)</f>
        <v>23.886070109001885</v>
      </c>
      <c r="J52" s="85">
        <f>IF(H52,An,'2019'!An_max)</f>
        <v>2020</v>
      </c>
      <c r="K52" s="196">
        <f t="shared" si="19"/>
        <v>43868</v>
      </c>
      <c r="L52" s="147">
        <f>IF(t&lt;Tvie,1-EXP((T0-t)*PertePVj)+'2019'!Pspv,1-EXP((T0-t)*PertePVj)+Pspv)</f>
        <v>1.3444735483767234E-2</v>
      </c>
      <c r="M52" s="847"/>
      <c r="N52" s="847"/>
      <c r="O52" s="48">
        <f>IF(t&lt;Tnet,'2019'!Resal+('2019'!Salim-'2019'!Resal)*(1-EXP(('2019'!Tnet-t)/('2019'!Tau_j))),Resal+(Salim-Resal)*(1-EXP((Tnet-t)/(Tau_j))))*Salcycl</f>
        <v>3.3502786357265169E-2</v>
      </c>
      <c r="P52" s="168">
        <f>(INDEX(Models!$BJ52:$BT52,,T52)*(1-R52)+INDEX(Models!$BJ52:$BT52,,T52+1)*R52-ERP_i)*Q52*Ramure*Pc/MaxiM</f>
        <v>1.2728006521123663E-4</v>
      </c>
      <c r="Q52" s="304">
        <f t="shared" si="2"/>
        <v>0.5</v>
      </c>
      <c r="R52" s="176">
        <f t="shared" si="3"/>
        <v>0.13626268571488573</v>
      </c>
      <c r="S52" s="814">
        <f t="shared" si="4"/>
        <v>0</v>
      </c>
      <c r="T52" s="175">
        <f t="shared" si="5"/>
        <v>6</v>
      </c>
      <c r="U52" s="250">
        <f t="shared" si="20"/>
        <v>0.13626268571488573</v>
      </c>
      <c r="V52" s="382">
        <f t="shared" si="6"/>
        <v>35.193428481395934</v>
      </c>
      <c r="W52" s="401"/>
      <c r="X52" s="157">
        <f t="shared" si="7"/>
        <v>43868</v>
      </c>
      <c r="Y52" s="384">
        <f t="shared" si="8"/>
        <v>22.774000000000001</v>
      </c>
      <c r="Z52" s="384">
        <f t="shared" si="9"/>
        <v>23.08436315644969</v>
      </c>
      <c r="AA52" s="385">
        <f t="shared" si="10"/>
        <v>23.884562552896107</v>
      </c>
      <c r="AB52" s="196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3.3502786357265169E-2</v>
      </c>
      <c r="AD52" s="230">
        <f>(INDEX(Models!$BJ52:$BT52,,AH52)*(1-AF52)+INDEX(Models!$BJ52:$BT52,,AH52+1)*AF52-ERP_i)*AE52*Ramure*Pc/MaxiM</f>
        <v>1.2728006521123663E-4</v>
      </c>
      <c r="AE52" s="304">
        <f t="shared" si="12"/>
        <v>0.5</v>
      </c>
      <c r="AF52" s="176">
        <f t="shared" si="21"/>
        <v>0.13626268571488573</v>
      </c>
      <c r="AG52" s="814">
        <f t="shared" si="22"/>
        <v>0</v>
      </c>
      <c r="AH52" s="175">
        <f t="shared" si="13"/>
        <v>6</v>
      </c>
      <c r="AI52" s="224">
        <f t="shared" si="23"/>
        <v>0.13626268571488573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43869</v>
      </c>
      <c r="B53" s="616">
        <v>29.484000000000002</v>
      </c>
      <c r="C53" s="389"/>
      <c r="D53" s="392">
        <f t="shared" si="0"/>
        <v>29.886461356902526</v>
      </c>
      <c r="E53" s="384">
        <f t="shared" si="17"/>
        <v>30.923692180946507</v>
      </c>
      <c r="F53" s="384">
        <f t="shared" si="1"/>
        <v>30.926595978660306</v>
      </c>
      <c r="G53" s="110">
        <f t="shared" si="18"/>
        <v>0.82925592429924599</v>
      </c>
      <c r="H53" s="413" t="b">
        <f>Wh_hp&gt;='2019'!Maxi_hp</f>
        <v>0</v>
      </c>
      <c r="I53" s="379">
        <f>IF(H53,Wh_hp,'2019'!Maxi_hp)</f>
        <v>31.110530776982241</v>
      </c>
      <c r="J53" s="85">
        <f>IF(H53,An,'2019'!An_max)</f>
        <v>2019</v>
      </c>
      <c r="K53" s="196">
        <f t="shared" si="19"/>
        <v>43869</v>
      </c>
      <c r="L53" s="147">
        <f>IF(t&lt;Tvie,1-EXP((T0-t)*PertePVj)+'2019'!Pspv,1-EXP((T0-t)*PertePVj)+Pspv)</f>
        <v>1.3466343575987527E-2</v>
      </c>
      <c r="M53" s="847"/>
      <c r="N53" s="847"/>
      <c r="O53" s="48">
        <f>IF(t&lt;Tnet,'2019'!Resal+('2019'!Salim-'2019'!Resal)*(1-EXP(('2019'!Tnet-t)/('2019'!Tau_j))),Resal+(Salim-Resal)*(1-EXP((Tnet-t)/(Tau_j))))*Salcycl</f>
        <v>3.3541622972274518E-2</v>
      </c>
      <c r="P53" s="168">
        <f>(INDEX(Models!$BJ53:$BT53,,T53)*(1-R53)+INDEX(Models!$BJ53:$BT53,,T53+1)*R53-ERP_i)*Q53*Ramure*Pc/MaxiM</f>
        <v>1.2417836575136058E-4</v>
      </c>
      <c r="Q53" s="304">
        <f t="shared" si="2"/>
        <v>0.5</v>
      </c>
      <c r="R53" s="176">
        <f t="shared" si="3"/>
        <v>0.1363420662989055</v>
      </c>
      <c r="S53" s="814">
        <f t="shared" si="4"/>
        <v>0</v>
      </c>
      <c r="T53" s="175">
        <f t="shared" si="5"/>
        <v>6</v>
      </c>
      <c r="U53" s="250">
        <f t="shared" si="20"/>
        <v>0.1363420662989055</v>
      </c>
      <c r="V53" s="382">
        <f t="shared" si="6"/>
        <v>35.553688704559484</v>
      </c>
      <c r="W53" s="401"/>
      <c r="X53" s="157">
        <f t="shared" si="7"/>
        <v>43869</v>
      </c>
      <c r="Y53" s="384">
        <f t="shared" si="8"/>
        <v>29.484000000000002</v>
      </c>
      <c r="Z53" s="384">
        <f t="shared" si="9"/>
        <v>29.886461356902526</v>
      </c>
      <c r="AA53" s="385">
        <f t="shared" si="10"/>
        <v>30.923692180946507</v>
      </c>
      <c r="AB53" s="196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3.3541622972274518E-2</v>
      </c>
      <c r="AD53" s="230">
        <f>(INDEX(Models!$BJ53:$BT53,,AH53)*(1-AF53)+INDEX(Models!$BJ53:$BT53,,AH53+1)*AF53-ERP_i)*AE53*Ramure*Pc/MaxiM</f>
        <v>1.2417836575136058E-4</v>
      </c>
      <c r="AE53" s="304">
        <f t="shared" si="12"/>
        <v>0.5</v>
      </c>
      <c r="AF53" s="176">
        <f t="shared" si="21"/>
        <v>0.1363420662989055</v>
      </c>
      <c r="AG53" s="814">
        <f t="shared" si="22"/>
        <v>0</v>
      </c>
      <c r="AH53" s="175">
        <f t="shared" si="13"/>
        <v>6</v>
      </c>
      <c r="AI53" s="224">
        <f t="shared" si="23"/>
        <v>0.1363420662989055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43870</v>
      </c>
      <c r="B54" s="616">
        <v>28.876999999999999</v>
      </c>
      <c r="C54" s="389"/>
      <c r="D54" s="392">
        <f t="shared" si="0"/>
        <v>29.271816836882955</v>
      </c>
      <c r="E54" s="384">
        <f t="shared" si="17"/>
        <v>30.288932827582006</v>
      </c>
      <c r="F54" s="384">
        <f t="shared" si="1"/>
        <v>30.291585999012629</v>
      </c>
      <c r="G54" s="110">
        <f t="shared" si="18"/>
        <v>0.80394237937493318</v>
      </c>
      <c r="H54" s="413" t="b">
        <f>Wh_hp&gt;='2019'!Maxi_hp</f>
        <v>0</v>
      </c>
      <c r="I54" s="379">
        <f>IF(H54,Wh_hp,'2019'!Maxi_hp)</f>
        <v>30.981048909551888</v>
      </c>
      <c r="J54" s="85">
        <f>IF(H54,An,'2019'!An_max)</f>
        <v>2019</v>
      </c>
      <c r="K54" s="196">
        <f t="shared" si="19"/>
        <v>43870</v>
      </c>
      <c r="L54" s="147">
        <f>IF(t&lt;Tvie,1-EXP((T0-t)*PertePVj)+'2019'!Pspv,1-EXP((T0-t)*PertePVj)+Pspv)</f>
        <v>1.3487951194935066E-2</v>
      </c>
      <c r="M54" s="847"/>
      <c r="N54" s="847"/>
      <c r="O54" s="48">
        <f>IF(t&lt;Tnet,'2019'!Resal+('2019'!Salim-'2019'!Resal)*(1-EXP(('2019'!Tnet-t)/('2019'!Tau_j))),Resal+(Salim-Resal)*(1-EXP((Tnet-t)/(Tau_j))))*Salcycl</f>
        <v>3.3580449878802987E-2</v>
      </c>
      <c r="P54" s="168">
        <f>(INDEX(Models!$BJ54:$BT54,,T54)*(1-R54)+INDEX(Models!$BJ54:$BT54,,T54+1)*R54-ERP_i)*Q54*Ramure*Pc/MaxiM</f>
        <v>1.2165692944629303E-4</v>
      </c>
      <c r="Q54" s="304">
        <f t="shared" si="2"/>
        <v>0.5</v>
      </c>
      <c r="R54" s="176">
        <f t="shared" si="3"/>
        <v>0.13642473217406018</v>
      </c>
      <c r="S54" s="814">
        <f t="shared" si="4"/>
        <v>0</v>
      </c>
      <c r="T54" s="175">
        <f t="shared" si="5"/>
        <v>6</v>
      </c>
      <c r="U54" s="250">
        <f t="shared" si="20"/>
        <v>0.13642473217406018</v>
      </c>
      <c r="V54" s="382">
        <f t="shared" si="6"/>
        <v>35.918017060087912</v>
      </c>
      <c r="W54" s="401"/>
      <c r="X54" s="157">
        <f t="shared" si="7"/>
        <v>43870</v>
      </c>
      <c r="Y54" s="384">
        <f t="shared" si="8"/>
        <v>28.876999999999999</v>
      </c>
      <c r="Z54" s="384">
        <f t="shared" si="9"/>
        <v>29.271816836882955</v>
      </c>
      <c r="AA54" s="385">
        <f t="shared" si="10"/>
        <v>30.288932827582006</v>
      </c>
      <c r="AB54" s="196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3.3580449878802987E-2</v>
      </c>
      <c r="AD54" s="230">
        <f>(INDEX(Models!$BJ54:$BT54,,AH54)*(1-AF54)+INDEX(Models!$BJ54:$BT54,,AH54+1)*AF54-ERP_i)*AE54*Ramure*Pc/MaxiM</f>
        <v>1.2165692944629303E-4</v>
      </c>
      <c r="AE54" s="304">
        <f t="shared" si="12"/>
        <v>0.5</v>
      </c>
      <c r="AF54" s="176">
        <f t="shared" si="21"/>
        <v>0.13642473217406018</v>
      </c>
      <c r="AG54" s="814">
        <f t="shared" si="22"/>
        <v>0</v>
      </c>
      <c r="AH54" s="175">
        <f t="shared" si="13"/>
        <v>6</v>
      </c>
      <c r="AI54" s="224">
        <f t="shared" si="23"/>
        <v>0.13642473217406018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43871</v>
      </c>
      <c r="B55" s="616">
        <v>14.236000000000001</v>
      </c>
      <c r="C55" s="389"/>
      <c r="D55" s="392">
        <f t="shared" si="0"/>
        <v>14.430955839829087</v>
      </c>
      <c r="E55" s="384">
        <f t="shared" si="17"/>
        <v>14.932992035249637</v>
      </c>
      <c r="F55" s="384">
        <f t="shared" si="1"/>
        <v>14.933227824012413</v>
      </c>
      <c r="G55" s="110">
        <f t="shared" si="18"/>
        <v>0.39229355336633126</v>
      </c>
      <c r="H55" s="413" t="b">
        <f>Wh_hp&gt;='2019'!Maxi_hp</f>
        <v>1</v>
      </c>
      <c r="I55" s="379">
        <f>IF(H55,Wh_hp,'2019'!Maxi_hp)</f>
        <v>14.933227824012413</v>
      </c>
      <c r="J55" s="85">
        <f>IF(H55,An,'2019'!An_max)</f>
        <v>2020</v>
      </c>
      <c r="K55" s="196">
        <f t="shared" si="19"/>
        <v>43871</v>
      </c>
      <c r="L55" s="147">
        <f>IF(t&lt;Tvie,1-EXP((T0-t)*PertePVj)+'2019'!Pspv,1-EXP((T0-t)*PertePVj)+Pspv)</f>
        <v>1.3509558340620287E-2</v>
      </c>
      <c r="M55" s="847"/>
      <c r="N55" s="847"/>
      <c r="O55" s="48">
        <f>IF(t&lt;Tnet,'2019'!Resal+('2019'!Salim-'2019'!Resal)*(1-EXP(('2019'!Tnet-t)/('2019'!Tau_j))),Resal+(Salim-Resal)*(1-EXP((Tnet-t)/(Tau_j))))*Salcycl</f>
        <v>3.3619263590008081E-2</v>
      </c>
      <c r="P55" s="168">
        <f>(INDEX(Models!$BJ55:$BT55,,T55)*(1-R55)+INDEX(Models!$BJ55:$BT55,,T55+1)*R55-ERP_i)*Q55*Ramure*Pc/MaxiM</f>
        <v>1.1970279325617952E-4</v>
      </c>
      <c r="Q55" s="304">
        <f t="shared" si="2"/>
        <v>0.5</v>
      </c>
      <c r="R55" s="176">
        <f t="shared" si="3"/>
        <v>0.13651081736045767</v>
      </c>
      <c r="S55" s="814">
        <f t="shared" si="4"/>
        <v>0</v>
      </c>
      <c r="T55" s="175">
        <f t="shared" si="5"/>
        <v>6</v>
      </c>
      <c r="U55" s="250">
        <f t="shared" si="20"/>
        <v>0.13651081736045767</v>
      </c>
      <c r="V55" s="382">
        <f t="shared" si="6"/>
        <v>36.285380030812199</v>
      </c>
      <c r="W55" s="401"/>
      <c r="X55" s="157">
        <f t="shared" si="7"/>
        <v>43871</v>
      </c>
      <c r="Y55" s="384">
        <f t="shared" si="8"/>
        <v>14.236000000000001</v>
      </c>
      <c r="Z55" s="384">
        <f t="shared" si="9"/>
        <v>14.430955839829087</v>
      </c>
      <c r="AA55" s="385">
        <f t="shared" si="10"/>
        <v>14.932992035249637</v>
      </c>
      <c r="AB55" s="196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3.3619263590008081E-2</v>
      </c>
      <c r="AD55" s="230">
        <f>(INDEX(Models!$BJ55:$BT55,,AH55)*(1-AF55)+INDEX(Models!$BJ55:$BT55,,AH55+1)*AF55-ERP_i)*AE55*Ramure*Pc/MaxiM</f>
        <v>1.1970279325617952E-4</v>
      </c>
      <c r="AE55" s="304">
        <f t="shared" si="12"/>
        <v>0.5</v>
      </c>
      <c r="AF55" s="176">
        <f t="shared" si="21"/>
        <v>0.13651081736045767</v>
      </c>
      <c r="AG55" s="814">
        <f t="shared" si="22"/>
        <v>0</v>
      </c>
      <c r="AH55" s="175">
        <f t="shared" si="13"/>
        <v>6</v>
      </c>
      <c r="AI55" s="224">
        <f t="shared" si="23"/>
        <v>0.13651081736045767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43872</v>
      </c>
      <c r="B56" s="616">
        <v>8.9890000000000008</v>
      </c>
      <c r="C56" s="389"/>
      <c r="D56" s="392">
        <f t="shared" si="0"/>
        <v>9.112300035427829</v>
      </c>
      <c r="E56" s="384">
        <f t="shared" si="17"/>
        <v>9.4296849417333544</v>
      </c>
      <c r="F56" s="384">
        <f t="shared" si="1"/>
        <v>9.4296849417333544</v>
      </c>
      <c r="G56" s="110">
        <f t="shared" si="18"/>
        <v>0.24520527235401693</v>
      </c>
      <c r="H56" s="413" t="b">
        <f>Wh_hp&gt;='2019'!Maxi_hp</f>
        <v>0</v>
      </c>
      <c r="I56" s="379">
        <f>IF(H56,Wh_hp,'2019'!Maxi_hp)</f>
        <v>24.420022764710701</v>
      </c>
      <c r="J56" s="85">
        <f>IF(H56,An,'2019'!An_max)</f>
        <v>2019</v>
      </c>
      <c r="K56" s="196">
        <f t="shared" si="19"/>
        <v>43872</v>
      </c>
      <c r="L56" s="147">
        <f>IF(t&lt;Tvie,1-EXP((T0-t)*PertePVj)+'2019'!Pspv,1-EXP((T0-t)*PertePVj)+Pspv)</f>
        <v>1.3531165013053625E-2</v>
      </c>
      <c r="M56" s="847"/>
      <c r="N56" s="847"/>
      <c r="O56" s="48">
        <f>IF(t&lt;Tnet,'2019'!Resal+('2019'!Salim-'2019'!Resal)*(1-EXP(('2019'!Tnet-t)/('2019'!Tau_j))),Resal+(Salim-Resal)*(1-EXP((Tnet-t)/(Tau_j))))*Salcycl</f>
        <v>3.3658060504318861E-2</v>
      </c>
      <c r="P56" s="168">
        <f>(INDEX(Models!$BJ56:$BT56,,T56)*(1-R56)+INDEX(Models!$BJ56:$BT56,,T56+1)*R56-ERP_i)*Q56*Ramure*Pc/MaxiM</f>
        <v>1.183030235223995E-4</v>
      </c>
      <c r="Q56" s="304">
        <f t="shared" si="2"/>
        <v>0.5</v>
      </c>
      <c r="R56" s="176">
        <f t="shared" si="3"/>
        <v>0.1366004611799744</v>
      </c>
      <c r="S56" s="814">
        <f t="shared" si="4"/>
        <v>0</v>
      </c>
      <c r="T56" s="175">
        <f t="shared" si="5"/>
        <v>6</v>
      </c>
      <c r="U56" s="250">
        <f t="shared" si="20"/>
        <v>0.1366004611799744</v>
      </c>
      <c r="V56" s="382">
        <f t="shared" si="6"/>
        <v>36.654744361063976</v>
      </c>
      <c r="W56" s="401"/>
      <c r="X56" s="157">
        <f t="shared" si="7"/>
        <v>43872</v>
      </c>
      <c r="Y56" s="384">
        <f t="shared" si="8"/>
        <v>8.9890000000000008</v>
      </c>
      <c r="Z56" s="384">
        <f t="shared" si="9"/>
        <v>9.112300035427829</v>
      </c>
      <c r="AA56" s="385">
        <f t="shared" si="10"/>
        <v>9.4296849417333544</v>
      </c>
      <c r="AB56" s="196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3.3658060504318861E-2</v>
      </c>
      <c r="AD56" s="230">
        <f>(INDEX(Models!$BJ56:$BT56,,AH56)*(1-AF56)+INDEX(Models!$BJ56:$BT56,,AH56+1)*AF56-ERP_i)*AE56*Ramure*Pc/MaxiM</f>
        <v>1.183030235223995E-4</v>
      </c>
      <c r="AE56" s="304">
        <f t="shared" si="12"/>
        <v>0.5</v>
      </c>
      <c r="AF56" s="176">
        <f t="shared" si="21"/>
        <v>0.1366004611799744</v>
      </c>
      <c r="AG56" s="814">
        <f t="shared" si="22"/>
        <v>0</v>
      </c>
      <c r="AH56" s="175">
        <f t="shared" si="13"/>
        <v>6</v>
      </c>
      <c r="AI56" s="224">
        <f t="shared" si="23"/>
        <v>0.1366004611799744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43873</v>
      </c>
      <c r="B57" s="616">
        <v>21.236000000000001</v>
      </c>
      <c r="C57" s="389"/>
      <c r="D57" s="392">
        <f t="shared" si="0"/>
        <v>21.527760817065634</v>
      </c>
      <c r="E57" s="384">
        <f t="shared" si="17"/>
        <v>22.278474955203418</v>
      </c>
      <c r="F57" s="384">
        <f t="shared" si="1"/>
        <v>22.27949751713528</v>
      </c>
      <c r="G57" s="110">
        <f t="shared" si="18"/>
        <v>0.57351617406345945</v>
      </c>
      <c r="H57" s="413" t="b">
        <f>Wh_hp&gt;='2019'!Maxi_hp</f>
        <v>0</v>
      </c>
      <c r="I57" s="379">
        <f>IF(H57,Wh_hp,'2019'!Maxi_hp)</f>
        <v>38.964390120778035</v>
      </c>
      <c r="J57" s="85">
        <f>IF(H57,An,'2019'!An_max)</f>
        <v>2019</v>
      </c>
      <c r="K57" s="196">
        <f t="shared" si="19"/>
        <v>43873</v>
      </c>
      <c r="L57" s="147">
        <f>IF(t&lt;Tvie,1-EXP((T0-t)*PertePVj)+'2019'!Pspv,1-EXP((T0-t)*PertePVj)+Pspv)</f>
        <v>1.3552771212245407E-2</v>
      </c>
      <c r="M57" s="847"/>
      <c r="N57" s="847"/>
      <c r="O57" s="48">
        <f>IF(t&lt;Tnet,'2019'!Resal+('2019'!Salim-'2019'!Resal)*(1-EXP(('2019'!Tnet-t)/('2019'!Tau_j))),Resal+(Salim-Resal)*(1-EXP((Tnet-t)/(Tau_j))))*Salcycl</f>
        <v>3.3696836953484799E-2</v>
      </c>
      <c r="P57" s="168">
        <f>(INDEX(Models!$BJ57:$BT57,,T57)*(1-R57)+INDEX(Models!$BJ57:$BT57,,T57+1)*R57-ERP_i)*Q57*Ramure*Pc/MaxiM</f>
        <v>1.1744488281172484E-4</v>
      </c>
      <c r="Q57" s="304">
        <f t="shared" si="2"/>
        <v>0.5</v>
      </c>
      <c r="R57" s="176">
        <f t="shared" si="3"/>
        <v>0.13669380845188808</v>
      </c>
      <c r="S57" s="814">
        <f t="shared" si="4"/>
        <v>0</v>
      </c>
      <c r="T57" s="175">
        <f t="shared" si="5"/>
        <v>6</v>
      </c>
      <c r="U57" s="250">
        <f t="shared" si="20"/>
        <v>0.13669380845188808</v>
      </c>
      <c r="V57" s="382">
        <f t="shared" si="6"/>
        <v>37.025077058967867</v>
      </c>
      <c r="W57" s="401"/>
      <c r="X57" s="157">
        <f t="shared" si="7"/>
        <v>43873</v>
      </c>
      <c r="Y57" s="384">
        <f t="shared" si="8"/>
        <v>21.236000000000001</v>
      </c>
      <c r="Z57" s="384">
        <f t="shared" si="9"/>
        <v>21.527760817065634</v>
      </c>
      <c r="AA57" s="385">
        <f t="shared" si="10"/>
        <v>22.278474955203418</v>
      </c>
      <c r="AB57" s="196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3.3696836953484799E-2</v>
      </c>
      <c r="AD57" s="230">
        <f>(INDEX(Models!$BJ57:$BT57,,AH57)*(1-AF57)+INDEX(Models!$BJ57:$BT57,,AH57+1)*AF57-ERP_i)*AE57*Ramure*Pc/MaxiM</f>
        <v>1.1744488281172484E-4</v>
      </c>
      <c r="AE57" s="304">
        <f t="shared" si="12"/>
        <v>0.5</v>
      </c>
      <c r="AF57" s="176">
        <f t="shared" si="21"/>
        <v>0.13669380845188808</v>
      </c>
      <c r="AG57" s="814">
        <f t="shared" si="22"/>
        <v>0</v>
      </c>
      <c r="AH57" s="175">
        <f t="shared" si="13"/>
        <v>6</v>
      </c>
      <c r="AI57" s="224">
        <f t="shared" si="23"/>
        <v>0.13669380845188808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43874</v>
      </c>
      <c r="B58" s="616">
        <v>19.222000000000001</v>
      </c>
      <c r="C58" s="389"/>
      <c r="D58" s="392">
        <f t="shared" si="0"/>
        <v>19.48651733147026</v>
      </c>
      <c r="E58" s="384">
        <f t="shared" si="17"/>
        <v>20.166858175396936</v>
      </c>
      <c r="F58" s="384">
        <f t="shared" si="1"/>
        <v>20.167579695631115</v>
      </c>
      <c r="G58" s="110">
        <f t="shared" si="18"/>
        <v>0.51397937976066577</v>
      </c>
      <c r="H58" s="413" t="b">
        <f>Wh_hp&gt;='2019'!Maxi_hp</f>
        <v>0</v>
      </c>
      <c r="I58" s="379">
        <f>IF(H58,Wh_hp,'2019'!Maxi_hp)</f>
        <v>40.487434831791077</v>
      </c>
      <c r="J58" s="85">
        <f>IF(H58,An,'2019'!An_max)</f>
        <v>2019</v>
      </c>
      <c r="K58" s="196">
        <f t="shared" si="19"/>
        <v>43874</v>
      </c>
      <c r="L58" s="147">
        <f>IF(t&lt;Tvie,1-EXP((T0-t)*PertePVj)+'2019'!Pspv,1-EXP((T0-t)*PertePVj)+Pspv)</f>
        <v>1.3574376938205956E-2</v>
      </c>
      <c r="M58" s="847"/>
      <c r="N58" s="847"/>
      <c r="O58" s="48">
        <f>IF(t&lt;Tnet,'2019'!Resal+('2019'!Salim-'2019'!Resal)*(1-EXP(('2019'!Tnet-t)/('2019'!Tau_j))),Resal+(Salim-Resal)*(1-EXP((Tnet-t)/(Tau_j))))*Salcycl</f>
        <v>3.3735589252899871E-2</v>
      </c>
      <c r="P58" s="168">
        <f>(INDEX(Models!$BJ58:$BT58,,T58)*(1-R58)+INDEX(Models!$BJ58:$BT58,,T58+1)*R58-ERP_i)*Q58*Ramure*Pc/MaxiM</f>
        <v>1.1701353568488439E-4</v>
      </c>
      <c r="Q58" s="304">
        <f t="shared" si="2"/>
        <v>0.5</v>
      </c>
      <c r="R58" s="176">
        <f t="shared" si="3"/>
        <v>0.13679100969451161</v>
      </c>
      <c r="S58" s="814">
        <f t="shared" si="4"/>
        <v>0</v>
      </c>
      <c r="T58" s="175">
        <f t="shared" si="5"/>
        <v>6</v>
      </c>
      <c r="U58" s="250">
        <f t="shared" si="20"/>
        <v>0.13679100969451161</v>
      </c>
      <c r="V58" s="382">
        <f t="shared" si="6"/>
        <v>37.395349225574009</v>
      </c>
      <c r="W58" s="401"/>
      <c r="X58" s="157">
        <f t="shared" si="7"/>
        <v>43874</v>
      </c>
      <c r="Y58" s="384">
        <f t="shared" si="8"/>
        <v>19.222000000000001</v>
      </c>
      <c r="Z58" s="384">
        <f t="shared" si="9"/>
        <v>19.48651733147026</v>
      </c>
      <c r="AA58" s="385">
        <f t="shared" si="10"/>
        <v>20.166858175396936</v>
      </c>
      <c r="AB58" s="196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3.3735589252899871E-2</v>
      </c>
      <c r="AD58" s="230">
        <f>(INDEX(Models!$BJ58:$BT58,,AH58)*(1-AF58)+INDEX(Models!$BJ58:$BT58,,AH58+1)*AF58-ERP_i)*AE58*Ramure*Pc/MaxiM</f>
        <v>1.1701353568488439E-4</v>
      </c>
      <c r="AE58" s="304">
        <f t="shared" si="12"/>
        <v>0.5</v>
      </c>
      <c r="AF58" s="176">
        <f t="shared" si="21"/>
        <v>0.13679100969451161</v>
      </c>
      <c r="AG58" s="814">
        <f t="shared" si="22"/>
        <v>0</v>
      </c>
      <c r="AH58" s="175">
        <f t="shared" si="13"/>
        <v>6</v>
      </c>
      <c r="AI58" s="224">
        <f t="shared" si="23"/>
        <v>0.13679100969451161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43875</v>
      </c>
      <c r="B59" s="616">
        <v>27.474</v>
      </c>
      <c r="C59" s="389"/>
      <c r="D59" s="392">
        <f t="shared" si="0"/>
        <v>27.852684603843887</v>
      </c>
      <c r="E59" s="384">
        <f t="shared" si="17"/>
        <v>28.826272164267859</v>
      </c>
      <c r="F59" s="384">
        <f t="shared" si="1"/>
        <v>28.828326625470627</v>
      </c>
      <c r="G59" s="110">
        <f t="shared" si="18"/>
        <v>0.72747481744782971</v>
      </c>
      <c r="H59" s="413" t="b">
        <f>Wh_hp&gt;='2019'!Maxi_hp</f>
        <v>0</v>
      </c>
      <c r="I59" s="379">
        <f>IF(H59,Wh_hp,'2019'!Maxi_hp)</f>
        <v>40.730011197654498</v>
      </c>
      <c r="J59" s="85">
        <f>IF(H59,An,'2019'!An_max)</f>
        <v>2019</v>
      </c>
      <c r="K59" s="196">
        <f t="shared" si="19"/>
        <v>43875</v>
      </c>
      <c r="L59" s="147">
        <f>IF(t&lt;Tvie,1-EXP((T0-t)*PertePVj)+'2019'!Pspv,1-EXP((T0-t)*PertePVj)+Pspv)</f>
        <v>1.3595982190945599E-2</v>
      </c>
      <c r="M59" s="847"/>
      <c r="N59" s="847"/>
      <c r="O59" s="48">
        <f>IF(t&lt;Tnet,'2019'!Resal+('2019'!Salim-'2019'!Resal)*(1-EXP(('2019'!Tnet-t)/('2019'!Tau_j))),Resal+(Salim-Resal)*(1-EXP((Tnet-t)/(Tau_j))))*Salcycl</f>
        <v>3.3774313753645938E-2</v>
      </c>
      <c r="P59" s="168">
        <f>(INDEX(Models!$BJ59:$BT59,,T59)*(1-R59)+INDEX(Models!$BJ59:$BT59,,T59+1)*R59-ERP_i)*Q59*Ramure*Pc/MaxiM</f>
        <v>1.1668967760657989E-4</v>
      </c>
      <c r="Q59" s="304">
        <f t="shared" si="2"/>
        <v>0.5</v>
      </c>
      <c r="R59" s="176">
        <f t="shared" si="3"/>
        <v>0.13689222133290063</v>
      </c>
      <c r="S59" s="814">
        <f t="shared" si="4"/>
        <v>0</v>
      </c>
      <c r="T59" s="175">
        <f t="shared" si="5"/>
        <v>6</v>
      </c>
      <c r="U59" s="250">
        <f t="shared" si="20"/>
        <v>0.13689222133290063</v>
      </c>
      <c r="V59" s="382">
        <f t="shared" si="6"/>
        <v>37.764540111308037</v>
      </c>
      <c r="W59" s="401"/>
      <c r="X59" s="157">
        <f t="shared" si="7"/>
        <v>43875</v>
      </c>
      <c r="Y59" s="384">
        <f t="shared" si="8"/>
        <v>27.474</v>
      </c>
      <c r="Z59" s="384">
        <f t="shared" si="9"/>
        <v>27.852684603843887</v>
      </c>
      <c r="AA59" s="385">
        <f t="shared" si="10"/>
        <v>28.826272164267859</v>
      </c>
      <c r="AB59" s="196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3.3774313753645938E-2</v>
      </c>
      <c r="AD59" s="230">
        <f>(INDEX(Models!$BJ59:$BT59,,AH59)*(1-AF59)+INDEX(Models!$BJ59:$BT59,,AH59+1)*AF59-ERP_i)*AE59*Ramure*Pc/MaxiM</f>
        <v>1.1668967760657989E-4</v>
      </c>
      <c r="AE59" s="304">
        <f t="shared" si="12"/>
        <v>0.5</v>
      </c>
      <c r="AF59" s="176">
        <f t="shared" si="21"/>
        <v>0.13689222133290063</v>
      </c>
      <c r="AG59" s="814">
        <f t="shared" si="22"/>
        <v>0</v>
      </c>
      <c r="AH59" s="175">
        <f t="shared" si="13"/>
        <v>6</v>
      </c>
      <c r="AI59" s="224">
        <f t="shared" si="23"/>
        <v>0.13689222133290063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43876</v>
      </c>
      <c r="B60" s="616">
        <v>37.49</v>
      </c>
      <c r="C60" s="389"/>
      <c r="D60" s="392">
        <f t="shared" si="0"/>
        <v>38.007571409201333</v>
      </c>
      <c r="E60" s="384">
        <f t="shared" si="17"/>
        <v>39.337697237141469</v>
      </c>
      <c r="F60" s="384">
        <f t="shared" si="1"/>
        <v>39.342169408706383</v>
      </c>
      <c r="G60" s="110">
        <f t="shared" si="18"/>
        <v>0.98317085591389564</v>
      </c>
      <c r="H60" s="413" t="b">
        <f>Wh_hp&gt;='2019'!Maxi_hp</f>
        <v>0</v>
      </c>
      <c r="I60" s="379">
        <f>IF(H60,Wh_hp,'2019'!Maxi_hp)</f>
        <v>40.824287994702445</v>
      </c>
      <c r="J60" s="85">
        <f>IF(H60,An,'2019'!An_max)</f>
        <v>2019</v>
      </c>
      <c r="K60" s="196">
        <f t="shared" si="19"/>
        <v>43876</v>
      </c>
      <c r="L60" s="147">
        <f>IF(t&lt;Tvie,1-EXP((T0-t)*PertePVj)+'2019'!Pspv,1-EXP((T0-t)*PertePVj)+Pspv)</f>
        <v>1.3617586970474771E-2</v>
      </c>
      <c r="M60" s="847"/>
      <c r="N60" s="847"/>
      <c r="O60" s="48">
        <f>IF(t&lt;Tnet,'2019'!Resal+('2019'!Salim-'2019'!Resal)*(1-EXP(('2019'!Tnet-t)/('2019'!Tau_j))),Resal+(Salim-Resal)*(1-EXP((Tnet-t)/(Tau_j))))*Salcycl</f>
        <v>3.3813006895692652E-2</v>
      </c>
      <c r="P60" s="168">
        <f>(INDEX(Models!$BJ60:$BT60,,T60)*(1-R60)+INDEX(Models!$BJ60:$BT60,,T60+1)*R60-ERP_i)*Q60*Ramure*Pc/MaxiM</f>
        <v>1.1647349586399969E-4</v>
      </c>
      <c r="Q60" s="304">
        <f t="shared" si="2"/>
        <v>0.5</v>
      </c>
      <c r="R60" s="176">
        <f t="shared" si="3"/>
        <v>0.13699760591269888</v>
      </c>
      <c r="S60" s="814">
        <f t="shared" si="4"/>
        <v>0</v>
      </c>
      <c r="T60" s="175">
        <f t="shared" si="5"/>
        <v>6</v>
      </c>
      <c r="U60" s="250">
        <f t="shared" si="20"/>
        <v>0.13699760591269888</v>
      </c>
      <c r="V60" s="382">
        <f t="shared" si="6"/>
        <v>38.131617510568539</v>
      </c>
      <c r="W60" s="401"/>
      <c r="X60" s="157">
        <f t="shared" si="7"/>
        <v>43876</v>
      </c>
      <c r="Y60" s="384">
        <f t="shared" si="8"/>
        <v>37.49</v>
      </c>
      <c r="Z60" s="384">
        <f t="shared" si="9"/>
        <v>38.007571409201333</v>
      </c>
      <c r="AA60" s="385">
        <f t="shared" si="10"/>
        <v>39.337697237141469</v>
      </c>
      <c r="AB60" s="196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3.3813006895692652E-2</v>
      </c>
      <c r="AD60" s="230">
        <f>(INDEX(Models!$BJ60:$BT60,,AH60)*(1-AF60)+INDEX(Models!$BJ60:$BT60,,AH60+1)*AF60-ERP_i)*AE60*Ramure*Pc/MaxiM</f>
        <v>1.1647349586399969E-4</v>
      </c>
      <c r="AE60" s="304">
        <f t="shared" si="12"/>
        <v>0.5</v>
      </c>
      <c r="AF60" s="176">
        <f t="shared" si="21"/>
        <v>0.13699760591269888</v>
      </c>
      <c r="AG60" s="814">
        <f t="shared" si="22"/>
        <v>0</v>
      </c>
      <c r="AH60" s="175">
        <f t="shared" si="13"/>
        <v>6</v>
      </c>
      <c r="AI60" s="224">
        <f t="shared" si="23"/>
        <v>0.13699760591269888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43877</v>
      </c>
      <c r="B61" s="616">
        <v>23.891999999999999</v>
      </c>
      <c r="C61" s="389"/>
      <c r="D61" s="392">
        <f t="shared" si="0"/>
        <v>24.222373586524814</v>
      </c>
      <c r="E61" s="384">
        <f t="shared" si="17"/>
        <v>25.071071092914167</v>
      </c>
      <c r="F61" s="384">
        <f t="shared" si="1"/>
        <v>25.072407513380512</v>
      </c>
      <c r="G61" s="110">
        <f t="shared" si="18"/>
        <v>0.62060403216897508</v>
      </c>
      <c r="H61" s="413" t="b">
        <f>Wh_hp&gt;='2019'!Maxi_hp</f>
        <v>0</v>
      </c>
      <c r="I61" s="379">
        <f>IF(H61,Wh_hp,'2019'!Maxi_hp)</f>
        <v>41.302237931814616</v>
      </c>
      <c r="J61" s="85">
        <f>IF(H61,An,'2019'!An_max)</f>
        <v>2019</v>
      </c>
      <c r="K61" s="196">
        <f t="shared" si="19"/>
        <v>43877</v>
      </c>
      <c r="L61" s="147">
        <f>IF(t&lt;Tvie,1-EXP((T0-t)*PertePVj)+'2019'!Pspv,1-EXP((T0-t)*PertePVj)+Pspv)</f>
        <v>1.3639191276803908E-2</v>
      </c>
      <c r="M61" s="847"/>
      <c r="N61" s="847"/>
      <c r="O61" s="48">
        <f>IF(t&lt;Tnet,'2019'!Resal+('2019'!Salim-'2019'!Resal)*(1-EXP(('2019'!Tnet-t)/('2019'!Tau_j))),Resal+(Salim-Resal)*(1-EXP((Tnet-t)/(Tau_j))))*Salcycl</f>
        <v>3.3851665261689548E-2</v>
      </c>
      <c r="P61" s="168">
        <f>(INDEX(Models!$BJ61:$BT61,,T61)*(1-R61)+INDEX(Models!$BJ61:$BT61,,T61+1)*R61-ERP_i)*Q61*Ramure*Pc/MaxiM</f>
        <v>1.163652003144634E-4</v>
      </c>
      <c r="Q61" s="304">
        <f t="shared" si="2"/>
        <v>0.5</v>
      </c>
      <c r="R61" s="176">
        <f t="shared" si="3"/>
        <v>0.13710733232017175</v>
      </c>
      <c r="S61" s="814">
        <f t="shared" si="4"/>
        <v>0</v>
      </c>
      <c r="T61" s="175">
        <f t="shared" si="5"/>
        <v>6</v>
      </c>
      <c r="U61" s="250">
        <f t="shared" si="20"/>
        <v>0.13710733232017175</v>
      </c>
      <c r="V61" s="382">
        <f t="shared" si="6"/>
        <v>38.495549474099477</v>
      </c>
      <c r="W61" s="401"/>
      <c r="X61" s="157">
        <f t="shared" si="7"/>
        <v>43877</v>
      </c>
      <c r="Y61" s="384">
        <f t="shared" si="8"/>
        <v>23.891999999999999</v>
      </c>
      <c r="Z61" s="384">
        <f t="shared" si="9"/>
        <v>24.222373586524814</v>
      </c>
      <c r="AA61" s="385">
        <f t="shared" si="10"/>
        <v>25.071071092914167</v>
      </c>
      <c r="AB61" s="196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3.3851665261689548E-2</v>
      </c>
      <c r="AD61" s="230">
        <f>(INDEX(Models!$BJ61:$BT61,,AH61)*(1-AF61)+INDEX(Models!$BJ61:$BT61,,AH61+1)*AF61-ERP_i)*AE61*Ramure*Pc/MaxiM</f>
        <v>1.163652003144634E-4</v>
      </c>
      <c r="AE61" s="304">
        <f t="shared" si="12"/>
        <v>0.5</v>
      </c>
      <c r="AF61" s="176">
        <f t="shared" si="21"/>
        <v>0.13710733232017175</v>
      </c>
      <c r="AG61" s="814">
        <f t="shared" si="22"/>
        <v>0</v>
      </c>
      <c r="AH61" s="175">
        <f t="shared" si="13"/>
        <v>6</v>
      </c>
      <c r="AI61" s="224">
        <f t="shared" si="23"/>
        <v>0.13710733232017175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43878</v>
      </c>
      <c r="B62" s="616">
        <v>5.5570000000000004</v>
      </c>
      <c r="C62" s="389"/>
      <c r="D62" s="392">
        <f t="shared" si="0"/>
        <v>5.6339644337866677</v>
      </c>
      <c r="E62" s="384">
        <f t="shared" si="17"/>
        <v>5.8315989892154114</v>
      </c>
      <c r="F62" s="384">
        <f t="shared" si="1"/>
        <v>5.8315989892154114</v>
      </c>
      <c r="G62" s="110">
        <f t="shared" si="18"/>
        <v>0.14300115413223852</v>
      </c>
      <c r="H62" s="413" t="b">
        <f>Wh_hp&gt;='2019'!Maxi_hp</f>
        <v>0</v>
      </c>
      <c r="I62" s="379">
        <f>IF(H62,Wh_hp,'2019'!Maxi_hp)</f>
        <v>41.977734594143215</v>
      </c>
      <c r="J62" s="85">
        <f>IF(H62,An,'2019'!An_max)</f>
        <v>2019</v>
      </c>
      <c r="K62" s="196">
        <f t="shared" si="19"/>
        <v>43878</v>
      </c>
      <c r="L62" s="147">
        <f>IF(t&lt;Tvie,1-EXP((T0-t)*PertePVj)+'2019'!Pspv,1-EXP((T0-t)*PertePVj)+Pspv)</f>
        <v>1.3660795109943225E-2</v>
      </c>
      <c r="M62" s="847"/>
      <c r="N62" s="847"/>
      <c r="O62" s="48">
        <f>IF(t&lt;Tnet,'2019'!Resal+('2019'!Salim-'2019'!Resal)*(1-EXP(('2019'!Tnet-t)/('2019'!Tau_j))),Resal+(Salim-Resal)*(1-EXP((Tnet-t)/(Tau_j))))*Salcycl</f>
        <v>3.3890285630791203E-2</v>
      </c>
      <c r="P62" s="168">
        <f>(INDEX(Models!$BJ62:$BT62,,T62)*(1-R62)+INDEX(Models!$BJ62:$BT62,,T62+1)*R62-ERP_i)*Q62*Ramure*Pc/MaxiM</f>
        <v>1.163650545160112E-4</v>
      </c>
      <c r="Q62" s="304">
        <f t="shared" si="2"/>
        <v>0.5</v>
      </c>
      <c r="R62" s="176">
        <f t="shared" si="3"/>
        <v>0.13722157600846555</v>
      </c>
      <c r="S62" s="814">
        <f t="shared" si="4"/>
        <v>0</v>
      </c>
      <c r="T62" s="175">
        <f t="shared" si="5"/>
        <v>6</v>
      </c>
      <c r="U62" s="250">
        <f t="shared" si="20"/>
        <v>0.13722157600846555</v>
      </c>
      <c r="V62" s="382">
        <f t="shared" si="6"/>
        <v>38.855304302326736</v>
      </c>
      <c r="W62" s="401"/>
      <c r="X62" s="157">
        <f t="shared" si="7"/>
        <v>43878</v>
      </c>
      <c r="Y62" s="384">
        <f t="shared" si="8"/>
        <v>5.5570000000000004</v>
      </c>
      <c r="Z62" s="384">
        <f t="shared" si="9"/>
        <v>5.6339644337866677</v>
      </c>
      <c r="AA62" s="385">
        <f t="shared" si="10"/>
        <v>5.8315989892154114</v>
      </c>
      <c r="AB62" s="196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3.3890285630791203E-2</v>
      </c>
      <c r="AD62" s="230">
        <f>(INDEX(Models!$BJ62:$BT62,,AH62)*(1-AF62)+INDEX(Models!$BJ62:$BT62,,AH62+1)*AF62-ERP_i)*AE62*Ramure*Pc/MaxiM</f>
        <v>1.163650545160112E-4</v>
      </c>
      <c r="AE62" s="304">
        <f t="shared" si="12"/>
        <v>0.5</v>
      </c>
      <c r="AF62" s="176">
        <f t="shared" si="21"/>
        <v>0.13722157600846555</v>
      </c>
      <c r="AG62" s="814">
        <f t="shared" si="22"/>
        <v>0</v>
      </c>
      <c r="AH62" s="175">
        <f t="shared" si="13"/>
        <v>6</v>
      </c>
      <c r="AI62" s="224">
        <f t="shared" si="23"/>
        <v>0.13722157600846555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43879</v>
      </c>
      <c r="B63" s="616">
        <v>32.107999999999997</v>
      </c>
      <c r="C63" s="389"/>
      <c r="D63" s="392">
        <f t="shared" si="0"/>
        <v>32.553408709517228</v>
      </c>
      <c r="E63" s="384">
        <f t="shared" si="17"/>
        <v>33.696699478133567</v>
      </c>
      <c r="F63" s="384">
        <f t="shared" si="1"/>
        <v>33.699608969412743</v>
      </c>
      <c r="G63" s="110">
        <f t="shared" si="18"/>
        <v>0.81885117695853782</v>
      </c>
      <c r="H63" s="413" t="b">
        <f>Wh_hp&gt;='2019'!Maxi_hp</f>
        <v>0</v>
      </c>
      <c r="I63" s="379">
        <f>IF(H63,Wh_hp,'2019'!Maxi_hp)</f>
        <v>41.235106126634335</v>
      </c>
      <c r="J63" s="85">
        <f>IF(H63,An,'2019'!An_max)</f>
        <v>2019</v>
      </c>
      <c r="K63" s="196">
        <f t="shared" si="19"/>
        <v>43879</v>
      </c>
      <c r="L63" s="147">
        <f>IF(t&lt;Tvie,1-EXP((T0-t)*PertePVj)+'2019'!Pspv,1-EXP((T0-t)*PertePVj)+Pspv)</f>
        <v>1.3682398469903156E-2</v>
      </c>
      <c r="M63" s="847"/>
      <c r="N63" s="847"/>
      <c r="O63" s="48">
        <f>IF(t&lt;Tnet,'2019'!Resal+('2019'!Salim-'2019'!Resal)*(1-EXP(('2019'!Tnet-t)/('2019'!Tau_j))),Resal+(Salim-Resal)*(1-EXP((Tnet-t)/(Tau_j))))*Salcycl</f>
        <v>3.3928865031966703E-2</v>
      </c>
      <c r="P63" s="168">
        <f>(INDEX(Models!$BJ63:$BT63,,T63)*(1-R63)+INDEX(Models!$BJ63:$BT63,,T63+1)*R63-ERP_i)*Q63*Ramure*Pc/MaxiM</f>
        <v>1.1647340551743684E-4</v>
      </c>
      <c r="Q63" s="304">
        <f t="shared" si="2"/>
        <v>0.5</v>
      </c>
      <c r="R63" s="176">
        <f t="shared" si="3"/>
        <v>0.13734051923011451</v>
      </c>
      <c r="S63" s="814">
        <f t="shared" si="4"/>
        <v>0</v>
      </c>
      <c r="T63" s="175">
        <f t="shared" si="5"/>
        <v>6</v>
      </c>
      <c r="U63" s="250">
        <f t="shared" si="20"/>
        <v>0.13734051923011451</v>
      </c>
      <c r="V63" s="382">
        <f t="shared" si="6"/>
        <v>39.209850544076822</v>
      </c>
      <c r="W63" s="401"/>
      <c r="X63" s="157">
        <f t="shared" si="7"/>
        <v>43879</v>
      </c>
      <c r="Y63" s="384">
        <f t="shared" si="8"/>
        <v>32.107999999999997</v>
      </c>
      <c r="Z63" s="384">
        <f t="shared" si="9"/>
        <v>32.553408709517228</v>
      </c>
      <c r="AA63" s="385">
        <f t="shared" si="10"/>
        <v>33.696699478133567</v>
      </c>
      <c r="AB63" s="196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3.3928865031966703E-2</v>
      </c>
      <c r="AD63" s="230">
        <f>(INDEX(Models!$BJ63:$BT63,,AH63)*(1-AF63)+INDEX(Models!$BJ63:$BT63,,AH63+1)*AF63-ERP_i)*AE63*Ramure*Pc/MaxiM</f>
        <v>1.1647340551743684E-4</v>
      </c>
      <c r="AE63" s="304">
        <f t="shared" si="12"/>
        <v>0.5</v>
      </c>
      <c r="AF63" s="176">
        <f t="shared" si="21"/>
        <v>0.13734051923011451</v>
      </c>
      <c r="AG63" s="814">
        <f t="shared" si="22"/>
        <v>0</v>
      </c>
      <c r="AH63" s="175">
        <f t="shared" si="13"/>
        <v>6</v>
      </c>
      <c r="AI63" s="224">
        <f t="shared" si="23"/>
        <v>0.13734051923011451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43880</v>
      </c>
      <c r="B64" s="616">
        <v>30.300999999999998</v>
      </c>
      <c r="C64" s="389"/>
      <c r="D64" s="392">
        <f t="shared" si="0"/>
        <v>30.722014528782811</v>
      </c>
      <c r="E64" s="384">
        <f t="shared" si="17"/>
        <v>31.802254451977817</v>
      </c>
      <c r="F64" s="384">
        <f t="shared" si="1"/>
        <v>31.80472505459576</v>
      </c>
      <c r="G64" s="110">
        <f t="shared" si="18"/>
        <v>0.76595625677472923</v>
      </c>
      <c r="H64" s="413" t="b">
        <f>Wh_hp&gt;='2019'!Maxi_hp</f>
        <v>1</v>
      </c>
      <c r="I64" s="379">
        <f>IF(H64,Wh_hp,'2019'!Maxi_hp)</f>
        <v>31.80472505459576</v>
      </c>
      <c r="J64" s="85">
        <f>IF(H64,An,'2019'!An_max)</f>
        <v>2020</v>
      </c>
      <c r="K64" s="196">
        <f t="shared" si="19"/>
        <v>43880</v>
      </c>
      <c r="L64" s="147">
        <f>IF(t&lt;Tvie,1-EXP((T0-t)*PertePVj)+'2019'!Pspv,1-EXP((T0-t)*PertePVj)+Pspv)</f>
        <v>1.3704001356694029E-2</v>
      </c>
      <c r="M64" s="847"/>
      <c r="N64" s="847"/>
      <c r="O64" s="48">
        <f>IF(t&lt;Tnet,'2019'!Resal+('2019'!Salim-'2019'!Resal)*(1-EXP(('2019'!Tnet-t)/('2019'!Tau_j))),Resal+(Salim-Resal)*(1-EXP((Tnet-t)/(Tau_j))))*Salcycl</f>
        <v>3.3967400796260934E-2</v>
      </c>
      <c r="P64" s="168">
        <f>(INDEX(Models!$BJ64:$BT64,,T64)*(1-R64)+INDEX(Models!$BJ64:$BT64,,T64+1)*R64-ERP_i)*Q64*Ramure*Pc/MaxiM</f>
        <v>1.1669071255397291E-4</v>
      </c>
      <c r="Q64" s="304">
        <f t="shared" si="2"/>
        <v>0.5</v>
      </c>
      <c r="R64" s="176">
        <f t="shared" si="3"/>
        <v>0.13746435127579987</v>
      </c>
      <c r="S64" s="814">
        <f t="shared" si="4"/>
        <v>0</v>
      </c>
      <c r="T64" s="175">
        <f t="shared" si="5"/>
        <v>6</v>
      </c>
      <c r="U64" s="250">
        <f t="shared" si="20"/>
        <v>0.13746435127579987</v>
      </c>
      <c r="V64" s="382">
        <f t="shared" si="6"/>
        <v>39.558156993434153</v>
      </c>
      <c r="W64" s="401"/>
      <c r="X64" s="157">
        <f t="shared" si="7"/>
        <v>43880</v>
      </c>
      <c r="Y64" s="384">
        <f t="shared" si="8"/>
        <v>30.300999999999998</v>
      </c>
      <c r="Z64" s="384">
        <f t="shared" si="9"/>
        <v>30.722014528782811</v>
      </c>
      <c r="AA64" s="385">
        <f t="shared" si="10"/>
        <v>31.802254451977817</v>
      </c>
      <c r="AB64" s="196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3.3967400796260934E-2</v>
      </c>
      <c r="AD64" s="230">
        <f>(INDEX(Models!$BJ64:$BT64,,AH64)*(1-AF64)+INDEX(Models!$BJ64:$BT64,,AH64+1)*AF64-ERP_i)*AE64*Ramure*Pc/MaxiM</f>
        <v>1.1669071255397291E-4</v>
      </c>
      <c r="AE64" s="304">
        <f t="shared" si="12"/>
        <v>0.5</v>
      </c>
      <c r="AF64" s="176">
        <f t="shared" si="21"/>
        <v>0.13746435127579987</v>
      </c>
      <c r="AG64" s="814">
        <f t="shared" si="22"/>
        <v>0</v>
      </c>
      <c r="AH64" s="175">
        <f t="shared" si="13"/>
        <v>6</v>
      </c>
      <c r="AI64" s="224">
        <f t="shared" si="23"/>
        <v>0.13746435127579987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43881</v>
      </c>
      <c r="B65" s="616">
        <v>39.890999999999998</v>
      </c>
      <c r="C65" s="389"/>
      <c r="D65" s="392">
        <f t="shared" si="0"/>
        <v>40.446147798721299</v>
      </c>
      <c r="E65" s="384">
        <f t="shared" si="17"/>
        <v>41.869973538614197</v>
      </c>
      <c r="F65" s="384">
        <f t="shared" si="1"/>
        <v>41.874871627810187</v>
      </c>
      <c r="G65" s="110">
        <f t="shared" si="18"/>
        <v>0.9997467732250177</v>
      </c>
      <c r="H65" s="413" t="b">
        <f>Wh_hp&gt;='2019'!Maxi_hp</f>
        <v>1</v>
      </c>
      <c r="I65" s="379">
        <f>IF(H65,Wh_hp,'2019'!Maxi_hp)</f>
        <v>41.874871627810187</v>
      </c>
      <c r="J65" s="85">
        <f>IF(H65,An,'2019'!An_max)</f>
        <v>2020</v>
      </c>
      <c r="K65" s="196">
        <f t="shared" si="19"/>
        <v>43881</v>
      </c>
      <c r="L65" s="147">
        <f>IF(t&lt;Tvie,1-EXP((T0-t)*PertePVj)+'2019'!Pspv,1-EXP((T0-t)*PertePVj)+Pspv)</f>
        <v>1.3725603770326278E-2</v>
      </c>
      <c r="M65" s="847"/>
      <c r="N65" s="847"/>
      <c r="O65" s="48">
        <f>IF(t&lt;Tnet,'2019'!Resal+('2019'!Salim-'2019'!Resal)*(1-EXP(('2019'!Tnet-t)/('2019'!Tau_j))),Resal+(Salim-Resal)*(1-EXP((Tnet-t)/(Tau_j))))*Salcycl</f>
        <v>3.4005890607496682E-2</v>
      </c>
      <c r="P65" s="168">
        <f>(INDEX(Models!$BJ65:$BT65,,T65)*(1-R65)+INDEX(Models!$BJ65:$BT65,,T65+1)*R65-ERP_i)*Q65*Ramure*Pc/MaxiM</f>
        <v>1.1701197512043689E-4</v>
      </c>
      <c r="Q65" s="304">
        <f t="shared" si="2"/>
        <v>0.5</v>
      </c>
      <c r="R65" s="176">
        <f t="shared" si="3"/>
        <v>0.13759326871934605</v>
      </c>
      <c r="S65" s="814">
        <f t="shared" si="4"/>
        <v>0</v>
      </c>
      <c r="T65" s="175">
        <f t="shared" si="5"/>
        <v>6</v>
      </c>
      <c r="U65" s="250">
        <f t="shared" si="20"/>
        <v>0.13759326871934605</v>
      </c>
      <c r="V65" s="382">
        <f t="shared" si="6"/>
        <v>39.901102338986959</v>
      </c>
      <c r="W65" s="401"/>
      <c r="X65" s="157">
        <f t="shared" si="7"/>
        <v>43881</v>
      </c>
      <c r="Y65" s="384">
        <f t="shared" si="8"/>
        <v>39.890999999999991</v>
      </c>
      <c r="Z65" s="384">
        <f t="shared" si="9"/>
        <v>40.446147798721292</v>
      </c>
      <c r="AA65" s="385">
        <f t="shared" si="10"/>
        <v>41.86997353861419</v>
      </c>
      <c r="AB65" s="196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3.4005890607496682E-2</v>
      </c>
      <c r="AD65" s="230">
        <f>(INDEX(Models!$BJ65:$BT65,,AH65)*(1-AF65)+INDEX(Models!$BJ65:$BT65,,AH65+1)*AF65-ERP_i)*AE65*Ramure*Pc/MaxiM</f>
        <v>1.1701197512043689E-4</v>
      </c>
      <c r="AE65" s="304">
        <f t="shared" si="12"/>
        <v>0.5</v>
      </c>
      <c r="AF65" s="176">
        <f t="shared" si="21"/>
        <v>0.13759326871934605</v>
      </c>
      <c r="AG65" s="814">
        <f t="shared" si="22"/>
        <v>0</v>
      </c>
      <c r="AH65" s="175">
        <f t="shared" si="13"/>
        <v>6</v>
      </c>
      <c r="AI65" s="224">
        <f t="shared" si="23"/>
        <v>0.13759326871934605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43882</v>
      </c>
      <c r="B66" s="616">
        <v>15.98</v>
      </c>
      <c r="C66" s="389"/>
      <c r="D66" s="392">
        <f t="shared" si="0"/>
        <v>16.202742433309986</v>
      </c>
      <c r="E66" s="384">
        <f t="shared" si="17"/>
        <v>16.773795091547843</v>
      </c>
      <c r="F66" s="384">
        <f t="shared" si="1"/>
        <v>16.774068123523108</v>
      </c>
      <c r="G66" s="110">
        <f t="shared" si="18"/>
        <v>0.39707259092737857</v>
      </c>
      <c r="H66" s="413" t="b">
        <f>Wh_hp&gt;='2019'!Maxi_hp</f>
        <v>0</v>
      </c>
      <c r="I66" s="379">
        <f>IF(H66,Wh_hp,'2019'!Maxi_hp)</f>
        <v>39.365531433595841</v>
      </c>
      <c r="J66" s="85">
        <f>IF(H66,An,'2019'!An_max)</f>
        <v>2019</v>
      </c>
      <c r="K66" s="196">
        <f t="shared" si="19"/>
        <v>43882</v>
      </c>
      <c r="L66" s="147">
        <f>IF(t&lt;Tvie,1-EXP((T0-t)*PertePVj)+'2019'!Pspv,1-EXP((T0-t)*PertePVj)+Pspv)</f>
        <v>1.3747205710810229E-2</v>
      </c>
      <c r="M66" s="847"/>
      <c r="N66" s="847"/>
      <c r="O66" s="48">
        <f>IF(t&lt;Tnet,'2019'!Resal+('2019'!Salim-'2019'!Resal)*(1-EXP(('2019'!Tnet-t)/('2019'!Tau_j))),Resal+(Salim-Resal)*(1-EXP((Tnet-t)/(Tau_j))))*Salcycl</f>
        <v>3.4044332550932685E-2</v>
      </c>
      <c r="P66" s="168">
        <f>(INDEX(Models!$BJ66:$BT66,,T66)*(1-R66)+INDEX(Models!$BJ66:$BT66,,T66+1)*R66-ERP_i)*Q66*Ramure*Pc/MaxiM</f>
        <v>1.173267475334433E-4</v>
      </c>
      <c r="Q66" s="304">
        <f t="shared" si="2"/>
        <v>0.5</v>
      </c>
      <c r="R66" s="176">
        <f t="shared" si="3"/>
        <v>0.13772747566891802</v>
      </c>
      <c r="S66" s="814">
        <f t="shared" si="4"/>
        <v>0</v>
      </c>
      <c r="T66" s="175">
        <f t="shared" si="5"/>
        <v>6</v>
      </c>
      <c r="U66" s="250">
        <f t="shared" si="20"/>
        <v>0.13772747566891802</v>
      </c>
      <c r="V66" s="382">
        <f t="shared" si="6"/>
        <v>40.24046374462251</v>
      </c>
      <c r="W66" s="401"/>
      <c r="X66" s="157">
        <f t="shared" si="7"/>
        <v>43882</v>
      </c>
      <c r="Y66" s="384">
        <f t="shared" si="8"/>
        <v>15.98</v>
      </c>
      <c r="Z66" s="384">
        <f t="shared" si="9"/>
        <v>16.202742433309986</v>
      </c>
      <c r="AA66" s="385">
        <f t="shared" si="10"/>
        <v>16.773795091547843</v>
      </c>
      <c r="AB66" s="196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3.4044332550932685E-2</v>
      </c>
      <c r="AD66" s="230">
        <f>(INDEX(Models!$BJ66:$BT66,,AH66)*(1-AF66)+INDEX(Models!$BJ66:$BT66,,AH66+1)*AF66-ERP_i)*AE66*Ramure*Pc/MaxiM</f>
        <v>1.173267475334433E-4</v>
      </c>
      <c r="AE66" s="304">
        <f t="shared" si="12"/>
        <v>0.5</v>
      </c>
      <c r="AF66" s="176">
        <f t="shared" si="21"/>
        <v>0.13772747566891802</v>
      </c>
      <c r="AG66" s="814">
        <f t="shared" si="22"/>
        <v>0</v>
      </c>
      <c r="AH66" s="175">
        <f t="shared" si="13"/>
        <v>6</v>
      </c>
      <c r="AI66" s="224">
        <f t="shared" si="23"/>
        <v>0.13772747566891802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43883</v>
      </c>
      <c r="B67" s="616">
        <v>38.923999999999999</v>
      </c>
      <c r="C67" s="389"/>
      <c r="D67" s="392">
        <f t="shared" si="0"/>
        <v>39.467419285967935</v>
      </c>
      <c r="E67" s="384">
        <f t="shared" si="17"/>
        <v>40.860040827494259</v>
      </c>
      <c r="F67" s="384">
        <f t="shared" si="1"/>
        <v>40.864561185039193</v>
      </c>
      <c r="G67" s="110">
        <f t="shared" si="18"/>
        <v>0.95926650529228552</v>
      </c>
      <c r="H67" s="413" t="b">
        <f>Wh_hp&gt;='2019'!Maxi_hp</f>
        <v>1</v>
      </c>
      <c r="I67" s="379">
        <f>IF(H67,Wh_hp,'2019'!Maxi_hp)</f>
        <v>40.864561185039193</v>
      </c>
      <c r="J67" s="85">
        <f>IF(H67,An,'2019'!An_max)</f>
        <v>2020</v>
      </c>
      <c r="K67" s="196">
        <f t="shared" si="19"/>
        <v>43883</v>
      </c>
      <c r="L67" s="147">
        <f>IF(t&lt;Tvie,1-EXP((T0-t)*PertePVj)+'2019'!Pspv,1-EXP((T0-t)*PertePVj)+Pspv)</f>
        <v>1.3768807178156206E-2</v>
      </c>
      <c r="M67" s="847"/>
      <c r="N67" s="847"/>
      <c r="O67" s="48">
        <f>IF(t&lt;Tnet,'2019'!Resal+('2019'!Salim-'2019'!Resal)*(1-EXP(('2019'!Tnet-t)/('2019'!Tau_j))),Resal+(Salim-Resal)*(1-EXP((Tnet-t)/(Tau_j))))*Salcycl</f>
        <v>3.4082725159423934E-2</v>
      </c>
      <c r="P67" s="168">
        <f>(INDEX(Models!$BJ67:$BT67,,T67)*(1-R67)+INDEX(Models!$BJ67:$BT67,,T67+1)*R67-ERP_i)*Q67*Ramure*Pc/MaxiM</f>
        <v>1.1745152429564299E-4</v>
      </c>
      <c r="Q67" s="304">
        <f t="shared" si="2"/>
        <v>0.5</v>
      </c>
      <c r="R67" s="176">
        <f t="shared" si="3"/>
        <v>0.1378671840243596</v>
      </c>
      <c r="S67" s="814">
        <f t="shared" si="4"/>
        <v>0</v>
      </c>
      <c r="T67" s="175">
        <f t="shared" si="5"/>
        <v>6</v>
      </c>
      <c r="U67" s="250">
        <f t="shared" si="20"/>
        <v>0.1378671840243596</v>
      </c>
      <c r="V67" s="382">
        <f t="shared" si="6"/>
        <v>40.576559036696466</v>
      </c>
      <c r="W67" s="401"/>
      <c r="X67" s="157">
        <f t="shared" si="7"/>
        <v>43883</v>
      </c>
      <c r="Y67" s="384">
        <f t="shared" si="8"/>
        <v>38.923999999999999</v>
      </c>
      <c r="Z67" s="384">
        <f t="shared" si="9"/>
        <v>39.467419285967935</v>
      </c>
      <c r="AA67" s="385">
        <f t="shared" si="10"/>
        <v>40.860040827494259</v>
      </c>
      <c r="AB67" s="196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3.4082725159423934E-2</v>
      </c>
      <c r="AD67" s="230">
        <f>(INDEX(Models!$BJ67:$BT67,,AH67)*(1-AF67)+INDEX(Models!$BJ67:$BT67,,AH67+1)*AF67-ERP_i)*AE67*Ramure*Pc/MaxiM</f>
        <v>1.1745152429564299E-4</v>
      </c>
      <c r="AE67" s="304">
        <f t="shared" si="12"/>
        <v>0.5</v>
      </c>
      <c r="AF67" s="176">
        <f t="shared" si="21"/>
        <v>0.1378671840243596</v>
      </c>
      <c r="AG67" s="814">
        <f t="shared" si="22"/>
        <v>0</v>
      </c>
      <c r="AH67" s="175">
        <f t="shared" si="13"/>
        <v>6</v>
      </c>
      <c r="AI67" s="224">
        <f t="shared" si="23"/>
        <v>0.1378671840243596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43884</v>
      </c>
      <c r="B68" s="616">
        <v>39.718000000000004</v>
      </c>
      <c r="C68" s="389"/>
      <c r="D68" s="392">
        <f t="shared" si="0"/>
        <v>40.273386437456303</v>
      </c>
      <c r="E68" s="384">
        <f t="shared" si="17"/>
        <v>41.696101944587575</v>
      </c>
      <c r="F68" s="384">
        <f t="shared" si="1"/>
        <v>41.700793464247006</v>
      </c>
      <c r="G68" s="110">
        <f t="shared" si="18"/>
        <v>0.9708652802630755</v>
      </c>
      <c r="H68" s="413" t="b">
        <f>Wh_hp&gt;='2019'!Maxi_hp</f>
        <v>1</v>
      </c>
      <c r="I68" s="379">
        <f>IF(H68,Wh_hp,'2019'!Maxi_hp)</f>
        <v>41.700793464247006</v>
      </c>
      <c r="J68" s="85">
        <f>IF(H68,An,'2019'!An_max)</f>
        <v>2020</v>
      </c>
      <c r="K68" s="196">
        <f t="shared" si="19"/>
        <v>43884</v>
      </c>
      <c r="L68" s="147">
        <f>IF(t&lt;Tvie,1-EXP((T0-t)*PertePVj)+'2019'!Pspv,1-EXP((T0-t)*PertePVj)+Pspv)</f>
        <v>1.3790408172374646E-2</v>
      </c>
      <c r="M68" s="847"/>
      <c r="N68" s="847"/>
      <c r="O68" s="48">
        <f>IF(t&lt;Tnet,'2019'!Resal+('2019'!Salim-'2019'!Resal)*(1-EXP(('2019'!Tnet-t)/('2019'!Tau_j))),Resal+(Salim-Resal)*(1-EXP((Tnet-t)/(Tau_j))))*Salcycl</f>
        <v>3.4121067456665446E-2</v>
      </c>
      <c r="P68" s="168">
        <f>(INDEX(Models!$BJ68:$BT68,,T68)*(1-R68)+INDEX(Models!$BJ68:$BT68,,T68+1)*R68-ERP_i)*Q68*Ramure*Pc/MaxiM</f>
        <v>1.1738939792267774E-4</v>
      </c>
      <c r="Q68" s="304">
        <f t="shared" si="2"/>
        <v>0.5</v>
      </c>
      <c r="R68" s="176">
        <f t="shared" si="3"/>
        <v>0.13801261374058632</v>
      </c>
      <c r="S68" s="814">
        <f t="shared" si="4"/>
        <v>0</v>
      </c>
      <c r="T68" s="175">
        <f t="shared" si="5"/>
        <v>6</v>
      </c>
      <c r="U68" s="250">
        <f t="shared" si="20"/>
        <v>0.13801261374058632</v>
      </c>
      <c r="V68" s="382">
        <f t="shared" si="6"/>
        <v>40.909698554795476</v>
      </c>
      <c r="W68" s="401"/>
      <c r="X68" s="157">
        <f t="shared" si="7"/>
        <v>43884</v>
      </c>
      <c r="Y68" s="384">
        <f t="shared" si="8"/>
        <v>39.718000000000004</v>
      </c>
      <c r="Z68" s="384">
        <f t="shared" si="9"/>
        <v>40.273386437456303</v>
      </c>
      <c r="AA68" s="385">
        <f t="shared" si="10"/>
        <v>41.696101944587575</v>
      </c>
      <c r="AB68" s="196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3.4121067456665446E-2</v>
      </c>
      <c r="AD68" s="230">
        <f>(INDEX(Models!$BJ68:$BT68,,AH68)*(1-AF68)+INDEX(Models!$BJ68:$BT68,,AH68+1)*AF68-ERP_i)*AE68*Ramure*Pc/MaxiM</f>
        <v>1.1738939792267774E-4</v>
      </c>
      <c r="AE68" s="304">
        <f t="shared" si="12"/>
        <v>0.5</v>
      </c>
      <c r="AF68" s="176">
        <f t="shared" si="21"/>
        <v>0.13801261374058632</v>
      </c>
      <c r="AG68" s="814">
        <f t="shared" si="22"/>
        <v>0</v>
      </c>
      <c r="AH68" s="175">
        <f t="shared" si="13"/>
        <v>6</v>
      </c>
      <c r="AI68" s="224">
        <f t="shared" si="23"/>
        <v>0.13801261374058632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43885</v>
      </c>
      <c r="B69" s="616">
        <v>39.731999999999999</v>
      </c>
      <c r="C69" s="389"/>
      <c r="D69" s="392">
        <f t="shared" si="0"/>
        <v>40.28846462362835</v>
      </c>
      <c r="E69" s="384">
        <f t="shared" si="17"/>
        <v>41.713366484346359</v>
      </c>
      <c r="F69" s="384">
        <f t="shared" si="1"/>
        <v>41.717998173912889</v>
      </c>
      <c r="G69" s="110">
        <f t="shared" si="18"/>
        <v>0.96342316527918359</v>
      </c>
      <c r="H69" s="413" t="b">
        <f>Wh_hp&gt;='2019'!Maxi_hp</f>
        <v>1</v>
      </c>
      <c r="I69" s="379">
        <f>IF(H69,Wh_hp,'2019'!Maxi_hp)</f>
        <v>41.717998173912889</v>
      </c>
      <c r="J69" s="85">
        <f>IF(H69,An,'2019'!An_max)</f>
        <v>2020</v>
      </c>
      <c r="K69" s="196">
        <f t="shared" si="19"/>
        <v>43885</v>
      </c>
      <c r="L69" s="147">
        <f>IF(t&lt;Tvie,1-EXP((T0-t)*PertePVj)+'2019'!Pspv,1-EXP((T0-t)*PertePVj)+Pspv)</f>
        <v>1.3812008693475875E-2</v>
      </c>
      <c r="M69" s="847"/>
      <c r="N69" s="847"/>
      <c r="O69" s="48">
        <f>IF(t&lt;Tnet,'2019'!Resal+('2019'!Salim-'2019'!Resal)*(1-EXP(('2019'!Tnet-t)/('2019'!Tau_j))),Resal+(Salim-Resal)*(1-EXP((Tnet-t)/(Tau_j))))*Salcycl</f>
        <v>3.4159358997139011E-2</v>
      </c>
      <c r="P69" s="168">
        <f>(INDEX(Models!$BJ69:$BT69,,T69)*(1-R69)+INDEX(Models!$BJ69:$BT69,,T69+1)*R69-ERP_i)*Q69*Ramure*Pc/MaxiM</f>
        <v>1.1714386005875365E-4</v>
      </c>
      <c r="Q69" s="304">
        <f t="shared" si="2"/>
        <v>0.5</v>
      </c>
      <c r="R69" s="176">
        <f t="shared" si="3"/>
        <v>0.13816399309691729</v>
      </c>
      <c r="S69" s="814">
        <f t="shared" si="4"/>
        <v>0</v>
      </c>
      <c r="T69" s="175">
        <f t="shared" si="5"/>
        <v>6</v>
      </c>
      <c r="U69" s="250">
        <f t="shared" si="20"/>
        <v>0.13816399309691729</v>
      </c>
      <c r="V69" s="382">
        <f t="shared" si="6"/>
        <v>41.24019251519077</v>
      </c>
      <c r="W69" s="401"/>
      <c r="X69" s="157">
        <f t="shared" si="7"/>
        <v>43885</v>
      </c>
      <c r="Y69" s="384">
        <f t="shared" si="8"/>
        <v>39.731999999999999</v>
      </c>
      <c r="Z69" s="384">
        <f t="shared" si="9"/>
        <v>40.28846462362835</v>
      </c>
      <c r="AA69" s="385">
        <f t="shared" si="10"/>
        <v>41.713366484346359</v>
      </c>
      <c r="AB69" s="196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3.4159358997139011E-2</v>
      </c>
      <c r="AD69" s="230">
        <f>(INDEX(Models!$BJ69:$BT69,,AH69)*(1-AF69)+INDEX(Models!$BJ69:$BT69,,AH69+1)*AF69-ERP_i)*AE69*Ramure*Pc/MaxiM</f>
        <v>1.1714386005875365E-4</v>
      </c>
      <c r="AE69" s="304">
        <f t="shared" si="12"/>
        <v>0.5</v>
      </c>
      <c r="AF69" s="176">
        <f t="shared" si="21"/>
        <v>0.13816399309691729</v>
      </c>
      <c r="AG69" s="814">
        <f t="shared" si="22"/>
        <v>0</v>
      </c>
      <c r="AH69" s="175">
        <f t="shared" si="13"/>
        <v>6</v>
      </c>
      <c r="AI69" s="224">
        <f t="shared" si="23"/>
        <v>0.13816399309691729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43886</v>
      </c>
      <c r="B70" s="616">
        <v>19.472000000000001</v>
      </c>
      <c r="C70" s="389"/>
      <c r="D70" s="392">
        <f t="shared" si="0"/>
        <v>19.745146633064778</v>
      </c>
      <c r="E70" s="384">
        <f t="shared" si="17"/>
        <v>20.444292363603484</v>
      </c>
      <c r="F70" s="384">
        <f t="shared" si="1"/>
        <v>20.444866550090001</v>
      </c>
      <c r="G70" s="110">
        <f t="shared" si="18"/>
        <v>0.46839178347854032</v>
      </c>
      <c r="H70" s="413" t="b">
        <f>Wh_hp&gt;='2019'!Maxi_hp</f>
        <v>0</v>
      </c>
      <c r="I70" s="379">
        <f>IF(H70,Wh_hp,'2019'!Maxi_hp)</f>
        <v>42.62355723611401</v>
      </c>
      <c r="J70" s="85">
        <f>IF(H70,An,'2019'!An_max)</f>
        <v>2019</v>
      </c>
      <c r="K70" s="196">
        <f t="shared" si="19"/>
        <v>43886</v>
      </c>
      <c r="L70" s="147">
        <f>IF(t&lt;Tvie,1-EXP((T0-t)*PertePVj)+'2019'!Pspv,1-EXP((T0-t)*PertePVj)+Pspv)</f>
        <v>1.3833608741470216E-2</v>
      </c>
      <c r="M70" s="847"/>
      <c r="N70" s="847"/>
      <c r="O70" s="48">
        <f>IF(t&lt;Tnet,'2019'!Resal+('2019'!Salim-'2019'!Resal)*(1-EXP(('2019'!Tnet-t)/('2019'!Tau_j))),Resal+(Salim-Resal)*(1-EXP((Tnet-t)/(Tau_j))))*Salcycl</f>
        <v>3.4197599902424693E-2</v>
      </c>
      <c r="P70" s="168">
        <f>(INDEX(Models!$BJ70:$BT70,,T70)*(1-R70)+INDEX(Models!$BJ70:$BT70,,T70+1)*R70-ERP_i)*Q70*Ramure*Pc/MaxiM</f>
        <v>1.1671824807516018E-4</v>
      </c>
      <c r="Q70" s="304">
        <f t="shared" si="2"/>
        <v>0.5</v>
      </c>
      <c r="R70" s="176">
        <f t="shared" si="3"/>
        <v>0.13832155897219892</v>
      </c>
      <c r="S70" s="814">
        <f t="shared" si="4"/>
        <v>0</v>
      </c>
      <c r="T70" s="175">
        <f t="shared" si="5"/>
        <v>6</v>
      </c>
      <c r="U70" s="250">
        <f t="shared" si="20"/>
        <v>0.13832155897219892</v>
      </c>
      <c r="V70" s="382">
        <f t="shared" si="6"/>
        <v>41.568351035312922</v>
      </c>
      <c r="W70" s="401"/>
      <c r="X70" s="157">
        <f t="shared" si="7"/>
        <v>43886</v>
      </c>
      <c r="Y70" s="384">
        <f t="shared" si="8"/>
        <v>19.472000000000001</v>
      </c>
      <c r="Z70" s="384">
        <f t="shared" si="9"/>
        <v>19.745146633064778</v>
      </c>
      <c r="AA70" s="385">
        <f t="shared" si="10"/>
        <v>20.444292363603484</v>
      </c>
      <c r="AB70" s="196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3.4197599902424693E-2</v>
      </c>
      <c r="AD70" s="230">
        <f>(INDEX(Models!$BJ70:$BT70,,AH70)*(1-AF70)+INDEX(Models!$BJ70:$BT70,,AH70+1)*AF70-ERP_i)*AE70*Ramure*Pc/MaxiM</f>
        <v>1.1671824807516018E-4</v>
      </c>
      <c r="AE70" s="304">
        <f t="shared" si="12"/>
        <v>0.5</v>
      </c>
      <c r="AF70" s="176">
        <f t="shared" si="21"/>
        <v>0.13832155897219892</v>
      </c>
      <c r="AG70" s="814">
        <f t="shared" si="22"/>
        <v>0</v>
      </c>
      <c r="AH70" s="175">
        <f t="shared" si="13"/>
        <v>6</v>
      </c>
      <c r="AI70" s="224">
        <f t="shared" si="23"/>
        <v>0.13832155897219892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43887</v>
      </c>
      <c r="B71" s="616">
        <v>17.879000000000001</v>
      </c>
      <c r="C71" s="389"/>
      <c r="D71" s="392">
        <f t="shared" si="0"/>
        <v>18.130197665472046</v>
      </c>
      <c r="E71" s="384">
        <f t="shared" si="17"/>
        <v>18.772902841623413</v>
      </c>
      <c r="F71" s="384">
        <f t="shared" si="1"/>
        <v>18.773297594178455</v>
      </c>
      <c r="G71" s="110">
        <f t="shared" si="18"/>
        <v>0.42672204352410742</v>
      </c>
      <c r="H71" s="413" t="b">
        <f>Wh_hp&gt;='2019'!Maxi_hp</f>
        <v>0</v>
      </c>
      <c r="I71" s="379">
        <f>IF(H71,Wh_hp,'2019'!Maxi_hp)</f>
        <v>39.634820926127432</v>
      </c>
      <c r="J71" s="85">
        <f>IF(H71,An,'2019'!An_max)</f>
        <v>2019</v>
      </c>
      <c r="K71" s="196">
        <f t="shared" si="19"/>
        <v>43887</v>
      </c>
      <c r="L71" s="147">
        <f>IF(t&lt;Tvie,1-EXP((T0-t)*PertePVj)+'2019'!Pspv,1-EXP((T0-t)*PertePVj)+Pspv)</f>
        <v>1.3855208316368106E-2</v>
      </c>
      <c r="M71" s="847"/>
      <c r="N71" s="847"/>
      <c r="O71" s="48">
        <f>IF(t&lt;Tnet,'2019'!Resal+('2019'!Salim-'2019'!Resal)*(1-EXP(('2019'!Tnet-t)/('2019'!Tau_j))),Resal+(Salim-Resal)*(1-EXP((Tnet-t)/(Tau_j))))*Salcycl</f>
        <v>3.4235790893582856E-2</v>
      </c>
      <c r="P71" s="168">
        <f>(INDEX(Models!$BJ71:$BT71,,T71)*(1-R71)+INDEX(Models!$BJ71:$BT71,,T71+1)*R71-ERP_i)*Q71*Ramure*Pc/MaxiM</f>
        <v>1.1611576895498367E-4</v>
      </c>
      <c r="Q71" s="304">
        <f t="shared" si="2"/>
        <v>0.5</v>
      </c>
      <c r="R71" s="176">
        <f t="shared" si="3"/>
        <v>0.13848555712553809</v>
      </c>
      <c r="S71" s="814">
        <f t="shared" si="4"/>
        <v>0</v>
      </c>
      <c r="T71" s="175">
        <f t="shared" si="5"/>
        <v>6</v>
      </c>
      <c r="U71" s="250">
        <f t="shared" si="20"/>
        <v>0.13848555712553809</v>
      </c>
      <c r="V71" s="382">
        <f t="shared" si="6"/>
        <v>41.894484125147457</v>
      </c>
      <c r="W71" s="401"/>
      <c r="X71" s="157">
        <f t="shared" si="7"/>
        <v>43887</v>
      </c>
      <c r="Y71" s="384">
        <f t="shared" si="8"/>
        <v>17.879000000000001</v>
      </c>
      <c r="Z71" s="384">
        <f t="shared" si="9"/>
        <v>18.130197665472046</v>
      </c>
      <c r="AA71" s="385">
        <f t="shared" si="10"/>
        <v>18.772902841623413</v>
      </c>
      <c r="AB71" s="196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3.4235790893582856E-2</v>
      </c>
      <c r="AD71" s="230">
        <f>(INDEX(Models!$BJ71:$BT71,,AH71)*(1-AF71)+INDEX(Models!$BJ71:$BT71,,AH71+1)*AF71-ERP_i)*AE71*Ramure*Pc/MaxiM</f>
        <v>1.1611576895498367E-4</v>
      </c>
      <c r="AE71" s="304">
        <f t="shared" si="12"/>
        <v>0.5</v>
      </c>
      <c r="AF71" s="176">
        <f t="shared" si="21"/>
        <v>0.13848555712553809</v>
      </c>
      <c r="AG71" s="814">
        <f t="shared" si="22"/>
        <v>0</v>
      </c>
      <c r="AH71" s="175">
        <f t="shared" si="13"/>
        <v>6</v>
      </c>
      <c r="AI71" s="224">
        <f t="shared" si="23"/>
        <v>0.13848555712553809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43888</v>
      </c>
      <c r="B72" s="616">
        <v>8.5050000000000008</v>
      </c>
      <c r="C72" s="389"/>
      <c r="D72" s="392">
        <f t="shared" si="0"/>
        <v>8.6246830659490126</v>
      </c>
      <c r="E72" s="384">
        <f t="shared" si="17"/>
        <v>8.9307758830549737</v>
      </c>
      <c r="F72" s="384">
        <f t="shared" si="1"/>
        <v>8.9307758830549737</v>
      </c>
      <c r="G72" s="110">
        <f t="shared" si="18"/>
        <v>0.20142681825051786</v>
      </c>
      <c r="H72" s="413" t="b">
        <f>Wh_hp&gt;='2019'!Maxi_hp</f>
        <v>0</v>
      </c>
      <c r="I72" s="379">
        <f>IF(H72,Wh_hp,'2019'!Maxi_hp)</f>
        <v>43.393091127418728</v>
      </c>
      <c r="J72" s="85">
        <f>IF(H72,An,'2019'!An_max)</f>
        <v>2019</v>
      </c>
      <c r="K72" s="196">
        <f t="shared" si="19"/>
        <v>43888</v>
      </c>
      <c r="L72" s="147">
        <f>IF(t&lt;Tvie,1-EXP((T0-t)*PertePVj)+'2019'!Pspv,1-EXP((T0-t)*PertePVj)+Pspv)</f>
        <v>1.3876807418179871E-2</v>
      </c>
      <c r="M72" s="847"/>
      <c r="N72" s="847"/>
      <c r="O72" s="48">
        <f>IF(t&lt;Tnet,'2019'!Resal+('2019'!Salim-'2019'!Resal)*(1-EXP(('2019'!Tnet-t)/('2019'!Tau_j))),Resal+(Salim-Resal)*(1-EXP((Tnet-t)/(Tau_j))))*Salcycl</f>
        <v>3.427393331935856E-2</v>
      </c>
      <c r="P72" s="168">
        <f>(INDEX(Models!$BJ72:$BT72,,T72)*(1-R72)+INDEX(Models!$BJ72:$BT72,,T72+1)*R72-ERP_i)*Q72*Ramure*Pc/MaxiM</f>
        <v>1.1538621797850536E-4</v>
      </c>
      <c r="Q72" s="304">
        <f t="shared" si="2"/>
        <v>0.5</v>
      </c>
      <c r="R72" s="176">
        <f t="shared" si="3"/>
        <v>0.13865624248242417</v>
      </c>
      <c r="S72" s="814">
        <f t="shared" si="4"/>
        <v>0</v>
      </c>
      <c r="T72" s="175">
        <f t="shared" si="5"/>
        <v>6</v>
      </c>
      <c r="U72" s="250">
        <f t="shared" si="20"/>
        <v>0.13865624248242417</v>
      </c>
      <c r="V72" s="382">
        <f t="shared" si="6"/>
        <v>42.21889971790899</v>
      </c>
      <c r="W72" s="401"/>
      <c r="X72" s="157">
        <f t="shared" si="7"/>
        <v>43888</v>
      </c>
      <c r="Y72" s="384">
        <f t="shared" si="8"/>
        <v>8.5050000000000008</v>
      </c>
      <c r="Z72" s="384">
        <f t="shared" si="9"/>
        <v>8.6246830659490126</v>
      </c>
      <c r="AA72" s="385">
        <f t="shared" si="10"/>
        <v>8.9307758830549737</v>
      </c>
      <c r="AB72" s="196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3.427393331935856E-2</v>
      </c>
      <c r="AD72" s="230">
        <f>(INDEX(Models!$BJ72:$BT72,,AH72)*(1-AF72)+INDEX(Models!$BJ72:$BT72,,AH72+1)*AF72-ERP_i)*AE72*Ramure*Pc/MaxiM</f>
        <v>1.1538621797850536E-4</v>
      </c>
      <c r="AE72" s="304">
        <f t="shared" si="12"/>
        <v>0.5</v>
      </c>
      <c r="AF72" s="176">
        <f t="shared" si="21"/>
        <v>0.13865624248242417</v>
      </c>
      <c r="AG72" s="814">
        <f t="shared" si="22"/>
        <v>0</v>
      </c>
      <c r="AH72" s="175">
        <f t="shared" si="13"/>
        <v>6</v>
      </c>
      <c r="AI72" s="224">
        <f t="shared" si="23"/>
        <v>0.13865624248242417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43889</v>
      </c>
      <c r="B73" s="616">
        <v>17.908999999999999</v>
      </c>
      <c r="C73" s="389"/>
      <c r="D73" s="392">
        <f t="shared" si="0"/>
        <v>18.161414716110944</v>
      </c>
      <c r="E73" s="384">
        <f t="shared" si="17"/>
        <v>18.806711137438736</v>
      </c>
      <c r="F73" s="384">
        <f t="shared" si="1"/>
        <v>18.807083683251168</v>
      </c>
      <c r="G73" s="110">
        <f t="shared" si="18"/>
        <v>0.42093325341541843</v>
      </c>
      <c r="H73" s="413" t="b">
        <f>Wh_hp&gt;='2019'!Maxi_hp</f>
        <v>0</v>
      </c>
      <c r="I73" s="379">
        <f>IF(H73,Wh_hp,'2019'!Maxi_hp)</f>
        <v>35.991021294726998</v>
      </c>
      <c r="J73" s="85">
        <f>IF(H73,An,'2019'!An_max)</f>
        <v>2019</v>
      </c>
      <c r="K73" s="196">
        <f t="shared" si="19"/>
        <v>43889</v>
      </c>
      <c r="L73" s="147">
        <f>IF(t&lt;Tvie,1-EXP((T0-t)*PertePVj)+'2019'!Pspv,1-EXP((T0-t)*PertePVj)+Pspv)</f>
        <v>1.3898406046915945E-2</v>
      </c>
      <c r="M73" s="847"/>
      <c r="N73" s="847"/>
      <c r="O73" s="48">
        <f>IF(t&lt;Tnet,'2019'!Resal+('2019'!Salim-'2019'!Resal)*(1-EXP(('2019'!Tnet-t)/('2019'!Tau_j))),Resal+(Salim-Resal)*(1-EXP((Tnet-t)/(Tau_j))))*Salcycl</f>
        <v>3.4312029180008793E-2</v>
      </c>
      <c r="P73" s="168">
        <f>(INDEX(Models!$BJ73:$BT73,,T73)*(1-R73)+INDEX(Models!$BJ73:$BT73,,T73+1)*R73-ERP_i)*Q73*Ramure*Pc/MaxiM</f>
        <v>1.1462179767474588E-4</v>
      </c>
      <c r="Q73" s="304">
        <f t="shared" si="2"/>
        <v>0.5</v>
      </c>
      <c r="R73" s="176">
        <f t="shared" si="3"/>
        <v>0.13883387942597678</v>
      </c>
      <c r="S73" s="814">
        <f t="shared" si="4"/>
        <v>0</v>
      </c>
      <c r="T73" s="175">
        <f t="shared" si="5"/>
        <v>6</v>
      </c>
      <c r="U73" s="250">
        <f t="shared" si="20"/>
        <v>0.13883387942597678</v>
      </c>
      <c r="V73" s="382">
        <f t="shared" si="6"/>
        <v>42.541903770112569</v>
      </c>
      <c r="W73" s="401"/>
      <c r="X73" s="157">
        <f t="shared" si="7"/>
        <v>43889</v>
      </c>
      <c r="Y73" s="384">
        <f t="shared" si="8"/>
        <v>17.908999999999999</v>
      </c>
      <c r="Z73" s="384">
        <f t="shared" si="9"/>
        <v>18.161414716110944</v>
      </c>
      <c r="AA73" s="385">
        <f t="shared" si="10"/>
        <v>18.806711137438736</v>
      </c>
      <c r="AB73" s="196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3.4312029180008793E-2</v>
      </c>
      <c r="AD73" s="230">
        <f>(INDEX(Models!$BJ73:$BT73,,AH73)*(1-AF73)+INDEX(Models!$BJ73:$BT73,,AH73+1)*AF73-ERP_i)*AE73*Ramure*Pc/MaxiM</f>
        <v>1.1462179767474588E-4</v>
      </c>
      <c r="AE73" s="304">
        <f t="shared" si="12"/>
        <v>0.5</v>
      </c>
      <c r="AF73" s="176">
        <f t="shared" si="21"/>
        <v>0.13883387942597678</v>
      </c>
      <c r="AG73" s="814">
        <f t="shared" si="22"/>
        <v>0</v>
      </c>
      <c r="AH73" s="175">
        <f t="shared" si="13"/>
        <v>6</v>
      </c>
      <c r="AI73" s="224">
        <f t="shared" si="23"/>
        <v>0.13883387942597678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43890</v>
      </c>
      <c r="B74" s="616">
        <v>16.076000000000001</v>
      </c>
      <c r="C74" s="389"/>
      <c r="D74" s="392">
        <f t="shared" si="0"/>
        <v>16.302936950870624</v>
      </c>
      <c r="E74" s="384">
        <f t="shared" si="17"/>
        <v>16.882864724131625</v>
      </c>
      <c r="F74" s="384">
        <f t="shared" si="1"/>
        <v>16.883070750354307</v>
      </c>
      <c r="G74" s="110">
        <f t="shared" si="18"/>
        <v>0.37501024432114066</v>
      </c>
      <c r="H74" s="413" t="b">
        <f>Wh_hp&gt;='2019'!Maxi_hp</f>
        <v>1</v>
      </c>
      <c r="I74" s="379">
        <f>IF(H74,Wh_hp,'2019'!Maxi_hp)</f>
        <v>16.883070750354307</v>
      </c>
      <c r="J74" s="85">
        <f>IF(H74,An,'2019'!An_max)</f>
        <v>2020</v>
      </c>
      <c r="K74" s="196">
        <f t="shared" si="19"/>
        <v>43890</v>
      </c>
      <c r="L74" s="147">
        <f>IF(t&lt;Tvie,1-EXP((T0-t)*PertePVj)+'2019'!Pspv,1-EXP((T0-t)*PertePVj)+Pspv)</f>
        <v>1.3920004202586544E-2</v>
      </c>
      <c r="M74" s="847"/>
      <c r="N74" s="847"/>
      <c r="O74" s="48">
        <f>IF(t&lt;Tnet,'2019'!Resal+('2019'!Salim-'2019'!Resal)*(1-EXP(('2019'!Tnet-t)/('2019'!Tau_j))),Resal+(Salim-Resal)*(1-EXP((Tnet-t)/(Tau_j))))*Salcycl</f>
        <v>3.4350081146600583E-2</v>
      </c>
      <c r="P74" s="168">
        <f>(INDEX(Models!$BJ74:$BT74,,T74)*(1-R74)+INDEX(Models!$BJ74:$BT74,,T74+1)*R74-ERP_i)*Q74*Ramure*Pc/MaxiM</f>
        <v>1.1382244521799838E-4</v>
      </c>
      <c r="Q74" s="304">
        <f t="shared" si="2"/>
        <v>0.5</v>
      </c>
      <c r="R74" s="176">
        <f t="shared" si="3"/>
        <v>0.13901874209301204</v>
      </c>
      <c r="S74" s="814">
        <f t="shared" si="4"/>
        <v>0</v>
      </c>
      <c r="T74" s="175">
        <f t="shared" si="5"/>
        <v>6</v>
      </c>
      <c r="U74" s="250">
        <f t="shared" si="20"/>
        <v>0.13901874209301204</v>
      </c>
      <c r="V74" s="382">
        <f t="shared" si="6"/>
        <v>42.863805966076868</v>
      </c>
      <c r="W74" s="401"/>
      <c r="X74" s="157">
        <f t="shared" si="7"/>
        <v>43890</v>
      </c>
      <c r="Y74" s="384">
        <f t="shared" si="8"/>
        <v>16.076000000000001</v>
      </c>
      <c r="Z74" s="384">
        <f t="shared" si="9"/>
        <v>16.302936950870624</v>
      </c>
      <c r="AA74" s="385">
        <f t="shared" si="10"/>
        <v>16.882864724131625</v>
      </c>
      <c r="AB74" s="196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3.4350081146600583E-2</v>
      </c>
      <c r="AD74" s="230">
        <f>(INDEX(Models!$BJ74:$BT74,,AH74)*(1-AF74)+INDEX(Models!$BJ74:$BT74,,AH74+1)*AF74-ERP_i)*AE74*Ramure*Pc/MaxiM</f>
        <v>1.1382244521799838E-4</v>
      </c>
      <c r="AE74" s="304">
        <f t="shared" si="12"/>
        <v>0.5</v>
      </c>
      <c r="AF74" s="176">
        <f t="shared" si="21"/>
        <v>0.13901874209301204</v>
      </c>
      <c r="AG74" s="814">
        <f t="shared" si="22"/>
        <v>0</v>
      </c>
      <c r="AH74" s="175">
        <f t="shared" si="13"/>
        <v>6</v>
      </c>
      <c r="AI74" s="224">
        <f t="shared" si="23"/>
        <v>0.13901874209301204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43891</v>
      </c>
      <c r="B75" s="616">
        <v>28.51</v>
      </c>
      <c r="C75" s="389"/>
      <c r="D75" s="392">
        <f t="shared" si="0"/>
        <v>28.913094857776201</v>
      </c>
      <c r="E75" s="384">
        <f t="shared" si="17"/>
        <v>29.9427695904239</v>
      </c>
      <c r="F75" s="384">
        <f t="shared" si="1"/>
        <v>29.944510502068969</v>
      </c>
      <c r="G75" s="110">
        <f t="shared" si="18"/>
        <v>0.66014800653486461</v>
      </c>
      <c r="H75" s="413" t="b">
        <f>Wh_hp&gt;='2019'!Maxi_hp</f>
        <v>1</v>
      </c>
      <c r="I75" s="379">
        <f>IF(H75,Wh_hp,'2019'!Maxi_hp)</f>
        <v>29.944510502068969</v>
      </c>
      <c r="J75" s="85">
        <f>IF(H75,An,'2019'!An_max)</f>
        <v>2020</v>
      </c>
      <c r="K75" s="196">
        <f t="shared" si="19"/>
        <v>43891</v>
      </c>
      <c r="L75" s="147">
        <f>IF(t&lt;Tvie,1-EXP((T0-t)*PertePVj)+'2019'!Pspv,1-EXP((T0-t)*PertePVj)+Pspv)</f>
        <v>1.3941601885202104E-2</v>
      </c>
      <c r="M75" s="847"/>
      <c r="N75" s="847"/>
      <c r="O75" s="48">
        <f>IF(t&lt;Tnet,'2019'!Resal+('2019'!Salim-'2019'!Resal)*(1-EXP(('2019'!Tnet-t)/('2019'!Tau_j))),Resal+(Salim-Resal)*(1-EXP((Tnet-t)/(Tau_j))))*Salcycl</f>
        <v>3.438809257567816E-2</v>
      </c>
      <c r="P75" s="168">
        <f>(INDEX(Models!$BJ75:$BT75,,T75)*(1-R75)+INDEX(Models!$BJ75:$BT75,,T75+1)*R75-ERP_i)*Q75*Ramure*Pc/MaxiM</f>
        <v>1.1298814282967422E-4</v>
      </c>
      <c r="Q75" s="304">
        <f t="shared" si="2"/>
        <v>0.5</v>
      </c>
      <c r="R75" s="176">
        <f t="shared" si="3"/>
        <v>0.13921111467456898</v>
      </c>
      <c r="S75" s="814">
        <f t="shared" si="4"/>
        <v>0</v>
      </c>
      <c r="T75" s="175">
        <f t="shared" si="5"/>
        <v>6</v>
      </c>
      <c r="U75" s="250">
        <f t="shared" si="20"/>
        <v>0.13921111467456898</v>
      </c>
      <c r="V75" s="382">
        <f t="shared" si="6"/>
        <v>43.184915878112406</v>
      </c>
      <c r="W75" s="401"/>
      <c r="X75" s="157">
        <f t="shared" si="7"/>
        <v>43891</v>
      </c>
      <c r="Y75" s="384">
        <f t="shared" si="8"/>
        <v>28.51</v>
      </c>
      <c r="Z75" s="384">
        <f t="shared" si="9"/>
        <v>28.913094857776201</v>
      </c>
      <c r="AA75" s="385">
        <f t="shared" si="10"/>
        <v>29.9427695904239</v>
      </c>
      <c r="AB75" s="196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3.438809257567816E-2</v>
      </c>
      <c r="AD75" s="230">
        <f>(INDEX(Models!$BJ75:$BT75,,AH75)*(1-AF75)+INDEX(Models!$BJ75:$BT75,,AH75+1)*AF75-ERP_i)*AE75*Ramure*Pc/MaxiM</f>
        <v>1.1298814282967422E-4</v>
      </c>
      <c r="AE75" s="304">
        <f t="shared" si="12"/>
        <v>0.5</v>
      </c>
      <c r="AF75" s="176">
        <f t="shared" si="21"/>
        <v>0.13921111467456898</v>
      </c>
      <c r="AG75" s="814">
        <f t="shared" si="22"/>
        <v>0</v>
      </c>
      <c r="AH75" s="175">
        <f t="shared" si="13"/>
        <v>6</v>
      </c>
      <c r="AI75" s="224">
        <f t="shared" si="23"/>
        <v>0.13921111467456898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43892</v>
      </c>
      <c r="B76" s="616">
        <v>22.434999999999999</v>
      </c>
      <c r="C76" s="389"/>
      <c r="D76" s="392">
        <f t="shared" si="0"/>
        <v>22.752700486841505</v>
      </c>
      <c r="E76" s="384">
        <f t="shared" si="17"/>
        <v>23.563913359161642</v>
      </c>
      <c r="F76" s="384">
        <f t="shared" si="1"/>
        <v>23.564727418392014</v>
      </c>
      <c r="G76" s="110">
        <f t="shared" si="18"/>
        <v>0.51564141152761633</v>
      </c>
      <c r="H76" s="413" t="b">
        <f>Wh_hp&gt;='2019'!Maxi_hp</f>
        <v>0</v>
      </c>
      <c r="I76" s="379">
        <f>IF(H76,Wh_hp,'2019'!Maxi_hp)</f>
        <v>38.508024321438462</v>
      </c>
      <c r="J76" s="85">
        <f>IF(H76,An,'2019'!An_max)</f>
        <v>2019</v>
      </c>
      <c r="K76" s="196">
        <f t="shared" si="19"/>
        <v>43892</v>
      </c>
      <c r="L76" s="147">
        <f>IF(t&lt;Tvie,1-EXP((T0-t)*PertePVj)+'2019'!Pspv,1-EXP((T0-t)*PertePVj)+Pspv)</f>
        <v>1.3963199094772949E-2</v>
      </c>
      <c r="M76" s="847"/>
      <c r="N76" s="847"/>
      <c r="O76" s="48">
        <f>IF(t&lt;Tnet,'2019'!Resal+('2019'!Salim-'2019'!Resal)*(1-EXP(('2019'!Tnet-t)/('2019'!Tau_j))),Resal+(Salim-Resal)*(1-EXP((Tnet-t)/(Tau_j))))*Salcycl</f>
        <v>3.4426067519244957E-2</v>
      </c>
      <c r="P76" s="168">
        <f>(INDEX(Models!$BJ76:$BT76,,T76)*(1-R76)+INDEX(Models!$BJ76:$BT76,,T76+1)*R76-ERP_i)*Q76*Ramure*Pc/MaxiM</f>
        <v>1.1211891811993019E-4</v>
      </c>
      <c r="Q76" s="304">
        <f t="shared" si="2"/>
        <v>0.5</v>
      </c>
      <c r="R76" s="176">
        <f t="shared" si="3"/>
        <v>0.13941129172048369</v>
      </c>
      <c r="S76" s="814">
        <f t="shared" si="4"/>
        <v>0</v>
      </c>
      <c r="T76" s="175">
        <f t="shared" si="5"/>
        <v>6</v>
      </c>
      <c r="U76" s="250">
        <f t="shared" si="20"/>
        <v>0.13941129172048369</v>
      </c>
      <c r="V76" s="382">
        <f t="shared" si="6"/>
        <v>43.505542965471598</v>
      </c>
      <c r="W76" s="401"/>
      <c r="X76" s="157">
        <f t="shared" si="7"/>
        <v>43892</v>
      </c>
      <c r="Y76" s="384">
        <f t="shared" si="8"/>
        <v>22.434999999999999</v>
      </c>
      <c r="Z76" s="384">
        <f t="shared" si="9"/>
        <v>22.752700486841505</v>
      </c>
      <c r="AA76" s="385">
        <f t="shared" si="10"/>
        <v>23.563913359161642</v>
      </c>
      <c r="AB76" s="196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3.4426067519244957E-2</v>
      </c>
      <c r="AD76" s="230">
        <f>(INDEX(Models!$BJ76:$BT76,,AH76)*(1-AF76)+INDEX(Models!$BJ76:$BT76,,AH76+1)*AF76-ERP_i)*AE76*Ramure*Pc/MaxiM</f>
        <v>1.1211891811993019E-4</v>
      </c>
      <c r="AE76" s="304">
        <f t="shared" si="12"/>
        <v>0.5</v>
      </c>
      <c r="AF76" s="176">
        <f t="shared" si="21"/>
        <v>0.13941129172048369</v>
      </c>
      <c r="AG76" s="814">
        <f t="shared" si="22"/>
        <v>0</v>
      </c>
      <c r="AH76" s="175">
        <f t="shared" si="13"/>
        <v>6</v>
      </c>
      <c r="AI76" s="224">
        <f t="shared" si="23"/>
        <v>0.13941129172048369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43893</v>
      </c>
      <c r="B77" s="616">
        <v>4.8</v>
      </c>
      <c r="C77" s="389"/>
      <c r="D77" s="392">
        <f t="shared" si="0"/>
        <v>4.8680790921950132</v>
      </c>
      <c r="E77" s="384">
        <f t="shared" si="17"/>
        <v>5.0418411600336466</v>
      </c>
      <c r="F77" s="384">
        <f t="shared" si="1"/>
        <v>5.0418411600336466</v>
      </c>
      <c r="G77" s="110">
        <f t="shared" si="18"/>
        <v>0.10951185469749351</v>
      </c>
      <c r="H77" s="413" t="b">
        <f>Wh_hp&gt;='2019'!Maxi_hp</f>
        <v>0</v>
      </c>
      <c r="I77" s="379">
        <f>IF(H77,Wh_hp,'2019'!Maxi_hp)</f>
        <v>9.473959836205319</v>
      </c>
      <c r="J77" s="85">
        <f>IF(H77,An,'2019'!An_max)</f>
        <v>2019</v>
      </c>
      <c r="K77" s="196">
        <f t="shared" si="19"/>
        <v>43893</v>
      </c>
      <c r="L77" s="147">
        <f>IF(t&lt;Tvie,1-EXP((T0-t)*PertePVj)+'2019'!Pspv,1-EXP((T0-t)*PertePVj)+Pspv)</f>
        <v>1.3984795831309516E-2</v>
      </c>
      <c r="M77" s="847"/>
      <c r="N77" s="847"/>
      <c r="O77" s="48">
        <f>IF(t&lt;Tnet,'2019'!Resal+('2019'!Salim-'2019'!Resal)*(1-EXP(('2019'!Tnet-t)/('2019'!Tau_j))),Resal+(Salim-Resal)*(1-EXP((Tnet-t)/(Tau_j))))*Salcycl</f>
        <v>3.4464010730055214E-2</v>
      </c>
      <c r="P77" s="168">
        <f>(INDEX(Models!$BJ77:$BT77,,T77)*(1-R77)+INDEX(Models!$BJ77:$BT77,,T77+1)*R77-ERP_i)*Q77*Ramure*Pc/MaxiM</f>
        <v>1.1121484400929168E-4</v>
      </c>
      <c r="Q77" s="304">
        <f t="shared" si="2"/>
        <v>0.5</v>
      </c>
      <c r="R77" s="176">
        <f t="shared" si="3"/>
        <v>0.13961957844754269</v>
      </c>
      <c r="S77" s="814">
        <f t="shared" si="4"/>
        <v>0</v>
      </c>
      <c r="T77" s="175">
        <f t="shared" si="5"/>
        <v>6</v>
      </c>
      <c r="U77" s="250">
        <f t="shared" si="20"/>
        <v>0.13961957844754269</v>
      </c>
      <c r="V77" s="382">
        <f t="shared" si="6"/>
        <v>43.825996573671432</v>
      </c>
      <c r="W77" s="401"/>
      <c r="X77" s="157">
        <f t="shared" si="7"/>
        <v>43893</v>
      </c>
      <c r="Y77" s="384">
        <f t="shared" si="8"/>
        <v>4.8</v>
      </c>
      <c r="Z77" s="384">
        <f t="shared" si="9"/>
        <v>4.8680790921950132</v>
      </c>
      <c r="AA77" s="385">
        <f t="shared" si="10"/>
        <v>5.0418411600336466</v>
      </c>
      <c r="AB77" s="196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3.4464010730055214E-2</v>
      </c>
      <c r="AD77" s="230">
        <f>(INDEX(Models!$BJ77:$BT77,,AH77)*(1-AF77)+INDEX(Models!$BJ77:$BT77,,AH77+1)*AF77-ERP_i)*AE77*Ramure*Pc/MaxiM</f>
        <v>1.1121484400929168E-4</v>
      </c>
      <c r="AE77" s="304">
        <f t="shared" si="12"/>
        <v>0.5</v>
      </c>
      <c r="AF77" s="176">
        <f t="shared" si="21"/>
        <v>0.13961957844754269</v>
      </c>
      <c r="AG77" s="814">
        <f t="shared" si="22"/>
        <v>0</v>
      </c>
      <c r="AH77" s="175">
        <f t="shared" si="13"/>
        <v>6</v>
      </c>
      <c r="AI77" s="224">
        <f t="shared" si="23"/>
        <v>0.13961957844754269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43894</v>
      </c>
      <c r="B78" s="616">
        <v>7.617</v>
      </c>
      <c r="C78" s="389"/>
      <c r="D78" s="392">
        <f t="shared" si="0"/>
        <v>7.7252022111815961</v>
      </c>
      <c r="E78" s="384">
        <f t="shared" si="17"/>
        <v>8.0012611443922328</v>
      </c>
      <c r="F78" s="384">
        <f t="shared" si="1"/>
        <v>8.0012611443922328</v>
      </c>
      <c r="G78" s="110">
        <f t="shared" si="18"/>
        <v>0.17251979664013109</v>
      </c>
      <c r="H78" s="413" t="b">
        <f>Wh_hp&gt;='2019'!Maxi_hp</f>
        <v>0</v>
      </c>
      <c r="I78" s="379">
        <f>IF(H78,Wh_hp,'2019'!Maxi_hp)</f>
        <v>45.312703719886137</v>
      </c>
      <c r="J78" s="85">
        <f>IF(H78,An,'2019'!An_max)</f>
        <v>2019</v>
      </c>
      <c r="K78" s="196">
        <f t="shared" si="19"/>
        <v>43894</v>
      </c>
      <c r="L78" s="147">
        <f>IF(t&lt;Tvie,1-EXP((T0-t)*PertePVj)+'2019'!Pspv,1-EXP((T0-t)*PertePVj)+Pspv)</f>
        <v>1.4006392094822129E-2</v>
      </c>
      <c r="M78" s="847"/>
      <c r="N78" s="847"/>
      <c r="O78" s="48">
        <f>IF(t&lt;Tnet,'2019'!Resal+('2019'!Salim-'2019'!Resal)*(1-EXP(('2019'!Tnet-t)/('2019'!Tau_j))),Resal+(Salim-Resal)*(1-EXP((Tnet-t)/(Tau_j))))*Salcycl</f>
        <v>3.4501927662255412E-2</v>
      </c>
      <c r="P78" s="168">
        <f>(INDEX(Models!$BJ78:$BT78,,T78)*(1-R78)+INDEX(Models!$BJ78:$BT78,,T78+1)*R78-ERP_i)*Q78*Ramure*Pc/MaxiM</f>
        <v>1.1027603824645785E-4</v>
      </c>
      <c r="Q78" s="304">
        <f t="shared" si="2"/>
        <v>0.5</v>
      </c>
      <c r="R78" s="176">
        <f t="shared" si="3"/>
        <v>0.13983629105068007</v>
      </c>
      <c r="S78" s="814">
        <f t="shared" si="4"/>
        <v>0</v>
      </c>
      <c r="T78" s="175">
        <f t="shared" si="5"/>
        <v>6</v>
      </c>
      <c r="U78" s="250">
        <f t="shared" si="20"/>
        <v>0.13983629105068007</v>
      </c>
      <c r="V78" s="382">
        <f t="shared" si="6"/>
        <v>44.146585932417139</v>
      </c>
      <c r="W78" s="401"/>
      <c r="X78" s="157">
        <f t="shared" si="7"/>
        <v>43894</v>
      </c>
      <c r="Y78" s="384">
        <f t="shared" si="8"/>
        <v>7.6170000000000009</v>
      </c>
      <c r="Z78" s="384">
        <f t="shared" si="9"/>
        <v>7.725202211181597</v>
      </c>
      <c r="AA78" s="385">
        <f t="shared" si="10"/>
        <v>8.0012611443922328</v>
      </c>
      <c r="AB78" s="196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3.4501927662255412E-2</v>
      </c>
      <c r="AD78" s="230">
        <f>(INDEX(Models!$BJ78:$BT78,,AH78)*(1-AF78)+INDEX(Models!$BJ78:$BT78,,AH78+1)*AF78-ERP_i)*AE78*Ramure*Pc/MaxiM</f>
        <v>1.1027603824645785E-4</v>
      </c>
      <c r="AE78" s="304">
        <f t="shared" si="12"/>
        <v>0.5</v>
      </c>
      <c r="AF78" s="176">
        <f t="shared" si="21"/>
        <v>0.13983629105068007</v>
      </c>
      <c r="AG78" s="814">
        <f t="shared" si="22"/>
        <v>0</v>
      </c>
      <c r="AH78" s="175">
        <f t="shared" si="13"/>
        <v>6</v>
      </c>
      <c r="AI78" s="224">
        <f t="shared" si="23"/>
        <v>0.13983629105068007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43895</v>
      </c>
      <c r="B79" s="616">
        <v>11.771000000000001</v>
      </c>
      <c r="C79" s="389"/>
      <c r="D79" s="392">
        <f t="shared" ref="D79:D142" si="24">Wh/(1-Ppv)</f>
        <v>11.938472751121976</v>
      </c>
      <c r="E79" s="384">
        <f t="shared" si="17"/>
        <v>12.365577631968954</v>
      </c>
      <c r="F79" s="384">
        <f t="shared" ref="F79:F142" si="25">Wh_sa/(1-Pvg*MEDIAN((-Sdif+Wh/Env_an)/Csdif,0,1))</f>
        <v>12.365577631968954</v>
      </c>
      <c r="G79" s="110">
        <f t="shared" si="18"/>
        <v>0.26468247664468647</v>
      </c>
      <c r="H79" s="413" t="b">
        <f>Wh_hp&gt;='2019'!Maxi_hp</f>
        <v>0</v>
      </c>
      <c r="I79" s="379">
        <f>IF(H79,Wh_hp,'2019'!Maxi_hp)</f>
        <v>24.720173237036324</v>
      </c>
      <c r="J79" s="85">
        <f>IF(H79,An,'2019'!An_max)</f>
        <v>2019</v>
      </c>
      <c r="K79" s="196">
        <f t="shared" ref="K79:K142" si="26">t</f>
        <v>43895</v>
      </c>
      <c r="L79" s="147">
        <f>IF(t&lt;Tvie,1-EXP((T0-t)*PertePVj)+'2019'!Pspv,1-EXP((T0-t)*PertePVj)+Pspv)</f>
        <v>1.4027987885321114E-2</v>
      </c>
      <c r="M79" s="847"/>
      <c r="N79" s="847"/>
      <c r="O79" s="48">
        <f>IF(t&lt;Tnet,'2019'!Resal+('2019'!Salim-'2019'!Resal)*(1-EXP(('2019'!Tnet-t)/('2019'!Tau_j))),Resal+(Salim-Resal)*(1-EXP((Tnet-t)/(Tau_j))))*Salcycl</f>
        <v>3.4539824467461608E-2</v>
      </c>
      <c r="P79" s="168">
        <f>(INDEX(Models!$BJ79:$BT79,,T79)*(1-R79)+INDEX(Models!$BJ79:$BT79,,T79+1)*R79-ERP_i)*Q79*Ramure*Pc/MaxiM</f>
        <v>1.0930346522867688E-4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0.14006175701661894</v>
      </c>
      <c r="S79" s="814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0.14006175701661894</v>
      </c>
      <c r="V79" s="382">
        <f t="shared" ref="V79:V142" si="32">MaxiM*(1-Ppv)*(1-Pvg)*(1-Psa)</f>
        <v>44.467293559107148</v>
      </c>
      <c r="W79" s="401"/>
      <c r="X79" s="157">
        <f t="shared" ref="X79:X142" si="33">t</f>
        <v>43895</v>
      </c>
      <c r="Y79" s="384">
        <f t="shared" ref="Y79:Y142" si="34">Wh_pvt_s*(1-Ppv)</f>
        <v>11.771000000000001</v>
      </c>
      <c r="Z79" s="384">
        <f t="shared" ref="Z79:Z142" si="35">Wh_sa_s*(1-Psa_s)</f>
        <v>11.938472751121976</v>
      </c>
      <c r="AA79" s="385">
        <f t="shared" ref="AA79:AA142" si="36">Wh_hp*(1-Pvg_s*MEDIAN((-Sdif+Wh/Env_an)/Csdif,0,1))</f>
        <v>12.365577631968954</v>
      </c>
      <c r="AB79" s="196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3.4539824467461608E-2</v>
      </c>
      <c r="AD79" s="230">
        <f>(INDEX(Models!$BJ79:$BT79,,AH79)*(1-AF79)+INDEX(Models!$BJ79:$BT79,,AH79+1)*AF79-ERP_i)*AE79*Ramure*Pc/MaxiM</f>
        <v>1.0930346522867688E-4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0.14006175701661894</v>
      </c>
      <c r="AG79" s="814">
        <f t="shared" si="22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0.14006175701661894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43896</v>
      </c>
      <c r="B80" s="616">
        <v>23.396999999999998</v>
      </c>
      <c r="C80" s="389"/>
      <c r="D80" s="392">
        <f t="shared" si="24"/>
        <v>23.730402261002265</v>
      </c>
      <c r="E80" s="384">
        <f t="shared" ref="E80:E143" si="45">Wh_pvt/(1-Psa)</f>
        <v>24.580333867687372</v>
      </c>
      <c r="F80" s="384">
        <f t="shared" si="25"/>
        <v>24.581180343526935</v>
      </c>
      <c r="G80" s="110">
        <f t="shared" ref="G80:G143" si="46">+Wh_hp/MaxiM</f>
        <v>0.52235862488319051</v>
      </c>
      <c r="H80" s="413" t="b">
        <f>Wh_hp&gt;='2019'!Maxi_hp</f>
        <v>0</v>
      </c>
      <c r="I80" s="379">
        <f>IF(H80,Wh_hp,'2019'!Maxi_hp)</f>
        <v>41.978203972024616</v>
      </c>
      <c r="J80" s="85">
        <f>IF(H80,An,'2019'!An_max)</f>
        <v>2019</v>
      </c>
      <c r="K80" s="196">
        <f t="shared" si="26"/>
        <v>43896</v>
      </c>
      <c r="L80" s="147">
        <f>IF(t&lt;Tvie,1-EXP((T0-t)*PertePVj)+'2019'!Pspv,1-EXP((T0-t)*PertePVj)+Pspv)</f>
        <v>1.4049583202816907E-2</v>
      </c>
      <c r="M80" s="847"/>
      <c r="N80" s="847"/>
      <c r="O80" s="48">
        <f>IF(t&lt;Tnet,'2019'!Resal+('2019'!Salim-'2019'!Resal)*(1-EXP(('2019'!Tnet-t)/('2019'!Tau_j))),Resal+(Salim-Resal)*(1-EXP((Tnet-t)/(Tau_j))))*Salcycl</f>
        <v>3.4577707986399808E-2</v>
      </c>
      <c r="P80" s="168">
        <f>(INDEX(Models!$BJ80:$BT80,,T80)*(1-R80)+INDEX(Models!$BJ80:$BT80,,T80+1)*R80-ERP_i)*Q80*Ramure*Pc/MaxiM</f>
        <v>1.0838781076666838E-4</v>
      </c>
      <c r="Q80" s="304">
        <f t="shared" si="27"/>
        <v>0.5</v>
      </c>
      <c r="R80" s="176">
        <f t="shared" si="28"/>
        <v>0.14029631543928028</v>
      </c>
      <c r="S80" s="814">
        <f t="shared" si="29"/>
        <v>0</v>
      </c>
      <c r="T80" s="175">
        <f t="shared" si="30"/>
        <v>6</v>
      </c>
      <c r="U80" s="250">
        <f t="shared" si="31"/>
        <v>0.14029631543928028</v>
      </c>
      <c r="V80" s="382">
        <f t="shared" si="32"/>
        <v>44.787754186168058</v>
      </c>
      <c r="W80" s="401"/>
      <c r="X80" s="157">
        <f t="shared" si="33"/>
        <v>43896</v>
      </c>
      <c r="Y80" s="384">
        <f t="shared" si="34"/>
        <v>23.396999999999998</v>
      </c>
      <c r="Z80" s="384">
        <f t="shared" si="35"/>
        <v>23.730402261002265</v>
      </c>
      <c r="AA80" s="385">
        <f t="shared" si="36"/>
        <v>24.580333867687372</v>
      </c>
      <c r="AB80" s="196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3.4577707986399808E-2</v>
      </c>
      <c r="AD80" s="230">
        <f>(INDEX(Models!$BJ80:$BT80,,AH80)*(1-AF80)+INDEX(Models!$BJ80:$BT80,,AH80+1)*AF80-ERP_i)*AE80*Ramure*Pc/MaxiM</f>
        <v>1.0838781076666838E-4</v>
      </c>
      <c r="AE80" s="304">
        <f t="shared" si="38"/>
        <v>0.5</v>
      </c>
      <c r="AF80" s="176">
        <f t="shared" si="39"/>
        <v>0.14029631543928028</v>
      </c>
      <c r="AG80" s="814">
        <f t="shared" ref="AG80:AG143" si="47">INDEX(Echel_vg,AH80)</f>
        <v>0</v>
      </c>
      <c r="AH80" s="175">
        <f t="shared" si="40"/>
        <v>6</v>
      </c>
      <c r="AI80" s="224">
        <f t="shared" si="41"/>
        <v>0.14029631543928028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43897</v>
      </c>
      <c r="B81" s="616">
        <v>31.056000000000001</v>
      </c>
      <c r="C81" s="389"/>
      <c r="D81" s="392">
        <f t="shared" si="24"/>
        <v>31.499231291861491</v>
      </c>
      <c r="E81" s="384">
        <f t="shared" si="45"/>
        <v>32.628692597948401</v>
      </c>
      <c r="F81" s="384">
        <f t="shared" si="25"/>
        <v>32.630641543370331</v>
      </c>
      <c r="G81" s="110">
        <f t="shared" si="46"/>
        <v>0.68845171059866128</v>
      </c>
      <c r="H81" s="413" t="b">
        <f>Wh_hp&gt;='2019'!Maxi_hp</f>
        <v>1</v>
      </c>
      <c r="I81" s="379">
        <f>IF(H81,Wh_hp,'2019'!Maxi_hp)</f>
        <v>32.630641543370331</v>
      </c>
      <c r="J81" s="85">
        <f>IF(H81,An,'2019'!An_max)</f>
        <v>2020</v>
      </c>
      <c r="K81" s="196">
        <f t="shared" si="26"/>
        <v>43897</v>
      </c>
      <c r="L81" s="147">
        <f>IF(t&lt;Tvie,1-EXP((T0-t)*PertePVj)+'2019'!Pspv,1-EXP((T0-t)*PertePVj)+Pspv)</f>
        <v>1.4071178047319832E-2</v>
      </c>
      <c r="M81" s="847"/>
      <c r="N81" s="847"/>
      <c r="O81" s="48">
        <f>IF(t&lt;Tnet,'2019'!Resal+('2019'!Salim-'2019'!Resal)*(1-EXP(('2019'!Tnet-t)/('2019'!Tau_j))),Resal+(Salim-Resal)*(1-EXP((Tnet-t)/(Tau_j))))*Salcycl</f>
        <v>3.4615585736277002E-2</v>
      </c>
      <c r="P81" s="168">
        <f>(INDEX(Models!$BJ81:$BT81,,T81)*(1-R81)+INDEX(Models!$BJ81:$BT81,,T81+1)*R81-ERP_i)*Q81*Ramure*Pc/MaxiM</f>
        <v>1.0762129174573713E-4</v>
      </c>
      <c r="Q81" s="304">
        <f t="shared" si="27"/>
        <v>0.5</v>
      </c>
      <c r="R81" s="176">
        <f t="shared" si="28"/>
        <v>0.14054031733620634</v>
      </c>
      <c r="S81" s="814">
        <f t="shared" si="29"/>
        <v>0</v>
      </c>
      <c r="T81" s="175">
        <f t="shared" si="30"/>
        <v>6</v>
      </c>
      <c r="U81" s="250">
        <f t="shared" si="31"/>
        <v>0.14054031733620634</v>
      </c>
      <c r="V81" s="382">
        <f t="shared" si="32"/>
        <v>45.107757076228282</v>
      </c>
      <c r="W81" s="401"/>
      <c r="X81" s="157">
        <f t="shared" si="33"/>
        <v>43897</v>
      </c>
      <c r="Y81" s="384">
        <f t="shared" si="34"/>
        <v>31.056000000000001</v>
      </c>
      <c r="Z81" s="384">
        <f t="shared" si="35"/>
        <v>31.499231291861491</v>
      </c>
      <c r="AA81" s="385">
        <f t="shared" si="36"/>
        <v>32.628692597948401</v>
      </c>
      <c r="AB81" s="196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3.4615585736277002E-2</v>
      </c>
      <c r="AD81" s="230">
        <f>(INDEX(Models!$BJ81:$BT81,,AH81)*(1-AF81)+INDEX(Models!$BJ81:$BT81,,AH81+1)*AF81-ERP_i)*AE81*Ramure*Pc/MaxiM</f>
        <v>1.0762129174573713E-4</v>
      </c>
      <c r="AE81" s="304">
        <f t="shared" si="38"/>
        <v>0.5</v>
      </c>
      <c r="AF81" s="176">
        <f t="shared" si="39"/>
        <v>0.14054031733620634</v>
      </c>
      <c r="AG81" s="814">
        <f t="shared" si="47"/>
        <v>0</v>
      </c>
      <c r="AH81" s="175">
        <f t="shared" si="40"/>
        <v>6</v>
      </c>
      <c r="AI81" s="224">
        <f t="shared" si="41"/>
        <v>0.14054031733620634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43898</v>
      </c>
      <c r="B82" s="616">
        <v>34.034999999999997</v>
      </c>
      <c r="C82" s="389"/>
      <c r="D82" s="392">
        <f t="shared" si="24"/>
        <v>34.521503695131635</v>
      </c>
      <c r="E82" s="384">
        <f t="shared" si="45"/>
        <v>35.760737181394475</v>
      </c>
      <c r="F82" s="384">
        <f t="shared" si="25"/>
        <v>35.763192968394563</v>
      </c>
      <c r="G82" s="110">
        <f t="shared" si="46"/>
        <v>0.74919372941240292</v>
      </c>
      <c r="H82" s="413" t="b">
        <f>Wh_hp&gt;='2019'!Maxi_hp</f>
        <v>1</v>
      </c>
      <c r="I82" s="379">
        <f>IF(H82,Wh_hp,'2019'!Maxi_hp)</f>
        <v>35.763192968394563</v>
      </c>
      <c r="J82" s="85">
        <f>IF(H82,An,'2019'!An_max)</f>
        <v>2020</v>
      </c>
      <c r="K82" s="196">
        <f t="shared" si="26"/>
        <v>43898</v>
      </c>
      <c r="L82" s="147">
        <f>IF(t&lt;Tvie,1-EXP((T0-t)*PertePVj)+'2019'!Pspv,1-EXP((T0-t)*PertePVj)+Pspv)</f>
        <v>1.4092772418840216E-2</v>
      </c>
      <c r="M82" s="847"/>
      <c r="N82" s="847"/>
      <c r="O82" s="48">
        <f>IF(t&lt;Tnet,'2019'!Resal+('2019'!Salim-'2019'!Resal)*(1-EXP(('2019'!Tnet-t)/('2019'!Tau_j))),Resal+(Salim-Resal)*(1-EXP((Tnet-t)/(Tau_j))))*Salcycl</f>
        <v>3.4653465894086438E-2</v>
      </c>
      <c r="P82" s="168">
        <f>(INDEX(Models!$BJ82:$BT82,,T82)*(1-R82)+INDEX(Models!$BJ82:$BT82,,T82+1)*R82-ERP_i)*Q82*Ramure*Pc/MaxiM</f>
        <v>1.0700177846046285E-4</v>
      </c>
      <c r="Q82" s="304">
        <f t="shared" si="27"/>
        <v>0.5</v>
      </c>
      <c r="R82" s="176">
        <f t="shared" si="28"/>
        <v>0.14079412596515847</v>
      </c>
      <c r="S82" s="814">
        <f t="shared" si="29"/>
        <v>0</v>
      </c>
      <c r="T82" s="175">
        <f t="shared" si="30"/>
        <v>6</v>
      </c>
      <c r="U82" s="250">
        <f t="shared" si="31"/>
        <v>0.14079412596515847</v>
      </c>
      <c r="V82" s="382">
        <f t="shared" si="32"/>
        <v>45.427095668577579</v>
      </c>
      <c r="W82" s="401"/>
      <c r="X82" s="157">
        <f t="shared" si="33"/>
        <v>43898</v>
      </c>
      <c r="Y82" s="384">
        <f t="shared" si="34"/>
        <v>34.034999999999997</v>
      </c>
      <c r="Z82" s="384">
        <f t="shared" si="35"/>
        <v>34.521503695131635</v>
      </c>
      <c r="AA82" s="385">
        <f t="shared" si="36"/>
        <v>35.760737181394475</v>
      </c>
      <c r="AB82" s="196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3.4653465894086438E-2</v>
      </c>
      <c r="AD82" s="230">
        <f>(INDEX(Models!$BJ82:$BT82,,AH82)*(1-AF82)+INDEX(Models!$BJ82:$BT82,,AH82+1)*AF82-ERP_i)*AE82*Ramure*Pc/MaxiM</f>
        <v>1.0700177846046285E-4</v>
      </c>
      <c r="AE82" s="304">
        <f t="shared" si="38"/>
        <v>0.5</v>
      </c>
      <c r="AF82" s="176">
        <f t="shared" si="39"/>
        <v>0.14079412596515847</v>
      </c>
      <c r="AG82" s="814">
        <f t="shared" si="47"/>
        <v>0</v>
      </c>
      <c r="AH82" s="175">
        <f t="shared" si="40"/>
        <v>6</v>
      </c>
      <c r="AI82" s="224">
        <f t="shared" si="41"/>
        <v>0.14079412596515847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43899</v>
      </c>
      <c r="B83" s="616">
        <v>29.494</v>
      </c>
      <c r="C83" s="389"/>
      <c r="D83" s="392">
        <f t="shared" si="24"/>
        <v>29.91624889575688</v>
      </c>
      <c r="E83" s="384">
        <f t="shared" si="45"/>
        <v>30.991382001241519</v>
      </c>
      <c r="F83" s="384">
        <f t="shared" si="25"/>
        <v>30.993007992599821</v>
      </c>
      <c r="G83" s="110">
        <f t="shared" si="46"/>
        <v>0.64470525996494477</v>
      </c>
      <c r="H83" s="413" t="b">
        <f>Wh_hp&gt;='2019'!Maxi_hp</f>
        <v>1</v>
      </c>
      <c r="I83" s="379">
        <f>IF(H83,Wh_hp,'2019'!Maxi_hp)</f>
        <v>30.993007992599821</v>
      </c>
      <c r="J83" s="85">
        <f>IF(H83,An,'2019'!An_max)</f>
        <v>2020</v>
      </c>
      <c r="K83" s="196">
        <f t="shared" si="26"/>
        <v>43899</v>
      </c>
      <c r="L83" s="147">
        <f>IF(t&lt;Tvie,1-EXP((T0-t)*PertePVj)+'2019'!Pspv,1-EXP((T0-t)*PertePVj)+Pspv)</f>
        <v>1.4114366317388383E-2</v>
      </c>
      <c r="M83" s="847"/>
      <c r="N83" s="847"/>
      <c r="O83" s="48">
        <f>IF(t&lt;Tnet,'2019'!Resal+('2019'!Salim-'2019'!Resal)*(1-EXP(('2019'!Tnet-t)/('2019'!Tau_j))),Resal+(Salim-Resal)*(1-EXP((Tnet-t)/(Tau_j))))*Salcycl</f>
        <v>3.4691357276083107E-2</v>
      </c>
      <c r="P83" s="168">
        <f>(INDEX(Models!$BJ83:$BT83,,T83)*(1-R83)+INDEX(Models!$BJ83:$BT83,,T83+1)*R83-ERP_i)*Q83*Ramure*Pc/MaxiM</f>
        <v>1.06527250417317E-4</v>
      </c>
      <c r="Q83" s="304">
        <f t="shared" si="27"/>
        <v>0.5</v>
      </c>
      <c r="R83" s="176">
        <f t="shared" si="28"/>
        <v>0.14105811713996053</v>
      </c>
      <c r="S83" s="814">
        <f t="shared" si="29"/>
        <v>0</v>
      </c>
      <c r="T83" s="175">
        <f t="shared" si="30"/>
        <v>6</v>
      </c>
      <c r="U83" s="250">
        <f t="shared" si="31"/>
        <v>0.14105811713996053</v>
      </c>
      <c r="V83" s="382">
        <f t="shared" si="32"/>
        <v>45.745563409659304</v>
      </c>
      <c r="W83" s="401"/>
      <c r="X83" s="157">
        <f t="shared" si="33"/>
        <v>43899</v>
      </c>
      <c r="Y83" s="384">
        <f t="shared" si="34"/>
        <v>29.494</v>
      </c>
      <c r="Z83" s="384">
        <f t="shared" si="35"/>
        <v>29.91624889575688</v>
      </c>
      <c r="AA83" s="385">
        <f t="shared" si="36"/>
        <v>30.991382001241519</v>
      </c>
      <c r="AB83" s="196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3.4691357276083107E-2</v>
      </c>
      <c r="AD83" s="230">
        <f>(INDEX(Models!$BJ83:$BT83,,AH83)*(1-AF83)+INDEX(Models!$BJ83:$BT83,,AH83+1)*AF83-ERP_i)*AE83*Ramure*Pc/MaxiM</f>
        <v>1.06527250417317E-4</v>
      </c>
      <c r="AE83" s="304">
        <f t="shared" si="38"/>
        <v>0.5</v>
      </c>
      <c r="AF83" s="176">
        <f t="shared" si="39"/>
        <v>0.14105811713996053</v>
      </c>
      <c r="AG83" s="814">
        <f t="shared" si="47"/>
        <v>0</v>
      </c>
      <c r="AH83" s="175">
        <f t="shared" si="40"/>
        <v>6</v>
      </c>
      <c r="AI83" s="224">
        <f t="shared" si="41"/>
        <v>0.14105811713996053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43900</v>
      </c>
      <c r="B84" s="616">
        <v>32.590000000000003</v>
      </c>
      <c r="C84" s="389"/>
      <c r="D84" s="392">
        <f t="shared" si="24"/>
        <v>33.057296614149195</v>
      </c>
      <c r="E84" s="384">
        <f t="shared" si="45"/>
        <v>34.246658023750015</v>
      </c>
      <c r="F84" s="384">
        <f t="shared" si="25"/>
        <v>34.248775373582959</v>
      </c>
      <c r="G84" s="110">
        <f t="shared" si="46"/>
        <v>0.7074785947157588</v>
      </c>
      <c r="H84" s="413" t="b">
        <f>Wh_hp&gt;='2019'!Maxi_hp</f>
        <v>0</v>
      </c>
      <c r="I84" s="379">
        <f>IF(H84,Wh_hp,'2019'!Maxi_hp)</f>
        <v>35.526636663400112</v>
      </c>
      <c r="J84" s="85">
        <f>IF(H84,An,'2019'!An_max)</f>
        <v>2019</v>
      </c>
      <c r="K84" s="196">
        <f t="shared" si="26"/>
        <v>43900</v>
      </c>
      <c r="L84" s="147">
        <f>IF(t&lt;Tvie,1-EXP((T0-t)*PertePVj)+'2019'!Pspv,1-EXP((T0-t)*PertePVj)+Pspv)</f>
        <v>1.413595974297488E-2</v>
      </c>
      <c r="M84" s="847"/>
      <c r="N84" s="847"/>
      <c r="O84" s="48">
        <f>IF(t&lt;Tnet,'2019'!Resal+('2019'!Salim-'2019'!Resal)*(1-EXP(('2019'!Tnet-t)/('2019'!Tau_j))),Resal+(Salim-Resal)*(1-EXP((Tnet-t)/(Tau_j))))*Salcycl</f>
        <v>3.4729269313694772E-2</v>
      </c>
      <c r="P84" s="168">
        <f>(INDEX(Models!$BJ84:$BT84,,T84)*(1-R84)+INDEX(Models!$BJ84:$BT84,,T84+1)*R84-ERP_i)*Q84*Ramure*Pc/MaxiM</f>
        <v>1.0619580243316326E-4</v>
      </c>
      <c r="Q84" s="304">
        <f t="shared" si="27"/>
        <v>0.5</v>
      </c>
      <c r="R84" s="176">
        <f t="shared" si="28"/>
        <v>0.14133267954455944</v>
      </c>
      <c r="S84" s="814">
        <f t="shared" si="29"/>
        <v>0</v>
      </c>
      <c r="T84" s="175">
        <f t="shared" si="30"/>
        <v>6</v>
      </c>
      <c r="U84" s="250">
        <f t="shared" si="31"/>
        <v>0.14133267954455944</v>
      </c>
      <c r="V84" s="382">
        <f t="shared" si="32"/>
        <v>46.062953752597096</v>
      </c>
      <c r="W84" s="401"/>
      <c r="X84" s="157">
        <f t="shared" si="33"/>
        <v>43900</v>
      </c>
      <c r="Y84" s="384">
        <f t="shared" si="34"/>
        <v>32.590000000000003</v>
      </c>
      <c r="Z84" s="384">
        <f t="shared" si="35"/>
        <v>33.057296614149195</v>
      </c>
      <c r="AA84" s="385">
        <f t="shared" si="36"/>
        <v>34.246658023750015</v>
      </c>
      <c r="AB84" s="196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3.4729269313694772E-2</v>
      </c>
      <c r="AD84" s="230">
        <f>(INDEX(Models!$BJ84:$BT84,,AH84)*(1-AF84)+INDEX(Models!$BJ84:$BT84,,AH84+1)*AF84-ERP_i)*AE84*Ramure*Pc/MaxiM</f>
        <v>1.0619580243316326E-4</v>
      </c>
      <c r="AE84" s="304">
        <f t="shared" si="38"/>
        <v>0.5</v>
      </c>
      <c r="AF84" s="176">
        <f t="shared" si="39"/>
        <v>0.14133267954455944</v>
      </c>
      <c r="AG84" s="814">
        <f t="shared" si="47"/>
        <v>0</v>
      </c>
      <c r="AH84" s="175">
        <f t="shared" si="40"/>
        <v>6</v>
      </c>
      <c r="AI84" s="224">
        <f t="shared" si="41"/>
        <v>0.14133267954455944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43901</v>
      </c>
      <c r="B85" s="616">
        <v>41.737000000000002</v>
      </c>
      <c r="C85" s="389"/>
      <c r="D85" s="392">
        <f t="shared" si="24"/>
        <v>42.336379524053122</v>
      </c>
      <c r="E85" s="384">
        <f t="shared" si="45"/>
        <v>43.861315168253959</v>
      </c>
      <c r="F85" s="384">
        <f t="shared" si="25"/>
        <v>43.865300261572678</v>
      </c>
      <c r="G85" s="110">
        <f t="shared" si="46"/>
        <v>0.89989678925793881</v>
      </c>
      <c r="H85" s="413" t="b">
        <f>Wh_hp&gt;='2019'!Maxi_hp</f>
        <v>1</v>
      </c>
      <c r="I85" s="379">
        <f>IF(H85,Wh_hp,'2019'!Maxi_hp)</f>
        <v>43.865300261572678</v>
      </c>
      <c r="J85" s="85">
        <f>IF(H85,An,'2019'!An_max)</f>
        <v>2020</v>
      </c>
      <c r="K85" s="196">
        <f t="shared" si="26"/>
        <v>43901</v>
      </c>
      <c r="L85" s="147">
        <f>IF(t&lt;Tvie,1-EXP((T0-t)*PertePVj)+'2019'!Pspv,1-EXP((T0-t)*PertePVj)+Pspv)</f>
        <v>1.415755269560981E-2</v>
      </c>
      <c r="M85" s="847"/>
      <c r="N85" s="847"/>
      <c r="O85" s="48">
        <f>IF(t&lt;Tnet,'2019'!Resal+('2019'!Salim-'2019'!Resal)*(1-EXP(('2019'!Tnet-t)/('2019'!Tau_j))),Resal+(Salim-Resal)*(1-EXP((Tnet-t)/(Tau_j))))*Salcycl</f>
        <v>3.4767212026158331E-2</v>
      </c>
      <c r="P85" s="168">
        <f>(INDEX(Models!$BJ85:$BT85,,T85)*(1-R85)+INDEX(Models!$BJ85:$BT85,,T85+1)*R85-ERP_i)*Q85*Ramure*Pc/MaxiM</f>
        <v>1.0600565067955384E-4</v>
      </c>
      <c r="Q85" s="304">
        <f t="shared" si="27"/>
        <v>0.5</v>
      </c>
      <c r="R85" s="176">
        <f t="shared" si="28"/>
        <v>0.1416182150441726</v>
      </c>
      <c r="S85" s="814">
        <f t="shared" si="29"/>
        <v>0</v>
      </c>
      <c r="T85" s="175">
        <f t="shared" si="30"/>
        <v>6</v>
      </c>
      <c r="U85" s="250">
        <f t="shared" si="31"/>
        <v>0.1416182150441726</v>
      </c>
      <c r="V85" s="382">
        <f t="shared" si="32"/>
        <v>46.379060158325657</v>
      </c>
      <c r="W85" s="401"/>
      <c r="X85" s="157">
        <f t="shared" si="33"/>
        <v>43901</v>
      </c>
      <c r="Y85" s="384">
        <f t="shared" si="34"/>
        <v>41.737000000000002</v>
      </c>
      <c r="Z85" s="384">
        <f t="shared" si="35"/>
        <v>42.336379524053122</v>
      </c>
      <c r="AA85" s="385">
        <f t="shared" si="36"/>
        <v>43.861315168253959</v>
      </c>
      <c r="AB85" s="196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3.4767212026158331E-2</v>
      </c>
      <c r="AD85" s="230">
        <f>(INDEX(Models!$BJ85:$BT85,,AH85)*(1-AF85)+INDEX(Models!$BJ85:$BT85,,AH85+1)*AF85-ERP_i)*AE85*Ramure*Pc/MaxiM</f>
        <v>1.0600565067955384E-4</v>
      </c>
      <c r="AE85" s="304">
        <f t="shared" si="38"/>
        <v>0.5</v>
      </c>
      <c r="AF85" s="176">
        <f t="shared" si="39"/>
        <v>0.1416182150441726</v>
      </c>
      <c r="AG85" s="814">
        <f t="shared" si="47"/>
        <v>0</v>
      </c>
      <c r="AH85" s="175">
        <f t="shared" si="40"/>
        <v>6</v>
      </c>
      <c r="AI85" s="224">
        <f t="shared" si="41"/>
        <v>0.1416182150441726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43902</v>
      </c>
      <c r="B86" s="616">
        <v>15.688000000000001</v>
      </c>
      <c r="C86" s="389"/>
      <c r="D86" s="392">
        <f t="shared" si="24"/>
        <v>15.913641837887191</v>
      </c>
      <c r="E86" s="384">
        <f t="shared" si="45"/>
        <v>16.487492236567689</v>
      </c>
      <c r="F86" s="384">
        <f t="shared" si="25"/>
        <v>16.487581974861296</v>
      </c>
      <c r="G86" s="110">
        <f t="shared" si="46"/>
        <v>0.33594320399090455</v>
      </c>
      <c r="H86" s="413" t="b">
        <f>Wh_hp&gt;='2019'!Maxi_hp</f>
        <v>0</v>
      </c>
      <c r="I86" s="379">
        <f>IF(H86,Wh_hp,'2019'!Maxi_hp)</f>
        <v>23.015558931893313</v>
      </c>
      <c r="J86" s="85">
        <f>IF(H86,An,'2019'!An_max)</f>
        <v>2019</v>
      </c>
      <c r="K86" s="196">
        <f t="shared" si="26"/>
        <v>43902</v>
      </c>
      <c r="L86" s="147">
        <f>IF(t&lt;Tvie,1-EXP((T0-t)*PertePVj)+'2019'!Pspv,1-EXP((T0-t)*PertePVj)+Pspv)</f>
        <v>1.417914517530372E-2</v>
      </c>
      <c r="M86" s="847"/>
      <c r="N86" s="847"/>
      <c r="O86" s="48">
        <f>IF(t&lt;Tnet,'2019'!Resal+('2019'!Salim-'2019'!Resal)*(1-EXP(('2019'!Tnet-t)/('2019'!Tau_j))),Resal+(Salim-Resal)*(1-EXP((Tnet-t)/(Tau_j))))*Salcycl</f>
        <v>3.4805195990191364E-2</v>
      </c>
      <c r="P86" s="168">
        <f>(INDEX(Models!$BJ86:$BT86,,T86)*(1-R86)+INDEX(Models!$BJ86:$BT86,,T86+1)*R86-ERP_i)*Q86*Ramure*Pc/MaxiM</f>
        <v>1.0589963711280892E-4</v>
      </c>
      <c r="Q86" s="304">
        <f t="shared" si="27"/>
        <v>0.5</v>
      </c>
      <c r="R86" s="176">
        <f t="shared" si="28"/>
        <v>0.14191513899228006</v>
      </c>
      <c r="S86" s="814">
        <f t="shared" si="29"/>
        <v>0</v>
      </c>
      <c r="T86" s="175">
        <f t="shared" si="30"/>
        <v>6</v>
      </c>
      <c r="U86" s="250">
        <f t="shared" si="31"/>
        <v>0.14191513899228006</v>
      </c>
      <c r="V86" s="382">
        <f t="shared" si="32"/>
        <v>46.693678687080151</v>
      </c>
      <c r="W86" s="401"/>
      <c r="X86" s="157">
        <f t="shared" si="33"/>
        <v>43902</v>
      </c>
      <c r="Y86" s="384">
        <f t="shared" si="34"/>
        <v>15.688000000000002</v>
      </c>
      <c r="Z86" s="384">
        <f t="shared" si="35"/>
        <v>15.913641837887193</v>
      </c>
      <c r="AA86" s="385">
        <f t="shared" si="36"/>
        <v>16.487492236567689</v>
      </c>
      <c r="AB86" s="196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3.4805195990191364E-2</v>
      </c>
      <c r="AD86" s="230">
        <f>(INDEX(Models!$BJ86:$BT86,,AH86)*(1-AF86)+INDEX(Models!$BJ86:$BT86,,AH86+1)*AF86-ERP_i)*AE86*Ramure*Pc/MaxiM</f>
        <v>1.0589963711280892E-4</v>
      </c>
      <c r="AE86" s="304">
        <f t="shared" si="38"/>
        <v>0.5</v>
      </c>
      <c r="AF86" s="176">
        <f t="shared" si="39"/>
        <v>0.14191513899228006</v>
      </c>
      <c r="AG86" s="814">
        <f t="shared" si="47"/>
        <v>0</v>
      </c>
      <c r="AH86" s="175">
        <f t="shared" si="40"/>
        <v>6</v>
      </c>
      <c r="AI86" s="224">
        <f t="shared" si="41"/>
        <v>0.14191513899228006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43903</v>
      </c>
      <c r="B87" s="616">
        <v>38.277999999999999</v>
      </c>
      <c r="C87" s="389"/>
      <c r="D87" s="392">
        <f t="shared" si="24"/>
        <v>38.829406192272181</v>
      </c>
      <c r="E87" s="384">
        <f t="shared" si="45"/>
        <v>40.231190923611862</v>
      </c>
      <c r="F87" s="384">
        <f t="shared" si="25"/>
        <v>40.234319557946243</v>
      </c>
      <c r="G87" s="110">
        <f t="shared" si="46"/>
        <v>0.81428823528891636</v>
      </c>
      <c r="H87" s="413" t="b">
        <f>Wh_hp&gt;='2019'!Maxi_hp</f>
        <v>1</v>
      </c>
      <c r="I87" s="379">
        <f>IF(H87,Wh_hp,'2019'!Maxi_hp)</f>
        <v>40.234319557946243</v>
      </c>
      <c r="J87" s="85">
        <f>IF(H87,An,'2019'!An_max)</f>
        <v>2020</v>
      </c>
      <c r="K87" s="196">
        <f t="shared" si="26"/>
        <v>43903</v>
      </c>
      <c r="L87" s="147">
        <f>IF(t&lt;Tvie,1-EXP((T0-t)*PertePVj)+'2019'!Pspv,1-EXP((T0-t)*PertePVj)+Pspv)</f>
        <v>1.4200737182066936E-2</v>
      </c>
      <c r="M87" s="847"/>
      <c r="N87" s="847"/>
      <c r="O87" s="48">
        <f>IF(t&lt;Tnet,'2019'!Resal+('2019'!Salim-'2019'!Resal)*(1-EXP(('2019'!Tnet-t)/('2019'!Tau_j))),Resal+(Salim-Resal)*(1-EXP((Tnet-t)/(Tau_j))))*Salcycl</f>
        <v>3.4843232307025067E-2</v>
      </c>
      <c r="P87" s="168">
        <f>(INDEX(Models!$BJ87:$BT87,,T87)*(1-R87)+INDEX(Models!$BJ87:$BT87,,T87+1)*R87-ERP_i)*Q87*Ramure*Pc/MaxiM</f>
        <v>1.0583523773242219E-4</v>
      </c>
      <c r="Q87" s="304">
        <f t="shared" si="27"/>
        <v>0.5</v>
      </c>
      <c r="R87" s="176">
        <f t="shared" si="28"/>
        <v>0.14222388053210264</v>
      </c>
      <c r="S87" s="814">
        <f t="shared" si="29"/>
        <v>0</v>
      </c>
      <c r="T87" s="175">
        <f t="shared" si="30"/>
        <v>6</v>
      </c>
      <c r="U87" s="250">
        <f t="shared" si="31"/>
        <v>0.14222388053210264</v>
      </c>
      <c r="V87" s="382">
        <f t="shared" si="32"/>
        <v>47.006604795020081</v>
      </c>
      <c r="W87" s="401"/>
      <c r="X87" s="157">
        <f t="shared" si="33"/>
        <v>43903</v>
      </c>
      <c r="Y87" s="384">
        <f t="shared" si="34"/>
        <v>38.277999999999999</v>
      </c>
      <c r="Z87" s="384">
        <f t="shared" si="35"/>
        <v>38.829406192272181</v>
      </c>
      <c r="AA87" s="385">
        <f t="shared" si="36"/>
        <v>40.231190923611862</v>
      </c>
      <c r="AB87" s="196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3.4843232307025067E-2</v>
      </c>
      <c r="AD87" s="230">
        <f>(INDEX(Models!$BJ87:$BT87,,AH87)*(1-AF87)+INDEX(Models!$BJ87:$BT87,,AH87+1)*AF87-ERP_i)*AE87*Ramure*Pc/MaxiM</f>
        <v>1.0583523773242219E-4</v>
      </c>
      <c r="AE87" s="304">
        <f t="shared" si="38"/>
        <v>0.5</v>
      </c>
      <c r="AF87" s="176">
        <f t="shared" si="39"/>
        <v>0.14222388053210264</v>
      </c>
      <c r="AG87" s="814">
        <f t="shared" si="47"/>
        <v>0</v>
      </c>
      <c r="AH87" s="175">
        <f t="shared" si="40"/>
        <v>6</v>
      </c>
      <c r="AI87" s="224">
        <f t="shared" si="41"/>
        <v>0.14222388053210264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43904</v>
      </c>
      <c r="B88" s="616">
        <v>32.607999999999997</v>
      </c>
      <c r="C88" s="389"/>
      <c r="D88" s="392">
        <f t="shared" si="24"/>
        <v>33.078452626670149</v>
      </c>
      <c r="E88" s="384">
        <f t="shared" si="45"/>
        <v>34.273974530672056</v>
      </c>
      <c r="F88" s="384">
        <f t="shared" si="25"/>
        <v>34.275990691254492</v>
      </c>
      <c r="G88" s="110">
        <f t="shared" si="46"/>
        <v>0.68909762072884595</v>
      </c>
      <c r="H88" s="413" t="b">
        <f>Wh_hp&gt;='2019'!Maxi_hp</f>
        <v>1</v>
      </c>
      <c r="I88" s="379">
        <f>IF(H88,Wh_hp,'2019'!Maxi_hp)</f>
        <v>34.275990691254492</v>
      </c>
      <c r="J88" s="85">
        <f>IF(H88,An,'2019'!An_max)</f>
        <v>2020</v>
      </c>
      <c r="K88" s="196">
        <f t="shared" si="26"/>
        <v>43904</v>
      </c>
      <c r="L88" s="147">
        <f>IF(t&lt;Tvie,1-EXP((T0-t)*PertePVj)+'2019'!Pspv,1-EXP((T0-t)*PertePVj)+Pspv)</f>
        <v>1.4222328715909782E-2</v>
      </c>
      <c r="M88" s="847"/>
      <c r="N88" s="847"/>
      <c r="O88" s="48">
        <f>IF(t&lt;Tnet,'2019'!Resal+('2019'!Salim-'2019'!Resal)*(1-EXP(('2019'!Tnet-t)/('2019'!Tau_j))),Resal+(Salim-Resal)*(1-EXP((Tnet-t)/(Tau_j))))*Salcycl</f>
        <v>3.4881332567135506E-2</v>
      </c>
      <c r="P88" s="168">
        <f>(INDEX(Models!$BJ88:$BT88,,T88)*(1-R88)+INDEX(Models!$BJ88:$BT88,,T88+1)*R88-ERP_i)*Q88*Ramure*Pc/MaxiM</f>
        <v>1.0581285265297113E-4</v>
      </c>
      <c r="Q88" s="304">
        <f t="shared" si="27"/>
        <v>0.5</v>
      </c>
      <c r="R88" s="176">
        <f t="shared" si="28"/>
        <v>0.14254488289108161</v>
      </c>
      <c r="S88" s="814">
        <f t="shared" si="29"/>
        <v>0</v>
      </c>
      <c r="T88" s="175">
        <f t="shared" si="30"/>
        <v>6</v>
      </c>
      <c r="U88" s="250">
        <f t="shared" si="31"/>
        <v>0.14254488289108161</v>
      </c>
      <c r="V88" s="382">
        <f t="shared" si="32"/>
        <v>47.317631973490606</v>
      </c>
      <c r="W88" s="401"/>
      <c r="X88" s="157">
        <f t="shared" si="33"/>
        <v>43904</v>
      </c>
      <c r="Y88" s="384">
        <f t="shared" si="34"/>
        <v>32.607999999999997</v>
      </c>
      <c r="Z88" s="384">
        <f t="shared" si="35"/>
        <v>33.078452626670149</v>
      </c>
      <c r="AA88" s="385">
        <f t="shared" si="36"/>
        <v>34.273974530672056</v>
      </c>
      <c r="AB88" s="196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3.4881332567135506E-2</v>
      </c>
      <c r="AD88" s="230">
        <f>(INDEX(Models!$BJ88:$BT88,,AH88)*(1-AF88)+INDEX(Models!$BJ88:$BT88,,AH88+1)*AF88-ERP_i)*AE88*Ramure*Pc/MaxiM</f>
        <v>1.0581285265297113E-4</v>
      </c>
      <c r="AE88" s="304">
        <f t="shared" si="38"/>
        <v>0.5</v>
      </c>
      <c r="AF88" s="176">
        <f t="shared" si="39"/>
        <v>0.14254488289108161</v>
      </c>
      <c r="AG88" s="814">
        <f t="shared" si="47"/>
        <v>0</v>
      </c>
      <c r="AH88" s="175">
        <f t="shared" si="40"/>
        <v>6</v>
      </c>
      <c r="AI88" s="224">
        <f t="shared" si="41"/>
        <v>0.14254488289108161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43905</v>
      </c>
      <c r="B89" s="616">
        <v>49.015999999999998</v>
      </c>
      <c r="C89" s="389"/>
      <c r="D89" s="392">
        <f t="shared" si="24"/>
        <v>49.724268491353008</v>
      </c>
      <c r="E89" s="384">
        <f t="shared" si="45"/>
        <v>51.523441770328979</v>
      </c>
      <c r="F89" s="384">
        <f t="shared" si="25"/>
        <v>51.528895224299958</v>
      </c>
      <c r="G89" s="110">
        <f t="shared" si="46"/>
        <v>1.0291737731535828</v>
      </c>
      <c r="H89" s="413" t="b">
        <f>Wh_hp&gt;='2019'!Maxi_hp</f>
        <v>1</v>
      </c>
      <c r="I89" s="379">
        <f>IF(H89,Wh_hp,'2019'!Maxi_hp)</f>
        <v>51.528895224299958</v>
      </c>
      <c r="J89" s="85">
        <f>IF(H89,An,'2019'!An_max)</f>
        <v>2020</v>
      </c>
      <c r="K89" s="196">
        <f t="shared" si="26"/>
        <v>43905</v>
      </c>
      <c r="L89" s="147">
        <f>IF(t&lt;Tvie,1-EXP((T0-t)*PertePVj)+'2019'!Pspv,1-EXP((T0-t)*PertePVj)+Pspv)</f>
        <v>1.4243919776842584E-2</v>
      </c>
      <c r="M89" s="847"/>
      <c r="N89" s="847"/>
      <c r="O89" s="48">
        <f>IF(t&lt;Tnet,'2019'!Resal+('2019'!Salim-'2019'!Resal)*(1-EXP(('2019'!Tnet-t)/('2019'!Tau_j))),Resal+(Salim-Resal)*(1-EXP((Tnet-t)/(Tau_j))))*Salcycl</f>
        <v>3.4919508813017031E-2</v>
      </c>
      <c r="P89" s="168">
        <f>(INDEX(Models!$BJ89:$BT89,,T89)*(1-R89)+INDEX(Models!$BJ89:$BT89,,T89+1)*R89-ERP_i)*Q89*Ramure*Pc/MaxiM</f>
        <v>1.0583293018884506E-4</v>
      </c>
      <c r="Q89" s="304">
        <f t="shared" si="27"/>
        <v>0.5</v>
      </c>
      <c r="R89" s="176">
        <f t="shared" si="28"/>
        <v>0.14287860366674476</v>
      </c>
      <c r="S89" s="814">
        <f t="shared" si="29"/>
        <v>0</v>
      </c>
      <c r="T89" s="175">
        <f t="shared" si="30"/>
        <v>6</v>
      </c>
      <c r="U89" s="250">
        <f t="shared" si="31"/>
        <v>0.14287860366674476</v>
      </c>
      <c r="V89" s="382">
        <f t="shared" si="32"/>
        <v>47.626553725524602</v>
      </c>
      <c r="W89" s="401"/>
      <c r="X89" s="157">
        <f t="shared" si="33"/>
        <v>43905</v>
      </c>
      <c r="Y89" s="384">
        <f t="shared" si="34"/>
        <v>49.015999999999998</v>
      </c>
      <c r="Z89" s="384">
        <f t="shared" si="35"/>
        <v>49.724268491353008</v>
      </c>
      <c r="AA89" s="385">
        <f t="shared" si="36"/>
        <v>51.523441770328979</v>
      </c>
      <c r="AB89" s="196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3.4919508813017031E-2</v>
      </c>
      <c r="AD89" s="230">
        <f>(INDEX(Models!$BJ89:$BT89,,AH89)*(1-AF89)+INDEX(Models!$BJ89:$BT89,,AH89+1)*AF89-ERP_i)*AE89*Ramure*Pc/MaxiM</f>
        <v>1.0583293018884506E-4</v>
      </c>
      <c r="AE89" s="304">
        <f t="shared" si="38"/>
        <v>0.5</v>
      </c>
      <c r="AF89" s="176">
        <f t="shared" si="39"/>
        <v>0.14287860366674476</v>
      </c>
      <c r="AG89" s="814">
        <f t="shared" si="47"/>
        <v>0</v>
      </c>
      <c r="AH89" s="175">
        <f t="shared" si="40"/>
        <v>6</v>
      </c>
      <c r="AI89" s="224">
        <f t="shared" si="41"/>
        <v>0.14287860366674476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43906</v>
      </c>
      <c r="B90" s="616">
        <v>8.452</v>
      </c>
      <c r="C90" s="389"/>
      <c r="D90" s="392">
        <f t="shared" si="24"/>
        <v>8.5743170081515157</v>
      </c>
      <c r="E90" s="384">
        <f t="shared" si="45"/>
        <v>8.8849138127890708</v>
      </c>
      <c r="F90" s="384">
        <f t="shared" si="25"/>
        <v>8.8849138127890708</v>
      </c>
      <c r="G90" s="110">
        <f t="shared" si="46"/>
        <v>0.17631018564993767</v>
      </c>
      <c r="H90" s="413" t="b">
        <f>Wh_hp&gt;='2019'!Maxi_hp</f>
        <v>0</v>
      </c>
      <c r="I90" s="379">
        <f>IF(H90,Wh_hp,'2019'!Maxi_hp)</f>
        <v>16.388388472743916</v>
      </c>
      <c r="J90" s="85">
        <f>IF(H90,An,'2019'!An_max)</f>
        <v>2019</v>
      </c>
      <c r="K90" s="196">
        <f t="shared" si="26"/>
        <v>43906</v>
      </c>
      <c r="L90" s="147">
        <f>IF(t&lt;Tvie,1-EXP((T0-t)*PertePVj)+'2019'!Pspv,1-EXP((T0-t)*PertePVj)+Pspv)</f>
        <v>1.4265510364875778E-2</v>
      </c>
      <c r="M90" s="847"/>
      <c r="N90" s="847"/>
      <c r="O90" s="48">
        <f>IF(t&lt;Tnet,'2019'!Resal+('2019'!Salim-'2019'!Resal)*(1-EXP(('2019'!Tnet-t)/('2019'!Tau_j))),Resal+(Salim-Resal)*(1-EXP((Tnet-t)/(Tau_j))))*Salcycl</f>
        <v>3.4957773500343584E-2</v>
      </c>
      <c r="P90" s="168">
        <f>(INDEX(Models!$BJ90:$BT90,,T90)*(1-R90)+INDEX(Models!$BJ90:$BT90,,T90+1)*R90-ERP_i)*Q90*Ramure*Pc/MaxiM</f>
        <v>1.058959684283314E-4</v>
      </c>
      <c r="Q90" s="304">
        <f t="shared" si="27"/>
        <v>0.5</v>
      </c>
      <c r="R90" s="176">
        <f t="shared" si="28"/>
        <v>0.1432255151022033</v>
      </c>
      <c r="S90" s="814">
        <f t="shared" si="29"/>
        <v>0</v>
      </c>
      <c r="T90" s="175">
        <f t="shared" si="30"/>
        <v>6</v>
      </c>
      <c r="U90" s="250">
        <f t="shared" si="31"/>
        <v>0.1432255151022033</v>
      </c>
      <c r="V90" s="382">
        <f t="shared" si="32"/>
        <v>47.933163566933324</v>
      </c>
      <c r="W90" s="401"/>
      <c r="X90" s="157">
        <f t="shared" si="33"/>
        <v>43906</v>
      </c>
      <c r="Y90" s="384">
        <f t="shared" si="34"/>
        <v>8.452</v>
      </c>
      <c r="Z90" s="384">
        <f t="shared" si="35"/>
        <v>8.5743170081515157</v>
      </c>
      <c r="AA90" s="385">
        <f t="shared" si="36"/>
        <v>8.8849138127890708</v>
      </c>
      <c r="AB90" s="196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3.4957773500343584E-2</v>
      </c>
      <c r="AD90" s="230">
        <f>(INDEX(Models!$BJ90:$BT90,,AH90)*(1-AF90)+INDEX(Models!$BJ90:$BT90,,AH90+1)*AF90-ERP_i)*AE90*Ramure*Pc/MaxiM</f>
        <v>1.058959684283314E-4</v>
      </c>
      <c r="AE90" s="304">
        <f t="shared" si="38"/>
        <v>0.5</v>
      </c>
      <c r="AF90" s="176">
        <f t="shared" si="39"/>
        <v>0.1432255151022033</v>
      </c>
      <c r="AG90" s="814">
        <f t="shared" si="47"/>
        <v>0</v>
      </c>
      <c r="AH90" s="175">
        <f t="shared" si="40"/>
        <v>6</v>
      </c>
      <c r="AI90" s="224">
        <f t="shared" si="41"/>
        <v>0.1432255151022033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43907</v>
      </c>
      <c r="B91" s="616">
        <v>10</v>
      </c>
      <c r="C91" s="389"/>
      <c r="D91" s="392">
        <f t="shared" si="24"/>
        <v>10.144941802902013</v>
      </c>
      <c r="E91" s="384">
        <f t="shared" si="45"/>
        <v>10.512851002691933</v>
      </c>
      <c r="F91" s="384">
        <f t="shared" si="25"/>
        <v>10.512851002691933</v>
      </c>
      <c r="G91" s="110">
        <f t="shared" si="46"/>
        <v>0.20728667020729261</v>
      </c>
      <c r="H91" s="413" t="b">
        <f>Wh_hp&gt;='2019'!Maxi_hp</f>
        <v>0</v>
      </c>
      <c r="I91" s="379">
        <f>IF(H91,Wh_hp,'2019'!Maxi_hp)</f>
        <v>31.959695723000372</v>
      </c>
      <c r="J91" s="85">
        <f>IF(H91,An,'2019'!An_max)</f>
        <v>2019</v>
      </c>
      <c r="K91" s="196">
        <f t="shared" si="26"/>
        <v>43907</v>
      </c>
      <c r="L91" s="147">
        <f>IF(t&lt;Tvie,1-EXP((T0-t)*PertePVj)+'2019'!Pspv,1-EXP((T0-t)*PertePVj)+Pspv)</f>
        <v>1.4287100480019688E-2</v>
      </c>
      <c r="M91" s="847"/>
      <c r="N91" s="847"/>
      <c r="O91" s="48">
        <f>IF(t&lt;Tnet,'2019'!Resal+('2019'!Salim-'2019'!Resal)*(1-EXP(('2019'!Tnet-t)/('2019'!Tau_j))),Resal+(Salim-Resal)*(1-EXP((Tnet-t)/(Tau_j))))*Salcycl</f>
        <v>3.499613945786105E-2</v>
      </c>
      <c r="P91" s="168">
        <f>(INDEX(Models!$BJ91:$BT91,,T91)*(1-R91)+INDEX(Models!$BJ91:$BT91,,T91+1)*R91-ERP_i)*Q91*Ramure*Pc/MaxiM</f>
        <v>1.0600251684874069E-4</v>
      </c>
      <c r="Q91" s="304">
        <f t="shared" si="27"/>
        <v>0.5</v>
      </c>
      <c r="R91" s="176">
        <f t="shared" si="28"/>
        <v>0.14358610434937857</v>
      </c>
      <c r="S91" s="814">
        <f t="shared" si="29"/>
        <v>0</v>
      </c>
      <c r="T91" s="175">
        <f t="shared" si="30"/>
        <v>6</v>
      </c>
      <c r="U91" s="250">
        <f t="shared" si="31"/>
        <v>0.14358610434937857</v>
      </c>
      <c r="V91" s="382">
        <f t="shared" si="32"/>
        <v>48.237255028662887</v>
      </c>
      <c r="W91" s="401"/>
      <c r="X91" s="157">
        <f t="shared" si="33"/>
        <v>43907</v>
      </c>
      <c r="Y91" s="384">
        <f t="shared" si="34"/>
        <v>10</v>
      </c>
      <c r="Z91" s="384">
        <f t="shared" si="35"/>
        <v>10.144941802902013</v>
      </c>
      <c r="AA91" s="385">
        <f t="shared" si="36"/>
        <v>10.512851002691933</v>
      </c>
      <c r="AB91" s="196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3.499613945786105E-2</v>
      </c>
      <c r="AD91" s="230">
        <f>(INDEX(Models!$BJ91:$BT91,,AH91)*(1-AF91)+INDEX(Models!$BJ91:$BT91,,AH91+1)*AF91-ERP_i)*AE91*Ramure*Pc/MaxiM</f>
        <v>1.0600251684874069E-4</v>
      </c>
      <c r="AE91" s="304">
        <f t="shared" si="38"/>
        <v>0.5</v>
      </c>
      <c r="AF91" s="176">
        <f t="shared" si="39"/>
        <v>0.14358610434937857</v>
      </c>
      <c r="AG91" s="814">
        <f t="shared" si="47"/>
        <v>0</v>
      </c>
      <c r="AH91" s="175">
        <f t="shared" si="40"/>
        <v>6</v>
      </c>
      <c r="AI91" s="224">
        <f t="shared" si="41"/>
        <v>0.14358610434937857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43908</v>
      </c>
      <c r="B92" s="616">
        <v>44.442</v>
      </c>
      <c r="C92" s="389"/>
      <c r="D92" s="392">
        <f t="shared" si="24"/>
        <v>45.087137884489884</v>
      </c>
      <c r="E92" s="384">
        <f t="shared" si="45"/>
        <v>46.72409892809894</v>
      </c>
      <c r="F92" s="384">
        <f t="shared" si="25"/>
        <v>46.728461228850939</v>
      </c>
      <c r="G92" s="110">
        <f t="shared" si="46"/>
        <v>0.91558906329117262</v>
      </c>
      <c r="H92" s="413" t="b">
        <f>Wh_hp&gt;='2019'!Maxi_hp</f>
        <v>1</v>
      </c>
      <c r="I92" s="379">
        <f>IF(H92,Wh_hp,'2019'!Maxi_hp)</f>
        <v>46.728461228850939</v>
      </c>
      <c r="J92" s="85">
        <f>IF(H92,An,'2019'!An_max)</f>
        <v>2020</v>
      </c>
      <c r="K92" s="196">
        <f t="shared" si="26"/>
        <v>43908</v>
      </c>
      <c r="L92" s="147">
        <f>IF(t&lt;Tvie,1-EXP((T0-t)*PertePVj)+'2019'!Pspv,1-EXP((T0-t)*PertePVj)+Pspv)</f>
        <v>1.430869012228464E-2</v>
      </c>
      <c r="M92" s="847"/>
      <c r="N92" s="847"/>
      <c r="O92" s="48">
        <f>IF(t&lt;Tnet,'2019'!Resal+('2019'!Salim-'2019'!Resal)*(1-EXP(('2019'!Tnet-t)/('2019'!Tau_j))),Resal+(Salim-Resal)*(1-EXP((Tnet-t)/(Tau_j))))*Salcycl</f>
        <v>3.5034619846346926E-2</v>
      </c>
      <c r="P92" s="168">
        <f>(INDEX(Models!$BJ92:$BT92,,T92)*(1-R92)+INDEX(Models!$BJ92:$BT92,,T92+1)*R92-ERP_i)*Q92*Ramure*Pc/MaxiM</f>
        <v>1.0615317799169805E-4</v>
      </c>
      <c r="Q92" s="304">
        <f t="shared" si="27"/>
        <v>0.5</v>
      </c>
      <c r="R92" s="176">
        <f t="shared" si="28"/>
        <v>0.1439608737179025</v>
      </c>
      <c r="S92" s="814">
        <f t="shared" si="29"/>
        <v>0</v>
      </c>
      <c r="T92" s="175">
        <f t="shared" si="30"/>
        <v>6</v>
      </c>
      <c r="U92" s="250">
        <f t="shared" si="31"/>
        <v>0.1439608737179025</v>
      </c>
      <c r="V92" s="382">
        <f t="shared" si="32"/>
        <v>48.538621657922697</v>
      </c>
      <c r="W92" s="401"/>
      <c r="X92" s="157">
        <f t="shared" si="33"/>
        <v>43908</v>
      </c>
      <c r="Y92" s="384">
        <f t="shared" si="34"/>
        <v>44.442</v>
      </c>
      <c r="Z92" s="384">
        <f t="shared" si="35"/>
        <v>45.087137884489884</v>
      </c>
      <c r="AA92" s="385">
        <f t="shared" si="36"/>
        <v>46.72409892809894</v>
      </c>
      <c r="AB92" s="196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3.5034619846346926E-2</v>
      </c>
      <c r="AD92" s="230">
        <f>(INDEX(Models!$BJ92:$BT92,,AH92)*(1-AF92)+INDEX(Models!$BJ92:$BT92,,AH92+1)*AF92-ERP_i)*AE92*Ramure*Pc/MaxiM</f>
        <v>1.0615317799169805E-4</v>
      </c>
      <c r="AE92" s="304">
        <f t="shared" si="38"/>
        <v>0.5</v>
      </c>
      <c r="AF92" s="176">
        <f t="shared" si="39"/>
        <v>0.1439608737179025</v>
      </c>
      <c r="AG92" s="814">
        <f t="shared" si="47"/>
        <v>0</v>
      </c>
      <c r="AH92" s="175">
        <f t="shared" si="40"/>
        <v>6</v>
      </c>
      <c r="AI92" s="224">
        <f t="shared" si="41"/>
        <v>0.1439608737179025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43909</v>
      </c>
      <c r="B93" s="616">
        <v>44.884999999999998</v>
      </c>
      <c r="C93" s="389"/>
      <c r="D93" s="392">
        <f t="shared" si="24"/>
        <v>45.537566039610986</v>
      </c>
      <c r="E93" s="384">
        <f t="shared" si="45"/>
        <v>47.192768784666676</v>
      </c>
      <c r="F93" s="384">
        <f t="shared" si="25"/>
        <v>47.197207310523396</v>
      </c>
      <c r="G93" s="110">
        <f t="shared" si="46"/>
        <v>0.91901785958933868</v>
      </c>
      <c r="H93" s="413" t="b">
        <f>Wh_hp&gt;='2019'!Maxi_hp</f>
        <v>0</v>
      </c>
      <c r="I93" s="379">
        <f>IF(H93,Wh_hp,'2019'!Maxi_hp)</f>
        <v>52.177110378201441</v>
      </c>
      <c r="J93" s="85">
        <f>IF(H93,An,'2019'!An_max)</f>
        <v>2019</v>
      </c>
      <c r="K93" s="196">
        <f t="shared" si="26"/>
        <v>43909</v>
      </c>
      <c r="L93" s="147">
        <f>IF(t&lt;Tvie,1-EXP((T0-t)*PertePVj)+'2019'!Pspv,1-EXP((T0-t)*PertePVj)+Pspv)</f>
        <v>1.4330279291680958E-2</v>
      </c>
      <c r="M93" s="847"/>
      <c r="N93" s="847"/>
      <c r="O93" s="48">
        <f>IF(t&lt;Tnet,'2019'!Resal+('2019'!Salim-'2019'!Resal)*(1-EXP(('2019'!Tnet-t)/('2019'!Tau_j))),Resal+(Salim-Resal)*(1-EXP((Tnet-t)/(Tau_j))))*Salcycl</f>
        <v>3.5073228116962687E-2</v>
      </c>
      <c r="P93" s="168">
        <f>(INDEX(Models!$BJ93:$BT93,,T93)*(1-R93)+INDEX(Models!$BJ93:$BT93,,T93+1)*R93-ERP_i)*Q93*Ramure*Pc/MaxiM</f>
        <v>1.0634311585353496E-4</v>
      </c>
      <c r="Q93" s="304">
        <f t="shared" si="27"/>
        <v>0.5</v>
      </c>
      <c r="R93" s="176">
        <f t="shared" si="28"/>
        <v>0.14435034090747539</v>
      </c>
      <c r="S93" s="814">
        <f t="shared" si="29"/>
        <v>0</v>
      </c>
      <c r="T93" s="175">
        <f t="shared" si="30"/>
        <v>6</v>
      </c>
      <c r="U93" s="250">
        <f t="shared" si="31"/>
        <v>0.14435034090747539</v>
      </c>
      <c r="V93" s="382">
        <f t="shared" si="32"/>
        <v>48.839581679437352</v>
      </c>
      <c r="W93" s="401"/>
      <c r="X93" s="157">
        <f t="shared" si="33"/>
        <v>43909</v>
      </c>
      <c r="Y93" s="384">
        <f t="shared" si="34"/>
        <v>44.884999999999998</v>
      </c>
      <c r="Z93" s="384">
        <f t="shared" si="35"/>
        <v>45.537566039610986</v>
      </c>
      <c r="AA93" s="385">
        <f t="shared" si="36"/>
        <v>47.192768784666676</v>
      </c>
      <c r="AB93" s="196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3.5073228116962687E-2</v>
      </c>
      <c r="AD93" s="230">
        <f>(INDEX(Models!$BJ93:$BT93,,AH93)*(1-AF93)+INDEX(Models!$BJ93:$BT93,,AH93+1)*AF93-ERP_i)*AE93*Ramure*Pc/MaxiM</f>
        <v>1.0634311585353496E-4</v>
      </c>
      <c r="AE93" s="304">
        <f t="shared" si="38"/>
        <v>0.5</v>
      </c>
      <c r="AF93" s="176">
        <f t="shared" si="39"/>
        <v>0.14435034090747539</v>
      </c>
      <c r="AG93" s="814">
        <f t="shared" si="47"/>
        <v>0</v>
      </c>
      <c r="AH93" s="175">
        <f t="shared" si="40"/>
        <v>6</v>
      </c>
      <c r="AI93" s="224">
        <f t="shared" si="41"/>
        <v>0.14435034090747539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43910</v>
      </c>
      <c r="B94" s="616">
        <v>49.201000000000001</v>
      </c>
      <c r="C94" s="389"/>
      <c r="D94" s="392">
        <f t="shared" si="24"/>
        <v>49.917408050657102</v>
      </c>
      <c r="E94" s="384">
        <f t="shared" si="45"/>
        <v>51.733887156772397</v>
      </c>
      <c r="F94" s="384">
        <f t="shared" si="25"/>
        <v>51.739394586450686</v>
      </c>
      <c r="G94" s="110">
        <f t="shared" si="46"/>
        <v>1.0012010524684187</v>
      </c>
      <c r="H94" s="413" t="b">
        <f>Wh_hp&gt;='2019'!Maxi_hp</f>
        <v>1</v>
      </c>
      <c r="I94" s="379">
        <f>IF(H94,Wh_hp,'2019'!Maxi_hp)</f>
        <v>51.739394586450686</v>
      </c>
      <c r="J94" s="85">
        <f>IF(H94,An,'2019'!An_max)</f>
        <v>2020</v>
      </c>
      <c r="K94" s="196">
        <f t="shared" si="26"/>
        <v>43910</v>
      </c>
      <c r="L94" s="147">
        <f>IF(t&lt;Tvie,1-EXP((T0-t)*PertePVj)+'2019'!Pspv,1-EXP((T0-t)*PertePVj)+Pspv)</f>
        <v>1.4351867988219191E-2</v>
      </c>
      <c r="M94" s="847"/>
      <c r="N94" s="847"/>
      <c r="O94" s="48">
        <f>IF(t&lt;Tnet,'2019'!Resal+('2019'!Salim-'2019'!Resal)*(1-EXP(('2019'!Tnet-t)/('2019'!Tau_j))),Resal+(Salim-Resal)*(1-EXP((Tnet-t)/(Tau_j))))*Salcycl</f>
        <v>3.5111977969308782E-2</v>
      </c>
      <c r="P94" s="168">
        <f>(INDEX(Models!$BJ94:$BT94,,T94)*(1-R94)+INDEX(Models!$BJ94:$BT94,,T94+1)*R94-ERP_i)*Q94*Ramure*Pc/MaxiM</f>
        <v>1.0644557637963526E-4</v>
      </c>
      <c r="Q94" s="304">
        <f t="shared" si="27"/>
        <v>0.5</v>
      </c>
      <c r="R94" s="176">
        <f t="shared" si="28"/>
        <v>0.14475503922129554</v>
      </c>
      <c r="S94" s="814">
        <f t="shared" si="29"/>
        <v>0</v>
      </c>
      <c r="T94" s="175">
        <f t="shared" si="30"/>
        <v>6</v>
      </c>
      <c r="U94" s="250">
        <f t="shared" si="31"/>
        <v>0.14475503922129554</v>
      </c>
      <c r="V94" s="382">
        <f t="shared" si="32"/>
        <v>49.141977906132851</v>
      </c>
      <c r="W94" s="401"/>
      <c r="X94" s="157">
        <f t="shared" si="33"/>
        <v>43910</v>
      </c>
      <c r="Y94" s="384">
        <f t="shared" si="34"/>
        <v>49.201000000000001</v>
      </c>
      <c r="Z94" s="384">
        <f t="shared" si="35"/>
        <v>49.917408050657102</v>
      </c>
      <c r="AA94" s="385">
        <f t="shared" si="36"/>
        <v>51.733887156772397</v>
      </c>
      <c r="AB94" s="196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3.5111977969308782E-2</v>
      </c>
      <c r="AD94" s="230">
        <f>(INDEX(Models!$BJ94:$BT94,,AH94)*(1-AF94)+INDEX(Models!$BJ94:$BT94,,AH94+1)*AF94-ERP_i)*AE94*Ramure*Pc/MaxiM</f>
        <v>1.0644557637963526E-4</v>
      </c>
      <c r="AE94" s="304">
        <f t="shared" si="38"/>
        <v>0.5</v>
      </c>
      <c r="AF94" s="176">
        <f t="shared" si="39"/>
        <v>0.14475503922129554</v>
      </c>
      <c r="AG94" s="814">
        <f t="shared" si="47"/>
        <v>0</v>
      </c>
      <c r="AH94" s="175">
        <f t="shared" si="40"/>
        <v>6</v>
      </c>
      <c r="AI94" s="224">
        <f t="shared" si="41"/>
        <v>0.14475503922129554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43911</v>
      </c>
      <c r="B95" s="616">
        <v>48.043999999999997</v>
      </c>
      <c r="C95" s="389"/>
      <c r="D95" s="392">
        <f t="shared" si="24"/>
        <v>48.744628787442075</v>
      </c>
      <c r="E95" s="384">
        <f t="shared" si="45"/>
        <v>50.520467857853511</v>
      </c>
      <c r="F95" s="384">
        <f t="shared" si="25"/>
        <v>50.525625377640644</v>
      </c>
      <c r="G95" s="110">
        <f t="shared" si="46"/>
        <v>0.97166354460595805</v>
      </c>
      <c r="H95" s="413" t="b">
        <f>Wh_hp&gt;='2019'!Maxi_hp</f>
        <v>0</v>
      </c>
      <c r="I95" s="379">
        <f>IF(H95,Wh_hp,'2019'!Maxi_hp)</f>
        <v>50.590016829396532</v>
      </c>
      <c r="J95" s="85">
        <f>IF(H95,An,'2019'!An_max)</f>
        <v>2019</v>
      </c>
      <c r="K95" s="196">
        <f t="shared" si="26"/>
        <v>43911</v>
      </c>
      <c r="L95" s="147">
        <f>IF(t&lt;Tvie,1-EXP((T0-t)*PertePVj)+'2019'!Pspv,1-EXP((T0-t)*PertePVj)+Pspv)</f>
        <v>1.4373456211909441E-2</v>
      </c>
      <c r="M95" s="847"/>
      <c r="N95" s="847"/>
      <c r="O95" s="48">
        <f>IF(t&lt;Tnet,'2019'!Resal+('2019'!Salim-'2019'!Resal)*(1-EXP(('2019'!Tnet-t)/('2019'!Tau_j))),Resal+(Salim-Resal)*(1-EXP((Tnet-t)/(Tau_j))))*Salcycl</f>
        <v>3.5150883309473926E-2</v>
      </c>
      <c r="P95" s="168">
        <f>(INDEX(Models!$BJ95:$BT95,,T95)*(1-R95)+INDEX(Models!$BJ95:$BT95,,T95+1)*R95-ERP_i)*Q95*Ramure*Pc/MaxiM</f>
        <v>1.0638312967088384E-4</v>
      </c>
      <c r="Q95" s="304">
        <f t="shared" si="27"/>
        <v>0.5</v>
      </c>
      <c r="R95" s="176">
        <f t="shared" si="28"/>
        <v>0.14517551775800036</v>
      </c>
      <c r="S95" s="814">
        <f t="shared" si="29"/>
        <v>0</v>
      </c>
      <c r="T95" s="175">
        <f t="shared" si="30"/>
        <v>6</v>
      </c>
      <c r="U95" s="250">
        <f t="shared" si="31"/>
        <v>0.14517551775800036</v>
      </c>
      <c r="V95" s="382">
        <f t="shared" si="32"/>
        <v>49.444885914119141</v>
      </c>
      <c r="W95" s="401"/>
      <c r="X95" s="157">
        <f t="shared" si="33"/>
        <v>43911</v>
      </c>
      <c r="Y95" s="384">
        <f t="shared" si="34"/>
        <v>48.043999999999997</v>
      </c>
      <c r="Z95" s="384">
        <f t="shared" si="35"/>
        <v>48.744628787442075</v>
      </c>
      <c r="AA95" s="385">
        <f t="shared" si="36"/>
        <v>50.520467857853511</v>
      </c>
      <c r="AB95" s="196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3.5150883309473926E-2</v>
      </c>
      <c r="AD95" s="230">
        <f>(INDEX(Models!$BJ95:$BT95,,AH95)*(1-AF95)+INDEX(Models!$BJ95:$BT95,,AH95+1)*AF95-ERP_i)*AE95*Ramure*Pc/MaxiM</f>
        <v>1.0638312967088384E-4</v>
      </c>
      <c r="AE95" s="304">
        <f t="shared" si="38"/>
        <v>0.5</v>
      </c>
      <c r="AF95" s="176">
        <f t="shared" si="39"/>
        <v>0.14517551775800036</v>
      </c>
      <c r="AG95" s="814">
        <f t="shared" si="47"/>
        <v>0</v>
      </c>
      <c r="AH95" s="175">
        <f t="shared" si="40"/>
        <v>6</v>
      </c>
      <c r="AI95" s="224">
        <f t="shared" si="41"/>
        <v>0.14517551775800036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43912</v>
      </c>
      <c r="B96" s="616">
        <v>44.305</v>
      </c>
      <c r="C96" s="389"/>
      <c r="D96" s="392">
        <f t="shared" si="24"/>
        <v>44.952087272505644</v>
      </c>
      <c r="E96" s="384">
        <f t="shared" si="45"/>
        <v>46.591645324326876</v>
      </c>
      <c r="F96" s="384">
        <f t="shared" si="25"/>
        <v>46.595818881469654</v>
      </c>
      <c r="G96" s="110">
        <f t="shared" si="46"/>
        <v>0.89058493325743715</v>
      </c>
      <c r="H96" s="413" t="b">
        <f>Wh_hp&gt;='2019'!Maxi_hp</f>
        <v>0</v>
      </c>
      <c r="I96" s="379">
        <f>IF(H96,Wh_hp,'2019'!Maxi_hp)</f>
        <v>47.690474211698294</v>
      </c>
      <c r="J96" s="85">
        <f>IF(H96,An,'2019'!An_max)</f>
        <v>2019</v>
      </c>
      <c r="K96" s="196">
        <f t="shared" si="26"/>
        <v>43912</v>
      </c>
      <c r="L96" s="147">
        <f>IF(t&lt;Tvie,1-EXP((T0-t)*PertePVj)+'2019'!Pspv,1-EXP((T0-t)*PertePVj)+Pspv)</f>
        <v>1.4395043962762255E-2</v>
      </c>
      <c r="M96" s="847"/>
      <c r="N96" s="847"/>
      <c r="O96" s="48">
        <f>IF(t&lt;Tnet,'2019'!Resal+('2019'!Salim-'2019'!Resal)*(1-EXP(('2019'!Tnet-t)/('2019'!Tau_j))),Resal+(Salim-Resal)*(1-EXP((Tnet-t)/(Tau_j))))*Salcycl</f>
        <v>3.5189958208347867E-2</v>
      </c>
      <c r="P96" s="168">
        <f>(INDEX(Models!$BJ96:$BT96,,T96)*(1-R96)+INDEX(Models!$BJ96:$BT96,,T96+1)*R96-ERP_i)*Q96*Ramure*Pc/MaxiM</f>
        <v>1.0616081049581081E-4</v>
      </c>
      <c r="Q96" s="304">
        <f t="shared" si="27"/>
        <v>0.5</v>
      </c>
      <c r="R96" s="176">
        <f t="shared" si="28"/>
        <v>0.14561234157937714</v>
      </c>
      <c r="S96" s="814">
        <f t="shared" si="29"/>
        <v>0</v>
      </c>
      <c r="T96" s="175">
        <f t="shared" si="30"/>
        <v>6</v>
      </c>
      <c r="U96" s="250">
        <f t="shared" si="31"/>
        <v>0.14561234157937714</v>
      </c>
      <c r="V96" s="382">
        <f t="shared" si="32"/>
        <v>49.747377476264916</v>
      </c>
      <c r="W96" s="401"/>
      <c r="X96" s="157">
        <f t="shared" si="33"/>
        <v>43912</v>
      </c>
      <c r="Y96" s="384">
        <f t="shared" si="34"/>
        <v>44.305</v>
      </c>
      <c r="Z96" s="384">
        <f t="shared" si="35"/>
        <v>44.952087272505644</v>
      </c>
      <c r="AA96" s="385">
        <f t="shared" si="36"/>
        <v>46.591645324326876</v>
      </c>
      <c r="AB96" s="196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3.5189958208347867E-2</v>
      </c>
      <c r="AD96" s="230">
        <f>(INDEX(Models!$BJ96:$BT96,,AH96)*(1-AF96)+INDEX(Models!$BJ96:$BT96,,AH96+1)*AF96-ERP_i)*AE96*Ramure*Pc/MaxiM</f>
        <v>1.0616081049581081E-4</v>
      </c>
      <c r="AE96" s="304">
        <f t="shared" si="38"/>
        <v>0.5</v>
      </c>
      <c r="AF96" s="176">
        <f t="shared" si="39"/>
        <v>0.14561234157937714</v>
      </c>
      <c r="AG96" s="814">
        <f t="shared" si="47"/>
        <v>0</v>
      </c>
      <c r="AH96" s="175">
        <f t="shared" si="40"/>
        <v>6</v>
      </c>
      <c r="AI96" s="224">
        <f t="shared" si="41"/>
        <v>0.14561234157937714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43913</v>
      </c>
      <c r="B97" s="616">
        <v>39.073</v>
      </c>
      <c r="C97" s="389"/>
      <c r="D97" s="392">
        <f t="shared" si="24"/>
        <v>39.644540724333112</v>
      </c>
      <c r="E97" s="384">
        <f t="shared" si="45"/>
        <v>41.092186265551938</v>
      </c>
      <c r="F97" s="384">
        <f t="shared" si="25"/>
        <v>41.095171556032255</v>
      </c>
      <c r="G97" s="110">
        <f t="shared" si="46"/>
        <v>0.78067646060458706</v>
      </c>
      <c r="H97" s="413" t="b">
        <f>Wh_hp&gt;='2019'!Maxi_hp</f>
        <v>0</v>
      </c>
      <c r="I97" s="379">
        <f>IF(H97,Wh_hp,'2019'!Maxi_hp)</f>
        <v>51.00316102488015</v>
      </c>
      <c r="J97" s="85">
        <f>IF(H97,An,'2019'!An_max)</f>
        <v>2019</v>
      </c>
      <c r="K97" s="196">
        <f t="shared" si="26"/>
        <v>43913</v>
      </c>
      <c r="L97" s="147">
        <f>IF(t&lt;Tvie,1-EXP((T0-t)*PertePVj)+'2019'!Pspv,1-EXP((T0-t)*PertePVj)+Pspv)</f>
        <v>1.4416631240787958E-2</v>
      </c>
      <c r="M97" s="847"/>
      <c r="N97" s="847"/>
      <c r="O97" s="48">
        <f>IF(t&lt;Tnet,'2019'!Resal+('2019'!Salim-'2019'!Resal)*(1-EXP(('2019'!Tnet-t)/('2019'!Tau_j))),Resal+(Salim-Resal)*(1-EXP((Tnet-t)/(Tau_j))))*Salcycl</f>
        <v>3.5229216860442523E-2</v>
      </c>
      <c r="P97" s="168">
        <f>(INDEX(Models!$BJ97:$BT97,,T97)*(1-R97)+INDEX(Models!$BJ97:$BT97,,T97+1)*R97-ERP_i)*Q97*Ramure*Pc/MaxiM</f>
        <v>1.0578342068307086E-4</v>
      </c>
      <c r="Q97" s="304">
        <f t="shared" si="27"/>
        <v>0.5</v>
      </c>
      <c r="R97" s="176">
        <f t="shared" si="28"/>
        <v>0.14606609185091302</v>
      </c>
      <c r="S97" s="814">
        <f t="shared" si="29"/>
        <v>0</v>
      </c>
      <c r="T97" s="175">
        <f t="shared" si="30"/>
        <v>6</v>
      </c>
      <c r="U97" s="250">
        <f t="shared" si="31"/>
        <v>0.14606609185091302</v>
      </c>
      <c r="V97" s="382">
        <f t="shared" si="32"/>
        <v>50.048524574777005</v>
      </c>
      <c r="W97" s="401"/>
      <c r="X97" s="157">
        <f t="shared" si="33"/>
        <v>43913</v>
      </c>
      <c r="Y97" s="384">
        <f t="shared" si="34"/>
        <v>39.073</v>
      </c>
      <c r="Z97" s="384">
        <f t="shared" si="35"/>
        <v>39.644540724333112</v>
      </c>
      <c r="AA97" s="385">
        <f t="shared" si="36"/>
        <v>41.092186265551938</v>
      </c>
      <c r="AB97" s="196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3.5229216860442523E-2</v>
      </c>
      <c r="AD97" s="230">
        <f>(INDEX(Models!$BJ97:$BT97,,AH97)*(1-AF97)+INDEX(Models!$BJ97:$BT97,,AH97+1)*AF97-ERP_i)*AE97*Ramure*Pc/MaxiM</f>
        <v>1.0578342068307086E-4</v>
      </c>
      <c r="AE97" s="304">
        <f t="shared" si="38"/>
        <v>0.5</v>
      </c>
      <c r="AF97" s="176">
        <f t="shared" si="39"/>
        <v>0.14606609185091302</v>
      </c>
      <c r="AG97" s="814">
        <f t="shared" si="47"/>
        <v>0</v>
      </c>
      <c r="AH97" s="175">
        <f t="shared" si="40"/>
        <v>6</v>
      </c>
      <c r="AI97" s="224">
        <f t="shared" si="41"/>
        <v>0.14606609185091302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43914</v>
      </c>
      <c r="B98" s="616">
        <v>48.154000000000003</v>
      </c>
      <c r="C98" s="389"/>
      <c r="D98" s="392">
        <f t="shared" si="24"/>
        <v>48.859443295912399</v>
      </c>
      <c r="E98" s="384">
        <f t="shared" si="45"/>
        <v>50.645648126066483</v>
      </c>
      <c r="F98" s="384">
        <f t="shared" si="25"/>
        <v>50.650647588143606</v>
      </c>
      <c r="G98" s="110">
        <f t="shared" si="46"/>
        <v>0.95642843701013069</v>
      </c>
      <c r="H98" s="413" t="b">
        <f>Wh_hp&gt;='2019'!Maxi_hp</f>
        <v>1</v>
      </c>
      <c r="I98" s="379">
        <f>IF(H98,Wh_hp,'2019'!Maxi_hp)</f>
        <v>50.650647588143606</v>
      </c>
      <c r="J98" s="85">
        <f>IF(H98,An,'2019'!An_max)</f>
        <v>2020</v>
      </c>
      <c r="K98" s="196">
        <f t="shared" si="26"/>
        <v>43914</v>
      </c>
      <c r="L98" s="147">
        <f>IF(t&lt;Tvie,1-EXP((T0-t)*PertePVj)+'2019'!Pspv,1-EXP((T0-t)*PertePVj)+Pspv)</f>
        <v>1.4438218045996765E-2</v>
      </c>
      <c r="M98" s="847"/>
      <c r="N98" s="847"/>
      <c r="O98" s="48">
        <f>IF(t&lt;Tnet,'2019'!Resal+('2019'!Salim-'2019'!Resal)*(1-EXP(('2019'!Tnet-t)/('2019'!Tau_j))),Resal+(Salim-Resal)*(1-EXP((Tnet-t)/(Tau_j))))*Salcycl</f>
        <v>3.5268673543438198E-2</v>
      </c>
      <c r="P98" s="168">
        <f>(INDEX(Models!$BJ98:$BT98,,T98)*(1-R98)+INDEX(Models!$BJ98:$BT98,,T98+1)*R98-ERP_i)*Q98*Ramure*Pc/MaxiM</f>
        <v>1.052554964000322E-4</v>
      </c>
      <c r="Q98" s="304">
        <f t="shared" si="27"/>
        <v>0.5</v>
      </c>
      <c r="R98" s="176">
        <f t="shared" si="28"/>
        <v>0.14653736595206138</v>
      </c>
      <c r="S98" s="814">
        <f t="shared" si="29"/>
        <v>0</v>
      </c>
      <c r="T98" s="175">
        <f t="shared" si="30"/>
        <v>6</v>
      </c>
      <c r="U98" s="250">
        <f t="shared" si="31"/>
        <v>0.14653736595206138</v>
      </c>
      <c r="V98" s="382">
        <f t="shared" si="32"/>
        <v>50.347399411496177</v>
      </c>
      <c r="W98" s="401"/>
      <c r="X98" s="157">
        <f t="shared" si="33"/>
        <v>43914</v>
      </c>
      <c r="Y98" s="384">
        <f t="shared" si="34"/>
        <v>48.154000000000003</v>
      </c>
      <c r="Z98" s="384">
        <f t="shared" si="35"/>
        <v>48.859443295912399</v>
      </c>
      <c r="AA98" s="385">
        <f t="shared" si="36"/>
        <v>50.645648126066483</v>
      </c>
      <c r="AB98" s="196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3.5268673543438198E-2</v>
      </c>
      <c r="AD98" s="230">
        <f>(INDEX(Models!$BJ98:$BT98,,AH98)*(1-AF98)+INDEX(Models!$BJ98:$BT98,,AH98+1)*AF98-ERP_i)*AE98*Ramure*Pc/MaxiM</f>
        <v>1.052554964000322E-4</v>
      </c>
      <c r="AE98" s="304">
        <f t="shared" si="38"/>
        <v>0.5</v>
      </c>
      <c r="AF98" s="176">
        <f t="shared" si="39"/>
        <v>0.14653736595206138</v>
      </c>
      <c r="AG98" s="814">
        <f t="shared" si="47"/>
        <v>0</v>
      </c>
      <c r="AH98" s="175">
        <f t="shared" si="40"/>
        <v>6</v>
      </c>
      <c r="AI98" s="224">
        <f t="shared" si="41"/>
        <v>0.14653736595206138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43915</v>
      </c>
      <c r="B99" s="616">
        <v>51.462000000000003</v>
      </c>
      <c r="C99" s="389"/>
      <c r="D99" s="392">
        <f t="shared" si="24"/>
        <v>52.217048303688763</v>
      </c>
      <c r="E99" s="384">
        <f t="shared" si="45"/>
        <v>54.128226259638339</v>
      </c>
      <c r="F99" s="384">
        <f t="shared" si="25"/>
        <v>54.133887650796829</v>
      </c>
      <c r="G99" s="110">
        <f t="shared" si="46"/>
        <v>1.0161705347191705</v>
      </c>
      <c r="H99" s="413" t="b">
        <f>Wh_hp&gt;='2019'!Maxi_hp</f>
        <v>0</v>
      </c>
      <c r="I99" s="379">
        <f>IF(H99,Wh_hp,'2019'!Maxi_hp)</f>
        <v>54.179948097742042</v>
      </c>
      <c r="J99" s="85">
        <f>IF(H99,An,'2019'!An_max)</f>
        <v>2019</v>
      </c>
      <c r="K99" s="196">
        <f t="shared" si="26"/>
        <v>43915</v>
      </c>
      <c r="L99" s="147">
        <f>IF(t&lt;Tvie,1-EXP((T0-t)*PertePVj)+'2019'!Pspv,1-EXP((T0-t)*PertePVj)+Pspv)</f>
        <v>1.4459804378399221E-2</v>
      </c>
      <c r="M99" s="847"/>
      <c r="N99" s="847"/>
      <c r="O99" s="48">
        <f>IF(t&lt;Tnet,'2019'!Resal+('2019'!Salim-'2019'!Resal)*(1-EXP(('2019'!Tnet-t)/('2019'!Tau_j))),Resal+(Salim-Resal)*(1-EXP((Tnet-t)/(Tau_j))))*Salcycl</f>
        <v>3.53083425786423E-2</v>
      </c>
      <c r="P99" s="168">
        <f>(INDEX(Models!$BJ99:$BT99,,T99)*(1-R99)+INDEX(Models!$BJ99:$BT99,,T99+1)*R99-ERP_i)*Q99*Ramure*Pc/MaxiM</f>
        <v>1.045812780898014E-4</v>
      </c>
      <c r="Q99" s="304">
        <f t="shared" si="27"/>
        <v>0.5</v>
      </c>
      <c r="R99" s="176">
        <f t="shared" si="28"/>
        <v>0.14702677755290355</v>
      </c>
      <c r="S99" s="814">
        <f t="shared" si="29"/>
        <v>0</v>
      </c>
      <c r="T99" s="175">
        <f t="shared" si="30"/>
        <v>6</v>
      </c>
      <c r="U99" s="250">
        <f t="shared" si="31"/>
        <v>0.14702677755290355</v>
      </c>
      <c r="V99" s="382">
        <f t="shared" si="32"/>
        <v>50.64307440701581</v>
      </c>
      <c r="W99" s="401"/>
      <c r="X99" s="157">
        <f t="shared" si="33"/>
        <v>43915</v>
      </c>
      <c r="Y99" s="384">
        <f t="shared" si="34"/>
        <v>51.462000000000003</v>
      </c>
      <c r="Z99" s="384">
        <f t="shared" si="35"/>
        <v>52.217048303688763</v>
      </c>
      <c r="AA99" s="385">
        <f t="shared" si="36"/>
        <v>54.128226259638339</v>
      </c>
      <c r="AB99" s="196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3.53083425786423E-2</v>
      </c>
      <c r="AD99" s="230">
        <f>(INDEX(Models!$BJ99:$BT99,,AH99)*(1-AF99)+INDEX(Models!$BJ99:$BT99,,AH99+1)*AF99-ERP_i)*AE99*Ramure*Pc/MaxiM</f>
        <v>1.045812780898014E-4</v>
      </c>
      <c r="AE99" s="304">
        <f t="shared" si="38"/>
        <v>0.5</v>
      </c>
      <c r="AF99" s="176">
        <f t="shared" si="39"/>
        <v>0.14702677755290355</v>
      </c>
      <c r="AG99" s="814">
        <f t="shared" si="47"/>
        <v>0</v>
      </c>
      <c r="AH99" s="175">
        <f t="shared" si="40"/>
        <v>6</v>
      </c>
      <c r="AI99" s="224">
        <f t="shared" si="41"/>
        <v>0.14702677755290355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43916</v>
      </c>
      <c r="B100" s="616">
        <v>28.582999999999998</v>
      </c>
      <c r="C100" s="389"/>
      <c r="D100" s="392">
        <f t="shared" si="24"/>
        <v>29.003003816338765</v>
      </c>
      <c r="E100" s="384">
        <f t="shared" si="45"/>
        <v>30.065776031966152</v>
      </c>
      <c r="F100" s="384">
        <f t="shared" si="25"/>
        <v>30.066940069370119</v>
      </c>
      <c r="G100" s="110">
        <f t="shared" si="46"/>
        <v>0.56113384903584873</v>
      </c>
      <c r="H100" s="413" t="b">
        <f>Wh_hp&gt;='2019'!Maxi_hp</f>
        <v>0</v>
      </c>
      <c r="I100" s="379">
        <f>IF(H100,Wh_hp,'2019'!Maxi_hp)</f>
        <v>53.631049698889107</v>
      </c>
      <c r="J100" s="85">
        <f>IF(H100,An,'2019'!An_max)</f>
        <v>2019</v>
      </c>
      <c r="K100" s="196">
        <f t="shared" si="26"/>
        <v>43916</v>
      </c>
      <c r="L100" s="147">
        <f>IF(t&lt;Tvie,1-EXP((T0-t)*PertePVj)+'2019'!Pspv,1-EXP((T0-t)*PertePVj)+Pspv)</f>
        <v>1.4481390238005543E-2</v>
      </c>
      <c r="M100" s="847"/>
      <c r="N100" s="847"/>
      <c r="O100" s="48">
        <f>IF(t&lt;Tnet,'2019'!Resal+('2019'!Salim-'2019'!Resal)*(1-EXP(('2019'!Tnet-t)/('2019'!Tau_j))),Resal+(Salim-Resal)*(1-EXP((Tnet-t)/(Tau_j))))*Salcycl</f>
        <v>3.5348238292517035E-2</v>
      </c>
      <c r="P100" s="168">
        <f>(INDEX(Models!$BJ100:$BT100,,T100)*(1-R100)+INDEX(Models!$BJ100:$BT100,,T100+1)*R100-ERP_i)*Q100*Ramure*Pc/MaxiM</f>
        <v>1.0376523279822785E-4</v>
      </c>
      <c r="Q100" s="304">
        <f t="shared" si="27"/>
        <v>0.5</v>
      </c>
      <c r="R100" s="176">
        <f t="shared" si="28"/>
        <v>0.1475349566536823</v>
      </c>
      <c r="S100" s="814">
        <f t="shared" si="29"/>
        <v>0</v>
      </c>
      <c r="T100" s="175">
        <f t="shared" si="30"/>
        <v>6</v>
      </c>
      <c r="U100" s="250">
        <f t="shared" si="31"/>
        <v>0.1475349566536823</v>
      </c>
      <c r="V100" s="382">
        <f t="shared" si="32"/>
        <v>50.934622180329093</v>
      </c>
      <c r="W100" s="401"/>
      <c r="X100" s="157">
        <f t="shared" si="33"/>
        <v>43916</v>
      </c>
      <c r="Y100" s="384">
        <f t="shared" si="34"/>
        <v>28.582999999999998</v>
      </c>
      <c r="Z100" s="384">
        <f t="shared" si="35"/>
        <v>29.003003816338765</v>
      </c>
      <c r="AA100" s="385">
        <f t="shared" si="36"/>
        <v>30.065776031966152</v>
      </c>
      <c r="AB100" s="196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3.5348238292517035E-2</v>
      </c>
      <c r="AD100" s="230">
        <f>(INDEX(Models!$BJ100:$BT100,,AH100)*(1-AF100)+INDEX(Models!$BJ100:$BT100,,AH100+1)*AF100-ERP_i)*AE100*Ramure*Pc/MaxiM</f>
        <v>1.0376523279822785E-4</v>
      </c>
      <c r="AE100" s="304">
        <f t="shared" si="38"/>
        <v>0.5</v>
      </c>
      <c r="AF100" s="176">
        <f t="shared" si="39"/>
        <v>0.1475349566536823</v>
      </c>
      <c r="AG100" s="814">
        <f t="shared" si="47"/>
        <v>0</v>
      </c>
      <c r="AH100" s="175">
        <f t="shared" si="40"/>
        <v>6</v>
      </c>
      <c r="AI100" s="224">
        <f t="shared" si="41"/>
        <v>0.1475349566536823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43917</v>
      </c>
      <c r="B101" s="616">
        <v>46.758000000000003</v>
      </c>
      <c r="C101" s="389"/>
      <c r="D101" s="392">
        <f t="shared" si="24"/>
        <v>47.44610977353846</v>
      </c>
      <c r="E101" s="384">
        <f t="shared" si="45"/>
        <v>49.186748887175391</v>
      </c>
      <c r="F101" s="384">
        <f t="shared" si="25"/>
        <v>49.191178958347457</v>
      </c>
      <c r="G101" s="110">
        <f t="shared" si="46"/>
        <v>0.91285406616333653</v>
      </c>
      <c r="H101" s="413" t="b">
        <f>Wh_hp&gt;='2019'!Maxi_hp</f>
        <v>0</v>
      </c>
      <c r="I101" s="379">
        <f>IF(H101,Wh_hp,'2019'!Maxi_hp)</f>
        <v>52.658123194281352</v>
      </c>
      <c r="J101" s="85">
        <f>IF(H101,An,'2019'!An_max)</f>
        <v>2019</v>
      </c>
      <c r="K101" s="196">
        <f t="shared" si="26"/>
        <v>43917</v>
      </c>
      <c r="L101" s="147">
        <f>IF(t&lt;Tvie,1-EXP((T0-t)*PertePVj)+'2019'!Pspv,1-EXP((T0-t)*PertePVj)+Pspv)</f>
        <v>1.4502975624826164E-2</v>
      </c>
      <c r="M101" s="847"/>
      <c r="N101" s="847"/>
      <c r="O101" s="48">
        <f>IF(t&lt;Tnet,'2019'!Resal+('2019'!Salim-'2019'!Resal)*(1-EXP(('2019'!Tnet-t)/('2019'!Tau_j))),Resal+(Salim-Resal)*(1-EXP((Tnet-t)/(Tau_j))))*Salcycl</f>
        <v>3.5388374979399624E-2</v>
      </c>
      <c r="P101" s="168">
        <f>(INDEX(Models!$BJ101:$BT101,,T101)*(1-R101)+INDEX(Models!$BJ101:$BT101,,T101+1)*R101-ERP_i)*Q101*Ramure*Pc/MaxiM</f>
        <v>1.0286228242780595E-4</v>
      </c>
      <c r="Q101" s="304">
        <f t="shared" si="27"/>
        <v>0.5</v>
      </c>
      <c r="R101" s="176">
        <f t="shared" si="28"/>
        <v>0.14806254958348083</v>
      </c>
      <c r="S101" s="814">
        <f t="shared" si="29"/>
        <v>0</v>
      </c>
      <c r="T101" s="175">
        <f t="shared" si="30"/>
        <v>6</v>
      </c>
      <c r="U101" s="250">
        <f t="shared" si="31"/>
        <v>0.14806254958348083</v>
      </c>
      <c r="V101" s="382">
        <f t="shared" si="32"/>
        <v>51.221112977393496</v>
      </c>
      <c r="W101" s="401"/>
      <c r="X101" s="157">
        <f t="shared" si="33"/>
        <v>43917</v>
      </c>
      <c r="Y101" s="384">
        <f t="shared" si="34"/>
        <v>46.758000000000003</v>
      </c>
      <c r="Z101" s="384">
        <f t="shared" si="35"/>
        <v>47.44610977353846</v>
      </c>
      <c r="AA101" s="385">
        <f t="shared" si="36"/>
        <v>49.186748887175391</v>
      </c>
      <c r="AB101" s="196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3.5388374979399624E-2</v>
      </c>
      <c r="AD101" s="230">
        <f>(INDEX(Models!$BJ101:$BT101,,AH101)*(1-AF101)+INDEX(Models!$BJ101:$BT101,,AH101+1)*AF101-ERP_i)*AE101*Ramure*Pc/MaxiM</f>
        <v>1.0286228242780595E-4</v>
      </c>
      <c r="AE101" s="304">
        <f t="shared" si="38"/>
        <v>0.5</v>
      </c>
      <c r="AF101" s="176">
        <f t="shared" si="39"/>
        <v>0.14806254958348083</v>
      </c>
      <c r="AG101" s="814">
        <f t="shared" si="47"/>
        <v>0</v>
      </c>
      <c r="AH101" s="175">
        <f t="shared" si="40"/>
        <v>6</v>
      </c>
      <c r="AI101" s="224">
        <f t="shared" si="41"/>
        <v>0.14806254958348083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43918</v>
      </c>
      <c r="B102" s="616">
        <v>46.308</v>
      </c>
      <c r="C102" s="389"/>
      <c r="D102" s="392">
        <f t="shared" si="24"/>
        <v>46.99051660315537</v>
      </c>
      <c r="E102" s="384">
        <f t="shared" si="45"/>
        <v>48.716481467577935</v>
      </c>
      <c r="F102" s="384">
        <f t="shared" si="25"/>
        <v>48.720729856075586</v>
      </c>
      <c r="G102" s="110">
        <f t="shared" si="46"/>
        <v>0.89914298622978495</v>
      </c>
      <c r="H102" s="413" t="b">
        <f>Wh_hp&gt;='2019'!Maxi_hp</f>
        <v>0</v>
      </c>
      <c r="I102" s="379">
        <f>IF(H102,Wh_hp,'2019'!Maxi_hp)</f>
        <v>53.618871231907633</v>
      </c>
      <c r="J102" s="85">
        <f>IF(H102,An,'2019'!An_max)</f>
        <v>2019</v>
      </c>
      <c r="K102" s="196">
        <f t="shared" si="26"/>
        <v>43918</v>
      </c>
      <c r="L102" s="147">
        <f>IF(t&lt;Tvie,1-EXP((T0-t)*PertePVj)+'2019'!Pspv,1-EXP((T0-t)*PertePVj)+Pspv)</f>
        <v>1.4524560538871412E-2</v>
      </c>
      <c r="M102" s="847"/>
      <c r="N102" s="847"/>
      <c r="O102" s="48">
        <f>IF(t&lt;Tnet,'2019'!Resal+('2019'!Salim-'2019'!Resal)*(1-EXP(('2019'!Tnet-t)/('2019'!Tau_j))),Resal+(Salim-Resal)*(1-EXP((Tnet-t)/(Tau_j))))*Salcycl</f>
        <v>3.5428766865506015E-2</v>
      </c>
      <c r="P102" s="168">
        <f>(INDEX(Models!$BJ102:$BT102,,T102)*(1-R102)+INDEX(Models!$BJ102:$BT102,,T102+1)*R102-ERP_i)*Q102*Ramure*Pc/MaxiM</f>
        <v>1.0187519026115868E-4</v>
      </c>
      <c r="Q102" s="304">
        <f t="shared" si="27"/>
        <v>0.5</v>
      </c>
      <c r="R102" s="176">
        <f t="shared" si="28"/>
        <v>0.14861021895411267</v>
      </c>
      <c r="S102" s="814">
        <f t="shared" si="29"/>
        <v>0</v>
      </c>
      <c r="T102" s="175">
        <f t="shared" si="30"/>
        <v>6</v>
      </c>
      <c r="U102" s="250">
        <f t="shared" si="31"/>
        <v>0.14861021895411267</v>
      </c>
      <c r="V102" s="382">
        <f t="shared" si="32"/>
        <v>51.501619892489238</v>
      </c>
      <c r="W102" s="401"/>
      <c r="X102" s="157">
        <f t="shared" si="33"/>
        <v>43918</v>
      </c>
      <c r="Y102" s="384">
        <f t="shared" si="34"/>
        <v>46.308</v>
      </c>
      <c r="Z102" s="384">
        <f t="shared" si="35"/>
        <v>46.99051660315537</v>
      </c>
      <c r="AA102" s="385">
        <f t="shared" si="36"/>
        <v>48.716481467577935</v>
      </c>
      <c r="AB102" s="196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3.5428766865506015E-2</v>
      </c>
      <c r="AD102" s="230">
        <f>(INDEX(Models!$BJ102:$BT102,,AH102)*(1-AF102)+INDEX(Models!$BJ102:$BT102,,AH102+1)*AF102-ERP_i)*AE102*Ramure*Pc/MaxiM</f>
        <v>1.0187519026115868E-4</v>
      </c>
      <c r="AE102" s="304">
        <f t="shared" si="38"/>
        <v>0.5</v>
      </c>
      <c r="AF102" s="176">
        <f t="shared" si="39"/>
        <v>0.14861021895411267</v>
      </c>
      <c r="AG102" s="814">
        <f t="shared" si="47"/>
        <v>0</v>
      </c>
      <c r="AH102" s="175">
        <f t="shared" si="40"/>
        <v>6</v>
      </c>
      <c r="AI102" s="224">
        <f t="shared" si="41"/>
        <v>0.14861021895411267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43919</v>
      </c>
      <c r="B103" s="616">
        <v>30.193000000000001</v>
      </c>
      <c r="C103" s="389"/>
      <c r="D103" s="392">
        <f t="shared" si="24"/>
        <v>30.638674602771609</v>
      </c>
      <c r="E103" s="384">
        <f t="shared" si="45"/>
        <v>31.765374260351596</v>
      </c>
      <c r="F103" s="384">
        <f t="shared" si="25"/>
        <v>31.766669609370421</v>
      </c>
      <c r="G103" s="110">
        <f t="shared" si="46"/>
        <v>0.58312045103880961</v>
      </c>
      <c r="H103" s="413" t="b">
        <f>Wh_hp&gt;='2019'!Maxi_hp</f>
        <v>0</v>
      </c>
      <c r="I103" s="379">
        <f>IF(H103,Wh_hp,'2019'!Maxi_hp)</f>
        <v>54.590031723801168</v>
      </c>
      <c r="J103" s="85">
        <f>IF(H103,An,'2019'!An_max)</f>
        <v>2019</v>
      </c>
      <c r="K103" s="196">
        <f t="shared" si="26"/>
        <v>43919</v>
      </c>
      <c r="L103" s="147">
        <f>IF(t&lt;Tvie,1-EXP((T0-t)*PertePVj)+'2019'!Pspv,1-EXP((T0-t)*PertePVj)+Pspv)</f>
        <v>1.4546144980151721E-2</v>
      </c>
      <c r="M103" s="847"/>
      <c r="N103" s="847"/>
      <c r="O103" s="48">
        <f>IF(t&lt;Tnet,'2019'!Resal+('2019'!Salim-'2019'!Resal)*(1-EXP(('2019'!Tnet-t)/('2019'!Tau_j))),Resal+(Salim-Resal)*(1-EXP((Tnet-t)/(Tau_j))))*Salcycl</f>
        <v>3.5469428074275701E-2</v>
      </c>
      <c r="P103" s="168">
        <f>(INDEX(Models!$BJ103:$BT103,,T103)*(1-R103)+INDEX(Models!$BJ103:$BT103,,T103+1)*R103-ERP_i)*Q103*Ramure*Pc/MaxiM</f>
        <v>1.0080642554289572E-4</v>
      </c>
      <c r="Q103" s="304">
        <f t="shared" si="27"/>
        <v>0.5</v>
      </c>
      <c r="R103" s="176">
        <f t="shared" si="28"/>
        <v>0.14917864356508367</v>
      </c>
      <c r="S103" s="814">
        <f t="shared" si="29"/>
        <v>0</v>
      </c>
      <c r="T103" s="175">
        <f t="shared" si="30"/>
        <v>6</v>
      </c>
      <c r="U103" s="250">
        <f t="shared" si="31"/>
        <v>0.14917864356508367</v>
      </c>
      <c r="V103" s="382">
        <f t="shared" si="32"/>
        <v>51.775216258348166</v>
      </c>
      <c r="W103" s="401"/>
      <c r="X103" s="157">
        <f t="shared" si="33"/>
        <v>43919</v>
      </c>
      <c r="Y103" s="384">
        <f t="shared" si="34"/>
        <v>30.193000000000001</v>
      </c>
      <c r="Z103" s="384">
        <f t="shared" si="35"/>
        <v>30.638674602771609</v>
      </c>
      <c r="AA103" s="385">
        <f t="shared" si="36"/>
        <v>31.765374260351596</v>
      </c>
      <c r="AB103" s="196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3.5469428074275701E-2</v>
      </c>
      <c r="AD103" s="230">
        <f>(INDEX(Models!$BJ103:$BT103,,AH103)*(1-AF103)+INDEX(Models!$BJ103:$BT103,,AH103+1)*AF103-ERP_i)*AE103*Ramure*Pc/MaxiM</f>
        <v>1.0080642554289572E-4</v>
      </c>
      <c r="AE103" s="304">
        <f t="shared" si="38"/>
        <v>0.5</v>
      </c>
      <c r="AF103" s="176">
        <f t="shared" si="39"/>
        <v>0.14917864356508367</v>
      </c>
      <c r="AG103" s="814">
        <f t="shared" si="47"/>
        <v>0</v>
      </c>
      <c r="AH103" s="175">
        <f t="shared" si="40"/>
        <v>6</v>
      </c>
      <c r="AI103" s="224">
        <f t="shared" si="41"/>
        <v>0.14917864356508367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43920</v>
      </c>
      <c r="B104" s="616">
        <v>22.658999999999999</v>
      </c>
      <c r="C104" s="389"/>
      <c r="D104" s="392">
        <f t="shared" si="24"/>
        <v>22.993969921267055</v>
      </c>
      <c r="E104" s="384">
        <f t="shared" si="45"/>
        <v>23.840556982543795</v>
      </c>
      <c r="F104" s="384">
        <f t="shared" si="25"/>
        <v>23.84101658290524</v>
      </c>
      <c r="G104" s="110">
        <f t="shared" si="46"/>
        <v>0.43537190339777521</v>
      </c>
      <c r="H104" s="413" t="b">
        <f>Wh_hp&gt;='2019'!Maxi_hp</f>
        <v>0</v>
      </c>
      <c r="I104" s="379">
        <f>IF(H104,Wh_hp,'2019'!Maxi_hp)</f>
        <v>46.12693840051368</v>
      </c>
      <c r="J104" s="85">
        <f>IF(H104,An,'2019'!An_max)</f>
        <v>2019</v>
      </c>
      <c r="K104" s="196">
        <f t="shared" si="26"/>
        <v>43920</v>
      </c>
      <c r="L104" s="147">
        <f>IF(t&lt;Tvie,1-EXP((T0-t)*PertePVj)+'2019'!Pspv,1-EXP((T0-t)*PertePVj)+Pspv)</f>
        <v>1.4567728948677305E-2</v>
      </c>
      <c r="M104" s="847"/>
      <c r="N104" s="847"/>
      <c r="O104" s="48">
        <f>IF(t&lt;Tnet,'2019'!Resal+('2019'!Salim-'2019'!Resal)*(1-EXP(('2019'!Tnet-t)/('2019'!Tau_j))),Resal+(Salim-Resal)*(1-EXP((Tnet-t)/(Tau_j))))*Salcycl</f>
        <v>3.5510372593082359E-2</v>
      </c>
      <c r="P104" s="168">
        <f>(INDEX(Models!$BJ104:$BT104,,T104)*(1-R104)+INDEX(Models!$BJ104:$BT104,,T104+1)*R104-ERP_i)*Q104*Ramure*Pc/MaxiM</f>
        <v>9.965815185859166E-5</v>
      </c>
      <c r="Q104" s="304">
        <f t="shared" si="27"/>
        <v>0.5</v>
      </c>
      <c r="R104" s="176">
        <f t="shared" si="28"/>
        <v>0.14976851825528223</v>
      </c>
      <c r="S104" s="814">
        <f t="shared" si="29"/>
        <v>0</v>
      </c>
      <c r="T104" s="175">
        <f t="shared" si="30"/>
        <v>6</v>
      </c>
      <c r="U104" s="250">
        <f t="shared" si="31"/>
        <v>0.14976851825528223</v>
      </c>
      <c r="V104" s="382">
        <f t="shared" si="32"/>
        <v>52.040975652728775</v>
      </c>
      <c r="W104" s="401"/>
      <c r="X104" s="157">
        <f t="shared" si="33"/>
        <v>43920</v>
      </c>
      <c r="Y104" s="384">
        <f t="shared" si="34"/>
        <v>22.658999999999999</v>
      </c>
      <c r="Z104" s="384">
        <f t="shared" si="35"/>
        <v>22.993969921267055</v>
      </c>
      <c r="AA104" s="385">
        <f t="shared" si="36"/>
        <v>23.840556982543795</v>
      </c>
      <c r="AB104" s="196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3.5510372593082359E-2</v>
      </c>
      <c r="AD104" s="230">
        <f>(INDEX(Models!$BJ104:$BT104,,AH104)*(1-AF104)+INDEX(Models!$BJ104:$BT104,,AH104+1)*AF104-ERP_i)*AE104*Ramure*Pc/MaxiM</f>
        <v>9.965815185859166E-5</v>
      </c>
      <c r="AE104" s="304">
        <f t="shared" si="38"/>
        <v>0.5</v>
      </c>
      <c r="AF104" s="176">
        <f t="shared" si="39"/>
        <v>0.14976851825528223</v>
      </c>
      <c r="AG104" s="814">
        <f t="shared" si="47"/>
        <v>0</v>
      </c>
      <c r="AH104" s="175">
        <f t="shared" si="40"/>
        <v>6</v>
      </c>
      <c r="AI104" s="224">
        <f t="shared" si="41"/>
        <v>0.14976851825528223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43921</v>
      </c>
      <c r="B105" s="616">
        <v>46.095999999999997</v>
      </c>
      <c r="C105" s="389"/>
      <c r="D105" s="392">
        <f t="shared" si="24"/>
        <v>46.778465651055619</v>
      </c>
      <c r="E105" s="384">
        <f t="shared" si="45"/>
        <v>48.502819167722159</v>
      </c>
      <c r="F105" s="384">
        <f t="shared" si="25"/>
        <v>48.506784913289032</v>
      </c>
      <c r="G105" s="110">
        <f t="shared" si="46"/>
        <v>0.88139615317711062</v>
      </c>
      <c r="H105" s="413" t="b">
        <f>Wh_hp&gt;='2019'!Maxi_hp</f>
        <v>1</v>
      </c>
      <c r="I105" s="379">
        <f>IF(H105,Wh_hp,'2019'!Maxi_hp)</f>
        <v>48.506784913289032</v>
      </c>
      <c r="J105" s="85">
        <f>IF(H105,An,'2019'!An_max)</f>
        <v>2020</v>
      </c>
      <c r="K105" s="196">
        <f t="shared" si="26"/>
        <v>43921</v>
      </c>
      <c r="L105" s="147">
        <f>IF(t&lt;Tvie,1-EXP((T0-t)*PertePVj)+'2019'!Pspv,1-EXP((T0-t)*PertePVj)+Pspv)</f>
        <v>1.4589312444458491E-2</v>
      </c>
      <c r="M105" s="847"/>
      <c r="N105" s="847"/>
      <c r="O105" s="48">
        <f>IF(t&lt;Tnet,'2019'!Resal+('2019'!Salim-'2019'!Resal)*(1-EXP(('2019'!Tnet-t)/('2019'!Tau_j))),Resal+(Salim-Resal)*(1-EXP((Tnet-t)/(Tau_j))))*Salcycl</f>
        <v>3.5551614241303042E-2</v>
      </c>
      <c r="P105" s="168">
        <f>(INDEX(Models!$BJ105:$BT105,,T105)*(1-R105)+INDEX(Models!$BJ105:$BT105,,T105+1)*R105-ERP_i)*Q105*Ramure*Pc/MaxiM</f>
        <v>9.8432216217222195E-5</v>
      </c>
      <c r="Q105" s="304">
        <f t="shared" si="27"/>
        <v>0.5</v>
      </c>
      <c r="R105" s="176">
        <f t="shared" si="28"/>
        <v>0.15038055369685335</v>
      </c>
      <c r="S105" s="814">
        <f t="shared" si="29"/>
        <v>0</v>
      </c>
      <c r="T105" s="175">
        <f t="shared" si="30"/>
        <v>6</v>
      </c>
      <c r="U105" s="250">
        <f t="shared" si="31"/>
        <v>0.15038055369685335</v>
      </c>
      <c r="V105" s="382">
        <f t="shared" si="32"/>
        <v>52.297971902594306</v>
      </c>
      <c r="W105" s="401"/>
      <c r="X105" s="157">
        <f t="shared" si="33"/>
        <v>43921</v>
      </c>
      <c r="Y105" s="384">
        <f t="shared" si="34"/>
        <v>46.095999999999997</v>
      </c>
      <c r="Z105" s="384">
        <f t="shared" si="35"/>
        <v>46.778465651055619</v>
      </c>
      <c r="AA105" s="385">
        <f t="shared" si="36"/>
        <v>48.502819167722159</v>
      </c>
      <c r="AB105" s="196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3.5551614241303042E-2</v>
      </c>
      <c r="AD105" s="230">
        <f>(INDEX(Models!$BJ105:$BT105,,AH105)*(1-AF105)+INDEX(Models!$BJ105:$BT105,,AH105+1)*AF105-ERP_i)*AE105*Ramure*Pc/MaxiM</f>
        <v>9.8432216217222195E-5</v>
      </c>
      <c r="AE105" s="304">
        <f t="shared" si="38"/>
        <v>0.5</v>
      </c>
      <c r="AF105" s="176">
        <f t="shared" si="39"/>
        <v>0.15038055369685335</v>
      </c>
      <c r="AG105" s="814">
        <f t="shared" si="47"/>
        <v>0</v>
      </c>
      <c r="AH105" s="175">
        <f t="shared" si="40"/>
        <v>6</v>
      </c>
      <c r="AI105" s="224">
        <f t="shared" si="41"/>
        <v>0.15038055369685335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43922</v>
      </c>
      <c r="B106" s="616">
        <v>41.034999999999997</v>
      </c>
      <c r="C106" s="389"/>
      <c r="D106" s="392">
        <f t="shared" si="24"/>
        <v>41.643448066607711</v>
      </c>
      <c r="E106" s="384">
        <f t="shared" si="45"/>
        <v>43.180374325541678</v>
      </c>
      <c r="F106" s="384">
        <f t="shared" si="25"/>
        <v>43.183256148076218</v>
      </c>
      <c r="G106" s="110">
        <f t="shared" si="46"/>
        <v>0.78092177535508778</v>
      </c>
      <c r="H106" s="413" t="b">
        <f>Wh_hp&gt;='2019'!Maxi_hp</f>
        <v>1</v>
      </c>
      <c r="I106" s="379">
        <f>IF(H106,Wh_hp,'2019'!Maxi_hp)</f>
        <v>43.183256148076218</v>
      </c>
      <c r="J106" s="85">
        <f>IF(H106,An,'2019'!An_max)</f>
        <v>2020</v>
      </c>
      <c r="K106" s="196">
        <f t="shared" si="26"/>
        <v>43922</v>
      </c>
      <c r="L106" s="147">
        <f>IF(t&lt;Tvie,1-EXP((T0-t)*PertePVj)+'2019'!Pspv,1-EXP((T0-t)*PertePVj)+Pspv)</f>
        <v>1.4610895467505824E-2</v>
      </c>
      <c r="M106" s="847"/>
      <c r="N106" s="847"/>
      <c r="O106" s="48">
        <f>IF(t&lt;Tnet,'2019'!Resal+('2019'!Salim-'2019'!Resal)*(1-EXP(('2019'!Tnet-t)/('2019'!Tau_j))),Resal+(Salim-Resal)*(1-EXP((Tnet-t)/(Tau_j))))*Salcycl</f>
        <v>3.5593166639707838E-2</v>
      </c>
      <c r="P106" s="168">
        <f>(INDEX(Models!$BJ106:$BT106,,T106)*(1-R106)+INDEX(Models!$BJ106:$BT106,,T106+1)*R106-ERP_i)*Q106*Ramure*Pc/MaxiM</f>
        <v>9.7130138580234026E-5</v>
      </c>
      <c r="Q106" s="304">
        <f t="shared" si="27"/>
        <v>0.5</v>
      </c>
      <c r="R106" s="176">
        <f t="shared" si="28"/>
        <v>0.15101547612651697</v>
      </c>
      <c r="S106" s="814">
        <f t="shared" si="29"/>
        <v>0</v>
      </c>
      <c r="T106" s="175">
        <f t="shared" si="30"/>
        <v>6</v>
      </c>
      <c r="U106" s="250">
        <f t="shared" si="31"/>
        <v>0.15101547612651697</v>
      </c>
      <c r="V106" s="382">
        <f t="shared" si="32"/>
        <v>52.545279099335758</v>
      </c>
      <c r="W106" s="401"/>
      <c r="X106" s="157">
        <f t="shared" si="33"/>
        <v>43922</v>
      </c>
      <c r="Y106" s="384">
        <f t="shared" si="34"/>
        <v>41.034999999999997</v>
      </c>
      <c r="Z106" s="384">
        <f t="shared" si="35"/>
        <v>41.643448066607711</v>
      </c>
      <c r="AA106" s="385">
        <f t="shared" si="36"/>
        <v>43.180374325541678</v>
      </c>
      <c r="AB106" s="196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3.5593166639707838E-2</v>
      </c>
      <c r="AD106" s="230">
        <f>(INDEX(Models!$BJ106:$BT106,,AH106)*(1-AF106)+INDEX(Models!$BJ106:$BT106,,AH106+1)*AF106-ERP_i)*AE106*Ramure*Pc/MaxiM</f>
        <v>9.7130138580234026E-5</v>
      </c>
      <c r="AE106" s="304">
        <f t="shared" si="38"/>
        <v>0.5</v>
      </c>
      <c r="AF106" s="176">
        <f t="shared" si="39"/>
        <v>0.15101547612651697</v>
      </c>
      <c r="AG106" s="814">
        <f t="shared" si="47"/>
        <v>0</v>
      </c>
      <c r="AH106" s="175">
        <f t="shared" si="40"/>
        <v>6</v>
      </c>
      <c r="AI106" s="224">
        <f t="shared" si="41"/>
        <v>0.15101547612651697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43923</v>
      </c>
      <c r="B107" s="616">
        <v>24.574000000000002</v>
      </c>
      <c r="C107" s="389"/>
      <c r="D107" s="392">
        <f t="shared" si="24"/>
        <v>24.938918171939356</v>
      </c>
      <c r="E107" s="384">
        <f t="shared" si="45"/>
        <v>25.860456661764378</v>
      </c>
      <c r="F107" s="384">
        <f t="shared" si="25"/>
        <v>25.861042284078835</v>
      </c>
      <c r="G107" s="110">
        <f t="shared" si="46"/>
        <v>0.46551920194496166</v>
      </c>
      <c r="H107" s="413" t="b">
        <f>Wh_hp&gt;='2019'!Maxi_hp</f>
        <v>1</v>
      </c>
      <c r="I107" s="379">
        <f>IF(H107,Wh_hp,'2019'!Maxi_hp)</f>
        <v>25.861042284078835</v>
      </c>
      <c r="J107" s="85">
        <f>IF(H107,An,'2019'!An_max)</f>
        <v>2020</v>
      </c>
      <c r="K107" s="196">
        <f t="shared" si="26"/>
        <v>43923</v>
      </c>
      <c r="L107" s="147">
        <f>IF(t&lt;Tvie,1-EXP((T0-t)*PertePVj)+'2019'!Pspv,1-EXP((T0-t)*PertePVj)+Pspv)</f>
        <v>1.4632478017829631E-2</v>
      </c>
      <c r="M107" s="847"/>
      <c r="N107" s="847"/>
      <c r="O107" s="48">
        <f>IF(t&lt;Tnet,'2019'!Resal+('2019'!Salim-'2019'!Resal)*(1-EXP(('2019'!Tnet-t)/('2019'!Tau_j))),Resal+(Salim-Resal)*(1-EXP((Tnet-t)/(Tau_j))))*Salcycl</f>
        <v>3.5635043181103172E-2</v>
      </c>
      <c r="P107" s="168">
        <f>(INDEX(Models!$BJ107:$BT107,,T107)*(1-R107)+INDEX(Models!$BJ107:$BT107,,T107+1)*R107-ERP_i)*Q107*Ramure*Pc/MaxiM</f>
        <v>9.5748495223168698E-5</v>
      </c>
      <c r="Q107" s="304">
        <f t="shared" si="27"/>
        <v>0.5</v>
      </c>
      <c r="R107" s="176">
        <f t="shared" si="28"/>
        <v>0.15167402700940513</v>
      </c>
      <c r="S107" s="814">
        <f t="shared" si="29"/>
        <v>0</v>
      </c>
      <c r="T107" s="175">
        <f t="shared" si="30"/>
        <v>6</v>
      </c>
      <c r="U107" s="250">
        <f t="shared" si="31"/>
        <v>0.15167402700940513</v>
      </c>
      <c r="V107" s="382">
        <f t="shared" si="32"/>
        <v>52.78451116607922</v>
      </c>
      <c r="W107" s="401"/>
      <c r="X107" s="157">
        <f t="shared" si="33"/>
        <v>43923</v>
      </c>
      <c r="Y107" s="384">
        <f t="shared" si="34"/>
        <v>24.574000000000002</v>
      </c>
      <c r="Z107" s="384">
        <f t="shared" si="35"/>
        <v>24.938918171939356</v>
      </c>
      <c r="AA107" s="385">
        <f t="shared" si="36"/>
        <v>25.860456661764378</v>
      </c>
      <c r="AB107" s="196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3.5635043181103172E-2</v>
      </c>
      <c r="AD107" s="230">
        <f>(INDEX(Models!$BJ107:$BT107,,AH107)*(1-AF107)+INDEX(Models!$BJ107:$BT107,,AH107+1)*AF107-ERP_i)*AE107*Ramure*Pc/MaxiM</f>
        <v>9.5748495223168698E-5</v>
      </c>
      <c r="AE107" s="304">
        <f t="shared" si="38"/>
        <v>0.5</v>
      </c>
      <c r="AF107" s="176">
        <f t="shared" si="39"/>
        <v>0.15167402700940513</v>
      </c>
      <c r="AG107" s="814">
        <f t="shared" si="47"/>
        <v>0</v>
      </c>
      <c r="AH107" s="175">
        <f t="shared" si="40"/>
        <v>6</v>
      </c>
      <c r="AI107" s="224">
        <f t="shared" si="41"/>
        <v>0.15167402700940513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43924</v>
      </c>
      <c r="B108" s="616">
        <v>53.545999999999999</v>
      </c>
      <c r="C108" s="389"/>
      <c r="D108" s="392">
        <f t="shared" si="24"/>
        <v>54.342335855350903</v>
      </c>
      <c r="E108" s="384">
        <f t="shared" si="45"/>
        <v>56.352851003402279</v>
      </c>
      <c r="F108" s="384">
        <f t="shared" si="25"/>
        <v>56.358160230802568</v>
      </c>
      <c r="G108" s="110">
        <f t="shared" si="46"/>
        <v>1.0099620285335313</v>
      </c>
      <c r="H108" s="413" t="b">
        <f>Wh_hp&gt;='2019'!Maxi_hp</f>
        <v>1</v>
      </c>
      <c r="I108" s="379">
        <f>IF(H108,Wh_hp,'2019'!Maxi_hp)</f>
        <v>56.358160230802568</v>
      </c>
      <c r="J108" s="85">
        <f>IF(H108,An,'2019'!An_max)</f>
        <v>2020</v>
      </c>
      <c r="K108" s="196">
        <f t="shared" si="26"/>
        <v>43924</v>
      </c>
      <c r="L108" s="147">
        <f>IF(t&lt;Tvie,1-EXP((T0-t)*PertePVj)+'2019'!Pspv,1-EXP((T0-t)*PertePVj)+Pspv)</f>
        <v>1.4654060095440125E-2</v>
      </c>
      <c r="M108" s="847"/>
      <c r="N108" s="847"/>
      <c r="O108" s="48">
        <f>IF(t&lt;Tnet,'2019'!Resal+('2019'!Salim-'2019'!Resal)*(1-EXP(('2019'!Tnet-t)/('2019'!Tau_j))),Resal+(Salim-Resal)*(1-EXP((Tnet-t)/(Tau_j))))*Salcycl</f>
        <v>3.5677257002134574E-2</v>
      </c>
      <c r="P108" s="168">
        <f>(INDEX(Models!$BJ108:$BT108,,T108)*(1-R108)+INDEX(Models!$BJ108:$BT108,,T108+1)*R108-ERP_i)*Q108*Ramure*Pc/MaxiM</f>
        <v>9.4205122710644716E-5</v>
      </c>
      <c r="Q108" s="304">
        <f t="shared" si="27"/>
        <v>0.5</v>
      </c>
      <c r="R108" s="176">
        <f t="shared" si="28"/>
        <v>0.15235696263031673</v>
      </c>
      <c r="S108" s="814">
        <f t="shared" si="29"/>
        <v>0</v>
      </c>
      <c r="T108" s="175">
        <f t="shared" si="30"/>
        <v>6</v>
      </c>
      <c r="U108" s="250">
        <f t="shared" si="31"/>
        <v>0.15235696263031673</v>
      </c>
      <c r="V108" s="382">
        <f t="shared" si="32"/>
        <v>53.017834816769287</v>
      </c>
      <c r="W108" s="401"/>
      <c r="X108" s="157">
        <f t="shared" si="33"/>
        <v>43924</v>
      </c>
      <c r="Y108" s="384">
        <f t="shared" si="34"/>
        <v>53.545999999999999</v>
      </c>
      <c r="Z108" s="384">
        <f t="shared" si="35"/>
        <v>54.342335855350903</v>
      </c>
      <c r="AA108" s="385">
        <f t="shared" si="36"/>
        <v>56.352851003402279</v>
      </c>
      <c r="AB108" s="196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3.5677257002134574E-2</v>
      </c>
      <c r="AD108" s="230">
        <f>(INDEX(Models!$BJ108:$BT108,,AH108)*(1-AF108)+INDEX(Models!$BJ108:$BT108,,AH108+1)*AF108-ERP_i)*AE108*Ramure*Pc/MaxiM</f>
        <v>9.4205122710644716E-5</v>
      </c>
      <c r="AE108" s="304">
        <f t="shared" si="38"/>
        <v>0.5</v>
      </c>
      <c r="AF108" s="176">
        <f t="shared" si="39"/>
        <v>0.15235696263031673</v>
      </c>
      <c r="AG108" s="814">
        <f t="shared" si="47"/>
        <v>0</v>
      </c>
      <c r="AH108" s="175">
        <f t="shared" si="40"/>
        <v>6</v>
      </c>
      <c r="AI108" s="224">
        <f t="shared" si="41"/>
        <v>0.15235696263031673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43925</v>
      </c>
      <c r="B109" s="616">
        <v>55.423999999999999</v>
      </c>
      <c r="C109" s="389"/>
      <c r="D109" s="392">
        <f t="shared" si="24"/>
        <v>56.249497470704675</v>
      </c>
      <c r="E109" s="384">
        <f t="shared" si="45"/>
        <v>58.333147038736001</v>
      </c>
      <c r="F109" s="384">
        <f t="shared" si="25"/>
        <v>58.338550286510831</v>
      </c>
      <c r="G109" s="110">
        <f t="shared" si="46"/>
        <v>1.040921272369151</v>
      </c>
      <c r="H109" s="413" t="b">
        <f>Wh_hp&gt;='2019'!Maxi_hp</f>
        <v>1</v>
      </c>
      <c r="I109" s="379">
        <f>IF(H109,Wh_hp,'2019'!Maxi_hp)</f>
        <v>58.338550286510831</v>
      </c>
      <c r="J109" s="85">
        <f>IF(H109,An,'2019'!An_max)</f>
        <v>2020</v>
      </c>
      <c r="K109" s="196">
        <f t="shared" si="26"/>
        <v>43925</v>
      </c>
      <c r="L109" s="147">
        <f>IF(t&lt;Tvie,1-EXP((T0-t)*PertePVj)+'2019'!Pspv,1-EXP((T0-t)*PertePVj)+Pspv)</f>
        <v>1.4675641700347741E-2</v>
      </c>
      <c r="M109" s="847"/>
      <c r="N109" s="847"/>
      <c r="O109" s="48">
        <f>IF(t&lt;Tnet,'2019'!Resal+('2019'!Salim-'2019'!Resal)*(1-EXP(('2019'!Tnet-t)/('2019'!Tau_j))),Resal+(Salim-Resal)*(1-EXP((Tnet-t)/(Tau_j))))*Salcycl</f>
        <v>3.5719820956131278E-2</v>
      </c>
      <c r="P109" s="168">
        <f>(INDEX(Models!$BJ109:$BT109,,T109)*(1-R109)+INDEX(Models!$BJ109:$BT109,,T109+1)*R109-ERP_i)*Q109*Ramure*Pc/MaxiM</f>
        <v>9.2618821487602864E-5</v>
      </c>
      <c r="Q109" s="304">
        <f t="shared" si="27"/>
        <v>0.5</v>
      </c>
      <c r="R109" s="176">
        <f t="shared" si="28"/>
        <v>0.15306505360712797</v>
      </c>
      <c r="S109" s="814">
        <f t="shared" si="29"/>
        <v>0</v>
      </c>
      <c r="T109" s="175">
        <f t="shared" si="30"/>
        <v>6</v>
      </c>
      <c r="U109" s="250">
        <f t="shared" si="31"/>
        <v>0.15306505360712797</v>
      </c>
      <c r="V109" s="382">
        <f t="shared" si="32"/>
        <v>53.245141079549867</v>
      </c>
      <c r="W109" s="401"/>
      <c r="X109" s="157">
        <f t="shared" si="33"/>
        <v>43925</v>
      </c>
      <c r="Y109" s="384">
        <f t="shared" si="34"/>
        <v>55.423999999999999</v>
      </c>
      <c r="Z109" s="384">
        <f t="shared" si="35"/>
        <v>56.249497470704675</v>
      </c>
      <c r="AA109" s="385">
        <f t="shared" si="36"/>
        <v>58.333147038736001</v>
      </c>
      <c r="AB109" s="196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3.5719820956131278E-2</v>
      </c>
      <c r="AD109" s="230">
        <f>(INDEX(Models!$BJ109:$BT109,,AH109)*(1-AF109)+INDEX(Models!$BJ109:$BT109,,AH109+1)*AF109-ERP_i)*AE109*Ramure*Pc/MaxiM</f>
        <v>9.2618821487602864E-5</v>
      </c>
      <c r="AE109" s="304">
        <f t="shared" si="38"/>
        <v>0.5</v>
      </c>
      <c r="AF109" s="176">
        <f t="shared" si="39"/>
        <v>0.15306505360712797</v>
      </c>
      <c r="AG109" s="814">
        <f t="shared" si="47"/>
        <v>0</v>
      </c>
      <c r="AH109" s="175">
        <f t="shared" si="40"/>
        <v>6</v>
      </c>
      <c r="AI109" s="224">
        <f t="shared" si="41"/>
        <v>0.15306505360712797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43926</v>
      </c>
      <c r="B110" s="616">
        <v>55.978000000000002</v>
      </c>
      <c r="C110" s="389"/>
      <c r="D110" s="392">
        <f t="shared" si="24"/>
        <v>56.812993221156212</v>
      </c>
      <c r="E110" s="384">
        <f t="shared" si="45"/>
        <v>58.920139290380305</v>
      </c>
      <c r="F110" s="384">
        <f t="shared" si="25"/>
        <v>58.925500878405153</v>
      </c>
      <c r="G110" s="110">
        <f t="shared" si="46"/>
        <v>1.0469767205120204</v>
      </c>
      <c r="H110" s="413" t="b">
        <f>Wh_hp&gt;='2019'!Maxi_hp</f>
        <v>1</v>
      </c>
      <c r="I110" s="379">
        <f>IF(H110,Wh_hp,'2019'!Maxi_hp)</f>
        <v>58.925500878405153</v>
      </c>
      <c r="J110" s="85">
        <f>IF(H110,An,'2019'!An_max)</f>
        <v>2020</v>
      </c>
      <c r="K110" s="196">
        <f t="shared" si="26"/>
        <v>43926</v>
      </c>
      <c r="L110" s="147">
        <f>IF(t&lt;Tvie,1-EXP((T0-t)*PertePVj)+'2019'!Pspv,1-EXP((T0-t)*PertePVj)+Pspv)</f>
        <v>1.4697222832562806E-2</v>
      </c>
      <c r="M110" s="847"/>
      <c r="N110" s="847"/>
      <c r="O110" s="48">
        <f>IF(t&lt;Tnet,'2019'!Resal+('2019'!Salim-'2019'!Resal)*(1-EXP(('2019'!Tnet-t)/('2019'!Tau_j))),Resal+(Salim-Resal)*(1-EXP((Tnet-t)/(Tau_j))))*Salcycl</f>
        <v>3.5762747586853008E-2</v>
      </c>
      <c r="P110" s="168">
        <f>(INDEX(Models!$BJ110:$BT110,,T110)*(1-R110)+INDEX(Models!$BJ110:$BT110,,T110+1)*R110-ERP_i)*Q110*Ramure*Pc/MaxiM</f>
        <v>9.0989265172447564E-5</v>
      </c>
      <c r="Q110" s="304">
        <f t="shared" si="27"/>
        <v>0.5</v>
      </c>
      <c r="R110" s="176">
        <f t="shared" si="28"/>
        <v>0.15379908432095207</v>
      </c>
      <c r="S110" s="814">
        <f t="shared" si="29"/>
        <v>0</v>
      </c>
      <c r="T110" s="175">
        <f t="shared" si="30"/>
        <v>6</v>
      </c>
      <c r="U110" s="250">
        <f t="shared" si="31"/>
        <v>0.15379908432095207</v>
      </c>
      <c r="V110" s="382">
        <f t="shared" si="32"/>
        <v>53.466327286268736</v>
      </c>
      <c r="W110" s="401"/>
      <c r="X110" s="157">
        <f t="shared" si="33"/>
        <v>43926</v>
      </c>
      <c r="Y110" s="384">
        <f t="shared" si="34"/>
        <v>55.978000000000002</v>
      </c>
      <c r="Z110" s="384">
        <f t="shared" si="35"/>
        <v>56.812993221156212</v>
      </c>
      <c r="AA110" s="385">
        <f t="shared" si="36"/>
        <v>58.920139290380305</v>
      </c>
      <c r="AB110" s="196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3.5762747586853008E-2</v>
      </c>
      <c r="AD110" s="230">
        <f>(INDEX(Models!$BJ110:$BT110,,AH110)*(1-AF110)+INDEX(Models!$BJ110:$BT110,,AH110+1)*AF110-ERP_i)*AE110*Ramure*Pc/MaxiM</f>
        <v>9.0989265172447564E-5</v>
      </c>
      <c r="AE110" s="304">
        <f t="shared" si="38"/>
        <v>0.5</v>
      </c>
      <c r="AF110" s="176">
        <f t="shared" si="39"/>
        <v>0.15379908432095207</v>
      </c>
      <c r="AG110" s="814">
        <f t="shared" si="47"/>
        <v>0</v>
      </c>
      <c r="AH110" s="175">
        <f t="shared" si="40"/>
        <v>6</v>
      </c>
      <c r="AI110" s="224">
        <f t="shared" si="41"/>
        <v>0.15379908432095207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43927</v>
      </c>
      <c r="B111" s="616">
        <v>30.356999999999999</v>
      </c>
      <c r="C111" s="389"/>
      <c r="D111" s="392">
        <f t="shared" si="24"/>
        <v>30.810493600804715</v>
      </c>
      <c r="E111" s="384">
        <f t="shared" si="45"/>
        <v>31.954663864195378</v>
      </c>
      <c r="F111" s="384">
        <f t="shared" si="25"/>
        <v>31.955746423651242</v>
      </c>
      <c r="G111" s="110">
        <f t="shared" si="46"/>
        <v>0.56547293316337721</v>
      </c>
      <c r="H111" s="413" t="b">
        <f>Wh_hp&gt;='2019'!Maxi_hp</f>
        <v>0</v>
      </c>
      <c r="I111" s="379">
        <f>IF(H111,Wh_hp,'2019'!Maxi_hp)</f>
        <v>35.291507217279737</v>
      </c>
      <c r="J111" s="85">
        <f>IF(H111,An,'2019'!An_max)</f>
        <v>2019</v>
      </c>
      <c r="K111" s="196">
        <f t="shared" si="26"/>
        <v>43927</v>
      </c>
      <c r="L111" s="147">
        <f>IF(t&lt;Tvie,1-EXP((T0-t)*PertePVj)+'2019'!Pspv,1-EXP((T0-t)*PertePVj)+Pspv)</f>
        <v>1.4718803492095645E-2</v>
      </c>
      <c r="M111" s="847"/>
      <c r="N111" s="847"/>
      <c r="O111" s="48">
        <f>IF(t&lt;Tnet,'2019'!Resal+('2019'!Salim-'2019'!Resal)*(1-EXP(('2019'!Tnet-t)/('2019'!Tau_j))),Resal+(Salim-Resal)*(1-EXP((Tnet-t)/(Tau_j))))*Salcycl</f>
        <v>3.5806049102981852E-2</v>
      </c>
      <c r="P111" s="168">
        <f>(INDEX(Models!$BJ111:$BT111,,T111)*(1-R111)+INDEX(Models!$BJ111:$BT111,,T111+1)*R111-ERP_i)*Q111*Ramure*Pc/MaxiM</f>
        <v>8.9316006458448464E-5</v>
      </c>
      <c r="Q111" s="304">
        <f t="shared" si="27"/>
        <v>0.5</v>
      </c>
      <c r="R111" s="176">
        <f t="shared" si="28"/>
        <v>0.1545598522575215</v>
      </c>
      <c r="S111" s="814">
        <f t="shared" si="29"/>
        <v>0</v>
      </c>
      <c r="T111" s="175">
        <f t="shared" si="30"/>
        <v>6</v>
      </c>
      <c r="U111" s="250">
        <f t="shared" si="31"/>
        <v>0.1545598522575215</v>
      </c>
      <c r="V111" s="382">
        <f t="shared" si="32"/>
        <v>53.681290819976063</v>
      </c>
      <c r="W111" s="401"/>
      <c r="X111" s="157">
        <f t="shared" si="33"/>
        <v>43927</v>
      </c>
      <c r="Y111" s="384">
        <f t="shared" si="34"/>
        <v>30.356999999999999</v>
      </c>
      <c r="Z111" s="384">
        <f t="shared" si="35"/>
        <v>30.810493600804715</v>
      </c>
      <c r="AA111" s="385">
        <f t="shared" si="36"/>
        <v>31.954663864195378</v>
      </c>
      <c r="AB111" s="196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3.5806049102981852E-2</v>
      </c>
      <c r="AD111" s="230">
        <f>(INDEX(Models!$BJ111:$BT111,,AH111)*(1-AF111)+INDEX(Models!$BJ111:$BT111,,AH111+1)*AF111-ERP_i)*AE111*Ramure*Pc/MaxiM</f>
        <v>8.9316006458448464E-5</v>
      </c>
      <c r="AE111" s="304">
        <f t="shared" si="38"/>
        <v>0.5</v>
      </c>
      <c r="AF111" s="176">
        <f t="shared" si="39"/>
        <v>0.1545598522575215</v>
      </c>
      <c r="AG111" s="814">
        <f t="shared" si="47"/>
        <v>0</v>
      </c>
      <c r="AH111" s="175">
        <f t="shared" si="40"/>
        <v>6</v>
      </c>
      <c r="AI111" s="224">
        <f t="shared" si="41"/>
        <v>0.1545598522575215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43928</v>
      </c>
      <c r="B112" s="616">
        <v>32.36</v>
      </c>
      <c r="C112" s="389"/>
      <c r="D112" s="392">
        <f t="shared" si="24"/>
        <v>32.844135153770083</v>
      </c>
      <c r="E112" s="384">
        <f t="shared" si="45"/>
        <v>34.065369710739311</v>
      </c>
      <c r="F112" s="384">
        <f t="shared" si="25"/>
        <v>34.066650708069162</v>
      </c>
      <c r="G112" s="110">
        <f t="shared" si="46"/>
        <v>0.60045323132781436</v>
      </c>
      <c r="H112" s="413" t="b">
        <f>Wh_hp&gt;='2019'!Maxi_hp</f>
        <v>0</v>
      </c>
      <c r="I112" s="379">
        <f>IF(H112,Wh_hp,'2019'!Maxi_hp)</f>
        <v>35.39190645503411</v>
      </c>
      <c r="J112" s="85">
        <f>IF(H112,An,'2019'!An_max)</f>
        <v>2019</v>
      </c>
      <c r="K112" s="196">
        <f t="shared" si="26"/>
        <v>43928</v>
      </c>
      <c r="L112" s="147">
        <f>IF(t&lt;Tvie,1-EXP((T0-t)*PertePVj)+'2019'!Pspv,1-EXP((T0-t)*PertePVj)+Pspv)</f>
        <v>1.4740383678956692E-2</v>
      </c>
      <c r="M112" s="847"/>
      <c r="N112" s="847"/>
      <c r="O112" s="48">
        <f>IF(t&lt;Tnet,'2019'!Resal+('2019'!Salim-'2019'!Resal)*(1-EXP(('2019'!Tnet-t)/('2019'!Tau_j))),Resal+(Salim-Resal)*(1-EXP((Tnet-t)/(Tau_j))))*Salcycl</f>
        <v>3.5849737353187396E-2</v>
      </c>
      <c r="P112" s="168">
        <f>(INDEX(Models!$BJ112:$BT112,,T112)*(1-R112)+INDEX(Models!$BJ112:$BT112,,T112+1)*R112-ERP_i)*Q112*Ramure*Pc/MaxiM</f>
        <v>8.7598476500471984E-5</v>
      </c>
      <c r="Q112" s="304">
        <f t="shared" si="27"/>
        <v>0.5</v>
      </c>
      <c r="R112" s="176">
        <f t="shared" si="28"/>
        <v>0.15534816725416764</v>
      </c>
      <c r="S112" s="814">
        <f t="shared" si="29"/>
        <v>0</v>
      </c>
      <c r="T112" s="175">
        <f t="shared" si="30"/>
        <v>6</v>
      </c>
      <c r="U112" s="250">
        <f t="shared" si="31"/>
        <v>0.15534816725416764</v>
      </c>
      <c r="V112" s="382">
        <f t="shared" si="32"/>
        <v>53.88992911837196</v>
      </c>
      <c r="W112" s="401"/>
      <c r="X112" s="157">
        <f t="shared" si="33"/>
        <v>43928</v>
      </c>
      <c r="Y112" s="384">
        <f t="shared" si="34"/>
        <v>32.36</v>
      </c>
      <c r="Z112" s="384">
        <f t="shared" si="35"/>
        <v>32.844135153770083</v>
      </c>
      <c r="AA112" s="385">
        <f t="shared" si="36"/>
        <v>34.065369710739311</v>
      </c>
      <c r="AB112" s="196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3.5849737353187396E-2</v>
      </c>
      <c r="AD112" s="230">
        <f>(INDEX(Models!$BJ112:$BT112,,AH112)*(1-AF112)+INDEX(Models!$BJ112:$BT112,,AH112+1)*AF112-ERP_i)*AE112*Ramure*Pc/MaxiM</f>
        <v>8.7598476500471984E-5</v>
      </c>
      <c r="AE112" s="304">
        <f t="shared" si="38"/>
        <v>0.5</v>
      </c>
      <c r="AF112" s="176">
        <f t="shared" si="39"/>
        <v>0.15534816725416764</v>
      </c>
      <c r="AG112" s="814">
        <f t="shared" si="47"/>
        <v>0</v>
      </c>
      <c r="AH112" s="175">
        <f t="shared" si="40"/>
        <v>6</v>
      </c>
      <c r="AI112" s="224">
        <f t="shared" si="41"/>
        <v>0.15534816725416764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43929</v>
      </c>
      <c r="B113" s="616">
        <v>48.71</v>
      </c>
      <c r="C113" s="389"/>
      <c r="D113" s="392">
        <f t="shared" si="24"/>
        <v>49.439828945050749</v>
      </c>
      <c r="E113" s="384">
        <f t="shared" si="45"/>
        <v>51.280481512936419</v>
      </c>
      <c r="F113" s="384">
        <f t="shared" si="25"/>
        <v>51.284257833174017</v>
      </c>
      <c r="G113" s="110">
        <f t="shared" si="46"/>
        <v>0.9004895339575727</v>
      </c>
      <c r="H113" s="413" t="b">
        <f>Wh_hp&gt;='2019'!Maxi_hp</f>
        <v>1</v>
      </c>
      <c r="I113" s="379">
        <f>IF(H113,Wh_hp,'2019'!Maxi_hp)</f>
        <v>51.284257833174017</v>
      </c>
      <c r="J113" s="85">
        <f>IF(H113,An,'2019'!An_max)</f>
        <v>2020</v>
      </c>
      <c r="K113" s="196">
        <f t="shared" si="26"/>
        <v>43929</v>
      </c>
      <c r="L113" s="147">
        <f>IF(t&lt;Tvie,1-EXP((T0-t)*PertePVj)+'2019'!Pspv,1-EXP((T0-t)*PertePVj)+Pspv)</f>
        <v>1.4761963393156274E-2</v>
      </c>
      <c r="M113" s="847"/>
      <c r="N113" s="847"/>
      <c r="O113" s="48">
        <f>IF(t&lt;Tnet,'2019'!Resal+('2019'!Salim-'2019'!Resal)*(1-EXP(('2019'!Tnet-t)/('2019'!Tau_j))),Resal+(Salim-Resal)*(1-EXP((Tnet-t)/(Tau_j))))*Salcycl</f>
        <v>3.5893823801582861E-2</v>
      </c>
      <c r="P113" s="168">
        <f>(INDEX(Models!$BJ113:$BT113,,T113)*(1-R113)+INDEX(Models!$BJ113:$BT113,,T113+1)*R113-ERP_i)*Q113*Ramure*Pc/MaxiM</f>
        <v>8.583598437537774E-5</v>
      </c>
      <c r="Q113" s="304">
        <f t="shared" si="27"/>
        <v>0.5</v>
      </c>
      <c r="R113" s="176">
        <f t="shared" si="28"/>
        <v>0.15616485064670727</v>
      </c>
      <c r="S113" s="814">
        <f t="shared" si="29"/>
        <v>0</v>
      </c>
      <c r="T113" s="175">
        <f t="shared" si="30"/>
        <v>6</v>
      </c>
      <c r="U113" s="250">
        <f t="shared" si="31"/>
        <v>0.15616485064670727</v>
      </c>
      <c r="V113" s="382">
        <f t="shared" si="32"/>
        <v>54.092139678656984</v>
      </c>
      <c r="W113" s="401"/>
      <c r="X113" s="157">
        <f t="shared" si="33"/>
        <v>43929</v>
      </c>
      <c r="Y113" s="384">
        <f t="shared" si="34"/>
        <v>48.71</v>
      </c>
      <c r="Z113" s="384">
        <f t="shared" si="35"/>
        <v>49.439828945050749</v>
      </c>
      <c r="AA113" s="385">
        <f t="shared" si="36"/>
        <v>51.280481512936419</v>
      </c>
      <c r="AB113" s="196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3.5893823801582861E-2</v>
      </c>
      <c r="AD113" s="230">
        <f>(INDEX(Models!$BJ113:$BT113,,AH113)*(1-AF113)+INDEX(Models!$BJ113:$BT113,,AH113+1)*AF113-ERP_i)*AE113*Ramure*Pc/MaxiM</f>
        <v>8.583598437537774E-5</v>
      </c>
      <c r="AE113" s="304">
        <f t="shared" si="38"/>
        <v>0.5</v>
      </c>
      <c r="AF113" s="176">
        <f t="shared" si="39"/>
        <v>0.15616485064670727</v>
      </c>
      <c r="AG113" s="814">
        <f t="shared" si="47"/>
        <v>0</v>
      </c>
      <c r="AH113" s="175">
        <f t="shared" si="40"/>
        <v>6</v>
      </c>
      <c r="AI113" s="224">
        <f t="shared" si="41"/>
        <v>0.15616485064670727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43930</v>
      </c>
      <c r="B114" s="616">
        <v>53.889000000000003</v>
      </c>
      <c r="C114" s="389"/>
      <c r="D114" s="392">
        <f t="shared" si="24"/>
        <v>54.697624666270897</v>
      </c>
      <c r="E114" s="384">
        <f t="shared" si="45"/>
        <v>56.736644317295678</v>
      </c>
      <c r="F114" s="384">
        <f t="shared" si="25"/>
        <v>56.741360880863638</v>
      </c>
      <c r="G114" s="110">
        <f t="shared" si="46"/>
        <v>0.99265270240379144</v>
      </c>
      <c r="H114" s="413" t="b">
        <f>Wh_hp&gt;='2019'!Maxi_hp</f>
        <v>1</v>
      </c>
      <c r="I114" s="379">
        <f>IF(H114,Wh_hp,'2019'!Maxi_hp)</f>
        <v>56.741360880863638</v>
      </c>
      <c r="J114" s="85">
        <f>IF(H114,An,'2019'!An_max)</f>
        <v>2020</v>
      </c>
      <c r="K114" s="196">
        <f t="shared" si="26"/>
        <v>43930</v>
      </c>
      <c r="L114" s="147">
        <f>IF(t&lt;Tvie,1-EXP((T0-t)*PertePVj)+'2019'!Pspv,1-EXP((T0-t)*PertePVj)+Pspv)</f>
        <v>1.4783542634704716E-2</v>
      </c>
      <c r="M114" s="847"/>
      <c r="N114" s="847"/>
      <c r="O114" s="48">
        <f>IF(t&lt;Tnet,'2019'!Resal+('2019'!Salim-'2019'!Resal)*(1-EXP(('2019'!Tnet-t)/('2019'!Tau_j))),Resal+(Salim-Resal)*(1-EXP((Tnet-t)/(Tau_j))))*Salcycl</f>
        <v>3.5938319503383082E-2</v>
      </c>
      <c r="P114" s="168">
        <f>(INDEX(Models!$BJ114:$BT114,,T114)*(1-R114)+INDEX(Models!$BJ114:$BT114,,T114+1)*R114-ERP_i)*Q114*Ramure*Pc/MaxiM</f>
        <v>8.4005535123770145E-5</v>
      </c>
      <c r="Q114" s="304">
        <f t="shared" si="27"/>
        <v>0.5</v>
      </c>
      <c r="R114" s="176">
        <f t="shared" si="28"/>
        <v>0.15701073431051277</v>
      </c>
      <c r="S114" s="814">
        <f t="shared" si="29"/>
        <v>0</v>
      </c>
      <c r="T114" s="175">
        <f t="shared" si="30"/>
        <v>6</v>
      </c>
      <c r="U114" s="250">
        <f t="shared" si="31"/>
        <v>0.15701073431051277</v>
      </c>
      <c r="V114" s="382">
        <f t="shared" si="32"/>
        <v>54.287821264638474</v>
      </c>
      <c r="W114" s="401"/>
      <c r="X114" s="157">
        <f t="shared" si="33"/>
        <v>43930</v>
      </c>
      <c r="Y114" s="384">
        <f t="shared" si="34"/>
        <v>53.889000000000003</v>
      </c>
      <c r="Z114" s="384">
        <f t="shared" si="35"/>
        <v>54.697624666270897</v>
      </c>
      <c r="AA114" s="385">
        <f t="shared" si="36"/>
        <v>56.736644317295678</v>
      </c>
      <c r="AB114" s="196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3.5938319503383082E-2</v>
      </c>
      <c r="AD114" s="230">
        <f>(INDEX(Models!$BJ114:$BT114,,AH114)*(1-AF114)+INDEX(Models!$BJ114:$BT114,,AH114+1)*AF114-ERP_i)*AE114*Ramure*Pc/MaxiM</f>
        <v>8.4005535123770145E-5</v>
      </c>
      <c r="AE114" s="304">
        <f t="shared" si="38"/>
        <v>0.5</v>
      </c>
      <c r="AF114" s="176">
        <f t="shared" si="39"/>
        <v>0.15701073431051277</v>
      </c>
      <c r="AG114" s="814">
        <f t="shared" si="47"/>
        <v>0</v>
      </c>
      <c r="AH114" s="175">
        <f t="shared" si="40"/>
        <v>6</v>
      </c>
      <c r="AI114" s="224">
        <f t="shared" si="41"/>
        <v>0.15701073431051277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43931</v>
      </c>
      <c r="B115" s="616">
        <v>54.896999999999998</v>
      </c>
      <c r="C115" s="389"/>
      <c r="D115" s="392">
        <f t="shared" si="24"/>
        <v>55.721970538673574</v>
      </c>
      <c r="E115" s="384">
        <f t="shared" si="45"/>
        <v>57.801868770747816</v>
      </c>
      <c r="F115" s="384">
        <f t="shared" si="25"/>
        <v>57.80661489847374</v>
      </c>
      <c r="G115" s="110">
        <f t="shared" si="46"/>
        <v>1.0077120497349965</v>
      </c>
      <c r="H115" s="413" t="b">
        <f>Wh_hp&gt;='2019'!Maxi_hp</f>
        <v>1</v>
      </c>
      <c r="I115" s="379">
        <f>IF(H115,Wh_hp,'2019'!Maxi_hp)</f>
        <v>57.80661489847374</v>
      </c>
      <c r="J115" s="85">
        <f>IF(H115,An,'2019'!An_max)</f>
        <v>2020</v>
      </c>
      <c r="K115" s="196">
        <f t="shared" si="26"/>
        <v>43931</v>
      </c>
      <c r="L115" s="147">
        <f>IF(t&lt;Tvie,1-EXP((T0-t)*PertePVj)+'2019'!Pspv,1-EXP((T0-t)*PertePVj)+Pspv)</f>
        <v>1.4805121403612453E-2</v>
      </c>
      <c r="M115" s="847"/>
      <c r="N115" s="847"/>
      <c r="O115" s="48">
        <f>IF(t&lt;Tnet,'2019'!Resal+('2019'!Salim-'2019'!Resal)*(1-EXP(('2019'!Tnet-t)/('2019'!Tau_j))),Resal+(Salim-Resal)*(1-EXP((Tnet-t)/(Tau_j))))*Salcycl</f>
        <v>3.5983235080572884E-2</v>
      </c>
      <c r="P115" s="168">
        <f>(INDEX(Models!$BJ115:$BT115,,T115)*(1-R115)+INDEX(Models!$BJ115:$BT115,,T115+1)*R115-ERP_i)*Q115*Ramure*Pc/MaxiM</f>
        <v>8.2103540127081851E-5</v>
      </c>
      <c r="Q115" s="304">
        <f t="shared" si="27"/>
        <v>0.5</v>
      </c>
      <c r="R115" s="176">
        <f t="shared" si="28"/>
        <v>0.15788665959005105</v>
      </c>
      <c r="S115" s="814">
        <f t="shared" si="29"/>
        <v>0</v>
      </c>
      <c r="T115" s="175">
        <f t="shared" si="30"/>
        <v>6</v>
      </c>
      <c r="U115" s="250">
        <f t="shared" si="31"/>
        <v>0.15788665959005105</v>
      </c>
      <c r="V115" s="382">
        <f t="shared" si="32"/>
        <v>54.476871656378975</v>
      </c>
      <c r="W115" s="401"/>
      <c r="X115" s="157">
        <f t="shared" si="33"/>
        <v>43931</v>
      </c>
      <c r="Y115" s="384">
        <f t="shared" si="34"/>
        <v>54.896999999999998</v>
      </c>
      <c r="Z115" s="384">
        <f t="shared" si="35"/>
        <v>55.721970538673574</v>
      </c>
      <c r="AA115" s="385">
        <f t="shared" si="36"/>
        <v>57.801868770747816</v>
      </c>
      <c r="AB115" s="196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3.5983235080572884E-2</v>
      </c>
      <c r="AD115" s="230">
        <f>(INDEX(Models!$BJ115:$BT115,,AH115)*(1-AF115)+INDEX(Models!$BJ115:$BT115,,AH115+1)*AF115-ERP_i)*AE115*Ramure*Pc/MaxiM</f>
        <v>8.2103540127081851E-5</v>
      </c>
      <c r="AE115" s="304">
        <f t="shared" si="38"/>
        <v>0.5</v>
      </c>
      <c r="AF115" s="176">
        <f t="shared" si="39"/>
        <v>0.15788665959005105</v>
      </c>
      <c r="AG115" s="814">
        <f t="shared" si="47"/>
        <v>0</v>
      </c>
      <c r="AH115" s="175">
        <f t="shared" si="40"/>
        <v>6</v>
      </c>
      <c r="AI115" s="224">
        <f t="shared" si="41"/>
        <v>0.15788665959005105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43932</v>
      </c>
      <c r="B116" s="616">
        <v>53.991999999999997</v>
      </c>
      <c r="C116" s="389"/>
      <c r="D116" s="392">
        <f t="shared" si="24"/>
        <v>54.80457091514009</v>
      </c>
      <c r="E116" s="384">
        <f t="shared" si="45"/>
        <v>56.852900218544931</v>
      </c>
      <c r="F116" s="384">
        <f t="shared" si="25"/>
        <v>56.857376617766242</v>
      </c>
      <c r="G116" s="110">
        <f t="shared" si="46"/>
        <v>0.98779227985253459</v>
      </c>
      <c r="H116" s="413" t="b">
        <f>Wh_hp&gt;='2019'!Maxi_hp</f>
        <v>0</v>
      </c>
      <c r="I116" s="379">
        <f>IF(H116,Wh_hp,'2019'!Maxi_hp)</f>
        <v>57.16977965777064</v>
      </c>
      <c r="J116" s="85">
        <f>IF(H116,An,'2019'!An_max)</f>
        <v>2019</v>
      </c>
      <c r="K116" s="196">
        <f t="shared" si="26"/>
        <v>43932</v>
      </c>
      <c r="L116" s="147">
        <f>IF(t&lt;Tvie,1-EXP((T0-t)*PertePVj)+'2019'!Pspv,1-EXP((T0-t)*PertePVj)+Pspv)</f>
        <v>1.48266996998897E-2</v>
      </c>
      <c r="M116" s="847"/>
      <c r="N116" s="847"/>
      <c r="O116" s="48">
        <f>IF(t&lt;Tnet,'2019'!Resal+('2019'!Salim-'2019'!Resal)*(1-EXP(('2019'!Tnet-t)/('2019'!Tau_j))),Resal+(Salim-Resal)*(1-EXP((Tnet-t)/(Tau_j))))*Salcycl</f>
        <v>3.602858069739584E-2</v>
      </c>
      <c r="P116" s="168">
        <f>(INDEX(Models!$BJ116:$BT116,,T116)*(1-R116)+INDEX(Models!$BJ116:$BT116,,T116+1)*R116-ERP_i)*Q116*Ramure*Pc/MaxiM</f>
        <v>8.0127550326250825E-5</v>
      </c>
      <c r="Q116" s="304">
        <f t="shared" si="27"/>
        <v>0.5</v>
      </c>
      <c r="R116" s="176">
        <f t="shared" si="28"/>
        <v>0.15879347611122802</v>
      </c>
      <c r="S116" s="814">
        <f t="shared" si="29"/>
        <v>0</v>
      </c>
      <c r="T116" s="175">
        <f t="shared" si="30"/>
        <v>6</v>
      </c>
      <c r="U116" s="250">
        <f t="shared" si="31"/>
        <v>0.15879347611122802</v>
      </c>
      <c r="V116" s="382">
        <f t="shared" si="32"/>
        <v>54.659188632895926</v>
      </c>
      <c r="W116" s="401"/>
      <c r="X116" s="157">
        <f t="shared" si="33"/>
        <v>43932</v>
      </c>
      <c r="Y116" s="384">
        <f t="shared" si="34"/>
        <v>53.991999999999997</v>
      </c>
      <c r="Z116" s="384">
        <f t="shared" si="35"/>
        <v>54.80457091514009</v>
      </c>
      <c r="AA116" s="385">
        <f t="shared" si="36"/>
        <v>56.852900218544931</v>
      </c>
      <c r="AB116" s="196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3.602858069739584E-2</v>
      </c>
      <c r="AD116" s="230">
        <f>(INDEX(Models!$BJ116:$BT116,,AH116)*(1-AF116)+INDEX(Models!$BJ116:$BT116,,AH116+1)*AF116-ERP_i)*AE116*Ramure*Pc/MaxiM</f>
        <v>8.0127550326250825E-5</v>
      </c>
      <c r="AE116" s="304">
        <f t="shared" si="38"/>
        <v>0.5</v>
      </c>
      <c r="AF116" s="176">
        <f t="shared" si="39"/>
        <v>0.15879347611122802</v>
      </c>
      <c r="AG116" s="814">
        <f t="shared" si="47"/>
        <v>0</v>
      </c>
      <c r="AH116" s="175">
        <f t="shared" si="40"/>
        <v>6</v>
      </c>
      <c r="AI116" s="224">
        <f t="shared" si="41"/>
        <v>0.15879347611122802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43933</v>
      </c>
      <c r="B117" s="616">
        <v>43.088000000000001</v>
      </c>
      <c r="C117" s="389"/>
      <c r="D117" s="392">
        <f t="shared" si="24"/>
        <v>43.7374254309644</v>
      </c>
      <c r="E117" s="384">
        <f t="shared" si="45"/>
        <v>45.374273584858571</v>
      </c>
      <c r="F117" s="384">
        <f t="shared" si="25"/>
        <v>45.376732175395894</v>
      </c>
      <c r="G117" s="110">
        <f t="shared" si="46"/>
        <v>0.7857614607279596</v>
      </c>
      <c r="H117" s="413" t="b">
        <f>Wh_hp&gt;='2019'!Maxi_hp</f>
        <v>0</v>
      </c>
      <c r="I117" s="379">
        <f>IF(H117,Wh_hp,'2019'!Maxi_hp)</f>
        <v>58.311942637393507</v>
      </c>
      <c r="J117" s="85">
        <f>IF(H117,An,'2019'!An_max)</f>
        <v>2019</v>
      </c>
      <c r="K117" s="196">
        <f t="shared" si="26"/>
        <v>43933</v>
      </c>
      <c r="L117" s="147">
        <f>IF(t&lt;Tvie,1-EXP((T0-t)*PertePVj)+'2019'!Pspv,1-EXP((T0-t)*PertePVj)+Pspv)</f>
        <v>1.4848277523546893E-2</v>
      </c>
      <c r="M117" s="847"/>
      <c r="N117" s="847"/>
      <c r="O117" s="48">
        <f>IF(t&lt;Tnet,'2019'!Resal+('2019'!Salim-'2019'!Resal)*(1-EXP(('2019'!Tnet-t)/('2019'!Tau_j))),Resal+(Salim-Resal)*(1-EXP((Tnet-t)/(Tau_j))))*Salcycl</f>
        <v>3.6074366035479331E-2</v>
      </c>
      <c r="P117" s="168">
        <f>(INDEX(Models!$BJ117:$BT117,,T117)*(1-R117)+INDEX(Models!$BJ117:$BT117,,T117+1)*R117-ERP_i)*Q117*Ramure*Pc/MaxiM</f>
        <v>7.8074855128409501E-5</v>
      </c>
      <c r="Q117" s="304">
        <f t="shared" si="27"/>
        <v>0.5</v>
      </c>
      <c r="R117" s="176">
        <f t="shared" si="28"/>
        <v>0.15973204047098097</v>
      </c>
      <c r="S117" s="814">
        <f t="shared" si="29"/>
        <v>0</v>
      </c>
      <c r="T117" s="175">
        <f t="shared" si="30"/>
        <v>6</v>
      </c>
      <c r="U117" s="250">
        <f t="shared" si="31"/>
        <v>0.15973204047098097</v>
      </c>
      <c r="V117" s="382">
        <f t="shared" si="32"/>
        <v>54.834670051105938</v>
      </c>
      <c r="W117" s="401"/>
      <c r="X117" s="157">
        <f t="shared" si="33"/>
        <v>43933</v>
      </c>
      <c r="Y117" s="384">
        <f t="shared" si="34"/>
        <v>43.088000000000001</v>
      </c>
      <c r="Z117" s="384">
        <f t="shared" si="35"/>
        <v>43.7374254309644</v>
      </c>
      <c r="AA117" s="385">
        <f t="shared" si="36"/>
        <v>45.374273584858571</v>
      </c>
      <c r="AB117" s="196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3.6074366035479331E-2</v>
      </c>
      <c r="AD117" s="230">
        <f>(INDEX(Models!$BJ117:$BT117,,AH117)*(1-AF117)+INDEX(Models!$BJ117:$BT117,,AH117+1)*AF117-ERP_i)*AE117*Ramure*Pc/MaxiM</f>
        <v>7.8074855128409501E-5</v>
      </c>
      <c r="AE117" s="304">
        <f t="shared" si="38"/>
        <v>0.5</v>
      </c>
      <c r="AF117" s="176">
        <f t="shared" si="39"/>
        <v>0.15973204047098097</v>
      </c>
      <c r="AG117" s="814">
        <f t="shared" si="47"/>
        <v>0</v>
      </c>
      <c r="AH117" s="175">
        <f t="shared" si="40"/>
        <v>6</v>
      </c>
      <c r="AI117" s="224">
        <f t="shared" si="41"/>
        <v>0.15973204047098097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43934</v>
      </c>
      <c r="B118" s="616">
        <v>15.183</v>
      </c>
      <c r="C118" s="389"/>
      <c r="D118" s="392">
        <f t="shared" si="24"/>
        <v>15.412176832805402</v>
      </c>
      <c r="E118" s="384">
        <f t="shared" si="45"/>
        <v>15.98973568383907</v>
      </c>
      <c r="F118" s="384">
        <f t="shared" si="25"/>
        <v>15.98973568383907</v>
      </c>
      <c r="G118" s="110">
        <f t="shared" si="46"/>
        <v>0.27601745247925324</v>
      </c>
      <c r="H118" s="413" t="b">
        <f>Wh_hp&gt;='2019'!Maxi_hp</f>
        <v>0</v>
      </c>
      <c r="I118" s="379">
        <f>IF(H118,Wh_hp,'2019'!Maxi_hp)</f>
        <v>27.166997518109898</v>
      </c>
      <c r="J118" s="85">
        <f>IF(H118,An,'2019'!An_max)</f>
        <v>2019</v>
      </c>
      <c r="K118" s="196">
        <f t="shared" si="26"/>
        <v>43934</v>
      </c>
      <c r="L118" s="147">
        <f>IF(t&lt;Tvie,1-EXP((T0-t)*PertePVj)+'2019'!Pspv,1-EXP((T0-t)*PertePVj)+Pspv)</f>
        <v>1.4869854874594357E-2</v>
      </c>
      <c r="M118" s="847"/>
      <c r="N118" s="847"/>
      <c r="O118" s="48">
        <f>IF(t&lt;Tnet,'2019'!Resal+('2019'!Salim-'2019'!Resal)*(1-EXP(('2019'!Tnet-t)/('2019'!Tau_j))),Resal+(Salim-Resal)*(1-EXP((Tnet-t)/(Tau_j))))*Salcycl</f>
        <v>3.6120600268421531E-2</v>
      </c>
      <c r="P118" s="168">
        <f>(INDEX(Models!$BJ118:$BT118,,T118)*(1-R118)+INDEX(Models!$BJ118:$BT118,,T118+1)*R118-ERP_i)*Q118*Ramure*Pc/MaxiM</f>
        <v>7.5942473477949568E-5</v>
      </c>
      <c r="Q118" s="304">
        <f t="shared" si="27"/>
        <v>0.5</v>
      </c>
      <c r="R118" s="176">
        <f t="shared" si="28"/>
        <v>0.1607032147987191</v>
      </c>
      <c r="S118" s="814">
        <f t="shared" si="29"/>
        <v>0</v>
      </c>
      <c r="T118" s="175">
        <f t="shared" si="30"/>
        <v>6</v>
      </c>
      <c r="U118" s="250">
        <f t="shared" si="31"/>
        <v>0.1607032147987191</v>
      </c>
      <c r="V118" s="382">
        <f t="shared" si="32"/>
        <v>55.003213851364421</v>
      </c>
      <c r="W118" s="401"/>
      <c r="X118" s="157">
        <f t="shared" si="33"/>
        <v>43934</v>
      </c>
      <c r="Y118" s="384">
        <f t="shared" si="34"/>
        <v>15.183</v>
      </c>
      <c r="Z118" s="384">
        <f t="shared" si="35"/>
        <v>15.412176832805402</v>
      </c>
      <c r="AA118" s="385">
        <f t="shared" si="36"/>
        <v>15.98973568383907</v>
      </c>
      <c r="AB118" s="196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3.6120600268421531E-2</v>
      </c>
      <c r="AD118" s="230">
        <f>(INDEX(Models!$BJ118:$BT118,,AH118)*(1-AF118)+INDEX(Models!$BJ118:$BT118,,AH118+1)*AF118-ERP_i)*AE118*Ramure*Pc/MaxiM</f>
        <v>7.5942473477949568E-5</v>
      </c>
      <c r="AE118" s="304">
        <f t="shared" si="38"/>
        <v>0.5</v>
      </c>
      <c r="AF118" s="176">
        <f t="shared" si="39"/>
        <v>0.1607032147987191</v>
      </c>
      <c r="AG118" s="814">
        <f t="shared" si="47"/>
        <v>0</v>
      </c>
      <c r="AH118" s="175">
        <f t="shared" si="40"/>
        <v>6</v>
      </c>
      <c r="AI118" s="224">
        <f t="shared" si="41"/>
        <v>0.1607032147987191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43935</v>
      </c>
      <c r="B119" s="616">
        <v>53.54</v>
      </c>
      <c r="C119" s="389"/>
      <c r="D119" s="392">
        <f t="shared" si="24"/>
        <v>54.349339479684666</v>
      </c>
      <c r="E119" s="384">
        <f t="shared" si="45"/>
        <v>56.388768538965842</v>
      </c>
      <c r="F119" s="384">
        <f t="shared" si="25"/>
        <v>56.392751283489048</v>
      </c>
      <c r="G119" s="110">
        <f t="shared" si="46"/>
        <v>0.97054486620038705</v>
      </c>
      <c r="H119" s="413" t="b">
        <f>Wh_hp&gt;='2019'!Maxi_hp</f>
        <v>1</v>
      </c>
      <c r="I119" s="379">
        <f>IF(H119,Wh_hp,'2019'!Maxi_hp)</f>
        <v>56.392751283489048</v>
      </c>
      <c r="J119" s="85">
        <f>IF(H119,An,'2019'!An_max)</f>
        <v>2020</v>
      </c>
      <c r="K119" s="196">
        <f t="shared" si="26"/>
        <v>43935</v>
      </c>
      <c r="L119" s="147">
        <f>IF(t&lt;Tvie,1-EXP((T0-t)*PertePVj)+'2019'!Pspv,1-EXP((T0-t)*PertePVj)+Pspv)</f>
        <v>1.4891431753042528E-2</v>
      </c>
      <c r="M119" s="847"/>
      <c r="N119" s="847"/>
      <c r="O119" s="48">
        <f>IF(t&lt;Tnet,'2019'!Resal+('2019'!Salim-'2019'!Resal)*(1-EXP(('2019'!Tnet-t)/('2019'!Tau_j))),Resal+(Salim-Resal)*(1-EXP((Tnet-t)/(Tau_j))))*Salcycl</f>
        <v>3.6167292035680559E-2</v>
      </c>
      <c r="P119" s="168">
        <f>(INDEX(Models!$BJ119:$BT119,,T119)*(1-R119)+INDEX(Models!$BJ119:$BT119,,T119+1)*R119-ERP_i)*Q119*Ramure*Pc/MaxiM</f>
        <v>7.3727144510644425E-5</v>
      </c>
      <c r="Q119" s="304">
        <f t="shared" si="27"/>
        <v>0.5</v>
      </c>
      <c r="R119" s="176">
        <f t="shared" si="28"/>
        <v>0.161707865184438</v>
      </c>
      <c r="S119" s="814">
        <f t="shared" si="29"/>
        <v>0</v>
      </c>
      <c r="T119" s="175">
        <f t="shared" si="30"/>
        <v>6</v>
      </c>
      <c r="U119" s="250">
        <f t="shared" si="31"/>
        <v>0.161707865184438</v>
      </c>
      <c r="V119" s="382">
        <f t="shared" si="32"/>
        <v>55.164718056975424</v>
      </c>
      <c r="W119" s="401"/>
      <c r="X119" s="157">
        <f t="shared" si="33"/>
        <v>43935</v>
      </c>
      <c r="Y119" s="384">
        <f t="shared" si="34"/>
        <v>53.54</v>
      </c>
      <c r="Z119" s="384">
        <f t="shared" si="35"/>
        <v>54.349339479684666</v>
      </c>
      <c r="AA119" s="385">
        <f t="shared" si="36"/>
        <v>56.388768538965842</v>
      </c>
      <c r="AB119" s="196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3.6167292035680559E-2</v>
      </c>
      <c r="AD119" s="230">
        <f>(INDEX(Models!$BJ119:$BT119,,AH119)*(1-AF119)+INDEX(Models!$BJ119:$BT119,,AH119+1)*AF119-ERP_i)*AE119*Ramure*Pc/MaxiM</f>
        <v>7.3727144510644425E-5</v>
      </c>
      <c r="AE119" s="304">
        <f t="shared" si="38"/>
        <v>0.5</v>
      </c>
      <c r="AF119" s="176">
        <f t="shared" si="39"/>
        <v>0.161707865184438</v>
      </c>
      <c r="AG119" s="814">
        <f t="shared" si="47"/>
        <v>0</v>
      </c>
      <c r="AH119" s="175">
        <f t="shared" si="40"/>
        <v>6</v>
      </c>
      <c r="AI119" s="224">
        <f t="shared" si="41"/>
        <v>0.161707865184438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43936</v>
      </c>
      <c r="B120" s="616">
        <v>48.597000000000001</v>
      </c>
      <c r="C120" s="389"/>
      <c r="D120" s="392">
        <f t="shared" si="24"/>
        <v>49.332698941819999</v>
      </c>
      <c r="E120" s="384">
        <f t="shared" si="45"/>
        <v>51.186385718179586</v>
      </c>
      <c r="F120" s="384">
        <f t="shared" si="25"/>
        <v>51.189407245873092</v>
      </c>
      <c r="G120" s="110">
        <f t="shared" si="46"/>
        <v>0.87847442021554689</v>
      </c>
      <c r="H120" s="413" t="b">
        <f>Wh_hp&gt;='2019'!Maxi_hp</f>
        <v>1</v>
      </c>
      <c r="I120" s="379">
        <f>IF(H120,Wh_hp,'2019'!Maxi_hp)</f>
        <v>51.189407245873092</v>
      </c>
      <c r="J120" s="85">
        <f>IF(H120,An,'2019'!An_max)</f>
        <v>2020</v>
      </c>
      <c r="K120" s="196">
        <f t="shared" si="26"/>
        <v>43936</v>
      </c>
      <c r="L120" s="147">
        <f>IF(t&lt;Tvie,1-EXP((T0-t)*PertePVj)+'2019'!Pspv,1-EXP((T0-t)*PertePVj)+Pspv)</f>
        <v>1.4913008158901619E-2</v>
      </c>
      <c r="M120" s="847"/>
      <c r="N120" s="847"/>
      <c r="O120" s="48">
        <f>IF(t&lt;Tnet,'2019'!Resal+('2019'!Salim-'2019'!Resal)*(1-EXP(('2019'!Tnet-t)/('2019'!Tau_j))),Resal+(Salim-Resal)*(1-EXP((Tnet-t)/(Tau_j))))*Salcycl</f>
        <v>3.6214449415623094E-2</v>
      </c>
      <c r="P120" s="168">
        <f>(INDEX(Models!$BJ120:$BT120,,T120)*(1-R120)+INDEX(Models!$BJ120:$BT120,,T120+1)*R120-ERP_i)*Q120*Ramure*Pc/MaxiM</f>
        <v>7.1425317759023969E-5</v>
      </c>
      <c r="Q120" s="304">
        <f t="shared" si="27"/>
        <v>0.5</v>
      </c>
      <c r="R120" s="176">
        <f t="shared" si="28"/>
        <v>0.16274685996862345</v>
      </c>
      <c r="S120" s="814">
        <f t="shared" si="29"/>
        <v>0</v>
      </c>
      <c r="T120" s="175">
        <f t="shared" si="30"/>
        <v>6</v>
      </c>
      <c r="U120" s="250">
        <f t="shared" si="31"/>
        <v>0.16274685996862345</v>
      </c>
      <c r="V120" s="382">
        <f t="shared" si="32"/>
        <v>55.319080780409003</v>
      </c>
      <c r="W120" s="401"/>
      <c r="X120" s="157">
        <f t="shared" si="33"/>
        <v>43936</v>
      </c>
      <c r="Y120" s="384">
        <f t="shared" si="34"/>
        <v>48.597000000000001</v>
      </c>
      <c r="Z120" s="384">
        <f t="shared" si="35"/>
        <v>49.332698941819999</v>
      </c>
      <c r="AA120" s="385">
        <f t="shared" si="36"/>
        <v>51.186385718179586</v>
      </c>
      <c r="AB120" s="196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3.6214449415623094E-2</v>
      </c>
      <c r="AD120" s="230">
        <f>(INDEX(Models!$BJ120:$BT120,,AH120)*(1-AF120)+INDEX(Models!$BJ120:$BT120,,AH120+1)*AF120-ERP_i)*AE120*Ramure*Pc/MaxiM</f>
        <v>7.1425317759023969E-5</v>
      </c>
      <c r="AE120" s="304">
        <f t="shared" si="38"/>
        <v>0.5</v>
      </c>
      <c r="AF120" s="176">
        <f t="shared" si="39"/>
        <v>0.16274685996862345</v>
      </c>
      <c r="AG120" s="814">
        <f t="shared" si="47"/>
        <v>0</v>
      </c>
      <c r="AH120" s="175">
        <f t="shared" si="40"/>
        <v>6</v>
      </c>
      <c r="AI120" s="224">
        <f t="shared" si="41"/>
        <v>0.16274685996862345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43937</v>
      </c>
      <c r="B121" s="616">
        <v>41.53</v>
      </c>
      <c r="C121" s="389"/>
      <c r="D121" s="392">
        <f t="shared" si="24"/>
        <v>42.159636638676147</v>
      </c>
      <c r="E121" s="384">
        <f t="shared" si="45"/>
        <v>43.745955989982313</v>
      </c>
      <c r="F121" s="384">
        <f t="shared" si="25"/>
        <v>43.747892095017093</v>
      </c>
      <c r="G121" s="110">
        <f t="shared" si="46"/>
        <v>0.74873428624846405</v>
      </c>
      <c r="H121" s="413" t="b">
        <f>Wh_hp&gt;='2019'!Maxi_hp</f>
        <v>1</v>
      </c>
      <c r="I121" s="379">
        <f>IF(H121,Wh_hp,'2019'!Maxi_hp)</f>
        <v>43.747892095017093</v>
      </c>
      <c r="J121" s="85">
        <f>IF(H121,An,'2019'!An_max)</f>
        <v>2020</v>
      </c>
      <c r="K121" s="196">
        <f t="shared" si="26"/>
        <v>43937</v>
      </c>
      <c r="L121" s="147">
        <f>IF(t&lt;Tvie,1-EXP((T0-t)*PertePVj)+'2019'!Pspv,1-EXP((T0-t)*PertePVj)+Pspv)</f>
        <v>1.4934584092182068E-2</v>
      </c>
      <c r="M121" s="847"/>
      <c r="N121" s="847"/>
      <c r="O121" s="48">
        <f>IF(t&lt;Tnet,'2019'!Resal+('2019'!Salim-'2019'!Resal)*(1-EXP(('2019'!Tnet-t)/('2019'!Tau_j))),Resal+(Salim-Resal)*(1-EXP((Tnet-t)/(Tau_j))))*Salcycl</f>
        <v>3.6262079897612251E-2</v>
      </c>
      <c r="P121" s="168">
        <f>(INDEX(Models!$BJ121:$BT121,,T121)*(1-R121)+INDEX(Models!$BJ121:$BT121,,T121+1)*R121-ERP_i)*Q121*Ramure*Pc/MaxiM</f>
        <v>6.9033932306143136E-5</v>
      </c>
      <c r="Q121" s="304">
        <f t="shared" si="27"/>
        <v>0.5</v>
      </c>
      <c r="R121" s="176">
        <f t="shared" si="28"/>
        <v>0.16382106788942952</v>
      </c>
      <c r="S121" s="814">
        <f t="shared" si="29"/>
        <v>0</v>
      </c>
      <c r="T121" s="175">
        <f t="shared" si="30"/>
        <v>6</v>
      </c>
      <c r="U121" s="250">
        <f t="shared" si="31"/>
        <v>0.16382106788942952</v>
      </c>
      <c r="V121" s="382">
        <f t="shared" si="32"/>
        <v>55.465565939843593</v>
      </c>
      <c r="W121" s="401"/>
      <c r="X121" s="157">
        <f t="shared" si="33"/>
        <v>43937</v>
      </c>
      <c r="Y121" s="384">
        <f t="shared" si="34"/>
        <v>41.53</v>
      </c>
      <c r="Z121" s="384">
        <f t="shared" si="35"/>
        <v>42.159636638676147</v>
      </c>
      <c r="AA121" s="385">
        <f t="shared" si="36"/>
        <v>43.745955989982313</v>
      </c>
      <c r="AB121" s="196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3.6262079897612251E-2</v>
      </c>
      <c r="AD121" s="230">
        <f>(INDEX(Models!$BJ121:$BT121,,AH121)*(1-AF121)+INDEX(Models!$BJ121:$BT121,,AH121+1)*AF121-ERP_i)*AE121*Ramure*Pc/MaxiM</f>
        <v>6.9033932306143136E-5</v>
      </c>
      <c r="AE121" s="304">
        <f t="shared" si="38"/>
        <v>0.5</v>
      </c>
      <c r="AF121" s="176">
        <f t="shared" si="39"/>
        <v>0.16382106788942952</v>
      </c>
      <c r="AG121" s="814">
        <f t="shared" si="47"/>
        <v>0</v>
      </c>
      <c r="AH121" s="175">
        <f t="shared" si="40"/>
        <v>6</v>
      </c>
      <c r="AI121" s="224">
        <f t="shared" si="41"/>
        <v>0.16382106788942952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43938</v>
      </c>
      <c r="B122" s="616">
        <v>29.52</v>
      </c>
      <c r="C122" s="389"/>
      <c r="D122" s="392">
        <f t="shared" si="24"/>
        <v>29.968209320106038</v>
      </c>
      <c r="E122" s="384">
        <f t="shared" si="45"/>
        <v>31.097360395545341</v>
      </c>
      <c r="F122" s="384">
        <f t="shared" si="25"/>
        <v>31.098045414977594</v>
      </c>
      <c r="G122" s="110">
        <f t="shared" si="46"/>
        <v>0.53087551601668803</v>
      </c>
      <c r="H122" s="413" t="b">
        <f>Wh_hp&gt;='2019'!Maxi_hp</f>
        <v>1</v>
      </c>
      <c r="I122" s="379">
        <f>IF(H122,Wh_hp,'2019'!Maxi_hp)</f>
        <v>31.098045414977594</v>
      </c>
      <c r="J122" s="85">
        <f>IF(H122,An,'2019'!An_max)</f>
        <v>2020</v>
      </c>
      <c r="K122" s="196">
        <f t="shared" si="26"/>
        <v>43938</v>
      </c>
      <c r="L122" s="147">
        <f>IF(t&lt;Tvie,1-EXP((T0-t)*PertePVj)+'2019'!Pspv,1-EXP((T0-t)*PertePVj)+Pspv)</f>
        <v>1.4956159552894199E-2</v>
      </c>
      <c r="M122" s="847"/>
      <c r="N122" s="847"/>
      <c r="O122" s="48">
        <f>IF(t&lt;Tnet,'2019'!Resal+('2019'!Salim-'2019'!Resal)*(1-EXP(('2019'!Tnet-t)/('2019'!Tau_j))),Resal+(Salim-Resal)*(1-EXP((Tnet-t)/(Tau_j))))*Salcycl</f>
        <v>3.6310190353038882E-2</v>
      </c>
      <c r="P122" s="168">
        <f>(INDEX(Models!$BJ122:$BT122,,T122)*(1-R122)+INDEX(Models!$BJ122:$BT122,,T122+1)*R122-ERP_i)*Q122*Ramure*Pc/MaxiM</f>
        <v>6.6779823677902121E-5</v>
      </c>
      <c r="Q122" s="304">
        <f t="shared" si="27"/>
        <v>0.5</v>
      </c>
      <c r="R122" s="176">
        <f t="shared" si="28"/>
        <v>0.16493135608306325</v>
      </c>
      <c r="S122" s="814">
        <f t="shared" si="29"/>
        <v>0</v>
      </c>
      <c r="T122" s="175">
        <f t="shared" si="30"/>
        <v>6</v>
      </c>
      <c r="U122" s="250">
        <f t="shared" si="31"/>
        <v>0.16493135608306325</v>
      </c>
      <c r="V122" s="382">
        <f t="shared" si="32"/>
        <v>55.603767735722215</v>
      </c>
      <c r="W122" s="401"/>
      <c r="X122" s="157">
        <f t="shared" si="33"/>
        <v>43938</v>
      </c>
      <c r="Y122" s="384">
        <f t="shared" si="34"/>
        <v>29.52</v>
      </c>
      <c r="Z122" s="384">
        <f t="shared" si="35"/>
        <v>29.968209320106038</v>
      </c>
      <c r="AA122" s="385">
        <f t="shared" si="36"/>
        <v>31.097360395545341</v>
      </c>
      <c r="AB122" s="196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3.6310190353038882E-2</v>
      </c>
      <c r="AD122" s="230">
        <f>(INDEX(Models!$BJ122:$BT122,,AH122)*(1-AF122)+INDEX(Models!$BJ122:$BT122,,AH122+1)*AF122-ERP_i)*AE122*Ramure*Pc/MaxiM</f>
        <v>6.6779823677902121E-5</v>
      </c>
      <c r="AE122" s="304">
        <f t="shared" si="38"/>
        <v>0.5</v>
      </c>
      <c r="AF122" s="176">
        <f t="shared" si="39"/>
        <v>0.16493135608306325</v>
      </c>
      <c r="AG122" s="814">
        <f t="shared" si="47"/>
        <v>0</v>
      </c>
      <c r="AH122" s="175">
        <f t="shared" si="40"/>
        <v>6</v>
      </c>
      <c r="AI122" s="224">
        <f t="shared" si="41"/>
        <v>0.16493135608306325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43939</v>
      </c>
      <c r="B123" s="616">
        <v>43.033000000000001</v>
      </c>
      <c r="C123" s="389"/>
      <c r="D123" s="392">
        <f t="shared" si="24"/>
        <v>43.687337341506314</v>
      </c>
      <c r="E123" s="384">
        <f t="shared" si="45"/>
        <v>45.335687963922084</v>
      </c>
      <c r="F123" s="384">
        <f t="shared" si="25"/>
        <v>45.337667525135778</v>
      </c>
      <c r="G123" s="110">
        <f t="shared" si="46"/>
        <v>0.77209638856995422</v>
      </c>
      <c r="H123" s="413" t="b">
        <f>Wh_hp&gt;='2019'!Maxi_hp</f>
        <v>0</v>
      </c>
      <c r="I123" s="379">
        <f>IF(H123,Wh_hp,'2019'!Maxi_hp)</f>
        <v>52.299042349529486</v>
      </c>
      <c r="J123" s="85">
        <f>IF(H123,An,'2019'!An_max)</f>
        <v>2019</v>
      </c>
      <c r="K123" s="196">
        <f t="shared" si="26"/>
        <v>43939</v>
      </c>
      <c r="L123" s="147">
        <f>IF(t&lt;Tvie,1-EXP((T0-t)*PertePVj)+'2019'!Pspv,1-EXP((T0-t)*PertePVj)+Pspv)</f>
        <v>1.4977734541048338E-2</v>
      </c>
      <c r="M123" s="847"/>
      <c r="N123" s="847"/>
      <c r="O123" s="48">
        <f>IF(t&lt;Tnet,'2019'!Resal+('2019'!Salim-'2019'!Resal)*(1-EXP(('2019'!Tnet-t)/('2019'!Tau_j))),Resal+(Salim-Resal)*(1-EXP((Tnet-t)/(Tau_j))))*Salcycl</f>
        <v>3.6358787005229154E-2</v>
      </c>
      <c r="P123" s="168">
        <f>(INDEX(Models!$BJ123:$BT123,,T123)*(1-R123)+INDEX(Models!$BJ123:$BT123,,T123+1)*R123-ERP_i)*Q123*Ramure*Pc/MaxiM</f>
        <v>6.473842868807064E-5</v>
      </c>
      <c r="Q123" s="304">
        <f t="shared" si="27"/>
        <v>0.5</v>
      </c>
      <c r="R123" s="176">
        <f t="shared" si="28"/>
        <v>0.16607858793384539</v>
      </c>
      <c r="S123" s="814">
        <f t="shared" si="29"/>
        <v>0</v>
      </c>
      <c r="T123" s="175">
        <f t="shared" si="30"/>
        <v>6</v>
      </c>
      <c r="U123" s="250">
        <f t="shared" si="31"/>
        <v>0.16607858793384539</v>
      </c>
      <c r="V123" s="382">
        <f t="shared" si="32"/>
        <v>55.734094398106166</v>
      </c>
      <c r="W123" s="401"/>
      <c r="X123" s="157">
        <f t="shared" si="33"/>
        <v>43939</v>
      </c>
      <c r="Y123" s="384">
        <f t="shared" si="34"/>
        <v>43.033000000000001</v>
      </c>
      <c r="Z123" s="384">
        <f t="shared" si="35"/>
        <v>43.687337341506314</v>
      </c>
      <c r="AA123" s="385">
        <f t="shared" si="36"/>
        <v>45.335687963922084</v>
      </c>
      <c r="AB123" s="196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3.6358787005229154E-2</v>
      </c>
      <c r="AD123" s="230">
        <f>(INDEX(Models!$BJ123:$BT123,,AH123)*(1-AF123)+INDEX(Models!$BJ123:$BT123,,AH123+1)*AF123-ERP_i)*AE123*Ramure*Pc/MaxiM</f>
        <v>6.473842868807064E-5</v>
      </c>
      <c r="AE123" s="304">
        <f t="shared" si="38"/>
        <v>0.5</v>
      </c>
      <c r="AF123" s="176">
        <f t="shared" si="39"/>
        <v>0.16607858793384539</v>
      </c>
      <c r="AG123" s="814">
        <f t="shared" si="47"/>
        <v>0</v>
      </c>
      <c r="AH123" s="175">
        <f t="shared" si="40"/>
        <v>6</v>
      </c>
      <c r="AI123" s="224">
        <f t="shared" si="41"/>
        <v>0.16607858793384539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43940</v>
      </c>
      <c r="B124" s="616">
        <v>18.548999999999999</v>
      </c>
      <c r="C124" s="389"/>
      <c r="D124" s="392">
        <f t="shared" si="24"/>
        <v>18.831458871602855</v>
      </c>
      <c r="E124" s="384">
        <f t="shared" si="45"/>
        <v>19.54297714853648</v>
      </c>
      <c r="F124" s="384">
        <f t="shared" si="25"/>
        <v>19.543033491348186</v>
      </c>
      <c r="G124" s="110">
        <f t="shared" si="46"/>
        <v>0.33206044746569213</v>
      </c>
      <c r="H124" s="413" t="b">
        <f>Wh_hp&gt;='2019'!Maxi_hp</f>
        <v>0</v>
      </c>
      <c r="I124" s="379">
        <f>IF(H124,Wh_hp,'2019'!Maxi_hp)</f>
        <v>50.447436278195291</v>
      </c>
      <c r="J124" s="85">
        <f>IF(H124,An,'2019'!An_max)</f>
        <v>2019</v>
      </c>
      <c r="K124" s="196">
        <f t="shared" si="26"/>
        <v>43940</v>
      </c>
      <c r="L124" s="147">
        <f>IF(t&lt;Tvie,1-EXP((T0-t)*PertePVj)+'2019'!Pspv,1-EXP((T0-t)*PertePVj)+Pspv)</f>
        <v>1.4999309056654919E-2</v>
      </c>
      <c r="M124" s="847"/>
      <c r="N124" s="847"/>
      <c r="O124" s="48">
        <f>IF(t&lt;Tnet,'2019'!Resal+('2019'!Salim-'2019'!Resal)*(1-EXP(('2019'!Tnet-t)/('2019'!Tau_j))),Resal+(Salim-Resal)*(1-EXP((Tnet-t)/(Tau_j))))*Salcycl</f>
        <v>3.6407875398191777E-2</v>
      </c>
      <c r="P124" s="168">
        <f>(INDEX(Models!$BJ124:$BT124,,T124)*(1-R124)+INDEX(Models!$BJ124:$BT124,,T124+1)*R124-ERP_i)*Q124*Ramure*Pc/MaxiM</f>
        <v>6.2907882599000977E-5</v>
      </c>
      <c r="Q124" s="304">
        <f t="shared" si="27"/>
        <v>0.5</v>
      </c>
      <c r="R124" s="176">
        <f t="shared" si="28"/>
        <v>0.16726362077104689</v>
      </c>
      <c r="S124" s="814">
        <f t="shared" si="29"/>
        <v>0</v>
      </c>
      <c r="T124" s="175">
        <f t="shared" si="30"/>
        <v>6</v>
      </c>
      <c r="U124" s="250">
        <f t="shared" si="31"/>
        <v>0.16726362077104689</v>
      </c>
      <c r="V124" s="382">
        <f t="shared" si="32"/>
        <v>55.856958385243018</v>
      </c>
      <c r="W124" s="401"/>
      <c r="X124" s="157">
        <f t="shared" si="33"/>
        <v>43940</v>
      </c>
      <c r="Y124" s="384">
        <f t="shared" si="34"/>
        <v>18.548999999999999</v>
      </c>
      <c r="Z124" s="384">
        <f t="shared" si="35"/>
        <v>18.831458871602855</v>
      </c>
      <c r="AA124" s="385">
        <f t="shared" si="36"/>
        <v>19.54297714853648</v>
      </c>
      <c r="AB124" s="196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3.6407875398191777E-2</v>
      </c>
      <c r="AD124" s="230">
        <f>(INDEX(Models!$BJ124:$BT124,,AH124)*(1-AF124)+INDEX(Models!$BJ124:$BT124,,AH124+1)*AF124-ERP_i)*AE124*Ramure*Pc/MaxiM</f>
        <v>6.2907882599000977E-5</v>
      </c>
      <c r="AE124" s="304">
        <f t="shared" si="38"/>
        <v>0.5</v>
      </c>
      <c r="AF124" s="176">
        <f t="shared" si="39"/>
        <v>0.16726362077104689</v>
      </c>
      <c r="AG124" s="814">
        <f t="shared" si="47"/>
        <v>0</v>
      </c>
      <c r="AH124" s="175">
        <f t="shared" si="40"/>
        <v>6</v>
      </c>
      <c r="AI124" s="224">
        <f t="shared" si="41"/>
        <v>0.16726362077104689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43941</v>
      </c>
      <c r="B125" s="616">
        <v>11.651999999999999</v>
      </c>
      <c r="C125" s="389"/>
      <c r="D125" s="392">
        <f t="shared" si="24"/>
        <v>11.829692427052446</v>
      </c>
      <c r="E125" s="384">
        <f t="shared" si="45"/>
        <v>12.277291287547987</v>
      </c>
      <c r="F125" s="384">
        <f t="shared" si="25"/>
        <v>12.277291287547987</v>
      </c>
      <c r="G125" s="110">
        <f t="shared" si="46"/>
        <v>0.20815988652486814</v>
      </c>
      <c r="H125" s="413" t="b">
        <f>Wh_hp&gt;='2019'!Maxi_hp</f>
        <v>0</v>
      </c>
      <c r="I125" s="379">
        <f>IF(H125,Wh_hp,'2019'!Maxi_hp)</f>
        <v>19.581799156313128</v>
      </c>
      <c r="J125" s="85">
        <f>IF(H125,An,'2019'!An_max)</f>
        <v>2019</v>
      </c>
      <c r="K125" s="196">
        <f t="shared" si="26"/>
        <v>43941</v>
      </c>
      <c r="L125" s="147">
        <f>IF(t&lt;Tvie,1-EXP((T0-t)*PertePVj)+'2019'!Pspv,1-EXP((T0-t)*PertePVj)+Pspv)</f>
        <v>1.5020883099724158E-2</v>
      </c>
      <c r="M125" s="847"/>
      <c r="N125" s="847"/>
      <c r="O125" s="48">
        <f>IF(t&lt;Tnet,'2019'!Resal+('2019'!Salim-'2019'!Resal)*(1-EXP(('2019'!Tnet-t)/('2019'!Tau_j))),Resal+(Salim-Resal)*(1-EXP((Tnet-t)/(Tau_j))))*Salcycl</f>
        <v>3.6457460364201839E-2</v>
      </c>
      <c r="P125" s="168">
        <f>(INDEX(Models!$BJ125:$BT125,,T125)*(1-R125)+INDEX(Models!$BJ125:$BT125,,T125+1)*R125-ERP_i)*Q125*Ramure*Pc/MaxiM</f>
        <v>6.12868723302919E-5</v>
      </c>
      <c r="Q125" s="304">
        <f t="shared" si="27"/>
        <v>0.5</v>
      </c>
      <c r="R125" s="176">
        <f t="shared" si="28"/>
        <v>0.16848730341033075</v>
      </c>
      <c r="S125" s="814">
        <f t="shared" si="29"/>
        <v>0</v>
      </c>
      <c r="T125" s="175">
        <f t="shared" si="30"/>
        <v>6</v>
      </c>
      <c r="U125" s="250">
        <f t="shared" si="31"/>
        <v>0.16848730341033075</v>
      </c>
      <c r="V125" s="382">
        <f t="shared" si="32"/>
        <v>55.972772083403626</v>
      </c>
      <c r="W125" s="401"/>
      <c r="X125" s="157">
        <f t="shared" si="33"/>
        <v>43941</v>
      </c>
      <c r="Y125" s="384">
        <f t="shared" si="34"/>
        <v>11.651999999999999</v>
      </c>
      <c r="Z125" s="384">
        <f t="shared" si="35"/>
        <v>11.829692427052446</v>
      </c>
      <c r="AA125" s="385">
        <f t="shared" si="36"/>
        <v>12.277291287547987</v>
      </c>
      <c r="AB125" s="196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3.6457460364201839E-2</v>
      </c>
      <c r="AD125" s="230">
        <f>(INDEX(Models!$BJ125:$BT125,,AH125)*(1-AF125)+INDEX(Models!$BJ125:$BT125,,AH125+1)*AF125-ERP_i)*AE125*Ramure*Pc/MaxiM</f>
        <v>6.12868723302919E-5</v>
      </c>
      <c r="AE125" s="304">
        <f t="shared" si="38"/>
        <v>0.5</v>
      </c>
      <c r="AF125" s="176">
        <f t="shared" si="39"/>
        <v>0.16848730341033075</v>
      </c>
      <c r="AG125" s="814">
        <f t="shared" si="47"/>
        <v>0</v>
      </c>
      <c r="AH125" s="175">
        <f t="shared" si="40"/>
        <v>6</v>
      </c>
      <c r="AI125" s="224">
        <f t="shared" si="41"/>
        <v>0.16848730341033075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43942</v>
      </c>
      <c r="B126" s="616">
        <v>16.696999999999999</v>
      </c>
      <c r="C126" s="389"/>
      <c r="D126" s="392">
        <f t="shared" si="24"/>
        <v>16.951999721281751</v>
      </c>
      <c r="E126" s="384">
        <f t="shared" si="45"/>
        <v>17.59432536366317</v>
      </c>
      <c r="F126" s="384">
        <f t="shared" si="25"/>
        <v>17.59432536366317</v>
      </c>
      <c r="G126" s="110">
        <f t="shared" si="46"/>
        <v>0.29770721110056159</v>
      </c>
      <c r="H126" s="413" t="b">
        <f>Wh_hp&gt;='2019'!Maxi_hp</f>
        <v>0</v>
      </c>
      <c r="I126" s="379">
        <f>IF(H126,Wh_hp,'2019'!Maxi_hp)</f>
        <v>33.955642649288201</v>
      </c>
      <c r="J126" s="85">
        <f>IF(H126,An,'2019'!An_max)</f>
        <v>2019</v>
      </c>
      <c r="K126" s="196">
        <f t="shared" si="26"/>
        <v>43942</v>
      </c>
      <c r="L126" s="147">
        <f>IF(t&lt;Tvie,1-EXP((T0-t)*PertePVj)+'2019'!Pspv,1-EXP((T0-t)*PertePVj)+Pspv)</f>
        <v>1.5042456670266602E-2</v>
      </c>
      <c r="M126" s="847"/>
      <c r="N126" s="847"/>
      <c r="O126" s="48">
        <f>IF(t&lt;Tnet,'2019'!Resal+('2019'!Salim-'2019'!Resal)*(1-EXP(('2019'!Tnet-t)/('2019'!Tau_j))),Resal+(Salim-Resal)*(1-EXP((Tnet-t)/(Tau_j))))*Salcycl</f>
        <v>3.6507545990253534E-2</v>
      </c>
      <c r="P126" s="168">
        <f>(INDEX(Models!$BJ126:$BT126,,T126)*(1-R126)+INDEX(Models!$BJ126:$BT126,,T126+1)*R126-ERP_i)*Q126*Ramure*Pc/MaxiM</f>
        <v>5.9874429751273281E-5</v>
      </c>
      <c r="Q126" s="304">
        <f t="shared" si="27"/>
        <v>0.5</v>
      </c>
      <c r="R126" s="176">
        <f t="shared" si="28"/>
        <v>0.16975047353846021</v>
      </c>
      <c r="S126" s="814">
        <f t="shared" si="29"/>
        <v>0</v>
      </c>
      <c r="T126" s="175">
        <f t="shared" si="30"/>
        <v>6</v>
      </c>
      <c r="U126" s="250">
        <f t="shared" si="31"/>
        <v>0.16975047353846021</v>
      </c>
      <c r="V126" s="382">
        <f t="shared" si="32"/>
        <v>56.081947813507121</v>
      </c>
      <c r="W126" s="401"/>
      <c r="X126" s="157">
        <f t="shared" si="33"/>
        <v>43942</v>
      </c>
      <c r="Y126" s="384">
        <f t="shared" si="34"/>
        <v>16.696999999999999</v>
      </c>
      <c r="Z126" s="384">
        <f t="shared" si="35"/>
        <v>16.951999721281751</v>
      </c>
      <c r="AA126" s="385">
        <f t="shared" si="36"/>
        <v>17.59432536366317</v>
      </c>
      <c r="AB126" s="196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3.6507545990253534E-2</v>
      </c>
      <c r="AD126" s="230">
        <f>(INDEX(Models!$BJ126:$BT126,,AH126)*(1-AF126)+INDEX(Models!$BJ126:$BT126,,AH126+1)*AF126-ERP_i)*AE126*Ramure*Pc/MaxiM</f>
        <v>5.9874429751273281E-5</v>
      </c>
      <c r="AE126" s="304">
        <f t="shared" si="38"/>
        <v>0.5</v>
      </c>
      <c r="AF126" s="176">
        <f t="shared" si="39"/>
        <v>0.16975047353846021</v>
      </c>
      <c r="AG126" s="814">
        <f t="shared" si="47"/>
        <v>0</v>
      </c>
      <c r="AH126" s="175">
        <f t="shared" si="40"/>
        <v>6</v>
      </c>
      <c r="AI126" s="224">
        <f t="shared" si="41"/>
        <v>0.16975047353846021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43943</v>
      </c>
      <c r="B127" s="616">
        <v>8.5860000000000003</v>
      </c>
      <c r="C127" s="389"/>
      <c r="D127" s="392">
        <f t="shared" si="24"/>
        <v>8.7173179369011482</v>
      </c>
      <c r="E127" s="384">
        <f t="shared" si="45"/>
        <v>9.0480995884274424</v>
      </c>
      <c r="F127" s="384">
        <f t="shared" si="25"/>
        <v>9.0480995884274424</v>
      </c>
      <c r="G127" s="110">
        <f t="shared" si="46"/>
        <v>0.15280790019329166</v>
      </c>
      <c r="H127" s="413" t="b">
        <f>Wh_hp&gt;='2019'!Maxi_hp</f>
        <v>0</v>
      </c>
      <c r="I127" s="379">
        <f>IF(H127,Wh_hp,'2019'!Maxi_hp)</f>
        <v>38.957778395725626</v>
      </c>
      <c r="J127" s="85">
        <f>IF(H127,An,'2019'!An_max)</f>
        <v>2019</v>
      </c>
      <c r="K127" s="196">
        <f t="shared" si="26"/>
        <v>43943</v>
      </c>
      <c r="L127" s="147">
        <f>IF(t&lt;Tvie,1-EXP((T0-t)*PertePVj)+'2019'!Pspv,1-EXP((T0-t)*PertePVj)+Pspv)</f>
        <v>1.5064029768292353E-2</v>
      </c>
      <c r="M127" s="847"/>
      <c r="N127" s="847"/>
      <c r="O127" s="48">
        <f>IF(t&lt;Tnet,'2019'!Resal+('2019'!Salim-'2019'!Resal)*(1-EXP(('2019'!Tnet-t)/('2019'!Tau_j))),Resal+(Salim-Resal)*(1-EXP((Tnet-t)/(Tau_j))))*Salcycl</f>
        <v>3.6558135583450571E-2</v>
      </c>
      <c r="P127" s="168">
        <f>(INDEX(Models!$BJ127:$BT127,,T127)*(1-R127)+INDEX(Models!$BJ127:$BT127,,T127+1)*R127-ERP_i)*Q127*Ramure*Pc/MaxiM</f>
        <v>5.8669748097687703E-5</v>
      </c>
      <c r="Q127" s="304">
        <f t="shared" si="27"/>
        <v>0.5</v>
      </c>
      <c r="R127" s="176">
        <f t="shared" si="28"/>
        <v>0.17105395494088024</v>
      </c>
      <c r="S127" s="814">
        <f t="shared" si="29"/>
        <v>0</v>
      </c>
      <c r="T127" s="175">
        <f t="shared" si="30"/>
        <v>6</v>
      </c>
      <c r="U127" s="250">
        <f t="shared" si="31"/>
        <v>0.17105395494088024</v>
      </c>
      <c r="V127" s="382">
        <f t="shared" si="32"/>
        <v>56.184897840247537</v>
      </c>
      <c r="W127" s="401"/>
      <c r="X127" s="157">
        <f t="shared" si="33"/>
        <v>43943</v>
      </c>
      <c r="Y127" s="384">
        <f t="shared" si="34"/>
        <v>8.5860000000000003</v>
      </c>
      <c r="Z127" s="384">
        <f t="shared" si="35"/>
        <v>8.7173179369011482</v>
      </c>
      <c r="AA127" s="385">
        <f t="shared" si="36"/>
        <v>9.0480995884274424</v>
      </c>
      <c r="AB127" s="196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3.6558135583450571E-2</v>
      </c>
      <c r="AD127" s="230">
        <f>(INDEX(Models!$BJ127:$BT127,,AH127)*(1-AF127)+INDEX(Models!$BJ127:$BT127,,AH127+1)*AF127-ERP_i)*AE127*Ramure*Pc/MaxiM</f>
        <v>5.8669748097687703E-5</v>
      </c>
      <c r="AE127" s="304">
        <f t="shared" si="38"/>
        <v>0.5</v>
      </c>
      <c r="AF127" s="176">
        <f t="shared" si="39"/>
        <v>0.17105395494088024</v>
      </c>
      <c r="AG127" s="814">
        <f t="shared" si="47"/>
        <v>0</v>
      </c>
      <c r="AH127" s="175">
        <f t="shared" si="40"/>
        <v>6</v>
      </c>
      <c r="AI127" s="224">
        <f t="shared" si="41"/>
        <v>0.17105395494088024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43944</v>
      </c>
      <c r="B128" s="616">
        <v>15.327</v>
      </c>
      <c r="C128" s="389"/>
      <c r="D128" s="392">
        <f t="shared" si="24"/>
        <v>15.561758501299122</v>
      </c>
      <c r="E128" s="384">
        <f t="shared" si="45"/>
        <v>16.153111501905485</v>
      </c>
      <c r="F128" s="384">
        <f t="shared" si="25"/>
        <v>16.153111501905485</v>
      </c>
      <c r="G128" s="110">
        <f t="shared" si="46"/>
        <v>0.27230920539947601</v>
      </c>
      <c r="H128" s="413" t="b">
        <f>Wh_hp&gt;='2019'!Maxi_hp</f>
        <v>0</v>
      </c>
      <c r="I128" s="379">
        <f>IF(H128,Wh_hp,'2019'!Maxi_hp)</f>
        <v>54.042656770196878</v>
      </c>
      <c r="J128" s="85">
        <f>IF(H128,An,'2019'!An_max)</f>
        <v>2019</v>
      </c>
      <c r="K128" s="196">
        <f t="shared" si="26"/>
        <v>43944</v>
      </c>
      <c r="L128" s="147">
        <f>IF(t&lt;Tvie,1-EXP((T0-t)*PertePVj)+'2019'!Pspv,1-EXP((T0-t)*PertePVj)+Pspv)</f>
        <v>1.5085602393811959E-2</v>
      </c>
      <c r="M128" s="847"/>
      <c r="N128" s="847"/>
      <c r="O128" s="48">
        <f>IF(t&lt;Tnet,'2019'!Resal+('2019'!Salim-'2019'!Resal)*(1-EXP(('2019'!Tnet-t)/('2019'!Tau_j))),Resal+(Salim-Resal)*(1-EXP((Tnet-t)/(Tau_j))))*Salcycl</f>
        <v>3.6609231635440824E-2</v>
      </c>
      <c r="P128" s="168">
        <f>(INDEX(Models!$BJ128:$BT128,,T128)*(1-R128)+INDEX(Models!$BJ128:$BT128,,T128+1)*R128-ERP_i)*Q128*Ramure*Pc/MaxiM</f>
        <v>5.785500132624961E-5</v>
      </c>
      <c r="Q128" s="304">
        <f t="shared" si="27"/>
        <v>0.5</v>
      </c>
      <c r="R128" s="176">
        <f t="shared" si="28"/>
        <v>0.17239855457282915</v>
      </c>
      <c r="S128" s="814">
        <f t="shared" si="29"/>
        <v>0</v>
      </c>
      <c r="T128" s="175">
        <f t="shared" si="30"/>
        <v>6</v>
      </c>
      <c r="U128" s="250">
        <f t="shared" si="31"/>
        <v>0.17239855457282915</v>
      </c>
      <c r="V128" s="382">
        <f t="shared" si="32"/>
        <v>56.282024083289265</v>
      </c>
      <c r="W128" s="401"/>
      <c r="X128" s="157">
        <f t="shared" si="33"/>
        <v>43944</v>
      </c>
      <c r="Y128" s="384">
        <f t="shared" si="34"/>
        <v>15.327000000000002</v>
      </c>
      <c r="Z128" s="384">
        <f t="shared" si="35"/>
        <v>15.561758501299124</v>
      </c>
      <c r="AA128" s="385">
        <f t="shared" si="36"/>
        <v>16.153111501905485</v>
      </c>
      <c r="AB128" s="196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3.6609231635440824E-2</v>
      </c>
      <c r="AD128" s="230">
        <f>(INDEX(Models!$BJ128:$BT128,,AH128)*(1-AF128)+INDEX(Models!$BJ128:$BT128,,AH128+1)*AF128-ERP_i)*AE128*Ramure*Pc/MaxiM</f>
        <v>5.785500132624961E-5</v>
      </c>
      <c r="AE128" s="304">
        <f t="shared" si="38"/>
        <v>0.5</v>
      </c>
      <c r="AF128" s="176">
        <f t="shared" si="39"/>
        <v>0.17239855457282915</v>
      </c>
      <c r="AG128" s="814">
        <f t="shared" si="47"/>
        <v>0</v>
      </c>
      <c r="AH128" s="175">
        <f t="shared" si="40"/>
        <v>6</v>
      </c>
      <c r="AI128" s="224">
        <f t="shared" si="41"/>
        <v>0.17239855457282915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43945</v>
      </c>
      <c r="B129" s="616">
        <v>52.191000000000003</v>
      </c>
      <c r="C129" s="389"/>
      <c r="D129" s="392">
        <f t="shared" si="24"/>
        <v>52.991552635167309</v>
      </c>
      <c r="E129" s="384">
        <f t="shared" si="45"/>
        <v>55.00819919265502</v>
      </c>
      <c r="F129" s="384">
        <f t="shared" si="25"/>
        <v>55.011025243549312</v>
      </c>
      <c r="G129" s="110">
        <f t="shared" si="46"/>
        <v>0.92579781121061033</v>
      </c>
      <c r="H129" s="413" t="b">
        <f>Wh_hp&gt;='2019'!Maxi_hp</f>
        <v>1</v>
      </c>
      <c r="I129" s="379">
        <f>IF(H129,Wh_hp,'2019'!Maxi_hp)</f>
        <v>55.011025243549312</v>
      </c>
      <c r="J129" s="85">
        <f>IF(H129,An,'2019'!An_max)</f>
        <v>2020</v>
      </c>
      <c r="K129" s="196">
        <f t="shared" si="26"/>
        <v>43945</v>
      </c>
      <c r="L129" s="147">
        <f>IF(t&lt;Tvie,1-EXP((T0-t)*PertePVj)+'2019'!Pspv,1-EXP((T0-t)*PertePVj)+Pspv)</f>
        <v>1.5107174546835744E-2</v>
      </c>
      <c r="M129" s="847"/>
      <c r="N129" s="847"/>
      <c r="O129" s="48">
        <f>IF(t&lt;Tnet,'2019'!Resal+('2019'!Salim-'2019'!Resal)*(1-EXP(('2019'!Tnet-t)/('2019'!Tau_j))),Resal+(Salim-Resal)*(1-EXP((Tnet-t)/(Tau_j))))*Salcycl</f>
        <v>3.6660835786040166E-2</v>
      </c>
      <c r="P129" s="168">
        <f>(INDEX(Models!$BJ129:$BT129,,T129)*(1-R129)+INDEX(Models!$BJ129:$BT129,,T129+1)*R129-ERP_i)*Q129*Ramure*Pc/MaxiM</f>
        <v>5.7463268702241354E-5</v>
      </c>
      <c r="Q129" s="304">
        <f t="shared" si="27"/>
        <v>0.5</v>
      </c>
      <c r="R129" s="176">
        <f t="shared" si="28"/>
        <v>0.17378505947580866</v>
      </c>
      <c r="S129" s="814">
        <f t="shared" si="29"/>
        <v>0</v>
      </c>
      <c r="T129" s="175">
        <f t="shared" si="30"/>
        <v>6</v>
      </c>
      <c r="U129" s="250">
        <f t="shared" si="31"/>
        <v>0.17378505947580866</v>
      </c>
      <c r="V129" s="382">
        <f t="shared" si="32"/>
        <v>56.373736754968526</v>
      </c>
      <c r="W129" s="401"/>
      <c r="X129" s="157">
        <f t="shared" si="33"/>
        <v>43945</v>
      </c>
      <c r="Y129" s="384">
        <f t="shared" si="34"/>
        <v>52.191000000000003</v>
      </c>
      <c r="Z129" s="384">
        <f t="shared" si="35"/>
        <v>52.991552635167309</v>
      </c>
      <c r="AA129" s="385">
        <f t="shared" si="36"/>
        <v>55.00819919265502</v>
      </c>
      <c r="AB129" s="196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3.6660835786040166E-2</v>
      </c>
      <c r="AD129" s="230">
        <f>(INDEX(Models!$BJ129:$BT129,,AH129)*(1-AF129)+INDEX(Models!$BJ129:$BT129,,AH129+1)*AF129-ERP_i)*AE129*Ramure*Pc/MaxiM</f>
        <v>5.7463268702241354E-5</v>
      </c>
      <c r="AE129" s="304">
        <f t="shared" si="38"/>
        <v>0.5</v>
      </c>
      <c r="AF129" s="176">
        <f t="shared" si="39"/>
        <v>0.17378505947580866</v>
      </c>
      <c r="AG129" s="814">
        <f t="shared" si="47"/>
        <v>0</v>
      </c>
      <c r="AH129" s="175">
        <f t="shared" si="40"/>
        <v>6</v>
      </c>
      <c r="AI129" s="224">
        <f t="shared" si="41"/>
        <v>0.17378505947580866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43946</v>
      </c>
      <c r="B130" s="616">
        <v>42.439</v>
      </c>
      <c r="C130" s="389"/>
      <c r="D130" s="392">
        <f t="shared" si="24"/>
        <v>43.090911464248862</v>
      </c>
      <c r="E130" s="384">
        <f t="shared" si="45"/>
        <v>44.733199112302998</v>
      </c>
      <c r="F130" s="384">
        <f t="shared" si="25"/>
        <v>44.734858830457235</v>
      </c>
      <c r="G130" s="110">
        <f t="shared" si="46"/>
        <v>0.75164360340298342</v>
      </c>
      <c r="H130" s="413" t="b">
        <f>Wh_hp&gt;='2019'!Maxi_hp</f>
        <v>1</v>
      </c>
      <c r="I130" s="379">
        <f>IF(H130,Wh_hp,'2019'!Maxi_hp)</f>
        <v>44.734858830457235</v>
      </c>
      <c r="J130" s="85">
        <f>IF(H130,An,'2019'!An_max)</f>
        <v>2020</v>
      </c>
      <c r="K130" s="196">
        <f t="shared" si="26"/>
        <v>43946</v>
      </c>
      <c r="L130" s="147">
        <f>IF(t&lt;Tvie,1-EXP((T0-t)*PertePVj)+'2019'!Pspv,1-EXP((T0-t)*PertePVj)+Pspv)</f>
        <v>1.5128746227373924E-2</v>
      </c>
      <c r="M130" s="847"/>
      <c r="N130" s="847"/>
      <c r="O130" s="48">
        <f>IF(t&lt;Tnet,'2019'!Resal+('2019'!Salim-'2019'!Resal)*(1-EXP(('2019'!Tnet-t)/('2019'!Tau_j))),Resal+(Salim-Resal)*(1-EXP((Tnet-t)/(Tau_j))))*Salcycl</f>
        <v>3.6712948786228307E-2</v>
      </c>
      <c r="P130" s="168">
        <f>(INDEX(Models!$BJ130:$BT130,,T130)*(1-R130)+INDEX(Models!$BJ130:$BT130,,T130+1)*R130-ERP_i)*Q130*Ramure*Pc/MaxiM</f>
        <v>5.7501040640021015E-5</v>
      </c>
      <c r="Q130" s="304">
        <f t="shared" si="27"/>
        <v>0.5</v>
      </c>
      <c r="R130" s="176">
        <f t="shared" si="28"/>
        <v>0.17521423354252402</v>
      </c>
      <c r="S130" s="814">
        <f t="shared" si="29"/>
        <v>0</v>
      </c>
      <c r="T130" s="175">
        <f t="shared" si="30"/>
        <v>6</v>
      </c>
      <c r="U130" s="250">
        <f t="shared" si="31"/>
        <v>0.17521423354252402</v>
      </c>
      <c r="V130" s="382">
        <f t="shared" si="32"/>
        <v>56.460447515358773</v>
      </c>
      <c r="W130" s="401"/>
      <c r="X130" s="157">
        <f t="shared" si="33"/>
        <v>43946</v>
      </c>
      <c r="Y130" s="384">
        <f t="shared" si="34"/>
        <v>42.439</v>
      </c>
      <c r="Z130" s="384">
        <f t="shared" si="35"/>
        <v>43.090911464248862</v>
      </c>
      <c r="AA130" s="385">
        <f t="shared" si="36"/>
        <v>44.733199112302998</v>
      </c>
      <c r="AB130" s="196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3.6712948786228307E-2</v>
      </c>
      <c r="AD130" s="230">
        <f>(INDEX(Models!$BJ130:$BT130,,AH130)*(1-AF130)+INDEX(Models!$BJ130:$BT130,,AH130+1)*AF130-ERP_i)*AE130*Ramure*Pc/MaxiM</f>
        <v>5.7501040640021015E-5</v>
      </c>
      <c r="AE130" s="304">
        <f t="shared" si="38"/>
        <v>0.5</v>
      </c>
      <c r="AF130" s="176">
        <f t="shared" si="39"/>
        <v>0.17521423354252402</v>
      </c>
      <c r="AG130" s="814">
        <f t="shared" si="47"/>
        <v>0</v>
      </c>
      <c r="AH130" s="175">
        <f t="shared" si="40"/>
        <v>6</v>
      </c>
      <c r="AI130" s="224">
        <f t="shared" si="41"/>
        <v>0.17521423354252402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43947</v>
      </c>
      <c r="B131" s="616">
        <v>24.015000000000001</v>
      </c>
      <c r="C131" s="389"/>
      <c r="D131" s="392">
        <f t="shared" si="24"/>
        <v>24.38443188351809</v>
      </c>
      <c r="E131" s="384">
        <f t="shared" si="45"/>
        <v>25.315158112840429</v>
      </c>
      <c r="F131" s="384">
        <f t="shared" si="25"/>
        <v>25.315419620085066</v>
      </c>
      <c r="G131" s="110">
        <f t="shared" si="46"/>
        <v>0.42470401778414024</v>
      </c>
      <c r="H131" s="413" t="b">
        <f>Wh_hp&gt;='2019'!Maxi_hp</f>
        <v>0</v>
      </c>
      <c r="I131" s="379">
        <f>IF(H131,Wh_hp,'2019'!Maxi_hp)</f>
        <v>32.651115623265042</v>
      </c>
      <c r="J131" s="85">
        <f>IF(H131,An,'2019'!An_max)</f>
        <v>2019</v>
      </c>
      <c r="K131" s="196">
        <f t="shared" si="26"/>
        <v>43947</v>
      </c>
      <c r="L131" s="147">
        <f>IF(t&lt;Tvie,1-EXP((T0-t)*PertePVj)+'2019'!Pspv,1-EXP((T0-t)*PertePVj)+Pspv)</f>
        <v>1.5150317435437044E-2</v>
      </c>
      <c r="M131" s="847"/>
      <c r="N131" s="847"/>
      <c r="O131" s="48">
        <f>IF(t&lt;Tnet,'2019'!Resal+('2019'!Salim-'2019'!Resal)*(1-EXP(('2019'!Tnet-t)/('2019'!Tau_j))),Resal+(Salim-Resal)*(1-EXP((Tnet-t)/(Tau_j))))*Salcycl</f>
        <v>3.6765570460737237E-2</v>
      </c>
      <c r="P131" s="168">
        <f>(INDEX(Models!$BJ131:$BT131,,T131)*(1-R131)+INDEX(Models!$BJ131:$BT131,,T131+1)*R131-ERP_i)*Q131*Ramure*Pc/MaxiM</f>
        <v>5.7975662260588579E-5</v>
      </c>
      <c r="Q131" s="304">
        <f t="shared" si="27"/>
        <v>0.5</v>
      </c>
      <c r="R131" s="176">
        <f t="shared" si="28"/>
        <v>0.176686814134805</v>
      </c>
      <c r="S131" s="814">
        <f t="shared" si="29"/>
        <v>0</v>
      </c>
      <c r="T131" s="175">
        <f t="shared" si="30"/>
        <v>6</v>
      </c>
      <c r="U131" s="250">
        <f t="shared" si="31"/>
        <v>0.176686814134805</v>
      </c>
      <c r="V131" s="382">
        <f t="shared" si="32"/>
        <v>56.542567932144408</v>
      </c>
      <c r="W131" s="401"/>
      <c r="X131" s="157">
        <f t="shared" si="33"/>
        <v>43947</v>
      </c>
      <c r="Y131" s="384">
        <f t="shared" si="34"/>
        <v>24.015000000000001</v>
      </c>
      <c r="Z131" s="384">
        <f t="shared" si="35"/>
        <v>24.38443188351809</v>
      </c>
      <c r="AA131" s="385">
        <f t="shared" si="36"/>
        <v>25.315158112840429</v>
      </c>
      <c r="AB131" s="196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3.6765570460737237E-2</v>
      </c>
      <c r="AD131" s="230">
        <f>(INDEX(Models!$BJ131:$BT131,,AH131)*(1-AF131)+INDEX(Models!$BJ131:$BT131,,AH131+1)*AF131-ERP_i)*AE131*Ramure*Pc/MaxiM</f>
        <v>5.7975662260588579E-5</v>
      </c>
      <c r="AE131" s="304">
        <f t="shared" si="38"/>
        <v>0.5</v>
      </c>
      <c r="AF131" s="176">
        <f t="shared" si="39"/>
        <v>0.176686814134805</v>
      </c>
      <c r="AG131" s="814">
        <f t="shared" si="47"/>
        <v>0</v>
      </c>
      <c r="AH131" s="175">
        <f t="shared" si="40"/>
        <v>6</v>
      </c>
      <c r="AI131" s="224">
        <f t="shared" si="41"/>
        <v>0.176686814134805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43948</v>
      </c>
      <c r="B132" s="616">
        <v>21.661000000000001</v>
      </c>
      <c r="C132" s="389"/>
      <c r="D132" s="392">
        <f t="shared" si="24"/>
        <v>21.994701146144649</v>
      </c>
      <c r="E132" s="384">
        <f t="shared" si="45"/>
        <v>22.835473590091613</v>
      </c>
      <c r="F132" s="384">
        <f t="shared" si="25"/>
        <v>22.835632221575565</v>
      </c>
      <c r="G132" s="110">
        <f t="shared" si="46"/>
        <v>0.38254468092964655</v>
      </c>
      <c r="H132" s="413" t="b">
        <f>Wh_hp&gt;='2019'!Maxi_hp</f>
        <v>0</v>
      </c>
      <c r="I132" s="379">
        <f>IF(H132,Wh_hp,'2019'!Maxi_hp)</f>
        <v>46.272317689396395</v>
      </c>
      <c r="J132" s="85">
        <f>IF(H132,An,'2019'!An_max)</f>
        <v>2019</v>
      </c>
      <c r="K132" s="196">
        <f t="shared" si="26"/>
        <v>43948</v>
      </c>
      <c r="L132" s="147">
        <f>IF(t&lt;Tvie,1-EXP((T0-t)*PertePVj)+'2019'!Pspv,1-EXP((T0-t)*PertePVj)+Pspv)</f>
        <v>1.5171888171035208E-2</v>
      </c>
      <c r="M132" s="847"/>
      <c r="N132" s="847"/>
      <c r="O132" s="48">
        <f>IF(t&lt;Tnet,'2019'!Resal+('2019'!Salim-'2019'!Resal)*(1-EXP(('2019'!Tnet-t)/('2019'!Tau_j))),Resal+(Salim-Resal)*(1-EXP((Tnet-t)/(Tau_j))))*Salcycl</f>
        <v>3.6818699670488876E-2</v>
      </c>
      <c r="P132" s="168">
        <f>(INDEX(Models!$BJ132:$BT132,,T132)*(1-R132)+INDEX(Models!$BJ132:$BT132,,T132+1)*R132-ERP_i)*Q132*Ramure*Pc/MaxiM</f>
        <v>5.8895314294625811E-5</v>
      </c>
      <c r="Q132" s="304">
        <f t="shared" si="27"/>
        <v>0.5</v>
      </c>
      <c r="R132" s="176">
        <f t="shared" si="28"/>
        <v>0.17820350856053138</v>
      </c>
      <c r="S132" s="814">
        <f t="shared" si="29"/>
        <v>0</v>
      </c>
      <c r="T132" s="175">
        <f t="shared" si="30"/>
        <v>6</v>
      </c>
      <c r="U132" s="250">
        <f t="shared" si="31"/>
        <v>0.17820350856053138</v>
      </c>
      <c r="V132" s="382">
        <f t="shared" si="32"/>
        <v>56.620509478397977</v>
      </c>
      <c r="W132" s="401"/>
      <c r="X132" s="157">
        <f t="shared" si="33"/>
        <v>43948</v>
      </c>
      <c r="Y132" s="384">
        <f t="shared" si="34"/>
        <v>21.661000000000001</v>
      </c>
      <c r="Z132" s="384">
        <f t="shared" si="35"/>
        <v>21.994701146144649</v>
      </c>
      <c r="AA132" s="385">
        <f t="shared" si="36"/>
        <v>22.835473590091613</v>
      </c>
      <c r="AB132" s="196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3.6818699670488876E-2</v>
      </c>
      <c r="AD132" s="230">
        <f>(INDEX(Models!$BJ132:$BT132,,AH132)*(1-AF132)+INDEX(Models!$BJ132:$BT132,,AH132+1)*AF132-ERP_i)*AE132*Ramure*Pc/MaxiM</f>
        <v>5.8895314294625811E-5</v>
      </c>
      <c r="AE132" s="304">
        <f t="shared" si="38"/>
        <v>0.5</v>
      </c>
      <c r="AF132" s="176">
        <f t="shared" si="39"/>
        <v>0.17820350856053138</v>
      </c>
      <c r="AG132" s="814">
        <f t="shared" si="47"/>
        <v>0</v>
      </c>
      <c r="AH132" s="175">
        <f t="shared" si="40"/>
        <v>6</v>
      </c>
      <c r="AI132" s="224">
        <f t="shared" si="41"/>
        <v>0.17820350856053138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43949</v>
      </c>
      <c r="B133" s="616">
        <v>33.484000000000002</v>
      </c>
      <c r="C133" s="389"/>
      <c r="D133" s="392">
        <f t="shared" si="24"/>
        <v>34.000586497690371</v>
      </c>
      <c r="E133" s="384">
        <f t="shared" si="45"/>
        <v>35.302263352701395</v>
      </c>
      <c r="F133" s="384">
        <f t="shared" si="25"/>
        <v>35.303146652390176</v>
      </c>
      <c r="G133" s="110">
        <f t="shared" si="46"/>
        <v>0.59058129650447322</v>
      </c>
      <c r="H133" s="413" t="b">
        <f>Wh_hp&gt;='2019'!Maxi_hp</f>
        <v>0</v>
      </c>
      <c r="I133" s="379">
        <f>IF(H133,Wh_hp,'2019'!Maxi_hp)</f>
        <v>53.368157207245993</v>
      </c>
      <c r="J133" s="85">
        <f>IF(H133,An,'2019'!An_max)</f>
        <v>2019</v>
      </c>
      <c r="K133" s="196">
        <f t="shared" si="26"/>
        <v>43949</v>
      </c>
      <c r="L133" s="147">
        <f>IF(t&lt;Tvie,1-EXP((T0-t)*PertePVj)+'2019'!Pspv,1-EXP((T0-t)*PertePVj)+Pspv)</f>
        <v>1.5193458434179075E-2</v>
      </c>
      <c r="M133" s="847"/>
      <c r="N133" s="847"/>
      <c r="O133" s="48">
        <f>IF(t&lt;Tnet,'2019'!Resal+('2019'!Salim-'2019'!Resal)*(1-EXP(('2019'!Tnet-t)/('2019'!Tau_j))),Resal+(Salim-Resal)*(1-EXP((Tnet-t)/(Tau_j))))*Salcycl</f>
        <v>3.6872334275173765E-2</v>
      </c>
      <c r="P133" s="168">
        <f>(INDEX(Models!$BJ133:$BT133,,T133)*(1-R133)+INDEX(Models!$BJ133:$BT133,,T133+1)*R133-ERP_i)*Q133*Ramure*Pc/MaxiM</f>
        <v>6.0268992286507248E-5</v>
      </c>
      <c r="Q133" s="304">
        <f t="shared" si="27"/>
        <v>0.5</v>
      </c>
      <c r="R133" s="176">
        <f t="shared" si="28"/>
        <v>0.17976499041721064</v>
      </c>
      <c r="S133" s="814">
        <f t="shared" si="29"/>
        <v>0</v>
      </c>
      <c r="T133" s="175">
        <f t="shared" si="30"/>
        <v>6</v>
      </c>
      <c r="U133" s="250">
        <f t="shared" si="31"/>
        <v>0.17976499041721064</v>
      </c>
      <c r="V133" s="382">
        <f t="shared" si="32"/>
        <v>56.694683535657717</v>
      </c>
      <c r="W133" s="401"/>
      <c r="X133" s="157">
        <f t="shared" si="33"/>
        <v>43949</v>
      </c>
      <c r="Y133" s="384">
        <f t="shared" si="34"/>
        <v>33.484000000000002</v>
      </c>
      <c r="Z133" s="384">
        <f t="shared" si="35"/>
        <v>34.000586497690371</v>
      </c>
      <c r="AA133" s="385">
        <f t="shared" si="36"/>
        <v>35.302263352701395</v>
      </c>
      <c r="AB133" s="196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3.6872334275173765E-2</v>
      </c>
      <c r="AD133" s="230">
        <f>(INDEX(Models!$BJ133:$BT133,,AH133)*(1-AF133)+INDEX(Models!$BJ133:$BT133,,AH133+1)*AF133-ERP_i)*AE133*Ramure*Pc/MaxiM</f>
        <v>6.0268992286507248E-5</v>
      </c>
      <c r="AE133" s="304">
        <f t="shared" si="38"/>
        <v>0.5</v>
      </c>
      <c r="AF133" s="176">
        <f t="shared" si="39"/>
        <v>0.17976499041721064</v>
      </c>
      <c r="AG133" s="814">
        <f t="shared" si="47"/>
        <v>0</v>
      </c>
      <c r="AH133" s="175">
        <f t="shared" si="40"/>
        <v>6</v>
      </c>
      <c r="AI133" s="224">
        <f t="shared" si="41"/>
        <v>0.17976499041721064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43950</v>
      </c>
      <c r="B134" s="616">
        <v>51.87</v>
      </c>
      <c r="C134" s="389"/>
      <c r="D134" s="392">
        <f t="shared" si="24"/>
        <v>52.671396788785152</v>
      </c>
      <c r="E134" s="384">
        <f t="shared" si="45"/>
        <v>54.690940211743268</v>
      </c>
      <c r="F134" s="384">
        <f t="shared" si="25"/>
        <v>54.69391856334984</v>
      </c>
      <c r="G134" s="110">
        <f t="shared" si="46"/>
        <v>0.91375222302696579</v>
      </c>
      <c r="H134" s="413" t="b">
        <f>Wh_hp&gt;='2019'!Maxi_hp</f>
        <v>0</v>
      </c>
      <c r="I134" s="379">
        <f>IF(H134,Wh_hp,'2019'!Maxi_hp)</f>
        <v>60.260535835391735</v>
      </c>
      <c r="J134" s="85">
        <f>IF(H134,An,'2019'!An_max)</f>
        <v>2019</v>
      </c>
      <c r="K134" s="196">
        <f t="shared" si="26"/>
        <v>43950</v>
      </c>
      <c r="L134" s="147">
        <f>IF(t&lt;Tvie,1-EXP((T0-t)*PertePVj)+'2019'!Pspv,1-EXP((T0-t)*PertePVj)+Pspv)</f>
        <v>1.5215028224878746E-2</v>
      </c>
      <c r="M134" s="847"/>
      <c r="N134" s="847"/>
      <c r="O134" s="48">
        <f>IF(t&lt;Tnet,'2019'!Resal+('2019'!Salim-'2019'!Resal)*(1-EXP(('2019'!Tnet-t)/('2019'!Tau_j))),Resal+(Salim-Resal)*(1-EXP((Tnet-t)/(Tau_j))))*Salcycl</f>
        <v>3.6926471096294704E-2</v>
      </c>
      <c r="P134" s="168">
        <f>(INDEX(Models!$BJ134:$BT134,,T134)*(1-R134)+INDEX(Models!$BJ134:$BT134,,T134+1)*R134-ERP_i)*Q134*Ramure*Pc/MaxiM</f>
        <v>6.2106483684810592E-5</v>
      </c>
      <c r="Q134" s="304">
        <f t="shared" si="27"/>
        <v>0.5</v>
      </c>
      <c r="R134" s="176">
        <f t="shared" si="28"/>
        <v>0.18137189581157812</v>
      </c>
      <c r="S134" s="814">
        <f t="shared" si="29"/>
        <v>0</v>
      </c>
      <c r="T134" s="175">
        <f t="shared" si="30"/>
        <v>6</v>
      </c>
      <c r="U134" s="250">
        <f t="shared" si="31"/>
        <v>0.18137189581157812</v>
      </c>
      <c r="V134" s="382">
        <f t="shared" si="32"/>
        <v>56.765501394532706</v>
      </c>
      <c r="W134" s="401"/>
      <c r="X134" s="157">
        <f t="shared" si="33"/>
        <v>43950</v>
      </c>
      <c r="Y134" s="384">
        <f t="shared" si="34"/>
        <v>51.87</v>
      </c>
      <c r="Z134" s="384">
        <f t="shared" si="35"/>
        <v>52.671396788785152</v>
      </c>
      <c r="AA134" s="385">
        <f t="shared" si="36"/>
        <v>54.690940211743268</v>
      </c>
      <c r="AB134" s="196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3.6926471096294704E-2</v>
      </c>
      <c r="AD134" s="230">
        <f>(INDEX(Models!$BJ134:$BT134,,AH134)*(1-AF134)+INDEX(Models!$BJ134:$BT134,,AH134+1)*AF134-ERP_i)*AE134*Ramure*Pc/MaxiM</f>
        <v>6.2106483684810592E-5</v>
      </c>
      <c r="AE134" s="304">
        <f t="shared" si="38"/>
        <v>0.5</v>
      </c>
      <c r="AF134" s="176">
        <f t="shared" si="39"/>
        <v>0.18137189581157812</v>
      </c>
      <c r="AG134" s="814">
        <f t="shared" si="47"/>
        <v>0</v>
      </c>
      <c r="AH134" s="175">
        <f t="shared" si="40"/>
        <v>6</v>
      </c>
      <c r="AI134" s="224">
        <f t="shared" si="41"/>
        <v>0.18137189581157812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43951</v>
      </c>
      <c r="B135" s="616">
        <v>42.514000000000003</v>
      </c>
      <c r="C135" s="389"/>
      <c r="D135" s="392">
        <f t="shared" si="24"/>
        <v>43.171791207850688</v>
      </c>
      <c r="E135" s="384">
        <f t="shared" si="45"/>
        <v>44.829640904758072</v>
      </c>
      <c r="F135" s="384">
        <f t="shared" si="25"/>
        <v>44.831489563611001</v>
      </c>
      <c r="G135" s="110">
        <f t="shared" si="46"/>
        <v>0.74805428317541223</v>
      </c>
      <c r="H135" s="413" t="b">
        <f>Wh_hp&gt;='2019'!Maxi_hp</f>
        <v>0</v>
      </c>
      <c r="I135" s="379">
        <f>IF(H135,Wh_hp,'2019'!Maxi_hp)</f>
        <v>56.919945297038041</v>
      </c>
      <c r="J135" s="85">
        <f>IF(H135,An,'2019'!An_max)</f>
        <v>2019</v>
      </c>
      <c r="K135" s="196">
        <f t="shared" si="26"/>
        <v>43951</v>
      </c>
      <c r="L135" s="147">
        <f>IF(t&lt;Tvie,1-EXP((T0-t)*PertePVj)+'2019'!Pspv,1-EXP((T0-t)*PertePVj)+Pspv)</f>
        <v>1.5236597543144548E-2</v>
      </c>
      <c r="M135" s="847"/>
      <c r="N135" s="847"/>
      <c r="O135" s="48">
        <f>IF(t&lt;Tnet,'2019'!Resal+('2019'!Salim-'2019'!Resal)*(1-EXP(('2019'!Tnet-t)/('2019'!Tau_j))),Resal+(Salim-Resal)*(1-EXP((Tnet-t)/(Tau_j))))*Salcycl</f>
        <v>3.6981105881029389E-2</v>
      </c>
      <c r="P135" s="168">
        <f>(INDEX(Models!$BJ135:$BT135,,T135)*(1-R135)+INDEX(Models!$BJ135:$BT135,,T135+1)*R135-ERP_i)*Q135*Ramure*Pc/MaxiM</f>
        <v>6.442051628532925E-5</v>
      </c>
      <c r="Q135" s="304">
        <f t="shared" si="27"/>
        <v>0.5</v>
      </c>
      <c r="R135" s="176">
        <f t="shared" si="28"/>
        <v>0.18302481946641411</v>
      </c>
      <c r="S135" s="814">
        <f t="shared" si="29"/>
        <v>0</v>
      </c>
      <c r="T135" s="175">
        <f t="shared" si="30"/>
        <v>6</v>
      </c>
      <c r="U135" s="250">
        <f t="shared" si="31"/>
        <v>0.18302481946641411</v>
      </c>
      <c r="V135" s="382">
        <f t="shared" si="32"/>
        <v>56.831456268865153</v>
      </c>
      <c r="W135" s="401"/>
      <c r="X135" s="157">
        <f t="shared" si="33"/>
        <v>43951</v>
      </c>
      <c r="Y135" s="384">
        <f t="shared" si="34"/>
        <v>42.514000000000003</v>
      </c>
      <c r="Z135" s="384">
        <f t="shared" si="35"/>
        <v>43.171791207850688</v>
      </c>
      <c r="AA135" s="385">
        <f t="shared" si="36"/>
        <v>44.829640904758072</v>
      </c>
      <c r="AB135" s="196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3.6981105881029389E-2</v>
      </c>
      <c r="AD135" s="230">
        <f>(INDEX(Models!$BJ135:$BT135,,AH135)*(1-AF135)+INDEX(Models!$BJ135:$BT135,,AH135+1)*AF135-ERP_i)*AE135*Ramure*Pc/MaxiM</f>
        <v>6.442051628532925E-5</v>
      </c>
      <c r="AE135" s="304">
        <f t="shared" si="38"/>
        <v>0.5</v>
      </c>
      <c r="AF135" s="176">
        <f t="shared" si="39"/>
        <v>0.18302481946641411</v>
      </c>
      <c r="AG135" s="814">
        <f t="shared" si="47"/>
        <v>0</v>
      </c>
      <c r="AH135" s="175">
        <f t="shared" si="40"/>
        <v>6</v>
      </c>
      <c r="AI135" s="224">
        <f t="shared" si="41"/>
        <v>0.18302481946641411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43952</v>
      </c>
      <c r="B136" s="616">
        <v>23.155999999999999</v>
      </c>
      <c r="C136" s="389"/>
      <c r="D136" s="392">
        <f t="shared" si="24"/>
        <v>23.514792618373669</v>
      </c>
      <c r="E136" s="384">
        <f t="shared" si="45"/>
        <v>24.419187336776226</v>
      </c>
      <c r="F136" s="384">
        <f t="shared" si="25"/>
        <v>24.41943848412836</v>
      </c>
      <c r="G136" s="110">
        <f t="shared" si="46"/>
        <v>0.40700048218097395</v>
      </c>
      <c r="H136" s="413" t="b">
        <f>Wh_hp&gt;='2019'!Maxi_hp</f>
        <v>0</v>
      </c>
      <c r="I136" s="379">
        <f>IF(H136,Wh_hp,'2019'!Maxi_hp)</f>
        <v>36.66284332439055</v>
      </c>
      <c r="J136" s="85">
        <f>IF(H136,An,'2019'!An_max)</f>
        <v>2019</v>
      </c>
      <c r="K136" s="196">
        <f t="shared" si="26"/>
        <v>43952</v>
      </c>
      <c r="L136" s="147">
        <f>IF(t&lt;Tvie,1-EXP((T0-t)*PertePVj)+'2019'!Pspv,1-EXP((T0-t)*PertePVj)+Pspv)</f>
        <v>1.5258166388987027E-2</v>
      </c>
      <c r="M136" s="847"/>
      <c r="N136" s="847"/>
      <c r="O136" s="48">
        <f>IF(t&lt;Tnet,'2019'!Resal+('2019'!Salim-'2019'!Resal)*(1-EXP(('2019'!Tnet-t)/('2019'!Tau_j))),Resal+(Salim-Resal)*(1-EXP((Tnet-t)/(Tau_j))))*Salcycl</f>
        <v>3.7036233267292447E-2</v>
      </c>
      <c r="P136" s="168">
        <f>(INDEX(Models!$BJ136:$BT136,,T136)*(1-R136)+INDEX(Models!$BJ136:$BT136,,T136+1)*R136-ERP_i)*Q136*Ramure*Pc/MaxiM</f>
        <v>6.7268401260128742E-5</v>
      </c>
      <c r="Q136" s="304">
        <f t="shared" si="27"/>
        <v>0.5</v>
      </c>
      <c r="R136" s="176">
        <f t="shared" si="28"/>
        <v>0.18472431072767517</v>
      </c>
      <c r="S136" s="814">
        <f t="shared" si="29"/>
        <v>0</v>
      </c>
      <c r="T136" s="175">
        <f t="shared" si="30"/>
        <v>6</v>
      </c>
      <c r="U136" s="250">
        <f t="shared" si="31"/>
        <v>0.18472431072767517</v>
      </c>
      <c r="V136" s="382">
        <f t="shared" si="32"/>
        <v>56.891039412235948</v>
      </c>
      <c r="W136" s="401"/>
      <c r="X136" s="157">
        <f t="shared" si="33"/>
        <v>43952</v>
      </c>
      <c r="Y136" s="384">
        <f t="shared" si="34"/>
        <v>23.155999999999999</v>
      </c>
      <c r="Z136" s="384">
        <f t="shared" si="35"/>
        <v>23.514792618373669</v>
      </c>
      <c r="AA136" s="385">
        <f t="shared" si="36"/>
        <v>24.419187336776226</v>
      </c>
      <c r="AB136" s="196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3.7036233267292447E-2</v>
      </c>
      <c r="AD136" s="230">
        <f>(INDEX(Models!$BJ136:$BT136,,AH136)*(1-AF136)+INDEX(Models!$BJ136:$BT136,,AH136+1)*AF136-ERP_i)*AE136*Ramure*Pc/MaxiM</f>
        <v>6.7268401260128742E-5</v>
      </c>
      <c r="AE136" s="304">
        <f t="shared" si="38"/>
        <v>0.5</v>
      </c>
      <c r="AF136" s="176">
        <f t="shared" si="39"/>
        <v>0.18472431072767517</v>
      </c>
      <c r="AG136" s="814">
        <f t="shared" si="47"/>
        <v>0</v>
      </c>
      <c r="AH136" s="175">
        <f t="shared" si="40"/>
        <v>6</v>
      </c>
      <c r="AI136" s="224">
        <f t="shared" si="41"/>
        <v>0.18472431072767517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43953</v>
      </c>
      <c r="B137" s="616">
        <v>36.31</v>
      </c>
      <c r="C137" s="389"/>
      <c r="D137" s="392">
        <f t="shared" si="24"/>
        <v>36.873416016516614</v>
      </c>
      <c r="E137" s="384">
        <f t="shared" si="45"/>
        <v>38.293803923122987</v>
      </c>
      <c r="F137" s="384">
        <f t="shared" si="25"/>
        <v>38.295104529635793</v>
      </c>
      <c r="G137" s="110">
        <f t="shared" si="46"/>
        <v>0.6376131778240407</v>
      </c>
      <c r="H137" s="413" t="b">
        <f>Wh_hp&gt;='2019'!Maxi_hp</f>
        <v>1</v>
      </c>
      <c r="I137" s="379">
        <f>IF(H137,Wh_hp,'2019'!Maxi_hp)</f>
        <v>38.295104529635793</v>
      </c>
      <c r="J137" s="85">
        <f>IF(H137,An,'2019'!An_max)</f>
        <v>2020</v>
      </c>
      <c r="K137" s="196">
        <f t="shared" si="26"/>
        <v>43953</v>
      </c>
      <c r="L137" s="147">
        <f>IF(t&lt;Tvie,1-EXP((T0-t)*PertePVj)+'2019'!Pspv,1-EXP((T0-t)*PertePVj)+Pspv)</f>
        <v>1.5279734762416397E-2</v>
      </c>
      <c r="M137" s="847"/>
      <c r="N137" s="847"/>
      <c r="O137" s="48">
        <f>IF(t&lt;Tnet,'2019'!Resal+('2019'!Salim-'2019'!Resal)*(1-EXP(('2019'!Tnet-t)/('2019'!Tau_j))),Resal+(Salim-Resal)*(1-EXP((Tnet-t)/(Tau_j))))*Salcycl</f>
        <v>3.7091846750400718E-2</v>
      </c>
      <c r="P137" s="168">
        <f>(INDEX(Models!$BJ137:$BT137,,T137)*(1-R137)+INDEX(Models!$BJ137:$BT137,,T137+1)*R137-ERP_i)*Q137*Ramure*Pc/MaxiM</f>
        <v>7.0412768086378818E-5</v>
      </c>
      <c r="Q137" s="304">
        <f t="shared" si="27"/>
        <v>0.5</v>
      </c>
      <c r="R137" s="176">
        <f t="shared" si="28"/>
        <v>0.18647086948701341</v>
      </c>
      <c r="S137" s="814">
        <f t="shared" si="29"/>
        <v>0</v>
      </c>
      <c r="T137" s="175">
        <f t="shared" si="30"/>
        <v>6</v>
      </c>
      <c r="U137" s="250">
        <f t="shared" si="31"/>
        <v>0.18647086948701341</v>
      </c>
      <c r="V137" s="382">
        <f t="shared" si="32"/>
        <v>56.944676987827066</v>
      </c>
      <c r="W137" s="401"/>
      <c r="X137" s="157">
        <f t="shared" si="33"/>
        <v>43953</v>
      </c>
      <c r="Y137" s="384">
        <f t="shared" si="34"/>
        <v>36.31</v>
      </c>
      <c r="Z137" s="384">
        <f t="shared" si="35"/>
        <v>36.873416016516614</v>
      </c>
      <c r="AA137" s="385">
        <f t="shared" si="36"/>
        <v>38.293803923122987</v>
      </c>
      <c r="AB137" s="196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3.7091846750400718E-2</v>
      </c>
      <c r="AD137" s="230">
        <f>(INDEX(Models!$BJ137:$BT137,,AH137)*(1-AF137)+INDEX(Models!$BJ137:$BT137,,AH137+1)*AF137-ERP_i)*AE137*Ramure*Pc/MaxiM</f>
        <v>7.0412768086378818E-5</v>
      </c>
      <c r="AE137" s="304">
        <f t="shared" si="38"/>
        <v>0.5</v>
      </c>
      <c r="AF137" s="176">
        <f t="shared" si="39"/>
        <v>0.18647086948701341</v>
      </c>
      <c r="AG137" s="814">
        <f t="shared" si="47"/>
        <v>0</v>
      </c>
      <c r="AH137" s="175">
        <f t="shared" si="40"/>
        <v>6</v>
      </c>
      <c r="AI137" s="224">
        <f t="shared" si="41"/>
        <v>0.18647086948701341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43954</v>
      </c>
      <c r="B138" s="616">
        <v>52.683</v>
      </c>
      <c r="C138" s="389"/>
      <c r="D138" s="392">
        <f t="shared" si="24"/>
        <v>53.501644861010362</v>
      </c>
      <c r="E138" s="384">
        <f t="shared" si="45"/>
        <v>55.565799782465589</v>
      </c>
      <c r="F138" s="384">
        <f t="shared" si="25"/>
        <v>55.569460873367788</v>
      </c>
      <c r="G138" s="110">
        <f t="shared" si="46"/>
        <v>0.92437285108632505</v>
      </c>
      <c r="H138" s="413" t="b">
        <f>Wh_hp&gt;='2019'!Maxi_hp</f>
        <v>1</v>
      </c>
      <c r="I138" s="379">
        <f>IF(H138,Wh_hp,'2019'!Maxi_hp)</f>
        <v>55.569460873367788</v>
      </c>
      <c r="J138" s="85">
        <f>IF(H138,An,'2019'!An_max)</f>
        <v>2020</v>
      </c>
      <c r="K138" s="196">
        <f t="shared" si="26"/>
        <v>43954</v>
      </c>
      <c r="L138" s="147">
        <f>IF(t&lt;Tvie,1-EXP((T0-t)*PertePVj)+'2019'!Pspv,1-EXP((T0-t)*PertePVj)+Pspv)</f>
        <v>1.5301302663443095E-2</v>
      </c>
      <c r="M138" s="847"/>
      <c r="N138" s="847"/>
      <c r="O138" s="48">
        <f>IF(t&lt;Tnet,'2019'!Resal+('2019'!Salim-'2019'!Resal)*(1-EXP(('2019'!Tnet-t)/('2019'!Tau_j))),Resal+(Salim-Resal)*(1-EXP((Tnet-t)/(Tau_j))))*Salcycl</f>
        <v>3.7147938651763954E-2</v>
      </c>
      <c r="P138" s="168">
        <f>(INDEX(Models!$BJ138:$BT138,,T138)*(1-R138)+INDEX(Models!$BJ138:$BT138,,T138+1)*R138-ERP_i)*Q138*Ramure*Pc/MaxiM</f>
        <v>7.3862368080664654E-5</v>
      </c>
      <c r="Q138" s="304">
        <f t="shared" si="27"/>
        <v>0.5</v>
      </c>
      <c r="R138" s="176">
        <f t="shared" si="28"/>
        <v>0.18826494203678767</v>
      </c>
      <c r="S138" s="814">
        <f t="shared" si="29"/>
        <v>0</v>
      </c>
      <c r="T138" s="175">
        <f t="shared" si="30"/>
        <v>6</v>
      </c>
      <c r="U138" s="250">
        <f t="shared" si="31"/>
        <v>0.18826494203678767</v>
      </c>
      <c r="V138" s="382">
        <f t="shared" si="32"/>
        <v>56.992781149978356</v>
      </c>
      <c r="W138" s="401"/>
      <c r="X138" s="157">
        <f t="shared" si="33"/>
        <v>43954</v>
      </c>
      <c r="Y138" s="384">
        <f t="shared" si="34"/>
        <v>52.683</v>
      </c>
      <c r="Z138" s="384">
        <f t="shared" si="35"/>
        <v>53.501644861010362</v>
      </c>
      <c r="AA138" s="385">
        <f t="shared" si="36"/>
        <v>55.565799782465589</v>
      </c>
      <c r="AB138" s="196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3.7147938651763954E-2</v>
      </c>
      <c r="AD138" s="230">
        <f>(INDEX(Models!$BJ138:$BT138,,AH138)*(1-AF138)+INDEX(Models!$BJ138:$BT138,,AH138+1)*AF138-ERP_i)*AE138*Ramure*Pc/MaxiM</f>
        <v>7.3862368080664654E-5</v>
      </c>
      <c r="AE138" s="304">
        <f t="shared" si="38"/>
        <v>0.5</v>
      </c>
      <c r="AF138" s="176">
        <f t="shared" si="39"/>
        <v>0.18826494203678767</v>
      </c>
      <c r="AG138" s="814">
        <f t="shared" si="47"/>
        <v>0</v>
      </c>
      <c r="AH138" s="175">
        <f t="shared" si="40"/>
        <v>6</v>
      </c>
      <c r="AI138" s="224">
        <f t="shared" si="41"/>
        <v>0.18826494203678767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43955</v>
      </c>
      <c r="B139" s="616">
        <v>55.923999999999999</v>
      </c>
      <c r="C139" s="389"/>
      <c r="D139" s="392">
        <f t="shared" si="24"/>
        <v>56.794250928961318</v>
      </c>
      <c r="E139" s="384">
        <f t="shared" si="45"/>
        <v>58.988903598191506</v>
      </c>
      <c r="F139" s="384">
        <f t="shared" si="25"/>
        <v>58.993355519975921</v>
      </c>
      <c r="G139" s="110">
        <f t="shared" si="46"/>
        <v>0.98050547933549681</v>
      </c>
      <c r="H139" s="413" t="b">
        <f>Wh_hp&gt;='2019'!Maxi_hp</f>
        <v>1</v>
      </c>
      <c r="I139" s="379">
        <f>IF(H139,Wh_hp,'2019'!Maxi_hp)</f>
        <v>58.993355519975921</v>
      </c>
      <c r="J139" s="85">
        <f>IF(H139,An,'2019'!An_max)</f>
        <v>2020</v>
      </c>
      <c r="K139" s="196">
        <f t="shared" si="26"/>
        <v>43955</v>
      </c>
      <c r="L139" s="147">
        <f>IF(t&lt;Tvie,1-EXP((T0-t)*PertePVj)+'2019'!Pspv,1-EXP((T0-t)*PertePVj)+Pspv)</f>
        <v>1.5322870092077334E-2</v>
      </c>
      <c r="M139" s="847"/>
      <c r="N139" s="847"/>
      <c r="O139" s="48">
        <f>IF(t&lt;Tnet,'2019'!Resal+('2019'!Salim-'2019'!Resal)*(1-EXP(('2019'!Tnet-t)/('2019'!Tau_j))),Resal+(Salim-Resal)*(1-EXP((Tnet-t)/(Tau_j))))*Salcycl</f>
        <v>3.7204500090038506E-2</v>
      </c>
      <c r="P139" s="168">
        <f>(INDEX(Models!$BJ139:$BT139,,T139)*(1-R139)+INDEX(Models!$BJ139:$BT139,,T139+1)*R139-ERP_i)*Q139*Ramure*Pc/MaxiM</f>
        <v>7.7626407381984665E-5</v>
      </c>
      <c r="Q139" s="304">
        <f t="shared" si="27"/>
        <v>0.5</v>
      </c>
      <c r="R139" s="176">
        <f t="shared" si="28"/>
        <v>0.19010691687673351</v>
      </c>
      <c r="S139" s="814">
        <f t="shared" si="29"/>
        <v>0</v>
      </c>
      <c r="T139" s="175">
        <f t="shared" si="30"/>
        <v>6</v>
      </c>
      <c r="U139" s="250">
        <f t="shared" si="31"/>
        <v>0.19010691687673351</v>
      </c>
      <c r="V139" s="382">
        <f t="shared" si="32"/>
        <v>57.035763984770618</v>
      </c>
      <c r="W139" s="401"/>
      <c r="X139" s="157">
        <f t="shared" si="33"/>
        <v>43955</v>
      </c>
      <c r="Y139" s="384">
        <f t="shared" si="34"/>
        <v>55.923999999999999</v>
      </c>
      <c r="Z139" s="384">
        <f t="shared" si="35"/>
        <v>56.794250928961318</v>
      </c>
      <c r="AA139" s="385">
        <f t="shared" si="36"/>
        <v>58.988903598191506</v>
      </c>
      <c r="AB139" s="196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3.7204500090038506E-2</v>
      </c>
      <c r="AD139" s="230">
        <f>(INDEX(Models!$BJ139:$BT139,,AH139)*(1-AF139)+INDEX(Models!$BJ139:$BT139,,AH139+1)*AF139-ERP_i)*AE139*Ramure*Pc/MaxiM</f>
        <v>7.7626407381984665E-5</v>
      </c>
      <c r="AE139" s="304">
        <f t="shared" si="38"/>
        <v>0.5</v>
      </c>
      <c r="AF139" s="176">
        <f t="shared" si="39"/>
        <v>0.19010691687673351</v>
      </c>
      <c r="AG139" s="814">
        <f t="shared" si="47"/>
        <v>0</v>
      </c>
      <c r="AH139" s="175">
        <f t="shared" si="40"/>
        <v>6</v>
      </c>
      <c r="AI139" s="224">
        <f t="shared" si="41"/>
        <v>0.19010691687673351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43956</v>
      </c>
      <c r="B140" s="616">
        <v>49.674999999999997</v>
      </c>
      <c r="C140" s="389"/>
      <c r="D140" s="392">
        <f t="shared" si="24"/>
        <v>50.449113242290373</v>
      </c>
      <c r="E140" s="384">
        <f t="shared" si="45"/>
        <v>52.401679521882151</v>
      </c>
      <c r="F140" s="384">
        <f t="shared" si="25"/>
        <v>52.405168714578018</v>
      </c>
      <c r="G140" s="110">
        <f t="shared" si="46"/>
        <v>0.8703475408110265</v>
      </c>
      <c r="H140" s="413" t="b">
        <f>Wh_hp&gt;='2019'!Maxi_hp</f>
        <v>0</v>
      </c>
      <c r="I140" s="379">
        <f>IF(H140,Wh_hp,'2019'!Maxi_hp)</f>
        <v>62.888390720107274</v>
      </c>
      <c r="J140" s="85">
        <f>IF(H140,An,'2019'!An_max)</f>
        <v>2019</v>
      </c>
      <c r="K140" s="196">
        <f t="shared" si="26"/>
        <v>43956</v>
      </c>
      <c r="L140" s="147">
        <f>IF(t&lt;Tvie,1-EXP((T0-t)*PertePVj)+'2019'!Pspv,1-EXP((T0-t)*PertePVj)+Pspv)</f>
        <v>1.5344437048329551E-2</v>
      </c>
      <c r="M140" s="847"/>
      <c r="N140" s="847"/>
      <c r="O140" s="48">
        <f>IF(t&lt;Tnet,'2019'!Resal+('2019'!Salim-'2019'!Resal)*(1-EXP(('2019'!Tnet-t)/('2019'!Tau_j))),Resal+(Salim-Resal)*(1-EXP((Tnet-t)/(Tau_j))))*Salcycl</f>
        <v>3.7261520955190315E-2</v>
      </c>
      <c r="P140" s="168">
        <f>(INDEX(Models!$BJ140:$BT140,,T140)*(1-R140)+INDEX(Models!$BJ140:$BT140,,T140+1)*R140-ERP_i)*Q140*Ramure*Pc/MaxiM</f>
        <v>8.171452635790752E-5</v>
      </c>
      <c r="Q140" s="304">
        <f t="shared" si="27"/>
        <v>0.5</v>
      </c>
      <c r="R140" s="176">
        <f t="shared" si="28"/>
        <v>0.19199712049353834</v>
      </c>
      <c r="S140" s="814">
        <f t="shared" si="29"/>
        <v>0</v>
      </c>
      <c r="T140" s="175">
        <f t="shared" si="30"/>
        <v>6</v>
      </c>
      <c r="U140" s="250">
        <f t="shared" si="31"/>
        <v>0.19199712049353834</v>
      </c>
      <c r="V140" s="382">
        <f t="shared" si="32"/>
        <v>57.074037515720178</v>
      </c>
      <c r="W140" s="401"/>
      <c r="X140" s="157">
        <f t="shared" si="33"/>
        <v>43956</v>
      </c>
      <c r="Y140" s="384">
        <f t="shared" si="34"/>
        <v>49.674999999999997</v>
      </c>
      <c r="Z140" s="384">
        <f t="shared" si="35"/>
        <v>50.449113242290373</v>
      </c>
      <c r="AA140" s="385">
        <f t="shared" si="36"/>
        <v>52.401679521882151</v>
      </c>
      <c r="AB140" s="196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3.7261520955190315E-2</v>
      </c>
      <c r="AD140" s="230">
        <f>(INDEX(Models!$BJ140:$BT140,,AH140)*(1-AF140)+INDEX(Models!$BJ140:$BT140,,AH140+1)*AF140-ERP_i)*AE140*Ramure*Pc/MaxiM</f>
        <v>8.171452635790752E-5</v>
      </c>
      <c r="AE140" s="304">
        <f t="shared" si="38"/>
        <v>0.5</v>
      </c>
      <c r="AF140" s="176">
        <f t="shared" si="39"/>
        <v>0.19199712049353834</v>
      </c>
      <c r="AG140" s="814">
        <f t="shared" si="47"/>
        <v>0</v>
      </c>
      <c r="AH140" s="175">
        <f t="shared" si="40"/>
        <v>6</v>
      </c>
      <c r="AI140" s="224">
        <f t="shared" si="41"/>
        <v>0.19199712049353834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43957</v>
      </c>
      <c r="B141" s="616">
        <v>55.118000000000002</v>
      </c>
      <c r="C141" s="389"/>
      <c r="D141" s="392">
        <f t="shared" si="24"/>
        <v>55.978160613717002</v>
      </c>
      <c r="E141" s="384">
        <f t="shared" si="45"/>
        <v>58.148192418466245</v>
      </c>
      <c r="F141" s="384">
        <f t="shared" si="25"/>
        <v>58.152952169417603</v>
      </c>
      <c r="G141" s="110">
        <f t="shared" si="46"/>
        <v>0.9651493734530987</v>
      </c>
      <c r="H141" s="413" t="b">
        <f>Wh_hp&gt;='2019'!Maxi_hp</f>
        <v>1</v>
      </c>
      <c r="I141" s="379">
        <f>IF(H141,Wh_hp,'2019'!Maxi_hp)</f>
        <v>58.152952169417603</v>
      </c>
      <c r="J141" s="85">
        <f>IF(H141,An,'2019'!An_max)</f>
        <v>2020</v>
      </c>
      <c r="K141" s="196">
        <f t="shared" si="26"/>
        <v>43957</v>
      </c>
      <c r="L141" s="147">
        <f>IF(t&lt;Tvie,1-EXP((T0-t)*PertePVj)+'2019'!Pspv,1-EXP((T0-t)*PertePVj)+Pspv)</f>
        <v>1.5366003532210071E-2</v>
      </c>
      <c r="M141" s="847"/>
      <c r="N141" s="847"/>
      <c r="O141" s="48">
        <f>IF(t&lt;Tnet,'2019'!Resal+('2019'!Salim-'2019'!Resal)*(1-EXP(('2019'!Tnet-t)/('2019'!Tau_j))),Resal+(Salim-Resal)*(1-EXP((Tnet-t)/(Tau_j))))*Salcycl</f>
        <v>3.7318989885919508E-2</v>
      </c>
      <c r="P141" s="168">
        <f>(INDEX(Models!$BJ141:$BT141,,T141)*(1-R141)+INDEX(Models!$BJ141:$BT141,,T141+1)*R141-ERP_i)*Q141*Ramure*Pc/MaxiM</f>
        <v>8.6136776242377237E-5</v>
      </c>
      <c r="Q141" s="304">
        <f t="shared" si="27"/>
        <v>0.5</v>
      </c>
      <c r="R141" s="176">
        <f t="shared" si="28"/>
        <v>0.19393581313662972</v>
      </c>
      <c r="S141" s="814">
        <f t="shared" si="29"/>
        <v>0</v>
      </c>
      <c r="T141" s="175">
        <f t="shared" si="30"/>
        <v>6</v>
      </c>
      <c r="U141" s="250">
        <f t="shared" si="31"/>
        <v>0.19393581313662972</v>
      </c>
      <c r="V141" s="382">
        <f t="shared" si="32"/>
        <v>57.108013695637823</v>
      </c>
      <c r="W141" s="401"/>
      <c r="X141" s="157">
        <f t="shared" si="33"/>
        <v>43957</v>
      </c>
      <c r="Y141" s="384">
        <f t="shared" si="34"/>
        <v>55.118000000000002</v>
      </c>
      <c r="Z141" s="384">
        <f t="shared" si="35"/>
        <v>55.978160613717002</v>
      </c>
      <c r="AA141" s="385">
        <f t="shared" si="36"/>
        <v>58.148192418466245</v>
      </c>
      <c r="AB141" s="196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3.7318989885919508E-2</v>
      </c>
      <c r="AD141" s="230">
        <f>(INDEX(Models!$BJ141:$BT141,,AH141)*(1-AF141)+INDEX(Models!$BJ141:$BT141,,AH141+1)*AF141-ERP_i)*AE141*Ramure*Pc/MaxiM</f>
        <v>8.6136776242377237E-5</v>
      </c>
      <c r="AE141" s="304">
        <f t="shared" si="38"/>
        <v>0.5</v>
      </c>
      <c r="AF141" s="176">
        <f t="shared" si="39"/>
        <v>0.19393581313662972</v>
      </c>
      <c r="AG141" s="814">
        <f t="shared" si="47"/>
        <v>0</v>
      </c>
      <c r="AH141" s="175">
        <f t="shared" si="40"/>
        <v>6</v>
      </c>
      <c r="AI141" s="224">
        <f t="shared" si="41"/>
        <v>0.19393581313662972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43958</v>
      </c>
      <c r="B142" s="616">
        <v>47.606999999999999</v>
      </c>
      <c r="C142" s="389"/>
      <c r="D142" s="392">
        <f t="shared" si="24"/>
        <v>48.351004443381697</v>
      </c>
      <c r="E142" s="384">
        <f t="shared" si="45"/>
        <v>50.228385496476811</v>
      </c>
      <c r="F142" s="384">
        <f t="shared" si="25"/>
        <v>50.231863285200973</v>
      </c>
      <c r="G142" s="110">
        <f t="shared" si="46"/>
        <v>0.8331737432355929</v>
      </c>
      <c r="H142" s="413" t="b">
        <f>Wh_hp&gt;='2019'!Maxi_hp</f>
        <v>1</v>
      </c>
      <c r="I142" s="379">
        <f>IF(H142,Wh_hp,'2019'!Maxi_hp)</f>
        <v>50.231863285200973</v>
      </c>
      <c r="J142" s="85">
        <f>IF(H142,An,'2019'!An_max)</f>
        <v>2020</v>
      </c>
      <c r="K142" s="196">
        <f t="shared" si="26"/>
        <v>43958</v>
      </c>
      <c r="L142" s="147">
        <f>IF(t&lt;Tvie,1-EXP((T0-t)*PertePVj)+'2019'!Pspv,1-EXP((T0-t)*PertePVj)+Pspv)</f>
        <v>1.5387569543729218E-2</v>
      </c>
      <c r="M142" s="847"/>
      <c r="N142" s="847"/>
      <c r="O142" s="48">
        <f>IF(t&lt;Tnet,'2019'!Resal+('2019'!Salim-'2019'!Resal)*(1-EXP(('2019'!Tnet-t)/('2019'!Tau_j))),Resal+(Salim-Resal)*(1-EXP((Tnet-t)/(Tau_j))))*Salcycl</f>
        <v>3.7376894250897186E-2</v>
      </c>
      <c r="P142" s="168">
        <f>(INDEX(Models!$BJ142:$BT142,,T142)*(1-R142)+INDEX(Models!$BJ142:$BT142,,T142+1)*R142-ERP_i)*Q142*Ramure*Pc/MaxiM</f>
        <v>9.0894685707256168E-5</v>
      </c>
      <c r="Q142" s="304">
        <f t="shared" si="27"/>
        <v>0.5</v>
      </c>
      <c r="R142" s="176">
        <f t="shared" si="28"/>
        <v>0.1959231846155095</v>
      </c>
      <c r="S142" s="814">
        <f t="shared" si="29"/>
        <v>0</v>
      </c>
      <c r="T142" s="175">
        <f t="shared" si="30"/>
        <v>6</v>
      </c>
      <c r="U142" s="250">
        <f t="shared" si="31"/>
        <v>0.1959231846155095</v>
      </c>
      <c r="V142" s="382">
        <f t="shared" si="32"/>
        <v>57.138104925736009</v>
      </c>
      <c r="W142" s="401"/>
      <c r="X142" s="157">
        <f t="shared" si="33"/>
        <v>43958</v>
      </c>
      <c r="Y142" s="384">
        <f t="shared" si="34"/>
        <v>47.606999999999999</v>
      </c>
      <c r="Z142" s="384">
        <f t="shared" si="35"/>
        <v>48.351004443381697</v>
      </c>
      <c r="AA142" s="385">
        <f t="shared" si="36"/>
        <v>50.228385496476811</v>
      </c>
      <c r="AB142" s="196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3.7376894250897186E-2</v>
      </c>
      <c r="AD142" s="230">
        <f>(INDEX(Models!$BJ142:$BT142,,AH142)*(1-AF142)+INDEX(Models!$BJ142:$BT142,,AH142+1)*AF142-ERP_i)*AE142*Ramure*Pc/MaxiM</f>
        <v>9.0894685707256168E-5</v>
      </c>
      <c r="AE142" s="304">
        <f t="shared" si="38"/>
        <v>0.5</v>
      </c>
      <c r="AF142" s="176">
        <f t="shared" si="39"/>
        <v>0.1959231846155095</v>
      </c>
      <c r="AG142" s="814">
        <f t="shared" si="47"/>
        <v>0</v>
      </c>
      <c r="AH142" s="175">
        <f t="shared" si="40"/>
        <v>6</v>
      </c>
      <c r="AI142" s="224">
        <f t="shared" si="41"/>
        <v>0.1959231846155095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43959</v>
      </c>
      <c r="B143" s="616">
        <v>50.401000000000003</v>
      </c>
      <c r="C143" s="389"/>
      <c r="D143" s="392">
        <f t="shared" ref="D143:D206" si="48">Wh/(1-Ppv)</f>
        <v>51.18979039506273</v>
      </c>
      <c r="E143" s="384">
        <f t="shared" si="45"/>
        <v>53.180618557644259</v>
      </c>
      <c r="F143" s="384">
        <f t="shared" ref="F143:F206" si="49">Wh_sa/(1-Pvg*MEDIAN((-Sdif+Wh/Env_an)/Csdif,0,1))</f>
        <v>53.184851947705042</v>
      </c>
      <c r="G143" s="110">
        <f t="shared" si="46"/>
        <v>0.88166566054146533</v>
      </c>
      <c r="H143" s="413" t="b">
        <f>Wh_hp&gt;='2019'!Maxi_hp</f>
        <v>1</v>
      </c>
      <c r="I143" s="379">
        <f>IF(H143,Wh_hp,'2019'!Maxi_hp)</f>
        <v>53.184851947705042</v>
      </c>
      <c r="J143" s="85">
        <f>IF(H143,An,'2019'!An_max)</f>
        <v>2020</v>
      </c>
      <c r="K143" s="196">
        <f t="shared" ref="K143:K206" si="50">t</f>
        <v>43959</v>
      </c>
      <c r="L143" s="147">
        <f>IF(t&lt;Tvie,1-EXP((T0-t)*PertePVj)+'2019'!Pspv,1-EXP((T0-t)*PertePVj)+Pspv)</f>
        <v>1.5409135082897429E-2</v>
      </c>
      <c r="M143" s="847"/>
      <c r="N143" s="847"/>
      <c r="O143" s="48">
        <f>IF(t&lt;Tnet,'2019'!Resal+('2019'!Salim-'2019'!Resal)*(1-EXP(('2019'!Tnet-t)/('2019'!Tau_j))),Resal+(Salim-Resal)*(1-EXP((Tnet-t)/(Tau_j))))*Salcycl</f>
        <v>3.7435220134260032E-2</v>
      </c>
      <c r="P143" s="168">
        <f>(INDEX(Models!$BJ143:$BT143,,T143)*(1-R143)+INDEX(Models!$BJ143:$BT143,,T143+1)*R143-ERP_i)*Q143*Ramure*Pc/MaxiM</f>
        <v>9.5788701625977585E-5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0.19795935014591673</v>
      </c>
      <c r="S143" s="814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0.19795935014591673</v>
      </c>
      <c r="V143" s="382">
        <f t="shared" ref="V143:V206" si="56">MaxiM*(1-Ppv)*(1-Pvg)*(1-Psa)</f>
        <v>57.164735053512892</v>
      </c>
      <c r="W143" s="401"/>
      <c r="X143" s="157">
        <f t="shared" ref="X143:X206" si="57">t</f>
        <v>43959</v>
      </c>
      <c r="Y143" s="384">
        <f t="shared" ref="Y143:Y206" si="58">Wh_pvt_s*(1-Ppv)</f>
        <v>50.401000000000003</v>
      </c>
      <c r="Z143" s="384">
        <f t="shared" ref="Z143:Z206" si="59">Wh_sa_s*(1-Psa_s)</f>
        <v>51.18979039506273</v>
      </c>
      <c r="AA143" s="385">
        <f t="shared" ref="AA143:AA206" si="60">Wh_hp*(1-Pvg_s*MEDIAN((-Sdif+Wh/Env_an)/Csdif,0,1))</f>
        <v>53.180618557644259</v>
      </c>
      <c r="AB143" s="196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3.7435220134260032E-2</v>
      </c>
      <c r="AD143" s="230">
        <f>(INDEX(Models!$BJ143:$BT143,,AH143)*(1-AF143)+INDEX(Models!$BJ143:$BT143,,AH143+1)*AF143-ERP_i)*AE143*Ramure*Pc/MaxiM</f>
        <v>9.5788701625977585E-5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0.19795935014591673</v>
      </c>
      <c r="AG143" s="814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0.19795935014591673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41.421999999999997</v>
      </c>
      <c r="C144" s="389"/>
      <c r="D144" s="392">
        <f t="shared" si="48"/>
        <v>42.071187885199244</v>
      </c>
      <c r="E144" s="384">
        <f t="shared" ref="E144:E169" si="69">Wh_pvt/(1-Psa)</f>
        <v>43.710050432264744</v>
      </c>
      <c r="F144" s="384">
        <f t="shared" si="49"/>
        <v>43.712721891518086</v>
      </c>
      <c r="G144" s="110">
        <f t="shared" ref="G144:G169" si="70">+Wh_hp/MaxiM</f>
        <v>0.72428002418445359</v>
      </c>
      <c r="H144" s="413" t="b">
        <f>Wh_hp&gt;='2019'!Maxi_hp</f>
        <v>1</v>
      </c>
      <c r="I144" s="379">
        <f>IF(H144,Wh_hp,'2019'!Maxi_hp)</f>
        <v>43.712721891518086</v>
      </c>
      <c r="J144" s="85">
        <f>IF(H144,An,'2019'!An_max)</f>
        <v>2020</v>
      </c>
      <c r="K144" s="196">
        <f t="shared" si="50"/>
        <v>43960</v>
      </c>
      <c r="L144" s="147">
        <f>IF(t&lt;Tvie,1-EXP((T0-t)*PertePVj)+'2019'!Pspv,1-EXP((T0-t)*PertePVj)+Pspv)</f>
        <v>1.5430700149724919E-2</v>
      </c>
      <c r="M144" s="847"/>
      <c r="N144" s="847"/>
      <c r="O144" s="48">
        <f>IF(t&lt;Tnet,'2019'!Resal+('2019'!Salim-'2019'!Resal)*(1-EXP(('2019'!Tnet-t)/('2019'!Tau_j))),Resal+(Salim-Resal)*(1-EXP((Tnet-t)/(Tau_j))))*Salcycl</f>
        <v>3.7493952325796567E-2</v>
      </c>
      <c r="P144" s="168">
        <f>(INDEX(Models!$BJ144:$BT144,,T144)*(1-R144)+INDEX(Models!$BJ144:$BT144,,T144+1)*R144-ERP_i)*Q144*Ramure*Pc/MaxiM</f>
        <v>1.0082232748763E-4</v>
      </c>
      <c r="Q144" s="304">
        <f t="shared" si="51"/>
        <v>0.5</v>
      </c>
      <c r="R144" s="176">
        <f t="shared" si="52"/>
        <v>0.20004434627394768</v>
      </c>
      <c r="S144" s="814">
        <f t="shared" si="53"/>
        <v>0</v>
      </c>
      <c r="T144" s="175">
        <f t="shared" si="54"/>
        <v>6</v>
      </c>
      <c r="U144" s="250">
        <f t="shared" si="55"/>
        <v>0.20004434627394768</v>
      </c>
      <c r="V144" s="382">
        <f t="shared" si="56"/>
        <v>57.188316283804092</v>
      </c>
      <c r="W144" s="401"/>
      <c r="X144" s="157">
        <f t="shared" si="57"/>
        <v>43960</v>
      </c>
      <c r="Y144" s="384">
        <f t="shared" si="58"/>
        <v>41.421999999999997</v>
      </c>
      <c r="Z144" s="384">
        <f t="shared" si="59"/>
        <v>42.071187885199244</v>
      </c>
      <c r="AA144" s="385">
        <f t="shared" si="60"/>
        <v>43.710050432264744</v>
      </c>
      <c r="AB144" s="196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3.7493952325796567E-2</v>
      </c>
      <c r="AD144" s="230">
        <f>(INDEX(Models!$BJ144:$BT144,,AH144)*(1-AF144)+INDEX(Models!$BJ144:$BT144,,AH144+1)*AF144-ERP_i)*AE144*Ramure*Pc/MaxiM</f>
        <v>1.0082232748763E-4</v>
      </c>
      <c r="AE144" s="304">
        <f t="shared" si="62"/>
        <v>0.5</v>
      </c>
      <c r="AF144" s="176">
        <f t="shared" si="63"/>
        <v>0.20004434627394768</v>
      </c>
      <c r="AG144" s="814">
        <f t="shared" ref="AG144:AG207" si="71">INDEX(Echel_vg,AH144)</f>
        <v>0</v>
      </c>
      <c r="AH144" s="175">
        <f t="shared" si="64"/>
        <v>6</v>
      </c>
      <c r="AI144" s="224">
        <f t="shared" si="65"/>
        <v>0.20004434627394768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43961</v>
      </c>
      <c r="B145" s="616">
        <v>12.788</v>
      </c>
      <c r="C145" s="389"/>
      <c r="D145" s="392">
        <f t="shared" si="48"/>
        <v>12.98870490690609</v>
      </c>
      <c r="E145" s="384">
        <f t="shared" si="69"/>
        <v>13.495502515817616</v>
      </c>
      <c r="F145" s="384">
        <f t="shared" si="49"/>
        <v>13.495502515817616</v>
      </c>
      <c r="G145" s="110">
        <f t="shared" si="70"/>
        <v>0.22350654968202935</v>
      </c>
      <c r="H145" s="413" t="b">
        <f>Wh_hp&gt;='2019'!Maxi_hp</f>
        <v>0</v>
      </c>
      <c r="I145" s="379">
        <f>IF(H145,Wh_hp,'2019'!Maxi_hp)</f>
        <v>39.004851483109995</v>
      </c>
      <c r="J145" s="85">
        <f>IF(H145,An,'2019'!An_max)</f>
        <v>2019</v>
      </c>
      <c r="K145" s="196">
        <f t="shared" si="50"/>
        <v>43961</v>
      </c>
      <c r="L145" s="147">
        <f>IF(t&lt;Tvie,1-EXP((T0-t)*PertePVj)+'2019'!Pspv,1-EXP((T0-t)*PertePVj)+Pspv)</f>
        <v>1.5452264744222122E-2</v>
      </c>
      <c r="M145" s="847"/>
      <c r="N145" s="847"/>
      <c r="O145" s="48">
        <f>IF(t&lt;Tnet,'2019'!Resal+('2019'!Salim-'2019'!Resal)*(1-EXP(('2019'!Tnet-t)/('2019'!Tau_j))),Resal+(Salim-Resal)*(1-EXP((Tnet-t)/(Tau_j))))*Salcycl</f>
        <v>3.7553074316241823E-2</v>
      </c>
      <c r="P145" s="168">
        <f>(INDEX(Models!$BJ145:$BT145,,T145)*(1-R145)+INDEX(Models!$BJ145:$BT145,,T145+1)*R145-ERP_i)*Q145*Ramure*Pc/MaxiM</f>
        <v>1.0599890785098174E-4</v>
      </c>
      <c r="Q145" s="304">
        <f t="shared" si="51"/>
        <v>0.5</v>
      </c>
      <c r="R145" s="176">
        <f t="shared" si="52"/>
        <v>0.20217812690896622</v>
      </c>
      <c r="S145" s="814">
        <f t="shared" si="53"/>
        <v>0</v>
      </c>
      <c r="T145" s="175">
        <f t="shared" si="54"/>
        <v>6</v>
      </c>
      <c r="U145" s="250">
        <f t="shared" si="55"/>
        <v>0.20217812690896622</v>
      </c>
      <c r="V145" s="382">
        <f t="shared" si="56"/>
        <v>57.209260776282683</v>
      </c>
      <c r="W145" s="401"/>
      <c r="X145" s="157">
        <f t="shared" si="57"/>
        <v>43961</v>
      </c>
      <c r="Y145" s="384">
        <f t="shared" si="58"/>
        <v>12.788</v>
      </c>
      <c r="Z145" s="384">
        <f t="shared" si="59"/>
        <v>12.98870490690609</v>
      </c>
      <c r="AA145" s="385">
        <f t="shared" si="60"/>
        <v>13.495502515817616</v>
      </c>
      <c r="AB145" s="196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3.7553074316241823E-2</v>
      </c>
      <c r="AD145" s="230">
        <f>(INDEX(Models!$BJ145:$BT145,,AH145)*(1-AF145)+INDEX(Models!$BJ145:$BT145,,AH145+1)*AF145-ERP_i)*AE145*Ramure*Pc/MaxiM</f>
        <v>1.0599890785098174E-4</v>
      </c>
      <c r="AE145" s="304">
        <f t="shared" si="62"/>
        <v>0.5</v>
      </c>
      <c r="AF145" s="176">
        <f t="shared" si="63"/>
        <v>0.20217812690896622</v>
      </c>
      <c r="AG145" s="814">
        <f t="shared" si="71"/>
        <v>0</v>
      </c>
      <c r="AH145" s="175">
        <f t="shared" si="64"/>
        <v>6</v>
      </c>
      <c r="AI145" s="224">
        <f t="shared" si="65"/>
        <v>0.20217812690896622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43962</v>
      </c>
      <c r="B146" s="616">
        <v>10.023999999999999</v>
      </c>
      <c r="C146" s="389"/>
      <c r="D146" s="392">
        <f t="shared" si="48"/>
        <v>10.181547523981198</v>
      </c>
      <c r="E146" s="384">
        <f t="shared" si="69"/>
        <v>10.579468505709531</v>
      </c>
      <c r="F146" s="384">
        <f t="shared" si="49"/>
        <v>10.579468505709531</v>
      </c>
      <c r="G146" s="110">
        <f t="shared" si="70"/>
        <v>0.17513957333061855</v>
      </c>
      <c r="H146" s="413" t="b">
        <f>Wh_hp&gt;='2019'!Maxi_hp</f>
        <v>0</v>
      </c>
      <c r="I146" s="379">
        <f>IF(H146,Wh_hp,'2019'!Maxi_hp)</f>
        <v>55.50428873596136</v>
      </c>
      <c r="J146" s="85">
        <f>IF(H146,An,'2019'!An_max)</f>
        <v>2019</v>
      </c>
      <c r="K146" s="196">
        <f t="shared" si="50"/>
        <v>43962</v>
      </c>
      <c r="L146" s="147">
        <f>IF(t&lt;Tvie,1-EXP((T0-t)*PertePVj)+'2019'!Pspv,1-EXP((T0-t)*PertePVj)+Pspv)</f>
        <v>1.5473828866399475E-2</v>
      </c>
      <c r="M146" s="847"/>
      <c r="N146" s="847"/>
      <c r="O146" s="48">
        <f>IF(t&lt;Tnet,'2019'!Resal+('2019'!Salim-'2019'!Resal)*(1-EXP(('2019'!Tnet-t)/('2019'!Tau_j))),Resal+(Salim-Resal)*(1-EXP((Tnet-t)/(Tau_j))))*Salcycl</f>
        <v>3.7612568298075043E-2</v>
      </c>
      <c r="P146" s="168">
        <f>(INDEX(Models!$BJ146:$BT146,,T146)*(1-R146)+INDEX(Models!$BJ146:$BT146,,T146+1)*R146-ERP_i)*Q146*Ramure*Pc/MaxiM</f>
        <v>1.1132160597084619E-4</v>
      </c>
      <c r="Q146" s="304">
        <f t="shared" si="51"/>
        <v>0.5</v>
      </c>
      <c r="R146" s="176">
        <f t="shared" si="52"/>
        <v>0.20436055949766346</v>
      </c>
      <c r="S146" s="814">
        <f t="shared" si="53"/>
        <v>0</v>
      </c>
      <c r="T146" s="175">
        <f t="shared" si="54"/>
        <v>6</v>
      </c>
      <c r="U146" s="250">
        <f t="shared" si="55"/>
        <v>0.20436055949766346</v>
      </c>
      <c r="V146" s="382">
        <f t="shared" si="56"/>
        <v>57.227980642051214</v>
      </c>
      <c r="W146" s="401"/>
      <c r="X146" s="157">
        <f t="shared" si="57"/>
        <v>43962</v>
      </c>
      <c r="Y146" s="384">
        <f t="shared" si="58"/>
        <v>10.023999999999999</v>
      </c>
      <c r="Z146" s="384">
        <f t="shared" si="59"/>
        <v>10.181547523981198</v>
      </c>
      <c r="AA146" s="385">
        <f t="shared" si="60"/>
        <v>10.579468505709531</v>
      </c>
      <c r="AB146" s="196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3.7612568298075043E-2</v>
      </c>
      <c r="AD146" s="230">
        <f>(INDEX(Models!$BJ146:$BT146,,AH146)*(1-AF146)+INDEX(Models!$BJ146:$BT146,,AH146+1)*AF146-ERP_i)*AE146*Ramure*Pc/MaxiM</f>
        <v>1.1132160597084619E-4</v>
      </c>
      <c r="AE146" s="304">
        <f t="shared" si="62"/>
        <v>0.5</v>
      </c>
      <c r="AF146" s="176">
        <f t="shared" si="63"/>
        <v>0.20436055949766346</v>
      </c>
      <c r="AG146" s="814">
        <f t="shared" si="71"/>
        <v>0</v>
      </c>
      <c r="AH146" s="175">
        <f t="shared" si="64"/>
        <v>6</v>
      </c>
      <c r="AI146" s="224">
        <f t="shared" si="65"/>
        <v>0.20436055949766346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43963</v>
      </c>
      <c r="B147" s="616">
        <v>19.774000000000001</v>
      </c>
      <c r="C147" s="389"/>
      <c r="D147" s="392">
        <f t="shared" si="48"/>
        <v>20.085228499376758</v>
      </c>
      <c r="E147" s="384">
        <f t="shared" si="69"/>
        <v>20.871508638059616</v>
      </c>
      <c r="F147" s="384">
        <f t="shared" si="49"/>
        <v>20.871666836823078</v>
      </c>
      <c r="G147" s="110">
        <f t="shared" si="70"/>
        <v>0.34539049862077448</v>
      </c>
      <c r="H147" s="413" t="b">
        <f>Wh_hp&gt;='2019'!Maxi_hp</f>
        <v>0</v>
      </c>
      <c r="I147" s="379">
        <f>IF(H147,Wh_hp,'2019'!Maxi_hp)</f>
        <v>62.466176005743364</v>
      </c>
      <c r="J147" s="85">
        <f>IF(H147,An,'2019'!An_max)</f>
        <v>2019</v>
      </c>
      <c r="K147" s="196">
        <f t="shared" si="50"/>
        <v>43963</v>
      </c>
      <c r="L147" s="147">
        <f>IF(t&lt;Tvie,1-EXP((T0-t)*PertePVj)+'2019'!Pspv,1-EXP((T0-t)*PertePVj)+Pspv)</f>
        <v>1.5495392516267081E-2</v>
      </c>
      <c r="M147" s="847"/>
      <c r="N147" s="847"/>
      <c r="O147" s="48">
        <f>IF(t&lt;Tnet,'2019'!Resal+('2019'!Salim-'2019'!Resal)*(1-EXP(('2019'!Tnet-t)/('2019'!Tau_j))),Resal+(Salim-Resal)*(1-EXP((Tnet-t)/(Tau_j))))*Salcycl</f>
        <v>3.7672415172186578E-2</v>
      </c>
      <c r="P147" s="168">
        <f>(INDEX(Models!$BJ147:$BT147,,T147)*(1-R147)+INDEX(Models!$BJ147:$BT147,,T147+1)*R147-ERP_i)*Q147*Ramure*Pc/MaxiM</f>
        <v>1.1679338028576915E-4</v>
      </c>
      <c r="Q147" s="304">
        <f t="shared" si="51"/>
        <v>0.5</v>
      </c>
      <c r="R147" s="176">
        <f t="shared" si="52"/>
        <v>0.20659142137293474</v>
      </c>
      <c r="S147" s="814">
        <f t="shared" si="53"/>
        <v>0</v>
      </c>
      <c r="T147" s="175">
        <f t="shared" si="54"/>
        <v>6</v>
      </c>
      <c r="U147" s="250">
        <f t="shared" si="55"/>
        <v>0.20659142137293474</v>
      </c>
      <c r="V147" s="382">
        <f t="shared" si="56"/>
        <v>57.244887943290912</v>
      </c>
      <c r="W147" s="401"/>
      <c r="X147" s="157">
        <f t="shared" si="57"/>
        <v>43963</v>
      </c>
      <c r="Y147" s="384">
        <f t="shared" si="58"/>
        <v>19.774000000000001</v>
      </c>
      <c r="Z147" s="384">
        <f t="shared" si="59"/>
        <v>20.085228499376758</v>
      </c>
      <c r="AA147" s="385">
        <f t="shared" si="60"/>
        <v>20.871508638059616</v>
      </c>
      <c r="AB147" s="196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3.7672415172186578E-2</v>
      </c>
      <c r="AD147" s="230">
        <f>(INDEX(Models!$BJ147:$BT147,,AH147)*(1-AF147)+INDEX(Models!$BJ147:$BT147,,AH147+1)*AF147-ERP_i)*AE147*Ramure*Pc/MaxiM</f>
        <v>1.1679338028576915E-4</v>
      </c>
      <c r="AE147" s="304">
        <f t="shared" si="62"/>
        <v>0.5</v>
      </c>
      <c r="AF147" s="176">
        <f t="shared" si="63"/>
        <v>0.20659142137293474</v>
      </c>
      <c r="AG147" s="814">
        <f t="shared" si="71"/>
        <v>0</v>
      </c>
      <c r="AH147" s="175">
        <f t="shared" si="64"/>
        <v>6</v>
      </c>
      <c r="AI147" s="224">
        <f t="shared" si="65"/>
        <v>0.20659142137293474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43964</v>
      </c>
      <c r="B148" s="616">
        <v>34.854999999999997</v>
      </c>
      <c r="C148" s="389"/>
      <c r="D148" s="392">
        <f t="shared" si="48"/>
        <v>35.404368009775929</v>
      </c>
      <c r="E148" s="384">
        <f t="shared" si="69"/>
        <v>36.792650161120932</v>
      </c>
      <c r="F148" s="384">
        <f t="shared" si="49"/>
        <v>36.794636619104871</v>
      </c>
      <c r="G148" s="110">
        <f t="shared" si="70"/>
        <v>0.60866878329189522</v>
      </c>
      <c r="H148" s="413" t="b">
        <f>Wh_hp&gt;='2019'!Maxi_hp</f>
        <v>0</v>
      </c>
      <c r="I148" s="379">
        <f>IF(H148,Wh_hp,'2019'!Maxi_hp)</f>
        <v>61.499322120098213</v>
      </c>
      <c r="J148" s="85">
        <f>IF(H148,An,'2019'!An_max)</f>
        <v>2019</v>
      </c>
      <c r="K148" s="196">
        <f t="shared" si="50"/>
        <v>43964</v>
      </c>
      <c r="L148" s="147">
        <f>IF(t&lt;Tvie,1-EXP((T0-t)*PertePVj)+'2019'!Pspv,1-EXP((T0-t)*PertePVj)+Pspv)</f>
        <v>1.5516955693835377E-2</v>
      </c>
      <c r="M148" s="847"/>
      <c r="N148" s="847"/>
      <c r="O148" s="48">
        <f>IF(t&lt;Tnet,'2019'!Resal+('2019'!Salim-'2019'!Resal)*(1-EXP(('2019'!Tnet-t)/('2019'!Tau_j))),Resal+(Salim-Resal)*(1-EXP((Tnet-t)/(Tau_j))))*Salcycl</f>
        <v>3.7732594560747623E-2</v>
      </c>
      <c r="P148" s="168">
        <f>(INDEX(Models!$BJ148:$BT148,,T148)*(1-R148)+INDEX(Models!$BJ148:$BT148,,T148+1)*R148-ERP_i)*Q148*Ramure*Pc/MaxiM</f>
        <v>1.2241695985304484E-4</v>
      </c>
      <c r="Q148" s="304">
        <f t="shared" si="51"/>
        <v>0.5</v>
      </c>
      <c r="R148" s="176">
        <f t="shared" si="52"/>
        <v>0.20887039631229615</v>
      </c>
      <c r="S148" s="814">
        <f t="shared" si="53"/>
        <v>0</v>
      </c>
      <c r="T148" s="175">
        <f t="shared" si="54"/>
        <v>6</v>
      </c>
      <c r="U148" s="250">
        <f t="shared" si="55"/>
        <v>0.20887039631229615</v>
      </c>
      <c r="V148" s="382">
        <f t="shared" si="56"/>
        <v>57.260394694550456</v>
      </c>
      <c r="W148" s="401"/>
      <c r="X148" s="157">
        <f t="shared" si="57"/>
        <v>43964</v>
      </c>
      <c r="Y148" s="384">
        <f t="shared" si="58"/>
        <v>34.854999999999997</v>
      </c>
      <c r="Z148" s="384">
        <f t="shared" si="59"/>
        <v>35.404368009775929</v>
      </c>
      <c r="AA148" s="385">
        <f t="shared" si="60"/>
        <v>36.792650161120932</v>
      </c>
      <c r="AB148" s="196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3.7732594560747623E-2</v>
      </c>
      <c r="AD148" s="230">
        <f>(INDEX(Models!$BJ148:$BT148,,AH148)*(1-AF148)+INDEX(Models!$BJ148:$BT148,,AH148+1)*AF148-ERP_i)*AE148*Ramure*Pc/MaxiM</f>
        <v>1.2241695985304484E-4</v>
      </c>
      <c r="AE148" s="304">
        <f t="shared" si="62"/>
        <v>0.5</v>
      </c>
      <c r="AF148" s="176">
        <f t="shared" si="63"/>
        <v>0.20887039631229615</v>
      </c>
      <c r="AG148" s="814">
        <f t="shared" si="71"/>
        <v>0</v>
      </c>
      <c r="AH148" s="175">
        <f t="shared" si="64"/>
        <v>6</v>
      </c>
      <c r="AI148" s="224">
        <f t="shared" si="65"/>
        <v>0.20887039631229615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43965</v>
      </c>
      <c r="B149" s="616">
        <v>14.551</v>
      </c>
      <c r="C149" s="389"/>
      <c r="D149" s="392">
        <f t="shared" si="48"/>
        <v>14.780669708212297</v>
      </c>
      <c r="E149" s="384">
        <f t="shared" si="69"/>
        <v>15.361217504395416</v>
      </c>
      <c r="F149" s="384">
        <f t="shared" si="49"/>
        <v>15.361217504395416</v>
      </c>
      <c r="G149" s="110">
        <f t="shared" si="70"/>
        <v>0.25402736712162172</v>
      </c>
      <c r="H149" s="413" t="b">
        <f>Wh_hp&gt;='2019'!Maxi_hp</f>
        <v>0</v>
      </c>
      <c r="I149" s="379">
        <f>IF(H149,Wh_hp,'2019'!Maxi_hp)</f>
        <v>61.883239006526935</v>
      </c>
      <c r="J149" s="85">
        <f>IF(H149,An,'2019'!An_max)</f>
        <v>2019</v>
      </c>
      <c r="K149" s="196">
        <f t="shared" si="50"/>
        <v>43965</v>
      </c>
      <c r="L149" s="147">
        <f>IF(t&lt;Tvie,1-EXP((T0-t)*PertePVj)+'2019'!Pspv,1-EXP((T0-t)*PertePVj)+Pspv)</f>
        <v>1.5538518399114909E-2</v>
      </c>
      <c r="M149" s="847"/>
      <c r="N149" s="847"/>
      <c r="O149" s="48">
        <f>IF(t&lt;Tnet,'2019'!Resal+('2019'!Salim-'2019'!Resal)*(1-EXP(('2019'!Tnet-t)/('2019'!Tau_j))),Resal+(Salim-Resal)*(1-EXP((Tnet-t)/(Tau_j))))*Salcycl</f>
        <v>3.7793084826577221E-2</v>
      </c>
      <c r="P149" s="168">
        <f>(INDEX(Models!$BJ149:$BT149,,T149)*(1-R149)+INDEX(Models!$BJ149:$BT149,,T149+1)*R149-ERP_i)*Q149*Ramure*Pc/MaxiM</f>
        <v>1.2819711572777104E-4</v>
      </c>
      <c r="Q149" s="304">
        <f t="shared" si="51"/>
        <v>0.5</v>
      </c>
      <c r="R149" s="176">
        <f t="shared" si="52"/>
        <v>0.21119707134131993</v>
      </c>
      <c r="S149" s="814">
        <f t="shared" si="53"/>
        <v>0</v>
      </c>
      <c r="T149" s="175">
        <f t="shared" si="54"/>
        <v>6</v>
      </c>
      <c r="U149" s="250">
        <f t="shared" si="55"/>
        <v>0.21119707134131993</v>
      </c>
      <c r="V149" s="382">
        <f t="shared" si="56"/>
        <v>57.273886544685944</v>
      </c>
      <c r="W149" s="401"/>
      <c r="X149" s="157">
        <f t="shared" si="57"/>
        <v>43965</v>
      </c>
      <c r="Y149" s="384">
        <f t="shared" si="58"/>
        <v>14.551</v>
      </c>
      <c r="Z149" s="384">
        <f t="shared" si="59"/>
        <v>14.780669708212297</v>
      </c>
      <c r="AA149" s="385">
        <f t="shared" si="60"/>
        <v>15.361217504395416</v>
      </c>
      <c r="AB149" s="196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3.7793084826577221E-2</v>
      </c>
      <c r="AD149" s="230">
        <f>(INDEX(Models!$BJ149:$BT149,,AH149)*(1-AF149)+INDEX(Models!$BJ149:$BT149,,AH149+1)*AF149-ERP_i)*AE149*Ramure*Pc/MaxiM</f>
        <v>1.2819711572777104E-4</v>
      </c>
      <c r="AE149" s="304">
        <f t="shared" si="62"/>
        <v>0.5</v>
      </c>
      <c r="AF149" s="176">
        <f t="shared" si="63"/>
        <v>0.21119707134131993</v>
      </c>
      <c r="AG149" s="814">
        <f t="shared" si="71"/>
        <v>0</v>
      </c>
      <c r="AH149" s="175">
        <f t="shared" si="64"/>
        <v>6</v>
      </c>
      <c r="AI149" s="224">
        <f t="shared" si="65"/>
        <v>0.21119707134131993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43966</v>
      </c>
      <c r="B150" s="616">
        <v>19.64</v>
      </c>
      <c r="C150" s="389"/>
      <c r="D150" s="392">
        <f t="shared" si="48"/>
        <v>19.950430304178422</v>
      </c>
      <c r="E150" s="384">
        <f t="shared" si="69"/>
        <v>20.735343144901684</v>
      </c>
      <c r="F150" s="384">
        <f t="shared" si="49"/>
        <v>20.735513398100107</v>
      </c>
      <c r="G150" s="110">
        <f t="shared" si="70"/>
        <v>0.34280713006118219</v>
      </c>
      <c r="H150" s="413" t="b">
        <f>Wh_hp&gt;='2019'!Maxi_hp</f>
        <v>0</v>
      </c>
      <c r="I150" s="379">
        <f>IF(H150,Wh_hp,'2019'!Maxi_hp)</f>
        <v>52.836978218882514</v>
      </c>
      <c r="J150" s="85">
        <f>IF(H150,An,'2019'!An_max)</f>
        <v>2019</v>
      </c>
      <c r="K150" s="196">
        <f t="shared" si="50"/>
        <v>43966</v>
      </c>
      <c r="L150" s="147">
        <f>IF(t&lt;Tvie,1-EXP((T0-t)*PertePVj)+'2019'!Pspv,1-EXP((T0-t)*PertePVj)+Pspv)</f>
        <v>1.5560080632115669E-2</v>
      </c>
      <c r="M150" s="847"/>
      <c r="N150" s="847"/>
      <c r="O150" s="48">
        <f>IF(t&lt;Tnet,'2019'!Resal+('2019'!Salim-'2019'!Resal)*(1-EXP(('2019'!Tnet-t)/('2019'!Tau_j))),Resal+(Salim-Resal)*(1-EXP((Tnet-t)/(Tau_j))))*Salcycl</f>
        <v>3.7853863099258735E-2</v>
      </c>
      <c r="P150" s="168">
        <f>(INDEX(Models!$BJ150:$BT150,,T150)*(1-R150)+INDEX(Models!$BJ150:$BT150,,T150+1)*R150-ERP_i)*Q150*Ramure*Pc/MaxiM</f>
        <v>1.3412960395032159E-4</v>
      </c>
      <c r="Q150" s="304">
        <f t="shared" si="51"/>
        <v>0.5</v>
      </c>
      <c r="R150" s="176">
        <f t="shared" si="52"/>
        <v>0.21357093381799561</v>
      </c>
      <c r="S150" s="814">
        <f t="shared" si="53"/>
        <v>0</v>
      </c>
      <c r="T150" s="175">
        <f t="shared" si="54"/>
        <v>6</v>
      </c>
      <c r="U150" s="250">
        <f t="shared" si="55"/>
        <v>0.21357093381799561</v>
      </c>
      <c r="V150" s="382">
        <f t="shared" si="56"/>
        <v>57.284476343967235</v>
      </c>
      <c r="W150" s="401"/>
      <c r="X150" s="157">
        <f t="shared" si="57"/>
        <v>43966</v>
      </c>
      <c r="Y150" s="384">
        <f t="shared" si="58"/>
        <v>19.64</v>
      </c>
      <c r="Z150" s="384">
        <f t="shared" si="59"/>
        <v>19.950430304178422</v>
      </c>
      <c r="AA150" s="385">
        <f t="shared" si="60"/>
        <v>20.735343144901684</v>
      </c>
      <c r="AB150" s="196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3.7853863099258735E-2</v>
      </c>
      <c r="AD150" s="230">
        <f>(INDEX(Models!$BJ150:$BT150,,AH150)*(1-AF150)+INDEX(Models!$BJ150:$BT150,,AH150+1)*AF150-ERP_i)*AE150*Ramure*Pc/MaxiM</f>
        <v>1.3412960395032159E-4</v>
      </c>
      <c r="AE150" s="304">
        <f t="shared" si="62"/>
        <v>0.5</v>
      </c>
      <c r="AF150" s="176">
        <f t="shared" si="63"/>
        <v>0.21357093381799561</v>
      </c>
      <c r="AG150" s="814">
        <f t="shared" si="71"/>
        <v>0</v>
      </c>
      <c r="AH150" s="175">
        <f t="shared" si="64"/>
        <v>6</v>
      </c>
      <c r="AI150" s="224">
        <f t="shared" si="65"/>
        <v>0.21357093381799561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43967</v>
      </c>
      <c r="B151" s="616">
        <v>30.635999999999999</v>
      </c>
      <c r="C151" s="389"/>
      <c r="D151" s="392">
        <f t="shared" si="48"/>
        <v>31.120914967969135</v>
      </c>
      <c r="E151" s="384">
        <f t="shared" si="69"/>
        <v>32.347362140496436</v>
      </c>
      <c r="F151" s="384">
        <f t="shared" si="49"/>
        <v>32.348882629299808</v>
      </c>
      <c r="G151" s="110">
        <f t="shared" si="70"/>
        <v>0.53468294563805618</v>
      </c>
      <c r="H151" s="413" t="b">
        <f>Wh_hp&gt;='2019'!Maxi_hp</f>
        <v>1</v>
      </c>
      <c r="I151" s="379">
        <f>IF(H151,Wh_hp,'2019'!Maxi_hp)</f>
        <v>32.348882629299808</v>
      </c>
      <c r="J151" s="85">
        <f>IF(H151,An,'2019'!An_max)</f>
        <v>2020</v>
      </c>
      <c r="K151" s="196">
        <f t="shared" si="50"/>
        <v>43967</v>
      </c>
      <c r="L151" s="147">
        <f>IF(t&lt;Tvie,1-EXP((T0-t)*PertePVj)+'2019'!Pspv,1-EXP((T0-t)*PertePVj)+Pspv)</f>
        <v>1.5581642392848316E-2</v>
      </c>
      <c r="M151" s="847"/>
      <c r="N151" s="847"/>
      <c r="O151" s="48">
        <f>IF(t&lt;Tnet,'2019'!Resal+('2019'!Salim-'2019'!Resal)*(1-EXP(('2019'!Tnet-t)/('2019'!Tau_j))),Resal+(Salim-Resal)*(1-EXP((Tnet-t)/(Tau_j))))*Salcycl</f>
        <v>3.7914905308209915E-2</v>
      </c>
      <c r="P151" s="168">
        <f>(INDEX(Models!$BJ151:$BT151,,T151)*(1-R151)+INDEX(Models!$BJ151:$BT151,,T151+1)*R151-ERP_i)*Q151*Ramure*Pc/MaxiM</f>
        <v>1.4016780268140877E-4</v>
      </c>
      <c r="Q151" s="304">
        <f t="shared" si="51"/>
        <v>0.5</v>
      </c>
      <c r="R151" s="176">
        <f t="shared" si="52"/>
        <v>0.2159913688339799</v>
      </c>
      <c r="S151" s="814">
        <f t="shared" si="53"/>
        <v>0</v>
      </c>
      <c r="T151" s="175">
        <f t="shared" si="54"/>
        <v>6</v>
      </c>
      <c r="U151" s="250">
        <f t="shared" si="55"/>
        <v>0.2159913688339799</v>
      </c>
      <c r="V151" s="382">
        <f t="shared" si="56"/>
        <v>57.292168963728493</v>
      </c>
      <c r="W151" s="401"/>
      <c r="X151" s="157">
        <f t="shared" si="57"/>
        <v>43967</v>
      </c>
      <c r="Y151" s="384">
        <f t="shared" si="58"/>
        <v>30.636000000000003</v>
      </c>
      <c r="Z151" s="384">
        <f t="shared" si="59"/>
        <v>31.120914967969139</v>
      </c>
      <c r="AA151" s="385">
        <f t="shared" si="60"/>
        <v>32.347362140496436</v>
      </c>
      <c r="AB151" s="196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3.7914905308209915E-2</v>
      </c>
      <c r="AD151" s="230">
        <f>(INDEX(Models!$BJ151:$BT151,,AH151)*(1-AF151)+INDEX(Models!$BJ151:$BT151,,AH151+1)*AF151-ERP_i)*AE151*Ramure*Pc/MaxiM</f>
        <v>1.4016780268140877E-4</v>
      </c>
      <c r="AE151" s="304">
        <f t="shared" si="62"/>
        <v>0.5</v>
      </c>
      <c r="AF151" s="176">
        <f t="shared" si="63"/>
        <v>0.2159913688339799</v>
      </c>
      <c r="AG151" s="814">
        <f t="shared" si="71"/>
        <v>0</v>
      </c>
      <c r="AH151" s="175">
        <f t="shared" si="64"/>
        <v>6</v>
      </c>
      <c r="AI151" s="224">
        <f t="shared" si="65"/>
        <v>0.2159913688339799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43968</v>
      </c>
      <c r="B152" s="616">
        <v>58.892000000000003</v>
      </c>
      <c r="C152" s="389"/>
      <c r="D152" s="392">
        <f t="shared" si="48"/>
        <v>59.825468977791154</v>
      </c>
      <c r="E152" s="384">
        <f t="shared" si="69"/>
        <v>62.18709778389136</v>
      </c>
      <c r="F152" s="384">
        <f t="shared" si="49"/>
        <v>62.196197916934416</v>
      </c>
      <c r="G152" s="110">
        <f t="shared" si="70"/>
        <v>1.0278380079540519</v>
      </c>
      <c r="H152" s="413" t="b">
        <f>Wh_hp&gt;='2019'!Maxi_hp</f>
        <v>1</v>
      </c>
      <c r="I152" s="379">
        <f>IF(H152,Wh_hp,'2019'!Maxi_hp)</f>
        <v>62.196197916934416</v>
      </c>
      <c r="J152" s="85">
        <f>IF(H152,An,'2019'!An_max)</f>
        <v>2020</v>
      </c>
      <c r="K152" s="196">
        <f t="shared" si="50"/>
        <v>43968</v>
      </c>
      <c r="L152" s="147">
        <f>IF(t&lt;Tvie,1-EXP((T0-t)*PertePVj)+'2019'!Pspv,1-EXP((T0-t)*PertePVj)+Pspv)</f>
        <v>1.5603203681323063E-2</v>
      </c>
      <c r="M152" s="847"/>
      <c r="N152" s="847"/>
      <c r="O152" s="48">
        <f>IF(t&lt;Tnet,'2019'!Resal+('2019'!Salim-'2019'!Resal)*(1-EXP(('2019'!Tnet-t)/('2019'!Tau_j))),Resal+(Salim-Resal)*(1-EXP((Tnet-t)/(Tau_j))))*Salcycl</f>
        <v>3.7976186222859157E-2</v>
      </c>
      <c r="P152" s="168">
        <f>(INDEX(Models!$BJ152:$BT152,,T152)*(1-R152)+INDEX(Models!$BJ152:$BT152,,T152+1)*R152-ERP_i)*Q152*Ramure*Pc/MaxiM</f>
        <v>1.4631333341642212E-4</v>
      </c>
      <c r="Q152" s="304">
        <f t="shared" si="51"/>
        <v>0.5</v>
      </c>
      <c r="R152" s="176">
        <f t="shared" si="52"/>
        <v>0.21845765696835415</v>
      </c>
      <c r="S152" s="814">
        <f t="shared" si="53"/>
        <v>0</v>
      </c>
      <c r="T152" s="175">
        <f t="shared" si="54"/>
        <v>6</v>
      </c>
      <c r="U152" s="250">
        <f t="shared" si="55"/>
        <v>0.21845765696835415</v>
      </c>
      <c r="V152" s="382">
        <f t="shared" si="56"/>
        <v>57.296966588369912</v>
      </c>
      <c r="W152" s="401"/>
      <c r="X152" s="157">
        <f t="shared" si="57"/>
        <v>43968</v>
      </c>
      <c r="Y152" s="384">
        <f t="shared" si="58"/>
        <v>58.892000000000003</v>
      </c>
      <c r="Z152" s="384">
        <f t="shared" si="59"/>
        <v>59.825468977791154</v>
      </c>
      <c r="AA152" s="385">
        <f t="shared" si="60"/>
        <v>62.18709778389136</v>
      </c>
      <c r="AB152" s="196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3.7976186222859157E-2</v>
      </c>
      <c r="AD152" s="230">
        <f>(INDEX(Models!$BJ152:$BT152,,AH152)*(1-AF152)+INDEX(Models!$BJ152:$BT152,,AH152+1)*AF152-ERP_i)*AE152*Ramure*Pc/MaxiM</f>
        <v>1.4631333341642212E-4</v>
      </c>
      <c r="AE152" s="304">
        <f t="shared" si="62"/>
        <v>0.5</v>
      </c>
      <c r="AF152" s="176">
        <f t="shared" si="63"/>
        <v>0.21845765696835415</v>
      </c>
      <c r="AG152" s="814">
        <f t="shared" si="71"/>
        <v>0</v>
      </c>
      <c r="AH152" s="175">
        <f t="shared" si="64"/>
        <v>6</v>
      </c>
      <c r="AI152" s="224">
        <f t="shared" si="65"/>
        <v>0.21845765696835415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43969</v>
      </c>
      <c r="B153" s="616">
        <v>57.722000000000001</v>
      </c>
      <c r="C153" s="389"/>
      <c r="D153" s="392">
        <f t="shared" si="48"/>
        <v>58.638208193583054</v>
      </c>
      <c r="E153" s="384">
        <f t="shared" si="69"/>
        <v>60.956865922883729</v>
      </c>
      <c r="F153" s="384">
        <f t="shared" si="49"/>
        <v>60.966167385308943</v>
      </c>
      <c r="G153" s="110">
        <f t="shared" si="70"/>
        <v>1.0073845871420015</v>
      </c>
      <c r="H153" s="413" t="b">
        <f>Wh_hp&gt;='2019'!Maxi_hp</f>
        <v>1</v>
      </c>
      <c r="I153" s="379">
        <f>IF(H153,Wh_hp,'2019'!Maxi_hp)</f>
        <v>60.966167385308943</v>
      </c>
      <c r="J153" s="85">
        <f>IF(H153,An,'2019'!An_max)</f>
        <v>2020</v>
      </c>
      <c r="K153" s="196">
        <f t="shared" si="50"/>
        <v>43969</v>
      </c>
      <c r="L153" s="147">
        <f>IF(t&lt;Tvie,1-EXP((T0-t)*PertePVj)+'2019'!Pspv,1-EXP((T0-t)*PertePVj)+Pspv)</f>
        <v>1.5624764497550236E-2</v>
      </c>
      <c r="M153" s="847"/>
      <c r="N153" s="847"/>
      <c r="O153" s="48">
        <f>IF(t&lt;Tnet,'2019'!Resal+('2019'!Salim-'2019'!Resal)*(1-EXP(('2019'!Tnet-t)/('2019'!Tau_j))),Resal+(Salim-Resal)*(1-EXP((Tnet-t)/(Tau_j))))*Salcycl</f>
        <v>3.803767950002547E-2</v>
      </c>
      <c r="P153" s="168">
        <f>(INDEX(Models!$BJ153:$BT153,,T153)*(1-R153)+INDEX(Models!$BJ153:$BT153,,T153+1)*R153-ERP_i)*Q153*Ramure*Pc/MaxiM</f>
        <v>1.5256760961259924E-4</v>
      </c>
      <c r="Q153" s="304">
        <f t="shared" si="51"/>
        <v>0.5</v>
      </c>
      <c r="R153" s="176">
        <f t="shared" si="52"/>
        <v>0.22096897242873204</v>
      </c>
      <c r="S153" s="814">
        <f t="shared" si="53"/>
        <v>0</v>
      </c>
      <c r="T153" s="175">
        <f t="shared" si="54"/>
        <v>6</v>
      </c>
      <c r="U153" s="250">
        <f t="shared" si="55"/>
        <v>0.22096897242873204</v>
      </c>
      <c r="V153" s="382">
        <f t="shared" si="56"/>
        <v>57.298871490341227</v>
      </c>
      <c r="W153" s="401"/>
      <c r="X153" s="157">
        <f t="shared" si="57"/>
        <v>43969</v>
      </c>
      <c r="Y153" s="384">
        <f t="shared" si="58"/>
        <v>57.722000000000001</v>
      </c>
      <c r="Z153" s="384">
        <f t="shared" si="59"/>
        <v>58.638208193583054</v>
      </c>
      <c r="AA153" s="385">
        <f t="shared" si="60"/>
        <v>60.956865922883729</v>
      </c>
      <c r="AB153" s="196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3.803767950002547E-2</v>
      </c>
      <c r="AD153" s="230">
        <f>(INDEX(Models!$BJ153:$BT153,,AH153)*(1-AF153)+INDEX(Models!$BJ153:$BT153,,AH153+1)*AF153-ERP_i)*AE153*Ramure*Pc/MaxiM</f>
        <v>1.5256760961259924E-4</v>
      </c>
      <c r="AE153" s="304">
        <f t="shared" si="62"/>
        <v>0.5</v>
      </c>
      <c r="AF153" s="176">
        <f t="shared" si="63"/>
        <v>0.22096897242873204</v>
      </c>
      <c r="AG153" s="814">
        <f t="shared" si="71"/>
        <v>0</v>
      </c>
      <c r="AH153" s="175">
        <f t="shared" si="64"/>
        <v>6</v>
      </c>
      <c r="AI153" s="224">
        <f t="shared" si="65"/>
        <v>0.22096897242873204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43970</v>
      </c>
      <c r="B154" s="616">
        <v>56.6</v>
      </c>
      <c r="C154" s="389"/>
      <c r="D154" s="392">
        <f t="shared" si="48"/>
        <v>57.499658332548627</v>
      </c>
      <c r="E154" s="384">
        <f t="shared" si="69"/>
        <v>59.777128537272951</v>
      </c>
      <c r="F154" s="384">
        <f t="shared" si="49"/>
        <v>59.786465175527098</v>
      </c>
      <c r="G154" s="110">
        <f t="shared" si="70"/>
        <v>0.98781730676191215</v>
      </c>
      <c r="H154" s="413" t="b">
        <f>Wh_hp&gt;='2019'!Maxi_hp</f>
        <v>1</v>
      </c>
      <c r="I154" s="379">
        <f>IF(H154,Wh_hp,'2019'!Maxi_hp)</f>
        <v>59.786465175527098</v>
      </c>
      <c r="J154" s="85">
        <f>IF(H154,An,'2019'!An_max)</f>
        <v>2020</v>
      </c>
      <c r="K154" s="196">
        <f t="shared" si="50"/>
        <v>43970</v>
      </c>
      <c r="L154" s="147">
        <f>IF(t&lt;Tvie,1-EXP((T0-t)*PertePVj)+'2019'!Pspv,1-EXP((T0-t)*PertePVj)+Pspv)</f>
        <v>1.564632484154016E-2</v>
      </c>
      <c r="M154" s="847"/>
      <c r="N154" s="847"/>
      <c r="O154" s="48">
        <f>IF(t&lt;Tnet,'2019'!Resal+('2019'!Salim-'2019'!Resal)*(1-EXP(('2019'!Tnet-t)/('2019'!Tau_j))),Resal+(Salim-Resal)*(1-EXP((Tnet-t)/(Tau_j))))*Salcycl</f>
        <v>3.8099357738541249E-2</v>
      </c>
      <c r="P154" s="168">
        <f>(INDEX(Models!$BJ154:$BT154,,T154)*(1-R154)+INDEX(Models!$BJ154:$BT154,,T154+1)*R154-ERP_i)*Q154*Ramure*Pc/MaxiM</f>
        <v>1.5893182531441261E-4</v>
      </c>
      <c r="Q154" s="304">
        <f t="shared" si="51"/>
        <v>0.5</v>
      </c>
      <c r="R154" s="176">
        <f t="shared" si="52"/>
        <v>0.22352438161332844</v>
      </c>
      <c r="S154" s="814">
        <f t="shared" si="53"/>
        <v>0</v>
      </c>
      <c r="T154" s="175">
        <f t="shared" si="54"/>
        <v>6</v>
      </c>
      <c r="U154" s="250">
        <f t="shared" si="55"/>
        <v>0.22352438161332844</v>
      </c>
      <c r="V154" s="382">
        <f t="shared" si="56"/>
        <v>57.297886022233705</v>
      </c>
      <c r="W154" s="401"/>
      <c r="X154" s="157">
        <f t="shared" si="57"/>
        <v>43970</v>
      </c>
      <c r="Y154" s="384">
        <f t="shared" si="58"/>
        <v>56.6</v>
      </c>
      <c r="Z154" s="384">
        <f t="shared" si="59"/>
        <v>57.499658332548627</v>
      </c>
      <c r="AA154" s="385">
        <f t="shared" si="60"/>
        <v>59.777128537272951</v>
      </c>
      <c r="AB154" s="196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3.8099357738541249E-2</v>
      </c>
      <c r="AD154" s="230">
        <f>(INDEX(Models!$BJ154:$BT154,,AH154)*(1-AF154)+INDEX(Models!$BJ154:$BT154,,AH154+1)*AF154-ERP_i)*AE154*Ramure*Pc/MaxiM</f>
        <v>1.5893182531441261E-4</v>
      </c>
      <c r="AE154" s="304">
        <f t="shared" si="62"/>
        <v>0.5</v>
      </c>
      <c r="AF154" s="176">
        <f t="shared" si="63"/>
        <v>0.22352438161332844</v>
      </c>
      <c r="AG154" s="814">
        <f t="shared" si="71"/>
        <v>0</v>
      </c>
      <c r="AH154" s="175">
        <f t="shared" si="64"/>
        <v>6</v>
      </c>
      <c r="AI154" s="224">
        <f t="shared" si="65"/>
        <v>0.22352438161332844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43971</v>
      </c>
      <c r="B155" s="616">
        <v>56.054000000000002</v>
      </c>
      <c r="C155" s="389"/>
      <c r="D155" s="392">
        <f t="shared" si="48"/>
        <v>56.946226918212155</v>
      </c>
      <c r="E155" s="384">
        <f t="shared" si="69"/>
        <v>59.205582553545781</v>
      </c>
      <c r="F155" s="384">
        <f t="shared" si="49"/>
        <v>59.215074303893267</v>
      </c>
      <c r="G155" s="110">
        <f t="shared" si="70"/>
        <v>0.97835202542788713</v>
      </c>
      <c r="H155" s="413" t="b">
        <f>Wh_hp&gt;='2019'!Maxi_hp</f>
        <v>1</v>
      </c>
      <c r="I155" s="379">
        <f>IF(H155,Wh_hp,'2019'!Maxi_hp)</f>
        <v>59.215074303893267</v>
      </c>
      <c r="J155" s="85">
        <f>IF(H155,An,'2019'!An_max)</f>
        <v>2020</v>
      </c>
      <c r="K155" s="196">
        <f t="shared" si="50"/>
        <v>43971</v>
      </c>
      <c r="L155" s="147">
        <f>IF(t&lt;Tvie,1-EXP((T0-t)*PertePVj)+'2019'!Pspv,1-EXP((T0-t)*PertePVj)+Pspv)</f>
        <v>1.5667884713303271E-2</v>
      </c>
      <c r="M155" s="847"/>
      <c r="N155" s="847"/>
      <c r="O155" s="48">
        <f>IF(t&lt;Tnet,'2019'!Resal+('2019'!Salim-'2019'!Resal)*(1-EXP(('2019'!Tnet-t)/('2019'!Tau_j))),Resal+(Salim-Resal)*(1-EXP((Tnet-t)/(Tau_j))))*Salcycl</f>
        <v>3.8161192541096213E-2</v>
      </c>
      <c r="P155" s="168">
        <f>(INDEX(Models!$BJ155:$BT155,,T155)*(1-R155)+INDEX(Models!$BJ155:$BT155,,T155+1)*R155-ERP_i)*Q155*Ramure*Pc/MaxiM</f>
        <v>1.6540694422019706E-4</v>
      </c>
      <c r="Q155" s="304">
        <f t="shared" si="51"/>
        <v>0.5</v>
      </c>
      <c r="R155" s="176">
        <f t="shared" si="52"/>
        <v>0.22612284212589417</v>
      </c>
      <c r="S155" s="814">
        <f t="shared" si="53"/>
        <v>0</v>
      </c>
      <c r="T155" s="175">
        <f t="shared" si="54"/>
        <v>6</v>
      </c>
      <c r="U155" s="250">
        <f t="shared" si="55"/>
        <v>0.22612284212589417</v>
      </c>
      <c r="V155" s="382">
        <f t="shared" si="56"/>
        <v>57.294012614279836</v>
      </c>
      <c r="W155" s="401"/>
      <c r="X155" s="157">
        <f t="shared" si="57"/>
        <v>43971</v>
      </c>
      <c r="Y155" s="384">
        <f t="shared" si="58"/>
        <v>56.054000000000002</v>
      </c>
      <c r="Z155" s="384">
        <f t="shared" si="59"/>
        <v>56.946226918212155</v>
      </c>
      <c r="AA155" s="385">
        <f t="shared" si="60"/>
        <v>59.205582553545781</v>
      </c>
      <c r="AB155" s="196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3.8161192541096213E-2</v>
      </c>
      <c r="AD155" s="230">
        <f>(INDEX(Models!$BJ155:$BT155,,AH155)*(1-AF155)+INDEX(Models!$BJ155:$BT155,,AH155+1)*AF155-ERP_i)*AE155*Ramure*Pc/MaxiM</f>
        <v>1.6540694422019706E-4</v>
      </c>
      <c r="AE155" s="304">
        <f t="shared" si="62"/>
        <v>0.5</v>
      </c>
      <c r="AF155" s="176">
        <f t="shared" si="63"/>
        <v>0.22612284212589417</v>
      </c>
      <c r="AG155" s="814">
        <f t="shared" si="71"/>
        <v>0</v>
      </c>
      <c r="AH155" s="175">
        <f t="shared" si="64"/>
        <v>6</v>
      </c>
      <c r="AI155" s="224">
        <f t="shared" si="65"/>
        <v>0.22612284212589417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43972</v>
      </c>
      <c r="B156" s="616">
        <v>52.521000000000001</v>
      </c>
      <c r="C156" s="389"/>
      <c r="D156" s="392">
        <f t="shared" si="48"/>
        <v>53.358159867200953</v>
      </c>
      <c r="E156" s="384">
        <f t="shared" si="69"/>
        <v>55.478732017174316</v>
      </c>
      <c r="F156" s="384">
        <f t="shared" si="49"/>
        <v>55.487138772085004</v>
      </c>
      <c r="G156" s="110">
        <f t="shared" si="70"/>
        <v>0.9167820144685358</v>
      </c>
      <c r="H156" s="413" t="b">
        <f>Wh_hp&gt;='2019'!Maxi_hp</f>
        <v>0</v>
      </c>
      <c r="I156" s="379">
        <f>IF(H156,Wh_hp,'2019'!Maxi_hp)</f>
        <v>59.915343833320051</v>
      </c>
      <c r="J156" s="85">
        <f>IF(H156,An,'2019'!An_max)</f>
        <v>2019</v>
      </c>
      <c r="K156" s="196">
        <f t="shared" si="50"/>
        <v>43972</v>
      </c>
      <c r="L156" s="147">
        <f>IF(t&lt;Tvie,1-EXP((T0-t)*PertePVj)+'2019'!Pspv,1-EXP((T0-t)*PertePVj)+Pspv)</f>
        <v>1.5689444112849782E-2</v>
      </c>
      <c r="M156" s="847"/>
      <c r="N156" s="847"/>
      <c r="O156" s="48">
        <f>IF(t&lt;Tnet,'2019'!Resal+('2019'!Salim-'2019'!Resal)*(1-EXP(('2019'!Tnet-t)/('2019'!Tau_j))),Resal+(Salim-Resal)*(1-EXP((Tnet-t)/(Tau_j))))*Salcycl</f>
        <v>3.8223154583217657E-2</v>
      </c>
      <c r="P156" s="168">
        <f>(INDEX(Models!$BJ156:$BT156,,T156)*(1-R156)+INDEX(Models!$BJ156:$BT156,,T156+1)*R156-ERP_i)*Q156*Ramure*Pc/MaxiM</f>
        <v>1.7194486077337011E-4</v>
      </c>
      <c r="Q156" s="304">
        <f t="shared" si="51"/>
        <v>0.5</v>
      </c>
      <c r="R156" s="176">
        <f t="shared" si="52"/>
        <v>0.2287632022732275</v>
      </c>
      <c r="S156" s="814">
        <f t="shared" si="53"/>
        <v>0</v>
      </c>
      <c r="T156" s="175">
        <f t="shared" si="54"/>
        <v>6</v>
      </c>
      <c r="U156" s="250">
        <f t="shared" si="55"/>
        <v>0.2287632022732275</v>
      </c>
      <c r="V156" s="382">
        <f t="shared" si="56"/>
        <v>57.28725657038224</v>
      </c>
      <c r="W156" s="401"/>
      <c r="X156" s="157">
        <f t="shared" si="57"/>
        <v>43972</v>
      </c>
      <c r="Y156" s="384">
        <f t="shared" si="58"/>
        <v>52.521000000000001</v>
      </c>
      <c r="Z156" s="384">
        <f t="shared" si="59"/>
        <v>53.358159867200953</v>
      </c>
      <c r="AA156" s="385">
        <f t="shared" si="60"/>
        <v>55.478732017174316</v>
      </c>
      <c r="AB156" s="196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3.8223154583217657E-2</v>
      </c>
      <c r="AD156" s="230">
        <f>(INDEX(Models!$BJ156:$BT156,,AH156)*(1-AF156)+INDEX(Models!$BJ156:$BT156,,AH156+1)*AF156-ERP_i)*AE156*Ramure*Pc/MaxiM</f>
        <v>1.7194486077337011E-4</v>
      </c>
      <c r="AE156" s="304">
        <f t="shared" si="62"/>
        <v>0.5</v>
      </c>
      <c r="AF156" s="176">
        <f t="shared" si="63"/>
        <v>0.2287632022732275</v>
      </c>
      <c r="AG156" s="814">
        <f t="shared" si="71"/>
        <v>0</v>
      </c>
      <c r="AH156" s="175">
        <f t="shared" si="64"/>
        <v>6</v>
      </c>
      <c r="AI156" s="224">
        <f t="shared" si="65"/>
        <v>0.2287632022732275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43973</v>
      </c>
      <c r="B157" s="616">
        <v>52.609000000000002</v>
      </c>
      <c r="C157" s="389"/>
      <c r="D157" s="392">
        <f t="shared" si="48"/>
        <v>53.448733209955932</v>
      </c>
      <c r="E157" s="384">
        <f t="shared" si="69"/>
        <v>55.576491045740148</v>
      </c>
      <c r="F157" s="384">
        <f t="shared" si="49"/>
        <v>55.585260349029333</v>
      </c>
      <c r="G157" s="110">
        <f t="shared" si="70"/>
        <v>0.91847227650077834</v>
      </c>
      <c r="H157" s="413" t="b">
        <f>Wh_hp&gt;='2019'!Maxi_hp</f>
        <v>1</v>
      </c>
      <c r="I157" s="379">
        <f>IF(H157,Wh_hp,'2019'!Maxi_hp)</f>
        <v>55.585260349029333</v>
      </c>
      <c r="J157" s="85">
        <f>IF(H157,An,'2019'!An_max)</f>
        <v>2020</v>
      </c>
      <c r="K157" s="196">
        <f t="shared" si="50"/>
        <v>43973</v>
      </c>
      <c r="L157" s="147">
        <f>IF(t&lt;Tvie,1-EXP((T0-t)*PertePVj)+'2019'!Pspv,1-EXP((T0-t)*PertePVj)+Pspv)</f>
        <v>1.571100304019013E-2</v>
      </c>
      <c r="M157" s="847"/>
      <c r="N157" s="847"/>
      <c r="O157" s="48">
        <f>IF(t&lt;Tnet,'2019'!Resal+('2019'!Salim-'2019'!Resal)*(1-EXP(('2019'!Tnet-t)/('2019'!Tau_j))),Resal+(Salim-Resal)*(1-EXP((Tnet-t)/(Tau_j))))*Salcycl</f>
        <v>3.8285213689238491E-2</v>
      </c>
      <c r="P157" s="168">
        <f>(INDEX(Models!$BJ157:$BT157,,T157)*(1-R157)+INDEX(Models!$BJ157:$BT157,,T157+1)*R157-ERP_i)*Q157*Ramure*Pc/MaxiM</f>
        <v>1.7855410457579414E-4</v>
      </c>
      <c r="Q157" s="304">
        <f t="shared" si="51"/>
        <v>0.5</v>
      </c>
      <c r="R157" s="176">
        <f t="shared" si="52"/>
        <v>0.23144420107229091</v>
      </c>
      <c r="S157" s="814">
        <f t="shared" si="53"/>
        <v>0</v>
      </c>
      <c r="T157" s="175">
        <f t="shared" si="54"/>
        <v>6</v>
      </c>
      <c r="U157" s="250">
        <f t="shared" si="55"/>
        <v>0.23144420107229091</v>
      </c>
      <c r="V157" s="382">
        <f t="shared" si="56"/>
        <v>57.27761999977384</v>
      </c>
      <c r="W157" s="401"/>
      <c r="X157" s="157">
        <f t="shared" si="57"/>
        <v>43973</v>
      </c>
      <c r="Y157" s="384">
        <f t="shared" si="58"/>
        <v>52.609000000000002</v>
      </c>
      <c r="Z157" s="384">
        <f t="shared" si="59"/>
        <v>53.448733209955932</v>
      </c>
      <c r="AA157" s="385">
        <f t="shared" si="60"/>
        <v>55.576491045740148</v>
      </c>
      <c r="AB157" s="196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3.8285213689238491E-2</v>
      </c>
      <c r="AD157" s="230">
        <f>(INDEX(Models!$BJ157:$BT157,,AH157)*(1-AF157)+INDEX(Models!$BJ157:$BT157,,AH157+1)*AF157-ERP_i)*AE157*Ramure*Pc/MaxiM</f>
        <v>1.7855410457579414E-4</v>
      </c>
      <c r="AE157" s="304">
        <f t="shared" si="62"/>
        <v>0.5</v>
      </c>
      <c r="AF157" s="176">
        <f t="shared" si="63"/>
        <v>0.23144420107229091</v>
      </c>
      <c r="AG157" s="814">
        <f t="shared" si="71"/>
        <v>0</v>
      </c>
      <c r="AH157" s="175">
        <f t="shared" si="64"/>
        <v>6</v>
      </c>
      <c r="AI157" s="224">
        <f t="shared" si="65"/>
        <v>0.23144420107229091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43974</v>
      </c>
      <c r="B158" s="616">
        <v>16.327999999999999</v>
      </c>
      <c r="C158" s="389"/>
      <c r="D158" s="392">
        <f t="shared" si="48"/>
        <v>16.588987262248651</v>
      </c>
      <c r="E158" s="384">
        <f t="shared" si="69"/>
        <v>17.250497953733664</v>
      </c>
      <c r="F158" s="384">
        <f t="shared" si="49"/>
        <v>17.250497953733664</v>
      </c>
      <c r="G158" s="110">
        <f t="shared" si="70"/>
        <v>0.28507719196123887</v>
      </c>
      <c r="H158" s="413" t="b">
        <f>Wh_hp&gt;='2019'!Maxi_hp</f>
        <v>1</v>
      </c>
      <c r="I158" s="379">
        <f>IF(H158,Wh_hp,'2019'!Maxi_hp)</f>
        <v>17.250497953733664</v>
      </c>
      <c r="J158" s="85">
        <f>IF(H158,An,'2019'!An_max)</f>
        <v>2020</v>
      </c>
      <c r="K158" s="196">
        <f t="shared" si="50"/>
        <v>43974</v>
      </c>
      <c r="L158" s="147">
        <f>IF(t&lt;Tvie,1-EXP((T0-t)*PertePVj)+'2019'!Pspv,1-EXP((T0-t)*PertePVj)+Pspv)</f>
        <v>1.573256149533464E-2</v>
      </c>
      <c r="M158" s="847"/>
      <c r="N158" s="847"/>
      <c r="O158" s="48">
        <f>IF(t&lt;Tnet,'2019'!Resal+('2019'!Salim-'2019'!Resal)*(1-EXP(('2019'!Tnet-t)/('2019'!Tau_j))),Resal+(Salim-Resal)*(1-EXP((Tnet-t)/(Tau_j))))*Salcycl</f>
        <v>3.8347338915039102E-2</v>
      </c>
      <c r="P158" s="168">
        <f>(INDEX(Models!$BJ158:$BT158,,T158)*(1-R158)+INDEX(Models!$BJ158:$BT158,,T158+1)*R158-ERP_i)*Q158*Ramure*Pc/MaxiM</f>
        <v>1.8523262561523832E-4</v>
      </c>
      <c r="Q158" s="304">
        <f t="shared" si="51"/>
        <v>0.5</v>
      </c>
      <c r="R158" s="176">
        <f t="shared" si="52"/>
        <v>0.23416446879078862</v>
      </c>
      <c r="S158" s="814">
        <f t="shared" si="53"/>
        <v>0</v>
      </c>
      <c r="T158" s="175">
        <f t="shared" si="54"/>
        <v>6</v>
      </c>
      <c r="U158" s="250">
        <f t="shared" si="55"/>
        <v>0.23416446879078862</v>
      </c>
      <c r="V158" s="382">
        <f t="shared" si="56"/>
        <v>57.265105669725465</v>
      </c>
      <c r="W158" s="401"/>
      <c r="X158" s="157">
        <f t="shared" si="57"/>
        <v>43974</v>
      </c>
      <c r="Y158" s="384">
        <f t="shared" si="58"/>
        <v>16.327999999999999</v>
      </c>
      <c r="Z158" s="384">
        <f t="shared" si="59"/>
        <v>16.588987262248651</v>
      </c>
      <c r="AA158" s="385">
        <f t="shared" si="60"/>
        <v>17.250497953733664</v>
      </c>
      <c r="AB158" s="196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3.8347338915039102E-2</v>
      </c>
      <c r="AD158" s="230">
        <f>(INDEX(Models!$BJ158:$BT158,,AH158)*(1-AF158)+INDEX(Models!$BJ158:$BT158,,AH158+1)*AF158-ERP_i)*AE158*Ramure*Pc/MaxiM</f>
        <v>1.8523262561523832E-4</v>
      </c>
      <c r="AE158" s="304">
        <f t="shared" si="62"/>
        <v>0.5</v>
      </c>
      <c r="AF158" s="176">
        <f t="shared" si="63"/>
        <v>0.23416446879078862</v>
      </c>
      <c r="AG158" s="814">
        <f t="shared" si="71"/>
        <v>0</v>
      </c>
      <c r="AH158" s="175">
        <f t="shared" si="64"/>
        <v>6</v>
      </c>
      <c r="AI158" s="224">
        <f t="shared" si="65"/>
        <v>0.23416446879078862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43975</v>
      </c>
      <c r="B159" s="616">
        <v>53.061999999999998</v>
      </c>
      <c r="C159" s="389"/>
      <c r="D159" s="392">
        <f t="shared" si="48"/>
        <v>53.911325462570517</v>
      </c>
      <c r="E159" s="384">
        <f t="shared" si="69"/>
        <v>56.064744177662128</v>
      </c>
      <c r="F159" s="384">
        <f t="shared" si="49"/>
        <v>56.074384360716962</v>
      </c>
      <c r="G159" s="110">
        <f t="shared" si="70"/>
        <v>0.92683315675677214</v>
      </c>
      <c r="H159" s="413" t="b">
        <f>Wh_hp&gt;='2019'!Maxi_hp</f>
        <v>1</v>
      </c>
      <c r="I159" s="379">
        <f>IF(H159,Wh_hp,'2019'!Maxi_hp)</f>
        <v>56.074384360716962</v>
      </c>
      <c r="J159" s="85">
        <f>IF(H159,An,'2019'!An_max)</f>
        <v>2020</v>
      </c>
      <c r="K159" s="196">
        <f t="shared" si="50"/>
        <v>43975</v>
      </c>
      <c r="L159" s="147">
        <f>IF(t&lt;Tvie,1-EXP((T0-t)*PertePVj)+'2019'!Pspv,1-EXP((T0-t)*PertePVj)+Pspv)</f>
        <v>1.5754119478293749E-2</v>
      </c>
      <c r="M159" s="847"/>
      <c r="N159" s="847"/>
      <c r="O159" s="48">
        <f>IF(t&lt;Tnet,'2019'!Resal+('2019'!Salim-'2019'!Resal)*(1-EXP(('2019'!Tnet-t)/('2019'!Tau_j))),Resal+(Salim-Resal)*(1-EXP((Tnet-t)/(Tau_j))))*Salcycl</f>
        <v>3.8409498637284378E-2</v>
      </c>
      <c r="P159" s="168">
        <f>(INDEX(Models!$BJ159:$BT159,,T159)*(1-R159)+INDEX(Models!$BJ159:$BT159,,T159+1)*R159-ERP_i)*Q159*Ramure*Pc/MaxiM</f>
        <v>1.9197910436065036E-4</v>
      </c>
      <c r="Q159" s="304">
        <f t="shared" si="51"/>
        <v>0.5</v>
      </c>
      <c r="R159" s="176">
        <f t="shared" si="52"/>
        <v>0.23692252804141889</v>
      </c>
      <c r="S159" s="814">
        <f t="shared" si="53"/>
        <v>0</v>
      </c>
      <c r="T159" s="175">
        <f t="shared" si="54"/>
        <v>6</v>
      </c>
      <c r="U159" s="250">
        <f t="shared" si="55"/>
        <v>0.23692252804141889</v>
      </c>
      <c r="V159" s="382">
        <f t="shared" si="56"/>
        <v>57.249716343832141</v>
      </c>
      <c r="W159" s="401"/>
      <c r="X159" s="157">
        <f t="shared" si="57"/>
        <v>43975</v>
      </c>
      <c r="Y159" s="384">
        <f t="shared" si="58"/>
        <v>53.061999999999998</v>
      </c>
      <c r="Z159" s="384">
        <f t="shared" si="59"/>
        <v>53.911325462570517</v>
      </c>
      <c r="AA159" s="385">
        <f t="shared" si="60"/>
        <v>56.064744177662128</v>
      </c>
      <c r="AB159" s="196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3.8409498637284378E-2</v>
      </c>
      <c r="AD159" s="230">
        <f>(INDEX(Models!$BJ159:$BT159,,AH159)*(1-AF159)+INDEX(Models!$BJ159:$BT159,,AH159+1)*AF159-ERP_i)*AE159*Ramure*Pc/MaxiM</f>
        <v>1.9197910436065036E-4</v>
      </c>
      <c r="AE159" s="304">
        <f t="shared" si="62"/>
        <v>0.5</v>
      </c>
      <c r="AF159" s="176">
        <f t="shared" si="63"/>
        <v>0.23692252804141889</v>
      </c>
      <c r="AG159" s="814">
        <f t="shared" si="71"/>
        <v>0</v>
      </c>
      <c r="AH159" s="175">
        <f t="shared" si="64"/>
        <v>6</v>
      </c>
      <c r="AI159" s="224">
        <f t="shared" si="65"/>
        <v>0.23692252804141889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43976</v>
      </c>
      <c r="B160" s="616">
        <v>56.722999999999999</v>
      </c>
      <c r="C160" s="389"/>
      <c r="D160" s="392">
        <f t="shared" si="48"/>
        <v>57.63218676254003</v>
      </c>
      <c r="E160" s="384">
        <f t="shared" si="69"/>
        <v>59.938105205956425</v>
      </c>
      <c r="F160" s="384">
        <f t="shared" si="49"/>
        <v>59.949871504131856</v>
      </c>
      <c r="G160" s="110">
        <f t="shared" si="70"/>
        <v>0.99111331381697443</v>
      </c>
      <c r="H160" s="413" t="b">
        <f>Wh_hp&gt;='2019'!Maxi_hp</f>
        <v>1</v>
      </c>
      <c r="I160" s="379">
        <f>IF(H160,Wh_hp,'2019'!Maxi_hp)</f>
        <v>59.949871504131856</v>
      </c>
      <c r="J160" s="85">
        <f>IF(H160,An,'2019'!An_max)</f>
        <v>2020</v>
      </c>
      <c r="K160" s="196">
        <f t="shared" si="50"/>
        <v>43976</v>
      </c>
      <c r="L160" s="147">
        <f>IF(t&lt;Tvie,1-EXP((T0-t)*PertePVj)+'2019'!Pspv,1-EXP((T0-t)*PertePVj)+Pspv)</f>
        <v>1.5775676989077669E-2</v>
      </c>
      <c r="M160" s="847"/>
      <c r="N160" s="847"/>
      <c r="O160" s="48">
        <f>IF(t&lt;Tnet,'2019'!Resal+('2019'!Salim-'2019'!Resal)*(1-EXP(('2019'!Tnet-t)/('2019'!Tau_j))),Resal+(Salim-Resal)*(1-EXP((Tnet-t)/(Tau_j))))*Salcycl</f>
        <v>3.8471660648812842E-2</v>
      </c>
      <c r="P160" s="168">
        <f>(INDEX(Models!$BJ160:$BT160,,T160)*(1-R160)+INDEX(Models!$BJ160:$BT160,,T160+1)*R160-ERP_i)*Q160*Ramure*Pc/MaxiM</f>
        <v>1.9879195382473594E-4</v>
      </c>
      <c r="Q160" s="304">
        <f t="shared" si="51"/>
        <v>0.5</v>
      </c>
      <c r="R160" s="176">
        <f t="shared" si="52"/>
        <v>0.23971679544591828</v>
      </c>
      <c r="S160" s="814">
        <f t="shared" si="53"/>
        <v>0</v>
      </c>
      <c r="T160" s="175">
        <f t="shared" si="54"/>
        <v>6</v>
      </c>
      <c r="U160" s="250">
        <f t="shared" si="55"/>
        <v>0.23971679544591828</v>
      </c>
      <c r="V160" s="382">
        <f t="shared" si="56"/>
        <v>57.231454838357628</v>
      </c>
      <c r="W160" s="401"/>
      <c r="X160" s="157">
        <f t="shared" si="57"/>
        <v>43976</v>
      </c>
      <c r="Y160" s="384">
        <f t="shared" si="58"/>
        <v>56.722999999999999</v>
      </c>
      <c r="Z160" s="384">
        <f t="shared" si="59"/>
        <v>57.63218676254003</v>
      </c>
      <c r="AA160" s="385">
        <f t="shared" si="60"/>
        <v>59.938105205956425</v>
      </c>
      <c r="AB160" s="196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3.8471660648812842E-2</v>
      </c>
      <c r="AD160" s="230">
        <f>(INDEX(Models!$BJ160:$BT160,,AH160)*(1-AF160)+INDEX(Models!$BJ160:$BT160,,AH160+1)*AF160-ERP_i)*AE160*Ramure*Pc/MaxiM</f>
        <v>1.9879195382473594E-4</v>
      </c>
      <c r="AE160" s="304">
        <f t="shared" si="62"/>
        <v>0.5</v>
      </c>
      <c r="AF160" s="176">
        <f t="shared" si="63"/>
        <v>0.23971679544591828</v>
      </c>
      <c r="AG160" s="814">
        <f t="shared" si="71"/>
        <v>0</v>
      </c>
      <c r="AH160" s="175">
        <f t="shared" si="64"/>
        <v>6</v>
      </c>
      <c r="AI160" s="224">
        <f t="shared" si="65"/>
        <v>0.23971679544591828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43977</v>
      </c>
      <c r="B161" s="616">
        <v>56.033999999999999</v>
      </c>
      <c r="C161" s="389"/>
      <c r="D161" s="392">
        <f t="shared" si="48"/>
        <v>56.933390087197608</v>
      </c>
      <c r="E161" s="384">
        <f t="shared" si="69"/>
        <v>59.215175352871086</v>
      </c>
      <c r="F161" s="384">
        <f t="shared" si="49"/>
        <v>59.226998726553703</v>
      </c>
      <c r="G161" s="110">
        <f t="shared" si="70"/>
        <v>0.97943268783646142</v>
      </c>
      <c r="H161" s="413" t="b">
        <f>Wh_hp&gt;='2019'!Maxi_hp</f>
        <v>1</v>
      </c>
      <c r="I161" s="379">
        <f>IF(H161,Wh_hp,'2019'!Maxi_hp)</f>
        <v>59.226998726553703</v>
      </c>
      <c r="J161" s="85">
        <f>IF(H161,An,'2019'!An_max)</f>
        <v>2020</v>
      </c>
      <c r="K161" s="196">
        <f t="shared" si="50"/>
        <v>43977</v>
      </c>
      <c r="L161" s="147">
        <f>IF(t&lt;Tvie,1-EXP((T0-t)*PertePVj)+'2019'!Pspv,1-EXP((T0-t)*PertePVj)+Pspv)</f>
        <v>1.5797234027696727E-2</v>
      </c>
      <c r="M161" s="847"/>
      <c r="N161" s="847"/>
      <c r="O161" s="48">
        <f>IF(t&lt;Tnet,'2019'!Resal+('2019'!Salim-'2019'!Resal)*(1-EXP(('2019'!Tnet-t)/('2019'!Tau_j))),Resal+(Salim-Resal)*(1-EXP((Tnet-t)/(Tau_j))))*Salcycl</f>
        <v>3.8533792259771459E-2</v>
      </c>
      <c r="P161" s="168">
        <f>(INDEX(Models!$BJ161:$BT161,,T161)*(1-R161)+INDEX(Models!$BJ161:$BT161,,T161+1)*R161-ERP_i)*Q161*Ramure*Pc/MaxiM</f>
        <v>2.0566931901999587E-4</v>
      </c>
      <c r="Q161" s="304">
        <f t="shared" si="51"/>
        <v>0.5</v>
      </c>
      <c r="R161" s="176">
        <f t="shared" si="52"/>
        <v>0.24254558388050379</v>
      </c>
      <c r="S161" s="814">
        <f t="shared" si="53"/>
        <v>0</v>
      </c>
      <c r="T161" s="175">
        <f t="shared" si="54"/>
        <v>6</v>
      </c>
      <c r="U161" s="250">
        <f t="shared" si="55"/>
        <v>0.24254558388050379</v>
      </c>
      <c r="V161" s="382">
        <f t="shared" si="56"/>
        <v>57.210324012110888</v>
      </c>
      <c r="W161" s="401"/>
      <c r="X161" s="157">
        <f t="shared" si="57"/>
        <v>43977</v>
      </c>
      <c r="Y161" s="384">
        <f t="shared" si="58"/>
        <v>56.033999999999999</v>
      </c>
      <c r="Z161" s="384">
        <f t="shared" si="59"/>
        <v>56.933390087197608</v>
      </c>
      <c r="AA161" s="385">
        <f t="shared" si="60"/>
        <v>59.215175352871086</v>
      </c>
      <c r="AB161" s="196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3.8533792259771459E-2</v>
      </c>
      <c r="AD161" s="230">
        <f>(INDEX(Models!$BJ161:$BT161,,AH161)*(1-AF161)+INDEX(Models!$BJ161:$BT161,,AH161+1)*AF161-ERP_i)*AE161*Ramure*Pc/MaxiM</f>
        <v>2.0566931901999587E-4</v>
      </c>
      <c r="AE161" s="304">
        <f t="shared" si="62"/>
        <v>0.5</v>
      </c>
      <c r="AF161" s="176">
        <f t="shared" si="63"/>
        <v>0.24254558388050379</v>
      </c>
      <c r="AG161" s="814">
        <f t="shared" si="71"/>
        <v>0</v>
      </c>
      <c r="AH161" s="175">
        <f t="shared" si="64"/>
        <v>6</v>
      </c>
      <c r="AI161" s="224">
        <f t="shared" si="65"/>
        <v>0.24254558388050379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43978</v>
      </c>
      <c r="B162" s="616">
        <v>55.713000000000001</v>
      </c>
      <c r="C162" s="389"/>
      <c r="D162" s="392">
        <f t="shared" si="48"/>
        <v>56.608477653860689</v>
      </c>
      <c r="E162" s="384">
        <f t="shared" si="69"/>
        <v>58.881042136609011</v>
      </c>
      <c r="F162" s="384">
        <f t="shared" si="49"/>
        <v>58.893102499621982</v>
      </c>
      <c r="G162" s="110">
        <f t="shared" si="70"/>
        <v>0.97422875550610188</v>
      </c>
      <c r="H162" s="413" t="b">
        <f>Wh_hp&gt;='2019'!Maxi_hp</f>
        <v>1</v>
      </c>
      <c r="I162" s="379">
        <f>IF(H162,Wh_hp,'2019'!Maxi_hp)</f>
        <v>58.893102499621982</v>
      </c>
      <c r="J162" s="85">
        <f>IF(H162,An,'2019'!An_max)</f>
        <v>2020</v>
      </c>
      <c r="K162" s="196">
        <f t="shared" si="50"/>
        <v>43978</v>
      </c>
      <c r="L162" s="147">
        <f>IF(t&lt;Tvie,1-EXP((T0-t)*PertePVj)+'2019'!Pspv,1-EXP((T0-t)*PertePVj)+Pspv)</f>
        <v>1.5818790594161358E-2</v>
      </c>
      <c r="M162" s="847"/>
      <c r="N162" s="847"/>
      <c r="O162" s="48">
        <f>IF(t&lt;Tnet,'2019'!Resal+('2019'!Salim-'2019'!Resal)*(1-EXP(('2019'!Tnet-t)/('2019'!Tau_j))),Resal+(Salim-Resal)*(1-EXP((Tnet-t)/(Tau_j))))*Salcycl</f>
        <v>3.8595860404029167E-2</v>
      </c>
      <c r="P162" s="168">
        <f>(INDEX(Models!$BJ162:$BT162,,T162)*(1-R162)+INDEX(Models!$BJ162:$BT162,,T162+1)*R162-ERP_i)*Q162*Ramure*Pc/MaxiM</f>
        <v>2.1260907790776609E-4</v>
      </c>
      <c r="Q162" s="304">
        <f t="shared" si="51"/>
        <v>0.5</v>
      </c>
      <c r="R162" s="176">
        <f t="shared" si="52"/>
        <v>0.24540710530942922</v>
      </c>
      <c r="S162" s="814">
        <f t="shared" si="53"/>
        <v>0</v>
      </c>
      <c r="T162" s="175">
        <f t="shared" si="54"/>
        <v>6</v>
      </c>
      <c r="U162" s="250">
        <f t="shared" si="55"/>
        <v>0.24540710530942922</v>
      </c>
      <c r="V162" s="382">
        <f t="shared" si="56"/>
        <v>57.186326758770235</v>
      </c>
      <c r="W162" s="401"/>
      <c r="X162" s="157">
        <f t="shared" si="57"/>
        <v>43978</v>
      </c>
      <c r="Y162" s="384">
        <f t="shared" si="58"/>
        <v>55.713000000000001</v>
      </c>
      <c r="Z162" s="384">
        <f t="shared" si="59"/>
        <v>56.608477653860689</v>
      </c>
      <c r="AA162" s="385">
        <f t="shared" si="60"/>
        <v>58.881042136609011</v>
      </c>
      <c r="AB162" s="196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3.8595860404029167E-2</v>
      </c>
      <c r="AD162" s="230">
        <f>(INDEX(Models!$BJ162:$BT162,,AH162)*(1-AF162)+INDEX(Models!$BJ162:$BT162,,AH162+1)*AF162-ERP_i)*AE162*Ramure*Pc/MaxiM</f>
        <v>2.1260907790776609E-4</v>
      </c>
      <c r="AE162" s="304">
        <f t="shared" si="62"/>
        <v>0.5</v>
      </c>
      <c r="AF162" s="176">
        <f t="shared" si="63"/>
        <v>0.24540710530942922</v>
      </c>
      <c r="AG162" s="814">
        <f t="shared" si="71"/>
        <v>0</v>
      </c>
      <c r="AH162" s="175">
        <f t="shared" si="64"/>
        <v>6</v>
      </c>
      <c r="AI162" s="224">
        <f t="shared" si="65"/>
        <v>0.24540710530942922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43979</v>
      </c>
      <c r="B163" s="616">
        <v>56.179000000000002</v>
      </c>
      <c r="C163" s="389"/>
      <c r="D163" s="392">
        <f t="shared" si="48"/>
        <v>57.083217962622108</v>
      </c>
      <c r="E163" s="384">
        <f t="shared" si="69"/>
        <v>59.378668540624972</v>
      </c>
      <c r="F163" s="384">
        <f t="shared" si="49"/>
        <v>59.391392288478862</v>
      </c>
      <c r="G163" s="110">
        <f t="shared" si="70"/>
        <v>0.98285682096902172</v>
      </c>
      <c r="H163" s="413" t="b">
        <f>Wh_hp&gt;='2019'!Maxi_hp</f>
        <v>1</v>
      </c>
      <c r="I163" s="379">
        <f>IF(H163,Wh_hp,'2019'!Maxi_hp)</f>
        <v>59.391392288478862</v>
      </c>
      <c r="J163" s="85">
        <f>IF(H163,An,'2019'!An_max)</f>
        <v>2020</v>
      </c>
      <c r="K163" s="196">
        <f t="shared" si="50"/>
        <v>43979</v>
      </c>
      <c r="L163" s="147">
        <f>IF(t&lt;Tvie,1-EXP((T0-t)*PertePVj)+'2019'!Pspv,1-EXP((T0-t)*PertePVj)+Pspv)</f>
        <v>1.5840346688481777E-2</v>
      </c>
      <c r="M163" s="847"/>
      <c r="N163" s="847"/>
      <c r="O163" s="48">
        <f>IF(t&lt;Tnet,'2019'!Resal+('2019'!Salim-'2019'!Resal)*(1-EXP(('2019'!Tnet-t)/('2019'!Tau_j))),Resal+(Salim-Resal)*(1-EXP((Tnet-t)/(Tau_j))))*Salcycl</f>
        <v>3.8657831750342944E-2</v>
      </c>
      <c r="P163" s="168">
        <f>(INDEX(Models!$BJ163:$BT163,,T163)*(1-R163)+INDEX(Models!$BJ163:$BT163,,T163+1)*R163-ERP_i)*Q163*Ramure*Pc/MaxiM</f>
        <v>2.1961225644566453E-4</v>
      </c>
      <c r="Q163" s="304">
        <f t="shared" si="51"/>
        <v>0.5</v>
      </c>
      <c r="R163" s="176">
        <f t="shared" si="52"/>
        <v>0.2482994742081624</v>
      </c>
      <c r="S163" s="814">
        <f t="shared" si="53"/>
        <v>0</v>
      </c>
      <c r="T163" s="175">
        <f t="shared" si="54"/>
        <v>6</v>
      </c>
      <c r="U163" s="250">
        <f t="shared" si="55"/>
        <v>0.2482994742081624</v>
      </c>
      <c r="V163" s="382">
        <f t="shared" si="56"/>
        <v>57.158577606596722</v>
      </c>
      <c r="W163" s="401"/>
      <c r="X163" s="157">
        <f t="shared" si="57"/>
        <v>43979</v>
      </c>
      <c r="Y163" s="384">
        <f t="shared" si="58"/>
        <v>56.179000000000002</v>
      </c>
      <c r="Z163" s="384">
        <f t="shared" si="59"/>
        <v>57.083217962622108</v>
      </c>
      <c r="AA163" s="385">
        <f t="shared" si="60"/>
        <v>59.378668540624972</v>
      </c>
      <c r="AB163" s="196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3.8657831750342944E-2</v>
      </c>
      <c r="AD163" s="230">
        <f>(INDEX(Models!$BJ163:$BT163,,AH163)*(1-AF163)+INDEX(Models!$BJ163:$BT163,,AH163+1)*AF163-ERP_i)*AE163*Ramure*Pc/MaxiM</f>
        <v>2.1961225644566453E-4</v>
      </c>
      <c r="AE163" s="304">
        <f t="shared" si="62"/>
        <v>0.5</v>
      </c>
      <c r="AF163" s="176">
        <f t="shared" si="63"/>
        <v>0.2482994742081624</v>
      </c>
      <c r="AG163" s="814">
        <f t="shared" si="71"/>
        <v>0</v>
      </c>
      <c r="AH163" s="175">
        <f t="shared" si="64"/>
        <v>6</v>
      </c>
      <c r="AI163" s="224">
        <f t="shared" si="65"/>
        <v>0.2482994742081624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43980</v>
      </c>
      <c r="B164" s="616">
        <v>52.871000000000002</v>
      </c>
      <c r="C164" s="389"/>
      <c r="D164" s="392">
        <f t="shared" si="48"/>
        <v>53.723151378994878</v>
      </c>
      <c r="E164" s="384">
        <f t="shared" si="69"/>
        <v>55.887080864816696</v>
      </c>
      <c r="F164" s="384">
        <f t="shared" si="49"/>
        <v>55.898399178194119</v>
      </c>
      <c r="G164" s="110">
        <f t="shared" si="70"/>
        <v>0.92548559701972344</v>
      </c>
      <c r="H164" s="413" t="b">
        <f>Wh_hp&gt;='2019'!Maxi_hp</f>
        <v>0</v>
      </c>
      <c r="I164" s="379">
        <f>IF(H164,Wh_hp,'2019'!Maxi_hp)</f>
        <v>59.235447555070827</v>
      </c>
      <c r="J164" s="85">
        <f>IF(H164,An,'2019'!An_max)</f>
        <v>2019</v>
      </c>
      <c r="K164" s="196">
        <f t="shared" si="50"/>
        <v>43980</v>
      </c>
      <c r="L164" s="147">
        <f>IF(t&lt;Tvie,1-EXP((T0-t)*PertePVj)+'2019'!Pspv,1-EXP((T0-t)*PertePVj)+Pspv)</f>
        <v>1.586190231066853E-2</v>
      </c>
      <c r="M164" s="847"/>
      <c r="N164" s="847"/>
      <c r="O164" s="48">
        <f>IF(t&lt;Tnet,'2019'!Resal+('2019'!Salim-'2019'!Resal)*(1-EXP(('2019'!Tnet-t)/('2019'!Tau_j))),Resal+(Salim-Resal)*(1-EXP((Tnet-t)/(Tau_j))))*Salcycl</f>
        <v>3.8719672817695942E-2</v>
      </c>
      <c r="P164" s="168">
        <f>(INDEX(Models!$BJ164:$BT164,,T164)*(1-R164)+INDEX(Models!$BJ164:$BT164,,T164+1)*R164-ERP_i)*Q164*Ramure*Pc/MaxiM</f>
        <v>2.2659356464720673E-4</v>
      </c>
      <c r="Q164" s="304">
        <f t="shared" si="51"/>
        <v>0.5</v>
      </c>
      <c r="R164" s="176">
        <f t="shared" si="52"/>
        <v>0.25122071157221493</v>
      </c>
      <c r="S164" s="814">
        <f t="shared" si="53"/>
        <v>0</v>
      </c>
      <c r="T164" s="175">
        <f t="shared" si="54"/>
        <v>6</v>
      </c>
      <c r="U164" s="250">
        <f t="shared" si="55"/>
        <v>0.25122071157221493</v>
      </c>
      <c r="V164" s="382">
        <f t="shared" si="56"/>
        <v>57.12646961659344</v>
      </c>
      <c r="W164" s="401"/>
      <c r="X164" s="157">
        <f t="shared" si="57"/>
        <v>43980</v>
      </c>
      <c r="Y164" s="384">
        <f t="shared" si="58"/>
        <v>52.871000000000002</v>
      </c>
      <c r="Z164" s="384">
        <f t="shared" si="59"/>
        <v>53.723151378994878</v>
      </c>
      <c r="AA164" s="385">
        <f t="shared" si="60"/>
        <v>55.887080864816696</v>
      </c>
      <c r="AB164" s="196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3.8719672817695942E-2</v>
      </c>
      <c r="AD164" s="230">
        <f>(INDEX(Models!$BJ164:$BT164,,AH164)*(1-AF164)+INDEX(Models!$BJ164:$BT164,,AH164+1)*AF164-ERP_i)*AE164*Ramure*Pc/MaxiM</f>
        <v>2.2659356464720673E-4</v>
      </c>
      <c r="AE164" s="304">
        <f t="shared" si="62"/>
        <v>0.5</v>
      </c>
      <c r="AF164" s="176">
        <f t="shared" si="63"/>
        <v>0.25122071157221493</v>
      </c>
      <c r="AG164" s="814">
        <f t="shared" si="71"/>
        <v>0</v>
      </c>
      <c r="AH164" s="175">
        <f t="shared" si="64"/>
        <v>6</v>
      </c>
      <c r="AI164" s="224">
        <f t="shared" si="65"/>
        <v>0.25122071157221493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43981</v>
      </c>
      <c r="B165" s="616">
        <v>56.604999999999997</v>
      </c>
      <c r="C165" s="389"/>
      <c r="D165" s="392">
        <f t="shared" si="48"/>
        <v>57.518594143275813</v>
      </c>
      <c r="E165" s="384">
        <f t="shared" si="69"/>
        <v>59.839240685676636</v>
      </c>
      <c r="F165" s="384">
        <f t="shared" si="49"/>
        <v>59.853050033506115</v>
      </c>
      <c r="G165" s="110">
        <f t="shared" si="70"/>
        <v>0.99149461087669888</v>
      </c>
      <c r="H165" s="413" t="b">
        <f>Wh_hp&gt;='2019'!Maxi_hp</f>
        <v>0</v>
      </c>
      <c r="I165" s="379">
        <f>IF(H165,Wh_hp,'2019'!Maxi_hp)</f>
        <v>60.201047487090179</v>
      </c>
      <c r="J165" s="85">
        <f>IF(H165,An,'2019'!An_max)</f>
        <v>2019</v>
      </c>
      <c r="K165" s="196">
        <f t="shared" si="50"/>
        <v>43981</v>
      </c>
      <c r="L165" s="147">
        <f>IF(t&lt;Tvie,1-EXP((T0-t)*PertePVj)+'2019'!Pspv,1-EXP((T0-t)*PertePVj)+Pspv)</f>
        <v>1.588345746073172E-2</v>
      </c>
      <c r="M165" s="847"/>
      <c r="N165" s="847"/>
      <c r="O165" s="48">
        <f>IF(t&lt;Tnet,'2019'!Resal+('2019'!Salim-'2019'!Resal)*(1-EXP(('2019'!Tnet-t)/('2019'!Tau_j))),Resal+(Salim-Resal)*(1-EXP((Tnet-t)/(Tau_j))))*Salcycl</f>
        <v>3.8781350094174993E-2</v>
      </c>
      <c r="P165" s="168">
        <f>(INDEX(Models!$BJ165:$BT165,,T165)*(1-R165)+INDEX(Models!$BJ165:$BT165,,T165+1)*R165-ERP_i)*Q165*Ramure*Pc/MaxiM</f>
        <v>2.335577891485923E-4</v>
      </c>
      <c r="Q165" s="304">
        <f t="shared" si="51"/>
        <v>0.5</v>
      </c>
      <c r="R165" s="176">
        <f t="shared" si="52"/>
        <v>0.25416874950199092</v>
      </c>
      <c r="S165" s="814">
        <f t="shared" si="53"/>
        <v>0</v>
      </c>
      <c r="T165" s="175">
        <f t="shared" si="54"/>
        <v>6</v>
      </c>
      <c r="U165" s="250">
        <f t="shared" si="55"/>
        <v>0.25416874950199092</v>
      </c>
      <c r="V165" s="382">
        <f t="shared" si="56"/>
        <v>57.090415578893165</v>
      </c>
      <c r="W165" s="401"/>
      <c r="X165" s="157">
        <f t="shared" si="57"/>
        <v>43981</v>
      </c>
      <c r="Y165" s="384">
        <f t="shared" si="58"/>
        <v>56.604999999999997</v>
      </c>
      <c r="Z165" s="384">
        <f t="shared" si="59"/>
        <v>57.518594143275813</v>
      </c>
      <c r="AA165" s="385">
        <f t="shared" si="60"/>
        <v>59.839240685676636</v>
      </c>
      <c r="AB165" s="196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3.8781350094174993E-2</v>
      </c>
      <c r="AD165" s="230">
        <f>(INDEX(Models!$BJ165:$BT165,,AH165)*(1-AF165)+INDEX(Models!$BJ165:$BT165,,AH165+1)*AF165-ERP_i)*AE165*Ramure*Pc/MaxiM</f>
        <v>2.335577891485923E-4</v>
      </c>
      <c r="AE165" s="304">
        <f t="shared" si="62"/>
        <v>0.5</v>
      </c>
      <c r="AF165" s="176">
        <f t="shared" si="63"/>
        <v>0.25416874950199092</v>
      </c>
      <c r="AG165" s="814">
        <f t="shared" si="71"/>
        <v>0</v>
      </c>
      <c r="AH165" s="175">
        <f t="shared" si="64"/>
        <v>6</v>
      </c>
      <c r="AI165" s="224">
        <f t="shared" si="65"/>
        <v>0.25416874950199092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43982</v>
      </c>
      <c r="B166" s="616">
        <v>56.534999999999997</v>
      </c>
      <c r="C166" s="389"/>
      <c r="D166" s="392">
        <f t="shared" si="48"/>
        <v>57.448722630794556</v>
      </c>
      <c r="E166" s="384">
        <f t="shared" si="69"/>
        <v>59.770373080898565</v>
      </c>
      <c r="F166" s="384">
        <f t="shared" si="49"/>
        <v>59.7845654377887</v>
      </c>
      <c r="G166" s="110">
        <f t="shared" si="70"/>
        <v>0.99095535590344863</v>
      </c>
      <c r="H166" s="413" t="b">
        <f>Wh_hp&gt;='2019'!Maxi_hp</f>
        <v>0</v>
      </c>
      <c r="I166" s="379">
        <f>IF(H166,Wh_hp,'2019'!Maxi_hp)</f>
        <v>61.029409506694016</v>
      </c>
      <c r="J166" s="85">
        <f>IF(H166,An,'2019'!An_max)</f>
        <v>2019</v>
      </c>
      <c r="K166" s="196">
        <f t="shared" si="50"/>
        <v>43982</v>
      </c>
      <c r="L166" s="147">
        <f>IF(t&lt;Tvie,1-EXP((T0-t)*PertePVj)+'2019'!Pspv,1-EXP((T0-t)*PertePVj)+Pspv)</f>
        <v>1.5905012138681895E-2</v>
      </c>
      <c r="M166" s="847"/>
      <c r="N166" s="847"/>
      <c r="O166" s="48">
        <f>IF(t&lt;Tnet,'2019'!Resal+('2019'!Salim-'2019'!Resal)*(1-EXP(('2019'!Tnet-t)/('2019'!Tau_j))),Resal+(Salim-Resal)*(1-EXP((Tnet-t)/(Tau_j))))*Salcycl</f>
        <v>3.8842830158708985E-2</v>
      </c>
      <c r="P166" s="168">
        <f>(INDEX(Models!$BJ166:$BT166,,T166)*(1-R166)+INDEX(Models!$BJ166:$BT166,,T166+1)*R166-ERP_i)*Q166*Ramure*Pc/MaxiM</f>
        <v>2.4049805255545021E-4</v>
      </c>
      <c r="Q166" s="304">
        <f t="shared" si="51"/>
        <v>0.5</v>
      </c>
      <c r="R166" s="176">
        <f t="shared" si="52"/>
        <v>0.25714143634824033</v>
      </c>
      <c r="S166" s="814">
        <f t="shared" si="53"/>
        <v>0</v>
      </c>
      <c r="T166" s="175">
        <f t="shared" si="54"/>
        <v>6</v>
      </c>
      <c r="U166" s="250">
        <f t="shared" si="55"/>
        <v>0.25714143634824033</v>
      </c>
      <c r="V166" s="382">
        <f t="shared" si="56"/>
        <v>57.050828779799822</v>
      </c>
      <c r="W166" s="401"/>
      <c r="X166" s="157">
        <f t="shared" si="57"/>
        <v>43982</v>
      </c>
      <c r="Y166" s="384">
        <f t="shared" si="58"/>
        <v>56.534999999999997</v>
      </c>
      <c r="Z166" s="384">
        <f t="shared" si="59"/>
        <v>57.448722630794556</v>
      </c>
      <c r="AA166" s="385">
        <f t="shared" si="60"/>
        <v>59.770373080898565</v>
      </c>
      <c r="AB166" s="196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3.8842830158708985E-2</v>
      </c>
      <c r="AD166" s="230">
        <f>(INDEX(Models!$BJ166:$BT166,,AH166)*(1-AF166)+INDEX(Models!$BJ166:$BT166,,AH166+1)*AF166-ERP_i)*AE166*Ramure*Pc/MaxiM</f>
        <v>2.4049805255545021E-4</v>
      </c>
      <c r="AE166" s="304">
        <f t="shared" si="62"/>
        <v>0.5</v>
      </c>
      <c r="AF166" s="176">
        <f t="shared" si="63"/>
        <v>0.25714143634824033</v>
      </c>
      <c r="AG166" s="814">
        <f t="shared" si="71"/>
        <v>0</v>
      </c>
      <c r="AH166" s="175">
        <f t="shared" si="64"/>
        <v>6</v>
      </c>
      <c r="AI166" s="224">
        <f t="shared" si="65"/>
        <v>0.25714143634824033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43983</v>
      </c>
      <c r="B167" s="616">
        <v>27.741</v>
      </c>
      <c r="C167" s="389"/>
      <c r="D167" s="392">
        <f t="shared" si="48"/>
        <v>28.189969418189037</v>
      </c>
      <c r="E167" s="384">
        <f t="shared" si="69"/>
        <v>29.331067613384452</v>
      </c>
      <c r="F167" s="384">
        <f t="shared" si="49"/>
        <v>29.333002327137038</v>
      </c>
      <c r="G167" s="110">
        <f t="shared" si="70"/>
        <v>0.4865265669770657</v>
      </c>
      <c r="H167" s="413" t="b">
        <f>Wh_hp&gt;='2019'!Maxi_hp</f>
        <v>0</v>
      </c>
      <c r="I167" s="379">
        <f>IF(H167,Wh_hp,'2019'!Maxi_hp)</f>
        <v>60.469553797129123</v>
      </c>
      <c r="J167" s="85">
        <f>IF(H167,An,'2019'!An_max)</f>
        <v>2019</v>
      </c>
      <c r="K167" s="196">
        <f t="shared" si="50"/>
        <v>43983</v>
      </c>
      <c r="L167" s="147">
        <f>IF(t&lt;Tvie,1-EXP((T0-t)*PertePVj)+'2019'!Pspv,1-EXP((T0-t)*PertePVj)+Pspv)</f>
        <v>1.5926566344529269E-2</v>
      </c>
      <c r="M167" s="847"/>
      <c r="N167" s="847"/>
      <c r="O167" s="48">
        <f>IF(t&lt;Tnet,'2019'!Resal+('2019'!Salim-'2019'!Resal)*(1-EXP(('2019'!Tnet-t)/('2019'!Tau_j))),Resal+(Salim-Resal)*(1-EXP((Tnet-t)/(Tau_j))))*Salcycl</f>
        <v>3.8904079804947374E-2</v>
      </c>
      <c r="P167" s="168">
        <f>(INDEX(Models!$BJ167:$BT167,,T167)*(1-R167)+INDEX(Models!$BJ167:$BT167,,T167+1)*R167-ERP_i)*Q167*Ramure*Pc/MaxiM</f>
        <v>2.47407008189821E-4</v>
      </c>
      <c r="Q167" s="304">
        <f t="shared" si="51"/>
        <v>0.5</v>
      </c>
      <c r="R167" s="176">
        <f t="shared" si="52"/>
        <v>0.26013654239688788</v>
      </c>
      <c r="S167" s="814">
        <f t="shared" si="53"/>
        <v>0</v>
      </c>
      <c r="T167" s="175">
        <f t="shared" si="54"/>
        <v>6</v>
      </c>
      <c r="U167" s="250">
        <f t="shared" si="55"/>
        <v>0.26013654239688788</v>
      </c>
      <c r="V167" s="382">
        <f t="shared" si="56"/>
        <v>57.008122357463321</v>
      </c>
      <c r="W167" s="401"/>
      <c r="X167" s="157">
        <f t="shared" si="57"/>
        <v>43983</v>
      </c>
      <c r="Y167" s="384">
        <f t="shared" si="58"/>
        <v>27.741</v>
      </c>
      <c r="Z167" s="384">
        <f t="shared" si="59"/>
        <v>28.189969418189037</v>
      </c>
      <c r="AA167" s="385">
        <f t="shared" si="60"/>
        <v>29.331067613384452</v>
      </c>
      <c r="AB167" s="196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3.8904079804947374E-2</v>
      </c>
      <c r="AD167" s="230">
        <f>(INDEX(Models!$BJ167:$BT167,,AH167)*(1-AF167)+INDEX(Models!$BJ167:$BT167,,AH167+1)*AF167-ERP_i)*AE167*Ramure*Pc/MaxiM</f>
        <v>2.47407008189821E-4</v>
      </c>
      <c r="AE167" s="304">
        <f t="shared" si="62"/>
        <v>0.5</v>
      </c>
      <c r="AF167" s="176">
        <f t="shared" si="63"/>
        <v>0.26013654239688788</v>
      </c>
      <c r="AG167" s="814">
        <f t="shared" si="71"/>
        <v>0</v>
      </c>
      <c r="AH167" s="175">
        <f t="shared" si="64"/>
        <v>6</v>
      </c>
      <c r="AI167" s="224">
        <f t="shared" si="65"/>
        <v>0.26013654239688788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43984</v>
      </c>
      <c r="B168" s="616">
        <v>54.279000000000003</v>
      </c>
      <c r="C168" s="389"/>
      <c r="D168" s="392">
        <f t="shared" si="48"/>
        <v>55.158677207463953</v>
      </c>
      <c r="E168" s="384">
        <f t="shared" si="69"/>
        <v>57.395080309350654</v>
      </c>
      <c r="F168" s="384">
        <f t="shared" si="49"/>
        <v>57.408695514870161</v>
      </c>
      <c r="G168" s="110">
        <f t="shared" si="70"/>
        <v>0.952870246462732</v>
      </c>
      <c r="H168" s="413" t="b">
        <f>Wh_hp&gt;='2019'!Maxi_hp</f>
        <v>1</v>
      </c>
      <c r="I168" s="379">
        <f>IF(H168,Wh_hp,'2019'!Maxi_hp)</f>
        <v>57.408695514870161</v>
      </c>
      <c r="J168" s="85">
        <f>IF(H168,An,'2019'!An_max)</f>
        <v>2020</v>
      </c>
      <c r="K168" s="196">
        <f t="shared" si="50"/>
        <v>43984</v>
      </c>
      <c r="L168" s="147">
        <f>IF(t&lt;Tvie,1-EXP((T0-t)*PertePVj)+'2019'!Pspv,1-EXP((T0-t)*PertePVj)+Pspv)</f>
        <v>1.5948120078284167E-2</v>
      </c>
      <c r="M168" s="847"/>
      <c r="N168" s="847"/>
      <c r="O168" s="48">
        <f>IF(t&lt;Tnet,'2019'!Resal+('2019'!Salim-'2019'!Resal)*(1-EXP(('2019'!Tnet-t)/('2019'!Tau_j))),Resal+(Salim-Resal)*(1-EXP((Tnet-t)/(Tau_j))))*Salcycl</f>
        <v>3.8965066166522122E-2</v>
      </c>
      <c r="P168" s="168">
        <f>(INDEX(Models!$BJ168:$BT168,,T168)*(1-R168)+INDEX(Models!$BJ168:$BT168,,T168+1)*R168-ERP_i)*Q168*Ramure*Pc/MaxiM</f>
        <v>2.5427685747084184E-4</v>
      </c>
      <c r="Q168" s="304">
        <f t="shared" si="51"/>
        <v>0.5</v>
      </c>
      <c r="R168" s="176">
        <f t="shared" si="52"/>
        <v>0.26315176606625101</v>
      </c>
      <c r="S168" s="814">
        <f t="shared" si="53"/>
        <v>0</v>
      </c>
      <c r="T168" s="175">
        <f t="shared" si="54"/>
        <v>6</v>
      </c>
      <c r="U168" s="250">
        <f t="shared" si="55"/>
        <v>0.26315176606625101</v>
      </c>
      <c r="V168" s="382">
        <f t="shared" si="56"/>
        <v>56.962709294189686</v>
      </c>
      <c r="W168" s="401"/>
      <c r="X168" s="157">
        <f t="shared" si="57"/>
        <v>43984</v>
      </c>
      <c r="Y168" s="384">
        <f t="shared" si="58"/>
        <v>54.279000000000003</v>
      </c>
      <c r="Z168" s="384">
        <f t="shared" si="59"/>
        <v>55.158677207463953</v>
      </c>
      <c r="AA168" s="385">
        <f t="shared" si="60"/>
        <v>57.395080309350654</v>
      </c>
      <c r="AB168" s="196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3.8965066166522122E-2</v>
      </c>
      <c r="AD168" s="230">
        <f>(INDEX(Models!$BJ168:$BT168,,AH168)*(1-AF168)+INDEX(Models!$BJ168:$BT168,,AH168+1)*AF168-ERP_i)*AE168*Ramure*Pc/MaxiM</f>
        <v>2.5427685747084184E-4</v>
      </c>
      <c r="AE168" s="304">
        <f t="shared" si="62"/>
        <v>0.5</v>
      </c>
      <c r="AF168" s="176">
        <f t="shared" si="63"/>
        <v>0.26315176606625101</v>
      </c>
      <c r="AG168" s="814">
        <f t="shared" si="71"/>
        <v>0</v>
      </c>
      <c r="AH168" s="175">
        <f t="shared" si="64"/>
        <v>6</v>
      </c>
      <c r="AI168" s="224">
        <f t="shared" si="65"/>
        <v>0.26315176606625101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43985</v>
      </c>
      <c r="B169" s="616">
        <v>25.884</v>
      </c>
      <c r="C169" s="389"/>
      <c r="D169" s="392">
        <f t="shared" si="48"/>
        <v>26.304067363304192</v>
      </c>
      <c r="E169" s="384">
        <f t="shared" si="69"/>
        <v>27.37229176599709</v>
      </c>
      <c r="F169" s="384">
        <f t="shared" si="49"/>
        <v>27.373872171323313</v>
      </c>
      <c r="G169" s="110">
        <f t="shared" si="70"/>
        <v>0.45469093730265037</v>
      </c>
      <c r="H169" s="413" t="b">
        <f>Wh_hp&gt;='2019'!Maxi_hp</f>
        <v>0</v>
      </c>
      <c r="I169" s="379">
        <f>IF(H169,Wh_hp,'2019'!Maxi_hp)</f>
        <v>56.649023658356676</v>
      </c>
      <c r="J169" s="85">
        <f>IF(H169,An,'2019'!An_max)</f>
        <v>2019</v>
      </c>
      <c r="K169" s="196">
        <f t="shared" si="50"/>
        <v>43985</v>
      </c>
      <c r="L169" s="147">
        <f>IF(t&lt;Tvie,1-EXP((T0-t)*PertePVj)+'2019'!Pspv,1-EXP((T0-t)*PertePVj)+Pspv)</f>
        <v>1.5969673339957025E-2</v>
      </c>
      <c r="M169" s="847"/>
      <c r="N169" s="847"/>
      <c r="O169" s="48">
        <f>IF(t&lt;Tnet,'2019'!Resal+('2019'!Salim-'2019'!Resal)*(1-EXP(('2019'!Tnet-t)/('2019'!Tau_j))),Resal+(Salim-Resal)*(1-EXP((Tnet-t)/(Tau_j))))*Salcycl</f>
        <v>3.9025756842906621E-2</v>
      </c>
      <c r="P169" s="168">
        <f>(INDEX(Models!$BJ169:$BT169,,T169)*(1-R169)+INDEX(Models!$BJ169:$BT169,,T169+1)*R169-ERP_i)*Q169*Ramure*Pc/MaxiM</f>
        <v>2.6109937000367455E-4</v>
      </c>
      <c r="Q169" s="304">
        <f t="shared" si="51"/>
        <v>0.5</v>
      </c>
      <c r="R169" s="176">
        <f t="shared" si="52"/>
        <v>0.2661847405840469</v>
      </c>
      <c r="S169" s="814">
        <f t="shared" si="53"/>
        <v>0</v>
      </c>
      <c r="T169" s="175">
        <f t="shared" si="54"/>
        <v>6</v>
      </c>
      <c r="U169" s="250">
        <f t="shared" si="55"/>
        <v>0.2661847405840469</v>
      </c>
      <c r="V169" s="382">
        <f t="shared" si="56"/>
        <v>56.91500240235527</v>
      </c>
      <c r="W169" s="401"/>
      <c r="X169" s="157">
        <f t="shared" si="57"/>
        <v>43985</v>
      </c>
      <c r="Y169" s="384">
        <f t="shared" si="58"/>
        <v>25.884</v>
      </c>
      <c r="Z169" s="384">
        <f t="shared" si="59"/>
        <v>26.304067363304192</v>
      </c>
      <c r="AA169" s="385">
        <f t="shared" si="60"/>
        <v>27.37229176599709</v>
      </c>
      <c r="AB169" s="196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3.9025756842906621E-2</v>
      </c>
      <c r="AD169" s="230">
        <f>(INDEX(Models!$BJ169:$BT169,,AH169)*(1-AF169)+INDEX(Models!$BJ169:$BT169,,AH169+1)*AF169-ERP_i)*AE169*Ramure*Pc/MaxiM</f>
        <v>2.6109937000367455E-4</v>
      </c>
      <c r="AE169" s="304">
        <f t="shared" si="62"/>
        <v>0.5</v>
      </c>
      <c r="AF169" s="176">
        <f t="shared" si="63"/>
        <v>0.2661847405840469</v>
      </c>
      <c r="AG169" s="814">
        <f t="shared" si="71"/>
        <v>0</v>
      </c>
      <c r="AH169" s="175">
        <f t="shared" si="64"/>
        <v>6</v>
      </c>
      <c r="AI169" s="224">
        <f t="shared" si="65"/>
        <v>0.2661847405840469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43986</v>
      </c>
      <c r="B170" s="616">
        <v>34.826999999999998</v>
      </c>
      <c r="C170" s="389"/>
      <c r="D170" s="392">
        <f t="shared" si="48"/>
        <v>35.392977100207695</v>
      </c>
      <c r="E170" s="384">
        <f t="shared" ref="E170:E232" si="72">Wh_pvt/(1-Psa)</f>
        <v>36.832621359502852</v>
      </c>
      <c r="F170" s="384">
        <f t="shared" si="49"/>
        <v>36.837023961087382</v>
      </c>
      <c r="G170" s="110">
        <f t="shared" ref="G170:G232" si="73">+Wh_hp/MaxiM</f>
        <v>0.61235521104813151</v>
      </c>
      <c r="H170" s="413" t="b">
        <f>Wh_hp&gt;='2019'!Maxi_hp</f>
        <v>1</v>
      </c>
      <c r="I170" s="379">
        <f>IF(H170,Wh_hp,'2019'!Maxi_hp)</f>
        <v>36.837023961087382</v>
      </c>
      <c r="J170" s="85">
        <f>IF(H170,An,'2019'!An_max)</f>
        <v>2020</v>
      </c>
      <c r="K170" s="196">
        <f t="shared" si="50"/>
        <v>43986</v>
      </c>
      <c r="L170" s="147">
        <f>IF(t&lt;Tvie,1-EXP((T0-t)*PertePVj)+'2019'!Pspv,1-EXP((T0-t)*PertePVj)+Pspv)</f>
        <v>1.5991226129558167E-2</v>
      </c>
      <c r="M170" s="847"/>
      <c r="N170" s="847"/>
      <c r="O170" s="48">
        <f>IF(t&lt;Tnet,'2019'!Resal+('2019'!Salim-'2019'!Resal)*(1-EXP(('2019'!Tnet-t)/('2019'!Tau_j))),Resal+(Salim-Resal)*(1-EXP((Tnet-t)/(Tau_j))))*Salcycl</f>
        <v>3.9086120025061226E-2</v>
      </c>
      <c r="P170" s="168">
        <f>(INDEX(Models!$BJ170:$BT170,,T170)*(1-R170)+INDEX(Models!$BJ170:$BT170,,T170+1)*R170-ERP_i)*Q170*Ramure*Pc/MaxiM</f>
        <v>2.6776135672914458E-4</v>
      </c>
      <c r="Q170" s="304">
        <f t="shared" si="51"/>
        <v>0.5</v>
      </c>
      <c r="R170" s="176">
        <f t="shared" si="52"/>
        <v>0.26923304110621005</v>
      </c>
      <c r="S170" s="814">
        <f t="shared" si="53"/>
        <v>0</v>
      </c>
      <c r="T170" s="175">
        <f t="shared" si="54"/>
        <v>6</v>
      </c>
      <c r="U170" s="250">
        <f t="shared" si="55"/>
        <v>0.26923304110621005</v>
      </c>
      <c r="V170" s="382">
        <f t="shared" si="56"/>
        <v>56.865420269265258</v>
      </c>
      <c r="W170" s="401"/>
      <c r="X170" s="157">
        <f t="shared" si="57"/>
        <v>43986</v>
      </c>
      <c r="Y170" s="384">
        <f t="shared" si="58"/>
        <v>34.826999999999998</v>
      </c>
      <c r="Z170" s="384">
        <f t="shared" si="59"/>
        <v>35.392977100207695</v>
      </c>
      <c r="AA170" s="385">
        <f t="shared" si="60"/>
        <v>36.832621359502852</v>
      </c>
      <c r="AB170" s="196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3.9086120025061226E-2</v>
      </c>
      <c r="AD170" s="230">
        <f>(INDEX(Models!$BJ170:$BT170,,AH170)*(1-AF170)+INDEX(Models!$BJ170:$BT170,,AH170+1)*AF170-ERP_i)*AE170*Ramure*Pc/MaxiM</f>
        <v>2.6776135672914458E-4</v>
      </c>
      <c r="AE170" s="304">
        <f t="shared" si="62"/>
        <v>0.5</v>
      </c>
      <c r="AF170" s="176">
        <f t="shared" si="63"/>
        <v>0.26923304110621005</v>
      </c>
      <c r="AG170" s="814">
        <f t="shared" si="71"/>
        <v>0</v>
      </c>
      <c r="AH170" s="175">
        <f t="shared" si="64"/>
        <v>6</v>
      </c>
      <c r="AI170" s="224">
        <f t="shared" si="65"/>
        <v>0.26923304110621005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43987</v>
      </c>
      <c r="B171" s="616">
        <v>26.782</v>
      </c>
      <c r="C171" s="389"/>
      <c r="D171" s="392">
        <f t="shared" si="48"/>
        <v>27.217833131748773</v>
      </c>
      <c r="E171" s="384">
        <f t="shared" si="72"/>
        <v>28.326714216545898</v>
      </c>
      <c r="F171" s="384">
        <f t="shared" si="49"/>
        <v>28.328616891114827</v>
      </c>
      <c r="G171" s="110">
        <f t="shared" si="73"/>
        <v>0.4712971532534565</v>
      </c>
      <c r="H171" s="413" t="b">
        <f>Wh_hp&gt;='2019'!Maxi_hp</f>
        <v>0</v>
      </c>
      <c r="I171" s="379">
        <f>IF(H171,Wh_hp,'2019'!Maxi_hp)</f>
        <v>58.308075737012821</v>
      </c>
      <c r="J171" s="85">
        <f>IF(H171,An,'2019'!An_max)</f>
        <v>2019</v>
      </c>
      <c r="K171" s="196">
        <f t="shared" si="50"/>
        <v>43987</v>
      </c>
      <c r="L171" s="147">
        <f>IF(t&lt;Tvie,1-EXP((T0-t)*PertePVj)+'2019'!Pspv,1-EXP((T0-t)*PertePVj)+Pspv)</f>
        <v>1.6012778447097809E-2</v>
      </c>
      <c r="M171" s="847"/>
      <c r="N171" s="847"/>
      <c r="O171" s="48">
        <f>IF(t&lt;Tnet,'2019'!Resal+('2019'!Salim-'2019'!Resal)*(1-EXP(('2019'!Tnet-t)/('2019'!Tau_j))),Resal+(Salim-Resal)*(1-EXP((Tnet-t)/(Tau_j))))*Salcycl</f>
        <v>3.9146124620038671E-2</v>
      </c>
      <c r="P171" s="168">
        <f>(INDEX(Models!$BJ171:$BT171,,T171)*(1-R171)+INDEX(Models!$BJ171:$BT171,,T171+1)*R171-ERP_i)*Q171*Ramure*Pc/MaxiM</f>
        <v>2.743086634885972E-4</v>
      </c>
      <c r="Q171" s="304">
        <f t="shared" si="51"/>
        <v>0.5</v>
      </c>
      <c r="R171" s="176">
        <f t="shared" si="52"/>
        <v>0.27229419223449403</v>
      </c>
      <c r="S171" s="814">
        <f t="shared" si="53"/>
        <v>0</v>
      </c>
      <c r="T171" s="175">
        <f t="shared" si="54"/>
        <v>6</v>
      </c>
      <c r="U171" s="250">
        <f t="shared" si="55"/>
        <v>0.27229419223449403</v>
      </c>
      <c r="V171" s="382">
        <f t="shared" si="56"/>
        <v>56.814372216909398</v>
      </c>
      <c r="W171" s="401"/>
      <c r="X171" s="157">
        <f t="shared" si="57"/>
        <v>43987</v>
      </c>
      <c r="Y171" s="384">
        <f t="shared" si="58"/>
        <v>26.782</v>
      </c>
      <c r="Z171" s="384">
        <f t="shared" si="59"/>
        <v>27.217833131748773</v>
      </c>
      <c r="AA171" s="385">
        <f t="shared" si="60"/>
        <v>28.326714216545898</v>
      </c>
      <c r="AB171" s="196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3.9146124620038671E-2</v>
      </c>
      <c r="AD171" s="230">
        <f>(INDEX(Models!$BJ171:$BT171,,AH171)*(1-AF171)+INDEX(Models!$BJ171:$BT171,,AH171+1)*AF171-ERP_i)*AE171*Ramure*Pc/MaxiM</f>
        <v>2.743086634885972E-4</v>
      </c>
      <c r="AE171" s="304">
        <f t="shared" si="62"/>
        <v>0.5</v>
      </c>
      <c r="AF171" s="176">
        <f t="shared" si="63"/>
        <v>0.27229419223449403</v>
      </c>
      <c r="AG171" s="814">
        <f t="shared" si="71"/>
        <v>0</v>
      </c>
      <c r="AH171" s="175">
        <f t="shared" si="64"/>
        <v>6</v>
      </c>
      <c r="AI171" s="224">
        <f t="shared" si="65"/>
        <v>0.27229419223449403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43988</v>
      </c>
      <c r="B172" s="616">
        <v>26.401</v>
      </c>
      <c r="C172" s="389"/>
      <c r="D172" s="392">
        <f t="shared" si="48"/>
        <v>26.831220654121452</v>
      </c>
      <c r="E172" s="384">
        <f t="shared" si="72"/>
        <v>27.926083430762567</v>
      </c>
      <c r="F172" s="384">
        <f t="shared" si="49"/>
        <v>27.927932775536881</v>
      </c>
      <c r="G172" s="110">
        <f t="shared" si="73"/>
        <v>0.465015511566157</v>
      </c>
      <c r="H172" s="413" t="b">
        <f>Wh_hp&gt;='2019'!Maxi_hp</f>
        <v>1</v>
      </c>
      <c r="I172" s="379">
        <f>IF(H172,Wh_hp,'2019'!Maxi_hp)</f>
        <v>27.927932775536881</v>
      </c>
      <c r="J172" s="85">
        <f>IF(H172,An,'2019'!An_max)</f>
        <v>2020</v>
      </c>
      <c r="K172" s="196">
        <f t="shared" si="50"/>
        <v>43988</v>
      </c>
      <c r="L172" s="147">
        <f>IF(t&lt;Tvie,1-EXP((T0-t)*PertePVj)+'2019'!Pspv,1-EXP((T0-t)*PertePVj)+Pspv)</f>
        <v>1.6034330292586496E-2</v>
      </c>
      <c r="M172" s="847"/>
      <c r="N172" s="847"/>
      <c r="O172" s="48">
        <f>IF(t&lt;Tnet,'2019'!Resal+('2019'!Salim-'2019'!Resal)*(1-EXP(('2019'!Tnet-t)/('2019'!Tau_j))),Resal+(Salim-Resal)*(1-EXP((Tnet-t)/(Tau_j))))*Salcycl</f>
        <v>3.9205740373712557E-2</v>
      </c>
      <c r="P172" s="168">
        <f>(INDEX(Models!$BJ172:$BT172,,T172)*(1-R172)+INDEX(Models!$BJ172:$BT172,,T172+1)*R172-ERP_i)*Q172*Ramure*Pc/MaxiM</f>
        <v>2.807306553901281E-4</v>
      </c>
      <c r="Q172" s="304">
        <f t="shared" si="51"/>
        <v>0.5</v>
      </c>
      <c r="R172" s="176">
        <f t="shared" si="52"/>
        <v>0.27536567588518962</v>
      </c>
      <c r="S172" s="814">
        <f t="shared" si="53"/>
        <v>0</v>
      </c>
      <c r="T172" s="175">
        <f t="shared" si="54"/>
        <v>6</v>
      </c>
      <c r="U172" s="250">
        <f t="shared" si="55"/>
        <v>0.27536567588518962</v>
      </c>
      <c r="V172" s="382">
        <f t="shared" si="56"/>
        <v>56.762270573855588</v>
      </c>
      <c r="W172" s="401"/>
      <c r="X172" s="157">
        <f t="shared" si="57"/>
        <v>43988</v>
      </c>
      <c r="Y172" s="384">
        <f t="shared" si="58"/>
        <v>26.401</v>
      </c>
      <c r="Z172" s="384">
        <f t="shared" si="59"/>
        <v>26.831220654121452</v>
      </c>
      <c r="AA172" s="385">
        <f t="shared" si="60"/>
        <v>27.926083430762567</v>
      </c>
      <c r="AB172" s="196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3.9205740373712557E-2</v>
      </c>
      <c r="AD172" s="230">
        <f>(INDEX(Models!$BJ172:$BT172,,AH172)*(1-AF172)+INDEX(Models!$BJ172:$BT172,,AH172+1)*AF172-ERP_i)*AE172*Ramure*Pc/MaxiM</f>
        <v>2.807306553901281E-4</v>
      </c>
      <c r="AE172" s="304">
        <f t="shared" si="62"/>
        <v>0.5</v>
      </c>
      <c r="AF172" s="176">
        <f t="shared" si="63"/>
        <v>0.27536567588518962</v>
      </c>
      <c r="AG172" s="814">
        <f t="shared" si="71"/>
        <v>0</v>
      </c>
      <c r="AH172" s="175">
        <f t="shared" si="64"/>
        <v>6</v>
      </c>
      <c r="AI172" s="224">
        <f t="shared" si="65"/>
        <v>0.27536567588518962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43989</v>
      </c>
      <c r="B173" s="616">
        <v>37.082000000000001</v>
      </c>
      <c r="C173" s="389"/>
      <c r="D173" s="392">
        <f t="shared" si="48"/>
        <v>37.687099611701534</v>
      </c>
      <c r="E173" s="384">
        <f t="shared" si="72"/>
        <v>39.22735944796846</v>
      </c>
      <c r="F173" s="384">
        <f t="shared" si="49"/>
        <v>39.233052347671908</v>
      </c>
      <c r="G173" s="110">
        <f t="shared" si="73"/>
        <v>0.65380084300754227</v>
      </c>
      <c r="H173" s="413" t="b">
        <f>Wh_hp&gt;='2019'!Maxi_hp</f>
        <v>0</v>
      </c>
      <c r="I173" s="379">
        <f>IF(H173,Wh_hp,'2019'!Maxi_hp)</f>
        <v>61.825772248847073</v>
      </c>
      <c r="J173" s="85">
        <f>IF(H173,An,'2019'!An_max)</f>
        <v>2019</v>
      </c>
      <c r="K173" s="196">
        <f t="shared" si="50"/>
        <v>43989</v>
      </c>
      <c r="L173" s="147">
        <f>IF(t&lt;Tvie,1-EXP((T0-t)*PertePVj)+'2019'!Pspv,1-EXP((T0-t)*PertePVj)+Pspv)</f>
        <v>1.6055881666034444E-2</v>
      </c>
      <c r="M173" s="847"/>
      <c r="N173" s="847"/>
      <c r="O173" s="48">
        <f>IF(t&lt;Tnet,'2019'!Resal+('2019'!Salim-'2019'!Resal)*(1-EXP(('2019'!Tnet-t)/('2019'!Tau_j))),Resal+(Salim-Resal)*(1-EXP((Tnet-t)/(Tau_j))))*Salcycl</f>
        <v>3.9264937990790387E-2</v>
      </c>
      <c r="P173" s="168">
        <f>(INDEX(Models!$BJ173:$BT173,,T173)*(1-R173)+INDEX(Models!$BJ173:$BT173,,T173+1)*R173-ERP_i)*Q173*Ramure*Pc/MaxiM</f>
        <v>2.8701639333257578E-4</v>
      </c>
      <c r="Q173" s="304">
        <f t="shared" si="51"/>
        <v>0.5</v>
      </c>
      <c r="R173" s="176">
        <f t="shared" si="52"/>
        <v>0.27844493945714954</v>
      </c>
      <c r="S173" s="814">
        <f t="shared" si="53"/>
        <v>0</v>
      </c>
      <c r="T173" s="175">
        <f t="shared" si="54"/>
        <v>6</v>
      </c>
      <c r="U173" s="250">
        <f t="shared" si="55"/>
        <v>0.27844493945714954</v>
      </c>
      <c r="V173" s="382">
        <f t="shared" si="56"/>
        <v>56.709527469819186</v>
      </c>
      <c r="W173" s="401"/>
      <c r="X173" s="157">
        <f t="shared" si="57"/>
        <v>43989</v>
      </c>
      <c r="Y173" s="384">
        <f t="shared" si="58"/>
        <v>37.082000000000001</v>
      </c>
      <c r="Z173" s="384">
        <f t="shared" si="59"/>
        <v>37.687099611701534</v>
      </c>
      <c r="AA173" s="385">
        <f t="shared" si="60"/>
        <v>39.22735944796846</v>
      </c>
      <c r="AB173" s="196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3.9264937990790387E-2</v>
      </c>
      <c r="AD173" s="230">
        <f>(INDEX(Models!$BJ173:$BT173,,AH173)*(1-AF173)+INDEX(Models!$BJ173:$BT173,,AH173+1)*AF173-ERP_i)*AE173*Ramure*Pc/MaxiM</f>
        <v>2.8701639333257578E-4</v>
      </c>
      <c r="AE173" s="304">
        <f t="shared" si="62"/>
        <v>0.5</v>
      </c>
      <c r="AF173" s="176">
        <f t="shared" si="63"/>
        <v>0.27844493945714954</v>
      </c>
      <c r="AG173" s="814">
        <f t="shared" si="71"/>
        <v>0</v>
      </c>
      <c r="AH173" s="175">
        <f t="shared" si="64"/>
        <v>6</v>
      </c>
      <c r="AI173" s="224">
        <f t="shared" si="65"/>
        <v>0.27844493945714954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43990</v>
      </c>
      <c r="B174" s="616">
        <v>44.148000000000003</v>
      </c>
      <c r="C174" s="389"/>
      <c r="D174" s="392">
        <f t="shared" si="48"/>
        <v>44.869384503701333</v>
      </c>
      <c r="E174" s="384">
        <f t="shared" si="72"/>
        <v>46.706038237511486</v>
      </c>
      <c r="F174" s="384">
        <f t="shared" si="49"/>
        <v>46.715413753686668</v>
      </c>
      <c r="G174" s="110">
        <f t="shared" si="73"/>
        <v>0.77914933891565941</v>
      </c>
      <c r="H174" s="413" t="b">
        <f>Wh_hp&gt;='2019'!Maxi_hp</f>
        <v>0</v>
      </c>
      <c r="I174" s="379">
        <f>IF(H174,Wh_hp,'2019'!Maxi_hp)</f>
        <v>51.829310106828679</v>
      </c>
      <c r="J174" s="85">
        <f>IF(H174,An,'2019'!An_max)</f>
        <v>2019</v>
      </c>
      <c r="K174" s="196">
        <f t="shared" si="50"/>
        <v>43990</v>
      </c>
      <c r="L174" s="147">
        <f>IF(t&lt;Tvie,1-EXP((T0-t)*PertePVj)+'2019'!Pspv,1-EXP((T0-t)*PertePVj)+Pspv)</f>
        <v>1.6077432567451977E-2</v>
      </c>
      <c r="M174" s="847"/>
      <c r="N174" s="847"/>
      <c r="O174" s="48">
        <f>IF(t&lt;Tnet,'2019'!Resal+('2019'!Salim-'2019'!Resal)*(1-EXP(('2019'!Tnet-t)/('2019'!Tau_j))),Resal+(Salim-Resal)*(1-EXP((Tnet-t)/(Tau_j))))*Salcycl</f>
        <v>3.9323689251276835E-2</v>
      </c>
      <c r="P174" s="168">
        <f>(INDEX(Models!$BJ174:$BT174,,T174)*(1-R174)+INDEX(Models!$BJ174:$BT174,,T174+1)*R174-ERP_i)*Q174*Ramure*Pc/MaxiM</f>
        <v>2.9315467456371717E-4</v>
      </c>
      <c r="Q174" s="304">
        <f t="shared" si="51"/>
        <v>0.5</v>
      </c>
      <c r="R174" s="176">
        <f t="shared" si="52"/>
        <v>0.28152940424373307</v>
      </c>
      <c r="S174" s="814">
        <f t="shared" si="53"/>
        <v>0</v>
      </c>
      <c r="T174" s="175">
        <f t="shared" si="54"/>
        <v>6</v>
      </c>
      <c r="U174" s="250">
        <f t="shared" si="55"/>
        <v>0.28152940424373307</v>
      </c>
      <c r="V174" s="382">
        <f t="shared" si="56"/>
        <v>56.656554827351094</v>
      </c>
      <c r="W174" s="401"/>
      <c r="X174" s="157">
        <f t="shared" si="57"/>
        <v>43990</v>
      </c>
      <c r="Y174" s="384">
        <f t="shared" si="58"/>
        <v>44.148000000000003</v>
      </c>
      <c r="Z174" s="384">
        <f t="shared" si="59"/>
        <v>44.869384503701333</v>
      </c>
      <c r="AA174" s="385">
        <f t="shared" si="60"/>
        <v>46.706038237511486</v>
      </c>
      <c r="AB174" s="196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3.9323689251276835E-2</v>
      </c>
      <c r="AD174" s="230">
        <f>(INDEX(Models!$BJ174:$BT174,,AH174)*(1-AF174)+INDEX(Models!$BJ174:$BT174,,AH174+1)*AF174-ERP_i)*AE174*Ramure*Pc/MaxiM</f>
        <v>2.9315467456371717E-4</v>
      </c>
      <c r="AE174" s="304">
        <f t="shared" si="62"/>
        <v>0.5</v>
      </c>
      <c r="AF174" s="176">
        <f t="shared" si="63"/>
        <v>0.28152940424373307</v>
      </c>
      <c r="AG174" s="814">
        <f t="shared" si="71"/>
        <v>0</v>
      </c>
      <c r="AH174" s="175">
        <f t="shared" si="64"/>
        <v>6</v>
      </c>
      <c r="AI174" s="224">
        <f t="shared" si="65"/>
        <v>0.28152940424373307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43991</v>
      </c>
      <c r="B175" s="616">
        <v>21.617000000000001</v>
      </c>
      <c r="C175" s="389"/>
      <c r="D175" s="392">
        <f t="shared" si="48"/>
        <v>21.970706022688034</v>
      </c>
      <c r="E175" s="384">
        <f t="shared" si="72"/>
        <v>22.871427842008149</v>
      </c>
      <c r="F175" s="384">
        <f t="shared" si="49"/>
        <v>22.872228343832059</v>
      </c>
      <c r="G175" s="110">
        <f t="shared" si="73"/>
        <v>0.3817995187258455</v>
      </c>
      <c r="H175" s="413" t="b">
        <f>Wh_hp&gt;='2019'!Maxi_hp</f>
        <v>0</v>
      </c>
      <c r="I175" s="379">
        <f>IF(H175,Wh_hp,'2019'!Maxi_hp)</f>
        <v>24.786316169912393</v>
      </c>
      <c r="J175" s="85">
        <f>IF(H175,An,'2019'!An_max)</f>
        <v>2019</v>
      </c>
      <c r="K175" s="196">
        <f t="shared" si="50"/>
        <v>43991</v>
      </c>
      <c r="L175" s="147">
        <f>IF(t&lt;Tvie,1-EXP((T0-t)*PertePVj)+'2019'!Pspv,1-EXP((T0-t)*PertePVj)+Pspv)</f>
        <v>1.609898299684942E-2</v>
      </c>
      <c r="M175" s="847"/>
      <c r="N175" s="847"/>
      <c r="O175" s="48">
        <f>IF(t&lt;Tnet,'2019'!Resal+('2019'!Salim-'2019'!Resal)*(1-EXP(('2019'!Tnet-t)/('2019'!Tau_j))),Resal+(Salim-Resal)*(1-EXP((Tnet-t)/(Tau_j))))*Salcycl</f>
        <v>3.9381967122566523E-2</v>
      </c>
      <c r="P175" s="168">
        <f>(INDEX(Models!$BJ175:$BT175,,T175)*(1-R175)+INDEX(Models!$BJ175:$BT175,,T175+1)*R175-ERP_i)*Q175*Ramure*Pc/MaxiM</f>
        <v>2.9913407560336119E-4</v>
      </c>
      <c r="Q175" s="304">
        <f t="shared" si="51"/>
        <v>0.5</v>
      </c>
      <c r="R175" s="176">
        <f t="shared" si="52"/>
        <v>0.28461647403033996</v>
      </c>
      <c r="S175" s="814">
        <f t="shared" si="53"/>
        <v>0</v>
      </c>
      <c r="T175" s="175">
        <f t="shared" si="54"/>
        <v>6</v>
      </c>
      <c r="U175" s="250">
        <f t="shared" si="55"/>
        <v>0.28461647403033996</v>
      </c>
      <c r="V175" s="382">
        <f t="shared" si="56"/>
        <v>56.603764355790076</v>
      </c>
      <c r="W175" s="401"/>
      <c r="X175" s="157">
        <f t="shared" si="57"/>
        <v>43991</v>
      </c>
      <c r="Y175" s="384">
        <f t="shared" si="58"/>
        <v>21.617000000000001</v>
      </c>
      <c r="Z175" s="384">
        <f t="shared" si="59"/>
        <v>21.970706022688034</v>
      </c>
      <c r="AA175" s="385">
        <f t="shared" si="60"/>
        <v>22.871427842008149</v>
      </c>
      <c r="AB175" s="196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3.9381967122566523E-2</v>
      </c>
      <c r="AD175" s="230">
        <f>(INDEX(Models!$BJ175:$BT175,,AH175)*(1-AF175)+INDEX(Models!$BJ175:$BT175,,AH175+1)*AF175-ERP_i)*AE175*Ramure*Pc/MaxiM</f>
        <v>2.9913407560336119E-4</v>
      </c>
      <c r="AE175" s="304">
        <f t="shared" si="62"/>
        <v>0.5</v>
      </c>
      <c r="AF175" s="176">
        <f t="shared" si="63"/>
        <v>0.28461647403033996</v>
      </c>
      <c r="AG175" s="814">
        <f t="shared" si="71"/>
        <v>0</v>
      </c>
      <c r="AH175" s="175">
        <f t="shared" si="64"/>
        <v>6</v>
      </c>
      <c r="AI175" s="224">
        <f t="shared" si="65"/>
        <v>0.28461647403033996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43992</v>
      </c>
      <c r="B176" s="616">
        <v>44.768999999999998</v>
      </c>
      <c r="C176" s="389"/>
      <c r="D176" s="392">
        <f t="shared" si="48"/>
        <v>45.502524953005931</v>
      </c>
      <c r="E176" s="384">
        <f t="shared" si="72"/>
        <v>47.370817975439081</v>
      </c>
      <c r="F176" s="384">
        <f t="shared" si="49"/>
        <v>47.380965960563586</v>
      </c>
      <c r="G176" s="110">
        <f t="shared" si="73"/>
        <v>0.79157727428675706</v>
      </c>
      <c r="H176" s="413" t="b">
        <f>Wh_hp&gt;='2019'!Maxi_hp</f>
        <v>1</v>
      </c>
      <c r="I176" s="379">
        <f>IF(H176,Wh_hp,'2019'!Maxi_hp)</f>
        <v>47.380965960563586</v>
      </c>
      <c r="J176" s="85">
        <f>IF(H176,An,'2019'!An_max)</f>
        <v>2020</v>
      </c>
      <c r="K176" s="196">
        <f t="shared" si="50"/>
        <v>43992</v>
      </c>
      <c r="L176" s="147">
        <f>IF(t&lt;Tvie,1-EXP((T0-t)*PertePVj)+'2019'!Pspv,1-EXP((T0-t)*PertePVj)+Pspv)</f>
        <v>1.612053295423721E-2</v>
      </c>
      <c r="M176" s="847"/>
      <c r="N176" s="847"/>
      <c r="O176" s="48">
        <f>IF(t&lt;Tnet,'2019'!Resal+('2019'!Salim-'2019'!Resal)*(1-EXP(('2019'!Tnet-t)/('2019'!Tau_j))),Resal+(Salim-Resal)*(1-EXP((Tnet-t)/(Tau_j))))*Salcycl</f>
        <v>3.9439745866364923E-2</v>
      </c>
      <c r="P176" s="168">
        <f>(INDEX(Models!$BJ176:$BT176,,T176)*(1-R176)+INDEX(Models!$BJ176:$BT176,,T176+1)*R176-ERP_i)*Q176*Ramure*Pc/MaxiM</f>
        <v>3.0494299732982918E-4</v>
      </c>
      <c r="Q176" s="304">
        <f t="shared" si="51"/>
        <v>0.5</v>
      </c>
      <c r="R176" s="176">
        <f t="shared" si="52"/>
        <v>0.28770354381694685</v>
      </c>
      <c r="S176" s="814">
        <f t="shared" si="53"/>
        <v>0</v>
      </c>
      <c r="T176" s="175">
        <f t="shared" si="54"/>
        <v>6</v>
      </c>
      <c r="U176" s="250">
        <f t="shared" si="55"/>
        <v>0.28770354381694685</v>
      </c>
      <c r="V176" s="382">
        <f t="shared" si="56"/>
        <v>56.55156754585164</v>
      </c>
      <c r="W176" s="401"/>
      <c r="X176" s="157">
        <f t="shared" si="57"/>
        <v>43992</v>
      </c>
      <c r="Y176" s="384">
        <f t="shared" si="58"/>
        <v>44.768999999999998</v>
      </c>
      <c r="Z176" s="384">
        <f t="shared" si="59"/>
        <v>45.502524953005931</v>
      </c>
      <c r="AA176" s="385">
        <f t="shared" si="60"/>
        <v>47.370817975439081</v>
      </c>
      <c r="AB176" s="196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3.9439745866364923E-2</v>
      </c>
      <c r="AD176" s="230">
        <f>(INDEX(Models!$BJ176:$BT176,,AH176)*(1-AF176)+INDEX(Models!$BJ176:$BT176,,AH176+1)*AF176-ERP_i)*AE176*Ramure*Pc/MaxiM</f>
        <v>3.0494299732982918E-4</v>
      </c>
      <c r="AE176" s="304">
        <f t="shared" si="62"/>
        <v>0.5</v>
      </c>
      <c r="AF176" s="176">
        <f t="shared" si="63"/>
        <v>0.28770354381694685</v>
      </c>
      <c r="AG176" s="814">
        <f t="shared" si="71"/>
        <v>0</v>
      </c>
      <c r="AH176" s="175">
        <f t="shared" si="64"/>
        <v>6</v>
      </c>
      <c r="AI176" s="224">
        <f t="shared" si="65"/>
        <v>0.28770354381694685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43993</v>
      </c>
      <c r="B177" s="616">
        <v>29.074000000000002</v>
      </c>
      <c r="C177" s="389"/>
      <c r="D177" s="392">
        <f t="shared" si="48"/>
        <v>29.551014918997058</v>
      </c>
      <c r="E177" s="384">
        <f t="shared" si="72"/>
        <v>30.766187043726223</v>
      </c>
      <c r="F177" s="384">
        <f t="shared" si="49"/>
        <v>30.769116542913075</v>
      </c>
      <c r="G177" s="110">
        <f t="shared" si="73"/>
        <v>0.51447913859044492</v>
      </c>
      <c r="H177" s="413" t="b">
        <f>Wh_hp&gt;='2019'!Maxi_hp</f>
        <v>0</v>
      </c>
      <c r="I177" s="379">
        <f>IF(H177,Wh_hp,'2019'!Maxi_hp)</f>
        <v>57.291729611874956</v>
      </c>
      <c r="J177" s="85">
        <f>IF(H177,An,'2019'!An_max)</f>
        <v>2019</v>
      </c>
      <c r="K177" s="196">
        <f t="shared" si="50"/>
        <v>43993</v>
      </c>
      <c r="L177" s="147">
        <f>IF(t&lt;Tvie,1-EXP((T0-t)*PertePVj)+'2019'!Pspv,1-EXP((T0-t)*PertePVj)+Pspv)</f>
        <v>1.614208243962556E-2</v>
      </c>
      <c r="M177" s="847"/>
      <c r="N177" s="847"/>
      <c r="O177" s="48">
        <f>IF(t&lt;Tnet,'2019'!Resal+('2019'!Salim-'2019'!Resal)*(1-EXP(('2019'!Tnet-t)/('2019'!Tau_j))),Resal+(Salim-Resal)*(1-EXP((Tnet-t)/(Tau_j))))*Salcycl</f>
        <v>3.9497001139663847E-2</v>
      </c>
      <c r="P177" s="168">
        <f>(INDEX(Models!$BJ177:$BT177,,T177)*(1-R177)+INDEX(Models!$BJ177:$BT177,,T177+1)*R177-ERP_i)*Q177*Ramure*Pc/MaxiM</f>
        <v>3.1057533830721249E-4</v>
      </c>
      <c r="Q177" s="304">
        <f t="shared" si="51"/>
        <v>0.5</v>
      </c>
      <c r="R177" s="176">
        <f t="shared" si="52"/>
        <v>0.29078800860353038</v>
      </c>
      <c r="S177" s="814">
        <f t="shared" si="53"/>
        <v>0</v>
      </c>
      <c r="T177" s="175">
        <f t="shared" si="54"/>
        <v>6</v>
      </c>
      <c r="U177" s="250">
        <f t="shared" si="55"/>
        <v>0.29078800860353038</v>
      </c>
      <c r="V177" s="382">
        <f t="shared" si="56"/>
        <v>56.499351800238934</v>
      </c>
      <c r="W177" s="401"/>
      <c r="X177" s="157">
        <f t="shared" si="57"/>
        <v>43993</v>
      </c>
      <c r="Y177" s="384">
        <f t="shared" si="58"/>
        <v>29.074000000000002</v>
      </c>
      <c r="Z177" s="384">
        <f t="shared" si="59"/>
        <v>29.551014918997058</v>
      </c>
      <c r="AA177" s="385">
        <f t="shared" si="60"/>
        <v>30.766187043726223</v>
      </c>
      <c r="AB177" s="196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3.9497001139663847E-2</v>
      </c>
      <c r="AD177" s="230">
        <f>(INDEX(Models!$BJ177:$BT177,,AH177)*(1-AF177)+INDEX(Models!$BJ177:$BT177,,AH177+1)*AF177-ERP_i)*AE177*Ramure*Pc/MaxiM</f>
        <v>3.1057533830721249E-4</v>
      </c>
      <c r="AE177" s="304">
        <f t="shared" si="62"/>
        <v>0.5</v>
      </c>
      <c r="AF177" s="176">
        <f t="shared" si="63"/>
        <v>0.29078800860353038</v>
      </c>
      <c r="AG177" s="814">
        <f t="shared" si="71"/>
        <v>0</v>
      </c>
      <c r="AH177" s="175">
        <f t="shared" si="64"/>
        <v>6</v>
      </c>
      <c r="AI177" s="224">
        <f t="shared" si="65"/>
        <v>0.29078800860353038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43994</v>
      </c>
      <c r="B178" s="616">
        <v>47.328000000000003</v>
      </c>
      <c r="C178" s="389"/>
      <c r="D178" s="392">
        <f t="shared" si="48"/>
        <v>48.105560551597193</v>
      </c>
      <c r="E178" s="384">
        <f t="shared" si="72"/>
        <v>50.08667434808514</v>
      </c>
      <c r="F178" s="384">
        <f t="shared" si="49"/>
        <v>50.098848669964802</v>
      </c>
      <c r="G178" s="110">
        <f t="shared" si="73"/>
        <v>0.83840040115492265</v>
      </c>
      <c r="H178" s="413" t="b">
        <f>Wh_hp&gt;='2019'!Maxi_hp</f>
        <v>0</v>
      </c>
      <c r="I178" s="379">
        <f>IF(H178,Wh_hp,'2019'!Maxi_hp)</f>
        <v>61.075275136442549</v>
      </c>
      <c r="J178" s="85">
        <f>IF(H178,An,'2019'!An_max)</f>
        <v>2019</v>
      </c>
      <c r="K178" s="196">
        <f t="shared" si="50"/>
        <v>43994</v>
      </c>
      <c r="L178" s="147">
        <f>IF(t&lt;Tvie,1-EXP((T0-t)*PertePVj)+'2019'!Pspv,1-EXP((T0-t)*PertePVj)+Pspv)</f>
        <v>1.6163631453024907E-2</v>
      </c>
      <c r="M178" s="847"/>
      <c r="N178" s="847"/>
      <c r="O178" s="48">
        <f>IF(t&lt;Tnet,'2019'!Resal+('2019'!Salim-'2019'!Resal)*(1-EXP(('2019'!Tnet-t)/('2019'!Tau_j))),Resal+(Salim-Resal)*(1-EXP((Tnet-t)/(Tau_j))))*Salcycl</f>
        <v>3.9553710089032607E-2</v>
      </c>
      <c r="P178" s="168">
        <f>(INDEX(Models!$BJ178:$BT178,,T178)*(1-R178)+INDEX(Models!$BJ178:$BT178,,T178+1)*R178-ERP_i)*Q178*Ramure*Pc/MaxiM</f>
        <v>3.1590782579219974E-4</v>
      </c>
      <c r="Q178" s="304">
        <f t="shared" si="51"/>
        <v>0.5</v>
      </c>
      <c r="R178" s="176">
        <f t="shared" si="52"/>
        <v>0.29386727217549036</v>
      </c>
      <c r="S178" s="814">
        <f t="shared" si="53"/>
        <v>0</v>
      </c>
      <c r="T178" s="175">
        <f t="shared" si="54"/>
        <v>6</v>
      </c>
      <c r="U178" s="250">
        <f t="shared" si="55"/>
        <v>0.29386727217549036</v>
      </c>
      <c r="V178" s="382">
        <f t="shared" si="56"/>
        <v>56.44623833618445</v>
      </c>
      <c r="W178" s="401"/>
      <c r="X178" s="157">
        <f t="shared" si="57"/>
        <v>43994</v>
      </c>
      <c r="Y178" s="384">
        <f t="shared" si="58"/>
        <v>47.328000000000003</v>
      </c>
      <c r="Z178" s="384">
        <f t="shared" si="59"/>
        <v>48.105560551597193</v>
      </c>
      <c r="AA178" s="385">
        <f t="shared" si="60"/>
        <v>50.08667434808514</v>
      </c>
      <c r="AB178" s="196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3.9553710089032607E-2</v>
      </c>
      <c r="AD178" s="230">
        <f>(INDEX(Models!$BJ178:$BT178,,AH178)*(1-AF178)+INDEX(Models!$BJ178:$BT178,,AH178+1)*AF178-ERP_i)*AE178*Ramure*Pc/MaxiM</f>
        <v>3.1590782579219974E-4</v>
      </c>
      <c r="AE178" s="304">
        <f t="shared" si="62"/>
        <v>0.5</v>
      </c>
      <c r="AF178" s="176">
        <f t="shared" si="63"/>
        <v>0.29386727217549036</v>
      </c>
      <c r="AG178" s="814">
        <f t="shared" si="71"/>
        <v>0</v>
      </c>
      <c r="AH178" s="175">
        <f t="shared" si="64"/>
        <v>6</v>
      </c>
      <c r="AI178" s="224">
        <f t="shared" si="65"/>
        <v>0.29386727217549036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43995</v>
      </c>
      <c r="B179" s="616">
        <v>41.143000000000001</v>
      </c>
      <c r="C179" s="389"/>
      <c r="D179" s="392">
        <f t="shared" si="48"/>
        <v>41.819861993711086</v>
      </c>
      <c r="E179" s="384">
        <f t="shared" si="72"/>
        <v>43.544659486884321</v>
      </c>
      <c r="F179" s="384">
        <f t="shared" si="49"/>
        <v>43.553240044229796</v>
      </c>
      <c r="G179" s="110">
        <f t="shared" si="73"/>
        <v>0.72949591339074438</v>
      </c>
      <c r="H179" s="413" t="b">
        <f>Wh_hp&gt;='2019'!Maxi_hp</f>
        <v>1</v>
      </c>
      <c r="I179" s="379">
        <f>IF(H179,Wh_hp,'2019'!Maxi_hp)</f>
        <v>43.553240044229796</v>
      </c>
      <c r="J179" s="85">
        <f>IF(H179,An,'2019'!An_max)</f>
        <v>2020</v>
      </c>
      <c r="K179" s="196">
        <f t="shared" si="50"/>
        <v>43995</v>
      </c>
      <c r="L179" s="147">
        <f>IF(t&lt;Tvie,1-EXP((T0-t)*PertePVj)+'2019'!Pspv,1-EXP((T0-t)*PertePVj)+Pspv)</f>
        <v>1.6185179994445575E-2</v>
      </c>
      <c r="M179" s="847"/>
      <c r="N179" s="847"/>
      <c r="O179" s="48">
        <f>IF(t&lt;Tnet,'2019'!Resal+('2019'!Salim-'2019'!Resal)*(1-EXP(('2019'!Tnet-t)/('2019'!Tau_j))),Resal+(Salim-Resal)*(1-EXP((Tnet-t)/(Tau_j))))*Salcycl</f>
        <v>3.9609851437527994E-2</v>
      </c>
      <c r="P179" s="168">
        <f>(INDEX(Models!$BJ179:$BT179,,T179)*(1-R179)+INDEX(Models!$BJ179:$BT179,,T179+1)*R179-ERP_i)*Q179*Ramure*Pc/MaxiM</f>
        <v>3.210277202210545E-4</v>
      </c>
      <c r="Q179" s="304">
        <f t="shared" si="51"/>
        <v>0.5</v>
      </c>
      <c r="R179" s="176">
        <f t="shared" si="52"/>
        <v>0.2969387558261859</v>
      </c>
      <c r="S179" s="814">
        <f t="shared" si="53"/>
        <v>0</v>
      </c>
      <c r="T179" s="175">
        <f t="shared" si="54"/>
        <v>6</v>
      </c>
      <c r="U179" s="250">
        <f t="shared" si="55"/>
        <v>0.2969387558261859</v>
      </c>
      <c r="V179" s="382">
        <f t="shared" si="56"/>
        <v>56.392223595106536</v>
      </c>
      <c r="W179" s="401"/>
      <c r="X179" s="157">
        <f t="shared" si="57"/>
        <v>43995</v>
      </c>
      <c r="Y179" s="384">
        <f t="shared" si="58"/>
        <v>41.143000000000001</v>
      </c>
      <c r="Z179" s="384">
        <f t="shared" si="59"/>
        <v>41.819861993711086</v>
      </c>
      <c r="AA179" s="385">
        <f t="shared" si="60"/>
        <v>43.544659486884321</v>
      </c>
      <c r="AB179" s="196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3.9609851437527994E-2</v>
      </c>
      <c r="AD179" s="230">
        <f>(INDEX(Models!$BJ179:$BT179,,AH179)*(1-AF179)+INDEX(Models!$BJ179:$BT179,,AH179+1)*AF179-ERP_i)*AE179*Ramure*Pc/MaxiM</f>
        <v>3.210277202210545E-4</v>
      </c>
      <c r="AE179" s="304">
        <f t="shared" si="62"/>
        <v>0.5</v>
      </c>
      <c r="AF179" s="176">
        <f t="shared" si="63"/>
        <v>0.2969387558261859</v>
      </c>
      <c r="AG179" s="814">
        <f t="shared" si="71"/>
        <v>0</v>
      </c>
      <c r="AH179" s="175">
        <f t="shared" si="64"/>
        <v>6</v>
      </c>
      <c r="AI179" s="224">
        <f t="shared" si="65"/>
        <v>0.2969387558261859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43996</v>
      </c>
      <c r="B180" s="616">
        <v>45.320999999999998</v>
      </c>
      <c r="C180" s="389"/>
      <c r="D180" s="392">
        <f t="shared" si="48"/>
        <v>46.067605149208241</v>
      </c>
      <c r="E180" s="384">
        <f t="shared" si="72"/>
        <v>47.970369302631546</v>
      </c>
      <c r="F180" s="384">
        <f t="shared" si="49"/>
        <v>47.981639219441973</v>
      </c>
      <c r="G180" s="110">
        <f t="shared" si="73"/>
        <v>0.804384753948994</v>
      </c>
      <c r="H180" s="413" t="b">
        <f>Wh_hp&gt;='2019'!Maxi_hp</f>
        <v>1</v>
      </c>
      <c r="I180" s="379">
        <f>IF(H180,Wh_hp,'2019'!Maxi_hp)</f>
        <v>47.981639219441973</v>
      </c>
      <c r="J180" s="85">
        <f>IF(H180,An,'2019'!An_max)</f>
        <v>2020</v>
      </c>
      <c r="K180" s="196">
        <f t="shared" si="50"/>
        <v>43996</v>
      </c>
      <c r="L180" s="147">
        <f>IF(t&lt;Tvie,1-EXP((T0-t)*PertePVj)+'2019'!Pspv,1-EXP((T0-t)*PertePVj)+Pspv)</f>
        <v>1.6206728063897891E-2</v>
      </c>
      <c r="M180" s="847"/>
      <c r="N180" s="847"/>
      <c r="O180" s="48">
        <f>IF(t&lt;Tnet,'2019'!Resal+('2019'!Salim-'2019'!Resal)*(1-EXP(('2019'!Tnet-t)/('2019'!Tau_j))),Resal+(Salim-Resal)*(1-EXP((Tnet-t)/(Tau_j))))*Salcycl</f>
        <v>3.9665405563574119E-2</v>
      </c>
      <c r="P180" s="168">
        <f>(INDEX(Models!$BJ180:$BT180,,T180)*(1-R180)+INDEX(Models!$BJ180:$BT180,,T180+1)*R180-ERP_i)*Q180*Ramure*Pc/MaxiM</f>
        <v>3.2592572765678066E-4</v>
      </c>
      <c r="Q180" s="304">
        <f t="shared" si="51"/>
        <v>0.5</v>
      </c>
      <c r="R180" s="176">
        <f t="shared" si="52"/>
        <v>0.29999990695446987</v>
      </c>
      <c r="S180" s="814">
        <f t="shared" si="53"/>
        <v>0</v>
      </c>
      <c r="T180" s="175">
        <f t="shared" si="54"/>
        <v>6</v>
      </c>
      <c r="U180" s="250">
        <f t="shared" si="55"/>
        <v>0.29999990695446987</v>
      </c>
      <c r="V180" s="382">
        <f t="shared" si="56"/>
        <v>56.337309371752077</v>
      </c>
      <c r="W180" s="401"/>
      <c r="X180" s="157">
        <f t="shared" si="57"/>
        <v>43996</v>
      </c>
      <c r="Y180" s="384">
        <f t="shared" si="58"/>
        <v>45.320999999999998</v>
      </c>
      <c r="Z180" s="384">
        <f t="shared" si="59"/>
        <v>46.067605149208241</v>
      </c>
      <c r="AA180" s="385">
        <f t="shared" si="60"/>
        <v>47.970369302631546</v>
      </c>
      <c r="AB180" s="196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3.9665405563574119E-2</v>
      </c>
      <c r="AD180" s="230">
        <f>(INDEX(Models!$BJ180:$BT180,,AH180)*(1-AF180)+INDEX(Models!$BJ180:$BT180,,AH180+1)*AF180-ERP_i)*AE180*Ramure*Pc/MaxiM</f>
        <v>3.2592572765678066E-4</v>
      </c>
      <c r="AE180" s="304">
        <f t="shared" si="62"/>
        <v>0.5</v>
      </c>
      <c r="AF180" s="176">
        <f t="shared" si="63"/>
        <v>0.29999990695446987</v>
      </c>
      <c r="AG180" s="814">
        <f t="shared" si="71"/>
        <v>0</v>
      </c>
      <c r="AH180" s="175">
        <f t="shared" si="64"/>
        <v>6</v>
      </c>
      <c r="AI180" s="224">
        <f t="shared" si="65"/>
        <v>0.29999990695446987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43997</v>
      </c>
      <c r="B181" s="616">
        <v>41.878999999999998</v>
      </c>
      <c r="C181" s="389"/>
      <c r="D181" s="392">
        <f t="shared" si="48"/>
        <v>42.569835017524369</v>
      </c>
      <c r="E181" s="384">
        <f t="shared" si="72"/>
        <v>44.330664739349132</v>
      </c>
      <c r="F181" s="384">
        <f t="shared" si="49"/>
        <v>44.339964468148175</v>
      </c>
      <c r="G181" s="110">
        <f t="shared" si="73"/>
        <v>0.74400894784606997</v>
      </c>
      <c r="H181" s="413" t="b">
        <f>Wh_hp&gt;='2019'!Maxi_hp</f>
        <v>0</v>
      </c>
      <c r="I181" s="379">
        <f>IF(H181,Wh_hp,'2019'!Maxi_hp)</f>
        <v>60.496565061953568</v>
      </c>
      <c r="J181" s="85">
        <f>IF(H181,An,'2019'!An_max)</f>
        <v>2019</v>
      </c>
      <c r="K181" s="196">
        <f t="shared" si="50"/>
        <v>43997</v>
      </c>
      <c r="L181" s="147">
        <f>IF(t&lt;Tvie,1-EXP((T0-t)*PertePVj)+'2019'!Pspv,1-EXP((T0-t)*PertePVj)+Pspv)</f>
        <v>1.6228275661392177E-2</v>
      </c>
      <c r="M181" s="847"/>
      <c r="N181" s="847"/>
      <c r="O181" s="48">
        <f>IF(t&lt;Tnet,'2019'!Resal+('2019'!Salim-'2019'!Resal)*(1-EXP(('2019'!Tnet-t)/('2019'!Tau_j))),Resal+(Salim-Resal)*(1-EXP((Tnet-t)/(Tau_j))))*Salcycl</f>
        <v>3.9720354571218461E-2</v>
      </c>
      <c r="P181" s="168">
        <f>(INDEX(Models!$BJ181:$BT181,,T181)*(1-R181)+INDEX(Models!$BJ181:$BT181,,T181+1)*R181-ERP_i)*Q181*Ramure*Pc/MaxiM</f>
        <v>3.3059272331367447E-4</v>
      </c>
      <c r="Q181" s="304">
        <f t="shared" si="51"/>
        <v>0.5</v>
      </c>
      <c r="R181" s="176">
        <f t="shared" si="52"/>
        <v>0.30304820747663308</v>
      </c>
      <c r="S181" s="814">
        <f t="shared" si="53"/>
        <v>0</v>
      </c>
      <c r="T181" s="175">
        <f t="shared" si="54"/>
        <v>6</v>
      </c>
      <c r="U181" s="250">
        <f t="shared" si="55"/>
        <v>0.30304820747663308</v>
      </c>
      <c r="V181" s="382">
        <f t="shared" si="56"/>
        <v>56.281497340081842</v>
      </c>
      <c r="W181" s="401"/>
      <c r="X181" s="157">
        <f t="shared" si="57"/>
        <v>43997</v>
      </c>
      <c r="Y181" s="384">
        <f t="shared" si="58"/>
        <v>41.878999999999998</v>
      </c>
      <c r="Z181" s="384">
        <f t="shared" si="59"/>
        <v>42.569835017524369</v>
      </c>
      <c r="AA181" s="385">
        <f t="shared" si="60"/>
        <v>44.330664739349132</v>
      </c>
      <c r="AB181" s="196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3.9720354571218461E-2</v>
      </c>
      <c r="AD181" s="230">
        <f>(INDEX(Models!$BJ181:$BT181,,AH181)*(1-AF181)+INDEX(Models!$BJ181:$BT181,,AH181+1)*AF181-ERP_i)*AE181*Ramure*Pc/MaxiM</f>
        <v>3.3059272331367447E-4</v>
      </c>
      <c r="AE181" s="304">
        <f t="shared" si="62"/>
        <v>0.5</v>
      </c>
      <c r="AF181" s="176">
        <f t="shared" si="63"/>
        <v>0.30304820747663308</v>
      </c>
      <c r="AG181" s="814">
        <f t="shared" si="71"/>
        <v>0</v>
      </c>
      <c r="AH181" s="175">
        <f t="shared" si="64"/>
        <v>6</v>
      </c>
      <c r="AI181" s="224">
        <f t="shared" si="65"/>
        <v>0.30304820747663308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43998</v>
      </c>
      <c r="B182" s="616">
        <v>31.344999999999999</v>
      </c>
      <c r="C182" s="389"/>
      <c r="D182" s="392">
        <f t="shared" si="48"/>
        <v>31.862764272937234</v>
      </c>
      <c r="E182" s="384">
        <f t="shared" si="72"/>
        <v>33.182591301546978</v>
      </c>
      <c r="F182" s="384">
        <f t="shared" si="49"/>
        <v>33.186681118517114</v>
      </c>
      <c r="G182" s="110">
        <f t="shared" si="73"/>
        <v>0.55737622803759146</v>
      </c>
      <c r="H182" s="413" t="b">
        <f>Wh_hp&gt;='2019'!Maxi_hp</f>
        <v>0</v>
      </c>
      <c r="I182" s="379">
        <f>IF(H182,Wh_hp,'2019'!Maxi_hp)</f>
        <v>59.643028752560177</v>
      </c>
      <c r="J182" s="85">
        <f>IF(H182,An,'2019'!An_max)</f>
        <v>2019</v>
      </c>
      <c r="K182" s="196">
        <f t="shared" si="50"/>
        <v>43998</v>
      </c>
      <c r="L182" s="147">
        <f>IF(t&lt;Tvie,1-EXP((T0-t)*PertePVj)+'2019'!Pspv,1-EXP((T0-t)*PertePVj)+Pspv)</f>
        <v>1.6249822786938761E-2</v>
      </c>
      <c r="M182" s="847"/>
      <c r="N182" s="847"/>
      <c r="O182" s="48">
        <f>IF(t&lt;Tnet,'2019'!Resal+('2019'!Salim-'2019'!Resal)*(1-EXP(('2019'!Tnet-t)/('2019'!Tau_j))),Resal+(Salim-Resal)*(1-EXP((Tnet-t)/(Tau_j))))*Salcycl</f>
        <v>3.9774682351230765E-2</v>
      </c>
      <c r="P182" s="168">
        <f>(INDEX(Models!$BJ182:$BT182,,T182)*(1-R182)+INDEX(Models!$BJ182:$BT182,,T182+1)*R182-ERP_i)*Q182*Ramure*Pc/MaxiM</f>
        <v>3.3501978294871333E-4</v>
      </c>
      <c r="Q182" s="304">
        <f t="shared" si="51"/>
        <v>0.5</v>
      </c>
      <c r="R182" s="176">
        <f t="shared" si="52"/>
        <v>0.30608118199442891</v>
      </c>
      <c r="S182" s="814">
        <f t="shared" si="53"/>
        <v>0</v>
      </c>
      <c r="T182" s="175">
        <f t="shared" si="54"/>
        <v>6</v>
      </c>
      <c r="U182" s="250">
        <f t="shared" si="55"/>
        <v>0.30608118199442891</v>
      </c>
      <c r="V182" s="382">
        <f t="shared" si="56"/>
        <v>56.224789046571566</v>
      </c>
      <c r="W182" s="401"/>
      <c r="X182" s="157">
        <f t="shared" si="57"/>
        <v>43998</v>
      </c>
      <c r="Y182" s="384">
        <f t="shared" si="58"/>
        <v>31.344999999999999</v>
      </c>
      <c r="Z182" s="384">
        <f t="shared" si="59"/>
        <v>31.862764272937234</v>
      </c>
      <c r="AA182" s="385">
        <f t="shared" si="60"/>
        <v>33.182591301546978</v>
      </c>
      <c r="AB182" s="196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3.9774682351230765E-2</v>
      </c>
      <c r="AD182" s="230">
        <f>(INDEX(Models!$BJ182:$BT182,,AH182)*(1-AF182)+INDEX(Models!$BJ182:$BT182,,AH182+1)*AF182-ERP_i)*AE182*Ramure*Pc/MaxiM</f>
        <v>3.3501978294871333E-4</v>
      </c>
      <c r="AE182" s="304">
        <f t="shared" si="62"/>
        <v>0.5</v>
      </c>
      <c r="AF182" s="176">
        <f t="shared" si="63"/>
        <v>0.30608118199442891</v>
      </c>
      <c r="AG182" s="814">
        <f t="shared" si="71"/>
        <v>0</v>
      </c>
      <c r="AH182" s="175">
        <f t="shared" si="64"/>
        <v>6</v>
      </c>
      <c r="AI182" s="224">
        <f t="shared" si="65"/>
        <v>0.30608118199442891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43999</v>
      </c>
      <c r="B183" s="616">
        <v>49.05</v>
      </c>
      <c r="C183" s="389"/>
      <c r="D183" s="392">
        <f t="shared" si="48"/>
        <v>49.861311825503122</v>
      </c>
      <c r="E183" s="384">
        <f t="shared" si="72"/>
        <v>51.929582699783509</v>
      </c>
      <c r="F183" s="384">
        <f t="shared" si="49"/>
        <v>51.944012559706088</v>
      </c>
      <c r="G183" s="110">
        <f t="shared" si="73"/>
        <v>0.87323205912319857</v>
      </c>
      <c r="H183" s="413" t="b">
        <f>Wh_hp&gt;='2019'!Maxi_hp</f>
        <v>0</v>
      </c>
      <c r="I183" s="379">
        <f>IF(H183,Wh_hp,'2019'!Maxi_hp)</f>
        <v>57.817123290426146</v>
      </c>
      <c r="J183" s="85">
        <f>IF(H183,An,'2019'!An_max)</f>
        <v>2019</v>
      </c>
      <c r="K183" s="196">
        <f t="shared" si="50"/>
        <v>43999</v>
      </c>
      <c r="L183" s="147">
        <f>IF(t&lt;Tvie,1-EXP((T0-t)*PertePVj)+'2019'!Pspv,1-EXP((T0-t)*PertePVj)+Pspv)</f>
        <v>1.6271369440547967E-2</v>
      </c>
      <c r="M183" s="847"/>
      <c r="N183" s="847"/>
      <c r="O183" s="48">
        <f>IF(t&lt;Tnet,'2019'!Resal+('2019'!Salim-'2019'!Resal)*(1-EXP(('2019'!Tnet-t)/('2019'!Tau_j))),Resal+(Salim-Resal)*(1-EXP((Tnet-t)/(Tau_j))))*Salcycl</f>
        <v>3.9828374632577428E-2</v>
      </c>
      <c r="P183" s="168">
        <f>(INDEX(Models!$BJ183:$BT183,,T183)*(1-R183)+INDEX(Models!$BJ183:$BT183,,T183+1)*R183-ERP_i)*Q183*Ramure*Pc/MaxiM</f>
        <v>3.3919821252290176E-4</v>
      </c>
      <c r="Q183" s="304">
        <f t="shared" si="51"/>
        <v>0.5</v>
      </c>
      <c r="R183" s="176">
        <f t="shared" si="52"/>
        <v>0.3090964056637921</v>
      </c>
      <c r="S183" s="814">
        <f t="shared" si="53"/>
        <v>0</v>
      </c>
      <c r="T183" s="175">
        <f t="shared" si="54"/>
        <v>6</v>
      </c>
      <c r="U183" s="250">
        <f t="shared" si="55"/>
        <v>0.3090964056637921</v>
      </c>
      <c r="V183" s="382">
        <f t="shared" si="56"/>
        <v>56.167185906658091</v>
      </c>
      <c r="W183" s="401"/>
      <c r="X183" s="157">
        <f t="shared" si="57"/>
        <v>43999</v>
      </c>
      <c r="Y183" s="384">
        <f t="shared" si="58"/>
        <v>49.05</v>
      </c>
      <c r="Z183" s="384">
        <f t="shared" si="59"/>
        <v>49.861311825503122</v>
      </c>
      <c r="AA183" s="385">
        <f t="shared" si="60"/>
        <v>51.929582699783509</v>
      </c>
      <c r="AB183" s="196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3.9828374632577428E-2</v>
      </c>
      <c r="AD183" s="230">
        <f>(INDEX(Models!$BJ183:$BT183,,AH183)*(1-AF183)+INDEX(Models!$BJ183:$BT183,,AH183+1)*AF183-ERP_i)*AE183*Ramure*Pc/MaxiM</f>
        <v>3.3919821252290176E-4</v>
      </c>
      <c r="AE183" s="304">
        <f t="shared" si="62"/>
        <v>0.5</v>
      </c>
      <c r="AF183" s="176">
        <f t="shared" si="63"/>
        <v>0.3090964056637921</v>
      </c>
      <c r="AG183" s="814">
        <f t="shared" si="71"/>
        <v>0</v>
      </c>
      <c r="AH183" s="175">
        <f t="shared" si="64"/>
        <v>6</v>
      </c>
      <c r="AI183" s="224">
        <f t="shared" si="65"/>
        <v>0.3090964056637921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44000</v>
      </c>
      <c r="B184" s="616">
        <v>41.902000000000001</v>
      </c>
      <c r="C184" s="389"/>
      <c r="D184" s="392">
        <f t="shared" si="48"/>
        <v>42.596013249721111</v>
      </c>
      <c r="E184" s="384">
        <f t="shared" si="72"/>
        <v>44.365367042907309</v>
      </c>
      <c r="F184" s="384">
        <f t="shared" si="49"/>
        <v>44.375082009032802</v>
      </c>
      <c r="G184" s="110">
        <f t="shared" si="73"/>
        <v>0.7467077844503448</v>
      </c>
      <c r="H184" s="413" t="b">
        <f>Wh_hp&gt;='2019'!Maxi_hp</f>
        <v>0</v>
      </c>
      <c r="I184" s="379">
        <f>IF(H184,Wh_hp,'2019'!Maxi_hp)</f>
        <v>49.023288922737898</v>
      </c>
      <c r="J184" s="85">
        <f>IF(H184,An,'2019'!An_max)</f>
        <v>2019</v>
      </c>
      <c r="K184" s="196">
        <f t="shared" si="50"/>
        <v>44000</v>
      </c>
      <c r="L184" s="147">
        <f>IF(t&lt;Tvie,1-EXP((T0-t)*PertePVj)+'2019'!Pspv,1-EXP((T0-t)*PertePVj)+Pspv)</f>
        <v>1.6292915622230231E-2</v>
      </c>
      <c r="M184" s="847"/>
      <c r="N184" s="847"/>
      <c r="O184" s="48">
        <f>IF(t&lt;Tnet,'2019'!Resal+('2019'!Salim-'2019'!Resal)*(1-EXP(('2019'!Tnet-t)/('2019'!Tau_j))),Resal+(Salim-Resal)*(1-EXP((Tnet-t)/(Tau_j))))*Salcycl</f>
        <v>3.9881419023875028E-2</v>
      </c>
      <c r="P184" s="168">
        <f>(INDEX(Models!$BJ184:$BT184,,T184)*(1-R184)+INDEX(Models!$BJ184:$BT184,,T184+1)*R184-ERP_i)*Q184*Ramure*Pc/MaxiM</f>
        <v>3.4299402394828146E-4</v>
      </c>
      <c r="Q184" s="304">
        <f t="shared" si="51"/>
        <v>0.5</v>
      </c>
      <c r="R184" s="176">
        <f t="shared" si="52"/>
        <v>0.3120915117124396</v>
      </c>
      <c r="S184" s="814">
        <f t="shared" si="53"/>
        <v>0</v>
      </c>
      <c r="T184" s="175">
        <f t="shared" si="54"/>
        <v>6</v>
      </c>
      <c r="U184" s="250">
        <f t="shared" si="55"/>
        <v>0.3120915117124396</v>
      </c>
      <c r="V184" s="382">
        <f t="shared" si="56"/>
        <v>56.108696248685526</v>
      </c>
      <c r="W184" s="401"/>
      <c r="X184" s="157">
        <f t="shared" si="57"/>
        <v>44000</v>
      </c>
      <c r="Y184" s="384">
        <f t="shared" si="58"/>
        <v>41.902000000000001</v>
      </c>
      <c r="Z184" s="384">
        <f t="shared" si="59"/>
        <v>42.596013249721111</v>
      </c>
      <c r="AA184" s="385">
        <f t="shared" si="60"/>
        <v>44.365367042907309</v>
      </c>
      <c r="AB184" s="196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3.9881419023875028E-2</v>
      </c>
      <c r="AD184" s="230">
        <f>(INDEX(Models!$BJ184:$BT184,,AH184)*(1-AF184)+INDEX(Models!$BJ184:$BT184,,AH184+1)*AF184-ERP_i)*AE184*Ramure*Pc/MaxiM</f>
        <v>3.4299402394828146E-4</v>
      </c>
      <c r="AE184" s="304">
        <f t="shared" si="62"/>
        <v>0.5</v>
      </c>
      <c r="AF184" s="176">
        <f t="shared" si="63"/>
        <v>0.3120915117124396</v>
      </c>
      <c r="AG184" s="814">
        <f t="shared" si="71"/>
        <v>0</v>
      </c>
      <c r="AH184" s="175">
        <f t="shared" si="64"/>
        <v>6</v>
      </c>
      <c r="AI184" s="224">
        <f t="shared" si="65"/>
        <v>0.3120915117124396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44001</v>
      </c>
      <c r="B185" s="616">
        <v>54.956000000000003</v>
      </c>
      <c r="C185" s="389"/>
      <c r="D185" s="392">
        <f t="shared" si="48"/>
        <v>55.867447308837342</v>
      </c>
      <c r="E185" s="384">
        <f t="shared" si="72"/>
        <v>58.191245147869111</v>
      </c>
      <c r="F185" s="384">
        <f t="shared" si="49"/>
        <v>58.21085404536079</v>
      </c>
      <c r="G185" s="110">
        <f t="shared" si="73"/>
        <v>0.98048423092151105</v>
      </c>
      <c r="H185" s="413" t="b">
        <f>Wh_hp&gt;='2019'!Maxi_hp</f>
        <v>1</v>
      </c>
      <c r="I185" s="379">
        <f>IF(H185,Wh_hp,'2019'!Maxi_hp)</f>
        <v>58.21085404536079</v>
      </c>
      <c r="J185" s="85">
        <f>IF(H185,An,'2019'!An_max)</f>
        <v>2020</v>
      </c>
      <c r="K185" s="196">
        <f t="shared" si="50"/>
        <v>44001</v>
      </c>
      <c r="L185" s="147">
        <f>IF(t&lt;Tvie,1-EXP((T0-t)*PertePVj)+'2019'!Pspv,1-EXP((T0-t)*PertePVj)+Pspv)</f>
        <v>1.6314461331995767E-2</v>
      </c>
      <c r="M185" s="847"/>
      <c r="N185" s="847"/>
      <c r="O185" s="48">
        <f>IF(t&lt;Tnet,'2019'!Resal+('2019'!Salim-'2019'!Resal)*(1-EXP(('2019'!Tnet-t)/('2019'!Tau_j))),Resal+(Salim-Resal)*(1-EXP((Tnet-t)/(Tau_j))))*Salcycl</f>
        <v>3.9933805044500906E-2</v>
      </c>
      <c r="P185" s="168">
        <f>(INDEX(Models!$BJ185:$BT185,,T185)*(1-R185)+INDEX(Models!$BJ185:$BT185,,T185+1)*R185-ERP_i)*Q185*Ramure*Pc/MaxiM</f>
        <v>3.4651587439075103E-4</v>
      </c>
      <c r="Q185" s="304">
        <f t="shared" si="51"/>
        <v>0.5</v>
      </c>
      <c r="R185" s="176">
        <f t="shared" si="52"/>
        <v>0.31506419855868895</v>
      </c>
      <c r="S185" s="814">
        <f t="shared" si="53"/>
        <v>0</v>
      </c>
      <c r="T185" s="175">
        <f t="shared" si="54"/>
        <v>6</v>
      </c>
      <c r="U185" s="250">
        <f t="shared" si="55"/>
        <v>0.31506419855868895</v>
      </c>
      <c r="V185" s="382">
        <f t="shared" si="56"/>
        <v>56.049314644358063</v>
      </c>
      <c r="W185" s="401"/>
      <c r="X185" s="157">
        <f t="shared" si="57"/>
        <v>44001</v>
      </c>
      <c r="Y185" s="384">
        <f t="shared" si="58"/>
        <v>54.956000000000003</v>
      </c>
      <c r="Z185" s="384">
        <f t="shared" si="59"/>
        <v>55.867447308837342</v>
      </c>
      <c r="AA185" s="385">
        <f t="shared" si="60"/>
        <v>58.191245147869111</v>
      </c>
      <c r="AB185" s="196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3.9933805044500906E-2</v>
      </c>
      <c r="AD185" s="230">
        <f>(INDEX(Models!$BJ185:$BT185,,AH185)*(1-AF185)+INDEX(Models!$BJ185:$BT185,,AH185+1)*AF185-ERP_i)*AE185*Ramure*Pc/MaxiM</f>
        <v>3.4651587439075103E-4</v>
      </c>
      <c r="AE185" s="304">
        <f t="shared" si="62"/>
        <v>0.5</v>
      </c>
      <c r="AF185" s="176">
        <f t="shared" si="63"/>
        <v>0.31506419855868895</v>
      </c>
      <c r="AG185" s="814">
        <f t="shared" si="71"/>
        <v>0</v>
      </c>
      <c r="AH185" s="175">
        <f t="shared" si="64"/>
        <v>6</v>
      </c>
      <c r="AI185" s="224">
        <f t="shared" si="65"/>
        <v>0.31506419855868895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44002</v>
      </c>
      <c r="B186" s="616">
        <v>49.594000000000001</v>
      </c>
      <c r="C186" s="389"/>
      <c r="D186" s="392">
        <f t="shared" si="48"/>
        <v>50.417622614263074</v>
      </c>
      <c r="E186" s="384">
        <f t="shared" si="72"/>
        <v>52.517564976680937</v>
      </c>
      <c r="F186" s="384">
        <f t="shared" si="49"/>
        <v>52.532940622341521</v>
      </c>
      <c r="G186" s="110">
        <f t="shared" si="73"/>
        <v>0.88572990319819711</v>
      </c>
      <c r="H186" s="413" t="b">
        <f>Wh_hp&gt;='2019'!Maxi_hp</f>
        <v>1</v>
      </c>
      <c r="I186" s="379">
        <f>IF(H186,Wh_hp,'2019'!Maxi_hp)</f>
        <v>52.532940622341521</v>
      </c>
      <c r="J186" s="85">
        <f>IF(H186,An,'2019'!An_max)</f>
        <v>2020</v>
      </c>
      <c r="K186" s="196">
        <f t="shared" si="50"/>
        <v>44002</v>
      </c>
      <c r="L186" s="147">
        <f>IF(t&lt;Tvie,1-EXP((T0-t)*PertePVj)+'2019'!Pspv,1-EXP((T0-t)*PertePVj)+Pspv)</f>
        <v>1.6336006569855011E-2</v>
      </c>
      <c r="M186" s="847"/>
      <c r="N186" s="847"/>
      <c r="O186" s="48">
        <f>IF(t&lt;Tnet,'2019'!Resal+('2019'!Salim-'2019'!Resal)*(1-EXP(('2019'!Tnet-t)/('2019'!Tau_j))),Resal+(Salim-Resal)*(1-EXP((Tnet-t)/(Tau_j))))*Salcycl</f>
        <v>3.9985524145117718E-2</v>
      </c>
      <c r="P186" s="168">
        <f>(INDEX(Models!$BJ186:$BT186,,T186)*(1-R186)+INDEX(Models!$BJ186:$BT186,,T186+1)*R186-ERP_i)*Q186*Ramure*Pc/MaxiM</f>
        <v>3.4975570111637745E-4</v>
      </c>
      <c r="Q186" s="304">
        <f t="shared" si="51"/>
        <v>0.5</v>
      </c>
      <c r="R186" s="176">
        <f t="shared" si="52"/>
        <v>0.31801223648846499</v>
      </c>
      <c r="S186" s="814">
        <f t="shared" si="53"/>
        <v>0</v>
      </c>
      <c r="T186" s="175">
        <f t="shared" si="54"/>
        <v>6</v>
      </c>
      <c r="U186" s="250">
        <f t="shared" si="55"/>
        <v>0.31801223648846499</v>
      </c>
      <c r="V186" s="382">
        <f t="shared" si="56"/>
        <v>55.989042108135862</v>
      </c>
      <c r="W186" s="401"/>
      <c r="X186" s="157">
        <f t="shared" si="57"/>
        <v>44002</v>
      </c>
      <c r="Y186" s="384">
        <f t="shared" si="58"/>
        <v>49.594000000000001</v>
      </c>
      <c r="Z186" s="384">
        <f t="shared" si="59"/>
        <v>50.417622614263074</v>
      </c>
      <c r="AA186" s="385">
        <f t="shared" si="60"/>
        <v>52.517564976680937</v>
      </c>
      <c r="AB186" s="196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3.9985524145117718E-2</v>
      </c>
      <c r="AD186" s="230">
        <f>(INDEX(Models!$BJ186:$BT186,,AH186)*(1-AF186)+INDEX(Models!$BJ186:$BT186,,AH186+1)*AF186-ERP_i)*AE186*Ramure*Pc/MaxiM</f>
        <v>3.4975570111637745E-4</v>
      </c>
      <c r="AE186" s="304">
        <f t="shared" si="62"/>
        <v>0.5</v>
      </c>
      <c r="AF186" s="176">
        <f t="shared" si="63"/>
        <v>0.31801223648846499</v>
      </c>
      <c r="AG186" s="814">
        <f t="shared" si="71"/>
        <v>0</v>
      </c>
      <c r="AH186" s="175">
        <f t="shared" si="64"/>
        <v>6</v>
      </c>
      <c r="AI186" s="224">
        <f t="shared" si="65"/>
        <v>0.31801223648846499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44003</v>
      </c>
      <c r="B187" s="616">
        <v>56.128</v>
      </c>
      <c r="C187" s="389"/>
      <c r="D187" s="392">
        <f t="shared" si="48"/>
        <v>57.061384526688165</v>
      </c>
      <c r="E187" s="384">
        <f t="shared" si="72"/>
        <v>59.441206536266726</v>
      </c>
      <c r="F187" s="384">
        <f t="shared" si="49"/>
        <v>59.462179190219061</v>
      </c>
      <c r="G187" s="110">
        <f t="shared" si="73"/>
        <v>1.0035781883565615</v>
      </c>
      <c r="H187" s="413" t="b">
        <f>Wh_hp&gt;='2019'!Maxi_hp</f>
        <v>1</v>
      </c>
      <c r="I187" s="379">
        <f>IF(H187,Wh_hp,'2019'!Maxi_hp)</f>
        <v>59.462179190219061</v>
      </c>
      <c r="J187" s="85">
        <f>IF(H187,An,'2019'!An_max)</f>
        <v>2020</v>
      </c>
      <c r="K187" s="196">
        <f t="shared" si="50"/>
        <v>44003</v>
      </c>
      <c r="L187" s="147">
        <f>IF(t&lt;Tvie,1-EXP((T0-t)*PertePVj)+'2019'!Pspv,1-EXP((T0-t)*PertePVj)+Pspv)</f>
        <v>1.6357551335818177E-2</v>
      </c>
      <c r="M187" s="847"/>
      <c r="N187" s="847"/>
      <c r="O187" s="48">
        <f>IF(t&lt;Tnet,'2019'!Resal+('2019'!Salim-'2019'!Resal)*(1-EXP(('2019'!Tnet-t)/('2019'!Tau_j))),Resal+(Salim-Resal)*(1-EXP((Tnet-t)/(Tau_j))))*Salcycl</f>
        <v>4.0036569717449538E-2</v>
      </c>
      <c r="P187" s="168">
        <f>(INDEX(Models!$BJ187:$BT187,,T187)*(1-R187)+INDEX(Models!$BJ187:$BT187,,T187+1)*R187-ERP_i)*Q187*Ramure*Pc/MaxiM</f>
        <v>3.5270577429136462E-4</v>
      </c>
      <c r="Q187" s="304">
        <f t="shared" si="51"/>
        <v>0.5</v>
      </c>
      <c r="R187" s="176">
        <f t="shared" si="52"/>
        <v>0.32093347385251758</v>
      </c>
      <c r="S187" s="814">
        <f t="shared" si="53"/>
        <v>0</v>
      </c>
      <c r="T187" s="175">
        <f t="shared" si="54"/>
        <v>6</v>
      </c>
      <c r="U187" s="250">
        <f t="shared" si="55"/>
        <v>0.32093347385251758</v>
      </c>
      <c r="V187" s="382">
        <f t="shared" si="56"/>
        <v>55.927879512720409</v>
      </c>
      <c r="W187" s="401"/>
      <c r="X187" s="157">
        <f t="shared" si="57"/>
        <v>44003</v>
      </c>
      <c r="Y187" s="384">
        <f t="shared" si="58"/>
        <v>56.128</v>
      </c>
      <c r="Z187" s="384">
        <f t="shared" si="59"/>
        <v>57.061384526688165</v>
      </c>
      <c r="AA187" s="385">
        <f t="shared" si="60"/>
        <v>59.441206536266726</v>
      </c>
      <c r="AB187" s="196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4.0036569717449538E-2</v>
      </c>
      <c r="AD187" s="230">
        <f>(INDEX(Models!$BJ187:$BT187,,AH187)*(1-AF187)+INDEX(Models!$BJ187:$BT187,,AH187+1)*AF187-ERP_i)*AE187*Ramure*Pc/MaxiM</f>
        <v>3.5270577429136462E-4</v>
      </c>
      <c r="AE187" s="304">
        <f t="shared" si="62"/>
        <v>0.5</v>
      </c>
      <c r="AF187" s="176">
        <f t="shared" si="63"/>
        <v>0.32093347385251758</v>
      </c>
      <c r="AG187" s="814">
        <f t="shared" si="71"/>
        <v>0</v>
      </c>
      <c r="AH187" s="175">
        <f t="shared" si="64"/>
        <v>6</v>
      </c>
      <c r="AI187" s="224">
        <f t="shared" si="65"/>
        <v>0.32093347385251758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44004</v>
      </c>
      <c r="B188" s="616">
        <v>49.112000000000002</v>
      </c>
      <c r="C188" s="389"/>
      <c r="D188" s="392">
        <f t="shared" si="48"/>
        <v>49.929805051724244</v>
      </c>
      <c r="E188" s="384">
        <f t="shared" si="72"/>
        <v>52.014924039609198</v>
      </c>
      <c r="F188" s="384">
        <f t="shared" si="49"/>
        <v>52.030220059004158</v>
      </c>
      <c r="G188" s="110">
        <f t="shared" si="73"/>
        <v>0.87905231098678982</v>
      </c>
      <c r="H188" s="413" t="b">
        <f>Wh_hp&gt;='2019'!Maxi_hp</f>
        <v>0</v>
      </c>
      <c r="I188" s="379">
        <f>IF(H188,Wh_hp,'2019'!Maxi_hp)</f>
        <v>53.377678678761548</v>
      </c>
      <c r="J188" s="85">
        <f>IF(H188,An,'2019'!An_max)</f>
        <v>2019</v>
      </c>
      <c r="K188" s="196">
        <f t="shared" si="50"/>
        <v>44004</v>
      </c>
      <c r="L188" s="147">
        <f>IF(t&lt;Tvie,1-EXP((T0-t)*PertePVj)+'2019'!Pspv,1-EXP((T0-t)*PertePVj)+Pspv)</f>
        <v>1.6379095629895701E-2</v>
      </c>
      <c r="M188" s="847"/>
      <c r="N188" s="847"/>
      <c r="O188" s="48">
        <f>IF(t&lt;Tnet,'2019'!Resal+('2019'!Salim-'2019'!Resal)*(1-EXP(('2019'!Tnet-t)/('2019'!Tau_j))),Resal+(Salim-Resal)*(1-EXP((Tnet-t)/(Tau_j))))*Salcycl</f>
        <v>4.0086937093230093E-2</v>
      </c>
      <c r="P188" s="168">
        <f>(INDEX(Models!$BJ188:$BT188,,T188)*(1-R188)+INDEX(Models!$BJ188:$BT188,,T188+1)*R188-ERP_i)*Q188*Ramure*Pc/MaxiM</f>
        <v>3.5535508055745466E-4</v>
      </c>
      <c r="Q188" s="304">
        <f t="shared" si="51"/>
        <v>0.5</v>
      </c>
      <c r="R188" s="176">
        <f t="shared" si="52"/>
        <v>0.3238258427512507</v>
      </c>
      <c r="S188" s="814">
        <f t="shared" si="53"/>
        <v>0</v>
      </c>
      <c r="T188" s="175">
        <f t="shared" si="54"/>
        <v>6</v>
      </c>
      <c r="U188" s="250">
        <f t="shared" si="55"/>
        <v>0.3238258427512507</v>
      </c>
      <c r="V188" s="382">
        <f t="shared" si="56"/>
        <v>55.865827792470633</v>
      </c>
      <c r="W188" s="401"/>
      <c r="X188" s="157">
        <f t="shared" si="57"/>
        <v>44004</v>
      </c>
      <c r="Y188" s="384">
        <f t="shared" si="58"/>
        <v>49.112000000000002</v>
      </c>
      <c r="Z188" s="384">
        <f t="shared" si="59"/>
        <v>49.929805051724244</v>
      </c>
      <c r="AA188" s="385">
        <f t="shared" si="60"/>
        <v>52.014924039609198</v>
      </c>
      <c r="AB188" s="196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4.0086937093230093E-2</v>
      </c>
      <c r="AD188" s="230">
        <f>(INDEX(Models!$BJ188:$BT188,,AH188)*(1-AF188)+INDEX(Models!$BJ188:$BT188,,AH188+1)*AF188-ERP_i)*AE188*Ramure*Pc/MaxiM</f>
        <v>3.5535508055745466E-4</v>
      </c>
      <c r="AE188" s="304">
        <f t="shared" si="62"/>
        <v>0.5</v>
      </c>
      <c r="AF188" s="176">
        <f t="shared" si="63"/>
        <v>0.3238258427512507</v>
      </c>
      <c r="AG188" s="814">
        <f t="shared" si="71"/>
        <v>0</v>
      </c>
      <c r="AH188" s="175">
        <f t="shared" si="64"/>
        <v>6</v>
      </c>
      <c r="AI188" s="224">
        <f t="shared" si="65"/>
        <v>0.3238258427512507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44005</v>
      </c>
      <c r="B189" s="616">
        <v>55.387999999999998</v>
      </c>
      <c r="C189" s="389"/>
      <c r="D189" s="392">
        <f t="shared" si="48"/>
        <v>56.311545352313757</v>
      </c>
      <c r="E189" s="384">
        <f t="shared" si="72"/>
        <v>58.666208892709378</v>
      </c>
      <c r="F189" s="384">
        <f t="shared" si="49"/>
        <v>58.686977834802818</v>
      </c>
      <c r="G189" s="110">
        <f t="shared" si="73"/>
        <v>0.99256134808100771</v>
      </c>
      <c r="H189" s="413" t="b">
        <f>Wh_hp&gt;='2019'!Maxi_hp</f>
        <v>1</v>
      </c>
      <c r="I189" s="379">
        <f>IF(H189,Wh_hp,'2019'!Maxi_hp)</f>
        <v>58.686977834802818</v>
      </c>
      <c r="J189" s="85">
        <f>IF(H189,An,'2019'!An_max)</f>
        <v>2020</v>
      </c>
      <c r="K189" s="196">
        <f t="shared" si="50"/>
        <v>44005</v>
      </c>
      <c r="L189" s="147">
        <f>IF(t&lt;Tvie,1-EXP((T0-t)*PertePVj)+'2019'!Pspv,1-EXP((T0-t)*PertePVj)+Pspv)</f>
        <v>1.6400639452097909E-2</v>
      </c>
      <c r="M189" s="847"/>
      <c r="N189" s="847"/>
      <c r="O189" s="48">
        <f>IF(t&lt;Tnet,'2019'!Resal+('2019'!Salim-'2019'!Resal)*(1-EXP(('2019'!Tnet-t)/('2019'!Tau_j))),Resal+(Salim-Resal)*(1-EXP((Tnet-t)/(Tau_j))))*Salcycl</f>
        <v>4.0136623532328539E-2</v>
      </c>
      <c r="P189" s="168">
        <f>(INDEX(Models!$BJ189:$BT189,,T189)*(1-R189)+INDEX(Models!$BJ189:$BT189,,T189+1)*R189-ERP_i)*Q189*Ramure*Pc/MaxiM</f>
        <v>3.5769268162356353E-4</v>
      </c>
      <c r="Q189" s="304">
        <f t="shared" si="51"/>
        <v>0.5</v>
      </c>
      <c r="R189" s="176">
        <f t="shared" si="52"/>
        <v>0.32668736418017619</v>
      </c>
      <c r="S189" s="814">
        <f t="shared" si="53"/>
        <v>0</v>
      </c>
      <c r="T189" s="175">
        <f t="shared" si="54"/>
        <v>6</v>
      </c>
      <c r="U189" s="250">
        <f t="shared" si="55"/>
        <v>0.32668736418017619</v>
      </c>
      <c r="V189" s="382">
        <f t="shared" si="56"/>
        <v>55.802887756513222</v>
      </c>
      <c r="W189" s="401"/>
      <c r="X189" s="157">
        <f t="shared" si="57"/>
        <v>44005</v>
      </c>
      <c r="Y189" s="384">
        <f t="shared" si="58"/>
        <v>55.387999999999998</v>
      </c>
      <c r="Z189" s="384">
        <f t="shared" si="59"/>
        <v>56.311545352313757</v>
      </c>
      <c r="AA189" s="385">
        <f t="shared" si="60"/>
        <v>58.666208892709378</v>
      </c>
      <c r="AB189" s="196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4.0136623532328539E-2</v>
      </c>
      <c r="AD189" s="230">
        <f>(INDEX(Models!$BJ189:$BT189,,AH189)*(1-AF189)+INDEX(Models!$BJ189:$BT189,,AH189+1)*AF189-ERP_i)*AE189*Ramure*Pc/MaxiM</f>
        <v>3.5769268162356353E-4</v>
      </c>
      <c r="AE189" s="304">
        <f t="shared" si="62"/>
        <v>0.5</v>
      </c>
      <c r="AF189" s="176">
        <f t="shared" si="63"/>
        <v>0.32668736418017619</v>
      </c>
      <c r="AG189" s="814">
        <f t="shared" si="71"/>
        <v>0</v>
      </c>
      <c r="AH189" s="175">
        <f t="shared" si="64"/>
        <v>6</v>
      </c>
      <c r="AI189" s="224">
        <f t="shared" si="65"/>
        <v>0.32668736418017619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44006</v>
      </c>
      <c r="B190" s="616">
        <v>52.594999999999999</v>
      </c>
      <c r="C190" s="389"/>
      <c r="D190" s="392">
        <f t="shared" si="48"/>
        <v>53.473145774937279</v>
      </c>
      <c r="E190" s="384">
        <f t="shared" si="72"/>
        <v>55.711966132225818</v>
      </c>
      <c r="F190" s="384">
        <f t="shared" si="49"/>
        <v>55.730397600386027</v>
      </c>
      <c r="G190" s="110">
        <f t="shared" si="73"/>
        <v>0.94356587814477366</v>
      </c>
      <c r="H190" s="413" t="b">
        <f>Wh_hp&gt;='2019'!Maxi_hp</f>
        <v>1</v>
      </c>
      <c r="I190" s="379">
        <f>IF(H190,Wh_hp,'2019'!Maxi_hp)</f>
        <v>55.730397600386027</v>
      </c>
      <c r="J190" s="85">
        <f>IF(H190,An,'2019'!An_max)</f>
        <v>2020</v>
      </c>
      <c r="K190" s="196">
        <f t="shared" si="50"/>
        <v>44006</v>
      </c>
      <c r="L190" s="147">
        <f>IF(t&lt;Tvie,1-EXP((T0-t)*PertePVj)+'2019'!Pspv,1-EXP((T0-t)*PertePVj)+Pspv)</f>
        <v>1.6422182802435126E-2</v>
      </c>
      <c r="M190" s="847"/>
      <c r="N190" s="847"/>
      <c r="O190" s="48">
        <f>IF(t&lt;Tnet,'2019'!Resal+('2019'!Salim-'2019'!Resal)*(1-EXP(('2019'!Tnet-t)/('2019'!Tau_j))),Resal+(Salim-Resal)*(1-EXP((Tnet-t)/(Tau_j))))*Salcycl</f>
        <v>4.0185628200142133E-2</v>
      </c>
      <c r="P190" s="168">
        <f>(INDEX(Models!$BJ190:$BT190,,T190)*(1-R190)+INDEX(Models!$BJ190:$BT190,,T190+1)*R190-ERP_i)*Q190*Ramure*Pc/MaxiM</f>
        <v>3.5971152805027953E-4</v>
      </c>
      <c r="Q190" s="304">
        <f t="shared" si="51"/>
        <v>0.5</v>
      </c>
      <c r="R190" s="176">
        <f t="shared" si="52"/>
        <v>0.32951615261476164</v>
      </c>
      <c r="S190" s="814">
        <f t="shared" si="53"/>
        <v>0</v>
      </c>
      <c r="T190" s="175">
        <f t="shared" si="54"/>
        <v>6</v>
      </c>
      <c r="U190" s="250">
        <f t="shared" si="55"/>
        <v>0.32951615261476164</v>
      </c>
      <c r="V190" s="382">
        <f t="shared" si="56"/>
        <v>55.739059876977308</v>
      </c>
      <c r="W190" s="401"/>
      <c r="X190" s="157">
        <f t="shared" si="57"/>
        <v>44006</v>
      </c>
      <c r="Y190" s="384">
        <f t="shared" si="58"/>
        <v>52.594999999999999</v>
      </c>
      <c r="Z190" s="384">
        <f t="shared" si="59"/>
        <v>53.473145774937279</v>
      </c>
      <c r="AA190" s="385">
        <f t="shared" si="60"/>
        <v>55.711966132225818</v>
      </c>
      <c r="AB190" s="196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4.0185628200142133E-2</v>
      </c>
      <c r="AD190" s="230">
        <f>(INDEX(Models!$BJ190:$BT190,,AH190)*(1-AF190)+INDEX(Models!$BJ190:$BT190,,AH190+1)*AF190-ERP_i)*AE190*Ramure*Pc/MaxiM</f>
        <v>3.5971152805027953E-4</v>
      </c>
      <c r="AE190" s="304">
        <f t="shared" si="62"/>
        <v>0.5</v>
      </c>
      <c r="AF190" s="176">
        <f t="shared" si="63"/>
        <v>0.32951615261476164</v>
      </c>
      <c r="AG190" s="814">
        <f t="shared" si="71"/>
        <v>0</v>
      </c>
      <c r="AH190" s="175">
        <f t="shared" si="64"/>
        <v>6</v>
      </c>
      <c r="AI190" s="224">
        <f t="shared" si="65"/>
        <v>0.32951615261476164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44007</v>
      </c>
      <c r="B191" s="616">
        <v>47.182000000000002</v>
      </c>
      <c r="C191" s="389"/>
      <c r="D191" s="392">
        <f t="shared" si="48"/>
        <v>47.970818988129764</v>
      </c>
      <c r="E191" s="384">
        <f t="shared" si="72"/>
        <v>49.981783680317086</v>
      </c>
      <c r="F191" s="384">
        <f t="shared" si="49"/>
        <v>49.99591525502489</v>
      </c>
      <c r="G191" s="110">
        <f t="shared" si="73"/>
        <v>0.84740056660952967</v>
      </c>
      <c r="H191" s="413" t="b">
        <f>Wh_hp&gt;='2019'!Maxi_hp</f>
        <v>0</v>
      </c>
      <c r="I191" s="379">
        <f>IF(H191,Wh_hp,'2019'!Maxi_hp)</f>
        <v>57.645147266339038</v>
      </c>
      <c r="J191" s="85">
        <f>IF(H191,An,'2019'!An_max)</f>
        <v>2019</v>
      </c>
      <c r="K191" s="196">
        <f t="shared" si="50"/>
        <v>44007</v>
      </c>
      <c r="L191" s="147">
        <f>IF(t&lt;Tvie,1-EXP((T0-t)*PertePVj)+'2019'!Pspv,1-EXP((T0-t)*PertePVj)+Pspv)</f>
        <v>1.6443725680917676E-2</v>
      </c>
      <c r="M191" s="847"/>
      <c r="N191" s="847"/>
      <c r="O191" s="48">
        <f>IF(t&lt;Tnet,'2019'!Resal+('2019'!Salim-'2019'!Resal)*(1-EXP(('2019'!Tnet-t)/('2019'!Tau_j))),Resal+(Salim-Resal)*(1-EXP((Tnet-t)/(Tau_j))))*Salcycl</f>
        <v>4.0233952134430234E-2</v>
      </c>
      <c r="P191" s="168">
        <f>(INDEX(Models!$BJ191:$BT191,,T191)*(1-R191)+INDEX(Models!$BJ191:$BT191,,T191+1)*R191-ERP_i)*Q191*Ramure*Pc/MaxiM</f>
        <v>3.6140642710092542E-4</v>
      </c>
      <c r="Q191" s="304">
        <f t="shared" si="51"/>
        <v>0.5</v>
      </c>
      <c r="R191" s="176">
        <f t="shared" si="52"/>
        <v>0.33231042001926103</v>
      </c>
      <c r="S191" s="814">
        <f t="shared" si="53"/>
        <v>0</v>
      </c>
      <c r="T191" s="175">
        <f t="shared" si="54"/>
        <v>6</v>
      </c>
      <c r="U191" s="250">
        <f t="shared" si="55"/>
        <v>0.33231042001926103</v>
      </c>
      <c r="V191" s="382">
        <f t="shared" si="56"/>
        <v>55.674122887157779</v>
      </c>
      <c r="W191" s="401"/>
      <c r="X191" s="157">
        <f t="shared" si="57"/>
        <v>44007</v>
      </c>
      <c r="Y191" s="384">
        <f t="shared" si="58"/>
        <v>47.182000000000002</v>
      </c>
      <c r="Z191" s="384">
        <f t="shared" si="59"/>
        <v>47.970818988129764</v>
      </c>
      <c r="AA191" s="385">
        <f t="shared" si="60"/>
        <v>49.981783680317086</v>
      </c>
      <c r="AB191" s="196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4.0233952134430234E-2</v>
      </c>
      <c r="AD191" s="230">
        <f>(INDEX(Models!$BJ191:$BT191,,AH191)*(1-AF191)+INDEX(Models!$BJ191:$BT191,,AH191+1)*AF191-ERP_i)*AE191*Ramure*Pc/MaxiM</f>
        <v>3.6140642710092542E-4</v>
      </c>
      <c r="AE191" s="304">
        <f t="shared" si="62"/>
        <v>0.5</v>
      </c>
      <c r="AF191" s="176">
        <f t="shared" si="63"/>
        <v>0.33231042001926103</v>
      </c>
      <c r="AG191" s="814">
        <f t="shared" si="71"/>
        <v>0</v>
      </c>
      <c r="AH191" s="175">
        <f t="shared" si="64"/>
        <v>6</v>
      </c>
      <c r="AI191" s="224">
        <f t="shared" si="65"/>
        <v>0.33231042001926103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44008</v>
      </c>
      <c r="B192" s="616">
        <v>47.853999999999999</v>
      </c>
      <c r="C192" s="389"/>
      <c r="D192" s="392">
        <f t="shared" si="48"/>
        <v>48.655119587845981</v>
      </c>
      <c r="E192" s="384">
        <f t="shared" si="72"/>
        <v>50.697287346668034</v>
      </c>
      <c r="F192" s="384">
        <f t="shared" si="49"/>
        <v>50.71201448302007</v>
      </c>
      <c r="G192" s="110">
        <f t="shared" si="73"/>
        <v>0.86049852110209002</v>
      </c>
      <c r="H192" s="413" t="b">
        <f>Wh_hp&gt;='2019'!Maxi_hp</f>
        <v>0</v>
      </c>
      <c r="I192" s="379">
        <f>IF(H192,Wh_hp,'2019'!Maxi_hp)</f>
        <v>57.559954834573851</v>
      </c>
      <c r="J192" s="85">
        <f>IF(H192,An,'2019'!An_max)</f>
        <v>2019</v>
      </c>
      <c r="K192" s="196">
        <f t="shared" si="50"/>
        <v>44008</v>
      </c>
      <c r="L192" s="147">
        <f>IF(t&lt;Tvie,1-EXP((T0-t)*PertePVj)+'2019'!Pspv,1-EXP((T0-t)*PertePVj)+Pspv)</f>
        <v>1.6465268087555995E-2</v>
      </c>
      <c r="M192" s="847"/>
      <c r="N192" s="847"/>
      <c r="O192" s="48">
        <f>IF(t&lt;Tnet,'2019'!Resal+('2019'!Salim-'2019'!Resal)*(1-EXP(('2019'!Tnet-t)/('2019'!Tau_j))),Resal+(Salim-Resal)*(1-EXP((Tnet-t)/(Tau_j))))*Salcycl</f>
        <v>4.0281598201846833E-2</v>
      </c>
      <c r="P192" s="168">
        <f>(INDEX(Models!$BJ192:$BT192,,T192)*(1-R192)+INDEX(Models!$BJ192:$BT192,,T192+1)*R192-ERP_i)*Q192*Ramure*Pc/MaxiM</f>
        <v>3.626459522442589E-4</v>
      </c>
      <c r="Q192" s="304">
        <f t="shared" si="51"/>
        <v>0.5</v>
      </c>
      <c r="R192" s="176">
        <f t="shared" si="52"/>
        <v>0.33506847926989136</v>
      </c>
      <c r="S192" s="814">
        <f t="shared" si="53"/>
        <v>0</v>
      </c>
      <c r="T192" s="175">
        <f t="shared" si="54"/>
        <v>6</v>
      </c>
      <c r="U192" s="250">
        <f t="shared" si="55"/>
        <v>0.33506847926989136</v>
      </c>
      <c r="V192" s="382">
        <f t="shared" si="56"/>
        <v>55.607930648568761</v>
      </c>
      <c r="W192" s="401"/>
      <c r="X192" s="157">
        <f t="shared" si="57"/>
        <v>44008</v>
      </c>
      <c r="Y192" s="384">
        <f t="shared" si="58"/>
        <v>47.853999999999999</v>
      </c>
      <c r="Z192" s="384">
        <f t="shared" si="59"/>
        <v>48.655119587845981</v>
      </c>
      <c r="AA192" s="385">
        <f t="shared" si="60"/>
        <v>50.697287346668034</v>
      </c>
      <c r="AB192" s="196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4.0281598201846833E-2</v>
      </c>
      <c r="AD192" s="230">
        <f>(INDEX(Models!$BJ192:$BT192,,AH192)*(1-AF192)+INDEX(Models!$BJ192:$BT192,,AH192+1)*AF192-ERP_i)*AE192*Ramure*Pc/MaxiM</f>
        <v>3.626459522442589E-4</v>
      </c>
      <c r="AE192" s="304">
        <f t="shared" si="62"/>
        <v>0.5</v>
      </c>
      <c r="AF192" s="176">
        <f t="shared" si="63"/>
        <v>0.33506847926989136</v>
      </c>
      <c r="AG192" s="814">
        <f t="shared" si="71"/>
        <v>0</v>
      </c>
      <c r="AH192" s="175">
        <f t="shared" si="64"/>
        <v>6</v>
      </c>
      <c r="AI192" s="224">
        <f t="shared" si="65"/>
        <v>0.33506847926989136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44009</v>
      </c>
      <c r="B193" s="616">
        <v>40.618000000000002</v>
      </c>
      <c r="C193" s="389"/>
      <c r="D193" s="392">
        <f t="shared" si="48"/>
        <v>41.298886902496399</v>
      </c>
      <c r="E193" s="384">
        <f t="shared" si="72"/>
        <v>43.034402876249281</v>
      </c>
      <c r="F193" s="384">
        <f t="shared" si="49"/>
        <v>43.044045308820614</v>
      </c>
      <c r="G193" s="110">
        <f t="shared" si="73"/>
        <v>0.7312190852858772</v>
      </c>
      <c r="H193" s="413" t="b">
        <f>Wh_hp&gt;='2019'!Maxi_hp</f>
        <v>0</v>
      </c>
      <c r="I193" s="379">
        <f>IF(H193,Wh_hp,'2019'!Maxi_hp)</f>
        <v>56.223471140194263</v>
      </c>
      <c r="J193" s="85">
        <f>IF(H193,An,'2019'!An_max)</f>
        <v>2019</v>
      </c>
      <c r="K193" s="196">
        <f t="shared" si="50"/>
        <v>44009</v>
      </c>
      <c r="L193" s="147">
        <f>IF(t&lt;Tvie,1-EXP((T0-t)*PertePVj)+'2019'!Pspv,1-EXP((T0-t)*PertePVj)+Pspv)</f>
        <v>1.6486810022360188E-2</v>
      </c>
      <c r="M193" s="847"/>
      <c r="N193" s="847"/>
      <c r="O193" s="48">
        <f>IF(t&lt;Tnet,'2019'!Resal+('2019'!Salim-'2019'!Resal)*(1-EXP(('2019'!Tnet-t)/('2019'!Tau_j))),Resal+(Salim-Resal)*(1-EXP((Tnet-t)/(Tau_j))))*Salcycl</f>
        <v>4.032857104450998E-2</v>
      </c>
      <c r="P193" s="168">
        <f>(INDEX(Models!$BJ193:$BT193,,T193)*(1-R193)+INDEX(Models!$BJ193:$BT193,,T193+1)*R193-ERP_i)*Q193*Ramure*Pc/MaxiM</f>
        <v>3.6355557410165483E-4</v>
      </c>
      <c r="Q193" s="304">
        <f t="shared" si="51"/>
        <v>0.5</v>
      </c>
      <c r="R193" s="176">
        <f t="shared" si="52"/>
        <v>0.33778874698838901</v>
      </c>
      <c r="S193" s="814">
        <f t="shared" si="53"/>
        <v>0</v>
      </c>
      <c r="T193" s="175">
        <f t="shared" si="54"/>
        <v>6</v>
      </c>
      <c r="U193" s="250">
        <f t="shared" si="55"/>
        <v>0.33778874698838901</v>
      </c>
      <c r="V193" s="382">
        <f t="shared" si="56"/>
        <v>55.540578211706027</v>
      </c>
      <c r="W193" s="401"/>
      <c r="X193" s="157">
        <f t="shared" si="57"/>
        <v>44009</v>
      </c>
      <c r="Y193" s="384">
        <f t="shared" si="58"/>
        <v>40.618000000000002</v>
      </c>
      <c r="Z193" s="384">
        <f t="shared" si="59"/>
        <v>41.298886902496399</v>
      </c>
      <c r="AA193" s="385">
        <f t="shared" si="60"/>
        <v>43.034402876249281</v>
      </c>
      <c r="AB193" s="196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4.032857104450998E-2</v>
      </c>
      <c r="AD193" s="230">
        <f>(INDEX(Models!$BJ193:$BT193,,AH193)*(1-AF193)+INDEX(Models!$BJ193:$BT193,,AH193+1)*AF193-ERP_i)*AE193*Ramure*Pc/MaxiM</f>
        <v>3.6355557410165483E-4</v>
      </c>
      <c r="AE193" s="304">
        <f t="shared" si="62"/>
        <v>0.5</v>
      </c>
      <c r="AF193" s="176">
        <f t="shared" si="63"/>
        <v>0.33778874698838901</v>
      </c>
      <c r="AG193" s="814">
        <f t="shared" si="71"/>
        <v>0</v>
      </c>
      <c r="AH193" s="175">
        <f t="shared" si="64"/>
        <v>6</v>
      </c>
      <c r="AI193" s="224">
        <f t="shared" si="65"/>
        <v>0.33778874698838901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44010</v>
      </c>
      <c r="B194" s="616">
        <v>47.146999999999998</v>
      </c>
      <c r="C194" s="389"/>
      <c r="D194" s="392">
        <f t="shared" si="48"/>
        <v>47.938383687553255</v>
      </c>
      <c r="E194" s="384">
        <f t="shared" si="72"/>
        <v>49.955323739897288</v>
      </c>
      <c r="F194" s="384">
        <f t="shared" si="49"/>
        <v>49.969618103019144</v>
      </c>
      <c r="G194" s="110">
        <f t="shared" si="73"/>
        <v>0.84985534399454921</v>
      </c>
      <c r="H194" s="413" t="b">
        <f>Wh_hp&gt;='2019'!Maxi_hp</f>
        <v>0</v>
      </c>
      <c r="I194" s="379">
        <f>IF(H194,Wh_hp,'2019'!Maxi_hp)</f>
        <v>55.361812565230082</v>
      </c>
      <c r="J194" s="85">
        <f>IF(H194,An,'2019'!An_max)</f>
        <v>2019</v>
      </c>
      <c r="K194" s="196">
        <f t="shared" si="50"/>
        <v>44010</v>
      </c>
      <c r="L194" s="147">
        <f>IF(t&lt;Tvie,1-EXP((T0-t)*PertePVj)+'2019'!Pspv,1-EXP((T0-t)*PertePVj)+Pspv)</f>
        <v>1.65083514853408E-2</v>
      </c>
      <c r="M194" s="847"/>
      <c r="N194" s="847"/>
      <c r="O194" s="48">
        <f>IF(t&lt;Tnet,'2019'!Resal+('2019'!Salim-'2019'!Resal)*(1-EXP(('2019'!Tnet-t)/('2019'!Tau_j))),Resal+(Salim-Resal)*(1-EXP((Tnet-t)/(Tau_j))))*Salcycl</f>
        <v>4.0374877017025239E-2</v>
      </c>
      <c r="P194" s="168">
        <f>(INDEX(Models!$BJ194:$BT194,,T194)*(1-R194)+INDEX(Models!$BJ194:$BT194,,T194+1)*R194-ERP_i)*Q194*Ramure*Pc/MaxiM</f>
        <v>3.6412957210240097E-4</v>
      </c>
      <c r="Q194" s="304">
        <f t="shared" si="51"/>
        <v>0.5</v>
      </c>
      <c r="R194" s="176">
        <f t="shared" si="52"/>
        <v>0.34046974578745243</v>
      </c>
      <c r="S194" s="814">
        <f t="shared" si="53"/>
        <v>0</v>
      </c>
      <c r="T194" s="175">
        <f t="shared" si="54"/>
        <v>6</v>
      </c>
      <c r="U194" s="250">
        <f t="shared" si="55"/>
        <v>0.34046974578745243</v>
      </c>
      <c r="V194" s="382">
        <f t="shared" si="56"/>
        <v>55.472167804700121</v>
      </c>
      <c r="W194" s="401"/>
      <c r="X194" s="157">
        <f t="shared" si="57"/>
        <v>44010</v>
      </c>
      <c r="Y194" s="384">
        <f t="shared" si="58"/>
        <v>47.146999999999998</v>
      </c>
      <c r="Z194" s="384">
        <f t="shared" si="59"/>
        <v>47.938383687553255</v>
      </c>
      <c r="AA194" s="385">
        <f t="shared" si="60"/>
        <v>49.955323739897288</v>
      </c>
      <c r="AB194" s="196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4.0374877017025239E-2</v>
      </c>
      <c r="AD194" s="230">
        <f>(INDEX(Models!$BJ194:$BT194,,AH194)*(1-AF194)+INDEX(Models!$BJ194:$BT194,,AH194+1)*AF194-ERP_i)*AE194*Ramure*Pc/MaxiM</f>
        <v>3.6412957210240097E-4</v>
      </c>
      <c r="AE194" s="304">
        <f t="shared" si="62"/>
        <v>0.5</v>
      </c>
      <c r="AF194" s="176">
        <f t="shared" si="63"/>
        <v>0.34046974578745243</v>
      </c>
      <c r="AG194" s="814">
        <f t="shared" si="71"/>
        <v>0</v>
      </c>
      <c r="AH194" s="175">
        <f t="shared" si="64"/>
        <v>6</v>
      </c>
      <c r="AI194" s="224">
        <f t="shared" si="65"/>
        <v>0.34046974578745243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44011</v>
      </c>
      <c r="B195" s="616">
        <v>22.600999999999999</v>
      </c>
      <c r="C195" s="389"/>
      <c r="D195" s="392">
        <f t="shared" si="48"/>
        <v>22.980871332136683</v>
      </c>
      <c r="E195" s="384">
        <f t="shared" si="72"/>
        <v>23.948898355635265</v>
      </c>
      <c r="F195" s="384">
        <f t="shared" si="49"/>
        <v>23.950243989105957</v>
      </c>
      <c r="G195" s="110">
        <f t="shared" si="73"/>
        <v>0.40781393472404037</v>
      </c>
      <c r="H195" s="413" t="b">
        <f>Wh_hp&gt;='2019'!Maxi_hp</f>
        <v>0</v>
      </c>
      <c r="I195" s="379">
        <f>IF(H195,Wh_hp,'2019'!Maxi_hp)</f>
        <v>52.079984666293029</v>
      </c>
      <c r="J195" s="85">
        <f>IF(H195,An,'2019'!An_max)</f>
        <v>2019</v>
      </c>
      <c r="K195" s="196">
        <f t="shared" si="50"/>
        <v>44011</v>
      </c>
      <c r="L195" s="147">
        <f>IF(t&lt;Tvie,1-EXP((T0-t)*PertePVj)+'2019'!Pspv,1-EXP((T0-t)*PertePVj)+Pspv)</f>
        <v>1.6529892476508046E-2</v>
      </c>
      <c r="M195" s="847"/>
      <c r="N195" s="847"/>
      <c r="O195" s="48">
        <f>IF(t&lt;Tnet,'2019'!Resal+('2019'!Salim-'2019'!Resal)*(1-EXP(('2019'!Tnet-t)/('2019'!Tau_j))),Resal+(Salim-Resal)*(1-EXP((Tnet-t)/(Tau_j))))*Salcycl</f>
        <v>4.0420524114454855E-2</v>
      </c>
      <c r="P195" s="168">
        <f>(INDEX(Models!$BJ195:$BT195,,T195)*(1-R195)+INDEX(Models!$BJ195:$BT195,,T195+1)*R195-ERP_i)*Q195*Ramure*Pc/MaxiM</f>
        <v>3.6436263472272167E-4</v>
      </c>
      <c r="Q195" s="304">
        <f t="shared" si="51"/>
        <v>0.5</v>
      </c>
      <c r="R195" s="176">
        <f t="shared" si="52"/>
        <v>0.34311010593478575</v>
      </c>
      <c r="S195" s="814">
        <f t="shared" si="53"/>
        <v>0</v>
      </c>
      <c r="T195" s="175">
        <f t="shared" si="54"/>
        <v>6</v>
      </c>
      <c r="U195" s="250">
        <f t="shared" si="55"/>
        <v>0.34311010593478575</v>
      </c>
      <c r="V195" s="382">
        <f t="shared" si="56"/>
        <v>55.402801502707206</v>
      </c>
      <c r="W195" s="401"/>
      <c r="X195" s="157">
        <f t="shared" si="57"/>
        <v>44011</v>
      </c>
      <c r="Y195" s="384">
        <f t="shared" si="58"/>
        <v>22.600999999999999</v>
      </c>
      <c r="Z195" s="384">
        <f t="shared" si="59"/>
        <v>22.980871332136683</v>
      </c>
      <c r="AA195" s="385">
        <f t="shared" si="60"/>
        <v>23.948898355635265</v>
      </c>
      <c r="AB195" s="196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4.0420524114454855E-2</v>
      </c>
      <c r="AD195" s="230">
        <f>(INDEX(Models!$BJ195:$BT195,,AH195)*(1-AF195)+INDEX(Models!$BJ195:$BT195,,AH195+1)*AF195-ERP_i)*AE195*Ramure*Pc/MaxiM</f>
        <v>3.6436263472272167E-4</v>
      </c>
      <c r="AE195" s="304">
        <f t="shared" si="62"/>
        <v>0.5</v>
      </c>
      <c r="AF195" s="176">
        <f t="shared" si="63"/>
        <v>0.34311010593478575</v>
      </c>
      <c r="AG195" s="814">
        <f t="shared" si="71"/>
        <v>0</v>
      </c>
      <c r="AH195" s="175">
        <f t="shared" si="64"/>
        <v>6</v>
      </c>
      <c r="AI195" s="224">
        <f t="shared" si="65"/>
        <v>0.34311010593478575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44012</v>
      </c>
      <c r="B196" s="616">
        <v>53.771999999999998</v>
      </c>
      <c r="C196" s="389"/>
      <c r="D196" s="392">
        <f t="shared" si="48"/>
        <v>54.676982410788654</v>
      </c>
      <c r="E196" s="384">
        <f t="shared" si="72"/>
        <v>56.982822043652334</v>
      </c>
      <c r="F196" s="384">
        <f t="shared" si="49"/>
        <v>57.002748716265671</v>
      </c>
      <c r="G196" s="110">
        <f t="shared" si="73"/>
        <v>0.97178207429286323</v>
      </c>
      <c r="H196" s="413" t="b">
        <f>Wh_hp&gt;='2019'!Maxi_hp</f>
        <v>1</v>
      </c>
      <c r="I196" s="379">
        <f>IF(H196,Wh_hp,'2019'!Maxi_hp)</f>
        <v>57.002748716265671</v>
      </c>
      <c r="J196" s="85">
        <f>IF(H196,An,'2019'!An_max)</f>
        <v>2020</v>
      </c>
      <c r="K196" s="196">
        <f t="shared" si="50"/>
        <v>44012</v>
      </c>
      <c r="L196" s="147">
        <f>IF(t&lt;Tvie,1-EXP((T0-t)*PertePVj)+'2019'!Pspv,1-EXP((T0-t)*PertePVj)+Pspv)</f>
        <v>1.6551432995872251E-2</v>
      </c>
      <c r="M196" s="847"/>
      <c r="N196" s="847"/>
      <c r="O196" s="48">
        <f>IF(t&lt;Tnet,'2019'!Resal+('2019'!Salim-'2019'!Resal)*(1-EXP(('2019'!Tnet-t)/('2019'!Tau_j))),Resal+(Salim-Resal)*(1-EXP((Tnet-t)/(Tau_j))))*Salcycl</f>
        <v>4.0465521891795059E-2</v>
      </c>
      <c r="P196" s="168">
        <f>(INDEX(Models!$BJ196:$BT196,,T196)*(1-R196)+INDEX(Models!$BJ196:$BT196,,T196+1)*R196-ERP_i)*Q196*Ramure*Pc/MaxiM</f>
        <v>3.6424985965542673E-4</v>
      </c>
      <c r="Q196" s="304">
        <f t="shared" si="51"/>
        <v>0.5</v>
      </c>
      <c r="R196" s="176">
        <f t="shared" si="52"/>
        <v>0.34570856644735148</v>
      </c>
      <c r="S196" s="814">
        <f t="shared" si="53"/>
        <v>0</v>
      </c>
      <c r="T196" s="175">
        <f t="shared" si="54"/>
        <v>6</v>
      </c>
      <c r="U196" s="250">
        <f t="shared" si="55"/>
        <v>0.34570856644735148</v>
      </c>
      <c r="V196" s="382">
        <f t="shared" si="56"/>
        <v>55.332581234250682</v>
      </c>
      <c r="W196" s="401"/>
      <c r="X196" s="157">
        <f t="shared" si="57"/>
        <v>44012</v>
      </c>
      <c r="Y196" s="384">
        <f t="shared" si="58"/>
        <v>53.771999999999998</v>
      </c>
      <c r="Z196" s="384">
        <f t="shared" si="59"/>
        <v>54.676982410788654</v>
      </c>
      <c r="AA196" s="385">
        <f t="shared" si="60"/>
        <v>56.982822043652334</v>
      </c>
      <c r="AB196" s="196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4.0465521891795059E-2</v>
      </c>
      <c r="AD196" s="230">
        <f>(INDEX(Models!$BJ196:$BT196,,AH196)*(1-AF196)+INDEX(Models!$BJ196:$BT196,,AH196+1)*AF196-ERP_i)*AE196*Ramure*Pc/MaxiM</f>
        <v>3.6424985965542673E-4</v>
      </c>
      <c r="AE196" s="304">
        <f t="shared" si="62"/>
        <v>0.5</v>
      </c>
      <c r="AF196" s="176">
        <f t="shared" si="63"/>
        <v>0.34570856644735148</v>
      </c>
      <c r="AG196" s="814">
        <f t="shared" si="71"/>
        <v>0</v>
      </c>
      <c r="AH196" s="175">
        <f t="shared" si="64"/>
        <v>6</v>
      </c>
      <c r="AI196" s="224">
        <f t="shared" si="65"/>
        <v>0.34570856644735148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44013</v>
      </c>
      <c r="B197" s="616">
        <v>43.426000000000002</v>
      </c>
      <c r="C197" s="389"/>
      <c r="D197" s="392">
        <f t="shared" si="48"/>
        <v>44.157826467706371</v>
      </c>
      <c r="E197" s="384">
        <f t="shared" si="72"/>
        <v>46.022179499893149</v>
      </c>
      <c r="F197" s="384">
        <f t="shared" si="49"/>
        <v>46.033802180227411</v>
      </c>
      <c r="G197" s="110">
        <f t="shared" si="73"/>
        <v>0.78573834868524339</v>
      </c>
      <c r="H197" s="413" t="b">
        <f>Wh_hp&gt;='2019'!Maxi_hp</f>
        <v>1</v>
      </c>
      <c r="I197" s="379">
        <f>IF(H197,Wh_hp,'2019'!Maxi_hp)</f>
        <v>46.033802180227411</v>
      </c>
      <c r="J197" s="85">
        <f>IF(H197,An,'2019'!An_max)</f>
        <v>2020</v>
      </c>
      <c r="K197" s="196">
        <f t="shared" si="50"/>
        <v>44013</v>
      </c>
      <c r="L197" s="147">
        <f>IF(t&lt;Tvie,1-EXP((T0-t)*PertePVj)+'2019'!Pspv,1-EXP((T0-t)*PertePVj)+Pspv)</f>
        <v>1.657297304344385E-2</v>
      </c>
      <c r="M197" s="847"/>
      <c r="N197" s="847"/>
      <c r="O197" s="48">
        <f>IF(t&lt;Tnet,'2019'!Resal+('2019'!Salim-'2019'!Resal)*(1-EXP(('2019'!Tnet-t)/('2019'!Tau_j))),Resal+(Salim-Resal)*(1-EXP((Tnet-t)/(Tau_j))))*Salcycl</f>
        <v>4.0509881375590001E-2</v>
      </c>
      <c r="P197" s="168">
        <f>(INDEX(Models!$BJ197:$BT197,,T197)*(1-R197)+INDEX(Models!$BJ197:$BT197,,T197+1)*R197-ERP_i)*Q197*Ramure*Pc/MaxiM</f>
        <v>3.6378675114536217E-4</v>
      </c>
      <c r="Q197" s="304">
        <f t="shared" si="51"/>
        <v>0.5</v>
      </c>
      <c r="R197" s="176">
        <f t="shared" si="52"/>
        <v>0.34826397563194789</v>
      </c>
      <c r="S197" s="814">
        <f t="shared" si="53"/>
        <v>0</v>
      </c>
      <c r="T197" s="175">
        <f t="shared" si="54"/>
        <v>6</v>
      </c>
      <c r="U197" s="250">
        <f t="shared" si="55"/>
        <v>0.34826397563194789</v>
      </c>
      <c r="V197" s="382">
        <f t="shared" si="56"/>
        <v>55.261608787728143</v>
      </c>
      <c r="W197" s="401"/>
      <c r="X197" s="157">
        <f t="shared" si="57"/>
        <v>44013</v>
      </c>
      <c r="Y197" s="384">
        <f t="shared" si="58"/>
        <v>43.426000000000002</v>
      </c>
      <c r="Z197" s="384">
        <f t="shared" si="59"/>
        <v>44.157826467706371</v>
      </c>
      <c r="AA197" s="385">
        <f t="shared" si="60"/>
        <v>46.022179499893149</v>
      </c>
      <c r="AB197" s="196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4.0509881375590001E-2</v>
      </c>
      <c r="AD197" s="230">
        <f>(INDEX(Models!$BJ197:$BT197,,AH197)*(1-AF197)+INDEX(Models!$BJ197:$BT197,,AH197+1)*AF197-ERP_i)*AE197*Ramure*Pc/MaxiM</f>
        <v>3.6378675114536217E-4</v>
      </c>
      <c r="AE197" s="304">
        <f t="shared" si="62"/>
        <v>0.5</v>
      </c>
      <c r="AF197" s="176">
        <f t="shared" si="63"/>
        <v>0.34826397563194789</v>
      </c>
      <c r="AG197" s="814">
        <f t="shared" si="71"/>
        <v>0</v>
      </c>
      <c r="AH197" s="175">
        <f t="shared" si="64"/>
        <v>6</v>
      </c>
      <c r="AI197" s="224">
        <f t="shared" si="65"/>
        <v>0.34826397563194789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44014</v>
      </c>
      <c r="B198" s="616">
        <v>19.34</v>
      </c>
      <c r="C198" s="389"/>
      <c r="D198" s="392">
        <f t="shared" si="48"/>
        <v>19.66635355219622</v>
      </c>
      <c r="E198" s="384">
        <f t="shared" si="72"/>
        <v>20.497605555674571</v>
      </c>
      <c r="F198" s="384">
        <f t="shared" si="49"/>
        <v>20.498141355342252</v>
      </c>
      <c r="G198" s="110">
        <f t="shared" si="73"/>
        <v>0.35030785467551701</v>
      </c>
      <c r="H198" s="413" t="b">
        <f>Wh_hp&gt;='2019'!Maxi_hp</f>
        <v>0</v>
      </c>
      <c r="I198" s="379">
        <f>IF(H198,Wh_hp,'2019'!Maxi_hp)</f>
        <v>50.483737643611768</v>
      </c>
      <c r="J198" s="85">
        <f>IF(H198,An,'2019'!An_max)</f>
        <v>2019</v>
      </c>
      <c r="K198" s="196">
        <f t="shared" si="50"/>
        <v>44014</v>
      </c>
      <c r="L198" s="147">
        <f>IF(t&lt;Tvie,1-EXP((T0-t)*PertePVj)+'2019'!Pspv,1-EXP((T0-t)*PertePVj)+Pspv)</f>
        <v>1.659451261923317E-2</v>
      </c>
      <c r="M198" s="847"/>
      <c r="N198" s="847"/>
      <c r="O198" s="48">
        <f>IF(t&lt;Tnet,'2019'!Resal+('2019'!Salim-'2019'!Resal)*(1-EXP(('2019'!Tnet-t)/('2019'!Tau_j))),Resal+(Salim-Resal)*(1-EXP((Tnet-t)/(Tau_j))))*Salcycl</f>
        <v>4.0553614968370143E-2</v>
      </c>
      <c r="P198" s="168">
        <f>(INDEX(Models!$BJ198:$BT198,,T198)*(1-R198)+INDEX(Models!$BJ198:$BT198,,T198+1)*R198-ERP_i)*Q198*Ramure*Pc/MaxiM</f>
        <v>3.6285470121451139E-4</v>
      </c>
      <c r="Q198" s="304">
        <f t="shared" si="51"/>
        <v>0.5</v>
      </c>
      <c r="R198" s="176">
        <f t="shared" si="52"/>
        <v>0.35077529109232575</v>
      </c>
      <c r="S198" s="814">
        <f t="shared" si="53"/>
        <v>0</v>
      </c>
      <c r="T198" s="175">
        <f t="shared" si="54"/>
        <v>6</v>
      </c>
      <c r="U198" s="250">
        <f t="shared" si="55"/>
        <v>0.35077529109232575</v>
      </c>
      <c r="V198" s="382">
        <f t="shared" si="56"/>
        <v>55.189992142324954</v>
      </c>
      <c r="W198" s="401"/>
      <c r="X198" s="157">
        <f t="shared" si="57"/>
        <v>44014</v>
      </c>
      <c r="Y198" s="384">
        <f t="shared" si="58"/>
        <v>19.34</v>
      </c>
      <c r="Z198" s="384">
        <f t="shared" si="59"/>
        <v>19.66635355219622</v>
      </c>
      <c r="AA198" s="385">
        <f t="shared" si="60"/>
        <v>20.497605555674571</v>
      </c>
      <c r="AB198" s="196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4.0553614968370143E-2</v>
      </c>
      <c r="AD198" s="230">
        <f>(INDEX(Models!$BJ198:$BT198,,AH198)*(1-AF198)+INDEX(Models!$BJ198:$BT198,,AH198+1)*AF198-ERP_i)*AE198*Ramure*Pc/MaxiM</f>
        <v>3.6285470121451139E-4</v>
      </c>
      <c r="AE198" s="304">
        <f t="shared" si="62"/>
        <v>0.5</v>
      </c>
      <c r="AF198" s="176">
        <f t="shared" si="63"/>
        <v>0.35077529109232575</v>
      </c>
      <c r="AG198" s="814">
        <f t="shared" si="71"/>
        <v>0</v>
      </c>
      <c r="AH198" s="175">
        <f t="shared" si="64"/>
        <v>6</v>
      </c>
      <c r="AI198" s="224">
        <f t="shared" si="65"/>
        <v>0.35077529109232575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44015</v>
      </c>
      <c r="B199" s="616">
        <v>46.024999999999999</v>
      </c>
      <c r="C199" s="389"/>
      <c r="D199" s="392">
        <f t="shared" si="48"/>
        <v>46.802675679883457</v>
      </c>
      <c r="E199" s="384">
        <f t="shared" si="72"/>
        <v>48.783110765812978</v>
      </c>
      <c r="F199" s="384">
        <f t="shared" si="49"/>
        <v>48.796596745729502</v>
      </c>
      <c r="G199" s="110">
        <f t="shared" si="73"/>
        <v>0.83495814019690406</v>
      </c>
      <c r="H199" s="413" t="b">
        <f>Wh_hp&gt;='2019'!Maxi_hp</f>
        <v>1</v>
      </c>
      <c r="I199" s="379">
        <f>IF(H199,Wh_hp,'2019'!Maxi_hp)</f>
        <v>48.796596745729502</v>
      </c>
      <c r="J199" s="85">
        <f>IF(H199,An,'2019'!An_max)</f>
        <v>2020</v>
      </c>
      <c r="K199" s="196">
        <f t="shared" si="50"/>
        <v>44015</v>
      </c>
      <c r="L199" s="147">
        <f>IF(t&lt;Tvie,1-EXP((T0-t)*PertePVj)+'2019'!Pspv,1-EXP((T0-t)*PertePVj)+Pspv)</f>
        <v>1.6616051723250425E-2</v>
      </c>
      <c r="M199" s="847"/>
      <c r="N199" s="847"/>
      <c r="O199" s="48">
        <f>IF(t&lt;Tnet,'2019'!Resal+('2019'!Salim-'2019'!Resal)*(1-EXP(('2019'!Tnet-t)/('2019'!Tau_j))),Resal+(Salim-Resal)*(1-EXP((Tnet-t)/(Tau_j))))*Salcycl</f>
        <v>4.0596736346657919E-2</v>
      </c>
      <c r="P199" s="168">
        <f>(INDEX(Models!$BJ199:$BT199,,T199)*(1-R199)+INDEX(Models!$BJ199:$BT199,,T199+1)*R199-ERP_i)*Q199*Ramure*Pc/MaxiM</f>
        <v>3.6158752132820778E-4</v>
      </c>
      <c r="Q199" s="304">
        <f t="shared" si="51"/>
        <v>0.5</v>
      </c>
      <c r="R199" s="176">
        <f t="shared" si="52"/>
        <v>0.35324157922670008</v>
      </c>
      <c r="S199" s="814">
        <f t="shared" si="53"/>
        <v>0</v>
      </c>
      <c r="T199" s="175">
        <f t="shared" si="54"/>
        <v>6</v>
      </c>
      <c r="U199" s="250">
        <f t="shared" si="55"/>
        <v>0.35324157922670008</v>
      </c>
      <c r="V199" s="382">
        <f t="shared" si="56"/>
        <v>55.117825223299128</v>
      </c>
      <c r="W199" s="401"/>
      <c r="X199" s="157">
        <f t="shared" si="57"/>
        <v>44015</v>
      </c>
      <c r="Y199" s="384">
        <f t="shared" si="58"/>
        <v>46.024999999999999</v>
      </c>
      <c r="Z199" s="384">
        <f t="shared" si="59"/>
        <v>46.802675679883457</v>
      </c>
      <c r="AA199" s="385">
        <f t="shared" si="60"/>
        <v>48.783110765812978</v>
      </c>
      <c r="AB199" s="196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4.0596736346657919E-2</v>
      </c>
      <c r="AD199" s="230">
        <f>(INDEX(Models!$BJ199:$BT199,,AH199)*(1-AF199)+INDEX(Models!$BJ199:$BT199,,AH199+1)*AF199-ERP_i)*AE199*Ramure*Pc/MaxiM</f>
        <v>3.6158752132820778E-4</v>
      </c>
      <c r="AE199" s="304">
        <f t="shared" si="62"/>
        <v>0.5</v>
      </c>
      <c r="AF199" s="176">
        <f t="shared" si="63"/>
        <v>0.35324157922670008</v>
      </c>
      <c r="AG199" s="814">
        <f t="shared" si="71"/>
        <v>0</v>
      </c>
      <c r="AH199" s="175">
        <f t="shared" si="64"/>
        <v>6</v>
      </c>
      <c r="AI199" s="224">
        <f t="shared" si="65"/>
        <v>0.35324157922670008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44016</v>
      </c>
      <c r="B200" s="616">
        <v>52.609000000000002</v>
      </c>
      <c r="C200" s="389"/>
      <c r="D200" s="392">
        <f t="shared" si="48"/>
        <v>53.499096044376209</v>
      </c>
      <c r="E200" s="384">
        <f t="shared" si="72"/>
        <v>55.765358986943497</v>
      </c>
      <c r="F200" s="384">
        <f t="shared" si="49"/>
        <v>55.784170639957395</v>
      </c>
      <c r="G200" s="110">
        <f t="shared" si="73"/>
        <v>0.95571990274627061</v>
      </c>
      <c r="H200" s="413" t="b">
        <f>Wh_hp&gt;='2019'!Maxi_hp</f>
        <v>1</v>
      </c>
      <c r="I200" s="379">
        <f>IF(H200,Wh_hp,'2019'!Maxi_hp)</f>
        <v>55.784170639957395</v>
      </c>
      <c r="J200" s="85">
        <f>IF(H200,An,'2019'!An_max)</f>
        <v>2020</v>
      </c>
      <c r="K200" s="196">
        <f t="shared" si="50"/>
        <v>44016</v>
      </c>
      <c r="L200" s="147">
        <f>IF(t&lt;Tvie,1-EXP((T0-t)*PertePVj)+'2019'!Pspv,1-EXP((T0-t)*PertePVj)+Pspv)</f>
        <v>1.6637590355506049E-2</v>
      </c>
      <c r="M200" s="847"/>
      <c r="N200" s="847"/>
      <c r="O200" s="48">
        <f>IF(t&lt;Tnet,'2019'!Resal+('2019'!Salim-'2019'!Resal)*(1-EXP(('2019'!Tnet-t)/('2019'!Tau_j))),Resal+(Salim-Resal)*(1-EXP((Tnet-t)/(Tau_j))))*Salcycl</f>
        <v>4.0639260353329702E-2</v>
      </c>
      <c r="P200" s="168">
        <f>(INDEX(Models!$BJ200:$BT200,,T200)*(1-R200)+INDEX(Models!$BJ200:$BT200,,T200+1)*R200-ERP_i)*Q200*Ramure*Pc/MaxiM</f>
        <v>3.5998237757373211E-4</v>
      </c>
      <c r="Q200" s="304">
        <f t="shared" si="51"/>
        <v>0.5</v>
      </c>
      <c r="R200" s="176">
        <f t="shared" si="52"/>
        <v>0.35566201424268434</v>
      </c>
      <c r="S200" s="814">
        <f t="shared" si="53"/>
        <v>0</v>
      </c>
      <c r="T200" s="175">
        <f t="shared" si="54"/>
        <v>6</v>
      </c>
      <c r="U200" s="250">
        <f t="shared" si="55"/>
        <v>0.35566201424268434</v>
      </c>
      <c r="V200" s="382">
        <f t="shared" si="56"/>
        <v>55.045209425303049</v>
      </c>
      <c r="W200" s="401"/>
      <c r="X200" s="157">
        <f t="shared" si="57"/>
        <v>44016</v>
      </c>
      <c r="Y200" s="384">
        <f t="shared" si="58"/>
        <v>52.609000000000002</v>
      </c>
      <c r="Z200" s="384">
        <f t="shared" si="59"/>
        <v>53.499096044376209</v>
      </c>
      <c r="AA200" s="385">
        <f t="shared" si="60"/>
        <v>55.765358986943497</v>
      </c>
      <c r="AB200" s="196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4.0639260353329702E-2</v>
      </c>
      <c r="AD200" s="230">
        <f>(INDEX(Models!$BJ200:$BT200,,AH200)*(1-AF200)+INDEX(Models!$BJ200:$BT200,,AH200+1)*AF200-ERP_i)*AE200*Ramure*Pc/MaxiM</f>
        <v>3.5998237757373211E-4</v>
      </c>
      <c r="AE200" s="304">
        <f t="shared" si="62"/>
        <v>0.5</v>
      </c>
      <c r="AF200" s="176">
        <f t="shared" si="63"/>
        <v>0.35566201424268434</v>
      </c>
      <c r="AG200" s="814">
        <f t="shared" si="71"/>
        <v>0</v>
      </c>
      <c r="AH200" s="175">
        <f t="shared" si="64"/>
        <v>6</v>
      </c>
      <c r="AI200" s="224">
        <f t="shared" si="65"/>
        <v>0.35566201424268434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44017</v>
      </c>
      <c r="B201" s="616">
        <v>53.281999999999996</v>
      </c>
      <c r="C201" s="389"/>
      <c r="D201" s="392">
        <f t="shared" si="48"/>
        <v>54.184669370643071</v>
      </c>
      <c r="E201" s="384">
        <f t="shared" si="72"/>
        <v>56.482443097752459</v>
      </c>
      <c r="F201" s="384">
        <f t="shared" si="49"/>
        <v>56.501784231476087</v>
      </c>
      <c r="G201" s="110">
        <f t="shared" si="73"/>
        <v>0.96923748994229542</v>
      </c>
      <c r="H201" s="413" t="b">
        <f>Wh_hp&gt;='2019'!Maxi_hp</f>
        <v>1</v>
      </c>
      <c r="I201" s="379">
        <f>IF(H201,Wh_hp,'2019'!Maxi_hp)</f>
        <v>56.501784231476087</v>
      </c>
      <c r="J201" s="85">
        <f>IF(H201,An,'2019'!An_max)</f>
        <v>2020</v>
      </c>
      <c r="K201" s="196">
        <f t="shared" si="50"/>
        <v>44017</v>
      </c>
      <c r="L201" s="147">
        <f>IF(t&lt;Tvie,1-EXP((T0-t)*PertePVj)+'2019'!Pspv,1-EXP((T0-t)*PertePVj)+Pspv)</f>
        <v>1.6659128516010369E-2</v>
      </c>
      <c r="M201" s="847"/>
      <c r="N201" s="847"/>
      <c r="O201" s="48">
        <f>IF(t&lt;Tnet,'2019'!Resal+('2019'!Salim-'2019'!Resal)*(1-EXP(('2019'!Tnet-t)/('2019'!Tau_j))),Resal+(Salim-Resal)*(1-EXP((Tnet-t)/(Tau_j))))*Salcycl</f>
        <v>4.0681202885163803E-2</v>
      </c>
      <c r="P201" s="168">
        <f>(INDEX(Models!$BJ201:$BT201,,T201)*(1-R201)+INDEX(Models!$BJ201:$BT201,,T201+1)*R201-ERP_i)*Q201*Ramure*Pc/MaxiM</f>
        <v>3.5803678485174848E-4</v>
      </c>
      <c r="Q201" s="304">
        <f t="shared" si="51"/>
        <v>0.5</v>
      </c>
      <c r="R201" s="176">
        <f t="shared" si="52"/>
        <v>0.35803587671935999</v>
      </c>
      <c r="S201" s="814">
        <f t="shared" si="53"/>
        <v>0</v>
      </c>
      <c r="T201" s="175">
        <f t="shared" si="54"/>
        <v>6</v>
      </c>
      <c r="U201" s="250">
        <f t="shared" si="55"/>
        <v>0.35803587671935999</v>
      </c>
      <c r="V201" s="382">
        <f t="shared" si="56"/>
        <v>54.97224603765094</v>
      </c>
      <c r="W201" s="401"/>
      <c r="X201" s="157">
        <f t="shared" si="57"/>
        <v>44017</v>
      </c>
      <c r="Y201" s="384">
        <f t="shared" si="58"/>
        <v>53.281999999999996</v>
      </c>
      <c r="Z201" s="384">
        <f t="shared" si="59"/>
        <v>54.184669370643071</v>
      </c>
      <c r="AA201" s="385">
        <f t="shared" si="60"/>
        <v>56.482443097752459</v>
      </c>
      <c r="AB201" s="196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4.0681202885163803E-2</v>
      </c>
      <c r="AD201" s="230">
        <f>(INDEX(Models!$BJ201:$BT201,,AH201)*(1-AF201)+INDEX(Models!$BJ201:$BT201,,AH201+1)*AF201-ERP_i)*AE201*Ramure*Pc/MaxiM</f>
        <v>3.5803678485174848E-4</v>
      </c>
      <c r="AE201" s="304">
        <f t="shared" si="62"/>
        <v>0.5</v>
      </c>
      <c r="AF201" s="176">
        <f t="shared" si="63"/>
        <v>0.35803587671935999</v>
      </c>
      <c r="AG201" s="814">
        <f t="shared" si="71"/>
        <v>0</v>
      </c>
      <c r="AH201" s="175">
        <f t="shared" si="64"/>
        <v>6</v>
      </c>
      <c r="AI201" s="224">
        <f t="shared" si="65"/>
        <v>0.35803587671935999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44018</v>
      </c>
      <c r="B202" s="616">
        <v>35.088000000000001</v>
      </c>
      <c r="C202" s="389"/>
      <c r="D202" s="392">
        <f t="shared" si="48"/>
        <v>35.683219879928636</v>
      </c>
      <c r="E202" s="384">
        <f t="shared" si="72"/>
        <v>37.1980192224378</v>
      </c>
      <c r="F202" s="384">
        <f t="shared" si="49"/>
        <v>37.204431537801497</v>
      </c>
      <c r="G202" s="110">
        <f t="shared" si="73"/>
        <v>0.63901966809428568</v>
      </c>
      <c r="H202" s="413" t="b">
        <f>Wh_hp&gt;='2019'!Maxi_hp</f>
        <v>0</v>
      </c>
      <c r="I202" s="379">
        <f>IF(H202,Wh_hp,'2019'!Maxi_hp)</f>
        <v>50.138186272546442</v>
      </c>
      <c r="J202" s="85">
        <f>IF(H202,An,'2019'!An_max)</f>
        <v>2019</v>
      </c>
      <c r="K202" s="196">
        <f t="shared" si="50"/>
        <v>44018</v>
      </c>
      <c r="L202" s="147">
        <f>IF(t&lt;Tvie,1-EXP((T0-t)*PertePVj)+'2019'!Pspv,1-EXP((T0-t)*PertePVj)+Pspv)</f>
        <v>1.6680666204773709E-2</v>
      </c>
      <c r="M202" s="847"/>
      <c r="N202" s="847"/>
      <c r="O202" s="48">
        <f>IF(t&lt;Tnet,'2019'!Resal+('2019'!Salim-'2019'!Resal)*(1-EXP(('2019'!Tnet-t)/('2019'!Tau_j))),Resal+(Salim-Resal)*(1-EXP((Tnet-t)/(Tau_j))))*Salcycl</f>
        <v>4.0722580776436521E-2</v>
      </c>
      <c r="P202" s="168">
        <f>(INDEX(Models!$BJ202:$BT202,,T202)*(1-R202)+INDEX(Models!$BJ202:$BT202,,T202+1)*R202-ERP_i)*Q202*Ramure*Pc/MaxiM</f>
        <v>3.5574859242149226E-4</v>
      </c>
      <c r="Q202" s="304">
        <f t="shared" si="51"/>
        <v>0.5</v>
      </c>
      <c r="R202" s="176">
        <f t="shared" si="52"/>
        <v>0.36036255174838377</v>
      </c>
      <c r="S202" s="814">
        <f t="shared" si="53"/>
        <v>0</v>
      </c>
      <c r="T202" s="175">
        <f t="shared" si="54"/>
        <v>6</v>
      </c>
      <c r="U202" s="250">
        <f t="shared" si="55"/>
        <v>0.36036255174838377</v>
      </c>
      <c r="V202" s="382">
        <f t="shared" si="56"/>
        <v>54.899036252879775</v>
      </c>
      <c r="W202" s="401"/>
      <c r="X202" s="157">
        <f t="shared" si="57"/>
        <v>44018</v>
      </c>
      <c r="Y202" s="384">
        <f t="shared" si="58"/>
        <v>35.088000000000001</v>
      </c>
      <c r="Z202" s="384">
        <f t="shared" si="59"/>
        <v>35.683219879928636</v>
      </c>
      <c r="AA202" s="385">
        <f t="shared" si="60"/>
        <v>37.1980192224378</v>
      </c>
      <c r="AB202" s="196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4.0722580776436521E-2</v>
      </c>
      <c r="AD202" s="230">
        <f>(INDEX(Models!$BJ202:$BT202,,AH202)*(1-AF202)+INDEX(Models!$BJ202:$BT202,,AH202+1)*AF202-ERP_i)*AE202*Ramure*Pc/MaxiM</f>
        <v>3.5574859242149226E-4</v>
      </c>
      <c r="AE202" s="304">
        <f t="shared" si="62"/>
        <v>0.5</v>
      </c>
      <c r="AF202" s="176">
        <f t="shared" si="63"/>
        <v>0.36036255174838377</v>
      </c>
      <c r="AG202" s="814">
        <f t="shared" si="71"/>
        <v>0</v>
      </c>
      <c r="AH202" s="175">
        <f t="shared" si="64"/>
        <v>6</v>
      </c>
      <c r="AI202" s="224">
        <f t="shared" si="65"/>
        <v>0.36036255174838377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44019</v>
      </c>
      <c r="B203" s="616">
        <v>55.476999999999997</v>
      </c>
      <c r="C203" s="389"/>
      <c r="D203" s="392">
        <f t="shared" si="48"/>
        <v>56.419327077774412</v>
      </c>
      <c r="E203" s="384">
        <f t="shared" si="72"/>
        <v>58.816904781076616</v>
      </c>
      <c r="F203" s="384">
        <f t="shared" si="49"/>
        <v>58.837681305863043</v>
      </c>
      <c r="G203" s="110">
        <f t="shared" si="73"/>
        <v>1.0118798126977202</v>
      </c>
      <c r="H203" s="413" t="b">
        <f>Wh_hp&gt;='2019'!Maxi_hp</f>
        <v>1</v>
      </c>
      <c r="I203" s="379">
        <f>IF(H203,Wh_hp,'2019'!Maxi_hp)</f>
        <v>58.837681305863043</v>
      </c>
      <c r="J203" s="85">
        <f>IF(H203,An,'2019'!An_max)</f>
        <v>2020</v>
      </c>
      <c r="K203" s="196">
        <f t="shared" si="50"/>
        <v>44019</v>
      </c>
      <c r="L203" s="147">
        <f>IF(t&lt;Tvie,1-EXP((T0-t)*PertePVj)+'2019'!Pspv,1-EXP((T0-t)*PertePVj)+Pspv)</f>
        <v>1.6702203421806394E-2</v>
      </c>
      <c r="M203" s="847"/>
      <c r="N203" s="847"/>
      <c r="O203" s="48">
        <f>IF(t&lt;Tnet,'2019'!Resal+('2019'!Salim-'2019'!Resal)*(1-EXP(('2019'!Tnet-t)/('2019'!Tau_j))),Resal+(Salim-Resal)*(1-EXP((Tnet-t)/(Tau_j))))*Salcycl</f>
        <v>4.0763411679452827E-2</v>
      </c>
      <c r="P203" s="168">
        <f>(INDEX(Models!$BJ203:$BT203,,T203)*(1-R203)+INDEX(Models!$BJ203:$BT203,,T203+1)*R203-ERP_i)*Q203*Ramure*Pc/MaxiM</f>
        <v>3.5311596795293112E-4</v>
      </c>
      <c r="Q203" s="304">
        <f t="shared" si="51"/>
        <v>0.5</v>
      </c>
      <c r="R203" s="176">
        <f t="shared" si="52"/>
        <v>0.36264152668774519</v>
      </c>
      <c r="S203" s="814">
        <f t="shared" si="53"/>
        <v>0</v>
      </c>
      <c r="T203" s="175">
        <f t="shared" si="54"/>
        <v>6</v>
      </c>
      <c r="U203" s="250">
        <f t="shared" si="55"/>
        <v>0.36264152668774519</v>
      </c>
      <c r="V203" s="382">
        <f t="shared" si="56"/>
        <v>54.825681176597094</v>
      </c>
      <c r="W203" s="401"/>
      <c r="X203" s="157">
        <f t="shared" si="57"/>
        <v>44019</v>
      </c>
      <c r="Y203" s="384">
        <f t="shared" si="58"/>
        <v>55.476999999999997</v>
      </c>
      <c r="Z203" s="384">
        <f t="shared" si="59"/>
        <v>56.419327077774412</v>
      </c>
      <c r="AA203" s="385">
        <f t="shared" si="60"/>
        <v>58.816904781076616</v>
      </c>
      <c r="AB203" s="196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4.0763411679452827E-2</v>
      </c>
      <c r="AD203" s="230">
        <f>(INDEX(Models!$BJ203:$BT203,,AH203)*(1-AF203)+INDEX(Models!$BJ203:$BT203,,AH203+1)*AF203-ERP_i)*AE203*Ramure*Pc/MaxiM</f>
        <v>3.5311596795293112E-4</v>
      </c>
      <c r="AE203" s="304">
        <f t="shared" si="62"/>
        <v>0.5</v>
      </c>
      <c r="AF203" s="176">
        <f t="shared" si="63"/>
        <v>0.36264152668774519</v>
      </c>
      <c r="AG203" s="814">
        <f t="shared" si="71"/>
        <v>0</v>
      </c>
      <c r="AH203" s="175">
        <f t="shared" si="64"/>
        <v>6</v>
      </c>
      <c r="AI203" s="224">
        <f t="shared" si="65"/>
        <v>0.36264152668774519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44020</v>
      </c>
      <c r="B204" s="616">
        <v>54.078000000000003</v>
      </c>
      <c r="C204" s="389"/>
      <c r="D204" s="392">
        <f t="shared" si="48"/>
        <v>54.997768388297267</v>
      </c>
      <c r="E204" s="384">
        <f t="shared" si="72"/>
        <v>57.337345012430688</v>
      </c>
      <c r="F204" s="384">
        <f t="shared" si="49"/>
        <v>57.357074549522252</v>
      </c>
      <c r="G204" s="110">
        <f t="shared" si="73"/>
        <v>0.98767877707619156</v>
      </c>
      <c r="H204" s="413" t="b">
        <f>Wh_hp&gt;='2019'!Maxi_hp</f>
        <v>1</v>
      </c>
      <c r="I204" s="379">
        <f>IF(H204,Wh_hp,'2019'!Maxi_hp)</f>
        <v>57.357074549522252</v>
      </c>
      <c r="J204" s="85">
        <f>IF(H204,An,'2019'!An_max)</f>
        <v>2020</v>
      </c>
      <c r="K204" s="196">
        <f t="shared" si="50"/>
        <v>44020</v>
      </c>
      <c r="L204" s="147">
        <f>IF(t&lt;Tvie,1-EXP((T0-t)*PertePVj)+'2019'!Pspv,1-EXP((T0-t)*PertePVj)+Pspv)</f>
        <v>1.672374016711875E-2</v>
      </c>
      <c r="M204" s="847"/>
      <c r="N204" s="847"/>
      <c r="O204" s="48">
        <f>IF(t&lt;Tnet,'2019'!Resal+('2019'!Salim-'2019'!Resal)*(1-EXP(('2019'!Tnet-t)/('2019'!Tau_j))),Resal+(Salim-Resal)*(1-EXP((Tnet-t)/(Tau_j))))*Salcycl</f>
        <v>4.0803713942914592E-2</v>
      </c>
      <c r="P204" s="168">
        <f>(INDEX(Models!$BJ204:$BT204,,T204)*(1-R204)+INDEX(Models!$BJ204:$BT204,,T204+1)*R204-ERP_i)*Q204*Ramure*Pc/MaxiM</f>
        <v>3.5013738034845871E-4</v>
      </c>
      <c r="Q204" s="304">
        <f t="shared" si="51"/>
        <v>0.5</v>
      </c>
      <c r="R204" s="176">
        <f t="shared" si="52"/>
        <v>0.36487238856301646</v>
      </c>
      <c r="S204" s="814">
        <f t="shared" si="53"/>
        <v>0</v>
      </c>
      <c r="T204" s="175">
        <f t="shared" si="54"/>
        <v>6</v>
      </c>
      <c r="U204" s="250">
        <f t="shared" si="55"/>
        <v>0.36487238856301646</v>
      </c>
      <c r="V204" s="382">
        <f t="shared" si="56"/>
        <v>54.75228183577606</v>
      </c>
      <c r="W204" s="401"/>
      <c r="X204" s="157">
        <f t="shared" si="57"/>
        <v>44020</v>
      </c>
      <c r="Y204" s="384">
        <f t="shared" si="58"/>
        <v>54.078000000000003</v>
      </c>
      <c r="Z204" s="384">
        <f t="shared" si="59"/>
        <v>54.997768388297267</v>
      </c>
      <c r="AA204" s="385">
        <f t="shared" si="60"/>
        <v>57.337345012430688</v>
      </c>
      <c r="AB204" s="196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4.0803713942914592E-2</v>
      </c>
      <c r="AD204" s="230">
        <f>(INDEX(Models!$BJ204:$BT204,,AH204)*(1-AF204)+INDEX(Models!$BJ204:$BT204,,AH204+1)*AF204-ERP_i)*AE204*Ramure*Pc/MaxiM</f>
        <v>3.5013738034845871E-4</v>
      </c>
      <c r="AE204" s="304">
        <f t="shared" si="62"/>
        <v>0.5</v>
      </c>
      <c r="AF204" s="176">
        <f t="shared" si="63"/>
        <v>0.36487238856301646</v>
      </c>
      <c r="AG204" s="814">
        <f t="shared" si="71"/>
        <v>0</v>
      </c>
      <c r="AH204" s="175">
        <f t="shared" si="64"/>
        <v>6</v>
      </c>
      <c r="AI204" s="224">
        <f t="shared" si="65"/>
        <v>0.36487238856301646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44021</v>
      </c>
      <c r="B205" s="616">
        <v>49.887999999999998</v>
      </c>
      <c r="C205" s="389"/>
      <c r="D205" s="392">
        <f t="shared" si="48"/>
        <v>50.737615395744726</v>
      </c>
      <c r="E205" s="384">
        <f t="shared" si="72"/>
        <v>52.898161810927512</v>
      </c>
      <c r="F205" s="384">
        <f t="shared" si="49"/>
        <v>52.914216220985637</v>
      </c>
      <c r="G205" s="110">
        <f t="shared" si="73"/>
        <v>0.91234518384337215</v>
      </c>
      <c r="H205" s="413" t="b">
        <f>Wh_hp&gt;='2019'!Maxi_hp</f>
        <v>0</v>
      </c>
      <c r="I205" s="379">
        <f>IF(H205,Wh_hp,'2019'!Maxi_hp)</f>
        <v>57.577022545392943</v>
      </c>
      <c r="J205" s="85">
        <f>IF(H205,An,'2019'!An_max)</f>
        <v>2019</v>
      </c>
      <c r="K205" s="196">
        <f t="shared" si="50"/>
        <v>44021</v>
      </c>
      <c r="L205" s="147">
        <f>IF(t&lt;Tvie,1-EXP((T0-t)*PertePVj)+'2019'!Pspv,1-EXP((T0-t)*PertePVj)+Pspv)</f>
        <v>1.6745276440720991E-2</v>
      </c>
      <c r="M205" s="847"/>
      <c r="N205" s="847"/>
      <c r="O205" s="48">
        <f>IF(t&lt;Tnet,'2019'!Resal+('2019'!Salim-'2019'!Resal)*(1-EXP(('2019'!Tnet-t)/('2019'!Tau_j))),Resal+(Salim-Resal)*(1-EXP((Tnet-t)/(Tau_j))))*Salcycl</f>
        <v>4.0843506489037701E-2</v>
      </c>
      <c r="P205" s="168">
        <f>(INDEX(Models!$BJ205:$BT205,,T205)*(1-R205)+INDEX(Models!$BJ205:$BT205,,T205+1)*R205-ERP_i)*Q205*Ramure*Pc/MaxiM</f>
        <v>3.4681320128768434E-4</v>
      </c>
      <c r="Q205" s="304">
        <f t="shared" si="51"/>
        <v>0.5</v>
      </c>
      <c r="R205" s="176">
        <f t="shared" si="52"/>
        <v>0.36705482115171367</v>
      </c>
      <c r="S205" s="814">
        <f t="shared" si="53"/>
        <v>0</v>
      </c>
      <c r="T205" s="175">
        <f t="shared" si="54"/>
        <v>6</v>
      </c>
      <c r="U205" s="250">
        <f t="shared" si="55"/>
        <v>0.36705482115171367</v>
      </c>
      <c r="V205" s="382">
        <f t="shared" si="56"/>
        <v>54.678683739119265</v>
      </c>
      <c r="W205" s="401"/>
      <c r="X205" s="157">
        <f t="shared" si="57"/>
        <v>44021</v>
      </c>
      <c r="Y205" s="384">
        <f t="shared" si="58"/>
        <v>49.887999999999998</v>
      </c>
      <c r="Z205" s="384">
        <f t="shared" si="59"/>
        <v>50.737615395744726</v>
      </c>
      <c r="AA205" s="385">
        <f t="shared" si="60"/>
        <v>52.898161810927512</v>
      </c>
      <c r="AB205" s="196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4.0843506489037701E-2</v>
      </c>
      <c r="AD205" s="230">
        <f>(INDEX(Models!$BJ205:$BT205,,AH205)*(1-AF205)+INDEX(Models!$BJ205:$BT205,,AH205+1)*AF205-ERP_i)*AE205*Ramure*Pc/MaxiM</f>
        <v>3.4681320128768434E-4</v>
      </c>
      <c r="AE205" s="304">
        <f t="shared" si="62"/>
        <v>0.5</v>
      </c>
      <c r="AF205" s="176">
        <f t="shared" si="63"/>
        <v>0.36705482115171367</v>
      </c>
      <c r="AG205" s="814">
        <f t="shared" si="71"/>
        <v>0</v>
      </c>
      <c r="AH205" s="175">
        <f t="shared" si="64"/>
        <v>6</v>
      </c>
      <c r="AI205" s="224">
        <f t="shared" si="65"/>
        <v>0.36705482115171367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44022</v>
      </c>
      <c r="B206" s="616">
        <v>45.317</v>
      </c>
      <c r="C206" s="389"/>
      <c r="D206" s="392">
        <f t="shared" si="48"/>
        <v>46.089778665183211</v>
      </c>
      <c r="E206" s="384">
        <f t="shared" si="72"/>
        <v>48.054376548342105</v>
      </c>
      <c r="F206" s="384">
        <f t="shared" si="49"/>
        <v>48.066859857659438</v>
      </c>
      <c r="G206" s="110">
        <f t="shared" si="73"/>
        <v>0.82984152520289378</v>
      </c>
      <c r="H206" s="413" t="b">
        <f>Wh_hp&gt;='2019'!Maxi_hp</f>
        <v>0</v>
      </c>
      <c r="I206" s="379">
        <f>IF(H206,Wh_hp,'2019'!Maxi_hp)</f>
        <v>58.243264696264866</v>
      </c>
      <c r="J206" s="85">
        <f>IF(H206,An,'2019'!An_max)</f>
        <v>2019</v>
      </c>
      <c r="K206" s="196">
        <f t="shared" si="50"/>
        <v>44022</v>
      </c>
      <c r="L206" s="147">
        <f>IF(t&lt;Tvie,1-EXP((T0-t)*PertePVj)+'2019'!Pspv,1-EXP((T0-t)*PertePVj)+Pspv)</f>
        <v>1.6766812242623663E-2</v>
      </c>
      <c r="M206" s="847"/>
      <c r="N206" s="847"/>
      <c r="O206" s="48">
        <f>IF(t&lt;Tnet,'2019'!Resal+('2019'!Salim-'2019'!Resal)*(1-EXP(('2019'!Tnet-t)/('2019'!Tau_j))),Resal+(Salim-Resal)*(1-EXP((Tnet-t)/(Tau_j))))*Salcycl</f>
        <v>4.0882808690328877E-2</v>
      </c>
      <c r="P206" s="168">
        <f>(INDEX(Models!$BJ206:$BT206,,T206)*(1-R206)+INDEX(Models!$BJ206:$BT206,,T206+1)*R206-ERP_i)*Q206*Ramure*Pc/MaxiM</f>
        <v>3.4306728971090312E-4</v>
      </c>
      <c r="Q206" s="304">
        <f t="shared" si="51"/>
        <v>0.5</v>
      </c>
      <c r="R206" s="176">
        <f t="shared" si="52"/>
        <v>0.3691886017867323</v>
      </c>
      <c r="S206" s="814">
        <f t="shared" si="53"/>
        <v>0</v>
      </c>
      <c r="T206" s="175">
        <f t="shared" si="54"/>
        <v>6</v>
      </c>
      <c r="U206" s="250">
        <f t="shared" si="55"/>
        <v>0.3691886017867323</v>
      </c>
      <c r="V206" s="382">
        <f t="shared" si="56"/>
        <v>54.604668497577919</v>
      </c>
      <c r="W206" s="401"/>
      <c r="X206" s="157">
        <f t="shared" si="57"/>
        <v>44022</v>
      </c>
      <c r="Y206" s="384">
        <f t="shared" si="58"/>
        <v>45.317</v>
      </c>
      <c r="Z206" s="384">
        <f t="shared" si="59"/>
        <v>46.089778665183211</v>
      </c>
      <c r="AA206" s="385">
        <f t="shared" si="60"/>
        <v>48.054376548342105</v>
      </c>
      <c r="AB206" s="196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4.0882808690328877E-2</v>
      </c>
      <c r="AD206" s="230">
        <f>(INDEX(Models!$BJ206:$BT206,,AH206)*(1-AF206)+INDEX(Models!$BJ206:$BT206,,AH206+1)*AF206-ERP_i)*AE206*Ramure*Pc/MaxiM</f>
        <v>3.4306728971090312E-4</v>
      </c>
      <c r="AE206" s="304">
        <f t="shared" si="62"/>
        <v>0.5</v>
      </c>
      <c r="AF206" s="176">
        <f t="shared" si="63"/>
        <v>0.3691886017867323</v>
      </c>
      <c r="AG206" s="814">
        <f t="shared" si="71"/>
        <v>0</v>
      </c>
      <c r="AH206" s="175">
        <f t="shared" si="64"/>
        <v>6</v>
      </c>
      <c r="AI206" s="224">
        <f t="shared" si="65"/>
        <v>0.3691886017867323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44023</v>
      </c>
      <c r="B207" s="616">
        <v>40.584000000000003</v>
      </c>
      <c r="C207" s="389"/>
      <c r="D207" s="392">
        <f t="shared" ref="D207:D270" si="74">Wh/(1-Ppv)</f>
        <v>41.276972155297457</v>
      </c>
      <c r="E207" s="384">
        <f t="shared" si="72"/>
        <v>43.038164437288145</v>
      </c>
      <c r="F207" s="384">
        <f t="shared" ref="F207:F270" si="75">Wh_sa/(1-Pvg*MEDIAN((-Sdif+Wh/Env_an)/Csdif,0,1))</f>
        <v>43.047426743496217</v>
      </c>
      <c r="G207" s="110">
        <f t="shared" si="73"/>
        <v>0.74415555653532206</v>
      </c>
      <c r="H207" s="413" t="b">
        <f>Wh_hp&gt;='2019'!Maxi_hp</f>
        <v>0</v>
      </c>
      <c r="I207" s="379">
        <f>IF(H207,Wh_hp,'2019'!Maxi_hp)</f>
        <v>59.300969895752004</v>
      </c>
      <c r="J207" s="85">
        <f>IF(H207,An,'2019'!An_max)</f>
        <v>2019</v>
      </c>
      <c r="K207" s="196">
        <f t="shared" ref="K207:K270" si="76">t</f>
        <v>44023</v>
      </c>
      <c r="L207" s="147">
        <f>IF(t&lt;Tvie,1-EXP((T0-t)*PertePVj)+'2019'!Pspv,1-EXP((T0-t)*PertePVj)+Pspv)</f>
        <v>1.6788347572837092E-2</v>
      </c>
      <c r="M207" s="847"/>
      <c r="N207" s="847"/>
      <c r="O207" s="48">
        <f>IF(t&lt;Tnet,'2019'!Resal+('2019'!Salim-'2019'!Resal)*(1-EXP(('2019'!Tnet-t)/('2019'!Tau_j))),Resal+(Salim-Resal)*(1-EXP((Tnet-t)/(Tau_j))))*Salcycl</f>
        <v>4.0921640246924552E-2</v>
      </c>
      <c r="P207" s="168">
        <f>(INDEX(Models!$BJ207:$BT207,,T207)*(1-R207)+INDEX(Models!$BJ207:$BT207,,T207+1)*R207-ERP_i)*Q207*Ramure*Pc/MaxiM</f>
        <v>3.390351494546429E-4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0.37127359791476322</v>
      </c>
      <c r="S207" s="814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0.37127359791476322</v>
      </c>
      <c r="V207" s="382">
        <f t="shared" ref="V207:V270" si="82">MaxiM*(1-Ppv)*(1-Pvg)*(1-Psa)</f>
        <v>54.530227479774979</v>
      </c>
      <c r="W207" s="401"/>
      <c r="X207" s="157">
        <f t="shared" ref="X207:X270" si="83">t</f>
        <v>44023</v>
      </c>
      <c r="Y207" s="384">
        <f t="shared" ref="Y207:Y270" si="84">Wh_pvt_s*(1-Ppv)</f>
        <v>40.584000000000003</v>
      </c>
      <c r="Z207" s="384">
        <f t="shared" ref="Z207:Z270" si="85">Wh_sa_s*(1-Psa_s)</f>
        <v>41.276972155297457</v>
      </c>
      <c r="AA207" s="385">
        <f t="shared" ref="AA207:AA270" si="86">Wh_hp*(1-Pvg_s*MEDIAN((-Sdif+Wh/Env_an)/Csdif,0,1))</f>
        <v>43.038164437288145</v>
      </c>
      <c r="AB207" s="196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4.0921640246924552E-2</v>
      </c>
      <c r="AD207" s="230">
        <f>(INDEX(Models!$BJ207:$BT207,,AH207)*(1-AF207)+INDEX(Models!$BJ207:$BT207,,AH207+1)*AF207-ERP_i)*AE207*Ramure*Pc/MaxiM</f>
        <v>3.390351494546429E-4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0.37127359791476322</v>
      </c>
      <c r="AG207" s="814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0.37127359791476322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34.225999999999999</v>
      </c>
      <c r="C208" s="389"/>
      <c r="D208" s="392">
        <f t="shared" si="74"/>
        <v>34.811171703636411</v>
      </c>
      <c r="E208" s="384">
        <f t="shared" si="72"/>
        <v>36.297935923700912</v>
      </c>
      <c r="F208" s="384">
        <f t="shared" si="75"/>
        <v>36.303638686768991</v>
      </c>
      <c r="G208" s="110">
        <f t="shared" si="73"/>
        <v>0.6284031500212901</v>
      </c>
      <c r="H208" s="413" t="b">
        <f>Wh_hp&gt;='2019'!Maxi_hp</f>
        <v>0</v>
      </c>
      <c r="I208" s="379">
        <f>IF(H208,Wh_hp,'2019'!Maxi_hp)</f>
        <v>51.897485728868915</v>
      </c>
      <c r="J208" s="85">
        <f>IF(H208,An,'2019'!An_max)</f>
        <v>2019</v>
      </c>
      <c r="K208" s="196">
        <f t="shared" si="76"/>
        <v>44024</v>
      </c>
      <c r="L208" s="147">
        <f>IF(t&lt;Tvie,1-EXP((T0-t)*PertePVj)+'2019'!Pspv,1-EXP((T0-t)*PertePVj)+Pspv)</f>
        <v>1.6809882431371381E-2</v>
      </c>
      <c r="M208" s="847"/>
      <c r="N208" s="847"/>
      <c r="O208" s="48">
        <f>IF(t&lt;Tnet,'2019'!Resal+('2019'!Salim-'2019'!Resal)*(1-EXP(('2019'!Tnet-t)/('2019'!Tau_j))),Resal+(Salim-Resal)*(1-EXP((Tnet-t)/(Tau_j))))*Salcycl</f>
        <v>4.0960021065377231E-2</v>
      </c>
      <c r="P208" s="168">
        <f>(INDEX(Models!$BJ208:$BT208,,T208)*(1-R208)+INDEX(Models!$BJ208:$BT208,,T208+1)*R208-ERP_i)*Q208*Ramure*Pc/MaxiM</f>
        <v>3.3471737459662163E-4</v>
      </c>
      <c r="Q208" s="304">
        <f t="shared" si="77"/>
        <v>0.5</v>
      </c>
      <c r="R208" s="176">
        <f t="shared" si="78"/>
        <v>0.37330976344517042</v>
      </c>
      <c r="S208" s="814">
        <f t="shared" si="79"/>
        <v>0</v>
      </c>
      <c r="T208" s="175">
        <f t="shared" si="80"/>
        <v>6</v>
      </c>
      <c r="U208" s="250">
        <f t="shared" si="81"/>
        <v>0.37330976344517042</v>
      </c>
      <c r="V208" s="382">
        <f t="shared" si="82"/>
        <v>54.455359435513408</v>
      </c>
      <c r="W208" s="401"/>
      <c r="X208" s="157">
        <f t="shared" si="83"/>
        <v>44024</v>
      </c>
      <c r="Y208" s="384">
        <f t="shared" si="84"/>
        <v>34.225999999999999</v>
      </c>
      <c r="Z208" s="384">
        <f t="shared" si="85"/>
        <v>34.811171703636411</v>
      </c>
      <c r="AA208" s="385">
        <f t="shared" si="86"/>
        <v>36.297935923700912</v>
      </c>
      <c r="AB208" s="196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4.0960021065377231E-2</v>
      </c>
      <c r="AD208" s="230">
        <f>(INDEX(Models!$BJ208:$BT208,,AH208)*(1-AF208)+INDEX(Models!$BJ208:$BT208,,AH208+1)*AF208-ERP_i)*AE208*Ramure*Pc/MaxiM</f>
        <v>3.3471737459662163E-4</v>
      </c>
      <c r="AE208" s="304">
        <f t="shared" si="88"/>
        <v>0.5</v>
      </c>
      <c r="AF208" s="176">
        <f t="shared" si="89"/>
        <v>0.37330976344517042</v>
      </c>
      <c r="AG208" s="814">
        <f t="shared" ref="AG208:AG271" si="95">INDEX(Echel_vg,AH208)</f>
        <v>0</v>
      </c>
      <c r="AH208" s="175">
        <f t="shared" si="90"/>
        <v>6</v>
      </c>
      <c r="AI208" s="224">
        <f t="shared" si="91"/>
        <v>0.37330976344517042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44025</v>
      </c>
      <c r="B209" s="616">
        <v>54.533000000000001</v>
      </c>
      <c r="C209" s="389"/>
      <c r="D209" s="392">
        <f t="shared" si="74"/>
        <v>55.466581146763751</v>
      </c>
      <c r="E209" s="384">
        <f t="shared" si="72"/>
        <v>57.837814183442752</v>
      </c>
      <c r="F209" s="384">
        <f t="shared" si="75"/>
        <v>57.856913599495357</v>
      </c>
      <c r="G209" s="110">
        <f t="shared" si="73"/>
        <v>1.0028123706269858</v>
      </c>
      <c r="H209" s="413" t="b">
        <f>Wh_hp&gt;='2019'!Maxi_hp</f>
        <v>0</v>
      </c>
      <c r="I209" s="379">
        <f>IF(H209,Wh_hp,'2019'!Maxi_hp)</f>
        <v>58.425013192463943</v>
      </c>
      <c r="J209" s="85">
        <f>IF(H209,An,'2019'!An_max)</f>
        <v>2019</v>
      </c>
      <c r="K209" s="196">
        <f t="shared" si="76"/>
        <v>44025</v>
      </c>
      <c r="L209" s="147">
        <f>IF(t&lt;Tvie,1-EXP((T0-t)*PertePVj)+'2019'!Pspv,1-EXP((T0-t)*PertePVj)+Pspv)</f>
        <v>1.6831416818237077E-2</v>
      </c>
      <c r="M209" s="847"/>
      <c r="N209" s="847"/>
      <c r="O209" s="48">
        <f>IF(t&lt;Tnet,'2019'!Resal+('2019'!Salim-'2019'!Resal)*(1-EXP(('2019'!Tnet-t)/('2019'!Tau_j))),Resal+(Salim-Resal)*(1-EXP((Tnet-t)/(Tau_j))))*Salcycl</f>
        <v>4.0997971139749935E-2</v>
      </c>
      <c r="P209" s="168">
        <f>(INDEX(Models!$BJ209:$BT209,,T209)*(1-R209)+INDEX(Models!$BJ209:$BT209,,T209+1)*R209-ERP_i)*Q209*Ramure*Pc/MaxiM</f>
        <v>3.301146719442361E-4</v>
      </c>
      <c r="Q209" s="304">
        <f t="shared" si="77"/>
        <v>0.5</v>
      </c>
      <c r="R209" s="176">
        <f t="shared" si="78"/>
        <v>0.3752971349240502</v>
      </c>
      <c r="S209" s="814">
        <f t="shared" si="79"/>
        <v>0</v>
      </c>
      <c r="T209" s="175">
        <f t="shared" si="80"/>
        <v>6</v>
      </c>
      <c r="U209" s="250">
        <f t="shared" si="81"/>
        <v>0.3752971349240502</v>
      </c>
      <c r="V209" s="382">
        <f t="shared" si="82"/>
        <v>54.380063107821925</v>
      </c>
      <c r="W209" s="401"/>
      <c r="X209" s="157">
        <f t="shared" si="83"/>
        <v>44025</v>
      </c>
      <c r="Y209" s="384">
        <f t="shared" si="84"/>
        <v>54.533000000000001</v>
      </c>
      <c r="Z209" s="384">
        <f t="shared" si="85"/>
        <v>55.466581146763751</v>
      </c>
      <c r="AA209" s="385">
        <f t="shared" si="86"/>
        <v>57.837814183442752</v>
      </c>
      <c r="AB209" s="196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4.0997971139749935E-2</v>
      </c>
      <c r="AD209" s="230">
        <f>(INDEX(Models!$BJ209:$BT209,,AH209)*(1-AF209)+INDEX(Models!$BJ209:$BT209,,AH209+1)*AF209-ERP_i)*AE209*Ramure*Pc/MaxiM</f>
        <v>3.301146719442361E-4</v>
      </c>
      <c r="AE209" s="304">
        <f t="shared" si="88"/>
        <v>0.5</v>
      </c>
      <c r="AF209" s="176">
        <f t="shared" si="89"/>
        <v>0.3752971349240502</v>
      </c>
      <c r="AG209" s="814">
        <f t="shared" si="95"/>
        <v>0</v>
      </c>
      <c r="AH209" s="175">
        <f t="shared" si="90"/>
        <v>6</v>
      </c>
      <c r="AI209" s="224">
        <f t="shared" si="91"/>
        <v>0.3752971349240502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44026</v>
      </c>
      <c r="B210" s="616">
        <v>46.353000000000002</v>
      </c>
      <c r="C210" s="389"/>
      <c r="D210" s="392">
        <f t="shared" si="74"/>
        <v>47.147575771681488</v>
      </c>
      <c r="E210" s="384">
        <f t="shared" si="72"/>
        <v>49.165090349810463</v>
      </c>
      <c r="F210" s="384">
        <f t="shared" si="75"/>
        <v>49.177738797514969</v>
      </c>
      <c r="G210" s="110">
        <f t="shared" si="73"/>
        <v>0.85352014566010048</v>
      </c>
      <c r="H210" s="413" t="b">
        <f>Wh_hp&gt;='2019'!Maxi_hp</f>
        <v>0</v>
      </c>
      <c r="I210" s="379">
        <f>IF(H210,Wh_hp,'2019'!Maxi_hp)</f>
        <v>59.682824722317406</v>
      </c>
      <c r="J210" s="85">
        <f>IF(H210,An,'2019'!An_max)</f>
        <v>2019</v>
      </c>
      <c r="K210" s="196">
        <f t="shared" si="76"/>
        <v>44026</v>
      </c>
      <c r="L210" s="147">
        <f>IF(t&lt;Tvie,1-EXP((T0-t)*PertePVj)+'2019'!Pspv,1-EXP((T0-t)*PertePVj)+Pspv)</f>
        <v>1.6852950733444394E-2</v>
      </c>
      <c r="M210" s="847"/>
      <c r="N210" s="847"/>
      <c r="O210" s="48">
        <f>IF(t&lt;Tnet,'2019'!Resal+('2019'!Salim-'2019'!Resal)*(1-EXP(('2019'!Tnet-t)/('2019'!Tau_j))),Resal+(Salim-Resal)*(1-EXP((Tnet-t)/(Tau_j))))*Salcycl</f>
        <v>4.1035510435846266E-2</v>
      </c>
      <c r="P210" s="168">
        <f>(INDEX(Models!$BJ210:$BT210,,T210)*(1-R210)+INDEX(Models!$BJ210:$BT210,,T210+1)*R210-ERP_i)*Q210*Ramure*Pc/MaxiM</f>
        <v>3.2522783773882984E-4</v>
      </c>
      <c r="Q210" s="304">
        <f t="shared" si="77"/>
        <v>0.5</v>
      </c>
      <c r="R210" s="176">
        <f t="shared" si="78"/>
        <v>0.37723582756714163</v>
      </c>
      <c r="S210" s="814">
        <f t="shared" si="79"/>
        <v>0</v>
      </c>
      <c r="T210" s="175">
        <f t="shared" si="80"/>
        <v>6</v>
      </c>
      <c r="U210" s="250">
        <f t="shared" si="81"/>
        <v>0.37723582756714163</v>
      </c>
      <c r="V210" s="382">
        <f t="shared" si="82"/>
        <v>54.304337240523985</v>
      </c>
      <c r="W210" s="401"/>
      <c r="X210" s="157">
        <f t="shared" si="83"/>
        <v>44026</v>
      </c>
      <c r="Y210" s="384">
        <f t="shared" si="84"/>
        <v>46.353000000000002</v>
      </c>
      <c r="Z210" s="384">
        <f t="shared" si="85"/>
        <v>47.147575771681488</v>
      </c>
      <c r="AA210" s="385">
        <f t="shared" si="86"/>
        <v>49.165090349810463</v>
      </c>
      <c r="AB210" s="196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4.1035510435846266E-2</v>
      </c>
      <c r="AD210" s="230">
        <f>(INDEX(Models!$BJ210:$BT210,,AH210)*(1-AF210)+INDEX(Models!$BJ210:$BT210,,AH210+1)*AF210-ERP_i)*AE210*Ramure*Pc/MaxiM</f>
        <v>3.2522783773882984E-4</v>
      </c>
      <c r="AE210" s="304">
        <f t="shared" si="88"/>
        <v>0.5</v>
      </c>
      <c r="AF210" s="176">
        <f t="shared" si="89"/>
        <v>0.37723582756714163</v>
      </c>
      <c r="AG210" s="814">
        <f t="shared" si="95"/>
        <v>0</v>
      </c>
      <c r="AH210" s="175">
        <f t="shared" si="90"/>
        <v>6</v>
      </c>
      <c r="AI210" s="224">
        <f t="shared" si="91"/>
        <v>0.37723582756714163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44027</v>
      </c>
      <c r="B211" s="616">
        <v>23.277000000000001</v>
      </c>
      <c r="C211" s="389"/>
      <c r="D211" s="392">
        <f t="shared" si="74"/>
        <v>23.676529217649598</v>
      </c>
      <c r="E211" s="384">
        <f t="shared" si="72"/>
        <v>24.690639425831055</v>
      </c>
      <c r="F211" s="384">
        <f t="shared" si="75"/>
        <v>24.692098546376318</v>
      </c>
      <c r="G211" s="110">
        <f t="shared" si="73"/>
        <v>0.4291297422145216</v>
      </c>
      <c r="H211" s="413" t="b">
        <f>Wh_hp&gt;='2019'!Maxi_hp</f>
        <v>0</v>
      </c>
      <c r="I211" s="379">
        <f>IF(H211,Wh_hp,'2019'!Maxi_hp)</f>
        <v>58.694583788185525</v>
      </c>
      <c r="J211" s="85">
        <f>IF(H211,An,'2019'!An_max)</f>
        <v>2019</v>
      </c>
      <c r="K211" s="196">
        <f t="shared" si="76"/>
        <v>44027</v>
      </c>
      <c r="L211" s="147">
        <f>IF(t&lt;Tvie,1-EXP((T0-t)*PertePVj)+'2019'!Pspv,1-EXP((T0-t)*PertePVj)+Pspv)</f>
        <v>1.6874484177003768E-2</v>
      </c>
      <c r="M211" s="847"/>
      <c r="N211" s="847"/>
      <c r="O211" s="48">
        <f>IF(t&lt;Tnet,'2019'!Resal+('2019'!Salim-'2019'!Resal)*(1-EXP(('2019'!Tnet-t)/('2019'!Tau_j))),Resal+(Salim-Resal)*(1-EXP((Tnet-t)/(Tau_j))))*Salcycl</f>
        <v>4.1072658779363377E-2</v>
      </c>
      <c r="P211" s="168">
        <f>(INDEX(Models!$BJ211:$BT211,,T211)*(1-R211)+INDEX(Models!$BJ211:$BT211,,T211+1)*R211-ERP_i)*Q211*Ramure*Pc/MaxiM</f>
        <v>3.2005773498549288E-4</v>
      </c>
      <c r="Q211" s="304">
        <f t="shared" si="77"/>
        <v>0.5</v>
      </c>
      <c r="R211" s="176">
        <f t="shared" si="78"/>
        <v>0.3791260311839465</v>
      </c>
      <c r="S211" s="814">
        <f t="shared" si="79"/>
        <v>0</v>
      </c>
      <c r="T211" s="175">
        <f t="shared" si="80"/>
        <v>6</v>
      </c>
      <c r="U211" s="250">
        <f t="shared" si="81"/>
        <v>0.3791260311839465</v>
      </c>
      <c r="V211" s="382">
        <f t="shared" si="82"/>
        <v>54.228180586397627</v>
      </c>
      <c r="W211" s="401"/>
      <c r="X211" s="157">
        <f t="shared" si="83"/>
        <v>44027</v>
      </c>
      <c r="Y211" s="384">
        <f t="shared" si="84"/>
        <v>23.277000000000001</v>
      </c>
      <c r="Z211" s="384">
        <f t="shared" si="85"/>
        <v>23.676529217649598</v>
      </c>
      <c r="AA211" s="385">
        <f t="shared" si="86"/>
        <v>24.690639425831055</v>
      </c>
      <c r="AB211" s="196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4.1072658779363377E-2</v>
      </c>
      <c r="AD211" s="230">
        <f>(INDEX(Models!$BJ211:$BT211,,AH211)*(1-AF211)+INDEX(Models!$BJ211:$BT211,,AH211+1)*AF211-ERP_i)*AE211*Ramure*Pc/MaxiM</f>
        <v>3.2005773498549288E-4</v>
      </c>
      <c r="AE211" s="304">
        <f t="shared" si="88"/>
        <v>0.5</v>
      </c>
      <c r="AF211" s="176">
        <f t="shared" si="89"/>
        <v>0.3791260311839465</v>
      </c>
      <c r="AG211" s="814">
        <f t="shared" si="95"/>
        <v>0</v>
      </c>
      <c r="AH211" s="175">
        <f t="shared" si="90"/>
        <v>6</v>
      </c>
      <c r="AI211" s="224">
        <f t="shared" si="91"/>
        <v>0.3791260311839465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44028</v>
      </c>
      <c r="B212" s="616">
        <v>23.637</v>
      </c>
      <c r="C212" s="389"/>
      <c r="D212" s="392">
        <f t="shared" si="74"/>
        <v>24.043234909343916</v>
      </c>
      <c r="E212" s="384">
        <f t="shared" si="72"/>
        <v>25.074013454410238</v>
      </c>
      <c r="F212" s="384">
        <f t="shared" si="75"/>
        <v>25.075551673360398</v>
      </c>
      <c r="G212" s="110">
        <f t="shared" si="73"/>
        <v>0.4363863082526025</v>
      </c>
      <c r="H212" s="413" t="b">
        <f>Wh_hp&gt;='2019'!Maxi_hp</f>
        <v>0</v>
      </c>
      <c r="I212" s="379">
        <f>IF(H212,Wh_hp,'2019'!Maxi_hp)</f>
        <v>52.115845251782453</v>
      </c>
      <c r="J212" s="85">
        <f>IF(H212,An,'2019'!An_max)</f>
        <v>2019</v>
      </c>
      <c r="K212" s="196">
        <f t="shared" si="76"/>
        <v>44028</v>
      </c>
      <c r="L212" s="147">
        <f>IF(t&lt;Tvie,1-EXP((T0-t)*PertePVj)+'2019'!Pspv,1-EXP((T0-t)*PertePVj)+Pspv)</f>
        <v>1.6896017148925413E-2</v>
      </c>
      <c r="M212" s="847"/>
      <c r="N212" s="847"/>
      <c r="O212" s="48">
        <f>IF(t&lt;Tnet,'2019'!Resal+('2019'!Salim-'2019'!Resal)*(1-EXP(('2019'!Tnet-t)/('2019'!Tau_j))),Resal+(Salim-Resal)*(1-EXP((Tnet-t)/(Tau_j))))*Salcycl</f>
        <v>4.1109435748708144E-2</v>
      </c>
      <c r="P212" s="168">
        <f>(INDEX(Models!$BJ212:$BT212,,T212)*(1-R212)+INDEX(Models!$BJ212:$BT212,,T212+1)*R212-ERP_i)*Q212*Ramure*Pc/MaxiM</f>
        <v>3.145886526414999E-4</v>
      </c>
      <c r="Q212" s="304">
        <f t="shared" si="77"/>
        <v>0.5</v>
      </c>
      <c r="R212" s="176">
        <f t="shared" si="78"/>
        <v>0.38096800602389225</v>
      </c>
      <c r="S212" s="814">
        <f t="shared" si="79"/>
        <v>0</v>
      </c>
      <c r="T212" s="175">
        <f t="shared" si="80"/>
        <v>6</v>
      </c>
      <c r="U212" s="250">
        <f t="shared" si="81"/>
        <v>0.38096800602389225</v>
      </c>
      <c r="V212" s="382">
        <f t="shared" si="82"/>
        <v>54.151592814075592</v>
      </c>
      <c r="W212" s="401"/>
      <c r="X212" s="157">
        <f t="shared" si="83"/>
        <v>44028</v>
      </c>
      <c r="Y212" s="384">
        <f t="shared" si="84"/>
        <v>23.637</v>
      </c>
      <c r="Z212" s="384">
        <f t="shared" si="85"/>
        <v>24.043234909343916</v>
      </c>
      <c r="AA212" s="385">
        <f t="shared" si="86"/>
        <v>25.074013454410238</v>
      </c>
      <c r="AB212" s="196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4.1109435748708144E-2</v>
      </c>
      <c r="AD212" s="230">
        <f>(INDEX(Models!$BJ212:$BT212,,AH212)*(1-AF212)+INDEX(Models!$BJ212:$BT212,,AH212+1)*AF212-ERP_i)*AE212*Ramure*Pc/MaxiM</f>
        <v>3.145886526414999E-4</v>
      </c>
      <c r="AE212" s="304">
        <f t="shared" si="88"/>
        <v>0.5</v>
      </c>
      <c r="AF212" s="176">
        <f t="shared" si="89"/>
        <v>0.38096800602389225</v>
      </c>
      <c r="AG212" s="814">
        <f t="shared" si="95"/>
        <v>0</v>
      </c>
      <c r="AH212" s="175">
        <f t="shared" si="90"/>
        <v>6</v>
      </c>
      <c r="AI212" s="224">
        <f t="shared" si="91"/>
        <v>0.38096800602389225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44029</v>
      </c>
      <c r="B213" s="616">
        <v>24.838000000000001</v>
      </c>
      <c r="C213" s="389"/>
      <c r="D213" s="392">
        <f t="shared" si="74"/>
        <v>25.265429152089315</v>
      </c>
      <c r="E213" s="384">
        <f t="shared" si="72"/>
        <v>26.349606382459704</v>
      </c>
      <c r="F213" s="384">
        <f t="shared" si="75"/>
        <v>26.351459403341845</v>
      </c>
      <c r="G213" s="110">
        <f t="shared" si="73"/>
        <v>0.45921908254829957</v>
      </c>
      <c r="H213" s="413" t="b">
        <f>Wh_hp&gt;='2019'!Maxi_hp</f>
        <v>0</v>
      </c>
      <c r="I213" s="379">
        <f>IF(H213,Wh_hp,'2019'!Maxi_hp)</f>
        <v>39.218640233255186</v>
      </c>
      <c r="J213" s="85">
        <f>IF(H213,An,'2019'!An_max)</f>
        <v>2019</v>
      </c>
      <c r="K213" s="196">
        <f t="shared" si="76"/>
        <v>44029</v>
      </c>
      <c r="L213" s="147">
        <f>IF(t&lt;Tvie,1-EXP((T0-t)*PertePVj)+'2019'!Pspv,1-EXP((T0-t)*PertePVj)+Pspv)</f>
        <v>1.6917549649219654E-2</v>
      </c>
      <c r="M213" s="847"/>
      <c r="N213" s="847"/>
      <c r="O213" s="48">
        <f>IF(t&lt;Tnet,'2019'!Resal+('2019'!Salim-'2019'!Resal)*(1-EXP(('2019'!Tnet-t)/('2019'!Tau_j))),Resal+(Salim-Resal)*(1-EXP((Tnet-t)/(Tau_j))))*Salcycl</f>
        <v>4.1145860573162114E-2</v>
      </c>
      <c r="P213" s="168">
        <f>(INDEX(Models!$BJ213:$BT213,,T213)*(1-R213)+INDEX(Models!$BJ213:$BT213,,T213+1)*R213-ERP_i)*Q213*Ramure*Pc/MaxiM</f>
        <v>3.0894393638434512E-4</v>
      </c>
      <c r="Q213" s="304">
        <f t="shared" si="77"/>
        <v>0.5</v>
      </c>
      <c r="R213" s="176">
        <f t="shared" si="78"/>
        <v>0.38276207857366651</v>
      </c>
      <c r="S213" s="814">
        <f t="shared" si="79"/>
        <v>0</v>
      </c>
      <c r="T213" s="175">
        <f t="shared" si="80"/>
        <v>6</v>
      </c>
      <c r="U213" s="250">
        <f t="shared" si="81"/>
        <v>0.38276207857366651</v>
      </c>
      <c r="V213" s="382">
        <f t="shared" si="82"/>
        <v>54.074566089689618</v>
      </c>
      <c r="W213" s="401"/>
      <c r="X213" s="157">
        <f t="shared" si="83"/>
        <v>44029</v>
      </c>
      <c r="Y213" s="384">
        <f t="shared" si="84"/>
        <v>24.838000000000001</v>
      </c>
      <c r="Z213" s="384">
        <f t="shared" si="85"/>
        <v>25.265429152089315</v>
      </c>
      <c r="AA213" s="385">
        <f t="shared" si="86"/>
        <v>26.349606382459704</v>
      </c>
      <c r="AB213" s="196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4.1145860573162114E-2</v>
      </c>
      <c r="AD213" s="230">
        <f>(INDEX(Models!$BJ213:$BT213,,AH213)*(1-AF213)+INDEX(Models!$BJ213:$BT213,,AH213+1)*AF213-ERP_i)*AE213*Ramure*Pc/MaxiM</f>
        <v>3.0894393638434512E-4</v>
      </c>
      <c r="AE213" s="304">
        <f t="shared" si="88"/>
        <v>0.5</v>
      </c>
      <c r="AF213" s="176">
        <f t="shared" si="89"/>
        <v>0.38276207857366651</v>
      </c>
      <c r="AG213" s="814">
        <f t="shared" si="95"/>
        <v>0</v>
      </c>
      <c r="AH213" s="175">
        <f t="shared" si="90"/>
        <v>6</v>
      </c>
      <c r="AI213" s="224">
        <f t="shared" si="91"/>
        <v>0.38276207857366651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44030</v>
      </c>
      <c r="B214" s="616">
        <v>54.582999999999998</v>
      </c>
      <c r="C214" s="389"/>
      <c r="D214" s="392">
        <f t="shared" si="74"/>
        <v>55.523517396218679</v>
      </c>
      <c r="E214" s="384">
        <f t="shared" si="72"/>
        <v>57.908293981511008</v>
      </c>
      <c r="F214" s="384">
        <f t="shared" si="75"/>
        <v>57.925852793246442</v>
      </c>
      <c r="G214" s="110">
        <f t="shared" si="73"/>
        <v>1.0108505977347959</v>
      </c>
      <c r="H214" s="413" t="b">
        <f>Wh_hp&gt;='2019'!Maxi_hp</f>
        <v>1</v>
      </c>
      <c r="I214" s="379">
        <f>IF(H214,Wh_hp,'2019'!Maxi_hp)</f>
        <v>57.925852793246442</v>
      </c>
      <c r="J214" s="85">
        <f>IF(H214,An,'2019'!An_max)</f>
        <v>2020</v>
      </c>
      <c r="K214" s="196">
        <f t="shared" si="76"/>
        <v>44030</v>
      </c>
      <c r="L214" s="147">
        <f>IF(t&lt;Tvie,1-EXP((T0-t)*PertePVj)+'2019'!Pspv,1-EXP((T0-t)*PertePVj)+Pspv)</f>
        <v>1.6939081677896928E-2</v>
      </c>
      <c r="M214" s="847"/>
      <c r="N214" s="847"/>
      <c r="O214" s="48">
        <f>IF(t&lt;Tnet,'2019'!Resal+('2019'!Salim-'2019'!Resal)*(1-EXP(('2019'!Tnet-t)/('2019'!Tau_j))),Resal+(Salim-Resal)*(1-EXP((Tnet-t)/(Tau_j))))*Salcycl</f>
        <v>4.1181952037021553E-2</v>
      </c>
      <c r="P214" s="168">
        <f>(INDEX(Models!$BJ214:$BT214,,T214)*(1-R214)+INDEX(Models!$BJ214:$BT214,,T214+1)*R214-ERP_i)*Q214*Ramure*Pc/MaxiM</f>
        <v>3.0312564923483669E-4</v>
      </c>
      <c r="Q214" s="304">
        <f t="shared" si="77"/>
        <v>0.5</v>
      </c>
      <c r="R214" s="176">
        <f t="shared" si="78"/>
        <v>0.38450863733300478</v>
      </c>
      <c r="S214" s="814">
        <f t="shared" si="79"/>
        <v>0</v>
      </c>
      <c r="T214" s="175">
        <f t="shared" si="80"/>
        <v>6</v>
      </c>
      <c r="U214" s="250">
        <f t="shared" si="81"/>
        <v>0.38450863733300478</v>
      </c>
      <c r="V214" s="382">
        <f t="shared" si="82"/>
        <v>53.99709919775924</v>
      </c>
      <c r="W214" s="401"/>
      <c r="X214" s="157">
        <f t="shared" si="83"/>
        <v>44030</v>
      </c>
      <c r="Y214" s="384">
        <f t="shared" si="84"/>
        <v>54.582999999999998</v>
      </c>
      <c r="Z214" s="384">
        <f t="shared" si="85"/>
        <v>55.523517396218679</v>
      </c>
      <c r="AA214" s="385">
        <f t="shared" si="86"/>
        <v>57.908293981511008</v>
      </c>
      <c r="AB214" s="196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4.1181952037021553E-2</v>
      </c>
      <c r="AD214" s="230">
        <f>(INDEX(Models!$BJ214:$BT214,,AH214)*(1-AF214)+INDEX(Models!$BJ214:$BT214,,AH214+1)*AF214-ERP_i)*AE214*Ramure*Pc/MaxiM</f>
        <v>3.0312564923483669E-4</v>
      </c>
      <c r="AE214" s="304">
        <f t="shared" si="88"/>
        <v>0.5</v>
      </c>
      <c r="AF214" s="176">
        <f t="shared" si="89"/>
        <v>0.38450863733300478</v>
      </c>
      <c r="AG214" s="814">
        <f t="shared" si="95"/>
        <v>0</v>
      </c>
      <c r="AH214" s="175">
        <f t="shared" si="90"/>
        <v>6</v>
      </c>
      <c r="AI214" s="224">
        <f t="shared" si="91"/>
        <v>0.38450863733300478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44031</v>
      </c>
      <c r="B215" s="616">
        <v>53.718000000000004</v>
      </c>
      <c r="C215" s="389"/>
      <c r="D215" s="392">
        <f t="shared" si="74"/>
        <v>54.644809478869597</v>
      </c>
      <c r="E215" s="384">
        <f t="shared" si="72"/>
        <v>56.993971516729097</v>
      </c>
      <c r="F215" s="384">
        <f t="shared" si="75"/>
        <v>57.010821173837634</v>
      </c>
      <c r="G215" s="110">
        <f t="shared" si="73"/>
        <v>0.99626707920396018</v>
      </c>
      <c r="H215" s="413" t="b">
        <f>Wh_hp&gt;='2019'!Maxi_hp</f>
        <v>1</v>
      </c>
      <c r="I215" s="379">
        <f>IF(H215,Wh_hp,'2019'!Maxi_hp)</f>
        <v>57.010821173837634</v>
      </c>
      <c r="J215" s="85">
        <f>IF(H215,An,'2019'!An_max)</f>
        <v>2020</v>
      </c>
      <c r="K215" s="196">
        <f t="shared" si="76"/>
        <v>44031</v>
      </c>
      <c r="L215" s="147">
        <f>IF(t&lt;Tvie,1-EXP((T0-t)*PertePVj)+'2019'!Pspv,1-EXP((T0-t)*PertePVj)+Pspv)</f>
        <v>1.6960613234967559E-2</v>
      </c>
      <c r="M215" s="847"/>
      <c r="N215" s="847"/>
      <c r="O215" s="48">
        <f>IF(t&lt;Tnet,'2019'!Resal+('2019'!Salim-'2019'!Resal)*(1-EXP(('2019'!Tnet-t)/('2019'!Tau_j))),Resal+(Salim-Resal)*(1-EXP((Tnet-t)/(Tau_j))))*Salcycl</f>
        <v>4.1217728390273031E-2</v>
      </c>
      <c r="P215" s="168">
        <f>(INDEX(Models!$BJ215:$BT215,,T215)*(1-R215)+INDEX(Models!$BJ215:$BT215,,T215+1)*R215-ERP_i)*Q215*Ramure*Pc/MaxiM</f>
        <v>2.9713578943257304E-4</v>
      </c>
      <c r="Q215" s="304">
        <f t="shared" si="77"/>
        <v>0.5</v>
      </c>
      <c r="R215" s="176">
        <f t="shared" si="78"/>
        <v>0.38620812859426584</v>
      </c>
      <c r="S215" s="814">
        <f t="shared" si="79"/>
        <v>0</v>
      </c>
      <c r="T215" s="175">
        <f t="shared" si="80"/>
        <v>6</v>
      </c>
      <c r="U215" s="250">
        <f t="shared" si="81"/>
        <v>0.38620812859426584</v>
      </c>
      <c r="V215" s="382">
        <f t="shared" si="82"/>
        <v>53.919190961274587</v>
      </c>
      <c r="W215" s="401"/>
      <c r="X215" s="157">
        <f t="shared" si="83"/>
        <v>44031</v>
      </c>
      <c r="Y215" s="384">
        <f t="shared" si="84"/>
        <v>53.718000000000004</v>
      </c>
      <c r="Z215" s="384">
        <f t="shared" si="85"/>
        <v>54.644809478869597</v>
      </c>
      <c r="AA215" s="385">
        <f t="shared" si="86"/>
        <v>56.993971516729097</v>
      </c>
      <c r="AB215" s="196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4.1217728390273031E-2</v>
      </c>
      <c r="AD215" s="230">
        <f>(INDEX(Models!$BJ215:$BT215,,AH215)*(1-AF215)+INDEX(Models!$BJ215:$BT215,,AH215+1)*AF215-ERP_i)*AE215*Ramure*Pc/MaxiM</f>
        <v>2.9713578943257304E-4</v>
      </c>
      <c r="AE215" s="304">
        <f t="shared" si="88"/>
        <v>0.5</v>
      </c>
      <c r="AF215" s="176">
        <f t="shared" si="89"/>
        <v>0.38620812859426584</v>
      </c>
      <c r="AG215" s="814">
        <f t="shared" si="95"/>
        <v>0</v>
      </c>
      <c r="AH215" s="175">
        <f t="shared" si="90"/>
        <v>6</v>
      </c>
      <c r="AI215" s="224">
        <f t="shared" si="91"/>
        <v>0.38620812859426584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44032</v>
      </c>
      <c r="B216" s="616">
        <v>44.856000000000002</v>
      </c>
      <c r="C216" s="389"/>
      <c r="D216" s="392">
        <f t="shared" si="74"/>
        <v>45.630910711170287</v>
      </c>
      <c r="E216" s="384">
        <f t="shared" si="72"/>
        <v>47.594329448614296</v>
      </c>
      <c r="F216" s="384">
        <f t="shared" si="75"/>
        <v>47.604879092254187</v>
      </c>
      <c r="G216" s="110">
        <f t="shared" si="73"/>
        <v>0.83306440874502574</v>
      </c>
      <c r="H216" s="413" t="b">
        <f>Wh_hp&gt;='2019'!Maxi_hp</f>
        <v>1</v>
      </c>
      <c r="I216" s="379">
        <f>IF(H216,Wh_hp,'2019'!Maxi_hp)</f>
        <v>47.604879092254187</v>
      </c>
      <c r="J216" s="85">
        <f>IF(H216,An,'2019'!An_max)</f>
        <v>2020</v>
      </c>
      <c r="K216" s="196">
        <f t="shared" si="76"/>
        <v>44032</v>
      </c>
      <c r="L216" s="147">
        <f>IF(t&lt;Tvie,1-EXP((T0-t)*PertePVj)+'2019'!Pspv,1-EXP((T0-t)*PertePVj)+Pspv)</f>
        <v>1.6982144320441761E-2</v>
      </c>
      <c r="M216" s="847"/>
      <c r="N216" s="847"/>
      <c r="O216" s="48">
        <f>IF(t&lt;Tnet,'2019'!Resal+('2019'!Salim-'2019'!Resal)*(1-EXP(('2019'!Tnet-t)/('2019'!Tau_j))),Resal+(Salim-Resal)*(1-EXP((Tnet-t)/(Tau_j))))*Salcycl</f>
        <v>4.1253207266294938E-2</v>
      </c>
      <c r="P216" s="168">
        <f>(INDEX(Models!$BJ216:$BT216,,T216)*(1-R216)+INDEX(Models!$BJ216:$BT216,,T216+1)*R216-ERP_i)*Q216*Ramure*Pc/MaxiM</f>
        <v>2.9097627826889114E-4</v>
      </c>
      <c r="Q216" s="304">
        <f t="shared" si="77"/>
        <v>0.5</v>
      </c>
      <c r="R216" s="176">
        <f t="shared" si="78"/>
        <v>0.38786105224910183</v>
      </c>
      <c r="S216" s="814">
        <f t="shared" si="79"/>
        <v>0</v>
      </c>
      <c r="T216" s="175">
        <f t="shared" si="80"/>
        <v>6</v>
      </c>
      <c r="U216" s="250">
        <f t="shared" si="81"/>
        <v>0.38786105224910183</v>
      </c>
      <c r="V216" s="382">
        <f t="shared" si="82"/>
        <v>53.840840247543881</v>
      </c>
      <c r="W216" s="401"/>
      <c r="X216" s="157">
        <f t="shared" si="83"/>
        <v>44032</v>
      </c>
      <c r="Y216" s="384">
        <f t="shared" si="84"/>
        <v>44.856000000000002</v>
      </c>
      <c r="Z216" s="384">
        <f t="shared" si="85"/>
        <v>45.630910711170287</v>
      </c>
      <c r="AA216" s="385">
        <f t="shared" si="86"/>
        <v>47.594329448614296</v>
      </c>
      <c r="AB216" s="196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4.1253207266294938E-2</v>
      </c>
      <c r="AD216" s="230">
        <f>(INDEX(Models!$BJ216:$BT216,,AH216)*(1-AF216)+INDEX(Models!$BJ216:$BT216,,AH216+1)*AF216-ERP_i)*AE216*Ramure*Pc/MaxiM</f>
        <v>2.9097627826889114E-4</v>
      </c>
      <c r="AE216" s="304">
        <f t="shared" si="88"/>
        <v>0.5</v>
      </c>
      <c r="AF216" s="176">
        <f t="shared" si="89"/>
        <v>0.38786105224910183</v>
      </c>
      <c r="AG216" s="814">
        <f t="shared" si="95"/>
        <v>0</v>
      </c>
      <c r="AH216" s="175">
        <f t="shared" si="90"/>
        <v>6</v>
      </c>
      <c r="AI216" s="224">
        <f t="shared" si="91"/>
        <v>0.38786105224910183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44033</v>
      </c>
      <c r="B217" s="616">
        <v>50.459000000000003</v>
      </c>
      <c r="C217" s="389"/>
      <c r="D217" s="392">
        <f t="shared" si="74"/>
        <v>51.331829746798945</v>
      </c>
      <c r="E217" s="384">
        <f t="shared" si="72"/>
        <v>53.542514815729682</v>
      </c>
      <c r="F217" s="384">
        <f t="shared" si="75"/>
        <v>53.556421576952587</v>
      </c>
      <c r="G217" s="110">
        <f t="shared" si="73"/>
        <v>0.938538296425107</v>
      </c>
      <c r="H217" s="413" t="b">
        <f>Wh_hp&gt;='2019'!Maxi_hp</f>
        <v>1</v>
      </c>
      <c r="I217" s="379">
        <f>IF(H217,Wh_hp,'2019'!Maxi_hp)</f>
        <v>53.556421576952587</v>
      </c>
      <c r="J217" s="85">
        <f>IF(H217,An,'2019'!An_max)</f>
        <v>2020</v>
      </c>
      <c r="K217" s="196">
        <f t="shared" si="76"/>
        <v>44033</v>
      </c>
      <c r="L217" s="147">
        <f>IF(t&lt;Tvie,1-EXP((T0-t)*PertePVj)+'2019'!Pspv,1-EXP((T0-t)*PertePVj)+Pspv)</f>
        <v>1.7003674934329971E-2</v>
      </c>
      <c r="M217" s="847"/>
      <c r="N217" s="847"/>
      <c r="O217" s="48">
        <f>IF(t&lt;Tnet,'2019'!Resal+('2019'!Salim-'2019'!Resal)*(1-EXP(('2019'!Tnet-t)/('2019'!Tau_j))),Resal+(Salim-Resal)*(1-EXP((Tnet-t)/(Tau_j))))*Salcycl</f>
        <v>4.1288405607001567E-2</v>
      </c>
      <c r="P217" s="168">
        <f>(INDEX(Models!$BJ217:$BT217,,T217)*(1-R217)+INDEX(Models!$BJ217:$BT217,,T217+1)*R217-ERP_i)*Q217*Ramure*Pc/MaxiM</f>
        <v>2.8464894936889836E-4</v>
      </c>
      <c r="Q217" s="304">
        <f t="shared" si="77"/>
        <v>0.5</v>
      </c>
      <c r="R217" s="176">
        <f t="shared" si="78"/>
        <v>0.38946795764346931</v>
      </c>
      <c r="S217" s="814">
        <f t="shared" si="79"/>
        <v>0</v>
      </c>
      <c r="T217" s="175">
        <f t="shared" si="80"/>
        <v>6</v>
      </c>
      <c r="U217" s="250">
        <f t="shared" si="81"/>
        <v>0.38946795764346931</v>
      </c>
      <c r="V217" s="382">
        <f t="shared" si="82"/>
        <v>53.762045971665508</v>
      </c>
      <c r="W217" s="401"/>
      <c r="X217" s="157">
        <f t="shared" si="83"/>
        <v>44033</v>
      </c>
      <c r="Y217" s="384">
        <f t="shared" si="84"/>
        <v>50.459000000000003</v>
      </c>
      <c r="Z217" s="384">
        <f t="shared" si="85"/>
        <v>51.331829746798945</v>
      </c>
      <c r="AA217" s="385">
        <f t="shared" si="86"/>
        <v>53.542514815729682</v>
      </c>
      <c r="AB217" s="196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4.1288405607001567E-2</v>
      </c>
      <c r="AD217" s="230">
        <f>(INDEX(Models!$BJ217:$BT217,,AH217)*(1-AF217)+INDEX(Models!$BJ217:$BT217,,AH217+1)*AF217-ERP_i)*AE217*Ramure*Pc/MaxiM</f>
        <v>2.8464894936889836E-4</v>
      </c>
      <c r="AE217" s="304">
        <f t="shared" si="88"/>
        <v>0.5</v>
      </c>
      <c r="AF217" s="176">
        <f t="shared" si="89"/>
        <v>0.38946795764346931</v>
      </c>
      <c r="AG217" s="814">
        <f t="shared" si="95"/>
        <v>0</v>
      </c>
      <c r="AH217" s="175">
        <f t="shared" si="90"/>
        <v>6</v>
      </c>
      <c r="AI217" s="224">
        <f t="shared" si="91"/>
        <v>0.38946795764346931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44034</v>
      </c>
      <c r="B218" s="616">
        <v>45.923000000000002</v>
      </c>
      <c r="C218" s="389"/>
      <c r="D218" s="392">
        <f t="shared" si="74"/>
        <v>46.718390173555385</v>
      </c>
      <c r="E218" s="384">
        <f t="shared" si="72"/>
        <v>48.732166019204321</v>
      </c>
      <c r="F218" s="384">
        <f t="shared" si="75"/>
        <v>48.742924398397378</v>
      </c>
      <c r="G218" s="110">
        <f t="shared" si="73"/>
        <v>0.85540164784734107</v>
      </c>
      <c r="H218" s="413" t="b">
        <f>Wh_hp&gt;='2019'!Maxi_hp</f>
        <v>0</v>
      </c>
      <c r="I218" s="379">
        <f>IF(H218,Wh_hp,'2019'!Maxi_hp)</f>
        <v>55.212338097424414</v>
      </c>
      <c r="J218" s="85">
        <f>IF(H218,An,'2019'!An_max)</f>
        <v>2019</v>
      </c>
      <c r="K218" s="196">
        <f t="shared" si="76"/>
        <v>44034</v>
      </c>
      <c r="L218" s="147">
        <f>IF(t&lt;Tvie,1-EXP((T0-t)*PertePVj)+'2019'!Pspv,1-EXP((T0-t)*PertePVj)+Pspv)</f>
        <v>1.7025205076642513E-2</v>
      </c>
      <c r="M218" s="847"/>
      <c r="N218" s="847"/>
      <c r="O218" s="48">
        <f>IF(t&lt;Tnet,'2019'!Resal+('2019'!Salim-'2019'!Resal)*(1-EXP(('2019'!Tnet-t)/('2019'!Tau_j))),Resal+(Salim-Resal)*(1-EXP((Tnet-t)/(Tau_j))))*Salcycl</f>
        <v>4.1323339595768331E-2</v>
      </c>
      <c r="P218" s="168">
        <f>(INDEX(Models!$BJ218:$BT218,,T218)*(1-R218)+INDEX(Models!$BJ218:$BT218,,T218+1)*R218-ERP_i)*Q218*Ramure*Pc/MaxiM</f>
        <v>2.7815553942268126E-4</v>
      </c>
      <c r="Q218" s="304">
        <f t="shared" si="77"/>
        <v>0.5</v>
      </c>
      <c r="R218" s="176">
        <f t="shared" si="78"/>
        <v>0.39102943950014857</v>
      </c>
      <c r="S218" s="814">
        <f t="shared" si="79"/>
        <v>0</v>
      </c>
      <c r="T218" s="175">
        <f t="shared" si="80"/>
        <v>6</v>
      </c>
      <c r="U218" s="250">
        <f t="shared" si="81"/>
        <v>0.39102943950014857</v>
      </c>
      <c r="V218" s="382">
        <f t="shared" si="82"/>
        <v>53.68280710129585</v>
      </c>
      <c r="W218" s="401"/>
      <c r="X218" s="157">
        <f t="shared" si="83"/>
        <v>44034</v>
      </c>
      <c r="Y218" s="384">
        <f t="shared" si="84"/>
        <v>45.923000000000002</v>
      </c>
      <c r="Z218" s="384">
        <f t="shared" si="85"/>
        <v>46.718390173555385</v>
      </c>
      <c r="AA218" s="385">
        <f t="shared" si="86"/>
        <v>48.732166019204321</v>
      </c>
      <c r="AB218" s="196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4.1323339595768331E-2</v>
      </c>
      <c r="AD218" s="230">
        <f>(INDEX(Models!$BJ218:$BT218,,AH218)*(1-AF218)+INDEX(Models!$BJ218:$BT218,,AH218+1)*AF218-ERP_i)*AE218*Ramure*Pc/MaxiM</f>
        <v>2.7815553942268126E-4</v>
      </c>
      <c r="AE218" s="304">
        <f t="shared" si="88"/>
        <v>0.5</v>
      </c>
      <c r="AF218" s="176">
        <f t="shared" si="89"/>
        <v>0.39102943950014857</v>
      </c>
      <c r="AG218" s="814">
        <f t="shared" si="95"/>
        <v>0</v>
      </c>
      <c r="AH218" s="175">
        <f t="shared" si="90"/>
        <v>6</v>
      </c>
      <c r="AI218" s="224">
        <f t="shared" si="91"/>
        <v>0.39102943950014857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44035</v>
      </c>
      <c r="B219" s="616">
        <v>46.29</v>
      </c>
      <c r="C219" s="389"/>
      <c r="D219" s="392">
        <f t="shared" si="74"/>
        <v>47.09277809673268</v>
      </c>
      <c r="E219" s="384">
        <f t="shared" si="72"/>
        <v>49.124469098074044</v>
      </c>
      <c r="F219" s="384">
        <f t="shared" si="75"/>
        <v>49.135208837434497</v>
      </c>
      <c r="G219" s="110">
        <f t="shared" si="73"/>
        <v>0.86351269303630251</v>
      </c>
      <c r="H219" s="413" t="b">
        <f>Wh_hp&gt;='2019'!Maxi_hp</f>
        <v>0</v>
      </c>
      <c r="I219" s="379">
        <f>IF(H219,Wh_hp,'2019'!Maxi_hp)</f>
        <v>55.317819769739138</v>
      </c>
      <c r="J219" s="85">
        <f>IF(H219,An,'2019'!An_max)</f>
        <v>2019</v>
      </c>
      <c r="K219" s="196">
        <f t="shared" si="76"/>
        <v>44035</v>
      </c>
      <c r="L219" s="147">
        <f>IF(t&lt;Tvie,1-EXP((T0-t)*PertePVj)+'2019'!Pspv,1-EXP((T0-t)*PertePVj)+Pspv)</f>
        <v>1.7046734747389602E-2</v>
      </c>
      <c r="M219" s="847"/>
      <c r="N219" s="847"/>
      <c r="O219" s="48">
        <f>IF(t&lt;Tnet,'2019'!Resal+('2019'!Salim-'2019'!Resal)*(1-EXP(('2019'!Tnet-t)/('2019'!Tau_j))),Resal+(Salim-Resal)*(1-EXP((Tnet-t)/(Tau_j))))*Salcycl</f>
        <v>4.1358024598397505E-2</v>
      </c>
      <c r="P219" s="168">
        <f>(INDEX(Models!$BJ219:$BT219,,T219)*(1-R219)+INDEX(Models!$BJ219:$BT219,,T219+1)*R219-ERP_i)*Q219*Ramure*Pc/MaxiM</f>
        <v>2.7149388173767933E-4</v>
      </c>
      <c r="Q219" s="304">
        <f t="shared" si="77"/>
        <v>0.5</v>
      </c>
      <c r="R219" s="176">
        <f t="shared" si="78"/>
        <v>0.3925461339258749</v>
      </c>
      <c r="S219" s="814">
        <f t="shared" si="79"/>
        <v>0</v>
      </c>
      <c r="T219" s="175">
        <f t="shared" si="80"/>
        <v>6</v>
      </c>
      <c r="U219" s="250">
        <f t="shared" si="81"/>
        <v>0.3925461339258749</v>
      </c>
      <c r="V219" s="382">
        <f t="shared" si="82"/>
        <v>53.603786294227852</v>
      </c>
      <c r="W219" s="401"/>
      <c r="X219" s="157">
        <f t="shared" si="83"/>
        <v>44035</v>
      </c>
      <c r="Y219" s="384">
        <f t="shared" si="84"/>
        <v>46.29</v>
      </c>
      <c r="Z219" s="384">
        <f t="shared" si="85"/>
        <v>47.09277809673268</v>
      </c>
      <c r="AA219" s="385">
        <f t="shared" si="86"/>
        <v>49.124469098074044</v>
      </c>
      <c r="AB219" s="196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4.1358024598397505E-2</v>
      </c>
      <c r="AD219" s="230">
        <f>(INDEX(Models!$BJ219:$BT219,,AH219)*(1-AF219)+INDEX(Models!$BJ219:$BT219,,AH219+1)*AF219-ERP_i)*AE219*Ramure*Pc/MaxiM</f>
        <v>2.7149388173767933E-4</v>
      </c>
      <c r="AE219" s="304">
        <f t="shared" si="88"/>
        <v>0.5</v>
      </c>
      <c r="AF219" s="176">
        <f t="shared" si="89"/>
        <v>0.3925461339258749</v>
      </c>
      <c r="AG219" s="814">
        <f t="shared" si="95"/>
        <v>0</v>
      </c>
      <c r="AH219" s="175">
        <f t="shared" si="90"/>
        <v>6</v>
      </c>
      <c r="AI219" s="224">
        <f t="shared" si="91"/>
        <v>0.3925461339258749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44036</v>
      </c>
      <c r="B220" s="616">
        <v>53.244</v>
      </c>
      <c r="C220" s="389"/>
      <c r="D220" s="392">
        <f t="shared" si="74"/>
        <v>54.168563336636844</v>
      </c>
      <c r="E220" s="384">
        <f t="shared" si="72"/>
        <v>56.507550723621527</v>
      </c>
      <c r="F220" s="384">
        <f t="shared" si="75"/>
        <v>56.522396659484173</v>
      </c>
      <c r="G220" s="110">
        <f t="shared" si="73"/>
        <v>0.99473990634143594</v>
      </c>
      <c r="H220" s="413" t="b">
        <f>Wh_hp&gt;='2019'!Maxi_hp</f>
        <v>1</v>
      </c>
      <c r="I220" s="379">
        <f>IF(H220,Wh_hp,'2019'!Maxi_hp)</f>
        <v>56.522396659484173</v>
      </c>
      <c r="J220" s="85">
        <f>IF(H220,An,'2019'!An_max)</f>
        <v>2020</v>
      </c>
      <c r="K220" s="196">
        <f t="shared" si="76"/>
        <v>44036</v>
      </c>
      <c r="L220" s="147">
        <f>IF(t&lt;Tvie,1-EXP((T0-t)*PertePVj)+'2019'!Pspv,1-EXP((T0-t)*PertePVj)+Pspv)</f>
        <v>1.7068263946581674E-2</v>
      </c>
      <c r="M220" s="847"/>
      <c r="N220" s="847"/>
      <c r="O220" s="48">
        <f>IF(t&lt;Tnet,'2019'!Resal+('2019'!Salim-'2019'!Resal)*(1-EXP(('2019'!Tnet-t)/('2019'!Tau_j))),Resal+(Salim-Resal)*(1-EXP((Tnet-t)/(Tau_j))))*Salcycl</f>
        <v>4.1392475112302561E-2</v>
      </c>
      <c r="P220" s="168">
        <f>(INDEX(Models!$BJ220:$BT220,,T220)*(1-R220)+INDEX(Models!$BJ220:$BT220,,T220+1)*R220-ERP_i)*Q220*Ramure*Pc/MaxiM</f>
        <v>2.6464370576587327E-4</v>
      </c>
      <c r="Q220" s="304">
        <f t="shared" si="77"/>
        <v>0.5</v>
      </c>
      <c r="R220" s="176">
        <f t="shared" si="78"/>
        <v>0.3940187145181559</v>
      </c>
      <c r="S220" s="814">
        <f t="shared" si="79"/>
        <v>0</v>
      </c>
      <c r="T220" s="175">
        <f t="shared" si="80"/>
        <v>6</v>
      </c>
      <c r="U220" s="250">
        <f t="shared" si="81"/>
        <v>0.3940187145181559</v>
      </c>
      <c r="V220" s="382">
        <f t="shared" si="82"/>
        <v>53.52544297180372</v>
      </c>
      <c r="W220" s="401"/>
      <c r="X220" s="157">
        <f t="shared" si="83"/>
        <v>44036</v>
      </c>
      <c r="Y220" s="384">
        <f t="shared" si="84"/>
        <v>53.244</v>
      </c>
      <c r="Z220" s="384">
        <f t="shared" si="85"/>
        <v>54.168563336636844</v>
      </c>
      <c r="AA220" s="385">
        <f t="shared" si="86"/>
        <v>56.507550723621527</v>
      </c>
      <c r="AB220" s="196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4.1392475112302561E-2</v>
      </c>
      <c r="AD220" s="230">
        <f>(INDEX(Models!$BJ220:$BT220,,AH220)*(1-AF220)+INDEX(Models!$BJ220:$BT220,,AH220+1)*AF220-ERP_i)*AE220*Ramure*Pc/MaxiM</f>
        <v>2.6464370576587327E-4</v>
      </c>
      <c r="AE220" s="304">
        <f t="shared" si="88"/>
        <v>0.5</v>
      </c>
      <c r="AF220" s="176">
        <f t="shared" si="89"/>
        <v>0.3940187145181559</v>
      </c>
      <c r="AG220" s="814">
        <f t="shared" si="95"/>
        <v>0</v>
      </c>
      <c r="AH220" s="175">
        <f t="shared" si="90"/>
        <v>6</v>
      </c>
      <c r="AI220" s="224">
        <f t="shared" si="91"/>
        <v>0.3940187145181559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44037</v>
      </c>
      <c r="B221" s="616">
        <v>52.972999999999999</v>
      </c>
      <c r="C221" s="389"/>
      <c r="D221" s="392">
        <f t="shared" si="74"/>
        <v>53.894037934680732</v>
      </c>
      <c r="E221" s="384">
        <f t="shared" si="72"/>
        <v>56.223178968451741</v>
      </c>
      <c r="F221" s="384">
        <f t="shared" si="75"/>
        <v>56.237487014663813</v>
      </c>
      <c r="G221" s="110">
        <f t="shared" si="73"/>
        <v>0.99111952964956118</v>
      </c>
      <c r="H221" s="413" t="b">
        <f>Wh_hp&gt;='2019'!Maxi_hp</f>
        <v>1</v>
      </c>
      <c r="I221" s="379">
        <f>IF(H221,Wh_hp,'2019'!Maxi_hp)</f>
        <v>56.237487014663813</v>
      </c>
      <c r="J221" s="85">
        <f>IF(H221,An,'2019'!An_max)</f>
        <v>2020</v>
      </c>
      <c r="K221" s="196">
        <f t="shared" si="76"/>
        <v>44037</v>
      </c>
      <c r="L221" s="147">
        <f>IF(t&lt;Tvie,1-EXP((T0-t)*PertePVj)+'2019'!Pspv,1-EXP((T0-t)*PertePVj)+Pspv)</f>
        <v>1.7089792674229054E-2</v>
      </c>
      <c r="M221" s="847"/>
      <c r="N221" s="847"/>
      <c r="O221" s="48">
        <f>IF(t&lt;Tnet,'2019'!Resal+('2019'!Salim-'2019'!Resal)*(1-EXP(('2019'!Tnet-t)/('2019'!Tau_j))),Resal+(Salim-Resal)*(1-EXP((Tnet-t)/(Tau_j))))*Salcycl</f>
        <v>4.1426704724006218E-2</v>
      </c>
      <c r="P221" s="168">
        <f>(INDEX(Models!$BJ221:$BT221,,T221)*(1-R221)+INDEX(Models!$BJ221:$BT221,,T221+1)*R221-ERP_i)*Q221*Ramure*Pc/MaxiM</f>
        <v>2.576898228817879E-4</v>
      </c>
      <c r="Q221" s="304">
        <f t="shared" si="77"/>
        <v>0.5</v>
      </c>
      <c r="R221" s="176">
        <f t="shared" si="78"/>
        <v>0.39544788858487129</v>
      </c>
      <c r="S221" s="814">
        <f t="shared" si="79"/>
        <v>0</v>
      </c>
      <c r="T221" s="175">
        <f t="shared" si="80"/>
        <v>6</v>
      </c>
      <c r="U221" s="250">
        <f t="shared" si="81"/>
        <v>0.39544788858487129</v>
      </c>
      <c r="V221" s="382">
        <f t="shared" si="82"/>
        <v>53.447465474756392</v>
      </c>
      <c r="W221" s="401"/>
      <c r="X221" s="157">
        <f t="shared" si="83"/>
        <v>44037</v>
      </c>
      <c r="Y221" s="384">
        <f t="shared" si="84"/>
        <v>52.972999999999999</v>
      </c>
      <c r="Z221" s="384">
        <f t="shared" si="85"/>
        <v>53.894037934680732</v>
      </c>
      <c r="AA221" s="385">
        <f t="shared" si="86"/>
        <v>56.223178968451741</v>
      </c>
      <c r="AB221" s="196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4.1426704724006218E-2</v>
      </c>
      <c r="AD221" s="230">
        <f>(INDEX(Models!$BJ221:$BT221,,AH221)*(1-AF221)+INDEX(Models!$BJ221:$BT221,,AH221+1)*AF221-ERP_i)*AE221*Ramure*Pc/MaxiM</f>
        <v>2.576898228817879E-4</v>
      </c>
      <c r="AE221" s="304">
        <f t="shared" si="88"/>
        <v>0.5</v>
      </c>
      <c r="AF221" s="176">
        <f t="shared" si="89"/>
        <v>0.39544788858487129</v>
      </c>
      <c r="AG221" s="814">
        <f t="shared" si="95"/>
        <v>0</v>
      </c>
      <c r="AH221" s="175">
        <f t="shared" si="90"/>
        <v>6</v>
      </c>
      <c r="AI221" s="224">
        <f t="shared" si="91"/>
        <v>0.39544788858487129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44038</v>
      </c>
      <c r="B222" s="616">
        <v>40.76</v>
      </c>
      <c r="C222" s="389"/>
      <c r="D222" s="392">
        <f t="shared" si="74"/>
        <v>41.469599628089021</v>
      </c>
      <c r="E222" s="384">
        <f t="shared" si="72"/>
        <v>43.263328646179517</v>
      </c>
      <c r="F222" s="384">
        <f t="shared" si="75"/>
        <v>43.270513261580064</v>
      </c>
      <c r="G222" s="110">
        <f t="shared" si="73"/>
        <v>0.76366680735408032</v>
      </c>
      <c r="H222" s="413" t="b">
        <f>Wh_hp&gt;='2019'!Maxi_hp</f>
        <v>1</v>
      </c>
      <c r="I222" s="379">
        <f>IF(H222,Wh_hp,'2019'!Maxi_hp)</f>
        <v>43.270513261580064</v>
      </c>
      <c r="J222" s="85">
        <f>IF(H222,An,'2019'!An_max)</f>
        <v>2020</v>
      </c>
      <c r="K222" s="196">
        <f t="shared" si="76"/>
        <v>44038</v>
      </c>
      <c r="L222" s="147">
        <f>IF(t&lt;Tvie,1-EXP((T0-t)*PertePVj)+'2019'!Pspv,1-EXP((T0-t)*PertePVj)+Pspv)</f>
        <v>1.7111320930342067E-2</v>
      </c>
      <c r="M222" s="847"/>
      <c r="N222" s="847"/>
      <c r="O222" s="48">
        <f>IF(t&lt;Tnet,'2019'!Resal+('2019'!Salim-'2019'!Resal)*(1-EXP(('2019'!Tnet-t)/('2019'!Tau_j))),Resal+(Salim-Resal)*(1-EXP((Tnet-t)/(Tau_j))))*Salcycl</f>
        <v>4.1460726074966432E-2</v>
      </c>
      <c r="P222" s="168">
        <f>(INDEX(Models!$BJ222:$BT222,,T222)*(1-R222)+INDEX(Models!$BJ222:$BT222,,T222+1)*R222-ERP_i)*Q222*Ramure*Pc/MaxiM</f>
        <v>2.5063573367537677E-4</v>
      </c>
      <c r="Q222" s="304">
        <f t="shared" si="77"/>
        <v>0.5</v>
      </c>
      <c r="R222" s="176">
        <f t="shared" si="78"/>
        <v>0.39683439348785077</v>
      </c>
      <c r="S222" s="814">
        <f t="shared" si="79"/>
        <v>0</v>
      </c>
      <c r="T222" s="175">
        <f t="shared" si="80"/>
        <v>6</v>
      </c>
      <c r="U222" s="250">
        <f t="shared" si="81"/>
        <v>0.39683439348785077</v>
      </c>
      <c r="V222" s="382">
        <f t="shared" si="82"/>
        <v>53.369546631284258</v>
      </c>
      <c r="W222" s="401"/>
      <c r="X222" s="157">
        <f t="shared" si="83"/>
        <v>44038</v>
      </c>
      <c r="Y222" s="384">
        <f t="shared" si="84"/>
        <v>40.76</v>
      </c>
      <c r="Z222" s="384">
        <f t="shared" si="85"/>
        <v>41.469599628089021</v>
      </c>
      <c r="AA222" s="385">
        <f t="shared" si="86"/>
        <v>43.263328646179517</v>
      </c>
      <c r="AB222" s="196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4.1460726074966432E-2</v>
      </c>
      <c r="AD222" s="230">
        <f>(INDEX(Models!$BJ222:$BT222,,AH222)*(1-AF222)+INDEX(Models!$BJ222:$BT222,,AH222+1)*AF222-ERP_i)*AE222*Ramure*Pc/MaxiM</f>
        <v>2.5063573367537677E-4</v>
      </c>
      <c r="AE222" s="304">
        <f t="shared" si="88"/>
        <v>0.5</v>
      </c>
      <c r="AF222" s="176">
        <f t="shared" si="89"/>
        <v>0.39683439348785077</v>
      </c>
      <c r="AG222" s="814">
        <f t="shared" si="95"/>
        <v>0</v>
      </c>
      <c r="AH222" s="175">
        <f t="shared" si="90"/>
        <v>6</v>
      </c>
      <c r="AI222" s="224">
        <f t="shared" si="91"/>
        <v>0.39683439348785077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44039</v>
      </c>
      <c r="B223" s="616">
        <v>50.731999999999999</v>
      </c>
      <c r="C223" s="389"/>
      <c r="D223" s="392">
        <f t="shared" si="74"/>
        <v>51.61633485631242</v>
      </c>
      <c r="E223" s="384">
        <f t="shared" si="72"/>
        <v>53.850851762307208</v>
      </c>
      <c r="F223" s="384">
        <f t="shared" si="75"/>
        <v>53.863066801398901</v>
      </c>
      <c r="G223" s="110">
        <f t="shared" si="73"/>
        <v>0.95195795056058941</v>
      </c>
      <c r="H223" s="413" t="b">
        <f>Wh_hp&gt;='2019'!Maxi_hp</f>
        <v>0</v>
      </c>
      <c r="I223" s="379">
        <f>IF(H223,Wh_hp,'2019'!Maxi_hp)</f>
        <v>58.386184765777948</v>
      </c>
      <c r="J223" s="85">
        <f>IF(H223,An,'2019'!An_max)</f>
        <v>2019</v>
      </c>
      <c r="K223" s="196">
        <f t="shared" si="76"/>
        <v>44039</v>
      </c>
      <c r="L223" s="147">
        <f>IF(t&lt;Tvie,1-EXP((T0-t)*PertePVj)+'2019'!Pspv,1-EXP((T0-t)*PertePVj)+Pspv)</f>
        <v>1.7132848714931037E-2</v>
      </c>
      <c r="M223" s="847"/>
      <c r="N223" s="847"/>
      <c r="O223" s="48">
        <f>IF(t&lt;Tnet,'2019'!Resal+('2019'!Salim-'2019'!Resal)*(1-EXP(('2019'!Tnet-t)/('2019'!Tau_j))),Resal+(Salim-Resal)*(1-EXP((Tnet-t)/(Tau_j))))*Salcycl</f>
        <v>4.1494550835662711E-2</v>
      </c>
      <c r="P223" s="168">
        <f>(INDEX(Models!$BJ223:$BT223,,T223)*(1-R223)+INDEX(Models!$BJ223:$BT223,,T223+1)*R223-ERP_i)*Q223*Ramure*Pc/MaxiM</f>
        <v>2.4348468089973913E-4</v>
      </c>
      <c r="Q223" s="304">
        <f t="shared" si="77"/>
        <v>0.5</v>
      </c>
      <c r="R223" s="176">
        <f t="shared" si="78"/>
        <v>0.39817899311979971</v>
      </c>
      <c r="S223" s="814">
        <f t="shared" si="79"/>
        <v>0</v>
      </c>
      <c r="T223" s="175">
        <f t="shared" si="80"/>
        <v>6</v>
      </c>
      <c r="U223" s="250">
        <f t="shared" si="81"/>
        <v>0.39817899311979971</v>
      </c>
      <c r="V223" s="382">
        <f t="shared" si="82"/>
        <v>53.291379404312025</v>
      </c>
      <c r="W223" s="401"/>
      <c r="X223" s="157">
        <f t="shared" si="83"/>
        <v>44039</v>
      </c>
      <c r="Y223" s="384">
        <f t="shared" si="84"/>
        <v>50.731999999999999</v>
      </c>
      <c r="Z223" s="384">
        <f t="shared" si="85"/>
        <v>51.61633485631242</v>
      </c>
      <c r="AA223" s="385">
        <f t="shared" si="86"/>
        <v>53.850851762307208</v>
      </c>
      <c r="AB223" s="196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4.1494550835662711E-2</v>
      </c>
      <c r="AD223" s="230">
        <f>(INDEX(Models!$BJ223:$BT223,,AH223)*(1-AF223)+INDEX(Models!$BJ223:$BT223,,AH223+1)*AF223-ERP_i)*AE223*Ramure*Pc/MaxiM</f>
        <v>2.4348468089973913E-4</v>
      </c>
      <c r="AE223" s="304">
        <f t="shared" si="88"/>
        <v>0.5</v>
      </c>
      <c r="AF223" s="176">
        <f t="shared" si="89"/>
        <v>0.39817899311979971</v>
      </c>
      <c r="AG223" s="814">
        <f t="shared" si="95"/>
        <v>0</v>
      </c>
      <c r="AH223" s="175">
        <f t="shared" si="90"/>
        <v>6</v>
      </c>
      <c r="AI223" s="224">
        <f t="shared" si="91"/>
        <v>0.39817899311979971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44040</v>
      </c>
      <c r="B224" s="616">
        <v>32.283999999999999</v>
      </c>
      <c r="C224" s="389"/>
      <c r="D224" s="392">
        <f t="shared" si="74"/>
        <v>32.847477988994875</v>
      </c>
      <c r="E224" s="384">
        <f t="shared" si="72"/>
        <v>34.270677171293578</v>
      </c>
      <c r="F224" s="384">
        <f t="shared" si="75"/>
        <v>34.274224757782569</v>
      </c>
      <c r="G224" s="110">
        <f t="shared" si="73"/>
        <v>0.60661722733101753</v>
      </c>
      <c r="H224" s="413" t="b">
        <f>Wh_hp&gt;='2019'!Maxi_hp</f>
        <v>0</v>
      </c>
      <c r="I224" s="379">
        <f>IF(H224,Wh_hp,'2019'!Maxi_hp)</f>
        <v>57.892402465153239</v>
      </c>
      <c r="J224" s="85">
        <f>IF(H224,An,'2019'!An_max)</f>
        <v>2019</v>
      </c>
      <c r="K224" s="196">
        <f t="shared" si="76"/>
        <v>44040</v>
      </c>
      <c r="L224" s="147">
        <f>IF(t&lt;Tvie,1-EXP((T0-t)*PertePVj)+'2019'!Pspv,1-EXP((T0-t)*PertePVj)+Pspv)</f>
        <v>1.715437602800618E-2</v>
      </c>
      <c r="M224" s="847"/>
      <c r="N224" s="847"/>
      <c r="O224" s="48">
        <f>IF(t&lt;Tnet,'2019'!Resal+('2019'!Salim-'2019'!Resal)*(1-EXP(('2019'!Tnet-t)/('2019'!Tau_j))),Resal+(Salim-Resal)*(1-EXP((Tnet-t)/(Tau_j))))*Salcycl</f>
        <v>4.1528189687796077E-2</v>
      </c>
      <c r="P224" s="168">
        <f>(INDEX(Models!$BJ224:$BT224,,T224)*(1-R224)+INDEX(Models!$BJ224:$BT224,,T224+1)*R224-ERP_i)*Q224*Ramure*Pc/MaxiM</f>
        <v>2.3623964474443339E-4</v>
      </c>
      <c r="Q224" s="304">
        <f t="shared" si="77"/>
        <v>0.5</v>
      </c>
      <c r="R224" s="176">
        <f t="shared" si="78"/>
        <v>0.39948247452221974</v>
      </c>
      <c r="S224" s="814">
        <f t="shared" si="79"/>
        <v>0</v>
      </c>
      <c r="T224" s="175">
        <f t="shared" si="80"/>
        <v>6</v>
      </c>
      <c r="U224" s="250">
        <f t="shared" si="81"/>
        <v>0.39948247452221974</v>
      </c>
      <c r="V224" s="382">
        <f t="shared" si="82"/>
        <v>53.21265689092499</v>
      </c>
      <c r="W224" s="401"/>
      <c r="X224" s="157">
        <f t="shared" si="83"/>
        <v>44040</v>
      </c>
      <c r="Y224" s="384">
        <f t="shared" si="84"/>
        <v>32.283999999999999</v>
      </c>
      <c r="Z224" s="384">
        <f t="shared" si="85"/>
        <v>32.847477988994875</v>
      </c>
      <c r="AA224" s="385">
        <f t="shared" si="86"/>
        <v>34.270677171293578</v>
      </c>
      <c r="AB224" s="196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4.1528189687796077E-2</v>
      </c>
      <c r="AD224" s="230">
        <f>(INDEX(Models!$BJ224:$BT224,,AH224)*(1-AF224)+INDEX(Models!$BJ224:$BT224,,AH224+1)*AF224-ERP_i)*AE224*Ramure*Pc/MaxiM</f>
        <v>2.3623964474443339E-4</v>
      </c>
      <c r="AE224" s="304">
        <f t="shared" si="88"/>
        <v>0.5</v>
      </c>
      <c r="AF224" s="176">
        <f t="shared" si="89"/>
        <v>0.39948247452221974</v>
      </c>
      <c r="AG224" s="814">
        <f t="shared" si="95"/>
        <v>0</v>
      </c>
      <c r="AH224" s="175">
        <f t="shared" si="90"/>
        <v>6</v>
      </c>
      <c r="AI224" s="224">
        <f t="shared" si="91"/>
        <v>0.39948247452221974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44041</v>
      </c>
      <c r="B225" s="616">
        <v>48.014000000000003</v>
      </c>
      <c r="C225" s="389"/>
      <c r="D225" s="392">
        <f t="shared" si="74"/>
        <v>48.853096032329454</v>
      </c>
      <c r="E225" s="384">
        <f t="shared" si="72"/>
        <v>50.971558212687327</v>
      </c>
      <c r="F225" s="384">
        <f t="shared" si="75"/>
        <v>50.981621896708326</v>
      </c>
      <c r="G225" s="110">
        <f t="shared" si="73"/>
        <v>0.9036271557050527</v>
      </c>
      <c r="H225" s="413" t="b">
        <f>Wh_hp&gt;='2019'!Maxi_hp</f>
        <v>1</v>
      </c>
      <c r="I225" s="379">
        <f>IF(H225,Wh_hp,'2019'!Maxi_hp)</f>
        <v>50.981621896708326</v>
      </c>
      <c r="J225" s="85">
        <f>IF(H225,An,'2019'!An_max)</f>
        <v>2020</v>
      </c>
      <c r="K225" s="196">
        <f t="shared" si="76"/>
        <v>44041</v>
      </c>
      <c r="L225" s="147">
        <f>IF(t&lt;Tvie,1-EXP((T0-t)*PertePVj)+'2019'!Pspv,1-EXP((T0-t)*PertePVj)+Pspv)</f>
        <v>1.717590286957793E-2</v>
      </c>
      <c r="M225" s="847"/>
      <c r="N225" s="847"/>
      <c r="O225" s="48">
        <f>IF(t&lt;Tnet,'2019'!Resal+('2019'!Salim-'2019'!Resal)*(1-EXP(('2019'!Tnet-t)/('2019'!Tau_j))),Resal+(Salim-Resal)*(1-EXP((Tnet-t)/(Tau_j))))*Salcycl</f>
        <v>4.15616523143797E-2</v>
      </c>
      <c r="P225" s="168">
        <f>(INDEX(Models!$BJ225:$BT225,,T225)*(1-R225)+INDEX(Models!$BJ225:$BT225,,T225+1)*R225-ERP_i)*Q225*Ramure*Pc/MaxiM</f>
        <v>2.2890333937172912E-4</v>
      </c>
      <c r="Q225" s="304">
        <f t="shared" si="77"/>
        <v>0.5</v>
      </c>
      <c r="R225" s="176">
        <f t="shared" si="78"/>
        <v>0.40074564465034918</v>
      </c>
      <c r="S225" s="814">
        <f t="shared" si="79"/>
        <v>0</v>
      </c>
      <c r="T225" s="175">
        <f t="shared" si="80"/>
        <v>6</v>
      </c>
      <c r="U225" s="250">
        <f t="shared" si="81"/>
        <v>0.40074564465034918</v>
      </c>
      <c r="V225" s="382">
        <f t="shared" si="82"/>
        <v>53.133072322877261</v>
      </c>
      <c r="W225" s="401"/>
      <c r="X225" s="157">
        <f t="shared" si="83"/>
        <v>44041</v>
      </c>
      <c r="Y225" s="384">
        <f t="shared" si="84"/>
        <v>48.014000000000003</v>
      </c>
      <c r="Z225" s="384">
        <f t="shared" si="85"/>
        <v>48.853096032329454</v>
      </c>
      <c r="AA225" s="385">
        <f t="shared" si="86"/>
        <v>50.971558212687327</v>
      </c>
      <c r="AB225" s="196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4.15616523143797E-2</v>
      </c>
      <c r="AD225" s="230">
        <f>(INDEX(Models!$BJ225:$BT225,,AH225)*(1-AF225)+INDEX(Models!$BJ225:$BT225,,AH225+1)*AF225-ERP_i)*AE225*Ramure*Pc/MaxiM</f>
        <v>2.2890333937172912E-4</v>
      </c>
      <c r="AE225" s="304">
        <f t="shared" si="88"/>
        <v>0.5</v>
      </c>
      <c r="AF225" s="176">
        <f t="shared" si="89"/>
        <v>0.40074564465034918</v>
      </c>
      <c r="AG225" s="814">
        <f t="shared" si="95"/>
        <v>0</v>
      </c>
      <c r="AH225" s="175">
        <f t="shared" si="90"/>
        <v>6</v>
      </c>
      <c r="AI225" s="224">
        <f t="shared" si="91"/>
        <v>0.40074564465034918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44042</v>
      </c>
      <c r="B226" s="616">
        <v>50.75</v>
      </c>
      <c r="C226" s="389"/>
      <c r="D226" s="392">
        <f t="shared" si="74"/>
        <v>51.638041565904089</v>
      </c>
      <c r="E226" s="384">
        <f t="shared" si="72"/>
        <v>53.879141627727755</v>
      </c>
      <c r="F226" s="384">
        <f t="shared" si="75"/>
        <v>53.890341574427552</v>
      </c>
      <c r="G226" s="110">
        <f t="shared" si="73"/>
        <v>0.95658979712584524</v>
      </c>
      <c r="H226" s="413" t="b">
        <f>Wh_hp&gt;='2019'!Maxi_hp</f>
        <v>0</v>
      </c>
      <c r="I226" s="379">
        <f>IF(H226,Wh_hp,'2019'!Maxi_hp)</f>
        <v>54.258423369971332</v>
      </c>
      <c r="J226" s="85">
        <f>IF(H226,An,'2019'!An_max)</f>
        <v>2019</v>
      </c>
      <c r="K226" s="196">
        <f t="shared" si="76"/>
        <v>44042</v>
      </c>
      <c r="L226" s="147">
        <f>IF(t&lt;Tvie,1-EXP((T0-t)*PertePVj)+'2019'!Pspv,1-EXP((T0-t)*PertePVj)+Pspv)</f>
        <v>1.7197429239656725E-2</v>
      </c>
      <c r="M226" s="847"/>
      <c r="N226" s="847"/>
      <c r="O226" s="48">
        <f>IF(t&lt;Tnet,'2019'!Resal+('2019'!Salim-'2019'!Resal)*(1-EXP(('2019'!Tnet-t)/('2019'!Tau_j))),Resal+(Salim-Resal)*(1-EXP((Tnet-t)/(Tau_j))))*Salcycl</f>
        <v>4.1594947397423393E-2</v>
      </c>
      <c r="P226" s="168">
        <f>(INDEX(Models!$BJ226:$BT226,,T226)*(1-R226)+INDEX(Models!$BJ226:$BT226,,T226+1)*R226-ERP_i)*Q226*Ramure*Pc/MaxiM</f>
        <v>2.2156453039775089E-4</v>
      </c>
      <c r="Q226" s="304">
        <f t="shared" si="77"/>
        <v>0.5</v>
      </c>
      <c r="R226" s="176">
        <f t="shared" si="78"/>
        <v>0.40196932728963303</v>
      </c>
      <c r="S226" s="814">
        <f t="shared" si="79"/>
        <v>0</v>
      </c>
      <c r="T226" s="175">
        <f t="shared" si="80"/>
        <v>6</v>
      </c>
      <c r="U226" s="250">
        <f t="shared" si="81"/>
        <v>0.40196932728963303</v>
      </c>
      <c r="V226" s="382">
        <f t="shared" si="82"/>
        <v>53.052314484223864</v>
      </c>
      <c r="W226" s="401"/>
      <c r="X226" s="157">
        <f t="shared" si="83"/>
        <v>44042</v>
      </c>
      <c r="Y226" s="384">
        <f t="shared" si="84"/>
        <v>50.75</v>
      </c>
      <c r="Z226" s="384">
        <f t="shared" si="85"/>
        <v>51.638041565904089</v>
      </c>
      <c r="AA226" s="385">
        <f t="shared" si="86"/>
        <v>53.879141627727755</v>
      </c>
      <c r="AB226" s="196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4.1594947397423393E-2</v>
      </c>
      <c r="AD226" s="230">
        <f>(INDEX(Models!$BJ226:$BT226,,AH226)*(1-AF226)+INDEX(Models!$BJ226:$BT226,,AH226+1)*AF226-ERP_i)*AE226*Ramure*Pc/MaxiM</f>
        <v>2.2156453039775089E-4</v>
      </c>
      <c r="AE226" s="304">
        <f t="shared" si="88"/>
        <v>0.5</v>
      </c>
      <c r="AF226" s="176">
        <f t="shared" si="89"/>
        <v>0.40196932728963303</v>
      </c>
      <c r="AG226" s="814">
        <f t="shared" si="95"/>
        <v>0</v>
      </c>
      <c r="AH226" s="175">
        <f t="shared" si="90"/>
        <v>6</v>
      </c>
      <c r="AI226" s="224">
        <f t="shared" si="91"/>
        <v>0.40196932728963303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44043</v>
      </c>
      <c r="B227" s="616">
        <v>49.451999999999998</v>
      </c>
      <c r="C227" s="389"/>
      <c r="D227" s="392">
        <f t="shared" si="74"/>
        <v>50.318430802617542</v>
      </c>
      <c r="E227" s="384">
        <f t="shared" si="72"/>
        <v>52.504074764969836</v>
      </c>
      <c r="F227" s="384">
        <f t="shared" si="75"/>
        <v>52.514258120869613</v>
      </c>
      <c r="G227" s="110">
        <f t="shared" si="73"/>
        <v>0.93356472877047914</v>
      </c>
      <c r="H227" s="413" t="b">
        <f>Wh_hp&gt;='2019'!Maxi_hp</f>
        <v>0</v>
      </c>
      <c r="I227" s="379">
        <f>IF(H227,Wh_hp,'2019'!Maxi_hp)</f>
        <v>53.056225384758235</v>
      </c>
      <c r="J227" s="85">
        <f>IF(H227,An,'2019'!An_max)</f>
        <v>2018</v>
      </c>
      <c r="K227" s="196">
        <f t="shared" si="76"/>
        <v>44043</v>
      </c>
      <c r="L227" s="147">
        <f>IF(t&lt;Tvie,1-EXP((T0-t)*PertePVj)+'2019'!Pspv,1-EXP((T0-t)*PertePVj)+Pspv)</f>
        <v>1.7218955138252667E-2</v>
      </c>
      <c r="M227" s="847"/>
      <c r="N227" s="847"/>
      <c r="O227" s="48">
        <f>IF(t&lt;Tnet,'2019'!Resal+('2019'!Salim-'2019'!Resal)*(1-EXP(('2019'!Tnet-t)/('2019'!Tau_j))),Resal+(Salim-Resal)*(1-EXP((Tnet-t)/(Tau_j))))*Salcycl</f>
        <v>4.1628082622846889E-2</v>
      </c>
      <c r="P227" s="168">
        <f>(INDEX(Models!$BJ227:$BT227,,T227)*(1-R227)+INDEX(Models!$BJ227:$BT227,,T227+1)*R227-ERP_i)*Q227*Ramure*Pc/MaxiM</f>
        <v>2.1424353483939657E-4</v>
      </c>
      <c r="Q227" s="304">
        <f t="shared" si="77"/>
        <v>0.5</v>
      </c>
      <c r="R227" s="176">
        <f t="shared" si="78"/>
        <v>0.40315436012683459</v>
      </c>
      <c r="S227" s="814">
        <f t="shared" si="79"/>
        <v>0</v>
      </c>
      <c r="T227" s="175">
        <f t="shared" si="80"/>
        <v>6</v>
      </c>
      <c r="U227" s="250">
        <f t="shared" si="81"/>
        <v>0.40315436012683459</v>
      </c>
      <c r="V227" s="382">
        <f t="shared" si="82"/>
        <v>52.970075930212275</v>
      </c>
      <c r="W227" s="401"/>
      <c r="X227" s="157">
        <f t="shared" si="83"/>
        <v>44043</v>
      </c>
      <c r="Y227" s="384">
        <f t="shared" si="84"/>
        <v>49.451999999999998</v>
      </c>
      <c r="Z227" s="384">
        <f t="shared" si="85"/>
        <v>50.318430802617542</v>
      </c>
      <c r="AA227" s="385">
        <f t="shared" si="86"/>
        <v>52.504074764969836</v>
      </c>
      <c r="AB227" s="196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4.1628082622846889E-2</v>
      </c>
      <c r="AD227" s="230">
        <f>(INDEX(Models!$BJ227:$BT227,,AH227)*(1-AF227)+INDEX(Models!$BJ227:$BT227,,AH227+1)*AF227-ERP_i)*AE227*Ramure*Pc/MaxiM</f>
        <v>2.1424353483939657E-4</v>
      </c>
      <c r="AE227" s="304">
        <f t="shared" si="88"/>
        <v>0.5</v>
      </c>
      <c r="AF227" s="176">
        <f t="shared" si="89"/>
        <v>0.40315436012683459</v>
      </c>
      <c r="AG227" s="814">
        <f t="shared" si="95"/>
        <v>0</v>
      </c>
      <c r="AH227" s="175">
        <f t="shared" si="90"/>
        <v>6</v>
      </c>
      <c r="AI227" s="224">
        <f t="shared" si="91"/>
        <v>0.40315436012683459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44044</v>
      </c>
      <c r="B228" s="616">
        <v>39.720999999999997</v>
      </c>
      <c r="C228" s="389"/>
      <c r="D228" s="392">
        <f t="shared" si="74"/>
        <v>40.417822686521795</v>
      </c>
      <c r="E228" s="384">
        <f t="shared" si="72"/>
        <v>42.174872790220128</v>
      </c>
      <c r="F228" s="384">
        <f t="shared" si="75"/>
        <v>42.18049757932932</v>
      </c>
      <c r="G228" s="110">
        <f t="shared" si="73"/>
        <v>0.75101234133218497</v>
      </c>
      <c r="H228" s="413" t="b">
        <f>Wh_hp&gt;='2019'!Maxi_hp</f>
        <v>0</v>
      </c>
      <c r="I228" s="379">
        <f>IF(H228,Wh_hp,'2019'!Maxi_hp)</f>
        <v>55.3831905498918</v>
      </c>
      <c r="J228" s="85">
        <f>IF(H228,An,'2019'!An_max)</f>
        <v>2019</v>
      </c>
      <c r="K228" s="196">
        <f t="shared" si="76"/>
        <v>44044</v>
      </c>
      <c r="L228" s="147">
        <f>IF(t&lt;Tvie,1-EXP((T0-t)*PertePVj)+'2019'!Pspv,1-EXP((T0-t)*PertePVj)+Pspv)</f>
        <v>1.7240480565376193E-2</v>
      </c>
      <c r="M228" s="847"/>
      <c r="N228" s="847"/>
      <c r="O228" s="48">
        <f>IF(t&lt;Tnet,'2019'!Resal+('2019'!Salim-'2019'!Resal)*(1-EXP(('2019'!Tnet-t)/('2019'!Tau_j))),Resal+(Salim-Resal)*(1-EXP((Tnet-t)/(Tau_j))))*Salcycl</f>
        <v>4.1661064692192072E-2</v>
      </c>
      <c r="P228" s="168">
        <f>(INDEX(Models!$BJ228:$BT228,,T228)*(1-R228)+INDEX(Models!$BJ228:$BT228,,T228+1)*R228-ERP_i)*Q228*Ramure*Pc/MaxiM</f>
        <v>2.069430909581904E-4</v>
      </c>
      <c r="Q228" s="304">
        <f t="shared" si="77"/>
        <v>0.5</v>
      </c>
      <c r="R228" s="176">
        <f t="shared" si="78"/>
        <v>0.40430159197761667</v>
      </c>
      <c r="S228" s="814">
        <f t="shared" si="79"/>
        <v>0</v>
      </c>
      <c r="T228" s="175">
        <f t="shared" si="80"/>
        <v>6</v>
      </c>
      <c r="U228" s="250">
        <f t="shared" si="81"/>
        <v>0.40430159197761667</v>
      </c>
      <c r="V228" s="382">
        <f t="shared" si="82"/>
        <v>52.886050270660803</v>
      </c>
      <c r="W228" s="401"/>
      <c r="X228" s="157">
        <f t="shared" si="83"/>
        <v>44044</v>
      </c>
      <c r="Y228" s="384">
        <f t="shared" si="84"/>
        <v>39.720999999999997</v>
      </c>
      <c r="Z228" s="384">
        <f t="shared" si="85"/>
        <v>40.417822686521795</v>
      </c>
      <c r="AA228" s="385">
        <f t="shared" si="86"/>
        <v>42.174872790220128</v>
      </c>
      <c r="AB228" s="196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4.1661064692192072E-2</v>
      </c>
      <c r="AD228" s="230">
        <f>(INDEX(Models!$BJ228:$BT228,,AH228)*(1-AF228)+INDEX(Models!$BJ228:$BT228,,AH228+1)*AF228-ERP_i)*AE228*Ramure*Pc/MaxiM</f>
        <v>2.069430909581904E-4</v>
      </c>
      <c r="AE228" s="304">
        <f t="shared" si="88"/>
        <v>0.5</v>
      </c>
      <c r="AF228" s="176">
        <f t="shared" si="89"/>
        <v>0.40430159197761667</v>
      </c>
      <c r="AG228" s="814">
        <f t="shared" si="95"/>
        <v>0</v>
      </c>
      <c r="AH228" s="175">
        <f t="shared" si="90"/>
        <v>6</v>
      </c>
      <c r="AI228" s="224">
        <f t="shared" si="91"/>
        <v>0.40430159197761667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44045</v>
      </c>
      <c r="B229" s="616">
        <v>31.369</v>
      </c>
      <c r="C229" s="389"/>
      <c r="D229" s="392">
        <f t="shared" si="74"/>
        <v>31.920003272725324</v>
      </c>
      <c r="E229" s="384">
        <f t="shared" si="72"/>
        <v>33.308776027579356</v>
      </c>
      <c r="F229" s="384">
        <f t="shared" si="75"/>
        <v>33.311570572962545</v>
      </c>
      <c r="G229" s="110">
        <f t="shared" si="73"/>
        <v>0.59404183349953998</v>
      </c>
      <c r="H229" s="413" t="b">
        <f>Wh_hp&gt;='2019'!Maxi_hp</f>
        <v>0</v>
      </c>
      <c r="I229" s="379">
        <f>IF(H229,Wh_hp,'2019'!Maxi_hp)</f>
        <v>56.092480847378184</v>
      </c>
      <c r="J229" s="85">
        <f>IF(H229,An,'2019'!An_max)</f>
        <v>2019</v>
      </c>
      <c r="K229" s="196">
        <f t="shared" si="76"/>
        <v>44045</v>
      </c>
      <c r="L229" s="147">
        <f>IF(t&lt;Tvie,1-EXP((T0-t)*PertePVj)+'2019'!Pspv,1-EXP((T0-t)*PertePVj)+Pspv)</f>
        <v>1.7262005521037627E-2</v>
      </c>
      <c r="M229" s="847"/>
      <c r="N229" s="847"/>
      <c r="O229" s="48">
        <f>IF(t&lt;Tnet,'2019'!Resal+('2019'!Salim-'2019'!Resal)*(1-EXP(('2019'!Tnet-t)/('2019'!Tau_j))),Resal+(Salim-Resal)*(1-EXP((Tnet-t)/(Tau_j))))*Salcycl</f>
        <v>4.1693899340646323E-2</v>
      </c>
      <c r="P229" s="168">
        <f>(INDEX(Models!$BJ229:$BT229,,T229)*(1-R229)+INDEX(Models!$BJ229:$BT229,,T229+1)*R229-ERP_i)*Q229*Ramure*Pc/MaxiM</f>
        <v>1.9966566447949453E-4</v>
      </c>
      <c r="Q229" s="304">
        <f t="shared" si="77"/>
        <v>0.5</v>
      </c>
      <c r="R229" s="176">
        <f t="shared" si="78"/>
        <v>0.4054118801712504</v>
      </c>
      <c r="S229" s="814">
        <f t="shared" si="79"/>
        <v>0</v>
      </c>
      <c r="T229" s="175">
        <f t="shared" si="80"/>
        <v>6</v>
      </c>
      <c r="U229" s="250">
        <f t="shared" si="81"/>
        <v>0.4054118801712504</v>
      </c>
      <c r="V229" s="382">
        <f t="shared" si="82"/>
        <v>52.799931242615656</v>
      </c>
      <c r="W229" s="401"/>
      <c r="X229" s="157">
        <f t="shared" si="83"/>
        <v>44045</v>
      </c>
      <c r="Y229" s="384">
        <f t="shared" si="84"/>
        <v>31.369000000000003</v>
      </c>
      <c r="Z229" s="384">
        <f t="shared" si="85"/>
        <v>31.920003272725328</v>
      </c>
      <c r="AA229" s="385">
        <f t="shared" si="86"/>
        <v>33.308776027579356</v>
      </c>
      <c r="AB229" s="196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4.1693899340646323E-2</v>
      </c>
      <c r="AD229" s="230">
        <f>(INDEX(Models!$BJ229:$BT229,,AH229)*(1-AF229)+INDEX(Models!$BJ229:$BT229,,AH229+1)*AF229-ERP_i)*AE229*Ramure*Pc/MaxiM</f>
        <v>1.9966566447949453E-4</v>
      </c>
      <c r="AE229" s="304">
        <f t="shared" si="88"/>
        <v>0.5</v>
      </c>
      <c r="AF229" s="176">
        <f t="shared" si="89"/>
        <v>0.4054118801712504</v>
      </c>
      <c r="AG229" s="814">
        <f t="shared" si="95"/>
        <v>0</v>
      </c>
      <c r="AH229" s="175">
        <f t="shared" si="90"/>
        <v>6</v>
      </c>
      <c r="AI229" s="224">
        <f t="shared" si="91"/>
        <v>0.4054118801712504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44046</v>
      </c>
      <c r="B230" s="616">
        <v>47.698999999999998</v>
      </c>
      <c r="C230" s="389"/>
      <c r="D230" s="392">
        <f t="shared" si="74"/>
        <v>48.537906360981914</v>
      </c>
      <c r="E230" s="384">
        <f t="shared" si="72"/>
        <v>50.651417354792507</v>
      </c>
      <c r="F230" s="384">
        <f t="shared" si="75"/>
        <v>50.659840820987384</v>
      </c>
      <c r="G230" s="110">
        <f t="shared" si="73"/>
        <v>0.90488474055882451</v>
      </c>
      <c r="H230" s="413" t="b">
        <f>Wh_hp&gt;='2019'!Maxi_hp</f>
        <v>0</v>
      </c>
      <c r="I230" s="379">
        <f>IF(H230,Wh_hp,'2019'!Maxi_hp)</f>
        <v>52.936123470546605</v>
      </c>
      <c r="J230" s="85">
        <f>IF(H230,An,'2019'!An_max)</f>
        <v>2018</v>
      </c>
      <c r="K230" s="196">
        <f t="shared" si="76"/>
        <v>44046</v>
      </c>
      <c r="L230" s="147">
        <f>IF(t&lt;Tvie,1-EXP((T0-t)*PertePVj)+'2019'!Pspv,1-EXP((T0-t)*PertePVj)+Pspv)</f>
        <v>1.7283530005247294E-2</v>
      </c>
      <c r="M230" s="847"/>
      <c r="N230" s="847"/>
      <c r="O230" s="48">
        <f>IF(t&lt;Tnet,'2019'!Resal+('2019'!Salim-'2019'!Resal)*(1-EXP(('2019'!Tnet-t)/('2019'!Tau_j))),Resal+(Salim-Resal)*(1-EXP((Tnet-t)/(Tau_j))))*Salcycl</f>
        <v>4.172659136083625E-2</v>
      </c>
      <c r="P230" s="168">
        <f>(INDEX(Models!$BJ230:$BT230,,T230)*(1-R230)+INDEX(Models!$BJ230:$BT230,,T230+1)*R230-ERP_i)*Q230*Ramure*Pc/MaxiM</f>
        <v>1.9241345725248425E-4</v>
      </c>
      <c r="Q230" s="304">
        <f t="shared" si="77"/>
        <v>0.5</v>
      </c>
      <c r="R230" s="176">
        <f t="shared" si="78"/>
        <v>0.4064860880920565</v>
      </c>
      <c r="S230" s="814">
        <f t="shared" si="79"/>
        <v>0</v>
      </c>
      <c r="T230" s="175">
        <f t="shared" si="80"/>
        <v>6</v>
      </c>
      <c r="U230" s="250">
        <f t="shared" si="81"/>
        <v>0.4064860880920565</v>
      </c>
      <c r="V230" s="382">
        <f t="shared" si="82"/>
        <v>52.71141271099691</v>
      </c>
      <c r="W230" s="401"/>
      <c r="X230" s="157">
        <f t="shared" si="83"/>
        <v>44046</v>
      </c>
      <c r="Y230" s="384">
        <f t="shared" si="84"/>
        <v>47.698999999999998</v>
      </c>
      <c r="Z230" s="384">
        <f t="shared" si="85"/>
        <v>48.537906360981914</v>
      </c>
      <c r="AA230" s="385">
        <f t="shared" si="86"/>
        <v>50.651417354792507</v>
      </c>
      <c r="AB230" s="196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4.172659136083625E-2</v>
      </c>
      <c r="AD230" s="230">
        <f>(INDEX(Models!$BJ230:$BT230,,AH230)*(1-AF230)+INDEX(Models!$BJ230:$BT230,,AH230+1)*AF230-ERP_i)*AE230*Ramure*Pc/MaxiM</f>
        <v>1.9241345725248425E-4</v>
      </c>
      <c r="AE230" s="304">
        <f t="shared" si="88"/>
        <v>0.5</v>
      </c>
      <c r="AF230" s="176">
        <f t="shared" si="89"/>
        <v>0.4064860880920565</v>
      </c>
      <c r="AG230" s="814">
        <f t="shared" si="95"/>
        <v>0</v>
      </c>
      <c r="AH230" s="175">
        <f t="shared" si="90"/>
        <v>6</v>
      </c>
      <c r="AI230" s="224">
        <f t="shared" si="91"/>
        <v>0.4064860880920565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44047</v>
      </c>
      <c r="B231" s="616">
        <v>53.015999999999998</v>
      </c>
      <c r="C231" s="389"/>
      <c r="D231" s="392">
        <f t="shared" si="74"/>
        <v>53.9496007553212</v>
      </c>
      <c r="E231" s="384">
        <f t="shared" si="72"/>
        <v>56.300668514693648</v>
      </c>
      <c r="F231" s="384">
        <f t="shared" si="75"/>
        <v>56.311096677498618</v>
      </c>
      <c r="G231" s="110">
        <f t="shared" si="73"/>
        <v>1.0075220432690593</v>
      </c>
      <c r="H231" s="413" t="b">
        <f>Wh_hp&gt;='2019'!Maxi_hp</f>
        <v>1</v>
      </c>
      <c r="I231" s="379">
        <f>IF(H231,Wh_hp,'2019'!Maxi_hp)</f>
        <v>56.311096677498618</v>
      </c>
      <c r="J231" s="85">
        <f>IF(H231,An,'2019'!An_max)</f>
        <v>2020</v>
      </c>
      <c r="K231" s="196">
        <f t="shared" si="76"/>
        <v>44047</v>
      </c>
      <c r="L231" s="147">
        <f>IF(t&lt;Tvie,1-EXP((T0-t)*PertePVj)+'2019'!Pspv,1-EXP((T0-t)*PertePVj)+Pspv)</f>
        <v>1.730505401801552E-2</v>
      </c>
      <c r="M231" s="847"/>
      <c r="N231" s="847"/>
      <c r="O231" s="48">
        <f>IF(t&lt;Tnet,'2019'!Resal+('2019'!Salim-'2019'!Resal)*(1-EXP(('2019'!Tnet-t)/('2019'!Tau_j))),Resal+(Salim-Resal)*(1-EXP((Tnet-t)/(Tau_j))))*Salcycl</f>
        <v>4.1759144631805897E-2</v>
      </c>
      <c r="P231" s="168">
        <f>(INDEX(Models!$BJ231:$BT231,,T231)*(1-R231)+INDEX(Models!$BJ231:$BT231,,T231+1)*R231-ERP_i)*Q231*Ramure*Pc/MaxiM</f>
        <v>1.8518841614280167E-4</v>
      </c>
      <c r="Q231" s="304">
        <f t="shared" si="77"/>
        <v>0.5</v>
      </c>
      <c r="R231" s="176">
        <f t="shared" si="78"/>
        <v>0.4075250828762419</v>
      </c>
      <c r="S231" s="814">
        <f t="shared" si="79"/>
        <v>0</v>
      </c>
      <c r="T231" s="175">
        <f t="shared" si="80"/>
        <v>6</v>
      </c>
      <c r="U231" s="250">
        <f t="shared" si="81"/>
        <v>0.4075250828762419</v>
      </c>
      <c r="V231" s="382">
        <f t="shared" si="82"/>
        <v>52.620188664042999</v>
      </c>
      <c r="W231" s="401"/>
      <c r="X231" s="157">
        <f t="shared" si="83"/>
        <v>44047</v>
      </c>
      <c r="Y231" s="384">
        <f t="shared" si="84"/>
        <v>53.015999999999998</v>
      </c>
      <c r="Z231" s="384">
        <f t="shared" si="85"/>
        <v>53.9496007553212</v>
      </c>
      <c r="AA231" s="385">
        <f t="shared" si="86"/>
        <v>56.300668514693648</v>
      </c>
      <c r="AB231" s="196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4.1759144631805897E-2</v>
      </c>
      <c r="AD231" s="230">
        <f>(INDEX(Models!$BJ231:$BT231,,AH231)*(1-AF231)+INDEX(Models!$BJ231:$BT231,,AH231+1)*AF231-ERP_i)*AE231*Ramure*Pc/MaxiM</f>
        <v>1.8518841614280167E-4</v>
      </c>
      <c r="AE231" s="304">
        <f t="shared" si="88"/>
        <v>0.5</v>
      </c>
      <c r="AF231" s="176">
        <f t="shared" si="89"/>
        <v>0.4075250828762419</v>
      </c>
      <c r="AG231" s="814">
        <f t="shared" si="95"/>
        <v>0</v>
      </c>
      <c r="AH231" s="175">
        <f t="shared" si="90"/>
        <v>6</v>
      </c>
      <c r="AI231" s="224">
        <f t="shared" si="91"/>
        <v>0.4075250828762419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44048</v>
      </c>
      <c r="B232" s="616">
        <v>53.087000000000003</v>
      </c>
      <c r="C232" s="389"/>
      <c r="D232" s="392">
        <f t="shared" si="74"/>
        <v>54.023034293681036</v>
      </c>
      <c r="E232" s="384">
        <f t="shared" si="72"/>
        <v>56.379209532990934</v>
      </c>
      <c r="F232" s="384">
        <f t="shared" si="75"/>
        <v>56.389246381378285</v>
      </c>
      <c r="G232" s="110">
        <f t="shared" si="73"/>
        <v>1.0106813251912676</v>
      </c>
      <c r="H232" s="413" t="b">
        <f>Wh_hp&gt;='2019'!Maxi_hp</f>
        <v>1</v>
      </c>
      <c r="I232" s="379">
        <f>IF(H232,Wh_hp,'2019'!Maxi_hp)</f>
        <v>56.389246381378285</v>
      </c>
      <c r="J232" s="85">
        <f>IF(H232,An,'2019'!An_max)</f>
        <v>2020</v>
      </c>
      <c r="K232" s="196">
        <f t="shared" si="76"/>
        <v>44048</v>
      </c>
      <c r="L232" s="147">
        <f>IF(t&lt;Tvie,1-EXP((T0-t)*PertePVj)+'2019'!Pspv,1-EXP((T0-t)*PertePVj)+Pspv)</f>
        <v>1.7326577559352629E-2</v>
      </c>
      <c r="M232" s="847"/>
      <c r="N232" s="847"/>
      <c r="O232" s="48">
        <f>IF(t&lt;Tnet,'2019'!Resal+('2019'!Salim-'2019'!Resal)*(1-EXP(('2019'!Tnet-t)/('2019'!Tau_j))),Resal+(Salim-Resal)*(1-EXP((Tnet-t)/(Tau_j))))*Salcycl</f>
        <v>4.1791562152554765E-2</v>
      </c>
      <c r="P232" s="168">
        <f>(INDEX(Models!$BJ232:$BT232,,T232)*(1-R232)+INDEX(Models!$BJ232:$BT232,,T232+1)*R232-ERP_i)*Q232*Ramure*Pc/MaxiM</f>
        <v>1.7799224198659913E-4</v>
      </c>
      <c r="Q232" s="304">
        <f t="shared" si="77"/>
        <v>0.5</v>
      </c>
      <c r="R232" s="176">
        <f t="shared" si="78"/>
        <v>0.40852973326196085</v>
      </c>
      <c r="S232" s="814">
        <f t="shared" si="79"/>
        <v>0</v>
      </c>
      <c r="T232" s="175">
        <f t="shared" si="80"/>
        <v>6</v>
      </c>
      <c r="U232" s="250">
        <f t="shared" si="81"/>
        <v>0.40852973326196085</v>
      </c>
      <c r="V232" s="382">
        <f t="shared" si="82"/>
        <v>52.525953212753279</v>
      </c>
      <c r="W232" s="401"/>
      <c r="X232" s="157">
        <f t="shared" si="83"/>
        <v>44048</v>
      </c>
      <c r="Y232" s="384">
        <f t="shared" si="84"/>
        <v>53.087000000000003</v>
      </c>
      <c r="Z232" s="384">
        <f t="shared" si="85"/>
        <v>54.023034293681036</v>
      </c>
      <c r="AA232" s="385">
        <f t="shared" si="86"/>
        <v>56.379209532990934</v>
      </c>
      <c r="AB232" s="196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4.1791562152554765E-2</v>
      </c>
      <c r="AD232" s="230">
        <f>(INDEX(Models!$BJ232:$BT232,,AH232)*(1-AF232)+INDEX(Models!$BJ232:$BT232,,AH232+1)*AF232-ERP_i)*AE232*Ramure*Pc/MaxiM</f>
        <v>1.7799224198659913E-4</v>
      </c>
      <c r="AE232" s="304">
        <f t="shared" si="88"/>
        <v>0.5</v>
      </c>
      <c r="AF232" s="176">
        <f t="shared" si="89"/>
        <v>0.40852973326196085</v>
      </c>
      <c r="AG232" s="814">
        <f t="shared" si="95"/>
        <v>0</v>
      </c>
      <c r="AH232" s="175">
        <f t="shared" si="90"/>
        <v>6</v>
      </c>
      <c r="AI232" s="224">
        <f t="shared" si="91"/>
        <v>0.40852973326196085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44049</v>
      </c>
      <c r="B233" s="616">
        <v>51.658999999999999</v>
      </c>
      <c r="C233" s="389"/>
      <c r="D233" s="392">
        <f t="shared" si="74"/>
        <v>52.571007121729785</v>
      </c>
      <c r="E233" s="384">
        <f t="shared" ref="E233:E296" si="96">Wh_pvt/(1-Psa)</f>
        <v>54.865701788369194</v>
      </c>
      <c r="F233" s="384">
        <f t="shared" si="75"/>
        <v>54.87487901548878</v>
      </c>
      <c r="G233" s="110">
        <f t="shared" ref="G233:G296" si="97">+Wh_hp/MaxiM</f>
        <v>0.98530682514625989</v>
      </c>
      <c r="H233" s="413" t="b">
        <f>Wh_hp&gt;='2019'!Maxi_hp</f>
        <v>1</v>
      </c>
      <c r="I233" s="379">
        <f>IF(H233,Wh_hp,'2019'!Maxi_hp)</f>
        <v>54.87487901548878</v>
      </c>
      <c r="J233" s="85">
        <f>IF(H233,An,'2019'!An_max)</f>
        <v>2020</v>
      </c>
      <c r="K233" s="196">
        <f t="shared" si="76"/>
        <v>44049</v>
      </c>
      <c r="L233" s="147">
        <f>IF(t&lt;Tvie,1-EXP((T0-t)*PertePVj)+'2019'!Pspv,1-EXP((T0-t)*PertePVj)+Pspv)</f>
        <v>1.7348100629268948E-2</v>
      </c>
      <c r="M233" s="847"/>
      <c r="N233" s="847"/>
      <c r="O233" s="48">
        <f>IF(t&lt;Tnet,'2019'!Resal+('2019'!Salim-'2019'!Resal)*(1-EXP(('2019'!Tnet-t)/('2019'!Tau_j))),Resal+(Salim-Resal)*(1-EXP((Tnet-t)/(Tau_j))))*Salcycl</f>
        <v>4.1823846079480115E-2</v>
      </c>
      <c r="P233" s="168">
        <f>(INDEX(Models!$BJ233:$BT233,,T233)*(1-R233)+INDEX(Models!$BJ233:$BT233,,T233+1)*R233-ERP_i)*Q233*Ramure*Pc/MaxiM</f>
        <v>1.7082390607409785E-4</v>
      </c>
      <c r="Q233" s="304">
        <f t="shared" si="77"/>
        <v>0.5</v>
      </c>
      <c r="R233" s="176">
        <f t="shared" si="78"/>
        <v>0.40950090758969898</v>
      </c>
      <c r="S233" s="814">
        <f t="shared" si="79"/>
        <v>0</v>
      </c>
      <c r="T233" s="175">
        <f t="shared" si="80"/>
        <v>6</v>
      </c>
      <c r="U233" s="250">
        <f t="shared" si="81"/>
        <v>0.40950090758969898</v>
      </c>
      <c r="V233" s="382">
        <f t="shared" si="82"/>
        <v>52.429165681966801</v>
      </c>
      <c r="W233" s="401"/>
      <c r="X233" s="157">
        <f t="shared" si="83"/>
        <v>44049</v>
      </c>
      <c r="Y233" s="384">
        <f t="shared" si="84"/>
        <v>51.658999999999999</v>
      </c>
      <c r="Z233" s="384">
        <f t="shared" si="85"/>
        <v>52.571007121729785</v>
      </c>
      <c r="AA233" s="385">
        <f t="shared" si="86"/>
        <v>54.865701788369194</v>
      </c>
      <c r="AB233" s="196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4.1823846079480115E-2</v>
      </c>
      <c r="AD233" s="230">
        <f>(INDEX(Models!$BJ233:$BT233,,AH233)*(1-AF233)+INDEX(Models!$BJ233:$BT233,,AH233+1)*AF233-ERP_i)*AE233*Ramure*Pc/MaxiM</f>
        <v>1.7082390607409785E-4</v>
      </c>
      <c r="AE233" s="304">
        <f t="shared" si="88"/>
        <v>0.5</v>
      </c>
      <c r="AF233" s="176">
        <f t="shared" si="89"/>
        <v>0.40950090758969898</v>
      </c>
      <c r="AG233" s="814">
        <f t="shared" si="95"/>
        <v>0</v>
      </c>
      <c r="AH233" s="175">
        <f t="shared" si="90"/>
        <v>6</v>
      </c>
      <c r="AI233" s="224">
        <f t="shared" si="91"/>
        <v>0.40950090758969898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44050</v>
      </c>
      <c r="B234" s="616">
        <v>49.737000000000002</v>
      </c>
      <c r="C234" s="389"/>
      <c r="D234" s="392">
        <f t="shared" si="74"/>
        <v>50.616184046108614</v>
      </c>
      <c r="E234" s="384">
        <f t="shared" si="96"/>
        <v>52.827324419030525</v>
      </c>
      <c r="F234" s="384">
        <f t="shared" si="75"/>
        <v>52.835383228218056</v>
      </c>
      <c r="G234" s="110">
        <f t="shared" si="97"/>
        <v>0.95042958136187827</v>
      </c>
      <c r="H234" s="413" t="b">
        <f>Wh_hp&gt;='2019'!Maxi_hp</f>
        <v>0</v>
      </c>
      <c r="I234" s="379">
        <f>IF(H234,Wh_hp,'2019'!Maxi_hp)</f>
        <v>54.060598352097749</v>
      </c>
      <c r="J234" s="85">
        <f>IF(H234,An,'2019'!An_max)</f>
        <v>2019</v>
      </c>
      <c r="K234" s="196">
        <f t="shared" si="76"/>
        <v>44050</v>
      </c>
      <c r="L234" s="147">
        <f>IF(t&lt;Tvie,1-EXP((T0-t)*PertePVj)+'2019'!Pspv,1-EXP((T0-t)*PertePVj)+Pspv)</f>
        <v>1.73696232277748E-2</v>
      </c>
      <c r="M234" s="847"/>
      <c r="N234" s="847"/>
      <c r="O234" s="48">
        <f>IF(t&lt;Tnet,'2019'!Resal+('2019'!Salim-'2019'!Resal)*(1-EXP(('2019'!Tnet-t)/('2019'!Tau_j))),Resal+(Salim-Resal)*(1-EXP((Tnet-t)/(Tau_j))))*Salcycl</f>
        <v>4.1855997767045051E-2</v>
      </c>
      <c r="P234" s="168">
        <f>(INDEX(Models!$BJ234:$BT234,,T234)*(1-R234)+INDEX(Models!$BJ234:$BT234,,T234+1)*R234-ERP_i)*Q234*Ramure*Pc/MaxiM</f>
        <v>1.6414830033156225E-4</v>
      </c>
      <c r="Q234" s="304">
        <f t="shared" si="77"/>
        <v>0.5</v>
      </c>
      <c r="R234" s="176">
        <f t="shared" si="78"/>
        <v>0.41043947194945191</v>
      </c>
      <c r="S234" s="814">
        <f t="shared" si="79"/>
        <v>0</v>
      </c>
      <c r="T234" s="175">
        <f t="shared" si="80"/>
        <v>6</v>
      </c>
      <c r="U234" s="250">
        <f t="shared" si="81"/>
        <v>0.41043947194945191</v>
      </c>
      <c r="V234" s="382">
        <f t="shared" si="82"/>
        <v>52.330464945557537</v>
      </c>
      <c r="W234" s="401"/>
      <c r="X234" s="157">
        <f t="shared" si="83"/>
        <v>44050</v>
      </c>
      <c r="Y234" s="384">
        <f t="shared" si="84"/>
        <v>49.737000000000002</v>
      </c>
      <c r="Z234" s="384">
        <f t="shared" si="85"/>
        <v>50.616184046108614</v>
      </c>
      <c r="AA234" s="385">
        <f t="shared" si="86"/>
        <v>52.827324419030525</v>
      </c>
      <c r="AB234" s="196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4.1855997767045051E-2</v>
      </c>
      <c r="AD234" s="230">
        <f>(INDEX(Models!$BJ234:$BT234,,AH234)*(1-AF234)+INDEX(Models!$BJ234:$BT234,,AH234+1)*AF234-ERP_i)*AE234*Ramure*Pc/MaxiM</f>
        <v>1.6414830033156225E-4</v>
      </c>
      <c r="AE234" s="304">
        <f t="shared" si="88"/>
        <v>0.5</v>
      </c>
      <c r="AF234" s="176">
        <f t="shared" si="89"/>
        <v>0.41043947194945191</v>
      </c>
      <c r="AG234" s="814">
        <f t="shared" si="95"/>
        <v>0</v>
      </c>
      <c r="AH234" s="175">
        <f t="shared" si="90"/>
        <v>6</v>
      </c>
      <c r="AI234" s="224">
        <f t="shared" si="91"/>
        <v>0.41043947194945191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44051</v>
      </c>
      <c r="B235" s="616">
        <v>48.433</v>
      </c>
      <c r="C235" s="389"/>
      <c r="D235" s="392">
        <f t="shared" si="74"/>
        <v>49.290213263437494</v>
      </c>
      <c r="E235" s="384">
        <f t="shared" si="96"/>
        <v>51.445148562721208</v>
      </c>
      <c r="F235" s="384">
        <f t="shared" si="75"/>
        <v>51.452433371553525</v>
      </c>
      <c r="G235" s="110">
        <f t="shared" si="97"/>
        <v>0.92728976240543159</v>
      </c>
      <c r="H235" s="413" t="b">
        <f>Wh_hp&gt;='2019'!Maxi_hp</f>
        <v>1</v>
      </c>
      <c r="I235" s="379">
        <f>IF(H235,Wh_hp,'2019'!Maxi_hp)</f>
        <v>51.452433371553525</v>
      </c>
      <c r="J235" s="85">
        <f>IF(H235,An,'2019'!An_max)</f>
        <v>2020</v>
      </c>
      <c r="K235" s="196">
        <f t="shared" si="76"/>
        <v>44051</v>
      </c>
      <c r="L235" s="147">
        <f>IF(t&lt;Tvie,1-EXP((T0-t)*PertePVj)+'2019'!Pspv,1-EXP((T0-t)*PertePVj)+Pspv)</f>
        <v>1.73911453548804E-2</v>
      </c>
      <c r="M235" s="847"/>
      <c r="N235" s="847"/>
      <c r="O235" s="48">
        <f>IF(t&lt;Tnet,'2019'!Resal+('2019'!Salim-'2019'!Resal)*(1-EXP(('2019'!Tnet-t)/('2019'!Tau_j))),Resal+(Salim-Resal)*(1-EXP((Tnet-t)/(Tau_j))))*Salcycl</f>
        <v>4.1888017810978742E-2</v>
      </c>
      <c r="P235" s="168">
        <f>(INDEX(Models!$BJ235:$BT235,,T235)*(1-R235)+INDEX(Models!$BJ235:$BT235,,T235+1)*R235-ERP_i)*Q235*Ramure*Pc/MaxiM</f>
        <v>1.5799070821176635E-4</v>
      </c>
      <c r="Q235" s="304">
        <f t="shared" si="77"/>
        <v>0.5</v>
      </c>
      <c r="R235" s="176">
        <f t="shared" si="78"/>
        <v>0.41134628847062887</v>
      </c>
      <c r="S235" s="814">
        <f t="shared" si="79"/>
        <v>0</v>
      </c>
      <c r="T235" s="175">
        <f t="shared" si="80"/>
        <v>6</v>
      </c>
      <c r="U235" s="250">
        <f t="shared" si="81"/>
        <v>0.41134628847062887</v>
      </c>
      <c r="V235" s="382">
        <f t="shared" si="82"/>
        <v>52.229850036468072</v>
      </c>
      <c r="W235" s="401"/>
      <c r="X235" s="157">
        <f t="shared" si="83"/>
        <v>44051</v>
      </c>
      <c r="Y235" s="384">
        <f t="shared" si="84"/>
        <v>48.433</v>
      </c>
      <c r="Z235" s="384">
        <f t="shared" si="85"/>
        <v>49.290213263437494</v>
      </c>
      <c r="AA235" s="385">
        <f t="shared" si="86"/>
        <v>51.445148562721208</v>
      </c>
      <c r="AB235" s="196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4.1888017810978742E-2</v>
      </c>
      <c r="AD235" s="230">
        <f>(INDEX(Models!$BJ235:$BT235,,AH235)*(1-AF235)+INDEX(Models!$BJ235:$BT235,,AH235+1)*AF235-ERP_i)*AE235*Ramure*Pc/MaxiM</f>
        <v>1.5799070821176635E-4</v>
      </c>
      <c r="AE235" s="304">
        <f t="shared" si="88"/>
        <v>0.5</v>
      </c>
      <c r="AF235" s="176">
        <f t="shared" si="89"/>
        <v>0.41134628847062887</v>
      </c>
      <c r="AG235" s="814">
        <f t="shared" si="95"/>
        <v>0</v>
      </c>
      <c r="AH235" s="175">
        <f t="shared" si="90"/>
        <v>6</v>
      </c>
      <c r="AI235" s="224">
        <f t="shared" si="91"/>
        <v>0.41134628847062887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44052</v>
      </c>
      <c r="B236" s="616">
        <v>39.816000000000003</v>
      </c>
      <c r="C236" s="389"/>
      <c r="D236" s="392">
        <f t="shared" si="74"/>
        <v>40.521588934863033</v>
      </c>
      <c r="E236" s="384">
        <f t="shared" si="96"/>
        <v>42.294573483549996</v>
      </c>
      <c r="F236" s="384">
        <f t="shared" si="75"/>
        <v>42.298843625895209</v>
      </c>
      <c r="G236" s="110">
        <f t="shared" si="97"/>
        <v>0.76378283478202091</v>
      </c>
      <c r="H236" s="413" t="b">
        <f>Wh_hp&gt;='2019'!Maxi_hp</f>
        <v>0</v>
      </c>
      <c r="I236" s="379">
        <f>IF(H236,Wh_hp,'2019'!Maxi_hp)</f>
        <v>50.855662310425032</v>
      </c>
      <c r="J236" s="85">
        <f>IF(H236,An,'2019'!An_max)</f>
        <v>2018</v>
      </c>
      <c r="K236" s="196">
        <f t="shared" si="76"/>
        <v>44052</v>
      </c>
      <c r="L236" s="147">
        <f>IF(t&lt;Tvie,1-EXP((T0-t)*PertePVj)+'2019'!Pspv,1-EXP((T0-t)*PertePVj)+Pspv)</f>
        <v>1.7412667010596294E-2</v>
      </c>
      <c r="M236" s="847"/>
      <c r="N236" s="847"/>
      <c r="O236" s="48">
        <f>IF(t&lt;Tnet,'2019'!Resal+('2019'!Salim-'2019'!Resal)*(1-EXP(('2019'!Tnet-t)/('2019'!Tau_j))),Resal+(Salim-Resal)*(1-EXP((Tnet-t)/(Tau_j))))*Salcycl</f>
        <v>4.191990609330877E-2</v>
      </c>
      <c r="P236" s="168">
        <f>(INDEX(Models!$BJ236:$BT236,,T236)*(1-R236)+INDEX(Models!$BJ236:$BT236,,T236+1)*R236-ERP_i)*Q236*Ramure*Pc/MaxiM</f>
        <v>1.5235631409923407E-4</v>
      </c>
      <c r="Q236" s="304">
        <f t="shared" si="77"/>
        <v>0.5</v>
      </c>
      <c r="R236" s="176">
        <f t="shared" si="78"/>
        <v>0.41222221375016715</v>
      </c>
      <c r="S236" s="814">
        <f t="shared" si="79"/>
        <v>0</v>
      </c>
      <c r="T236" s="175">
        <f t="shared" si="80"/>
        <v>6</v>
      </c>
      <c r="U236" s="250">
        <f t="shared" si="81"/>
        <v>0.41222221375016715</v>
      </c>
      <c r="V236" s="382">
        <f t="shared" si="82"/>
        <v>52.127321086827038</v>
      </c>
      <c r="W236" s="401"/>
      <c r="X236" s="157">
        <f t="shared" si="83"/>
        <v>44052</v>
      </c>
      <c r="Y236" s="384">
        <f t="shared" si="84"/>
        <v>39.816000000000003</v>
      </c>
      <c r="Z236" s="384">
        <f t="shared" si="85"/>
        <v>40.521588934863033</v>
      </c>
      <c r="AA236" s="385">
        <f t="shared" si="86"/>
        <v>42.294573483549996</v>
      </c>
      <c r="AB236" s="196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4.191990609330877E-2</v>
      </c>
      <c r="AD236" s="230">
        <f>(INDEX(Models!$BJ236:$BT236,,AH236)*(1-AF236)+INDEX(Models!$BJ236:$BT236,,AH236+1)*AF236-ERP_i)*AE236*Ramure*Pc/MaxiM</f>
        <v>1.5235631409923407E-4</v>
      </c>
      <c r="AE236" s="304">
        <f t="shared" si="88"/>
        <v>0.5</v>
      </c>
      <c r="AF236" s="176">
        <f t="shared" si="89"/>
        <v>0.41222221375016715</v>
      </c>
      <c r="AG236" s="814">
        <f t="shared" si="95"/>
        <v>0</v>
      </c>
      <c r="AH236" s="175">
        <f t="shared" si="90"/>
        <v>6</v>
      </c>
      <c r="AI236" s="224">
        <f t="shared" si="91"/>
        <v>0.41222221375016715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44053</v>
      </c>
      <c r="B237" s="616">
        <v>36.654000000000003</v>
      </c>
      <c r="C237" s="389"/>
      <c r="D237" s="392">
        <f t="shared" si="74"/>
        <v>37.304371432039858</v>
      </c>
      <c r="E237" s="384">
        <f t="shared" si="96"/>
        <v>38.937880215145313</v>
      </c>
      <c r="F237" s="384">
        <f t="shared" si="75"/>
        <v>38.94119431671853</v>
      </c>
      <c r="G237" s="110">
        <f t="shared" si="97"/>
        <v>0.70453083645012415</v>
      </c>
      <c r="H237" s="413" t="b">
        <f>Wh_hp&gt;='2019'!Maxi_hp</f>
        <v>0</v>
      </c>
      <c r="I237" s="379">
        <f>IF(H237,Wh_hp,'2019'!Maxi_hp)</f>
        <v>54.32605328693775</v>
      </c>
      <c r="J237" s="85">
        <f>IF(H237,An,'2019'!An_max)</f>
        <v>2018</v>
      </c>
      <c r="K237" s="196">
        <f t="shared" si="76"/>
        <v>44053</v>
      </c>
      <c r="L237" s="147">
        <f>IF(t&lt;Tvie,1-EXP((T0-t)*PertePVj)+'2019'!Pspv,1-EXP((T0-t)*PertePVj)+Pspv)</f>
        <v>1.7434188194932698E-2</v>
      </c>
      <c r="M237" s="847"/>
      <c r="N237" s="847"/>
      <c r="O237" s="48">
        <f>IF(t&lt;Tnet,'2019'!Resal+('2019'!Salim-'2019'!Resal)*(1-EXP(('2019'!Tnet-t)/('2019'!Tau_j))),Resal+(Salim-Resal)*(1-EXP((Tnet-t)/(Tau_j))))*Salcycl</f>
        <v>4.1951661828526755E-2</v>
      </c>
      <c r="P237" s="168">
        <f>(INDEX(Models!$BJ237:$BT237,,T237)*(1-R237)+INDEX(Models!$BJ237:$BT237,,T237+1)*R237-ERP_i)*Q237*Ramure*Pc/MaxiM</f>
        <v>1.4725021805185335E-4</v>
      </c>
      <c r="Q237" s="304">
        <f t="shared" si="77"/>
        <v>0.5</v>
      </c>
      <c r="R237" s="176">
        <f t="shared" si="78"/>
        <v>0.41306809741397266</v>
      </c>
      <c r="S237" s="814">
        <f t="shared" si="79"/>
        <v>0</v>
      </c>
      <c r="T237" s="175">
        <f t="shared" si="80"/>
        <v>6</v>
      </c>
      <c r="U237" s="250">
        <f t="shared" si="81"/>
        <v>0.41306809741397266</v>
      </c>
      <c r="V237" s="382">
        <f t="shared" si="82"/>
        <v>52.022878275348575</v>
      </c>
      <c r="W237" s="401"/>
      <c r="X237" s="157">
        <f t="shared" si="83"/>
        <v>44053</v>
      </c>
      <c r="Y237" s="384">
        <f t="shared" si="84"/>
        <v>36.654000000000003</v>
      </c>
      <c r="Z237" s="384">
        <f t="shared" si="85"/>
        <v>37.304371432039858</v>
      </c>
      <c r="AA237" s="385">
        <f t="shared" si="86"/>
        <v>38.937880215145313</v>
      </c>
      <c r="AB237" s="196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4.1951661828526755E-2</v>
      </c>
      <c r="AD237" s="230">
        <f>(INDEX(Models!$BJ237:$BT237,,AH237)*(1-AF237)+INDEX(Models!$BJ237:$BT237,,AH237+1)*AF237-ERP_i)*AE237*Ramure*Pc/MaxiM</f>
        <v>1.4725021805185335E-4</v>
      </c>
      <c r="AE237" s="304">
        <f t="shared" si="88"/>
        <v>0.5</v>
      </c>
      <c r="AF237" s="176">
        <f t="shared" si="89"/>
        <v>0.41306809741397266</v>
      </c>
      <c r="AG237" s="814">
        <f t="shared" si="95"/>
        <v>0</v>
      </c>
      <c r="AH237" s="175">
        <f t="shared" si="90"/>
        <v>6</v>
      </c>
      <c r="AI237" s="224">
        <f t="shared" si="91"/>
        <v>0.41306809741397266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44054</v>
      </c>
      <c r="B238" s="616">
        <v>41.667000000000002</v>
      </c>
      <c r="C238" s="389"/>
      <c r="D238" s="392">
        <f t="shared" si="74"/>
        <v>42.407248586918193</v>
      </c>
      <c r="E238" s="384">
        <f t="shared" si="96"/>
        <v>44.265666622943733</v>
      </c>
      <c r="F238" s="384">
        <f t="shared" si="75"/>
        <v>44.270201560323223</v>
      </c>
      <c r="G238" s="110">
        <f t="shared" si="97"/>
        <v>0.80254457910498489</v>
      </c>
      <c r="H238" s="413" t="b">
        <f>Wh_hp&gt;='2019'!Maxi_hp</f>
        <v>0</v>
      </c>
      <c r="I238" s="379">
        <f>IF(H238,Wh_hp,'2019'!Maxi_hp)</f>
        <v>51.451294762618211</v>
      </c>
      <c r="J238" s="85">
        <f>IF(H238,An,'2019'!An_max)</f>
        <v>2018</v>
      </c>
      <c r="K238" s="196">
        <f t="shared" si="76"/>
        <v>44054</v>
      </c>
      <c r="L238" s="147">
        <f>IF(t&lt;Tvie,1-EXP((T0-t)*PertePVj)+'2019'!Pspv,1-EXP((T0-t)*PertePVj)+Pspv)</f>
        <v>1.7455708907899936E-2</v>
      </c>
      <c r="M238" s="847"/>
      <c r="N238" s="847"/>
      <c r="O238" s="48">
        <f>IF(t&lt;Tnet,'2019'!Resal+('2019'!Salim-'2019'!Resal)*(1-EXP(('2019'!Tnet-t)/('2019'!Tau_j))),Resal+(Salim-Resal)*(1-EXP((Tnet-t)/(Tau_j))))*Salcycl</f>
        <v>4.1983283610198388E-2</v>
      </c>
      <c r="P238" s="168">
        <f>(INDEX(Models!$BJ238:$BT238,,T238)*(1-R238)+INDEX(Models!$BJ238:$BT238,,T238+1)*R238-ERP_i)*Q238*Ramure*Pc/MaxiM</f>
        <v>1.4267744746754627E-4</v>
      </c>
      <c r="Q238" s="304">
        <f t="shared" si="77"/>
        <v>0.5</v>
      </c>
      <c r="R238" s="176">
        <f t="shared" si="78"/>
        <v>0.41388478080651231</v>
      </c>
      <c r="S238" s="814">
        <f t="shared" si="79"/>
        <v>0</v>
      </c>
      <c r="T238" s="175">
        <f t="shared" si="80"/>
        <v>6</v>
      </c>
      <c r="U238" s="250">
        <f t="shared" si="81"/>
        <v>0.41388478080651231</v>
      </c>
      <c r="V238" s="382">
        <f t="shared" si="82"/>
        <v>51.916521827241283</v>
      </c>
      <c r="W238" s="401"/>
      <c r="X238" s="157">
        <f t="shared" si="83"/>
        <v>44054</v>
      </c>
      <c r="Y238" s="384">
        <f t="shared" si="84"/>
        <v>41.667000000000002</v>
      </c>
      <c r="Z238" s="384">
        <f t="shared" si="85"/>
        <v>42.407248586918193</v>
      </c>
      <c r="AA238" s="385">
        <f t="shared" si="86"/>
        <v>44.265666622943733</v>
      </c>
      <c r="AB238" s="196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4.1983283610198388E-2</v>
      </c>
      <c r="AD238" s="230">
        <f>(INDEX(Models!$BJ238:$BT238,,AH238)*(1-AF238)+INDEX(Models!$BJ238:$BT238,,AH238+1)*AF238-ERP_i)*AE238*Ramure*Pc/MaxiM</f>
        <v>1.4267744746754627E-4</v>
      </c>
      <c r="AE238" s="304">
        <f t="shared" si="88"/>
        <v>0.5</v>
      </c>
      <c r="AF238" s="176">
        <f t="shared" si="89"/>
        <v>0.41388478080651231</v>
      </c>
      <c r="AG238" s="814">
        <f t="shared" si="95"/>
        <v>0</v>
      </c>
      <c r="AH238" s="175">
        <f t="shared" si="90"/>
        <v>6</v>
      </c>
      <c r="AI238" s="224">
        <f t="shared" si="91"/>
        <v>0.41388478080651231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44055</v>
      </c>
      <c r="B239" s="616">
        <v>25.47</v>
      </c>
      <c r="C239" s="389"/>
      <c r="D239" s="392">
        <f t="shared" si="74"/>
        <v>25.923063317863512</v>
      </c>
      <c r="E239" s="384">
        <f t="shared" si="96"/>
        <v>27.059982232898658</v>
      </c>
      <c r="F239" s="384">
        <f t="shared" si="75"/>
        <v>27.061009269257813</v>
      </c>
      <c r="G239" s="110">
        <f t="shared" si="97"/>
        <v>0.49157102072038084</v>
      </c>
      <c r="H239" s="413" t="b">
        <f>Wh_hp&gt;='2019'!Maxi_hp</f>
        <v>0</v>
      </c>
      <c r="I239" s="379">
        <f>IF(H239,Wh_hp,'2019'!Maxi_hp)</f>
        <v>51.299776685989691</v>
      </c>
      <c r="J239" s="85">
        <f>IF(H239,An,'2019'!An_max)</f>
        <v>2019</v>
      </c>
      <c r="K239" s="196">
        <f t="shared" si="76"/>
        <v>44055</v>
      </c>
      <c r="L239" s="147">
        <f>IF(t&lt;Tvie,1-EXP((T0-t)*PertePVj)+'2019'!Pspv,1-EXP((T0-t)*PertePVj)+Pspv)</f>
        <v>1.7477229149508333E-2</v>
      </c>
      <c r="M239" s="847"/>
      <c r="N239" s="847"/>
      <c r="O239" s="48">
        <f>IF(t&lt;Tnet,'2019'!Resal+('2019'!Salim-'2019'!Resal)*(1-EXP(('2019'!Tnet-t)/('2019'!Tau_j))),Resal+(Salim-Resal)*(1-EXP((Tnet-t)/(Tau_j))))*Salcycl</f>
        <v>4.2014769457347077E-2</v>
      </c>
      <c r="P239" s="168">
        <f>(INDEX(Models!$BJ239:$BT239,,T239)*(1-R239)+INDEX(Models!$BJ239:$BT239,,T239+1)*R239-ERP_i)*Q239*Ramure*Pc/MaxiM</f>
        <v>1.386429674411436E-4</v>
      </c>
      <c r="Q239" s="304">
        <f t="shared" si="77"/>
        <v>0.5</v>
      </c>
      <c r="R239" s="176">
        <f t="shared" si="78"/>
        <v>0.41467309580315848</v>
      </c>
      <c r="S239" s="814">
        <f t="shared" si="79"/>
        <v>0</v>
      </c>
      <c r="T239" s="175">
        <f t="shared" si="80"/>
        <v>6</v>
      </c>
      <c r="U239" s="250">
        <f t="shared" si="81"/>
        <v>0.41467309580315848</v>
      </c>
      <c r="V239" s="382">
        <f t="shared" si="82"/>
        <v>51.808252004646093</v>
      </c>
      <c r="W239" s="401"/>
      <c r="X239" s="157">
        <f t="shared" si="83"/>
        <v>44055</v>
      </c>
      <c r="Y239" s="384">
        <f t="shared" si="84"/>
        <v>25.47</v>
      </c>
      <c r="Z239" s="384">
        <f t="shared" si="85"/>
        <v>25.923063317863512</v>
      </c>
      <c r="AA239" s="385">
        <f t="shared" si="86"/>
        <v>27.059982232898658</v>
      </c>
      <c r="AB239" s="196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4.2014769457347077E-2</v>
      </c>
      <c r="AD239" s="230">
        <f>(INDEX(Models!$BJ239:$BT239,,AH239)*(1-AF239)+INDEX(Models!$BJ239:$BT239,,AH239+1)*AF239-ERP_i)*AE239*Ramure*Pc/MaxiM</f>
        <v>1.386429674411436E-4</v>
      </c>
      <c r="AE239" s="304">
        <f t="shared" si="88"/>
        <v>0.5</v>
      </c>
      <c r="AF239" s="176">
        <f t="shared" si="89"/>
        <v>0.41467309580315848</v>
      </c>
      <c r="AG239" s="814">
        <f t="shared" si="95"/>
        <v>0</v>
      </c>
      <c r="AH239" s="175">
        <f t="shared" si="90"/>
        <v>6</v>
      </c>
      <c r="AI239" s="224">
        <f t="shared" si="91"/>
        <v>0.41467309580315848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44056</v>
      </c>
      <c r="B240" s="616">
        <v>15.912000000000001</v>
      </c>
      <c r="C240" s="389"/>
      <c r="D240" s="392">
        <f t="shared" si="74"/>
        <v>16.195399224688227</v>
      </c>
      <c r="E240" s="384">
        <f t="shared" si="96"/>
        <v>16.906241009851176</v>
      </c>
      <c r="F240" s="384">
        <f t="shared" si="75"/>
        <v>16.906266523406419</v>
      </c>
      <c r="G240" s="110">
        <f t="shared" si="97"/>
        <v>0.30774599033463446</v>
      </c>
      <c r="H240" s="413" t="b">
        <f>Wh_hp&gt;='2019'!Maxi_hp</f>
        <v>0</v>
      </c>
      <c r="I240" s="379">
        <f>IF(H240,Wh_hp,'2019'!Maxi_hp)</f>
        <v>56.168421438709679</v>
      </c>
      <c r="J240" s="85">
        <f>IF(H240,An,'2019'!An_max)</f>
        <v>2019</v>
      </c>
      <c r="K240" s="196">
        <f t="shared" si="76"/>
        <v>44056</v>
      </c>
      <c r="L240" s="147">
        <f>IF(t&lt;Tvie,1-EXP((T0-t)*PertePVj)+'2019'!Pspv,1-EXP((T0-t)*PertePVj)+Pspv)</f>
        <v>1.7498748919768103E-2</v>
      </c>
      <c r="M240" s="847"/>
      <c r="N240" s="847"/>
      <c r="O240" s="48">
        <f>IF(t&lt;Tnet,'2019'!Resal+('2019'!Salim-'2019'!Resal)*(1-EXP(('2019'!Tnet-t)/('2019'!Tau_j))),Resal+(Salim-Resal)*(1-EXP((Tnet-t)/(Tau_j))))*Salcycl</f>
        <v>4.2046116859965725E-2</v>
      </c>
      <c r="P240" s="168">
        <f>(INDEX(Models!$BJ240:$BT240,,T240)*(1-R240)+INDEX(Models!$BJ240:$BT240,,T240+1)*R240-ERP_i)*Q240*Ramure*Pc/MaxiM</f>
        <v>1.3565493179124532E-4</v>
      </c>
      <c r="Q240" s="304">
        <f t="shared" si="77"/>
        <v>0.5</v>
      </c>
      <c r="R240" s="176">
        <f t="shared" si="78"/>
        <v>0.41543386373972785</v>
      </c>
      <c r="S240" s="814">
        <f t="shared" si="79"/>
        <v>0</v>
      </c>
      <c r="T240" s="175">
        <f t="shared" si="80"/>
        <v>6</v>
      </c>
      <c r="U240" s="250">
        <f t="shared" si="81"/>
        <v>0.41543386373972785</v>
      </c>
      <c r="V240" s="382">
        <f t="shared" si="82"/>
        <v>51.698043088371762</v>
      </c>
      <c r="W240" s="401"/>
      <c r="X240" s="157">
        <f t="shared" si="83"/>
        <v>44056</v>
      </c>
      <c r="Y240" s="384">
        <f t="shared" si="84"/>
        <v>15.912000000000001</v>
      </c>
      <c r="Z240" s="384">
        <f t="shared" si="85"/>
        <v>16.195399224688227</v>
      </c>
      <c r="AA240" s="385">
        <f t="shared" si="86"/>
        <v>16.906241009851176</v>
      </c>
      <c r="AB240" s="196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4.2046116859965725E-2</v>
      </c>
      <c r="AD240" s="230">
        <f>(INDEX(Models!$BJ240:$BT240,,AH240)*(1-AF240)+INDEX(Models!$BJ240:$BT240,,AH240+1)*AF240-ERP_i)*AE240*Ramure*Pc/MaxiM</f>
        <v>1.3565493179124532E-4</v>
      </c>
      <c r="AE240" s="304">
        <f t="shared" si="88"/>
        <v>0.5</v>
      </c>
      <c r="AF240" s="176">
        <f t="shared" si="89"/>
        <v>0.41543386373972785</v>
      </c>
      <c r="AG240" s="814">
        <f t="shared" si="95"/>
        <v>0</v>
      </c>
      <c r="AH240" s="175">
        <f t="shared" si="90"/>
        <v>6</v>
      </c>
      <c r="AI240" s="224">
        <f t="shared" si="91"/>
        <v>0.41543386373972785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44057</v>
      </c>
      <c r="B241" s="616">
        <v>48.475999999999999</v>
      </c>
      <c r="C241" s="389"/>
      <c r="D241" s="392">
        <f t="shared" si="74"/>
        <v>49.340458059230734</v>
      </c>
      <c r="E241" s="384">
        <f t="shared" si="96"/>
        <v>51.50776699914806</v>
      </c>
      <c r="F241" s="384">
        <f t="shared" si="75"/>
        <v>51.514058076363199</v>
      </c>
      <c r="G241" s="110">
        <f t="shared" si="97"/>
        <v>0.93970333014449858</v>
      </c>
      <c r="H241" s="413" t="b">
        <f>Wh_hp&gt;='2019'!Maxi_hp</f>
        <v>0</v>
      </c>
      <c r="I241" s="379">
        <f>IF(H241,Wh_hp,'2019'!Maxi_hp)</f>
        <v>54.459997130630313</v>
      </c>
      <c r="J241" s="85">
        <f>IF(H241,An,'2019'!An_max)</f>
        <v>2018</v>
      </c>
      <c r="K241" s="196">
        <f t="shared" si="76"/>
        <v>44057</v>
      </c>
      <c r="L241" s="147">
        <f>IF(t&lt;Tvie,1-EXP((T0-t)*PertePVj)+'2019'!Pspv,1-EXP((T0-t)*PertePVj)+Pspv)</f>
        <v>1.7520268218689794E-2</v>
      </c>
      <c r="M241" s="847"/>
      <c r="N241" s="847"/>
      <c r="O241" s="48">
        <f>IF(t&lt;Tnet,'2019'!Resal+('2019'!Salim-'2019'!Resal)*(1-EXP(('2019'!Tnet-t)/('2019'!Tau_j))),Resal+(Salim-Resal)*(1-EXP((Tnet-t)/(Tau_j))))*Salcycl</f>
        <v>4.2077322823044792E-2</v>
      </c>
      <c r="P241" s="168">
        <f>(INDEX(Models!$BJ241:$BT241,,T241)*(1-R241)+INDEX(Models!$BJ241:$BT241,,T241+1)*R241-ERP_i)*Q241*Ramure*Pc/MaxiM</f>
        <v>1.3363226752323838E-4</v>
      </c>
      <c r="Q241" s="304">
        <f t="shared" si="77"/>
        <v>0.5</v>
      </c>
      <c r="R241" s="176">
        <f t="shared" si="78"/>
        <v>0.41616789445355196</v>
      </c>
      <c r="S241" s="814">
        <f t="shared" si="79"/>
        <v>0</v>
      </c>
      <c r="T241" s="175">
        <f t="shared" si="80"/>
        <v>6</v>
      </c>
      <c r="U241" s="250">
        <f t="shared" si="81"/>
        <v>0.41616789445355196</v>
      </c>
      <c r="V241" s="382">
        <f t="shared" si="82"/>
        <v>51.58590001540778</v>
      </c>
      <c r="W241" s="401"/>
      <c r="X241" s="157">
        <f t="shared" si="83"/>
        <v>44057</v>
      </c>
      <c r="Y241" s="384">
        <f t="shared" si="84"/>
        <v>48.475999999999999</v>
      </c>
      <c r="Z241" s="384">
        <f t="shared" si="85"/>
        <v>49.340458059230734</v>
      </c>
      <c r="AA241" s="385">
        <f t="shared" si="86"/>
        <v>51.50776699914806</v>
      </c>
      <c r="AB241" s="196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4.2077322823044792E-2</v>
      </c>
      <c r="AD241" s="230">
        <f>(INDEX(Models!$BJ241:$BT241,,AH241)*(1-AF241)+INDEX(Models!$BJ241:$BT241,,AH241+1)*AF241-ERP_i)*AE241*Ramure*Pc/MaxiM</f>
        <v>1.3363226752323838E-4</v>
      </c>
      <c r="AE241" s="304">
        <f t="shared" si="88"/>
        <v>0.5</v>
      </c>
      <c r="AF241" s="176">
        <f t="shared" si="89"/>
        <v>0.41616789445355196</v>
      </c>
      <c r="AG241" s="814">
        <f t="shared" si="95"/>
        <v>0</v>
      </c>
      <c r="AH241" s="175">
        <f t="shared" si="90"/>
        <v>6</v>
      </c>
      <c r="AI241" s="224">
        <f t="shared" si="91"/>
        <v>0.41616789445355196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44058</v>
      </c>
      <c r="B242" s="616">
        <v>43.518999999999998</v>
      </c>
      <c r="C242" s="389"/>
      <c r="D242" s="392">
        <f t="shared" si="74"/>
        <v>44.296031552489218</v>
      </c>
      <c r="E242" s="384">
        <f t="shared" si="96"/>
        <v>46.243260519632798</v>
      </c>
      <c r="F242" s="384">
        <f t="shared" si="75"/>
        <v>46.248038795435818</v>
      </c>
      <c r="G242" s="110">
        <f t="shared" si="97"/>
        <v>0.8454669691980008</v>
      </c>
      <c r="H242" s="413" t="b">
        <f>Wh_hp&gt;='2019'!Maxi_hp</f>
        <v>0</v>
      </c>
      <c r="I242" s="379">
        <f>IF(H242,Wh_hp,'2019'!Maxi_hp)</f>
        <v>55.604090749056766</v>
      </c>
      <c r="J242" s="85">
        <f>IF(H242,An,'2019'!An_max)</f>
        <v>2019</v>
      </c>
      <c r="K242" s="196">
        <f t="shared" si="76"/>
        <v>44058</v>
      </c>
      <c r="L242" s="147">
        <f>IF(t&lt;Tvie,1-EXP((T0-t)*PertePVj)+'2019'!Pspv,1-EXP((T0-t)*PertePVj)+Pspv)</f>
        <v>1.7541787046283508E-2</v>
      </c>
      <c r="M242" s="847"/>
      <c r="N242" s="847"/>
      <c r="O242" s="48">
        <f>IF(t&lt;Tnet,'2019'!Resal+('2019'!Salim-'2019'!Resal)*(1-EXP(('2019'!Tnet-t)/('2019'!Tau_j))),Resal+(Salim-Resal)*(1-EXP((Tnet-t)/(Tau_j))))*Salcycl</f>
        <v>4.2108383908545384E-2</v>
      </c>
      <c r="P242" s="168">
        <f>(INDEX(Models!$BJ242:$BT242,,T242)*(1-R242)+INDEX(Models!$BJ242:$BT242,,T242+1)*R242-ERP_i)*Q242*Ramure*Pc/MaxiM</f>
        <v>1.3258297946296347E-4</v>
      </c>
      <c r="Q242" s="304">
        <f t="shared" si="77"/>
        <v>0.5</v>
      </c>
      <c r="R242" s="176">
        <f t="shared" si="78"/>
        <v>0.41687598543036319</v>
      </c>
      <c r="S242" s="814">
        <f t="shared" si="79"/>
        <v>0</v>
      </c>
      <c r="T242" s="175">
        <f t="shared" si="80"/>
        <v>6</v>
      </c>
      <c r="U242" s="250">
        <f t="shared" si="81"/>
        <v>0.41687598543036319</v>
      </c>
      <c r="V242" s="382">
        <f t="shared" si="82"/>
        <v>51.471823135489977</v>
      </c>
      <c r="W242" s="401"/>
      <c r="X242" s="157">
        <f t="shared" si="83"/>
        <v>44058</v>
      </c>
      <c r="Y242" s="384">
        <f t="shared" si="84"/>
        <v>43.518999999999998</v>
      </c>
      <c r="Z242" s="384">
        <f t="shared" si="85"/>
        <v>44.296031552489218</v>
      </c>
      <c r="AA242" s="385">
        <f t="shared" si="86"/>
        <v>46.243260519632798</v>
      </c>
      <c r="AB242" s="196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4.2108383908545384E-2</v>
      </c>
      <c r="AD242" s="230">
        <f>(INDEX(Models!$BJ242:$BT242,,AH242)*(1-AF242)+INDEX(Models!$BJ242:$BT242,,AH242+1)*AF242-ERP_i)*AE242*Ramure*Pc/MaxiM</f>
        <v>1.3258297946296347E-4</v>
      </c>
      <c r="AE242" s="304">
        <f t="shared" si="88"/>
        <v>0.5</v>
      </c>
      <c r="AF242" s="176">
        <f t="shared" si="89"/>
        <v>0.41687598543036319</v>
      </c>
      <c r="AG242" s="814">
        <f t="shared" si="95"/>
        <v>0</v>
      </c>
      <c r="AH242" s="175">
        <f t="shared" si="90"/>
        <v>6</v>
      </c>
      <c r="AI242" s="224">
        <f t="shared" si="91"/>
        <v>0.41687598543036319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44059</v>
      </c>
      <c r="B243" s="616">
        <v>16.216999999999999</v>
      </c>
      <c r="C243" s="389"/>
      <c r="D243" s="392">
        <f t="shared" si="74"/>
        <v>16.506916007086868</v>
      </c>
      <c r="E243" s="384">
        <f t="shared" si="96"/>
        <v>17.233107009077596</v>
      </c>
      <c r="F243" s="384">
        <f t="shared" si="75"/>
        <v>17.233158480335376</v>
      </c>
      <c r="G243" s="110">
        <f t="shared" si="97"/>
        <v>0.31573639944827719</v>
      </c>
      <c r="H243" s="413" t="b">
        <f>Wh_hp&gt;='2019'!Maxi_hp</f>
        <v>0</v>
      </c>
      <c r="I243" s="379">
        <f>IF(H243,Wh_hp,'2019'!Maxi_hp)</f>
        <v>54.149035020517147</v>
      </c>
      <c r="J243" s="85">
        <f>IF(H243,An,'2019'!An_max)</f>
        <v>2019</v>
      </c>
      <c r="K243" s="196">
        <f t="shared" si="76"/>
        <v>44059</v>
      </c>
      <c r="L243" s="147">
        <f>IF(t&lt;Tvie,1-EXP((T0-t)*PertePVj)+'2019'!Pspv,1-EXP((T0-t)*PertePVj)+Pspv)</f>
        <v>1.7563305402559792E-2</v>
      </c>
      <c r="M243" s="847"/>
      <c r="N243" s="847"/>
      <c r="O243" s="48">
        <f>IF(t&lt;Tnet,'2019'!Resal+('2019'!Salim-'2019'!Resal)*(1-EXP(('2019'!Tnet-t)/('2019'!Tau_j))),Resal+(Salim-Resal)*(1-EXP((Tnet-t)/(Tau_j))))*Salcycl</f>
        <v>4.2139296274792737E-2</v>
      </c>
      <c r="P243" s="168">
        <f>(INDEX(Models!$BJ243:$BT243,,T243)*(1-R243)+INDEX(Models!$BJ243:$BT243,,T243+1)*R243-ERP_i)*Q243*Ramure*Pc/MaxiM</f>
        <v>1.3251505150878504E-4</v>
      </c>
      <c r="Q243" s="304">
        <f t="shared" si="77"/>
        <v>0.5</v>
      </c>
      <c r="R243" s="176">
        <f t="shared" si="78"/>
        <v>0.41755892105127479</v>
      </c>
      <c r="S243" s="814">
        <f t="shared" si="79"/>
        <v>0</v>
      </c>
      <c r="T243" s="175">
        <f t="shared" si="80"/>
        <v>6</v>
      </c>
      <c r="U243" s="250">
        <f t="shared" si="81"/>
        <v>0.41755892105127479</v>
      </c>
      <c r="V243" s="382">
        <f t="shared" si="82"/>
        <v>51.355812829022035</v>
      </c>
      <c r="W243" s="401"/>
      <c r="X243" s="157">
        <f t="shared" si="83"/>
        <v>44059</v>
      </c>
      <c r="Y243" s="384">
        <f t="shared" si="84"/>
        <v>16.216999999999999</v>
      </c>
      <c r="Z243" s="384">
        <f t="shared" si="85"/>
        <v>16.506916007086868</v>
      </c>
      <c r="AA243" s="385">
        <f t="shared" si="86"/>
        <v>17.233107009077596</v>
      </c>
      <c r="AB243" s="196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4.2139296274792737E-2</v>
      </c>
      <c r="AD243" s="230">
        <f>(INDEX(Models!$BJ243:$BT243,,AH243)*(1-AF243)+INDEX(Models!$BJ243:$BT243,,AH243+1)*AF243-ERP_i)*AE243*Ramure*Pc/MaxiM</f>
        <v>1.3251505150878504E-4</v>
      </c>
      <c r="AE243" s="304">
        <f t="shared" si="88"/>
        <v>0.5</v>
      </c>
      <c r="AF243" s="176">
        <f t="shared" si="89"/>
        <v>0.41755892105127479</v>
      </c>
      <c r="AG243" s="814">
        <f t="shared" si="95"/>
        <v>0</v>
      </c>
      <c r="AH243" s="175">
        <f t="shared" si="90"/>
        <v>6</v>
      </c>
      <c r="AI243" s="224">
        <f t="shared" si="91"/>
        <v>0.41755892105127479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44060</v>
      </c>
      <c r="B244" s="616">
        <v>41.167999999999999</v>
      </c>
      <c r="C244" s="389"/>
      <c r="D244" s="392">
        <f t="shared" si="74"/>
        <v>41.904890087064338</v>
      </c>
      <c r="E244" s="384">
        <f t="shared" si="96"/>
        <v>43.749822541046228</v>
      </c>
      <c r="F244" s="384">
        <f t="shared" si="75"/>
        <v>43.754021740338203</v>
      </c>
      <c r="G244" s="110">
        <f t="shared" si="97"/>
        <v>0.80343811999634662</v>
      </c>
      <c r="H244" s="413" t="b">
        <f>Wh_hp&gt;='2019'!Maxi_hp</f>
        <v>1</v>
      </c>
      <c r="I244" s="379">
        <f>IF(H244,Wh_hp,'2019'!Maxi_hp)</f>
        <v>43.754021740338203</v>
      </c>
      <c r="J244" s="85">
        <f>IF(H244,An,'2019'!An_max)</f>
        <v>2020</v>
      </c>
      <c r="K244" s="196">
        <f t="shared" si="76"/>
        <v>44060</v>
      </c>
      <c r="L244" s="147">
        <f>IF(t&lt;Tvie,1-EXP((T0-t)*PertePVj)+'2019'!Pspv,1-EXP((T0-t)*PertePVj)+Pspv)</f>
        <v>1.758482328752875E-2</v>
      </c>
      <c r="M244" s="847"/>
      <c r="N244" s="847"/>
      <c r="O244" s="48">
        <f>IF(t&lt;Tnet,'2019'!Resal+('2019'!Salim-'2019'!Resal)*(1-EXP(('2019'!Tnet-t)/('2019'!Tau_j))),Resal+(Salim-Resal)*(1-EXP((Tnet-t)/(Tau_j))))*Salcycl</f>
        <v>4.21700557128196E-2</v>
      </c>
      <c r="P244" s="168">
        <f>(INDEX(Models!$BJ244:$BT244,,T244)*(1-R244)+INDEX(Models!$BJ244:$BT244,,T244+1)*R244-ERP_i)*Q244*Ramure*Pc/MaxiM</f>
        <v>1.3343645112902732E-4</v>
      </c>
      <c r="Q244" s="304">
        <f t="shared" si="77"/>
        <v>0.5</v>
      </c>
      <c r="R244" s="176">
        <f t="shared" si="78"/>
        <v>0.41821747193416298</v>
      </c>
      <c r="S244" s="814">
        <f t="shared" si="79"/>
        <v>0</v>
      </c>
      <c r="T244" s="175">
        <f t="shared" si="80"/>
        <v>6</v>
      </c>
      <c r="U244" s="250">
        <f t="shared" si="81"/>
        <v>0.41821747193416298</v>
      </c>
      <c r="V244" s="382">
        <f t="shared" si="82"/>
        <v>51.237869509704979</v>
      </c>
      <c r="W244" s="401"/>
      <c r="X244" s="157">
        <f t="shared" si="83"/>
        <v>44060</v>
      </c>
      <c r="Y244" s="384">
        <f t="shared" si="84"/>
        <v>41.167999999999999</v>
      </c>
      <c r="Z244" s="384">
        <f t="shared" si="85"/>
        <v>41.904890087064338</v>
      </c>
      <c r="AA244" s="385">
        <f t="shared" si="86"/>
        <v>43.749822541046228</v>
      </c>
      <c r="AB244" s="196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4.21700557128196E-2</v>
      </c>
      <c r="AD244" s="230">
        <f>(INDEX(Models!$BJ244:$BT244,,AH244)*(1-AF244)+INDEX(Models!$BJ244:$BT244,,AH244+1)*AF244-ERP_i)*AE244*Ramure*Pc/MaxiM</f>
        <v>1.3343645112902732E-4</v>
      </c>
      <c r="AE244" s="304">
        <f t="shared" si="88"/>
        <v>0.5</v>
      </c>
      <c r="AF244" s="176">
        <f t="shared" si="89"/>
        <v>0.41821747193416298</v>
      </c>
      <c r="AG244" s="814">
        <f t="shared" si="95"/>
        <v>0</v>
      </c>
      <c r="AH244" s="175">
        <f t="shared" si="90"/>
        <v>6</v>
      </c>
      <c r="AI244" s="224">
        <f t="shared" si="91"/>
        <v>0.41821747193416298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44061</v>
      </c>
      <c r="B245" s="616">
        <v>35.86</v>
      </c>
      <c r="C245" s="389"/>
      <c r="D245" s="392">
        <f t="shared" si="74"/>
        <v>36.502678595865234</v>
      </c>
      <c r="E245" s="384">
        <f t="shared" si="96"/>
        <v>38.110987325820297</v>
      </c>
      <c r="F245" s="384">
        <f t="shared" si="75"/>
        <v>38.113946438823824</v>
      </c>
      <c r="G245" s="110">
        <f t="shared" si="97"/>
        <v>0.70147373917848665</v>
      </c>
      <c r="H245" s="413" t="b">
        <f>Wh_hp&gt;='2019'!Maxi_hp</f>
        <v>0</v>
      </c>
      <c r="I245" s="379">
        <f>IF(H245,Wh_hp,'2019'!Maxi_hp)</f>
        <v>51.308352268844715</v>
      </c>
      <c r="J245" s="85">
        <f>IF(H245,An,'2019'!An_max)</f>
        <v>2018</v>
      </c>
      <c r="K245" s="196">
        <f t="shared" si="76"/>
        <v>44061</v>
      </c>
      <c r="L245" s="147">
        <f>IF(t&lt;Tvie,1-EXP((T0-t)*PertePVj)+'2019'!Pspv,1-EXP((T0-t)*PertePVj)+Pspv)</f>
        <v>1.7606340701200818E-2</v>
      </c>
      <c r="M245" s="847"/>
      <c r="N245" s="847"/>
      <c r="O245" s="48">
        <f>IF(t&lt;Tnet,'2019'!Resal+('2019'!Salim-'2019'!Resal)*(1-EXP(('2019'!Tnet-t)/('2019'!Tau_j))),Resal+(Salim-Resal)*(1-EXP((Tnet-t)/(Tau_j))))*Salcycl</f>
        <v>4.2200657679247001E-2</v>
      </c>
      <c r="P245" s="168">
        <f>(INDEX(Models!$BJ245:$BT245,,T245)*(1-R245)+INDEX(Models!$BJ245:$BT245,,T245+1)*R245-ERP_i)*Q245*Ramure*Pc/MaxiM</f>
        <v>1.3535513242306297E-4</v>
      </c>
      <c r="Q245" s="304">
        <f t="shared" si="77"/>
        <v>0.5</v>
      </c>
      <c r="R245" s="176">
        <f t="shared" si="78"/>
        <v>0.41885239436382654</v>
      </c>
      <c r="S245" s="814">
        <f t="shared" si="79"/>
        <v>0</v>
      </c>
      <c r="T245" s="175">
        <f t="shared" si="80"/>
        <v>6</v>
      </c>
      <c r="U245" s="250">
        <f t="shared" si="81"/>
        <v>0.41885239436382654</v>
      </c>
      <c r="V245" s="382">
        <f t="shared" si="82"/>
        <v>51.117993620155545</v>
      </c>
      <c r="W245" s="401"/>
      <c r="X245" s="157">
        <f t="shared" si="83"/>
        <v>44061</v>
      </c>
      <c r="Y245" s="384">
        <f t="shared" si="84"/>
        <v>35.86</v>
      </c>
      <c r="Z245" s="384">
        <f t="shared" si="85"/>
        <v>36.502678595865234</v>
      </c>
      <c r="AA245" s="385">
        <f t="shared" si="86"/>
        <v>38.110987325820297</v>
      </c>
      <c r="AB245" s="196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4.2200657679247001E-2</v>
      </c>
      <c r="AD245" s="230">
        <f>(INDEX(Models!$BJ245:$BT245,,AH245)*(1-AF245)+INDEX(Models!$BJ245:$BT245,,AH245+1)*AF245-ERP_i)*AE245*Ramure*Pc/MaxiM</f>
        <v>1.3535513242306297E-4</v>
      </c>
      <c r="AE245" s="304">
        <f t="shared" si="88"/>
        <v>0.5</v>
      </c>
      <c r="AF245" s="176">
        <f t="shared" si="89"/>
        <v>0.41885239436382654</v>
      </c>
      <c r="AG245" s="814">
        <f t="shared" si="95"/>
        <v>0</v>
      </c>
      <c r="AH245" s="175">
        <f t="shared" si="90"/>
        <v>6</v>
      </c>
      <c r="AI245" s="224">
        <f t="shared" si="91"/>
        <v>0.41885239436382654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44062</v>
      </c>
      <c r="B246" s="616">
        <v>49.578000000000003</v>
      </c>
      <c r="C246" s="389"/>
      <c r="D246" s="392">
        <f t="shared" si="74"/>
        <v>50.467636308453713</v>
      </c>
      <c r="E246" s="384">
        <f t="shared" si="96"/>
        <v>52.692915971189741</v>
      </c>
      <c r="F246" s="384">
        <f t="shared" si="75"/>
        <v>52.699913754535281</v>
      </c>
      <c r="G246" s="110">
        <f t="shared" si="97"/>
        <v>0.97218501717099559</v>
      </c>
      <c r="H246" s="413" t="b">
        <f>Wh_hp&gt;='2019'!Maxi_hp</f>
        <v>0</v>
      </c>
      <c r="I246" s="379">
        <f>IF(H246,Wh_hp,'2019'!Maxi_hp)</f>
        <v>52.965267361196894</v>
      </c>
      <c r="J246" s="85">
        <f>IF(H246,An,'2019'!An_max)</f>
        <v>2018</v>
      </c>
      <c r="K246" s="196">
        <f t="shared" si="76"/>
        <v>44062</v>
      </c>
      <c r="L246" s="147">
        <f>IF(t&lt;Tvie,1-EXP((T0-t)*PertePVj)+'2019'!Pspv,1-EXP((T0-t)*PertePVj)+Pspv)</f>
        <v>1.762785764358632E-2</v>
      </c>
      <c r="M246" s="847"/>
      <c r="N246" s="847"/>
      <c r="O246" s="48">
        <f>IF(t&lt;Tnet,'2019'!Resal+('2019'!Salim-'2019'!Resal)*(1-EXP(('2019'!Tnet-t)/('2019'!Tau_j))),Resal+(Salim-Resal)*(1-EXP((Tnet-t)/(Tau_j))))*Salcycl</f>
        <v>4.223109732535426E-2</v>
      </c>
      <c r="P246" s="168">
        <f>(INDEX(Models!$BJ246:$BT246,,T246)*(1-R246)+INDEX(Models!$BJ246:$BT246,,T246+1)*R246-ERP_i)*Q246*Ramure*Pc/MaxiM</f>
        <v>1.3827903781165463E-4</v>
      </c>
      <c r="Q246" s="304">
        <f t="shared" si="77"/>
        <v>0.5</v>
      </c>
      <c r="R246" s="176">
        <f t="shared" si="78"/>
        <v>0.41946442980539772</v>
      </c>
      <c r="S246" s="814">
        <f t="shared" si="79"/>
        <v>0</v>
      </c>
      <c r="T246" s="175">
        <f t="shared" si="80"/>
        <v>6</v>
      </c>
      <c r="U246" s="250">
        <f t="shared" si="81"/>
        <v>0.41946442980539772</v>
      </c>
      <c r="V246" s="382">
        <f t="shared" si="82"/>
        <v>50.996185631918749</v>
      </c>
      <c r="W246" s="401"/>
      <c r="X246" s="157">
        <f t="shared" si="83"/>
        <v>44062</v>
      </c>
      <c r="Y246" s="384">
        <f t="shared" si="84"/>
        <v>49.578000000000003</v>
      </c>
      <c r="Z246" s="384">
        <f t="shared" si="85"/>
        <v>50.467636308453713</v>
      </c>
      <c r="AA246" s="385">
        <f t="shared" si="86"/>
        <v>52.692915971189741</v>
      </c>
      <c r="AB246" s="196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4.223109732535426E-2</v>
      </c>
      <c r="AD246" s="230">
        <f>(INDEX(Models!$BJ246:$BT246,,AH246)*(1-AF246)+INDEX(Models!$BJ246:$BT246,,AH246+1)*AF246-ERP_i)*AE246*Ramure*Pc/MaxiM</f>
        <v>1.3827903781165463E-4</v>
      </c>
      <c r="AE246" s="304">
        <f t="shared" si="88"/>
        <v>0.5</v>
      </c>
      <c r="AF246" s="176">
        <f t="shared" si="89"/>
        <v>0.41946442980539772</v>
      </c>
      <c r="AG246" s="814">
        <f t="shared" si="95"/>
        <v>0</v>
      </c>
      <c r="AH246" s="175">
        <f t="shared" si="90"/>
        <v>6</v>
      </c>
      <c r="AI246" s="224">
        <f t="shared" si="91"/>
        <v>0.41946442980539772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44063</v>
      </c>
      <c r="B247" s="616">
        <v>49.908999999999999</v>
      </c>
      <c r="C247" s="389"/>
      <c r="D247" s="392">
        <f t="shared" si="74"/>
        <v>50.805688605350561</v>
      </c>
      <c r="E247" s="384">
        <f t="shared" si="96"/>
        <v>53.047550749829192</v>
      </c>
      <c r="F247" s="384">
        <f t="shared" si="75"/>
        <v>53.054891406226311</v>
      </c>
      <c r="G247" s="110">
        <f t="shared" si="97"/>
        <v>0.98103220007956859</v>
      </c>
      <c r="H247" s="413" t="b">
        <f>Wh_hp&gt;='2019'!Maxi_hp</f>
        <v>1</v>
      </c>
      <c r="I247" s="379">
        <f>IF(H247,Wh_hp,'2019'!Maxi_hp)</f>
        <v>53.054891406226311</v>
      </c>
      <c r="J247" s="85">
        <f>IF(H247,An,'2019'!An_max)</f>
        <v>2020</v>
      </c>
      <c r="K247" s="196">
        <f t="shared" si="76"/>
        <v>44063</v>
      </c>
      <c r="L247" s="147">
        <f>IF(t&lt;Tvie,1-EXP((T0-t)*PertePVj)+'2019'!Pspv,1-EXP((T0-t)*PertePVj)+Pspv)</f>
        <v>1.7649374114695582E-2</v>
      </c>
      <c r="M247" s="847"/>
      <c r="N247" s="847"/>
      <c r="O247" s="48">
        <f>IF(t&lt;Tnet,'2019'!Resal+('2019'!Salim-'2019'!Resal)*(1-EXP(('2019'!Tnet-t)/('2019'!Tau_j))),Resal+(Salim-Resal)*(1-EXP((Tnet-t)/(Tau_j))))*Salcycl</f>
        <v>4.2261369522057488E-2</v>
      </c>
      <c r="P247" s="168">
        <f>(INDEX(Models!$BJ247:$BT247,,T247)*(1-R247)+INDEX(Models!$BJ247:$BT247,,T247+1)*R247-ERP_i)*Q247*Ramure*Pc/MaxiM</f>
        <v>1.4221239454202393E-4</v>
      </c>
      <c r="Q247" s="304">
        <f t="shared" si="77"/>
        <v>0.5</v>
      </c>
      <c r="R247" s="176">
        <f t="shared" si="78"/>
        <v>0.42005430449559628</v>
      </c>
      <c r="S247" s="814">
        <f t="shared" si="79"/>
        <v>0</v>
      </c>
      <c r="T247" s="175">
        <f t="shared" si="80"/>
        <v>6</v>
      </c>
      <c r="U247" s="250">
        <f t="shared" si="81"/>
        <v>0.42005430449559628</v>
      </c>
      <c r="V247" s="382">
        <f t="shared" si="82"/>
        <v>50.873771200268806</v>
      </c>
      <c r="W247" s="401"/>
      <c r="X247" s="157">
        <f t="shared" si="83"/>
        <v>44063</v>
      </c>
      <c r="Y247" s="384">
        <f t="shared" si="84"/>
        <v>49.908999999999999</v>
      </c>
      <c r="Z247" s="384">
        <f t="shared" si="85"/>
        <v>50.805688605350561</v>
      </c>
      <c r="AA247" s="385">
        <f t="shared" si="86"/>
        <v>53.047550749829192</v>
      </c>
      <c r="AB247" s="196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4.2261369522057488E-2</v>
      </c>
      <c r="AD247" s="230">
        <f>(INDEX(Models!$BJ247:$BT247,,AH247)*(1-AF247)+INDEX(Models!$BJ247:$BT247,,AH247+1)*AF247-ERP_i)*AE247*Ramure*Pc/MaxiM</f>
        <v>1.4221239454202393E-4</v>
      </c>
      <c r="AE247" s="304">
        <f t="shared" si="88"/>
        <v>0.5</v>
      </c>
      <c r="AF247" s="176">
        <f t="shared" si="89"/>
        <v>0.42005430449559628</v>
      </c>
      <c r="AG247" s="814">
        <f t="shared" si="95"/>
        <v>0</v>
      </c>
      <c r="AH247" s="175">
        <f t="shared" si="90"/>
        <v>6</v>
      </c>
      <c r="AI247" s="224">
        <f t="shared" si="91"/>
        <v>0.42005430449559628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44064</v>
      </c>
      <c r="B248" s="616">
        <v>43.414000000000001</v>
      </c>
      <c r="C248" s="389"/>
      <c r="D248" s="392">
        <f t="shared" si="74"/>
        <v>44.194964358800327</v>
      </c>
      <c r="E248" s="384">
        <f t="shared" si="96"/>
        <v>46.146570613862302</v>
      </c>
      <c r="F248" s="384">
        <f t="shared" si="75"/>
        <v>46.151952254997397</v>
      </c>
      <c r="G248" s="110">
        <f t="shared" si="97"/>
        <v>0.85539402198622505</v>
      </c>
      <c r="H248" s="413" t="b">
        <f>Wh_hp&gt;='2019'!Maxi_hp</f>
        <v>0</v>
      </c>
      <c r="I248" s="379">
        <f>IF(H248,Wh_hp,'2019'!Maxi_hp)</f>
        <v>55.9528605164124</v>
      </c>
      <c r="J248" s="85">
        <f>IF(H248,An,'2019'!An_max)</f>
        <v>2019</v>
      </c>
      <c r="K248" s="196">
        <f t="shared" si="76"/>
        <v>44064</v>
      </c>
      <c r="L248" s="147">
        <f>IF(t&lt;Tvie,1-EXP((T0-t)*PertePVj)+'2019'!Pspv,1-EXP((T0-t)*PertePVj)+Pspv)</f>
        <v>1.7670890114538929E-2</v>
      </c>
      <c r="M248" s="847"/>
      <c r="N248" s="847"/>
      <c r="O248" s="48">
        <f>IF(t&lt;Tnet,'2019'!Resal+('2019'!Salim-'2019'!Resal)*(1-EXP(('2019'!Tnet-t)/('2019'!Tau_j))),Resal+(Salim-Resal)*(1-EXP((Tnet-t)/(Tau_j))))*Salcycl</f>
        <v>4.2291468880587046E-2</v>
      </c>
      <c r="P248" s="168">
        <f>(INDEX(Models!$BJ248:$BT248,,T248)*(1-R248)+INDEX(Models!$BJ248:$BT248,,T248+1)*R248-ERP_i)*Q248*Ramure*Pc/MaxiM</f>
        <v>1.4696069298290203E-4</v>
      </c>
      <c r="Q248" s="304">
        <f t="shared" si="77"/>
        <v>0.5</v>
      </c>
      <c r="R248" s="176">
        <f t="shared" si="78"/>
        <v>0.42062272910656728</v>
      </c>
      <c r="S248" s="814">
        <f t="shared" si="79"/>
        <v>0</v>
      </c>
      <c r="T248" s="175">
        <f t="shared" si="80"/>
        <v>6</v>
      </c>
      <c r="U248" s="250">
        <f t="shared" si="81"/>
        <v>0.42062272910656728</v>
      </c>
      <c r="V248" s="382">
        <f t="shared" si="82"/>
        <v>50.751678122207792</v>
      </c>
      <c r="W248" s="401"/>
      <c r="X248" s="157">
        <f t="shared" si="83"/>
        <v>44064</v>
      </c>
      <c r="Y248" s="384">
        <f t="shared" si="84"/>
        <v>43.414000000000001</v>
      </c>
      <c r="Z248" s="384">
        <f t="shared" si="85"/>
        <v>44.194964358800327</v>
      </c>
      <c r="AA248" s="385">
        <f t="shared" si="86"/>
        <v>46.146570613862302</v>
      </c>
      <c r="AB248" s="196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4.2291468880587046E-2</v>
      </c>
      <c r="AD248" s="230">
        <f>(INDEX(Models!$BJ248:$BT248,,AH248)*(1-AF248)+INDEX(Models!$BJ248:$BT248,,AH248+1)*AF248-ERP_i)*AE248*Ramure*Pc/MaxiM</f>
        <v>1.4696069298290203E-4</v>
      </c>
      <c r="AE248" s="304">
        <f t="shared" si="88"/>
        <v>0.5</v>
      </c>
      <c r="AF248" s="176">
        <f t="shared" si="89"/>
        <v>0.42062272910656728</v>
      </c>
      <c r="AG248" s="814">
        <f t="shared" si="95"/>
        <v>0</v>
      </c>
      <c r="AH248" s="175">
        <f t="shared" si="90"/>
        <v>6</v>
      </c>
      <c r="AI248" s="224">
        <f t="shared" si="91"/>
        <v>0.42062272910656728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44065</v>
      </c>
      <c r="B249" s="616">
        <v>35.670999999999999</v>
      </c>
      <c r="C249" s="389"/>
      <c r="D249" s="392">
        <f t="shared" si="74"/>
        <v>36.313472689126627</v>
      </c>
      <c r="E249" s="384">
        <f t="shared" si="96"/>
        <v>37.918224654048821</v>
      </c>
      <c r="F249" s="384">
        <f t="shared" si="75"/>
        <v>37.921556845260191</v>
      </c>
      <c r="G249" s="110">
        <f t="shared" si="97"/>
        <v>0.70450701036501995</v>
      </c>
      <c r="H249" s="413" t="b">
        <f>Wh_hp&gt;='2019'!Maxi_hp</f>
        <v>0</v>
      </c>
      <c r="I249" s="379">
        <f>IF(H249,Wh_hp,'2019'!Maxi_hp)</f>
        <v>53.332836013800012</v>
      </c>
      <c r="J249" s="85">
        <f>IF(H249,An,'2019'!An_max)</f>
        <v>2019</v>
      </c>
      <c r="K249" s="196">
        <f t="shared" si="76"/>
        <v>44065</v>
      </c>
      <c r="L249" s="147">
        <f>IF(t&lt;Tvie,1-EXP((T0-t)*PertePVj)+'2019'!Pspv,1-EXP((T0-t)*PertePVj)+Pspv)</f>
        <v>1.7692405643126574E-2</v>
      </c>
      <c r="M249" s="847"/>
      <c r="N249" s="847"/>
      <c r="O249" s="48">
        <f>IF(t&lt;Tnet,'2019'!Resal+('2019'!Salim-'2019'!Resal)*(1-EXP(('2019'!Tnet-t)/('2019'!Tau_j))),Resal+(Salim-Resal)*(1-EXP((Tnet-t)/(Tau_j))))*Salcycl</f>
        <v>4.2321389768728082E-2</v>
      </c>
      <c r="P249" s="168">
        <f>(INDEX(Models!$BJ249:$BT249,,T249)*(1-R249)+INDEX(Models!$BJ249:$BT249,,T249+1)*R249-ERP_i)*Q249*Ramure*Pc/MaxiM</f>
        <v>1.5204326926716028E-4</v>
      </c>
      <c r="Q249" s="304">
        <f t="shared" si="77"/>
        <v>0.5</v>
      </c>
      <c r="R249" s="176">
        <f t="shared" si="78"/>
        <v>0.42117039847719906</v>
      </c>
      <c r="S249" s="814">
        <f t="shared" si="79"/>
        <v>0</v>
      </c>
      <c r="T249" s="175">
        <f t="shared" si="80"/>
        <v>6</v>
      </c>
      <c r="U249" s="250">
        <f t="shared" si="81"/>
        <v>0.42117039847719906</v>
      </c>
      <c r="V249" s="382">
        <f t="shared" si="82"/>
        <v>50.629319754043451</v>
      </c>
      <c r="W249" s="401"/>
      <c r="X249" s="157">
        <f t="shared" si="83"/>
        <v>44065</v>
      </c>
      <c r="Y249" s="384">
        <f t="shared" si="84"/>
        <v>35.670999999999999</v>
      </c>
      <c r="Z249" s="384">
        <f t="shared" si="85"/>
        <v>36.313472689126627</v>
      </c>
      <c r="AA249" s="385">
        <f t="shared" si="86"/>
        <v>37.918224654048821</v>
      </c>
      <c r="AB249" s="196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4.2321389768728082E-2</v>
      </c>
      <c r="AD249" s="230">
        <f>(INDEX(Models!$BJ249:$BT249,,AH249)*(1-AF249)+INDEX(Models!$BJ249:$BT249,,AH249+1)*AF249-ERP_i)*AE249*Ramure*Pc/MaxiM</f>
        <v>1.5204326926716028E-4</v>
      </c>
      <c r="AE249" s="304">
        <f t="shared" si="88"/>
        <v>0.5</v>
      </c>
      <c r="AF249" s="176">
        <f t="shared" si="89"/>
        <v>0.42117039847719906</v>
      </c>
      <c r="AG249" s="814">
        <f t="shared" si="95"/>
        <v>0</v>
      </c>
      <c r="AH249" s="175">
        <f t="shared" si="90"/>
        <v>6</v>
      </c>
      <c r="AI249" s="224">
        <f t="shared" si="91"/>
        <v>0.42117039847719906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44066</v>
      </c>
      <c r="B250" s="616">
        <v>42.558999999999997</v>
      </c>
      <c r="C250" s="389"/>
      <c r="D250" s="392">
        <f t="shared" si="74"/>
        <v>43.326481863968652</v>
      </c>
      <c r="E250" s="384">
        <f t="shared" si="96"/>
        <v>45.242555027075873</v>
      </c>
      <c r="F250" s="384">
        <f t="shared" si="75"/>
        <v>45.248078364223012</v>
      </c>
      <c r="G250" s="110">
        <f t="shared" si="97"/>
        <v>0.84262111154413877</v>
      </c>
      <c r="H250" s="413" t="b">
        <f>Wh_hp&gt;='2019'!Maxi_hp</f>
        <v>0</v>
      </c>
      <c r="I250" s="379">
        <f>IF(H250,Wh_hp,'2019'!Maxi_hp)</f>
        <v>53.598539486969429</v>
      </c>
      <c r="J250" s="85">
        <f>IF(H250,An,'2019'!An_max)</f>
        <v>2019</v>
      </c>
      <c r="K250" s="196">
        <f t="shared" si="76"/>
        <v>44066</v>
      </c>
      <c r="L250" s="147">
        <f>IF(t&lt;Tvie,1-EXP((T0-t)*PertePVj)+'2019'!Pspv,1-EXP((T0-t)*PertePVj)+Pspv)</f>
        <v>1.7713920700469066E-2</v>
      </c>
      <c r="M250" s="847"/>
      <c r="N250" s="847"/>
      <c r="O250" s="48">
        <f>IF(t&lt;Tnet,'2019'!Resal+('2019'!Salim-'2019'!Resal)*(1-EXP(('2019'!Tnet-t)/('2019'!Tau_j))),Resal+(Salim-Resal)*(1-EXP((Tnet-t)/(Tau_j))))*Salcycl</f>
        <v>4.2351126322563402E-2</v>
      </c>
      <c r="P250" s="168">
        <f>(INDEX(Models!$BJ250:$BT250,,T250)*(1-R250)+INDEX(Models!$BJ250:$BT250,,T250+1)*R250-ERP_i)*Q250*Ramure*Pc/MaxiM</f>
        <v>1.574631348000388E-4</v>
      </c>
      <c r="Q250" s="304">
        <f t="shared" si="77"/>
        <v>0.5</v>
      </c>
      <c r="R250" s="176">
        <f t="shared" si="78"/>
        <v>0.4216979914069976</v>
      </c>
      <c r="S250" s="814">
        <f t="shared" si="79"/>
        <v>0</v>
      </c>
      <c r="T250" s="175">
        <f t="shared" si="80"/>
        <v>6</v>
      </c>
      <c r="U250" s="250">
        <f t="shared" si="81"/>
        <v>0.4216979914069976</v>
      </c>
      <c r="V250" s="382">
        <f t="shared" si="82"/>
        <v>50.506084937270444</v>
      </c>
      <c r="W250" s="401"/>
      <c r="X250" s="157">
        <f t="shared" si="83"/>
        <v>44066</v>
      </c>
      <c r="Y250" s="384">
        <f t="shared" si="84"/>
        <v>42.558999999999997</v>
      </c>
      <c r="Z250" s="384">
        <f t="shared" si="85"/>
        <v>43.326481863968652</v>
      </c>
      <c r="AA250" s="385">
        <f t="shared" si="86"/>
        <v>45.242555027075873</v>
      </c>
      <c r="AB250" s="196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4.2351126322563402E-2</v>
      </c>
      <c r="AD250" s="230">
        <f>(INDEX(Models!$BJ250:$BT250,,AH250)*(1-AF250)+INDEX(Models!$BJ250:$BT250,,AH250+1)*AF250-ERP_i)*AE250*Ramure*Pc/MaxiM</f>
        <v>1.574631348000388E-4</v>
      </c>
      <c r="AE250" s="304">
        <f t="shared" si="88"/>
        <v>0.5</v>
      </c>
      <c r="AF250" s="176">
        <f t="shared" si="89"/>
        <v>0.4216979914069976</v>
      </c>
      <c r="AG250" s="814">
        <f t="shared" si="95"/>
        <v>0</v>
      </c>
      <c r="AH250" s="175">
        <f t="shared" si="90"/>
        <v>6</v>
      </c>
      <c r="AI250" s="224">
        <f t="shared" si="91"/>
        <v>0.4216979914069976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44067</v>
      </c>
      <c r="B251" s="616">
        <v>46.978000000000002</v>
      </c>
      <c r="C251" s="389"/>
      <c r="D251" s="392">
        <f t="shared" si="74"/>
        <v>47.826218808683045</v>
      </c>
      <c r="E251" s="384">
        <f t="shared" si="96"/>
        <v>49.942829507451009</v>
      </c>
      <c r="F251" s="384">
        <f t="shared" si="75"/>
        <v>49.950195766823477</v>
      </c>
      <c r="G251" s="110">
        <f t="shared" si="97"/>
        <v>0.93243329365738159</v>
      </c>
      <c r="H251" s="413" t="b">
        <f>Wh_hp&gt;='2019'!Maxi_hp</f>
        <v>1</v>
      </c>
      <c r="I251" s="379">
        <f>IF(H251,Wh_hp,'2019'!Maxi_hp)</f>
        <v>49.950195766823477</v>
      </c>
      <c r="J251" s="85">
        <f>IF(H251,An,'2019'!An_max)</f>
        <v>2020</v>
      </c>
      <c r="K251" s="196">
        <f t="shared" si="76"/>
        <v>44067</v>
      </c>
      <c r="L251" s="147">
        <f>IF(t&lt;Tvie,1-EXP((T0-t)*PertePVj)+'2019'!Pspv,1-EXP((T0-t)*PertePVj)+Pspv)</f>
        <v>1.7735435286576395E-2</v>
      </c>
      <c r="M251" s="847"/>
      <c r="N251" s="847"/>
      <c r="O251" s="48">
        <f>IF(t&lt;Tnet,'2019'!Resal+('2019'!Salim-'2019'!Resal)*(1-EXP(('2019'!Tnet-t)/('2019'!Tau_j))),Resal+(Salim-Resal)*(1-EXP((Tnet-t)/(Tau_j))))*Salcycl</f>
        <v>4.2380672453733982E-2</v>
      </c>
      <c r="P251" s="168">
        <f>(INDEX(Models!$BJ251:$BT251,,T251)*(1-R251)+INDEX(Models!$BJ251:$BT251,,T251+1)*R251-ERP_i)*Q251*Ramure*Pc/MaxiM</f>
        <v>1.6322363294956317E-4</v>
      </c>
      <c r="Q251" s="304">
        <f t="shared" si="77"/>
        <v>0.5</v>
      </c>
      <c r="R251" s="176">
        <f t="shared" si="78"/>
        <v>0.42220617050777637</v>
      </c>
      <c r="S251" s="814">
        <f t="shared" si="79"/>
        <v>0</v>
      </c>
      <c r="T251" s="175">
        <f t="shared" si="80"/>
        <v>6</v>
      </c>
      <c r="U251" s="250">
        <f t="shared" si="81"/>
        <v>0.42220617050777637</v>
      </c>
      <c r="V251" s="382">
        <f t="shared" si="82"/>
        <v>50.381362649803854</v>
      </c>
      <c r="W251" s="401"/>
      <c r="X251" s="157">
        <f t="shared" si="83"/>
        <v>44067</v>
      </c>
      <c r="Y251" s="384">
        <f t="shared" si="84"/>
        <v>46.978000000000002</v>
      </c>
      <c r="Z251" s="384">
        <f t="shared" si="85"/>
        <v>47.826218808683045</v>
      </c>
      <c r="AA251" s="385">
        <f t="shared" si="86"/>
        <v>49.942829507451009</v>
      </c>
      <c r="AB251" s="196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4.2380672453733982E-2</v>
      </c>
      <c r="AD251" s="230">
        <f>(INDEX(Models!$BJ251:$BT251,,AH251)*(1-AF251)+INDEX(Models!$BJ251:$BT251,,AH251+1)*AF251-ERP_i)*AE251*Ramure*Pc/MaxiM</f>
        <v>1.6322363294956317E-4</v>
      </c>
      <c r="AE251" s="304">
        <f t="shared" si="88"/>
        <v>0.5</v>
      </c>
      <c r="AF251" s="176">
        <f t="shared" si="89"/>
        <v>0.42220617050777637</v>
      </c>
      <c r="AG251" s="814">
        <f t="shared" si="95"/>
        <v>0</v>
      </c>
      <c r="AH251" s="175">
        <f t="shared" si="90"/>
        <v>6</v>
      </c>
      <c r="AI251" s="224">
        <f t="shared" si="91"/>
        <v>0.42220617050777637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44068</v>
      </c>
      <c r="B252" s="616">
        <v>49.323999999999998</v>
      </c>
      <c r="C252" s="389"/>
      <c r="D252" s="392">
        <f t="shared" si="74"/>
        <v>50.21567723990907</v>
      </c>
      <c r="E252" s="384">
        <f t="shared" si="96"/>
        <v>52.439643674052917</v>
      </c>
      <c r="F252" s="384">
        <f t="shared" si="75"/>
        <v>52.448289733217898</v>
      </c>
      <c r="G252" s="110">
        <f t="shared" si="97"/>
        <v>0.98147902774591766</v>
      </c>
      <c r="H252" s="413" t="b">
        <f>Wh_hp&gt;='2019'!Maxi_hp</f>
        <v>0</v>
      </c>
      <c r="I252" s="379">
        <f>IF(H252,Wh_hp,'2019'!Maxi_hp)</f>
        <v>53.423762617483668</v>
      </c>
      <c r="J252" s="85">
        <f>IF(H252,An,'2019'!An_max)</f>
        <v>2018</v>
      </c>
      <c r="K252" s="196">
        <f t="shared" si="76"/>
        <v>44068</v>
      </c>
      <c r="L252" s="147">
        <f>IF(t&lt;Tvie,1-EXP((T0-t)*PertePVj)+'2019'!Pspv,1-EXP((T0-t)*PertePVj)+Pspv)</f>
        <v>1.7756949401459221E-2</v>
      </c>
      <c r="M252" s="847"/>
      <c r="N252" s="847"/>
      <c r="O252" s="48">
        <f>IF(t&lt;Tnet,'2019'!Resal+('2019'!Salim-'2019'!Resal)*(1-EXP(('2019'!Tnet-t)/('2019'!Tau_j))),Resal+(Salim-Resal)*(1-EXP((Tnet-t)/(Tau_j))))*Salcycl</f>
        <v>4.2410021852308341E-2</v>
      </c>
      <c r="P252" s="168">
        <f>(INDEX(Models!$BJ252:$BT252,,T252)*(1-R252)+INDEX(Models!$BJ252:$BT252,,T252+1)*R252-ERP_i)*Q252*Ramure*Pc/MaxiM</f>
        <v>1.693283259943976E-4</v>
      </c>
      <c r="Q252" s="304">
        <f t="shared" si="77"/>
        <v>0.5</v>
      </c>
      <c r="R252" s="176">
        <f t="shared" si="78"/>
        <v>0.42269558210861857</v>
      </c>
      <c r="S252" s="814">
        <f t="shared" si="79"/>
        <v>0</v>
      </c>
      <c r="T252" s="175">
        <f t="shared" si="80"/>
        <v>6</v>
      </c>
      <c r="U252" s="250">
        <f t="shared" si="81"/>
        <v>0.42269558210861857</v>
      </c>
      <c r="V252" s="382">
        <f t="shared" si="82"/>
        <v>50.254542013973747</v>
      </c>
      <c r="W252" s="401"/>
      <c r="X252" s="157">
        <f t="shared" si="83"/>
        <v>44068</v>
      </c>
      <c r="Y252" s="384">
        <f t="shared" si="84"/>
        <v>49.323999999999998</v>
      </c>
      <c r="Z252" s="384">
        <f t="shared" si="85"/>
        <v>50.21567723990907</v>
      </c>
      <c r="AA252" s="385">
        <f t="shared" si="86"/>
        <v>52.439643674052917</v>
      </c>
      <c r="AB252" s="196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4.2410021852308341E-2</v>
      </c>
      <c r="AD252" s="230">
        <f>(INDEX(Models!$BJ252:$BT252,,AH252)*(1-AF252)+INDEX(Models!$BJ252:$BT252,,AH252+1)*AF252-ERP_i)*AE252*Ramure*Pc/MaxiM</f>
        <v>1.693283259943976E-4</v>
      </c>
      <c r="AE252" s="304">
        <f t="shared" si="88"/>
        <v>0.5</v>
      </c>
      <c r="AF252" s="176">
        <f t="shared" si="89"/>
        <v>0.42269558210861857</v>
      </c>
      <c r="AG252" s="814">
        <f t="shared" si="95"/>
        <v>0</v>
      </c>
      <c r="AH252" s="175">
        <f t="shared" si="90"/>
        <v>6</v>
      </c>
      <c r="AI252" s="224">
        <f t="shared" si="91"/>
        <v>0.42269558210861857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44069</v>
      </c>
      <c r="B253" s="616">
        <v>25.872</v>
      </c>
      <c r="C253" s="389"/>
      <c r="D253" s="392">
        <f t="shared" si="74"/>
        <v>26.340289870052683</v>
      </c>
      <c r="E253" s="384">
        <f t="shared" si="96"/>
        <v>27.50769349518653</v>
      </c>
      <c r="F253" s="384">
        <f t="shared" si="75"/>
        <v>27.509186654677677</v>
      </c>
      <c r="G253" s="110">
        <f t="shared" si="97"/>
        <v>0.51608678252743445</v>
      </c>
      <c r="H253" s="413" t="b">
        <f>Wh_hp&gt;='2019'!Maxi_hp</f>
        <v>0</v>
      </c>
      <c r="I253" s="379">
        <f>IF(H253,Wh_hp,'2019'!Maxi_hp)</f>
        <v>52.471560857407106</v>
      </c>
      <c r="J253" s="85">
        <f>IF(H253,An,'2019'!An_max)</f>
        <v>2018</v>
      </c>
      <c r="K253" s="196">
        <f t="shared" si="76"/>
        <v>44069</v>
      </c>
      <c r="L253" s="147">
        <f>IF(t&lt;Tvie,1-EXP((T0-t)*PertePVj)+'2019'!Pspv,1-EXP((T0-t)*PertePVj)+Pspv)</f>
        <v>1.7778463045127646E-2</v>
      </c>
      <c r="M253" s="847"/>
      <c r="N253" s="847"/>
      <c r="O253" s="48">
        <f>IF(t&lt;Tnet,'2019'!Resal+('2019'!Salim-'2019'!Resal)*(1-EXP(('2019'!Tnet-t)/('2019'!Tau_j))),Resal+(Salim-Resal)*(1-EXP((Tnet-t)/(Tau_j))))*Salcycl</f>
        <v>4.243916798542656E-2</v>
      </c>
      <c r="P253" s="168">
        <f>(INDEX(Models!$BJ253:$BT253,,T253)*(1-R253)+INDEX(Models!$BJ253:$BT253,,T253+1)*R253-ERP_i)*Q253*Ramure*Pc/MaxiM</f>
        <v>1.7578113122613864E-4</v>
      </c>
      <c r="Q253" s="304">
        <f t="shared" si="77"/>
        <v>0.5</v>
      </c>
      <c r="R253" s="176">
        <f t="shared" si="78"/>
        <v>0.42316685620976691</v>
      </c>
      <c r="S253" s="814">
        <f t="shared" si="79"/>
        <v>0</v>
      </c>
      <c r="T253" s="175">
        <f t="shared" si="80"/>
        <v>6</v>
      </c>
      <c r="U253" s="250">
        <f t="shared" si="81"/>
        <v>0.42316685620976691</v>
      </c>
      <c r="V253" s="382">
        <f t="shared" si="82"/>
        <v>50.125012286849589</v>
      </c>
      <c r="W253" s="401"/>
      <c r="X253" s="157">
        <f t="shared" si="83"/>
        <v>44069</v>
      </c>
      <c r="Y253" s="384">
        <f t="shared" si="84"/>
        <v>25.872</v>
      </c>
      <c r="Z253" s="384">
        <f t="shared" si="85"/>
        <v>26.340289870052683</v>
      </c>
      <c r="AA253" s="385">
        <f t="shared" si="86"/>
        <v>27.50769349518653</v>
      </c>
      <c r="AB253" s="196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4.243916798542656E-2</v>
      </c>
      <c r="AD253" s="230">
        <f>(INDEX(Models!$BJ253:$BT253,,AH253)*(1-AF253)+INDEX(Models!$BJ253:$BT253,,AH253+1)*AF253-ERP_i)*AE253*Ramure*Pc/MaxiM</f>
        <v>1.7578113122613864E-4</v>
      </c>
      <c r="AE253" s="304">
        <f t="shared" si="88"/>
        <v>0.5</v>
      </c>
      <c r="AF253" s="176">
        <f t="shared" si="89"/>
        <v>0.42316685620976691</v>
      </c>
      <c r="AG253" s="814">
        <f t="shared" si="95"/>
        <v>0</v>
      </c>
      <c r="AH253" s="175">
        <f t="shared" si="90"/>
        <v>6</v>
      </c>
      <c r="AI253" s="224">
        <f t="shared" si="91"/>
        <v>0.42316685620976691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44070</v>
      </c>
      <c r="B254" s="616">
        <v>47.665999999999997</v>
      </c>
      <c r="C254" s="389"/>
      <c r="D254" s="392">
        <f t="shared" si="74"/>
        <v>48.529829816578896</v>
      </c>
      <c r="E254" s="384">
        <f t="shared" si="96"/>
        <v>50.6822070616847</v>
      </c>
      <c r="F254" s="384">
        <f t="shared" si="75"/>
        <v>50.690840285068042</v>
      </c>
      <c r="G254" s="110">
        <f t="shared" si="97"/>
        <v>0.95345774353172563</v>
      </c>
      <c r="H254" s="413" t="b">
        <f>Wh_hp&gt;='2019'!Maxi_hp</f>
        <v>1</v>
      </c>
      <c r="I254" s="379">
        <f>IF(H254,Wh_hp,'2019'!Maxi_hp)</f>
        <v>50.690840285068042</v>
      </c>
      <c r="J254" s="85">
        <f>IF(H254,An,'2019'!An_max)</f>
        <v>2020</v>
      </c>
      <c r="K254" s="196">
        <f t="shared" si="76"/>
        <v>44070</v>
      </c>
      <c r="L254" s="147">
        <f>IF(t&lt;Tvie,1-EXP((T0-t)*PertePVj)+'2019'!Pspv,1-EXP((T0-t)*PertePVj)+Pspv)</f>
        <v>1.7799976217592106E-2</v>
      </c>
      <c r="M254" s="847"/>
      <c r="N254" s="847"/>
      <c r="O254" s="48">
        <f>IF(t&lt;Tnet,'2019'!Resal+('2019'!Salim-'2019'!Resal)*(1-EXP(('2019'!Tnet-t)/('2019'!Tau_j))),Resal+(Salim-Resal)*(1-EXP((Tnet-t)/(Tau_j))))*Salcycl</f>
        <v>4.2468104091958156E-2</v>
      </c>
      <c r="P254" s="168">
        <f>(INDEX(Models!$BJ254:$BT254,,T254)*(1-R254)+INDEX(Models!$BJ254:$BT254,,T254+1)*R254-ERP_i)*Q254*Ramure*Pc/MaxiM</f>
        <v>1.8243843292332636E-4</v>
      </c>
      <c r="Q254" s="304">
        <f t="shared" si="77"/>
        <v>0.5</v>
      </c>
      <c r="R254" s="176">
        <f t="shared" si="78"/>
        <v>0.42362060648130279</v>
      </c>
      <c r="S254" s="814">
        <f t="shared" si="79"/>
        <v>0</v>
      </c>
      <c r="T254" s="175">
        <f t="shared" si="80"/>
        <v>6</v>
      </c>
      <c r="U254" s="250">
        <f t="shared" si="81"/>
        <v>0.42362060648130279</v>
      </c>
      <c r="V254" s="382">
        <f t="shared" si="82"/>
        <v>49.992170259696934</v>
      </c>
      <c r="W254" s="401"/>
      <c r="X254" s="157">
        <f t="shared" si="83"/>
        <v>44070</v>
      </c>
      <c r="Y254" s="384">
        <f t="shared" si="84"/>
        <v>47.665999999999997</v>
      </c>
      <c r="Z254" s="384">
        <f t="shared" si="85"/>
        <v>48.529829816578896</v>
      </c>
      <c r="AA254" s="385">
        <f t="shared" si="86"/>
        <v>50.6822070616847</v>
      </c>
      <c r="AB254" s="196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4.2468104091958156E-2</v>
      </c>
      <c r="AD254" s="230">
        <f>(INDEX(Models!$BJ254:$BT254,,AH254)*(1-AF254)+INDEX(Models!$BJ254:$BT254,,AH254+1)*AF254-ERP_i)*AE254*Ramure*Pc/MaxiM</f>
        <v>1.8243843292332636E-4</v>
      </c>
      <c r="AE254" s="304">
        <f t="shared" si="88"/>
        <v>0.5</v>
      </c>
      <c r="AF254" s="176">
        <f t="shared" si="89"/>
        <v>0.42362060648130279</v>
      </c>
      <c r="AG254" s="814">
        <f t="shared" si="95"/>
        <v>0</v>
      </c>
      <c r="AH254" s="175">
        <f t="shared" si="90"/>
        <v>6</v>
      </c>
      <c r="AI254" s="224">
        <f t="shared" si="91"/>
        <v>0.42362060648130279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44071</v>
      </c>
      <c r="B255" s="616">
        <v>7.492</v>
      </c>
      <c r="C255" s="389"/>
      <c r="D255" s="392">
        <f t="shared" si="74"/>
        <v>7.6279412708318661</v>
      </c>
      <c r="E255" s="384">
        <f t="shared" si="96"/>
        <v>7.9664918670174956</v>
      </c>
      <c r="F255" s="384">
        <f t="shared" si="75"/>
        <v>7.9664918670174956</v>
      </c>
      <c r="G255" s="110">
        <f t="shared" si="97"/>
        <v>0.15024613010662283</v>
      </c>
      <c r="H255" s="413" t="b">
        <f>Wh_hp&gt;='2019'!Maxi_hp</f>
        <v>0</v>
      </c>
      <c r="I255" s="379">
        <f>IF(H255,Wh_hp,'2019'!Maxi_hp)</f>
        <v>50.33466777055876</v>
      </c>
      <c r="J255" s="85">
        <f>IF(H255,An,'2019'!An_max)</f>
        <v>2019</v>
      </c>
      <c r="K255" s="196">
        <f t="shared" si="76"/>
        <v>44071</v>
      </c>
      <c r="L255" s="147">
        <f>IF(t&lt;Tvie,1-EXP((T0-t)*PertePVj)+'2019'!Pspv,1-EXP((T0-t)*PertePVj)+Pspv)</f>
        <v>1.7821488918862816E-2</v>
      </c>
      <c r="M255" s="847"/>
      <c r="N255" s="847"/>
      <c r="O255" s="48">
        <f>IF(t&lt;Tnet,'2019'!Resal+('2019'!Salim-'2019'!Resal)*(1-EXP(('2019'!Tnet-t)/('2019'!Tau_j))),Resal+(Salim-Resal)*(1-EXP((Tnet-t)/(Tau_j))))*Salcycl</f>
        <v>4.2496823173482634E-2</v>
      </c>
      <c r="P255" s="168">
        <f>(INDEX(Models!$BJ255:$BT255,,T255)*(1-R255)+INDEX(Models!$BJ255:$BT255,,T255+1)*R255-ERP_i)*Q255*Ramure*Pc/MaxiM</f>
        <v>1.8878162120470552E-4</v>
      </c>
      <c r="Q255" s="304">
        <f t="shared" si="77"/>
        <v>0.5</v>
      </c>
      <c r="R255" s="176">
        <f t="shared" si="78"/>
        <v>0.42405743030267956</v>
      </c>
      <c r="S255" s="814">
        <f t="shared" si="79"/>
        <v>0</v>
      </c>
      <c r="T255" s="175">
        <f t="shared" si="80"/>
        <v>6</v>
      </c>
      <c r="U255" s="250">
        <f t="shared" si="81"/>
        <v>0.42405743030267956</v>
      </c>
      <c r="V255" s="382">
        <f t="shared" si="82"/>
        <v>49.855431502816124</v>
      </c>
      <c r="W255" s="401"/>
      <c r="X255" s="157">
        <f t="shared" si="83"/>
        <v>44071</v>
      </c>
      <c r="Y255" s="384">
        <f t="shared" si="84"/>
        <v>7.492</v>
      </c>
      <c r="Z255" s="384">
        <f t="shared" si="85"/>
        <v>7.6279412708318661</v>
      </c>
      <c r="AA255" s="385">
        <f t="shared" si="86"/>
        <v>7.9664918670174956</v>
      </c>
      <c r="AB255" s="196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4.2496823173482634E-2</v>
      </c>
      <c r="AD255" s="230">
        <f>(INDEX(Models!$BJ255:$BT255,,AH255)*(1-AF255)+INDEX(Models!$BJ255:$BT255,,AH255+1)*AF255-ERP_i)*AE255*Ramure*Pc/MaxiM</f>
        <v>1.8878162120470552E-4</v>
      </c>
      <c r="AE255" s="304">
        <f t="shared" si="88"/>
        <v>0.5</v>
      </c>
      <c r="AF255" s="176">
        <f t="shared" si="89"/>
        <v>0.42405743030267956</v>
      </c>
      <c r="AG255" s="814">
        <f t="shared" si="95"/>
        <v>0</v>
      </c>
      <c r="AH255" s="175">
        <f t="shared" si="90"/>
        <v>6</v>
      </c>
      <c r="AI255" s="224">
        <f t="shared" si="91"/>
        <v>0.42405743030267956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44072</v>
      </c>
      <c r="B256" s="616">
        <v>18.864000000000001</v>
      </c>
      <c r="C256" s="389"/>
      <c r="D256" s="392">
        <f t="shared" si="74"/>
        <v>19.206705264094794</v>
      </c>
      <c r="E256" s="384">
        <f t="shared" si="96"/>
        <v>20.059752623028711</v>
      </c>
      <c r="F256" s="384">
        <f t="shared" si="75"/>
        <v>20.060196169433322</v>
      </c>
      <c r="G256" s="110">
        <f t="shared" si="97"/>
        <v>0.3793835073172892</v>
      </c>
      <c r="H256" s="413" t="b">
        <f>Wh_hp&gt;='2019'!Maxi_hp</f>
        <v>0</v>
      </c>
      <c r="I256" s="379">
        <f>IF(H256,Wh_hp,'2019'!Maxi_hp)</f>
        <v>50.370543169731143</v>
      </c>
      <c r="J256" s="85">
        <f>IF(H256,An,'2019'!An_max)</f>
        <v>2019</v>
      </c>
      <c r="K256" s="196">
        <f t="shared" si="76"/>
        <v>44072</v>
      </c>
      <c r="L256" s="147">
        <f>IF(t&lt;Tvie,1-EXP((T0-t)*PertePVj)+'2019'!Pspv,1-EXP((T0-t)*PertePVj)+Pspv)</f>
        <v>1.784300114895021E-2</v>
      </c>
      <c r="M256" s="847"/>
      <c r="N256" s="847"/>
      <c r="O256" s="48">
        <f>IF(t&lt;Tnet,'2019'!Resal+('2019'!Salim-'2019'!Resal)*(1-EXP(('2019'!Tnet-t)/('2019'!Tau_j))),Resal+(Salim-Resal)*(1-EXP((Tnet-t)/(Tau_j))))*Salcycl</f>
        <v>4.2525317981968257E-2</v>
      </c>
      <c r="P256" s="168">
        <f>(INDEX(Models!$BJ256:$BT256,,T256)*(1-R256)+INDEX(Models!$BJ256:$BT256,,T256+1)*R256-ERP_i)*Q256*Ramure*Pc/MaxiM</f>
        <v>1.948109101866298E-4</v>
      </c>
      <c r="Q256" s="304">
        <f t="shared" si="77"/>
        <v>0.5</v>
      </c>
      <c r="R256" s="176">
        <f t="shared" si="78"/>
        <v>0.42447790883938441</v>
      </c>
      <c r="S256" s="814">
        <f t="shared" si="79"/>
        <v>0</v>
      </c>
      <c r="T256" s="175">
        <f t="shared" si="80"/>
        <v>6</v>
      </c>
      <c r="U256" s="250">
        <f t="shared" si="81"/>
        <v>0.42447790883938441</v>
      </c>
      <c r="V256" s="382">
        <f t="shared" si="82"/>
        <v>49.714185642674892</v>
      </c>
      <c r="W256" s="401"/>
      <c r="X256" s="157">
        <f t="shared" si="83"/>
        <v>44072</v>
      </c>
      <c r="Y256" s="384">
        <f t="shared" si="84"/>
        <v>18.864000000000001</v>
      </c>
      <c r="Z256" s="384">
        <f t="shared" si="85"/>
        <v>19.206705264094794</v>
      </c>
      <c r="AA256" s="385">
        <f t="shared" si="86"/>
        <v>20.059752623028711</v>
      </c>
      <c r="AB256" s="196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4.2525317981968257E-2</v>
      </c>
      <c r="AD256" s="230">
        <f>(INDEX(Models!$BJ256:$BT256,,AH256)*(1-AF256)+INDEX(Models!$BJ256:$BT256,,AH256+1)*AF256-ERP_i)*AE256*Ramure*Pc/MaxiM</f>
        <v>1.948109101866298E-4</v>
      </c>
      <c r="AE256" s="304">
        <f t="shared" si="88"/>
        <v>0.5</v>
      </c>
      <c r="AF256" s="176">
        <f t="shared" si="89"/>
        <v>0.42447790883938441</v>
      </c>
      <c r="AG256" s="814">
        <f t="shared" si="95"/>
        <v>0</v>
      </c>
      <c r="AH256" s="175">
        <f t="shared" si="90"/>
        <v>6</v>
      </c>
      <c r="AI256" s="224">
        <f t="shared" si="91"/>
        <v>0.42447790883938441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44073</v>
      </c>
      <c r="B257" s="616">
        <v>27.454999999999998</v>
      </c>
      <c r="C257" s="389"/>
      <c r="D257" s="392">
        <f t="shared" si="74"/>
        <v>27.954391589379977</v>
      </c>
      <c r="E257" s="384">
        <f t="shared" si="96"/>
        <v>29.196820871407841</v>
      </c>
      <c r="F257" s="384">
        <f t="shared" si="75"/>
        <v>29.198944520982742</v>
      </c>
      <c r="G257" s="110">
        <f t="shared" si="97"/>
        <v>0.55381676552099912</v>
      </c>
      <c r="H257" s="413" t="b">
        <f>Wh_hp&gt;='2019'!Maxi_hp</f>
        <v>0</v>
      </c>
      <c r="I257" s="379">
        <f>IF(H257,Wh_hp,'2019'!Maxi_hp)</f>
        <v>48.249339217894772</v>
      </c>
      <c r="J257" s="85">
        <f>IF(H257,An,'2019'!An_max)</f>
        <v>2019</v>
      </c>
      <c r="K257" s="196">
        <f t="shared" si="76"/>
        <v>44073</v>
      </c>
      <c r="L257" s="147">
        <f>IF(t&lt;Tvie,1-EXP((T0-t)*PertePVj)+'2019'!Pspv,1-EXP((T0-t)*PertePVj)+Pspv)</f>
        <v>1.7864512907864505E-2</v>
      </c>
      <c r="M257" s="847"/>
      <c r="N257" s="847"/>
      <c r="O257" s="48">
        <f>IF(t&lt;Tnet,'2019'!Resal+('2019'!Salim-'2019'!Resal)*(1-EXP(('2019'!Tnet-t)/('2019'!Tau_j))),Resal+(Salim-Resal)*(1-EXP((Tnet-t)/(Tau_j))))*Salcycl</f>
        <v>4.2553581004586838E-2</v>
      </c>
      <c r="P257" s="168">
        <f>(INDEX(Models!$BJ257:$BT257,,T257)*(1-R257)+INDEX(Models!$BJ257:$BT257,,T257+1)*R257-ERP_i)*Q257*Ramure*Pc/MaxiM</f>
        <v>2.0052675595509355E-4</v>
      </c>
      <c r="Q257" s="304">
        <f t="shared" si="77"/>
        <v>0.5</v>
      </c>
      <c r="R257" s="176">
        <f t="shared" si="78"/>
        <v>0.42488260715320453</v>
      </c>
      <c r="S257" s="814">
        <f t="shared" si="79"/>
        <v>0</v>
      </c>
      <c r="T257" s="175">
        <f t="shared" si="80"/>
        <v>6</v>
      </c>
      <c r="U257" s="250">
        <f t="shared" si="81"/>
        <v>0.42488260715320453</v>
      </c>
      <c r="V257" s="382">
        <f t="shared" si="82"/>
        <v>49.567822434481293</v>
      </c>
      <c r="W257" s="401"/>
      <c r="X257" s="157">
        <f t="shared" si="83"/>
        <v>44073</v>
      </c>
      <c r="Y257" s="384">
        <f t="shared" si="84"/>
        <v>27.454999999999998</v>
      </c>
      <c r="Z257" s="384">
        <f t="shared" si="85"/>
        <v>27.954391589379977</v>
      </c>
      <c r="AA257" s="385">
        <f t="shared" si="86"/>
        <v>29.196820871407841</v>
      </c>
      <c r="AB257" s="196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4.2553581004586838E-2</v>
      </c>
      <c r="AD257" s="230">
        <f>(INDEX(Models!$BJ257:$BT257,,AH257)*(1-AF257)+INDEX(Models!$BJ257:$BT257,,AH257+1)*AF257-ERP_i)*AE257*Ramure*Pc/MaxiM</f>
        <v>2.0052675595509355E-4</v>
      </c>
      <c r="AE257" s="304">
        <f t="shared" si="88"/>
        <v>0.5</v>
      </c>
      <c r="AF257" s="176">
        <f t="shared" si="89"/>
        <v>0.42488260715320453</v>
      </c>
      <c r="AG257" s="814">
        <f t="shared" si="95"/>
        <v>0</v>
      </c>
      <c r="AH257" s="175">
        <f t="shared" si="90"/>
        <v>6</v>
      </c>
      <c r="AI257" s="224">
        <f t="shared" si="91"/>
        <v>0.42488260715320453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44074</v>
      </c>
      <c r="B258" s="616">
        <v>41.194000000000003</v>
      </c>
      <c r="C258" s="389"/>
      <c r="D258" s="392">
        <f t="shared" si="74"/>
        <v>41.94421524880628</v>
      </c>
      <c r="E258" s="384">
        <f t="shared" si="96"/>
        <v>43.80970267919561</v>
      </c>
      <c r="F258" s="384">
        <f t="shared" si="75"/>
        <v>43.816581163265646</v>
      </c>
      <c r="G258" s="110">
        <f t="shared" si="97"/>
        <v>0.83358035855151014</v>
      </c>
      <c r="H258" s="413" t="b">
        <f>Wh_hp&gt;='2019'!Maxi_hp</f>
        <v>0</v>
      </c>
      <c r="I258" s="379">
        <f>IF(H258,Wh_hp,'2019'!Maxi_hp)</f>
        <v>53.126958868503813</v>
      </c>
      <c r="J258" s="85">
        <f>IF(H258,An,'2019'!An_max)</f>
        <v>2018</v>
      </c>
      <c r="K258" s="196">
        <f t="shared" si="76"/>
        <v>44074</v>
      </c>
      <c r="L258" s="147">
        <f>IF(t&lt;Tvie,1-EXP((T0-t)*PertePVj)+'2019'!Pspv,1-EXP((T0-t)*PertePVj)+Pspv)</f>
        <v>1.7886024195616135E-2</v>
      </c>
      <c r="M258" s="847"/>
      <c r="N258" s="847"/>
      <c r="O258" s="48">
        <f>IF(t&lt;Tnet,'2019'!Resal+('2019'!Salim-'2019'!Resal)*(1-EXP(('2019'!Tnet-t)/('2019'!Tau_j))),Resal+(Salim-Resal)*(1-EXP((Tnet-t)/(Tau_j))))*Salcycl</f>
        <v>4.2581604446158799E-2</v>
      </c>
      <c r="P258" s="168">
        <f>(INDEX(Models!$BJ258:$BT258,,T258)*(1-R258)+INDEX(Models!$BJ258:$BT258,,T258+1)*R258-ERP_i)*Q258*Ramure*Pc/MaxiM</f>
        <v>2.0592981950675341E-4</v>
      </c>
      <c r="Q258" s="304">
        <f t="shared" si="77"/>
        <v>0.5</v>
      </c>
      <c r="R258" s="176">
        <f t="shared" si="78"/>
        <v>0.42527207434277742</v>
      </c>
      <c r="S258" s="814">
        <f t="shared" si="79"/>
        <v>0</v>
      </c>
      <c r="T258" s="175">
        <f t="shared" si="80"/>
        <v>6</v>
      </c>
      <c r="U258" s="250">
        <f t="shared" si="81"/>
        <v>0.42527207434277742</v>
      </c>
      <c r="V258" s="382">
        <f t="shared" si="82"/>
        <v>49.415731752475089</v>
      </c>
      <c r="W258" s="401"/>
      <c r="X258" s="157">
        <f t="shared" si="83"/>
        <v>44074</v>
      </c>
      <c r="Y258" s="384">
        <f t="shared" si="84"/>
        <v>41.194000000000003</v>
      </c>
      <c r="Z258" s="384">
        <f t="shared" si="85"/>
        <v>41.94421524880628</v>
      </c>
      <c r="AA258" s="385">
        <f t="shared" si="86"/>
        <v>43.80970267919561</v>
      </c>
      <c r="AB258" s="196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4.2581604446158799E-2</v>
      </c>
      <c r="AD258" s="230">
        <f>(INDEX(Models!$BJ258:$BT258,,AH258)*(1-AF258)+INDEX(Models!$BJ258:$BT258,,AH258+1)*AF258-ERP_i)*AE258*Ramure*Pc/MaxiM</f>
        <v>2.0592981950675341E-4</v>
      </c>
      <c r="AE258" s="304">
        <f t="shared" si="88"/>
        <v>0.5</v>
      </c>
      <c r="AF258" s="176">
        <f t="shared" si="89"/>
        <v>0.42527207434277742</v>
      </c>
      <c r="AG258" s="814">
        <f t="shared" si="95"/>
        <v>0</v>
      </c>
      <c r="AH258" s="175">
        <f t="shared" si="90"/>
        <v>6</v>
      </c>
      <c r="AI258" s="224">
        <f t="shared" si="91"/>
        <v>0.42527207434277742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44075</v>
      </c>
      <c r="B259" s="616">
        <v>43.887999999999998</v>
      </c>
      <c r="C259" s="389"/>
      <c r="D259" s="392">
        <f t="shared" si="74"/>
        <v>44.68825651823515</v>
      </c>
      <c r="E259" s="384">
        <f t="shared" si="96"/>
        <v>46.677140546903217</v>
      </c>
      <c r="F259" s="384">
        <f t="shared" si="75"/>
        <v>46.685458045869133</v>
      </c>
      <c r="G259" s="110">
        <f t="shared" si="97"/>
        <v>0.89096548841906931</v>
      </c>
      <c r="H259" s="413" t="b">
        <f>Wh_hp&gt;='2019'!Maxi_hp</f>
        <v>0</v>
      </c>
      <c r="I259" s="379">
        <f>IF(H259,Wh_hp,'2019'!Maxi_hp)</f>
        <v>50.943890407811566</v>
      </c>
      <c r="J259" s="85">
        <f>IF(H259,An,'2019'!An_max)</f>
        <v>2018</v>
      </c>
      <c r="K259" s="196">
        <f t="shared" si="76"/>
        <v>44075</v>
      </c>
      <c r="L259" s="147">
        <f>IF(t&lt;Tvie,1-EXP((T0-t)*PertePVj)+'2019'!Pspv,1-EXP((T0-t)*PertePVj)+Pspv)</f>
        <v>1.7907535012215314E-2</v>
      </c>
      <c r="M259" s="847"/>
      <c r="N259" s="847"/>
      <c r="O259" s="48">
        <f>IF(t&lt;Tnet,'2019'!Resal+('2019'!Salim-'2019'!Resal)*(1-EXP(('2019'!Tnet-t)/('2019'!Tau_j))),Resal+(Salim-Resal)*(1-EXP((Tnet-t)/(Tau_j))))*Salcycl</f>
        <v>4.2609380209774235E-2</v>
      </c>
      <c r="P259" s="168">
        <f>(INDEX(Models!$BJ259:$BT259,,T259)*(1-R259)+INDEX(Models!$BJ259:$BT259,,T259+1)*R259-ERP_i)*Q259*Ramure*Pc/MaxiM</f>
        <v>2.1102092973267677E-4</v>
      </c>
      <c r="Q259" s="304">
        <f t="shared" si="77"/>
        <v>0.5</v>
      </c>
      <c r="R259" s="176">
        <f t="shared" si="78"/>
        <v>0.42564684371130135</v>
      </c>
      <c r="S259" s="814">
        <f t="shared" si="79"/>
        <v>0</v>
      </c>
      <c r="T259" s="175">
        <f t="shared" si="80"/>
        <v>6</v>
      </c>
      <c r="U259" s="250">
        <f t="shared" si="81"/>
        <v>0.42564684371130135</v>
      </c>
      <c r="V259" s="382">
        <f t="shared" si="82"/>
        <v>49.257303598929184</v>
      </c>
      <c r="W259" s="401"/>
      <c r="X259" s="157">
        <f t="shared" si="83"/>
        <v>44075</v>
      </c>
      <c r="Y259" s="384">
        <f t="shared" si="84"/>
        <v>43.887999999999998</v>
      </c>
      <c r="Z259" s="384">
        <f t="shared" si="85"/>
        <v>44.68825651823515</v>
      </c>
      <c r="AA259" s="385">
        <f t="shared" si="86"/>
        <v>46.677140546903217</v>
      </c>
      <c r="AB259" s="196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4.2609380209774235E-2</v>
      </c>
      <c r="AD259" s="230">
        <f>(INDEX(Models!$BJ259:$BT259,,AH259)*(1-AF259)+INDEX(Models!$BJ259:$BT259,,AH259+1)*AF259-ERP_i)*AE259*Ramure*Pc/MaxiM</f>
        <v>2.1102092973267677E-4</v>
      </c>
      <c r="AE259" s="304">
        <f t="shared" si="88"/>
        <v>0.5</v>
      </c>
      <c r="AF259" s="176">
        <f t="shared" si="89"/>
        <v>0.42564684371130135</v>
      </c>
      <c r="AG259" s="814">
        <f t="shared" si="95"/>
        <v>0</v>
      </c>
      <c r="AH259" s="175">
        <f t="shared" si="90"/>
        <v>6</v>
      </c>
      <c r="AI259" s="224">
        <f t="shared" si="91"/>
        <v>0.42564684371130135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44076</v>
      </c>
      <c r="B260" s="616">
        <v>50.149000000000001</v>
      </c>
      <c r="C260" s="389"/>
      <c r="D260" s="392">
        <f t="shared" si="74"/>
        <v>51.064538425601214</v>
      </c>
      <c r="E260" s="384">
        <f t="shared" si="96"/>
        <v>53.338736806334801</v>
      </c>
      <c r="F260" s="384">
        <f t="shared" si="75"/>
        <v>53.350249846089348</v>
      </c>
      <c r="G260" s="110">
        <f t="shared" si="97"/>
        <v>1.0215324992515642</v>
      </c>
      <c r="H260" s="413" t="b">
        <f>Wh_hp&gt;='2019'!Maxi_hp</f>
        <v>0</v>
      </c>
      <c r="I260" s="379">
        <f>IF(H260,Wh_hp,'2019'!Maxi_hp)</f>
        <v>53.385719153898613</v>
      </c>
      <c r="J260" s="85">
        <f>IF(H260,An,'2019'!An_max)</f>
        <v>2019</v>
      </c>
      <c r="K260" s="196">
        <f t="shared" si="76"/>
        <v>44076</v>
      </c>
      <c r="L260" s="147">
        <f>IF(t&lt;Tvie,1-EXP((T0-t)*PertePVj)+'2019'!Pspv,1-EXP((T0-t)*PertePVj)+Pspv)</f>
        <v>1.792904535767248E-2</v>
      </c>
      <c r="M260" s="847"/>
      <c r="N260" s="847"/>
      <c r="O260" s="48">
        <f>IF(t&lt;Tnet,'2019'!Resal+('2019'!Salim-'2019'!Resal)*(1-EXP(('2019'!Tnet-t)/('2019'!Tau_j))),Resal+(Salim-Resal)*(1-EXP((Tnet-t)/(Tau_j))))*Salcycl</f>
        <v>4.2636899876179489E-2</v>
      </c>
      <c r="P260" s="168">
        <f>(INDEX(Models!$BJ260:$BT260,,T260)*(1-R260)+INDEX(Models!$BJ260:$BT260,,T260+1)*R260-ERP_i)*Q260*Ramure*Pc/MaxiM</f>
        <v>2.1580104662600119E-4</v>
      </c>
      <c r="Q260" s="304">
        <f t="shared" si="77"/>
        <v>0.5</v>
      </c>
      <c r="R260" s="176">
        <f t="shared" si="78"/>
        <v>0.42600743295847665</v>
      </c>
      <c r="S260" s="814">
        <f t="shared" si="79"/>
        <v>0</v>
      </c>
      <c r="T260" s="175">
        <f t="shared" si="80"/>
        <v>6</v>
      </c>
      <c r="U260" s="250">
        <f t="shared" si="81"/>
        <v>0.42600743295847665</v>
      </c>
      <c r="V260" s="382">
        <f t="shared" si="82"/>
        <v>49.091928095035797</v>
      </c>
      <c r="W260" s="401"/>
      <c r="X260" s="157">
        <f t="shared" si="83"/>
        <v>44076</v>
      </c>
      <c r="Y260" s="384">
        <f t="shared" si="84"/>
        <v>50.149000000000001</v>
      </c>
      <c r="Z260" s="384">
        <f t="shared" si="85"/>
        <v>51.064538425601214</v>
      </c>
      <c r="AA260" s="385">
        <f t="shared" si="86"/>
        <v>53.338736806334801</v>
      </c>
      <c r="AB260" s="196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4.2636899876179489E-2</v>
      </c>
      <c r="AD260" s="230">
        <f>(INDEX(Models!$BJ260:$BT260,,AH260)*(1-AF260)+INDEX(Models!$BJ260:$BT260,,AH260+1)*AF260-ERP_i)*AE260*Ramure*Pc/MaxiM</f>
        <v>2.1580104662600119E-4</v>
      </c>
      <c r="AE260" s="304">
        <f t="shared" si="88"/>
        <v>0.5</v>
      </c>
      <c r="AF260" s="176">
        <f t="shared" si="89"/>
        <v>0.42600743295847665</v>
      </c>
      <c r="AG260" s="814">
        <f t="shared" si="95"/>
        <v>0</v>
      </c>
      <c r="AH260" s="175">
        <f t="shared" si="90"/>
        <v>6</v>
      </c>
      <c r="AI260" s="224">
        <f t="shared" si="91"/>
        <v>0.42600743295847665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44077</v>
      </c>
      <c r="B261" s="616">
        <v>48.854999999999997</v>
      </c>
      <c r="C261" s="389"/>
      <c r="D261" s="392">
        <f t="shared" si="74"/>
        <v>49.74800429884813</v>
      </c>
      <c r="E261" s="384">
        <f t="shared" si="96"/>
        <v>51.965049195825486</v>
      </c>
      <c r="F261" s="384">
        <f t="shared" si="75"/>
        <v>51.976475979807802</v>
      </c>
      <c r="G261" s="110">
        <f t="shared" si="97"/>
        <v>0.99866470122317863</v>
      </c>
      <c r="H261" s="413" t="b">
        <f>Wh_hp&gt;='2019'!Maxi_hp</f>
        <v>0</v>
      </c>
      <c r="I261" s="379">
        <f>IF(H261,Wh_hp,'2019'!Maxi_hp)</f>
        <v>53.038083158550982</v>
      </c>
      <c r="J261" s="85">
        <f>IF(H261,An,'2019'!An_max)</f>
        <v>2019</v>
      </c>
      <c r="K261" s="196">
        <f t="shared" si="76"/>
        <v>44077</v>
      </c>
      <c r="L261" s="147">
        <f>IF(t&lt;Tvie,1-EXP((T0-t)*PertePVj)+'2019'!Pspv,1-EXP((T0-t)*PertePVj)+Pspv)</f>
        <v>1.7950555231997734E-2</v>
      </c>
      <c r="M261" s="847"/>
      <c r="N261" s="847"/>
      <c r="O261" s="48">
        <f>IF(t&lt;Tnet,'2019'!Resal+('2019'!Salim-'2019'!Resal)*(1-EXP(('2019'!Tnet-t)/('2019'!Tau_j))),Resal+(Salim-Resal)*(1-EXP((Tnet-t)/(Tau_j))))*Salcycl</f>
        <v>4.26641546825565E-2</v>
      </c>
      <c r="P261" s="168">
        <f>(INDEX(Models!$BJ261:$BT261,,T261)*(1-R261)+INDEX(Models!$BJ261:$BT261,,T261+1)*R261-ERP_i)*Q261*Ramure*Pc/MaxiM</f>
        <v>2.202653399910368E-4</v>
      </c>
      <c r="Q261" s="304">
        <f t="shared" si="77"/>
        <v>0.5</v>
      </c>
      <c r="R261" s="176">
        <f t="shared" si="78"/>
        <v>0.42635434439393521</v>
      </c>
      <c r="S261" s="814">
        <f t="shared" si="79"/>
        <v>0</v>
      </c>
      <c r="T261" s="175">
        <f t="shared" si="80"/>
        <v>6</v>
      </c>
      <c r="U261" s="250">
        <f t="shared" si="81"/>
        <v>0.42635434439393521</v>
      </c>
      <c r="V261" s="382">
        <f t="shared" si="82"/>
        <v>48.920302694809834</v>
      </c>
      <c r="W261" s="401"/>
      <c r="X261" s="157">
        <f t="shared" si="83"/>
        <v>44077</v>
      </c>
      <c r="Y261" s="384">
        <f t="shared" si="84"/>
        <v>48.854999999999997</v>
      </c>
      <c r="Z261" s="384">
        <f t="shared" si="85"/>
        <v>49.74800429884813</v>
      </c>
      <c r="AA261" s="385">
        <f t="shared" si="86"/>
        <v>51.965049195825486</v>
      </c>
      <c r="AB261" s="196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4.26641546825565E-2</v>
      </c>
      <c r="AD261" s="230">
        <f>(INDEX(Models!$BJ261:$BT261,,AH261)*(1-AF261)+INDEX(Models!$BJ261:$BT261,,AH261+1)*AF261-ERP_i)*AE261*Ramure*Pc/MaxiM</f>
        <v>2.202653399910368E-4</v>
      </c>
      <c r="AE261" s="304">
        <f t="shared" si="88"/>
        <v>0.5</v>
      </c>
      <c r="AF261" s="176">
        <f t="shared" si="89"/>
        <v>0.42635434439393521</v>
      </c>
      <c r="AG261" s="814">
        <f t="shared" si="95"/>
        <v>0</v>
      </c>
      <c r="AH261" s="175">
        <f t="shared" si="90"/>
        <v>6</v>
      </c>
      <c r="AI261" s="224">
        <f t="shared" si="91"/>
        <v>0.42635434439393521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44078</v>
      </c>
      <c r="B262" s="616">
        <v>49.113</v>
      </c>
      <c r="C262" s="389"/>
      <c r="D262" s="392">
        <f t="shared" si="74"/>
        <v>50.011815582166477</v>
      </c>
      <c r="E262" s="384">
        <f t="shared" si="96"/>
        <v>52.242089712976949</v>
      </c>
      <c r="F262" s="384">
        <f t="shared" si="75"/>
        <v>52.253818490500642</v>
      </c>
      <c r="G262" s="110">
        <f t="shared" si="97"/>
        <v>1.0075784817901354</v>
      </c>
      <c r="H262" s="413" t="b">
        <f>Wh_hp&gt;='2019'!Maxi_hp</f>
        <v>1</v>
      </c>
      <c r="I262" s="379">
        <f>IF(H262,Wh_hp,'2019'!Maxi_hp)</f>
        <v>52.253818490500642</v>
      </c>
      <c r="J262" s="85">
        <f>IF(H262,An,'2019'!An_max)</f>
        <v>2020</v>
      </c>
      <c r="K262" s="196">
        <f t="shared" si="76"/>
        <v>44078</v>
      </c>
      <c r="L262" s="147">
        <f>IF(t&lt;Tvie,1-EXP((T0-t)*PertePVj)+'2019'!Pspv,1-EXP((T0-t)*PertePVj)+Pspv)</f>
        <v>1.7972064635201623E-2</v>
      </c>
      <c r="M262" s="847"/>
      <c r="N262" s="847"/>
      <c r="O262" s="48">
        <f>IF(t&lt;Tnet,'2019'!Resal+('2019'!Salim-'2019'!Resal)*(1-EXP(('2019'!Tnet-t)/('2019'!Tau_j))),Resal+(Salim-Resal)*(1-EXP((Tnet-t)/(Tau_j))))*Salcycl</f>
        <v>4.269113550135175E-2</v>
      </c>
      <c r="P262" s="168">
        <f>(INDEX(Models!$BJ262:$BT262,,T262)*(1-R262)+INDEX(Models!$BJ262:$BT262,,T262+1)*R262-ERP_i)*Q262*Ramure*Pc/MaxiM</f>
        <v>2.2445780734332867E-4</v>
      </c>
      <c r="Q262" s="304">
        <f t="shared" si="77"/>
        <v>0.5</v>
      </c>
      <c r="R262" s="176">
        <f t="shared" si="78"/>
        <v>0.42668806516959834</v>
      </c>
      <c r="S262" s="814">
        <f t="shared" si="79"/>
        <v>0</v>
      </c>
      <c r="T262" s="175">
        <f t="shared" si="80"/>
        <v>6</v>
      </c>
      <c r="U262" s="250">
        <f t="shared" si="81"/>
        <v>0.42668806516959834</v>
      </c>
      <c r="V262" s="382">
        <f t="shared" si="82"/>
        <v>48.743597533705127</v>
      </c>
      <c r="W262" s="401"/>
      <c r="X262" s="157">
        <f t="shared" si="83"/>
        <v>44078</v>
      </c>
      <c r="Y262" s="384">
        <f t="shared" si="84"/>
        <v>49.113</v>
      </c>
      <c r="Z262" s="384">
        <f t="shared" si="85"/>
        <v>50.011815582166477</v>
      </c>
      <c r="AA262" s="385">
        <f t="shared" si="86"/>
        <v>52.242089712976949</v>
      </c>
      <c r="AB262" s="196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4.269113550135175E-2</v>
      </c>
      <c r="AD262" s="230">
        <f>(INDEX(Models!$BJ262:$BT262,,AH262)*(1-AF262)+INDEX(Models!$BJ262:$BT262,,AH262+1)*AF262-ERP_i)*AE262*Ramure*Pc/MaxiM</f>
        <v>2.2445780734332867E-4</v>
      </c>
      <c r="AE262" s="304">
        <f t="shared" si="88"/>
        <v>0.5</v>
      </c>
      <c r="AF262" s="176">
        <f t="shared" si="89"/>
        <v>0.42668806516959834</v>
      </c>
      <c r="AG262" s="814">
        <f t="shared" si="95"/>
        <v>0</v>
      </c>
      <c r="AH262" s="175">
        <f t="shared" si="90"/>
        <v>6</v>
      </c>
      <c r="AI262" s="224">
        <f t="shared" si="91"/>
        <v>0.42668806516959834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44079</v>
      </c>
      <c r="B263" s="616">
        <v>44.197000000000003</v>
      </c>
      <c r="C263" s="389"/>
      <c r="D263" s="392">
        <f t="shared" si="74"/>
        <v>45.006833774553421</v>
      </c>
      <c r="E263" s="384">
        <f t="shared" si="96"/>
        <v>47.015222175430758</v>
      </c>
      <c r="F263" s="384">
        <f t="shared" si="75"/>
        <v>47.02459109391021</v>
      </c>
      <c r="G263" s="110">
        <f t="shared" si="97"/>
        <v>0.91008995934165637</v>
      </c>
      <c r="H263" s="413" t="b">
        <f>Wh_hp&gt;='2019'!Maxi_hp</f>
        <v>0</v>
      </c>
      <c r="I263" s="379">
        <f>IF(H263,Wh_hp,'2019'!Maxi_hp)</f>
        <v>54.048993300295933</v>
      </c>
      <c r="J263" s="85">
        <f>IF(H263,An,'2019'!An_max)</f>
        <v>2019</v>
      </c>
      <c r="K263" s="196">
        <f t="shared" si="76"/>
        <v>44079</v>
      </c>
      <c r="L263" s="147">
        <f>IF(t&lt;Tvie,1-EXP((T0-t)*PertePVj)+'2019'!Pspv,1-EXP((T0-t)*PertePVj)+Pspv)</f>
        <v>1.7993573567294363E-2</v>
      </c>
      <c r="M263" s="847"/>
      <c r="N263" s="847"/>
      <c r="O263" s="48">
        <f>IF(t&lt;Tnet,'2019'!Resal+('2019'!Salim-'2019'!Resal)*(1-EXP(('2019'!Tnet-t)/('2019'!Tau_j))),Resal+(Salim-Resal)*(1-EXP((Tnet-t)/(Tau_j))))*Salcycl</f>
        <v>4.2717832819832498E-2</v>
      </c>
      <c r="P263" s="168">
        <f>(INDEX(Models!$BJ263:$BT263,,T263)*(1-R263)+INDEX(Models!$BJ263:$BT263,,T263+1)*R263-ERP_i)*Q263*Ramure*Pc/MaxiM</f>
        <v>2.2858597230226535E-4</v>
      </c>
      <c r="Q263" s="304">
        <f t="shared" si="77"/>
        <v>0.5</v>
      </c>
      <c r="R263" s="176">
        <f t="shared" si="78"/>
        <v>0.42700906752857731</v>
      </c>
      <c r="S263" s="814">
        <f t="shared" si="79"/>
        <v>0</v>
      </c>
      <c r="T263" s="175">
        <f t="shared" si="80"/>
        <v>6</v>
      </c>
      <c r="U263" s="250">
        <f t="shared" si="81"/>
        <v>0.42700906752857731</v>
      </c>
      <c r="V263" s="382">
        <f t="shared" si="82"/>
        <v>48.561905379300299</v>
      </c>
      <c r="W263" s="401"/>
      <c r="X263" s="157">
        <f t="shared" si="83"/>
        <v>44079</v>
      </c>
      <c r="Y263" s="384">
        <f t="shared" si="84"/>
        <v>44.197000000000003</v>
      </c>
      <c r="Z263" s="384">
        <f t="shared" si="85"/>
        <v>45.006833774553421</v>
      </c>
      <c r="AA263" s="385">
        <f t="shared" si="86"/>
        <v>47.015222175430758</v>
      </c>
      <c r="AB263" s="196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4.2717832819832498E-2</v>
      </c>
      <c r="AD263" s="230">
        <f>(INDEX(Models!$BJ263:$BT263,,AH263)*(1-AF263)+INDEX(Models!$BJ263:$BT263,,AH263+1)*AF263-ERP_i)*AE263*Ramure*Pc/MaxiM</f>
        <v>2.2858597230226535E-4</v>
      </c>
      <c r="AE263" s="304">
        <f t="shared" si="88"/>
        <v>0.5</v>
      </c>
      <c r="AF263" s="176">
        <f t="shared" si="89"/>
        <v>0.42700906752857731</v>
      </c>
      <c r="AG263" s="814">
        <f t="shared" si="95"/>
        <v>0</v>
      </c>
      <c r="AH263" s="175">
        <f t="shared" si="90"/>
        <v>6</v>
      </c>
      <c r="AI263" s="224">
        <f t="shared" si="91"/>
        <v>0.42700906752857731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44080</v>
      </c>
      <c r="B264" s="616">
        <v>27.224</v>
      </c>
      <c r="C264" s="389"/>
      <c r="D264" s="392">
        <f t="shared" si="74"/>
        <v>27.723440046544781</v>
      </c>
      <c r="E264" s="384">
        <f t="shared" si="96"/>
        <v>28.961371777572001</v>
      </c>
      <c r="F264" s="384">
        <f t="shared" si="75"/>
        <v>28.963901254353676</v>
      </c>
      <c r="G264" s="110">
        <f t="shared" si="97"/>
        <v>0.56268440936520503</v>
      </c>
      <c r="H264" s="413" t="b">
        <f>Wh_hp&gt;='2019'!Maxi_hp</f>
        <v>0</v>
      </c>
      <c r="I264" s="379">
        <f>IF(H264,Wh_hp,'2019'!Maxi_hp)</f>
        <v>52.847504684614634</v>
      </c>
      <c r="J264" s="85">
        <f>IF(H264,An,'2019'!An_max)</f>
        <v>2019</v>
      </c>
      <c r="K264" s="196">
        <f t="shared" si="76"/>
        <v>44080</v>
      </c>
      <c r="L264" s="147">
        <f>IF(t&lt;Tvie,1-EXP((T0-t)*PertePVj)+'2019'!Pspv,1-EXP((T0-t)*PertePVj)+Pspv)</f>
        <v>1.8015082028286278E-2</v>
      </c>
      <c r="M264" s="847"/>
      <c r="N264" s="847"/>
      <c r="O264" s="48">
        <f>IF(t&lt;Tnet,'2019'!Resal+('2019'!Salim-'2019'!Resal)*(1-EXP(('2019'!Tnet-t)/('2019'!Tau_j))),Resal+(Salim-Resal)*(1-EXP((Tnet-t)/(Tau_j))))*Salcycl</f>
        <v>4.2744236721062034E-2</v>
      </c>
      <c r="P264" s="168">
        <f>(INDEX(Models!$BJ264:$BT264,,T264)*(1-R264)+INDEX(Models!$BJ264:$BT264,,T264+1)*R264-ERP_i)*Q264*Ramure*Pc/MaxiM</f>
        <v>2.3264953281738478E-4</v>
      </c>
      <c r="Q264" s="304">
        <f t="shared" si="77"/>
        <v>0.5</v>
      </c>
      <c r="R264" s="176">
        <f t="shared" si="78"/>
        <v>0.42731780906839989</v>
      </c>
      <c r="S264" s="814">
        <f t="shared" si="79"/>
        <v>0</v>
      </c>
      <c r="T264" s="175">
        <f t="shared" si="80"/>
        <v>6</v>
      </c>
      <c r="U264" s="250">
        <f t="shared" si="81"/>
        <v>0.42731780906839989</v>
      </c>
      <c r="V264" s="382">
        <f t="shared" si="82"/>
        <v>48.375329186647036</v>
      </c>
      <c r="W264" s="401"/>
      <c r="X264" s="157">
        <f t="shared" si="83"/>
        <v>44080</v>
      </c>
      <c r="Y264" s="384">
        <f t="shared" si="84"/>
        <v>27.224</v>
      </c>
      <c r="Z264" s="384">
        <f t="shared" si="85"/>
        <v>27.723440046544781</v>
      </c>
      <c r="AA264" s="385">
        <f t="shared" si="86"/>
        <v>28.961371777572001</v>
      </c>
      <c r="AB264" s="196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4.2744236721062034E-2</v>
      </c>
      <c r="AD264" s="230">
        <f>(INDEX(Models!$BJ264:$BT264,,AH264)*(1-AF264)+INDEX(Models!$BJ264:$BT264,,AH264+1)*AF264-ERP_i)*AE264*Ramure*Pc/MaxiM</f>
        <v>2.3264953281738478E-4</v>
      </c>
      <c r="AE264" s="304">
        <f t="shared" si="88"/>
        <v>0.5</v>
      </c>
      <c r="AF264" s="176">
        <f t="shared" si="89"/>
        <v>0.42731780906839989</v>
      </c>
      <c r="AG264" s="814">
        <f t="shared" si="95"/>
        <v>0</v>
      </c>
      <c r="AH264" s="175">
        <f t="shared" si="90"/>
        <v>6</v>
      </c>
      <c r="AI264" s="224">
        <f t="shared" si="91"/>
        <v>0.42731780906839989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44081</v>
      </c>
      <c r="B265" s="616">
        <v>41.54</v>
      </c>
      <c r="C265" s="389"/>
      <c r="D265" s="392">
        <f t="shared" si="74"/>
        <v>42.303001901842144</v>
      </c>
      <c r="E265" s="384">
        <f t="shared" si="96"/>
        <v>44.193158163720618</v>
      </c>
      <c r="F265" s="384">
        <f t="shared" si="75"/>
        <v>44.201557900859498</v>
      </c>
      <c r="G265" s="110">
        <f t="shared" si="97"/>
        <v>0.86207221179378357</v>
      </c>
      <c r="H265" s="413" t="b">
        <f>Wh_hp&gt;='2019'!Maxi_hp</f>
        <v>0</v>
      </c>
      <c r="I265" s="379">
        <f>IF(H265,Wh_hp,'2019'!Maxi_hp)</f>
        <v>46.460443083143332</v>
      </c>
      <c r="J265" s="85">
        <f>IF(H265,An,'2019'!An_max)</f>
        <v>2018</v>
      </c>
      <c r="K265" s="196">
        <f t="shared" si="76"/>
        <v>44081</v>
      </c>
      <c r="L265" s="147">
        <f>IF(t&lt;Tvie,1-EXP((T0-t)*PertePVj)+'2019'!Pspv,1-EXP((T0-t)*PertePVj)+Pspv)</f>
        <v>1.8036590018187804E-2</v>
      </c>
      <c r="M265" s="847"/>
      <c r="N265" s="847"/>
      <c r="O265" s="48">
        <f>IF(t&lt;Tnet,'2019'!Resal+('2019'!Salim-'2019'!Resal)*(1-EXP(('2019'!Tnet-t)/('2019'!Tau_j))),Resal+(Salim-Resal)*(1-EXP((Tnet-t)/(Tau_j))))*Salcycl</f>
        <v>4.2770336866989375E-2</v>
      </c>
      <c r="P265" s="168">
        <f>(INDEX(Models!$BJ265:$BT265,,T265)*(1-R265)+INDEX(Models!$BJ265:$BT265,,T265+1)*R265-ERP_i)*Q265*Ramure*Pc/MaxiM</f>
        <v>2.3664808130277661E-4</v>
      </c>
      <c r="Q265" s="304">
        <f t="shared" si="77"/>
        <v>0.5</v>
      </c>
      <c r="R265" s="176">
        <f t="shared" si="78"/>
        <v>0.42761473301650738</v>
      </c>
      <c r="S265" s="814">
        <f t="shared" si="79"/>
        <v>0</v>
      </c>
      <c r="T265" s="175">
        <f t="shared" si="80"/>
        <v>6</v>
      </c>
      <c r="U265" s="250">
        <f t="shared" si="81"/>
        <v>0.42761473301650738</v>
      </c>
      <c r="V265" s="382">
        <f t="shared" si="82"/>
        <v>48.183971895557967</v>
      </c>
      <c r="W265" s="401"/>
      <c r="X265" s="157">
        <f t="shared" si="83"/>
        <v>44081</v>
      </c>
      <c r="Y265" s="384">
        <f t="shared" si="84"/>
        <v>41.54</v>
      </c>
      <c r="Z265" s="384">
        <f t="shared" si="85"/>
        <v>42.303001901842144</v>
      </c>
      <c r="AA265" s="385">
        <f t="shared" si="86"/>
        <v>44.193158163720618</v>
      </c>
      <c r="AB265" s="196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4.2770336866989375E-2</v>
      </c>
      <c r="AD265" s="230">
        <f>(INDEX(Models!$BJ265:$BT265,,AH265)*(1-AF265)+INDEX(Models!$BJ265:$BT265,,AH265+1)*AF265-ERP_i)*AE265*Ramure*Pc/MaxiM</f>
        <v>2.3664808130277661E-4</v>
      </c>
      <c r="AE265" s="304">
        <f t="shared" si="88"/>
        <v>0.5</v>
      </c>
      <c r="AF265" s="176">
        <f t="shared" si="89"/>
        <v>0.42761473301650738</v>
      </c>
      <c r="AG265" s="814">
        <f t="shared" si="95"/>
        <v>0</v>
      </c>
      <c r="AH265" s="175">
        <f t="shared" si="90"/>
        <v>6</v>
      </c>
      <c r="AI265" s="224">
        <f t="shared" si="91"/>
        <v>0.42761473301650738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44082</v>
      </c>
      <c r="B266" s="616">
        <v>46.552999999999997</v>
      </c>
      <c r="C266" s="389"/>
      <c r="D266" s="392">
        <f t="shared" si="74"/>
        <v>47.409118485759457</v>
      </c>
      <c r="E266" s="384">
        <f t="shared" si="96"/>
        <v>49.528757247417303</v>
      </c>
      <c r="F266" s="384">
        <f t="shared" si="75"/>
        <v>49.540166553764124</v>
      </c>
      <c r="G266" s="110">
        <f t="shared" si="97"/>
        <v>0.97008800397424988</v>
      </c>
      <c r="H266" s="413" t="b">
        <f>Wh_hp&gt;='2019'!Maxi_hp</f>
        <v>1</v>
      </c>
      <c r="I266" s="379">
        <f>IF(H266,Wh_hp,'2019'!Maxi_hp)</f>
        <v>49.540166553764124</v>
      </c>
      <c r="J266" s="85">
        <f>IF(H266,An,'2019'!An_max)</f>
        <v>2020</v>
      </c>
      <c r="K266" s="196">
        <f t="shared" si="76"/>
        <v>44082</v>
      </c>
      <c r="L266" s="147">
        <f>IF(t&lt;Tvie,1-EXP((T0-t)*PertePVj)+'2019'!Pspv,1-EXP((T0-t)*PertePVj)+Pspv)</f>
        <v>1.8058097537009044E-2</v>
      </c>
      <c r="M266" s="847"/>
      <c r="N266" s="847"/>
      <c r="O266" s="48">
        <f>IF(t&lt;Tnet,'2019'!Resal+('2019'!Salim-'2019'!Resal)*(1-EXP(('2019'!Tnet-t)/('2019'!Tau_j))),Resal+(Salim-Resal)*(1-EXP((Tnet-t)/(Tau_j))))*Salcycl</f>
        <v>4.2796122484344674E-2</v>
      </c>
      <c r="P266" s="168">
        <f>(INDEX(Models!$BJ266:$BT266,,T266)*(1-R266)+INDEX(Models!$BJ266:$BT266,,T266+1)*R266-ERP_i)*Q266*Ramure*Pc/MaxiM</f>
        <v>2.4058110368227221E-4</v>
      </c>
      <c r="Q266" s="304">
        <f t="shared" si="77"/>
        <v>0.5</v>
      </c>
      <c r="R266" s="176">
        <f t="shared" si="78"/>
        <v>0.42790026851612051</v>
      </c>
      <c r="S266" s="814">
        <f t="shared" si="79"/>
        <v>0</v>
      </c>
      <c r="T266" s="175">
        <f t="shared" si="80"/>
        <v>6</v>
      </c>
      <c r="U266" s="250">
        <f t="shared" si="81"/>
        <v>0.42790026851612051</v>
      </c>
      <c r="V266" s="382">
        <f t="shared" si="82"/>
        <v>47.987936430947371</v>
      </c>
      <c r="W266" s="401"/>
      <c r="X266" s="157">
        <f t="shared" si="83"/>
        <v>44082</v>
      </c>
      <c r="Y266" s="384">
        <f t="shared" si="84"/>
        <v>46.552999999999997</v>
      </c>
      <c r="Z266" s="384">
        <f t="shared" si="85"/>
        <v>47.409118485759457</v>
      </c>
      <c r="AA266" s="385">
        <f t="shared" si="86"/>
        <v>49.528757247417303</v>
      </c>
      <c r="AB266" s="196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4.2796122484344674E-2</v>
      </c>
      <c r="AD266" s="230">
        <f>(INDEX(Models!$BJ266:$BT266,,AH266)*(1-AF266)+INDEX(Models!$BJ266:$BT266,,AH266+1)*AF266-ERP_i)*AE266*Ramure*Pc/MaxiM</f>
        <v>2.4058110368227221E-4</v>
      </c>
      <c r="AE266" s="304">
        <f t="shared" si="88"/>
        <v>0.5</v>
      </c>
      <c r="AF266" s="176">
        <f t="shared" si="89"/>
        <v>0.42790026851612051</v>
      </c>
      <c r="AG266" s="814">
        <f t="shared" si="95"/>
        <v>0</v>
      </c>
      <c r="AH266" s="175">
        <f t="shared" si="90"/>
        <v>6</v>
      </c>
      <c r="AI266" s="224">
        <f t="shared" si="91"/>
        <v>0.42790026851612051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44083</v>
      </c>
      <c r="B267" s="616">
        <v>22.86</v>
      </c>
      <c r="C267" s="389"/>
      <c r="D267" s="392">
        <f t="shared" si="74"/>
        <v>23.280909640676978</v>
      </c>
      <c r="E267" s="384">
        <f t="shared" si="96"/>
        <v>24.322434784867419</v>
      </c>
      <c r="F267" s="384">
        <f t="shared" si="75"/>
        <v>24.323949891330379</v>
      </c>
      <c r="G267" s="110">
        <f t="shared" si="97"/>
        <v>0.47828237386916284</v>
      </c>
      <c r="H267" s="413" t="b">
        <f>Wh_hp&gt;='2019'!Maxi_hp</f>
        <v>0</v>
      </c>
      <c r="I267" s="379">
        <f>IF(H267,Wh_hp,'2019'!Maxi_hp)</f>
        <v>39.968590517595452</v>
      </c>
      <c r="J267" s="85">
        <f>IF(H267,An,'2019'!An_max)</f>
        <v>2018</v>
      </c>
      <c r="K267" s="196">
        <f t="shared" si="76"/>
        <v>44083</v>
      </c>
      <c r="L267" s="147">
        <f>IF(t&lt;Tvie,1-EXP((T0-t)*PertePVj)+'2019'!Pspv,1-EXP((T0-t)*PertePVj)+Pspv)</f>
        <v>1.8079604584760434E-2</v>
      </c>
      <c r="M267" s="847"/>
      <c r="N267" s="847"/>
      <c r="O267" s="48">
        <f>IF(t&lt;Tnet,'2019'!Resal+('2019'!Salim-'2019'!Resal)*(1-EXP(('2019'!Tnet-t)/('2019'!Tau_j))),Resal+(Salim-Resal)*(1-EXP((Tnet-t)/(Tau_j))))*Salcycl</f>
        <v>4.2821582354018353E-2</v>
      </c>
      <c r="P267" s="168">
        <f>(INDEX(Models!$BJ267:$BT267,,T267)*(1-R267)+INDEX(Models!$BJ267:$BT267,,T267+1)*R267-ERP_i)*Q267*Ramure*Pc/MaxiM</f>
        <v>2.4444797847992627E-4</v>
      </c>
      <c r="Q267" s="304">
        <f t="shared" si="77"/>
        <v>0.5</v>
      </c>
      <c r="R267" s="176">
        <f t="shared" si="78"/>
        <v>0.4281748309207194</v>
      </c>
      <c r="S267" s="814">
        <f t="shared" si="79"/>
        <v>0</v>
      </c>
      <c r="T267" s="175">
        <f t="shared" si="80"/>
        <v>6</v>
      </c>
      <c r="U267" s="250">
        <f t="shared" si="81"/>
        <v>0.4281748309207194</v>
      </c>
      <c r="V267" s="382">
        <f t="shared" si="82"/>
        <v>47.787325704461011</v>
      </c>
      <c r="W267" s="401"/>
      <c r="X267" s="157">
        <f t="shared" si="83"/>
        <v>44083</v>
      </c>
      <c r="Y267" s="384">
        <f t="shared" si="84"/>
        <v>22.86</v>
      </c>
      <c r="Z267" s="384">
        <f t="shared" si="85"/>
        <v>23.280909640676978</v>
      </c>
      <c r="AA267" s="385">
        <f t="shared" si="86"/>
        <v>24.322434784867419</v>
      </c>
      <c r="AB267" s="196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4.2821582354018353E-2</v>
      </c>
      <c r="AD267" s="230">
        <f>(INDEX(Models!$BJ267:$BT267,,AH267)*(1-AF267)+INDEX(Models!$BJ267:$BT267,,AH267+1)*AF267-ERP_i)*AE267*Ramure*Pc/MaxiM</f>
        <v>2.4444797847992627E-4</v>
      </c>
      <c r="AE267" s="304">
        <f t="shared" si="88"/>
        <v>0.5</v>
      </c>
      <c r="AF267" s="176">
        <f t="shared" si="89"/>
        <v>0.4281748309207194</v>
      </c>
      <c r="AG267" s="814">
        <f t="shared" si="95"/>
        <v>0</v>
      </c>
      <c r="AH267" s="175">
        <f t="shared" si="90"/>
        <v>6</v>
      </c>
      <c r="AI267" s="224">
        <f t="shared" si="91"/>
        <v>0.4281748309207194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44084</v>
      </c>
      <c r="B268" s="616">
        <v>38.088999999999999</v>
      </c>
      <c r="C268" s="389"/>
      <c r="D268" s="392">
        <f t="shared" si="74"/>
        <v>38.791163156375589</v>
      </c>
      <c r="E268" s="384">
        <f t="shared" si="96"/>
        <v>40.527638938395611</v>
      </c>
      <c r="F268" s="384">
        <f t="shared" si="75"/>
        <v>40.534823946777784</v>
      </c>
      <c r="G268" s="110">
        <f t="shared" si="97"/>
        <v>0.8004308621107018</v>
      </c>
      <c r="H268" s="413" t="b">
        <f>Wh_hp&gt;='2019'!Maxi_hp</f>
        <v>0</v>
      </c>
      <c r="I268" s="379">
        <f>IF(H268,Wh_hp,'2019'!Maxi_hp)</f>
        <v>48.625367547378296</v>
      </c>
      <c r="J268" s="85">
        <f>IF(H268,An,'2019'!An_max)</f>
        <v>2018</v>
      </c>
      <c r="K268" s="196">
        <f t="shared" si="76"/>
        <v>44084</v>
      </c>
      <c r="L268" s="147">
        <f>IF(t&lt;Tvie,1-EXP((T0-t)*PertePVj)+'2019'!Pspv,1-EXP((T0-t)*PertePVj)+Pspv)</f>
        <v>1.8101111161452299E-2</v>
      </c>
      <c r="M268" s="847"/>
      <c r="N268" s="847"/>
      <c r="O268" s="48">
        <f>IF(t&lt;Tnet,'2019'!Resal+('2019'!Salim-'2019'!Resal)*(1-EXP(('2019'!Tnet-t)/('2019'!Tau_j))),Resal+(Salim-Resal)*(1-EXP((Tnet-t)/(Tau_j))))*Salcycl</f>
        <v>4.2846704804579486E-2</v>
      </c>
      <c r="P268" s="168">
        <f>(INDEX(Models!$BJ268:$BT268,,T268)*(1-R268)+INDEX(Models!$BJ268:$BT268,,T268+1)*R268-ERP_i)*Q268*Ramure*Pc/MaxiM</f>
        <v>2.4791559652573872E-4</v>
      </c>
      <c r="Q268" s="304">
        <f t="shared" si="77"/>
        <v>0.5</v>
      </c>
      <c r="R268" s="176">
        <f t="shared" si="78"/>
        <v>0.42843882209552142</v>
      </c>
      <c r="S268" s="814">
        <f t="shared" si="79"/>
        <v>0</v>
      </c>
      <c r="T268" s="175">
        <f t="shared" si="80"/>
        <v>6</v>
      </c>
      <c r="U268" s="250">
        <f t="shared" si="81"/>
        <v>0.42843882209552142</v>
      </c>
      <c r="V268" s="382">
        <f t="shared" si="82"/>
        <v>47.582258433453617</v>
      </c>
      <c r="W268" s="401"/>
      <c r="X268" s="157">
        <f t="shared" si="83"/>
        <v>44084</v>
      </c>
      <c r="Y268" s="384">
        <f t="shared" si="84"/>
        <v>38.088999999999999</v>
      </c>
      <c r="Z268" s="384">
        <f t="shared" si="85"/>
        <v>38.791163156375589</v>
      </c>
      <c r="AA268" s="385">
        <f t="shared" si="86"/>
        <v>40.527638938395611</v>
      </c>
      <c r="AB268" s="196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4.2846704804579486E-2</v>
      </c>
      <c r="AD268" s="230">
        <f>(INDEX(Models!$BJ268:$BT268,,AH268)*(1-AF268)+INDEX(Models!$BJ268:$BT268,,AH268+1)*AF268-ERP_i)*AE268*Ramure*Pc/MaxiM</f>
        <v>2.4791559652573872E-4</v>
      </c>
      <c r="AE268" s="304">
        <f t="shared" si="88"/>
        <v>0.5</v>
      </c>
      <c r="AF268" s="176">
        <f t="shared" si="89"/>
        <v>0.42843882209552142</v>
      </c>
      <c r="AG268" s="814">
        <f t="shared" si="95"/>
        <v>0</v>
      </c>
      <c r="AH268" s="175">
        <f t="shared" si="90"/>
        <v>6</v>
      </c>
      <c r="AI268" s="224">
        <f t="shared" si="91"/>
        <v>0.42843882209552142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44085</v>
      </c>
      <c r="B269" s="616">
        <v>45.335999999999999</v>
      </c>
      <c r="C269" s="389"/>
      <c r="D269" s="392">
        <f t="shared" si="74"/>
        <v>46.172771465429015</v>
      </c>
      <c r="E269" s="384">
        <f t="shared" si="96"/>
        <v>48.240931484294549</v>
      </c>
      <c r="F269" s="384">
        <f t="shared" si="75"/>
        <v>48.252304968695029</v>
      </c>
      <c r="G269" s="110">
        <f t="shared" si="97"/>
        <v>0.9569894891139159</v>
      </c>
      <c r="H269" s="413" t="b">
        <f>Wh_hp&gt;='2019'!Maxi_hp</f>
        <v>0</v>
      </c>
      <c r="I269" s="379">
        <f>IF(H269,Wh_hp,'2019'!Maxi_hp)</f>
        <v>50.900576803696573</v>
      </c>
      <c r="J269" s="85">
        <f>IF(H269,An,'2019'!An_max)</f>
        <v>2019</v>
      </c>
      <c r="K269" s="196">
        <f t="shared" si="76"/>
        <v>44085</v>
      </c>
      <c r="L269" s="147">
        <f>IF(t&lt;Tvie,1-EXP((T0-t)*PertePVj)+'2019'!Pspv,1-EXP((T0-t)*PertePVj)+Pspv)</f>
        <v>1.8122617267094965E-2</v>
      </c>
      <c r="M269" s="847"/>
      <c r="N269" s="847"/>
      <c r="O269" s="48">
        <f>IF(t&lt;Tnet,'2019'!Resal+('2019'!Salim-'2019'!Resal)*(1-EXP(('2019'!Tnet-t)/('2019'!Tau_j))),Resal+(Salim-Resal)*(1-EXP((Tnet-t)/(Tau_j))))*Salcycl</f>
        <v>4.2871477710558846E-2</v>
      </c>
      <c r="P269" s="168">
        <f>(INDEX(Models!$BJ269:$BT269,,T269)*(1-R269)+INDEX(Models!$BJ269:$BT269,,T269+1)*R269-ERP_i)*Q269*Ramure*Pc/MaxiM</f>
        <v>2.5113389374634588E-4</v>
      </c>
      <c r="Q269" s="304">
        <f t="shared" si="77"/>
        <v>0.5</v>
      </c>
      <c r="R269" s="176">
        <f t="shared" si="78"/>
        <v>0.42869263072447361</v>
      </c>
      <c r="S269" s="814">
        <f t="shared" si="79"/>
        <v>0</v>
      </c>
      <c r="T269" s="175">
        <f t="shared" si="80"/>
        <v>6</v>
      </c>
      <c r="U269" s="250">
        <f t="shared" si="81"/>
        <v>0.42869263072447361</v>
      </c>
      <c r="V269" s="382">
        <f t="shared" si="82"/>
        <v>47.372830141597973</v>
      </c>
      <c r="W269" s="401"/>
      <c r="X269" s="157">
        <f t="shared" si="83"/>
        <v>44085</v>
      </c>
      <c r="Y269" s="384">
        <f t="shared" si="84"/>
        <v>45.335999999999999</v>
      </c>
      <c r="Z269" s="384">
        <f t="shared" si="85"/>
        <v>46.172771465429015</v>
      </c>
      <c r="AA269" s="385">
        <f t="shared" si="86"/>
        <v>48.240931484294549</v>
      </c>
      <c r="AB269" s="196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4.2871477710558846E-2</v>
      </c>
      <c r="AD269" s="230">
        <f>(INDEX(Models!$BJ269:$BT269,,AH269)*(1-AF269)+INDEX(Models!$BJ269:$BT269,,AH269+1)*AF269-ERP_i)*AE269*Ramure*Pc/MaxiM</f>
        <v>2.5113389374634588E-4</v>
      </c>
      <c r="AE269" s="304">
        <f t="shared" si="88"/>
        <v>0.5</v>
      </c>
      <c r="AF269" s="176">
        <f t="shared" si="89"/>
        <v>0.42869263072447361</v>
      </c>
      <c r="AG269" s="814">
        <f t="shared" si="95"/>
        <v>0</v>
      </c>
      <c r="AH269" s="175">
        <f t="shared" si="90"/>
        <v>6</v>
      </c>
      <c r="AI269" s="224">
        <f t="shared" si="91"/>
        <v>0.42869263072447361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44086</v>
      </c>
      <c r="B270" s="616">
        <v>45.454000000000001</v>
      </c>
      <c r="C270" s="389"/>
      <c r="D270" s="392">
        <f t="shared" si="74"/>
        <v>46.293963360825551</v>
      </c>
      <c r="E270" s="384">
        <f t="shared" si="96"/>
        <v>48.368785385408948</v>
      </c>
      <c r="F270" s="384">
        <f t="shared" si="75"/>
        <v>48.380443853441712</v>
      </c>
      <c r="G270" s="110">
        <f t="shared" si="97"/>
        <v>0.96383012346139341</v>
      </c>
      <c r="H270" s="413" t="b">
        <f>Wh_hp&gt;='2019'!Maxi_hp</f>
        <v>1</v>
      </c>
      <c r="I270" s="379">
        <f>IF(H270,Wh_hp,'2019'!Maxi_hp)</f>
        <v>48.380443853441712</v>
      </c>
      <c r="J270" s="85">
        <f>IF(H270,An,'2019'!An_max)</f>
        <v>2020</v>
      </c>
      <c r="K270" s="196">
        <f t="shared" si="76"/>
        <v>44086</v>
      </c>
      <c r="L270" s="147">
        <f>IF(t&lt;Tvie,1-EXP((T0-t)*PertePVj)+'2019'!Pspv,1-EXP((T0-t)*PertePVj)+Pspv)</f>
        <v>1.8144122901698645E-2</v>
      </c>
      <c r="M270" s="847"/>
      <c r="N270" s="847"/>
      <c r="O270" s="48">
        <f>IF(t&lt;Tnet,'2019'!Resal+('2019'!Salim-'2019'!Resal)*(1-EXP(('2019'!Tnet-t)/('2019'!Tau_j))),Resal+(Salim-Resal)*(1-EXP((Tnet-t)/(Tau_j))))*Salcycl</f>
        <v>4.2895888496081482E-2</v>
      </c>
      <c r="P270" s="168">
        <f>(INDEX(Models!$BJ270:$BT270,,T270)*(1-R270)+INDEX(Models!$BJ270:$BT270,,T270+1)*R270-ERP_i)*Q270*Ramure*Pc/MaxiM</f>
        <v>2.5409987044713346E-4</v>
      </c>
      <c r="Q270" s="304">
        <f t="shared" si="77"/>
        <v>0.5</v>
      </c>
      <c r="R270" s="176">
        <f t="shared" si="78"/>
        <v>0.42893663262139969</v>
      </c>
      <c r="S270" s="814">
        <f t="shared" si="79"/>
        <v>0</v>
      </c>
      <c r="T270" s="175">
        <f t="shared" si="80"/>
        <v>6</v>
      </c>
      <c r="U270" s="250">
        <f t="shared" si="81"/>
        <v>0.42893663262139969</v>
      </c>
      <c r="V270" s="382">
        <f t="shared" si="82"/>
        <v>47.159143673835999</v>
      </c>
      <c r="W270" s="401"/>
      <c r="X270" s="157">
        <f t="shared" si="83"/>
        <v>44086</v>
      </c>
      <c r="Y270" s="384">
        <f t="shared" si="84"/>
        <v>45.454000000000001</v>
      </c>
      <c r="Z270" s="384">
        <f t="shared" si="85"/>
        <v>46.293963360825551</v>
      </c>
      <c r="AA270" s="385">
        <f t="shared" si="86"/>
        <v>48.368785385408948</v>
      </c>
      <c r="AB270" s="196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4.2895888496081482E-2</v>
      </c>
      <c r="AD270" s="230">
        <f>(INDEX(Models!$BJ270:$BT270,,AH270)*(1-AF270)+INDEX(Models!$BJ270:$BT270,,AH270+1)*AF270-ERP_i)*AE270*Ramure*Pc/MaxiM</f>
        <v>2.5409987044713346E-4</v>
      </c>
      <c r="AE270" s="304">
        <f t="shared" si="88"/>
        <v>0.5</v>
      </c>
      <c r="AF270" s="176">
        <f t="shared" si="89"/>
        <v>0.42893663262139969</v>
      </c>
      <c r="AG270" s="814">
        <f t="shared" si="95"/>
        <v>0</v>
      </c>
      <c r="AH270" s="175">
        <f t="shared" si="90"/>
        <v>6</v>
      </c>
      <c r="AI270" s="224">
        <f t="shared" si="91"/>
        <v>0.42893663262139969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44087</v>
      </c>
      <c r="B271" s="616">
        <v>45.183999999999997</v>
      </c>
      <c r="C271" s="389"/>
      <c r="D271" s="392">
        <f t="shared" ref="D271:D334" si="98">Wh/(1-Ppv)</f>
        <v>46.019981874299155</v>
      </c>
      <c r="E271" s="384">
        <f t="shared" si="96"/>
        <v>48.083732004511859</v>
      </c>
      <c r="F271" s="384">
        <f t="shared" ref="F271:F334" si="99">Wh_sa/(1-Pvg*MEDIAN((-Sdif+Wh/Env_an)/Csdif,0,1))</f>
        <v>48.09542285224876</v>
      </c>
      <c r="G271" s="110">
        <f t="shared" si="97"/>
        <v>0.96255062178392148</v>
      </c>
      <c r="H271" s="413" t="b">
        <f>Wh_hp&gt;='2019'!Maxi_hp</f>
        <v>1</v>
      </c>
      <c r="I271" s="379">
        <f>IF(H271,Wh_hp,'2019'!Maxi_hp)</f>
        <v>48.09542285224876</v>
      </c>
      <c r="J271" s="85">
        <f>IF(H271,An,'2019'!An_max)</f>
        <v>2020</v>
      </c>
      <c r="K271" s="196">
        <f t="shared" ref="K271:K334" si="100">t</f>
        <v>44087</v>
      </c>
      <c r="L271" s="147">
        <f>IF(t&lt;Tvie,1-EXP((T0-t)*PertePVj)+'2019'!Pspv,1-EXP((T0-t)*PertePVj)+Pspv)</f>
        <v>1.8165628065273776E-2</v>
      </c>
      <c r="M271" s="847"/>
      <c r="N271" s="847"/>
      <c r="O271" s="48">
        <f>IF(t&lt;Tnet,'2019'!Resal+('2019'!Salim-'2019'!Resal)*(1-EXP(('2019'!Tnet-t)/('2019'!Tau_j))),Resal+(Salim-Resal)*(1-EXP((Tnet-t)/(Tau_j))))*Salcycl</f>
        <v>4.2919924144387438E-2</v>
      </c>
      <c r="P271" s="168">
        <f>(INDEX(Models!$BJ271:$BT271,,T271)*(1-R271)+INDEX(Models!$BJ271:$BT271,,T271+1)*R271-ERP_i)*Q271*Ramure*Pc/MaxiM</f>
        <v>2.5681037400545042E-4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0.42917119104406104</v>
      </c>
      <c r="S271" s="814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0.42917119104406104</v>
      </c>
      <c r="V271" s="382">
        <f t="shared" ref="V271:V334" si="106">MaxiM*(1-Ppv)*(1-Pvg)*(1-Psa)</f>
        <v>46.941301846409168</v>
      </c>
      <c r="W271" s="401"/>
      <c r="X271" s="157">
        <f t="shared" ref="X271:X334" si="107">t</f>
        <v>44087</v>
      </c>
      <c r="Y271" s="384">
        <f t="shared" ref="Y271:Y334" si="108">Wh_pvt_s*(1-Ppv)</f>
        <v>45.183999999999997</v>
      </c>
      <c r="Z271" s="384">
        <f t="shared" ref="Z271:Z334" si="109">Wh_sa_s*(1-Psa_s)</f>
        <v>46.019981874299155</v>
      </c>
      <c r="AA271" s="385">
        <f t="shared" ref="AA271:AA334" si="110">Wh_hp*(1-Pvg_s*MEDIAN((-Sdif+Wh/Env_an)/Csdif,0,1))</f>
        <v>48.083732004511859</v>
      </c>
      <c r="AB271" s="196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4.2919924144387438E-2</v>
      </c>
      <c r="AD271" s="230">
        <f>(INDEX(Models!$BJ271:$BT271,,AH271)*(1-AF271)+INDEX(Models!$BJ271:$BT271,,AH271+1)*AF271-ERP_i)*AE271*Ramure*Pc/MaxiM</f>
        <v>2.5681037400545042E-4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0.42917119104406104</v>
      </c>
      <c r="AG271" s="814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0.42917119104406104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45.991999999999997</v>
      </c>
      <c r="C272" s="389"/>
      <c r="D272" s="392">
        <f t="shared" si="98"/>
        <v>46.843957269767408</v>
      </c>
      <c r="E272" s="384">
        <f t="shared" si="96"/>
        <v>48.94586762159274</v>
      </c>
      <c r="F272" s="384">
        <f t="shared" si="99"/>
        <v>48.958278323972046</v>
      </c>
      <c r="G272" s="110">
        <f t="shared" si="97"/>
        <v>0.9844246153331504</v>
      </c>
      <c r="H272" s="413" t="b">
        <f>Wh_hp&gt;='2019'!Maxi_hp</f>
        <v>1</v>
      </c>
      <c r="I272" s="379">
        <f>IF(H272,Wh_hp,'2019'!Maxi_hp)</f>
        <v>48.958278323972046</v>
      </c>
      <c r="J272" s="85">
        <f>IF(H272,An,'2019'!An_max)</f>
        <v>2020</v>
      </c>
      <c r="K272" s="196">
        <f t="shared" si="100"/>
        <v>44088</v>
      </c>
      <c r="L272" s="147">
        <f>IF(t&lt;Tvie,1-EXP((T0-t)*PertePVj)+'2019'!Pspv,1-EXP((T0-t)*PertePVj)+Pspv)</f>
        <v>1.8187132757830682E-2</v>
      </c>
      <c r="M272" s="847"/>
      <c r="N272" s="847"/>
      <c r="O272" s="48">
        <f>IF(t&lt;Tnet,'2019'!Resal+('2019'!Salim-'2019'!Resal)*(1-EXP(('2019'!Tnet-t)/('2019'!Tau_j))),Resal+(Salim-Resal)*(1-EXP((Tnet-t)/(Tau_j))))*Salcycl</f>
        <v>4.2943571213723032E-2</v>
      </c>
      <c r="P272" s="168">
        <f>(INDEX(Models!$BJ272:$BT272,,T272)*(1-R272)+INDEX(Models!$BJ272:$BT272,,T272+1)*R272-ERP_i)*Q272*Ramure*Pc/MaxiM</f>
        <v>2.5926210354748993E-4</v>
      </c>
      <c r="Q272" s="304">
        <f t="shared" si="101"/>
        <v>0.5</v>
      </c>
      <c r="R272" s="176">
        <f t="shared" si="102"/>
        <v>0.42939665700999985</v>
      </c>
      <c r="S272" s="814">
        <f t="shared" si="103"/>
        <v>0</v>
      </c>
      <c r="T272" s="175">
        <f t="shared" si="104"/>
        <v>6</v>
      </c>
      <c r="U272" s="250">
        <f t="shared" si="105"/>
        <v>0.42939665700999985</v>
      </c>
      <c r="V272" s="382">
        <f t="shared" si="106"/>
        <v>46.71940745685751</v>
      </c>
      <c r="W272" s="401"/>
      <c r="X272" s="157">
        <f t="shared" si="107"/>
        <v>44088</v>
      </c>
      <c r="Y272" s="384">
        <f t="shared" si="108"/>
        <v>45.991999999999997</v>
      </c>
      <c r="Z272" s="384">
        <f t="shared" si="109"/>
        <v>46.843957269767408</v>
      </c>
      <c r="AA272" s="385">
        <f t="shared" si="110"/>
        <v>48.94586762159274</v>
      </c>
      <c r="AB272" s="196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4.2943571213723032E-2</v>
      </c>
      <c r="AD272" s="230">
        <f>(INDEX(Models!$BJ272:$BT272,,AH272)*(1-AF272)+INDEX(Models!$BJ272:$BT272,,AH272+1)*AF272-ERP_i)*AE272*Ramure*Pc/MaxiM</f>
        <v>2.5926210354748993E-4</v>
      </c>
      <c r="AE272" s="304">
        <f t="shared" si="112"/>
        <v>0.5</v>
      </c>
      <c r="AF272" s="176">
        <f t="shared" si="113"/>
        <v>0.42939665700999985</v>
      </c>
      <c r="AG272" s="814">
        <f t="shared" ref="AG272:AG335" si="119">INDEX(Echel_vg,AH272)</f>
        <v>0</v>
      </c>
      <c r="AH272" s="175">
        <f t="shared" si="114"/>
        <v>6</v>
      </c>
      <c r="AI272" s="224">
        <f t="shared" si="115"/>
        <v>0.42939665700999985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44089</v>
      </c>
      <c r="B273" s="616">
        <v>40.567</v>
      </c>
      <c r="C273" s="389"/>
      <c r="D273" s="392">
        <f t="shared" si="98"/>
        <v>41.319369397577375</v>
      </c>
      <c r="E273" s="384">
        <f t="shared" si="96"/>
        <v>43.174437503657089</v>
      </c>
      <c r="F273" s="384">
        <f t="shared" si="99"/>
        <v>43.183671945207919</v>
      </c>
      <c r="G273" s="110">
        <f t="shared" si="97"/>
        <v>0.87248783084299986</v>
      </c>
      <c r="H273" s="413" t="b">
        <f>Wh_hp&gt;='2019'!Maxi_hp</f>
        <v>0</v>
      </c>
      <c r="I273" s="379">
        <f>IF(H273,Wh_hp,'2019'!Maxi_hp)</f>
        <v>47.140487034967791</v>
      </c>
      <c r="J273" s="85">
        <f>IF(H273,An,'2019'!An_max)</f>
        <v>2018</v>
      </c>
      <c r="K273" s="196">
        <f t="shared" si="100"/>
        <v>44089</v>
      </c>
      <c r="L273" s="147">
        <f>IF(t&lt;Tvie,1-EXP((T0-t)*PertePVj)+'2019'!Pspv,1-EXP((T0-t)*PertePVj)+Pspv)</f>
        <v>1.8208636979379578E-2</v>
      </c>
      <c r="M273" s="847"/>
      <c r="N273" s="847"/>
      <c r="O273" s="48">
        <f>IF(t&lt;Tnet,'2019'!Resal+('2019'!Salim-'2019'!Resal)*(1-EXP(('2019'!Tnet-t)/('2019'!Tau_j))),Resal+(Salim-Resal)*(1-EXP((Tnet-t)/(Tau_j))))*Salcycl</f>
        <v>4.2966815860023135E-2</v>
      </c>
      <c r="P273" s="168">
        <f>(INDEX(Models!$BJ273:$BT273,,T273)*(1-R273)+INDEX(Models!$BJ273:$BT273,,T273+1)*R273-ERP_i)*Q273*Ramure*Pc/MaxiM</f>
        <v>2.6145161562266266E-4</v>
      </c>
      <c r="Q273" s="304">
        <f t="shared" si="101"/>
        <v>0.5</v>
      </c>
      <c r="R273" s="176">
        <f t="shared" si="102"/>
        <v>0.42961336961313723</v>
      </c>
      <c r="S273" s="814">
        <f t="shared" si="103"/>
        <v>0</v>
      </c>
      <c r="T273" s="175">
        <f t="shared" si="104"/>
        <v>6</v>
      </c>
      <c r="U273" s="250">
        <f t="shared" si="105"/>
        <v>0.42961336961313723</v>
      </c>
      <c r="V273" s="382">
        <f t="shared" si="106"/>
        <v>46.493563273767293</v>
      </c>
      <c r="W273" s="401"/>
      <c r="X273" s="157">
        <f t="shared" si="107"/>
        <v>44089</v>
      </c>
      <c r="Y273" s="384">
        <f t="shared" si="108"/>
        <v>40.567</v>
      </c>
      <c r="Z273" s="384">
        <f t="shared" si="109"/>
        <v>41.319369397577375</v>
      </c>
      <c r="AA273" s="385">
        <f t="shared" si="110"/>
        <v>43.174437503657089</v>
      </c>
      <c r="AB273" s="196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4.2966815860023135E-2</v>
      </c>
      <c r="AD273" s="230">
        <f>(INDEX(Models!$BJ273:$BT273,,AH273)*(1-AF273)+INDEX(Models!$BJ273:$BT273,,AH273+1)*AF273-ERP_i)*AE273*Ramure*Pc/MaxiM</f>
        <v>2.6145161562266266E-4</v>
      </c>
      <c r="AE273" s="304">
        <f t="shared" si="112"/>
        <v>0.5</v>
      </c>
      <c r="AF273" s="176">
        <f t="shared" si="113"/>
        <v>0.42961336961313723</v>
      </c>
      <c r="AG273" s="814">
        <f t="shared" si="119"/>
        <v>0</v>
      </c>
      <c r="AH273" s="175">
        <f t="shared" si="114"/>
        <v>6</v>
      </c>
      <c r="AI273" s="224">
        <f t="shared" si="115"/>
        <v>0.42961336961313723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44090</v>
      </c>
      <c r="B274" s="616">
        <v>40.253</v>
      </c>
      <c r="C274" s="389"/>
      <c r="D274" s="392">
        <f t="shared" si="98"/>
        <v>41.000443861586348</v>
      </c>
      <c r="E274" s="384">
        <f t="shared" si="96"/>
        <v>42.842215446075073</v>
      </c>
      <c r="F274" s="384">
        <f t="shared" si="99"/>
        <v>42.8514066732291</v>
      </c>
      <c r="G274" s="110">
        <f t="shared" si="97"/>
        <v>0.87003162615763874</v>
      </c>
      <c r="H274" s="413" t="b">
        <f>Wh_hp&gt;='2019'!Maxi_hp</f>
        <v>0</v>
      </c>
      <c r="I274" s="379">
        <f>IF(H274,Wh_hp,'2019'!Maxi_hp)</f>
        <v>43.247436238069149</v>
      </c>
      <c r="J274" s="85">
        <f>IF(H274,An,'2019'!An_max)</f>
        <v>2018</v>
      </c>
      <c r="K274" s="196">
        <f t="shared" si="100"/>
        <v>44090</v>
      </c>
      <c r="L274" s="147">
        <f>IF(t&lt;Tvie,1-EXP((T0-t)*PertePVj)+'2019'!Pspv,1-EXP((T0-t)*PertePVj)+Pspv)</f>
        <v>1.8230140729930788E-2</v>
      </c>
      <c r="M274" s="847"/>
      <c r="N274" s="847"/>
      <c r="O274" s="48">
        <f>IF(t&lt;Tnet,'2019'!Resal+('2019'!Salim-'2019'!Resal)*(1-EXP(('2019'!Tnet-t)/('2019'!Tau_j))),Resal+(Salim-Resal)*(1-EXP((Tnet-t)/(Tau_j))))*Salcycl</f>
        <v>4.2989643866735601E-2</v>
      </c>
      <c r="P274" s="168">
        <f>(INDEX(Models!$BJ274:$BT274,,T274)*(1-R274)+INDEX(Models!$BJ274:$BT274,,T274+1)*R274-ERP_i)*Q274*Ramure*Pc/MaxiM</f>
        <v>2.6337533074944085E-4</v>
      </c>
      <c r="Q274" s="304">
        <f t="shared" si="101"/>
        <v>0.5</v>
      </c>
      <c r="R274" s="176">
        <f t="shared" si="102"/>
        <v>0.42982165634019626</v>
      </c>
      <c r="S274" s="814">
        <f t="shared" si="103"/>
        <v>0</v>
      </c>
      <c r="T274" s="175">
        <f t="shared" si="104"/>
        <v>6</v>
      </c>
      <c r="U274" s="250">
        <f t="shared" si="105"/>
        <v>0.42982165634019626</v>
      </c>
      <c r="V274" s="382">
        <f t="shared" si="106"/>
        <v>46.263872040572181</v>
      </c>
      <c r="W274" s="401"/>
      <c r="X274" s="157">
        <f t="shared" si="107"/>
        <v>44090</v>
      </c>
      <c r="Y274" s="384">
        <f t="shared" si="108"/>
        <v>40.253</v>
      </c>
      <c r="Z274" s="384">
        <f t="shared" si="109"/>
        <v>41.000443861586348</v>
      </c>
      <c r="AA274" s="385">
        <f t="shared" si="110"/>
        <v>42.842215446075073</v>
      </c>
      <c r="AB274" s="196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4.2989643866735601E-2</v>
      </c>
      <c r="AD274" s="230">
        <f>(INDEX(Models!$BJ274:$BT274,,AH274)*(1-AF274)+INDEX(Models!$BJ274:$BT274,,AH274+1)*AF274-ERP_i)*AE274*Ramure*Pc/MaxiM</f>
        <v>2.6337533074944085E-4</v>
      </c>
      <c r="AE274" s="304">
        <f t="shared" si="112"/>
        <v>0.5</v>
      </c>
      <c r="AF274" s="176">
        <f t="shared" si="113"/>
        <v>0.42982165634019626</v>
      </c>
      <c r="AG274" s="814">
        <f t="shared" si="119"/>
        <v>0</v>
      </c>
      <c r="AH274" s="175">
        <f t="shared" si="114"/>
        <v>6</v>
      </c>
      <c r="AI274" s="224">
        <f t="shared" si="115"/>
        <v>0.42982165634019626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44091</v>
      </c>
      <c r="B275" s="616">
        <v>41.21</v>
      </c>
      <c r="C275" s="389"/>
      <c r="D275" s="392">
        <f t="shared" si="98"/>
        <v>41.976133444524507</v>
      </c>
      <c r="E275" s="384">
        <f t="shared" si="96"/>
        <v>43.862760273851002</v>
      </c>
      <c r="F275" s="384">
        <f t="shared" si="99"/>
        <v>43.87264914274769</v>
      </c>
      <c r="G275" s="110">
        <f t="shared" si="97"/>
        <v>0.89527238522183861</v>
      </c>
      <c r="H275" s="413" t="b">
        <f>Wh_hp&gt;='2019'!Maxi_hp</f>
        <v>1</v>
      </c>
      <c r="I275" s="379">
        <f>IF(H275,Wh_hp,'2019'!Maxi_hp)</f>
        <v>43.87264914274769</v>
      </c>
      <c r="J275" s="85">
        <f>IF(H275,An,'2019'!An_max)</f>
        <v>2020</v>
      </c>
      <c r="K275" s="196">
        <f t="shared" si="100"/>
        <v>44091</v>
      </c>
      <c r="L275" s="147">
        <f>IF(t&lt;Tvie,1-EXP((T0-t)*PertePVj)+'2019'!Pspv,1-EXP((T0-t)*PertePVj)+Pspv)</f>
        <v>1.825164400949475E-2</v>
      </c>
      <c r="M275" s="847"/>
      <c r="N275" s="847"/>
      <c r="O275" s="48">
        <f>IF(t&lt;Tnet,'2019'!Resal+('2019'!Salim-'2019'!Resal)*(1-EXP(('2019'!Tnet-t)/('2019'!Tau_j))),Resal+(Salim-Resal)*(1-EXP((Tnet-t)/(Tau_j))))*Salcycl</f>
        <v>4.3012040682063879E-2</v>
      </c>
      <c r="P275" s="168">
        <f>(INDEX(Models!$BJ275:$BT275,,T275)*(1-R275)+INDEX(Models!$BJ275:$BT275,,T275+1)*R275-ERP_i)*Q275*Ramure*Pc/MaxiM</f>
        <v>2.6503862334386659E-4</v>
      </c>
      <c r="Q275" s="304">
        <f t="shared" si="101"/>
        <v>0.5</v>
      </c>
      <c r="R275" s="176">
        <f t="shared" si="102"/>
        <v>0.43002183338611094</v>
      </c>
      <c r="S275" s="814">
        <f t="shared" si="103"/>
        <v>0</v>
      </c>
      <c r="T275" s="175">
        <f t="shared" si="104"/>
        <v>6</v>
      </c>
      <c r="U275" s="250">
        <f t="shared" si="105"/>
        <v>0.43002183338611094</v>
      </c>
      <c r="V275" s="382">
        <f t="shared" si="106"/>
        <v>46.028858679933514</v>
      </c>
      <c r="W275" s="401"/>
      <c r="X275" s="157">
        <f t="shared" si="107"/>
        <v>44091</v>
      </c>
      <c r="Y275" s="384">
        <f t="shared" si="108"/>
        <v>41.21</v>
      </c>
      <c r="Z275" s="384">
        <f t="shared" si="109"/>
        <v>41.976133444524507</v>
      </c>
      <c r="AA275" s="385">
        <f t="shared" si="110"/>
        <v>43.862760273851002</v>
      </c>
      <c r="AB275" s="196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4.3012040682063879E-2</v>
      </c>
      <c r="AD275" s="230">
        <f>(INDEX(Models!$BJ275:$BT275,,AH275)*(1-AF275)+INDEX(Models!$BJ275:$BT275,,AH275+1)*AF275-ERP_i)*AE275*Ramure*Pc/MaxiM</f>
        <v>2.6503862334386659E-4</v>
      </c>
      <c r="AE275" s="304">
        <f t="shared" si="112"/>
        <v>0.5</v>
      </c>
      <c r="AF275" s="176">
        <f t="shared" si="113"/>
        <v>0.43002183338611094</v>
      </c>
      <c r="AG275" s="814">
        <f t="shared" si="119"/>
        <v>0</v>
      </c>
      <c r="AH275" s="175">
        <f t="shared" si="114"/>
        <v>6</v>
      </c>
      <c r="AI275" s="224">
        <f t="shared" si="115"/>
        <v>0.43002183338611094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44092</v>
      </c>
      <c r="B276" s="616">
        <v>18.414999999999999</v>
      </c>
      <c r="C276" s="389"/>
      <c r="D276" s="392">
        <f t="shared" si="98"/>
        <v>18.757763363927886</v>
      </c>
      <c r="E276" s="384">
        <f t="shared" si="96"/>
        <v>19.60128489058949</v>
      </c>
      <c r="F276" s="384">
        <f t="shared" si="99"/>
        <v>19.602047055027565</v>
      </c>
      <c r="G276" s="110">
        <f t="shared" si="97"/>
        <v>0.40209346289568149</v>
      </c>
      <c r="H276" s="413" t="b">
        <f>Wh_hp&gt;='2019'!Maxi_hp</f>
        <v>0</v>
      </c>
      <c r="I276" s="379">
        <f>IF(H276,Wh_hp,'2019'!Maxi_hp)</f>
        <v>43.178617640852714</v>
      </c>
      <c r="J276" s="85">
        <f>IF(H276,An,'2019'!An_max)</f>
        <v>2019</v>
      </c>
      <c r="K276" s="196">
        <f t="shared" si="100"/>
        <v>44092</v>
      </c>
      <c r="L276" s="147">
        <f>IF(t&lt;Tvie,1-EXP((T0-t)*PertePVj)+'2019'!Pspv,1-EXP((T0-t)*PertePVj)+Pspv)</f>
        <v>1.8273146818081676E-2</v>
      </c>
      <c r="M276" s="847"/>
      <c r="N276" s="847"/>
      <c r="O276" s="48">
        <f>IF(t&lt;Tnet,'2019'!Resal+('2019'!Salim-'2019'!Resal)*(1-EXP(('2019'!Tnet-t)/('2019'!Tau_j))),Resal+(Salim-Resal)*(1-EXP((Tnet-t)/(Tau_j))))*Salcycl</f>
        <v>4.3033991463823744E-2</v>
      </c>
      <c r="P276" s="168">
        <f>(INDEX(Models!$BJ276:$BT276,,T276)*(1-R276)+INDEX(Models!$BJ276:$BT276,,T276+1)*R276-ERP_i)*Q276*Ramure*Pc/MaxiM</f>
        <v>2.6635346324114351E-4</v>
      </c>
      <c r="Q276" s="304">
        <f t="shared" si="101"/>
        <v>0.5</v>
      </c>
      <c r="R276" s="176">
        <f t="shared" si="102"/>
        <v>0.43021420596766791</v>
      </c>
      <c r="S276" s="814">
        <f t="shared" si="103"/>
        <v>0</v>
      </c>
      <c r="T276" s="175">
        <f t="shared" si="104"/>
        <v>6</v>
      </c>
      <c r="U276" s="250">
        <f t="shared" si="105"/>
        <v>0.43021420596766791</v>
      </c>
      <c r="V276" s="382">
        <f t="shared" si="106"/>
        <v>45.787391854937439</v>
      </c>
      <c r="W276" s="401"/>
      <c r="X276" s="157">
        <f t="shared" si="107"/>
        <v>44092</v>
      </c>
      <c r="Y276" s="384">
        <f t="shared" si="108"/>
        <v>18.414999999999999</v>
      </c>
      <c r="Z276" s="384">
        <f t="shared" si="109"/>
        <v>18.757763363927886</v>
      </c>
      <c r="AA276" s="385">
        <f t="shared" si="110"/>
        <v>19.60128489058949</v>
      </c>
      <c r="AB276" s="196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4.3033991463823744E-2</v>
      </c>
      <c r="AD276" s="230">
        <f>(INDEX(Models!$BJ276:$BT276,,AH276)*(1-AF276)+INDEX(Models!$BJ276:$BT276,,AH276+1)*AF276-ERP_i)*AE276*Ramure*Pc/MaxiM</f>
        <v>2.6635346324114351E-4</v>
      </c>
      <c r="AE276" s="304">
        <f t="shared" si="112"/>
        <v>0.5</v>
      </c>
      <c r="AF276" s="176">
        <f t="shared" si="113"/>
        <v>0.43021420596766791</v>
      </c>
      <c r="AG276" s="814">
        <f t="shared" si="119"/>
        <v>0</v>
      </c>
      <c r="AH276" s="175">
        <f t="shared" si="114"/>
        <v>6</v>
      </c>
      <c r="AI276" s="224">
        <f t="shared" si="115"/>
        <v>0.43021420596766791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44093</v>
      </c>
      <c r="B277" s="616">
        <v>30.849</v>
      </c>
      <c r="C277" s="389"/>
      <c r="D277" s="392">
        <f t="shared" si="98"/>
        <v>31.423889024816734</v>
      </c>
      <c r="E277" s="384">
        <f t="shared" si="96"/>
        <v>32.837733437242392</v>
      </c>
      <c r="F277" s="384">
        <f t="shared" si="99"/>
        <v>32.842465750557743</v>
      </c>
      <c r="G277" s="110">
        <f t="shared" si="97"/>
        <v>0.67731975546156209</v>
      </c>
      <c r="H277" s="413" t="b">
        <f>Wh_hp&gt;='2019'!Maxi_hp</f>
        <v>0</v>
      </c>
      <c r="I277" s="379">
        <f>IF(H277,Wh_hp,'2019'!Maxi_hp)</f>
        <v>48.114900996687737</v>
      </c>
      <c r="J277" s="85">
        <f>IF(H277,An,'2019'!An_max)</f>
        <v>2019</v>
      </c>
      <c r="K277" s="196">
        <f t="shared" si="100"/>
        <v>44093</v>
      </c>
      <c r="L277" s="147">
        <f>IF(t&lt;Tvie,1-EXP((T0-t)*PertePVj)+'2019'!Pspv,1-EXP((T0-t)*PertePVj)+Pspv)</f>
        <v>1.8294649155701892E-2</v>
      </c>
      <c r="M277" s="847"/>
      <c r="N277" s="847"/>
      <c r="O277" s="48">
        <f>IF(t&lt;Tnet,'2019'!Resal+('2019'!Salim-'2019'!Resal)*(1-EXP(('2019'!Tnet-t)/('2019'!Tau_j))),Resal+(Salim-Resal)*(1-EXP((Tnet-t)/(Tau_j))))*Salcycl</f>
        <v>4.3055481132025071E-2</v>
      </c>
      <c r="P277" s="168">
        <f>(INDEX(Models!$BJ277:$BT277,,T277)*(1-R277)+INDEX(Models!$BJ277:$BT277,,T277+1)*R277-ERP_i)*Q277*Ramure*Pc/MaxiM</f>
        <v>2.6725768100764754E-4</v>
      </c>
      <c r="Q277" s="304">
        <f t="shared" si="101"/>
        <v>0.5</v>
      </c>
      <c r="R277" s="176">
        <f t="shared" si="102"/>
        <v>0.43039906863470317</v>
      </c>
      <c r="S277" s="814">
        <f t="shared" si="103"/>
        <v>0</v>
      </c>
      <c r="T277" s="175">
        <f t="shared" si="104"/>
        <v>6</v>
      </c>
      <c r="U277" s="250">
        <f t="shared" si="105"/>
        <v>0.43039906863470317</v>
      </c>
      <c r="V277" s="382">
        <f t="shared" si="106"/>
        <v>45.540085969405766</v>
      </c>
      <c r="W277" s="401"/>
      <c r="X277" s="157">
        <f t="shared" si="107"/>
        <v>44093</v>
      </c>
      <c r="Y277" s="384">
        <f t="shared" si="108"/>
        <v>30.849</v>
      </c>
      <c r="Z277" s="384">
        <f t="shared" si="109"/>
        <v>31.423889024816734</v>
      </c>
      <c r="AA277" s="385">
        <f t="shared" si="110"/>
        <v>32.837733437242392</v>
      </c>
      <c r="AB277" s="196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4.3055481132025071E-2</v>
      </c>
      <c r="AD277" s="230">
        <f>(INDEX(Models!$BJ277:$BT277,,AH277)*(1-AF277)+INDEX(Models!$BJ277:$BT277,,AH277+1)*AF277-ERP_i)*AE277*Ramure*Pc/MaxiM</f>
        <v>2.6725768100764754E-4</v>
      </c>
      <c r="AE277" s="304">
        <f t="shared" si="112"/>
        <v>0.5</v>
      </c>
      <c r="AF277" s="176">
        <f t="shared" si="113"/>
        <v>0.43039906863470317</v>
      </c>
      <c r="AG277" s="814">
        <f t="shared" si="119"/>
        <v>0</v>
      </c>
      <c r="AH277" s="175">
        <f t="shared" si="114"/>
        <v>6</v>
      </c>
      <c r="AI277" s="224">
        <f t="shared" si="115"/>
        <v>0.43039906863470317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44094</v>
      </c>
      <c r="B278" s="616">
        <v>35.331000000000003</v>
      </c>
      <c r="C278" s="389"/>
      <c r="D278" s="392">
        <f t="shared" si="98"/>
        <v>35.990201974693946</v>
      </c>
      <c r="E278" s="384">
        <f t="shared" si="96"/>
        <v>37.610322836856255</v>
      </c>
      <c r="F278" s="384">
        <f t="shared" si="99"/>
        <v>37.617231305236523</v>
      </c>
      <c r="G278" s="110">
        <f t="shared" si="97"/>
        <v>0.78008252298771319</v>
      </c>
      <c r="H278" s="413" t="b">
        <f>Wh_hp&gt;='2019'!Maxi_hp</f>
        <v>1</v>
      </c>
      <c r="I278" s="379">
        <f>IF(H278,Wh_hp,'2019'!Maxi_hp)</f>
        <v>37.617231305236523</v>
      </c>
      <c r="J278" s="85">
        <f>IF(H278,An,'2019'!An_max)</f>
        <v>2020</v>
      </c>
      <c r="K278" s="196">
        <f t="shared" si="100"/>
        <v>44094</v>
      </c>
      <c r="L278" s="147">
        <f>IF(t&lt;Tvie,1-EXP((T0-t)*PertePVj)+'2019'!Pspv,1-EXP((T0-t)*PertePVj)+Pspv)</f>
        <v>1.8316151022365723E-2</v>
      </c>
      <c r="M278" s="847"/>
      <c r="N278" s="847"/>
      <c r="O278" s="48">
        <f>IF(t&lt;Tnet,'2019'!Resal+('2019'!Salim-'2019'!Resal)*(1-EXP(('2019'!Tnet-t)/('2019'!Tau_j))),Resal+(Salim-Resal)*(1-EXP((Tnet-t)/(Tau_j))))*Salcycl</f>
        <v>4.307649442920157E-2</v>
      </c>
      <c r="P278" s="168">
        <f>(INDEX(Models!$BJ278:$BT278,,T278)*(1-R278)+INDEX(Models!$BJ278:$BT278,,T278+1)*R278-ERP_i)*Q278*Ramure*Pc/MaxiM</f>
        <v>2.6774276073833806E-4</v>
      </c>
      <c r="Q278" s="304">
        <f t="shared" si="101"/>
        <v>0.5</v>
      </c>
      <c r="R278" s="176">
        <f t="shared" si="102"/>
        <v>0.43057670557825578</v>
      </c>
      <c r="S278" s="814">
        <f t="shared" si="103"/>
        <v>0</v>
      </c>
      <c r="T278" s="175">
        <f t="shared" si="104"/>
        <v>6</v>
      </c>
      <c r="U278" s="250">
        <f t="shared" si="105"/>
        <v>0.43057670557825578</v>
      </c>
      <c r="V278" s="382">
        <f t="shared" si="106"/>
        <v>45.28755278044332</v>
      </c>
      <c r="W278" s="401"/>
      <c r="X278" s="157">
        <f t="shared" si="107"/>
        <v>44094</v>
      </c>
      <c r="Y278" s="384">
        <f t="shared" si="108"/>
        <v>35.331000000000003</v>
      </c>
      <c r="Z278" s="384">
        <f t="shared" si="109"/>
        <v>35.990201974693946</v>
      </c>
      <c r="AA278" s="385">
        <f t="shared" si="110"/>
        <v>37.610322836856255</v>
      </c>
      <c r="AB278" s="196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4.307649442920157E-2</v>
      </c>
      <c r="AD278" s="230">
        <f>(INDEX(Models!$BJ278:$BT278,,AH278)*(1-AF278)+INDEX(Models!$BJ278:$BT278,,AH278+1)*AF278-ERP_i)*AE278*Ramure*Pc/MaxiM</f>
        <v>2.6774276073833806E-4</v>
      </c>
      <c r="AE278" s="304">
        <f t="shared" si="112"/>
        <v>0.5</v>
      </c>
      <c r="AF278" s="176">
        <f t="shared" si="113"/>
        <v>0.43057670557825578</v>
      </c>
      <c r="AG278" s="814">
        <f t="shared" si="119"/>
        <v>0</v>
      </c>
      <c r="AH278" s="175">
        <f t="shared" si="114"/>
        <v>6</v>
      </c>
      <c r="AI278" s="224">
        <f t="shared" si="115"/>
        <v>0.43057670557825578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44095</v>
      </c>
      <c r="B279" s="616">
        <v>27.797999999999998</v>
      </c>
      <c r="C279" s="389"/>
      <c r="D279" s="392">
        <f t="shared" si="98"/>
        <v>28.317272296807076</v>
      </c>
      <c r="E279" s="384">
        <f t="shared" si="96"/>
        <v>29.592626180445066</v>
      </c>
      <c r="F279" s="384">
        <f t="shared" si="99"/>
        <v>29.596219045550285</v>
      </c>
      <c r="G279" s="110">
        <f t="shared" si="97"/>
        <v>0.61722585992052315</v>
      </c>
      <c r="H279" s="413" t="b">
        <f>Wh_hp&gt;='2019'!Maxi_hp</f>
        <v>0</v>
      </c>
      <c r="I279" s="379">
        <f>IF(H279,Wh_hp,'2019'!Maxi_hp)</f>
        <v>43.967294700182691</v>
      </c>
      <c r="J279" s="85">
        <f>IF(H279,An,'2019'!An_max)</f>
        <v>2018</v>
      </c>
      <c r="K279" s="196">
        <f t="shared" si="100"/>
        <v>44095</v>
      </c>
      <c r="L279" s="147">
        <f>IF(t&lt;Tvie,1-EXP((T0-t)*PertePVj)+'2019'!Pspv,1-EXP((T0-t)*PertePVj)+Pspv)</f>
        <v>1.8337652418083605E-2</v>
      </c>
      <c r="M279" s="847"/>
      <c r="N279" s="847"/>
      <c r="O279" s="48">
        <f>IF(t&lt;Tnet,'2019'!Resal+('2019'!Salim-'2019'!Resal)*(1-EXP(('2019'!Tnet-t)/('2019'!Tau_j))),Resal+(Salim-Resal)*(1-EXP((Tnet-t)/(Tau_j))))*Salcycl</f>
        <v>4.3097015988420452E-2</v>
      </c>
      <c r="P279" s="168">
        <f>(INDEX(Models!$BJ279:$BT279,,T279)*(1-R279)+INDEX(Models!$BJ279:$BT279,,T279+1)*R279-ERP_i)*Q279*Ramure*Pc/MaxiM</f>
        <v>2.677998984416944E-4</v>
      </c>
      <c r="Q279" s="304">
        <f t="shared" si="101"/>
        <v>0.5</v>
      </c>
      <c r="R279" s="176">
        <f t="shared" si="102"/>
        <v>0.43074739093514186</v>
      </c>
      <c r="S279" s="814">
        <f t="shared" si="103"/>
        <v>0</v>
      </c>
      <c r="T279" s="175">
        <f t="shared" si="104"/>
        <v>6</v>
      </c>
      <c r="U279" s="250">
        <f t="shared" si="105"/>
        <v>0.43074739093514186</v>
      </c>
      <c r="V279" s="382">
        <f t="shared" si="106"/>
        <v>45.030403904733546</v>
      </c>
      <c r="W279" s="401"/>
      <c r="X279" s="157">
        <f t="shared" si="107"/>
        <v>44095</v>
      </c>
      <c r="Y279" s="384">
        <f t="shared" si="108"/>
        <v>27.797999999999998</v>
      </c>
      <c r="Z279" s="384">
        <f t="shared" si="109"/>
        <v>28.317272296807076</v>
      </c>
      <c r="AA279" s="385">
        <f t="shared" si="110"/>
        <v>29.592626180445066</v>
      </c>
      <c r="AB279" s="196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4.3097015988420452E-2</v>
      </c>
      <c r="AD279" s="230">
        <f>(INDEX(Models!$BJ279:$BT279,,AH279)*(1-AF279)+INDEX(Models!$BJ279:$BT279,,AH279+1)*AF279-ERP_i)*AE279*Ramure*Pc/MaxiM</f>
        <v>2.677998984416944E-4</v>
      </c>
      <c r="AE279" s="304">
        <f t="shared" si="112"/>
        <v>0.5</v>
      </c>
      <c r="AF279" s="176">
        <f t="shared" si="113"/>
        <v>0.43074739093514186</v>
      </c>
      <c r="AG279" s="814">
        <f t="shared" si="119"/>
        <v>0</v>
      </c>
      <c r="AH279" s="175">
        <f t="shared" si="114"/>
        <v>6</v>
      </c>
      <c r="AI279" s="224">
        <f t="shared" si="115"/>
        <v>0.43074739093514186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44096</v>
      </c>
      <c r="B280" s="616">
        <v>20.672999999999998</v>
      </c>
      <c r="C280" s="389"/>
      <c r="D280" s="392">
        <f t="shared" si="98"/>
        <v>21.059637106992376</v>
      </c>
      <c r="E280" s="384">
        <f t="shared" si="96"/>
        <v>22.008581797614948</v>
      </c>
      <c r="F280" s="384">
        <f t="shared" si="99"/>
        <v>22.00994201811459</v>
      </c>
      <c r="G280" s="110">
        <f t="shared" si="97"/>
        <v>0.46167288003328538</v>
      </c>
      <c r="H280" s="413" t="b">
        <f>Wh_hp&gt;='2019'!Maxi_hp</f>
        <v>0</v>
      </c>
      <c r="I280" s="379">
        <f>IF(H280,Wh_hp,'2019'!Maxi_hp)</f>
        <v>44.179127561148483</v>
      </c>
      <c r="J280" s="85">
        <f>IF(H280,An,'2019'!An_max)</f>
        <v>2018</v>
      </c>
      <c r="K280" s="196">
        <f t="shared" si="100"/>
        <v>44096</v>
      </c>
      <c r="L280" s="147">
        <f>IF(t&lt;Tvie,1-EXP((T0-t)*PertePVj)+'2019'!Pspv,1-EXP((T0-t)*PertePVj)+Pspv)</f>
        <v>1.8359153342865642E-2</v>
      </c>
      <c r="M280" s="847"/>
      <c r="N280" s="847"/>
      <c r="O280" s="48">
        <f>IF(t&lt;Tnet,'2019'!Resal+('2019'!Salim-'2019'!Resal)*(1-EXP(('2019'!Tnet-t)/('2019'!Tau_j))),Resal+(Salim-Resal)*(1-EXP((Tnet-t)/(Tau_j))))*Salcycl</f>
        <v>4.3117030408811159E-2</v>
      </c>
      <c r="P280" s="168">
        <f>(INDEX(Models!$BJ280:$BT280,,T280)*(1-R280)+INDEX(Models!$BJ280:$BT280,,T280+1)*R280-ERP_i)*Q280*Ramure*Pc/MaxiM</f>
        <v>2.6742147731531396E-4</v>
      </c>
      <c r="Q280" s="304">
        <f t="shared" si="101"/>
        <v>0.5</v>
      </c>
      <c r="R280" s="176">
        <f t="shared" si="102"/>
        <v>0.43091138908848098</v>
      </c>
      <c r="S280" s="814">
        <f t="shared" si="103"/>
        <v>0</v>
      </c>
      <c r="T280" s="175">
        <f t="shared" si="104"/>
        <v>6</v>
      </c>
      <c r="U280" s="250">
        <f t="shared" si="105"/>
        <v>0.43091138908848098</v>
      </c>
      <c r="V280" s="382">
        <f t="shared" si="106"/>
        <v>44.76925074894033</v>
      </c>
      <c r="W280" s="401"/>
      <c r="X280" s="157">
        <f t="shared" si="107"/>
        <v>44096</v>
      </c>
      <c r="Y280" s="384">
        <f t="shared" si="108"/>
        <v>20.672999999999998</v>
      </c>
      <c r="Z280" s="384">
        <f t="shared" si="109"/>
        <v>21.059637106992376</v>
      </c>
      <c r="AA280" s="385">
        <f t="shared" si="110"/>
        <v>22.008581797614948</v>
      </c>
      <c r="AB280" s="196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4.3117030408811159E-2</v>
      </c>
      <c r="AD280" s="230">
        <f>(INDEX(Models!$BJ280:$BT280,,AH280)*(1-AF280)+INDEX(Models!$BJ280:$BT280,,AH280+1)*AF280-ERP_i)*AE280*Ramure*Pc/MaxiM</f>
        <v>2.6742147731531396E-4</v>
      </c>
      <c r="AE280" s="304">
        <f t="shared" si="112"/>
        <v>0.5</v>
      </c>
      <c r="AF280" s="176">
        <f t="shared" si="113"/>
        <v>0.43091138908848098</v>
      </c>
      <c r="AG280" s="814">
        <f t="shared" si="119"/>
        <v>0</v>
      </c>
      <c r="AH280" s="175">
        <f t="shared" si="114"/>
        <v>6</v>
      </c>
      <c r="AI280" s="224">
        <f t="shared" si="115"/>
        <v>0.43091138908848098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44097</v>
      </c>
      <c r="B281" s="616">
        <v>34.965000000000003</v>
      </c>
      <c r="C281" s="389"/>
      <c r="D281" s="392">
        <f t="shared" si="98"/>
        <v>35.619713624469775</v>
      </c>
      <c r="E281" s="384">
        <f t="shared" si="96"/>
        <v>37.225491886801194</v>
      </c>
      <c r="F281" s="384">
        <f t="shared" si="99"/>
        <v>37.232378444243302</v>
      </c>
      <c r="G281" s="110">
        <f t="shared" si="97"/>
        <v>0.78558312727395441</v>
      </c>
      <c r="H281" s="413" t="b">
        <f>Wh_hp&gt;='2019'!Maxi_hp</f>
        <v>0</v>
      </c>
      <c r="I281" s="379">
        <f>IF(H281,Wh_hp,'2019'!Maxi_hp)</f>
        <v>38.94326033196662</v>
      </c>
      <c r="J281" s="85">
        <f>IF(H281,An,'2019'!An_max)</f>
        <v>2018</v>
      </c>
      <c r="K281" s="196">
        <f t="shared" si="100"/>
        <v>44097</v>
      </c>
      <c r="L281" s="147">
        <f>IF(t&lt;Tvie,1-EXP((T0-t)*PertePVj)+'2019'!Pspv,1-EXP((T0-t)*PertePVj)+Pspv)</f>
        <v>1.8380653796722268E-2</v>
      </c>
      <c r="M281" s="847"/>
      <c r="N281" s="847"/>
      <c r="O281" s="48">
        <f>IF(t&lt;Tnet,'2019'!Resal+('2019'!Salim-'2019'!Resal)*(1-EXP(('2019'!Tnet-t)/('2019'!Tau_j))),Resal+(Salim-Resal)*(1-EXP((Tnet-t)/(Tau_j))))*Salcycl</f>
        <v>4.3136522338359573E-2</v>
      </c>
      <c r="P281" s="168">
        <f>(INDEX(Models!$BJ281:$BT281,,T281)*(1-R281)+INDEX(Models!$BJ281:$BT281,,T281+1)*R281-ERP_i)*Q281*Ramure*Pc/MaxiM</f>
        <v>2.6659897524209547E-4</v>
      </c>
      <c r="Q281" s="304">
        <f t="shared" si="101"/>
        <v>0.5</v>
      </c>
      <c r="R281" s="176">
        <f t="shared" si="102"/>
        <v>0.43106895496376263</v>
      </c>
      <c r="S281" s="814">
        <f t="shared" si="103"/>
        <v>0</v>
      </c>
      <c r="T281" s="175">
        <f t="shared" si="104"/>
        <v>6</v>
      </c>
      <c r="U281" s="250">
        <f t="shared" si="105"/>
        <v>0.43106895496376263</v>
      </c>
      <c r="V281" s="382">
        <f t="shared" si="106"/>
        <v>44.504704600468443</v>
      </c>
      <c r="W281" s="401"/>
      <c r="X281" s="157">
        <f t="shared" si="107"/>
        <v>44097</v>
      </c>
      <c r="Y281" s="384">
        <f t="shared" si="108"/>
        <v>34.965000000000003</v>
      </c>
      <c r="Z281" s="384">
        <f t="shared" si="109"/>
        <v>35.619713624469775</v>
      </c>
      <c r="AA281" s="385">
        <f t="shared" si="110"/>
        <v>37.225491886801194</v>
      </c>
      <c r="AB281" s="196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4.3136522338359573E-2</v>
      </c>
      <c r="AD281" s="230">
        <f>(INDEX(Models!$BJ281:$BT281,,AH281)*(1-AF281)+INDEX(Models!$BJ281:$BT281,,AH281+1)*AF281-ERP_i)*AE281*Ramure*Pc/MaxiM</f>
        <v>2.6659897524209547E-4</v>
      </c>
      <c r="AE281" s="304">
        <f t="shared" si="112"/>
        <v>0.5</v>
      </c>
      <c r="AF281" s="176">
        <f t="shared" si="113"/>
        <v>0.43106895496376263</v>
      </c>
      <c r="AG281" s="814">
        <f t="shared" si="119"/>
        <v>0</v>
      </c>
      <c r="AH281" s="175">
        <f t="shared" si="114"/>
        <v>6</v>
      </c>
      <c r="AI281" s="224">
        <f t="shared" si="115"/>
        <v>0.43106895496376263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44098</v>
      </c>
      <c r="B282" s="616">
        <v>20.65</v>
      </c>
      <c r="C282" s="389"/>
      <c r="D282" s="392">
        <f t="shared" si="98"/>
        <v>21.037128473247236</v>
      </c>
      <c r="E282" s="384">
        <f t="shared" si="96"/>
        <v>21.98594229049375</v>
      </c>
      <c r="F282" s="384">
        <f t="shared" si="99"/>
        <v>21.987333519016985</v>
      </c>
      <c r="G282" s="110">
        <f t="shared" si="97"/>
        <v>0.4667055100482092</v>
      </c>
      <c r="H282" s="413" t="b">
        <f>Wh_hp&gt;='2019'!Maxi_hp</f>
        <v>0</v>
      </c>
      <c r="I282" s="379">
        <f>IF(H282,Wh_hp,'2019'!Maxi_hp)</f>
        <v>46.527927467994083</v>
      </c>
      <c r="J282" s="85">
        <f>IF(H282,An,'2019'!An_max)</f>
        <v>2018</v>
      </c>
      <c r="K282" s="196">
        <f t="shared" si="100"/>
        <v>44098</v>
      </c>
      <c r="L282" s="147">
        <f>IF(t&lt;Tvie,1-EXP((T0-t)*PertePVj)+'2019'!Pspv,1-EXP((T0-t)*PertePVj)+Pspv)</f>
        <v>1.8402153779663699E-2</v>
      </c>
      <c r="M282" s="847"/>
      <c r="N282" s="847"/>
      <c r="O282" s="48">
        <f>IF(t&lt;Tnet,'2019'!Resal+('2019'!Salim-'2019'!Resal)*(1-EXP(('2019'!Tnet-t)/('2019'!Tau_j))),Resal+(Salim-Resal)*(1-EXP((Tnet-t)/(Tau_j))))*Salcycl</f>
        <v>4.3155476563620357E-2</v>
      </c>
      <c r="P282" s="168">
        <f>(INDEX(Models!$BJ282:$BT282,,T282)*(1-R282)+INDEX(Models!$BJ282:$BT282,,T282+1)*R282-ERP_i)*Q282*Ramure*Pc/MaxiM</f>
        <v>2.6553885397201881E-4</v>
      </c>
      <c r="Q282" s="304">
        <f t="shared" si="101"/>
        <v>0.5</v>
      </c>
      <c r="R282" s="176">
        <f t="shared" si="102"/>
        <v>0.4312203343200936</v>
      </c>
      <c r="S282" s="814">
        <f t="shared" si="103"/>
        <v>0</v>
      </c>
      <c r="T282" s="175">
        <f t="shared" si="104"/>
        <v>6</v>
      </c>
      <c r="U282" s="250">
        <f t="shared" si="105"/>
        <v>0.4312203343200936</v>
      </c>
      <c r="V282" s="382">
        <f t="shared" si="106"/>
        <v>44.237367084430907</v>
      </c>
      <c r="W282" s="401"/>
      <c r="X282" s="157">
        <f t="shared" si="107"/>
        <v>44098</v>
      </c>
      <c r="Y282" s="384">
        <f t="shared" si="108"/>
        <v>20.65</v>
      </c>
      <c r="Z282" s="384">
        <f t="shared" si="109"/>
        <v>21.037128473247236</v>
      </c>
      <c r="AA282" s="385">
        <f t="shared" si="110"/>
        <v>21.98594229049375</v>
      </c>
      <c r="AB282" s="196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4.3155476563620357E-2</v>
      </c>
      <c r="AD282" s="230">
        <f>(INDEX(Models!$BJ282:$BT282,,AH282)*(1-AF282)+INDEX(Models!$BJ282:$BT282,,AH282+1)*AF282-ERP_i)*AE282*Ramure*Pc/MaxiM</f>
        <v>2.6553885397201881E-4</v>
      </c>
      <c r="AE282" s="304">
        <f t="shared" si="112"/>
        <v>0.5</v>
      </c>
      <c r="AF282" s="176">
        <f t="shared" si="113"/>
        <v>0.4312203343200936</v>
      </c>
      <c r="AG282" s="814">
        <f t="shared" si="119"/>
        <v>0</v>
      </c>
      <c r="AH282" s="175">
        <f t="shared" si="114"/>
        <v>6</v>
      </c>
      <c r="AI282" s="224">
        <f t="shared" si="115"/>
        <v>0.4312203343200936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44099</v>
      </c>
      <c r="B283" s="616">
        <v>18.701000000000001</v>
      </c>
      <c r="C283" s="389"/>
      <c r="D283" s="392">
        <f t="shared" si="98"/>
        <v>19.052007582205398</v>
      </c>
      <c r="E283" s="384">
        <f t="shared" si="96"/>
        <v>19.911671667670277</v>
      </c>
      <c r="F283" s="384">
        <f t="shared" si="99"/>
        <v>19.912614999124283</v>
      </c>
      <c r="G283" s="110">
        <f t="shared" si="97"/>
        <v>0.42524127519856303</v>
      </c>
      <c r="H283" s="413" t="b">
        <f>Wh_hp&gt;='2019'!Maxi_hp</f>
        <v>0</v>
      </c>
      <c r="I283" s="379">
        <f>IF(H283,Wh_hp,'2019'!Maxi_hp)</f>
        <v>45.350079953012298</v>
      </c>
      <c r="J283" s="85">
        <f>IF(H283,An,'2019'!An_max)</f>
        <v>2018</v>
      </c>
      <c r="K283" s="196">
        <f t="shared" si="100"/>
        <v>44099</v>
      </c>
      <c r="L283" s="147">
        <f>IF(t&lt;Tvie,1-EXP((T0-t)*PertePVj)+'2019'!Pspv,1-EXP((T0-t)*PertePVj)+Pspv)</f>
        <v>1.842365329170037E-2</v>
      </c>
      <c r="M283" s="847"/>
      <c r="N283" s="847"/>
      <c r="O283" s="48">
        <f>IF(t&lt;Tnet,'2019'!Resal+('2019'!Salim-'2019'!Resal)*(1-EXP(('2019'!Tnet-t)/('2019'!Tau_j))),Resal+(Salim-Resal)*(1-EXP((Tnet-t)/(Tau_j))))*Salcycl</f>
        <v>4.3173878105909037E-2</v>
      </c>
      <c r="P283" s="168">
        <f>(INDEX(Models!$BJ283:$BT283,,T283)*(1-R283)+INDEX(Models!$BJ283:$BT283,,T283+1)*R283-ERP_i)*Q283*Ramure*Pc/MaxiM</f>
        <v>2.6458566545685224E-4</v>
      </c>
      <c r="Q283" s="304">
        <f t="shared" si="101"/>
        <v>0.5</v>
      </c>
      <c r="R283" s="176">
        <f t="shared" si="102"/>
        <v>0.43136576403632038</v>
      </c>
      <c r="S283" s="814">
        <f t="shared" si="103"/>
        <v>0</v>
      </c>
      <c r="T283" s="175">
        <f t="shared" si="104"/>
        <v>6</v>
      </c>
      <c r="U283" s="250">
        <f t="shared" si="105"/>
        <v>0.43136576403632038</v>
      </c>
      <c r="V283" s="382">
        <f t="shared" si="106"/>
        <v>43.967833826182634</v>
      </c>
      <c r="W283" s="401"/>
      <c r="X283" s="157">
        <f t="shared" si="107"/>
        <v>44099</v>
      </c>
      <c r="Y283" s="384">
        <f t="shared" si="108"/>
        <v>18.701000000000001</v>
      </c>
      <c r="Z283" s="384">
        <f t="shared" si="109"/>
        <v>19.052007582205398</v>
      </c>
      <c r="AA283" s="385">
        <f t="shared" si="110"/>
        <v>19.911671667670277</v>
      </c>
      <c r="AB283" s="196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4.3173878105909037E-2</v>
      </c>
      <c r="AD283" s="230">
        <f>(INDEX(Models!$BJ283:$BT283,,AH283)*(1-AF283)+INDEX(Models!$BJ283:$BT283,,AH283+1)*AF283-ERP_i)*AE283*Ramure*Pc/MaxiM</f>
        <v>2.6458566545685224E-4</v>
      </c>
      <c r="AE283" s="304">
        <f t="shared" si="112"/>
        <v>0.5</v>
      </c>
      <c r="AF283" s="176">
        <f t="shared" si="113"/>
        <v>0.43136576403632038</v>
      </c>
      <c r="AG283" s="814">
        <f t="shared" si="119"/>
        <v>0</v>
      </c>
      <c r="AH283" s="175">
        <f t="shared" si="114"/>
        <v>6</v>
      </c>
      <c r="AI283" s="224">
        <f t="shared" si="115"/>
        <v>0.43136576403632038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44100</v>
      </c>
      <c r="B284" s="616">
        <v>17.286000000000001</v>
      </c>
      <c r="C284" s="389"/>
      <c r="D284" s="392">
        <f t="shared" si="98"/>
        <v>17.610834525531921</v>
      </c>
      <c r="E284" s="384">
        <f t="shared" si="96"/>
        <v>18.405813110478832</v>
      </c>
      <c r="F284" s="384">
        <f t="shared" si="99"/>
        <v>18.406476023864929</v>
      </c>
      <c r="G284" s="110">
        <f t="shared" si="97"/>
        <v>0.39550028241029583</v>
      </c>
      <c r="H284" s="413" t="b">
        <f>Wh_hp&gt;='2019'!Maxi_hp</f>
        <v>0</v>
      </c>
      <c r="I284" s="379">
        <f>IF(H284,Wh_hp,'2019'!Maxi_hp)</f>
        <v>44.445052403607114</v>
      </c>
      <c r="J284" s="85">
        <f>IF(H284,An,'2019'!An_max)</f>
        <v>2018</v>
      </c>
      <c r="K284" s="196">
        <f t="shared" si="100"/>
        <v>44100</v>
      </c>
      <c r="L284" s="147">
        <f>IF(t&lt;Tvie,1-EXP((T0-t)*PertePVj)+'2019'!Pspv,1-EXP((T0-t)*PertePVj)+Pspv)</f>
        <v>1.8445152332842607E-2</v>
      </c>
      <c r="M284" s="847"/>
      <c r="N284" s="847"/>
      <c r="O284" s="48">
        <f>IF(t&lt;Tnet,'2019'!Resal+('2019'!Salim-'2019'!Resal)*(1-EXP(('2019'!Tnet-t)/('2019'!Tau_j))),Resal+(Salim-Resal)*(1-EXP((Tnet-t)/(Tau_j))))*Salcycl</f>
        <v>4.3191712323445951E-2</v>
      </c>
      <c r="P284" s="168">
        <f>(INDEX(Models!$BJ284:$BT284,,T284)*(1-R284)+INDEX(Models!$BJ284:$BT284,,T284+1)*R284-ERP_i)*Q284*Ramure*Pc/MaxiM</f>
        <v>2.6373637760766376E-4</v>
      </c>
      <c r="Q284" s="304">
        <f t="shared" si="101"/>
        <v>0.5</v>
      </c>
      <c r="R284" s="176">
        <f t="shared" si="102"/>
        <v>0.4315054723917619</v>
      </c>
      <c r="S284" s="814">
        <f t="shared" si="103"/>
        <v>0</v>
      </c>
      <c r="T284" s="175">
        <f t="shared" si="104"/>
        <v>6</v>
      </c>
      <c r="U284" s="250">
        <f t="shared" si="105"/>
        <v>0.4315054723917619</v>
      </c>
      <c r="V284" s="382">
        <f t="shared" si="106"/>
        <v>43.696715878605701</v>
      </c>
      <c r="W284" s="401"/>
      <c r="X284" s="157">
        <f t="shared" si="107"/>
        <v>44100</v>
      </c>
      <c r="Y284" s="384">
        <f t="shared" si="108"/>
        <v>17.286000000000001</v>
      </c>
      <c r="Z284" s="384">
        <f t="shared" si="109"/>
        <v>17.610834525531921</v>
      </c>
      <c r="AA284" s="385">
        <f t="shared" si="110"/>
        <v>18.405813110478832</v>
      </c>
      <c r="AB284" s="196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4.3191712323445951E-2</v>
      </c>
      <c r="AD284" s="230">
        <f>(INDEX(Models!$BJ284:$BT284,,AH284)*(1-AF284)+INDEX(Models!$BJ284:$BT284,,AH284+1)*AF284-ERP_i)*AE284*Ramure*Pc/MaxiM</f>
        <v>2.6373637760766376E-4</v>
      </c>
      <c r="AE284" s="304">
        <f t="shared" si="112"/>
        <v>0.5</v>
      </c>
      <c r="AF284" s="176">
        <f t="shared" si="113"/>
        <v>0.4315054723917619</v>
      </c>
      <c r="AG284" s="814">
        <f t="shared" si="119"/>
        <v>0</v>
      </c>
      <c r="AH284" s="175">
        <f t="shared" si="114"/>
        <v>6</v>
      </c>
      <c r="AI284" s="224">
        <f t="shared" si="115"/>
        <v>0.4315054723917619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44101</v>
      </c>
      <c r="B285" s="616">
        <v>12.452</v>
      </c>
      <c r="C285" s="389"/>
      <c r="D285" s="392">
        <f t="shared" si="98"/>
        <v>12.68627297427742</v>
      </c>
      <c r="E285" s="384">
        <f t="shared" si="96"/>
        <v>13.259188799283836</v>
      </c>
      <c r="F285" s="384">
        <f t="shared" si="99"/>
        <v>13.259188799283836</v>
      </c>
      <c r="G285" s="110">
        <f t="shared" si="97"/>
        <v>0.2866743355159137</v>
      </c>
      <c r="H285" s="413" t="b">
        <f>Wh_hp&gt;='2019'!Maxi_hp</f>
        <v>0</v>
      </c>
      <c r="I285" s="379">
        <f>IF(H285,Wh_hp,'2019'!Maxi_hp)</f>
        <v>42.089507508036213</v>
      </c>
      <c r="J285" s="85">
        <f>IF(H285,An,'2019'!An_max)</f>
        <v>2018</v>
      </c>
      <c r="K285" s="196">
        <f t="shared" si="100"/>
        <v>44101</v>
      </c>
      <c r="L285" s="147">
        <f>IF(t&lt;Tvie,1-EXP((T0-t)*PertePVj)+'2019'!Pspv,1-EXP((T0-t)*PertePVj)+Pspv)</f>
        <v>1.8466650903100623E-2</v>
      </c>
      <c r="M285" s="847"/>
      <c r="N285" s="847"/>
      <c r="O285" s="48">
        <f>IF(t&lt;Tnet,'2019'!Resal+('2019'!Salim-'2019'!Resal)*(1-EXP(('2019'!Tnet-t)/('2019'!Tau_j))),Resal+(Salim-Resal)*(1-EXP((Tnet-t)/(Tau_j))))*Salcycl</f>
        <v>4.320896501883735E-2</v>
      </c>
      <c r="P285" s="168">
        <f>(INDEX(Models!$BJ285:$BT285,,T285)*(1-R285)+INDEX(Models!$BJ285:$BT285,,T285+1)*R285-ERP_i)*Q285*Ramure*Pc/MaxiM</f>
        <v>2.6298793169728064E-4</v>
      </c>
      <c r="Q285" s="304">
        <f t="shared" si="101"/>
        <v>0.5</v>
      </c>
      <c r="R285" s="176">
        <f t="shared" si="102"/>
        <v>0.4316396793413339</v>
      </c>
      <c r="S285" s="814">
        <f t="shared" si="103"/>
        <v>0</v>
      </c>
      <c r="T285" s="175">
        <f t="shared" si="104"/>
        <v>6</v>
      </c>
      <c r="U285" s="250">
        <f t="shared" si="105"/>
        <v>0.4316396793413339</v>
      </c>
      <c r="V285" s="382">
        <f t="shared" si="106"/>
        <v>43.424624153645098</v>
      </c>
      <c r="W285" s="401"/>
      <c r="X285" s="157">
        <f t="shared" si="107"/>
        <v>44101</v>
      </c>
      <c r="Y285" s="384">
        <f t="shared" si="108"/>
        <v>12.452</v>
      </c>
      <c r="Z285" s="384">
        <f t="shared" si="109"/>
        <v>12.68627297427742</v>
      </c>
      <c r="AA285" s="385">
        <f t="shared" si="110"/>
        <v>13.259188799283836</v>
      </c>
      <c r="AB285" s="196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4.320896501883735E-2</v>
      </c>
      <c r="AD285" s="230">
        <f>(INDEX(Models!$BJ285:$BT285,,AH285)*(1-AF285)+INDEX(Models!$BJ285:$BT285,,AH285+1)*AF285-ERP_i)*AE285*Ramure*Pc/MaxiM</f>
        <v>2.6298793169728064E-4</v>
      </c>
      <c r="AE285" s="304">
        <f t="shared" si="112"/>
        <v>0.5</v>
      </c>
      <c r="AF285" s="176">
        <f t="shared" si="113"/>
        <v>0.4316396793413339</v>
      </c>
      <c r="AG285" s="814">
        <f t="shared" si="119"/>
        <v>0</v>
      </c>
      <c r="AH285" s="175">
        <f t="shared" si="114"/>
        <v>6</v>
      </c>
      <c r="AI285" s="224">
        <f t="shared" si="115"/>
        <v>0.4316396793413339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44102</v>
      </c>
      <c r="B286" s="616">
        <v>30.920999999999999</v>
      </c>
      <c r="C286" s="389"/>
      <c r="D286" s="392">
        <f t="shared" si="98"/>
        <v>31.503440298326339</v>
      </c>
      <c r="E286" s="384">
        <f t="shared" si="96"/>
        <v>32.926718190686643</v>
      </c>
      <c r="F286" s="384">
        <f t="shared" si="99"/>
        <v>32.931859252619468</v>
      </c>
      <c r="G286" s="110">
        <f t="shared" si="97"/>
        <v>0.71648112519739893</v>
      </c>
      <c r="H286" s="413" t="b">
        <f>Wh_hp&gt;='2019'!Maxi_hp</f>
        <v>0</v>
      </c>
      <c r="I286" s="379">
        <f>IF(H286,Wh_hp,'2019'!Maxi_hp)</f>
        <v>45.134596389109774</v>
      </c>
      <c r="J286" s="85">
        <f>IF(H286,An,'2019'!An_max)</f>
        <v>2019</v>
      </c>
      <c r="K286" s="196">
        <f t="shared" si="100"/>
        <v>44102</v>
      </c>
      <c r="L286" s="147">
        <f>IF(t&lt;Tvie,1-EXP((T0-t)*PertePVj)+'2019'!Pspv,1-EXP((T0-t)*PertePVj)+Pspv)</f>
        <v>1.8488149002484744E-2</v>
      </c>
      <c r="M286" s="847"/>
      <c r="N286" s="847"/>
      <c r="O286" s="48">
        <f>IF(t&lt;Tnet,'2019'!Resal+('2019'!Salim-'2019'!Resal)*(1-EXP(('2019'!Tnet-t)/('2019'!Tau_j))),Resal+(Salim-Resal)*(1-EXP((Tnet-t)/(Tau_j))))*Salcycl</f>
        <v>4.3225622551198467E-2</v>
      </c>
      <c r="P286" s="168">
        <f>(INDEX(Models!$BJ286:$BT286,,T286)*(1-R286)+INDEX(Models!$BJ286:$BT286,,T286+1)*R286-ERP_i)*Q286*Ramure*Pc/MaxiM</f>
        <v>2.6233722720671803E-4</v>
      </c>
      <c r="Q286" s="304">
        <f t="shared" si="101"/>
        <v>0.5</v>
      </c>
      <c r="R286" s="176">
        <f t="shared" si="102"/>
        <v>0.43176859678488005</v>
      </c>
      <c r="S286" s="814">
        <f t="shared" si="103"/>
        <v>0</v>
      </c>
      <c r="T286" s="175">
        <f t="shared" si="104"/>
        <v>6</v>
      </c>
      <c r="U286" s="250">
        <f t="shared" si="105"/>
        <v>0.43176859678488005</v>
      </c>
      <c r="V286" s="382">
        <f t="shared" si="106"/>
        <v>43.152169419248381</v>
      </c>
      <c r="W286" s="401"/>
      <c r="X286" s="157">
        <f t="shared" si="107"/>
        <v>44102</v>
      </c>
      <c r="Y286" s="384">
        <f t="shared" si="108"/>
        <v>30.921000000000003</v>
      </c>
      <c r="Z286" s="384">
        <f t="shared" si="109"/>
        <v>31.503440298326343</v>
      </c>
      <c r="AA286" s="385">
        <f t="shared" si="110"/>
        <v>32.926718190686643</v>
      </c>
      <c r="AB286" s="196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4.3225622551198467E-2</v>
      </c>
      <c r="AD286" s="230">
        <f>(INDEX(Models!$BJ286:$BT286,,AH286)*(1-AF286)+INDEX(Models!$BJ286:$BT286,,AH286+1)*AF286-ERP_i)*AE286*Ramure*Pc/MaxiM</f>
        <v>2.6233722720671803E-4</v>
      </c>
      <c r="AE286" s="304">
        <f t="shared" si="112"/>
        <v>0.5</v>
      </c>
      <c r="AF286" s="176">
        <f t="shared" si="113"/>
        <v>0.43176859678488005</v>
      </c>
      <c r="AG286" s="814">
        <f t="shared" si="119"/>
        <v>0</v>
      </c>
      <c r="AH286" s="175">
        <f t="shared" si="114"/>
        <v>6</v>
      </c>
      <c r="AI286" s="224">
        <f t="shared" si="115"/>
        <v>0.43176859678488005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44103</v>
      </c>
      <c r="B287" s="616">
        <v>32.963999999999999</v>
      </c>
      <c r="C287" s="389"/>
      <c r="D287" s="392">
        <f t="shared" si="98"/>
        <v>33.585658673923895</v>
      </c>
      <c r="E287" s="384">
        <f t="shared" si="96"/>
        <v>35.103596895206778</v>
      </c>
      <c r="F287" s="384">
        <f t="shared" si="99"/>
        <v>35.109751638223045</v>
      </c>
      <c r="G287" s="110">
        <f t="shared" si="97"/>
        <v>0.76868418184828813</v>
      </c>
      <c r="H287" s="413" t="b">
        <f>Wh_hp&gt;='2019'!Maxi_hp</f>
        <v>0</v>
      </c>
      <c r="I287" s="379">
        <f>IF(H287,Wh_hp,'2019'!Maxi_hp)</f>
        <v>39.258046137495292</v>
      </c>
      <c r="J287" s="85">
        <f>IF(H287,An,'2019'!An_max)</f>
        <v>2018</v>
      </c>
      <c r="K287" s="196">
        <f t="shared" si="100"/>
        <v>44103</v>
      </c>
      <c r="L287" s="147">
        <f>IF(t&lt;Tvie,1-EXP((T0-t)*PertePVj)+'2019'!Pspv,1-EXP((T0-t)*PertePVj)+Pspv)</f>
        <v>1.8509646631005405E-2</v>
      </c>
      <c r="M287" s="847"/>
      <c r="N287" s="847"/>
      <c r="O287" s="48">
        <f>IF(t&lt;Tnet,'2019'!Resal+('2019'!Salim-'2019'!Resal)*(1-EXP(('2019'!Tnet-t)/('2019'!Tau_j))),Resal+(Salim-Resal)*(1-EXP((Tnet-t)/(Tau_j))))*Salcycl</f>
        <v>4.3241671952145393E-2</v>
      </c>
      <c r="P287" s="168">
        <f>(INDEX(Models!$BJ287:$BT287,,T287)*(1-R287)+INDEX(Models!$BJ287:$BT287,,T287+1)*R287-ERP_i)*Q287*Ramure*Pc/MaxiM</f>
        <v>2.6178110706861612E-4</v>
      </c>
      <c r="Q287" s="304">
        <f t="shared" si="101"/>
        <v>0.5</v>
      </c>
      <c r="R287" s="176">
        <f t="shared" si="102"/>
        <v>0.43189242883056544</v>
      </c>
      <c r="S287" s="814">
        <f t="shared" si="103"/>
        <v>0</v>
      </c>
      <c r="T287" s="175">
        <f t="shared" si="104"/>
        <v>6</v>
      </c>
      <c r="U287" s="250">
        <f t="shared" si="105"/>
        <v>0.43189242883056544</v>
      </c>
      <c r="V287" s="382">
        <f t="shared" si="106"/>
        <v>42.879962302649218</v>
      </c>
      <c r="W287" s="401"/>
      <c r="X287" s="157">
        <f t="shared" si="107"/>
        <v>44103</v>
      </c>
      <c r="Y287" s="384">
        <f t="shared" si="108"/>
        <v>32.963999999999999</v>
      </c>
      <c r="Z287" s="384">
        <f t="shared" si="109"/>
        <v>33.585658673923895</v>
      </c>
      <c r="AA287" s="385">
        <f t="shared" si="110"/>
        <v>35.103596895206778</v>
      </c>
      <c r="AB287" s="196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4.3241671952145393E-2</v>
      </c>
      <c r="AD287" s="230">
        <f>(INDEX(Models!$BJ287:$BT287,,AH287)*(1-AF287)+INDEX(Models!$BJ287:$BT287,,AH287+1)*AF287-ERP_i)*AE287*Ramure*Pc/MaxiM</f>
        <v>2.6178110706861612E-4</v>
      </c>
      <c r="AE287" s="304">
        <f t="shared" si="112"/>
        <v>0.5</v>
      </c>
      <c r="AF287" s="176">
        <f t="shared" si="113"/>
        <v>0.43189242883056544</v>
      </c>
      <c r="AG287" s="814">
        <f t="shared" si="119"/>
        <v>0</v>
      </c>
      <c r="AH287" s="175">
        <f t="shared" si="114"/>
        <v>6</v>
      </c>
      <c r="AI287" s="224">
        <f t="shared" si="115"/>
        <v>0.43189242883056544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44104</v>
      </c>
      <c r="B288" s="616">
        <v>41.389000000000003</v>
      </c>
      <c r="C288" s="389"/>
      <c r="D288" s="392">
        <f t="shared" si="98"/>
        <v>42.170466987378589</v>
      </c>
      <c r="E288" s="384">
        <f t="shared" si="96"/>
        <v>44.077115213952389</v>
      </c>
      <c r="F288" s="384">
        <f t="shared" si="99"/>
        <v>44.088165069651787</v>
      </c>
      <c r="G288" s="110">
        <f t="shared" si="97"/>
        <v>0.97136598534416785</v>
      </c>
      <c r="H288" s="413" t="b">
        <f>Wh_hp&gt;='2019'!Maxi_hp</f>
        <v>1</v>
      </c>
      <c r="I288" s="379">
        <f>IF(H288,Wh_hp,'2019'!Maxi_hp)</f>
        <v>44.088165069651787</v>
      </c>
      <c r="J288" s="85">
        <f>IF(H288,An,'2019'!An_max)</f>
        <v>2020</v>
      </c>
      <c r="K288" s="196">
        <f t="shared" si="100"/>
        <v>44104</v>
      </c>
      <c r="L288" s="147">
        <f>IF(t&lt;Tvie,1-EXP((T0-t)*PertePVj)+'2019'!Pspv,1-EXP((T0-t)*PertePVj)+Pspv)</f>
        <v>1.853114378867271E-2</v>
      </c>
      <c r="M288" s="847"/>
      <c r="N288" s="847"/>
      <c r="O288" s="48">
        <f>IF(t&lt;Tnet,'2019'!Resal+('2019'!Salim-'2019'!Resal)*(1-EXP(('2019'!Tnet-t)/('2019'!Tau_j))),Resal+(Salim-Resal)*(1-EXP((Tnet-t)/(Tau_j))))*Salcycl</f>
        <v>4.3257101044812972E-2</v>
      </c>
      <c r="P288" s="168">
        <f>(INDEX(Models!$BJ288:$BT288,,T288)*(1-R288)+INDEX(Models!$BJ288:$BT288,,T288+1)*R288-ERP_i)*Q288*Ramure*Pc/MaxiM</f>
        <v>2.6131634343252243E-4</v>
      </c>
      <c r="Q288" s="304">
        <f t="shared" si="101"/>
        <v>0.5</v>
      </c>
      <c r="R288" s="176">
        <f t="shared" si="102"/>
        <v>0.4320113720522144</v>
      </c>
      <c r="S288" s="814">
        <f t="shared" si="103"/>
        <v>0</v>
      </c>
      <c r="T288" s="175">
        <f t="shared" si="104"/>
        <v>6</v>
      </c>
      <c r="U288" s="250">
        <f t="shared" si="105"/>
        <v>0.4320113720522144</v>
      </c>
      <c r="V288" s="382">
        <f t="shared" si="106"/>
        <v>42.608613285858894</v>
      </c>
      <c r="W288" s="401"/>
      <c r="X288" s="157">
        <f t="shared" si="107"/>
        <v>44104</v>
      </c>
      <c r="Y288" s="384">
        <f t="shared" si="108"/>
        <v>41.389000000000003</v>
      </c>
      <c r="Z288" s="384">
        <f t="shared" si="109"/>
        <v>42.170466987378589</v>
      </c>
      <c r="AA288" s="385">
        <f t="shared" si="110"/>
        <v>44.077115213952389</v>
      </c>
      <c r="AB288" s="196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4.3257101044812972E-2</v>
      </c>
      <c r="AD288" s="230">
        <f>(INDEX(Models!$BJ288:$BT288,,AH288)*(1-AF288)+INDEX(Models!$BJ288:$BT288,,AH288+1)*AF288-ERP_i)*AE288*Ramure*Pc/MaxiM</f>
        <v>2.6131634343252243E-4</v>
      </c>
      <c r="AE288" s="304">
        <f t="shared" si="112"/>
        <v>0.5</v>
      </c>
      <c r="AF288" s="176">
        <f t="shared" si="113"/>
        <v>0.4320113720522144</v>
      </c>
      <c r="AG288" s="814">
        <f t="shared" si="119"/>
        <v>0</v>
      </c>
      <c r="AH288" s="175">
        <f t="shared" si="114"/>
        <v>6</v>
      </c>
      <c r="AI288" s="224">
        <f t="shared" si="115"/>
        <v>0.4320113720522144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44105</v>
      </c>
      <c r="B289" s="616">
        <v>8.3759999999999994</v>
      </c>
      <c r="C289" s="389"/>
      <c r="D289" s="392">
        <f t="shared" si="98"/>
        <v>8.534334438535808</v>
      </c>
      <c r="E289" s="384">
        <f t="shared" si="96"/>
        <v>8.9203342367962808</v>
      </c>
      <c r="F289" s="384">
        <f t="shared" si="99"/>
        <v>8.9203342367962808</v>
      </c>
      <c r="G289" s="110">
        <f t="shared" si="97"/>
        <v>0.19778545134098854</v>
      </c>
      <c r="H289" s="413" t="b">
        <f>Wh_hp&gt;='2019'!Maxi_hp</f>
        <v>0</v>
      </c>
      <c r="I289" s="379">
        <f>IF(H289,Wh_hp,'2019'!Maxi_hp)</f>
        <v>42.828343839340114</v>
      </c>
      <c r="J289" s="85">
        <f>IF(H289,An,'2019'!An_max)</f>
        <v>2018</v>
      </c>
      <c r="K289" s="196">
        <f t="shared" si="100"/>
        <v>44105</v>
      </c>
      <c r="L289" s="147">
        <f>IF(t&lt;Tvie,1-EXP((T0-t)*PertePVj)+'2019'!Pspv,1-EXP((T0-t)*PertePVj)+Pspv)</f>
        <v>1.8552640475497206E-2</v>
      </c>
      <c r="M289" s="847"/>
      <c r="N289" s="847"/>
      <c r="O289" s="48">
        <f>IF(t&lt;Tnet,'2019'!Resal+('2019'!Salim-'2019'!Resal)*(1-EXP(('2019'!Tnet-t)/('2019'!Tau_j))),Resal+(Salim-Resal)*(1-EXP((Tnet-t)/(Tau_j))))*Salcycl</f>
        <v>4.327189856499182E-2</v>
      </c>
      <c r="P289" s="168">
        <f>(INDEX(Models!$BJ289:$BT289,,T289)*(1-R289)+INDEX(Models!$BJ289:$BT289,,T289+1)*R289-ERP_i)*Q289*Ramure*Pc/MaxiM</f>
        <v>2.6094495216234451E-4</v>
      </c>
      <c r="Q289" s="304">
        <f t="shared" si="101"/>
        <v>0.5</v>
      </c>
      <c r="R289" s="176">
        <f t="shared" si="102"/>
        <v>0.43212561574050823</v>
      </c>
      <c r="S289" s="814">
        <f t="shared" si="103"/>
        <v>0</v>
      </c>
      <c r="T289" s="175">
        <f t="shared" si="104"/>
        <v>6</v>
      </c>
      <c r="U289" s="250">
        <f t="shared" si="105"/>
        <v>0.43212561574050823</v>
      </c>
      <c r="V289" s="382">
        <f t="shared" si="106"/>
        <v>42.337867969085153</v>
      </c>
      <c r="W289" s="401"/>
      <c r="X289" s="157">
        <f t="shared" si="107"/>
        <v>44105</v>
      </c>
      <c r="Y289" s="384">
        <f t="shared" si="108"/>
        <v>8.3759999999999994</v>
      </c>
      <c r="Z289" s="384">
        <f t="shared" si="109"/>
        <v>8.534334438535808</v>
      </c>
      <c r="AA289" s="385">
        <f t="shared" si="110"/>
        <v>8.9203342367962808</v>
      </c>
      <c r="AB289" s="196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4.327189856499182E-2</v>
      </c>
      <c r="AD289" s="230">
        <f>(INDEX(Models!$BJ289:$BT289,,AH289)*(1-AF289)+INDEX(Models!$BJ289:$BT289,,AH289+1)*AF289-ERP_i)*AE289*Ramure*Pc/MaxiM</f>
        <v>2.6094495216234451E-4</v>
      </c>
      <c r="AE289" s="304">
        <f t="shared" si="112"/>
        <v>0.5</v>
      </c>
      <c r="AF289" s="176">
        <f t="shared" si="113"/>
        <v>0.43212561574050823</v>
      </c>
      <c r="AG289" s="814">
        <f t="shared" si="119"/>
        <v>0</v>
      </c>
      <c r="AH289" s="175">
        <f t="shared" si="114"/>
        <v>6</v>
      </c>
      <c r="AI289" s="224">
        <f t="shared" si="115"/>
        <v>0.43212561574050823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44106</v>
      </c>
      <c r="B290" s="616">
        <v>5.0449999999999999</v>
      </c>
      <c r="C290" s="389"/>
      <c r="D290" s="392">
        <f t="shared" si="98"/>
        <v>5.1404799777669048</v>
      </c>
      <c r="E290" s="384">
        <f t="shared" si="96"/>
        <v>5.3730584787459028</v>
      </c>
      <c r="F290" s="384">
        <f t="shared" si="99"/>
        <v>5.3730584787459028</v>
      </c>
      <c r="G290" s="110">
        <f t="shared" si="97"/>
        <v>0.11989686703061397</v>
      </c>
      <c r="H290" s="413" t="b">
        <f>Wh_hp&gt;='2019'!Maxi_hp</f>
        <v>0</v>
      </c>
      <c r="I290" s="379">
        <f>IF(H290,Wh_hp,'2019'!Maxi_hp)</f>
        <v>41.859424132175342</v>
      </c>
      <c r="J290" s="85">
        <f>IF(H290,An,'2019'!An_max)</f>
        <v>2018</v>
      </c>
      <c r="K290" s="196">
        <f t="shared" si="100"/>
        <v>44106</v>
      </c>
      <c r="L290" s="147">
        <f>IF(t&lt;Tvie,1-EXP((T0-t)*PertePVj)+'2019'!Pspv,1-EXP((T0-t)*PertePVj)+Pspv)</f>
        <v>1.8574136691488996E-2</v>
      </c>
      <c r="M290" s="847"/>
      <c r="N290" s="847"/>
      <c r="O290" s="48">
        <f>IF(t&lt;Tnet,'2019'!Resal+('2019'!Salim-'2019'!Resal)*(1-EXP(('2019'!Tnet-t)/('2019'!Tau_j))),Resal+(Salim-Resal)*(1-EXP((Tnet-t)/(Tau_j))))*Salcycl</f>
        <v>4.3286054283422318E-2</v>
      </c>
      <c r="P290" s="168">
        <f>(INDEX(Models!$BJ290:$BT290,,T290)*(1-R290)+INDEX(Models!$BJ290:$BT290,,T290+1)*R290-ERP_i)*Q290*Ramure*Pc/MaxiM</f>
        <v>2.6074211815113406E-4</v>
      </c>
      <c r="Q290" s="304">
        <f t="shared" si="101"/>
        <v>0.5</v>
      </c>
      <c r="R290" s="176">
        <f t="shared" si="102"/>
        <v>0.43223534214798104</v>
      </c>
      <c r="S290" s="814">
        <f t="shared" si="103"/>
        <v>0</v>
      </c>
      <c r="T290" s="175">
        <f t="shared" si="104"/>
        <v>6</v>
      </c>
      <c r="U290" s="250">
        <f t="shared" si="105"/>
        <v>0.43223534214798104</v>
      </c>
      <c r="V290" s="382">
        <f t="shared" si="106"/>
        <v>42.066858633813126</v>
      </c>
      <c r="W290" s="401"/>
      <c r="X290" s="157">
        <f t="shared" si="107"/>
        <v>44106</v>
      </c>
      <c r="Y290" s="384">
        <f t="shared" si="108"/>
        <v>5.0449999999999999</v>
      </c>
      <c r="Z290" s="384">
        <f t="shared" si="109"/>
        <v>5.1404799777669048</v>
      </c>
      <c r="AA290" s="385">
        <f t="shared" si="110"/>
        <v>5.3730584787459028</v>
      </c>
      <c r="AB290" s="196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4.3286054283422318E-2</v>
      </c>
      <c r="AD290" s="230">
        <f>(INDEX(Models!$BJ290:$BT290,,AH290)*(1-AF290)+INDEX(Models!$BJ290:$BT290,,AH290+1)*AF290-ERP_i)*AE290*Ramure*Pc/MaxiM</f>
        <v>2.6074211815113406E-4</v>
      </c>
      <c r="AE290" s="304">
        <f t="shared" si="112"/>
        <v>0.5</v>
      </c>
      <c r="AF290" s="176">
        <f t="shared" si="113"/>
        <v>0.43223534214798104</v>
      </c>
      <c r="AG290" s="814">
        <f t="shared" si="119"/>
        <v>0</v>
      </c>
      <c r="AH290" s="175">
        <f t="shared" si="114"/>
        <v>6</v>
      </c>
      <c r="AI290" s="224">
        <f t="shared" si="115"/>
        <v>0.43223534214798104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44107</v>
      </c>
      <c r="B291" s="616">
        <v>17.04</v>
      </c>
      <c r="C291" s="389"/>
      <c r="D291" s="392">
        <f t="shared" si="98"/>
        <v>17.362873615803643</v>
      </c>
      <c r="E291" s="384">
        <f t="shared" si="96"/>
        <v>18.148704520280386</v>
      </c>
      <c r="F291" s="384">
        <f t="shared" si="99"/>
        <v>18.149432815905516</v>
      </c>
      <c r="G291" s="110">
        <f t="shared" si="97"/>
        <v>0.40761160307932143</v>
      </c>
      <c r="H291" s="413" t="b">
        <f>Wh_hp&gt;='2019'!Maxi_hp</f>
        <v>0</v>
      </c>
      <c r="I291" s="379">
        <f>IF(H291,Wh_hp,'2019'!Maxi_hp)</f>
        <v>43.452210521350182</v>
      </c>
      <c r="J291" s="85">
        <f>IF(H291,An,'2019'!An_max)</f>
        <v>2018</v>
      </c>
      <c r="K291" s="196">
        <f t="shared" si="100"/>
        <v>44107</v>
      </c>
      <c r="L291" s="147">
        <f>IF(t&lt;Tvie,1-EXP((T0-t)*PertePVj)+'2019'!Pspv,1-EXP((T0-t)*PertePVj)+Pspv)</f>
        <v>1.8595632436658627E-2</v>
      </c>
      <c r="M291" s="847"/>
      <c r="N291" s="847"/>
      <c r="O291" s="48">
        <f>IF(t&lt;Tnet,'2019'!Resal+('2019'!Salim-'2019'!Resal)*(1-EXP(('2019'!Tnet-t)/('2019'!Tau_j))),Resal+(Salim-Resal)*(1-EXP((Tnet-t)/(Tau_j))))*Salcycl</f>
        <v>4.3299559128234744E-2</v>
      </c>
      <c r="P291" s="168">
        <f>(INDEX(Models!$BJ291:$BT291,,T291)*(1-R291)+INDEX(Models!$BJ291:$BT291,,T291+1)*R291-ERP_i)*Q291*Ramure*Pc/MaxiM</f>
        <v>2.6080782413713381E-4</v>
      </c>
      <c r="Q291" s="304">
        <f t="shared" si="101"/>
        <v>0.5</v>
      </c>
      <c r="R291" s="176">
        <f t="shared" si="102"/>
        <v>0.43234072672777935</v>
      </c>
      <c r="S291" s="814">
        <f t="shared" si="103"/>
        <v>0</v>
      </c>
      <c r="T291" s="175">
        <f t="shared" si="104"/>
        <v>6</v>
      </c>
      <c r="U291" s="250">
        <f t="shared" si="105"/>
        <v>0.43234072672777935</v>
      </c>
      <c r="V291" s="382">
        <f t="shared" si="106"/>
        <v>41.795276021764586</v>
      </c>
      <c r="W291" s="401"/>
      <c r="X291" s="157">
        <f t="shared" si="107"/>
        <v>44107</v>
      </c>
      <c r="Y291" s="384">
        <f t="shared" si="108"/>
        <v>17.04</v>
      </c>
      <c r="Z291" s="384">
        <f t="shared" si="109"/>
        <v>17.362873615803643</v>
      </c>
      <c r="AA291" s="385">
        <f t="shared" si="110"/>
        <v>18.148704520280386</v>
      </c>
      <c r="AB291" s="196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4.3299559128234744E-2</v>
      </c>
      <c r="AD291" s="230">
        <f>(INDEX(Models!$BJ291:$BT291,,AH291)*(1-AF291)+INDEX(Models!$BJ291:$BT291,,AH291+1)*AF291-ERP_i)*AE291*Ramure*Pc/MaxiM</f>
        <v>2.6080782413713381E-4</v>
      </c>
      <c r="AE291" s="304">
        <f t="shared" si="112"/>
        <v>0.5</v>
      </c>
      <c r="AF291" s="176">
        <f t="shared" si="113"/>
        <v>0.43234072672777935</v>
      </c>
      <c r="AG291" s="814">
        <f t="shared" si="119"/>
        <v>0</v>
      </c>
      <c r="AH291" s="175">
        <f t="shared" si="114"/>
        <v>6</v>
      </c>
      <c r="AI291" s="224">
        <f t="shared" si="115"/>
        <v>0.43234072672777935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44108</v>
      </c>
      <c r="B292" s="616">
        <v>18.998999999999999</v>
      </c>
      <c r="C292" s="389"/>
      <c r="D292" s="392">
        <f t="shared" si="98"/>
        <v>19.359416733742872</v>
      </c>
      <c r="E292" s="384">
        <f t="shared" si="96"/>
        <v>20.235881432062399</v>
      </c>
      <c r="F292" s="384">
        <f t="shared" si="99"/>
        <v>20.237070939929652</v>
      </c>
      <c r="G292" s="110">
        <f t="shared" si="97"/>
        <v>0.45746308433139438</v>
      </c>
      <c r="H292" s="413" t="b">
        <f>Wh_hp&gt;='2019'!Maxi_hp</f>
        <v>0</v>
      </c>
      <c r="I292" s="379">
        <f>IF(H292,Wh_hp,'2019'!Maxi_hp)</f>
        <v>43.149247591520734</v>
      </c>
      <c r="J292" s="85">
        <f>IF(H292,An,'2019'!An_max)</f>
        <v>2018</v>
      </c>
      <c r="K292" s="196">
        <f t="shared" si="100"/>
        <v>44108</v>
      </c>
      <c r="L292" s="147">
        <f>IF(t&lt;Tvie,1-EXP((T0-t)*PertePVj)+'2019'!Pspv,1-EXP((T0-t)*PertePVj)+Pspv)</f>
        <v>1.861712771101609E-2</v>
      </c>
      <c r="M292" s="847"/>
      <c r="N292" s="847"/>
      <c r="O292" s="48">
        <f>IF(t&lt;Tnet,'2019'!Resal+('2019'!Salim-'2019'!Resal)*(1-EXP(('2019'!Tnet-t)/('2019'!Tau_j))),Resal+(Salim-Resal)*(1-EXP((Tnet-t)/(Tau_j))))*Salcycl</f>
        <v>4.3312405306488243E-2</v>
      </c>
      <c r="P292" s="168">
        <f>(INDEX(Models!$BJ292:$BT292,,T292)*(1-R292)+INDEX(Models!$BJ292:$BT292,,T292+1)*R292-ERP_i)*Q292*Ramure*Pc/MaxiM</f>
        <v>2.6114615072561273E-4</v>
      </c>
      <c r="Q292" s="304">
        <f t="shared" si="101"/>
        <v>0.5</v>
      </c>
      <c r="R292" s="176">
        <f t="shared" si="102"/>
        <v>0.43244193836616834</v>
      </c>
      <c r="S292" s="814">
        <f t="shared" si="103"/>
        <v>0</v>
      </c>
      <c r="T292" s="175">
        <f t="shared" si="104"/>
        <v>6</v>
      </c>
      <c r="U292" s="250">
        <f t="shared" si="105"/>
        <v>0.43244193836616834</v>
      </c>
      <c r="V292" s="382">
        <f t="shared" si="106"/>
        <v>41.522814943110923</v>
      </c>
      <c r="W292" s="401"/>
      <c r="X292" s="157">
        <f t="shared" si="107"/>
        <v>44108</v>
      </c>
      <c r="Y292" s="384">
        <f t="shared" si="108"/>
        <v>18.998999999999999</v>
      </c>
      <c r="Z292" s="384">
        <f t="shared" si="109"/>
        <v>19.359416733742872</v>
      </c>
      <c r="AA292" s="385">
        <f t="shared" si="110"/>
        <v>20.235881432062399</v>
      </c>
      <c r="AB292" s="196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4.3312405306488243E-2</v>
      </c>
      <c r="AD292" s="230">
        <f>(INDEX(Models!$BJ292:$BT292,,AH292)*(1-AF292)+INDEX(Models!$BJ292:$BT292,,AH292+1)*AF292-ERP_i)*AE292*Ramure*Pc/MaxiM</f>
        <v>2.6114615072561273E-4</v>
      </c>
      <c r="AE292" s="304">
        <f t="shared" si="112"/>
        <v>0.5</v>
      </c>
      <c r="AF292" s="176">
        <f t="shared" si="113"/>
        <v>0.43244193836616834</v>
      </c>
      <c r="AG292" s="814">
        <f t="shared" si="119"/>
        <v>0</v>
      </c>
      <c r="AH292" s="175">
        <f t="shared" si="114"/>
        <v>6</v>
      </c>
      <c r="AI292" s="224">
        <f t="shared" si="115"/>
        <v>0.43244193836616834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44109</v>
      </c>
      <c r="B293" s="616">
        <v>27.341000000000001</v>
      </c>
      <c r="C293" s="389"/>
      <c r="D293" s="392">
        <f t="shared" si="98"/>
        <v>27.860277189689974</v>
      </c>
      <c r="E293" s="384">
        <f t="shared" si="96"/>
        <v>29.121974699383081</v>
      </c>
      <c r="F293" s="384">
        <f t="shared" si="99"/>
        <v>29.125926406142923</v>
      </c>
      <c r="G293" s="110">
        <f t="shared" si="97"/>
        <v>0.66274187169157983</v>
      </c>
      <c r="H293" s="413" t="b">
        <f>Wh_hp&gt;='2019'!Maxi_hp</f>
        <v>0</v>
      </c>
      <c r="I293" s="379">
        <f>IF(H293,Wh_hp,'2019'!Maxi_hp)</f>
        <v>40.753647143943134</v>
      </c>
      <c r="J293" s="85">
        <f>IF(H293,An,'2019'!An_max)</f>
        <v>2018</v>
      </c>
      <c r="K293" s="196">
        <f t="shared" si="100"/>
        <v>44109</v>
      </c>
      <c r="L293" s="147">
        <f>IF(t&lt;Tvie,1-EXP((T0-t)*PertePVj)+'2019'!Pspv,1-EXP((T0-t)*PertePVj)+Pspv)</f>
        <v>1.8638622514572045E-2</v>
      </c>
      <c r="M293" s="847"/>
      <c r="N293" s="847"/>
      <c r="O293" s="48">
        <f>IF(t&lt;Tnet,'2019'!Resal+('2019'!Salim-'2019'!Resal)*(1-EXP(('2019'!Tnet-t)/('2019'!Tau_j))),Resal+(Salim-Resal)*(1-EXP((Tnet-t)/(Tau_j))))*Salcycl</f>
        <v>4.3324586423730223E-2</v>
      </c>
      <c r="P293" s="168">
        <f>(INDEX(Models!$BJ293:$BT293,,T293)*(1-R293)+INDEX(Models!$BJ293:$BT293,,T293+1)*R293-ERP_i)*Q293*Ramure*Pc/MaxiM</f>
        <v>2.6176118820770133E-4</v>
      </c>
      <c r="Q293" s="304">
        <f t="shared" si="101"/>
        <v>0.5</v>
      </c>
      <c r="R293" s="176">
        <f t="shared" si="102"/>
        <v>0.43253913960879181</v>
      </c>
      <c r="S293" s="814">
        <f t="shared" si="103"/>
        <v>0</v>
      </c>
      <c r="T293" s="175">
        <f t="shared" si="104"/>
        <v>6</v>
      </c>
      <c r="U293" s="250">
        <f t="shared" si="105"/>
        <v>0.43253913960879181</v>
      </c>
      <c r="V293" s="382">
        <f t="shared" si="106"/>
        <v>41.249170184172179</v>
      </c>
      <c r="W293" s="401"/>
      <c r="X293" s="157">
        <f t="shared" si="107"/>
        <v>44109</v>
      </c>
      <c r="Y293" s="384">
        <f t="shared" si="108"/>
        <v>27.341000000000001</v>
      </c>
      <c r="Z293" s="384">
        <f t="shared" si="109"/>
        <v>27.860277189689974</v>
      </c>
      <c r="AA293" s="385">
        <f t="shared" si="110"/>
        <v>29.121974699383081</v>
      </c>
      <c r="AB293" s="196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4.3324586423730223E-2</v>
      </c>
      <c r="AD293" s="230">
        <f>(INDEX(Models!$BJ293:$BT293,,AH293)*(1-AF293)+INDEX(Models!$BJ293:$BT293,,AH293+1)*AF293-ERP_i)*AE293*Ramure*Pc/MaxiM</f>
        <v>2.6176118820770133E-4</v>
      </c>
      <c r="AE293" s="304">
        <f t="shared" si="112"/>
        <v>0.5</v>
      </c>
      <c r="AF293" s="176">
        <f t="shared" si="113"/>
        <v>0.43253913960879181</v>
      </c>
      <c r="AG293" s="814">
        <f t="shared" si="119"/>
        <v>0</v>
      </c>
      <c r="AH293" s="175">
        <f t="shared" si="114"/>
        <v>6</v>
      </c>
      <c r="AI293" s="224">
        <f t="shared" si="115"/>
        <v>0.43253913960879181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44110</v>
      </c>
      <c r="B294" s="616">
        <v>7.9429999999999996</v>
      </c>
      <c r="C294" s="389"/>
      <c r="D294" s="392">
        <f t="shared" si="98"/>
        <v>8.0940356510144369</v>
      </c>
      <c r="E294" s="384">
        <f t="shared" si="96"/>
        <v>8.4606888905422846</v>
      </c>
      <c r="F294" s="384">
        <f t="shared" si="99"/>
        <v>8.4606888905422846</v>
      </c>
      <c r="G294" s="110">
        <f t="shared" si="97"/>
        <v>0.19380354958135196</v>
      </c>
      <c r="H294" s="413" t="b">
        <f>Wh_hp&gt;='2019'!Maxi_hp</f>
        <v>0</v>
      </c>
      <c r="I294" s="379">
        <f>IF(H294,Wh_hp,'2019'!Maxi_hp)</f>
        <v>33.496095409254593</v>
      </c>
      <c r="J294" s="85">
        <f>IF(H294,An,'2019'!An_max)</f>
        <v>2019</v>
      </c>
      <c r="K294" s="196">
        <f t="shared" si="100"/>
        <v>44110</v>
      </c>
      <c r="L294" s="147">
        <f>IF(t&lt;Tvie,1-EXP((T0-t)*PertePVj)+'2019'!Pspv,1-EXP((T0-t)*PertePVj)+Pspv)</f>
        <v>1.8660116847336483E-2</v>
      </c>
      <c r="M294" s="847"/>
      <c r="N294" s="847"/>
      <c r="O294" s="48">
        <f>IF(t&lt;Tnet,'2019'!Resal+('2019'!Salim-'2019'!Resal)*(1-EXP(('2019'!Tnet-t)/('2019'!Tau_j))),Resal+(Salim-Resal)*(1-EXP((Tnet-t)/(Tau_j))))*Salcycl</f>
        <v>4.333609760048121E-2</v>
      </c>
      <c r="P294" s="168">
        <f>(INDEX(Models!$BJ294:$BT294,,T294)*(1-R294)+INDEX(Models!$BJ294:$BT294,,T294+1)*R294-ERP_i)*Q294*Ramure*Pc/MaxiM</f>
        <v>2.6265705760548214E-4</v>
      </c>
      <c r="Q294" s="304">
        <f t="shared" si="101"/>
        <v>0.5</v>
      </c>
      <c r="R294" s="176">
        <f t="shared" si="102"/>
        <v>0.43263248688070555</v>
      </c>
      <c r="S294" s="814">
        <f t="shared" si="103"/>
        <v>0</v>
      </c>
      <c r="T294" s="175">
        <f t="shared" si="104"/>
        <v>6</v>
      </c>
      <c r="U294" s="250">
        <f t="shared" si="105"/>
        <v>0.43263248688070555</v>
      </c>
      <c r="V294" s="382">
        <f t="shared" si="106"/>
        <v>40.974036503176229</v>
      </c>
      <c r="W294" s="401"/>
      <c r="X294" s="157">
        <f t="shared" si="107"/>
        <v>44110</v>
      </c>
      <c r="Y294" s="384">
        <f t="shared" si="108"/>
        <v>7.9430000000000005</v>
      </c>
      <c r="Z294" s="384">
        <f t="shared" si="109"/>
        <v>8.0940356510144369</v>
      </c>
      <c r="AA294" s="385">
        <f t="shared" si="110"/>
        <v>8.4606888905422846</v>
      </c>
      <c r="AB294" s="196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4.333609760048121E-2</v>
      </c>
      <c r="AD294" s="230">
        <f>(INDEX(Models!$BJ294:$BT294,,AH294)*(1-AF294)+INDEX(Models!$BJ294:$BT294,,AH294+1)*AF294-ERP_i)*AE294*Ramure*Pc/MaxiM</f>
        <v>2.6265705760548214E-4</v>
      </c>
      <c r="AE294" s="304">
        <f t="shared" si="112"/>
        <v>0.5</v>
      </c>
      <c r="AF294" s="176">
        <f t="shared" si="113"/>
        <v>0.43263248688070555</v>
      </c>
      <c r="AG294" s="814">
        <f t="shared" si="119"/>
        <v>0</v>
      </c>
      <c r="AH294" s="175">
        <f t="shared" si="114"/>
        <v>6</v>
      </c>
      <c r="AI294" s="224">
        <f t="shared" si="115"/>
        <v>0.43263248688070555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44111</v>
      </c>
      <c r="B295" s="616">
        <v>30.684000000000001</v>
      </c>
      <c r="C295" s="389"/>
      <c r="D295" s="392">
        <f t="shared" si="98"/>
        <v>31.268139204218027</v>
      </c>
      <c r="E295" s="384">
        <f t="shared" si="96"/>
        <v>32.684930793927556</v>
      </c>
      <c r="F295" s="384">
        <f t="shared" si="99"/>
        <v>32.690524232309308</v>
      </c>
      <c r="G295" s="110">
        <f t="shared" si="97"/>
        <v>0.75389026551771798</v>
      </c>
      <c r="H295" s="413" t="b">
        <f>Wh_hp&gt;='2019'!Maxi_hp</f>
        <v>0</v>
      </c>
      <c r="I295" s="379">
        <f>IF(H295,Wh_hp,'2019'!Maxi_hp)</f>
        <v>40.633234602985112</v>
      </c>
      <c r="J295" s="85">
        <f>IF(H295,An,'2019'!An_max)</f>
        <v>2019</v>
      </c>
      <c r="K295" s="196">
        <f t="shared" si="100"/>
        <v>44111</v>
      </c>
      <c r="L295" s="147">
        <f>IF(t&lt;Tvie,1-EXP((T0-t)*PertePVj)+'2019'!Pspv,1-EXP((T0-t)*PertePVj)+Pspv)</f>
        <v>1.8681610709319951E-2</v>
      </c>
      <c r="M295" s="847"/>
      <c r="N295" s="847"/>
      <c r="O295" s="48">
        <f>IF(t&lt;Tnet,'2019'!Resal+('2019'!Salim-'2019'!Resal)*(1-EXP(('2019'!Tnet-t)/('2019'!Tau_j))),Resal+(Salim-Resal)*(1-EXP((Tnet-t)/(Tau_j))))*Salcycl</f>
        <v>4.3346935584540017E-2</v>
      </c>
      <c r="P295" s="168">
        <f>(INDEX(Models!$BJ295:$BT295,,T295)*(1-R295)+INDEX(Models!$BJ295:$BT295,,T295+1)*R295-ERP_i)*Q295*Ramure*Pc/MaxiM</f>
        <v>2.6383793436974933E-4</v>
      </c>
      <c r="Q295" s="304">
        <f t="shared" si="101"/>
        <v>0.5</v>
      </c>
      <c r="R295" s="176">
        <f t="shared" si="102"/>
        <v>0.43272213070022225</v>
      </c>
      <c r="S295" s="814">
        <f t="shared" si="103"/>
        <v>0</v>
      </c>
      <c r="T295" s="175">
        <f t="shared" si="104"/>
        <v>6</v>
      </c>
      <c r="U295" s="250">
        <f t="shared" si="105"/>
        <v>0.43272213070022225</v>
      </c>
      <c r="V295" s="382">
        <f t="shared" si="106"/>
        <v>40.697108624129868</v>
      </c>
      <c r="W295" s="401"/>
      <c r="X295" s="157">
        <f t="shared" si="107"/>
        <v>44111</v>
      </c>
      <c r="Y295" s="384">
        <f t="shared" si="108"/>
        <v>30.684000000000001</v>
      </c>
      <c r="Z295" s="384">
        <f t="shared" si="109"/>
        <v>31.268139204218027</v>
      </c>
      <c r="AA295" s="385">
        <f t="shared" si="110"/>
        <v>32.684930793927556</v>
      </c>
      <c r="AB295" s="196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4.3346935584540017E-2</v>
      </c>
      <c r="AD295" s="230">
        <f>(INDEX(Models!$BJ295:$BT295,,AH295)*(1-AF295)+INDEX(Models!$BJ295:$BT295,,AH295+1)*AF295-ERP_i)*AE295*Ramure*Pc/MaxiM</f>
        <v>2.6383793436974933E-4</v>
      </c>
      <c r="AE295" s="304">
        <f t="shared" si="112"/>
        <v>0.5</v>
      </c>
      <c r="AF295" s="176">
        <f t="shared" si="113"/>
        <v>0.43272213070022225</v>
      </c>
      <c r="AG295" s="814">
        <f t="shared" si="119"/>
        <v>0</v>
      </c>
      <c r="AH295" s="175">
        <f t="shared" si="114"/>
        <v>6</v>
      </c>
      <c r="AI295" s="224">
        <f t="shared" si="115"/>
        <v>0.43272213070022225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44112</v>
      </c>
      <c r="B296" s="616">
        <v>34.393999999999998</v>
      </c>
      <c r="C296" s="389"/>
      <c r="D296" s="392">
        <f t="shared" si="98"/>
        <v>35.049535103720153</v>
      </c>
      <c r="E296" s="384">
        <f t="shared" si="96"/>
        <v>36.638054870714846</v>
      </c>
      <c r="F296" s="384">
        <f t="shared" si="99"/>
        <v>36.645700878669174</v>
      </c>
      <c r="G296" s="110">
        <f t="shared" si="97"/>
        <v>0.85090755762255754</v>
      </c>
      <c r="H296" s="413" t="b">
        <f>Wh_hp&gt;='2019'!Maxi_hp</f>
        <v>1</v>
      </c>
      <c r="I296" s="379">
        <f>IF(H296,Wh_hp,'2019'!Maxi_hp)</f>
        <v>36.645700878669174</v>
      </c>
      <c r="J296" s="85">
        <f>IF(H296,An,'2019'!An_max)</f>
        <v>2020</v>
      </c>
      <c r="K296" s="196">
        <f t="shared" si="100"/>
        <v>44112</v>
      </c>
      <c r="L296" s="147">
        <f>IF(t&lt;Tvie,1-EXP((T0-t)*PertePVj)+'2019'!Pspv,1-EXP((T0-t)*PertePVj)+Pspv)</f>
        <v>1.8703104100532664E-2</v>
      </c>
      <c r="M296" s="847"/>
      <c r="N296" s="847"/>
      <c r="O296" s="48">
        <f>IF(t&lt;Tnet,'2019'!Resal+('2019'!Salim-'2019'!Resal)*(1-EXP(('2019'!Tnet-t)/('2019'!Tau_j))),Resal+(Salim-Resal)*(1-EXP((Tnet-t)/(Tau_j))))*Salcycl</f>
        <v>4.3357098858007627E-2</v>
      </c>
      <c r="P296" s="168">
        <f>(INDEX(Models!$BJ296:$BT296,,T296)*(1-R296)+INDEX(Models!$BJ296:$BT296,,T296+1)*R296-ERP_i)*Q296*Ramure*Pc/MaxiM</f>
        <v>2.6508988266901571E-4</v>
      </c>
      <c r="Q296" s="304">
        <f t="shared" si="101"/>
        <v>0.5</v>
      </c>
      <c r="R296" s="176">
        <f t="shared" si="102"/>
        <v>0.43280821588661977</v>
      </c>
      <c r="S296" s="814">
        <f t="shared" si="103"/>
        <v>0</v>
      </c>
      <c r="T296" s="175">
        <f t="shared" si="104"/>
        <v>6</v>
      </c>
      <c r="U296" s="250">
        <f t="shared" si="105"/>
        <v>0.43280821588661977</v>
      </c>
      <c r="V296" s="382">
        <f t="shared" si="106"/>
        <v>40.41809005354677</v>
      </c>
      <c r="W296" s="401"/>
      <c r="X296" s="157">
        <f t="shared" si="107"/>
        <v>44112</v>
      </c>
      <c r="Y296" s="384">
        <f t="shared" si="108"/>
        <v>34.393999999999998</v>
      </c>
      <c r="Z296" s="384">
        <f t="shared" si="109"/>
        <v>35.049535103720153</v>
      </c>
      <c r="AA296" s="385">
        <f t="shared" si="110"/>
        <v>36.638054870714846</v>
      </c>
      <c r="AB296" s="196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4.3357098858007627E-2</v>
      </c>
      <c r="AD296" s="230">
        <f>(INDEX(Models!$BJ296:$BT296,,AH296)*(1-AF296)+INDEX(Models!$BJ296:$BT296,,AH296+1)*AF296-ERP_i)*AE296*Ramure*Pc/MaxiM</f>
        <v>2.6508988266901571E-4</v>
      </c>
      <c r="AE296" s="304">
        <f t="shared" si="112"/>
        <v>0.5</v>
      </c>
      <c r="AF296" s="176">
        <f t="shared" si="113"/>
        <v>0.43280821588661977</v>
      </c>
      <c r="AG296" s="814">
        <f t="shared" si="119"/>
        <v>0</v>
      </c>
      <c r="AH296" s="175">
        <f t="shared" si="114"/>
        <v>6</v>
      </c>
      <c r="AI296" s="224">
        <f t="shared" si="115"/>
        <v>0.43280821588661977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44113</v>
      </c>
      <c r="B297" s="616">
        <v>26.361000000000001</v>
      </c>
      <c r="C297" s="389"/>
      <c r="D297" s="392">
        <f t="shared" si="98"/>
        <v>26.864017909724112</v>
      </c>
      <c r="E297" s="384">
        <f t="shared" ref="E297:E360" si="120">Wh_pvt/(1-Psa)</f>
        <v>28.081831102053336</v>
      </c>
      <c r="F297" s="384">
        <f t="shared" si="99"/>
        <v>28.085641542291139</v>
      </c>
      <c r="G297" s="110">
        <f t="shared" ref="G297:G360" si="121">+Wh_hp/MaxiM</f>
        <v>0.65669497524525033</v>
      </c>
      <c r="H297" s="413" t="b">
        <f>Wh_hp&gt;='2019'!Maxi_hp</f>
        <v>0</v>
      </c>
      <c r="I297" s="379">
        <f>IF(H297,Wh_hp,'2019'!Maxi_hp)</f>
        <v>30.948419560361163</v>
      </c>
      <c r="J297" s="85">
        <f>IF(H297,An,'2019'!An_max)</f>
        <v>2019</v>
      </c>
      <c r="K297" s="196">
        <f t="shared" si="100"/>
        <v>44113</v>
      </c>
      <c r="L297" s="147">
        <f>IF(t&lt;Tvie,1-EXP((T0-t)*PertePVj)+'2019'!Pspv,1-EXP((T0-t)*PertePVj)+Pspv)</f>
        <v>1.8724597020985057E-2</v>
      </c>
      <c r="M297" s="847"/>
      <c r="N297" s="847"/>
      <c r="O297" s="48">
        <f>IF(t&lt;Tnet,'2019'!Resal+('2019'!Salim-'2019'!Resal)*(1-EXP(('2019'!Tnet-t)/('2019'!Tau_j))),Resal+(Salim-Resal)*(1-EXP((Tnet-t)/(Tau_j))))*Salcycl</f>
        <v>4.3366587737940505E-2</v>
      </c>
      <c r="P297" s="168">
        <f>(INDEX(Models!$BJ297:$BT297,,T297)*(1-R297)+INDEX(Models!$BJ297:$BT297,,T297+1)*R297-ERP_i)*Q297*Ramure*Pc/MaxiM</f>
        <v>2.6618739404309766E-4</v>
      </c>
      <c r="Q297" s="304">
        <f t="shared" si="101"/>
        <v>0.5</v>
      </c>
      <c r="R297" s="176">
        <f t="shared" si="102"/>
        <v>0.43289088176177443</v>
      </c>
      <c r="S297" s="814">
        <f t="shared" si="103"/>
        <v>0</v>
      </c>
      <c r="T297" s="175">
        <f t="shared" si="104"/>
        <v>6</v>
      </c>
      <c r="U297" s="250">
        <f t="shared" si="105"/>
        <v>0.43289088176177443</v>
      </c>
      <c r="V297" s="382">
        <f t="shared" si="106"/>
        <v>40.136684480912443</v>
      </c>
      <c r="W297" s="401"/>
      <c r="X297" s="157">
        <f t="shared" si="107"/>
        <v>44113</v>
      </c>
      <c r="Y297" s="384">
        <f t="shared" si="108"/>
        <v>26.361000000000001</v>
      </c>
      <c r="Z297" s="384">
        <f t="shared" si="109"/>
        <v>26.864017909724112</v>
      </c>
      <c r="AA297" s="385">
        <f t="shared" si="110"/>
        <v>28.081831102053336</v>
      </c>
      <c r="AB297" s="196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4.3366587737940505E-2</v>
      </c>
      <c r="AD297" s="230">
        <f>(INDEX(Models!$BJ297:$BT297,,AH297)*(1-AF297)+INDEX(Models!$BJ297:$BT297,,AH297+1)*AF297-ERP_i)*AE297*Ramure*Pc/MaxiM</f>
        <v>2.6618739404309766E-4</v>
      </c>
      <c r="AE297" s="304">
        <f t="shared" si="112"/>
        <v>0.5</v>
      </c>
      <c r="AF297" s="176">
        <f t="shared" si="113"/>
        <v>0.43289088176177443</v>
      </c>
      <c r="AG297" s="814">
        <f t="shared" si="119"/>
        <v>0</v>
      </c>
      <c r="AH297" s="175">
        <f t="shared" si="114"/>
        <v>6</v>
      </c>
      <c r="AI297" s="224">
        <f t="shared" si="115"/>
        <v>0.43289088176177443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44114</v>
      </c>
      <c r="B298" s="616">
        <v>19.661999999999999</v>
      </c>
      <c r="C298" s="389"/>
      <c r="D298" s="392">
        <f t="shared" si="98"/>
        <v>20.037627151359658</v>
      </c>
      <c r="E298" s="384">
        <f t="shared" si="120"/>
        <v>20.946176007788242</v>
      </c>
      <c r="F298" s="384">
        <f t="shared" si="99"/>
        <v>20.94772178934743</v>
      </c>
      <c r="G298" s="110">
        <f t="shared" si="121"/>
        <v>0.49327283697613489</v>
      </c>
      <c r="H298" s="413" t="b">
        <f>Wh_hp&gt;='2019'!Maxi_hp</f>
        <v>0</v>
      </c>
      <c r="I298" s="379">
        <f>IF(H298,Wh_hp,'2019'!Maxi_hp)</f>
        <v>43.136286710165194</v>
      </c>
      <c r="J298" s="85">
        <f>IF(H298,An,'2019'!An_max)</f>
        <v>2019</v>
      </c>
      <c r="K298" s="196">
        <f t="shared" si="100"/>
        <v>44114</v>
      </c>
      <c r="L298" s="147">
        <f>IF(t&lt;Tvie,1-EXP((T0-t)*PertePVj)+'2019'!Pspv,1-EXP((T0-t)*PertePVj)+Pspv)</f>
        <v>1.8746089470687233E-2</v>
      </c>
      <c r="M298" s="847"/>
      <c r="N298" s="847"/>
      <c r="O298" s="48">
        <f>IF(t&lt;Tnet,'2019'!Resal+('2019'!Salim-'2019'!Resal)*(1-EXP(('2019'!Tnet-t)/('2019'!Tau_j))),Resal+(Salim-Resal)*(1-EXP((Tnet-t)/(Tau_j))))*Salcycl</f>
        <v>4.337540446956837E-2</v>
      </c>
      <c r="P298" s="168">
        <f>(INDEX(Models!$BJ298:$BT298,,T298)*(1-R298)+INDEX(Models!$BJ298:$BT298,,T298+1)*R298-ERP_i)*Q298*Ramure*Pc/MaxiM</f>
        <v>2.6713096938553519E-4</v>
      </c>
      <c r="Q298" s="304">
        <f t="shared" si="101"/>
        <v>0.5</v>
      </c>
      <c r="R298" s="176">
        <f t="shared" si="102"/>
        <v>0.43297026234579422</v>
      </c>
      <c r="S298" s="814">
        <f t="shared" si="103"/>
        <v>0</v>
      </c>
      <c r="T298" s="175">
        <f t="shared" si="104"/>
        <v>6</v>
      </c>
      <c r="U298" s="250">
        <f t="shared" si="105"/>
        <v>0.43297026234579422</v>
      </c>
      <c r="V298" s="382">
        <f t="shared" si="106"/>
        <v>39.852586280612165</v>
      </c>
      <c r="W298" s="401"/>
      <c r="X298" s="157">
        <f t="shared" si="107"/>
        <v>44114</v>
      </c>
      <c r="Y298" s="384">
        <f t="shared" si="108"/>
        <v>19.661999999999999</v>
      </c>
      <c r="Z298" s="384">
        <f t="shared" si="109"/>
        <v>20.037627151359658</v>
      </c>
      <c r="AA298" s="385">
        <f t="shared" si="110"/>
        <v>20.946176007788242</v>
      </c>
      <c r="AB298" s="196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4.337540446956837E-2</v>
      </c>
      <c r="AD298" s="230">
        <f>(INDEX(Models!$BJ298:$BT298,,AH298)*(1-AF298)+INDEX(Models!$BJ298:$BT298,,AH298+1)*AF298-ERP_i)*AE298*Ramure*Pc/MaxiM</f>
        <v>2.6713096938553519E-4</v>
      </c>
      <c r="AE298" s="304">
        <f t="shared" si="112"/>
        <v>0.5</v>
      </c>
      <c r="AF298" s="176">
        <f t="shared" si="113"/>
        <v>0.43297026234579422</v>
      </c>
      <c r="AG298" s="814">
        <f t="shared" si="119"/>
        <v>0</v>
      </c>
      <c r="AH298" s="175">
        <f t="shared" si="114"/>
        <v>6</v>
      </c>
      <c r="AI298" s="224">
        <f t="shared" si="115"/>
        <v>0.43297026234579422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44115</v>
      </c>
      <c r="B299" s="616">
        <v>16.513000000000002</v>
      </c>
      <c r="C299" s="389"/>
      <c r="D299" s="392">
        <f t="shared" si="98"/>
        <v>16.828836560858758</v>
      </c>
      <c r="E299" s="384">
        <f t="shared" si="120"/>
        <v>17.592041846140965</v>
      </c>
      <c r="F299" s="384">
        <f t="shared" si="99"/>
        <v>17.592832088269361</v>
      </c>
      <c r="G299" s="110">
        <f t="shared" si="121"/>
        <v>0.41726558892586679</v>
      </c>
      <c r="H299" s="413" t="b">
        <f>Wh_hp&gt;='2019'!Maxi_hp</f>
        <v>0</v>
      </c>
      <c r="I299" s="379">
        <f>IF(H299,Wh_hp,'2019'!Maxi_hp)</f>
        <v>36.936776591122225</v>
      </c>
      <c r="J299" s="85">
        <f>IF(H299,An,'2019'!An_max)</f>
        <v>2018</v>
      </c>
      <c r="K299" s="196">
        <f t="shared" si="100"/>
        <v>44115</v>
      </c>
      <c r="L299" s="147">
        <f>IF(t&lt;Tvie,1-EXP((T0-t)*PertePVj)+'2019'!Pspv,1-EXP((T0-t)*PertePVj)+Pspv)</f>
        <v>1.8767581449649517E-2</v>
      </c>
      <c r="M299" s="847"/>
      <c r="N299" s="847"/>
      <c r="O299" s="48">
        <f>IF(t&lt;Tnet,'2019'!Resal+('2019'!Salim-'2019'!Resal)*(1-EXP(('2019'!Tnet-t)/('2019'!Tau_j))),Resal+(Salim-Resal)*(1-EXP((Tnet-t)/(Tau_j))))*Salcycl</f>
        <v>4.3383553311045965E-2</v>
      </c>
      <c r="P299" s="168">
        <f>(INDEX(Models!$BJ299:$BT299,,T299)*(1-R299)+INDEX(Models!$BJ299:$BT299,,T299+1)*R299-ERP_i)*Q299*Ramure*Pc/MaxiM</f>
        <v>2.6792133536660803E-4</v>
      </c>
      <c r="Q299" s="304">
        <f t="shared" si="101"/>
        <v>0.5</v>
      </c>
      <c r="R299" s="176">
        <f t="shared" si="102"/>
        <v>0.43304648654673511</v>
      </c>
      <c r="S299" s="814">
        <f t="shared" si="103"/>
        <v>0</v>
      </c>
      <c r="T299" s="175">
        <f t="shared" si="104"/>
        <v>6</v>
      </c>
      <c r="U299" s="250">
        <f t="shared" si="105"/>
        <v>0.43304648654673511</v>
      </c>
      <c r="V299" s="382">
        <f t="shared" si="106"/>
        <v>39.565489763614032</v>
      </c>
      <c r="W299" s="401"/>
      <c r="X299" s="157">
        <f t="shared" si="107"/>
        <v>44115</v>
      </c>
      <c r="Y299" s="384">
        <f t="shared" si="108"/>
        <v>16.513000000000002</v>
      </c>
      <c r="Z299" s="384">
        <f t="shared" si="109"/>
        <v>16.828836560858758</v>
      </c>
      <c r="AA299" s="385">
        <f t="shared" si="110"/>
        <v>17.592041846140965</v>
      </c>
      <c r="AB299" s="196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4.3383553311045965E-2</v>
      </c>
      <c r="AD299" s="230">
        <f>(INDEX(Models!$BJ299:$BT299,,AH299)*(1-AF299)+INDEX(Models!$BJ299:$BT299,,AH299+1)*AF299-ERP_i)*AE299*Ramure*Pc/MaxiM</f>
        <v>2.6792133536660803E-4</v>
      </c>
      <c r="AE299" s="304">
        <f t="shared" si="112"/>
        <v>0.5</v>
      </c>
      <c r="AF299" s="176">
        <f t="shared" si="113"/>
        <v>0.43304648654673511</v>
      </c>
      <c r="AG299" s="814">
        <f t="shared" si="119"/>
        <v>0</v>
      </c>
      <c r="AH299" s="175">
        <f t="shared" si="114"/>
        <v>6</v>
      </c>
      <c r="AI299" s="224">
        <f t="shared" si="115"/>
        <v>0.43304648654673511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44116</v>
      </c>
      <c r="B300" s="616">
        <v>24.957000000000001</v>
      </c>
      <c r="C300" s="389"/>
      <c r="D300" s="392">
        <f t="shared" si="98"/>
        <v>25.434898157151022</v>
      </c>
      <c r="E300" s="384">
        <f t="shared" si="120"/>
        <v>26.588605414418168</v>
      </c>
      <c r="F300" s="384">
        <f t="shared" si="99"/>
        <v>26.592027650188221</v>
      </c>
      <c r="G300" s="110">
        <f t="shared" si="121"/>
        <v>0.63535206294447366</v>
      </c>
      <c r="H300" s="413" t="b">
        <f>Wh_hp&gt;='2019'!Maxi_hp</f>
        <v>0</v>
      </c>
      <c r="I300" s="379">
        <f>IF(H300,Wh_hp,'2019'!Maxi_hp)</f>
        <v>37.84870437550817</v>
      </c>
      <c r="J300" s="85">
        <f>IF(H300,An,'2019'!An_max)</f>
        <v>2019</v>
      </c>
      <c r="K300" s="196">
        <f t="shared" si="100"/>
        <v>44116</v>
      </c>
      <c r="L300" s="147">
        <f>IF(t&lt;Tvie,1-EXP((T0-t)*PertePVj)+'2019'!Pspv,1-EXP((T0-t)*PertePVj)+Pspv)</f>
        <v>1.8789072957882458E-2</v>
      </c>
      <c r="M300" s="847"/>
      <c r="N300" s="847"/>
      <c r="O300" s="48">
        <f>IF(t&lt;Tnet,'2019'!Resal+('2019'!Salim-'2019'!Resal)*(1-EXP(('2019'!Tnet-t)/('2019'!Tau_j))),Resal+(Salim-Resal)*(1-EXP((Tnet-t)/(Tau_j))))*Salcycl</f>
        <v>4.3391040608753643E-2</v>
      </c>
      <c r="P300" s="168">
        <f>(INDEX(Models!$BJ300:$BT300,,T300)*(1-R300)+INDEX(Models!$BJ300:$BT300,,T300+1)*R300-ERP_i)*Q300*Ramure*Pc/MaxiM</f>
        <v>2.6855944612423188E-4</v>
      </c>
      <c r="Q300" s="304">
        <f t="shared" si="101"/>
        <v>0.5</v>
      </c>
      <c r="R300" s="176">
        <f t="shared" si="102"/>
        <v>0.43311967834449161</v>
      </c>
      <c r="S300" s="814">
        <f t="shared" si="103"/>
        <v>0</v>
      </c>
      <c r="T300" s="175">
        <f t="shared" si="104"/>
        <v>6</v>
      </c>
      <c r="U300" s="250">
        <f t="shared" si="105"/>
        <v>0.43311967834449161</v>
      </c>
      <c r="V300" s="382">
        <f t="shared" si="106"/>
        <v>39.275089175624103</v>
      </c>
      <c r="W300" s="401"/>
      <c r="X300" s="157">
        <f t="shared" si="107"/>
        <v>44116</v>
      </c>
      <c r="Y300" s="384">
        <f t="shared" si="108"/>
        <v>24.957000000000001</v>
      </c>
      <c r="Z300" s="384">
        <f t="shared" si="109"/>
        <v>25.434898157151022</v>
      </c>
      <c r="AA300" s="385">
        <f t="shared" si="110"/>
        <v>26.588605414418168</v>
      </c>
      <c r="AB300" s="196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4.3391040608753643E-2</v>
      </c>
      <c r="AD300" s="230">
        <f>(INDEX(Models!$BJ300:$BT300,,AH300)*(1-AF300)+INDEX(Models!$BJ300:$BT300,,AH300+1)*AF300-ERP_i)*AE300*Ramure*Pc/MaxiM</f>
        <v>2.6855944612423188E-4</v>
      </c>
      <c r="AE300" s="304">
        <f t="shared" si="112"/>
        <v>0.5</v>
      </c>
      <c r="AF300" s="176">
        <f t="shared" si="113"/>
        <v>0.43311967834449161</v>
      </c>
      <c r="AG300" s="814">
        <f t="shared" si="119"/>
        <v>0</v>
      </c>
      <c r="AH300" s="175">
        <f t="shared" si="114"/>
        <v>6</v>
      </c>
      <c r="AI300" s="224">
        <f t="shared" si="115"/>
        <v>0.43311967834449161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44117</v>
      </c>
      <c r="B301" s="616">
        <v>23.119</v>
      </c>
      <c r="C301" s="389"/>
      <c r="D301" s="392">
        <f t="shared" si="98"/>
        <v>23.562218621248508</v>
      </c>
      <c r="E301" s="384">
        <f t="shared" si="120"/>
        <v>24.631158558062744</v>
      </c>
      <c r="F301" s="384">
        <f t="shared" si="99"/>
        <v>24.633933494883536</v>
      </c>
      <c r="G301" s="110">
        <f t="shared" si="121"/>
        <v>0.59298984444029035</v>
      </c>
      <c r="H301" s="413" t="b">
        <f>Wh_hp&gt;='2019'!Maxi_hp</f>
        <v>0</v>
      </c>
      <c r="I301" s="379">
        <f>IF(H301,Wh_hp,'2019'!Maxi_hp)</f>
        <v>38.327866224803074</v>
      </c>
      <c r="J301" s="85">
        <f>IF(H301,An,'2019'!An_max)</f>
        <v>2018</v>
      </c>
      <c r="K301" s="196">
        <f t="shared" si="100"/>
        <v>44117</v>
      </c>
      <c r="L301" s="147">
        <f>IF(t&lt;Tvie,1-EXP((T0-t)*PertePVj)+'2019'!Pspv,1-EXP((T0-t)*PertePVj)+Pspv)</f>
        <v>1.8810563995396046E-2</v>
      </c>
      <c r="M301" s="847"/>
      <c r="N301" s="847"/>
      <c r="O301" s="48">
        <f>IF(t&lt;Tnet,'2019'!Resal+('2019'!Salim-'2019'!Resal)*(1-EXP(('2019'!Tnet-t)/('2019'!Tau_j))),Resal+(Salim-Resal)*(1-EXP((Tnet-t)/(Tau_j))))*Salcycl</f>
        <v>4.3397874862217176E-2</v>
      </c>
      <c r="P301" s="168">
        <f>(INDEX(Models!$BJ301:$BT301,,T301)*(1-R301)+INDEX(Models!$BJ301:$BT301,,T301+1)*R301-ERP_i)*Q301*Ramure*Pc/MaxiM</f>
        <v>2.6904648378332785E-4</v>
      </c>
      <c r="Q301" s="304">
        <f t="shared" si="101"/>
        <v>0.5</v>
      </c>
      <c r="R301" s="176">
        <f t="shared" si="102"/>
        <v>0.43318995696896007</v>
      </c>
      <c r="S301" s="814">
        <f t="shared" si="103"/>
        <v>0</v>
      </c>
      <c r="T301" s="175">
        <f t="shared" si="104"/>
        <v>6</v>
      </c>
      <c r="U301" s="250">
        <f t="shared" si="105"/>
        <v>0.43318995696896007</v>
      </c>
      <c r="V301" s="382">
        <f t="shared" si="106"/>
        <v>38.981078694573704</v>
      </c>
      <c r="W301" s="401"/>
      <c r="X301" s="157">
        <f t="shared" si="107"/>
        <v>44117</v>
      </c>
      <c r="Y301" s="384">
        <f t="shared" si="108"/>
        <v>23.119</v>
      </c>
      <c r="Z301" s="384">
        <f t="shared" si="109"/>
        <v>23.562218621248508</v>
      </c>
      <c r="AA301" s="385">
        <f t="shared" si="110"/>
        <v>24.631158558062744</v>
      </c>
      <c r="AB301" s="196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4.3397874862217176E-2</v>
      </c>
      <c r="AD301" s="230">
        <f>(INDEX(Models!$BJ301:$BT301,,AH301)*(1-AF301)+INDEX(Models!$BJ301:$BT301,,AH301+1)*AF301-ERP_i)*AE301*Ramure*Pc/MaxiM</f>
        <v>2.6904648378332785E-4</v>
      </c>
      <c r="AE301" s="304">
        <f t="shared" si="112"/>
        <v>0.5</v>
      </c>
      <c r="AF301" s="176">
        <f t="shared" si="113"/>
        <v>0.43318995696896007</v>
      </c>
      <c r="AG301" s="814">
        <f t="shared" si="119"/>
        <v>0</v>
      </c>
      <c r="AH301" s="175">
        <f t="shared" si="114"/>
        <v>6</v>
      </c>
      <c r="AI301" s="224">
        <f t="shared" si="115"/>
        <v>0.43318995696896007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44118</v>
      </c>
      <c r="B302" s="616">
        <v>13.709</v>
      </c>
      <c r="C302" s="389"/>
      <c r="D302" s="392">
        <f t="shared" si="98"/>
        <v>13.972123797708267</v>
      </c>
      <c r="E302" s="384">
        <f t="shared" si="120"/>
        <v>14.606087390152581</v>
      </c>
      <c r="F302" s="384">
        <f t="shared" si="99"/>
        <v>14.606393129681289</v>
      </c>
      <c r="G302" s="110">
        <f t="shared" si="121"/>
        <v>0.35430395506778334</v>
      </c>
      <c r="H302" s="413" t="b">
        <f>Wh_hp&gt;='2019'!Maxi_hp</f>
        <v>0</v>
      </c>
      <c r="I302" s="379">
        <f>IF(H302,Wh_hp,'2019'!Maxi_hp)</f>
        <v>33.740086539652182</v>
      </c>
      <c r="J302" s="85">
        <f>IF(H302,An,'2019'!An_max)</f>
        <v>2019</v>
      </c>
      <c r="K302" s="196">
        <f t="shared" si="100"/>
        <v>44118</v>
      </c>
      <c r="L302" s="147">
        <f>IF(t&lt;Tvie,1-EXP((T0-t)*PertePVj)+'2019'!Pspv,1-EXP((T0-t)*PertePVj)+Pspv)</f>
        <v>1.8832054562200939E-2</v>
      </c>
      <c r="M302" s="847"/>
      <c r="N302" s="847"/>
      <c r="O302" s="48">
        <f>IF(t&lt;Tnet,'2019'!Resal+('2019'!Salim-'2019'!Resal)*(1-EXP(('2019'!Tnet-t)/('2019'!Tau_j))),Resal+(Salim-Resal)*(1-EXP((Tnet-t)/(Tau_j))))*Salcycl</f>
        <v>4.3404066777782767E-2</v>
      </c>
      <c r="P302" s="168">
        <f>(INDEX(Models!$BJ302:$BT302,,T302)*(1-R302)+INDEX(Models!$BJ302:$BT302,,T302+1)*R302-ERP_i)*Q302*Ramure*Pc/MaxiM</f>
        <v>2.6938385767338532E-4</v>
      </c>
      <c r="Q302" s="304">
        <f t="shared" si="101"/>
        <v>0.5</v>
      </c>
      <c r="R302" s="176">
        <f t="shared" si="102"/>
        <v>0.43325743707257969</v>
      </c>
      <c r="S302" s="814">
        <f t="shared" si="103"/>
        <v>0</v>
      </c>
      <c r="T302" s="175">
        <f t="shared" si="104"/>
        <v>6</v>
      </c>
      <c r="U302" s="250">
        <f t="shared" si="105"/>
        <v>0.43325743707257969</v>
      </c>
      <c r="V302" s="382">
        <f t="shared" si="106"/>
        <v>38.683152430980797</v>
      </c>
      <c r="W302" s="401"/>
      <c r="X302" s="157">
        <f t="shared" si="107"/>
        <v>44118</v>
      </c>
      <c r="Y302" s="384">
        <f t="shared" si="108"/>
        <v>13.709</v>
      </c>
      <c r="Z302" s="384">
        <f t="shared" si="109"/>
        <v>13.972123797708267</v>
      </c>
      <c r="AA302" s="385">
        <f t="shared" si="110"/>
        <v>14.606087390152581</v>
      </c>
      <c r="AB302" s="196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4.3404066777782767E-2</v>
      </c>
      <c r="AD302" s="230">
        <f>(INDEX(Models!$BJ302:$BT302,,AH302)*(1-AF302)+INDEX(Models!$BJ302:$BT302,,AH302+1)*AF302-ERP_i)*AE302*Ramure*Pc/MaxiM</f>
        <v>2.6938385767338532E-4</v>
      </c>
      <c r="AE302" s="304">
        <f t="shared" si="112"/>
        <v>0.5</v>
      </c>
      <c r="AF302" s="176">
        <f t="shared" si="113"/>
        <v>0.43325743707257969</v>
      </c>
      <c r="AG302" s="814">
        <f t="shared" si="119"/>
        <v>0</v>
      </c>
      <c r="AH302" s="175">
        <f t="shared" si="114"/>
        <v>6</v>
      </c>
      <c r="AI302" s="224">
        <f t="shared" si="115"/>
        <v>0.43325743707257969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44119</v>
      </c>
      <c r="B303" s="616">
        <v>19.131</v>
      </c>
      <c r="C303" s="389"/>
      <c r="D303" s="392">
        <f t="shared" si="98"/>
        <v>19.498618066491879</v>
      </c>
      <c r="E303" s="384">
        <f t="shared" si="120"/>
        <v>20.383456350739291</v>
      </c>
      <c r="F303" s="384">
        <f t="shared" si="99"/>
        <v>20.385014489508471</v>
      </c>
      <c r="G303" s="110">
        <f t="shared" si="121"/>
        <v>0.49837498045289663</v>
      </c>
      <c r="H303" s="413" t="b">
        <f>Wh_hp&gt;='2019'!Maxi_hp</f>
        <v>0</v>
      </c>
      <c r="I303" s="379">
        <f>IF(H303,Wh_hp,'2019'!Maxi_hp)</f>
        <v>36.444133710863234</v>
      </c>
      <c r="J303" s="85">
        <f>IF(H303,An,'2019'!An_max)</f>
        <v>2019</v>
      </c>
      <c r="K303" s="196">
        <f t="shared" si="100"/>
        <v>44119</v>
      </c>
      <c r="L303" s="147">
        <f>IF(t&lt;Tvie,1-EXP((T0-t)*PertePVj)+'2019'!Pspv,1-EXP((T0-t)*PertePVj)+Pspv)</f>
        <v>1.8853544658307131E-2</v>
      </c>
      <c r="M303" s="847"/>
      <c r="N303" s="847"/>
      <c r="O303" s="48">
        <f>IF(t&lt;Tnet,'2019'!Resal+('2019'!Salim-'2019'!Resal)*(1-EXP(('2019'!Tnet-t)/('2019'!Tau_j))),Resal+(Salim-Resal)*(1-EXP((Tnet-t)/(Tau_j))))*Salcycl</f>
        <v>4.3409629310257734E-2</v>
      </c>
      <c r="P303" s="168">
        <f>(INDEX(Models!$BJ303:$BT303,,T303)*(1-R303)+INDEX(Models!$BJ303:$BT303,,T303+1)*R303-ERP_i)*Q303*Ramure*Pc/MaxiM</f>
        <v>2.6958486509741673E-4</v>
      </c>
      <c r="Q303" s="304">
        <f t="shared" si="101"/>
        <v>0.5</v>
      </c>
      <c r="R303" s="176">
        <f t="shared" si="102"/>
        <v>0.4333222288973595</v>
      </c>
      <c r="S303" s="814">
        <f t="shared" si="103"/>
        <v>0</v>
      </c>
      <c r="T303" s="175">
        <f t="shared" si="104"/>
        <v>6</v>
      </c>
      <c r="U303" s="250">
        <f t="shared" si="105"/>
        <v>0.4333222288973595</v>
      </c>
      <c r="V303" s="382">
        <f t="shared" si="106"/>
        <v>38.379343520911647</v>
      </c>
      <c r="W303" s="401"/>
      <c r="X303" s="157">
        <f t="shared" si="107"/>
        <v>44119</v>
      </c>
      <c r="Y303" s="384">
        <f t="shared" si="108"/>
        <v>19.131</v>
      </c>
      <c r="Z303" s="384">
        <f t="shared" si="109"/>
        <v>19.498618066491879</v>
      </c>
      <c r="AA303" s="385">
        <f t="shared" si="110"/>
        <v>20.383456350739291</v>
      </c>
      <c r="AB303" s="196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4.3409629310257734E-2</v>
      </c>
      <c r="AD303" s="230">
        <f>(INDEX(Models!$BJ303:$BT303,,AH303)*(1-AF303)+INDEX(Models!$BJ303:$BT303,,AH303+1)*AF303-ERP_i)*AE303*Ramure*Pc/MaxiM</f>
        <v>2.6958486509741673E-4</v>
      </c>
      <c r="AE303" s="304">
        <f t="shared" si="112"/>
        <v>0.5</v>
      </c>
      <c r="AF303" s="176">
        <f t="shared" si="113"/>
        <v>0.4333222288973595</v>
      </c>
      <c r="AG303" s="814">
        <f t="shared" si="119"/>
        <v>0</v>
      </c>
      <c r="AH303" s="175">
        <f t="shared" si="114"/>
        <v>6</v>
      </c>
      <c r="AI303" s="224">
        <f t="shared" si="115"/>
        <v>0.4333222288973595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44120</v>
      </c>
      <c r="B304" s="616">
        <v>11.063000000000001</v>
      </c>
      <c r="C304" s="389"/>
      <c r="D304" s="392">
        <f t="shared" si="98"/>
        <v>11.275831710105763</v>
      </c>
      <c r="E304" s="384">
        <f t="shared" si="120"/>
        <v>11.787584722854962</v>
      </c>
      <c r="F304" s="384">
        <f t="shared" si="99"/>
        <v>11.787584722854962</v>
      </c>
      <c r="G304" s="110">
        <f t="shared" si="121"/>
        <v>0.2905283312347573</v>
      </c>
      <c r="H304" s="413" t="b">
        <f>Wh_hp&gt;='2019'!Maxi_hp</f>
        <v>0</v>
      </c>
      <c r="I304" s="379">
        <f>IF(H304,Wh_hp,'2019'!Maxi_hp)</f>
        <v>24.006785135758257</v>
      </c>
      <c r="J304" s="85">
        <f>IF(H304,An,'2019'!An_max)</f>
        <v>2018</v>
      </c>
      <c r="K304" s="196">
        <f t="shared" si="100"/>
        <v>44120</v>
      </c>
      <c r="L304" s="147">
        <f>IF(t&lt;Tvie,1-EXP((T0-t)*PertePVj)+'2019'!Pspv,1-EXP((T0-t)*PertePVj)+Pspv)</f>
        <v>1.8875034283725167E-2</v>
      </c>
      <c r="M304" s="847"/>
      <c r="N304" s="847"/>
      <c r="O304" s="48">
        <f>IF(t&lt;Tnet,'2019'!Resal+('2019'!Salim-'2019'!Resal)*(1-EXP(('2019'!Tnet-t)/('2019'!Tau_j))),Resal+(Salim-Resal)*(1-EXP((Tnet-t)/(Tau_j))))*Salcycl</f>
        <v>4.3414577691811701E-2</v>
      </c>
      <c r="P304" s="168">
        <f>(INDEX(Models!$BJ304:$BT304,,T304)*(1-R304)+INDEX(Models!$BJ304:$BT304,,T304+1)*R304-ERP_i)*Q304*Ramure*Pc/MaxiM</f>
        <v>2.6950748760990541E-4</v>
      </c>
      <c r="Q304" s="304">
        <f t="shared" si="101"/>
        <v>0.5</v>
      </c>
      <c r="R304" s="176">
        <f t="shared" si="102"/>
        <v>0.43338443843650637</v>
      </c>
      <c r="S304" s="814">
        <f t="shared" si="103"/>
        <v>0</v>
      </c>
      <c r="T304" s="175">
        <f t="shared" si="104"/>
        <v>6</v>
      </c>
      <c r="U304" s="250">
        <f t="shared" si="105"/>
        <v>0.43338443843650637</v>
      </c>
      <c r="V304" s="382">
        <f t="shared" si="106"/>
        <v>38.068639955556293</v>
      </c>
      <c r="W304" s="401"/>
      <c r="X304" s="157">
        <f t="shared" si="107"/>
        <v>44120</v>
      </c>
      <c r="Y304" s="384">
        <f t="shared" si="108"/>
        <v>11.063000000000001</v>
      </c>
      <c r="Z304" s="384">
        <f t="shared" si="109"/>
        <v>11.275831710105763</v>
      </c>
      <c r="AA304" s="385">
        <f t="shared" si="110"/>
        <v>11.787584722854962</v>
      </c>
      <c r="AB304" s="196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4.3414577691811701E-2</v>
      </c>
      <c r="AD304" s="230">
        <f>(INDEX(Models!$BJ304:$BT304,,AH304)*(1-AF304)+INDEX(Models!$BJ304:$BT304,,AH304+1)*AF304-ERP_i)*AE304*Ramure*Pc/MaxiM</f>
        <v>2.6950748760990541E-4</v>
      </c>
      <c r="AE304" s="304">
        <f t="shared" si="112"/>
        <v>0.5</v>
      </c>
      <c r="AF304" s="176">
        <f t="shared" si="113"/>
        <v>0.43338443843650637</v>
      </c>
      <c r="AG304" s="814">
        <f t="shared" si="119"/>
        <v>0</v>
      </c>
      <c r="AH304" s="175">
        <f t="shared" si="114"/>
        <v>6</v>
      </c>
      <c r="AI304" s="224">
        <f t="shared" si="115"/>
        <v>0.43338443843650637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44121</v>
      </c>
      <c r="B305" s="616">
        <v>38.088999999999999</v>
      </c>
      <c r="C305" s="389"/>
      <c r="D305" s="392">
        <f t="shared" si="98"/>
        <v>38.822612405258411</v>
      </c>
      <c r="E305" s="384">
        <f t="shared" si="120"/>
        <v>40.58475920168096</v>
      </c>
      <c r="F305" s="384">
        <f t="shared" si="99"/>
        <v>40.595682285029085</v>
      </c>
      <c r="G305" s="110">
        <f t="shared" si="121"/>
        <v>1.0089223488108736</v>
      </c>
      <c r="H305" s="413" t="b">
        <f>Wh_hp&gt;='2019'!Maxi_hp</f>
        <v>1</v>
      </c>
      <c r="I305" s="379">
        <f>IF(H305,Wh_hp,'2019'!Maxi_hp)</f>
        <v>40.595682285029085</v>
      </c>
      <c r="J305" s="85">
        <f>IF(H305,An,'2019'!An_max)</f>
        <v>2020</v>
      </c>
      <c r="K305" s="196">
        <f t="shared" si="100"/>
        <v>44121</v>
      </c>
      <c r="L305" s="147">
        <f>IF(t&lt;Tvie,1-EXP((T0-t)*PertePVj)+'2019'!Pspv,1-EXP((T0-t)*PertePVj)+Pspv)</f>
        <v>1.8896523438465151E-2</v>
      </c>
      <c r="M305" s="847"/>
      <c r="N305" s="847"/>
      <c r="O305" s="48">
        <f>IF(t&lt;Tnet,'2019'!Resal+('2019'!Salim-'2019'!Resal)*(1-EXP(('2019'!Tnet-t)/('2019'!Tau_j))),Resal+(Salim-Resal)*(1-EXP((Tnet-t)/(Tau_j))))*Salcycl</f>
        <v>4.3418929447524283E-2</v>
      </c>
      <c r="P305" s="168">
        <f>(INDEX(Models!$BJ305:$BT305,,T305)*(1-R305)+INDEX(Models!$BJ305:$BT305,,T305+1)*R305-ERP_i)*Q305*Ramure*Pc/MaxiM</f>
        <v>2.6907007674939948E-4</v>
      </c>
      <c r="Q305" s="304">
        <f t="shared" si="101"/>
        <v>0.5</v>
      </c>
      <c r="R305" s="176">
        <f t="shared" si="102"/>
        <v>0.43344416759077065</v>
      </c>
      <c r="S305" s="814">
        <f t="shared" si="103"/>
        <v>0</v>
      </c>
      <c r="T305" s="175">
        <f t="shared" si="104"/>
        <v>6</v>
      </c>
      <c r="U305" s="250">
        <f t="shared" si="105"/>
        <v>0.43344416759077065</v>
      </c>
      <c r="V305" s="382">
        <f t="shared" si="106"/>
        <v>37.75216204189757</v>
      </c>
      <c r="W305" s="401"/>
      <c r="X305" s="157">
        <f t="shared" si="107"/>
        <v>44121</v>
      </c>
      <c r="Y305" s="384">
        <f t="shared" si="108"/>
        <v>38.088999999999999</v>
      </c>
      <c r="Z305" s="384">
        <f t="shared" si="109"/>
        <v>38.822612405258411</v>
      </c>
      <c r="AA305" s="385">
        <f t="shared" si="110"/>
        <v>40.58475920168096</v>
      </c>
      <c r="AB305" s="196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4.3418929447524283E-2</v>
      </c>
      <c r="AD305" s="230">
        <f>(INDEX(Models!$BJ305:$BT305,,AH305)*(1-AF305)+INDEX(Models!$BJ305:$BT305,,AH305+1)*AF305-ERP_i)*AE305*Ramure*Pc/MaxiM</f>
        <v>2.6907007674939948E-4</v>
      </c>
      <c r="AE305" s="304">
        <f t="shared" si="112"/>
        <v>0.5</v>
      </c>
      <c r="AF305" s="176">
        <f t="shared" si="113"/>
        <v>0.43344416759077065</v>
      </c>
      <c r="AG305" s="814">
        <f t="shared" si="119"/>
        <v>0</v>
      </c>
      <c r="AH305" s="175">
        <f t="shared" si="114"/>
        <v>6</v>
      </c>
      <c r="AI305" s="224">
        <f t="shared" si="115"/>
        <v>0.43344416759077065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44122</v>
      </c>
      <c r="B306" s="616">
        <v>36.835999999999999</v>
      </c>
      <c r="C306" s="389"/>
      <c r="D306" s="392">
        <f t="shared" si="98"/>
        <v>37.546301384753207</v>
      </c>
      <c r="E306" s="384">
        <f t="shared" si="120"/>
        <v>39.250671699339875</v>
      </c>
      <c r="F306" s="384">
        <f t="shared" si="99"/>
        <v>39.260964769799557</v>
      </c>
      <c r="G306" s="110">
        <f t="shared" si="121"/>
        <v>0.98409737608778991</v>
      </c>
      <c r="H306" s="413" t="b">
        <f>Wh_hp&gt;='2019'!Maxi_hp</f>
        <v>1</v>
      </c>
      <c r="I306" s="379">
        <f>IF(H306,Wh_hp,'2019'!Maxi_hp)</f>
        <v>39.260964769799557</v>
      </c>
      <c r="J306" s="85">
        <f>IF(H306,An,'2019'!An_max)</f>
        <v>2020</v>
      </c>
      <c r="K306" s="196">
        <f t="shared" si="100"/>
        <v>44122</v>
      </c>
      <c r="L306" s="147">
        <f>IF(t&lt;Tvie,1-EXP((T0-t)*PertePVj)+'2019'!Pspv,1-EXP((T0-t)*PertePVj)+Pspv)</f>
        <v>1.891801212253752E-2</v>
      </c>
      <c r="M306" s="847"/>
      <c r="N306" s="847"/>
      <c r="O306" s="48">
        <f>IF(t&lt;Tnet,'2019'!Resal+('2019'!Salim-'2019'!Resal)*(1-EXP(('2019'!Tnet-t)/('2019'!Tau_j))),Resal+(Salim-Resal)*(1-EXP((Tnet-t)/(Tau_j))))*Salcycl</f>
        <v>4.3422704397064797E-2</v>
      </c>
      <c r="P306" s="168">
        <f>(INDEX(Models!$BJ306:$BT306,,T306)*(1-R306)+INDEX(Models!$BJ306:$BT306,,T306+1)*R306-ERP_i)*Q306*Ramure*Pc/MaxiM</f>
        <v>2.6826269706219054E-4</v>
      </c>
      <c r="Q306" s="304">
        <f t="shared" si="101"/>
        <v>0.5</v>
      </c>
      <c r="R306" s="176">
        <f t="shared" si="102"/>
        <v>0.43350151431962874</v>
      </c>
      <c r="S306" s="814">
        <f t="shared" si="103"/>
        <v>0</v>
      </c>
      <c r="T306" s="175">
        <f t="shared" si="104"/>
        <v>6</v>
      </c>
      <c r="U306" s="250">
        <f t="shared" si="105"/>
        <v>0.43350151431962874</v>
      </c>
      <c r="V306" s="382">
        <f t="shared" si="106"/>
        <v>37.431027078728242</v>
      </c>
      <c r="W306" s="401"/>
      <c r="X306" s="157">
        <f t="shared" si="107"/>
        <v>44122</v>
      </c>
      <c r="Y306" s="384">
        <f t="shared" si="108"/>
        <v>36.835999999999999</v>
      </c>
      <c r="Z306" s="384">
        <f t="shared" si="109"/>
        <v>37.546301384753207</v>
      </c>
      <c r="AA306" s="385">
        <f t="shared" si="110"/>
        <v>39.250671699339875</v>
      </c>
      <c r="AB306" s="196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4.3422704397064797E-2</v>
      </c>
      <c r="AD306" s="230">
        <f>(INDEX(Models!$BJ306:$BT306,,AH306)*(1-AF306)+INDEX(Models!$BJ306:$BT306,,AH306+1)*AF306-ERP_i)*AE306*Ramure*Pc/MaxiM</f>
        <v>2.6826269706219054E-4</v>
      </c>
      <c r="AE306" s="304">
        <f t="shared" si="112"/>
        <v>0.5</v>
      </c>
      <c r="AF306" s="176">
        <f t="shared" si="113"/>
        <v>0.43350151431962874</v>
      </c>
      <c r="AG306" s="814">
        <f t="shared" si="119"/>
        <v>0</v>
      </c>
      <c r="AH306" s="175">
        <f t="shared" si="114"/>
        <v>6</v>
      </c>
      <c r="AI306" s="224">
        <f t="shared" si="115"/>
        <v>0.43350151431962874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44123</v>
      </c>
      <c r="B307" s="616">
        <v>31.038</v>
      </c>
      <c r="C307" s="389"/>
      <c r="D307" s="392">
        <f t="shared" si="98"/>
        <v>31.637192620260013</v>
      </c>
      <c r="E307" s="384">
        <f t="shared" si="120"/>
        <v>33.073437212296263</v>
      </c>
      <c r="F307" s="384">
        <f t="shared" si="99"/>
        <v>33.080208038674293</v>
      </c>
      <c r="G307" s="110">
        <f t="shared" si="121"/>
        <v>0.8364083546399701</v>
      </c>
      <c r="H307" s="413" t="b">
        <f>Wh_hp&gt;='2019'!Maxi_hp</f>
        <v>1</v>
      </c>
      <c r="I307" s="379">
        <f>IF(H307,Wh_hp,'2019'!Maxi_hp)</f>
        <v>33.080208038674293</v>
      </c>
      <c r="J307" s="85">
        <f>IF(H307,An,'2019'!An_max)</f>
        <v>2020</v>
      </c>
      <c r="K307" s="196">
        <f t="shared" si="100"/>
        <v>44123</v>
      </c>
      <c r="L307" s="147">
        <f>IF(t&lt;Tvie,1-EXP((T0-t)*PertePVj)+'2019'!Pspv,1-EXP((T0-t)*PertePVj)+Pspv)</f>
        <v>1.8939500335952597E-2</v>
      </c>
      <c r="M307" s="847"/>
      <c r="N307" s="847"/>
      <c r="O307" s="48">
        <f>IF(t&lt;Tnet,'2019'!Resal+('2019'!Salim-'2019'!Resal)*(1-EXP(('2019'!Tnet-t)/('2019'!Tau_j))),Resal+(Salim-Resal)*(1-EXP((Tnet-t)/(Tau_j))))*Salcycl</f>
        <v>4.3425924642095264E-2</v>
      </c>
      <c r="P307" s="168">
        <f>(INDEX(Models!$BJ307:$BT307,,T307)*(1-R307)+INDEX(Models!$BJ307:$BT307,,T307+1)*R307-ERP_i)*Q307*Ramure*Pc/MaxiM</f>
        <v>2.6707527788622702E-4</v>
      </c>
      <c r="Q307" s="304">
        <f t="shared" si="101"/>
        <v>0.5</v>
      </c>
      <c r="R307" s="176">
        <f t="shared" si="102"/>
        <v>0.43355657278742477</v>
      </c>
      <c r="S307" s="814">
        <f t="shared" si="103"/>
        <v>0</v>
      </c>
      <c r="T307" s="175">
        <f t="shared" si="104"/>
        <v>6</v>
      </c>
      <c r="U307" s="250">
        <f t="shared" si="105"/>
        <v>0.43355657278742477</v>
      </c>
      <c r="V307" s="382">
        <f t="shared" si="106"/>
        <v>37.10635215203795</v>
      </c>
      <c r="W307" s="401"/>
      <c r="X307" s="157">
        <f t="shared" si="107"/>
        <v>44123</v>
      </c>
      <c r="Y307" s="384">
        <f t="shared" si="108"/>
        <v>31.038000000000004</v>
      </c>
      <c r="Z307" s="384">
        <f t="shared" si="109"/>
        <v>31.637192620260016</v>
      </c>
      <c r="AA307" s="385">
        <f t="shared" si="110"/>
        <v>33.073437212296263</v>
      </c>
      <c r="AB307" s="196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4.3425924642095264E-2</v>
      </c>
      <c r="AD307" s="230">
        <f>(INDEX(Models!$BJ307:$BT307,,AH307)*(1-AF307)+INDEX(Models!$BJ307:$BT307,,AH307+1)*AF307-ERP_i)*AE307*Ramure*Pc/MaxiM</f>
        <v>2.6707527788622702E-4</v>
      </c>
      <c r="AE307" s="304">
        <f t="shared" si="112"/>
        <v>0.5</v>
      </c>
      <c r="AF307" s="176">
        <f t="shared" si="113"/>
        <v>0.43355657278742477</v>
      </c>
      <c r="AG307" s="814">
        <f t="shared" si="119"/>
        <v>0</v>
      </c>
      <c r="AH307" s="175">
        <f t="shared" si="114"/>
        <v>6</v>
      </c>
      <c r="AI307" s="224">
        <f t="shared" si="115"/>
        <v>0.43355657278742477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44124</v>
      </c>
      <c r="B308" s="616">
        <v>4.9809999999999999</v>
      </c>
      <c r="C308" s="389"/>
      <c r="D308" s="392">
        <f t="shared" si="98"/>
        <v>5.0772700570236715</v>
      </c>
      <c r="E308" s="384">
        <f t="shared" si="120"/>
        <v>5.3077795700289636</v>
      </c>
      <c r="F308" s="384">
        <f t="shared" si="99"/>
        <v>5.3077795700289636</v>
      </c>
      <c r="G308" s="110">
        <f t="shared" si="121"/>
        <v>0.13539365250388799</v>
      </c>
      <c r="H308" s="413" t="b">
        <f>Wh_hp&gt;='2019'!Maxi_hp</f>
        <v>0</v>
      </c>
      <c r="I308" s="379">
        <f>IF(H308,Wh_hp,'2019'!Maxi_hp)</f>
        <v>24.658725492939233</v>
      </c>
      <c r="J308" s="85">
        <f>IF(H308,An,'2019'!An_max)</f>
        <v>2019</v>
      </c>
      <c r="K308" s="196">
        <f t="shared" si="100"/>
        <v>44124</v>
      </c>
      <c r="L308" s="147">
        <f>IF(t&lt;Tvie,1-EXP((T0-t)*PertePVj)+'2019'!Pspv,1-EXP((T0-t)*PertePVj)+Pspv)</f>
        <v>1.8960988078720709E-2</v>
      </c>
      <c r="M308" s="847"/>
      <c r="N308" s="847"/>
      <c r="O308" s="48">
        <f>IF(t&lt;Tnet,'2019'!Resal+('2019'!Salim-'2019'!Resal)*(1-EXP(('2019'!Tnet-t)/('2019'!Tau_j))),Resal+(Salim-Resal)*(1-EXP((Tnet-t)/(Tau_j))))*Salcycl</f>
        <v>4.3428614539098929E-2</v>
      </c>
      <c r="P308" s="168">
        <f>(INDEX(Models!$BJ308:$BT308,,T308)*(1-R308)+INDEX(Models!$BJ308:$BT308,,T308+1)*R308-ERP_i)*Q308*Ramure*Pc/MaxiM</f>
        <v>2.6549768855690069E-4</v>
      </c>
      <c r="Q308" s="304">
        <f t="shared" si="101"/>
        <v>0.5</v>
      </c>
      <c r="R308" s="176">
        <f t="shared" si="102"/>
        <v>0.43360943350459596</v>
      </c>
      <c r="S308" s="814">
        <f t="shared" si="103"/>
        <v>0</v>
      </c>
      <c r="T308" s="175">
        <f t="shared" si="104"/>
        <v>6</v>
      </c>
      <c r="U308" s="250">
        <f t="shared" si="105"/>
        <v>0.43360943350459596</v>
      </c>
      <c r="V308" s="382">
        <f t="shared" si="106"/>
        <v>36.779254152038632</v>
      </c>
      <c r="W308" s="401"/>
      <c r="X308" s="157">
        <f t="shared" si="107"/>
        <v>44124</v>
      </c>
      <c r="Y308" s="384">
        <f t="shared" si="108"/>
        <v>4.9809999999999999</v>
      </c>
      <c r="Z308" s="384">
        <f t="shared" si="109"/>
        <v>5.0772700570236715</v>
      </c>
      <c r="AA308" s="385">
        <f t="shared" si="110"/>
        <v>5.3077795700289636</v>
      </c>
      <c r="AB308" s="196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4.3428614539098929E-2</v>
      </c>
      <c r="AD308" s="230">
        <f>(INDEX(Models!$BJ308:$BT308,,AH308)*(1-AF308)+INDEX(Models!$BJ308:$BT308,,AH308+1)*AF308-ERP_i)*AE308*Ramure*Pc/MaxiM</f>
        <v>2.6549768855690069E-4</v>
      </c>
      <c r="AE308" s="304">
        <f t="shared" si="112"/>
        <v>0.5</v>
      </c>
      <c r="AF308" s="176">
        <f t="shared" si="113"/>
        <v>0.43360943350459596</v>
      </c>
      <c r="AG308" s="814">
        <f t="shared" si="119"/>
        <v>0</v>
      </c>
      <c r="AH308" s="175">
        <f t="shared" si="114"/>
        <v>6</v>
      </c>
      <c r="AI308" s="224">
        <f t="shared" si="115"/>
        <v>0.43360943350459596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44125</v>
      </c>
      <c r="B309" s="616">
        <v>23.896000000000001</v>
      </c>
      <c r="C309" s="389"/>
      <c r="D309" s="392">
        <f t="shared" si="98"/>
        <v>24.35838239336875</v>
      </c>
      <c r="E309" s="384">
        <f t="shared" si="120"/>
        <v>25.464318117403671</v>
      </c>
      <c r="F309" s="384">
        <f t="shared" si="99"/>
        <v>25.467727123230592</v>
      </c>
      <c r="G309" s="110">
        <f t="shared" si="121"/>
        <v>0.65548269187654395</v>
      </c>
      <c r="H309" s="413" t="b">
        <f>Wh_hp&gt;='2019'!Maxi_hp</f>
        <v>1</v>
      </c>
      <c r="I309" s="379">
        <f>IF(H309,Wh_hp,'2019'!Maxi_hp)</f>
        <v>25.467727123230592</v>
      </c>
      <c r="J309" s="85">
        <f>IF(H309,An,'2019'!An_max)</f>
        <v>2020</v>
      </c>
      <c r="K309" s="196">
        <f t="shared" si="100"/>
        <v>44125</v>
      </c>
      <c r="L309" s="147">
        <f>IF(t&lt;Tvie,1-EXP((T0-t)*PertePVj)+'2019'!Pspv,1-EXP((T0-t)*PertePVj)+Pspv)</f>
        <v>1.8982475350851957E-2</v>
      </c>
      <c r="M309" s="847"/>
      <c r="N309" s="847"/>
      <c r="O309" s="48">
        <f>IF(t&lt;Tnet,'2019'!Resal+('2019'!Salim-'2019'!Resal)*(1-EXP(('2019'!Tnet-t)/('2019'!Tau_j))),Resal+(Salim-Resal)*(1-EXP((Tnet-t)/(Tau_j))))*Salcycl</f>
        <v>4.3430800657452716E-2</v>
      </c>
      <c r="P309" s="168">
        <f>(INDEX(Models!$BJ309:$BT309,,T309)*(1-R309)+INDEX(Models!$BJ309:$BT309,,T309+1)*R309-ERP_i)*Q309*Ramure*Pc/MaxiM</f>
        <v>2.6351981985418577E-4</v>
      </c>
      <c r="Q309" s="304">
        <f t="shared" si="101"/>
        <v>0.5</v>
      </c>
      <c r="R309" s="176">
        <f t="shared" si="102"/>
        <v>0.43366018346410351</v>
      </c>
      <c r="S309" s="814">
        <f t="shared" si="103"/>
        <v>0</v>
      </c>
      <c r="T309" s="175">
        <f t="shared" si="104"/>
        <v>6</v>
      </c>
      <c r="U309" s="250">
        <f t="shared" si="105"/>
        <v>0.43366018346410351</v>
      </c>
      <c r="V309" s="382">
        <f t="shared" si="106"/>
        <v>36.450849782230264</v>
      </c>
      <c r="W309" s="401"/>
      <c r="X309" s="157">
        <f t="shared" si="107"/>
        <v>44125</v>
      </c>
      <c r="Y309" s="384">
        <f t="shared" si="108"/>
        <v>23.896000000000001</v>
      </c>
      <c r="Z309" s="384">
        <f t="shared" si="109"/>
        <v>24.35838239336875</v>
      </c>
      <c r="AA309" s="385">
        <f t="shared" si="110"/>
        <v>25.464318117403671</v>
      </c>
      <c r="AB309" s="196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4.3430800657452716E-2</v>
      </c>
      <c r="AD309" s="230">
        <f>(INDEX(Models!$BJ309:$BT309,,AH309)*(1-AF309)+INDEX(Models!$BJ309:$BT309,,AH309+1)*AF309-ERP_i)*AE309*Ramure*Pc/MaxiM</f>
        <v>2.6351981985418577E-4</v>
      </c>
      <c r="AE309" s="304">
        <f t="shared" si="112"/>
        <v>0.5</v>
      </c>
      <c r="AF309" s="176">
        <f t="shared" si="113"/>
        <v>0.43366018346410351</v>
      </c>
      <c r="AG309" s="814">
        <f t="shared" si="119"/>
        <v>0</v>
      </c>
      <c r="AH309" s="175">
        <f t="shared" si="114"/>
        <v>6</v>
      </c>
      <c r="AI309" s="224">
        <f t="shared" si="115"/>
        <v>0.43366018346410351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44126</v>
      </c>
      <c r="B310" s="616">
        <v>5.718</v>
      </c>
      <c r="C310" s="389"/>
      <c r="D310" s="392">
        <f t="shared" si="98"/>
        <v>5.8287697191372887</v>
      </c>
      <c r="E310" s="384">
        <f t="shared" si="120"/>
        <v>6.0934223570929777</v>
      </c>
      <c r="F310" s="384">
        <f t="shared" si="99"/>
        <v>6.0934223570929777</v>
      </c>
      <c r="G310" s="110">
        <f t="shared" si="121"/>
        <v>0.15825442674540216</v>
      </c>
      <c r="H310" s="413" t="b">
        <f>Wh_hp&gt;='2019'!Maxi_hp</f>
        <v>0</v>
      </c>
      <c r="I310" s="379">
        <f>IF(H310,Wh_hp,'2019'!Maxi_hp)</f>
        <v>38.121231488419959</v>
      </c>
      <c r="J310" s="85">
        <f>IF(H310,An,'2019'!An_max)</f>
        <v>2018</v>
      </c>
      <c r="K310" s="196">
        <f t="shared" si="100"/>
        <v>44126</v>
      </c>
      <c r="L310" s="147">
        <f>IF(t&lt;Tvie,1-EXP((T0-t)*PertePVj)+'2019'!Pspv,1-EXP((T0-t)*PertePVj)+Pspv)</f>
        <v>1.900396215235689E-2</v>
      </c>
      <c r="M310" s="847"/>
      <c r="N310" s="847"/>
      <c r="O310" s="48">
        <f>IF(t&lt;Tnet,'2019'!Resal+('2019'!Salim-'2019'!Resal)*(1-EXP(('2019'!Tnet-t)/('2019'!Tau_j))),Resal+(Salim-Resal)*(1-EXP((Tnet-t)/(Tau_j))))*Salcycl</f>
        <v>4.3432511722681207E-2</v>
      </c>
      <c r="P310" s="168">
        <f>(INDEX(Models!$BJ310:$BT310,,T310)*(1-R310)+INDEX(Models!$BJ310:$BT310,,T310+1)*R310-ERP_i)*Q310*Ramure*Pc/MaxiM</f>
        <v>2.6160823284025612E-4</v>
      </c>
      <c r="Q310" s="304">
        <f t="shared" si="101"/>
        <v>0.5</v>
      </c>
      <c r="R310" s="176">
        <f t="shared" si="102"/>
        <v>0.43370890627319658</v>
      </c>
      <c r="S310" s="814">
        <f t="shared" si="103"/>
        <v>0</v>
      </c>
      <c r="T310" s="175">
        <f t="shared" si="104"/>
        <v>6</v>
      </c>
      <c r="U310" s="250">
        <f t="shared" si="105"/>
        <v>0.43370890627319658</v>
      </c>
      <c r="V310" s="382">
        <f t="shared" si="106"/>
        <v>36.122238358117229</v>
      </c>
      <c r="W310" s="401"/>
      <c r="X310" s="157">
        <f t="shared" si="107"/>
        <v>44126</v>
      </c>
      <c r="Y310" s="384">
        <f t="shared" si="108"/>
        <v>5.718</v>
      </c>
      <c r="Z310" s="384">
        <f t="shared" si="109"/>
        <v>5.8287697191372887</v>
      </c>
      <c r="AA310" s="385">
        <f t="shared" si="110"/>
        <v>6.0934223570929777</v>
      </c>
      <c r="AB310" s="196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4.3432511722681207E-2</v>
      </c>
      <c r="AD310" s="230">
        <f>(INDEX(Models!$BJ310:$BT310,,AH310)*(1-AF310)+INDEX(Models!$BJ310:$BT310,,AH310+1)*AF310-ERP_i)*AE310*Ramure*Pc/MaxiM</f>
        <v>2.6160823284025612E-4</v>
      </c>
      <c r="AE310" s="304">
        <f t="shared" si="112"/>
        <v>0.5</v>
      </c>
      <c r="AF310" s="176">
        <f t="shared" si="113"/>
        <v>0.43370890627319658</v>
      </c>
      <c r="AG310" s="814">
        <f t="shared" si="119"/>
        <v>0</v>
      </c>
      <c r="AH310" s="175">
        <f t="shared" si="114"/>
        <v>6</v>
      </c>
      <c r="AI310" s="224">
        <f t="shared" si="115"/>
        <v>0.43370890627319658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44127</v>
      </c>
      <c r="B311" s="616">
        <v>10.363</v>
      </c>
      <c r="C311" s="389"/>
      <c r="D311" s="392">
        <f t="shared" si="98"/>
        <v>10.563984543714239</v>
      </c>
      <c r="E311" s="384">
        <f t="shared" si="120"/>
        <v>11.043652082597262</v>
      </c>
      <c r="F311" s="384">
        <f t="shared" si="99"/>
        <v>11.043652082597262</v>
      </c>
      <c r="G311" s="110">
        <f t="shared" si="121"/>
        <v>0.28943825306450749</v>
      </c>
      <c r="H311" s="413" t="b">
        <f>Wh_hp&gt;='2019'!Maxi_hp</f>
        <v>0</v>
      </c>
      <c r="I311" s="379">
        <f>IF(H311,Wh_hp,'2019'!Maxi_hp)</f>
        <v>36.096534017835943</v>
      </c>
      <c r="J311" s="85">
        <f>IF(H311,An,'2019'!An_max)</f>
        <v>2018</v>
      </c>
      <c r="K311" s="196">
        <f t="shared" si="100"/>
        <v>44127</v>
      </c>
      <c r="L311" s="147">
        <f>IF(t&lt;Tvie,1-EXP((T0-t)*PertePVj)+'2019'!Pspv,1-EXP((T0-t)*PertePVj)+Pspv)</f>
        <v>1.9025448483245722E-2</v>
      </c>
      <c r="M311" s="847"/>
      <c r="N311" s="847"/>
      <c r="O311" s="48">
        <f>IF(t&lt;Tnet,'2019'!Resal+('2019'!Salim-'2019'!Resal)*(1-EXP(('2019'!Tnet-t)/('2019'!Tau_j))),Resal+(Salim-Resal)*(1-EXP((Tnet-t)/(Tau_j))))*Salcycl</f>
        <v>4.3433778544951535E-2</v>
      </c>
      <c r="P311" s="168">
        <f>(INDEX(Models!$BJ311:$BT311,,T311)*(1-R311)+INDEX(Models!$BJ311:$BT311,,T311+1)*R311-ERP_i)*Q311*Ramure*Pc/MaxiM</f>
        <v>2.5998904074943282E-4</v>
      </c>
      <c r="Q311" s="304">
        <f t="shared" si="101"/>
        <v>0.5</v>
      </c>
      <c r="R311" s="176">
        <f t="shared" si="102"/>
        <v>0.43375568228063216</v>
      </c>
      <c r="S311" s="814">
        <f t="shared" si="103"/>
        <v>0</v>
      </c>
      <c r="T311" s="175">
        <f t="shared" si="104"/>
        <v>6</v>
      </c>
      <c r="U311" s="250">
        <f t="shared" si="105"/>
        <v>0.43375568228063216</v>
      </c>
      <c r="V311" s="382">
        <f t="shared" si="106"/>
        <v>35.794528276335676</v>
      </c>
      <c r="W311" s="401"/>
      <c r="X311" s="157">
        <f t="shared" si="107"/>
        <v>44127</v>
      </c>
      <c r="Y311" s="384">
        <f t="shared" si="108"/>
        <v>10.363</v>
      </c>
      <c r="Z311" s="384">
        <f t="shared" si="109"/>
        <v>10.563984543714239</v>
      </c>
      <c r="AA311" s="385">
        <f t="shared" si="110"/>
        <v>11.043652082597262</v>
      </c>
      <c r="AB311" s="196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4.3433778544951535E-2</v>
      </c>
      <c r="AD311" s="230">
        <f>(INDEX(Models!$BJ311:$BT311,,AH311)*(1-AF311)+INDEX(Models!$BJ311:$BT311,,AH311+1)*AF311-ERP_i)*AE311*Ramure*Pc/MaxiM</f>
        <v>2.5998904074943282E-4</v>
      </c>
      <c r="AE311" s="304">
        <f t="shared" si="112"/>
        <v>0.5</v>
      </c>
      <c r="AF311" s="176">
        <f t="shared" si="113"/>
        <v>0.43375568228063216</v>
      </c>
      <c r="AG311" s="814">
        <f t="shared" si="119"/>
        <v>0</v>
      </c>
      <c r="AH311" s="175">
        <f t="shared" si="114"/>
        <v>6</v>
      </c>
      <c r="AI311" s="224">
        <f t="shared" si="115"/>
        <v>0.43375568228063216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44128</v>
      </c>
      <c r="B312" s="616">
        <v>30.934999999999999</v>
      </c>
      <c r="C312" s="389"/>
      <c r="D312" s="392">
        <f t="shared" si="98"/>
        <v>31.535657599783072</v>
      </c>
      <c r="E312" s="384">
        <f t="shared" si="120"/>
        <v>32.967592930365392</v>
      </c>
      <c r="F312" s="384">
        <f t="shared" si="99"/>
        <v>32.974564651862899</v>
      </c>
      <c r="G312" s="110">
        <f t="shared" si="121"/>
        <v>0.87213288776310294</v>
      </c>
      <c r="H312" s="413" t="b">
        <f>Wh_hp&gt;='2019'!Maxi_hp</f>
        <v>0</v>
      </c>
      <c r="I312" s="379">
        <f>IF(H312,Wh_hp,'2019'!Maxi_hp)</f>
        <v>37.235103928768822</v>
      </c>
      <c r="J312" s="85">
        <f>IF(H312,An,'2019'!An_max)</f>
        <v>2018</v>
      </c>
      <c r="K312" s="196">
        <f t="shared" si="100"/>
        <v>44128</v>
      </c>
      <c r="L312" s="147">
        <f>IF(t&lt;Tvie,1-EXP((T0-t)*PertePVj)+'2019'!Pspv,1-EXP((T0-t)*PertePVj)+Pspv)</f>
        <v>1.9046934343528776E-2</v>
      </c>
      <c r="M312" s="847"/>
      <c r="N312" s="847"/>
      <c r="O312" s="48">
        <f>IF(t&lt;Tnet,'2019'!Resal+('2019'!Salim-'2019'!Resal)*(1-EXP(('2019'!Tnet-t)/('2019'!Tau_j))),Resal+(Salim-Resal)*(1-EXP((Tnet-t)/(Tau_j))))*Salcycl</f>
        <v>4.3434633932992045E-2</v>
      </c>
      <c r="P312" s="168">
        <f>(INDEX(Models!$BJ312:$BT312,,T312)*(1-R312)+INDEX(Models!$BJ312:$BT312,,T312+1)*R312-ERP_i)*Q312*Ramure*Pc/MaxiM</f>
        <v>2.5866091524072465E-4</v>
      </c>
      <c r="Q312" s="304">
        <f t="shared" si="101"/>
        <v>0.5</v>
      </c>
      <c r="R312" s="176">
        <f t="shared" si="102"/>
        <v>0.43380058869947713</v>
      </c>
      <c r="S312" s="814">
        <f t="shared" si="103"/>
        <v>0</v>
      </c>
      <c r="T312" s="175">
        <f t="shared" si="104"/>
        <v>6</v>
      </c>
      <c r="U312" s="250">
        <f t="shared" si="105"/>
        <v>0.43380058869947713</v>
      </c>
      <c r="V312" s="382">
        <f t="shared" si="106"/>
        <v>35.468836173445503</v>
      </c>
      <c r="W312" s="401"/>
      <c r="X312" s="157">
        <f t="shared" si="107"/>
        <v>44128</v>
      </c>
      <c r="Y312" s="384">
        <f t="shared" si="108"/>
        <v>30.934999999999999</v>
      </c>
      <c r="Z312" s="384">
        <f t="shared" si="109"/>
        <v>31.535657599783072</v>
      </c>
      <c r="AA312" s="385">
        <f t="shared" si="110"/>
        <v>32.967592930365392</v>
      </c>
      <c r="AB312" s="196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4.3434633932992045E-2</v>
      </c>
      <c r="AD312" s="230">
        <f>(INDEX(Models!$BJ312:$BT312,,AH312)*(1-AF312)+INDEX(Models!$BJ312:$BT312,,AH312+1)*AF312-ERP_i)*AE312*Ramure*Pc/MaxiM</f>
        <v>2.5866091524072465E-4</v>
      </c>
      <c r="AE312" s="304">
        <f t="shared" si="112"/>
        <v>0.5</v>
      </c>
      <c r="AF312" s="176">
        <f t="shared" si="113"/>
        <v>0.43380058869947713</v>
      </c>
      <c r="AG312" s="814">
        <f t="shared" si="119"/>
        <v>0</v>
      </c>
      <c r="AH312" s="175">
        <f t="shared" si="114"/>
        <v>6</v>
      </c>
      <c r="AI312" s="224">
        <f t="shared" si="115"/>
        <v>0.43380058869947713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44129</v>
      </c>
      <c r="B313" s="616">
        <v>23.117000000000001</v>
      </c>
      <c r="C313" s="389"/>
      <c r="D313" s="392">
        <f t="shared" si="98"/>
        <v>23.566373501516669</v>
      </c>
      <c r="E313" s="384">
        <f t="shared" si="120"/>
        <v>24.636460957099583</v>
      </c>
      <c r="F313" s="384">
        <f t="shared" si="99"/>
        <v>24.639704957977038</v>
      </c>
      <c r="G313" s="110">
        <f t="shared" si="121"/>
        <v>0.65765391464112399</v>
      </c>
      <c r="H313" s="413" t="b">
        <f>Wh_hp&gt;='2019'!Maxi_hp</f>
        <v>0</v>
      </c>
      <c r="I313" s="379">
        <f>IF(H313,Wh_hp,'2019'!Maxi_hp)</f>
        <v>37.759644135743372</v>
      </c>
      <c r="J313" s="85">
        <f>IF(H313,An,'2019'!An_max)</f>
        <v>2019</v>
      </c>
      <c r="K313" s="196">
        <f t="shared" si="100"/>
        <v>44129</v>
      </c>
      <c r="L313" s="147">
        <f>IF(t&lt;Tvie,1-EXP((T0-t)*PertePVj)+'2019'!Pspv,1-EXP((T0-t)*PertePVj)+Pspv)</f>
        <v>1.906841973321638E-2</v>
      </c>
      <c r="M313" s="847"/>
      <c r="N313" s="847"/>
      <c r="O313" s="48">
        <f>IF(t&lt;Tnet,'2019'!Resal+('2019'!Salim-'2019'!Resal)*(1-EXP(('2019'!Tnet-t)/('2019'!Tau_j))),Resal+(Salim-Resal)*(1-EXP((Tnet-t)/(Tau_j))))*Salcycl</f>
        <v>4.343511259374052E-2</v>
      </c>
      <c r="P313" s="168">
        <f>(INDEX(Models!$BJ313:$BT313,,T313)*(1-R313)+INDEX(Models!$BJ313:$BT313,,T313+1)*R313-ERP_i)*Q313*Ramure*Pc/MaxiM</f>
        <v>2.5762019894892858E-4</v>
      </c>
      <c r="Q313" s="304">
        <f t="shared" si="101"/>
        <v>0.5</v>
      </c>
      <c r="R313" s="176">
        <f t="shared" si="102"/>
        <v>0.43384369972561482</v>
      </c>
      <c r="S313" s="814">
        <f t="shared" si="103"/>
        <v>0</v>
      </c>
      <c r="T313" s="175">
        <f t="shared" si="104"/>
        <v>6</v>
      </c>
      <c r="U313" s="250">
        <f t="shared" si="105"/>
        <v>0.43384369972561482</v>
      </c>
      <c r="V313" s="382">
        <f t="shared" si="106"/>
        <v>35.146278644853567</v>
      </c>
      <c r="W313" s="401"/>
      <c r="X313" s="157">
        <f t="shared" si="107"/>
        <v>44129</v>
      </c>
      <c r="Y313" s="384">
        <f t="shared" si="108"/>
        <v>23.117000000000001</v>
      </c>
      <c r="Z313" s="384">
        <f t="shared" si="109"/>
        <v>23.566373501516669</v>
      </c>
      <c r="AA313" s="385">
        <f t="shared" si="110"/>
        <v>24.636460957099583</v>
      </c>
      <c r="AB313" s="196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4.343511259374052E-2</v>
      </c>
      <c r="AD313" s="230">
        <f>(INDEX(Models!$BJ313:$BT313,,AH313)*(1-AF313)+INDEX(Models!$BJ313:$BT313,,AH313+1)*AF313-ERP_i)*AE313*Ramure*Pc/MaxiM</f>
        <v>2.5762019894892858E-4</v>
      </c>
      <c r="AE313" s="304">
        <f t="shared" si="112"/>
        <v>0.5</v>
      </c>
      <c r="AF313" s="176">
        <f t="shared" si="113"/>
        <v>0.43384369972561482</v>
      </c>
      <c r="AG313" s="814">
        <f t="shared" si="119"/>
        <v>0</v>
      </c>
      <c r="AH313" s="175">
        <f t="shared" si="114"/>
        <v>6</v>
      </c>
      <c r="AI313" s="224">
        <f t="shared" si="115"/>
        <v>0.43384369972561482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44130</v>
      </c>
      <c r="B314" s="616">
        <v>26.684999999999999</v>
      </c>
      <c r="C314" s="389"/>
      <c r="D314" s="392">
        <f t="shared" si="98"/>
        <v>27.20432802818852</v>
      </c>
      <c r="E314" s="384">
        <f t="shared" si="120"/>
        <v>28.439609610477838</v>
      </c>
      <c r="F314" s="384">
        <f t="shared" si="99"/>
        <v>28.44447557087798</v>
      </c>
      <c r="G314" s="110">
        <f t="shared" si="121"/>
        <v>0.76612873270964732</v>
      </c>
      <c r="H314" s="413" t="b">
        <f>Wh_hp&gt;='2019'!Maxi_hp</f>
        <v>1</v>
      </c>
      <c r="I314" s="379">
        <f>IF(H314,Wh_hp,'2019'!Maxi_hp)</f>
        <v>28.44447557087798</v>
      </c>
      <c r="J314" s="85">
        <f>IF(H314,An,'2019'!An_max)</f>
        <v>2020</v>
      </c>
      <c r="K314" s="196">
        <f t="shared" si="100"/>
        <v>44130</v>
      </c>
      <c r="L314" s="147">
        <f>IF(t&lt;Tvie,1-EXP((T0-t)*PertePVj)+'2019'!Pspv,1-EXP((T0-t)*PertePVj)+Pspv)</f>
        <v>1.9089904652318745E-2</v>
      </c>
      <c r="M314" s="847"/>
      <c r="N314" s="847"/>
      <c r="O314" s="48">
        <f>IF(t&lt;Tnet,'2019'!Resal+('2019'!Salim-'2019'!Resal)*(1-EXP(('2019'!Tnet-t)/('2019'!Tau_j))),Resal+(Salim-Resal)*(1-EXP((Tnet-t)/(Tau_j))))*Salcycl</f>
        <v>4.3435251018150663E-2</v>
      </c>
      <c r="P314" s="168">
        <f>(INDEX(Models!$BJ314:$BT314,,T314)*(1-R314)+INDEX(Models!$BJ314:$BT314,,T314+1)*R314-ERP_i)*Q314*Ramure*Pc/MaxiM</f>
        <v>2.5686300152418922E-4</v>
      </c>
      <c r="Q314" s="304">
        <f t="shared" si="101"/>
        <v>0.5</v>
      </c>
      <c r="R314" s="176">
        <f t="shared" si="102"/>
        <v>0.4338850866520812</v>
      </c>
      <c r="S314" s="814">
        <f t="shared" si="103"/>
        <v>0</v>
      </c>
      <c r="T314" s="175">
        <f t="shared" si="104"/>
        <v>6</v>
      </c>
      <c r="U314" s="250">
        <f t="shared" si="105"/>
        <v>0.4338850866520812</v>
      </c>
      <c r="V314" s="382">
        <f t="shared" si="106"/>
        <v>34.827972178854189</v>
      </c>
      <c r="W314" s="401"/>
      <c r="X314" s="157">
        <f t="shared" si="107"/>
        <v>44130</v>
      </c>
      <c r="Y314" s="384">
        <f t="shared" si="108"/>
        <v>26.684999999999999</v>
      </c>
      <c r="Z314" s="384">
        <f t="shared" si="109"/>
        <v>27.20432802818852</v>
      </c>
      <c r="AA314" s="385">
        <f t="shared" si="110"/>
        <v>28.439609610477838</v>
      </c>
      <c r="AB314" s="196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4.3435251018150663E-2</v>
      </c>
      <c r="AD314" s="230">
        <f>(INDEX(Models!$BJ314:$BT314,,AH314)*(1-AF314)+INDEX(Models!$BJ314:$BT314,,AH314+1)*AF314-ERP_i)*AE314*Ramure*Pc/MaxiM</f>
        <v>2.5686300152418922E-4</v>
      </c>
      <c r="AE314" s="304">
        <f t="shared" si="112"/>
        <v>0.5</v>
      </c>
      <c r="AF314" s="176">
        <f t="shared" si="113"/>
        <v>0.4338850866520812</v>
      </c>
      <c r="AG314" s="814">
        <f t="shared" si="119"/>
        <v>0</v>
      </c>
      <c r="AH314" s="175">
        <f t="shared" si="114"/>
        <v>6</v>
      </c>
      <c r="AI314" s="224">
        <f t="shared" si="115"/>
        <v>0.4338850866520812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44131</v>
      </c>
      <c r="B315" s="616">
        <v>24.292999999999999</v>
      </c>
      <c r="C315" s="389"/>
      <c r="D315" s="392">
        <f t="shared" si="98"/>
        <v>24.766318754309186</v>
      </c>
      <c r="E315" s="384">
        <f t="shared" si="120"/>
        <v>25.890891905907626</v>
      </c>
      <c r="F315" s="384">
        <f t="shared" si="99"/>
        <v>25.894722035379292</v>
      </c>
      <c r="G315" s="110">
        <f t="shared" si="121"/>
        <v>0.70376187522111733</v>
      </c>
      <c r="H315" s="413" t="b">
        <f>Wh_hp&gt;='2019'!Maxi_hp</f>
        <v>1</v>
      </c>
      <c r="I315" s="379">
        <f>IF(H315,Wh_hp,'2019'!Maxi_hp)</f>
        <v>25.894722035379292</v>
      </c>
      <c r="J315" s="85">
        <f>IF(H315,An,'2019'!An_max)</f>
        <v>2020</v>
      </c>
      <c r="K315" s="196">
        <f t="shared" si="100"/>
        <v>44131</v>
      </c>
      <c r="L315" s="147">
        <f>IF(t&lt;Tvie,1-EXP((T0-t)*PertePVj)+'2019'!Pspv,1-EXP((T0-t)*PertePVj)+Pspv)</f>
        <v>1.9111389100846199E-2</v>
      </c>
      <c r="M315" s="847"/>
      <c r="N315" s="847"/>
      <c r="O315" s="48">
        <f>IF(t&lt;Tnet,'2019'!Resal+('2019'!Salim-'2019'!Resal)*(1-EXP(('2019'!Tnet-t)/('2019'!Tau_j))),Resal+(Salim-Resal)*(1-EXP((Tnet-t)/(Tau_j))))*Salcycl</f>
        <v>4.3435087353705361E-2</v>
      </c>
      <c r="P315" s="168">
        <f>(INDEX(Models!$BJ315:$BT315,,T315)*(1-R315)+INDEX(Models!$BJ315:$BT315,,T315+1)*R315-ERP_i)*Q315*Ramure*Pc/MaxiM</f>
        <v>2.563851146145567E-4</v>
      </c>
      <c r="Q315" s="304">
        <f t="shared" si="101"/>
        <v>0.5</v>
      </c>
      <c r="R315" s="176">
        <f t="shared" si="102"/>
        <v>0.43392481797935045</v>
      </c>
      <c r="S315" s="814">
        <f t="shared" si="103"/>
        <v>0</v>
      </c>
      <c r="T315" s="175">
        <f t="shared" si="104"/>
        <v>6</v>
      </c>
      <c r="U315" s="250">
        <f t="shared" si="105"/>
        <v>0.43392481797935045</v>
      </c>
      <c r="V315" s="382">
        <f t="shared" si="106"/>
        <v>34.515033163985024</v>
      </c>
      <c r="W315" s="401"/>
      <c r="X315" s="157">
        <f t="shared" si="107"/>
        <v>44131</v>
      </c>
      <c r="Y315" s="384">
        <f t="shared" si="108"/>
        <v>24.292999999999999</v>
      </c>
      <c r="Z315" s="384">
        <f t="shared" si="109"/>
        <v>24.766318754309186</v>
      </c>
      <c r="AA315" s="385">
        <f t="shared" si="110"/>
        <v>25.890891905907626</v>
      </c>
      <c r="AB315" s="196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4.3435087353705361E-2</v>
      </c>
      <c r="AD315" s="230">
        <f>(INDEX(Models!$BJ315:$BT315,,AH315)*(1-AF315)+INDEX(Models!$BJ315:$BT315,,AH315+1)*AF315-ERP_i)*AE315*Ramure*Pc/MaxiM</f>
        <v>2.563851146145567E-4</v>
      </c>
      <c r="AE315" s="304">
        <f t="shared" si="112"/>
        <v>0.5</v>
      </c>
      <c r="AF315" s="176">
        <f t="shared" si="113"/>
        <v>0.43392481797935045</v>
      </c>
      <c r="AG315" s="814">
        <f t="shared" si="119"/>
        <v>0</v>
      </c>
      <c r="AH315" s="175">
        <f t="shared" si="114"/>
        <v>6</v>
      </c>
      <c r="AI315" s="224">
        <f t="shared" si="115"/>
        <v>0.43392481797935045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44132</v>
      </c>
      <c r="B316" s="616">
        <v>11.326000000000001</v>
      </c>
      <c r="C316" s="389"/>
      <c r="D316" s="392">
        <f t="shared" si="98"/>
        <v>11.546925867064973</v>
      </c>
      <c r="E316" s="384">
        <f t="shared" si="120"/>
        <v>12.071235909850827</v>
      </c>
      <c r="F316" s="384">
        <f t="shared" si="99"/>
        <v>12.071373244346606</v>
      </c>
      <c r="G316" s="110">
        <f t="shared" si="121"/>
        <v>0.33100549632324255</v>
      </c>
      <c r="H316" s="413" t="b">
        <f>Wh_hp&gt;='2019'!Maxi_hp</f>
        <v>0</v>
      </c>
      <c r="I316" s="379">
        <f>IF(H316,Wh_hp,'2019'!Maxi_hp)</f>
        <v>30.389582180422003</v>
      </c>
      <c r="J316" s="85">
        <f>IF(H316,An,'2019'!An_max)</f>
        <v>2019</v>
      </c>
      <c r="K316" s="196">
        <f t="shared" si="100"/>
        <v>44132</v>
      </c>
      <c r="L316" s="147">
        <f>IF(t&lt;Tvie,1-EXP((T0-t)*PertePVj)+'2019'!Pspv,1-EXP((T0-t)*PertePVj)+Pspv)</f>
        <v>1.9132873078809176E-2</v>
      </c>
      <c r="M316" s="847"/>
      <c r="N316" s="847"/>
      <c r="O316" s="48">
        <f>IF(t&lt;Tnet,'2019'!Resal+('2019'!Salim-'2019'!Resal)*(1-EXP(('2019'!Tnet-t)/('2019'!Tau_j))),Resal+(Salim-Resal)*(1-EXP((Tnet-t)/(Tau_j))))*Salcycl</f>
        <v>4.3434661264302461E-2</v>
      </c>
      <c r="P316" s="168">
        <f>(INDEX(Models!$BJ316:$BT316,,T316)*(1-R316)+INDEX(Models!$BJ316:$BT316,,T316+1)*R316-ERP_i)*Q316*Ramure*Pc/MaxiM</f>
        <v>2.5618192678113845E-4</v>
      </c>
      <c r="Q316" s="304">
        <f t="shared" si="101"/>
        <v>0.5</v>
      </c>
      <c r="R316" s="176">
        <f t="shared" si="102"/>
        <v>0.43396295952169212</v>
      </c>
      <c r="S316" s="814">
        <f t="shared" si="103"/>
        <v>0</v>
      </c>
      <c r="T316" s="175">
        <f t="shared" si="104"/>
        <v>6</v>
      </c>
      <c r="U316" s="250">
        <f t="shared" si="105"/>
        <v>0.43396295952169212</v>
      </c>
      <c r="V316" s="382">
        <f t="shared" si="106"/>
        <v>34.208577900389635</v>
      </c>
      <c r="W316" s="401"/>
      <c r="X316" s="157">
        <f t="shared" si="107"/>
        <v>44132</v>
      </c>
      <c r="Y316" s="384">
        <f t="shared" si="108"/>
        <v>11.326000000000001</v>
      </c>
      <c r="Z316" s="384">
        <f t="shared" si="109"/>
        <v>11.546925867064973</v>
      </c>
      <c r="AA316" s="385">
        <f t="shared" si="110"/>
        <v>12.071235909850827</v>
      </c>
      <c r="AB316" s="196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4.3434661264302461E-2</v>
      </c>
      <c r="AD316" s="230">
        <f>(INDEX(Models!$BJ316:$BT316,,AH316)*(1-AF316)+INDEX(Models!$BJ316:$BT316,,AH316+1)*AF316-ERP_i)*AE316*Ramure*Pc/MaxiM</f>
        <v>2.5618192678113845E-4</v>
      </c>
      <c r="AE316" s="304">
        <f t="shared" si="112"/>
        <v>0.5</v>
      </c>
      <c r="AF316" s="176">
        <f t="shared" si="113"/>
        <v>0.43396295952169212</v>
      </c>
      <c r="AG316" s="814">
        <f t="shared" si="119"/>
        <v>0</v>
      </c>
      <c r="AH316" s="175">
        <f t="shared" si="114"/>
        <v>6</v>
      </c>
      <c r="AI316" s="224">
        <f t="shared" si="115"/>
        <v>0.43396295952169212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44133</v>
      </c>
      <c r="B317" s="616">
        <v>28.257000000000001</v>
      </c>
      <c r="C317" s="389"/>
      <c r="D317" s="392">
        <f t="shared" si="98"/>
        <v>28.808814301965992</v>
      </c>
      <c r="E317" s="384">
        <f t="shared" si="120"/>
        <v>30.116912703279862</v>
      </c>
      <c r="F317" s="384">
        <f t="shared" si="99"/>
        <v>30.122794666163625</v>
      </c>
      <c r="G317" s="110">
        <f t="shared" si="121"/>
        <v>0.83331868449665314</v>
      </c>
      <c r="H317" s="413" t="b">
        <f>Wh_hp&gt;='2019'!Maxi_hp</f>
        <v>0</v>
      </c>
      <c r="I317" s="379">
        <f>IF(H317,Wh_hp,'2019'!Maxi_hp)</f>
        <v>32.225870251285528</v>
      </c>
      <c r="J317" s="85">
        <f>IF(H317,An,'2019'!An_max)</f>
        <v>2018</v>
      </c>
      <c r="K317" s="196">
        <f t="shared" si="100"/>
        <v>44133</v>
      </c>
      <c r="L317" s="147">
        <f>IF(t&lt;Tvie,1-EXP((T0-t)*PertePVj)+'2019'!Pspv,1-EXP((T0-t)*PertePVj)+Pspv)</f>
        <v>1.9154356586217891E-2</v>
      </c>
      <c r="M317" s="847"/>
      <c r="N317" s="847"/>
      <c r="O317" s="48">
        <f>IF(t&lt;Tnet,'2019'!Resal+('2019'!Salim-'2019'!Resal)*(1-EXP(('2019'!Tnet-t)/('2019'!Tau_j))),Resal+(Salim-Resal)*(1-EXP((Tnet-t)/(Tau_j))))*Salcycl</f>
        <v>4.3434013778291765E-2</v>
      </c>
      <c r="P317" s="168">
        <f>(INDEX(Models!$BJ317:$BT317,,T317)*(1-R317)+INDEX(Models!$BJ317:$BT317,,T317+1)*R317-ERP_i)*Q317*Ramure*Pc/MaxiM</f>
        <v>2.5626946021996218E-4</v>
      </c>
      <c r="Q317" s="304">
        <f t="shared" si="101"/>
        <v>0.5</v>
      </c>
      <c r="R317" s="176">
        <f t="shared" si="102"/>
        <v>0.43399957450971777</v>
      </c>
      <c r="S317" s="814">
        <f t="shared" si="103"/>
        <v>0</v>
      </c>
      <c r="T317" s="175">
        <f t="shared" si="104"/>
        <v>6</v>
      </c>
      <c r="U317" s="250">
        <f t="shared" si="105"/>
        <v>0.43399957450971777</v>
      </c>
      <c r="V317" s="382">
        <f t="shared" si="106"/>
        <v>33.906927108644489</v>
      </c>
      <c r="W317" s="401"/>
      <c r="X317" s="157">
        <f t="shared" si="107"/>
        <v>44133</v>
      </c>
      <c r="Y317" s="384">
        <f t="shared" si="108"/>
        <v>28.257000000000001</v>
      </c>
      <c r="Z317" s="384">
        <f t="shared" si="109"/>
        <v>28.808814301965992</v>
      </c>
      <c r="AA317" s="385">
        <f t="shared" si="110"/>
        <v>30.116912703279862</v>
      </c>
      <c r="AB317" s="196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4.3434013778291765E-2</v>
      </c>
      <c r="AD317" s="230">
        <f>(INDEX(Models!$BJ317:$BT317,,AH317)*(1-AF317)+INDEX(Models!$BJ317:$BT317,,AH317+1)*AF317-ERP_i)*AE317*Ramure*Pc/MaxiM</f>
        <v>2.5626946021996218E-4</v>
      </c>
      <c r="AE317" s="304">
        <f t="shared" si="112"/>
        <v>0.5</v>
      </c>
      <c r="AF317" s="176">
        <f t="shared" si="113"/>
        <v>0.43399957450971777</v>
      </c>
      <c r="AG317" s="814">
        <f t="shared" si="119"/>
        <v>0</v>
      </c>
      <c r="AH317" s="175">
        <f t="shared" si="114"/>
        <v>6</v>
      </c>
      <c r="AI317" s="224">
        <f t="shared" si="115"/>
        <v>0.43399957450971777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44134</v>
      </c>
      <c r="B318" s="616">
        <v>32.835000000000001</v>
      </c>
      <c r="C318" s="389"/>
      <c r="D318" s="392">
        <f t="shared" si="98"/>
        <v>33.476948597373415</v>
      </c>
      <c r="E318" s="384">
        <f t="shared" si="120"/>
        <v>34.996978932162925</v>
      </c>
      <c r="F318" s="384">
        <f t="shared" si="99"/>
        <v>35.005693815920047</v>
      </c>
      <c r="G318" s="110">
        <f t="shared" si="121"/>
        <v>0.9770019797630568</v>
      </c>
      <c r="H318" s="413" t="b">
        <f>Wh_hp&gt;='2019'!Maxi_hp</f>
        <v>1</v>
      </c>
      <c r="I318" s="379">
        <f>IF(H318,Wh_hp,'2019'!Maxi_hp)</f>
        <v>35.005693815920047</v>
      </c>
      <c r="J318" s="85">
        <f>IF(H318,An,'2019'!An_max)</f>
        <v>2020</v>
      </c>
      <c r="K318" s="196">
        <f t="shared" si="100"/>
        <v>44134</v>
      </c>
      <c r="L318" s="147">
        <f>IF(t&lt;Tvie,1-EXP((T0-t)*PertePVj)+'2019'!Pspv,1-EXP((T0-t)*PertePVj)+Pspv)</f>
        <v>1.9175839623082669E-2</v>
      </c>
      <c r="M318" s="847"/>
      <c r="N318" s="847"/>
      <c r="O318" s="48">
        <f>IF(t&lt;Tnet,'2019'!Resal+('2019'!Salim-'2019'!Resal)*(1-EXP(('2019'!Tnet-t)/('2019'!Tau_j))),Resal+(Salim-Resal)*(1-EXP((Tnet-t)/(Tau_j))))*Salcycl</f>
        <v>4.3433187125548431E-2</v>
      </c>
      <c r="P318" s="168">
        <f>(INDEX(Models!$BJ318:$BT318,,T318)*(1-R318)+INDEX(Models!$BJ318:$BT318,,T318+1)*R318-ERP_i)*Q318*Ramure*Pc/MaxiM</f>
        <v>2.5741017529250096E-4</v>
      </c>
      <c r="Q318" s="304">
        <f t="shared" si="101"/>
        <v>0.5</v>
      </c>
      <c r="R318" s="176">
        <f t="shared" si="102"/>
        <v>0.43403472368923429</v>
      </c>
      <c r="S318" s="814">
        <f t="shared" si="103"/>
        <v>0</v>
      </c>
      <c r="T318" s="175">
        <f t="shared" si="104"/>
        <v>6</v>
      </c>
      <c r="U318" s="250">
        <f t="shared" si="105"/>
        <v>0.43403472368923429</v>
      </c>
      <c r="V318" s="382">
        <f t="shared" si="106"/>
        <v>33.60763132931752</v>
      </c>
      <c r="W318" s="401"/>
      <c r="X318" s="157">
        <f t="shared" si="107"/>
        <v>44134</v>
      </c>
      <c r="Y318" s="384">
        <f t="shared" si="108"/>
        <v>32.835000000000001</v>
      </c>
      <c r="Z318" s="384">
        <f t="shared" si="109"/>
        <v>33.476948597373415</v>
      </c>
      <c r="AA318" s="385">
        <f t="shared" si="110"/>
        <v>34.996978932162925</v>
      </c>
      <c r="AB318" s="196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4.3433187125548431E-2</v>
      </c>
      <c r="AD318" s="230">
        <f>(INDEX(Models!$BJ318:$BT318,,AH318)*(1-AF318)+INDEX(Models!$BJ318:$BT318,,AH318+1)*AF318-ERP_i)*AE318*Ramure*Pc/MaxiM</f>
        <v>2.5741017529250096E-4</v>
      </c>
      <c r="AE318" s="304">
        <f t="shared" si="112"/>
        <v>0.5</v>
      </c>
      <c r="AF318" s="176">
        <f t="shared" si="113"/>
        <v>0.43403472368923429</v>
      </c>
      <c r="AG318" s="814">
        <f t="shared" si="119"/>
        <v>0</v>
      </c>
      <c r="AH318" s="175">
        <f t="shared" si="114"/>
        <v>6</v>
      </c>
      <c r="AI318" s="224">
        <f t="shared" si="115"/>
        <v>0.43403472368923429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44135</v>
      </c>
      <c r="B319" s="616">
        <v>30.861999999999998</v>
      </c>
      <c r="C319" s="389"/>
      <c r="D319" s="392">
        <f t="shared" si="98"/>
        <v>31.466064171941529</v>
      </c>
      <c r="E319" s="384">
        <f t="shared" si="120"/>
        <v>32.894756628842266</v>
      </c>
      <c r="F319" s="384">
        <f t="shared" si="99"/>
        <v>32.902406059457448</v>
      </c>
      <c r="G319" s="110">
        <f t="shared" si="121"/>
        <v>0.92646424511713632</v>
      </c>
      <c r="H319" s="413" t="b">
        <f>Wh_hp&gt;='2019'!Maxi_hp</f>
        <v>1</v>
      </c>
      <c r="I319" s="379">
        <f>IF(H319,Wh_hp,'2019'!Maxi_hp)</f>
        <v>32.902406059457448</v>
      </c>
      <c r="J319" s="85">
        <f>IF(H319,An,'2019'!An_max)</f>
        <v>2020</v>
      </c>
      <c r="K319" s="196">
        <f t="shared" si="100"/>
        <v>44135</v>
      </c>
      <c r="L319" s="147">
        <f>IF(t&lt;Tvie,1-EXP((T0-t)*PertePVj)+'2019'!Pspv,1-EXP((T0-t)*PertePVj)+Pspv)</f>
        <v>1.9197322189413724E-2</v>
      </c>
      <c r="M319" s="847"/>
      <c r="N319" s="847"/>
      <c r="O319" s="48">
        <f>IF(t&lt;Tnet,'2019'!Resal+('2019'!Salim-'2019'!Resal)*(1-EXP(('2019'!Tnet-t)/('2019'!Tau_j))),Resal+(Salim-Resal)*(1-EXP((Tnet-t)/(Tau_j))))*Salcycl</f>
        <v>4.3432224564569424E-2</v>
      </c>
      <c r="P319" s="168">
        <f>(INDEX(Models!$BJ319:$BT319,,T319)*(1-R319)+INDEX(Models!$BJ319:$BT319,,T319+1)*R319-ERP_i)*Q319*Ramure*Pc/MaxiM</f>
        <v>2.5976801623336519E-4</v>
      </c>
      <c r="Q319" s="304">
        <f t="shared" si="101"/>
        <v>0.5</v>
      </c>
      <c r="R319" s="176">
        <f t="shared" si="102"/>
        <v>0.43406846541651928</v>
      </c>
      <c r="S319" s="814">
        <f t="shared" si="103"/>
        <v>0</v>
      </c>
      <c r="T319" s="175">
        <f t="shared" si="104"/>
        <v>6</v>
      </c>
      <c r="U319" s="250">
        <f t="shared" si="105"/>
        <v>0.43406846541651928</v>
      </c>
      <c r="V319" s="382">
        <f t="shared" si="106"/>
        <v>33.310684212643501</v>
      </c>
      <c r="W319" s="401"/>
      <c r="X319" s="157">
        <f t="shared" si="107"/>
        <v>44135</v>
      </c>
      <c r="Y319" s="384">
        <f t="shared" si="108"/>
        <v>30.862000000000002</v>
      </c>
      <c r="Z319" s="384">
        <f t="shared" si="109"/>
        <v>31.466064171941532</v>
      </c>
      <c r="AA319" s="385">
        <f t="shared" si="110"/>
        <v>32.894756628842266</v>
      </c>
      <c r="AB319" s="196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4.3432224564569424E-2</v>
      </c>
      <c r="AD319" s="230">
        <f>(INDEX(Models!$BJ319:$BT319,,AH319)*(1-AF319)+INDEX(Models!$BJ319:$BT319,,AH319+1)*AF319-ERP_i)*AE319*Ramure*Pc/MaxiM</f>
        <v>2.5976801623336519E-4</v>
      </c>
      <c r="AE319" s="304">
        <f t="shared" si="112"/>
        <v>0.5</v>
      </c>
      <c r="AF319" s="176">
        <f t="shared" si="113"/>
        <v>0.43406846541651928</v>
      </c>
      <c r="AG319" s="814">
        <f t="shared" si="119"/>
        <v>0</v>
      </c>
      <c r="AH319" s="175">
        <f t="shared" si="114"/>
        <v>6</v>
      </c>
      <c r="AI319" s="224">
        <f t="shared" si="115"/>
        <v>0.43406846541651928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44136</v>
      </c>
      <c r="B320" s="616">
        <v>28.288</v>
      </c>
      <c r="C320" s="389"/>
      <c r="D320" s="392">
        <f t="shared" si="98"/>
        <v>28.842314803338102</v>
      </c>
      <c r="E320" s="384">
        <f t="shared" si="120"/>
        <v>30.151844702475554</v>
      </c>
      <c r="F320" s="384">
        <f t="shared" si="99"/>
        <v>30.158162107452256</v>
      </c>
      <c r="G320" s="110">
        <f t="shared" si="121"/>
        <v>0.85674833528664862</v>
      </c>
      <c r="H320" s="413" t="b">
        <f>Wh_hp&gt;='2019'!Maxi_hp</f>
        <v>1</v>
      </c>
      <c r="I320" s="379">
        <f>IF(H320,Wh_hp,'2019'!Maxi_hp)</f>
        <v>30.158162107452256</v>
      </c>
      <c r="J320" s="85">
        <f>IF(H320,An,'2019'!An_max)</f>
        <v>2020</v>
      </c>
      <c r="K320" s="196">
        <f t="shared" si="100"/>
        <v>44136</v>
      </c>
      <c r="L320" s="147">
        <f>IF(t&lt;Tvie,1-EXP((T0-t)*PertePVj)+'2019'!Pspv,1-EXP((T0-t)*PertePVj)+Pspv)</f>
        <v>1.9218804285221491E-2</v>
      </c>
      <c r="M320" s="847"/>
      <c r="N320" s="847"/>
      <c r="O320" s="48">
        <f>IF(t&lt;Tnet,'2019'!Resal+('2019'!Salim-'2019'!Resal)*(1-EXP(('2019'!Tnet-t)/('2019'!Tau_j))),Resal+(Salim-Resal)*(1-EXP((Tnet-t)/(Tau_j))))*Salcycl</f>
        <v>4.3431170200672241E-2</v>
      </c>
      <c r="P320" s="168">
        <f>(INDEX(Models!$BJ320:$BT320,,T320)*(1-R320)+INDEX(Models!$BJ320:$BT320,,T320+1)*R320-ERP_i)*Q320*Ramure*Pc/MaxiM</f>
        <v>2.6335219686742434E-4</v>
      </c>
      <c r="Q320" s="304">
        <f t="shared" si="101"/>
        <v>0.5</v>
      </c>
      <c r="R320" s="176">
        <f t="shared" si="102"/>
        <v>0.43410085575013174</v>
      </c>
      <c r="S320" s="814">
        <f t="shared" si="103"/>
        <v>0</v>
      </c>
      <c r="T320" s="175">
        <f t="shared" si="104"/>
        <v>6</v>
      </c>
      <c r="U320" s="250">
        <f t="shared" si="105"/>
        <v>0.43410085575013174</v>
      </c>
      <c r="V320" s="382">
        <f t="shared" si="106"/>
        <v>33.016084724056341</v>
      </c>
      <c r="W320" s="401"/>
      <c r="X320" s="157">
        <f t="shared" si="107"/>
        <v>44136</v>
      </c>
      <c r="Y320" s="384">
        <f t="shared" si="108"/>
        <v>28.288</v>
      </c>
      <c r="Z320" s="384">
        <f t="shared" si="109"/>
        <v>28.842314803338102</v>
      </c>
      <c r="AA320" s="385">
        <f t="shared" si="110"/>
        <v>30.151844702475554</v>
      </c>
      <c r="AB320" s="196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4.3431170200672241E-2</v>
      </c>
      <c r="AD320" s="230">
        <f>(INDEX(Models!$BJ320:$BT320,,AH320)*(1-AF320)+INDEX(Models!$BJ320:$BT320,,AH320+1)*AF320-ERP_i)*AE320*Ramure*Pc/MaxiM</f>
        <v>2.6335219686742434E-4</v>
      </c>
      <c r="AE320" s="304">
        <f t="shared" si="112"/>
        <v>0.5</v>
      </c>
      <c r="AF320" s="176">
        <f t="shared" si="113"/>
        <v>0.43410085575013174</v>
      </c>
      <c r="AG320" s="814">
        <f t="shared" si="119"/>
        <v>0</v>
      </c>
      <c r="AH320" s="175">
        <f t="shared" si="114"/>
        <v>6</v>
      </c>
      <c r="AI320" s="224">
        <f t="shared" si="115"/>
        <v>0.43410085575013174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44137</v>
      </c>
      <c r="B321" s="616">
        <v>29.736999999999998</v>
      </c>
      <c r="C321" s="389"/>
      <c r="D321" s="392">
        <f t="shared" si="98"/>
        <v>30.3203726384777</v>
      </c>
      <c r="E321" s="384">
        <f t="shared" si="120"/>
        <v>31.69697441809522</v>
      </c>
      <c r="F321" s="384">
        <f t="shared" si="99"/>
        <v>31.704368019491852</v>
      </c>
      <c r="G321" s="110">
        <f t="shared" si="121"/>
        <v>0.90869431374811538</v>
      </c>
      <c r="H321" s="413" t="b">
        <f>Wh_hp&gt;='2019'!Maxi_hp</f>
        <v>1</v>
      </c>
      <c r="I321" s="379">
        <f>IF(H321,Wh_hp,'2019'!Maxi_hp)</f>
        <v>31.704368019491852</v>
      </c>
      <c r="J321" s="85">
        <f>IF(H321,An,'2019'!An_max)</f>
        <v>2020</v>
      </c>
      <c r="K321" s="196">
        <f t="shared" si="100"/>
        <v>44137</v>
      </c>
      <c r="L321" s="147">
        <f>IF(t&lt;Tvie,1-EXP((T0-t)*PertePVj)+'2019'!Pspv,1-EXP((T0-t)*PertePVj)+Pspv)</f>
        <v>1.9240285910516186E-2</v>
      </c>
      <c r="M321" s="847"/>
      <c r="N321" s="847"/>
      <c r="O321" s="48">
        <f>IF(t&lt;Tnet,'2019'!Resal+('2019'!Salim-'2019'!Resal)*(1-EXP(('2019'!Tnet-t)/('2019'!Tau_j))),Resal+(Salim-Resal)*(1-EXP((Tnet-t)/(Tau_j))))*Salcycl</f>
        <v>4.3430068796460344E-2</v>
      </c>
      <c r="P321" s="168">
        <f>(INDEX(Models!$BJ321:$BT321,,T321)*(1-R321)+INDEX(Models!$BJ321:$BT321,,T321+1)*R321-ERP_i)*Q321*Ramure*Pc/MaxiM</f>
        <v>2.6817176586688498E-4</v>
      </c>
      <c r="Q321" s="304">
        <f t="shared" si="101"/>
        <v>0.5</v>
      </c>
      <c r="R321" s="176">
        <f t="shared" si="102"/>
        <v>0.43413194853936771</v>
      </c>
      <c r="S321" s="814">
        <f t="shared" si="103"/>
        <v>0</v>
      </c>
      <c r="T321" s="175">
        <f t="shared" si="104"/>
        <v>6</v>
      </c>
      <c r="U321" s="250">
        <f t="shared" si="105"/>
        <v>0.43413194853936771</v>
      </c>
      <c r="V321" s="382">
        <f t="shared" si="106"/>
        <v>32.723831860807977</v>
      </c>
      <c r="W321" s="401"/>
      <c r="X321" s="157">
        <f t="shared" si="107"/>
        <v>44137</v>
      </c>
      <c r="Y321" s="384">
        <f t="shared" si="108"/>
        <v>29.736999999999998</v>
      </c>
      <c r="Z321" s="384">
        <f t="shared" si="109"/>
        <v>30.3203726384777</v>
      </c>
      <c r="AA321" s="385">
        <f t="shared" si="110"/>
        <v>31.69697441809522</v>
      </c>
      <c r="AB321" s="196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4.3430068796460344E-2</v>
      </c>
      <c r="AD321" s="230">
        <f>(INDEX(Models!$BJ321:$BT321,,AH321)*(1-AF321)+INDEX(Models!$BJ321:$BT321,,AH321+1)*AF321-ERP_i)*AE321*Ramure*Pc/MaxiM</f>
        <v>2.6817176586688498E-4</v>
      </c>
      <c r="AE321" s="304">
        <f t="shared" si="112"/>
        <v>0.5</v>
      </c>
      <c r="AF321" s="176">
        <f t="shared" si="113"/>
        <v>0.43413194853936771</v>
      </c>
      <c r="AG321" s="814">
        <f t="shared" si="119"/>
        <v>0</v>
      </c>
      <c r="AH321" s="175">
        <f t="shared" si="114"/>
        <v>6</v>
      </c>
      <c r="AI321" s="224">
        <f t="shared" si="115"/>
        <v>0.43413194853936771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44138</v>
      </c>
      <c r="B322" s="616">
        <v>5.6950000000000003</v>
      </c>
      <c r="C322" s="389"/>
      <c r="D322" s="392">
        <f t="shared" si="98"/>
        <v>5.8068501958557128</v>
      </c>
      <c r="E322" s="384">
        <f t="shared" si="120"/>
        <v>6.070485083578836</v>
      </c>
      <c r="F322" s="384">
        <f t="shared" si="99"/>
        <v>6.070485083578836</v>
      </c>
      <c r="G322" s="110">
        <f t="shared" si="121"/>
        <v>0.17553960207384997</v>
      </c>
      <c r="H322" s="413" t="b">
        <f>Wh_hp&gt;='2019'!Maxi_hp</f>
        <v>0</v>
      </c>
      <c r="I322" s="379">
        <f>IF(H322,Wh_hp,'2019'!Maxi_hp)</f>
        <v>22.319752291324583</v>
      </c>
      <c r="J322" s="85">
        <f>IF(H322,An,'2019'!An_max)</f>
        <v>2018</v>
      </c>
      <c r="K322" s="196">
        <f t="shared" si="100"/>
        <v>44138</v>
      </c>
      <c r="L322" s="147">
        <f>IF(t&lt;Tvie,1-EXP((T0-t)*PertePVj)+'2019'!Pspv,1-EXP((T0-t)*PertePVj)+Pspv)</f>
        <v>1.9261767065308244E-2</v>
      </c>
      <c r="M322" s="847"/>
      <c r="N322" s="847"/>
      <c r="O322" s="48">
        <f>IF(t&lt;Tnet,'2019'!Resal+('2019'!Salim-'2019'!Resal)*(1-EXP(('2019'!Tnet-t)/('2019'!Tau_j))),Resal+(Salim-Resal)*(1-EXP((Tnet-t)/(Tau_j))))*Salcycl</f>
        <v>4.3428965575795127E-2</v>
      </c>
      <c r="P322" s="168">
        <f>(INDEX(Models!$BJ322:$BT322,,T322)*(1-R322)+INDEX(Models!$BJ322:$BT322,,T322+1)*R322-ERP_i)*Q322*Ramure*Pc/MaxiM</f>
        <v>2.7423570767412135E-4</v>
      </c>
      <c r="Q322" s="304">
        <f t="shared" si="101"/>
        <v>0.5</v>
      </c>
      <c r="R322" s="176">
        <f t="shared" si="102"/>
        <v>0.43416179550947109</v>
      </c>
      <c r="S322" s="814">
        <f t="shared" si="103"/>
        <v>0</v>
      </c>
      <c r="T322" s="175">
        <f t="shared" si="104"/>
        <v>6</v>
      </c>
      <c r="U322" s="250">
        <f t="shared" si="105"/>
        <v>0.43416179550947109</v>
      </c>
      <c r="V322" s="382">
        <f t="shared" si="106"/>
        <v>32.433924655073284</v>
      </c>
      <c r="W322" s="401"/>
      <c r="X322" s="157">
        <f t="shared" si="107"/>
        <v>44138</v>
      </c>
      <c r="Y322" s="384">
        <f t="shared" si="108"/>
        <v>5.6950000000000003</v>
      </c>
      <c r="Z322" s="384">
        <f t="shared" si="109"/>
        <v>5.8068501958557128</v>
      </c>
      <c r="AA322" s="385">
        <f t="shared" si="110"/>
        <v>6.070485083578836</v>
      </c>
      <c r="AB322" s="196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4.3428965575795127E-2</v>
      </c>
      <c r="AD322" s="230">
        <f>(INDEX(Models!$BJ322:$BT322,,AH322)*(1-AF322)+INDEX(Models!$BJ322:$BT322,,AH322+1)*AF322-ERP_i)*AE322*Ramure*Pc/MaxiM</f>
        <v>2.7423570767412135E-4</v>
      </c>
      <c r="AE322" s="304">
        <f t="shared" si="112"/>
        <v>0.5</v>
      </c>
      <c r="AF322" s="176">
        <f t="shared" si="113"/>
        <v>0.43416179550947109</v>
      </c>
      <c r="AG322" s="814">
        <f t="shared" si="119"/>
        <v>0</v>
      </c>
      <c r="AH322" s="175">
        <f t="shared" si="114"/>
        <v>6</v>
      </c>
      <c r="AI322" s="224">
        <f t="shared" si="115"/>
        <v>0.43416179550947109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44139</v>
      </c>
      <c r="B323" s="616">
        <v>13.765000000000001</v>
      </c>
      <c r="C323" s="389"/>
      <c r="D323" s="392">
        <f t="shared" si="98"/>
        <v>14.035652973617793</v>
      </c>
      <c r="E323" s="384">
        <f t="shared" si="120"/>
        <v>14.672864765746658</v>
      </c>
      <c r="F323" s="384">
        <f t="shared" si="99"/>
        <v>14.673621389398376</v>
      </c>
      <c r="G323" s="110">
        <f t="shared" si="121"/>
        <v>0.42809926532295028</v>
      </c>
      <c r="H323" s="413" t="b">
        <f>Wh_hp&gt;='2019'!Maxi_hp</f>
        <v>1</v>
      </c>
      <c r="I323" s="379">
        <f>IF(H323,Wh_hp,'2019'!Maxi_hp)</f>
        <v>14.673621389398376</v>
      </c>
      <c r="J323" s="85">
        <f>IF(H323,An,'2019'!An_max)</f>
        <v>2020</v>
      </c>
      <c r="K323" s="196">
        <f t="shared" si="100"/>
        <v>44139</v>
      </c>
      <c r="L323" s="147">
        <f>IF(t&lt;Tvie,1-EXP((T0-t)*PertePVj)+'2019'!Pspv,1-EXP((T0-t)*PertePVj)+Pspv)</f>
        <v>1.9283247749607879E-2</v>
      </c>
      <c r="M323" s="847"/>
      <c r="N323" s="847"/>
      <c r="O323" s="48">
        <f>IF(t&lt;Tnet,'2019'!Resal+('2019'!Salim-'2019'!Resal)*(1-EXP(('2019'!Tnet-t)/('2019'!Tau_j))),Resal+(Salim-Resal)*(1-EXP((Tnet-t)/(Tau_j))))*Salcycl</f>
        <v>4.3427906022579552E-2</v>
      </c>
      <c r="P323" s="168">
        <f>(INDEX(Models!$BJ323:$BT323,,T323)*(1-R323)+INDEX(Models!$BJ323:$BT323,,T323+1)*R323-ERP_i)*Q323*Ramure*Pc/MaxiM</f>
        <v>2.8155304991974513E-4</v>
      </c>
      <c r="Q323" s="304">
        <f t="shared" si="101"/>
        <v>0.5</v>
      </c>
      <c r="R323" s="176">
        <f t="shared" si="102"/>
        <v>0.43419044634370474</v>
      </c>
      <c r="S323" s="814">
        <f t="shared" si="103"/>
        <v>0</v>
      </c>
      <c r="T323" s="175">
        <f t="shared" si="104"/>
        <v>6</v>
      </c>
      <c r="U323" s="250">
        <f t="shared" si="105"/>
        <v>0.43419044634370474</v>
      </c>
      <c r="V323" s="382">
        <f t="shared" si="106"/>
        <v>32.146362177396227</v>
      </c>
      <c r="W323" s="401"/>
      <c r="X323" s="157">
        <f t="shared" si="107"/>
        <v>44139</v>
      </c>
      <c r="Y323" s="384">
        <f t="shared" si="108"/>
        <v>13.765000000000001</v>
      </c>
      <c r="Z323" s="384">
        <f t="shared" si="109"/>
        <v>14.035652973617793</v>
      </c>
      <c r="AA323" s="385">
        <f t="shared" si="110"/>
        <v>14.672864765746658</v>
      </c>
      <c r="AB323" s="196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4.3427906022579552E-2</v>
      </c>
      <c r="AD323" s="230">
        <f>(INDEX(Models!$BJ323:$BT323,,AH323)*(1-AF323)+INDEX(Models!$BJ323:$BT323,,AH323+1)*AF323-ERP_i)*AE323*Ramure*Pc/MaxiM</f>
        <v>2.8155304991974513E-4</v>
      </c>
      <c r="AE323" s="304">
        <f t="shared" si="112"/>
        <v>0.5</v>
      </c>
      <c r="AF323" s="176">
        <f t="shared" si="113"/>
        <v>0.43419044634370474</v>
      </c>
      <c r="AG323" s="814">
        <f t="shared" si="119"/>
        <v>0</v>
      </c>
      <c r="AH323" s="175">
        <f t="shared" si="114"/>
        <v>6</v>
      </c>
      <c r="AI323" s="224">
        <f t="shared" si="115"/>
        <v>0.43419044634370474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44140</v>
      </c>
      <c r="B324" s="616">
        <v>22.402999999999999</v>
      </c>
      <c r="C324" s="389"/>
      <c r="D324" s="392">
        <f t="shared" si="98"/>
        <v>22.843997150589388</v>
      </c>
      <c r="E324" s="384">
        <f t="shared" si="120"/>
        <v>23.881079242730053</v>
      </c>
      <c r="F324" s="384">
        <f t="shared" si="99"/>
        <v>23.885065604825609</v>
      </c>
      <c r="G324" s="110">
        <f t="shared" si="121"/>
        <v>0.70305821486719511</v>
      </c>
      <c r="H324" s="413" t="b">
        <f>Wh_hp&gt;='2019'!Maxi_hp</f>
        <v>0</v>
      </c>
      <c r="I324" s="379">
        <f>IF(H324,Wh_hp,'2019'!Maxi_hp)</f>
        <v>23.891288220345345</v>
      </c>
      <c r="J324" s="85">
        <f>IF(H324,An,'2019'!An_max)</f>
        <v>2018</v>
      </c>
      <c r="K324" s="196">
        <f t="shared" si="100"/>
        <v>44140</v>
      </c>
      <c r="L324" s="147">
        <f>IF(t&lt;Tvie,1-EXP((T0-t)*PertePVj)+'2019'!Pspv,1-EXP((T0-t)*PertePVj)+Pspv)</f>
        <v>1.9304727963425306E-2</v>
      </c>
      <c r="M324" s="847"/>
      <c r="N324" s="847"/>
      <c r="O324" s="48">
        <f>IF(t&lt;Tnet,'2019'!Resal+('2019'!Salim-'2019'!Resal)*(1-EXP(('2019'!Tnet-t)/('2019'!Tau_j))),Resal+(Salim-Resal)*(1-EXP((Tnet-t)/(Tau_j))))*Salcycl</f>
        <v>4.3426935675713881E-2</v>
      </c>
      <c r="P324" s="168">
        <f>(INDEX(Models!$BJ324:$BT324,,T324)*(1-R324)+INDEX(Models!$BJ324:$BT324,,T324+1)*R324-ERP_i)*Q324*Ramure*Pc/MaxiM</f>
        <v>2.8979270835553675E-4</v>
      </c>
      <c r="Q324" s="304">
        <f t="shared" si="101"/>
        <v>0.5</v>
      </c>
      <c r="R324" s="176">
        <f t="shared" si="102"/>
        <v>0.43421794876238629</v>
      </c>
      <c r="S324" s="814">
        <f t="shared" si="103"/>
        <v>0</v>
      </c>
      <c r="T324" s="175">
        <f t="shared" si="104"/>
        <v>6</v>
      </c>
      <c r="U324" s="250">
        <f t="shared" si="105"/>
        <v>0.43421794876238629</v>
      </c>
      <c r="V324" s="382">
        <f t="shared" si="106"/>
        <v>31.861154381624797</v>
      </c>
      <c r="W324" s="401"/>
      <c r="X324" s="157">
        <f t="shared" si="107"/>
        <v>44140</v>
      </c>
      <c r="Y324" s="384">
        <f t="shared" si="108"/>
        <v>22.402999999999999</v>
      </c>
      <c r="Z324" s="384">
        <f t="shared" si="109"/>
        <v>22.843997150589388</v>
      </c>
      <c r="AA324" s="385">
        <f t="shared" si="110"/>
        <v>23.881079242730053</v>
      </c>
      <c r="AB324" s="196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4.3426935675713881E-2</v>
      </c>
      <c r="AD324" s="230">
        <f>(INDEX(Models!$BJ324:$BT324,,AH324)*(1-AF324)+INDEX(Models!$BJ324:$BT324,,AH324+1)*AF324-ERP_i)*AE324*Ramure*Pc/MaxiM</f>
        <v>2.8979270835553675E-4</v>
      </c>
      <c r="AE324" s="304">
        <f t="shared" si="112"/>
        <v>0.5</v>
      </c>
      <c r="AF324" s="176">
        <f t="shared" si="113"/>
        <v>0.43421794876238629</v>
      </c>
      <c r="AG324" s="814">
        <f t="shared" si="119"/>
        <v>0</v>
      </c>
      <c r="AH324" s="175">
        <f t="shared" si="114"/>
        <v>6</v>
      </c>
      <c r="AI324" s="224">
        <f t="shared" si="115"/>
        <v>0.43421794876238629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44141</v>
      </c>
      <c r="B325" s="616">
        <v>15.079000000000001</v>
      </c>
      <c r="C325" s="389"/>
      <c r="D325" s="392">
        <f t="shared" si="98"/>
        <v>15.376162918292062</v>
      </c>
      <c r="E325" s="384">
        <f t="shared" si="120"/>
        <v>16.074202857753363</v>
      </c>
      <c r="F325" s="384">
        <f t="shared" si="99"/>
        <v>16.07541957497671</v>
      </c>
      <c r="G325" s="110">
        <f t="shared" si="121"/>
        <v>0.47740482870429596</v>
      </c>
      <c r="H325" s="413" t="b">
        <f>Wh_hp&gt;='2019'!Maxi_hp</f>
        <v>1</v>
      </c>
      <c r="I325" s="379">
        <f>IF(H325,Wh_hp,'2019'!Maxi_hp)</f>
        <v>16.07541957497671</v>
      </c>
      <c r="J325" s="85">
        <f>IF(H325,An,'2019'!An_max)</f>
        <v>2020</v>
      </c>
      <c r="K325" s="196">
        <f t="shared" si="100"/>
        <v>44141</v>
      </c>
      <c r="L325" s="147">
        <f>IF(t&lt;Tvie,1-EXP((T0-t)*PertePVj)+'2019'!Pspv,1-EXP((T0-t)*PertePVj)+Pspv)</f>
        <v>1.9326207706770959E-2</v>
      </c>
      <c r="M325" s="847"/>
      <c r="N325" s="847"/>
      <c r="O325" s="48">
        <f>IF(t&lt;Tnet,'2019'!Resal+('2019'!Salim-'2019'!Resal)*(1-EXP(('2019'!Tnet-t)/('2019'!Tau_j))),Resal+(Salim-Resal)*(1-EXP((Tnet-t)/(Tau_j))))*Salcycl</f>
        <v>4.3426099921627048E-2</v>
      </c>
      <c r="P325" s="168">
        <f>(INDEX(Models!$BJ325:$BT325,,T325)*(1-R325)+INDEX(Models!$BJ325:$BT325,,T325+1)*R325-ERP_i)*Q325*Ramure*Pc/MaxiM</f>
        <v>2.9846923787949821E-4</v>
      </c>
      <c r="Q325" s="304">
        <f t="shared" si="101"/>
        <v>0.5</v>
      </c>
      <c r="R325" s="176">
        <f t="shared" si="102"/>
        <v>0.43424434859898892</v>
      </c>
      <c r="S325" s="814">
        <f t="shared" si="103"/>
        <v>0</v>
      </c>
      <c r="T325" s="175">
        <f t="shared" si="104"/>
        <v>6</v>
      </c>
      <c r="U325" s="250">
        <f t="shared" si="105"/>
        <v>0.43424434859898892</v>
      </c>
      <c r="V325" s="382">
        <f t="shared" si="106"/>
        <v>31.578315764345248</v>
      </c>
      <c r="W325" s="401"/>
      <c r="X325" s="157">
        <f t="shared" si="107"/>
        <v>44141</v>
      </c>
      <c r="Y325" s="384">
        <f t="shared" si="108"/>
        <v>15.079000000000001</v>
      </c>
      <c r="Z325" s="384">
        <f t="shared" si="109"/>
        <v>15.376162918292062</v>
      </c>
      <c r="AA325" s="385">
        <f t="shared" si="110"/>
        <v>16.074202857753363</v>
      </c>
      <c r="AB325" s="196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4.3426099921627048E-2</v>
      </c>
      <c r="AD325" s="230">
        <f>(INDEX(Models!$BJ325:$BT325,,AH325)*(1-AF325)+INDEX(Models!$BJ325:$BT325,,AH325+1)*AF325-ERP_i)*AE325*Ramure*Pc/MaxiM</f>
        <v>2.9846923787949821E-4</v>
      </c>
      <c r="AE325" s="304">
        <f t="shared" si="112"/>
        <v>0.5</v>
      </c>
      <c r="AF325" s="176">
        <f t="shared" si="113"/>
        <v>0.43424434859898892</v>
      </c>
      <c r="AG325" s="814">
        <f t="shared" si="119"/>
        <v>0</v>
      </c>
      <c r="AH325" s="175">
        <f t="shared" si="114"/>
        <v>6</v>
      </c>
      <c r="AI325" s="224">
        <f t="shared" si="115"/>
        <v>0.43424434859898892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44142</v>
      </c>
      <c r="B326" s="616">
        <v>3.383</v>
      </c>
      <c r="C326" s="389"/>
      <c r="D326" s="392">
        <f t="shared" si="98"/>
        <v>3.4497445782599359</v>
      </c>
      <c r="E326" s="384">
        <f t="shared" si="120"/>
        <v>3.6063520149573418</v>
      </c>
      <c r="F326" s="384">
        <f t="shared" si="99"/>
        <v>3.6063520149573418</v>
      </c>
      <c r="G326" s="110">
        <f t="shared" si="121"/>
        <v>0.10805726189165844</v>
      </c>
      <c r="H326" s="413" t="b">
        <f>Wh_hp&gt;='2019'!Maxi_hp</f>
        <v>0</v>
      </c>
      <c r="I326" s="379">
        <f>IF(H326,Wh_hp,'2019'!Maxi_hp)</f>
        <v>16.835463965728913</v>
      </c>
      <c r="J326" s="85">
        <f>IF(H326,An,'2019'!An_max)</f>
        <v>2019</v>
      </c>
      <c r="K326" s="196">
        <f t="shared" si="100"/>
        <v>44142</v>
      </c>
      <c r="L326" s="147">
        <f>IF(t&lt;Tvie,1-EXP((T0-t)*PertePVj)+'2019'!Pspv,1-EXP((T0-t)*PertePVj)+Pspv)</f>
        <v>1.9347686979655165E-2</v>
      </c>
      <c r="M326" s="847"/>
      <c r="N326" s="847"/>
      <c r="O326" s="48">
        <f>IF(t&lt;Tnet,'2019'!Resal+('2019'!Salim-'2019'!Resal)*(1-EXP(('2019'!Tnet-t)/('2019'!Tau_j))),Resal+(Salim-Resal)*(1-EXP((Tnet-t)/(Tau_j))))*Salcycl</f>
        <v>4.3425443785819307E-2</v>
      </c>
      <c r="P326" s="168">
        <f>(INDEX(Models!$BJ326:$BT326,,T326)*(1-R326)+INDEX(Models!$BJ326:$BT326,,T326+1)*R326-ERP_i)*Q326*Ramure*Pc/MaxiM</f>
        <v>3.0758785531401564E-4</v>
      </c>
      <c r="Q326" s="304">
        <f t="shared" si="101"/>
        <v>0.5</v>
      </c>
      <c r="R326" s="176">
        <f t="shared" si="102"/>
        <v>0.43426968987340853</v>
      </c>
      <c r="S326" s="814">
        <f t="shared" si="103"/>
        <v>0</v>
      </c>
      <c r="T326" s="175">
        <f t="shared" si="104"/>
        <v>6</v>
      </c>
      <c r="U326" s="250">
        <f t="shared" si="105"/>
        <v>0.43426968987340853</v>
      </c>
      <c r="V326" s="382">
        <f t="shared" si="106"/>
        <v>31.29784496738711</v>
      </c>
      <c r="W326" s="401"/>
      <c r="X326" s="157">
        <f t="shared" si="107"/>
        <v>44142</v>
      </c>
      <c r="Y326" s="384">
        <f t="shared" si="108"/>
        <v>3.383</v>
      </c>
      <c r="Z326" s="384">
        <f t="shared" si="109"/>
        <v>3.4497445782599359</v>
      </c>
      <c r="AA326" s="385">
        <f t="shared" si="110"/>
        <v>3.6063520149573418</v>
      </c>
      <c r="AB326" s="196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4.3425443785819307E-2</v>
      </c>
      <c r="AD326" s="230">
        <f>(INDEX(Models!$BJ326:$BT326,,AH326)*(1-AF326)+INDEX(Models!$BJ326:$BT326,,AH326+1)*AF326-ERP_i)*AE326*Ramure*Pc/MaxiM</f>
        <v>3.0758785531401564E-4</v>
      </c>
      <c r="AE326" s="304">
        <f t="shared" si="112"/>
        <v>0.5</v>
      </c>
      <c r="AF326" s="176">
        <f t="shared" si="113"/>
        <v>0.43426968987340853</v>
      </c>
      <c r="AG326" s="814">
        <f t="shared" si="119"/>
        <v>0</v>
      </c>
      <c r="AH326" s="175">
        <f t="shared" si="114"/>
        <v>6</v>
      </c>
      <c r="AI326" s="224">
        <f t="shared" si="115"/>
        <v>0.43426968987340853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44143</v>
      </c>
      <c r="B327" s="616">
        <v>22.388000000000002</v>
      </c>
      <c r="C327" s="389"/>
      <c r="D327" s="392">
        <f t="shared" si="98"/>
        <v>22.830201966732194</v>
      </c>
      <c r="E327" s="384">
        <f t="shared" si="120"/>
        <v>23.86660977609192</v>
      </c>
      <c r="F327" s="384">
        <f t="shared" si="99"/>
        <v>23.871171034928089</v>
      </c>
      <c r="G327" s="110">
        <f t="shared" si="121"/>
        <v>0.72164294008068597</v>
      </c>
      <c r="H327" s="413" t="b">
        <f>Wh_hp&gt;='2019'!Maxi_hp</f>
        <v>1</v>
      </c>
      <c r="I327" s="379">
        <f>IF(H327,Wh_hp,'2019'!Maxi_hp)</f>
        <v>23.871171034928089</v>
      </c>
      <c r="J327" s="85">
        <f>IF(H327,An,'2019'!An_max)</f>
        <v>2020</v>
      </c>
      <c r="K327" s="196">
        <f t="shared" si="100"/>
        <v>44143</v>
      </c>
      <c r="L327" s="147">
        <f>IF(t&lt;Tvie,1-EXP((T0-t)*PertePVj)+'2019'!Pspv,1-EXP((T0-t)*PertePVj)+Pspv)</f>
        <v>1.9369165782088138E-2</v>
      </c>
      <c r="M327" s="847"/>
      <c r="N327" s="847"/>
      <c r="O327" s="48">
        <f>IF(t&lt;Tnet,'2019'!Resal+('2019'!Salim-'2019'!Resal)*(1-EXP(('2019'!Tnet-t)/('2019'!Tau_j))),Resal+(Salim-Resal)*(1-EXP((Tnet-t)/(Tau_j))))*Salcycl</f>
        <v>4.3425011724871558E-2</v>
      </c>
      <c r="P327" s="168">
        <f>(INDEX(Models!$BJ327:$BT327,,T327)*(1-R327)+INDEX(Models!$BJ327:$BT327,,T327+1)*R327-ERP_i)*Q327*Ramure*Pc/MaxiM</f>
        <v>3.1715420129476221E-4</v>
      </c>
      <c r="Q327" s="304">
        <f t="shared" si="101"/>
        <v>0.5</v>
      </c>
      <c r="R327" s="176">
        <f t="shared" si="102"/>
        <v>0.43429401486249025</v>
      </c>
      <c r="S327" s="814">
        <f t="shared" si="103"/>
        <v>0</v>
      </c>
      <c r="T327" s="175">
        <f t="shared" si="104"/>
        <v>6</v>
      </c>
      <c r="U327" s="250">
        <f t="shared" si="105"/>
        <v>0.43429401486249025</v>
      </c>
      <c r="V327" s="382">
        <f t="shared" si="106"/>
        <v>31.019740686552456</v>
      </c>
      <c r="W327" s="401"/>
      <c r="X327" s="157">
        <f t="shared" si="107"/>
        <v>44143</v>
      </c>
      <c r="Y327" s="384">
        <f t="shared" si="108"/>
        <v>22.388000000000002</v>
      </c>
      <c r="Z327" s="384">
        <f t="shared" si="109"/>
        <v>22.830201966732194</v>
      </c>
      <c r="AA327" s="385">
        <f t="shared" si="110"/>
        <v>23.86660977609192</v>
      </c>
      <c r="AB327" s="196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4.3425011724871558E-2</v>
      </c>
      <c r="AD327" s="230">
        <f>(INDEX(Models!$BJ327:$BT327,,AH327)*(1-AF327)+INDEX(Models!$BJ327:$BT327,,AH327+1)*AF327-ERP_i)*AE327*Ramure*Pc/MaxiM</f>
        <v>3.1715420129476221E-4</v>
      </c>
      <c r="AE327" s="304">
        <f t="shared" si="112"/>
        <v>0.5</v>
      </c>
      <c r="AF327" s="176">
        <f t="shared" si="113"/>
        <v>0.43429401486249025</v>
      </c>
      <c r="AG327" s="814">
        <f t="shared" si="119"/>
        <v>0</v>
      </c>
      <c r="AH327" s="175">
        <f t="shared" si="114"/>
        <v>6</v>
      </c>
      <c r="AI327" s="224">
        <f t="shared" si="115"/>
        <v>0.43429401486249025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44144</v>
      </c>
      <c r="B328" s="616">
        <v>21.436</v>
      </c>
      <c r="C328" s="389"/>
      <c r="D328" s="392">
        <f t="shared" si="98"/>
        <v>21.859877097168731</v>
      </c>
      <c r="E328" s="384">
        <f t="shared" si="120"/>
        <v>22.852231775223039</v>
      </c>
      <c r="F328" s="384">
        <f t="shared" si="99"/>
        <v>22.85647548168469</v>
      </c>
      <c r="G328" s="110">
        <f t="shared" si="121"/>
        <v>0.69714301739308238</v>
      </c>
      <c r="H328" s="413" t="b">
        <f>Wh_hp&gt;='2019'!Maxi_hp</f>
        <v>1</v>
      </c>
      <c r="I328" s="379">
        <f>IF(H328,Wh_hp,'2019'!Maxi_hp)</f>
        <v>22.85647548168469</v>
      </c>
      <c r="J328" s="85">
        <f>IF(H328,An,'2019'!An_max)</f>
        <v>2020</v>
      </c>
      <c r="K328" s="196">
        <f t="shared" si="100"/>
        <v>44144</v>
      </c>
      <c r="L328" s="147">
        <f>IF(t&lt;Tvie,1-EXP((T0-t)*PertePVj)+'2019'!Pspv,1-EXP((T0-t)*PertePVj)+Pspv)</f>
        <v>1.9390644114080202E-2</v>
      </c>
      <c r="M328" s="847"/>
      <c r="N328" s="847"/>
      <c r="O328" s="48">
        <f>IF(t&lt;Tnet,'2019'!Resal+('2019'!Salim-'2019'!Resal)*(1-EXP(('2019'!Tnet-t)/('2019'!Tau_j))),Resal+(Salim-Resal)*(1-EXP((Tnet-t)/(Tau_j))))*Salcycl</f>
        <v>4.3424847420383834E-2</v>
      </c>
      <c r="P328" s="168">
        <f>(INDEX(Models!$BJ328:$BT328,,T328)*(1-R328)+INDEX(Models!$BJ328:$BT328,,T328+1)*R328-ERP_i)*Q328*Ramure*Pc/MaxiM</f>
        <v>3.2717437540105303E-4</v>
      </c>
      <c r="Q328" s="304">
        <f t="shared" si="101"/>
        <v>0.5</v>
      </c>
      <c r="R328" s="176">
        <f t="shared" si="102"/>
        <v>0.43431736416791134</v>
      </c>
      <c r="S328" s="814">
        <f t="shared" si="103"/>
        <v>0</v>
      </c>
      <c r="T328" s="175">
        <f t="shared" si="104"/>
        <v>6</v>
      </c>
      <c r="U328" s="250">
        <f t="shared" si="105"/>
        <v>0.43431736416791134</v>
      </c>
      <c r="V328" s="382">
        <f t="shared" si="106"/>
        <v>30.744001678675396</v>
      </c>
      <c r="W328" s="401"/>
      <c r="X328" s="157">
        <f t="shared" si="107"/>
        <v>44144</v>
      </c>
      <c r="Y328" s="384">
        <f t="shared" si="108"/>
        <v>21.436</v>
      </c>
      <c r="Z328" s="384">
        <f t="shared" si="109"/>
        <v>21.859877097168731</v>
      </c>
      <c r="AA328" s="385">
        <f t="shared" si="110"/>
        <v>22.852231775223039</v>
      </c>
      <c r="AB328" s="196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4.3424847420383834E-2</v>
      </c>
      <c r="AD328" s="230">
        <f>(INDEX(Models!$BJ328:$BT328,,AH328)*(1-AF328)+INDEX(Models!$BJ328:$BT328,,AH328+1)*AF328-ERP_i)*AE328*Ramure*Pc/MaxiM</f>
        <v>3.2717437540105303E-4</v>
      </c>
      <c r="AE328" s="304">
        <f t="shared" si="112"/>
        <v>0.5</v>
      </c>
      <c r="AF328" s="176">
        <f t="shared" si="113"/>
        <v>0.43431736416791134</v>
      </c>
      <c r="AG328" s="814">
        <f t="shared" si="119"/>
        <v>0</v>
      </c>
      <c r="AH328" s="175">
        <f t="shared" si="114"/>
        <v>6</v>
      </c>
      <c r="AI328" s="224">
        <f t="shared" si="115"/>
        <v>0.43431736416791134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44145</v>
      </c>
      <c r="B329" s="616">
        <v>13.693</v>
      </c>
      <c r="C329" s="389"/>
      <c r="D329" s="392">
        <f t="shared" si="98"/>
        <v>13.964072274264701</v>
      </c>
      <c r="E329" s="384">
        <f t="shared" si="120"/>
        <v>14.597989891531357</v>
      </c>
      <c r="F329" s="384">
        <f t="shared" si="99"/>
        <v>14.599041859182906</v>
      </c>
      <c r="G329" s="110">
        <f t="shared" si="121"/>
        <v>0.44926423786382869</v>
      </c>
      <c r="H329" s="413" t="b">
        <f>Wh_hp&gt;='2019'!Maxi_hp</f>
        <v>0</v>
      </c>
      <c r="I329" s="379">
        <f>IF(H329,Wh_hp,'2019'!Maxi_hp)</f>
        <v>26.823928749005539</v>
      </c>
      <c r="J329" s="85">
        <f>IF(H329,An,'2019'!An_max)</f>
        <v>2018</v>
      </c>
      <c r="K329" s="196">
        <f t="shared" si="100"/>
        <v>44145</v>
      </c>
      <c r="L329" s="147">
        <f>IF(t&lt;Tvie,1-EXP((T0-t)*PertePVj)+'2019'!Pspv,1-EXP((T0-t)*PertePVj)+Pspv)</f>
        <v>1.9412121975641683E-2</v>
      </c>
      <c r="M329" s="847"/>
      <c r="N329" s="847"/>
      <c r="O329" s="48">
        <f>IF(t&lt;Tnet,'2019'!Resal+('2019'!Salim-'2019'!Resal)*(1-EXP(('2019'!Tnet-t)/('2019'!Tau_j))),Resal+(Salim-Resal)*(1-EXP((Tnet-t)/(Tau_j))))*Salcycl</f>
        <v>4.3424993576301002E-2</v>
      </c>
      <c r="P329" s="168">
        <f>(INDEX(Models!$BJ329:$BT329,,T329)*(1-R329)+INDEX(Models!$BJ329:$BT329,,T329+1)*R329-ERP_i)*Q329*Ramure*Pc/MaxiM</f>
        <v>3.3765496898584594E-4</v>
      </c>
      <c r="Q329" s="304">
        <f t="shared" si="101"/>
        <v>0.5</v>
      </c>
      <c r="R329" s="176">
        <f t="shared" si="102"/>
        <v>0.43433977678150965</v>
      </c>
      <c r="S329" s="814">
        <f t="shared" si="103"/>
        <v>0</v>
      </c>
      <c r="T329" s="175">
        <f t="shared" si="104"/>
        <v>6</v>
      </c>
      <c r="U329" s="250">
        <f t="shared" si="105"/>
        <v>0.43433977678150965</v>
      </c>
      <c r="V329" s="382">
        <f t="shared" si="106"/>
        <v>30.470626761292376</v>
      </c>
      <c r="W329" s="401"/>
      <c r="X329" s="157">
        <f t="shared" si="107"/>
        <v>44145</v>
      </c>
      <c r="Y329" s="384">
        <f t="shared" si="108"/>
        <v>13.693</v>
      </c>
      <c r="Z329" s="384">
        <f t="shared" si="109"/>
        <v>13.964072274264701</v>
      </c>
      <c r="AA329" s="385">
        <f t="shared" si="110"/>
        <v>14.597989891531357</v>
      </c>
      <c r="AB329" s="196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4.3424993576301002E-2</v>
      </c>
      <c r="AD329" s="230">
        <f>(INDEX(Models!$BJ329:$BT329,,AH329)*(1-AF329)+INDEX(Models!$BJ329:$BT329,,AH329+1)*AF329-ERP_i)*AE329*Ramure*Pc/MaxiM</f>
        <v>3.3765496898584594E-4</v>
      </c>
      <c r="AE329" s="304">
        <f t="shared" si="112"/>
        <v>0.5</v>
      </c>
      <c r="AF329" s="176">
        <f t="shared" si="113"/>
        <v>0.43433977678150965</v>
      </c>
      <c r="AG329" s="814">
        <f t="shared" si="119"/>
        <v>0</v>
      </c>
      <c r="AH329" s="175">
        <f t="shared" si="114"/>
        <v>6</v>
      </c>
      <c r="AI329" s="224">
        <f t="shared" si="115"/>
        <v>0.43433977678150965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44146</v>
      </c>
      <c r="B330" s="616">
        <v>22.225999999999999</v>
      </c>
      <c r="C330" s="389"/>
      <c r="D330" s="392">
        <f t="shared" si="98"/>
        <v>22.666491515156125</v>
      </c>
      <c r="E330" s="384">
        <f t="shared" si="120"/>
        <v>23.695479357836529</v>
      </c>
      <c r="F330" s="384">
        <f t="shared" si="99"/>
        <v>23.7006251146538</v>
      </c>
      <c r="G330" s="110">
        <f t="shared" si="121"/>
        <v>0.73587285924583901</v>
      </c>
      <c r="H330" s="413" t="b">
        <f>Wh_hp&gt;='2019'!Maxi_hp</f>
        <v>0</v>
      </c>
      <c r="I330" s="379">
        <f>IF(H330,Wh_hp,'2019'!Maxi_hp)</f>
        <v>27.427217713351663</v>
      </c>
      <c r="J330" s="85">
        <f>IF(H330,An,'2019'!An_max)</f>
        <v>2018</v>
      </c>
      <c r="K330" s="196">
        <f t="shared" si="100"/>
        <v>44146</v>
      </c>
      <c r="L330" s="147">
        <f>IF(t&lt;Tvie,1-EXP((T0-t)*PertePVj)+'2019'!Pspv,1-EXP((T0-t)*PertePVj)+Pspv)</f>
        <v>1.9433599366782794E-2</v>
      </c>
      <c r="M330" s="847"/>
      <c r="N330" s="847"/>
      <c r="O330" s="48">
        <f>IF(t&lt;Tnet,'2019'!Resal+('2019'!Salim-'2019'!Resal)*(1-EXP(('2019'!Tnet-t)/('2019'!Tau_j))),Resal+(Salim-Resal)*(1-EXP((Tnet-t)/(Tau_j))))*Salcycl</f>
        <v>4.3425491721065357E-2</v>
      </c>
      <c r="P330" s="168">
        <f>(INDEX(Models!$BJ330:$BT330,,T330)*(1-R330)+INDEX(Models!$BJ330:$BT330,,T330+1)*R330-ERP_i)*Q330*Ramure*Pc/MaxiM</f>
        <v>3.4860309505311632E-4</v>
      </c>
      <c r="Q330" s="304">
        <f t="shared" si="101"/>
        <v>0.5</v>
      </c>
      <c r="R330" s="176">
        <f t="shared" si="102"/>
        <v>0.43436129014814756</v>
      </c>
      <c r="S330" s="814">
        <f t="shared" si="103"/>
        <v>0</v>
      </c>
      <c r="T330" s="175">
        <f t="shared" si="104"/>
        <v>6</v>
      </c>
      <c r="U330" s="250">
        <f t="shared" si="105"/>
        <v>0.43436129014814756</v>
      </c>
      <c r="V330" s="382">
        <f t="shared" si="106"/>
        <v>30.199614821502493</v>
      </c>
      <c r="W330" s="401"/>
      <c r="X330" s="157">
        <f t="shared" si="107"/>
        <v>44146</v>
      </c>
      <c r="Y330" s="384">
        <f t="shared" si="108"/>
        <v>22.225999999999999</v>
      </c>
      <c r="Z330" s="384">
        <f t="shared" si="109"/>
        <v>22.666491515156125</v>
      </c>
      <c r="AA330" s="385">
        <f t="shared" si="110"/>
        <v>23.695479357836529</v>
      </c>
      <c r="AB330" s="196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4.3425491721065357E-2</v>
      </c>
      <c r="AD330" s="230">
        <f>(INDEX(Models!$BJ330:$BT330,,AH330)*(1-AF330)+INDEX(Models!$BJ330:$BT330,,AH330+1)*AF330-ERP_i)*AE330*Ramure*Pc/MaxiM</f>
        <v>3.4860309505311632E-4</v>
      </c>
      <c r="AE330" s="304">
        <f t="shared" si="112"/>
        <v>0.5</v>
      </c>
      <c r="AF330" s="176">
        <f t="shared" si="113"/>
        <v>0.43436129014814756</v>
      </c>
      <c r="AG330" s="814">
        <f t="shared" si="119"/>
        <v>0</v>
      </c>
      <c r="AH330" s="175">
        <f t="shared" si="114"/>
        <v>6</v>
      </c>
      <c r="AI330" s="224">
        <f t="shared" si="115"/>
        <v>0.43436129014814756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44147</v>
      </c>
      <c r="B331" s="616">
        <v>29.113</v>
      </c>
      <c r="C331" s="389"/>
      <c r="D331" s="392">
        <f t="shared" si="98"/>
        <v>29.690633540556142</v>
      </c>
      <c r="E331" s="384">
        <f t="shared" si="120"/>
        <v>31.038524356473484</v>
      </c>
      <c r="F331" s="384">
        <f t="shared" si="99"/>
        <v>31.04926746236552</v>
      </c>
      <c r="G331" s="110">
        <f t="shared" si="121"/>
        <v>0.97269373793866243</v>
      </c>
      <c r="H331" s="413" t="b">
        <f>Wh_hp&gt;='2019'!Maxi_hp</f>
        <v>1</v>
      </c>
      <c r="I331" s="379">
        <f>IF(H331,Wh_hp,'2019'!Maxi_hp)</f>
        <v>31.04926746236552</v>
      </c>
      <c r="J331" s="85">
        <f>IF(H331,An,'2019'!An_max)</f>
        <v>2020</v>
      </c>
      <c r="K331" s="196">
        <f t="shared" si="100"/>
        <v>44147</v>
      </c>
      <c r="L331" s="147">
        <f>IF(t&lt;Tvie,1-EXP((T0-t)*PertePVj)+'2019'!Pspv,1-EXP((T0-t)*PertePVj)+Pspv)</f>
        <v>1.9455076287514084E-2</v>
      </c>
      <c r="M331" s="847"/>
      <c r="N331" s="847"/>
      <c r="O331" s="48">
        <f>IF(t&lt;Tnet,'2019'!Resal+('2019'!Salim-'2019'!Resal)*(1-EXP(('2019'!Tnet-t)/('2019'!Tau_j))),Resal+(Salim-Resal)*(1-EXP((Tnet-t)/(Tau_j))))*Salcycl</f>
        <v>4.342638201600655E-2</v>
      </c>
      <c r="P331" s="168">
        <f>(INDEX(Models!$BJ331:$BT331,,T331)*(1-R331)+INDEX(Models!$BJ331:$BT331,,T331+1)*R331-ERP_i)*Q331*Ramure*Pc/MaxiM</f>
        <v>3.6003965322125935E-4</v>
      </c>
      <c r="Q331" s="304">
        <f t="shared" si="101"/>
        <v>0.5</v>
      </c>
      <c r="R331" s="176">
        <f t="shared" si="102"/>
        <v>0.43438194022619797</v>
      </c>
      <c r="S331" s="814">
        <f t="shared" si="103"/>
        <v>0</v>
      </c>
      <c r="T331" s="175">
        <f t="shared" si="104"/>
        <v>6</v>
      </c>
      <c r="U331" s="250">
        <f t="shared" si="105"/>
        <v>0.43438194022619797</v>
      </c>
      <c r="V331" s="382">
        <f t="shared" si="106"/>
        <v>29.929863884460662</v>
      </c>
      <c r="W331" s="401"/>
      <c r="X331" s="157">
        <f t="shared" si="107"/>
        <v>44147</v>
      </c>
      <c r="Y331" s="384">
        <f t="shared" si="108"/>
        <v>29.113</v>
      </c>
      <c r="Z331" s="384">
        <f t="shared" si="109"/>
        <v>29.690633540556142</v>
      </c>
      <c r="AA331" s="385">
        <f t="shared" si="110"/>
        <v>31.038524356473484</v>
      </c>
      <c r="AB331" s="196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4.342638201600655E-2</v>
      </c>
      <c r="AD331" s="230">
        <f>(INDEX(Models!$BJ331:$BT331,,AH331)*(1-AF331)+INDEX(Models!$BJ331:$BT331,,AH331+1)*AF331-ERP_i)*AE331*Ramure*Pc/MaxiM</f>
        <v>3.6003965322125935E-4</v>
      </c>
      <c r="AE331" s="304">
        <f t="shared" si="112"/>
        <v>0.5</v>
      </c>
      <c r="AF331" s="176">
        <f t="shared" si="113"/>
        <v>0.43438194022619797</v>
      </c>
      <c r="AG331" s="814">
        <f t="shared" si="119"/>
        <v>0</v>
      </c>
      <c r="AH331" s="175">
        <f t="shared" si="114"/>
        <v>6</v>
      </c>
      <c r="AI331" s="224">
        <f t="shared" si="115"/>
        <v>0.43438194022619797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44148</v>
      </c>
      <c r="B332" s="616">
        <v>18.608000000000001</v>
      </c>
      <c r="C332" s="389"/>
      <c r="D332" s="392">
        <f t="shared" si="98"/>
        <v>18.977618589293087</v>
      </c>
      <c r="E332" s="384">
        <f t="shared" si="120"/>
        <v>19.839188998286819</v>
      </c>
      <c r="F332" s="384">
        <f t="shared" si="99"/>
        <v>19.84263142805246</v>
      </c>
      <c r="G332" s="110">
        <f t="shared" si="121"/>
        <v>0.62723946530951535</v>
      </c>
      <c r="H332" s="413" t="b">
        <f>Wh_hp&gt;='2019'!Maxi_hp</f>
        <v>1</v>
      </c>
      <c r="I332" s="379">
        <f>IF(H332,Wh_hp,'2019'!Maxi_hp)</f>
        <v>19.84263142805246</v>
      </c>
      <c r="J332" s="85">
        <f>IF(H332,An,'2019'!An_max)</f>
        <v>2020</v>
      </c>
      <c r="K332" s="196">
        <f t="shared" si="100"/>
        <v>44148</v>
      </c>
      <c r="L332" s="147">
        <f>IF(t&lt;Tvie,1-EXP((T0-t)*PertePVj)+'2019'!Pspv,1-EXP((T0-t)*PertePVj)+Pspv)</f>
        <v>1.9476552737845543E-2</v>
      </c>
      <c r="M332" s="847"/>
      <c r="N332" s="847"/>
      <c r="O332" s="48">
        <f>IF(t&lt;Tnet,'2019'!Resal+('2019'!Salim-'2019'!Resal)*(1-EXP(('2019'!Tnet-t)/('2019'!Tau_j))),Resal+(Salim-Resal)*(1-EXP((Tnet-t)/(Tau_j))))*Salcycl</f>
        <v>4.3427703071336816E-2</v>
      </c>
      <c r="P332" s="168">
        <f>(INDEX(Models!$BJ332:$BT332,,T332)*(1-R332)+INDEX(Models!$BJ332:$BT332,,T332+1)*R332-ERP_i)*Q332*Ramure*Pc/MaxiM</f>
        <v>3.7096571137225002E-4</v>
      </c>
      <c r="Q332" s="304">
        <f t="shared" si="101"/>
        <v>0.5</v>
      </c>
      <c r="R332" s="176">
        <f t="shared" si="102"/>
        <v>0.43440176154573501</v>
      </c>
      <c r="S332" s="814">
        <f t="shared" si="103"/>
        <v>0</v>
      </c>
      <c r="T332" s="175">
        <f t="shared" si="104"/>
        <v>6</v>
      </c>
      <c r="U332" s="250">
        <f t="shared" si="105"/>
        <v>0.43440176154573501</v>
      </c>
      <c r="V332" s="382">
        <f t="shared" si="106"/>
        <v>29.660641109460073</v>
      </c>
      <c r="W332" s="401"/>
      <c r="X332" s="157">
        <f t="shared" si="107"/>
        <v>44148</v>
      </c>
      <c r="Y332" s="384">
        <f t="shared" si="108"/>
        <v>18.608000000000001</v>
      </c>
      <c r="Z332" s="384">
        <f t="shared" si="109"/>
        <v>18.977618589293087</v>
      </c>
      <c r="AA332" s="385">
        <f t="shared" si="110"/>
        <v>19.839188998286819</v>
      </c>
      <c r="AB332" s="196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4.3427703071336816E-2</v>
      </c>
      <c r="AD332" s="230">
        <f>(INDEX(Models!$BJ332:$BT332,,AH332)*(1-AF332)+INDEX(Models!$BJ332:$BT332,,AH332+1)*AF332-ERP_i)*AE332*Ramure*Pc/MaxiM</f>
        <v>3.7096571137225002E-4</v>
      </c>
      <c r="AE332" s="304">
        <f t="shared" si="112"/>
        <v>0.5</v>
      </c>
      <c r="AF332" s="176">
        <f t="shared" si="113"/>
        <v>0.43440176154573501</v>
      </c>
      <c r="AG332" s="814">
        <f t="shared" si="119"/>
        <v>0</v>
      </c>
      <c r="AH332" s="175">
        <f t="shared" si="114"/>
        <v>6</v>
      </c>
      <c r="AI332" s="224">
        <f t="shared" si="115"/>
        <v>0.43440176154573501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44149</v>
      </c>
      <c r="B333" s="616">
        <v>27.192</v>
      </c>
      <c r="C333" s="389"/>
      <c r="D333" s="392">
        <f t="shared" si="98"/>
        <v>27.732733636874539</v>
      </c>
      <c r="E333" s="384">
        <f t="shared" si="120"/>
        <v>28.991834264492407</v>
      </c>
      <c r="F333" s="384">
        <f t="shared" si="99"/>
        <v>29.001692225643055</v>
      </c>
      <c r="G333" s="110">
        <f t="shared" si="121"/>
        <v>0.92509705715320556</v>
      </c>
      <c r="H333" s="413" t="b">
        <f>Wh_hp&gt;='2019'!Maxi_hp</f>
        <v>1</v>
      </c>
      <c r="I333" s="379">
        <f>IF(H333,Wh_hp,'2019'!Maxi_hp)</f>
        <v>29.001692225643055</v>
      </c>
      <c r="J333" s="85">
        <f>IF(H333,An,'2019'!An_max)</f>
        <v>2020</v>
      </c>
      <c r="K333" s="196">
        <f t="shared" si="100"/>
        <v>44149</v>
      </c>
      <c r="L333" s="147">
        <f>IF(t&lt;Tvie,1-EXP((T0-t)*PertePVj)+'2019'!Pspv,1-EXP((T0-t)*PertePVj)+Pspv)</f>
        <v>1.9498028717787719E-2</v>
      </c>
      <c r="M333" s="847"/>
      <c r="N333" s="847"/>
      <c r="O333" s="48">
        <f>IF(t&lt;Tnet,'2019'!Resal+('2019'!Salim-'2019'!Resal)*(1-EXP(('2019'!Tnet-t)/('2019'!Tau_j))),Resal+(Salim-Resal)*(1-EXP((Tnet-t)/(Tau_j))))*Salcycl</f>
        <v>4.3429491771065538E-2</v>
      </c>
      <c r="P333" s="168">
        <f>(INDEX(Models!$BJ333:$BT333,,T333)*(1-R333)+INDEX(Models!$BJ333:$BT333,,T333+1)*R333-ERP_i)*Q333*Ramure*Pc/MaxiM</f>
        <v>3.8061699488398966E-4</v>
      </c>
      <c r="Q333" s="304">
        <f t="shared" si="101"/>
        <v>0.5</v>
      </c>
      <c r="R333" s="176">
        <f t="shared" si="102"/>
        <v>0.43442078726451205</v>
      </c>
      <c r="S333" s="814">
        <f t="shared" si="103"/>
        <v>0</v>
      </c>
      <c r="T333" s="175">
        <f t="shared" si="104"/>
        <v>6</v>
      </c>
      <c r="U333" s="250">
        <f t="shared" si="105"/>
        <v>0.43442078726451205</v>
      </c>
      <c r="V333" s="382">
        <f t="shared" si="106"/>
        <v>29.392475638060741</v>
      </c>
      <c r="W333" s="401"/>
      <c r="X333" s="157">
        <f t="shared" si="107"/>
        <v>44149</v>
      </c>
      <c r="Y333" s="384">
        <f t="shared" si="108"/>
        <v>27.192</v>
      </c>
      <c r="Z333" s="384">
        <f t="shared" si="109"/>
        <v>27.732733636874539</v>
      </c>
      <c r="AA333" s="385">
        <f t="shared" si="110"/>
        <v>28.991834264492407</v>
      </c>
      <c r="AB333" s="196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4.3429491771065538E-2</v>
      </c>
      <c r="AD333" s="230">
        <f>(INDEX(Models!$BJ333:$BT333,,AH333)*(1-AF333)+INDEX(Models!$BJ333:$BT333,,AH333+1)*AF333-ERP_i)*AE333*Ramure*Pc/MaxiM</f>
        <v>3.8061699488398966E-4</v>
      </c>
      <c r="AE333" s="304">
        <f t="shared" si="112"/>
        <v>0.5</v>
      </c>
      <c r="AF333" s="176">
        <f t="shared" si="113"/>
        <v>0.43442078726451205</v>
      </c>
      <c r="AG333" s="814">
        <f t="shared" si="119"/>
        <v>0</v>
      </c>
      <c r="AH333" s="175">
        <f t="shared" si="114"/>
        <v>6</v>
      </c>
      <c r="AI333" s="224">
        <f t="shared" si="115"/>
        <v>0.43442078726451205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44150</v>
      </c>
      <c r="B334" s="616">
        <v>20.417000000000002</v>
      </c>
      <c r="C334" s="389"/>
      <c r="D334" s="392">
        <f t="shared" si="98"/>
        <v>20.823463687475769</v>
      </c>
      <c r="E334" s="384">
        <f t="shared" si="120"/>
        <v>21.768927003591422</v>
      </c>
      <c r="F334" s="384">
        <f t="shared" si="99"/>
        <v>21.77377882064421</v>
      </c>
      <c r="G334" s="110">
        <f t="shared" si="121"/>
        <v>0.70087534413666319</v>
      </c>
      <c r="H334" s="413" t="b">
        <f>Wh_hp&gt;='2019'!Maxi_hp</f>
        <v>0</v>
      </c>
      <c r="I334" s="379">
        <f>IF(H334,Wh_hp,'2019'!Maxi_hp)</f>
        <v>26.916043187141536</v>
      </c>
      <c r="J334" s="85">
        <f>IF(H334,An,'2019'!An_max)</f>
        <v>2018</v>
      </c>
      <c r="K334" s="196">
        <f t="shared" si="100"/>
        <v>44150</v>
      </c>
      <c r="L334" s="147">
        <f>IF(t&lt;Tvie,1-EXP((T0-t)*PertePVj)+'2019'!Pspv,1-EXP((T0-t)*PertePVj)+Pspv)</f>
        <v>1.9519504227350715E-2</v>
      </c>
      <c r="M334" s="847"/>
      <c r="N334" s="847"/>
      <c r="O334" s="48">
        <f>IF(t&lt;Tnet,'2019'!Resal+('2019'!Salim-'2019'!Resal)*(1-EXP(('2019'!Tnet-t)/('2019'!Tau_j))),Resal+(Salim-Resal)*(1-EXP((Tnet-t)/(Tau_j))))*Salcycl</f>
        <v>4.3431783108082038E-2</v>
      </c>
      <c r="P334" s="168">
        <f>(INDEX(Models!$BJ334:$BT334,,T334)*(1-R334)+INDEX(Models!$BJ334:$BT334,,T334+1)*R334-ERP_i)*Q334*Ramure*Pc/MaxiM</f>
        <v>3.8898522848173283E-4</v>
      </c>
      <c r="Q334" s="304">
        <f t="shared" si="101"/>
        <v>0.5</v>
      </c>
      <c r="R334" s="176">
        <f t="shared" si="102"/>
        <v>0.43443904922180582</v>
      </c>
      <c r="S334" s="814">
        <f t="shared" si="103"/>
        <v>0</v>
      </c>
      <c r="T334" s="175">
        <f t="shared" si="104"/>
        <v>6</v>
      </c>
      <c r="U334" s="250">
        <f t="shared" si="105"/>
        <v>0.43443904922180582</v>
      </c>
      <c r="V334" s="382">
        <f t="shared" si="106"/>
        <v>29.125873796845561</v>
      </c>
      <c r="W334" s="401"/>
      <c r="X334" s="157">
        <f t="shared" si="107"/>
        <v>44150</v>
      </c>
      <c r="Y334" s="384">
        <f t="shared" si="108"/>
        <v>20.417000000000002</v>
      </c>
      <c r="Z334" s="384">
        <f t="shared" si="109"/>
        <v>20.823463687475769</v>
      </c>
      <c r="AA334" s="385">
        <f t="shared" si="110"/>
        <v>21.768927003591422</v>
      </c>
      <c r="AB334" s="196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4.3431783108082038E-2</v>
      </c>
      <c r="AD334" s="230">
        <f>(INDEX(Models!$BJ334:$BT334,,AH334)*(1-AF334)+INDEX(Models!$BJ334:$BT334,,AH334+1)*AF334-ERP_i)*AE334*Ramure*Pc/MaxiM</f>
        <v>3.8898522848173283E-4</v>
      </c>
      <c r="AE334" s="304">
        <f t="shared" si="112"/>
        <v>0.5</v>
      </c>
      <c r="AF334" s="176">
        <f t="shared" si="113"/>
        <v>0.43443904922180582</v>
      </c>
      <c r="AG334" s="814">
        <f t="shared" si="119"/>
        <v>0</v>
      </c>
      <c r="AH334" s="175">
        <f t="shared" si="114"/>
        <v>6</v>
      </c>
      <c r="AI334" s="224">
        <f t="shared" si="115"/>
        <v>0.43443904922180582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44151</v>
      </c>
      <c r="B335" s="616">
        <v>19.37</v>
      </c>
      <c r="C335" s="389"/>
      <c r="D335" s="392">
        <f t="shared" ref="D335:D380" si="122">Wh/(1-Ppv)</f>
        <v>19.756052614529288</v>
      </c>
      <c r="E335" s="384">
        <f t="shared" si="120"/>
        <v>20.653112501970032</v>
      </c>
      <c r="F335" s="384">
        <f t="shared" ref="F335:F380" si="123">Wh_sa/(1-Pvg*MEDIAN((-Sdif+Wh/Env_an)/Csdif,0,1))</f>
        <v>20.657450386872917</v>
      </c>
      <c r="G335" s="110">
        <f t="shared" si="121"/>
        <v>0.67101505838860842</v>
      </c>
      <c r="H335" s="413" t="b">
        <f>Wh_hp&gt;='2019'!Maxi_hp</f>
        <v>0</v>
      </c>
      <c r="I335" s="379">
        <f>IF(H335,Wh_hp,'2019'!Maxi_hp)</f>
        <v>29.428386616561589</v>
      </c>
      <c r="J335" s="85">
        <f>IF(H335,An,'2019'!An_max)</f>
        <v>2018</v>
      </c>
      <c r="K335" s="196">
        <f t="shared" ref="K335:K380" si="124">t</f>
        <v>44151</v>
      </c>
      <c r="L335" s="147">
        <f>IF(t&lt;Tvie,1-EXP((T0-t)*PertePVj)+'2019'!Pspv,1-EXP((T0-t)*PertePVj)+Pspv)</f>
        <v>1.9540979266544967E-2</v>
      </c>
      <c r="M335" s="847"/>
      <c r="N335" s="847"/>
      <c r="O335" s="48">
        <f>IF(t&lt;Tnet,'2019'!Resal+('2019'!Salim-'2019'!Resal)*(1-EXP(('2019'!Tnet-t)/('2019'!Tau_j))),Resal+(Salim-Resal)*(1-EXP((Tnet-t)/(Tau_j))))*Salcycl</f>
        <v>4.3434610030578961E-2</v>
      </c>
      <c r="P335" s="168">
        <f>(INDEX(Models!$BJ335:$BT335,,T335)*(1-R335)+INDEX(Models!$BJ335:$BT335,,T335+1)*R335-ERP_i)*Q335*Ramure*Pc/MaxiM</f>
        <v>3.9606058630076721E-4</v>
      </c>
      <c r="Q335" s="304">
        <f t="shared" ref="Q335:Q380" si="125">IF(OR(t&lt;Ttai,Notai),Dd+PousD*Croivg,Dens+PousD*(Croivg-Croi_tai))</f>
        <v>0.5</v>
      </c>
      <c r="R335" s="176">
        <f t="shared" ref="R335:R379" si="126">(Hp_vg-S335)/(INDEX(Echel_vg,T335+1)-S335)</f>
        <v>0.43445657799020232</v>
      </c>
      <c r="S335" s="814">
        <f t="shared" ref="S335:S379" si="127">INDEX(Echel_vg,T335)</f>
        <v>0</v>
      </c>
      <c r="T335" s="175">
        <f t="shared" ref="T335:T380" si="128">MIN(MATCH(Hp_vg,Echel_vg),10)</f>
        <v>6</v>
      </c>
      <c r="U335" s="250">
        <f t="shared" ref="U335:U380" si="129">IF(OR(t&lt;Ttai,Notai),Hdd+PousH*Croivg,Hdtf+PousH*(Croivg-Croi_tai))</f>
        <v>0.43445657799020232</v>
      </c>
      <c r="V335" s="382">
        <f t="shared" ref="V335:V380" si="130">MaxiM*(1-Ppv)*(1-Pvg)*(1-Psa)</f>
        <v>28.861341990548635</v>
      </c>
      <c r="W335" s="401"/>
      <c r="X335" s="157">
        <f t="shared" ref="X335:X380" si="131">t</f>
        <v>44151</v>
      </c>
      <c r="Y335" s="384">
        <f t="shared" ref="Y335:Y380" si="132">Wh_pvt_s*(1-Ppv)</f>
        <v>19.37</v>
      </c>
      <c r="Z335" s="384">
        <f t="shared" ref="Z335:Z380" si="133">Wh_sa_s*(1-Psa_s)</f>
        <v>19.756052614529288</v>
      </c>
      <c r="AA335" s="385">
        <f t="shared" ref="AA335:AA380" si="134">Wh_hp*(1-Pvg_s*MEDIAN((-Sdif+Wh/Env_an)/Csdif,0,1))</f>
        <v>20.653112501970032</v>
      </c>
      <c r="AB335" s="196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4.3434610030578961E-2</v>
      </c>
      <c r="AD335" s="230">
        <f>(INDEX(Models!$BJ335:$BT335,,AH335)*(1-AF335)+INDEX(Models!$BJ335:$BT335,,AH335+1)*AF335-ERP_i)*AE335*Ramure*Pc/MaxiM</f>
        <v>3.9606058630076721E-4</v>
      </c>
      <c r="AE335" s="304">
        <f t="shared" ref="AE335:AE380" si="136">IF(OR(t&lt;Ttai,Notai),Dd_s+PousD*Croivg,Dens_s+PousD*(Croivg-Croi_tai))</f>
        <v>0.5</v>
      </c>
      <c r="AF335" s="176">
        <f t="shared" ref="AF335:AF379" si="137">(Hp_vg_s-AG335)/(INDEX(Echel_vg,AH335+1)-AG335)</f>
        <v>0.43445657799020232</v>
      </c>
      <c r="AG335" s="814">
        <f t="shared" si="119"/>
        <v>0</v>
      </c>
      <c r="AH335" s="175">
        <f t="shared" ref="AH335:AH380" si="138">MIN(MATCH(Hp_vg_s,Echel_vg),10)</f>
        <v>6</v>
      </c>
      <c r="AI335" s="224">
        <f t="shared" ref="AI335:AI380" si="139">IF(OR(t&lt;Ttai,Notai),Hdd_s+PousH*Croivg,Hdtai_s+PousH*(Croivg-Croi_tai))</f>
        <v>0.43445657799020232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26.683</v>
      </c>
      <c r="C336" s="389"/>
      <c r="D336" s="392">
        <f t="shared" si="122"/>
        <v>27.215400006233363</v>
      </c>
      <c r="E336" s="384">
        <f t="shared" si="120"/>
        <v>28.451266201404849</v>
      </c>
      <c r="F336" s="384">
        <f t="shared" si="123"/>
        <v>28.461608184939823</v>
      </c>
      <c r="G336" s="110">
        <f t="shared" si="121"/>
        <v>0.93295613388052401</v>
      </c>
      <c r="H336" s="413" t="b">
        <f>Wh_hp&gt;='2019'!Maxi_hp</f>
        <v>1</v>
      </c>
      <c r="I336" s="379">
        <f>IF(H336,Wh_hp,'2019'!Maxi_hp)</f>
        <v>28.461608184939823</v>
      </c>
      <c r="J336" s="85">
        <f>IF(H336,An,'2019'!An_max)</f>
        <v>2020</v>
      </c>
      <c r="K336" s="196">
        <f t="shared" si="124"/>
        <v>44152</v>
      </c>
      <c r="L336" s="147">
        <f>IF(t&lt;Tvie,1-EXP((T0-t)*PertePVj)+'2019'!Pspv,1-EXP((T0-t)*PertePVj)+Pspv)</f>
        <v>1.95624538353808E-2</v>
      </c>
      <c r="M336" s="847"/>
      <c r="N336" s="847"/>
      <c r="O336" s="48">
        <f>IF(t&lt;Tnet,'2019'!Resal+('2019'!Salim-'2019'!Resal)*(1-EXP(('2019'!Tnet-t)/('2019'!Tau_j))),Resal+(Salim-Resal)*(1-EXP((Tnet-t)/(Tau_j))))*Salcycl</f>
        <v>4.3438003300902757E-2</v>
      </c>
      <c r="P336" s="168">
        <f>(INDEX(Models!$BJ336:$BT336,,T336)*(1-R336)+INDEX(Models!$BJ336:$BT336,,T336+1)*R336-ERP_i)*Q336*Ramure*Pc/MaxiM</f>
        <v>4.0183170587176041E-4</v>
      </c>
      <c r="Q336" s="304">
        <f t="shared" si="125"/>
        <v>0.5</v>
      </c>
      <c r="R336" s="176">
        <f t="shared" si="126"/>
        <v>0.43447340292540038</v>
      </c>
      <c r="S336" s="814">
        <f t="shared" si="127"/>
        <v>0</v>
      </c>
      <c r="T336" s="175">
        <f t="shared" si="128"/>
        <v>6</v>
      </c>
      <c r="U336" s="250">
        <f t="shared" si="129"/>
        <v>0.43447340292540038</v>
      </c>
      <c r="V336" s="382">
        <f t="shared" si="130"/>
        <v>28.599386702290573</v>
      </c>
      <c r="W336" s="401"/>
      <c r="X336" s="157">
        <f t="shared" si="131"/>
        <v>44152</v>
      </c>
      <c r="Y336" s="384">
        <f t="shared" si="132"/>
        <v>26.683</v>
      </c>
      <c r="Z336" s="384">
        <f t="shared" si="133"/>
        <v>27.215400006233363</v>
      </c>
      <c r="AA336" s="385">
        <f t="shared" si="134"/>
        <v>28.451266201404849</v>
      </c>
      <c r="AB336" s="196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4.3438003300902757E-2</v>
      </c>
      <c r="AD336" s="230">
        <f>(INDEX(Models!$BJ336:$BT336,,AH336)*(1-AF336)+INDEX(Models!$BJ336:$BT336,,AH336+1)*AF336-ERP_i)*AE336*Ramure*Pc/MaxiM</f>
        <v>4.0183170587176041E-4</v>
      </c>
      <c r="AE336" s="304">
        <f t="shared" si="136"/>
        <v>0.5</v>
      </c>
      <c r="AF336" s="176">
        <f t="shared" si="137"/>
        <v>0.43447340292540038</v>
      </c>
      <c r="AG336" s="814">
        <f t="shared" ref="AG336:AG379" si="143">INDEX(Echel_vg,AH336)</f>
        <v>0</v>
      </c>
      <c r="AH336" s="175">
        <f t="shared" si="138"/>
        <v>6</v>
      </c>
      <c r="AI336" s="224">
        <f t="shared" si="139"/>
        <v>0.43447340292540038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44153</v>
      </c>
      <c r="B337" s="616">
        <v>27.849</v>
      </c>
      <c r="C337" s="389"/>
      <c r="D337" s="392">
        <f t="shared" si="122"/>
        <v>28.405287095417499</v>
      </c>
      <c r="E337" s="384">
        <f t="shared" si="120"/>
        <v>29.69531051863272</v>
      </c>
      <c r="F337" s="384">
        <f t="shared" si="123"/>
        <v>29.707081046404415</v>
      </c>
      <c r="G337" s="110">
        <f t="shared" si="121"/>
        <v>0.98264692977204382</v>
      </c>
      <c r="H337" s="413" t="b">
        <f>Wh_hp&gt;='2019'!Maxi_hp</f>
        <v>1</v>
      </c>
      <c r="I337" s="379">
        <f>IF(H337,Wh_hp,'2019'!Maxi_hp)</f>
        <v>29.707081046404415</v>
      </c>
      <c r="J337" s="85">
        <f>IF(H337,An,'2019'!An_max)</f>
        <v>2020</v>
      </c>
      <c r="K337" s="196">
        <f t="shared" si="124"/>
        <v>44153</v>
      </c>
      <c r="L337" s="147">
        <f>IF(t&lt;Tvie,1-EXP((T0-t)*PertePVj)+'2019'!Pspv,1-EXP((T0-t)*PertePVj)+Pspv)</f>
        <v>1.9583927933868428E-2</v>
      </c>
      <c r="M337" s="847"/>
      <c r="N337" s="847"/>
      <c r="O337" s="48">
        <f>IF(t&lt;Tnet,'2019'!Resal+('2019'!Salim-'2019'!Resal)*(1-EXP(('2019'!Tnet-t)/('2019'!Tau_j))),Resal+(Salim-Resal)*(1-EXP((Tnet-t)/(Tau_j))))*Salcycl</f>
        <v>4.3441991367821502E-2</v>
      </c>
      <c r="P337" s="168">
        <f>(INDEX(Models!$BJ337:$BT337,,T337)*(1-R337)+INDEX(Models!$BJ337:$BT337,,T337+1)*R337-ERP_i)*Q337*Ramure*Pc/MaxiM</f>
        <v>4.0628572044141854E-4</v>
      </c>
      <c r="Q337" s="304">
        <f t="shared" si="125"/>
        <v>0.5</v>
      </c>
      <c r="R337" s="176">
        <f t="shared" si="126"/>
        <v>0.43448955221410268</v>
      </c>
      <c r="S337" s="814">
        <f t="shared" si="127"/>
        <v>0</v>
      </c>
      <c r="T337" s="175">
        <f t="shared" si="128"/>
        <v>6</v>
      </c>
      <c r="U337" s="250">
        <f t="shared" si="129"/>
        <v>0.43448955221410268</v>
      </c>
      <c r="V337" s="382">
        <f t="shared" si="130"/>
        <v>28.340514495839908</v>
      </c>
      <c r="W337" s="401"/>
      <c r="X337" s="157">
        <f t="shared" si="131"/>
        <v>44153</v>
      </c>
      <c r="Y337" s="384">
        <f t="shared" si="132"/>
        <v>27.849</v>
      </c>
      <c r="Z337" s="384">
        <f t="shared" si="133"/>
        <v>28.405287095417499</v>
      </c>
      <c r="AA337" s="385">
        <f t="shared" si="134"/>
        <v>29.69531051863272</v>
      </c>
      <c r="AB337" s="196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4.3441991367821502E-2</v>
      </c>
      <c r="AD337" s="230">
        <f>(INDEX(Models!$BJ337:$BT337,,AH337)*(1-AF337)+INDEX(Models!$BJ337:$BT337,,AH337+1)*AF337-ERP_i)*AE337*Ramure*Pc/MaxiM</f>
        <v>4.0628572044141854E-4</v>
      </c>
      <c r="AE337" s="304">
        <f t="shared" si="136"/>
        <v>0.5</v>
      </c>
      <c r="AF337" s="176">
        <f t="shared" si="137"/>
        <v>0.43448955221410268</v>
      </c>
      <c r="AG337" s="814">
        <f t="shared" si="143"/>
        <v>0</v>
      </c>
      <c r="AH337" s="175">
        <f t="shared" si="138"/>
        <v>6</v>
      </c>
      <c r="AI337" s="224">
        <f t="shared" si="139"/>
        <v>0.43448955221410268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44154</v>
      </c>
      <c r="B338" s="616">
        <v>6.4619999999999997</v>
      </c>
      <c r="C338" s="389"/>
      <c r="D338" s="392">
        <f t="shared" si="122"/>
        <v>6.5912235851723491</v>
      </c>
      <c r="E338" s="384">
        <f t="shared" si="120"/>
        <v>6.8905965803020859</v>
      </c>
      <c r="F338" s="384">
        <f t="shared" si="123"/>
        <v>6.8905965803020859</v>
      </c>
      <c r="G338" s="110">
        <f t="shared" si="121"/>
        <v>0.22999113558861553</v>
      </c>
      <c r="H338" s="413" t="b">
        <f>Wh_hp&gt;='2019'!Maxi_hp</f>
        <v>0</v>
      </c>
      <c r="I338" s="379">
        <f>IF(H338,Wh_hp,'2019'!Maxi_hp)</f>
        <v>30.755738511673645</v>
      </c>
      <c r="J338" s="85">
        <f>IF(H338,An,'2019'!An_max)</f>
        <v>2019</v>
      </c>
      <c r="K338" s="196">
        <f t="shared" si="124"/>
        <v>44154</v>
      </c>
      <c r="L338" s="147">
        <f>IF(t&lt;Tvie,1-EXP((T0-t)*PertePVj)+'2019'!Pspv,1-EXP((T0-t)*PertePVj)+Pspv)</f>
        <v>1.9605401562018177E-2</v>
      </c>
      <c r="M338" s="847"/>
      <c r="N338" s="847"/>
      <c r="O338" s="48">
        <f>IF(t&lt;Tnet,'2019'!Resal+('2019'!Salim-'2019'!Resal)*(1-EXP(('2019'!Tnet-t)/('2019'!Tau_j))),Resal+(Salim-Resal)*(1-EXP((Tnet-t)/(Tau_j))))*Salcycl</f>
        <v>4.3446600253096199E-2</v>
      </c>
      <c r="P338" s="168">
        <f>(INDEX(Models!$BJ338:$BT338,,T338)*(1-R338)+INDEX(Models!$BJ338:$BT338,,T338+1)*R338-ERP_i)*Q338*Ramure*Pc/MaxiM</f>
        <v>4.0923089635404184E-4</v>
      </c>
      <c r="Q338" s="304">
        <f t="shared" si="125"/>
        <v>0.5</v>
      </c>
      <c r="R338" s="176">
        <f t="shared" si="126"/>
        <v>0.43450505292006608</v>
      </c>
      <c r="S338" s="814">
        <f t="shared" si="127"/>
        <v>0</v>
      </c>
      <c r="T338" s="175">
        <f t="shared" si="128"/>
        <v>6</v>
      </c>
      <c r="U338" s="250">
        <f t="shared" si="129"/>
        <v>0.43450505292006608</v>
      </c>
      <c r="V338" s="382">
        <f t="shared" si="130"/>
        <v>28.085236995836183</v>
      </c>
      <c r="W338" s="401"/>
      <c r="X338" s="157">
        <f t="shared" si="131"/>
        <v>44154</v>
      </c>
      <c r="Y338" s="384">
        <f t="shared" si="132"/>
        <v>6.4619999999999997</v>
      </c>
      <c r="Z338" s="384">
        <f t="shared" si="133"/>
        <v>6.5912235851723491</v>
      </c>
      <c r="AA338" s="385">
        <f t="shared" si="134"/>
        <v>6.8905965803020859</v>
      </c>
      <c r="AB338" s="196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4.3446600253096199E-2</v>
      </c>
      <c r="AD338" s="230">
        <f>(INDEX(Models!$BJ338:$BT338,,AH338)*(1-AF338)+INDEX(Models!$BJ338:$BT338,,AH338+1)*AF338-ERP_i)*AE338*Ramure*Pc/MaxiM</f>
        <v>4.0923089635404184E-4</v>
      </c>
      <c r="AE338" s="304">
        <f t="shared" si="136"/>
        <v>0.5</v>
      </c>
      <c r="AF338" s="176">
        <f t="shared" si="137"/>
        <v>0.43450505292006608</v>
      </c>
      <c r="AG338" s="814">
        <f t="shared" si="143"/>
        <v>0</v>
      </c>
      <c r="AH338" s="175">
        <f t="shared" si="138"/>
        <v>6</v>
      </c>
      <c r="AI338" s="224">
        <f t="shared" si="139"/>
        <v>0.43450505292006608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44155</v>
      </c>
      <c r="B339" s="616">
        <v>22.163</v>
      </c>
      <c r="C339" s="389"/>
      <c r="D339" s="392">
        <f t="shared" si="122"/>
        <v>22.606698846081194</v>
      </c>
      <c r="E339" s="384">
        <f t="shared" si="120"/>
        <v>23.633623595101994</v>
      </c>
      <c r="F339" s="384">
        <f t="shared" si="123"/>
        <v>23.640511824531206</v>
      </c>
      <c r="G339" s="110">
        <f t="shared" si="121"/>
        <v>0.7961596350146658</v>
      </c>
      <c r="H339" s="413" t="b">
        <f>Wh_hp&gt;='2019'!Maxi_hp</f>
        <v>0</v>
      </c>
      <c r="I339" s="379">
        <f>IF(H339,Wh_hp,'2019'!Maxi_hp)</f>
        <v>29.244111126722764</v>
      </c>
      <c r="J339" s="85">
        <f>IF(H339,An,'2019'!An_max)</f>
        <v>2019</v>
      </c>
      <c r="K339" s="196">
        <f t="shared" si="124"/>
        <v>44155</v>
      </c>
      <c r="L339" s="147">
        <f>IF(t&lt;Tvie,1-EXP((T0-t)*PertePVj)+'2019'!Pspv,1-EXP((T0-t)*PertePVj)+Pspv)</f>
        <v>1.962687471984037E-2</v>
      </c>
      <c r="M339" s="847"/>
      <c r="N339" s="847"/>
      <c r="O339" s="48">
        <f>IF(t&lt;Tnet,'2019'!Resal+('2019'!Salim-'2019'!Resal)*(1-EXP(('2019'!Tnet-t)/('2019'!Tau_j))),Resal+(Salim-Resal)*(1-EXP((Tnet-t)/(Tau_j))))*Salcycl</f>
        <v>4.3451853453129692E-2</v>
      </c>
      <c r="P339" s="168">
        <f>(INDEX(Models!$BJ339:$BT339,,T339)*(1-R339)+INDEX(Models!$BJ339:$BT339,,T339+1)*R339-ERP_i)*Q339*Ramure*Pc/MaxiM</f>
        <v>4.1100201015413176E-4</v>
      </c>
      <c r="Q339" s="304">
        <f t="shared" si="125"/>
        <v>0.5</v>
      </c>
      <c r="R339" s="176">
        <f t="shared" si="126"/>
        <v>0.43451993102837716</v>
      </c>
      <c r="S339" s="814">
        <f t="shared" si="127"/>
        <v>0</v>
      </c>
      <c r="T339" s="175">
        <f t="shared" si="128"/>
        <v>6</v>
      </c>
      <c r="U339" s="250">
        <f t="shared" si="129"/>
        <v>0.43451993102837716</v>
      </c>
      <c r="V339" s="382">
        <f t="shared" si="130"/>
        <v>27.834051032060025</v>
      </c>
      <c r="W339" s="401"/>
      <c r="X339" s="157">
        <f t="shared" si="131"/>
        <v>44155</v>
      </c>
      <c r="Y339" s="384">
        <f t="shared" si="132"/>
        <v>22.163</v>
      </c>
      <c r="Z339" s="384">
        <f t="shared" si="133"/>
        <v>22.606698846081194</v>
      </c>
      <c r="AA339" s="385">
        <f t="shared" si="134"/>
        <v>23.633623595101994</v>
      </c>
      <c r="AB339" s="196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4.3451853453129692E-2</v>
      </c>
      <c r="AD339" s="230">
        <f>(INDEX(Models!$BJ339:$BT339,,AH339)*(1-AF339)+INDEX(Models!$BJ339:$BT339,,AH339+1)*AF339-ERP_i)*AE339*Ramure*Pc/MaxiM</f>
        <v>4.1100201015413176E-4</v>
      </c>
      <c r="AE339" s="304">
        <f t="shared" si="136"/>
        <v>0.5</v>
      </c>
      <c r="AF339" s="176">
        <f t="shared" si="137"/>
        <v>0.43451993102837716</v>
      </c>
      <c r="AG339" s="814">
        <f t="shared" si="143"/>
        <v>0</v>
      </c>
      <c r="AH339" s="175">
        <f t="shared" si="138"/>
        <v>6</v>
      </c>
      <c r="AI339" s="224">
        <f t="shared" si="139"/>
        <v>0.43451993102837716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44156</v>
      </c>
      <c r="B340" s="616">
        <v>28.812999999999999</v>
      </c>
      <c r="C340" s="389"/>
      <c r="D340" s="392">
        <f t="shared" si="122"/>
        <v>29.390474248501189</v>
      </c>
      <c r="E340" s="384">
        <f t="shared" si="120"/>
        <v>30.725746740464231</v>
      </c>
      <c r="F340" s="384">
        <f t="shared" si="123"/>
        <v>30.738398160711071</v>
      </c>
      <c r="G340" s="110">
        <f t="shared" si="121"/>
        <v>1.0444236749325095</v>
      </c>
      <c r="H340" s="413" t="b">
        <f>Wh_hp&gt;='2019'!Maxi_hp</f>
        <v>1</v>
      </c>
      <c r="I340" s="379">
        <f>IF(H340,Wh_hp,'2019'!Maxi_hp)</f>
        <v>30.738398160711071</v>
      </c>
      <c r="J340" s="85">
        <f>IF(H340,An,'2019'!An_max)</f>
        <v>2020</v>
      </c>
      <c r="K340" s="196">
        <f t="shared" si="124"/>
        <v>44156</v>
      </c>
      <c r="L340" s="147">
        <f>IF(t&lt;Tvie,1-EXP((T0-t)*PertePVj)+'2019'!Pspv,1-EXP((T0-t)*PertePVj)+Pspv)</f>
        <v>1.9648347407345335E-2</v>
      </c>
      <c r="M340" s="847"/>
      <c r="N340" s="847"/>
      <c r="O340" s="48">
        <f>IF(t&lt;Tnet,'2019'!Resal+('2019'!Salim-'2019'!Resal)*(1-EXP(('2019'!Tnet-t)/('2019'!Tau_j))),Resal+(Salim-Resal)*(1-EXP((Tnet-t)/(Tau_j))))*Salcycl</f>
        <v>4.3457771856348658E-2</v>
      </c>
      <c r="P340" s="168">
        <f>(INDEX(Models!$BJ340:$BT340,,T340)*(1-R340)+INDEX(Models!$BJ340:$BT340,,T340+1)*R340-ERP_i)*Q340*Ramure*Pc/MaxiM</f>
        <v>4.1158358938209514E-4</v>
      </c>
      <c r="Q340" s="304">
        <f t="shared" si="125"/>
        <v>0.5</v>
      </c>
      <c r="R340" s="176">
        <f t="shared" si="126"/>
        <v>0.4345342114880183</v>
      </c>
      <c r="S340" s="814">
        <f t="shared" si="127"/>
        <v>0</v>
      </c>
      <c r="T340" s="175">
        <f t="shared" si="128"/>
        <v>6</v>
      </c>
      <c r="U340" s="250">
        <f t="shared" si="129"/>
        <v>0.4345342114880183</v>
      </c>
      <c r="V340" s="382">
        <f t="shared" si="130"/>
        <v>27.587463489720193</v>
      </c>
      <c r="W340" s="401"/>
      <c r="X340" s="157">
        <f t="shared" si="131"/>
        <v>44156</v>
      </c>
      <c r="Y340" s="384">
        <f t="shared" si="132"/>
        <v>28.812999999999999</v>
      </c>
      <c r="Z340" s="384">
        <f t="shared" si="133"/>
        <v>29.390474248501189</v>
      </c>
      <c r="AA340" s="385">
        <f t="shared" si="134"/>
        <v>30.725746740464231</v>
      </c>
      <c r="AB340" s="196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4.3457771856348658E-2</v>
      </c>
      <c r="AD340" s="230">
        <f>(INDEX(Models!$BJ340:$BT340,,AH340)*(1-AF340)+INDEX(Models!$BJ340:$BT340,,AH340+1)*AF340-ERP_i)*AE340*Ramure*Pc/MaxiM</f>
        <v>4.1158358938209514E-4</v>
      </c>
      <c r="AE340" s="304">
        <f t="shared" si="136"/>
        <v>0.5</v>
      </c>
      <c r="AF340" s="176">
        <f t="shared" si="137"/>
        <v>0.4345342114880183</v>
      </c>
      <c r="AG340" s="814">
        <f t="shared" si="143"/>
        <v>0</v>
      </c>
      <c r="AH340" s="175">
        <f t="shared" si="138"/>
        <v>6</v>
      </c>
      <c r="AI340" s="224">
        <f t="shared" si="139"/>
        <v>0.4345342114880183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44157</v>
      </c>
      <c r="B341" s="616">
        <v>28.323</v>
      </c>
      <c r="C341" s="389"/>
      <c r="D341" s="392">
        <f t="shared" si="122"/>
        <v>28.891286392052699</v>
      </c>
      <c r="E341" s="384">
        <f t="shared" si="120"/>
        <v>30.204088166698597</v>
      </c>
      <c r="F341" s="384">
        <f t="shared" si="123"/>
        <v>30.216505837462773</v>
      </c>
      <c r="G341" s="110">
        <f t="shared" si="121"/>
        <v>1.0357280507154556</v>
      </c>
      <c r="H341" s="413" t="b">
        <f>Wh_hp&gt;='2019'!Maxi_hp</f>
        <v>1</v>
      </c>
      <c r="I341" s="379">
        <f>IF(H341,Wh_hp,'2019'!Maxi_hp)</f>
        <v>30.216505837462773</v>
      </c>
      <c r="J341" s="85">
        <f>IF(H341,An,'2019'!An_max)</f>
        <v>2020</v>
      </c>
      <c r="K341" s="196">
        <f t="shared" si="124"/>
        <v>44157</v>
      </c>
      <c r="L341" s="147">
        <f>IF(t&lt;Tvie,1-EXP((T0-t)*PertePVj)+'2019'!Pspv,1-EXP((T0-t)*PertePVj)+Pspv)</f>
        <v>1.9669819624543283E-2</v>
      </c>
      <c r="M341" s="847"/>
      <c r="N341" s="847"/>
      <c r="O341" s="48">
        <f>IF(t&lt;Tnet,'2019'!Resal+('2019'!Salim-'2019'!Resal)*(1-EXP(('2019'!Tnet-t)/('2019'!Tau_j))),Resal+(Salim-Resal)*(1-EXP((Tnet-t)/(Tau_j))))*Salcycl</f>
        <v>4.3464373676849542E-2</v>
      </c>
      <c r="P341" s="168">
        <f>(INDEX(Models!$BJ341:$BT341,,T341)*(1-R341)+INDEX(Models!$BJ341:$BT341,,T341+1)*R341-ERP_i)*Q341*Ramure*Pc/MaxiM</f>
        <v>4.1095654245966202E-4</v>
      </c>
      <c r="Q341" s="304">
        <f t="shared" si="125"/>
        <v>0.5</v>
      </c>
      <c r="R341" s="176">
        <f t="shared" si="126"/>
        <v>0.43454791825278816</v>
      </c>
      <c r="S341" s="814">
        <f t="shared" si="127"/>
        <v>0</v>
      </c>
      <c r="T341" s="175">
        <f t="shared" si="128"/>
        <v>6</v>
      </c>
      <c r="U341" s="250">
        <f t="shared" si="129"/>
        <v>0.43454791825278816</v>
      </c>
      <c r="V341" s="382">
        <f t="shared" si="130"/>
        <v>27.345981390032993</v>
      </c>
      <c r="W341" s="401"/>
      <c r="X341" s="157">
        <f t="shared" si="131"/>
        <v>44157</v>
      </c>
      <c r="Y341" s="384">
        <f t="shared" si="132"/>
        <v>28.323</v>
      </c>
      <c r="Z341" s="384">
        <f t="shared" si="133"/>
        <v>28.891286392052699</v>
      </c>
      <c r="AA341" s="385">
        <f t="shared" si="134"/>
        <v>30.204088166698597</v>
      </c>
      <c r="AB341" s="196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4.3464373676849542E-2</v>
      </c>
      <c r="AD341" s="230">
        <f>(INDEX(Models!$BJ341:$BT341,,AH341)*(1-AF341)+INDEX(Models!$BJ341:$BT341,,AH341+1)*AF341-ERP_i)*AE341*Ramure*Pc/MaxiM</f>
        <v>4.1095654245966202E-4</v>
      </c>
      <c r="AE341" s="304">
        <f t="shared" si="136"/>
        <v>0.5</v>
      </c>
      <c r="AF341" s="176">
        <f t="shared" si="137"/>
        <v>0.43454791825278816</v>
      </c>
      <c r="AG341" s="814">
        <f t="shared" si="143"/>
        <v>0</v>
      </c>
      <c r="AH341" s="175">
        <f t="shared" si="138"/>
        <v>6</v>
      </c>
      <c r="AI341" s="224">
        <f t="shared" si="139"/>
        <v>0.43454791825278816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44158</v>
      </c>
      <c r="B342" s="616">
        <v>26.556000000000001</v>
      </c>
      <c r="C342" s="389"/>
      <c r="D342" s="392">
        <f t="shared" si="122"/>
        <v>27.08942577604115</v>
      </c>
      <c r="E342" s="384">
        <f t="shared" si="120"/>
        <v>28.320568300141275</v>
      </c>
      <c r="F342" s="384">
        <f t="shared" si="123"/>
        <v>28.331820487180057</v>
      </c>
      <c r="G342" s="110">
        <f t="shared" si="121"/>
        <v>0.97954899190061218</v>
      </c>
      <c r="H342" s="413" t="b">
        <f>Wh_hp&gt;='2019'!Maxi_hp</f>
        <v>1</v>
      </c>
      <c r="I342" s="379">
        <f>IF(H342,Wh_hp,'2019'!Maxi_hp)</f>
        <v>28.331820487180057</v>
      </c>
      <c r="J342" s="85">
        <f>IF(H342,An,'2019'!An_max)</f>
        <v>2020</v>
      </c>
      <c r="K342" s="196">
        <f t="shared" si="124"/>
        <v>44158</v>
      </c>
      <c r="L342" s="147">
        <f>IF(t&lt;Tvie,1-EXP((T0-t)*PertePVj)+'2019'!Pspv,1-EXP((T0-t)*PertePVj)+Pspv)</f>
        <v>1.9691291371444652E-2</v>
      </c>
      <c r="M342" s="847"/>
      <c r="N342" s="847"/>
      <c r="O342" s="48">
        <f>IF(t&lt;Tnet,'2019'!Resal+('2019'!Salim-'2019'!Resal)*(1-EXP(('2019'!Tnet-t)/('2019'!Tau_j))),Resal+(Salim-Resal)*(1-EXP((Tnet-t)/(Tau_j))))*Salcycl</f>
        <v>4.3471674404711072E-2</v>
      </c>
      <c r="P342" s="168">
        <f>(INDEX(Models!$BJ342:$BT342,,T342)*(1-R342)+INDEX(Models!$BJ342:$BT342,,T342+1)*R342-ERP_i)*Q342*Ramure*Pc/MaxiM</f>
        <v>4.0910260750486803E-4</v>
      </c>
      <c r="Q342" s="304">
        <f t="shared" si="125"/>
        <v>0.5</v>
      </c>
      <c r="R342" s="176">
        <f t="shared" si="126"/>
        <v>0.43456107432063695</v>
      </c>
      <c r="S342" s="814">
        <f t="shared" si="127"/>
        <v>0</v>
      </c>
      <c r="T342" s="175">
        <f t="shared" si="128"/>
        <v>6</v>
      </c>
      <c r="U342" s="250">
        <f t="shared" si="129"/>
        <v>0.43456107432063695</v>
      </c>
      <c r="V342" s="382">
        <f t="shared" si="130"/>
        <v>27.110111767564256</v>
      </c>
      <c r="W342" s="401"/>
      <c r="X342" s="157">
        <f t="shared" si="131"/>
        <v>44158</v>
      </c>
      <c r="Y342" s="384">
        <f t="shared" si="132"/>
        <v>26.556000000000001</v>
      </c>
      <c r="Z342" s="384">
        <f t="shared" si="133"/>
        <v>27.08942577604115</v>
      </c>
      <c r="AA342" s="385">
        <f t="shared" si="134"/>
        <v>28.320568300141275</v>
      </c>
      <c r="AB342" s="196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4.3471674404711072E-2</v>
      </c>
      <c r="AD342" s="230">
        <f>(INDEX(Models!$BJ342:$BT342,,AH342)*(1-AF342)+INDEX(Models!$BJ342:$BT342,,AH342+1)*AF342-ERP_i)*AE342*Ramure*Pc/MaxiM</f>
        <v>4.0910260750486803E-4</v>
      </c>
      <c r="AE342" s="304">
        <f t="shared" si="136"/>
        <v>0.5</v>
      </c>
      <c r="AF342" s="176">
        <f t="shared" si="137"/>
        <v>0.43456107432063695</v>
      </c>
      <c r="AG342" s="814">
        <f t="shared" si="143"/>
        <v>0</v>
      </c>
      <c r="AH342" s="175">
        <f t="shared" si="138"/>
        <v>6</v>
      </c>
      <c r="AI342" s="224">
        <f t="shared" si="139"/>
        <v>0.43456107432063695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44159</v>
      </c>
      <c r="B343" s="616">
        <v>24.105</v>
      </c>
      <c r="C343" s="389"/>
      <c r="D343" s="392">
        <f t="shared" si="122"/>
        <v>24.589731541456231</v>
      </c>
      <c r="E343" s="384">
        <f t="shared" si="120"/>
        <v>25.707484934119634</v>
      </c>
      <c r="F343" s="384">
        <f t="shared" si="123"/>
        <v>25.716385889252038</v>
      </c>
      <c r="G343" s="110">
        <f t="shared" si="121"/>
        <v>0.89669760718131641</v>
      </c>
      <c r="H343" s="413" t="b">
        <f>Wh_hp&gt;='2019'!Maxi_hp</f>
        <v>1</v>
      </c>
      <c r="I343" s="379">
        <f>IF(H343,Wh_hp,'2019'!Maxi_hp)</f>
        <v>25.716385889252038</v>
      </c>
      <c r="J343" s="85">
        <f>IF(H343,An,'2019'!An_max)</f>
        <v>2020</v>
      </c>
      <c r="K343" s="196">
        <f t="shared" si="124"/>
        <v>44159</v>
      </c>
      <c r="L343" s="147">
        <f>IF(t&lt;Tvie,1-EXP((T0-t)*PertePVj)+'2019'!Pspv,1-EXP((T0-t)*PertePVj)+Pspv)</f>
        <v>1.9712762648059545E-2</v>
      </c>
      <c r="M343" s="847"/>
      <c r="N343" s="847"/>
      <c r="O343" s="48">
        <f>IF(t&lt;Tnet,'2019'!Resal+('2019'!Salim-'2019'!Resal)*(1-EXP(('2019'!Tnet-t)/('2019'!Tau_j))),Resal+(Salim-Resal)*(1-EXP((Tnet-t)/(Tau_j))))*Salcycl</f>
        <v>4.3479686773243625E-2</v>
      </c>
      <c r="P343" s="168">
        <f>(INDEX(Models!$BJ343:$BT343,,T343)*(1-R343)+INDEX(Models!$BJ343:$BT343,,T343+1)*R343-ERP_i)*Q343*Ramure*Pc/MaxiM</f>
        <v>4.0600494575679624E-4</v>
      </c>
      <c r="Q343" s="304">
        <f t="shared" si="125"/>
        <v>0.5</v>
      </c>
      <c r="R343" s="176">
        <f t="shared" si="126"/>
        <v>0.43457370177147536</v>
      </c>
      <c r="S343" s="814">
        <f t="shared" si="127"/>
        <v>0</v>
      </c>
      <c r="T343" s="175">
        <f t="shared" si="128"/>
        <v>6</v>
      </c>
      <c r="U343" s="250">
        <f t="shared" si="129"/>
        <v>0.43457370177147536</v>
      </c>
      <c r="V343" s="382">
        <f t="shared" si="130"/>
        <v>26.880361651698497</v>
      </c>
      <c r="W343" s="401"/>
      <c r="X343" s="157">
        <f t="shared" si="131"/>
        <v>44159</v>
      </c>
      <c r="Y343" s="384">
        <f t="shared" si="132"/>
        <v>24.105</v>
      </c>
      <c r="Z343" s="384">
        <f t="shared" si="133"/>
        <v>24.589731541456231</v>
      </c>
      <c r="AA343" s="385">
        <f t="shared" si="134"/>
        <v>25.707484934119634</v>
      </c>
      <c r="AB343" s="196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4.3479686773243625E-2</v>
      </c>
      <c r="AD343" s="230">
        <f>(INDEX(Models!$BJ343:$BT343,,AH343)*(1-AF343)+INDEX(Models!$BJ343:$BT343,,AH343+1)*AF343-ERP_i)*AE343*Ramure*Pc/MaxiM</f>
        <v>4.0600494575679624E-4</v>
      </c>
      <c r="AE343" s="304">
        <f t="shared" si="136"/>
        <v>0.5</v>
      </c>
      <c r="AF343" s="176">
        <f t="shared" si="137"/>
        <v>0.43457370177147536</v>
      </c>
      <c r="AG343" s="814">
        <f t="shared" si="143"/>
        <v>0</v>
      </c>
      <c r="AH343" s="175">
        <f t="shared" si="138"/>
        <v>6</v>
      </c>
      <c r="AI343" s="224">
        <f t="shared" si="139"/>
        <v>0.43457370177147536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44160</v>
      </c>
      <c r="B344" s="616">
        <v>25.507000000000001</v>
      </c>
      <c r="C344" s="389"/>
      <c r="D344" s="392">
        <f t="shared" si="122"/>
        <v>26.020494513324849</v>
      </c>
      <c r="E344" s="384">
        <f t="shared" si="120"/>
        <v>27.203533211323531</v>
      </c>
      <c r="F344" s="384">
        <f t="shared" si="123"/>
        <v>27.213789763808492</v>
      </c>
      <c r="G344" s="110">
        <f t="shared" si="121"/>
        <v>0.95682711523946273</v>
      </c>
      <c r="H344" s="413" t="b">
        <f>Wh_hp&gt;='2019'!Maxi_hp</f>
        <v>1</v>
      </c>
      <c r="I344" s="379">
        <f>IF(H344,Wh_hp,'2019'!Maxi_hp)</f>
        <v>27.213789763808492</v>
      </c>
      <c r="J344" s="85">
        <f>IF(H344,An,'2019'!An_max)</f>
        <v>2020</v>
      </c>
      <c r="K344" s="196">
        <f t="shared" si="124"/>
        <v>44160</v>
      </c>
      <c r="L344" s="147">
        <f>IF(t&lt;Tvie,1-EXP((T0-t)*PertePVj)+'2019'!Pspv,1-EXP((T0-t)*PertePVj)+Pspv)</f>
        <v>1.9734233454398509E-2</v>
      </c>
      <c r="M344" s="847"/>
      <c r="N344" s="847"/>
      <c r="O344" s="48">
        <f>IF(t&lt;Tnet,'2019'!Resal+('2019'!Salim-'2019'!Resal)*(1-EXP(('2019'!Tnet-t)/('2019'!Tau_j))),Resal+(Salim-Resal)*(1-EXP((Tnet-t)/(Tau_j))))*Salcycl</f>
        <v>4.3488420743311378E-2</v>
      </c>
      <c r="P344" s="168">
        <f>(INDEX(Models!$BJ344:$BT344,,T344)*(1-R344)+INDEX(Models!$BJ344:$BT344,,T344+1)*R344-ERP_i)*Q344*Ramure*Pc/MaxiM</f>
        <v>4.0164621523757946E-4</v>
      </c>
      <c r="Q344" s="304">
        <f t="shared" si="125"/>
        <v>0.5</v>
      </c>
      <c r="R344" s="176">
        <f t="shared" si="126"/>
        <v>0.43458582180351435</v>
      </c>
      <c r="S344" s="814">
        <f t="shared" si="127"/>
        <v>0</v>
      </c>
      <c r="T344" s="175">
        <f t="shared" si="128"/>
        <v>6</v>
      </c>
      <c r="U344" s="250">
        <f t="shared" si="129"/>
        <v>0.43458582180351435</v>
      </c>
      <c r="V344" s="382">
        <f t="shared" si="130"/>
        <v>26.657238125307725</v>
      </c>
      <c r="W344" s="401"/>
      <c r="X344" s="157">
        <f t="shared" si="131"/>
        <v>44160</v>
      </c>
      <c r="Y344" s="384">
        <f t="shared" si="132"/>
        <v>25.507000000000001</v>
      </c>
      <c r="Z344" s="384">
        <f t="shared" si="133"/>
        <v>26.020494513324849</v>
      </c>
      <c r="AA344" s="385">
        <f t="shared" si="134"/>
        <v>27.203533211323531</v>
      </c>
      <c r="AB344" s="196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4.3488420743311378E-2</v>
      </c>
      <c r="AD344" s="230">
        <f>(INDEX(Models!$BJ344:$BT344,,AH344)*(1-AF344)+INDEX(Models!$BJ344:$BT344,,AH344+1)*AF344-ERP_i)*AE344*Ramure*Pc/MaxiM</f>
        <v>4.0164621523757946E-4</v>
      </c>
      <c r="AE344" s="304">
        <f t="shared" si="136"/>
        <v>0.5</v>
      </c>
      <c r="AF344" s="176">
        <f t="shared" si="137"/>
        <v>0.43458582180351435</v>
      </c>
      <c r="AG344" s="814">
        <f t="shared" si="143"/>
        <v>0</v>
      </c>
      <c r="AH344" s="175">
        <f t="shared" si="138"/>
        <v>6</v>
      </c>
      <c r="AI344" s="224">
        <f t="shared" si="139"/>
        <v>0.43458582180351435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44161</v>
      </c>
      <c r="B345" s="616">
        <v>20.824999999999999</v>
      </c>
      <c r="C345" s="389"/>
      <c r="D345" s="392">
        <f t="shared" si="122"/>
        <v>21.244704080939258</v>
      </c>
      <c r="E345" s="384">
        <f t="shared" si="120"/>
        <v>22.210828093911775</v>
      </c>
      <c r="F345" s="384">
        <f t="shared" si="123"/>
        <v>22.216959050619877</v>
      </c>
      <c r="G345" s="110">
        <f t="shared" si="121"/>
        <v>0.78762362155124044</v>
      </c>
      <c r="H345" s="413" t="b">
        <f>Wh_hp&gt;='2019'!Maxi_hp</f>
        <v>0</v>
      </c>
      <c r="I345" s="379">
        <f>IF(H345,Wh_hp,'2019'!Maxi_hp)</f>
        <v>25.74929122512259</v>
      </c>
      <c r="J345" s="85">
        <f>IF(H345,An,'2019'!An_max)</f>
        <v>2018</v>
      </c>
      <c r="K345" s="196">
        <f t="shared" si="124"/>
        <v>44161</v>
      </c>
      <c r="L345" s="147">
        <f>IF(t&lt;Tvie,1-EXP((T0-t)*PertePVj)+'2019'!Pspv,1-EXP((T0-t)*PertePVj)+Pspv)</f>
        <v>1.9755703790471535E-2</v>
      </c>
      <c r="M345" s="847"/>
      <c r="N345" s="847"/>
      <c r="O345" s="48">
        <f>IF(t&lt;Tnet,'2019'!Resal+('2019'!Salim-'2019'!Resal)*(1-EXP(('2019'!Tnet-t)/('2019'!Tau_j))),Resal+(Salim-Resal)*(1-EXP((Tnet-t)/(Tau_j))))*Salcycl</f>
        <v>4.3497883504728191E-2</v>
      </c>
      <c r="P345" s="168">
        <f>(INDEX(Models!$BJ345:$BT345,,T345)*(1-R345)+INDEX(Models!$BJ345:$BT345,,T345+1)*R345-ERP_i)*Q345*Ramure*Pc/MaxiM</f>
        <v>3.9607064645262439E-4</v>
      </c>
      <c r="Q345" s="304">
        <f t="shared" si="125"/>
        <v>0.5</v>
      </c>
      <c r="R345" s="176">
        <f t="shared" si="126"/>
        <v>0.43459745476819073</v>
      </c>
      <c r="S345" s="814">
        <f t="shared" si="127"/>
        <v>0</v>
      </c>
      <c r="T345" s="175">
        <f t="shared" si="128"/>
        <v>6</v>
      </c>
      <c r="U345" s="250">
        <f t="shared" si="129"/>
        <v>0.43459745476819073</v>
      </c>
      <c r="V345" s="382">
        <f t="shared" si="130"/>
        <v>26.437117174345985</v>
      </c>
      <c r="W345" s="401"/>
      <c r="X345" s="157">
        <f t="shared" si="131"/>
        <v>44161</v>
      </c>
      <c r="Y345" s="384">
        <f t="shared" si="132"/>
        <v>20.824999999999999</v>
      </c>
      <c r="Z345" s="384">
        <f t="shared" si="133"/>
        <v>21.244704080939258</v>
      </c>
      <c r="AA345" s="385">
        <f t="shared" si="134"/>
        <v>22.210828093911775</v>
      </c>
      <c r="AB345" s="196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4.3497883504728191E-2</v>
      </c>
      <c r="AD345" s="230">
        <f>(INDEX(Models!$BJ345:$BT345,,AH345)*(1-AF345)+INDEX(Models!$BJ345:$BT345,,AH345+1)*AF345-ERP_i)*AE345*Ramure*Pc/MaxiM</f>
        <v>3.9607064645262439E-4</v>
      </c>
      <c r="AE345" s="304">
        <f t="shared" si="136"/>
        <v>0.5</v>
      </c>
      <c r="AF345" s="176">
        <f t="shared" si="137"/>
        <v>0.43459745476819073</v>
      </c>
      <c r="AG345" s="814">
        <f t="shared" si="143"/>
        <v>0</v>
      </c>
      <c r="AH345" s="175">
        <f t="shared" si="138"/>
        <v>6</v>
      </c>
      <c r="AI345" s="224">
        <f t="shared" si="139"/>
        <v>0.43459745476819073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44162</v>
      </c>
      <c r="B346" s="616">
        <v>13.494999999999999</v>
      </c>
      <c r="C346" s="389"/>
      <c r="D346" s="392">
        <f t="shared" si="122"/>
        <v>13.767277844709197</v>
      </c>
      <c r="E346" s="384">
        <f t="shared" si="120"/>
        <v>14.393511904872776</v>
      </c>
      <c r="F346" s="384">
        <f t="shared" si="123"/>
        <v>14.395232468429537</v>
      </c>
      <c r="G346" s="110">
        <f t="shared" si="121"/>
        <v>0.51460508099563229</v>
      </c>
      <c r="H346" s="413" t="b">
        <f>Wh_hp&gt;='2019'!Maxi_hp</f>
        <v>0</v>
      </c>
      <c r="I346" s="379">
        <f>IF(H346,Wh_hp,'2019'!Maxi_hp)</f>
        <v>19.489438693359329</v>
      </c>
      <c r="J346" s="85">
        <f>IF(H346,An,'2019'!An_max)</f>
        <v>2018</v>
      </c>
      <c r="K346" s="196">
        <f t="shared" si="124"/>
        <v>44162</v>
      </c>
      <c r="L346" s="147">
        <f>IF(t&lt;Tvie,1-EXP((T0-t)*PertePVj)+'2019'!Pspv,1-EXP((T0-t)*PertePVj)+Pspv)</f>
        <v>1.9777173656289282E-2</v>
      </c>
      <c r="M346" s="847"/>
      <c r="N346" s="847"/>
      <c r="O346" s="48">
        <f>IF(t&lt;Tnet,'2019'!Resal+('2019'!Salim-'2019'!Resal)*(1-EXP(('2019'!Tnet-t)/('2019'!Tau_j))),Resal+(Salim-Resal)*(1-EXP((Tnet-t)/(Tau_j))))*Salcycl</f>
        <v>4.3508079494593205E-2</v>
      </c>
      <c r="P346" s="168">
        <f>(INDEX(Models!$BJ346:$BT346,,T346)*(1-R346)+INDEX(Models!$BJ346:$BT346,,T346+1)*R346-ERP_i)*Q346*Ramure*Pc/MaxiM</f>
        <v>3.8960882978219922E-4</v>
      </c>
      <c r="Q346" s="304">
        <f t="shared" si="125"/>
        <v>0.5</v>
      </c>
      <c r="R346" s="176">
        <f t="shared" si="126"/>
        <v>0.43460862020373153</v>
      </c>
      <c r="S346" s="814">
        <f t="shared" si="127"/>
        <v>0</v>
      </c>
      <c r="T346" s="175">
        <f t="shared" si="128"/>
        <v>6</v>
      </c>
      <c r="U346" s="250">
        <f t="shared" si="129"/>
        <v>0.43460862020373153</v>
      </c>
      <c r="V346" s="382">
        <f t="shared" si="130"/>
        <v>26.216909347229116</v>
      </c>
      <c r="W346" s="401"/>
      <c r="X346" s="157">
        <f t="shared" si="131"/>
        <v>44162</v>
      </c>
      <c r="Y346" s="384">
        <f t="shared" si="132"/>
        <v>13.494999999999999</v>
      </c>
      <c r="Z346" s="384">
        <f t="shared" si="133"/>
        <v>13.767277844709197</v>
      </c>
      <c r="AA346" s="385">
        <f t="shared" si="134"/>
        <v>14.393511904872776</v>
      </c>
      <c r="AB346" s="196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4.3508079494593205E-2</v>
      </c>
      <c r="AD346" s="230">
        <f>(INDEX(Models!$BJ346:$BT346,,AH346)*(1-AF346)+INDEX(Models!$BJ346:$BT346,,AH346+1)*AF346-ERP_i)*AE346*Ramure*Pc/MaxiM</f>
        <v>3.8960882978219922E-4</v>
      </c>
      <c r="AE346" s="304">
        <f t="shared" si="136"/>
        <v>0.5</v>
      </c>
      <c r="AF346" s="176">
        <f t="shared" si="137"/>
        <v>0.43460862020373153</v>
      </c>
      <c r="AG346" s="814">
        <f t="shared" si="143"/>
        <v>0</v>
      </c>
      <c r="AH346" s="175">
        <f t="shared" si="138"/>
        <v>6</v>
      </c>
      <c r="AI346" s="224">
        <f t="shared" si="139"/>
        <v>0.43460862020373153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44163</v>
      </c>
      <c r="B347" s="616">
        <v>10.407</v>
      </c>
      <c r="C347" s="389"/>
      <c r="D347" s="392">
        <f t="shared" si="122"/>
        <v>10.617206277292093</v>
      </c>
      <c r="E347" s="384">
        <f t="shared" si="120"/>
        <v>11.100279454681825</v>
      </c>
      <c r="F347" s="384">
        <f t="shared" si="123"/>
        <v>11.100889128044921</v>
      </c>
      <c r="G347" s="110">
        <f t="shared" si="121"/>
        <v>0.40016998934699016</v>
      </c>
      <c r="H347" s="413" t="b">
        <f>Wh_hp&gt;='2019'!Maxi_hp</f>
        <v>0</v>
      </c>
      <c r="I347" s="379">
        <f>IF(H347,Wh_hp,'2019'!Maxi_hp)</f>
        <v>27.334557288633277</v>
      </c>
      <c r="J347" s="85">
        <f>IF(H347,An,'2019'!An_max)</f>
        <v>2018</v>
      </c>
      <c r="K347" s="196">
        <f t="shared" si="124"/>
        <v>44163</v>
      </c>
      <c r="L347" s="147">
        <f>IF(t&lt;Tvie,1-EXP((T0-t)*PertePVj)+'2019'!Pspv,1-EXP((T0-t)*PertePVj)+Pspv)</f>
        <v>1.9798643051861742E-2</v>
      </c>
      <c r="M347" s="847"/>
      <c r="N347" s="847"/>
      <c r="O347" s="48">
        <f>IF(t&lt;Tnet,'2019'!Resal+('2019'!Salim-'2019'!Resal)*(1-EXP(('2019'!Tnet-t)/('2019'!Tau_j))),Resal+(Salim-Resal)*(1-EXP((Tnet-t)/(Tau_j))))*Salcycl</f>
        <v>4.3519010432299041E-2</v>
      </c>
      <c r="P347" s="168">
        <f>(INDEX(Models!$BJ347:$BT347,,T347)*(1-R347)+INDEX(Models!$BJ347:$BT347,,T347+1)*R347-ERP_i)*Q347*Ramure*Pc/MaxiM</f>
        <v>3.8329248996204357E-4</v>
      </c>
      <c r="Q347" s="304">
        <f t="shared" si="125"/>
        <v>0.5</v>
      </c>
      <c r="R347" s="176">
        <f t="shared" si="126"/>
        <v>0.43461933686740906</v>
      </c>
      <c r="S347" s="814">
        <f t="shared" si="127"/>
        <v>0</v>
      </c>
      <c r="T347" s="175">
        <f t="shared" si="128"/>
        <v>6</v>
      </c>
      <c r="U347" s="250">
        <f t="shared" si="129"/>
        <v>0.43461933686740906</v>
      </c>
      <c r="V347" s="382">
        <f t="shared" si="130"/>
        <v>25.997907710488395</v>
      </c>
      <c r="W347" s="401"/>
      <c r="X347" s="157">
        <f t="shared" si="131"/>
        <v>44163</v>
      </c>
      <c r="Y347" s="384">
        <f t="shared" si="132"/>
        <v>10.407</v>
      </c>
      <c r="Z347" s="384">
        <f t="shared" si="133"/>
        <v>10.617206277292093</v>
      </c>
      <c r="AA347" s="385">
        <f t="shared" si="134"/>
        <v>11.100279454681825</v>
      </c>
      <c r="AB347" s="196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4.3519010432299041E-2</v>
      </c>
      <c r="AD347" s="230">
        <f>(INDEX(Models!$BJ347:$BT347,,AH347)*(1-AF347)+INDEX(Models!$BJ347:$BT347,,AH347+1)*AF347-ERP_i)*AE347*Ramure*Pc/MaxiM</f>
        <v>3.8329248996204357E-4</v>
      </c>
      <c r="AE347" s="304">
        <f t="shared" si="136"/>
        <v>0.5</v>
      </c>
      <c r="AF347" s="176">
        <f t="shared" si="137"/>
        <v>0.43461933686740906</v>
      </c>
      <c r="AG347" s="814">
        <f t="shared" si="143"/>
        <v>0</v>
      </c>
      <c r="AH347" s="175">
        <f t="shared" si="138"/>
        <v>6</v>
      </c>
      <c r="AI347" s="224">
        <f t="shared" si="139"/>
        <v>0.43461933686740906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44164</v>
      </c>
      <c r="B348" s="616">
        <v>24.577999999999999</v>
      </c>
      <c r="C348" s="389"/>
      <c r="D348" s="392">
        <f t="shared" si="122"/>
        <v>25.074989091623021</v>
      </c>
      <c r="E348" s="384">
        <f t="shared" si="120"/>
        <v>26.216197891494698</v>
      </c>
      <c r="F348" s="384">
        <f t="shared" si="123"/>
        <v>26.225428056883853</v>
      </c>
      <c r="G348" s="110">
        <f t="shared" si="121"/>
        <v>0.95329772603629426</v>
      </c>
      <c r="H348" s="413" t="b">
        <f>Wh_hp&gt;='2019'!Maxi_hp</f>
        <v>1</v>
      </c>
      <c r="I348" s="379">
        <f>IF(H348,Wh_hp,'2019'!Maxi_hp)</f>
        <v>26.225428056883853</v>
      </c>
      <c r="J348" s="85">
        <f>IF(H348,An,'2019'!An_max)</f>
        <v>2020</v>
      </c>
      <c r="K348" s="196">
        <f t="shared" si="124"/>
        <v>44164</v>
      </c>
      <c r="L348" s="147">
        <f>IF(t&lt;Tvie,1-EXP((T0-t)*PertePVj)+'2019'!Pspv,1-EXP((T0-t)*PertePVj)+Pspv)</f>
        <v>1.9820111977199351E-2</v>
      </c>
      <c r="M348" s="847"/>
      <c r="N348" s="847"/>
      <c r="O348" s="48">
        <f>IF(t&lt;Tnet,'2019'!Resal+('2019'!Salim-'2019'!Resal)*(1-EXP(('2019'!Tnet-t)/('2019'!Tau_j))),Resal+(Salim-Resal)*(1-EXP((Tnet-t)/(Tau_j))))*Salcycl</f>
        <v>4.3530675370814134E-2</v>
      </c>
      <c r="P348" s="168">
        <f>(INDEX(Models!$BJ348:$BT348,,T348)*(1-R348)+INDEX(Models!$BJ348:$BT348,,T348+1)*R348-ERP_i)*Q348*Ramure*Pc/MaxiM</f>
        <v>3.7710114341098255E-4</v>
      </c>
      <c r="Q348" s="304">
        <f t="shared" si="125"/>
        <v>0.5</v>
      </c>
      <c r="R348" s="176">
        <f t="shared" si="126"/>
        <v>0.4346296227665345</v>
      </c>
      <c r="S348" s="814">
        <f t="shared" si="127"/>
        <v>0</v>
      </c>
      <c r="T348" s="175">
        <f t="shared" si="128"/>
        <v>6</v>
      </c>
      <c r="U348" s="250">
        <f t="shared" si="129"/>
        <v>0.4346296227665345</v>
      </c>
      <c r="V348" s="382">
        <f t="shared" si="130"/>
        <v>25.78143329666441</v>
      </c>
      <c r="W348" s="401"/>
      <c r="X348" s="157">
        <f t="shared" si="131"/>
        <v>44164</v>
      </c>
      <c r="Y348" s="384">
        <f t="shared" si="132"/>
        <v>24.577999999999999</v>
      </c>
      <c r="Z348" s="384">
        <f t="shared" si="133"/>
        <v>25.074989091623021</v>
      </c>
      <c r="AA348" s="385">
        <f t="shared" si="134"/>
        <v>26.216197891494698</v>
      </c>
      <c r="AB348" s="196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4.3530675370814134E-2</v>
      </c>
      <c r="AD348" s="230">
        <f>(INDEX(Models!$BJ348:$BT348,,AH348)*(1-AF348)+INDEX(Models!$BJ348:$BT348,,AH348+1)*AF348-ERP_i)*AE348*Ramure*Pc/MaxiM</f>
        <v>3.7710114341098255E-4</v>
      </c>
      <c r="AE348" s="304">
        <f t="shared" si="136"/>
        <v>0.5</v>
      </c>
      <c r="AF348" s="176">
        <f t="shared" si="137"/>
        <v>0.4346296227665345</v>
      </c>
      <c r="AG348" s="814">
        <f t="shared" si="143"/>
        <v>0</v>
      </c>
      <c r="AH348" s="175">
        <f t="shared" si="138"/>
        <v>6</v>
      </c>
      <c r="AI348" s="224">
        <f t="shared" si="139"/>
        <v>0.4346296227665345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44165</v>
      </c>
      <c r="B349" s="616">
        <v>25.172999999999998</v>
      </c>
      <c r="C349" s="389"/>
      <c r="D349" s="392">
        <f t="shared" si="122"/>
        <v>25.682583037038949</v>
      </c>
      <c r="E349" s="384">
        <f t="shared" si="120"/>
        <v>26.851792539728947</v>
      </c>
      <c r="F349" s="384">
        <f t="shared" si="123"/>
        <v>26.861538170544915</v>
      </c>
      <c r="G349" s="110">
        <f t="shared" si="121"/>
        <v>0.98451184534920178</v>
      </c>
      <c r="H349" s="413" t="b">
        <f>Wh_hp&gt;='2019'!Maxi_hp</f>
        <v>1</v>
      </c>
      <c r="I349" s="379">
        <f>IF(H349,Wh_hp,'2019'!Maxi_hp)</f>
        <v>26.861538170544915</v>
      </c>
      <c r="J349" s="85">
        <f>IF(H349,An,'2019'!An_max)</f>
        <v>2020</v>
      </c>
      <c r="K349" s="196">
        <f t="shared" si="124"/>
        <v>44165</v>
      </c>
      <c r="L349" s="147">
        <f>IF(t&lt;Tvie,1-EXP((T0-t)*PertePVj)+'2019'!Pspv,1-EXP((T0-t)*PertePVj)+Pspv)</f>
        <v>1.9841580432312433E-2</v>
      </c>
      <c r="M349" s="847"/>
      <c r="N349" s="847"/>
      <c r="O349" s="48">
        <f>IF(t&lt;Tnet,'2019'!Resal+('2019'!Salim-'2019'!Resal)*(1-EXP(('2019'!Tnet-t)/('2019'!Tau_j))),Resal+(Salim-Resal)*(1-EXP((Tnet-t)/(Tau_j))))*Salcycl</f>
        <v>4.3543070763714553E-2</v>
      </c>
      <c r="P349" s="168">
        <f>(INDEX(Models!$BJ349:$BT349,,T349)*(1-R349)+INDEX(Models!$BJ349:$BT349,,T349+1)*R349-ERP_i)*Q349*Ramure*Pc/MaxiM</f>
        <v>3.7101461925676335E-4</v>
      </c>
      <c r="Q349" s="304">
        <f t="shared" si="125"/>
        <v>0.5</v>
      </c>
      <c r="R349" s="176">
        <f t="shared" si="126"/>
        <v>0.4346394951882398</v>
      </c>
      <c r="S349" s="814">
        <f t="shared" si="127"/>
        <v>0</v>
      </c>
      <c r="T349" s="175">
        <f t="shared" si="128"/>
        <v>6</v>
      </c>
      <c r="U349" s="250">
        <f t="shared" si="129"/>
        <v>0.4346394951882398</v>
      </c>
      <c r="V349" s="382">
        <f t="shared" si="130"/>
        <v>25.568807023975985</v>
      </c>
      <c r="W349" s="401"/>
      <c r="X349" s="157">
        <f t="shared" si="131"/>
        <v>44165</v>
      </c>
      <c r="Y349" s="384">
        <f t="shared" si="132"/>
        <v>25.172999999999998</v>
      </c>
      <c r="Z349" s="384">
        <f t="shared" si="133"/>
        <v>25.682583037038949</v>
      </c>
      <c r="AA349" s="385">
        <f t="shared" si="134"/>
        <v>26.851792539728947</v>
      </c>
      <c r="AB349" s="196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4.3543070763714553E-2</v>
      </c>
      <c r="AD349" s="230">
        <f>(INDEX(Models!$BJ349:$BT349,,AH349)*(1-AF349)+INDEX(Models!$BJ349:$BT349,,AH349+1)*AF349-ERP_i)*AE349*Ramure*Pc/MaxiM</f>
        <v>3.7101461925676335E-4</v>
      </c>
      <c r="AE349" s="304">
        <f t="shared" si="136"/>
        <v>0.5</v>
      </c>
      <c r="AF349" s="176">
        <f t="shared" si="137"/>
        <v>0.4346394951882398</v>
      </c>
      <c r="AG349" s="814">
        <f t="shared" si="143"/>
        <v>0</v>
      </c>
      <c r="AH349" s="175">
        <f t="shared" si="138"/>
        <v>6</v>
      </c>
      <c r="AI349" s="224">
        <f t="shared" si="139"/>
        <v>0.4346394951882398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44166</v>
      </c>
      <c r="B350" s="616">
        <v>4.085</v>
      </c>
      <c r="C350" s="389"/>
      <c r="D350" s="392">
        <f t="shared" si="122"/>
        <v>4.1677849135299683</v>
      </c>
      <c r="E350" s="384">
        <f t="shared" si="120"/>
        <v>4.3575847031881096</v>
      </c>
      <c r="F350" s="384">
        <f t="shared" si="123"/>
        <v>4.3575847031881096</v>
      </c>
      <c r="G350" s="110">
        <f t="shared" si="121"/>
        <v>0.16101307591709796</v>
      </c>
      <c r="H350" s="413" t="b">
        <f>Wh_hp&gt;='2019'!Maxi_hp</f>
        <v>0</v>
      </c>
      <c r="I350" s="379">
        <f>IF(H350,Wh_hp,'2019'!Maxi_hp)</f>
        <v>8.101979012843012</v>
      </c>
      <c r="J350" s="85">
        <f>IF(H350,An,'2019'!An_max)</f>
        <v>2018</v>
      </c>
      <c r="K350" s="196">
        <f t="shared" si="124"/>
        <v>44166</v>
      </c>
      <c r="L350" s="147">
        <f>IF(t&lt;Tvie,1-EXP((T0-t)*PertePVj)+'2019'!Pspv,1-EXP((T0-t)*PertePVj)+Pspv)</f>
        <v>1.9863048417211204E-2</v>
      </c>
      <c r="M350" s="847"/>
      <c r="N350" s="847"/>
      <c r="O350" s="48">
        <f>IF(t&lt;Tnet,'2019'!Resal+('2019'!Salim-'2019'!Resal)*(1-EXP(('2019'!Tnet-t)/('2019'!Tau_j))),Resal+(Salim-Resal)*(1-EXP((Tnet-t)/(Tau_j))))*Salcycl</f>
        <v>4.3556190547318539E-2</v>
      </c>
      <c r="P350" s="168">
        <f>(INDEX(Models!$BJ350:$BT350,,T350)*(1-R350)+INDEX(Models!$BJ350:$BT350,,T350+1)*R350-ERP_i)*Q350*Ramure*Pc/MaxiM</f>
        <v>3.6501308179146859E-4</v>
      </c>
      <c r="Q350" s="304">
        <f t="shared" si="125"/>
        <v>0.5</v>
      </c>
      <c r="R350" s="176">
        <f t="shared" si="126"/>
        <v>0.43464897072809294</v>
      </c>
      <c r="S350" s="814">
        <f t="shared" si="127"/>
        <v>0</v>
      </c>
      <c r="T350" s="175">
        <f t="shared" si="128"/>
        <v>6</v>
      </c>
      <c r="U350" s="250">
        <f t="shared" si="129"/>
        <v>0.43464897072809294</v>
      </c>
      <c r="V350" s="382">
        <f t="shared" si="130"/>
        <v>25.361349681086704</v>
      </c>
      <c r="W350" s="401"/>
      <c r="X350" s="157">
        <f t="shared" si="131"/>
        <v>44166</v>
      </c>
      <c r="Y350" s="384">
        <f t="shared" si="132"/>
        <v>4.085</v>
      </c>
      <c r="Z350" s="384">
        <f t="shared" si="133"/>
        <v>4.1677849135299683</v>
      </c>
      <c r="AA350" s="385">
        <f t="shared" si="134"/>
        <v>4.3575847031881096</v>
      </c>
      <c r="AB350" s="196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4.3556190547318539E-2</v>
      </c>
      <c r="AD350" s="230">
        <f>(INDEX(Models!$BJ350:$BT350,,AH350)*(1-AF350)+INDEX(Models!$BJ350:$BT350,,AH350+1)*AF350-ERP_i)*AE350*Ramure*Pc/MaxiM</f>
        <v>3.6501308179146859E-4</v>
      </c>
      <c r="AE350" s="304">
        <f t="shared" si="136"/>
        <v>0.5</v>
      </c>
      <c r="AF350" s="176">
        <f t="shared" si="137"/>
        <v>0.43464897072809294</v>
      </c>
      <c r="AG350" s="814">
        <f t="shared" si="143"/>
        <v>0</v>
      </c>
      <c r="AH350" s="175">
        <f t="shared" si="138"/>
        <v>6</v>
      </c>
      <c r="AI350" s="224">
        <f t="shared" si="139"/>
        <v>0.43464897072809294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44167</v>
      </c>
      <c r="B351" s="616">
        <v>1.022</v>
      </c>
      <c r="C351" s="389"/>
      <c r="D351" s="392">
        <f t="shared" si="122"/>
        <v>1.0427342661275578</v>
      </c>
      <c r="E351" s="384">
        <f t="shared" si="120"/>
        <v>1.0902358716605001</v>
      </c>
      <c r="F351" s="384">
        <f t="shared" si="123"/>
        <v>1.0902358716605001</v>
      </c>
      <c r="G351" s="110">
        <f t="shared" si="121"/>
        <v>4.0604829732938705E-2</v>
      </c>
      <c r="H351" s="413" t="b">
        <f>Wh_hp&gt;='2019'!Maxi_hp</f>
        <v>0</v>
      </c>
      <c r="I351" s="379">
        <f>IF(H351,Wh_hp,'2019'!Maxi_hp)</f>
        <v>9.7704257950431224</v>
      </c>
      <c r="J351" s="85">
        <f>IF(H351,An,'2019'!An_max)</f>
        <v>2018</v>
      </c>
      <c r="K351" s="196">
        <f t="shared" si="124"/>
        <v>44167</v>
      </c>
      <c r="L351" s="147">
        <f>IF(t&lt;Tvie,1-EXP((T0-t)*PertePVj)+'2019'!Pspv,1-EXP((T0-t)*PertePVj)+Pspv)</f>
        <v>1.9884515931906099E-2</v>
      </c>
      <c r="M351" s="847"/>
      <c r="N351" s="847"/>
      <c r="O351" s="48">
        <f>IF(t&lt;Tnet,'2019'!Resal+('2019'!Salim-'2019'!Resal)*(1-EXP(('2019'!Tnet-t)/('2019'!Tau_j))),Resal+(Salim-Resal)*(1-EXP((Tnet-t)/(Tau_j))))*Salcycl</f>
        <v>4.357002623716117E-2</v>
      </c>
      <c r="P351" s="168">
        <f>(INDEX(Models!$BJ351:$BT351,,T351)*(1-R351)+INDEX(Models!$BJ351:$BT351,,T351+1)*R351-ERP_i)*Q351*Ramure*Pc/MaxiM</f>
        <v>3.590770730649475E-4</v>
      </c>
      <c r="Q351" s="304">
        <f t="shared" si="125"/>
        <v>0.5</v>
      </c>
      <c r="R351" s="176">
        <f t="shared" si="126"/>
        <v>0.43465806531759049</v>
      </c>
      <c r="S351" s="814">
        <f t="shared" si="127"/>
        <v>0</v>
      </c>
      <c r="T351" s="175">
        <f t="shared" si="128"/>
        <v>6</v>
      </c>
      <c r="U351" s="250">
        <f t="shared" si="129"/>
        <v>0.43465806531759049</v>
      </c>
      <c r="V351" s="382">
        <f t="shared" si="130"/>
        <v>25.160381904091007</v>
      </c>
      <c r="W351" s="401"/>
      <c r="X351" s="157">
        <f t="shared" si="131"/>
        <v>44167</v>
      </c>
      <c r="Y351" s="384">
        <f t="shared" si="132"/>
        <v>1.022</v>
      </c>
      <c r="Z351" s="384">
        <f t="shared" si="133"/>
        <v>1.0427342661275578</v>
      </c>
      <c r="AA351" s="385">
        <f t="shared" si="134"/>
        <v>1.0902358716605001</v>
      </c>
      <c r="AB351" s="196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4.357002623716117E-2</v>
      </c>
      <c r="AD351" s="230">
        <f>(INDEX(Models!$BJ351:$BT351,,AH351)*(1-AF351)+INDEX(Models!$BJ351:$BT351,,AH351+1)*AF351-ERP_i)*AE351*Ramure*Pc/MaxiM</f>
        <v>3.590770730649475E-4</v>
      </c>
      <c r="AE351" s="304">
        <f t="shared" si="136"/>
        <v>0.5</v>
      </c>
      <c r="AF351" s="176">
        <f t="shared" si="137"/>
        <v>0.43465806531759049</v>
      </c>
      <c r="AG351" s="814">
        <f t="shared" si="143"/>
        <v>0</v>
      </c>
      <c r="AH351" s="175">
        <f t="shared" si="138"/>
        <v>6</v>
      </c>
      <c r="AI351" s="224">
        <f t="shared" si="139"/>
        <v>0.43465806531759049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44168</v>
      </c>
      <c r="B352" s="616">
        <v>11.788</v>
      </c>
      <c r="C352" s="389"/>
      <c r="D352" s="392">
        <f t="shared" si="122"/>
        <v>12.027417569386346</v>
      </c>
      <c r="E352" s="384">
        <f t="shared" si="120"/>
        <v>12.575515989047654</v>
      </c>
      <c r="F352" s="384">
        <f t="shared" si="123"/>
        <v>12.576608863373881</v>
      </c>
      <c r="G352" s="110">
        <f t="shared" si="121"/>
        <v>0.47201325305528691</v>
      </c>
      <c r="H352" s="413" t="b">
        <f>Wh_hp&gt;='2019'!Maxi_hp</f>
        <v>1</v>
      </c>
      <c r="I352" s="379">
        <f>IF(H352,Wh_hp,'2019'!Maxi_hp)</f>
        <v>12.576608863373881</v>
      </c>
      <c r="J352" s="85">
        <f>IF(H352,An,'2019'!An_max)</f>
        <v>2020</v>
      </c>
      <c r="K352" s="196">
        <f t="shared" si="124"/>
        <v>44168</v>
      </c>
      <c r="L352" s="147">
        <f>IF(t&lt;Tvie,1-EXP((T0-t)*PertePVj)+'2019'!Pspv,1-EXP((T0-t)*PertePVj)+Pspv)</f>
        <v>1.9905982976407222E-2</v>
      </c>
      <c r="M352" s="847"/>
      <c r="N352" s="847"/>
      <c r="O352" s="48">
        <f>IF(t&lt;Tnet,'2019'!Resal+('2019'!Salim-'2019'!Resal)*(1-EXP(('2019'!Tnet-t)/('2019'!Tau_j))),Resal+(Salim-Resal)*(1-EXP((Tnet-t)/(Tau_j))))*Salcycl</f>
        <v>4.3584567037937859E-2</v>
      </c>
      <c r="P352" s="168">
        <f>(INDEX(Models!$BJ352:$BT352,,T352)*(1-R352)+INDEX(Models!$BJ352:$BT352,,T352+1)*R352-ERP_i)*Q352*Ramure*Pc/MaxiM</f>
        <v>3.5336639488105719E-4</v>
      </c>
      <c r="Q352" s="304">
        <f t="shared" si="125"/>
        <v>0.5</v>
      </c>
      <c r="R352" s="176">
        <f t="shared" si="126"/>
        <v>0.43466679425057148</v>
      </c>
      <c r="S352" s="814">
        <f t="shared" si="127"/>
        <v>0</v>
      </c>
      <c r="T352" s="175">
        <f t="shared" si="128"/>
        <v>6</v>
      </c>
      <c r="U352" s="250">
        <f t="shared" si="129"/>
        <v>0.43466679425057148</v>
      </c>
      <c r="V352" s="382">
        <f t="shared" si="130"/>
        <v>24.967219699784057</v>
      </c>
      <c r="W352" s="401"/>
      <c r="X352" s="157">
        <f t="shared" si="131"/>
        <v>44168</v>
      </c>
      <c r="Y352" s="384">
        <f t="shared" si="132"/>
        <v>11.788</v>
      </c>
      <c r="Z352" s="384">
        <f t="shared" si="133"/>
        <v>12.027417569386346</v>
      </c>
      <c r="AA352" s="385">
        <f t="shared" si="134"/>
        <v>12.575515989047654</v>
      </c>
      <c r="AB352" s="196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4.3584567037937859E-2</v>
      </c>
      <c r="AD352" s="230">
        <f>(INDEX(Models!$BJ352:$BT352,,AH352)*(1-AF352)+INDEX(Models!$BJ352:$BT352,,AH352+1)*AF352-ERP_i)*AE352*Ramure*Pc/MaxiM</f>
        <v>3.5336639488105719E-4</v>
      </c>
      <c r="AE352" s="304">
        <f t="shared" si="136"/>
        <v>0.5</v>
      </c>
      <c r="AF352" s="176">
        <f t="shared" si="137"/>
        <v>0.43466679425057148</v>
      </c>
      <c r="AG352" s="814">
        <f t="shared" si="143"/>
        <v>0</v>
      </c>
      <c r="AH352" s="175">
        <f t="shared" si="138"/>
        <v>6</v>
      </c>
      <c r="AI352" s="224">
        <f t="shared" si="139"/>
        <v>0.43466679425057148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44169</v>
      </c>
      <c r="B353" s="616">
        <v>7.7610000000000001</v>
      </c>
      <c r="C353" s="389"/>
      <c r="D353" s="392">
        <f t="shared" si="122"/>
        <v>7.9188015177471103</v>
      </c>
      <c r="E353" s="384">
        <f t="shared" si="120"/>
        <v>8.2797991023685924</v>
      </c>
      <c r="F353" s="384">
        <f t="shared" si="123"/>
        <v>8.2798532637618134</v>
      </c>
      <c r="G353" s="110">
        <f t="shared" si="121"/>
        <v>0.31304900759769433</v>
      </c>
      <c r="H353" s="413" t="b">
        <f>Wh_hp&gt;='2019'!Maxi_hp</f>
        <v>0</v>
      </c>
      <c r="I353" s="379">
        <f>IF(H353,Wh_hp,'2019'!Maxi_hp)</f>
        <v>21.154330156522605</v>
      </c>
      <c r="J353" s="85">
        <f>IF(H353,An,'2019'!An_max)</f>
        <v>2018</v>
      </c>
      <c r="K353" s="196">
        <f t="shared" si="124"/>
        <v>44169</v>
      </c>
      <c r="L353" s="147">
        <f>IF(t&lt;Tvie,1-EXP((T0-t)*PertePVj)+'2019'!Pspv,1-EXP((T0-t)*PertePVj)+Pspv)</f>
        <v>1.9927449550725007E-2</v>
      </c>
      <c r="M353" s="847"/>
      <c r="N353" s="847"/>
      <c r="O353" s="48">
        <f>IF(t&lt;Tnet,'2019'!Resal+('2019'!Salim-'2019'!Resal)*(1-EXP(('2019'!Tnet-t)/('2019'!Tau_j))),Resal+(Salim-Resal)*(1-EXP((Tnet-t)/(Tau_j))))*Salcycl</f>
        <v>4.3599799965945103E-2</v>
      </c>
      <c r="P353" s="168">
        <f>(INDEX(Models!$BJ353:$BT353,,T353)*(1-R353)+INDEX(Models!$BJ353:$BT353,,T353+1)*R353-ERP_i)*Q353*Ramure*Pc/MaxiM</f>
        <v>3.4805099394628604E-4</v>
      </c>
      <c r="Q353" s="304">
        <f t="shared" si="125"/>
        <v>0.5</v>
      </c>
      <c r="R353" s="176">
        <f t="shared" si="126"/>
        <v>0.43467517220859286</v>
      </c>
      <c r="S353" s="814">
        <f t="shared" si="127"/>
        <v>0</v>
      </c>
      <c r="T353" s="175">
        <f t="shared" si="128"/>
        <v>6</v>
      </c>
      <c r="U353" s="250">
        <f t="shared" si="129"/>
        <v>0.43467517220859286</v>
      </c>
      <c r="V353" s="382">
        <f t="shared" si="130"/>
        <v>24.783178793087611</v>
      </c>
      <c r="W353" s="401"/>
      <c r="X353" s="157">
        <f t="shared" si="131"/>
        <v>44169</v>
      </c>
      <c r="Y353" s="384">
        <f t="shared" si="132"/>
        <v>7.7610000000000001</v>
      </c>
      <c r="Z353" s="384">
        <f t="shared" si="133"/>
        <v>7.9188015177471103</v>
      </c>
      <c r="AA353" s="385">
        <f t="shared" si="134"/>
        <v>8.2797991023685924</v>
      </c>
      <c r="AB353" s="196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4.3599799965945103E-2</v>
      </c>
      <c r="AD353" s="230">
        <f>(INDEX(Models!$BJ353:$BT353,,AH353)*(1-AF353)+INDEX(Models!$BJ353:$BT353,,AH353+1)*AF353-ERP_i)*AE353*Ramure*Pc/MaxiM</f>
        <v>3.4805099394628604E-4</v>
      </c>
      <c r="AE353" s="304">
        <f t="shared" si="136"/>
        <v>0.5</v>
      </c>
      <c r="AF353" s="176">
        <f t="shared" si="137"/>
        <v>0.43467517220859286</v>
      </c>
      <c r="AG353" s="814">
        <f t="shared" si="143"/>
        <v>0</v>
      </c>
      <c r="AH353" s="175">
        <f t="shared" si="138"/>
        <v>6</v>
      </c>
      <c r="AI353" s="224">
        <f t="shared" si="139"/>
        <v>0.43467517220859286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44170</v>
      </c>
      <c r="B354" s="616">
        <v>21.725999999999999</v>
      </c>
      <c r="C354" s="389"/>
      <c r="D354" s="392">
        <f t="shared" si="122"/>
        <v>22.168232194260877</v>
      </c>
      <c r="E354" s="384">
        <f t="shared" si="120"/>
        <v>23.179209890477999</v>
      </c>
      <c r="F354" s="384">
        <f t="shared" si="123"/>
        <v>23.185833675036029</v>
      </c>
      <c r="G354" s="110">
        <f t="shared" si="121"/>
        <v>0.88277623497467972</v>
      </c>
      <c r="H354" s="413" t="b">
        <f>Wh_hp&gt;='2019'!Maxi_hp</f>
        <v>1</v>
      </c>
      <c r="I354" s="379">
        <f>IF(H354,Wh_hp,'2019'!Maxi_hp)</f>
        <v>23.185833675036029</v>
      </c>
      <c r="J354" s="85">
        <f>IF(H354,An,'2019'!An_max)</f>
        <v>2020</v>
      </c>
      <c r="K354" s="196">
        <f t="shared" si="124"/>
        <v>44170</v>
      </c>
      <c r="L354" s="147">
        <f>IF(t&lt;Tvie,1-EXP((T0-t)*PertePVj)+'2019'!Pspv,1-EXP((T0-t)*PertePVj)+Pspv)</f>
        <v>1.9948915654869781E-2</v>
      </c>
      <c r="M354" s="847"/>
      <c r="N354" s="847"/>
      <c r="O354" s="48">
        <f>IF(t&lt;Tnet,'2019'!Resal+('2019'!Salim-'2019'!Resal)*(1-EXP(('2019'!Tnet-t)/('2019'!Tau_j))),Resal+(Salim-Resal)*(1-EXP((Tnet-t)/(Tau_j))))*Salcycl</f>
        <v>4.3615709982954581E-2</v>
      </c>
      <c r="P354" s="168">
        <f>(INDEX(Models!$BJ354:$BT354,,T354)*(1-R354)+INDEX(Models!$BJ354:$BT354,,T354+1)*R354-ERP_i)*Q354*Ramure*Pc/MaxiM</f>
        <v>3.4311672965022953E-4</v>
      </c>
      <c r="Q354" s="304">
        <f t="shared" si="125"/>
        <v>0.5</v>
      </c>
      <c r="R354" s="176">
        <f t="shared" si="126"/>
        <v>0.43468321328530662</v>
      </c>
      <c r="S354" s="814">
        <f t="shared" si="127"/>
        <v>0</v>
      </c>
      <c r="T354" s="175">
        <f t="shared" si="128"/>
        <v>6</v>
      </c>
      <c r="U354" s="250">
        <f t="shared" si="129"/>
        <v>0.43468321328530662</v>
      </c>
      <c r="V354" s="382">
        <f t="shared" si="130"/>
        <v>24.609579375170402</v>
      </c>
      <c r="W354" s="401"/>
      <c r="X354" s="157">
        <f t="shared" si="131"/>
        <v>44170</v>
      </c>
      <c r="Y354" s="384">
        <f t="shared" si="132"/>
        <v>21.725999999999999</v>
      </c>
      <c r="Z354" s="384">
        <f t="shared" si="133"/>
        <v>22.168232194260877</v>
      </c>
      <c r="AA354" s="385">
        <f t="shared" si="134"/>
        <v>23.179209890477999</v>
      </c>
      <c r="AB354" s="196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4.3615709982954581E-2</v>
      </c>
      <c r="AD354" s="230">
        <f>(INDEX(Models!$BJ354:$BT354,,AH354)*(1-AF354)+INDEX(Models!$BJ354:$BT354,,AH354+1)*AF354-ERP_i)*AE354*Ramure*Pc/MaxiM</f>
        <v>3.4311672965022953E-4</v>
      </c>
      <c r="AE354" s="304">
        <f t="shared" si="136"/>
        <v>0.5</v>
      </c>
      <c r="AF354" s="176">
        <f t="shared" si="137"/>
        <v>0.43468321328530662</v>
      </c>
      <c r="AG354" s="814">
        <f t="shared" si="143"/>
        <v>0</v>
      </c>
      <c r="AH354" s="175">
        <f t="shared" si="138"/>
        <v>6</v>
      </c>
      <c r="AI354" s="224">
        <f t="shared" si="139"/>
        <v>0.43468321328530662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44171</v>
      </c>
      <c r="B355" s="616">
        <v>16.870999999999999</v>
      </c>
      <c r="C355" s="389"/>
      <c r="D355" s="392">
        <f t="shared" si="122"/>
        <v>17.214785836970218</v>
      </c>
      <c r="E355" s="384">
        <f t="shared" si="120"/>
        <v>18.000174493025547</v>
      </c>
      <c r="F355" s="384">
        <f t="shared" si="123"/>
        <v>18.003571069113253</v>
      </c>
      <c r="G355" s="110">
        <f t="shared" si="121"/>
        <v>0.68998074152123168</v>
      </c>
      <c r="H355" s="413" t="b">
        <f>Wh_hp&gt;='2019'!Maxi_hp</f>
        <v>0</v>
      </c>
      <c r="I355" s="379">
        <f>IF(H355,Wh_hp,'2019'!Maxi_hp)</f>
        <v>22.326722541325999</v>
      </c>
      <c r="J355" s="85">
        <f>IF(H355,An,'2019'!An_max)</f>
        <v>2018</v>
      </c>
      <c r="K355" s="196">
        <f t="shared" si="124"/>
        <v>44171</v>
      </c>
      <c r="L355" s="147">
        <f>IF(t&lt;Tvie,1-EXP((T0-t)*PertePVj)+'2019'!Pspv,1-EXP((T0-t)*PertePVj)+Pspv)</f>
        <v>1.9970381288851757E-2</v>
      </c>
      <c r="M355" s="847"/>
      <c r="N355" s="847"/>
      <c r="O355" s="48">
        <f>IF(t&lt;Tnet,'2019'!Resal+('2019'!Salim-'2019'!Resal)*(1-EXP(('2019'!Tnet-t)/('2019'!Tau_j))),Resal+(Salim-Resal)*(1-EXP((Tnet-t)/(Tau_j))))*Salcycl</f>
        <v>4.3632280140375374E-2</v>
      </c>
      <c r="P355" s="168">
        <f>(INDEX(Models!$BJ355:$BT355,,T355)*(1-R355)+INDEX(Models!$BJ355:$BT355,,T355+1)*R355-ERP_i)*Q355*Ramure*Pc/MaxiM</f>
        <v>3.3854965388016079E-4</v>
      </c>
      <c r="Q355" s="304">
        <f t="shared" si="125"/>
        <v>0.5</v>
      </c>
      <c r="R355" s="176">
        <f t="shared" si="126"/>
        <v>0.43469093100987766</v>
      </c>
      <c r="S355" s="814">
        <f t="shared" si="127"/>
        <v>0</v>
      </c>
      <c r="T355" s="175">
        <f t="shared" si="128"/>
        <v>6</v>
      </c>
      <c r="U355" s="250">
        <f t="shared" si="129"/>
        <v>0.43469093100987766</v>
      </c>
      <c r="V355" s="382">
        <f t="shared" si="130"/>
        <v>24.447741422827033</v>
      </c>
      <c r="W355" s="401"/>
      <c r="X355" s="157">
        <f t="shared" si="131"/>
        <v>44171</v>
      </c>
      <c r="Y355" s="384">
        <f t="shared" si="132"/>
        <v>16.870999999999999</v>
      </c>
      <c r="Z355" s="384">
        <f t="shared" si="133"/>
        <v>17.214785836970218</v>
      </c>
      <c r="AA355" s="385">
        <f t="shared" si="134"/>
        <v>18.000174493025547</v>
      </c>
      <c r="AB355" s="196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4.3632280140375374E-2</v>
      </c>
      <c r="AD355" s="230">
        <f>(INDEX(Models!$BJ355:$BT355,,AH355)*(1-AF355)+INDEX(Models!$BJ355:$BT355,,AH355+1)*AF355-ERP_i)*AE355*Ramure*Pc/MaxiM</f>
        <v>3.3854965388016079E-4</v>
      </c>
      <c r="AE355" s="304">
        <f t="shared" si="136"/>
        <v>0.5</v>
      </c>
      <c r="AF355" s="176">
        <f t="shared" si="137"/>
        <v>0.43469093100987766</v>
      </c>
      <c r="AG355" s="814">
        <f t="shared" si="143"/>
        <v>0</v>
      </c>
      <c r="AH355" s="175">
        <f t="shared" si="138"/>
        <v>6</v>
      </c>
      <c r="AI355" s="224">
        <f t="shared" si="139"/>
        <v>0.43469093100987766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44172</v>
      </c>
      <c r="B356" s="616">
        <v>2.2989999999999999</v>
      </c>
      <c r="C356" s="389"/>
      <c r="D356" s="392">
        <f t="shared" si="122"/>
        <v>2.3458988495946169</v>
      </c>
      <c r="E356" s="384">
        <f t="shared" si="120"/>
        <v>2.4529697316147772</v>
      </c>
      <c r="F356" s="384">
        <f t="shared" si="123"/>
        <v>2.4529697316147772</v>
      </c>
      <c r="G356" s="110">
        <f t="shared" si="121"/>
        <v>9.4581374175497404E-2</v>
      </c>
      <c r="H356" s="413" t="b">
        <f>Wh_hp&gt;='2019'!Maxi_hp</f>
        <v>0</v>
      </c>
      <c r="I356" s="379">
        <f>IF(H356,Wh_hp,'2019'!Maxi_hp)</f>
        <v>18.567301939285336</v>
      </c>
      <c r="J356" s="85">
        <f>IF(H356,An,'2019'!An_max)</f>
        <v>2019</v>
      </c>
      <c r="K356" s="196">
        <f t="shared" si="124"/>
        <v>44172</v>
      </c>
      <c r="L356" s="147">
        <f>IF(t&lt;Tvie,1-EXP((T0-t)*PertePVj)+'2019'!Pspv,1-EXP((T0-t)*PertePVj)+Pspv)</f>
        <v>1.9991846452681261E-2</v>
      </c>
      <c r="M356" s="847"/>
      <c r="N356" s="847"/>
      <c r="O356" s="48">
        <f>IF(t&lt;Tnet,'2019'!Resal+('2019'!Salim-'2019'!Resal)*(1-EXP(('2019'!Tnet-t)/('2019'!Tau_j))),Resal+(Salim-Resal)*(1-EXP((Tnet-t)/(Tau_j))))*Salcycl</f>
        <v>4.3649491732487042E-2</v>
      </c>
      <c r="P356" s="168">
        <f>(INDEX(Models!$BJ356:$BT356,,T356)*(1-R356)+INDEX(Models!$BJ356:$BT356,,T356+1)*R356-ERP_i)*Q356*Ramure*Pc/MaxiM</f>
        <v>3.3433589805978241E-4</v>
      </c>
      <c r="Q356" s="304">
        <f t="shared" si="125"/>
        <v>0.5</v>
      </c>
      <c r="R356" s="176">
        <f t="shared" si="126"/>
        <v>0.43469833836947808</v>
      </c>
      <c r="S356" s="814">
        <f t="shared" si="127"/>
        <v>0</v>
      </c>
      <c r="T356" s="175">
        <f t="shared" si="128"/>
        <v>6</v>
      </c>
      <c r="U356" s="250">
        <f t="shared" si="129"/>
        <v>0.43469833836947808</v>
      </c>
      <c r="V356" s="382">
        <f t="shared" si="130"/>
        <v>24.298984676475012</v>
      </c>
      <c r="W356" s="401"/>
      <c r="X356" s="157">
        <f t="shared" si="131"/>
        <v>44172</v>
      </c>
      <c r="Y356" s="384">
        <f t="shared" si="132"/>
        <v>2.2989999999999999</v>
      </c>
      <c r="Z356" s="384">
        <f t="shared" si="133"/>
        <v>2.3458988495946169</v>
      </c>
      <c r="AA356" s="385">
        <f t="shared" si="134"/>
        <v>2.4529697316147772</v>
      </c>
      <c r="AB356" s="196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4.3649491732487042E-2</v>
      </c>
      <c r="AD356" s="230">
        <f>(INDEX(Models!$BJ356:$BT356,,AH356)*(1-AF356)+INDEX(Models!$BJ356:$BT356,,AH356+1)*AF356-ERP_i)*AE356*Ramure*Pc/MaxiM</f>
        <v>3.3433589805978241E-4</v>
      </c>
      <c r="AE356" s="304">
        <f t="shared" si="136"/>
        <v>0.5</v>
      </c>
      <c r="AF356" s="176">
        <f t="shared" si="137"/>
        <v>0.43469833836947808</v>
      </c>
      <c r="AG356" s="814">
        <f t="shared" si="143"/>
        <v>0</v>
      </c>
      <c r="AH356" s="175">
        <f t="shared" si="138"/>
        <v>6</v>
      </c>
      <c r="AI356" s="224">
        <f t="shared" si="139"/>
        <v>0.43469833836947808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44173</v>
      </c>
      <c r="B357" s="616">
        <v>9.8829999999999991</v>
      </c>
      <c r="C357" s="389"/>
      <c r="D357" s="392">
        <f t="shared" si="122"/>
        <v>10.084830857815968</v>
      </c>
      <c r="E357" s="384">
        <f t="shared" si="120"/>
        <v>10.545316620175896</v>
      </c>
      <c r="F357" s="384">
        <f t="shared" si="123"/>
        <v>10.545859216009614</v>
      </c>
      <c r="G357" s="110">
        <f t="shared" si="121"/>
        <v>0.40887209772168942</v>
      </c>
      <c r="H357" s="413" t="b">
        <f>Wh_hp&gt;='2019'!Maxi_hp</f>
        <v>1</v>
      </c>
      <c r="I357" s="379">
        <f>IF(H357,Wh_hp,'2019'!Maxi_hp)</f>
        <v>10.545859216009614</v>
      </c>
      <c r="J357" s="85">
        <f>IF(H357,An,'2019'!An_max)</f>
        <v>2020</v>
      </c>
      <c r="K357" s="196">
        <f t="shared" si="124"/>
        <v>44173</v>
      </c>
      <c r="L357" s="147">
        <f>IF(t&lt;Tvie,1-EXP((T0-t)*PertePVj)+'2019'!Pspv,1-EXP((T0-t)*PertePVj)+Pspv)</f>
        <v>2.0013311146368506E-2</v>
      </c>
      <c r="M357" s="847"/>
      <c r="N357" s="847"/>
      <c r="O357" s="48">
        <f>IF(t&lt;Tnet,'2019'!Resal+('2019'!Salim-'2019'!Resal)*(1-EXP(('2019'!Tnet-t)/('2019'!Tau_j))),Resal+(Salim-Resal)*(1-EXP((Tnet-t)/(Tau_j))))*Salcycl</f>
        <v>4.3667324457465913E-2</v>
      </c>
      <c r="P357" s="168">
        <f>(INDEX(Models!$BJ357:$BT357,,T357)*(1-R357)+INDEX(Models!$BJ357:$BT357,,T357+1)*R357-ERP_i)*Q357*Ramure*Pc/MaxiM</f>
        <v>3.3046156488907523E-4</v>
      </c>
      <c r="Q357" s="304">
        <f t="shared" si="125"/>
        <v>0.5</v>
      </c>
      <c r="R357" s="176">
        <f t="shared" si="126"/>
        <v>0.43470544783089415</v>
      </c>
      <c r="S357" s="814">
        <f t="shared" si="127"/>
        <v>0</v>
      </c>
      <c r="T357" s="175">
        <f t="shared" si="128"/>
        <v>6</v>
      </c>
      <c r="U357" s="250">
        <f t="shared" si="129"/>
        <v>0.43470544783089415</v>
      </c>
      <c r="V357" s="382">
        <f t="shared" si="130"/>
        <v>24.164628627238333</v>
      </c>
      <c r="W357" s="401"/>
      <c r="X357" s="157">
        <f t="shared" si="131"/>
        <v>44173</v>
      </c>
      <c r="Y357" s="384">
        <f t="shared" si="132"/>
        <v>9.8829999999999991</v>
      </c>
      <c r="Z357" s="384">
        <f t="shared" si="133"/>
        <v>10.084830857815968</v>
      </c>
      <c r="AA357" s="385">
        <f t="shared" si="134"/>
        <v>10.545316620175896</v>
      </c>
      <c r="AB357" s="196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4.3667324457465913E-2</v>
      </c>
      <c r="AD357" s="230">
        <f>(INDEX(Models!$BJ357:$BT357,,AH357)*(1-AF357)+INDEX(Models!$BJ357:$BT357,,AH357+1)*AF357-ERP_i)*AE357*Ramure*Pc/MaxiM</f>
        <v>3.3046156488907523E-4</v>
      </c>
      <c r="AE357" s="304">
        <f t="shared" si="136"/>
        <v>0.5</v>
      </c>
      <c r="AF357" s="176">
        <f t="shared" si="137"/>
        <v>0.43470544783089415</v>
      </c>
      <c r="AG357" s="814">
        <f t="shared" si="143"/>
        <v>0</v>
      </c>
      <c r="AH357" s="175">
        <f t="shared" si="138"/>
        <v>6</v>
      </c>
      <c r="AI357" s="224">
        <f t="shared" si="139"/>
        <v>0.43470544783089415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44174</v>
      </c>
      <c r="B358" s="616">
        <v>8.266</v>
      </c>
      <c r="C358" s="389"/>
      <c r="D358" s="392">
        <f t="shared" si="122"/>
        <v>8.4349931938863509</v>
      </c>
      <c r="E358" s="384">
        <f t="shared" si="120"/>
        <v>8.8203153429608001</v>
      </c>
      <c r="F358" s="384">
        <f t="shared" si="123"/>
        <v>8.8204955962332701</v>
      </c>
      <c r="G358" s="110">
        <f t="shared" si="121"/>
        <v>0.34365254846675924</v>
      </c>
      <c r="H358" s="413" t="b">
        <f>Wh_hp&gt;='2019'!Maxi_hp</f>
        <v>0</v>
      </c>
      <c r="I358" s="379">
        <f>IF(H358,Wh_hp,'2019'!Maxi_hp)</f>
        <v>22.599335595679641</v>
      </c>
      <c r="J358" s="85">
        <f>IF(H358,An,'2019'!An_max)</f>
        <v>2019</v>
      </c>
      <c r="K358" s="196">
        <f t="shared" si="124"/>
        <v>44174</v>
      </c>
      <c r="L358" s="147">
        <f>IF(t&lt;Tvie,1-EXP((T0-t)*PertePVj)+'2019'!Pspv,1-EXP((T0-t)*PertePVj)+Pspv)</f>
        <v>2.0034775369924041E-2</v>
      </c>
      <c r="M358" s="847"/>
      <c r="N358" s="847"/>
      <c r="O358" s="48">
        <f>IF(t&lt;Tnet,'2019'!Resal+('2019'!Salim-'2019'!Resal)*(1-EXP(('2019'!Tnet-t)/('2019'!Tau_j))),Resal+(Salim-Resal)*(1-EXP((Tnet-t)/(Tau_j))))*Salcycl</f>
        <v>4.3685756584877881E-2</v>
      </c>
      <c r="P358" s="168">
        <f>(INDEX(Models!$BJ358:$BT358,,T358)*(1-R358)+INDEX(Models!$BJ358:$BT358,,T358+1)*R358-ERP_i)*Q358*Ramure*Pc/MaxiM</f>
        <v>3.2691262636422546E-4</v>
      </c>
      <c r="Q358" s="304">
        <f t="shared" si="125"/>
        <v>0.5</v>
      </c>
      <c r="R358" s="176">
        <f t="shared" si="126"/>
        <v>0.43471227136128088</v>
      </c>
      <c r="S358" s="814">
        <f t="shared" si="127"/>
        <v>0</v>
      </c>
      <c r="T358" s="175">
        <f t="shared" si="128"/>
        <v>6</v>
      </c>
      <c r="U358" s="250">
        <f t="shared" si="129"/>
        <v>0.43471227136128088</v>
      </c>
      <c r="V358" s="382">
        <f t="shared" si="130"/>
        <v>24.045992520867078</v>
      </c>
      <c r="W358" s="401"/>
      <c r="X358" s="157">
        <f t="shared" si="131"/>
        <v>44174</v>
      </c>
      <c r="Y358" s="384">
        <f t="shared" si="132"/>
        <v>8.266</v>
      </c>
      <c r="Z358" s="384">
        <f t="shared" si="133"/>
        <v>8.4349931938863509</v>
      </c>
      <c r="AA358" s="385">
        <f t="shared" si="134"/>
        <v>8.8203153429608001</v>
      </c>
      <c r="AB358" s="196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4.3685756584877881E-2</v>
      </c>
      <c r="AD358" s="230">
        <f>(INDEX(Models!$BJ358:$BT358,,AH358)*(1-AF358)+INDEX(Models!$BJ358:$BT358,,AH358+1)*AF358-ERP_i)*AE358*Ramure*Pc/MaxiM</f>
        <v>3.2691262636422546E-4</v>
      </c>
      <c r="AE358" s="304">
        <f t="shared" si="136"/>
        <v>0.5</v>
      </c>
      <c r="AF358" s="176">
        <f t="shared" si="137"/>
        <v>0.43471227136128088</v>
      </c>
      <c r="AG358" s="814">
        <f t="shared" si="143"/>
        <v>0</v>
      </c>
      <c r="AH358" s="175">
        <f t="shared" si="138"/>
        <v>6</v>
      </c>
      <c r="AI358" s="224">
        <f t="shared" si="139"/>
        <v>0.43471227136128088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44175</v>
      </c>
      <c r="B359" s="616">
        <v>5.2359999999999998</v>
      </c>
      <c r="C359" s="389"/>
      <c r="D359" s="392">
        <f t="shared" si="122"/>
        <v>5.343163770251425</v>
      </c>
      <c r="E359" s="384">
        <f t="shared" si="120"/>
        <v>5.5873579365562112</v>
      </c>
      <c r="F359" s="384">
        <f t="shared" si="123"/>
        <v>5.5873579365562112</v>
      </c>
      <c r="G359" s="110">
        <f t="shared" si="121"/>
        <v>0.21863596312396499</v>
      </c>
      <c r="H359" s="413" t="b">
        <f>Wh_hp&gt;='2019'!Maxi_hp</f>
        <v>0</v>
      </c>
      <c r="I359" s="379">
        <f>IF(H359,Wh_hp,'2019'!Maxi_hp)</f>
        <v>18.967198725102847</v>
      </c>
      <c r="J359" s="85">
        <f>IF(H359,An,'2019'!An_max)</f>
        <v>2018</v>
      </c>
      <c r="K359" s="196">
        <f t="shared" si="124"/>
        <v>44175</v>
      </c>
      <c r="L359" s="147">
        <f>IF(t&lt;Tvie,1-EXP((T0-t)*PertePVj)+'2019'!Pspv,1-EXP((T0-t)*PertePVj)+Pspv)</f>
        <v>2.0056239123357855E-2</v>
      </c>
      <c r="M359" s="847"/>
      <c r="N359" s="847"/>
      <c r="O359" s="48">
        <f>IF(t&lt;Tnet,'2019'!Resal+('2019'!Salim-'2019'!Resal)*(1-EXP(('2019'!Tnet-t)/('2019'!Tau_j))),Resal+(Salim-Resal)*(1-EXP((Tnet-t)/(Tau_j))))*Salcycl</f>
        <v>4.3704765128273933E-2</v>
      </c>
      <c r="P359" s="168">
        <f>(INDEX(Models!$BJ359:$BT359,,T359)*(1-R359)+INDEX(Models!$BJ359:$BT359,,T359+1)*R359-ERP_i)*Q359*Ramure*Pc/MaxiM</f>
        <v>3.2372434357545249E-4</v>
      </c>
      <c r="Q359" s="304">
        <f t="shared" si="125"/>
        <v>0.5</v>
      </c>
      <c r="R359" s="176">
        <f t="shared" si="126"/>
        <v>0.43471882044809568</v>
      </c>
      <c r="S359" s="814">
        <f t="shared" si="127"/>
        <v>0</v>
      </c>
      <c r="T359" s="175">
        <f t="shared" si="128"/>
        <v>6</v>
      </c>
      <c r="U359" s="250">
        <f t="shared" si="129"/>
        <v>0.43471882044809568</v>
      </c>
      <c r="V359" s="382">
        <f t="shared" si="130"/>
        <v>23.940731911379221</v>
      </c>
      <c r="W359" s="401"/>
      <c r="X359" s="157">
        <f t="shared" si="131"/>
        <v>44175</v>
      </c>
      <c r="Y359" s="384">
        <f t="shared" si="132"/>
        <v>5.2359999999999998</v>
      </c>
      <c r="Z359" s="384">
        <f t="shared" si="133"/>
        <v>5.343163770251425</v>
      </c>
      <c r="AA359" s="385">
        <f t="shared" si="134"/>
        <v>5.5873579365562112</v>
      </c>
      <c r="AB359" s="196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4.3704765128273933E-2</v>
      </c>
      <c r="AD359" s="230">
        <f>(INDEX(Models!$BJ359:$BT359,,AH359)*(1-AF359)+INDEX(Models!$BJ359:$BT359,,AH359+1)*AF359-ERP_i)*AE359*Ramure*Pc/MaxiM</f>
        <v>3.2372434357545249E-4</v>
      </c>
      <c r="AE359" s="304">
        <f t="shared" si="136"/>
        <v>0.5</v>
      </c>
      <c r="AF359" s="176">
        <f t="shared" si="137"/>
        <v>0.43471882044809568</v>
      </c>
      <c r="AG359" s="814">
        <f t="shared" si="143"/>
        <v>0</v>
      </c>
      <c r="AH359" s="175">
        <f t="shared" si="138"/>
        <v>6</v>
      </c>
      <c r="AI359" s="224">
        <f t="shared" si="139"/>
        <v>0.43471882044809568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44176</v>
      </c>
      <c r="B360" s="616">
        <v>7.516</v>
      </c>
      <c r="C360" s="389"/>
      <c r="D360" s="392">
        <f t="shared" si="122"/>
        <v>7.6699958950410956</v>
      </c>
      <c r="E360" s="384">
        <f t="shared" si="120"/>
        <v>8.0206953954300158</v>
      </c>
      <c r="F360" s="384">
        <f t="shared" si="123"/>
        <v>8.0207512650014241</v>
      </c>
      <c r="G360" s="110">
        <f t="shared" si="121"/>
        <v>0.3150936737929953</v>
      </c>
      <c r="H360" s="413" t="b">
        <f>Wh_hp&gt;='2019'!Maxi_hp</f>
        <v>1</v>
      </c>
      <c r="I360" s="379">
        <f>IF(H360,Wh_hp,'2019'!Maxi_hp)</f>
        <v>8.0207512650014241</v>
      </c>
      <c r="J360" s="85">
        <f>IF(H360,An,'2019'!An_max)</f>
        <v>2020</v>
      </c>
      <c r="K360" s="196">
        <f t="shared" si="124"/>
        <v>44176</v>
      </c>
      <c r="L360" s="147">
        <f>IF(t&lt;Tvie,1-EXP((T0-t)*PertePVj)+'2019'!Pspv,1-EXP((T0-t)*PertePVj)+Pspv)</f>
        <v>2.0077702406680387E-2</v>
      </c>
      <c r="M360" s="847"/>
      <c r="N360" s="847"/>
      <c r="O360" s="48">
        <f>IF(t&lt;Tnet,'2019'!Resal+('2019'!Salim-'2019'!Resal)*(1-EXP(('2019'!Tnet-t)/('2019'!Tau_j))),Resal+(Salim-Resal)*(1-EXP((Tnet-t)/(Tau_j))))*Salcycl</f>
        <v>4.3724326021499213E-2</v>
      </c>
      <c r="P360" s="168">
        <f>(INDEX(Models!$BJ360:$BT360,,T360)*(1-R360)+INDEX(Models!$BJ360:$BT360,,T360+1)*R360-ERP_i)*Q360*Ramure*Pc/MaxiM</f>
        <v>3.2094097256493427E-4</v>
      </c>
      <c r="Q360" s="304">
        <f t="shared" si="125"/>
        <v>0.5</v>
      </c>
      <c r="R360" s="176">
        <f t="shared" si="126"/>
        <v>0.4347251061182445</v>
      </c>
      <c r="S360" s="814">
        <f t="shared" si="127"/>
        <v>0</v>
      </c>
      <c r="T360" s="175">
        <f t="shared" si="128"/>
        <v>6</v>
      </c>
      <c r="U360" s="250">
        <f t="shared" si="129"/>
        <v>0.4347251061182445</v>
      </c>
      <c r="V360" s="382">
        <f t="shared" si="130"/>
        <v>23.845734680824652</v>
      </c>
      <c r="W360" s="401"/>
      <c r="X360" s="157">
        <f t="shared" si="131"/>
        <v>44176</v>
      </c>
      <c r="Y360" s="384">
        <f t="shared" si="132"/>
        <v>7.5160000000000009</v>
      </c>
      <c r="Z360" s="384">
        <f t="shared" si="133"/>
        <v>7.6699958950410965</v>
      </c>
      <c r="AA360" s="385">
        <f t="shared" si="134"/>
        <v>8.0206953954300158</v>
      </c>
      <c r="AB360" s="196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4.3724326021499213E-2</v>
      </c>
      <c r="AD360" s="230">
        <f>(INDEX(Models!$BJ360:$BT360,,AH360)*(1-AF360)+INDEX(Models!$BJ360:$BT360,,AH360+1)*AF360-ERP_i)*AE360*Ramure*Pc/MaxiM</f>
        <v>3.2094097256493427E-4</v>
      </c>
      <c r="AE360" s="304">
        <f t="shared" si="136"/>
        <v>0.5</v>
      </c>
      <c r="AF360" s="176">
        <f t="shared" si="137"/>
        <v>0.4347251061182445</v>
      </c>
      <c r="AG360" s="814">
        <f t="shared" si="143"/>
        <v>0</v>
      </c>
      <c r="AH360" s="175">
        <f t="shared" si="138"/>
        <v>6</v>
      </c>
      <c r="AI360" s="224">
        <f t="shared" si="139"/>
        <v>0.4347251061182445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44177</v>
      </c>
      <c r="B361" s="616">
        <v>9.8249999999999993</v>
      </c>
      <c r="C361" s="389"/>
      <c r="D361" s="392">
        <f t="shared" si="122"/>
        <v>10.0265247780964</v>
      </c>
      <c r="E361" s="384">
        <f t="shared" ref="E361:E380" si="144">Wh_pvt/(1-Psa)</f>
        <v>10.485193423187804</v>
      </c>
      <c r="F361" s="384">
        <f t="shared" si="123"/>
        <v>10.485734708040454</v>
      </c>
      <c r="G361" s="110">
        <f t="shared" ref="G361:G380" si="145">+Wh_hp/MaxiM</f>
        <v>0.41337938690018233</v>
      </c>
      <c r="H361" s="413" t="b">
        <f>Wh_hp&gt;='2019'!Maxi_hp</f>
        <v>1</v>
      </c>
      <c r="I361" s="379">
        <f>IF(H361,Wh_hp,'2019'!Maxi_hp)</f>
        <v>10.485734708040454</v>
      </c>
      <c r="J361" s="85">
        <f>IF(H361,An,'2019'!An_max)</f>
        <v>2020</v>
      </c>
      <c r="K361" s="196">
        <f t="shared" si="124"/>
        <v>44177</v>
      </c>
      <c r="L361" s="147">
        <f>IF(t&lt;Tvie,1-EXP((T0-t)*PertePVj)+'2019'!Pspv,1-EXP((T0-t)*PertePVj)+Pspv)</f>
        <v>2.009916521990196E-2</v>
      </c>
      <c r="M361" s="847"/>
      <c r="N361" s="847"/>
      <c r="O361" s="48">
        <f>IF(t&lt;Tnet,'2019'!Resal+('2019'!Salim-'2019'!Resal)*(1-EXP(('2019'!Tnet-t)/('2019'!Tau_j))),Resal+(Salim-Resal)*(1-EXP((Tnet-t)/(Tau_j))))*Salcycl</f>
        <v>4.3744414297314314E-2</v>
      </c>
      <c r="P361" s="168">
        <f>(INDEX(Models!$BJ361:$BT361,,T361)*(1-R361)+INDEX(Models!$BJ361:$BT361,,T361+1)*R361-ERP_i)*Q361*Ramure*Pc/MaxiM</f>
        <v>3.1839672660129712E-4</v>
      </c>
      <c r="Q361" s="304">
        <f t="shared" si="125"/>
        <v>0.5</v>
      </c>
      <c r="R361" s="176">
        <f t="shared" si="126"/>
        <v>0.43473113895647003</v>
      </c>
      <c r="S361" s="814">
        <f t="shared" si="127"/>
        <v>0</v>
      </c>
      <c r="T361" s="175">
        <f t="shared" si="128"/>
        <v>6</v>
      </c>
      <c r="U361" s="250">
        <f t="shared" si="129"/>
        <v>0.43473113895647003</v>
      </c>
      <c r="V361" s="382">
        <f t="shared" si="130"/>
        <v>23.761172194691547</v>
      </c>
      <c r="W361" s="401"/>
      <c r="X361" s="157">
        <f t="shared" si="131"/>
        <v>44177</v>
      </c>
      <c r="Y361" s="384">
        <f t="shared" si="132"/>
        <v>9.8249999999999993</v>
      </c>
      <c r="Z361" s="384">
        <f t="shared" si="133"/>
        <v>10.0265247780964</v>
      </c>
      <c r="AA361" s="385">
        <f t="shared" si="134"/>
        <v>10.485193423187804</v>
      </c>
      <c r="AB361" s="196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4.3744414297314314E-2</v>
      </c>
      <c r="AD361" s="230">
        <f>(INDEX(Models!$BJ361:$BT361,,AH361)*(1-AF361)+INDEX(Models!$BJ361:$BT361,,AH361+1)*AF361-ERP_i)*AE361*Ramure*Pc/MaxiM</f>
        <v>3.1839672660129712E-4</v>
      </c>
      <c r="AE361" s="304">
        <f t="shared" si="136"/>
        <v>0.5</v>
      </c>
      <c r="AF361" s="176">
        <f t="shared" si="137"/>
        <v>0.43473113895647003</v>
      </c>
      <c r="AG361" s="814">
        <f t="shared" si="143"/>
        <v>0</v>
      </c>
      <c r="AH361" s="175">
        <f t="shared" si="138"/>
        <v>6</v>
      </c>
      <c r="AI361" s="224">
        <f t="shared" si="139"/>
        <v>0.43473113895647003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44178</v>
      </c>
      <c r="B362" s="616">
        <v>9.4109999999999996</v>
      </c>
      <c r="C362" s="389"/>
      <c r="D362" s="392">
        <f t="shared" si="122"/>
        <v>9.6042434045680274</v>
      </c>
      <c r="E362" s="384">
        <f t="shared" si="144"/>
        <v>10.043810828325915</v>
      </c>
      <c r="F362" s="384">
        <f t="shared" si="123"/>
        <v>10.044252150694769</v>
      </c>
      <c r="G362" s="110">
        <f t="shared" si="145"/>
        <v>0.3971948551405815</v>
      </c>
      <c r="H362" s="413" t="b">
        <f>Wh_hp&gt;='2019'!Maxi_hp</f>
        <v>0</v>
      </c>
      <c r="I362" s="379">
        <f>IF(H362,Wh_hp,'2019'!Maxi_hp)</f>
        <v>17.089030984209259</v>
      </c>
      <c r="J362" s="85">
        <f>IF(H362,An,'2019'!An_max)</f>
        <v>2019</v>
      </c>
      <c r="K362" s="196">
        <f t="shared" si="124"/>
        <v>44178</v>
      </c>
      <c r="L362" s="147">
        <f>IF(t&lt;Tvie,1-EXP((T0-t)*PertePVj)+'2019'!Pspv,1-EXP((T0-t)*PertePVj)+Pspv)</f>
        <v>2.01206275630329E-2</v>
      </c>
      <c r="M362" s="847"/>
      <c r="N362" s="847"/>
      <c r="O362" s="48">
        <f>IF(t&lt;Tnet,'2019'!Resal+('2019'!Salim-'2019'!Resal)*(1-EXP(('2019'!Tnet-t)/('2019'!Tau_j))),Resal+(Salim-Resal)*(1-EXP((Tnet-t)/(Tau_j))))*Salcycl</f>
        <v>4.3765004266926595E-2</v>
      </c>
      <c r="P362" s="168">
        <f>(INDEX(Models!$BJ362:$BT362,,T362)*(1-R362)+INDEX(Models!$BJ362:$BT362,,T362+1)*R362-ERP_i)*Q362*Ramure*Pc/MaxiM</f>
        <v>3.1608959737003612E-4</v>
      </c>
      <c r="Q362" s="304">
        <f t="shared" si="125"/>
        <v>0.5</v>
      </c>
      <c r="R362" s="176">
        <f t="shared" si="126"/>
        <v>0.43473692912301165</v>
      </c>
      <c r="S362" s="814">
        <f t="shared" si="127"/>
        <v>0</v>
      </c>
      <c r="T362" s="175">
        <f t="shared" si="128"/>
        <v>6</v>
      </c>
      <c r="U362" s="250">
        <f t="shared" si="129"/>
        <v>0.43473692912301165</v>
      </c>
      <c r="V362" s="382">
        <f t="shared" si="130"/>
        <v>23.687211818467894</v>
      </c>
      <c r="W362" s="401"/>
      <c r="X362" s="157">
        <f t="shared" si="131"/>
        <v>44178</v>
      </c>
      <c r="Y362" s="384">
        <f t="shared" si="132"/>
        <v>9.4109999999999996</v>
      </c>
      <c r="Z362" s="384">
        <f t="shared" si="133"/>
        <v>9.6042434045680274</v>
      </c>
      <c r="AA362" s="385">
        <f t="shared" si="134"/>
        <v>10.043810828325915</v>
      </c>
      <c r="AB362" s="196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4.3765004266926595E-2</v>
      </c>
      <c r="AD362" s="230">
        <f>(INDEX(Models!$BJ362:$BT362,,AH362)*(1-AF362)+INDEX(Models!$BJ362:$BT362,,AH362+1)*AF362-ERP_i)*AE362*Ramure*Pc/MaxiM</f>
        <v>3.1608959737003612E-4</v>
      </c>
      <c r="AE362" s="304">
        <f t="shared" si="136"/>
        <v>0.5</v>
      </c>
      <c r="AF362" s="176">
        <f t="shared" si="137"/>
        <v>0.43473692912301165</v>
      </c>
      <c r="AG362" s="814">
        <f t="shared" si="143"/>
        <v>0</v>
      </c>
      <c r="AH362" s="175">
        <f t="shared" si="138"/>
        <v>6</v>
      </c>
      <c r="AI362" s="224">
        <f t="shared" si="139"/>
        <v>0.43473692912301165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44179</v>
      </c>
      <c r="B363" s="616">
        <v>1.9510000000000001</v>
      </c>
      <c r="C363" s="389"/>
      <c r="D363" s="392">
        <f t="shared" si="122"/>
        <v>1.9911050152946999</v>
      </c>
      <c r="E363" s="384">
        <f t="shared" si="144"/>
        <v>2.0822798666696061</v>
      </c>
      <c r="F363" s="384">
        <f t="shared" si="123"/>
        <v>2.0822798666696061</v>
      </c>
      <c r="G363" s="110">
        <f t="shared" si="145"/>
        <v>8.2559500114279691E-2</v>
      </c>
      <c r="H363" s="413" t="b">
        <f>Wh_hp&gt;='2019'!Maxi_hp</f>
        <v>0</v>
      </c>
      <c r="I363" s="379">
        <f>IF(H363,Wh_hp,'2019'!Maxi_hp)</f>
        <v>25.480565606345994</v>
      </c>
      <c r="J363" s="85">
        <f>IF(H363,An,'2019'!An_max)</f>
        <v>2019</v>
      </c>
      <c r="K363" s="196">
        <f t="shared" si="124"/>
        <v>44179</v>
      </c>
      <c r="L363" s="147">
        <f>IF(t&lt;Tvie,1-EXP((T0-t)*PertePVj)+'2019'!Pspv,1-EXP((T0-t)*PertePVj)+Pspv)</f>
        <v>2.014208943608331E-2</v>
      </c>
      <c r="M363" s="847"/>
      <c r="N363" s="847"/>
      <c r="O363" s="48">
        <f>IF(t&lt;Tnet,'2019'!Resal+('2019'!Salim-'2019'!Resal)*(1-EXP(('2019'!Tnet-t)/('2019'!Tau_j))),Resal+(Salim-Resal)*(1-EXP((Tnet-t)/(Tau_j))))*Salcycl</f>
        <v>4.3786069699041384E-2</v>
      </c>
      <c r="P363" s="168">
        <f>(INDEX(Models!$BJ363:$BT363,,T363)*(1-R363)+INDEX(Models!$BJ363:$BT363,,T363+1)*R363-ERP_i)*Q363*Ramure*Pc/MaxiM</f>
        <v>3.1401734018862075E-4</v>
      </c>
      <c r="Q363" s="304">
        <f t="shared" si="125"/>
        <v>0.5</v>
      </c>
      <c r="R363" s="176">
        <f t="shared" si="126"/>
        <v>0.43474248637056556</v>
      </c>
      <c r="S363" s="814">
        <f t="shared" si="127"/>
        <v>0</v>
      </c>
      <c r="T363" s="175">
        <f t="shared" si="128"/>
        <v>6</v>
      </c>
      <c r="U363" s="250">
        <f t="shared" si="129"/>
        <v>0.43474248637056556</v>
      </c>
      <c r="V363" s="382">
        <f t="shared" si="130"/>
        <v>23.624020851259353</v>
      </c>
      <c r="W363" s="401"/>
      <c r="X363" s="157">
        <f t="shared" si="131"/>
        <v>44179</v>
      </c>
      <c r="Y363" s="384">
        <f t="shared" si="132"/>
        <v>1.9510000000000003</v>
      </c>
      <c r="Z363" s="384">
        <f t="shared" si="133"/>
        <v>1.9911050152947001</v>
      </c>
      <c r="AA363" s="385">
        <f t="shared" si="134"/>
        <v>2.0822798666696061</v>
      </c>
      <c r="AB363" s="196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4.3786069699041384E-2</v>
      </c>
      <c r="AD363" s="230">
        <f>(INDEX(Models!$BJ363:$BT363,,AH363)*(1-AF363)+INDEX(Models!$BJ363:$BT363,,AH363+1)*AF363-ERP_i)*AE363*Ramure*Pc/MaxiM</f>
        <v>3.1401734018862075E-4</v>
      </c>
      <c r="AE363" s="304">
        <f t="shared" si="136"/>
        <v>0.5</v>
      </c>
      <c r="AF363" s="176">
        <f t="shared" si="137"/>
        <v>0.43474248637056556</v>
      </c>
      <c r="AG363" s="814">
        <f t="shared" si="143"/>
        <v>0</v>
      </c>
      <c r="AH363" s="175">
        <f t="shared" si="138"/>
        <v>6</v>
      </c>
      <c r="AI363" s="224">
        <f t="shared" si="139"/>
        <v>0.43474248637056556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44180</v>
      </c>
      <c r="B364" s="616">
        <v>2.0449999999999999</v>
      </c>
      <c r="C364" s="389"/>
      <c r="D364" s="392">
        <f t="shared" si="122"/>
        <v>2.0870830042617783</v>
      </c>
      <c r="E364" s="384">
        <f t="shared" si="144"/>
        <v>2.1827019011363675</v>
      </c>
      <c r="F364" s="384">
        <f t="shared" si="123"/>
        <v>2.1827019011363675</v>
      </c>
      <c r="G364" s="110">
        <f t="shared" si="145"/>
        <v>8.672924853902178E-2</v>
      </c>
      <c r="H364" s="413" t="b">
        <f>Wh_hp&gt;='2019'!Maxi_hp</f>
        <v>0</v>
      </c>
      <c r="I364" s="379">
        <f>IF(H364,Wh_hp,'2019'!Maxi_hp)</f>
        <v>14.411122046030226</v>
      </c>
      <c r="J364" s="85">
        <f>IF(H364,An,'2019'!An_max)</f>
        <v>2019</v>
      </c>
      <c r="K364" s="196">
        <f t="shared" si="124"/>
        <v>44180</v>
      </c>
      <c r="L364" s="147">
        <f>IF(t&lt;Tvie,1-EXP((T0-t)*PertePVj)+'2019'!Pspv,1-EXP((T0-t)*PertePVj)+Pspv)</f>
        <v>2.0163550839063737E-2</v>
      </c>
      <c r="M364" s="847"/>
      <c r="N364" s="847"/>
      <c r="O364" s="48">
        <f>IF(t&lt;Tnet,'2019'!Resal+('2019'!Salim-'2019'!Resal)*(1-EXP(('2019'!Tnet-t)/('2019'!Tau_j))),Resal+(Salim-Resal)*(1-EXP((Tnet-t)/(Tau_j))))*Salcycl</f>
        <v>4.3807583997067016E-2</v>
      </c>
      <c r="P364" s="168">
        <f>(INDEX(Models!$BJ364:$BT364,,T364)*(1-R364)+INDEX(Models!$BJ364:$BT364,,T364+1)*R364-ERP_i)*Q364*Ramure*Pc/MaxiM</f>
        <v>3.1217746298612726E-4</v>
      </c>
      <c r="Q364" s="304">
        <f t="shared" si="125"/>
        <v>0.5</v>
      </c>
      <c r="R364" s="176">
        <f t="shared" si="126"/>
        <v>0.43474782006057267</v>
      </c>
      <c r="S364" s="814">
        <f t="shared" si="127"/>
        <v>0</v>
      </c>
      <c r="T364" s="175">
        <f t="shared" si="128"/>
        <v>6</v>
      </c>
      <c r="U364" s="250">
        <f t="shared" si="129"/>
        <v>0.43474782006057267</v>
      </c>
      <c r="V364" s="382">
        <f t="shared" si="130"/>
        <v>23.571766520822344</v>
      </c>
      <c r="W364" s="401"/>
      <c r="X364" s="157">
        <f t="shared" si="131"/>
        <v>44180</v>
      </c>
      <c r="Y364" s="384">
        <f t="shared" si="132"/>
        <v>2.0449999999999999</v>
      </c>
      <c r="Z364" s="384">
        <f t="shared" si="133"/>
        <v>2.0870830042617783</v>
      </c>
      <c r="AA364" s="385">
        <f t="shared" si="134"/>
        <v>2.1827019011363675</v>
      </c>
      <c r="AB364" s="196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4.3807583997067016E-2</v>
      </c>
      <c r="AD364" s="230">
        <f>(INDEX(Models!$BJ364:$BT364,,AH364)*(1-AF364)+INDEX(Models!$BJ364:$BT364,,AH364+1)*AF364-ERP_i)*AE364*Ramure*Pc/MaxiM</f>
        <v>3.1217746298612726E-4</v>
      </c>
      <c r="AE364" s="304">
        <f t="shared" si="136"/>
        <v>0.5</v>
      </c>
      <c r="AF364" s="176">
        <f t="shared" si="137"/>
        <v>0.43474782006057267</v>
      </c>
      <c r="AG364" s="814">
        <f t="shared" si="143"/>
        <v>0</v>
      </c>
      <c r="AH364" s="175">
        <f t="shared" si="138"/>
        <v>6</v>
      </c>
      <c r="AI364" s="224">
        <f t="shared" si="139"/>
        <v>0.43474782006057267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44181</v>
      </c>
      <c r="B365" s="616">
        <v>16.606000000000002</v>
      </c>
      <c r="C365" s="389"/>
      <c r="D365" s="392">
        <f t="shared" si="122"/>
        <v>16.948097548529812</v>
      </c>
      <c r="E365" s="384">
        <f t="shared" si="144"/>
        <v>17.724974687718621</v>
      </c>
      <c r="F365" s="384">
        <f t="shared" si="123"/>
        <v>17.728165833123139</v>
      </c>
      <c r="G365" s="110">
        <f t="shared" si="145"/>
        <v>0.70562672438754748</v>
      </c>
      <c r="H365" s="413" t="b">
        <f>Wh_hp&gt;='2019'!Maxi_hp</f>
        <v>0</v>
      </c>
      <c r="I365" s="379">
        <f>IF(H365,Wh_hp,'2019'!Maxi_hp)</f>
        <v>21.146153256550573</v>
      </c>
      <c r="J365" s="85">
        <f>IF(H365,An,'2019'!An_max)</f>
        <v>2018</v>
      </c>
      <c r="K365" s="196">
        <f t="shared" si="124"/>
        <v>44181</v>
      </c>
      <c r="L365" s="147">
        <f>IF(t&lt;Tvie,1-EXP((T0-t)*PertePVj)+'2019'!Pspv,1-EXP((T0-t)*PertePVj)+Pspv)</f>
        <v>2.0185011771984285E-2</v>
      </c>
      <c r="M365" s="847"/>
      <c r="N365" s="847"/>
      <c r="O365" s="48">
        <f>IF(t&lt;Tnet,'2019'!Resal+('2019'!Salim-'2019'!Resal)*(1-EXP(('2019'!Tnet-t)/('2019'!Tau_j))),Resal+(Salim-Resal)*(1-EXP((Tnet-t)/(Tau_j))))*Salcycl</f>
        <v>4.3829520373143055E-2</v>
      </c>
      <c r="P365" s="168">
        <f>(INDEX(Models!$BJ365:$BT365,,T365)*(1-R365)+INDEX(Models!$BJ365:$BT365,,T365+1)*R365-ERP_i)*Q365*Ramure*Pc/MaxiM</f>
        <v>3.1056721529091355E-4</v>
      </c>
      <c r="Q365" s="304">
        <f t="shared" si="125"/>
        <v>0.5</v>
      </c>
      <c r="R365" s="176">
        <f t="shared" si="126"/>
        <v>0.43475293917886015</v>
      </c>
      <c r="S365" s="814">
        <f t="shared" si="127"/>
        <v>0</v>
      </c>
      <c r="T365" s="175">
        <f t="shared" si="128"/>
        <v>6</v>
      </c>
      <c r="U365" s="250">
        <f t="shared" si="129"/>
        <v>0.43475293917886015</v>
      </c>
      <c r="V365" s="382">
        <f t="shared" si="130"/>
        <v>23.530615986325795</v>
      </c>
      <c r="W365" s="401"/>
      <c r="X365" s="157">
        <f t="shared" si="131"/>
        <v>44181</v>
      </c>
      <c r="Y365" s="384">
        <f t="shared" si="132"/>
        <v>16.606000000000002</v>
      </c>
      <c r="Z365" s="384">
        <f t="shared" si="133"/>
        <v>16.948097548529812</v>
      </c>
      <c r="AA365" s="385">
        <f t="shared" si="134"/>
        <v>17.724974687718621</v>
      </c>
      <c r="AB365" s="196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4.3829520373143055E-2</v>
      </c>
      <c r="AD365" s="230">
        <f>(INDEX(Models!$BJ365:$BT365,,AH365)*(1-AF365)+INDEX(Models!$BJ365:$BT365,,AH365+1)*AF365-ERP_i)*AE365*Ramure*Pc/MaxiM</f>
        <v>3.1056721529091355E-4</v>
      </c>
      <c r="AE365" s="304">
        <f t="shared" si="136"/>
        <v>0.5</v>
      </c>
      <c r="AF365" s="176">
        <f t="shared" si="137"/>
        <v>0.43475293917886015</v>
      </c>
      <c r="AG365" s="814">
        <f t="shared" si="143"/>
        <v>0</v>
      </c>
      <c r="AH365" s="175">
        <f t="shared" si="138"/>
        <v>6</v>
      </c>
      <c r="AI365" s="224">
        <f t="shared" si="139"/>
        <v>0.43475293917886015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44182</v>
      </c>
      <c r="B366" s="616">
        <v>8.9740000000000002</v>
      </c>
      <c r="C366" s="389"/>
      <c r="D366" s="392">
        <f t="shared" si="122"/>
        <v>9.1590725450791695</v>
      </c>
      <c r="E366" s="384">
        <f t="shared" si="144"/>
        <v>9.5791353718637318</v>
      </c>
      <c r="F366" s="384">
        <f t="shared" si="123"/>
        <v>9.5794819006791769</v>
      </c>
      <c r="G366" s="110">
        <f t="shared" si="145"/>
        <v>0.38175612013697008</v>
      </c>
      <c r="H366" s="413" t="b">
        <f>Wh_hp&gt;='2019'!Maxi_hp</f>
        <v>0</v>
      </c>
      <c r="I366" s="379">
        <f>IF(H366,Wh_hp,'2019'!Maxi_hp)</f>
        <v>18.911718783329363</v>
      </c>
      <c r="J366" s="85">
        <f>IF(H366,An,'2019'!An_max)</f>
        <v>2019</v>
      </c>
      <c r="K366" s="196">
        <f t="shared" si="124"/>
        <v>44182</v>
      </c>
      <c r="L366" s="147">
        <f>IF(t&lt;Tvie,1-EXP((T0-t)*PertePVj)+'2019'!Pspv,1-EXP((T0-t)*PertePVj)+Pspv)</f>
        <v>2.0206472234855388E-2</v>
      </c>
      <c r="M366" s="847"/>
      <c r="N366" s="847"/>
      <c r="O366" s="48">
        <f>IF(t&lt;Tnet,'2019'!Resal+('2019'!Salim-'2019'!Resal)*(1-EXP(('2019'!Tnet-t)/('2019'!Tau_j))),Resal+(Salim-Resal)*(1-EXP((Tnet-t)/(Tau_j))))*Salcycl</f>
        <v>4.3851852017708283E-2</v>
      </c>
      <c r="P366" s="168">
        <f>(INDEX(Models!$BJ366:$BT366,,T366)*(1-R366)+INDEX(Models!$BJ366:$BT366,,T366+1)*R366-ERP_i)*Q366*Ramure*Pc/MaxiM</f>
        <v>3.0932950388819447E-4</v>
      </c>
      <c r="Q366" s="304">
        <f t="shared" si="125"/>
        <v>0.5</v>
      </c>
      <c r="R366" s="176">
        <f t="shared" si="126"/>
        <v>0.43475785235066172</v>
      </c>
      <c r="S366" s="814">
        <f t="shared" si="127"/>
        <v>0</v>
      </c>
      <c r="T366" s="175">
        <f t="shared" si="128"/>
        <v>6</v>
      </c>
      <c r="U366" s="250">
        <f t="shared" si="129"/>
        <v>0.43475785235066172</v>
      </c>
      <c r="V366" s="382">
        <f t="shared" si="130"/>
        <v>23.500732905629704</v>
      </c>
      <c r="W366" s="401"/>
      <c r="X366" s="157">
        <f t="shared" si="131"/>
        <v>44182</v>
      </c>
      <c r="Y366" s="384">
        <f t="shared" si="132"/>
        <v>8.9740000000000002</v>
      </c>
      <c r="Z366" s="384">
        <f t="shared" si="133"/>
        <v>9.1590725450791695</v>
      </c>
      <c r="AA366" s="385">
        <f t="shared" si="134"/>
        <v>9.5791353718637318</v>
      </c>
      <c r="AB366" s="196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4.3851852017708283E-2</v>
      </c>
      <c r="AD366" s="230">
        <f>(INDEX(Models!$BJ366:$BT366,,AH366)*(1-AF366)+INDEX(Models!$BJ366:$BT366,,AH366+1)*AF366-ERP_i)*AE366*Ramure*Pc/MaxiM</f>
        <v>3.0932950388819447E-4</v>
      </c>
      <c r="AE366" s="304">
        <f t="shared" si="136"/>
        <v>0.5</v>
      </c>
      <c r="AF366" s="176">
        <f t="shared" si="137"/>
        <v>0.43475785235066172</v>
      </c>
      <c r="AG366" s="814">
        <f t="shared" si="143"/>
        <v>0</v>
      </c>
      <c r="AH366" s="175">
        <f t="shared" si="138"/>
        <v>6</v>
      </c>
      <c r="AI366" s="224">
        <f t="shared" si="139"/>
        <v>0.43475785235066172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44183</v>
      </c>
      <c r="B367" s="616">
        <v>9.4019999999999992</v>
      </c>
      <c r="C367" s="389"/>
      <c r="D367" s="392">
        <f t="shared" si="122"/>
        <v>9.5961094516371848</v>
      </c>
      <c r="E367" s="384">
        <f t="shared" si="144"/>
        <v>10.036454394508089</v>
      </c>
      <c r="F367" s="384">
        <f t="shared" si="123"/>
        <v>10.036898126139301</v>
      </c>
      <c r="G367" s="110">
        <f t="shared" si="145"/>
        <v>0.40028113458093434</v>
      </c>
      <c r="H367" s="413" t="b">
        <f>Wh_hp&gt;='2019'!Maxi_hp</f>
        <v>0</v>
      </c>
      <c r="I367" s="379">
        <f>IF(H367,Wh_hp,'2019'!Maxi_hp)</f>
        <v>23.272924365144423</v>
      </c>
      <c r="J367" s="85">
        <f>IF(H367,An,'2019'!An_max)</f>
        <v>2018</v>
      </c>
      <c r="K367" s="196">
        <f t="shared" si="124"/>
        <v>44183</v>
      </c>
      <c r="L367" s="147">
        <f>IF(t&lt;Tvie,1-EXP((T0-t)*PertePVj)+'2019'!Pspv,1-EXP((T0-t)*PertePVj)+Pspv)</f>
        <v>2.0227932227687262E-2</v>
      </c>
      <c r="M367" s="847"/>
      <c r="N367" s="847"/>
      <c r="O367" s="48">
        <f>IF(t&lt;Tnet,'2019'!Resal+('2019'!Salim-'2019'!Resal)*(1-EXP(('2019'!Tnet-t)/('2019'!Tau_j))),Resal+(Salim-Resal)*(1-EXP((Tnet-t)/(Tau_j))))*Salcycl</f>
        <v>4.3874552263382889E-2</v>
      </c>
      <c r="P367" s="168">
        <f>(INDEX(Models!$BJ367:$BT367,,T367)*(1-R367)+INDEX(Models!$BJ367:$BT367,,T367+1)*R367-ERP_i)*Q367*Ramure*Pc/MaxiM</f>
        <v>3.0827762572532033E-4</v>
      </c>
      <c r="Q367" s="304">
        <f t="shared" si="125"/>
        <v>0.5</v>
      </c>
      <c r="R367" s="176">
        <f t="shared" si="126"/>
        <v>0.43476256785504142</v>
      </c>
      <c r="S367" s="814">
        <f t="shared" si="127"/>
        <v>0</v>
      </c>
      <c r="T367" s="175">
        <f t="shared" si="128"/>
        <v>6</v>
      </c>
      <c r="U367" s="250">
        <f t="shared" si="129"/>
        <v>0.43476256785504142</v>
      </c>
      <c r="V367" s="382">
        <f t="shared" si="130"/>
        <v>23.482288608474136</v>
      </c>
      <c r="W367" s="401"/>
      <c r="X367" s="157">
        <f t="shared" si="131"/>
        <v>44183</v>
      </c>
      <c r="Y367" s="384">
        <f t="shared" si="132"/>
        <v>9.4019999999999992</v>
      </c>
      <c r="Z367" s="384">
        <f t="shared" si="133"/>
        <v>9.5961094516371848</v>
      </c>
      <c r="AA367" s="385">
        <f t="shared" si="134"/>
        <v>10.036454394508089</v>
      </c>
      <c r="AB367" s="196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4.3874552263382889E-2</v>
      </c>
      <c r="AD367" s="230">
        <f>(INDEX(Models!$BJ367:$BT367,,AH367)*(1-AF367)+INDEX(Models!$BJ367:$BT367,,AH367+1)*AF367-ERP_i)*AE367*Ramure*Pc/MaxiM</f>
        <v>3.0827762572532033E-4</v>
      </c>
      <c r="AE367" s="304">
        <f t="shared" si="136"/>
        <v>0.5</v>
      </c>
      <c r="AF367" s="176">
        <f t="shared" si="137"/>
        <v>0.43476256785504142</v>
      </c>
      <c r="AG367" s="814">
        <f t="shared" si="143"/>
        <v>0</v>
      </c>
      <c r="AH367" s="175">
        <f t="shared" si="138"/>
        <v>6</v>
      </c>
      <c r="AI367" s="224">
        <f t="shared" si="139"/>
        <v>0.43476256785504142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44184</v>
      </c>
      <c r="B368" s="616">
        <v>8.0350000000000001</v>
      </c>
      <c r="C368" s="389"/>
      <c r="D368" s="392">
        <f t="shared" si="122"/>
        <v>8.2010666105692831</v>
      </c>
      <c r="E368" s="384">
        <f t="shared" si="144"/>
        <v>8.5776027394851315</v>
      </c>
      <c r="F368" s="384">
        <f t="shared" si="123"/>
        <v>8.5777619781571666</v>
      </c>
      <c r="G368" s="110">
        <f t="shared" si="145"/>
        <v>0.3421735936111503</v>
      </c>
      <c r="H368" s="413" t="b">
        <f>Wh_hp&gt;='2019'!Maxi_hp</f>
        <v>0</v>
      </c>
      <c r="I368" s="379">
        <f>IF(H368,Wh_hp,'2019'!Maxi_hp)</f>
        <v>15.458197392110666</v>
      </c>
      <c r="J368" s="85">
        <f>IF(H368,An,'2019'!An_max)</f>
        <v>2018</v>
      </c>
      <c r="K368" s="196">
        <f t="shared" si="124"/>
        <v>44184</v>
      </c>
      <c r="L368" s="147">
        <f>IF(t&lt;Tvie,1-EXP((T0-t)*PertePVj)+'2019'!Pspv,1-EXP((T0-t)*PertePVj)+Pspv)</f>
        <v>2.0249391750490231E-2</v>
      </c>
      <c r="M368" s="847"/>
      <c r="N368" s="847"/>
      <c r="O368" s="48">
        <f>IF(t&lt;Tnet,'2019'!Resal+('2019'!Salim-'2019'!Resal)*(1-EXP(('2019'!Tnet-t)/('2019'!Tau_j))),Resal+(Salim-Resal)*(1-EXP((Tnet-t)/(Tau_j))))*Salcycl</f>
        <v>4.3897594742007023E-2</v>
      </c>
      <c r="P368" s="168">
        <f>(INDEX(Models!$BJ368:$BT368,,T368)*(1-R368)+INDEX(Models!$BJ368:$BT368,,T368+1)*R368-ERP_i)*Q368*Ramure*Pc/MaxiM</f>
        <v>3.0740794477229788E-4</v>
      </c>
      <c r="Q368" s="304">
        <f t="shared" si="125"/>
        <v>0.5</v>
      </c>
      <c r="R368" s="176">
        <f t="shared" si="126"/>
        <v>0.43476709363874444</v>
      </c>
      <c r="S368" s="814">
        <f t="shared" si="127"/>
        <v>0</v>
      </c>
      <c r="T368" s="175">
        <f t="shared" si="128"/>
        <v>6</v>
      </c>
      <c r="U368" s="250">
        <f t="shared" si="129"/>
        <v>0.43476709363874444</v>
      </c>
      <c r="V368" s="382">
        <f t="shared" si="130"/>
        <v>23.475450025450495</v>
      </c>
      <c r="W368" s="401"/>
      <c r="X368" s="157">
        <f t="shared" si="131"/>
        <v>44184</v>
      </c>
      <c r="Y368" s="384">
        <f t="shared" si="132"/>
        <v>8.0350000000000001</v>
      </c>
      <c r="Z368" s="384">
        <f t="shared" si="133"/>
        <v>8.2010666105692831</v>
      </c>
      <c r="AA368" s="385">
        <f t="shared" si="134"/>
        <v>8.5776027394851315</v>
      </c>
      <c r="AB368" s="196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4.3897594742007023E-2</v>
      </c>
      <c r="AD368" s="230">
        <f>(INDEX(Models!$BJ368:$BT368,,AH368)*(1-AF368)+INDEX(Models!$BJ368:$BT368,,AH368+1)*AF368-ERP_i)*AE368*Ramure*Pc/MaxiM</f>
        <v>3.0740794477229788E-4</v>
      </c>
      <c r="AE368" s="304">
        <f t="shared" si="136"/>
        <v>0.5</v>
      </c>
      <c r="AF368" s="176">
        <f t="shared" si="137"/>
        <v>0.43476709363874444</v>
      </c>
      <c r="AG368" s="814">
        <f t="shared" si="143"/>
        <v>0</v>
      </c>
      <c r="AH368" s="175">
        <f t="shared" si="138"/>
        <v>6</v>
      </c>
      <c r="AI368" s="224">
        <f t="shared" si="139"/>
        <v>0.43476709363874444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44185</v>
      </c>
      <c r="B369" s="616">
        <v>5.5179999999999998</v>
      </c>
      <c r="C369" s="389"/>
      <c r="D369" s="392">
        <f t="shared" si="122"/>
        <v>5.6321688545494206</v>
      </c>
      <c r="E369" s="384">
        <f t="shared" si="144"/>
        <v>5.8909029283367671</v>
      </c>
      <c r="F369" s="384">
        <f t="shared" si="123"/>
        <v>5.8909029283367671</v>
      </c>
      <c r="G369" s="110">
        <f t="shared" si="145"/>
        <v>0.23493259453677925</v>
      </c>
      <c r="H369" s="413" t="b">
        <f>Wh_hp&gt;='2019'!Maxi_hp</f>
        <v>0</v>
      </c>
      <c r="I369" s="379">
        <f>IF(H369,Wh_hp,'2019'!Maxi_hp)</f>
        <v>21.664106207485137</v>
      </c>
      <c r="J369" s="85">
        <f>IF(H369,An,'2019'!An_max)</f>
        <v>2019</v>
      </c>
      <c r="K369" s="196">
        <f t="shared" si="124"/>
        <v>44185</v>
      </c>
      <c r="L369" s="147">
        <f>IF(t&lt;Tvie,1-EXP((T0-t)*PertePVj)+'2019'!Pspv,1-EXP((T0-t)*PertePVj)+Pspv)</f>
        <v>2.0270850803274509E-2</v>
      </c>
      <c r="M369" s="847"/>
      <c r="N369" s="847"/>
      <c r="O369" s="48">
        <f>IF(t&lt;Tnet,'2019'!Resal+('2019'!Salim-'2019'!Resal)*(1-EXP(('2019'!Tnet-t)/('2019'!Tau_j))),Resal+(Salim-Resal)*(1-EXP((Tnet-t)/(Tau_j))))*Salcycl</f>
        <v>4.3920953533756024E-2</v>
      </c>
      <c r="P369" s="168">
        <f>(INDEX(Models!$BJ369:$BT369,,T369)*(1-R369)+INDEX(Models!$BJ369:$BT369,,T369+1)*R369-ERP_i)*Q369*Ramure*Pc/MaxiM</f>
        <v>3.0671660879449589E-4</v>
      </c>
      <c r="Q369" s="304">
        <f t="shared" si="125"/>
        <v>0.5</v>
      </c>
      <c r="R369" s="176">
        <f t="shared" si="126"/>
        <v>0.43477143732949658</v>
      </c>
      <c r="S369" s="814">
        <f t="shared" si="127"/>
        <v>0</v>
      </c>
      <c r="T369" s="175">
        <f t="shared" si="128"/>
        <v>6</v>
      </c>
      <c r="U369" s="250">
        <f t="shared" si="129"/>
        <v>0.43477143732949658</v>
      </c>
      <c r="V369" s="382">
        <f t="shared" si="130"/>
        <v>23.480384016654963</v>
      </c>
      <c r="W369" s="401"/>
      <c r="X369" s="157">
        <f t="shared" si="131"/>
        <v>44185</v>
      </c>
      <c r="Y369" s="384">
        <f t="shared" si="132"/>
        <v>5.5179999999999998</v>
      </c>
      <c r="Z369" s="384">
        <f t="shared" si="133"/>
        <v>5.6321688545494206</v>
      </c>
      <c r="AA369" s="385">
        <f t="shared" si="134"/>
        <v>5.8909029283367671</v>
      </c>
      <c r="AB369" s="196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4.3920953533756024E-2</v>
      </c>
      <c r="AD369" s="230">
        <f>(INDEX(Models!$BJ369:$BT369,,AH369)*(1-AF369)+INDEX(Models!$BJ369:$BT369,,AH369+1)*AF369-ERP_i)*AE369*Ramure*Pc/MaxiM</f>
        <v>3.0671660879449589E-4</v>
      </c>
      <c r="AE369" s="304">
        <f t="shared" si="136"/>
        <v>0.5</v>
      </c>
      <c r="AF369" s="176">
        <f t="shared" si="137"/>
        <v>0.43477143732949658</v>
      </c>
      <c r="AG369" s="814">
        <f t="shared" si="143"/>
        <v>0</v>
      </c>
      <c r="AH369" s="175">
        <f t="shared" si="138"/>
        <v>6</v>
      </c>
      <c r="AI369" s="224">
        <f t="shared" si="139"/>
        <v>0.43477143732949658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44186</v>
      </c>
      <c r="B370" s="616">
        <v>8.8559999999999999</v>
      </c>
      <c r="C370" s="389"/>
      <c r="D370" s="392">
        <f t="shared" si="122"/>
        <v>9.0394309290868655</v>
      </c>
      <c r="E370" s="384">
        <f t="shared" si="144"/>
        <v>9.4549238049986357</v>
      </c>
      <c r="F370" s="384">
        <f t="shared" si="123"/>
        <v>9.4552418419171094</v>
      </c>
      <c r="G370" s="110">
        <f t="shared" si="145"/>
        <v>0.3767923191856325</v>
      </c>
      <c r="H370" s="413" t="b">
        <f>Wh_hp&gt;='2019'!Maxi_hp</f>
        <v>1</v>
      </c>
      <c r="I370" s="379">
        <f>IF(H370,Wh_hp,'2019'!Maxi_hp)</f>
        <v>9.4552418419171094</v>
      </c>
      <c r="J370" s="85">
        <f>IF(H370,An,'2019'!An_max)</f>
        <v>2020</v>
      </c>
      <c r="K370" s="196">
        <f t="shared" si="124"/>
        <v>44186</v>
      </c>
      <c r="L370" s="147">
        <f>IF(t&lt;Tvie,1-EXP((T0-t)*PertePVj)+'2019'!Pspv,1-EXP((T0-t)*PertePVj)+Pspv)</f>
        <v>2.0292309386050533E-2</v>
      </c>
      <c r="M370" s="847"/>
      <c r="N370" s="847"/>
      <c r="O370" s="48">
        <f>IF(t&lt;Tnet,'2019'!Resal+('2019'!Salim-'2019'!Resal)*(1-EXP(('2019'!Tnet-t)/('2019'!Tau_j))),Resal+(Salim-Resal)*(1-EXP((Tnet-t)/(Tau_j))))*Salcycl</f>
        <v>4.3944603307337883E-2</v>
      </c>
      <c r="P370" s="168">
        <f>(INDEX(Models!$BJ370:$BT370,,T370)*(1-R370)+INDEX(Models!$BJ370:$BT370,,T370+1)*R370-ERP_i)*Q370*Ramure*Pc/MaxiM</f>
        <v>3.0619955060788535E-4</v>
      </c>
      <c r="Q370" s="304">
        <f t="shared" si="125"/>
        <v>0.5</v>
      </c>
      <c r="R370" s="176">
        <f t="shared" si="126"/>
        <v>0.43477560624877493</v>
      </c>
      <c r="S370" s="814">
        <f t="shared" si="127"/>
        <v>0</v>
      </c>
      <c r="T370" s="175">
        <f t="shared" si="128"/>
        <v>6</v>
      </c>
      <c r="U370" s="250">
        <f t="shared" si="129"/>
        <v>0.43477560624877493</v>
      </c>
      <c r="V370" s="382">
        <f t="shared" si="130"/>
        <v>23.497257363195029</v>
      </c>
      <c r="W370" s="401"/>
      <c r="X370" s="157">
        <f t="shared" si="131"/>
        <v>44186</v>
      </c>
      <c r="Y370" s="384">
        <f t="shared" si="132"/>
        <v>8.8559999999999999</v>
      </c>
      <c r="Z370" s="384">
        <f t="shared" si="133"/>
        <v>9.0394309290868655</v>
      </c>
      <c r="AA370" s="385">
        <f t="shared" si="134"/>
        <v>9.4549238049986357</v>
      </c>
      <c r="AB370" s="196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4.3944603307337883E-2</v>
      </c>
      <c r="AD370" s="230">
        <f>(INDEX(Models!$BJ370:$BT370,,AH370)*(1-AF370)+INDEX(Models!$BJ370:$BT370,,AH370+1)*AF370-ERP_i)*AE370*Ramure*Pc/MaxiM</f>
        <v>3.0619955060788535E-4</v>
      </c>
      <c r="AE370" s="304">
        <f t="shared" si="136"/>
        <v>0.5</v>
      </c>
      <c r="AF370" s="176">
        <f t="shared" si="137"/>
        <v>0.43477560624877493</v>
      </c>
      <c r="AG370" s="814">
        <f t="shared" si="143"/>
        <v>0</v>
      </c>
      <c r="AH370" s="175">
        <f t="shared" si="138"/>
        <v>6</v>
      </c>
      <c r="AI370" s="224">
        <f t="shared" si="139"/>
        <v>0.43477560624877493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44187</v>
      </c>
      <c r="B371" s="616">
        <v>19.925000000000001</v>
      </c>
      <c r="C371" s="389"/>
      <c r="D371" s="392">
        <f t="shared" si="122"/>
        <v>20.338144335386659</v>
      </c>
      <c r="E371" s="384">
        <f t="shared" si="144"/>
        <v>21.273509030993594</v>
      </c>
      <c r="F371" s="384">
        <f t="shared" si="123"/>
        <v>21.278593952413768</v>
      </c>
      <c r="G371" s="110">
        <f t="shared" si="145"/>
        <v>0.84687012280256468</v>
      </c>
      <c r="H371" s="413" t="b">
        <f>Wh_hp&gt;='2019'!Maxi_hp</f>
        <v>1</v>
      </c>
      <c r="I371" s="379">
        <f>IF(H371,Wh_hp,'2019'!Maxi_hp)</f>
        <v>21.278593952413768</v>
      </c>
      <c r="J371" s="85">
        <f>IF(H371,An,'2019'!An_max)</f>
        <v>2020</v>
      </c>
      <c r="K371" s="196">
        <f t="shared" si="124"/>
        <v>44187</v>
      </c>
      <c r="L371" s="147">
        <f>IF(t&lt;Tvie,1-EXP((T0-t)*PertePVj)+'2019'!Pspv,1-EXP((T0-t)*PertePVj)+Pspv)</f>
        <v>2.0313767498828406E-2</v>
      </c>
      <c r="M371" s="847"/>
      <c r="N371" s="847"/>
      <c r="O371" s="48">
        <f>IF(t&lt;Tnet,'2019'!Resal+('2019'!Salim-'2019'!Resal)*(1-EXP(('2019'!Tnet-t)/('2019'!Tau_j))),Resal+(Salim-Resal)*(1-EXP((Tnet-t)/(Tau_j))))*Salcycl</f>
        <v>4.3968519450373431E-2</v>
      </c>
      <c r="P371" s="168">
        <f>(INDEX(Models!$BJ371:$BT371,,T371)*(1-R371)+INDEX(Models!$BJ371:$BT371,,T371+1)*R371-ERP_i)*Q371*Ramure*Pc/MaxiM</f>
        <v>3.058511861995735E-4</v>
      </c>
      <c r="Q371" s="304">
        <f t="shared" si="125"/>
        <v>0.5</v>
      </c>
      <c r="R371" s="176">
        <f t="shared" si="126"/>
        <v>0.43477560624877493</v>
      </c>
      <c r="S371" s="814">
        <f t="shared" si="127"/>
        <v>0</v>
      </c>
      <c r="T371" s="175">
        <f t="shared" si="128"/>
        <v>6</v>
      </c>
      <c r="U371" s="250">
        <f t="shared" si="129"/>
        <v>0.43477560624877493</v>
      </c>
      <c r="V371" s="382">
        <f t="shared" si="130"/>
        <v>23.526236803890573</v>
      </c>
      <c r="W371" s="401"/>
      <c r="X371" s="157">
        <f t="shared" si="131"/>
        <v>44187</v>
      </c>
      <c r="Y371" s="384">
        <f t="shared" si="132"/>
        <v>19.925000000000001</v>
      </c>
      <c r="Z371" s="384">
        <f t="shared" si="133"/>
        <v>20.338144335386659</v>
      </c>
      <c r="AA371" s="385">
        <f t="shared" si="134"/>
        <v>21.273509030993594</v>
      </c>
      <c r="AB371" s="196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4.3968519450373431E-2</v>
      </c>
      <c r="AD371" s="230">
        <f>(INDEX(Models!$BJ371:$BT371,,AH371)*(1-AF371)+INDEX(Models!$BJ371:$BT371,,AH371+1)*AF371-ERP_i)*AE371*Ramure*Pc/MaxiM</f>
        <v>3.058511861995735E-4</v>
      </c>
      <c r="AE371" s="304">
        <f t="shared" si="136"/>
        <v>0.5</v>
      </c>
      <c r="AF371" s="176">
        <f t="shared" si="137"/>
        <v>0.43477560624877493</v>
      </c>
      <c r="AG371" s="814">
        <f t="shared" si="143"/>
        <v>0</v>
      </c>
      <c r="AH371" s="175">
        <f t="shared" si="138"/>
        <v>6</v>
      </c>
      <c r="AI371" s="224">
        <f t="shared" si="139"/>
        <v>0.43477560624877493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44188</v>
      </c>
      <c r="B372" s="616">
        <v>11.273</v>
      </c>
      <c r="C372" s="389"/>
      <c r="D372" s="392">
        <f t="shared" si="122"/>
        <v>11.50699738247668</v>
      </c>
      <c r="E372" s="384">
        <f t="shared" si="144"/>
        <v>12.03651595542226</v>
      </c>
      <c r="F372" s="384">
        <f t="shared" si="123"/>
        <v>12.037453316760049</v>
      </c>
      <c r="G372" s="110">
        <f t="shared" si="145"/>
        <v>0.47821945999271925</v>
      </c>
      <c r="H372" s="413" t="b">
        <f>Wh_hp&gt;='2019'!Maxi_hp</f>
        <v>0</v>
      </c>
      <c r="I372" s="379">
        <f>IF(H372,Wh_hp,'2019'!Maxi_hp)</f>
        <v>16.469496575417363</v>
      </c>
      <c r="J372" s="85">
        <f>IF(H372,An,'2019'!An_max)</f>
        <v>2019</v>
      </c>
      <c r="K372" s="196">
        <f t="shared" si="124"/>
        <v>44188</v>
      </c>
      <c r="L372" s="147">
        <f>IF(t&lt;Tvie,1-EXP((T0-t)*PertePVj)+'2019'!Pspv,1-EXP((T0-t)*PertePVj)+Pspv)</f>
        <v>2.0335225141618674E-2</v>
      </c>
      <c r="M372" s="847"/>
      <c r="N372" s="847"/>
      <c r="O372" s="48">
        <f>IF(t&lt;Tnet,'2019'!Resal+('2019'!Salim-'2019'!Resal)*(1-EXP(('2019'!Tnet-t)/('2019'!Tau_j))),Resal+(Salim-Resal)*(1-EXP((Tnet-t)/(Tau_j))))*Salcycl</f>
        <v>4.3992678189159869E-2</v>
      </c>
      <c r="P372" s="168">
        <f>(INDEX(Models!$BJ372:$BT372,,T372)*(1-R372)+INDEX(Models!$BJ372:$BT372,,T372+1)*R372-ERP_i)*Q372*Ramure*Pc/MaxiM</f>
        <v>3.0566792835346455E-4</v>
      </c>
      <c r="Q372" s="304">
        <f t="shared" si="125"/>
        <v>0.5</v>
      </c>
      <c r="R372" s="176">
        <f t="shared" si="126"/>
        <v>0.43477560624877493</v>
      </c>
      <c r="S372" s="814">
        <f t="shared" si="127"/>
        <v>0</v>
      </c>
      <c r="T372" s="175">
        <f t="shared" si="128"/>
        <v>6</v>
      </c>
      <c r="U372" s="250">
        <f t="shared" si="129"/>
        <v>0.43477560624877493</v>
      </c>
      <c r="V372" s="382">
        <f t="shared" si="130"/>
        <v>23.567488948863819</v>
      </c>
      <c r="W372" s="401"/>
      <c r="X372" s="157">
        <f t="shared" si="131"/>
        <v>44188</v>
      </c>
      <c r="Y372" s="384">
        <f t="shared" si="132"/>
        <v>11.273</v>
      </c>
      <c r="Z372" s="384">
        <f t="shared" si="133"/>
        <v>11.50699738247668</v>
      </c>
      <c r="AA372" s="385">
        <f t="shared" si="134"/>
        <v>12.03651595542226</v>
      </c>
      <c r="AB372" s="196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4.3992678189159869E-2</v>
      </c>
      <c r="AD372" s="230">
        <f>(INDEX(Models!$BJ372:$BT372,,AH372)*(1-AF372)+INDEX(Models!$BJ372:$BT372,,AH372+1)*AF372-ERP_i)*AE372*Ramure*Pc/MaxiM</f>
        <v>3.0566792835346455E-4</v>
      </c>
      <c r="AE372" s="304">
        <f t="shared" si="136"/>
        <v>0.5</v>
      </c>
      <c r="AF372" s="176">
        <f t="shared" si="137"/>
        <v>0.43477560624877493</v>
      </c>
      <c r="AG372" s="814">
        <f t="shared" si="143"/>
        <v>0</v>
      </c>
      <c r="AH372" s="175">
        <f t="shared" si="138"/>
        <v>6</v>
      </c>
      <c r="AI372" s="224">
        <f t="shared" si="139"/>
        <v>0.43477560624877493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44189</v>
      </c>
      <c r="B373" s="616">
        <v>10.791</v>
      </c>
      <c r="C373" s="389"/>
      <c r="D373" s="392">
        <f t="shared" si="122"/>
        <v>11.015233611243328</v>
      </c>
      <c r="E373" s="384">
        <f t="shared" si="144"/>
        <v>11.522416470304618</v>
      </c>
      <c r="F373" s="384">
        <f t="shared" si="123"/>
        <v>11.52320546272589</v>
      </c>
      <c r="G373" s="110">
        <f t="shared" si="145"/>
        <v>0.45671049363836436</v>
      </c>
      <c r="H373" s="413" t="b">
        <f>Wh_hp&gt;='2019'!Maxi_hp</f>
        <v>0</v>
      </c>
      <c r="I373" s="379">
        <f>IF(H373,Wh_hp,'2019'!Maxi_hp)</f>
        <v>16.698245889929026</v>
      </c>
      <c r="J373" s="85">
        <f>IF(H373,An,'2019'!An_max)</f>
        <v>2018</v>
      </c>
      <c r="K373" s="196">
        <f t="shared" si="124"/>
        <v>44189</v>
      </c>
      <c r="L373" s="147">
        <f>IF(t&lt;Tvie,1-EXP((T0-t)*PertePVj)+'2019'!Pspv,1-EXP((T0-t)*PertePVj)+Pspv)</f>
        <v>2.035668231443144E-2</v>
      </c>
      <c r="M373" s="847"/>
      <c r="N373" s="847"/>
      <c r="O373" s="48">
        <f>IF(t&lt;Tnet,'2019'!Resal+('2019'!Salim-'2019'!Resal)*(1-EXP(('2019'!Tnet-t)/('2019'!Tau_j))),Resal+(Salim-Resal)*(1-EXP((Tnet-t)/(Tau_j))))*Salcycl</f>
        <v>4.4017056697125363E-2</v>
      </c>
      <c r="P373" s="168">
        <f>(INDEX(Models!$BJ373:$BT373,,T373)*(1-R373)+INDEX(Models!$BJ373:$BT373,,T373+1)*R373-ERP_i)*Q373*Ramure*Pc/MaxiM</f>
        <v>3.0563235319643284E-4</v>
      </c>
      <c r="Q373" s="304">
        <f t="shared" si="125"/>
        <v>0.5</v>
      </c>
      <c r="R373" s="176">
        <f t="shared" si="126"/>
        <v>0.43477560624877493</v>
      </c>
      <c r="S373" s="814">
        <f t="shared" si="127"/>
        <v>0</v>
      </c>
      <c r="T373" s="175">
        <f t="shared" si="128"/>
        <v>6</v>
      </c>
      <c r="U373" s="250">
        <f t="shared" si="129"/>
        <v>0.43477560624877493</v>
      </c>
      <c r="V373" s="382">
        <f t="shared" si="130"/>
        <v>23.622055448070235</v>
      </c>
      <c r="W373" s="401"/>
      <c r="X373" s="157">
        <f t="shared" si="131"/>
        <v>44189</v>
      </c>
      <c r="Y373" s="384">
        <f t="shared" si="132"/>
        <v>10.791</v>
      </c>
      <c r="Z373" s="384">
        <f t="shared" si="133"/>
        <v>11.015233611243328</v>
      </c>
      <c r="AA373" s="385">
        <f t="shared" si="134"/>
        <v>11.522416470304618</v>
      </c>
      <c r="AB373" s="196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4.4017056697125363E-2</v>
      </c>
      <c r="AD373" s="230">
        <f>(INDEX(Models!$BJ373:$BT373,,AH373)*(1-AF373)+INDEX(Models!$BJ373:$BT373,,AH373+1)*AF373-ERP_i)*AE373*Ramure*Pc/MaxiM</f>
        <v>3.0563235319643284E-4</v>
      </c>
      <c r="AE373" s="304">
        <f t="shared" si="136"/>
        <v>0.5</v>
      </c>
      <c r="AF373" s="176">
        <f t="shared" si="137"/>
        <v>0.43477560624877493</v>
      </c>
      <c r="AG373" s="814">
        <f t="shared" si="143"/>
        <v>0</v>
      </c>
      <c r="AH373" s="175">
        <f t="shared" si="138"/>
        <v>6</v>
      </c>
      <c r="AI373" s="224">
        <f t="shared" si="139"/>
        <v>0.43477560624877493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44190</v>
      </c>
      <c r="B374" s="616">
        <v>3.044</v>
      </c>
      <c r="C374" s="389"/>
      <c r="D374" s="392">
        <f t="shared" si="122"/>
        <v>3.1073214280317956</v>
      </c>
      <c r="E374" s="384">
        <f t="shared" si="144"/>
        <v>3.250477778028503</v>
      </c>
      <c r="F374" s="384">
        <f t="shared" si="123"/>
        <v>3.250477778028503</v>
      </c>
      <c r="G374" s="110">
        <f t="shared" si="145"/>
        <v>0.12845106042632989</v>
      </c>
      <c r="H374" s="413" t="b">
        <f>Wh_hp&gt;='2019'!Maxi_hp</f>
        <v>0</v>
      </c>
      <c r="I374" s="379">
        <f>IF(H374,Wh_hp,'2019'!Maxi_hp)</f>
        <v>24.848198087219174</v>
      </c>
      <c r="J374" s="85">
        <f>IF(H374,An,'2019'!An_max)</f>
        <v>2018</v>
      </c>
      <c r="K374" s="196">
        <f t="shared" si="124"/>
        <v>44190</v>
      </c>
      <c r="L374" s="147">
        <f>IF(t&lt;Tvie,1-EXP((T0-t)*PertePVj)+'2019'!Pspv,1-EXP((T0-t)*PertePVj)+Pspv)</f>
        <v>2.037813901727703E-2</v>
      </c>
      <c r="M374" s="847"/>
      <c r="N374" s="847"/>
      <c r="O374" s="48">
        <f>IF(t&lt;Tnet,'2019'!Resal+('2019'!Salim-'2019'!Resal)*(1-EXP(('2019'!Tnet-t)/('2019'!Tau_j))),Resal+(Salim-Resal)*(1-EXP((Tnet-t)/(Tau_j))))*Salcycl</f>
        <v>4.4041633191393668E-2</v>
      </c>
      <c r="P374" s="168">
        <f>(INDEX(Models!$BJ374:$BT374,,T374)*(1-R374)+INDEX(Models!$BJ374:$BT374,,T374+1)*R374-ERP_i)*Q374*Ramure*Pc/MaxiM</f>
        <v>3.0573317400455196E-4</v>
      </c>
      <c r="Q374" s="304">
        <f t="shared" si="125"/>
        <v>0.5</v>
      </c>
      <c r="R374" s="176">
        <f t="shared" si="126"/>
        <v>0.43477560624877493</v>
      </c>
      <c r="S374" s="814">
        <f t="shared" si="127"/>
        <v>0</v>
      </c>
      <c r="T374" s="175">
        <f t="shared" si="128"/>
        <v>6</v>
      </c>
      <c r="U374" s="250">
        <f t="shared" si="129"/>
        <v>0.43477560624877493</v>
      </c>
      <c r="V374" s="382">
        <f t="shared" si="130"/>
        <v>23.69049611671841</v>
      </c>
      <c r="W374" s="401"/>
      <c r="X374" s="157">
        <f t="shared" si="131"/>
        <v>44190</v>
      </c>
      <c r="Y374" s="384">
        <f t="shared" si="132"/>
        <v>3.044</v>
      </c>
      <c r="Z374" s="384">
        <f t="shared" si="133"/>
        <v>3.1073214280317956</v>
      </c>
      <c r="AA374" s="385">
        <f t="shared" si="134"/>
        <v>3.250477778028503</v>
      </c>
      <c r="AB374" s="196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4.4041633191393668E-2</v>
      </c>
      <c r="AD374" s="230">
        <f>(INDEX(Models!$BJ374:$BT374,,AH374)*(1-AF374)+INDEX(Models!$BJ374:$BT374,,AH374+1)*AF374-ERP_i)*AE374*Ramure*Pc/MaxiM</f>
        <v>3.0573317400455196E-4</v>
      </c>
      <c r="AE374" s="304">
        <f t="shared" si="136"/>
        <v>0.5</v>
      </c>
      <c r="AF374" s="176">
        <f t="shared" si="137"/>
        <v>0.43477560624877493</v>
      </c>
      <c r="AG374" s="814">
        <f t="shared" si="143"/>
        <v>0</v>
      </c>
      <c r="AH374" s="175">
        <f t="shared" si="138"/>
        <v>6</v>
      </c>
      <c r="AI374" s="224">
        <f t="shared" si="139"/>
        <v>0.43477560624877493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44191</v>
      </c>
      <c r="B375" s="616">
        <v>14.260999999999999</v>
      </c>
      <c r="C375" s="389"/>
      <c r="D375" s="392">
        <f t="shared" si="122"/>
        <v>14.557976835097273</v>
      </c>
      <c r="E375" s="384">
        <f t="shared" si="144"/>
        <v>15.229066785996636</v>
      </c>
      <c r="F375" s="384">
        <f t="shared" si="123"/>
        <v>15.231064571959633</v>
      </c>
      <c r="G375" s="110">
        <f t="shared" si="145"/>
        <v>0.59979614181312224</v>
      </c>
      <c r="H375" s="413" t="b">
        <f>Wh_hp&gt;='2019'!Maxi_hp</f>
        <v>0</v>
      </c>
      <c r="I375" s="379">
        <f>IF(H375,Wh_hp,'2019'!Maxi_hp)</f>
        <v>25.062175747198527</v>
      </c>
      <c r="J375" s="85">
        <f>IF(H375,An,'2019'!An_max)</f>
        <v>2018</v>
      </c>
      <c r="K375" s="196">
        <f t="shared" si="124"/>
        <v>44191</v>
      </c>
      <c r="L375" s="147">
        <f>IF(t&lt;Tvie,1-EXP((T0-t)*PertePVj)+'2019'!Pspv,1-EXP((T0-t)*PertePVj)+Pspv)</f>
        <v>2.039959525016577E-2</v>
      </c>
      <c r="M375" s="847"/>
      <c r="N375" s="847"/>
      <c r="O375" s="48">
        <f>IF(t&lt;Tnet,'2019'!Resal+('2019'!Salim-'2019'!Resal)*(1-EXP(('2019'!Tnet-t)/('2019'!Tau_j))),Resal+(Salim-Resal)*(1-EXP((Tnet-t)/(Tau_j))))*Salcycl</f>
        <v>4.406638701699301E-2</v>
      </c>
      <c r="P375" s="168">
        <f>(INDEX(Models!$BJ375:$BT375,,T375)*(1-R375)+INDEX(Models!$BJ375:$BT375,,T375+1)*R375-ERP_i)*Q375*Ramure*Pc/MaxiM</f>
        <v>3.0615308105658102E-4</v>
      </c>
      <c r="Q375" s="304">
        <f t="shared" si="125"/>
        <v>0.5</v>
      </c>
      <c r="R375" s="176">
        <f t="shared" si="126"/>
        <v>0.43477560624877493</v>
      </c>
      <c r="S375" s="814">
        <f t="shared" si="127"/>
        <v>0</v>
      </c>
      <c r="T375" s="175">
        <f t="shared" si="128"/>
        <v>6</v>
      </c>
      <c r="U375" s="250">
        <f t="shared" si="129"/>
        <v>0.43477560624877493</v>
      </c>
      <c r="V375" s="382">
        <f t="shared" si="130"/>
        <v>23.7722505644523</v>
      </c>
      <c r="W375" s="401"/>
      <c r="X375" s="157">
        <f t="shared" si="131"/>
        <v>44191</v>
      </c>
      <c r="Y375" s="384">
        <f t="shared" si="132"/>
        <v>14.260999999999999</v>
      </c>
      <c r="Z375" s="384">
        <f t="shared" si="133"/>
        <v>14.557976835097273</v>
      </c>
      <c r="AA375" s="385">
        <f t="shared" si="134"/>
        <v>15.229066785996636</v>
      </c>
      <c r="AB375" s="196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4.406638701699301E-2</v>
      </c>
      <c r="AD375" s="230">
        <f>(INDEX(Models!$BJ375:$BT375,,AH375)*(1-AF375)+INDEX(Models!$BJ375:$BT375,,AH375+1)*AF375-ERP_i)*AE375*Ramure*Pc/MaxiM</f>
        <v>3.0615308105658102E-4</v>
      </c>
      <c r="AE375" s="304">
        <f t="shared" si="136"/>
        <v>0.5</v>
      </c>
      <c r="AF375" s="176">
        <f t="shared" si="137"/>
        <v>0.43477560624877493</v>
      </c>
      <c r="AG375" s="814">
        <f t="shared" si="143"/>
        <v>0</v>
      </c>
      <c r="AH375" s="175">
        <f t="shared" si="138"/>
        <v>6</v>
      </c>
      <c r="AI375" s="224">
        <f t="shared" si="139"/>
        <v>0.43477560624877493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44192</v>
      </c>
      <c r="B376" s="616">
        <v>6.0350000000000001</v>
      </c>
      <c r="C376" s="389"/>
      <c r="D376" s="392">
        <f t="shared" si="122"/>
        <v>6.1608102197802088</v>
      </c>
      <c r="E376" s="384">
        <f t="shared" si="144"/>
        <v>6.4449776547907529</v>
      </c>
      <c r="F376" s="384">
        <f t="shared" si="123"/>
        <v>6.4449776547907529</v>
      </c>
      <c r="G376" s="110">
        <f t="shared" si="145"/>
        <v>0.25278450910679406</v>
      </c>
      <c r="H376" s="413" t="b">
        <f>Wh_hp&gt;='2019'!Maxi_hp</f>
        <v>1</v>
      </c>
      <c r="I376" s="379">
        <f>IF(H376,Wh_hp,'2019'!Maxi_hp)</f>
        <v>6.4449776547907529</v>
      </c>
      <c r="J376" s="85">
        <f>IF(H376,An,'2019'!An_max)</f>
        <v>2020</v>
      </c>
      <c r="K376" s="196">
        <f t="shared" si="124"/>
        <v>44192</v>
      </c>
      <c r="L376" s="147">
        <f>IF(t&lt;Tvie,1-EXP((T0-t)*PertePVj)+'2019'!Pspv,1-EXP((T0-t)*PertePVj)+Pspv)</f>
        <v>2.0421051013107983E-2</v>
      </c>
      <c r="M376" s="847"/>
      <c r="N376" s="847"/>
      <c r="O376" s="48">
        <f>IF(t&lt;Tnet,'2019'!Resal+('2019'!Salim-'2019'!Resal)*(1-EXP(('2019'!Tnet-t)/('2019'!Tau_j))),Resal+(Salim-Resal)*(1-EXP((Tnet-t)/(Tau_j))))*Salcycl</f>
        <v>4.4091298718361475E-2</v>
      </c>
      <c r="P376" s="168">
        <f>(INDEX(Models!$BJ376:$BT376,,T376)*(1-R376)+INDEX(Models!$BJ376:$BT376,,T376+1)*R376-ERP_i)*Q376*Ramure*Pc/MaxiM</f>
        <v>3.0674990494256905E-4</v>
      </c>
      <c r="Q376" s="304">
        <f t="shared" si="125"/>
        <v>0.5</v>
      </c>
      <c r="R376" s="176">
        <f t="shared" si="126"/>
        <v>0.43477560624877493</v>
      </c>
      <c r="S376" s="814">
        <f t="shared" si="127"/>
        <v>0</v>
      </c>
      <c r="T376" s="175">
        <f t="shared" si="128"/>
        <v>6</v>
      </c>
      <c r="U376" s="250">
        <f t="shared" si="129"/>
        <v>0.43477560624877493</v>
      </c>
      <c r="V376" s="382">
        <f t="shared" si="130"/>
        <v>23.866766146555452</v>
      </c>
      <c r="W376" s="401"/>
      <c r="X376" s="157">
        <f t="shared" si="131"/>
        <v>44192</v>
      </c>
      <c r="Y376" s="384">
        <f t="shared" si="132"/>
        <v>6.0350000000000001</v>
      </c>
      <c r="Z376" s="384">
        <f t="shared" si="133"/>
        <v>6.1608102197802088</v>
      </c>
      <c r="AA376" s="385">
        <f t="shared" si="134"/>
        <v>6.4449776547907529</v>
      </c>
      <c r="AB376" s="196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4.4091298718361475E-2</v>
      </c>
      <c r="AD376" s="230">
        <f>(INDEX(Models!$BJ376:$BT376,,AH376)*(1-AF376)+INDEX(Models!$BJ376:$BT376,,AH376+1)*AF376-ERP_i)*AE376*Ramure*Pc/MaxiM</f>
        <v>3.0674990494256905E-4</v>
      </c>
      <c r="AE376" s="304">
        <f t="shared" si="136"/>
        <v>0.5</v>
      </c>
      <c r="AF376" s="176">
        <f t="shared" si="137"/>
        <v>0.43477560624877493</v>
      </c>
      <c r="AG376" s="814">
        <f t="shared" si="143"/>
        <v>0</v>
      </c>
      <c r="AH376" s="175">
        <f t="shared" si="138"/>
        <v>6</v>
      </c>
      <c r="AI376" s="224">
        <f t="shared" si="139"/>
        <v>0.43477560624877493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44193</v>
      </c>
      <c r="B377" s="616">
        <v>7.1950000000000003</v>
      </c>
      <c r="C377" s="389"/>
      <c r="D377" s="392">
        <f t="shared" si="122"/>
        <v>7.345153343544788</v>
      </c>
      <c r="E377" s="384">
        <f t="shared" si="144"/>
        <v>7.6841499949258667</v>
      </c>
      <c r="F377" s="384">
        <f t="shared" si="123"/>
        <v>7.6841504108831211</v>
      </c>
      <c r="G377" s="110">
        <f t="shared" si="145"/>
        <v>0.30003093757528648</v>
      </c>
      <c r="H377" s="413" t="b">
        <f>Wh_hp&gt;='2019'!Maxi_hp</f>
        <v>0</v>
      </c>
      <c r="I377" s="379">
        <f>IF(H377,Wh_hp,'2019'!Maxi_hp)</f>
        <v>24.833306177671162</v>
      </c>
      <c r="J377" s="85">
        <f>IF(H377,An,'2019'!An_max)</f>
        <v>2019</v>
      </c>
      <c r="K377" s="196">
        <f t="shared" si="124"/>
        <v>44193</v>
      </c>
      <c r="L377" s="147">
        <f>IF(t&lt;Tvie,1-EXP((T0-t)*PertePVj)+'2019'!Pspv,1-EXP((T0-t)*PertePVj)+Pspv)</f>
        <v>2.0442506306113883E-2</v>
      </c>
      <c r="M377" s="847"/>
      <c r="N377" s="847"/>
      <c r="O377" s="48">
        <f>IF(t&lt;Tnet,'2019'!Resal+('2019'!Salim-'2019'!Resal)*(1-EXP(('2019'!Tnet-t)/('2019'!Tau_j))),Resal+(Salim-Resal)*(1-EXP((Tnet-t)/(Tau_j))))*Salcycl</f>
        <v>4.4116350097919949E-2</v>
      </c>
      <c r="P377" s="168">
        <f>(INDEX(Models!$BJ377:$BT377,,T377)*(1-R377)+INDEX(Models!$BJ377:$BT377,,T377+1)*R377-ERP_i)*Q377*Ramure*Pc/MaxiM</f>
        <v>3.0752532072996977E-4</v>
      </c>
      <c r="Q377" s="304">
        <f t="shared" si="125"/>
        <v>0.5</v>
      </c>
      <c r="R377" s="176">
        <f t="shared" si="126"/>
        <v>0.43477560624877493</v>
      </c>
      <c r="S377" s="814">
        <f t="shared" si="127"/>
        <v>0</v>
      </c>
      <c r="T377" s="175">
        <f t="shared" si="128"/>
        <v>6</v>
      </c>
      <c r="U377" s="250">
        <f t="shared" si="129"/>
        <v>0.43477560624877493</v>
      </c>
      <c r="V377" s="382">
        <f t="shared" si="130"/>
        <v>23.973486877070314</v>
      </c>
      <c r="W377" s="401"/>
      <c r="X377" s="157">
        <f t="shared" si="131"/>
        <v>44193</v>
      </c>
      <c r="Y377" s="384">
        <f t="shared" si="132"/>
        <v>7.1950000000000003</v>
      </c>
      <c r="Z377" s="384">
        <f t="shared" si="133"/>
        <v>7.345153343544788</v>
      </c>
      <c r="AA377" s="385">
        <f t="shared" si="134"/>
        <v>7.6841499949258667</v>
      </c>
      <c r="AB377" s="196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4.4116350097919949E-2</v>
      </c>
      <c r="AD377" s="230">
        <f>(INDEX(Models!$BJ377:$BT377,,AH377)*(1-AF377)+INDEX(Models!$BJ377:$BT377,,AH377+1)*AF377-ERP_i)*AE377*Ramure*Pc/MaxiM</f>
        <v>3.0752532072996977E-4</v>
      </c>
      <c r="AE377" s="304">
        <f t="shared" si="136"/>
        <v>0.5</v>
      </c>
      <c r="AF377" s="176">
        <f t="shared" si="137"/>
        <v>0.43477560624877493</v>
      </c>
      <c r="AG377" s="814">
        <f t="shared" si="143"/>
        <v>0</v>
      </c>
      <c r="AH377" s="175">
        <f t="shared" si="138"/>
        <v>6</v>
      </c>
      <c r="AI377" s="224">
        <f t="shared" si="139"/>
        <v>0.43477560624877493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44194</v>
      </c>
      <c r="B378" s="616">
        <v>6.407</v>
      </c>
      <c r="C378" s="389"/>
      <c r="D378" s="392">
        <f t="shared" si="122"/>
        <v>6.5408517356705822</v>
      </c>
      <c r="E378" s="384">
        <f t="shared" si="144"/>
        <v>6.842908130952968</v>
      </c>
      <c r="F378" s="384">
        <f t="shared" si="123"/>
        <v>6.842908130952968</v>
      </c>
      <c r="G378" s="110">
        <f t="shared" si="145"/>
        <v>0.26585844375103218</v>
      </c>
      <c r="H378" s="413" t="b">
        <f>Wh_hp&gt;='2019'!Maxi_hp</f>
        <v>0</v>
      </c>
      <c r="I378" s="379">
        <f>IF(H378,Wh_hp,'2019'!Maxi_hp)</f>
        <v>25.966265464195352</v>
      </c>
      <c r="J378" s="85">
        <f>IF(H378,An,'2019'!An_max)</f>
        <v>2019</v>
      </c>
      <c r="K378" s="196">
        <f t="shared" si="124"/>
        <v>44194</v>
      </c>
      <c r="L378" s="147">
        <f>IF(t&lt;Tvie,1-EXP((T0-t)*PertePVj)+'2019'!Pspv,1-EXP((T0-t)*PertePVj)+Pspv)</f>
        <v>2.0463961129193797E-2</v>
      </c>
      <c r="M378" s="847"/>
      <c r="N378" s="847"/>
      <c r="O378" s="48">
        <f>IF(t&lt;Tnet,'2019'!Resal+('2019'!Salim-'2019'!Resal)*(1-EXP(('2019'!Tnet-t)/('2019'!Tau_j))),Resal+(Salim-Resal)*(1-EXP((Tnet-t)/(Tau_j))))*Salcycl</f>
        <v>4.4141524261603678E-2</v>
      </c>
      <c r="P378" s="168">
        <f>(INDEX(Models!$BJ378:$BT378,,T378)*(1-R378)+INDEX(Models!$BJ378:$BT378,,T378+1)*R378-ERP_i)*Q378*Ramure*Pc/MaxiM</f>
        <v>3.0848068688332981E-4</v>
      </c>
      <c r="Q378" s="304">
        <f t="shared" si="125"/>
        <v>0.5</v>
      </c>
      <c r="R378" s="176">
        <f t="shared" si="126"/>
        <v>0.43477560624877493</v>
      </c>
      <c r="S378" s="814">
        <f t="shared" si="127"/>
        <v>0</v>
      </c>
      <c r="T378" s="175">
        <f t="shared" si="128"/>
        <v>6</v>
      </c>
      <c r="U378" s="250">
        <f t="shared" si="129"/>
        <v>0.43477560624877493</v>
      </c>
      <c r="V378" s="382">
        <f t="shared" si="130"/>
        <v>24.09185683128889</v>
      </c>
      <c r="W378" s="401"/>
      <c r="X378" s="157">
        <f t="shared" si="131"/>
        <v>44194</v>
      </c>
      <c r="Y378" s="384">
        <f t="shared" si="132"/>
        <v>6.407</v>
      </c>
      <c r="Z378" s="384">
        <f t="shared" si="133"/>
        <v>6.5408517356705822</v>
      </c>
      <c r="AA378" s="385">
        <f t="shared" si="134"/>
        <v>6.842908130952968</v>
      </c>
      <c r="AB378" s="196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4.4141524261603678E-2</v>
      </c>
      <c r="AD378" s="230">
        <f>(INDEX(Models!$BJ378:$BT378,,AH378)*(1-AF378)+INDEX(Models!$BJ378:$BT378,,AH378+1)*AF378-ERP_i)*AE378*Ramure*Pc/MaxiM</f>
        <v>3.0848068688332981E-4</v>
      </c>
      <c r="AE378" s="304">
        <f t="shared" si="136"/>
        <v>0.5</v>
      </c>
      <c r="AF378" s="176">
        <f t="shared" si="137"/>
        <v>0.43477560624877493</v>
      </c>
      <c r="AG378" s="814">
        <f t="shared" si="143"/>
        <v>0</v>
      </c>
      <c r="AH378" s="175">
        <f t="shared" si="138"/>
        <v>6</v>
      </c>
      <c r="AI378" s="224">
        <f t="shared" si="139"/>
        <v>0.43477560624877493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44195</v>
      </c>
      <c r="B379" s="616">
        <v>8.6110000000000007</v>
      </c>
      <c r="C379" s="389"/>
      <c r="D379" s="392">
        <f t="shared" si="122"/>
        <v>8.7910891130227053</v>
      </c>
      <c r="E379" s="384">
        <f t="shared" si="144"/>
        <v>9.1973046814025761</v>
      </c>
      <c r="F379" s="384">
        <f t="shared" si="123"/>
        <v>9.1975305181789668</v>
      </c>
      <c r="G379" s="110">
        <f t="shared" si="145"/>
        <v>0.35541189360927733</v>
      </c>
      <c r="H379" s="413" t="b">
        <f>Wh_hp&gt;='2019'!Maxi_hp</f>
        <v>0</v>
      </c>
      <c r="I379" s="379">
        <f>IF(H379,Wh_hp,'2019'!Maxi_hp)</f>
        <v>19.176803787968637</v>
      </c>
      <c r="J379" s="85">
        <f>IF(H379,An,'2019'!An_max)</f>
        <v>2019</v>
      </c>
      <c r="K379" s="196">
        <f t="shared" si="124"/>
        <v>44195</v>
      </c>
      <c r="L379" s="147">
        <f>IF(t&lt;Tvie,1-EXP((T0-t)*PertePVj)+'2019'!Pspv,1-EXP((T0-t)*PertePVj)+Pspv)</f>
        <v>2.0485415482358049E-2</v>
      </c>
      <c r="M379" s="847"/>
      <c r="N379" s="847"/>
      <c r="O379" s="48">
        <f>IF(t&lt;Tnet,'2019'!Resal+('2019'!Salim-'2019'!Resal)*(1-EXP(('2019'!Tnet-t)/('2019'!Tau_j))),Resal+(Salim-Resal)*(1-EXP((Tnet-t)/(Tau_j))))*Salcycl</f>
        <v>4.4166805651362238E-2</v>
      </c>
      <c r="P379" s="168">
        <f>(INDEX(Models!$BJ379:$BT379,,T379)*(1-R379)+INDEX(Models!$BJ379:$BT379,,T379+1)*R379-ERP_i)*Q379*Ramure*Pc/MaxiM</f>
        <v>3.0961706887984924E-4</v>
      </c>
      <c r="Q379" s="305">
        <f t="shared" si="125"/>
        <v>0.5</v>
      </c>
      <c r="R379" s="176">
        <f t="shared" si="126"/>
        <v>0.43477560624877493</v>
      </c>
      <c r="S379" s="814">
        <f t="shared" si="127"/>
        <v>0</v>
      </c>
      <c r="T379" s="175">
        <f t="shared" si="128"/>
        <v>6</v>
      </c>
      <c r="U379" s="306">
        <f t="shared" si="129"/>
        <v>0.43477560624877493</v>
      </c>
      <c r="V379" s="382">
        <f t="shared" si="130"/>
        <v>24.221320155585214</v>
      </c>
      <c r="W379" s="401"/>
      <c r="X379" s="157">
        <f t="shared" si="131"/>
        <v>44195</v>
      </c>
      <c r="Y379" s="384">
        <f t="shared" si="132"/>
        <v>8.6110000000000007</v>
      </c>
      <c r="Z379" s="384">
        <f t="shared" si="133"/>
        <v>8.7910891130227053</v>
      </c>
      <c r="AA379" s="385">
        <f t="shared" si="134"/>
        <v>9.1973046814025761</v>
      </c>
      <c r="AB379" s="196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4.4166805651362238E-2</v>
      </c>
      <c r="AD379" s="230">
        <f>(INDEX(Models!$BJ379:$BT379,,AH379)*(1-AF379)+INDEX(Models!$BJ379:$BT379,,AH379+1)*AF379-ERP_i)*AE379*Ramure*Pc/MaxiM</f>
        <v>3.0961706887984924E-4</v>
      </c>
      <c r="AE379" s="305">
        <f t="shared" si="136"/>
        <v>0.5</v>
      </c>
      <c r="AF379" s="176">
        <f t="shared" si="137"/>
        <v>0.43477560624877493</v>
      </c>
      <c r="AG379" s="814">
        <f t="shared" si="143"/>
        <v>0</v>
      </c>
      <c r="AH379" s="175">
        <f t="shared" si="138"/>
        <v>6</v>
      </c>
      <c r="AI379" s="221">
        <f t="shared" si="139"/>
        <v>0.43477560624877493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56">
        <f t="shared" si="142"/>
        <v>44196</v>
      </c>
      <c r="B380" s="617">
        <v>15.606999999999999</v>
      </c>
      <c r="C380" s="389"/>
      <c r="D380" s="392">
        <f t="shared" si="122"/>
        <v>15.933751357594408</v>
      </c>
      <c r="E380" s="384">
        <f t="shared" si="144"/>
        <v>16.670455111649844</v>
      </c>
      <c r="F380" s="384">
        <f t="shared" si="123"/>
        <v>16.672977949317147</v>
      </c>
      <c r="G380" s="110">
        <f t="shared" si="145"/>
        <v>0.64054442514362919</v>
      </c>
      <c r="H380" s="413" t="b">
        <f>Wh_hp&gt;='2019'!Maxi_hp</f>
        <v>1</v>
      </c>
      <c r="I380" s="380">
        <f>IF(H380,Wh_hp,'2019'!Maxi_hp)</f>
        <v>16.672977949317147</v>
      </c>
      <c r="J380" s="128">
        <f>IF(H380,An,'2019'!An_max)</f>
        <v>2020</v>
      </c>
      <c r="K380" s="233">
        <f t="shared" si="124"/>
        <v>44196</v>
      </c>
      <c r="L380" s="147">
        <f>IF(t&lt;Tvie,1-EXP((T0-t)*PertePVj)+'2019'!Pspv,1-EXP((T0-t)*PertePVj)+Pspv)</f>
        <v>2.0506869365616853E-2</v>
      </c>
      <c r="M380" s="847"/>
      <c r="N380" s="847"/>
      <c r="O380" s="323">
        <f>IF(t&lt;Tnet,'2019'!Resal+('2019'!Salim-'2019'!Resal)*(1-EXP(('2019'!Tnet-t)/('2019'!Tau_j))),Resal+(Salim-Resal)*(1-EXP((Tnet-t)/(Tau_j))))*Salcycl</f>
        <v>4.4192180064754324E-2</v>
      </c>
      <c r="P380" s="230">
        <f>(INDEX(Models!$BJ380:$BT380,,T380)*(1-R380)+INDEX(Models!$BJ380:$BT380,,T380+1)*R380-ERP_i)*Q380*Ramure*Pc/MaxiM</f>
        <v>3.1093526593504897E-4</v>
      </c>
      <c r="Q380" s="327">
        <f t="shared" si="125"/>
        <v>0.5</v>
      </c>
      <c r="R380" s="313">
        <f>(Hp_vg-S380)/(INDEX(Echel_vg,T380+1)-S380)</f>
        <v>0.43477560624877493</v>
      </c>
      <c r="S380" s="815">
        <f>INDEX(Echel_vg,T380)</f>
        <v>0</v>
      </c>
      <c r="T380" s="232">
        <f t="shared" si="128"/>
        <v>6</v>
      </c>
      <c r="U380" s="300">
        <f t="shared" si="129"/>
        <v>0.43477560624877493</v>
      </c>
      <c r="V380" s="382">
        <f t="shared" si="130"/>
        <v>24.361321065562212</v>
      </c>
      <c r="W380" s="401"/>
      <c r="X380" s="325">
        <f t="shared" si="131"/>
        <v>44196</v>
      </c>
      <c r="Y380" s="397">
        <f t="shared" si="132"/>
        <v>15.607000000000001</v>
      </c>
      <c r="Z380" s="397">
        <f t="shared" si="133"/>
        <v>15.93375135759441</v>
      </c>
      <c r="AA380" s="398">
        <f t="shared" si="134"/>
        <v>16.670455111649844</v>
      </c>
      <c r="AB380" s="197">
        <f t="shared" si="135"/>
        <v>44196</v>
      </c>
      <c r="AC380" s="326">
        <f>IF(OR(t&lt;Tnet,NoTnet),'2019'!Resal_s+('2019'!Salim-'2019'!Resal_s)*(1-EXP(('2019'!Tnet_s-t)/'2019'!Tau_j)),Resal_s+(Salim-Resal_s)*(1-EXP((Tnet_s-t)/Tau_j)))*Salcycl</f>
        <v>4.4192180064754324E-2</v>
      </c>
      <c r="AD380" s="816">
        <f>(INDEX(Models!$BJ380:$BT380,,AH380)*(1-AF380)+INDEX(Models!$BJ380:$BT380,,AH380+1)*AF380-ERP_i)*AE380*Ramure*Pc/MaxiM</f>
        <v>3.1093526593504897E-4</v>
      </c>
      <c r="AE380" s="327">
        <f t="shared" si="136"/>
        <v>0.5</v>
      </c>
      <c r="AF380" s="313">
        <f>(Hp_vg_s-AG380)/(INDEX(Echel_vg,AH380+1)-AG380)</f>
        <v>0.43477560624877493</v>
      </c>
      <c r="AG380" s="815">
        <f>INDEX(Echel_vg,AH380)</f>
        <v>0</v>
      </c>
      <c r="AH380" s="232">
        <f t="shared" si="138"/>
        <v>6</v>
      </c>
      <c r="AI380" s="226">
        <f t="shared" si="139"/>
        <v>0.43477560624877493</v>
      </c>
      <c r="AJ380" s="264" t="b">
        <f t="shared" si="140"/>
        <v>0</v>
      </c>
      <c r="AK380" s="264" t="b">
        <f t="shared" si="141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1.022</v>
      </c>
      <c r="C381" s="374"/>
      <c r="D381" s="372">
        <f>MIN(D15:D380)</f>
        <v>1.0427342661275578</v>
      </c>
      <c r="E381" s="372">
        <f>MIN(E15:E380)</f>
        <v>1.0902358716605001</v>
      </c>
      <c r="F381" s="373">
        <f>MIN(F15:F380)</f>
        <v>1.0902358716605001</v>
      </c>
      <c r="G381" s="125">
        <f>+MIN(G15:G380)</f>
        <v>3.9345355869441781E-2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1.2644903266172736E-2</v>
      </c>
      <c r="M381" s="849"/>
      <c r="N381" s="849"/>
      <c r="O381" s="47">
        <f t="shared" si="146"/>
        <v>3.2068252762135083E-2</v>
      </c>
      <c r="P381" s="167">
        <f t="shared" si="146"/>
        <v>5.7463268702241354E-5</v>
      </c>
      <c r="Q381" s="309">
        <f t="shared" si="146"/>
        <v>0.5</v>
      </c>
      <c r="R381" s="310">
        <f t="shared" si="146"/>
        <v>0.1347763700704776</v>
      </c>
      <c r="S381" s="814">
        <f t="shared" si="146"/>
        <v>0</v>
      </c>
      <c r="T381" s="175">
        <f t="shared" si="146"/>
        <v>6</v>
      </c>
      <c r="U381" s="251">
        <f>+MIN(U15:U380)</f>
        <v>0.1347763700704776</v>
      </c>
      <c r="V381" s="372">
        <f>MIN(V15:V380)</f>
        <v>23.475450025450495</v>
      </c>
      <c r="W381" s="807" t="s">
        <v>40</v>
      </c>
      <c r="X381" s="112" t="s">
        <v>7</v>
      </c>
      <c r="Y381" s="374">
        <f>MIN(Y15:Y380)</f>
        <v>1.022</v>
      </c>
      <c r="Z381" s="374">
        <f>MIN(Z15:Z380)</f>
        <v>1.0427342661275578</v>
      </c>
      <c r="AA381" s="374">
        <f>MIN(AA15:AA380)</f>
        <v>1.0902358716605001</v>
      </c>
      <c r="AB381" s="199" t="s">
        <v>7</v>
      </c>
      <c r="AC381" s="48">
        <f t="shared" ref="AC381:AH381" si="147">MIN(AC15:AC380)</f>
        <v>3.2068252762135083E-2</v>
      </c>
      <c r="AD381" s="168">
        <f t="shared" si="147"/>
        <v>5.7463268702241354E-5</v>
      </c>
      <c r="AE381" s="309">
        <f t="shared" si="147"/>
        <v>0.5</v>
      </c>
      <c r="AF381" s="310">
        <f t="shared" si="147"/>
        <v>0.1347763700704776</v>
      </c>
      <c r="AG381" s="814">
        <f t="shared" si="147"/>
        <v>0</v>
      </c>
      <c r="AH381" s="175">
        <f t="shared" si="147"/>
        <v>6</v>
      </c>
      <c r="AI381" s="224">
        <f>MIN(AI15:AI380)</f>
        <v>0.1347763700704776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30.422259562841507</v>
      </c>
      <c r="C382" s="374"/>
      <c r="D382" s="374">
        <f>AVERAGE(D15:D380)</f>
        <v>30.929441819206509</v>
      </c>
      <c r="E382" s="374">
        <f>AVERAGE(E15:E380)</f>
        <v>32.195896257851686</v>
      </c>
      <c r="F382" s="375">
        <f>AVERAGE(F15:F380)</f>
        <v>32.200794410051962</v>
      </c>
      <c r="G382" s="126">
        <f>AVERAGE(G15:G380)</f>
        <v>0.6722373580744252</v>
      </c>
      <c r="H382" s="94"/>
      <c r="I382" s="375">
        <f>AVERAGE(I15:I380)</f>
        <v>40.210006568636167</v>
      </c>
      <c r="J382" s="59">
        <f>AVERAGE(J15:J380)</f>
        <v>2019.2677595628415</v>
      </c>
      <c r="K382" s="199" t="s">
        <v>8</v>
      </c>
      <c r="L382" s="147">
        <f t="shared" ref="L382:V382" si="148">AVERAGE(L15:L380)</f>
        <v>1.6581109683655389E-2</v>
      </c>
      <c r="M382" s="847"/>
      <c r="N382" s="847"/>
      <c r="O382" s="48">
        <f t="shared" si="148"/>
        <v>3.9367322872510213E-2</v>
      </c>
      <c r="P382" s="168">
        <f t="shared" si="148"/>
        <v>2.1990120425162293E-4</v>
      </c>
      <c r="Q382" s="311">
        <f t="shared" si="148"/>
        <v>0.5</v>
      </c>
      <c r="R382" s="176">
        <f t="shared" si="148"/>
        <v>0.30306737274531581</v>
      </c>
      <c r="S382" s="814">
        <f t="shared" si="148"/>
        <v>0</v>
      </c>
      <c r="T382" s="175">
        <f t="shared" si="148"/>
        <v>6</v>
      </c>
      <c r="U382" s="250">
        <f t="shared" si="148"/>
        <v>0.30306737274531581</v>
      </c>
      <c r="V382" s="374">
        <f t="shared" si="148"/>
        <v>43.793036539063081</v>
      </c>
      <c r="X382" s="112" t="s">
        <v>8</v>
      </c>
      <c r="Y382" s="374">
        <f>AVERAGE(Y15:Y380)</f>
        <v>30.422259562841507</v>
      </c>
      <c r="Z382" s="374">
        <f>AVERAGE(Z15:Z380)</f>
        <v>30.929441819206509</v>
      </c>
      <c r="AA382" s="374">
        <f>AVERAGE(AA15:AA380)</f>
        <v>32.195896257851686</v>
      </c>
      <c r="AB382" s="199" t="s">
        <v>8</v>
      </c>
      <c r="AC382" s="48">
        <f t="shared" ref="AC382:AH382" si="149">AVERAGE(AC15:AC380)</f>
        <v>3.9367322872510213E-2</v>
      </c>
      <c r="AD382" s="168">
        <f t="shared" si="149"/>
        <v>2.1990120425162293E-4</v>
      </c>
      <c r="AE382" s="311">
        <f t="shared" si="149"/>
        <v>0.5</v>
      </c>
      <c r="AF382" s="176">
        <f t="shared" si="149"/>
        <v>0.30306737274531581</v>
      </c>
      <c r="AG382" s="814">
        <f t="shared" si="149"/>
        <v>0</v>
      </c>
      <c r="AH382" s="175">
        <f t="shared" si="149"/>
        <v>6</v>
      </c>
      <c r="AI382" s="224">
        <f>AVERAGE(AI15:AI380)</f>
        <v>0.30306737274531581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58.892000000000003</v>
      </c>
      <c r="C383" s="376"/>
      <c r="D383" s="376">
        <f>MAX(D15:D380)</f>
        <v>59.825468977791154</v>
      </c>
      <c r="E383" s="376">
        <f>MAX(E15:E380)</f>
        <v>62.18709778389136</v>
      </c>
      <c r="F383" s="377">
        <f>MAX(F15:F380)</f>
        <v>62.196197916934416</v>
      </c>
      <c r="G383" s="127">
        <f>+MAX(G15:G380)</f>
        <v>1.0469767205120204</v>
      </c>
      <c r="H383" s="94"/>
      <c r="I383" s="377">
        <f>MAX(I15:I380)</f>
        <v>62.888390720107274</v>
      </c>
      <c r="J383" s="60">
        <f>MAX(J15:J380)</f>
        <v>2020</v>
      </c>
      <c r="K383" s="199" t="s">
        <v>9</v>
      </c>
      <c r="L383" s="148">
        <f t="shared" ref="L383:T383" si="150">MAX(L15:L380)</f>
        <v>2.0506869365616853E-2</v>
      </c>
      <c r="M383" s="850"/>
      <c r="N383" s="850"/>
      <c r="O383" s="49">
        <f t="shared" si="150"/>
        <v>4.4192180064754324E-2</v>
      </c>
      <c r="P383" s="169">
        <f t="shared" si="150"/>
        <v>4.1158358938209514E-4</v>
      </c>
      <c r="Q383" s="312">
        <f t="shared" si="150"/>
        <v>0.5</v>
      </c>
      <c r="R383" s="313">
        <f t="shared" si="150"/>
        <v>0.43477560624877493</v>
      </c>
      <c r="S383" s="815">
        <f t="shared" si="150"/>
        <v>0</v>
      </c>
      <c r="T383" s="232">
        <f t="shared" si="150"/>
        <v>6</v>
      </c>
      <c r="U383" s="252">
        <f>+MAX(U15:U380)</f>
        <v>0.43477560624877493</v>
      </c>
      <c r="V383" s="376">
        <f>MAX(V15:V380)</f>
        <v>57.298871490341227</v>
      </c>
      <c r="X383" s="112" t="s">
        <v>9</v>
      </c>
      <c r="Y383" s="376">
        <f>MAX(Y15:Y380)</f>
        <v>58.892000000000003</v>
      </c>
      <c r="Z383" s="376">
        <f>MAX(Z15:Z380)</f>
        <v>59.825468977791154</v>
      </c>
      <c r="AA383" s="376">
        <f>MAX(AA15:AA380)</f>
        <v>62.18709778389136</v>
      </c>
      <c r="AB383" s="199" t="s">
        <v>9</v>
      </c>
      <c r="AC383" s="49">
        <f t="shared" ref="AC383:AH383" si="151">MAX(AC15:AC380)</f>
        <v>4.4192180064754324E-2</v>
      </c>
      <c r="AD383" s="169">
        <f t="shared" si="151"/>
        <v>4.1158358938209514E-4</v>
      </c>
      <c r="AE383" s="312">
        <f t="shared" si="151"/>
        <v>0.5</v>
      </c>
      <c r="AF383" s="313">
        <f t="shared" si="151"/>
        <v>0.43477560624877493</v>
      </c>
      <c r="AG383" s="815">
        <f t="shared" si="151"/>
        <v>0</v>
      </c>
      <c r="AH383" s="232">
        <f t="shared" si="151"/>
        <v>6</v>
      </c>
      <c r="AI383" s="226">
        <f>MAX(AI15:AI380)</f>
        <v>0.43477560624877493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'2020'!An+1</f>
        <v>2021</v>
      </c>
      <c r="K1" s="1295"/>
      <c r="L1" s="113" t="str">
        <f>"Calcul pertes et enveloppes en "&amp;TEXT(An,0)</f>
        <v>Calcul pertes et enveloppes en 2021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316.95550226913861</v>
      </c>
      <c r="AK4" s="836">
        <f>AM12-AK12</f>
        <v>-6.4182154756231125E-2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317.16402703247957</v>
      </c>
      <c r="AA5" s="236">
        <f>Wh_Pvg_s-Wh_Pvg</f>
        <v>-6.4182154756231125E-2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2837.1089999999999</v>
      </c>
      <c r="AK5" s="515">
        <f>SUMIF(AK15:AK380,"VRAI",Wh)</f>
        <v>0</v>
      </c>
      <c r="AL5" s="515">
        <f>SUMIF(AJ15:AJ380,"VRAI",Wh_s)</f>
        <v>2837.1089999999999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8122.5869999999959</v>
      </c>
      <c r="AK6" s="515">
        <f>SUMIF(AK15:AK380,"FAUX",Wh)</f>
        <v>10959.695999999994</v>
      </c>
      <c r="AL6" s="515">
        <f>SUMIF(AJ15:AJ380,"FAUX",Wh_s)</f>
        <v>7805.6092960044625</v>
      </c>
      <c r="AM6" s="515">
        <f>SUMIF(AK15:AK380,"FAUX",Wh_s)</f>
        <v>10642.718296004463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AND(YEAR(Tnet)=An,Resal_2021="I")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2900.8702509194109</v>
      </c>
      <c r="AK7" s="515">
        <f>SUMIF(AK15:AK380,"VRAI",Wh_sa)</f>
        <v>0</v>
      </c>
      <c r="AL7" s="515">
        <f>SUMIF(AJ15:AJ380,"VRAI",Wh_pvt_s)</f>
        <v>2900.8702509194109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AND(YEAR(Tnet)=An,Resal_2021&lt;&gt;"I")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8325.206098455672</v>
      </c>
      <c r="AK8" s="515">
        <f>SUMIF(AK15:AK380,"FAUX",Wh_sa)</f>
        <v>11481.823951661849</v>
      </c>
      <c r="AL8" s="515">
        <f>SUMIF(AJ15:AJ380,"FAUX",Wh_pvt_s)</f>
        <v>8000.3429077963092</v>
      </c>
      <c r="AM8" s="515">
        <f>SUMIF(AK15:AK380,"FAUX",Wh_sa_s)</f>
        <v>11481.823951661849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11226.076349375086</v>
      </c>
      <c r="E9" s="183">
        <f>SUM(E$15:E$380)</f>
        <v>11481.823951661849</v>
      </c>
      <c r="F9" s="183">
        <f>SUM(F$15:F$380)</f>
        <v>11484.148809822093</v>
      </c>
      <c r="H9" s="1296">
        <f>+SUM(Wh)</f>
        <v>10959.695999999994</v>
      </c>
      <c r="I9" s="1297"/>
      <c r="J9" s="1298"/>
      <c r="K9" s="190" t="s">
        <v>10</v>
      </c>
      <c r="L9" s="231"/>
      <c r="M9" s="231"/>
      <c r="N9" s="231"/>
      <c r="O9" s="222">
        <f>Tnet_2021</f>
        <v>44306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10642.718296004463</v>
      </c>
      <c r="Y9" s="1291"/>
      <c r="Z9" s="515">
        <f>SUM(Wh_pvt_s)</f>
        <v>10901.213158715722</v>
      </c>
      <c r="AA9" s="515">
        <f>SUM(Wh_sa_s)</f>
        <v>11481.823951661849</v>
      </c>
      <c r="AB9" s="515">
        <f>F9</f>
        <v>11484.148809822093</v>
      </c>
      <c r="AC9" s="324">
        <f>IF(An_Tnet,Tnet,'2020'!Tnet_s)</f>
        <v>44306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3040.8404193723627</v>
      </c>
      <c r="AK9" s="515">
        <f>SUMIF(AK15:AK380,"VRAI",Wh_hp)</f>
        <v>0</v>
      </c>
      <c r="AL9" s="515">
        <f>SUMIF(AJ15:AJ380,"VRAI",Wh_sa_s)</f>
        <v>3040.8404193723627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IF(Inflex,'2020'!Resal+('2020'!Salim-'2020'!Resal)*(1-EXP(-(Tnet-'2020'!Tnet)/('2020'!Tau_j))),IF(An_Tnet,Resal_2021,'2020'!Resal))</f>
        <v>5.4999999999999997E-3</v>
      </c>
      <c r="P10" s="420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4.6994231735042094E-2</v>
      </c>
      <c r="AD10" s="427"/>
      <c r="AE10" s="427"/>
      <c r="AF10" s="259"/>
      <c r="AG10" s="260"/>
      <c r="AH10" s="261"/>
      <c r="AI10" s="472"/>
      <c r="AJ10" s="515">
        <f>SUMIF(AJ15:AJ380,"FAUX",Wh_sa)</f>
        <v>8440.9835322894814</v>
      </c>
      <c r="AK10" s="515">
        <f>SUMIF(AK15:AK380,"FAUX",Wh_hp)</f>
        <v>11484.148809822093</v>
      </c>
      <c r="AL10" s="515">
        <f>SUMIF(AJ15:AJ380,"FAUX",Wh_sa_s)</f>
        <v>8440.9835322894814</v>
      </c>
      <c r="AM10" s="515">
        <f>SUMIF(AK15:AK380,"FAUX",Wh_hp)</f>
        <v>11484.148809822093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266.3803493750911</v>
      </c>
      <c r="E11" s="51">
        <f>(E$9-D$9)*Prod_an/D$9</f>
        <v>249.67904070489021</v>
      </c>
      <c r="F11" s="185">
        <f>(F$9-E$9)*Prod_an/E$9</f>
        <v>2.2191368537490663</v>
      </c>
      <c r="G11" s="184" t="s">
        <v>6</v>
      </c>
      <c r="K11" s="193"/>
      <c r="L11" s="210">
        <f>Tvie_2021</f>
        <v>44375</v>
      </c>
      <c r="M11" s="846"/>
      <c r="N11" s="846"/>
      <c r="O11" s="201">
        <f>IF(An_Tnet,Salim_2021,'2020'!Salim)</f>
        <v>0.08</v>
      </c>
      <c r="P11" s="255">
        <f>Ttai_2021</f>
        <v>43101</v>
      </c>
      <c r="Q11" s="271">
        <f>Dens_2021</f>
        <v>0.5</v>
      </c>
      <c r="R11" s="276"/>
      <c r="S11" s="229"/>
      <c r="T11" s="229"/>
      <c r="U11" s="265">
        <f>Htf_2021</f>
        <v>0.73477560624877492</v>
      </c>
      <c r="V11" s="19"/>
      <c r="W11" s="838"/>
      <c r="X11" s="234" t="s">
        <v>43</v>
      </c>
      <c r="Y11" s="50">
        <f>Z$9-Prod_an_s</f>
        <v>258.49486271125897</v>
      </c>
      <c r="Z11" s="51">
        <f>(AA$9-Z$9)*Prod_an_s/Z$9</f>
        <v>566.84306773736978</v>
      </c>
      <c r="AA11" s="185">
        <f>(AB$9-AA$9)*Prod_an_s/AA$9</f>
        <v>2.1549546989928352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136.89361822491864</v>
      </c>
      <c r="AK11" s="836">
        <f>IF($AK7=0,0,($AK9-$AK7)*$AK5/$AK7)</f>
        <v>0</v>
      </c>
      <c r="AL11" s="835">
        <f>IF($AL7=0,0,($AL9-$AL7)*$AL5/$AL7)</f>
        <v>136.89361822491864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4.6119466503605766E-2</v>
      </c>
      <c r="K12" s="190"/>
      <c r="L12" s="211">
        <f>Pspv_2021</f>
        <v>-1.1999999999999999E-3</v>
      </c>
      <c r="M12" s="211"/>
      <c r="N12" s="211"/>
      <c r="O12" s="204">
        <f>IF(An_Tnet,Tau_2021*365,'2020'!Tau_j)</f>
        <v>949</v>
      </c>
      <c r="P12" s="280">
        <f>INDEX(Croivg,MIN(MAX(Ttai-$A$15,0)+1,366))</f>
        <v>2.3909964587625958E-6</v>
      </c>
      <c r="Q12" s="279">
        <f>'2020'!Df</f>
        <v>0.5</v>
      </c>
      <c r="R12" s="277"/>
      <c r="S12" s="278"/>
      <c r="T12" s="278"/>
      <c r="U12" s="266">
        <f>'2020'!Hdf</f>
        <v>0.43477560624877493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'2020'!Df_s</f>
        <v>0.5</v>
      </c>
      <c r="AF12" s="202"/>
      <c r="AG12" s="202"/>
      <c r="AH12" s="202"/>
      <c r="AI12" s="296">
        <f>'2020'!Hdf_s</f>
        <v>0.43477560624877493</v>
      </c>
      <c r="AJ12" s="835">
        <f>IF($AJ8=0,0,($AJ10-$AJ8)*$AJ6/$AJ8)</f>
        <v>112.95963941677159</v>
      </c>
      <c r="AK12" s="836">
        <f>IF($AK8=0,0,($AK10-$AK8)*$AK6/$AK8)</f>
        <v>2.2191368537490663</v>
      </c>
      <c r="AL12" s="835">
        <f>IF($AL8=0,0,($AL10-$AL8)*$AL6/$AL8)</f>
        <v>429.91514168591021</v>
      </c>
      <c r="AM12" s="836">
        <f>IF($AM8=0,0,($AM10-$AM8)*$AM6/$AM8)</f>
        <v>2.1549546989928352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267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249.85325764169022</v>
      </c>
      <c r="AK13" s="73">
        <f>+AK11+AK12</f>
        <v>2.2191368537490663</v>
      </c>
      <c r="AL13" s="73">
        <f>+AL11+AL12</f>
        <v>566.80875991082883</v>
      </c>
      <c r="AM13" s="73">
        <f>+AM11+AM12</f>
        <v>2.1549546989928352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2021</v>
      </c>
      <c r="W14" s="840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44197</v>
      </c>
      <c r="B15" s="615">
        <v>12.318</v>
      </c>
      <c r="C15" s="389"/>
      <c r="D15" s="392">
        <f t="shared" ref="D15:D78" si="0">Wh/(1-Ppv)</f>
        <v>12.576167628398329</v>
      </c>
      <c r="E15" s="399">
        <f t="shared" ref="E15:E79" si="1">Wh_pvt/(1-Psa)</f>
        <v>13.158006830986102</v>
      </c>
      <c r="F15" s="399">
        <f t="shared" ref="F15:F78" si="2">Wh_sa/(1-Pvg*MEDIAN((-Sdif+Wh/Env_an)/Csdif,0,1))</f>
        <v>13.159208980386955</v>
      </c>
      <c r="G15" s="123">
        <f>+Wh_hp/MaxiM</f>
        <v>0.50555203616071365</v>
      </c>
      <c r="H15" s="413" t="b">
        <f>Wh_hp&gt;='2020'!Maxi_hp</f>
        <v>0</v>
      </c>
      <c r="I15" s="378">
        <f>IF(H15,Wh_hp,'2020'!Maxi_hp)</f>
        <v>15.847478497595024</v>
      </c>
      <c r="J15" s="84">
        <f>IF(H15,An,'2020'!An_max)</f>
        <v>2020</v>
      </c>
      <c r="K15" s="196">
        <f t="shared" ref="K15:K78" si="3">t</f>
        <v>44197</v>
      </c>
      <c r="L15" s="146">
        <f>IF(t&lt;Tvie,1-EXP((T0-t)*PertePVj)+'2020'!Pspv,1-EXP((T0-t)*PertePVj)+Pspv)</f>
        <v>2.0528322778980646E-2</v>
      </c>
      <c r="M15" s="847"/>
      <c r="N15" s="847"/>
      <c r="O15" s="48">
        <f>IF(t&lt;Tnet,'2020'!Resal+('2020'!Salim-'2020'!Resal)*(1-EXP(('2020'!Tnet-t)/('2020'!Tau_j))),Resal+(Salim-Resal)*(1-EXP((Tnet-t)/(Tau_j))))*Salcycl</f>
        <v>4.4219402684727759E-2</v>
      </c>
      <c r="P15" s="301">
        <f>(INDEX(Models!$BJ15:$BT15,,T15)*(1-R15)+INDEX(Models!$BJ15:$BT15,,T15+1)*R15-ERP_i)*Q15*Ramure*Pc/MaxiM</f>
        <v>3.1093553931791978E-4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0.43477632354771256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49">
        <f t="shared" ref="U15:U78" si="8">IF(OR(t&lt;Ttai,Notai),Hdd+PousH*Croivg,Hdtf+PousH*(Croivg-Croi_tai))</f>
        <v>0.43477632354771256</v>
      </c>
      <c r="V15" s="381">
        <f t="shared" ref="V15:V78" si="9">MaxiM*(1-Ppv)*(1-Pvg)*(1-Psa)</f>
        <v>24.360093658877719</v>
      </c>
      <c r="W15" s="401"/>
      <c r="X15" s="156">
        <f t="shared" ref="X15:X78" si="10">t</f>
        <v>44197</v>
      </c>
      <c r="Y15" s="384">
        <f t="shared" ref="Y15:Y78" si="11">Wh_pvt_s*(1-Ppv)</f>
        <v>12.318</v>
      </c>
      <c r="Z15" s="384">
        <f t="shared" ref="Z15:Z78" si="12">Wh_sa_s*(1-Psa_s)</f>
        <v>12.576167628398329</v>
      </c>
      <c r="AA15" s="385">
        <f t="shared" ref="AA15:AA78" si="13">Wh_hp*(1-Pvg_s*MEDIAN((-Sdif+Wh/Env_an)/Csdif,0,1))</f>
        <v>13.158006830986102</v>
      </c>
      <c r="AB15" s="196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4.4219402684727759E-2</v>
      </c>
      <c r="AD15" s="230">
        <f>(INDEX(Models!$BJ15:$BT15,,AH15)*(1-AF15)+INDEX(Models!$BJ15:$BT15,,AH15+1)*AF15-ERP_i)*AE15*Ramure*Pc/MaxiM</f>
        <v>3.1093553931791978E-4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0.43477632354771256</v>
      </c>
      <c r="AG15" s="813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0.43477632354771256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44198</v>
      </c>
      <c r="B16" s="616">
        <v>3.7370000000000001</v>
      </c>
      <c r="C16" s="389"/>
      <c r="D16" s="392">
        <f t="shared" si="0"/>
        <v>3.8154057320845238</v>
      </c>
      <c r="E16" s="384">
        <f t="shared" si="1"/>
        <v>3.9920325225136595</v>
      </c>
      <c r="F16" s="384">
        <f t="shared" si="2"/>
        <v>3.9920325225136595</v>
      </c>
      <c r="G16" s="110">
        <f t="shared" ref="G16:G79" si="21">+Wh_hp/MaxiM</f>
        <v>0.15242031061091749</v>
      </c>
      <c r="H16" s="413" t="b">
        <f>Wh_hp&gt;='2020'!Maxi_hp</f>
        <v>0</v>
      </c>
      <c r="I16" s="379">
        <f>IF(H16,Wh_hp,'2020'!Maxi_hp)</f>
        <v>25.015272489823854</v>
      </c>
      <c r="J16" s="85">
        <f>IF(H16,An,'2020'!An_max)</f>
        <v>2020</v>
      </c>
      <c r="K16" s="196">
        <f t="shared" si="3"/>
        <v>44198</v>
      </c>
      <c r="L16" s="147">
        <f>IF(t&lt;Tvie,1-EXP((T0-t)*PertePVj)+'2020'!Pspv,1-EXP((T0-t)*PertePVj)+Pspv)</f>
        <v>2.054977572245964E-2</v>
      </c>
      <c r="M16" s="847"/>
      <c r="N16" s="847"/>
      <c r="O16" s="48">
        <f>IF(t&lt;Tnet,'2020'!Resal+('2020'!Salim-'2020'!Resal)*(1-EXP(('2020'!Tnet-t)/('2020'!Tau_j))),Resal+(Salim-Resal)*(1-EXP((Tnet-t)/(Tau_j))))*Salcycl</f>
        <v>4.4244827524080245E-2</v>
      </c>
      <c r="P16" s="168">
        <f>(INDEX(Models!$BJ16:$BT16,,T16)*(1-R16)+INDEX(Models!$BJ16:$BT16,,T16+1)*R16-ERP_i)*Q16*Ramure*Pc/MaxiM</f>
        <v>3.1259966713660772E-4</v>
      </c>
      <c r="Q16" s="304">
        <f t="shared" si="4"/>
        <v>0.5</v>
      </c>
      <c r="R16" s="176">
        <f t="shared" si="5"/>
        <v>0.43479385231610912</v>
      </c>
      <c r="S16" s="814">
        <f t="shared" si="6"/>
        <v>0</v>
      </c>
      <c r="T16" s="175">
        <f t="shared" si="7"/>
        <v>6</v>
      </c>
      <c r="U16" s="250">
        <f t="shared" si="8"/>
        <v>0.43479385231610912</v>
      </c>
      <c r="V16" s="382">
        <f t="shared" si="9"/>
        <v>24.510065620981109</v>
      </c>
      <c r="W16" s="401"/>
      <c r="X16" s="157">
        <f t="shared" si="10"/>
        <v>44198</v>
      </c>
      <c r="Y16" s="384">
        <f t="shared" si="11"/>
        <v>3.7370000000000001</v>
      </c>
      <c r="Z16" s="384">
        <f t="shared" si="12"/>
        <v>3.8154057320845238</v>
      </c>
      <c r="AA16" s="385">
        <f t="shared" si="13"/>
        <v>3.9920325225136595</v>
      </c>
      <c r="AB16" s="196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4.4244827524080245E-2</v>
      </c>
      <c r="AD16" s="230">
        <f>(INDEX(Models!$BJ16:$BT16,,AH16)*(1-AF16)+INDEX(Models!$BJ16:$BT16,,AH16+1)*AF16-ERP_i)*AE16*Ramure*Pc/MaxiM</f>
        <v>3.1259966713660772E-4</v>
      </c>
      <c r="AE16" s="304">
        <f t="shared" si="15"/>
        <v>0.5</v>
      </c>
      <c r="AF16" s="176">
        <f t="shared" ref="AF16:AF78" si="22">(Hp_vg_s-AG16)/(INDEX(Echel_vg,AH16+1)-AG16)</f>
        <v>0.43479385231610912</v>
      </c>
      <c r="AG16" s="814">
        <f t="shared" ref="AG16:AG79" si="23">INDEX(Echel_vg,AH16)</f>
        <v>0</v>
      </c>
      <c r="AH16" s="175">
        <f t="shared" si="16"/>
        <v>6</v>
      </c>
      <c r="AI16" s="224">
        <f t="shared" si="17"/>
        <v>0.43479385231610912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44199</v>
      </c>
      <c r="B17" s="616">
        <v>24.373000000000001</v>
      </c>
      <c r="C17" s="389"/>
      <c r="D17" s="392">
        <f t="shared" si="0"/>
        <v>24.884913228666147</v>
      </c>
      <c r="E17" s="384">
        <f t="shared" si="1"/>
        <v>26.037606427392966</v>
      </c>
      <c r="F17" s="384">
        <f t="shared" si="2"/>
        <v>26.04565973875912</v>
      </c>
      <c r="G17" s="110">
        <f t="shared" si="21"/>
        <v>0.98797739486088521</v>
      </c>
      <c r="H17" s="413" t="b">
        <f>Wh_hp&gt;='2020'!Maxi_hp</f>
        <v>0</v>
      </c>
      <c r="I17" s="379">
        <f>IF(H17,Wh_hp,'2020'!Maxi_hp)</f>
        <v>27.472426453662738</v>
      </c>
      <c r="J17" s="85">
        <f>IF(H17,An,'2020'!An_max)</f>
        <v>2019</v>
      </c>
      <c r="K17" s="196">
        <f t="shared" si="3"/>
        <v>44199</v>
      </c>
      <c r="L17" s="147">
        <f>IF(t&lt;Tvie,1-EXP((T0-t)*PertePVj)+'2020'!Pspv,1-EXP((T0-t)*PertePVj)+Pspv)</f>
        <v>2.0571228196064051E-2</v>
      </c>
      <c r="M17" s="847"/>
      <c r="N17" s="847"/>
      <c r="O17" s="48">
        <f>IF(t&lt;Tnet,'2020'!Resal+('2020'!Salim-'2020'!Resal)*(1-EXP(('2020'!Tnet-t)/('2020'!Tau_j))),Resal+(Salim-Resal)*(1-EXP((Tnet-t)/(Tau_j))))*Salcycl</f>
        <v>4.4270321158020362E-2</v>
      </c>
      <c r="P17" s="168">
        <f>(INDEX(Models!$BJ17:$BT17,,T17)*(1-R17)+INDEX(Models!$BJ17:$BT17,,T17+1)*R17-ERP_i)*Q17*Ramure*Pc/MaxiM</f>
        <v>3.1460066032764299E-4</v>
      </c>
      <c r="Q17" s="304">
        <f t="shared" si="4"/>
        <v>0.5</v>
      </c>
      <c r="R17" s="176">
        <f t="shared" si="5"/>
        <v>0.43481211427340283</v>
      </c>
      <c r="S17" s="814">
        <f t="shared" si="6"/>
        <v>0</v>
      </c>
      <c r="T17" s="175">
        <f t="shared" si="7"/>
        <v>6</v>
      </c>
      <c r="U17" s="250">
        <f t="shared" si="8"/>
        <v>0.43481211427340283</v>
      </c>
      <c r="V17" s="382">
        <f t="shared" si="9"/>
        <v>24.669459493274701</v>
      </c>
      <c r="W17" s="401"/>
      <c r="X17" s="157">
        <f t="shared" si="10"/>
        <v>44199</v>
      </c>
      <c r="Y17" s="384">
        <f t="shared" si="11"/>
        <v>24.373000000000001</v>
      </c>
      <c r="Z17" s="384">
        <f t="shared" si="12"/>
        <v>24.884913228666147</v>
      </c>
      <c r="AA17" s="385">
        <f t="shared" si="13"/>
        <v>26.037606427392966</v>
      </c>
      <c r="AB17" s="196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4.4270321158020362E-2</v>
      </c>
      <c r="AD17" s="230">
        <f>(INDEX(Models!$BJ17:$BT17,,AH17)*(1-AF17)+INDEX(Models!$BJ17:$BT17,,AH17+1)*AF17-ERP_i)*AE17*Ramure*Pc/MaxiM</f>
        <v>3.1460066032764299E-4</v>
      </c>
      <c r="AE17" s="304">
        <f t="shared" si="15"/>
        <v>0.5</v>
      </c>
      <c r="AF17" s="176">
        <f>(Hp_vg_s-AG17)/(INDEX(Echel_vg,AH17+1)-AG17)</f>
        <v>0.43481211427340283</v>
      </c>
      <c r="AG17" s="814">
        <f>INDEX(Echel_vg,AH17)</f>
        <v>0</v>
      </c>
      <c r="AH17" s="175">
        <f t="shared" si="16"/>
        <v>6</v>
      </c>
      <c r="AI17" s="224">
        <f t="shared" si="17"/>
        <v>0.43481211427340283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44200</v>
      </c>
      <c r="B18" s="616">
        <v>22.827999999999999</v>
      </c>
      <c r="C18" s="389"/>
      <c r="D18" s="392">
        <f t="shared" si="0"/>
        <v>23.307973647426927</v>
      </c>
      <c r="E18" s="384">
        <f t="shared" si="1"/>
        <v>24.38827352483321</v>
      </c>
      <c r="F18" s="384">
        <f t="shared" si="2"/>
        <v>24.395111484945431</v>
      </c>
      <c r="G18" s="110">
        <f t="shared" si="21"/>
        <v>0.9190523005374186</v>
      </c>
      <c r="H18" s="413" t="b">
        <f>Wh_hp&gt;='2020'!Maxi_hp</f>
        <v>0</v>
      </c>
      <c r="I18" s="379">
        <f>IF(H18,Wh_hp,'2020'!Maxi_hp)</f>
        <v>24.427777295299801</v>
      </c>
      <c r="J18" s="85">
        <f>IF(H18,An,'2020'!An_max)</f>
        <v>2019</v>
      </c>
      <c r="K18" s="196">
        <f t="shared" si="3"/>
        <v>44200</v>
      </c>
      <c r="L18" s="147">
        <f>IF(t&lt;Tvie,1-EXP((T0-t)*PertePVj)+'2020'!Pspv,1-EXP((T0-t)*PertePVj)+Pspv)</f>
        <v>2.0592680199804203E-2</v>
      </c>
      <c r="M18" s="847"/>
      <c r="N18" s="847"/>
      <c r="O18" s="48">
        <f>IF(t&lt;Tnet,'2020'!Resal+('2020'!Salim-'2020'!Resal)*(1-EXP(('2020'!Tnet-t)/('2020'!Tau_j))),Resal+(Salim-Resal)*(1-EXP((Tnet-t)/(Tau_j))))*Salcycl</f>
        <v>4.429587343713666E-2</v>
      </c>
      <c r="P18" s="168">
        <f>(INDEX(Models!$BJ18:$BT18,,T18)*(1-R18)+INDEX(Models!$BJ18:$BT18,,T18+1)*R18-ERP_i)*Q18*Ramure*Pc/MaxiM</f>
        <v>3.169354556049082E-4</v>
      </c>
      <c r="Q18" s="304">
        <f t="shared" si="4"/>
        <v>0.5</v>
      </c>
      <c r="R18" s="176">
        <f t="shared" si="5"/>
        <v>0.43483113999217993</v>
      </c>
      <c r="S18" s="814">
        <f t="shared" si="6"/>
        <v>0</v>
      </c>
      <c r="T18" s="175">
        <f t="shared" si="7"/>
        <v>6</v>
      </c>
      <c r="U18" s="250">
        <f t="shared" si="8"/>
        <v>0.43483113999217993</v>
      </c>
      <c r="V18" s="382">
        <f t="shared" si="9"/>
        <v>24.83771973334516</v>
      </c>
      <c r="W18" s="401"/>
      <c r="X18" s="157">
        <f t="shared" si="10"/>
        <v>44200</v>
      </c>
      <c r="Y18" s="384">
        <f t="shared" si="11"/>
        <v>22.827999999999999</v>
      </c>
      <c r="Z18" s="384">
        <f>Wh_sa_s*(1-Psa_s)</f>
        <v>23.307973647426927</v>
      </c>
      <c r="AA18" s="385">
        <f t="shared" si="13"/>
        <v>24.38827352483321</v>
      </c>
      <c r="AB18" s="196">
        <f>t</f>
        <v>44200</v>
      </c>
      <c r="AC18" s="119">
        <f>IF(OR(t&lt;Tnet,NoTnet),'2020'!Resal_s+('2020'!Salim-'2020'!Resal_s)*(1-EXP(('2020'!Tnet_s-t)/'2020'!Tau_j)),Resal_s+(Salim-Resal_s)*(1-EXP((Tnet_s-t)/Tau_j)))*Salcycl</f>
        <v>4.429587343713666E-2</v>
      </c>
      <c r="AD18" s="230">
        <f>(INDEX(Models!$BJ18:$BT18,,AH18)*(1-AF18)+INDEX(Models!$BJ18:$BT18,,AH18+1)*AF18-ERP_i)*AE18*Ramure*Pc/MaxiM</f>
        <v>3.169354556049082E-4</v>
      </c>
      <c r="AE18" s="304">
        <f t="shared" si="15"/>
        <v>0.5</v>
      </c>
      <c r="AF18" s="176">
        <f t="shared" si="22"/>
        <v>0.43483113999217993</v>
      </c>
      <c r="AG18" s="814">
        <f t="shared" si="23"/>
        <v>0</v>
      </c>
      <c r="AH18" s="175">
        <f t="shared" si="16"/>
        <v>6</v>
      </c>
      <c r="AI18" s="224">
        <f t="shared" si="17"/>
        <v>0.43483113999217993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44201</v>
      </c>
      <c r="B19" s="616">
        <v>2.9569999999999999</v>
      </c>
      <c r="C19" s="389"/>
      <c r="D19" s="392">
        <f t="shared" si="0"/>
        <v>3.0192389902811501</v>
      </c>
      <c r="E19" s="384">
        <f t="shared" si="1"/>
        <v>3.1592621503526273</v>
      </c>
      <c r="F19" s="384">
        <f t="shared" si="2"/>
        <v>3.1592621503526273</v>
      </c>
      <c r="G19" s="110">
        <f t="shared" si="21"/>
        <v>0.11817464485914228</v>
      </c>
      <c r="H19" s="413" t="b">
        <f>Wh_hp&gt;='2020'!Maxi_hp</f>
        <v>0</v>
      </c>
      <c r="I19" s="379">
        <f>IF(H19,Wh_hp,'2020'!Maxi_hp)</f>
        <v>27.076162439381022</v>
      </c>
      <c r="J19" s="85">
        <f>IF(H19,An,'2020'!An_max)</f>
        <v>2019</v>
      </c>
      <c r="K19" s="196">
        <f t="shared" si="3"/>
        <v>44201</v>
      </c>
      <c r="L19" s="147">
        <f>IF(t&lt;Tvie,1-EXP((T0-t)*PertePVj)+'2020'!Pspv,1-EXP((T0-t)*PertePVj)+Pspv)</f>
        <v>2.0614131733690422E-2</v>
      </c>
      <c r="M19" s="847"/>
      <c r="N19" s="847"/>
      <c r="O19" s="48">
        <f>IF(t&lt;Tnet,'2020'!Resal+('2020'!Salim-'2020'!Resal)*(1-EXP(('2020'!Tnet-t)/('2020'!Tau_j))),Resal+(Salim-Resal)*(1-EXP((Tnet-t)/(Tau_j))))*Salcycl</f>
        <v>4.4321475524229055E-2</v>
      </c>
      <c r="P19" s="168">
        <f>(INDEX(Models!$BJ19:$BT19,,T19)*(1-R19)+INDEX(Models!$BJ19:$BT19,,T19+1)*R19-ERP_i)*Q19*Ramure*Pc/MaxiM</f>
        <v>3.196006706766651E-4</v>
      </c>
      <c r="Q19" s="304">
        <f t="shared" si="4"/>
        <v>0.5</v>
      </c>
      <c r="R19" s="176">
        <f t="shared" si="5"/>
        <v>0.43485096131171691</v>
      </c>
      <c r="S19" s="814">
        <f t="shared" si="6"/>
        <v>0</v>
      </c>
      <c r="T19" s="175">
        <f t="shared" si="7"/>
        <v>6</v>
      </c>
      <c r="U19" s="250">
        <f t="shared" si="8"/>
        <v>0.43485096131171691</v>
      </c>
      <c r="V19" s="382">
        <f t="shared" si="9"/>
        <v>25.014290877203521</v>
      </c>
      <c r="W19" s="401"/>
      <c r="X19" s="157">
        <f t="shared" si="10"/>
        <v>44201</v>
      </c>
      <c r="Y19" s="384">
        <f t="shared" si="11"/>
        <v>2.9569999999999999</v>
      </c>
      <c r="Z19" s="384">
        <f t="shared" si="12"/>
        <v>3.0192389902811501</v>
      </c>
      <c r="AA19" s="385">
        <f t="shared" si="13"/>
        <v>3.1592621503526273</v>
      </c>
      <c r="AB19" s="196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4.4321475524229055E-2</v>
      </c>
      <c r="AD19" s="230">
        <f>(INDEX(Models!$BJ19:$BT19,,AH19)*(1-AF19)+INDEX(Models!$BJ19:$BT19,,AH19+1)*AF19-ERP_i)*AE19*Ramure*Pc/MaxiM</f>
        <v>3.196006706766651E-4</v>
      </c>
      <c r="AE19" s="304">
        <f t="shared" si="15"/>
        <v>0.5</v>
      </c>
      <c r="AF19" s="176">
        <f t="shared" si="22"/>
        <v>0.43485096131171691</v>
      </c>
      <c r="AG19" s="814">
        <f t="shared" si="23"/>
        <v>0</v>
      </c>
      <c r="AH19" s="175">
        <f t="shared" si="16"/>
        <v>6</v>
      </c>
      <c r="AI19" s="224">
        <f t="shared" si="17"/>
        <v>0.43485096131171691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44202</v>
      </c>
      <c r="B20" s="616">
        <v>7.9130000000000003</v>
      </c>
      <c r="C20" s="389"/>
      <c r="D20" s="392">
        <f t="shared" si="0"/>
        <v>8.0797299360792874</v>
      </c>
      <c r="E20" s="384">
        <f t="shared" si="1"/>
        <v>8.4546702091809447</v>
      </c>
      <c r="F20" s="384">
        <f t="shared" si="2"/>
        <v>8.4547248558748329</v>
      </c>
      <c r="G20" s="110">
        <f t="shared" si="21"/>
        <v>0.31392589068383608</v>
      </c>
      <c r="H20" s="413" t="b">
        <f>Wh_hp&gt;='2020'!Maxi_hp</f>
        <v>0</v>
      </c>
      <c r="I20" s="379">
        <f>IF(H20,Wh_hp,'2020'!Maxi_hp)</f>
        <v>27.024657247697341</v>
      </c>
      <c r="J20" s="85">
        <f>IF(H20,An,'2020'!An_max)</f>
        <v>2020</v>
      </c>
      <c r="K20" s="196">
        <f t="shared" si="3"/>
        <v>44202</v>
      </c>
      <c r="L20" s="147">
        <f>IF(t&lt;Tvie,1-EXP((T0-t)*PertePVj)+'2020'!Pspv,1-EXP((T0-t)*PertePVj)+Pspv)</f>
        <v>2.0635582797733032E-2</v>
      </c>
      <c r="M20" s="847"/>
      <c r="N20" s="847"/>
      <c r="O20" s="48">
        <f>IF(t&lt;Tnet,'2020'!Resal+('2020'!Salim-'2020'!Resal)*(1-EXP(('2020'!Tnet-t)/('2020'!Tau_j))),Resal+(Salim-Resal)*(1-EXP((Tnet-t)/(Tau_j))))*Salcycl</f>
        <v>4.4347119855072469E-2</v>
      </c>
      <c r="P20" s="168">
        <f>(INDEX(Models!$BJ20:$BT20,,T20)*(1-R20)+INDEX(Models!$BJ20:$BT20,,T20+1)*R20-ERP_i)*Q20*Ramure*Pc/MaxiM</f>
        <v>3.2259268084148038E-4</v>
      </c>
      <c r="Q20" s="304">
        <f t="shared" si="4"/>
        <v>0.5</v>
      </c>
      <c r="R20" s="176">
        <f t="shared" si="5"/>
        <v>0.43487161138976732</v>
      </c>
      <c r="S20" s="814">
        <f t="shared" si="6"/>
        <v>0</v>
      </c>
      <c r="T20" s="175">
        <f t="shared" si="7"/>
        <v>6</v>
      </c>
      <c r="U20" s="250">
        <f t="shared" si="8"/>
        <v>0.43487161138976732</v>
      </c>
      <c r="V20" s="382">
        <f t="shared" si="9"/>
        <v>25.198617533578908</v>
      </c>
      <c r="W20" s="401"/>
      <c r="X20" s="157">
        <f t="shared" si="10"/>
        <v>44202</v>
      </c>
      <c r="Y20" s="384">
        <f t="shared" si="11"/>
        <v>7.9130000000000011</v>
      </c>
      <c r="Z20" s="384">
        <f t="shared" si="12"/>
        <v>8.0797299360792874</v>
      </c>
      <c r="AA20" s="385">
        <f t="shared" si="13"/>
        <v>8.4546702091809447</v>
      </c>
      <c r="AB20" s="196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4.4347119855072469E-2</v>
      </c>
      <c r="AD20" s="230">
        <f>(INDEX(Models!$BJ20:$BT20,,AH20)*(1-AF20)+INDEX(Models!$BJ20:$BT20,,AH20+1)*AF20-ERP_i)*AE20*Ramure*Pc/MaxiM</f>
        <v>3.2259268084148038E-4</v>
      </c>
      <c r="AE20" s="304">
        <f t="shared" si="15"/>
        <v>0.5</v>
      </c>
      <c r="AF20" s="176">
        <f t="shared" si="22"/>
        <v>0.43487161138976732</v>
      </c>
      <c r="AG20" s="814">
        <f t="shared" si="23"/>
        <v>0</v>
      </c>
      <c r="AH20" s="175">
        <f t="shared" si="16"/>
        <v>6</v>
      </c>
      <c r="AI20" s="224">
        <f t="shared" si="17"/>
        <v>0.43487161138976732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44203</v>
      </c>
      <c r="B21" s="616">
        <v>13.131</v>
      </c>
      <c r="C21" s="389"/>
      <c r="D21" s="392">
        <f t="shared" si="0"/>
        <v>13.407968860468827</v>
      </c>
      <c r="E21" s="384">
        <f t="shared" si="1"/>
        <v>14.030543355945722</v>
      </c>
      <c r="F21" s="384">
        <f t="shared" si="2"/>
        <v>14.031962129731935</v>
      </c>
      <c r="G21" s="110">
        <f t="shared" si="21"/>
        <v>0.51705290377355084</v>
      </c>
      <c r="H21" s="413" t="b">
        <f>Wh_hp&gt;='2020'!Maxi_hp</f>
        <v>1</v>
      </c>
      <c r="I21" s="379">
        <f>IF(H21,Wh_hp,'2020'!Maxi_hp)</f>
        <v>14.031962129731935</v>
      </c>
      <c r="J21" s="85">
        <f>IF(H21,An,'2020'!An_max)</f>
        <v>2021</v>
      </c>
      <c r="K21" s="196">
        <f t="shared" si="3"/>
        <v>44203</v>
      </c>
      <c r="L21" s="147">
        <f>IF(t&lt;Tvie,1-EXP((T0-t)*PertePVj)+'2020'!Pspv,1-EXP((T0-t)*PertePVj)+Pspv)</f>
        <v>2.0657033391942248E-2</v>
      </c>
      <c r="M21" s="847"/>
      <c r="N21" s="847"/>
      <c r="O21" s="48">
        <f>IF(t&lt;Tnet,'2020'!Resal+('2020'!Salim-'2020'!Resal)*(1-EXP(('2020'!Tnet-t)/('2020'!Tau_j))),Resal+(Salim-Resal)*(1-EXP((Tnet-t)/(Tau_j))))*Salcycl</f>
        <v>4.4372800089247225E-2</v>
      </c>
      <c r="P21" s="168">
        <f>(INDEX(Models!$BJ21:$BT21,,T21)*(1-R21)+INDEX(Models!$BJ21:$BT21,,T21+1)*R21-ERP_i)*Q21*Ramure*Pc/MaxiM</f>
        <v>3.2590769333165479E-4</v>
      </c>
      <c r="Q21" s="304">
        <f t="shared" si="4"/>
        <v>0.5</v>
      </c>
      <c r="R21" s="176">
        <f t="shared" si="5"/>
        <v>0.43489312475640524</v>
      </c>
      <c r="S21" s="814">
        <f t="shared" si="6"/>
        <v>0</v>
      </c>
      <c r="T21" s="175">
        <f t="shared" si="7"/>
        <v>6</v>
      </c>
      <c r="U21" s="250">
        <f t="shared" si="8"/>
        <v>0.43489312475640524</v>
      </c>
      <c r="V21" s="382">
        <f t="shared" si="9"/>
        <v>25.390144391705011</v>
      </c>
      <c r="W21" s="401"/>
      <c r="X21" s="157">
        <f t="shared" si="10"/>
        <v>44203</v>
      </c>
      <c r="Y21" s="384">
        <f t="shared" si="11"/>
        <v>13.131</v>
      </c>
      <c r="Z21" s="384">
        <f t="shared" si="12"/>
        <v>13.407968860468827</v>
      </c>
      <c r="AA21" s="385">
        <f t="shared" si="13"/>
        <v>14.030543355945722</v>
      </c>
      <c r="AB21" s="196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4.4372800089247225E-2</v>
      </c>
      <c r="AD21" s="230">
        <f>(INDEX(Models!$BJ21:$BT21,,AH21)*(1-AF21)+INDEX(Models!$BJ21:$BT21,,AH21+1)*AF21-ERP_i)*AE21*Ramure*Pc/MaxiM</f>
        <v>3.2590769333165479E-4</v>
      </c>
      <c r="AE21" s="304">
        <f t="shared" si="15"/>
        <v>0.5</v>
      </c>
      <c r="AF21" s="176">
        <f t="shared" si="22"/>
        <v>0.43489312475640524</v>
      </c>
      <c r="AG21" s="814">
        <f t="shared" si="23"/>
        <v>0</v>
      </c>
      <c r="AH21" s="175">
        <f t="shared" si="16"/>
        <v>6</v>
      </c>
      <c r="AI21" s="224">
        <f t="shared" si="17"/>
        <v>0.43489312475640524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44204</v>
      </c>
      <c r="B22" s="616">
        <v>18.773</v>
      </c>
      <c r="C22" s="389"/>
      <c r="D22" s="392">
        <f t="shared" si="0"/>
        <v>19.169393997801546</v>
      </c>
      <c r="E22" s="384">
        <f t="shared" si="1"/>
        <v>20.060029436435435</v>
      </c>
      <c r="F22" s="384">
        <f t="shared" si="2"/>
        <v>20.064125599545072</v>
      </c>
      <c r="G22" s="110">
        <f t="shared" si="21"/>
        <v>0.73356314066671024</v>
      </c>
      <c r="H22" s="413" t="b">
        <f>Wh_hp&gt;='2020'!Maxi_hp</f>
        <v>1</v>
      </c>
      <c r="I22" s="379">
        <f>IF(H22,Wh_hp,'2020'!Maxi_hp)</f>
        <v>20.064125599545072</v>
      </c>
      <c r="J22" s="85">
        <f>IF(H22,An,'2020'!An_max)</f>
        <v>2021</v>
      </c>
      <c r="K22" s="196">
        <f t="shared" si="3"/>
        <v>44204</v>
      </c>
      <c r="L22" s="147">
        <f>IF(t&lt;Tvie,1-EXP((T0-t)*PertePVj)+'2020'!Pspv,1-EXP((T0-t)*PertePVj)+Pspv)</f>
        <v>2.0678483516328505E-2</v>
      </c>
      <c r="M22" s="847"/>
      <c r="N22" s="847"/>
      <c r="O22" s="48">
        <f>IF(t&lt;Tnet,'2020'!Resal+('2020'!Salim-'2020'!Resal)*(1-EXP(('2020'!Tnet-t)/('2020'!Tau_j))),Resal+(Salim-Resal)*(1-EXP((Tnet-t)/(Tau_j))))*Salcycl</f>
        <v>4.4398511051843809E-2</v>
      </c>
      <c r="P22" s="168">
        <f>(INDEX(Models!$BJ22:$BT22,,T22)*(1-R22)+INDEX(Models!$BJ22:$BT22,,T22+1)*R22-ERP_i)*Q22*Ramure*Pc/MaxiM</f>
        <v>3.2954181904649673E-4</v>
      </c>
      <c r="Q22" s="304">
        <f t="shared" si="4"/>
        <v>0.5</v>
      </c>
      <c r="R22" s="176">
        <f t="shared" si="5"/>
        <v>0.43491553737000355</v>
      </c>
      <c r="S22" s="814">
        <f t="shared" si="6"/>
        <v>0</v>
      </c>
      <c r="T22" s="175">
        <f t="shared" si="7"/>
        <v>6</v>
      </c>
      <c r="U22" s="250">
        <f t="shared" si="8"/>
        <v>0.43491553737000355</v>
      </c>
      <c r="V22" s="382">
        <f t="shared" si="9"/>
        <v>25.588316213525701</v>
      </c>
      <c r="W22" s="401"/>
      <c r="X22" s="157">
        <f t="shared" si="10"/>
        <v>44204</v>
      </c>
      <c r="Y22" s="384">
        <f t="shared" si="11"/>
        <v>18.773</v>
      </c>
      <c r="Z22" s="384">
        <f t="shared" si="12"/>
        <v>19.169393997801546</v>
      </c>
      <c r="AA22" s="385">
        <f t="shared" si="13"/>
        <v>20.060029436435435</v>
      </c>
      <c r="AB22" s="196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4.4398511051843809E-2</v>
      </c>
      <c r="AD22" s="230">
        <f>(INDEX(Models!$BJ22:$BT22,,AH22)*(1-AF22)+INDEX(Models!$BJ22:$BT22,,AH22+1)*AF22-ERP_i)*AE22*Ramure*Pc/MaxiM</f>
        <v>3.2954181904649673E-4</v>
      </c>
      <c r="AE22" s="304">
        <f t="shared" si="15"/>
        <v>0.5</v>
      </c>
      <c r="AF22" s="176">
        <f t="shared" si="22"/>
        <v>0.43491553737000355</v>
      </c>
      <c r="AG22" s="814">
        <f t="shared" si="23"/>
        <v>0</v>
      </c>
      <c r="AH22" s="175">
        <f t="shared" si="16"/>
        <v>6</v>
      </c>
      <c r="AI22" s="224">
        <f t="shared" si="17"/>
        <v>0.43491553737000355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44205</v>
      </c>
      <c r="B23" s="616">
        <v>4.7690000000000001</v>
      </c>
      <c r="C23" s="389"/>
      <c r="D23" s="392">
        <f t="shared" si="0"/>
        <v>4.8698046304047269</v>
      </c>
      <c r="E23" s="384">
        <f t="shared" si="1"/>
        <v>5.0961994625868927</v>
      </c>
      <c r="F23" s="384">
        <f t="shared" si="2"/>
        <v>5.0961994625868927</v>
      </c>
      <c r="G23" s="110">
        <f t="shared" si="21"/>
        <v>0.18481049016593504</v>
      </c>
      <c r="H23" s="413" t="b">
        <f>Wh_hp&gt;='2020'!Maxi_hp</f>
        <v>0</v>
      </c>
      <c r="I23" s="379">
        <f>IF(H23,Wh_hp,'2020'!Maxi_hp)</f>
        <v>26.291265960705861</v>
      </c>
      <c r="J23" s="85">
        <f>IF(H23,An,'2020'!An_max)</f>
        <v>2020</v>
      </c>
      <c r="K23" s="196">
        <f t="shared" si="3"/>
        <v>44205</v>
      </c>
      <c r="L23" s="147">
        <f>IF(t&lt;Tvie,1-EXP((T0-t)*PertePVj)+'2020'!Pspv,1-EXP((T0-t)*PertePVj)+Pspv)</f>
        <v>2.0699933170901907E-2</v>
      </c>
      <c r="M23" s="847"/>
      <c r="N23" s="847"/>
      <c r="O23" s="48">
        <f>IF(t&lt;Tnet,'2020'!Resal+('2020'!Salim-'2020'!Resal)*(1-EXP(('2020'!Tnet-t)/('2020'!Tau_j))),Resal+(Salim-Resal)*(1-EXP((Tnet-t)/(Tau_j))))*Salcycl</f>
        <v>4.4424248666916466E-2</v>
      </c>
      <c r="P23" s="168">
        <f>(INDEX(Models!$BJ23:$BT23,,T23)*(1-R23)+INDEX(Models!$BJ23:$BT23,,T23+1)*R23-ERP_i)*Q23*Ramure*Pc/MaxiM</f>
        <v>3.3344422880649379E-4</v>
      </c>
      <c r="Q23" s="304">
        <f t="shared" si="4"/>
        <v>0.5</v>
      </c>
      <c r="R23" s="176">
        <f t="shared" si="5"/>
        <v>0.43493888667542463</v>
      </c>
      <c r="S23" s="814">
        <f t="shared" si="6"/>
        <v>0</v>
      </c>
      <c r="T23" s="175">
        <f t="shared" si="7"/>
        <v>6</v>
      </c>
      <c r="U23" s="250">
        <f t="shared" si="8"/>
        <v>0.43493888667542463</v>
      </c>
      <c r="V23" s="382">
        <f t="shared" si="9"/>
        <v>25.796207781237563</v>
      </c>
      <c r="W23" s="401"/>
      <c r="X23" s="157">
        <f t="shared" si="10"/>
        <v>44205</v>
      </c>
      <c r="Y23" s="384">
        <f t="shared" si="11"/>
        <v>4.7690000000000001</v>
      </c>
      <c r="Z23" s="384">
        <f t="shared" si="12"/>
        <v>4.8698046304047269</v>
      </c>
      <c r="AA23" s="385">
        <f t="shared" si="13"/>
        <v>5.0961994625868927</v>
      </c>
      <c r="AB23" s="196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4.4424248666916466E-2</v>
      </c>
      <c r="AD23" s="230">
        <f>(INDEX(Models!$BJ23:$BT23,,AH23)*(1-AF23)+INDEX(Models!$BJ23:$BT23,,AH23+1)*AF23-ERP_i)*AE23*Ramure*Pc/MaxiM</f>
        <v>3.3344422880649379E-4</v>
      </c>
      <c r="AE23" s="304">
        <f t="shared" si="15"/>
        <v>0.5</v>
      </c>
      <c r="AF23" s="176">
        <f t="shared" si="22"/>
        <v>0.43493888667542463</v>
      </c>
      <c r="AG23" s="814">
        <f t="shared" si="23"/>
        <v>0</v>
      </c>
      <c r="AH23" s="175">
        <f t="shared" si="16"/>
        <v>6</v>
      </c>
      <c r="AI23" s="224">
        <f t="shared" si="17"/>
        <v>0.43493888667542463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44206</v>
      </c>
      <c r="B24" s="616">
        <v>4.4270000000000005</v>
      </c>
      <c r="C24" s="389"/>
      <c r="D24" s="392">
        <f t="shared" si="0"/>
        <v>4.5206746274612133</v>
      </c>
      <c r="E24" s="384">
        <f t="shared" si="1"/>
        <v>4.7309661181730718</v>
      </c>
      <c r="F24" s="384">
        <f t="shared" si="2"/>
        <v>4.7309661181730718</v>
      </c>
      <c r="G24" s="110">
        <f t="shared" si="21"/>
        <v>0.17010314465546963</v>
      </c>
      <c r="H24" s="413" t="b">
        <f>Wh_hp&gt;='2020'!Maxi_hp</f>
        <v>0</v>
      </c>
      <c r="I24" s="379">
        <f>IF(H24,Wh_hp,'2020'!Maxi_hp)</f>
        <v>14.840705904124258</v>
      </c>
      <c r="J24" s="85">
        <f>IF(H24,An,'2020'!An_max)</f>
        <v>2019</v>
      </c>
      <c r="K24" s="196">
        <f t="shared" si="3"/>
        <v>44206</v>
      </c>
      <c r="L24" s="147">
        <f>IF(t&lt;Tvie,1-EXP((T0-t)*PertePVj)+'2020'!Pspv,1-EXP((T0-t)*PertePVj)+Pspv)</f>
        <v>2.0721382355672779E-2</v>
      </c>
      <c r="M24" s="847"/>
      <c r="N24" s="847"/>
      <c r="O24" s="48">
        <f>IF(t&lt;Tnet,'2020'!Resal+('2020'!Salim-'2020'!Resal)*(1-EXP(('2020'!Tnet-t)/('2020'!Tau_j))),Resal+(Salim-Resal)*(1-EXP((Tnet-t)/(Tau_j))))*Salcycl</f>
        <v>4.4450009883618635E-2</v>
      </c>
      <c r="P24" s="168">
        <f>(INDEX(Models!$BJ24:$BT24,,T24)*(1-R24)+INDEX(Models!$BJ24:$BT24,,T24+1)*R24-ERP_i)*Q24*Ramure*Pc/MaxiM</f>
        <v>3.373967476617975E-4</v>
      </c>
      <c r="Q24" s="304">
        <f t="shared" si="4"/>
        <v>0.5</v>
      </c>
      <c r="R24" s="176">
        <f t="shared" si="5"/>
        <v>0.43496321166450636</v>
      </c>
      <c r="S24" s="814">
        <f t="shared" si="6"/>
        <v>0</v>
      </c>
      <c r="T24" s="175">
        <f t="shared" si="7"/>
        <v>6</v>
      </c>
      <c r="U24" s="250">
        <f t="shared" si="8"/>
        <v>0.43496321166450636</v>
      </c>
      <c r="V24" s="382">
        <f t="shared" si="9"/>
        <v>26.016605122507364</v>
      </c>
      <c r="W24" s="401"/>
      <c r="X24" s="157">
        <f t="shared" si="10"/>
        <v>44206</v>
      </c>
      <c r="Y24" s="384">
        <f t="shared" si="11"/>
        <v>4.4270000000000005</v>
      </c>
      <c r="Z24" s="384">
        <f t="shared" si="12"/>
        <v>4.5206746274612133</v>
      </c>
      <c r="AA24" s="385">
        <f t="shared" si="13"/>
        <v>4.7309661181730718</v>
      </c>
      <c r="AB24" s="196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4.4450009883618635E-2</v>
      </c>
      <c r="AD24" s="230">
        <f>(INDEX(Models!$BJ24:$BT24,,AH24)*(1-AF24)+INDEX(Models!$BJ24:$BT24,,AH24+1)*AF24-ERP_i)*AE24*Ramure*Pc/MaxiM</f>
        <v>3.373967476617975E-4</v>
      </c>
      <c r="AE24" s="304">
        <f t="shared" si="15"/>
        <v>0.5</v>
      </c>
      <c r="AF24" s="176">
        <f t="shared" si="22"/>
        <v>0.43496321166450636</v>
      </c>
      <c r="AG24" s="814">
        <f t="shared" si="23"/>
        <v>0</v>
      </c>
      <c r="AH24" s="175">
        <f t="shared" si="16"/>
        <v>6</v>
      </c>
      <c r="AI24" s="224">
        <f t="shared" si="17"/>
        <v>0.43496321166450636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44207</v>
      </c>
      <c r="B25" s="616">
        <v>6.8040000000000003</v>
      </c>
      <c r="C25" s="389"/>
      <c r="D25" s="392">
        <f t="shared" si="0"/>
        <v>6.948123757356834</v>
      </c>
      <c r="E25" s="384">
        <f t="shared" si="1"/>
        <v>7.2715308555433991</v>
      </c>
      <c r="F25" s="384">
        <f t="shared" si="2"/>
        <v>7.2715308555433991</v>
      </c>
      <c r="G25" s="110">
        <f t="shared" si="21"/>
        <v>0.25912618271741217</v>
      </c>
      <c r="H25" s="413" t="b">
        <f>Wh_hp&gt;='2020'!Maxi_hp</f>
        <v>0</v>
      </c>
      <c r="I25" s="379">
        <f>IF(H25,Wh_hp,'2020'!Maxi_hp)</f>
        <v>28.458572415915924</v>
      </c>
      <c r="J25" s="85">
        <f>IF(H25,An,'2020'!An_max)</f>
        <v>2020</v>
      </c>
      <c r="K25" s="196">
        <f t="shared" si="3"/>
        <v>44207</v>
      </c>
      <c r="L25" s="147">
        <f>IF(t&lt;Tvie,1-EXP((T0-t)*PertePVj)+'2020'!Pspv,1-EXP((T0-t)*PertePVj)+Pspv)</f>
        <v>2.0742831070651557E-2</v>
      </c>
      <c r="M25" s="847"/>
      <c r="N25" s="847"/>
      <c r="O25" s="48">
        <f>IF(t&lt;Tnet,'2020'!Resal+('2020'!Salim-'2020'!Resal)*(1-EXP(('2020'!Tnet-t)/('2020'!Tau_j))),Resal+(Salim-Resal)*(1-EXP((Tnet-t)/(Tau_j))))*Salcycl</f>
        <v>4.447579259600036E-2</v>
      </c>
      <c r="P25" s="168">
        <f>(INDEX(Models!$BJ25:$BT25,,T25)*(1-R25)+INDEX(Models!$BJ25:$BT25,,T25+1)*R25-ERP_i)*Q25*Ramure*Pc/MaxiM</f>
        <v>3.4124193588014009E-4</v>
      </c>
      <c r="Q25" s="304">
        <f t="shared" si="4"/>
        <v>0.5</v>
      </c>
      <c r="R25" s="176">
        <f t="shared" si="5"/>
        <v>0.43498855293892597</v>
      </c>
      <c r="S25" s="814">
        <f t="shared" si="6"/>
        <v>0</v>
      </c>
      <c r="T25" s="175">
        <f t="shared" si="7"/>
        <v>6</v>
      </c>
      <c r="U25" s="250">
        <f t="shared" si="8"/>
        <v>0.43498855293892597</v>
      </c>
      <c r="V25" s="382">
        <f t="shared" si="9"/>
        <v>26.248517685631882</v>
      </c>
      <c r="W25" s="401"/>
      <c r="X25" s="157">
        <f t="shared" si="10"/>
        <v>44207</v>
      </c>
      <c r="Y25" s="384">
        <f t="shared" si="11"/>
        <v>6.8040000000000003</v>
      </c>
      <c r="Z25" s="384">
        <f t="shared" si="12"/>
        <v>6.948123757356834</v>
      </c>
      <c r="AA25" s="385">
        <f t="shared" si="13"/>
        <v>7.2715308555433991</v>
      </c>
      <c r="AB25" s="196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4.447579259600036E-2</v>
      </c>
      <c r="AD25" s="230">
        <f>(INDEX(Models!$BJ25:$BT25,,AH25)*(1-AF25)+INDEX(Models!$BJ25:$BT25,,AH25+1)*AF25-ERP_i)*AE25*Ramure*Pc/MaxiM</f>
        <v>3.4124193588014009E-4</v>
      </c>
      <c r="AE25" s="304">
        <f t="shared" si="15"/>
        <v>0.5</v>
      </c>
      <c r="AF25" s="176">
        <f t="shared" si="22"/>
        <v>0.43498855293892597</v>
      </c>
      <c r="AG25" s="814">
        <f t="shared" si="23"/>
        <v>0</v>
      </c>
      <c r="AH25" s="175">
        <f t="shared" si="16"/>
        <v>6</v>
      </c>
      <c r="AI25" s="224">
        <f t="shared" si="17"/>
        <v>0.43498855293892597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44208</v>
      </c>
      <c r="B26" s="616">
        <v>16.144000000000002</v>
      </c>
      <c r="C26" s="389"/>
      <c r="D26" s="392">
        <f t="shared" si="0"/>
        <v>16.486326692331907</v>
      </c>
      <c r="E26" s="384">
        <f t="shared" si="1"/>
        <v>17.254164544576984</v>
      </c>
      <c r="F26" s="384">
        <f t="shared" si="2"/>
        <v>17.25679608766626</v>
      </c>
      <c r="G26" s="110">
        <f t="shared" si="21"/>
        <v>0.60929832127874872</v>
      </c>
      <c r="H26" s="413" t="b">
        <f>Wh_hp&gt;='2020'!Maxi_hp</f>
        <v>0</v>
      </c>
      <c r="I26" s="379">
        <f>IF(H26,Wh_hp,'2020'!Maxi_hp)</f>
        <v>28.636326712021056</v>
      </c>
      <c r="J26" s="85">
        <f>IF(H26,An,'2020'!An_max)</f>
        <v>2020</v>
      </c>
      <c r="K26" s="196">
        <f t="shared" si="3"/>
        <v>44208</v>
      </c>
      <c r="L26" s="147">
        <f>IF(t&lt;Tvie,1-EXP((T0-t)*PertePVj)+'2020'!Pspv,1-EXP((T0-t)*PertePVj)+Pspv)</f>
        <v>2.0764279315848344E-2</v>
      </c>
      <c r="M26" s="847"/>
      <c r="N26" s="847"/>
      <c r="O26" s="48">
        <f>IF(t&lt;Tnet,'2020'!Resal+('2020'!Salim-'2020'!Resal)*(1-EXP(('2020'!Tnet-t)/('2020'!Tau_j))),Resal+(Salim-Resal)*(1-EXP((Tnet-t)/(Tau_j))))*Salcycl</f>
        <v>4.4501595557485896E-2</v>
      </c>
      <c r="P26" s="168">
        <f>(INDEX(Models!$BJ26:$BT26,,T26)*(1-R26)+INDEX(Models!$BJ26:$BT26,,T26+1)*R26-ERP_i)*Q26*Ramure*Pc/MaxiM</f>
        <v>3.4498966322610845E-4</v>
      </c>
      <c r="Q26" s="304">
        <f t="shared" si="4"/>
        <v>0.5</v>
      </c>
      <c r="R26" s="176">
        <f t="shared" si="5"/>
        <v>0.43501495277552865</v>
      </c>
      <c r="S26" s="814">
        <f t="shared" si="6"/>
        <v>0</v>
      </c>
      <c r="T26" s="175">
        <f t="shared" si="7"/>
        <v>6</v>
      </c>
      <c r="U26" s="250">
        <f t="shared" si="8"/>
        <v>0.43501495277552865</v>
      </c>
      <c r="V26" s="382">
        <f t="shared" si="9"/>
        <v>26.490950817568709</v>
      </c>
      <c r="W26" s="401"/>
      <c r="X26" s="157">
        <f t="shared" si="10"/>
        <v>44208</v>
      </c>
      <c r="Y26" s="384">
        <f t="shared" si="11"/>
        <v>16.144000000000002</v>
      </c>
      <c r="Z26" s="384">
        <f t="shared" si="12"/>
        <v>16.486326692331907</v>
      </c>
      <c r="AA26" s="385">
        <f t="shared" si="13"/>
        <v>17.254164544576984</v>
      </c>
      <c r="AB26" s="196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4.4501595557485896E-2</v>
      </c>
      <c r="AD26" s="230">
        <f>(INDEX(Models!$BJ26:$BT26,,AH26)*(1-AF26)+INDEX(Models!$BJ26:$BT26,,AH26+1)*AF26-ERP_i)*AE26*Ramure*Pc/MaxiM</f>
        <v>3.4498966322610845E-4</v>
      </c>
      <c r="AE26" s="304">
        <f t="shared" si="15"/>
        <v>0.5</v>
      </c>
      <c r="AF26" s="176">
        <f t="shared" si="22"/>
        <v>0.43501495277552865</v>
      </c>
      <c r="AG26" s="814">
        <f t="shared" si="23"/>
        <v>0</v>
      </c>
      <c r="AH26" s="175">
        <f t="shared" si="16"/>
        <v>6</v>
      </c>
      <c r="AI26" s="224">
        <f t="shared" si="17"/>
        <v>0.43501495277552865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44209</v>
      </c>
      <c r="B27" s="616">
        <v>15.061</v>
      </c>
      <c r="C27" s="389"/>
      <c r="D27" s="392">
        <f t="shared" si="0"/>
        <v>15.380699012139349</v>
      </c>
      <c r="E27" s="384">
        <f t="shared" si="1"/>
        <v>16.09747815539615</v>
      </c>
      <c r="F27" s="384">
        <f t="shared" si="2"/>
        <v>16.099588508615053</v>
      </c>
      <c r="G27" s="110">
        <f t="shared" si="21"/>
        <v>0.56305475880862976</v>
      </c>
      <c r="H27" s="413" t="b">
        <f>Wh_hp&gt;='2020'!Maxi_hp</f>
        <v>0</v>
      </c>
      <c r="I27" s="379">
        <f>IF(H27,Wh_hp,'2020'!Maxi_hp)</f>
        <v>16.901313212419812</v>
      </c>
      <c r="J27" s="85">
        <f>IF(H27,An,'2020'!An_max)</f>
        <v>2020</v>
      </c>
      <c r="K27" s="196">
        <f t="shared" si="3"/>
        <v>44209</v>
      </c>
      <c r="L27" s="147">
        <f>IF(t&lt;Tvie,1-EXP((T0-t)*PertePVj)+'2020'!Pspv,1-EXP((T0-t)*PertePVj)+Pspv)</f>
        <v>2.0785727091273576E-2</v>
      </c>
      <c r="M27" s="847"/>
      <c r="N27" s="847"/>
      <c r="O27" s="48">
        <f>IF(t&lt;Tnet,'2020'!Resal+('2020'!Salim-'2020'!Resal)*(1-EXP(('2020'!Tnet-t)/('2020'!Tau_j))),Resal+(Salim-Resal)*(1-EXP((Tnet-t)/(Tau_j))))*Salcycl</f>
        <v>4.4527418291077099E-2</v>
      </c>
      <c r="P27" s="168">
        <f>(INDEX(Models!$BJ27:$BT27,,T27)*(1-R27)+INDEX(Models!$BJ27:$BT27,,T27+1)*R27-ERP_i)*Q27*Ramure*Pc/MaxiM</f>
        <v>3.4865024931576415E-4</v>
      </c>
      <c r="Q27" s="304">
        <f t="shared" si="4"/>
        <v>0.5</v>
      </c>
      <c r="R27" s="176">
        <f t="shared" si="5"/>
        <v>0.43504245519421009</v>
      </c>
      <c r="S27" s="814">
        <f t="shared" si="6"/>
        <v>0</v>
      </c>
      <c r="T27" s="175">
        <f t="shared" si="7"/>
        <v>6</v>
      </c>
      <c r="U27" s="250">
        <f t="shared" si="8"/>
        <v>0.43504245519421009</v>
      </c>
      <c r="V27" s="382">
        <f t="shared" si="9"/>
        <v>26.742910040708956</v>
      </c>
      <c r="W27" s="401"/>
      <c r="X27" s="157">
        <f t="shared" si="10"/>
        <v>44209</v>
      </c>
      <c r="Y27" s="384">
        <f t="shared" si="11"/>
        <v>15.061</v>
      </c>
      <c r="Z27" s="384">
        <f t="shared" si="12"/>
        <v>15.380699012139349</v>
      </c>
      <c r="AA27" s="385">
        <f t="shared" si="13"/>
        <v>16.09747815539615</v>
      </c>
      <c r="AB27" s="196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4.4527418291077099E-2</v>
      </c>
      <c r="AD27" s="230">
        <f>(INDEX(Models!$BJ27:$BT27,,AH27)*(1-AF27)+INDEX(Models!$BJ27:$BT27,,AH27+1)*AF27-ERP_i)*AE27*Ramure*Pc/MaxiM</f>
        <v>3.4865024931576415E-4</v>
      </c>
      <c r="AE27" s="304">
        <f t="shared" si="15"/>
        <v>0.5</v>
      </c>
      <c r="AF27" s="176">
        <f t="shared" si="22"/>
        <v>0.43504245519421009</v>
      </c>
      <c r="AG27" s="814">
        <f t="shared" si="23"/>
        <v>0</v>
      </c>
      <c r="AH27" s="175">
        <f t="shared" si="16"/>
        <v>6</v>
      </c>
      <c r="AI27" s="224">
        <f t="shared" si="17"/>
        <v>0.43504245519421009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44210</v>
      </c>
      <c r="B28" s="616">
        <v>11.704000000000001</v>
      </c>
      <c r="C28" s="389"/>
      <c r="D28" s="392">
        <f t="shared" si="0"/>
        <v>11.952701954073014</v>
      </c>
      <c r="E28" s="384">
        <f t="shared" si="1"/>
        <v>12.510066198496158</v>
      </c>
      <c r="F28" s="384">
        <f t="shared" si="2"/>
        <v>12.510906172413193</v>
      </c>
      <c r="G28" s="110">
        <f t="shared" si="21"/>
        <v>0.43330330880112866</v>
      </c>
      <c r="H28" s="413" t="b">
        <f>Wh_hp&gt;='2020'!Maxi_hp</f>
        <v>0</v>
      </c>
      <c r="I28" s="379">
        <f>IF(H28,Wh_hp,'2020'!Maxi_hp)</f>
        <v>27.824733987377833</v>
      </c>
      <c r="J28" s="85">
        <f>IF(H28,An,'2020'!An_max)</f>
        <v>2020</v>
      </c>
      <c r="K28" s="196">
        <f t="shared" si="3"/>
        <v>44210</v>
      </c>
      <c r="L28" s="147">
        <f>IF(t&lt;Tvie,1-EXP((T0-t)*PertePVj)+'2020'!Pspv,1-EXP((T0-t)*PertePVj)+Pspv)</f>
        <v>2.0807174396937467E-2</v>
      </c>
      <c r="M28" s="847"/>
      <c r="N28" s="847"/>
      <c r="O28" s="48">
        <f>IF(t&lt;Tnet,'2020'!Resal+('2020'!Salim-'2020'!Resal)*(1-EXP(('2020'!Tnet-t)/('2020'!Tau_j))),Resal+(Salim-Resal)*(1-EXP((Tnet-t)/(Tau_j))))*Salcycl</f>
        <v>4.4553260996344372E-2</v>
      </c>
      <c r="P28" s="168">
        <f>(INDEX(Models!$BJ28:$BT28,,T28)*(1-R28)+INDEX(Models!$BJ28:$BT28,,T28+1)*R28-ERP_i)*Q28*Ramure*Pc/MaxiM</f>
        <v>3.5223436652082328E-4</v>
      </c>
      <c r="Q28" s="304">
        <f t="shared" si="4"/>
        <v>0.5</v>
      </c>
      <c r="R28" s="176">
        <f t="shared" si="5"/>
        <v>0.43507110602844379</v>
      </c>
      <c r="S28" s="814">
        <f t="shared" si="6"/>
        <v>0</v>
      </c>
      <c r="T28" s="175">
        <f t="shared" si="7"/>
        <v>6</v>
      </c>
      <c r="U28" s="250">
        <f t="shared" si="8"/>
        <v>0.43507110602844379</v>
      </c>
      <c r="V28" s="382">
        <f t="shared" si="9"/>
        <v>27.003401049668696</v>
      </c>
      <c r="W28" s="401"/>
      <c r="X28" s="157">
        <f t="shared" si="10"/>
        <v>44210</v>
      </c>
      <c r="Y28" s="384">
        <f t="shared" si="11"/>
        <v>11.704000000000001</v>
      </c>
      <c r="Z28" s="384">
        <f t="shared" si="12"/>
        <v>11.952701954073014</v>
      </c>
      <c r="AA28" s="385">
        <f t="shared" si="13"/>
        <v>12.510066198496158</v>
      </c>
      <c r="AB28" s="196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4.4553260996344372E-2</v>
      </c>
      <c r="AD28" s="230">
        <f>(INDEX(Models!$BJ28:$BT28,,AH28)*(1-AF28)+INDEX(Models!$BJ28:$BT28,,AH28+1)*AF28-ERP_i)*AE28*Ramure*Pc/MaxiM</f>
        <v>3.5223436652082328E-4</v>
      </c>
      <c r="AE28" s="304">
        <f t="shared" si="15"/>
        <v>0.5</v>
      </c>
      <c r="AF28" s="176">
        <f t="shared" si="22"/>
        <v>0.43507110602844379</v>
      </c>
      <c r="AG28" s="814">
        <f t="shared" si="23"/>
        <v>0</v>
      </c>
      <c r="AH28" s="175">
        <f t="shared" si="16"/>
        <v>6</v>
      </c>
      <c r="AI28" s="224">
        <f t="shared" si="17"/>
        <v>0.43507110602844379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44211</v>
      </c>
      <c r="B29" s="616">
        <v>18.591999999999999</v>
      </c>
      <c r="C29" s="389"/>
      <c r="D29" s="392">
        <f t="shared" si="0"/>
        <v>18.987483093520076</v>
      </c>
      <c r="E29" s="384">
        <f t="shared" si="1"/>
        <v>19.873422885672895</v>
      </c>
      <c r="F29" s="384">
        <f t="shared" si="2"/>
        <v>19.877279214500703</v>
      </c>
      <c r="G29" s="110">
        <f t="shared" si="21"/>
        <v>0.68162881173935308</v>
      </c>
      <c r="H29" s="413" t="b">
        <f>Wh_hp&gt;='2020'!Maxi_hp</f>
        <v>0</v>
      </c>
      <c r="I29" s="379">
        <f>IF(H29,Wh_hp,'2020'!Maxi_hp)</f>
        <v>29.274911981383848</v>
      </c>
      <c r="J29" s="85">
        <f>IF(H29,An,'2020'!An_max)</f>
        <v>2019</v>
      </c>
      <c r="K29" s="196">
        <f t="shared" si="3"/>
        <v>44211</v>
      </c>
      <c r="L29" s="147">
        <f>IF(t&lt;Tvie,1-EXP((T0-t)*PertePVj)+'2020'!Pspv,1-EXP((T0-t)*PertePVj)+Pspv)</f>
        <v>2.0828621232850342E-2</v>
      </c>
      <c r="M29" s="847"/>
      <c r="N29" s="847"/>
      <c r="O29" s="48">
        <f>IF(t&lt;Tnet,'2020'!Resal+('2020'!Salim-'2020'!Resal)*(1-EXP(('2020'!Tnet-t)/('2020'!Tau_j))),Resal+(Salim-Resal)*(1-EXP((Tnet-t)/(Tau_j))))*Salcycl</f>
        <v>4.4579124454273499E-2</v>
      </c>
      <c r="P29" s="168">
        <f>(INDEX(Models!$BJ29:$BT29,,T29)*(1-R29)+INDEX(Models!$BJ29:$BT29,,T29+1)*R29-ERP_i)*Q29*Ramure*Pc/MaxiM</f>
        <v>3.557529527641835E-4</v>
      </c>
      <c r="Q29" s="304">
        <f t="shared" si="4"/>
        <v>0.5</v>
      </c>
      <c r="R29" s="176">
        <f t="shared" si="5"/>
        <v>0.43510095299854717</v>
      </c>
      <c r="S29" s="814">
        <f t="shared" si="6"/>
        <v>0</v>
      </c>
      <c r="T29" s="175">
        <f t="shared" si="7"/>
        <v>6</v>
      </c>
      <c r="U29" s="250">
        <f t="shared" si="8"/>
        <v>0.43510095299854717</v>
      </c>
      <c r="V29" s="382">
        <f t="shared" si="9"/>
        <v>27.271429718417874</v>
      </c>
      <c r="W29" s="401"/>
      <c r="X29" s="157">
        <f t="shared" si="10"/>
        <v>44211</v>
      </c>
      <c r="Y29" s="384">
        <f t="shared" si="11"/>
        <v>18.591999999999999</v>
      </c>
      <c r="Z29" s="384">
        <f t="shared" si="12"/>
        <v>18.987483093520076</v>
      </c>
      <c r="AA29" s="385">
        <f t="shared" si="13"/>
        <v>19.873422885672895</v>
      </c>
      <c r="AB29" s="196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4.4579124454273499E-2</v>
      </c>
      <c r="AD29" s="230">
        <f>(INDEX(Models!$BJ29:$BT29,,AH29)*(1-AF29)+INDEX(Models!$BJ29:$BT29,,AH29+1)*AF29-ERP_i)*AE29*Ramure*Pc/MaxiM</f>
        <v>3.557529527641835E-4</v>
      </c>
      <c r="AE29" s="304">
        <f t="shared" si="15"/>
        <v>0.5</v>
      </c>
      <c r="AF29" s="176">
        <f t="shared" si="22"/>
        <v>0.43510095299854717</v>
      </c>
      <c r="AG29" s="814">
        <f t="shared" si="23"/>
        <v>0</v>
      </c>
      <c r="AH29" s="175">
        <f t="shared" si="16"/>
        <v>6</v>
      </c>
      <c r="AI29" s="224">
        <f t="shared" si="17"/>
        <v>0.43510095299854717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44212</v>
      </c>
      <c r="B30" s="616">
        <v>18.196999999999999</v>
      </c>
      <c r="C30" s="389"/>
      <c r="D30" s="392">
        <f t="shared" si="0"/>
        <v>18.58448782749651</v>
      </c>
      <c r="E30" s="384">
        <f t="shared" si="1"/>
        <v>19.452151226117419</v>
      </c>
      <c r="F30" s="384">
        <f t="shared" si="2"/>
        <v>19.4557420970498</v>
      </c>
      <c r="G30" s="110">
        <f t="shared" si="21"/>
        <v>0.66048863374362177</v>
      </c>
      <c r="H30" s="413" t="b">
        <f>Wh_hp&gt;='2020'!Maxi_hp</f>
        <v>0</v>
      </c>
      <c r="I30" s="379">
        <f>IF(H30,Wh_hp,'2020'!Maxi_hp)</f>
        <v>29.727345676084568</v>
      </c>
      <c r="J30" s="85">
        <f>IF(H30,An,'2020'!An_max)</f>
        <v>2019</v>
      </c>
      <c r="K30" s="196">
        <f t="shared" si="3"/>
        <v>44212</v>
      </c>
      <c r="L30" s="147">
        <f>IF(t&lt;Tvie,1-EXP((T0-t)*PertePVj)+'2020'!Pspv,1-EXP((T0-t)*PertePVj)+Pspv)</f>
        <v>2.0850067599022415E-2</v>
      </c>
      <c r="M30" s="847"/>
      <c r="N30" s="847"/>
      <c r="O30" s="48">
        <f>IF(t&lt;Tnet,'2020'!Resal+('2020'!Salim-'2020'!Resal)*(1-EXP(('2020'!Tnet-t)/('2020'!Tau_j))),Resal+(Salim-Resal)*(1-EXP((Tnet-t)/(Tau_j))))*Salcycl</f>
        <v>4.4605009931032315E-2</v>
      </c>
      <c r="P30" s="168">
        <f>(INDEX(Models!$BJ30:$BT30,,T30)*(1-R30)+INDEX(Models!$BJ30:$BT30,,T30+1)*R30-ERP_i)*Q30*Ramure*Pc/MaxiM</f>
        <v>3.5827805344215415E-4</v>
      </c>
      <c r="Q30" s="304">
        <f t="shared" si="4"/>
        <v>0.5</v>
      </c>
      <c r="R30" s="176">
        <f t="shared" si="5"/>
        <v>0.43513204578778314</v>
      </c>
      <c r="S30" s="814">
        <f t="shared" si="6"/>
        <v>0</v>
      </c>
      <c r="T30" s="175">
        <f t="shared" si="7"/>
        <v>6</v>
      </c>
      <c r="U30" s="250">
        <f t="shared" si="8"/>
        <v>0.43513204578778314</v>
      </c>
      <c r="V30" s="382">
        <f t="shared" si="9"/>
        <v>27.54602797234012</v>
      </c>
      <c r="W30" s="401"/>
      <c r="X30" s="157">
        <f t="shared" si="10"/>
        <v>44212</v>
      </c>
      <c r="Y30" s="384">
        <f t="shared" si="11"/>
        <v>18.196999999999999</v>
      </c>
      <c r="Z30" s="384">
        <f t="shared" si="12"/>
        <v>18.58448782749651</v>
      </c>
      <c r="AA30" s="385">
        <f t="shared" si="13"/>
        <v>19.452151226117419</v>
      </c>
      <c r="AB30" s="196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4.4605009931032315E-2</v>
      </c>
      <c r="AD30" s="230">
        <f>(INDEX(Models!$BJ30:$BT30,,AH30)*(1-AF30)+INDEX(Models!$BJ30:$BT30,,AH30+1)*AF30-ERP_i)*AE30*Ramure*Pc/MaxiM</f>
        <v>3.5827805344215415E-4</v>
      </c>
      <c r="AE30" s="304">
        <f t="shared" si="15"/>
        <v>0.5</v>
      </c>
      <c r="AF30" s="176">
        <f t="shared" si="22"/>
        <v>0.43513204578778314</v>
      </c>
      <c r="AG30" s="814">
        <f t="shared" si="23"/>
        <v>0</v>
      </c>
      <c r="AH30" s="175">
        <f t="shared" si="16"/>
        <v>6</v>
      </c>
      <c r="AI30" s="224">
        <f t="shared" si="17"/>
        <v>0.43513204578778314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44213</v>
      </c>
      <c r="B31" s="616">
        <v>6.2540000000000004</v>
      </c>
      <c r="C31" s="389"/>
      <c r="D31" s="392">
        <f t="shared" si="0"/>
        <v>6.3873128871233469</v>
      </c>
      <c r="E31" s="384">
        <f t="shared" si="1"/>
        <v>6.6857019079829438</v>
      </c>
      <c r="F31" s="384">
        <f t="shared" si="2"/>
        <v>6.6857019079829438</v>
      </c>
      <c r="G31" s="110">
        <f t="shared" si="21"/>
        <v>0.22467131849446548</v>
      </c>
      <c r="H31" s="413" t="b">
        <f>Wh_hp&gt;='2020'!Maxi_hp</f>
        <v>0</v>
      </c>
      <c r="I31" s="379">
        <f>IF(H31,Wh_hp,'2020'!Maxi_hp)</f>
        <v>10.061034741598794</v>
      </c>
      <c r="J31" s="85">
        <f>IF(H31,An,'2020'!An_max)</f>
        <v>2019</v>
      </c>
      <c r="K31" s="196">
        <f t="shared" si="3"/>
        <v>44213</v>
      </c>
      <c r="L31" s="147">
        <f>IF(t&lt;Tvie,1-EXP((T0-t)*PertePVj)+'2020'!Pspv,1-EXP((T0-t)*PertePVj)+Pspv)</f>
        <v>2.0871513495464011E-2</v>
      </c>
      <c r="M31" s="847"/>
      <c r="N31" s="847"/>
      <c r="O31" s="48">
        <f>IF(t&lt;Tnet,'2020'!Resal+('2020'!Salim-'2020'!Resal)*(1-EXP(('2020'!Tnet-t)/('2020'!Tau_j))),Resal+(Salim-Resal)*(1-EXP((Tnet-t)/(Tau_j))))*Salcycl</f>
        <v>4.463091908170632E-2</v>
      </c>
      <c r="P31" s="168">
        <f>(INDEX(Models!$BJ31:$BT31,,T31)*(1-R31)+INDEX(Models!$BJ31:$BT31,,T31+1)*R31-ERP_i)*Q31*Ramure*Pc/MaxiM</f>
        <v>3.5958864714350381E-4</v>
      </c>
      <c r="Q31" s="304">
        <f t="shared" si="4"/>
        <v>0.5</v>
      </c>
      <c r="R31" s="176">
        <f t="shared" si="5"/>
        <v>0.4351644361213956</v>
      </c>
      <c r="S31" s="814">
        <f t="shared" si="6"/>
        <v>0</v>
      </c>
      <c r="T31" s="175">
        <f t="shared" si="7"/>
        <v>6</v>
      </c>
      <c r="U31" s="250">
        <f t="shared" si="8"/>
        <v>0.4351644361213956</v>
      </c>
      <c r="V31" s="382">
        <f t="shared" si="9"/>
        <v>27.826209302077739</v>
      </c>
      <c r="W31" s="401"/>
      <c r="X31" s="157">
        <f t="shared" si="10"/>
        <v>44213</v>
      </c>
      <c r="Y31" s="384">
        <f t="shared" si="11"/>
        <v>6.2540000000000004</v>
      </c>
      <c r="Z31" s="384">
        <f t="shared" si="12"/>
        <v>6.3873128871233469</v>
      </c>
      <c r="AA31" s="385">
        <f t="shared" si="13"/>
        <v>6.6857019079829438</v>
      </c>
      <c r="AB31" s="196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4.463091908170632E-2</v>
      </c>
      <c r="AD31" s="230">
        <f>(INDEX(Models!$BJ31:$BT31,,AH31)*(1-AF31)+INDEX(Models!$BJ31:$BT31,,AH31+1)*AF31-ERP_i)*AE31*Ramure*Pc/MaxiM</f>
        <v>3.5958864714350381E-4</v>
      </c>
      <c r="AE31" s="304">
        <f t="shared" si="15"/>
        <v>0.5</v>
      </c>
      <c r="AF31" s="176">
        <f t="shared" si="22"/>
        <v>0.4351644361213956</v>
      </c>
      <c r="AG31" s="814">
        <f t="shared" si="23"/>
        <v>0</v>
      </c>
      <c r="AH31" s="175">
        <f t="shared" si="16"/>
        <v>6</v>
      </c>
      <c r="AI31" s="224">
        <f t="shared" si="17"/>
        <v>0.4351644361213956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44214</v>
      </c>
      <c r="B32" s="616">
        <v>27.948</v>
      </c>
      <c r="C32" s="389"/>
      <c r="D32" s="392">
        <f t="shared" si="0"/>
        <v>28.544376485368197</v>
      </c>
      <c r="E32" s="384">
        <f t="shared" si="1"/>
        <v>29.878663599096594</v>
      </c>
      <c r="F32" s="384">
        <f t="shared" si="2"/>
        <v>29.889326692258766</v>
      </c>
      <c r="G32" s="110">
        <f t="shared" si="21"/>
        <v>0.99419929774156102</v>
      </c>
      <c r="H32" s="413" t="b">
        <f>Wh_hp&gt;='2020'!Maxi_hp</f>
        <v>1</v>
      </c>
      <c r="I32" s="379">
        <f>IF(H32,Wh_hp,'2020'!Maxi_hp)</f>
        <v>29.889326692258766</v>
      </c>
      <c r="J32" s="85">
        <f>IF(H32,An,'2020'!An_max)</f>
        <v>2021</v>
      </c>
      <c r="K32" s="196">
        <f t="shared" si="3"/>
        <v>44214</v>
      </c>
      <c r="L32" s="147">
        <f>IF(t&lt;Tvie,1-EXP((T0-t)*PertePVj)+'2020'!Pspv,1-EXP((T0-t)*PertePVj)+Pspv)</f>
        <v>2.0892958922185567E-2</v>
      </c>
      <c r="M32" s="847"/>
      <c r="N32" s="847"/>
      <c r="O32" s="48">
        <f>IF(t&lt;Tnet,'2020'!Resal+('2020'!Salim-'2020'!Resal)*(1-EXP(('2020'!Tnet-t)/('2020'!Tau_j))),Resal+(Salim-Resal)*(1-EXP((Tnet-t)/(Tau_j))))*Salcycl</f>
        <v>4.4656853855027809E-2</v>
      </c>
      <c r="P32" s="168">
        <f>(INDEX(Models!$BJ32:$BT32,,T32)*(1-R32)+INDEX(Models!$BJ32:$BT32,,T32+1)*R32-ERP_i)*Q32*Ramure*Pc/MaxiM</f>
        <v>3.5973201293187126E-4</v>
      </c>
      <c r="Q32" s="304">
        <f t="shared" si="4"/>
        <v>0.5</v>
      </c>
      <c r="R32" s="176">
        <f t="shared" si="5"/>
        <v>0.43519817784868065</v>
      </c>
      <c r="S32" s="814">
        <f t="shared" si="6"/>
        <v>0</v>
      </c>
      <c r="T32" s="175">
        <f t="shared" si="7"/>
        <v>6</v>
      </c>
      <c r="U32" s="250">
        <f t="shared" si="8"/>
        <v>0.43519817784868065</v>
      </c>
      <c r="V32" s="382">
        <f t="shared" si="9"/>
        <v>28.110980125825133</v>
      </c>
      <c r="W32" s="401"/>
      <c r="X32" s="157">
        <f t="shared" si="10"/>
        <v>44214</v>
      </c>
      <c r="Y32" s="384">
        <f t="shared" si="11"/>
        <v>27.948</v>
      </c>
      <c r="Z32" s="384">
        <f t="shared" si="12"/>
        <v>28.544376485368197</v>
      </c>
      <c r="AA32" s="385">
        <f t="shared" si="13"/>
        <v>29.878663599096594</v>
      </c>
      <c r="AB32" s="196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4.4656853855027809E-2</v>
      </c>
      <c r="AD32" s="230">
        <f>(INDEX(Models!$BJ32:$BT32,,AH32)*(1-AF32)+INDEX(Models!$BJ32:$BT32,,AH32+1)*AF32-ERP_i)*AE32*Ramure*Pc/MaxiM</f>
        <v>3.5973201293187126E-4</v>
      </c>
      <c r="AE32" s="304">
        <f t="shared" si="15"/>
        <v>0.5</v>
      </c>
      <c r="AF32" s="176">
        <f t="shared" si="22"/>
        <v>0.43519817784868065</v>
      </c>
      <c r="AG32" s="814">
        <f t="shared" si="23"/>
        <v>0</v>
      </c>
      <c r="AH32" s="175">
        <f t="shared" si="16"/>
        <v>6</v>
      </c>
      <c r="AI32" s="224">
        <f t="shared" si="17"/>
        <v>0.43519817784868065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44215</v>
      </c>
      <c r="B33" s="616">
        <v>29.195</v>
      </c>
      <c r="C33" s="389"/>
      <c r="D33" s="392">
        <f t="shared" si="0"/>
        <v>29.818639060438002</v>
      </c>
      <c r="E33" s="384">
        <f t="shared" si="1"/>
        <v>31.21333895416052</v>
      </c>
      <c r="F33" s="384">
        <f t="shared" si="2"/>
        <v>31.224540909778487</v>
      </c>
      <c r="G33" s="110">
        <f t="shared" si="21"/>
        <v>1.0280165931964909</v>
      </c>
      <c r="H33" s="413" t="b">
        <f>Wh_hp&gt;='2020'!Maxi_hp</f>
        <v>1</v>
      </c>
      <c r="I33" s="379">
        <f>IF(H33,Wh_hp,'2020'!Maxi_hp)</f>
        <v>31.224540909778487</v>
      </c>
      <c r="J33" s="85">
        <f>IF(H33,An,'2020'!An_max)</f>
        <v>2021</v>
      </c>
      <c r="K33" s="196">
        <f t="shared" si="3"/>
        <v>44215</v>
      </c>
      <c r="L33" s="147">
        <f>IF(t&lt;Tvie,1-EXP((T0-t)*PertePVj)+'2020'!Pspv,1-EXP((T0-t)*PertePVj)+Pspv)</f>
        <v>2.0914403879197074E-2</v>
      </c>
      <c r="M33" s="847"/>
      <c r="N33" s="847"/>
      <c r="O33" s="48">
        <f>IF(t&lt;Tnet,'2020'!Resal+('2020'!Salim-'2020'!Resal)*(1-EXP(('2020'!Tnet-t)/('2020'!Tau_j))),Resal+(Salim-Resal)*(1-EXP((Tnet-t)/(Tau_j))))*Salcycl</f>
        <v>4.4682816400089503E-2</v>
      </c>
      <c r="P33" s="168">
        <f>(INDEX(Models!$BJ33:$BT33,,T33)*(1-R33)+INDEX(Models!$BJ33:$BT33,,T33+1)*R33-ERP_i)*Q33*Ramure*Pc/MaxiM</f>
        <v>3.58754854085182E-4</v>
      </c>
      <c r="Q33" s="304">
        <f t="shared" si="4"/>
        <v>0.5</v>
      </c>
      <c r="R33" s="176">
        <f t="shared" si="5"/>
        <v>0.43523332702819717</v>
      </c>
      <c r="S33" s="814">
        <f t="shared" si="6"/>
        <v>0</v>
      </c>
      <c r="T33" s="175">
        <f t="shared" si="7"/>
        <v>6</v>
      </c>
      <c r="U33" s="250">
        <f t="shared" si="8"/>
        <v>0.43523332702819717</v>
      </c>
      <c r="V33" s="382">
        <f t="shared" si="9"/>
        <v>28.399347046745373</v>
      </c>
      <c r="W33" s="401"/>
      <c r="X33" s="157">
        <f t="shared" si="10"/>
        <v>44215</v>
      </c>
      <c r="Y33" s="384">
        <f t="shared" si="11"/>
        <v>29.195</v>
      </c>
      <c r="Z33" s="384">
        <f t="shared" si="12"/>
        <v>29.818639060438002</v>
      </c>
      <c r="AA33" s="385">
        <f t="shared" si="13"/>
        <v>31.21333895416052</v>
      </c>
      <c r="AB33" s="196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4.4682816400089503E-2</v>
      </c>
      <c r="AD33" s="230">
        <f>(INDEX(Models!$BJ33:$BT33,,AH33)*(1-AF33)+INDEX(Models!$BJ33:$BT33,,AH33+1)*AF33-ERP_i)*AE33*Ramure*Pc/MaxiM</f>
        <v>3.58754854085182E-4</v>
      </c>
      <c r="AE33" s="304">
        <f t="shared" si="15"/>
        <v>0.5</v>
      </c>
      <c r="AF33" s="176">
        <f t="shared" si="22"/>
        <v>0.43523332702819717</v>
      </c>
      <c r="AG33" s="814">
        <f t="shared" si="23"/>
        <v>0</v>
      </c>
      <c r="AH33" s="175">
        <f t="shared" si="16"/>
        <v>6</v>
      </c>
      <c r="AI33" s="224">
        <f t="shared" si="17"/>
        <v>0.43523332702819717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44216</v>
      </c>
      <c r="B34" s="616">
        <v>6.351</v>
      </c>
      <c r="C34" s="389"/>
      <c r="D34" s="392">
        <f t="shared" si="0"/>
        <v>6.4868068036235007</v>
      </c>
      <c r="E34" s="384">
        <f t="shared" si="1"/>
        <v>6.7903973830953701</v>
      </c>
      <c r="F34" s="384">
        <f t="shared" si="2"/>
        <v>6.7903973830953701</v>
      </c>
      <c r="G34" s="110">
        <f t="shared" si="21"/>
        <v>0.22128492385269263</v>
      </c>
      <c r="H34" s="413" t="b">
        <f>Wh_hp&gt;='2020'!Maxi_hp</f>
        <v>0</v>
      </c>
      <c r="I34" s="379">
        <f>IF(H34,Wh_hp,'2020'!Maxi_hp)</f>
        <v>10.158617938876899</v>
      </c>
      <c r="J34" s="85">
        <f>IF(H34,An,'2020'!An_max)</f>
        <v>2020</v>
      </c>
      <c r="K34" s="196">
        <f t="shared" si="3"/>
        <v>44216</v>
      </c>
      <c r="L34" s="147">
        <f>IF(t&lt;Tvie,1-EXP((T0-t)*PertePVj)+'2020'!Pspv,1-EXP((T0-t)*PertePVj)+Pspv)</f>
        <v>2.093584836650908E-2</v>
      </c>
      <c r="M34" s="847"/>
      <c r="N34" s="847"/>
      <c r="O34" s="48">
        <f>IF(t&lt;Tnet,'2020'!Resal+('2020'!Salim-'2020'!Resal)*(1-EXP(('2020'!Tnet-t)/('2020'!Tau_j))),Resal+(Salim-Resal)*(1-EXP((Tnet-t)/(Tau_j))))*Salcycl</f>
        <v>4.4708808975989417E-2</v>
      </c>
      <c r="P34" s="168">
        <f>(INDEX(Models!$BJ34:$BT34,,T34)*(1-R34)+INDEX(Models!$BJ34:$BT34,,T34+1)*R34-ERP_i)*Q34*Ramure*Pc/MaxiM</f>
        <v>3.5670486470917498E-4</v>
      </c>
      <c r="Q34" s="304">
        <f t="shared" si="4"/>
        <v>0.5</v>
      </c>
      <c r="R34" s="176">
        <f t="shared" si="5"/>
        <v>0.43526994201622277</v>
      </c>
      <c r="S34" s="814">
        <f t="shared" si="6"/>
        <v>0</v>
      </c>
      <c r="T34" s="175">
        <f t="shared" si="7"/>
        <v>6</v>
      </c>
      <c r="U34" s="250">
        <f t="shared" si="8"/>
        <v>0.43526994201622277</v>
      </c>
      <c r="V34" s="382">
        <f t="shared" si="9"/>
        <v>28.690316795510782</v>
      </c>
      <c r="W34" s="401"/>
      <c r="X34" s="157">
        <f t="shared" si="10"/>
        <v>44216</v>
      </c>
      <c r="Y34" s="384">
        <f t="shared" si="11"/>
        <v>6.351</v>
      </c>
      <c r="Z34" s="384">
        <f t="shared" si="12"/>
        <v>6.4868068036235007</v>
      </c>
      <c r="AA34" s="385">
        <f t="shared" si="13"/>
        <v>6.7903973830953701</v>
      </c>
      <c r="AB34" s="196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4.4708808975989417E-2</v>
      </c>
      <c r="AD34" s="230">
        <f>(INDEX(Models!$BJ34:$BT34,,AH34)*(1-AF34)+INDEX(Models!$BJ34:$BT34,,AH34+1)*AF34-ERP_i)*AE34*Ramure*Pc/MaxiM</f>
        <v>3.5670486470917498E-4</v>
      </c>
      <c r="AE34" s="304">
        <f t="shared" si="15"/>
        <v>0.5</v>
      </c>
      <c r="AF34" s="176">
        <f t="shared" si="22"/>
        <v>0.43526994201622277</v>
      </c>
      <c r="AG34" s="814">
        <f t="shared" si="23"/>
        <v>0</v>
      </c>
      <c r="AH34" s="175">
        <f t="shared" si="16"/>
        <v>6</v>
      </c>
      <c r="AI34" s="224">
        <f t="shared" si="17"/>
        <v>0.43526994201622277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44217</v>
      </c>
      <c r="B35" s="616">
        <v>12.749000000000001</v>
      </c>
      <c r="C35" s="389"/>
      <c r="D35" s="392">
        <f t="shared" si="0"/>
        <v>13.021903846305067</v>
      </c>
      <c r="E35" s="384">
        <f t="shared" si="1"/>
        <v>13.631716415449107</v>
      </c>
      <c r="F35" s="384">
        <f t="shared" si="2"/>
        <v>13.632679772580827</v>
      </c>
      <c r="G35" s="110">
        <f t="shared" si="21"/>
        <v>0.43975564487594077</v>
      </c>
      <c r="H35" s="413" t="b">
        <f>Wh_hp&gt;='2020'!Maxi_hp</f>
        <v>1</v>
      </c>
      <c r="I35" s="379">
        <f>IF(H35,Wh_hp,'2020'!Maxi_hp)</f>
        <v>13.632679772580827</v>
      </c>
      <c r="J35" s="85">
        <f>IF(H35,An,'2020'!An_max)</f>
        <v>2021</v>
      </c>
      <c r="K35" s="196">
        <f t="shared" si="3"/>
        <v>44217</v>
      </c>
      <c r="L35" s="147">
        <f>IF(t&lt;Tvie,1-EXP((T0-t)*PertePVj)+'2020'!Pspv,1-EXP((T0-t)*PertePVj)+Pspv)</f>
        <v>2.0957292384131798E-2</v>
      </c>
      <c r="M35" s="847"/>
      <c r="N35" s="847"/>
      <c r="O35" s="48">
        <f>IF(t&lt;Tnet,'2020'!Resal+('2020'!Salim-'2020'!Resal)*(1-EXP(('2020'!Tnet-t)/('2020'!Tau_j))),Resal+(Salim-Resal)*(1-EXP((Tnet-t)/(Tau_j))))*Salcycl</f>
        <v>4.4734833865303074E-2</v>
      </c>
      <c r="P35" s="168">
        <f>(INDEX(Models!$BJ35:$BT35,,T35)*(1-R35)+INDEX(Models!$BJ35:$BT35,,T35+1)*R35-ERP_i)*Q35*Ramure*Pc/MaxiM</f>
        <v>3.5362919726947159E-4</v>
      </c>
      <c r="Q35" s="304">
        <f t="shared" si="4"/>
        <v>0.5</v>
      </c>
      <c r="R35" s="176">
        <f t="shared" si="5"/>
        <v>0.43530808355856448</v>
      </c>
      <c r="S35" s="814">
        <f t="shared" si="6"/>
        <v>0</v>
      </c>
      <c r="T35" s="175">
        <f t="shared" si="7"/>
        <v>6</v>
      </c>
      <c r="U35" s="250">
        <f t="shared" si="8"/>
        <v>0.43530808355856448</v>
      </c>
      <c r="V35" s="382">
        <f t="shared" si="9"/>
        <v>28.98289626656041</v>
      </c>
      <c r="W35" s="401"/>
      <c r="X35" s="157">
        <f t="shared" si="10"/>
        <v>44217</v>
      </c>
      <c r="Y35" s="384">
        <f t="shared" si="11"/>
        <v>12.749000000000001</v>
      </c>
      <c r="Z35" s="384">
        <f t="shared" si="12"/>
        <v>13.021903846305067</v>
      </c>
      <c r="AA35" s="385">
        <f t="shared" si="13"/>
        <v>13.631716415449107</v>
      </c>
      <c r="AB35" s="196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4.4734833865303074E-2</v>
      </c>
      <c r="AD35" s="230">
        <f>(INDEX(Models!$BJ35:$BT35,,AH35)*(1-AF35)+INDEX(Models!$BJ35:$BT35,,AH35+1)*AF35-ERP_i)*AE35*Ramure*Pc/MaxiM</f>
        <v>3.5362919726947159E-4</v>
      </c>
      <c r="AE35" s="304">
        <f t="shared" si="15"/>
        <v>0.5</v>
      </c>
      <c r="AF35" s="176">
        <f t="shared" si="22"/>
        <v>0.43530808355856448</v>
      </c>
      <c r="AG35" s="814">
        <f t="shared" si="23"/>
        <v>0</v>
      </c>
      <c r="AH35" s="175">
        <f t="shared" si="16"/>
        <v>6</v>
      </c>
      <c r="AI35" s="224">
        <f t="shared" si="17"/>
        <v>0.43530808355856448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44218</v>
      </c>
      <c r="B36" s="616">
        <v>5.7480000000000002</v>
      </c>
      <c r="C36" s="389"/>
      <c r="D36" s="392">
        <f t="shared" si="0"/>
        <v>5.8711697191504548</v>
      </c>
      <c r="E36" s="384">
        <f t="shared" si="1"/>
        <v>6.1462828290032663</v>
      </c>
      <c r="F36" s="384">
        <f t="shared" si="2"/>
        <v>6.1462828290032663</v>
      </c>
      <c r="G36" s="110">
        <f t="shared" si="21"/>
        <v>0.19626904255195793</v>
      </c>
      <c r="H36" s="413" t="b">
        <f>Wh_hp&gt;='2020'!Maxi_hp</f>
        <v>0</v>
      </c>
      <c r="I36" s="379">
        <f>IF(H36,Wh_hp,'2020'!Maxi_hp)</f>
        <v>11.402622058619018</v>
      </c>
      <c r="J36" s="85">
        <f>IF(H36,An,'2020'!An_max)</f>
        <v>2019</v>
      </c>
      <c r="K36" s="196">
        <f t="shared" si="3"/>
        <v>44218</v>
      </c>
      <c r="L36" s="147">
        <f>IF(t&lt;Tvie,1-EXP((T0-t)*PertePVj)+'2020'!Pspv,1-EXP((T0-t)*PertePVj)+Pspv)</f>
        <v>2.0978735932075443E-2</v>
      </c>
      <c r="M36" s="847"/>
      <c r="N36" s="847"/>
      <c r="O36" s="48">
        <f>IF(t&lt;Tnet,'2020'!Resal+('2020'!Salim-'2020'!Resal)*(1-EXP(('2020'!Tnet-t)/('2020'!Tau_j))),Resal+(Salim-Resal)*(1-EXP((Tnet-t)/(Tau_j))))*Salcycl</f>
        <v>4.476089329221878E-2</v>
      </c>
      <c r="P36" s="168">
        <f>(INDEX(Models!$BJ36:$BT36,,T36)*(1-R36)+INDEX(Models!$BJ36:$BT36,,T36+1)*R36-ERP_i)*Q36*Ramure*Pc/MaxiM</f>
        <v>3.495716553091094E-4</v>
      </c>
      <c r="Q36" s="304">
        <f t="shared" si="4"/>
        <v>0.5</v>
      </c>
      <c r="R36" s="176">
        <f t="shared" si="5"/>
        <v>0.43534781488583374</v>
      </c>
      <c r="S36" s="814">
        <f t="shared" si="6"/>
        <v>0</v>
      </c>
      <c r="T36" s="175">
        <f t="shared" si="7"/>
        <v>6</v>
      </c>
      <c r="U36" s="250">
        <f t="shared" si="8"/>
        <v>0.43534781488583374</v>
      </c>
      <c r="V36" s="382">
        <f t="shared" si="9"/>
        <v>29.276092589100788</v>
      </c>
      <c r="W36" s="401"/>
      <c r="X36" s="157">
        <f t="shared" si="10"/>
        <v>44218</v>
      </c>
      <c r="Y36" s="384">
        <f t="shared" si="11"/>
        <v>5.7480000000000002</v>
      </c>
      <c r="Z36" s="384">
        <f t="shared" si="12"/>
        <v>5.8711697191504548</v>
      </c>
      <c r="AA36" s="385">
        <f t="shared" si="13"/>
        <v>6.1462828290032663</v>
      </c>
      <c r="AB36" s="196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4.476089329221878E-2</v>
      </c>
      <c r="AD36" s="230">
        <f>(INDEX(Models!$BJ36:$BT36,,AH36)*(1-AF36)+INDEX(Models!$BJ36:$BT36,,AH36+1)*AF36-ERP_i)*AE36*Ramure*Pc/MaxiM</f>
        <v>3.495716553091094E-4</v>
      </c>
      <c r="AE36" s="304">
        <f t="shared" si="15"/>
        <v>0.5</v>
      </c>
      <c r="AF36" s="176">
        <f t="shared" si="22"/>
        <v>0.43534781488583374</v>
      </c>
      <c r="AG36" s="814">
        <f t="shared" si="23"/>
        <v>0</v>
      </c>
      <c r="AH36" s="175">
        <f t="shared" si="16"/>
        <v>6</v>
      </c>
      <c r="AI36" s="224">
        <f t="shared" si="17"/>
        <v>0.43534781488583374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44219</v>
      </c>
      <c r="B37" s="616">
        <v>9.8350000000000009</v>
      </c>
      <c r="C37" s="389"/>
      <c r="D37" s="392">
        <f t="shared" si="0"/>
        <v>10.045967107591514</v>
      </c>
      <c r="E37" s="384">
        <f t="shared" si="1"/>
        <v>10.516991493566977</v>
      </c>
      <c r="F37" s="384">
        <f t="shared" si="2"/>
        <v>10.517160117293471</v>
      </c>
      <c r="G37" s="110">
        <f t="shared" si="21"/>
        <v>0.33246579821241656</v>
      </c>
      <c r="H37" s="413" t="b">
        <f>Wh_hp&gt;='2020'!Maxi_hp</f>
        <v>0</v>
      </c>
      <c r="I37" s="379">
        <f>IF(H37,Wh_hp,'2020'!Maxi_hp)</f>
        <v>15.693639055774922</v>
      </c>
      <c r="J37" s="85">
        <f>IF(H37,An,'2020'!An_max)</f>
        <v>2020</v>
      </c>
      <c r="K37" s="196">
        <f t="shared" si="3"/>
        <v>44219</v>
      </c>
      <c r="L37" s="147">
        <f>IF(t&lt;Tvie,1-EXP((T0-t)*PertePVj)+'2020'!Pspv,1-EXP((T0-t)*PertePVj)+Pspv)</f>
        <v>2.1000179010350339E-2</v>
      </c>
      <c r="M37" s="847"/>
      <c r="N37" s="847"/>
      <c r="O37" s="48">
        <f>IF(t&lt;Tnet,'2020'!Resal+('2020'!Salim-'2020'!Resal)*(1-EXP(('2020'!Tnet-t)/('2020'!Tau_j))),Resal+(Salim-Resal)*(1-EXP((Tnet-t)/(Tau_j))))*Salcycl</f>
        <v>4.4786989346105262E-2</v>
      </c>
      <c r="P37" s="168">
        <f>(INDEX(Models!$BJ37:$BT37,,T37)*(1-R37)+INDEX(Models!$BJ37:$BT37,,T37+1)*R37-ERP_i)*Q37*Ramure*Pc/MaxiM</f>
        <v>3.4453482573669123E-4</v>
      </c>
      <c r="Q37" s="304">
        <f t="shared" si="4"/>
        <v>0.5</v>
      </c>
      <c r="R37" s="176">
        <f t="shared" si="5"/>
        <v>0.43538920181230012</v>
      </c>
      <c r="S37" s="814">
        <f t="shared" si="6"/>
        <v>0</v>
      </c>
      <c r="T37" s="175">
        <f t="shared" si="7"/>
        <v>6</v>
      </c>
      <c r="U37" s="250">
        <f t="shared" si="8"/>
        <v>0.43538920181230012</v>
      </c>
      <c r="V37" s="382">
        <f t="shared" si="9"/>
        <v>29.572272358744591</v>
      </c>
      <c r="W37" s="401"/>
      <c r="X37" s="157">
        <f t="shared" si="10"/>
        <v>44219</v>
      </c>
      <c r="Y37" s="384">
        <f t="shared" si="11"/>
        <v>9.8350000000000009</v>
      </c>
      <c r="Z37" s="384">
        <f t="shared" si="12"/>
        <v>10.045967107591514</v>
      </c>
      <c r="AA37" s="385">
        <f t="shared" si="13"/>
        <v>10.516991493566977</v>
      </c>
      <c r="AB37" s="196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4.4786989346105262E-2</v>
      </c>
      <c r="AD37" s="230">
        <f>(INDEX(Models!$BJ37:$BT37,,AH37)*(1-AF37)+INDEX(Models!$BJ37:$BT37,,AH37+1)*AF37-ERP_i)*AE37*Ramure*Pc/MaxiM</f>
        <v>3.4453482573669123E-4</v>
      </c>
      <c r="AE37" s="304">
        <f t="shared" si="15"/>
        <v>0.5</v>
      </c>
      <c r="AF37" s="176">
        <f t="shared" si="22"/>
        <v>0.43538920181230012</v>
      </c>
      <c r="AG37" s="814">
        <f t="shared" si="23"/>
        <v>0</v>
      </c>
      <c r="AH37" s="175">
        <f t="shared" si="16"/>
        <v>6</v>
      </c>
      <c r="AI37" s="224">
        <f t="shared" si="17"/>
        <v>0.43538920181230012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44220</v>
      </c>
      <c r="B38" s="616">
        <v>17.440999999999999</v>
      </c>
      <c r="C38" s="389"/>
      <c r="D38" s="392">
        <f t="shared" si="0"/>
        <v>17.815510929712993</v>
      </c>
      <c r="E38" s="384">
        <f t="shared" si="1"/>
        <v>18.6513355403942</v>
      </c>
      <c r="F38" s="384">
        <f t="shared" si="2"/>
        <v>18.653893607379999</v>
      </c>
      <c r="G38" s="110">
        <f t="shared" si="21"/>
        <v>0.58369734249720895</v>
      </c>
      <c r="H38" s="413" t="b">
        <f>Wh_hp&gt;='2020'!Maxi_hp</f>
        <v>1</v>
      </c>
      <c r="I38" s="379">
        <f>IF(H38,Wh_hp,'2020'!Maxi_hp)</f>
        <v>18.653893607379999</v>
      </c>
      <c r="J38" s="85">
        <f>IF(H38,An,'2020'!An_max)</f>
        <v>2021</v>
      </c>
      <c r="K38" s="196">
        <f t="shared" si="3"/>
        <v>44220</v>
      </c>
      <c r="L38" s="147">
        <f>IF(t&lt;Tvie,1-EXP((T0-t)*PertePVj)+'2020'!Pspv,1-EXP((T0-t)*PertePVj)+Pspv)</f>
        <v>2.1021621618966813E-2</v>
      </c>
      <c r="M38" s="847"/>
      <c r="N38" s="847"/>
      <c r="O38" s="48">
        <f>IF(t&lt;Tnet,'2020'!Resal+('2020'!Salim-'2020'!Resal)*(1-EXP(('2020'!Tnet-t)/('2020'!Tau_j))),Resal+(Salim-Resal)*(1-EXP((Tnet-t)/(Tau_j))))*Salcycl</f>
        <v>4.4813123911208161E-2</v>
      </c>
      <c r="P38" s="168">
        <f>(INDEX(Models!$BJ38:$BT38,,T38)*(1-R38)+INDEX(Models!$BJ38:$BT38,,T38+1)*R38-ERP_i)*Q38*Ramure*Pc/MaxiM</f>
        <v>3.3822482560817046E-4</v>
      </c>
      <c r="Q38" s="304">
        <f t="shared" si="4"/>
        <v>0.5</v>
      </c>
      <c r="R38" s="176">
        <f t="shared" si="5"/>
        <v>0.43543231283843781</v>
      </c>
      <c r="S38" s="814">
        <f t="shared" si="6"/>
        <v>0</v>
      </c>
      <c r="T38" s="175">
        <f t="shared" si="7"/>
        <v>6</v>
      </c>
      <c r="U38" s="250">
        <f t="shared" si="8"/>
        <v>0.43543231283843781</v>
      </c>
      <c r="V38" s="382">
        <f t="shared" si="9"/>
        <v>29.874201935317583</v>
      </c>
      <c r="W38" s="401"/>
      <c r="X38" s="157">
        <f t="shared" si="10"/>
        <v>44220</v>
      </c>
      <c r="Y38" s="384">
        <f t="shared" si="11"/>
        <v>17.440999999999999</v>
      </c>
      <c r="Z38" s="384">
        <f t="shared" si="12"/>
        <v>17.815510929712993</v>
      </c>
      <c r="AA38" s="385">
        <f t="shared" si="13"/>
        <v>18.6513355403942</v>
      </c>
      <c r="AB38" s="196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4.4813123911208161E-2</v>
      </c>
      <c r="AD38" s="230">
        <f>(INDEX(Models!$BJ38:$BT38,,AH38)*(1-AF38)+INDEX(Models!$BJ38:$BT38,,AH38+1)*AF38-ERP_i)*AE38*Ramure*Pc/MaxiM</f>
        <v>3.3822482560817046E-4</v>
      </c>
      <c r="AE38" s="304">
        <f t="shared" si="15"/>
        <v>0.5</v>
      </c>
      <c r="AF38" s="176">
        <f t="shared" si="22"/>
        <v>0.43543231283843781</v>
      </c>
      <c r="AG38" s="814">
        <f t="shared" si="23"/>
        <v>0</v>
      </c>
      <c r="AH38" s="175">
        <f t="shared" si="16"/>
        <v>6</v>
      </c>
      <c r="AI38" s="224">
        <f t="shared" si="17"/>
        <v>0.43543231283843781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44221</v>
      </c>
      <c r="B39" s="616">
        <v>6.7250000000000005</v>
      </c>
      <c r="C39" s="389"/>
      <c r="D39" s="392">
        <f t="shared" si="0"/>
        <v>6.8695565157496601</v>
      </c>
      <c r="E39" s="384">
        <f t="shared" si="1"/>
        <v>7.1920426643422841</v>
      </c>
      <c r="F39" s="384">
        <f t="shared" si="2"/>
        <v>7.1920426643422841</v>
      </c>
      <c r="G39" s="110">
        <f t="shared" si="21"/>
        <v>0.22274511407836917</v>
      </c>
      <c r="H39" s="413" t="b">
        <f>Wh_hp&gt;='2020'!Maxi_hp</f>
        <v>0</v>
      </c>
      <c r="I39" s="379">
        <f>IF(H39,Wh_hp,'2020'!Maxi_hp)</f>
        <v>15.435568817597252</v>
      </c>
      <c r="J39" s="85">
        <f>IF(H39,An,'2020'!An_max)</f>
        <v>2020</v>
      </c>
      <c r="K39" s="196">
        <f t="shared" si="3"/>
        <v>44221</v>
      </c>
      <c r="L39" s="147">
        <f>IF(t&lt;Tvie,1-EXP((T0-t)*PertePVj)+'2020'!Pspv,1-EXP((T0-t)*PertePVj)+Pspv)</f>
        <v>2.1043063757935188E-2</v>
      </c>
      <c r="M39" s="847"/>
      <c r="N39" s="847"/>
      <c r="O39" s="48">
        <f>IF(t&lt;Tnet,'2020'!Resal+('2020'!Salim-'2020'!Resal)*(1-EXP(('2020'!Tnet-t)/('2020'!Tau_j))),Resal+(Salim-Resal)*(1-EXP((Tnet-t)/(Tau_j))))*Salcycl</f>
        <v>4.4839298603092416E-2</v>
      </c>
      <c r="P39" s="168">
        <f>(INDEX(Models!$BJ39:$BT39,,T39)*(1-R39)+INDEX(Models!$BJ39:$BT39,,T39+1)*R39-ERP_i)*Q39*Ramure*Pc/MaxiM</f>
        <v>3.3083537400708786E-4</v>
      </c>
      <c r="Q39" s="304">
        <f t="shared" si="4"/>
        <v>0.5</v>
      </c>
      <c r="R39" s="176">
        <f t="shared" si="5"/>
        <v>0.43547721925728272</v>
      </c>
      <c r="S39" s="814">
        <f t="shared" si="6"/>
        <v>0</v>
      </c>
      <c r="T39" s="175">
        <f t="shared" si="7"/>
        <v>6</v>
      </c>
      <c r="U39" s="250">
        <f t="shared" si="8"/>
        <v>0.43547721925728272</v>
      </c>
      <c r="V39" s="382">
        <f t="shared" si="9"/>
        <v>30.18147069095534</v>
      </c>
      <c r="W39" s="401"/>
      <c r="X39" s="157">
        <f t="shared" si="10"/>
        <v>44221</v>
      </c>
      <c r="Y39" s="384">
        <f t="shared" si="11"/>
        <v>6.7250000000000005</v>
      </c>
      <c r="Z39" s="384">
        <f t="shared" si="12"/>
        <v>6.8695565157496601</v>
      </c>
      <c r="AA39" s="385">
        <f t="shared" si="13"/>
        <v>7.1920426643422841</v>
      </c>
      <c r="AB39" s="196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4.4839298603092416E-2</v>
      </c>
      <c r="AD39" s="230">
        <f>(INDEX(Models!$BJ39:$BT39,,AH39)*(1-AF39)+INDEX(Models!$BJ39:$BT39,,AH39+1)*AF39-ERP_i)*AE39*Ramure*Pc/MaxiM</f>
        <v>3.3083537400708786E-4</v>
      </c>
      <c r="AE39" s="304">
        <f t="shared" si="15"/>
        <v>0.5</v>
      </c>
      <c r="AF39" s="176">
        <f t="shared" si="22"/>
        <v>0.43547721925728272</v>
      </c>
      <c r="AG39" s="814">
        <f t="shared" si="23"/>
        <v>0</v>
      </c>
      <c r="AH39" s="175">
        <f t="shared" si="16"/>
        <v>6</v>
      </c>
      <c r="AI39" s="224">
        <f t="shared" si="17"/>
        <v>0.43547721925728272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44222</v>
      </c>
      <c r="B40" s="616">
        <v>19.064</v>
      </c>
      <c r="C40" s="389"/>
      <c r="D40" s="392">
        <f t="shared" si="0"/>
        <v>19.474214701266565</v>
      </c>
      <c r="E40" s="384">
        <f t="shared" si="1"/>
        <v>20.388976632334654</v>
      </c>
      <c r="F40" s="384">
        <f t="shared" si="2"/>
        <v>20.392030781533069</v>
      </c>
      <c r="G40" s="110">
        <f t="shared" si="21"/>
        <v>0.62507093425925953</v>
      </c>
      <c r="H40" s="413" t="b">
        <f>Wh_hp&gt;='2020'!Maxi_hp</f>
        <v>1</v>
      </c>
      <c r="I40" s="379">
        <f>IF(H40,Wh_hp,'2020'!Maxi_hp)</f>
        <v>20.392030781533069</v>
      </c>
      <c r="J40" s="85">
        <f>IF(H40,An,'2020'!An_max)</f>
        <v>2021</v>
      </c>
      <c r="K40" s="196">
        <f t="shared" si="3"/>
        <v>44222</v>
      </c>
      <c r="L40" s="147">
        <f>IF(t&lt;Tvie,1-EXP((T0-t)*PertePVj)+'2020'!Pspv,1-EXP((T0-t)*PertePVj)+Pspv)</f>
        <v>2.1064505427265567E-2</v>
      </c>
      <c r="M40" s="847"/>
      <c r="N40" s="847"/>
      <c r="O40" s="48">
        <f>IF(t&lt;Tnet,'2020'!Resal+('2020'!Salim-'2020'!Resal)*(1-EXP(('2020'!Tnet-t)/('2020'!Tau_j))),Resal+(Salim-Resal)*(1-EXP((Tnet-t)/(Tau_j))))*Salcycl</f>
        <v>4.4865514712365585E-2</v>
      </c>
      <c r="P40" s="168">
        <f>(INDEX(Models!$BJ40:$BT40,,T40)*(1-R40)+INDEX(Models!$BJ40:$BT40,,T40+1)*R40-ERP_i)*Q40*Ramure*Pc/MaxiM</f>
        <v>3.2240775656278701E-4</v>
      </c>
      <c r="Q40" s="304">
        <f t="shared" si="4"/>
        <v>0.5</v>
      </c>
      <c r="R40" s="176">
        <f t="shared" si="5"/>
        <v>0.4355239952647183</v>
      </c>
      <c r="S40" s="814">
        <f t="shared" si="6"/>
        <v>0</v>
      </c>
      <c r="T40" s="175">
        <f t="shared" si="7"/>
        <v>6</v>
      </c>
      <c r="U40" s="250">
        <f t="shared" si="8"/>
        <v>0.4355239952647183</v>
      </c>
      <c r="V40" s="382">
        <f t="shared" si="9"/>
        <v>30.493672523566516</v>
      </c>
      <c r="W40" s="401"/>
      <c r="X40" s="157">
        <f t="shared" si="10"/>
        <v>44222</v>
      </c>
      <c r="Y40" s="384">
        <f t="shared" si="11"/>
        <v>19.064</v>
      </c>
      <c r="Z40" s="384">
        <f t="shared" si="12"/>
        <v>19.474214701266565</v>
      </c>
      <c r="AA40" s="385">
        <f t="shared" si="13"/>
        <v>20.388976632334654</v>
      </c>
      <c r="AB40" s="196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4.4865514712365585E-2</v>
      </c>
      <c r="AD40" s="230">
        <f>(INDEX(Models!$BJ40:$BT40,,AH40)*(1-AF40)+INDEX(Models!$BJ40:$BT40,,AH40+1)*AF40-ERP_i)*AE40*Ramure*Pc/MaxiM</f>
        <v>3.2240775656278701E-4</v>
      </c>
      <c r="AE40" s="304">
        <f t="shared" si="15"/>
        <v>0.5</v>
      </c>
      <c r="AF40" s="176">
        <f t="shared" si="22"/>
        <v>0.4355239952647183</v>
      </c>
      <c r="AG40" s="814">
        <f t="shared" si="23"/>
        <v>0</v>
      </c>
      <c r="AH40" s="175">
        <f t="shared" si="16"/>
        <v>6</v>
      </c>
      <c r="AI40" s="224">
        <f t="shared" si="17"/>
        <v>0.4355239952647183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44223</v>
      </c>
      <c r="B41" s="616">
        <v>6.0209999999999999</v>
      </c>
      <c r="C41" s="389"/>
      <c r="D41" s="392">
        <f t="shared" si="0"/>
        <v>6.1506931882870797</v>
      </c>
      <c r="E41" s="384">
        <f t="shared" si="1"/>
        <v>6.4397866288010892</v>
      </c>
      <c r="F41" s="384">
        <f t="shared" si="2"/>
        <v>6.4397866288010892</v>
      </c>
      <c r="G41" s="110">
        <f t="shared" si="21"/>
        <v>0.19535985437123099</v>
      </c>
      <c r="H41" s="413" t="b">
        <f>Wh_hp&gt;='2020'!Maxi_hp</f>
        <v>0</v>
      </c>
      <c r="I41" s="379">
        <f>IF(H41,Wh_hp,'2020'!Maxi_hp)</f>
        <v>14.910785130627664</v>
      </c>
      <c r="J41" s="85">
        <f>IF(H41,An,'2020'!An_max)</f>
        <v>2019</v>
      </c>
      <c r="K41" s="196">
        <f t="shared" si="3"/>
        <v>44223</v>
      </c>
      <c r="L41" s="147">
        <f>IF(t&lt;Tvie,1-EXP((T0-t)*PertePVj)+'2020'!Pspv,1-EXP((T0-t)*PertePVj)+Pspv)</f>
        <v>2.1085946626968499E-2</v>
      </c>
      <c r="M41" s="847"/>
      <c r="N41" s="847"/>
      <c r="O41" s="48">
        <f>IF(t&lt;Tnet,'2020'!Resal+('2020'!Salim-'2020'!Resal)*(1-EXP(('2020'!Tnet-t)/('2020'!Tau_j))),Resal+(Salim-Resal)*(1-EXP((Tnet-t)/(Tau_j))))*Salcycl</f>
        <v>4.4891773156128835E-2</v>
      </c>
      <c r="P41" s="168">
        <f>(INDEX(Models!$BJ41:$BT41,,T41)*(1-R41)+INDEX(Models!$BJ41:$BT41,,T41+1)*R41-ERP_i)*Q41*Ramure*Pc/MaxiM</f>
        <v>3.1298208063213162E-4</v>
      </c>
      <c r="Q41" s="304">
        <f t="shared" si="4"/>
        <v>0.5</v>
      </c>
      <c r="R41" s="176">
        <f t="shared" si="5"/>
        <v>0.43557271807381137</v>
      </c>
      <c r="S41" s="814">
        <f t="shared" si="6"/>
        <v>0</v>
      </c>
      <c r="T41" s="175">
        <f t="shared" si="7"/>
        <v>6</v>
      </c>
      <c r="U41" s="250">
        <f t="shared" si="8"/>
        <v>0.43557271807381137</v>
      </c>
      <c r="V41" s="382">
        <f t="shared" si="9"/>
        <v>30.810401421853729</v>
      </c>
      <c r="W41" s="401"/>
      <c r="X41" s="157">
        <f t="shared" si="10"/>
        <v>44223</v>
      </c>
      <c r="Y41" s="384">
        <f t="shared" si="11"/>
        <v>6.0209999999999999</v>
      </c>
      <c r="Z41" s="384">
        <f t="shared" si="12"/>
        <v>6.1506931882870797</v>
      </c>
      <c r="AA41" s="385">
        <f t="shared" si="13"/>
        <v>6.4397866288010892</v>
      </c>
      <c r="AB41" s="196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4.4891773156128835E-2</v>
      </c>
      <c r="AD41" s="230">
        <f>(INDEX(Models!$BJ41:$BT41,,AH41)*(1-AF41)+INDEX(Models!$BJ41:$BT41,,AH41+1)*AF41-ERP_i)*AE41*Ramure*Pc/MaxiM</f>
        <v>3.1298208063213162E-4</v>
      </c>
      <c r="AE41" s="304">
        <f t="shared" si="15"/>
        <v>0.5</v>
      </c>
      <c r="AF41" s="176">
        <f t="shared" si="22"/>
        <v>0.43557271807381137</v>
      </c>
      <c r="AG41" s="814">
        <f t="shared" si="23"/>
        <v>0</v>
      </c>
      <c r="AH41" s="175">
        <f t="shared" si="16"/>
        <v>6</v>
      </c>
      <c r="AI41" s="224">
        <f t="shared" si="17"/>
        <v>0.43557271807381137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44224</v>
      </c>
      <c r="B42" s="616">
        <v>17.704000000000001</v>
      </c>
      <c r="C42" s="389"/>
      <c r="D42" s="392">
        <f t="shared" si="0"/>
        <v>18.085742778465107</v>
      </c>
      <c r="E42" s="384">
        <f t="shared" si="1"/>
        <v>18.936326083035947</v>
      </c>
      <c r="F42" s="384">
        <f t="shared" si="2"/>
        <v>18.938525779700466</v>
      </c>
      <c r="G42" s="110">
        <f t="shared" si="21"/>
        <v>0.56858294827322586</v>
      </c>
      <c r="H42" s="413" t="b">
        <f>Wh_hp&gt;='2020'!Maxi_hp</f>
        <v>0</v>
      </c>
      <c r="I42" s="379">
        <f>IF(H42,Wh_hp,'2020'!Maxi_hp)</f>
        <v>19.765771987607742</v>
      </c>
      <c r="J42" s="85">
        <f>IF(H42,An,'2020'!An_max)</f>
        <v>2020</v>
      </c>
      <c r="K42" s="196">
        <f t="shared" si="3"/>
        <v>44224</v>
      </c>
      <c r="L42" s="147">
        <f>IF(t&lt;Tvie,1-EXP((T0-t)*PertePVj)+'2020'!Pspv,1-EXP((T0-t)*PertePVj)+Pspv)</f>
        <v>2.1107387357054086E-2</v>
      </c>
      <c r="M42" s="847"/>
      <c r="N42" s="847"/>
      <c r="O42" s="48">
        <f>IF(t&lt;Tnet,'2020'!Resal+('2020'!Salim-'2020'!Resal)*(1-EXP(('2020'!Tnet-t)/('2020'!Tau_j))),Resal+(Salim-Resal)*(1-EXP((Tnet-t)/(Tau_j))))*Salcycl</f>
        <v>4.4918074437513666E-2</v>
      </c>
      <c r="P42" s="168">
        <f>(INDEX(Models!$BJ42:$BT42,,T42)*(1-R42)+INDEX(Models!$BJ42:$BT42,,T42+1)*R42-ERP_i)*Q42*Ramure*Pc/MaxiM</f>
        <v>3.0259712241298935E-4</v>
      </c>
      <c r="Q42" s="304">
        <f t="shared" si="4"/>
        <v>0.5</v>
      </c>
      <c r="R42" s="176">
        <f t="shared" si="5"/>
        <v>0.43562346803331892</v>
      </c>
      <c r="S42" s="814">
        <f t="shared" si="6"/>
        <v>0</v>
      </c>
      <c r="T42" s="175">
        <f t="shared" si="7"/>
        <v>6</v>
      </c>
      <c r="U42" s="250">
        <f t="shared" si="8"/>
        <v>0.43562346803331892</v>
      </c>
      <c r="V42" s="382">
        <f t="shared" si="9"/>
        <v>31.131251470365665</v>
      </c>
      <c r="W42" s="401"/>
      <c r="X42" s="157">
        <f t="shared" si="10"/>
        <v>44224</v>
      </c>
      <c r="Y42" s="384">
        <f t="shared" si="11"/>
        <v>17.704000000000001</v>
      </c>
      <c r="Z42" s="384">
        <f t="shared" si="12"/>
        <v>18.085742778465107</v>
      </c>
      <c r="AA42" s="385">
        <f t="shared" si="13"/>
        <v>18.936326083035947</v>
      </c>
      <c r="AB42" s="196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4.4918074437513666E-2</v>
      </c>
      <c r="AD42" s="230">
        <f>(INDEX(Models!$BJ42:$BT42,,AH42)*(1-AF42)+INDEX(Models!$BJ42:$BT42,,AH42+1)*AF42-ERP_i)*AE42*Ramure*Pc/MaxiM</f>
        <v>3.0259712241298935E-4</v>
      </c>
      <c r="AE42" s="304">
        <f t="shared" si="15"/>
        <v>0.5</v>
      </c>
      <c r="AF42" s="176">
        <f t="shared" si="22"/>
        <v>0.43562346803331892</v>
      </c>
      <c r="AG42" s="814">
        <f t="shared" si="23"/>
        <v>0</v>
      </c>
      <c r="AH42" s="175">
        <f t="shared" si="16"/>
        <v>6</v>
      </c>
      <c r="AI42" s="224">
        <f t="shared" si="17"/>
        <v>0.43562346803331892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44225</v>
      </c>
      <c r="B43" s="616">
        <v>13.557</v>
      </c>
      <c r="C43" s="389"/>
      <c r="D43" s="392">
        <f t="shared" si="0"/>
        <v>13.849626368098793</v>
      </c>
      <c r="E43" s="384">
        <f t="shared" si="1"/>
        <v>14.501382577120427</v>
      </c>
      <c r="F43" s="384">
        <f t="shared" si="2"/>
        <v>14.502173044654871</v>
      </c>
      <c r="G43" s="110">
        <f t="shared" si="21"/>
        <v>0.43088341394831492</v>
      </c>
      <c r="H43" s="413" t="b">
        <f>Wh_hp&gt;='2020'!Maxi_hp</f>
        <v>0</v>
      </c>
      <c r="I43" s="379">
        <f>IF(H43,Wh_hp,'2020'!Maxi_hp)</f>
        <v>24.438772504901799</v>
      </c>
      <c r="J43" s="85">
        <f>IF(H43,An,'2020'!An_max)</f>
        <v>2020</v>
      </c>
      <c r="K43" s="196">
        <f t="shared" si="3"/>
        <v>44225</v>
      </c>
      <c r="L43" s="147">
        <f>IF(t&lt;Tvie,1-EXP((T0-t)*PertePVj)+'2020'!Pspv,1-EXP((T0-t)*PertePVj)+Pspv)</f>
        <v>2.1128827617532542E-2</v>
      </c>
      <c r="M43" s="847"/>
      <c r="N43" s="847"/>
      <c r="O43" s="48">
        <f>IF(t&lt;Tnet,'2020'!Resal+('2020'!Salim-'2020'!Resal)*(1-EXP(('2020'!Tnet-t)/('2020'!Tau_j))),Resal+(Salim-Resal)*(1-EXP((Tnet-t)/(Tau_j))))*Salcycl</f>
        <v>4.4944418613570222E-2</v>
      </c>
      <c r="P43" s="168">
        <f>(INDEX(Models!$BJ43:$BT43,,T43)*(1-R43)+INDEX(Models!$BJ43:$BT43,,T43+1)*R43-ERP_i)*Q43*Ramure*Pc/MaxiM</f>
        <v>2.9129019942092756E-4</v>
      </c>
      <c r="Q43" s="304">
        <f t="shared" si="4"/>
        <v>0.5</v>
      </c>
      <c r="R43" s="176">
        <f t="shared" si="5"/>
        <v>0.43567632875049012</v>
      </c>
      <c r="S43" s="814">
        <f t="shared" si="6"/>
        <v>0</v>
      </c>
      <c r="T43" s="175">
        <f t="shared" si="7"/>
        <v>6</v>
      </c>
      <c r="U43" s="250">
        <f t="shared" si="8"/>
        <v>0.43567632875049012</v>
      </c>
      <c r="V43" s="382">
        <f t="shared" si="9"/>
        <v>31.455816850161526</v>
      </c>
      <c r="W43" s="401"/>
      <c r="X43" s="157">
        <f t="shared" si="10"/>
        <v>44225</v>
      </c>
      <c r="Y43" s="384">
        <f t="shared" si="11"/>
        <v>13.557</v>
      </c>
      <c r="Z43" s="384">
        <f t="shared" si="12"/>
        <v>13.849626368098793</v>
      </c>
      <c r="AA43" s="385">
        <f t="shared" si="13"/>
        <v>14.501382577120427</v>
      </c>
      <c r="AB43" s="196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4.4944418613570222E-2</v>
      </c>
      <c r="AD43" s="230">
        <f>(INDEX(Models!$BJ43:$BT43,,AH43)*(1-AF43)+INDEX(Models!$BJ43:$BT43,,AH43+1)*AF43-ERP_i)*AE43*Ramure*Pc/MaxiM</f>
        <v>2.9129019942092756E-4</v>
      </c>
      <c r="AE43" s="304">
        <f t="shared" si="15"/>
        <v>0.5</v>
      </c>
      <c r="AF43" s="176">
        <f t="shared" si="22"/>
        <v>0.43567632875049012</v>
      </c>
      <c r="AG43" s="814">
        <f t="shared" si="23"/>
        <v>0</v>
      </c>
      <c r="AH43" s="175">
        <f t="shared" si="16"/>
        <v>6</v>
      </c>
      <c r="AI43" s="224">
        <f t="shared" si="17"/>
        <v>0.43567632875049012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44226</v>
      </c>
      <c r="B44" s="616">
        <v>7.5070000000000006</v>
      </c>
      <c r="C44" s="389"/>
      <c r="D44" s="392">
        <f t="shared" si="0"/>
        <v>7.6692057524749968</v>
      </c>
      <c r="E44" s="384">
        <f t="shared" si="1"/>
        <v>8.030336449197959</v>
      </c>
      <c r="F44" s="384">
        <f t="shared" si="2"/>
        <v>8.030336449197959</v>
      </c>
      <c r="G44" s="110">
        <f t="shared" si="21"/>
        <v>0.2361243890694619</v>
      </c>
      <c r="H44" s="413" t="b">
        <f>Wh_hp&gt;='2020'!Maxi_hp</f>
        <v>0</v>
      </c>
      <c r="I44" s="379">
        <f>IF(H44,Wh_hp,'2020'!Maxi_hp)</f>
        <v>10.973075209769302</v>
      </c>
      <c r="J44" s="85">
        <f>IF(H44,An,'2020'!An_max)</f>
        <v>2020</v>
      </c>
      <c r="K44" s="196">
        <f t="shared" si="3"/>
        <v>44226</v>
      </c>
      <c r="L44" s="147">
        <f>IF(t&lt;Tvie,1-EXP((T0-t)*PertePVj)+'2020'!Pspv,1-EXP((T0-t)*PertePVj)+Pspv)</f>
        <v>2.1150267408414414E-2</v>
      </c>
      <c r="M44" s="847"/>
      <c r="N44" s="847"/>
      <c r="O44" s="48">
        <f>IF(t&lt;Tnet,'2020'!Resal+('2020'!Salim-'2020'!Resal)*(1-EXP(('2020'!Tnet-t)/('2020'!Tau_j))),Resal+(Salim-Resal)*(1-EXP((Tnet-t)/(Tau_j))))*Salcycl</f>
        <v>4.4970805271680785E-2</v>
      </c>
      <c r="P44" s="168">
        <f>(INDEX(Models!$BJ44:$BT44,,T44)*(1-R44)+INDEX(Models!$BJ44:$BT44,,T44+1)*R44-ERP_i)*Q44*Ramure*Pc/MaxiM</f>
        <v>2.7970490430494205E-4</v>
      </c>
      <c r="Q44" s="304">
        <f t="shared" si="4"/>
        <v>0.5</v>
      </c>
      <c r="R44" s="176">
        <f t="shared" si="5"/>
        <v>0.43573138721828619</v>
      </c>
      <c r="S44" s="814">
        <f t="shared" si="6"/>
        <v>0</v>
      </c>
      <c r="T44" s="175">
        <f t="shared" si="7"/>
        <v>6</v>
      </c>
      <c r="U44" s="250">
        <f t="shared" si="8"/>
        <v>0.43573138721828619</v>
      </c>
      <c r="V44" s="382">
        <f t="shared" si="9"/>
        <v>31.783672516250025</v>
      </c>
      <c r="W44" s="401"/>
      <c r="X44" s="157">
        <f t="shared" si="10"/>
        <v>44226</v>
      </c>
      <c r="Y44" s="384">
        <f t="shared" si="11"/>
        <v>7.5070000000000014</v>
      </c>
      <c r="Z44" s="384">
        <f t="shared" si="12"/>
        <v>7.6692057524749977</v>
      </c>
      <c r="AA44" s="385">
        <f t="shared" si="13"/>
        <v>8.030336449197959</v>
      </c>
      <c r="AB44" s="196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4.4970805271680785E-2</v>
      </c>
      <c r="AD44" s="230">
        <f>(INDEX(Models!$BJ44:$BT44,,AH44)*(1-AF44)+INDEX(Models!$BJ44:$BT44,,AH44+1)*AF44-ERP_i)*AE44*Ramure*Pc/MaxiM</f>
        <v>2.7970490430494205E-4</v>
      </c>
      <c r="AE44" s="304">
        <f t="shared" si="15"/>
        <v>0.5</v>
      </c>
      <c r="AF44" s="176">
        <f t="shared" si="22"/>
        <v>0.43573138721828619</v>
      </c>
      <c r="AG44" s="814">
        <f t="shared" si="23"/>
        <v>0</v>
      </c>
      <c r="AH44" s="175">
        <f t="shared" si="16"/>
        <v>6</v>
      </c>
      <c r="AI44" s="224">
        <f t="shared" si="17"/>
        <v>0.43573138721828619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44227</v>
      </c>
      <c r="B45" s="616">
        <v>8.7460000000000004</v>
      </c>
      <c r="C45" s="389"/>
      <c r="D45" s="392">
        <f t="shared" si="0"/>
        <v>8.9351728593575821</v>
      </c>
      <c r="E45" s="384">
        <f t="shared" si="1"/>
        <v>9.3561748435982093</v>
      </c>
      <c r="F45" s="384">
        <f t="shared" si="2"/>
        <v>9.3561748435982093</v>
      </c>
      <c r="G45" s="110">
        <f t="shared" si="21"/>
        <v>0.27226583176810176</v>
      </c>
      <c r="H45" s="413" t="b">
        <f>Wh_hp&gt;='2020'!Maxi_hp</f>
        <v>0</v>
      </c>
      <c r="I45" s="379">
        <f>IF(H45,Wh_hp,'2020'!Maxi_hp)</f>
        <v>22.393686095850722</v>
      </c>
      <c r="J45" s="85">
        <f>IF(H45,An,'2020'!An_max)</f>
        <v>2020</v>
      </c>
      <c r="K45" s="196">
        <f t="shared" si="3"/>
        <v>44227</v>
      </c>
      <c r="L45" s="147">
        <f>IF(t&lt;Tvie,1-EXP((T0-t)*PertePVj)+'2020'!Pspv,1-EXP((T0-t)*PertePVj)+Pspv)</f>
        <v>2.1171706729709805E-2</v>
      </c>
      <c r="M45" s="847"/>
      <c r="N45" s="847"/>
      <c r="O45" s="48">
        <f>IF(t&lt;Tnet,'2020'!Resal+('2020'!Salim-'2020'!Resal)*(1-EXP(('2020'!Tnet-t)/('2020'!Tau_j))),Resal+(Salim-Resal)*(1-EXP((Tnet-t)/(Tau_j))))*Salcycl</f>
        <v>4.4997233514579939E-2</v>
      </c>
      <c r="P45" s="168">
        <f>(INDEX(Models!$BJ45:$BT45,,T45)*(1-R45)+INDEX(Models!$BJ45:$BT45,,T45+1)*R45-ERP_i)*Q45*Ramure*Pc/MaxiM</f>
        <v>2.6866237176447546E-4</v>
      </c>
      <c r="Q45" s="304">
        <f t="shared" si="4"/>
        <v>0.5</v>
      </c>
      <c r="R45" s="176">
        <f t="shared" si="5"/>
        <v>0.43578873394714424</v>
      </c>
      <c r="S45" s="814">
        <f t="shared" si="6"/>
        <v>0</v>
      </c>
      <c r="T45" s="175">
        <f t="shared" si="7"/>
        <v>6</v>
      </c>
      <c r="U45" s="250">
        <f t="shared" si="8"/>
        <v>0.43578873394714424</v>
      </c>
      <c r="V45" s="382">
        <f t="shared" si="9"/>
        <v>32.114386965544092</v>
      </c>
      <c r="W45" s="401"/>
      <c r="X45" s="157">
        <f t="shared" si="10"/>
        <v>44227</v>
      </c>
      <c r="Y45" s="384">
        <f t="shared" si="11"/>
        <v>8.7460000000000004</v>
      </c>
      <c r="Z45" s="384">
        <f t="shared" si="12"/>
        <v>8.9351728593575821</v>
      </c>
      <c r="AA45" s="385">
        <f t="shared" si="13"/>
        <v>9.3561748435982093</v>
      </c>
      <c r="AB45" s="196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4.4997233514579939E-2</v>
      </c>
      <c r="AD45" s="230">
        <f>(INDEX(Models!$BJ45:$BT45,,AH45)*(1-AF45)+INDEX(Models!$BJ45:$BT45,,AH45+1)*AF45-ERP_i)*AE45*Ramure*Pc/MaxiM</f>
        <v>2.6866237176447546E-4</v>
      </c>
      <c r="AE45" s="304">
        <f t="shared" si="15"/>
        <v>0.5</v>
      </c>
      <c r="AF45" s="176">
        <f t="shared" si="22"/>
        <v>0.43578873394714424</v>
      </c>
      <c r="AG45" s="814">
        <f t="shared" si="23"/>
        <v>0</v>
      </c>
      <c r="AH45" s="175">
        <f t="shared" si="16"/>
        <v>6</v>
      </c>
      <c r="AI45" s="224">
        <f t="shared" si="17"/>
        <v>0.43578873394714424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44228</v>
      </c>
      <c r="B46" s="616">
        <v>9.9060000000000006</v>
      </c>
      <c r="C46" s="389"/>
      <c r="D46" s="392">
        <f t="shared" si="0"/>
        <v>10.120484910053417</v>
      </c>
      <c r="E46" s="384">
        <f t="shared" si="1"/>
        <v>10.597629418406379</v>
      </c>
      <c r="F46" s="384">
        <f t="shared" si="2"/>
        <v>10.597650103647839</v>
      </c>
      <c r="G46" s="110">
        <f t="shared" si="21"/>
        <v>0.30521443524233932</v>
      </c>
      <c r="H46" s="413" t="b">
        <f>Wh_hp&gt;='2020'!Maxi_hp</f>
        <v>0</v>
      </c>
      <c r="I46" s="379">
        <f>IF(H46,Wh_hp,'2020'!Maxi_hp)</f>
        <v>27.773324166847818</v>
      </c>
      <c r="J46" s="85">
        <f>IF(H46,An,'2020'!An_max)</f>
        <v>2019</v>
      </c>
      <c r="K46" s="196">
        <f t="shared" si="3"/>
        <v>44228</v>
      </c>
      <c r="L46" s="147">
        <f>IF(t&lt;Tvie,1-EXP((T0-t)*PertePVj)+'2020'!Pspv,1-EXP((T0-t)*PertePVj)+Pspv)</f>
        <v>2.1193145581428929E-2</v>
      </c>
      <c r="M46" s="847"/>
      <c r="N46" s="847"/>
      <c r="O46" s="48">
        <f>IF(t&lt;Tnet,'2020'!Resal+('2020'!Salim-'2020'!Resal)*(1-EXP(('2020'!Tnet-t)/('2020'!Tau_j))),Resal+(Salim-Resal)*(1-EXP((Tnet-t)/(Tau_j))))*Salcycl</f>
        <v>4.5023701953970867E-2</v>
      </c>
      <c r="P46" s="168">
        <f>(INDEX(Models!$BJ46:$BT46,,T46)*(1-R46)+INDEX(Models!$BJ46:$BT46,,T46+1)*R46-ERP_i)*Q46*Ramure*Pc/MaxiM</f>
        <v>2.5815215993418351E-4</v>
      </c>
      <c r="Q46" s="304">
        <f t="shared" si="4"/>
        <v>0.5</v>
      </c>
      <c r="R46" s="176">
        <f t="shared" si="5"/>
        <v>0.43584846310140851</v>
      </c>
      <c r="S46" s="814">
        <f t="shared" si="6"/>
        <v>0</v>
      </c>
      <c r="T46" s="175">
        <f t="shared" si="7"/>
        <v>6</v>
      </c>
      <c r="U46" s="250">
        <f t="shared" si="8"/>
        <v>0.43584846310140851</v>
      </c>
      <c r="V46" s="382">
        <f t="shared" si="9"/>
        <v>32.447554674524625</v>
      </c>
      <c r="W46" s="401"/>
      <c r="X46" s="157">
        <f t="shared" si="10"/>
        <v>44228</v>
      </c>
      <c r="Y46" s="384">
        <f t="shared" si="11"/>
        <v>9.9060000000000006</v>
      </c>
      <c r="Z46" s="384">
        <f t="shared" si="12"/>
        <v>10.120484910053417</v>
      </c>
      <c r="AA46" s="385">
        <f t="shared" si="13"/>
        <v>10.597629418406379</v>
      </c>
      <c r="AB46" s="196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4.5023701953970867E-2</v>
      </c>
      <c r="AD46" s="230">
        <f>(INDEX(Models!$BJ46:$BT46,,AH46)*(1-AF46)+INDEX(Models!$BJ46:$BT46,,AH46+1)*AF46-ERP_i)*AE46*Ramure*Pc/MaxiM</f>
        <v>2.5815215993418351E-4</v>
      </c>
      <c r="AE46" s="304">
        <f t="shared" si="15"/>
        <v>0.5</v>
      </c>
      <c r="AF46" s="176">
        <f t="shared" si="22"/>
        <v>0.43584846310140851</v>
      </c>
      <c r="AG46" s="814">
        <f t="shared" si="23"/>
        <v>0</v>
      </c>
      <c r="AH46" s="175">
        <f t="shared" si="16"/>
        <v>6</v>
      </c>
      <c r="AI46" s="224">
        <f t="shared" si="17"/>
        <v>0.43584846310140851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44229</v>
      </c>
      <c r="B47" s="616">
        <v>29.009</v>
      </c>
      <c r="C47" s="389"/>
      <c r="D47" s="392">
        <f t="shared" si="0"/>
        <v>29.637752590830043</v>
      </c>
      <c r="E47" s="384">
        <f t="shared" si="1"/>
        <v>31.035927607121209</v>
      </c>
      <c r="F47" s="384">
        <f t="shared" si="2"/>
        <v>31.04236433925411</v>
      </c>
      <c r="G47" s="110">
        <f t="shared" si="21"/>
        <v>0.88484944061384396</v>
      </c>
      <c r="H47" s="413" t="b">
        <f>Wh_hp&gt;='2020'!Maxi_hp</f>
        <v>1</v>
      </c>
      <c r="I47" s="379">
        <f>IF(H47,Wh_hp,'2020'!Maxi_hp)</f>
        <v>31.04236433925411</v>
      </c>
      <c r="J47" s="85">
        <f>IF(H47,An,'2020'!An_max)</f>
        <v>2021</v>
      </c>
      <c r="K47" s="196">
        <f t="shared" si="3"/>
        <v>44229</v>
      </c>
      <c r="L47" s="147">
        <f>IF(t&lt;Tvie,1-EXP((T0-t)*PertePVj)+'2020'!Pspv,1-EXP((T0-t)*PertePVj)+Pspv)</f>
        <v>2.1214583963582334E-2</v>
      </c>
      <c r="M47" s="847"/>
      <c r="N47" s="847"/>
      <c r="O47" s="48">
        <f>IF(t&lt;Tnet,'2020'!Resal+('2020'!Salim-'2020'!Resal)*(1-EXP(('2020'!Tnet-t)/('2020'!Tau_j))),Resal+(Salim-Resal)*(1-EXP((Tnet-t)/(Tau_j))))*Salcycl</f>
        <v>4.5050208712638991E-2</v>
      </c>
      <c r="P47" s="168">
        <f>(INDEX(Models!$BJ47:$BT47,,T47)*(1-R47)+INDEX(Models!$BJ47:$BT47,,T47+1)*R47-ERP_i)*Q47*Ramure*Pc/MaxiM</f>
        <v>2.481634308212286E-4</v>
      </c>
      <c r="Q47" s="304">
        <f t="shared" si="4"/>
        <v>0.5</v>
      </c>
      <c r="R47" s="176">
        <f t="shared" si="5"/>
        <v>0.43591067264055544</v>
      </c>
      <c r="S47" s="814">
        <f t="shared" si="6"/>
        <v>0</v>
      </c>
      <c r="T47" s="175">
        <f t="shared" si="7"/>
        <v>6</v>
      </c>
      <c r="U47" s="250">
        <f t="shared" si="8"/>
        <v>0.43591067264055544</v>
      </c>
      <c r="V47" s="382">
        <f t="shared" si="9"/>
        <v>32.782770217957022</v>
      </c>
      <c r="W47" s="401"/>
      <c r="X47" s="157">
        <f t="shared" si="10"/>
        <v>44229</v>
      </c>
      <c r="Y47" s="384">
        <f t="shared" si="11"/>
        <v>29.009</v>
      </c>
      <c r="Z47" s="384">
        <f t="shared" si="12"/>
        <v>29.637752590830043</v>
      </c>
      <c r="AA47" s="385">
        <f t="shared" si="13"/>
        <v>31.035927607121209</v>
      </c>
      <c r="AB47" s="196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4.5050208712638991E-2</v>
      </c>
      <c r="AD47" s="230">
        <f>(INDEX(Models!$BJ47:$BT47,,AH47)*(1-AF47)+INDEX(Models!$BJ47:$BT47,,AH47+1)*AF47-ERP_i)*AE47*Ramure*Pc/MaxiM</f>
        <v>2.481634308212286E-4</v>
      </c>
      <c r="AE47" s="304">
        <f t="shared" si="15"/>
        <v>0.5</v>
      </c>
      <c r="AF47" s="176">
        <f t="shared" si="22"/>
        <v>0.43591067264055544</v>
      </c>
      <c r="AG47" s="814">
        <f t="shared" si="23"/>
        <v>0</v>
      </c>
      <c r="AH47" s="175">
        <f t="shared" si="16"/>
        <v>6</v>
      </c>
      <c r="AI47" s="224">
        <f t="shared" si="17"/>
        <v>0.43591067264055544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44230</v>
      </c>
      <c r="B48" s="616">
        <v>22.745000000000001</v>
      </c>
      <c r="C48" s="389"/>
      <c r="D48" s="392">
        <f t="shared" si="0"/>
        <v>23.238493148879058</v>
      </c>
      <c r="E48" s="384">
        <f t="shared" si="1"/>
        <v>24.335456471289636</v>
      </c>
      <c r="F48" s="384">
        <f t="shared" si="2"/>
        <v>24.338666120021731</v>
      </c>
      <c r="G48" s="110">
        <f t="shared" si="21"/>
        <v>0.68667951479754641</v>
      </c>
      <c r="H48" s="413" t="b">
        <f>Wh_hp&gt;='2020'!Maxi_hp</f>
        <v>0</v>
      </c>
      <c r="I48" s="379">
        <f>IF(H48,Wh_hp,'2020'!Maxi_hp)</f>
        <v>27.850010824525498</v>
      </c>
      <c r="J48" s="85">
        <f>IF(H48,An,'2020'!An_max)</f>
        <v>2020</v>
      </c>
      <c r="K48" s="196">
        <f t="shared" si="3"/>
        <v>44230</v>
      </c>
      <c r="L48" s="147">
        <f>IF(t&lt;Tvie,1-EXP((T0-t)*PertePVj)+'2020'!Pspv,1-EXP((T0-t)*PertePVj)+Pspv)</f>
        <v>2.1236021876180122E-2</v>
      </c>
      <c r="M48" s="847"/>
      <c r="N48" s="847"/>
      <c r="O48" s="48">
        <f>IF(t&lt;Tnet,'2020'!Resal+('2020'!Salim-'2020'!Resal)*(1-EXP(('2020'!Tnet-t)/('2020'!Tau_j))),Resal+(Salim-Resal)*(1-EXP((Tnet-t)/(Tau_j))))*Salcycl</f>
        <v>4.5076751434876376E-2</v>
      </c>
      <c r="P48" s="168">
        <f>(INDEX(Models!$BJ48:$BT48,,T48)*(1-R48)+INDEX(Models!$BJ48:$BT48,,T48+1)*R48-ERP_i)*Q48*Ramure*Pc/MaxiM</f>
        <v>2.3868505075821364E-4</v>
      </c>
      <c r="Q48" s="304">
        <f t="shared" si="4"/>
        <v>0.5</v>
      </c>
      <c r="R48" s="176">
        <f t="shared" si="5"/>
        <v>0.43597546446533525</v>
      </c>
      <c r="S48" s="814">
        <f t="shared" si="6"/>
        <v>0</v>
      </c>
      <c r="T48" s="175">
        <f t="shared" si="7"/>
        <v>6</v>
      </c>
      <c r="U48" s="250">
        <f t="shared" si="8"/>
        <v>0.43597546446533525</v>
      </c>
      <c r="V48" s="382">
        <f t="shared" si="9"/>
        <v>33.119628273258535</v>
      </c>
      <c r="W48" s="401"/>
      <c r="X48" s="157">
        <f t="shared" si="10"/>
        <v>44230</v>
      </c>
      <c r="Y48" s="384">
        <f t="shared" si="11"/>
        <v>22.745000000000001</v>
      </c>
      <c r="Z48" s="384">
        <f t="shared" si="12"/>
        <v>23.238493148879058</v>
      </c>
      <c r="AA48" s="385">
        <f t="shared" si="13"/>
        <v>24.335456471289636</v>
      </c>
      <c r="AB48" s="196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4.5076751434876376E-2</v>
      </c>
      <c r="AD48" s="230">
        <f>(INDEX(Models!$BJ48:$BT48,,AH48)*(1-AF48)+INDEX(Models!$BJ48:$BT48,,AH48+1)*AF48-ERP_i)*AE48*Ramure*Pc/MaxiM</f>
        <v>2.3868505075821364E-4</v>
      </c>
      <c r="AE48" s="304">
        <f t="shared" si="15"/>
        <v>0.5</v>
      </c>
      <c r="AF48" s="176">
        <f t="shared" si="22"/>
        <v>0.43597546446533525</v>
      </c>
      <c r="AG48" s="814">
        <f t="shared" si="23"/>
        <v>0</v>
      </c>
      <c r="AH48" s="175">
        <f t="shared" si="16"/>
        <v>6</v>
      </c>
      <c r="AI48" s="224">
        <f t="shared" si="17"/>
        <v>0.43597546446533525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44231</v>
      </c>
      <c r="B49" s="616">
        <v>15.762</v>
      </c>
      <c r="C49" s="389"/>
      <c r="D49" s="392">
        <f t="shared" si="0"/>
        <v>16.104337294909744</v>
      </c>
      <c r="E49" s="384">
        <f t="shared" si="1"/>
        <v>16.86500514182093</v>
      </c>
      <c r="F49" s="384">
        <f t="shared" si="2"/>
        <v>16.865952119208266</v>
      </c>
      <c r="G49" s="110">
        <f t="shared" si="21"/>
        <v>0.47102021641147113</v>
      </c>
      <c r="H49" s="413" t="b">
        <f>Wh_hp&gt;='2020'!Maxi_hp</f>
        <v>0</v>
      </c>
      <c r="I49" s="379">
        <f>IF(H49,Wh_hp,'2020'!Maxi_hp)</f>
        <v>29.1914143774355</v>
      </c>
      <c r="J49" s="85">
        <f>IF(H49,An,'2020'!An_max)</f>
        <v>2019</v>
      </c>
      <c r="K49" s="196">
        <f t="shared" si="3"/>
        <v>44231</v>
      </c>
      <c r="L49" s="147">
        <f>IF(t&lt;Tvie,1-EXP((T0-t)*PertePVj)+'2020'!Pspv,1-EXP((T0-t)*PertePVj)+Pspv)</f>
        <v>2.1257459319232508E-2</v>
      </c>
      <c r="M49" s="847"/>
      <c r="N49" s="847"/>
      <c r="O49" s="48">
        <f>IF(t&lt;Tnet,'2020'!Resal+('2020'!Salim-'2020'!Resal)*(1-EXP(('2020'!Tnet-t)/('2020'!Tau_j))),Resal+(Salim-Resal)*(1-EXP((Tnet-t)/(Tau_j))))*Salcycl</f>
        <v>4.5103327304948426E-2</v>
      </c>
      <c r="P49" s="168">
        <f>(INDEX(Models!$BJ49:$BT49,,T49)*(1-R49)+INDEX(Models!$BJ49:$BT49,,T49+1)*R49-ERP_i)*Q49*Ramure*Pc/MaxiM</f>
        <v>2.2970568221740987E-4</v>
      </c>
      <c r="Q49" s="304">
        <f t="shared" si="4"/>
        <v>0.5</v>
      </c>
      <c r="R49" s="176">
        <f t="shared" si="5"/>
        <v>0.43604294456895482</v>
      </c>
      <c r="S49" s="814">
        <f t="shared" si="6"/>
        <v>0</v>
      </c>
      <c r="T49" s="175">
        <f t="shared" si="7"/>
        <v>6</v>
      </c>
      <c r="U49" s="250">
        <f t="shared" si="8"/>
        <v>0.43604294456895482</v>
      </c>
      <c r="V49" s="382">
        <f t="shared" si="9"/>
        <v>33.457723617405343</v>
      </c>
      <c r="W49" s="401"/>
      <c r="X49" s="157">
        <f t="shared" si="10"/>
        <v>44231</v>
      </c>
      <c r="Y49" s="384">
        <f t="shared" si="11"/>
        <v>15.762</v>
      </c>
      <c r="Z49" s="384">
        <f t="shared" si="12"/>
        <v>16.104337294909744</v>
      </c>
      <c r="AA49" s="385">
        <f t="shared" si="13"/>
        <v>16.86500514182093</v>
      </c>
      <c r="AB49" s="196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4.5103327304948426E-2</v>
      </c>
      <c r="AD49" s="230">
        <f>(INDEX(Models!$BJ49:$BT49,,AH49)*(1-AF49)+INDEX(Models!$BJ49:$BT49,,AH49+1)*AF49-ERP_i)*AE49*Ramure*Pc/MaxiM</f>
        <v>2.2970568221740987E-4</v>
      </c>
      <c r="AE49" s="304">
        <f t="shared" si="15"/>
        <v>0.5</v>
      </c>
      <c r="AF49" s="176">
        <f t="shared" si="22"/>
        <v>0.43604294456895482</v>
      </c>
      <c r="AG49" s="814">
        <f t="shared" si="23"/>
        <v>0</v>
      </c>
      <c r="AH49" s="175">
        <f t="shared" si="16"/>
        <v>6</v>
      </c>
      <c r="AI49" s="224">
        <f t="shared" si="17"/>
        <v>0.43604294456895482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44232</v>
      </c>
      <c r="B50" s="616">
        <v>9.423</v>
      </c>
      <c r="C50" s="389"/>
      <c r="D50" s="392">
        <f t="shared" si="0"/>
        <v>9.6278704569739801</v>
      </c>
      <c r="E50" s="384">
        <f t="shared" si="1"/>
        <v>10.082911581846254</v>
      </c>
      <c r="F50" s="384">
        <f t="shared" si="2"/>
        <v>10.082911581846254</v>
      </c>
      <c r="G50" s="110">
        <f t="shared" si="21"/>
        <v>0.27875292928528594</v>
      </c>
      <c r="H50" s="413" t="b">
        <f>Wh_hp&gt;='2020'!Maxi_hp</f>
        <v>0</v>
      </c>
      <c r="I50" s="379">
        <f>IF(H50,Wh_hp,'2020'!Maxi_hp)</f>
        <v>36.34952786245141</v>
      </c>
      <c r="J50" s="85">
        <f>IF(H50,An,'2020'!An_max)</f>
        <v>2020</v>
      </c>
      <c r="K50" s="196">
        <f t="shared" si="3"/>
        <v>44232</v>
      </c>
      <c r="L50" s="147">
        <f>IF(t&lt;Tvie,1-EXP((T0-t)*PertePVj)+'2020'!Pspv,1-EXP((T0-t)*PertePVj)+Pspv)</f>
        <v>2.1278896292749927E-2</v>
      </c>
      <c r="M50" s="847"/>
      <c r="N50" s="847"/>
      <c r="O50" s="48">
        <f>IF(t&lt;Tnet,'2020'!Resal+('2020'!Salim-'2020'!Resal)*(1-EXP(('2020'!Tnet-t)/('2020'!Tau_j))),Resal+(Salim-Resal)*(1-EXP((Tnet-t)/(Tau_j))))*Salcycl</f>
        <v>4.5129933073255579E-2</v>
      </c>
      <c r="P50" s="168">
        <f>(INDEX(Models!$BJ50:$BT50,,T50)*(1-R50)+INDEX(Models!$BJ50:$BT50,,T50+1)*R50-ERP_i)*Q50*Ramure*Pc/MaxiM</f>
        <v>2.2121386718497725E-4</v>
      </c>
      <c r="Q50" s="304">
        <f t="shared" si="4"/>
        <v>0.5</v>
      </c>
      <c r="R50" s="176">
        <f t="shared" si="5"/>
        <v>0.43611322319342333</v>
      </c>
      <c r="S50" s="814">
        <f t="shared" si="6"/>
        <v>0</v>
      </c>
      <c r="T50" s="175">
        <f t="shared" si="7"/>
        <v>6</v>
      </c>
      <c r="U50" s="250">
        <f t="shared" si="8"/>
        <v>0.43611322319342333</v>
      </c>
      <c r="V50" s="382">
        <f t="shared" si="9"/>
        <v>33.796651127162882</v>
      </c>
      <c r="W50" s="401"/>
      <c r="X50" s="157">
        <f t="shared" si="10"/>
        <v>44232</v>
      </c>
      <c r="Y50" s="384">
        <f t="shared" si="11"/>
        <v>9.423</v>
      </c>
      <c r="Z50" s="384">
        <f t="shared" si="12"/>
        <v>9.6278704569739801</v>
      </c>
      <c r="AA50" s="385">
        <f t="shared" si="13"/>
        <v>10.082911581846254</v>
      </c>
      <c r="AB50" s="196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4.5129933073255579E-2</v>
      </c>
      <c r="AD50" s="230">
        <f>(INDEX(Models!$BJ50:$BT50,,AH50)*(1-AF50)+INDEX(Models!$BJ50:$BT50,,AH50+1)*AF50-ERP_i)*AE50*Ramure*Pc/MaxiM</f>
        <v>2.2121386718497725E-4</v>
      </c>
      <c r="AE50" s="304">
        <f t="shared" si="15"/>
        <v>0.5</v>
      </c>
      <c r="AF50" s="176">
        <f t="shared" si="22"/>
        <v>0.43611322319342333</v>
      </c>
      <c r="AG50" s="814">
        <f t="shared" si="23"/>
        <v>0</v>
      </c>
      <c r="AH50" s="175">
        <f t="shared" si="16"/>
        <v>6</v>
      </c>
      <c r="AI50" s="224">
        <f t="shared" si="17"/>
        <v>0.43611322319342333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44233</v>
      </c>
      <c r="B51" s="616">
        <v>7.5949999999999998</v>
      </c>
      <c r="C51" s="389"/>
      <c r="D51" s="392">
        <f t="shared" si="0"/>
        <v>7.7602969067145517</v>
      </c>
      <c r="E51" s="384">
        <f t="shared" si="1"/>
        <v>8.1272977568769011</v>
      </c>
      <c r="F51" s="384">
        <f t="shared" si="2"/>
        <v>8.1272977568769011</v>
      </c>
      <c r="G51" s="110">
        <f t="shared" si="21"/>
        <v>0.22242402403289638</v>
      </c>
      <c r="H51" s="413" t="b">
        <f>Wh_hp&gt;='2020'!Maxi_hp</f>
        <v>0</v>
      </c>
      <c r="I51" s="379">
        <f>IF(H51,Wh_hp,'2020'!Maxi_hp)</f>
        <v>37.913350711029565</v>
      </c>
      <c r="J51" s="85">
        <f>IF(H51,An,'2020'!An_max)</f>
        <v>2020</v>
      </c>
      <c r="K51" s="196">
        <f t="shared" si="3"/>
        <v>44233</v>
      </c>
      <c r="L51" s="147">
        <f>IF(t&lt;Tvie,1-EXP((T0-t)*PertePVj)+'2020'!Pspv,1-EXP((T0-t)*PertePVj)+Pspv)</f>
        <v>2.1300332796742594E-2</v>
      </c>
      <c r="M51" s="847"/>
      <c r="N51" s="847"/>
      <c r="O51" s="48">
        <f>IF(t&lt;Tnet,'2020'!Resal+('2020'!Salim-'2020'!Resal)*(1-EXP(('2020'!Tnet-t)/('2020'!Tau_j))),Resal+(Salim-Resal)*(1-EXP((Tnet-t)/(Tau_j))))*Salcycl</f>
        <v>4.5156565089769361E-2</v>
      </c>
      <c r="P51" s="168">
        <f>(INDEX(Models!$BJ51:$BT51,,T51)*(1-R51)+INDEX(Models!$BJ51:$BT51,,T51+1)*R51-ERP_i)*Q51*Ramure*Pc/MaxiM</f>
        <v>2.1317808396319104E-4</v>
      </c>
      <c r="Q51" s="304">
        <f t="shared" si="4"/>
        <v>0.5</v>
      </c>
      <c r="R51" s="176">
        <f t="shared" si="5"/>
        <v>0.43618641499117983</v>
      </c>
      <c r="S51" s="814">
        <f t="shared" si="6"/>
        <v>0</v>
      </c>
      <c r="T51" s="175">
        <f t="shared" si="7"/>
        <v>6</v>
      </c>
      <c r="U51" s="250">
        <f t="shared" si="8"/>
        <v>0.43618641499117983</v>
      </c>
      <c r="V51" s="382">
        <f t="shared" si="9"/>
        <v>34.139212009442126</v>
      </c>
      <c r="W51" s="401"/>
      <c r="X51" s="157">
        <f t="shared" si="10"/>
        <v>44233</v>
      </c>
      <c r="Y51" s="384">
        <f t="shared" si="11"/>
        <v>7.5950000000000006</v>
      </c>
      <c r="Z51" s="384">
        <f t="shared" si="12"/>
        <v>7.7602969067145526</v>
      </c>
      <c r="AA51" s="385">
        <f t="shared" si="13"/>
        <v>8.1272977568769011</v>
      </c>
      <c r="AB51" s="196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4.5156565089769361E-2</v>
      </c>
      <c r="AD51" s="230">
        <f>(INDEX(Models!$BJ51:$BT51,,AH51)*(1-AF51)+INDEX(Models!$BJ51:$BT51,,AH51+1)*AF51-ERP_i)*AE51*Ramure*Pc/MaxiM</f>
        <v>2.1317808396319104E-4</v>
      </c>
      <c r="AE51" s="304">
        <f t="shared" si="15"/>
        <v>0.5</v>
      </c>
      <c r="AF51" s="176">
        <f t="shared" si="22"/>
        <v>0.43618641499117983</v>
      </c>
      <c r="AG51" s="814">
        <f t="shared" si="23"/>
        <v>0</v>
      </c>
      <c r="AH51" s="175">
        <f t="shared" si="16"/>
        <v>6</v>
      </c>
      <c r="AI51" s="224">
        <f t="shared" si="17"/>
        <v>0.43618641499117983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44234</v>
      </c>
      <c r="B52" s="616">
        <v>23.13</v>
      </c>
      <c r="C52" s="389"/>
      <c r="D52" s="392">
        <f t="shared" si="0"/>
        <v>23.633916912995161</v>
      </c>
      <c r="E52" s="384">
        <f t="shared" si="1"/>
        <v>24.75230577406062</v>
      </c>
      <c r="F52" s="384">
        <f t="shared" si="2"/>
        <v>24.755005366085477</v>
      </c>
      <c r="G52" s="110">
        <f t="shared" si="21"/>
        <v>0.6706071690838008</v>
      </c>
      <c r="H52" s="413" t="b">
        <f>Wh_hp&gt;='2020'!Maxi_hp</f>
        <v>1</v>
      </c>
      <c r="I52" s="379">
        <f>IF(H52,Wh_hp,'2020'!Maxi_hp)</f>
        <v>24.755005366085477</v>
      </c>
      <c r="J52" s="85">
        <f>IF(H52,An,'2020'!An_max)</f>
        <v>2021</v>
      </c>
      <c r="K52" s="196">
        <f t="shared" si="3"/>
        <v>44234</v>
      </c>
      <c r="L52" s="147">
        <f>IF(t&lt;Tvie,1-EXP((T0-t)*PertePVj)+'2020'!Pspv,1-EXP((T0-t)*PertePVj)+Pspv)</f>
        <v>2.1321768831220833E-2</v>
      </c>
      <c r="M52" s="847"/>
      <c r="N52" s="847"/>
      <c r="O52" s="48">
        <f>IF(t&lt;Tnet,'2020'!Resal+('2020'!Salim-'2020'!Resal)*(1-EXP(('2020'!Tnet-t)/('2020'!Tau_j))),Resal+(Salim-Resal)*(1-EXP((Tnet-t)/(Tau_j))))*Salcycl</f>
        <v>4.5183219344255302E-2</v>
      </c>
      <c r="P52" s="168">
        <f>(INDEX(Models!$BJ52:$BT52,,T52)*(1-R52)+INDEX(Models!$BJ52:$BT52,,T52+1)*R52-ERP_i)*Q52*Ramure*Pc/MaxiM</f>
        <v>2.0594117517447436E-4</v>
      </c>
      <c r="Q52" s="304">
        <f t="shared" si="4"/>
        <v>0.5</v>
      </c>
      <c r="R52" s="176">
        <f t="shared" si="5"/>
        <v>0.43626263919212066</v>
      </c>
      <c r="S52" s="814">
        <f t="shared" si="6"/>
        <v>0</v>
      </c>
      <c r="T52" s="175">
        <f t="shared" si="7"/>
        <v>6</v>
      </c>
      <c r="U52" s="250">
        <f t="shared" si="8"/>
        <v>0.43626263919212066</v>
      </c>
      <c r="V52" s="382">
        <f t="shared" si="9"/>
        <v>34.487789250949731</v>
      </c>
      <c r="W52" s="401"/>
      <c r="X52" s="157">
        <f t="shared" si="10"/>
        <v>44234</v>
      </c>
      <c r="Y52" s="384">
        <f t="shared" si="11"/>
        <v>23.13</v>
      </c>
      <c r="Z52" s="384">
        <f t="shared" si="12"/>
        <v>23.633916912995161</v>
      </c>
      <c r="AA52" s="385">
        <f t="shared" si="13"/>
        <v>24.75230577406062</v>
      </c>
      <c r="AB52" s="196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4.5183219344255302E-2</v>
      </c>
      <c r="AD52" s="230">
        <f>(INDEX(Models!$BJ52:$BT52,,AH52)*(1-AF52)+INDEX(Models!$BJ52:$BT52,,AH52+1)*AF52-ERP_i)*AE52*Ramure*Pc/MaxiM</f>
        <v>2.0594117517447436E-4</v>
      </c>
      <c r="AE52" s="304">
        <f t="shared" si="15"/>
        <v>0.5</v>
      </c>
      <c r="AF52" s="176">
        <f t="shared" si="22"/>
        <v>0.43626263919212066</v>
      </c>
      <c r="AG52" s="814">
        <f t="shared" si="23"/>
        <v>0</v>
      </c>
      <c r="AH52" s="175">
        <f t="shared" si="16"/>
        <v>6</v>
      </c>
      <c r="AI52" s="224">
        <f t="shared" si="17"/>
        <v>0.43626263919212066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44235</v>
      </c>
      <c r="B53" s="616">
        <v>3.7</v>
      </c>
      <c r="C53" s="389"/>
      <c r="D53" s="392">
        <f t="shared" si="0"/>
        <v>3.7806920839058797</v>
      </c>
      <c r="E53" s="384">
        <f t="shared" si="1"/>
        <v>3.9597101502191578</v>
      </c>
      <c r="F53" s="384">
        <f t="shared" si="2"/>
        <v>3.9597101502191578</v>
      </c>
      <c r="G53" s="110">
        <f t="shared" si="21"/>
        <v>0.10617441062193923</v>
      </c>
      <c r="H53" s="413" t="b">
        <f>Wh_hp&gt;='2020'!Maxi_hp</f>
        <v>0</v>
      </c>
      <c r="I53" s="379">
        <f>IF(H53,Wh_hp,'2020'!Maxi_hp)</f>
        <v>31.110530776982241</v>
      </c>
      <c r="J53" s="85">
        <f>IF(H53,An,'2020'!An_max)</f>
        <v>2019</v>
      </c>
      <c r="K53" s="196">
        <f t="shared" si="3"/>
        <v>44235</v>
      </c>
      <c r="L53" s="147">
        <f>IF(t&lt;Tvie,1-EXP((T0-t)*PertePVj)+'2020'!Pspv,1-EXP((T0-t)*PertePVj)+Pspv)</f>
        <v>2.134320439619497E-2</v>
      </c>
      <c r="M53" s="847"/>
      <c r="N53" s="847"/>
      <c r="O53" s="48">
        <f>IF(t&lt;Tnet,'2020'!Resal+('2020'!Salim-'2020'!Resal)*(1-EXP(('2020'!Tnet-t)/('2020'!Tau_j))),Resal+(Salim-Resal)*(1-EXP((Tnet-t)/(Tau_j))))*Salcycl</f>
        <v>4.5209891512733552E-2</v>
      </c>
      <c r="P53" s="168">
        <f>(INDEX(Models!$BJ53:$BT53,,T53)*(1-R53)+INDEX(Models!$BJ53:$BT53,,T53+1)*R53-ERP_i)*Q53*Ramure*Pc/MaxiM</f>
        <v>1.9974109230735032E-4</v>
      </c>
      <c r="Q53" s="304">
        <f t="shared" si="4"/>
        <v>0.5</v>
      </c>
      <c r="R53" s="176">
        <f t="shared" si="5"/>
        <v>0.43634201977614046</v>
      </c>
      <c r="S53" s="814">
        <f t="shared" si="6"/>
        <v>0</v>
      </c>
      <c r="T53" s="175">
        <f t="shared" si="7"/>
        <v>6</v>
      </c>
      <c r="U53" s="250">
        <f t="shared" si="8"/>
        <v>0.43634201977614046</v>
      </c>
      <c r="V53" s="382">
        <f t="shared" si="9"/>
        <v>34.841360891850059</v>
      </c>
      <c r="W53" s="401"/>
      <c r="X53" s="157">
        <f t="shared" si="10"/>
        <v>44235</v>
      </c>
      <c r="Y53" s="384">
        <f t="shared" si="11"/>
        <v>3.7</v>
      </c>
      <c r="Z53" s="384">
        <f t="shared" si="12"/>
        <v>3.7806920839058797</v>
      </c>
      <c r="AA53" s="385">
        <f t="shared" si="13"/>
        <v>3.9597101502191578</v>
      </c>
      <c r="AB53" s="196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4.5209891512733552E-2</v>
      </c>
      <c r="AD53" s="230">
        <f>(INDEX(Models!$BJ53:$BT53,,AH53)*(1-AF53)+INDEX(Models!$BJ53:$BT53,,AH53+1)*AF53-ERP_i)*AE53*Ramure*Pc/MaxiM</f>
        <v>1.9974109230735032E-4</v>
      </c>
      <c r="AE53" s="304">
        <f t="shared" si="15"/>
        <v>0.5</v>
      </c>
      <c r="AF53" s="176">
        <f t="shared" si="22"/>
        <v>0.43634201977614046</v>
      </c>
      <c r="AG53" s="814">
        <f t="shared" si="23"/>
        <v>0</v>
      </c>
      <c r="AH53" s="175">
        <f t="shared" si="16"/>
        <v>6</v>
      </c>
      <c r="AI53" s="224">
        <f t="shared" si="17"/>
        <v>0.43634201977614046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44236</v>
      </c>
      <c r="B54" s="616">
        <v>13.684000000000001</v>
      </c>
      <c r="C54" s="389"/>
      <c r="D54" s="392">
        <f t="shared" si="0"/>
        <v>13.982736116230491</v>
      </c>
      <c r="E54" s="384">
        <f t="shared" si="1"/>
        <v>14.645236484274825</v>
      </c>
      <c r="F54" s="384">
        <f t="shared" si="2"/>
        <v>14.645597793118952</v>
      </c>
      <c r="G54" s="110">
        <f t="shared" si="21"/>
        <v>0.38869594802834384</v>
      </c>
      <c r="H54" s="413" t="b">
        <f>Wh_hp&gt;='2020'!Maxi_hp</f>
        <v>0</v>
      </c>
      <c r="I54" s="379">
        <f>IF(H54,Wh_hp,'2020'!Maxi_hp)</f>
        <v>30.981048909551888</v>
      </c>
      <c r="J54" s="85">
        <f>IF(H54,An,'2020'!An_max)</f>
        <v>2019</v>
      </c>
      <c r="K54" s="196">
        <f t="shared" si="3"/>
        <v>44236</v>
      </c>
      <c r="L54" s="147">
        <f>IF(t&lt;Tvie,1-EXP((T0-t)*PertePVj)+'2020'!Pspv,1-EXP((T0-t)*PertePVj)+Pspv)</f>
        <v>2.1364639491675108E-2</v>
      </c>
      <c r="M54" s="847"/>
      <c r="N54" s="847"/>
      <c r="O54" s="48">
        <f>IF(t&lt;Tnet,'2020'!Resal+('2020'!Salim-'2020'!Resal)*(1-EXP(('2020'!Tnet-t)/('2020'!Tau_j))),Resal+(Salim-Resal)*(1-EXP((Tnet-t)/(Tau_j))))*Salcycl</f>
        <v>4.523657700957491E-2</v>
      </c>
      <c r="P54" s="168">
        <f>(INDEX(Models!$BJ54:$BT54,,T54)*(1-R54)+INDEX(Models!$BJ54:$BT54,,T54+1)*R54-ERP_i)*Q54*Ramure*Pc/MaxiM</f>
        <v>1.9455503613705145E-4</v>
      </c>
      <c r="Q54" s="304">
        <f t="shared" si="4"/>
        <v>0.5</v>
      </c>
      <c r="R54" s="176">
        <f t="shared" si="5"/>
        <v>0.43642468565129511</v>
      </c>
      <c r="S54" s="814">
        <f t="shared" si="6"/>
        <v>0</v>
      </c>
      <c r="T54" s="175">
        <f t="shared" si="7"/>
        <v>6</v>
      </c>
      <c r="U54" s="250">
        <f t="shared" si="8"/>
        <v>0.43642468565129511</v>
      </c>
      <c r="V54" s="382">
        <f t="shared" si="9"/>
        <v>35.198913976418382</v>
      </c>
      <c r="W54" s="401"/>
      <c r="X54" s="157">
        <f t="shared" si="10"/>
        <v>44236</v>
      </c>
      <c r="Y54" s="384">
        <f t="shared" si="11"/>
        <v>13.684000000000001</v>
      </c>
      <c r="Z54" s="384">
        <f t="shared" si="12"/>
        <v>13.982736116230491</v>
      </c>
      <c r="AA54" s="385">
        <f t="shared" si="13"/>
        <v>14.645236484274825</v>
      </c>
      <c r="AB54" s="196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4.523657700957491E-2</v>
      </c>
      <c r="AD54" s="230">
        <f>(INDEX(Models!$BJ54:$BT54,,AH54)*(1-AF54)+INDEX(Models!$BJ54:$BT54,,AH54+1)*AF54-ERP_i)*AE54*Ramure*Pc/MaxiM</f>
        <v>1.9455503613705145E-4</v>
      </c>
      <c r="AE54" s="304">
        <f t="shared" si="15"/>
        <v>0.5</v>
      </c>
      <c r="AF54" s="176">
        <f t="shared" si="22"/>
        <v>0.43642468565129511</v>
      </c>
      <c r="AG54" s="814">
        <f t="shared" si="23"/>
        <v>0</v>
      </c>
      <c r="AH54" s="175">
        <f t="shared" si="16"/>
        <v>6</v>
      </c>
      <c r="AI54" s="224">
        <f t="shared" si="17"/>
        <v>0.43642468565129511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44237</v>
      </c>
      <c r="B55" s="616">
        <v>13.57</v>
      </c>
      <c r="C55" s="389"/>
      <c r="D55" s="392">
        <f t="shared" si="0"/>
        <v>13.866551089353393</v>
      </c>
      <c r="E55" s="384">
        <f t="shared" si="1"/>
        <v>14.52395269691244</v>
      </c>
      <c r="F55" s="384">
        <f t="shared" si="2"/>
        <v>14.52427505580067</v>
      </c>
      <c r="G55" s="110">
        <f t="shared" si="21"/>
        <v>0.38155042827030788</v>
      </c>
      <c r="H55" s="413" t="b">
        <f>Wh_hp&gt;='2020'!Maxi_hp</f>
        <v>0</v>
      </c>
      <c r="I55" s="379">
        <f>IF(H55,Wh_hp,'2020'!Maxi_hp)</f>
        <v>14.933227824012413</v>
      </c>
      <c r="J55" s="85">
        <f>IF(H55,An,'2020'!An_max)</f>
        <v>2020</v>
      </c>
      <c r="K55" s="196">
        <f t="shared" si="3"/>
        <v>44237</v>
      </c>
      <c r="L55" s="147">
        <f>IF(t&lt;Tvie,1-EXP((T0-t)*PertePVj)+'2020'!Pspv,1-EXP((T0-t)*PertePVj)+Pspv)</f>
        <v>2.1386074117671683E-2</v>
      </c>
      <c r="M55" s="847"/>
      <c r="N55" s="847"/>
      <c r="O55" s="48">
        <f>IF(t&lt;Tnet,'2020'!Resal+('2020'!Salim-'2020'!Resal)*(1-EXP(('2020'!Tnet-t)/('2020'!Tau_j))),Resal+(Salim-Resal)*(1-EXP((Tnet-t)/(Tau_j))))*Salcycl</f>
        <v>4.5263271044582748E-2</v>
      </c>
      <c r="P55" s="168">
        <f>(INDEX(Models!$BJ55:$BT55,,T55)*(1-R55)+INDEX(Models!$BJ55:$BT55,,T55+1)*R55-ERP_i)*Q55*Ramure*Pc/MaxiM</f>
        <v>1.9035984673013549E-4</v>
      </c>
      <c r="Q55" s="304">
        <f t="shared" si="4"/>
        <v>0.5</v>
      </c>
      <c r="R55" s="176">
        <f t="shared" si="5"/>
        <v>0.43651077083769263</v>
      </c>
      <c r="S55" s="814">
        <f t="shared" si="6"/>
        <v>0</v>
      </c>
      <c r="T55" s="175">
        <f t="shared" si="7"/>
        <v>6</v>
      </c>
      <c r="U55" s="250">
        <f t="shared" si="8"/>
        <v>0.43651077083769263</v>
      </c>
      <c r="V55" s="382">
        <f t="shared" si="9"/>
        <v>35.559435765744126</v>
      </c>
      <c r="W55" s="401"/>
      <c r="X55" s="157">
        <f t="shared" si="10"/>
        <v>44237</v>
      </c>
      <c r="Y55" s="384">
        <f t="shared" si="11"/>
        <v>13.57</v>
      </c>
      <c r="Z55" s="384">
        <f t="shared" si="12"/>
        <v>13.866551089353393</v>
      </c>
      <c r="AA55" s="385">
        <f t="shared" si="13"/>
        <v>14.52395269691244</v>
      </c>
      <c r="AB55" s="196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4.5263271044582748E-2</v>
      </c>
      <c r="AD55" s="230">
        <f>(INDEX(Models!$BJ55:$BT55,,AH55)*(1-AF55)+INDEX(Models!$BJ55:$BT55,,AH55+1)*AF55-ERP_i)*AE55*Ramure*Pc/MaxiM</f>
        <v>1.9035984673013549E-4</v>
      </c>
      <c r="AE55" s="304">
        <f t="shared" si="15"/>
        <v>0.5</v>
      </c>
      <c r="AF55" s="176">
        <f t="shared" si="22"/>
        <v>0.43651077083769263</v>
      </c>
      <c r="AG55" s="814">
        <f t="shared" si="23"/>
        <v>0</v>
      </c>
      <c r="AH55" s="175">
        <f t="shared" si="16"/>
        <v>6</v>
      </c>
      <c r="AI55" s="224">
        <f t="shared" si="17"/>
        <v>0.43651077083769263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44238</v>
      </c>
      <c r="B56" s="616">
        <v>31.314</v>
      </c>
      <c r="C56" s="389"/>
      <c r="D56" s="392">
        <f t="shared" si="0"/>
        <v>31.999019269784025</v>
      </c>
      <c r="E56" s="384">
        <f t="shared" si="1"/>
        <v>33.517003299617734</v>
      </c>
      <c r="F56" s="384">
        <f t="shared" si="2"/>
        <v>33.522126825040729</v>
      </c>
      <c r="G56" s="110">
        <f t="shared" si="21"/>
        <v>0.87169426007451034</v>
      </c>
      <c r="H56" s="413" t="b">
        <f>Wh_hp&gt;='2020'!Maxi_hp</f>
        <v>1</v>
      </c>
      <c r="I56" s="379">
        <f>IF(H56,Wh_hp,'2020'!Maxi_hp)</f>
        <v>33.522126825040729</v>
      </c>
      <c r="J56" s="85">
        <f>IF(H56,An,'2020'!An_max)</f>
        <v>2021</v>
      </c>
      <c r="K56" s="196">
        <f t="shared" si="3"/>
        <v>44238</v>
      </c>
      <c r="L56" s="147">
        <f>IF(t&lt;Tvie,1-EXP((T0-t)*PertePVj)+'2020'!Pspv,1-EXP((T0-t)*PertePVj)+Pspv)</f>
        <v>2.1407508274194909E-2</v>
      </c>
      <c r="M56" s="847"/>
      <c r="N56" s="847"/>
      <c r="O56" s="48">
        <f>IF(t&lt;Tnet,'2020'!Resal+('2020'!Salim-'2020'!Resal)*(1-EXP(('2020'!Tnet-t)/('2020'!Tau_j))),Resal+(Salim-Resal)*(1-EXP((Tnet-t)/(Tau_j))))*Salcycl</f>
        <v>4.5289968684372808E-2</v>
      </c>
      <c r="P56" s="168">
        <f>(INDEX(Models!$BJ56:$BT56,,T56)*(1-R56)+INDEX(Models!$BJ56:$BT56,,T56+1)*R56-ERP_i)*Q56*Ramure*Pc/MaxiM</f>
        <v>1.8713233089987682E-4</v>
      </c>
      <c r="Q56" s="304">
        <f t="shared" si="4"/>
        <v>0.5</v>
      </c>
      <c r="R56" s="176">
        <f t="shared" si="5"/>
        <v>0.43660041465720933</v>
      </c>
      <c r="S56" s="814">
        <f t="shared" si="6"/>
        <v>0</v>
      </c>
      <c r="T56" s="175">
        <f t="shared" si="7"/>
        <v>6</v>
      </c>
      <c r="U56" s="250">
        <f t="shared" si="8"/>
        <v>0.43660041465720933</v>
      </c>
      <c r="V56" s="382">
        <f t="shared" si="9"/>
        <v>35.921913729762757</v>
      </c>
      <c r="W56" s="401"/>
      <c r="X56" s="157">
        <f t="shared" si="10"/>
        <v>44238</v>
      </c>
      <c r="Y56" s="384">
        <f t="shared" si="11"/>
        <v>31.314</v>
      </c>
      <c r="Z56" s="384">
        <f t="shared" si="12"/>
        <v>31.999019269784025</v>
      </c>
      <c r="AA56" s="385">
        <f t="shared" si="13"/>
        <v>33.517003299617734</v>
      </c>
      <c r="AB56" s="196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4.5289968684372808E-2</v>
      </c>
      <c r="AD56" s="230">
        <f>(INDEX(Models!$BJ56:$BT56,,AH56)*(1-AF56)+INDEX(Models!$BJ56:$BT56,,AH56+1)*AF56-ERP_i)*AE56*Ramure*Pc/MaxiM</f>
        <v>1.8713233089987682E-4</v>
      </c>
      <c r="AE56" s="304">
        <f t="shared" si="15"/>
        <v>0.5</v>
      </c>
      <c r="AF56" s="176">
        <f t="shared" si="22"/>
        <v>0.43660041465720933</v>
      </c>
      <c r="AG56" s="814">
        <f t="shared" si="23"/>
        <v>0</v>
      </c>
      <c r="AH56" s="175">
        <f t="shared" si="16"/>
        <v>6</v>
      </c>
      <c r="AI56" s="224">
        <f t="shared" si="17"/>
        <v>0.43660041465720933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44239</v>
      </c>
      <c r="B57" s="616">
        <v>3.9940000000000002</v>
      </c>
      <c r="C57" s="389"/>
      <c r="D57" s="392">
        <f t="shared" si="0"/>
        <v>4.0814613994458275</v>
      </c>
      <c r="E57" s="384">
        <f t="shared" si="1"/>
        <v>4.2751991675778074</v>
      </c>
      <c r="F57" s="384">
        <f t="shared" si="2"/>
        <v>4.2751991675778074</v>
      </c>
      <c r="G57" s="110">
        <f t="shared" si="21"/>
        <v>0.11005166826867367</v>
      </c>
      <c r="H57" s="413" t="b">
        <f>Wh_hp&gt;='2020'!Maxi_hp</f>
        <v>0</v>
      </c>
      <c r="I57" s="379">
        <f>IF(H57,Wh_hp,'2020'!Maxi_hp)</f>
        <v>38.964390120778035</v>
      </c>
      <c r="J57" s="85">
        <f>IF(H57,An,'2020'!An_max)</f>
        <v>2019</v>
      </c>
      <c r="K57" s="196">
        <f t="shared" si="3"/>
        <v>44239</v>
      </c>
      <c r="L57" s="147">
        <f>IF(t&lt;Tvie,1-EXP((T0-t)*PertePVj)+'2020'!Pspv,1-EXP((T0-t)*PertePVj)+Pspv)</f>
        <v>2.142894196125511E-2</v>
      </c>
      <c r="M57" s="847"/>
      <c r="N57" s="847"/>
      <c r="O57" s="48">
        <f>IF(t&lt;Tnet,'2020'!Resal+('2020'!Salim-'2020'!Resal)*(1-EXP(('2020'!Tnet-t)/('2020'!Tau_j))),Resal+(Salim-Resal)*(1-EXP((Tnet-t)/(Tau_j))))*Salcycl</f>
        <v>4.5316664917331877E-2</v>
      </c>
      <c r="P57" s="168">
        <f>(INDEX(Models!$BJ57:$BT57,,T57)*(1-R57)+INDEX(Models!$BJ57:$BT57,,T57+1)*R57-ERP_i)*Q57*Ramure*Pc/MaxiM</f>
        <v>1.8484955675173015E-4</v>
      </c>
      <c r="Q57" s="304">
        <f t="shared" si="4"/>
        <v>0.5</v>
      </c>
      <c r="R57" s="176">
        <f t="shared" si="5"/>
        <v>0.43669376192912307</v>
      </c>
      <c r="S57" s="814">
        <f t="shared" si="6"/>
        <v>0</v>
      </c>
      <c r="T57" s="175">
        <f t="shared" si="7"/>
        <v>6</v>
      </c>
      <c r="U57" s="250">
        <f t="shared" si="8"/>
        <v>0.43669376192912307</v>
      </c>
      <c r="V57" s="382">
        <f t="shared" si="9"/>
        <v>36.285335549129705</v>
      </c>
      <c r="W57" s="401"/>
      <c r="X57" s="157">
        <f t="shared" si="10"/>
        <v>44239</v>
      </c>
      <c r="Y57" s="384">
        <f t="shared" si="11"/>
        <v>3.9939999999999998</v>
      </c>
      <c r="Z57" s="384">
        <f t="shared" si="12"/>
        <v>4.0814613994458275</v>
      </c>
      <c r="AA57" s="385">
        <f t="shared" si="13"/>
        <v>4.2751991675778074</v>
      </c>
      <c r="AB57" s="196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4.5316664917331877E-2</v>
      </c>
      <c r="AD57" s="230">
        <f>(INDEX(Models!$BJ57:$BT57,,AH57)*(1-AF57)+INDEX(Models!$BJ57:$BT57,,AH57+1)*AF57-ERP_i)*AE57*Ramure*Pc/MaxiM</f>
        <v>1.8484955675173015E-4</v>
      </c>
      <c r="AE57" s="304">
        <f t="shared" si="15"/>
        <v>0.5</v>
      </c>
      <c r="AF57" s="176">
        <f t="shared" si="22"/>
        <v>0.43669376192912307</v>
      </c>
      <c r="AG57" s="814">
        <f t="shared" si="23"/>
        <v>0</v>
      </c>
      <c r="AH57" s="175">
        <f t="shared" si="16"/>
        <v>6</v>
      </c>
      <c r="AI57" s="224">
        <f t="shared" si="17"/>
        <v>0.43669376192912307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44240</v>
      </c>
      <c r="B58" s="616">
        <v>7.6370000000000005</v>
      </c>
      <c r="C58" s="389"/>
      <c r="D58" s="392">
        <f t="shared" si="0"/>
        <v>7.8044074682425197</v>
      </c>
      <c r="E58" s="384">
        <f t="shared" si="1"/>
        <v>8.1750936389963034</v>
      </c>
      <c r="F58" s="384">
        <f t="shared" si="2"/>
        <v>8.1750936389963034</v>
      </c>
      <c r="G58" s="110">
        <f t="shared" si="21"/>
        <v>0.20834575201737882</v>
      </c>
      <c r="H58" s="413" t="b">
        <f>Wh_hp&gt;='2020'!Maxi_hp</f>
        <v>0</v>
      </c>
      <c r="I58" s="379">
        <f>IF(H58,Wh_hp,'2020'!Maxi_hp)</f>
        <v>40.487434831791077</v>
      </c>
      <c r="J58" s="85">
        <f>IF(H58,An,'2020'!An_max)</f>
        <v>2019</v>
      </c>
      <c r="K58" s="196">
        <f t="shared" si="3"/>
        <v>44240</v>
      </c>
      <c r="L58" s="147">
        <f>IF(t&lt;Tvie,1-EXP((T0-t)*PertePVj)+'2020'!Pspv,1-EXP((T0-t)*PertePVj)+Pspv)</f>
        <v>2.1450375178862613E-2</v>
      </c>
      <c r="M58" s="847"/>
      <c r="N58" s="847"/>
      <c r="O58" s="48">
        <f>IF(t&lt;Tnet,'2020'!Resal+('2020'!Salim-'2020'!Resal)*(1-EXP(('2020'!Tnet-t)/('2020'!Tau_j))),Resal+(Salim-Resal)*(1-EXP((Tnet-t)/(Tau_j))))*Salcycl</f>
        <v>4.5343354721413862E-2</v>
      </c>
      <c r="P58" s="168">
        <f>(INDEX(Models!$BJ58:$BT58,,T58)*(1-R58)+INDEX(Models!$BJ58:$BT58,,T58+1)*R58-ERP_i)*Q58*Ramure*Pc/MaxiM</f>
        <v>1.8337884793824817E-4</v>
      </c>
      <c r="Q58" s="304">
        <f t="shared" si="4"/>
        <v>0.5</v>
      </c>
      <c r="R58" s="176">
        <f t="shared" si="5"/>
        <v>0.43679096317174654</v>
      </c>
      <c r="S58" s="814">
        <f t="shared" si="6"/>
        <v>0</v>
      </c>
      <c r="T58" s="175">
        <f t="shared" si="7"/>
        <v>6</v>
      </c>
      <c r="U58" s="250">
        <f t="shared" si="8"/>
        <v>0.43679096317174654</v>
      </c>
      <c r="V58" s="382">
        <f t="shared" si="9"/>
        <v>36.648693154547189</v>
      </c>
      <c r="W58" s="401"/>
      <c r="X58" s="157">
        <f t="shared" si="10"/>
        <v>44240</v>
      </c>
      <c r="Y58" s="384">
        <f t="shared" si="11"/>
        <v>7.6370000000000013</v>
      </c>
      <c r="Z58" s="384">
        <f t="shared" si="12"/>
        <v>7.8044074682425206</v>
      </c>
      <c r="AA58" s="385">
        <f t="shared" si="13"/>
        <v>8.1750936389963034</v>
      </c>
      <c r="AB58" s="196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4.5343354721413862E-2</v>
      </c>
      <c r="AD58" s="230">
        <f>(INDEX(Models!$BJ58:$BT58,,AH58)*(1-AF58)+INDEX(Models!$BJ58:$BT58,,AH58+1)*AF58-ERP_i)*AE58*Ramure*Pc/MaxiM</f>
        <v>1.8337884793824817E-4</v>
      </c>
      <c r="AE58" s="304">
        <f t="shared" si="15"/>
        <v>0.5</v>
      </c>
      <c r="AF58" s="176">
        <f t="shared" si="22"/>
        <v>0.43679096317174654</v>
      </c>
      <c r="AG58" s="814">
        <f t="shared" si="23"/>
        <v>0</v>
      </c>
      <c r="AH58" s="175">
        <f t="shared" si="16"/>
        <v>6</v>
      </c>
      <c r="AI58" s="224">
        <f t="shared" si="17"/>
        <v>0.43679096317174654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44241</v>
      </c>
      <c r="B59" s="616">
        <v>32.637</v>
      </c>
      <c r="C59" s="389"/>
      <c r="D59" s="392">
        <f t="shared" si="0"/>
        <v>33.353152483895059</v>
      </c>
      <c r="E59" s="384">
        <f t="shared" si="1"/>
        <v>34.938304517500434</v>
      </c>
      <c r="F59" s="384">
        <f t="shared" si="2"/>
        <v>34.943595732086408</v>
      </c>
      <c r="G59" s="110">
        <f t="shared" si="21"/>
        <v>0.88179193528737554</v>
      </c>
      <c r="H59" s="413" t="b">
        <f>Wh_hp&gt;='2020'!Maxi_hp</f>
        <v>0</v>
      </c>
      <c r="I59" s="379">
        <f>IF(H59,Wh_hp,'2020'!Maxi_hp)</f>
        <v>40.730011197654498</v>
      </c>
      <c r="J59" s="85">
        <f>IF(H59,An,'2020'!An_max)</f>
        <v>2019</v>
      </c>
      <c r="K59" s="196">
        <f t="shared" si="3"/>
        <v>44241</v>
      </c>
      <c r="L59" s="147">
        <f>IF(t&lt;Tvie,1-EXP((T0-t)*PertePVj)+'2020'!Pspv,1-EXP((T0-t)*PertePVj)+Pspv)</f>
        <v>2.1471807927027631E-2</v>
      </c>
      <c r="M59" s="847"/>
      <c r="N59" s="847"/>
      <c r="O59" s="48">
        <f>IF(t&lt;Tnet,'2020'!Resal+('2020'!Salim-'2020'!Resal)*(1-EXP(('2020'!Tnet-t)/('2020'!Tau_j))),Resal+(Salim-Resal)*(1-EXP((Tnet-t)/(Tau_j))))*Salcycl</f>
        <v>4.5370033134017169E-2</v>
      </c>
      <c r="P59" s="168">
        <f>(INDEX(Models!$BJ59:$BT59,,T59)*(1-R59)+INDEX(Models!$BJ59:$BT59,,T59+1)*R59-ERP_i)*Q59*Ramure*Pc/MaxiM</f>
        <v>1.8217881669055512E-4</v>
      </c>
      <c r="Q59" s="304">
        <f t="shared" si="4"/>
        <v>0.5</v>
      </c>
      <c r="R59" s="176">
        <f t="shared" si="5"/>
        <v>0.43689217481013559</v>
      </c>
      <c r="S59" s="814">
        <f t="shared" si="6"/>
        <v>0</v>
      </c>
      <c r="T59" s="175">
        <f t="shared" si="7"/>
        <v>6</v>
      </c>
      <c r="U59" s="250">
        <f t="shared" si="8"/>
        <v>0.43689217481013559</v>
      </c>
      <c r="V59" s="382">
        <f t="shared" si="9"/>
        <v>37.010993997703757</v>
      </c>
      <c r="W59" s="401"/>
      <c r="X59" s="157">
        <f t="shared" si="10"/>
        <v>44241</v>
      </c>
      <c r="Y59" s="384">
        <f t="shared" si="11"/>
        <v>32.637</v>
      </c>
      <c r="Z59" s="384">
        <f t="shared" si="12"/>
        <v>33.353152483895059</v>
      </c>
      <c r="AA59" s="385">
        <f t="shared" si="13"/>
        <v>34.938304517500434</v>
      </c>
      <c r="AB59" s="196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4.5370033134017169E-2</v>
      </c>
      <c r="AD59" s="230">
        <f>(INDEX(Models!$BJ59:$BT59,,AH59)*(1-AF59)+INDEX(Models!$BJ59:$BT59,,AH59+1)*AF59-ERP_i)*AE59*Ramure*Pc/MaxiM</f>
        <v>1.8217881669055512E-4</v>
      </c>
      <c r="AE59" s="304">
        <f t="shared" si="15"/>
        <v>0.5</v>
      </c>
      <c r="AF59" s="176">
        <f t="shared" si="22"/>
        <v>0.43689217481013559</v>
      </c>
      <c r="AG59" s="814">
        <f t="shared" si="23"/>
        <v>0</v>
      </c>
      <c r="AH59" s="175">
        <f t="shared" si="16"/>
        <v>6</v>
      </c>
      <c r="AI59" s="224">
        <f t="shared" si="17"/>
        <v>0.43689217481013559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44242</v>
      </c>
      <c r="B60" s="616">
        <v>34.954999999999998</v>
      </c>
      <c r="C60" s="389"/>
      <c r="D60" s="392">
        <f t="shared" si="0"/>
        <v>35.722798693133541</v>
      </c>
      <c r="E60" s="384">
        <f t="shared" si="1"/>
        <v>37.421616411884834</v>
      </c>
      <c r="F60" s="384">
        <f t="shared" si="2"/>
        <v>37.427773503578493</v>
      </c>
      <c r="G60" s="110">
        <f t="shared" si="21"/>
        <v>0.93532961358051991</v>
      </c>
      <c r="H60" s="413" t="b">
        <f>Wh_hp&gt;='2020'!Maxi_hp</f>
        <v>0</v>
      </c>
      <c r="I60" s="379">
        <f>IF(H60,Wh_hp,'2020'!Maxi_hp)</f>
        <v>40.824287994702445</v>
      </c>
      <c r="J60" s="85">
        <f>IF(H60,An,'2020'!An_max)</f>
        <v>2019</v>
      </c>
      <c r="K60" s="196">
        <f t="shared" si="3"/>
        <v>44242</v>
      </c>
      <c r="L60" s="147">
        <f>IF(t&lt;Tvie,1-EXP((T0-t)*PertePVj)+'2020'!Pspv,1-EXP((T0-t)*PertePVj)+Pspv)</f>
        <v>2.1493240205760378E-2</v>
      </c>
      <c r="M60" s="847"/>
      <c r="N60" s="847"/>
      <c r="O60" s="48">
        <f>IF(t&lt;Tnet,'2020'!Resal+('2020'!Salim-'2020'!Resal)*(1-EXP(('2020'!Tnet-t)/('2020'!Tau_j))),Resal+(Salim-Resal)*(1-EXP((Tnet-t)/(Tau_j))))*Salcycl</f>
        <v>4.5396695323181108E-2</v>
      </c>
      <c r="P60" s="168">
        <f>(INDEX(Models!$BJ60:$BT60,,T60)*(1-R60)+INDEX(Models!$BJ60:$BT60,,T60+1)*R60-ERP_i)*Q60*Ramure*Pc/MaxiM</f>
        <v>1.8124659841048523E-4</v>
      </c>
      <c r="Q60" s="304">
        <f t="shared" si="4"/>
        <v>0.5</v>
      </c>
      <c r="R60" s="176">
        <f t="shared" si="5"/>
        <v>0.43699755938993384</v>
      </c>
      <c r="S60" s="814">
        <f t="shared" si="6"/>
        <v>0</v>
      </c>
      <c r="T60" s="175">
        <f t="shared" si="7"/>
        <v>6</v>
      </c>
      <c r="U60" s="250">
        <f t="shared" si="8"/>
        <v>0.43699755938993384</v>
      </c>
      <c r="V60" s="382">
        <f t="shared" si="9"/>
        <v>37.371226385944126</v>
      </c>
      <c r="W60" s="401"/>
      <c r="X60" s="157">
        <f t="shared" si="10"/>
        <v>44242</v>
      </c>
      <c r="Y60" s="384">
        <f t="shared" si="11"/>
        <v>34.954999999999998</v>
      </c>
      <c r="Z60" s="384">
        <f t="shared" si="12"/>
        <v>35.722798693133541</v>
      </c>
      <c r="AA60" s="385">
        <f t="shared" si="13"/>
        <v>37.421616411884834</v>
      </c>
      <c r="AB60" s="196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4.5396695323181108E-2</v>
      </c>
      <c r="AD60" s="230">
        <f>(INDEX(Models!$BJ60:$BT60,,AH60)*(1-AF60)+INDEX(Models!$BJ60:$BT60,,AH60+1)*AF60-ERP_i)*AE60*Ramure*Pc/MaxiM</f>
        <v>1.8124659841048523E-4</v>
      </c>
      <c r="AE60" s="304">
        <f t="shared" si="15"/>
        <v>0.5</v>
      </c>
      <c r="AF60" s="176">
        <f t="shared" si="22"/>
        <v>0.43699755938993384</v>
      </c>
      <c r="AG60" s="814">
        <f t="shared" si="23"/>
        <v>0</v>
      </c>
      <c r="AH60" s="175">
        <f t="shared" si="16"/>
        <v>6</v>
      </c>
      <c r="AI60" s="224">
        <f t="shared" si="17"/>
        <v>0.43699755938993384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44243</v>
      </c>
      <c r="B61" s="616">
        <v>32.048000000000002</v>
      </c>
      <c r="C61" s="389"/>
      <c r="D61" s="392">
        <f t="shared" si="0"/>
        <v>32.752662797713022</v>
      </c>
      <c r="E61" s="384">
        <f t="shared" si="1"/>
        <v>34.311191605178195</v>
      </c>
      <c r="F61" s="384">
        <f t="shared" si="2"/>
        <v>34.31605554322141</v>
      </c>
      <c r="G61" s="110">
        <f t="shared" si="21"/>
        <v>0.84940715912072706</v>
      </c>
      <c r="H61" s="413" t="b">
        <f>Wh_hp&gt;='2020'!Maxi_hp</f>
        <v>0</v>
      </c>
      <c r="I61" s="379">
        <f>IF(H61,Wh_hp,'2020'!Maxi_hp)</f>
        <v>41.302237931814616</v>
      </c>
      <c r="J61" s="85">
        <f>IF(H61,An,'2020'!An_max)</f>
        <v>2019</v>
      </c>
      <c r="K61" s="196">
        <f t="shared" si="3"/>
        <v>44243</v>
      </c>
      <c r="L61" s="147">
        <f>IF(t&lt;Tvie,1-EXP((T0-t)*PertePVj)+'2020'!Pspv,1-EXP((T0-t)*PertePVj)+Pspv)</f>
        <v>2.151467201507129E-2</v>
      </c>
      <c r="M61" s="847"/>
      <c r="N61" s="847"/>
      <c r="O61" s="48">
        <f>IF(t&lt;Tnet,'2020'!Resal+('2020'!Salim-'2020'!Resal)*(1-EXP(('2020'!Tnet-t)/('2020'!Tau_j))),Resal+(Salim-Resal)*(1-EXP((Tnet-t)/(Tau_j))))*Salcycl</f>
        <v>4.5423336659341174E-2</v>
      </c>
      <c r="P61" s="168">
        <f>(INDEX(Models!$BJ61:$BT61,,T61)*(1-R61)+INDEX(Models!$BJ61:$BT61,,T61+1)*R61-ERP_i)*Q61*Ramure*Pc/MaxiM</f>
        <v>1.8057944559358698E-4</v>
      </c>
      <c r="Q61" s="304">
        <f t="shared" si="4"/>
        <v>0.5</v>
      </c>
      <c r="R61" s="176">
        <f t="shared" si="5"/>
        <v>0.43710728579740671</v>
      </c>
      <c r="S61" s="814">
        <f t="shared" si="6"/>
        <v>0</v>
      </c>
      <c r="T61" s="175">
        <f t="shared" si="7"/>
        <v>6</v>
      </c>
      <c r="U61" s="250">
        <f t="shared" si="8"/>
        <v>0.43710728579740671</v>
      </c>
      <c r="V61" s="382">
        <f t="shared" si="9"/>
        <v>37.728378828119666</v>
      </c>
      <c r="W61" s="401"/>
      <c r="X61" s="157">
        <f t="shared" si="10"/>
        <v>44243</v>
      </c>
      <c r="Y61" s="384">
        <f t="shared" si="11"/>
        <v>32.048000000000002</v>
      </c>
      <c r="Z61" s="384">
        <f t="shared" si="12"/>
        <v>32.752662797713022</v>
      </c>
      <c r="AA61" s="385">
        <f t="shared" si="13"/>
        <v>34.311191605178195</v>
      </c>
      <c r="AB61" s="196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4.5423336659341174E-2</v>
      </c>
      <c r="AD61" s="230">
        <f>(INDEX(Models!$BJ61:$BT61,,AH61)*(1-AF61)+INDEX(Models!$BJ61:$BT61,,AH61+1)*AF61-ERP_i)*AE61*Ramure*Pc/MaxiM</f>
        <v>1.8057944559358698E-4</v>
      </c>
      <c r="AE61" s="304">
        <f t="shared" si="15"/>
        <v>0.5</v>
      </c>
      <c r="AF61" s="176">
        <f t="shared" si="22"/>
        <v>0.43710728579740671</v>
      </c>
      <c r="AG61" s="814">
        <f t="shared" si="23"/>
        <v>0</v>
      </c>
      <c r="AH61" s="175">
        <f t="shared" si="16"/>
        <v>6</v>
      </c>
      <c r="AI61" s="224">
        <f t="shared" si="17"/>
        <v>0.43710728579740671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44244</v>
      </c>
      <c r="B62" s="616">
        <v>35.331000000000003</v>
      </c>
      <c r="C62" s="389"/>
      <c r="D62" s="392">
        <f t="shared" si="0"/>
        <v>36.108639389908433</v>
      </c>
      <c r="E62" s="384">
        <f t="shared" si="1"/>
        <v>37.827916404520401</v>
      </c>
      <c r="F62" s="384">
        <f t="shared" si="2"/>
        <v>37.834029799713065</v>
      </c>
      <c r="G62" s="110">
        <f t="shared" si="21"/>
        <v>0.92775753902796743</v>
      </c>
      <c r="H62" s="413" t="b">
        <f>Wh_hp&gt;='2020'!Maxi_hp</f>
        <v>0</v>
      </c>
      <c r="I62" s="379">
        <f>IF(H62,Wh_hp,'2020'!Maxi_hp)</f>
        <v>41.977734594143215</v>
      </c>
      <c r="J62" s="85">
        <f>IF(H62,An,'2020'!An_max)</f>
        <v>2019</v>
      </c>
      <c r="K62" s="196">
        <f t="shared" si="3"/>
        <v>44244</v>
      </c>
      <c r="L62" s="147">
        <f>IF(t&lt;Tvie,1-EXP((T0-t)*PertePVj)+'2020'!Pspv,1-EXP((T0-t)*PertePVj)+Pspv)</f>
        <v>2.1536103354970582E-2</v>
      </c>
      <c r="M62" s="847"/>
      <c r="N62" s="847"/>
      <c r="O62" s="48">
        <f>IF(t&lt;Tnet,'2020'!Resal+('2020'!Salim-'2020'!Resal)*(1-EXP(('2020'!Tnet-t)/('2020'!Tau_j))),Resal+(Salim-Resal)*(1-EXP((Tnet-t)/(Tau_j))))*Salcycl</f>
        <v>4.5449952786892622E-2</v>
      </c>
      <c r="P62" s="168">
        <f>(INDEX(Models!$BJ62:$BT62,,T62)*(1-R62)+INDEX(Models!$BJ62:$BT62,,T62+1)*R62-ERP_i)*Q62*Ramure*Pc/MaxiM</f>
        <v>1.8017479580882076E-4</v>
      </c>
      <c r="Q62" s="304">
        <f t="shared" si="4"/>
        <v>0.5</v>
      </c>
      <c r="R62" s="176">
        <f t="shared" si="5"/>
        <v>0.43722152948570048</v>
      </c>
      <c r="S62" s="814">
        <f t="shared" si="6"/>
        <v>0</v>
      </c>
      <c r="T62" s="175">
        <f t="shared" si="7"/>
        <v>6</v>
      </c>
      <c r="U62" s="250">
        <f t="shared" si="8"/>
        <v>0.43722152948570048</v>
      </c>
      <c r="V62" s="382">
        <f t="shared" si="9"/>
        <v>38.081440027286483</v>
      </c>
      <c r="W62" s="401"/>
      <c r="X62" s="157">
        <f t="shared" si="10"/>
        <v>44244</v>
      </c>
      <c r="Y62" s="384">
        <f t="shared" si="11"/>
        <v>35.331000000000003</v>
      </c>
      <c r="Z62" s="384">
        <f t="shared" si="12"/>
        <v>36.108639389908433</v>
      </c>
      <c r="AA62" s="385">
        <f t="shared" si="13"/>
        <v>37.827916404520401</v>
      </c>
      <c r="AB62" s="196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4.5449952786892622E-2</v>
      </c>
      <c r="AD62" s="230">
        <f>(INDEX(Models!$BJ62:$BT62,,AH62)*(1-AF62)+INDEX(Models!$BJ62:$BT62,,AH62+1)*AF62-ERP_i)*AE62*Ramure*Pc/MaxiM</f>
        <v>1.8017479580882076E-4</v>
      </c>
      <c r="AE62" s="304">
        <f t="shared" si="15"/>
        <v>0.5</v>
      </c>
      <c r="AF62" s="176">
        <f t="shared" si="22"/>
        <v>0.43722152948570048</v>
      </c>
      <c r="AG62" s="814">
        <f t="shared" si="23"/>
        <v>0</v>
      </c>
      <c r="AH62" s="175">
        <f t="shared" si="16"/>
        <v>6</v>
      </c>
      <c r="AI62" s="224">
        <f t="shared" si="17"/>
        <v>0.43722152948570048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44245</v>
      </c>
      <c r="B63" s="616">
        <v>13.891</v>
      </c>
      <c r="C63" s="389"/>
      <c r="D63" s="392">
        <f t="shared" si="0"/>
        <v>14.197053465993971</v>
      </c>
      <c r="E63" s="384">
        <f t="shared" si="1"/>
        <v>14.87344633882025</v>
      </c>
      <c r="F63" s="384">
        <f t="shared" si="2"/>
        <v>14.873681472903176</v>
      </c>
      <c r="G63" s="110">
        <f t="shared" si="21"/>
        <v>0.36140869144350202</v>
      </c>
      <c r="H63" s="413" t="b">
        <f>Wh_hp&gt;='2020'!Maxi_hp</f>
        <v>0</v>
      </c>
      <c r="I63" s="379">
        <f>IF(H63,Wh_hp,'2020'!Maxi_hp)</f>
        <v>41.235106126634335</v>
      </c>
      <c r="J63" s="85">
        <f>IF(H63,An,'2020'!An_max)</f>
        <v>2019</v>
      </c>
      <c r="K63" s="196">
        <f t="shared" si="3"/>
        <v>44245</v>
      </c>
      <c r="L63" s="147">
        <f>IF(t&lt;Tvie,1-EXP((T0-t)*PertePVj)+'2020'!Pspv,1-EXP((T0-t)*PertePVj)+Pspv)</f>
        <v>2.1557534225468467E-2</v>
      </c>
      <c r="M63" s="847"/>
      <c r="N63" s="847"/>
      <c r="O63" s="48">
        <f>IF(t&lt;Tnet,'2020'!Resal+('2020'!Salim-'2020'!Resal)*(1-EXP(('2020'!Tnet-t)/('2020'!Tau_j))),Resal+(Salim-Resal)*(1-EXP((Tnet-t)/(Tau_j))))*Salcycl</f>
        <v>4.5476539694829711E-2</v>
      </c>
      <c r="P63" s="168">
        <f>(INDEX(Models!$BJ63:$BT63,,T63)*(1-R63)+INDEX(Models!$BJ63:$BT63,,T63+1)*R63-ERP_i)*Q63*Ramure*Pc/MaxiM</f>
        <v>1.8003033504040329E-4</v>
      </c>
      <c r="Q63" s="304">
        <f t="shared" si="4"/>
        <v>0.5</v>
      </c>
      <c r="R63" s="176">
        <f t="shared" si="5"/>
        <v>0.43734047270734944</v>
      </c>
      <c r="S63" s="814">
        <f t="shared" si="6"/>
        <v>0</v>
      </c>
      <c r="T63" s="175">
        <f t="shared" si="7"/>
        <v>6</v>
      </c>
      <c r="U63" s="250">
        <f t="shared" si="8"/>
        <v>0.43734047270734944</v>
      </c>
      <c r="V63" s="382">
        <f t="shared" si="9"/>
        <v>38.4293988786265</v>
      </c>
      <c r="W63" s="401"/>
      <c r="X63" s="157">
        <f t="shared" si="10"/>
        <v>44245</v>
      </c>
      <c r="Y63" s="384">
        <f t="shared" si="11"/>
        <v>13.891</v>
      </c>
      <c r="Z63" s="384">
        <f t="shared" si="12"/>
        <v>14.197053465993971</v>
      </c>
      <c r="AA63" s="385">
        <f t="shared" si="13"/>
        <v>14.87344633882025</v>
      </c>
      <c r="AB63" s="196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4.5476539694829711E-2</v>
      </c>
      <c r="AD63" s="230">
        <f>(INDEX(Models!$BJ63:$BT63,,AH63)*(1-AF63)+INDEX(Models!$BJ63:$BT63,,AH63+1)*AF63-ERP_i)*AE63*Ramure*Pc/MaxiM</f>
        <v>1.8003033504040329E-4</v>
      </c>
      <c r="AE63" s="304">
        <f t="shared" si="15"/>
        <v>0.5</v>
      </c>
      <c r="AF63" s="176">
        <f t="shared" si="22"/>
        <v>0.43734047270734944</v>
      </c>
      <c r="AG63" s="814">
        <f t="shared" si="23"/>
        <v>0</v>
      </c>
      <c r="AH63" s="175">
        <f t="shared" si="16"/>
        <v>6</v>
      </c>
      <c r="AI63" s="224">
        <f t="shared" si="17"/>
        <v>0.43734047270734944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44246</v>
      </c>
      <c r="B64" s="616">
        <v>37.012999999999998</v>
      </c>
      <c r="C64" s="389"/>
      <c r="D64" s="392">
        <f t="shared" si="0"/>
        <v>37.829317504272176</v>
      </c>
      <c r="E64" s="384">
        <f t="shared" si="1"/>
        <v>39.632729302719142</v>
      </c>
      <c r="F64" s="384">
        <f t="shared" si="2"/>
        <v>39.639407492619156</v>
      </c>
      <c r="G64" s="110">
        <f t="shared" si="21"/>
        <v>0.95463966853024029</v>
      </c>
      <c r="H64" s="413" t="b">
        <f>Wh_hp&gt;='2020'!Maxi_hp</f>
        <v>1</v>
      </c>
      <c r="I64" s="379">
        <f>IF(H64,Wh_hp,'2020'!Maxi_hp)</f>
        <v>39.639407492619156</v>
      </c>
      <c r="J64" s="85">
        <f>IF(H64,An,'2020'!An_max)</f>
        <v>2021</v>
      </c>
      <c r="K64" s="196">
        <f t="shared" si="3"/>
        <v>44246</v>
      </c>
      <c r="L64" s="147">
        <f>IF(t&lt;Tvie,1-EXP((T0-t)*PertePVj)+'2020'!Pspv,1-EXP((T0-t)*PertePVj)+Pspv)</f>
        <v>2.1578964626575381E-2</v>
      </c>
      <c r="M64" s="847"/>
      <c r="N64" s="847"/>
      <c r="O64" s="48">
        <f>IF(t&lt;Tnet,'2020'!Resal+('2020'!Salim-'2020'!Resal)*(1-EXP(('2020'!Tnet-t)/('2020'!Tau_j))),Resal+(Salim-Resal)*(1-EXP((Tnet-t)/(Tau_j))))*Salcycl</f>
        <v>4.5503093785752312E-2</v>
      </c>
      <c r="P64" s="168">
        <f>(INDEX(Models!$BJ64:$BT64,,T64)*(1-R64)+INDEX(Models!$BJ64:$BT64,,T64+1)*R64-ERP_i)*Q64*Ramure*Pc/MaxiM</f>
        <v>1.8014405710806351E-4</v>
      </c>
      <c r="Q64" s="304">
        <f t="shared" si="4"/>
        <v>0.5</v>
      </c>
      <c r="R64" s="176">
        <f t="shared" si="5"/>
        <v>0.43746430475303483</v>
      </c>
      <c r="S64" s="814">
        <f t="shared" si="6"/>
        <v>0</v>
      </c>
      <c r="T64" s="175">
        <f t="shared" si="7"/>
        <v>6</v>
      </c>
      <c r="U64" s="250">
        <f t="shared" si="8"/>
        <v>0.43746430475303483</v>
      </c>
      <c r="V64" s="382">
        <f t="shared" si="9"/>
        <v>38.771244465503393</v>
      </c>
      <c r="W64" s="401"/>
      <c r="X64" s="157">
        <f t="shared" si="10"/>
        <v>44246</v>
      </c>
      <c r="Y64" s="384">
        <f t="shared" si="11"/>
        <v>37.012999999999998</v>
      </c>
      <c r="Z64" s="384">
        <f t="shared" si="12"/>
        <v>37.829317504272176</v>
      </c>
      <c r="AA64" s="385">
        <f t="shared" si="13"/>
        <v>39.632729302719142</v>
      </c>
      <c r="AB64" s="196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4.5503093785752312E-2</v>
      </c>
      <c r="AD64" s="230">
        <f>(INDEX(Models!$BJ64:$BT64,,AH64)*(1-AF64)+INDEX(Models!$BJ64:$BT64,,AH64+1)*AF64-ERP_i)*AE64*Ramure*Pc/MaxiM</f>
        <v>1.8014405710806351E-4</v>
      </c>
      <c r="AE64" s="304">
        <f t="shared" si="15"/>
        <v>0.5</v>
      </c>
      <c r="AF64" s="176">
        <f t="shared" si="22"/>
        <v>0.43746430475303483</v>
      </c>
      <c r="AG64" s="814">
        <f t="shared" si="23"/>
        <v>0</v>
      </c>
      <c r="AH64" s="175">
        <f t="shared" si="16"/>
        <v>6</v>
      </c>
      <c r="AI64" s="224">
        <f t="shared" si="17"/>
        <v>0.43746430475303483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44247</v>
      </c>
      <c r="B65" s="616">
        <v>31.161000000000001</v>
      </c>
      <c r="C65" s="389"/>
      <c r="D65" s="392">
        <f t="shared" si="0"/>
        <v>31.848949883756713</v>
      </c>
      <c r="E65" s="384">
        <f t="shared" si="1"/>
        <v>33.368190655528409</v>
      </c>
      <c r="F65" s="384">
        <f t="shared" si="2"/>
        <v>33.372465889843284</v>
      </c>
      <c r="G65" s="110">
        <f t="shared" si="21"/>
        <v>0.79675504165068023</v>
      </c>
      <c r="H65" s="413" t="b">
        <f>Wh_hp&gt;='2020'!Maxi_hp</f>
        <v>0</v>
      </c>
      <c r="I65" s="379">
        <f>IF(H65,Wh_hp,'2020'!Maxi_hp)</f>
        <v>41.874871627810187</v>
      </c>
      <c r="J65" s="85">
        <f>IF(H65,An,'2020'!An_max)</f>
        <v>2020</v>
      </c>
      <c r="K65" s="196">
        <f t="shared" si="3"/>
        <v>44247</v>
      </c>
      <c r="L65" s="147">
        <f>IF(t&lt;Tvie,1-EXP((T0-t)*PertePVj)+'2020'!Pspv,1-EXP((T0-t)*PertePVj)+Pspv)</f>
        <v>2.1600394558301428E-2</v>
      </c>
      <c r="M65" s="847"/>
      <c r="N65" s="847"/>
      <c r="O65" s="48">
        <f>IF(t&lt;Tnet,'2020'!Resal+('2020'!Salim-'2020'!Resal)*(1-EXP(('2020'!Tnet-t)/('2020'!Tau_j))),Resal+(Salim-Resal)*(1-EXP((Tnet-t)/(Tau_j))))*Salcycl</f>
        <v>4.5529611942563969E-2</v>
      </c>
      <c r="P65" s="168">
        <f>(INDEX(Models!$BJ65:$BT65,,T65)*(1-R65)+INDEX(Models!$BJ65:$BT65,,T65+1)*R65-ERP_i)*Q65*Ramure*Pc/MaxiM</f>
        <v>1.8050568151722752E-4</v>
      </c>
      <c r="Q65" s="304">
        <f t="shared" si="4"/>
        <v>0.5</v>
      </c>
      <c r="R65" s="176">
        <f t="shared" si="5"/>
        <v>0.43759322219658103</v>
      </c>
      <c r="S65" s="814">
        <f t="shared" si="6"/>
        <v>0</v>
      </c>
      <c r="T65" s="175">
        <f t="shared" si="7"/>
        <v>6</v>
      </c>
      <c r="U65" s="250">
        <f t="shared" si="8"/>
        <v>0.43759322219658103</v>
      </c>
      <c r="V65" s="382">
        <f t="shared" si="9"/>
        <v>39.107837861388759</v>
      </c>
      <c r="W65" s="401"/>
      <c r="X65" s="157">
        <f t="shared" si="10"/>
        <v>44247</v>
      </c>
      <c r="Y65" s="384">
        <f t="shared" si="11"/>
        <v>31.160999999999998</v>
      </c>
      <c r="Z65" s="384">
        <f t="shared" si="12"/>
        <v>31.84894988375671</v>
      </c>
      <c r="AA65" s="385">
        <f t="shared" si="13"/>
        <v>33.368190655528409</v>
      </c>
      <c r="AB65" s="196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4.5529611942563969E-2</v>
      </c>
      <c r="AD65" s="230">
        <f>(INDEX(Models!$BJ65:$BT65,,AH65)*(1-AF65)+INDEX(Models!$BJ65:$BT65,,AH65+1)*AF65-ERP_i)*AE65*Ramure*Pc/MaxiM</f>
        <v>1.8050568151722752E-4</v>
      </c>
      <c r="AE65" s="304">
        <f t="shared" si="15"/>
        <v>0.5</v>
      </c>
      <c r="AF65" s="176">
        <f t="shared" si="22"/>
        <v>0.43759322219658103</v>
      </c>
      <c r="AG65" s="814">
        <f t="shared" si="23"/>
        <v>0</v>
      </c>
      <c r="AH65" s="175">
        <f t="shared" si="16"/>
        <v>6</v>
      </c>
      <c r="AI65" s="224">
        <f t="shared" si="17"/>
        <v>0.43759322219658103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44248</v>
      </c>
      <c r="B66" s="616">
        <v>10.353</v>
      </c>
      <c r="C66" s="389"/>
      <c r="D66" s="392">
        <f t="shared" si="0"/>
        <v>10.581797769187554</v>
      </c>
      <c r="E66" s="384">
        <f t="shared" si="1"/>
        <v>11.08687234102665</v>
      </c>
      <c r="F66" s="384">
        <f t="shared" si="2"/>
        <v>11.08687234102665</v>
      </c>
      <c r="G66" s="110">
        <f t="shared" si="21"/>
        <v>0.26244636025765206</v>
      </c>
      <c r="H66" s="413" t="b">
        <f>Wh_hp&gt;='2020'!Maxi_hp</f>
        <v>0</v>
      </c>
      <c r="I66" s="379">
        <f>IF(H66,Wh_hp,'2020'!Maxi_hp)</f>
        <v>39.365531433595841</v>
      </c>
      <c r="J66" s="85">
        <f>IF(H66,An,'2020'!An_max)</f>
        <v>2019</v>
      </c>
      <c r="K66" s="196">
        <f t="shared" si="3"/>
        <v>44248</v>
      </c>
      <c r="L66" s="147">
        <f>IF(t&lt;Tvie,1-EXP((T0-t)*PertePVj)+'2020'!Pspv,1-EXP((T0-t)*PertePVj)+Pspv)</f>
        <v>2.1621824020657043E-2</v>
      </c>
      <c r="M66" s="847"/>
      <c r="N66" s="847"/>
      <c r="O66" s="48">
        <f>IF(t&lt;Tnet,'2020'!Resal+('2020'!Salim-'2020'!Resal)*(1-EXP(('2020'!Tnet-t)/('2020'!Tau_j))),Resal+(Salim-Resal)*(1-EXP((Tnet-t)/(Tau_j))))*Salcycl</f>
        <v>4.5556091592223132E-2</v>
      </c>
      <c r="P66" s="168">
        <f>(INDEX(Models!$BJ66:$BT66,,T66)*(1-R66)+INDEX(Models!$BJ66:$BT66,,T66+1)*R66-ERP_i)*Q66*Ramure*Pc/MaxiM</f>
        <v>1.8094728996271366E-4</v>
      </c>
      <c r="Q66" s="304">
        <f t="shared" si="4"/>
        <v>0.5</v>
      </c>
      <c r="R66" s="176">
        <f t="shared" si="5"/>
        <v>0.43772742914615298</v>
      </c>
      <c r="S66" s="814">
        <f t="shared" si="6"/>
        <v>0</v>
      </c>
      <c r="T66" s="175">
        <f t="shared" si="7"/>
        <v>6</v>
      </c>
      <c r="U66" s="250">
        <f t="shared" si="8"/>
        <v>0.43772742914615298</v>
      </c>
      <c r="V66" s="382">
        <f t="shared" si="9"/>
        <v>39.44092287103917</v>
      </c>
      <c r="W66" s="401"/>
      <c r="X66" s="157">
        <f t="shared" si="10"/>
        <v>44248</v>
      </c>
      <c r="Y66" s="384">
        <f t="shared" si="11"/>
        <v>10.353</v>
      </c>
      <c r="Z66" s="384">
        <f t="shared" si="12"/>
        <v>10.581797769187554</v>
      </c>
      <c r="AA66" s="385">
        <f t="shared" si="13"/>
        <v>11.08687234102665</v>
      </c>
      <c r="AB66" s="196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4.5556091592223132E-2</v>
      </c>
      <c r="AD66" s="230">
        <f>(INDEX(Models!$BJ66:$BT66,,AH66)*(1-AF66)+INDEX(Models!$BJ66:$BT66,,AH66+1)*AF66-ERP_i)*AE66*Ramure*Pc/MaxiM</f>
        <v>1.8094728996271366E-4</v>
      </c>
      <c r="AE66" s="304">
        <f t="shared" si="15"/>
        <v>0.5</v>
      </c>
      <c r="AF66" s="176">
        <f t="shared" si="22"/>
        <v>0.43772742914615298</v>
      </c>
      <c r="AG66" s="814">
        <f t="shared" si="23"/>
        <v>0</v>
      </c>
      <c r="AH66" s="175">
        <f t="shared" si="16"/>
        <v>6</v>
      </c>
      <c r="AI66" s="224">
        <f t="shared" si="17"/>
        <v>0.43772742914615298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44249</v>
      </c>
      <c r="B67" s="616">
        <v>8.3930000000000007</v>
      </c>
      <c r="C67" s="389"/>
      <c r="D67" s="392">
        <f t="shared" si="0"/>
        <v>8.5786703325276079</v>
      </c>
      <c r="E67" s="384">
        <f t="shared" si="1"/>
        <v>8.9883836047262324</v>
      </c>
      <c r="F67" s="384">
        <f t="shared" si="2"/>
        <v>8.9883836047262324</v>
      </c>
      <c r="G67" s="110">
        <f t="shared" si="21"/>
        <v>0.21099591133964943</v>
      </c>
      <c r="H67" s="413" t="b">
        <f>Wh_hp&gt;='2020'!Maxi_hp</f>
        <v>0</v>
      </c>
      <c r="I67" s="379">
        <f>IF(H67,Wh_hp,'2020'!Maxi_hp)</f>
        <v>40.864561185039193</v>
      </c>
      <c r="J67" s="85">
        <f>IF(H67,An,'2020'!An_max)</f>
        <v>2020</v>
      </c>
      <c r="K67" s="196">
        <f t="shared" si="3"/>
        <v>44249</v>
      </c>
      <c r="L67" s="147">
        <f>IF(t&lt;Tvie,1-EXP((T0-t)*PertePVj)+'2020'!Pspv,1-EXP((T0-t)*PertePVj)+Pspv)</f>
        <v>2.164325301365233E-2</v>
      </c>
      <c r="M67" s="847"/>
      <c r="N67" s="847"/>
      <c r="O67" s="48">
        <f>IF(t&lt;Tnet,'2020'!Resal+('2020'!Salim-'2020'!Resal)*(1-EXP(('2020'!Tnet-t)/('2020'!Tau_j))),Resal+(Salim-Resal)*(1-EXP((Tnet-t)/(Tau_j))))*Salcycl</f>
        <v>4.5582530765953456E-2</v>
      </c>
      <c r="P67" s="168">
        <f>(INDEX(Models!$BJ67:$BT67,,T67)*(1-R67)+INDEX(Models!$BJ67:$BT67,,T67+1)*R67-ERP_i)*Q67*Ramure*Pc/MaxiM</f>
        <v>1.8114447218854258E-4</v>
      </c>
      <c r="Q67" s="304">
        <f t="shared" si="4"/>
        <v>0.5</v>
      </c>
      <c r="R67" s="176">
        <f t="shared" si="5"/>
        <v>0.43786713750159456</v>
      </c>
      <c r="S67" s="814">
        <f t="shared" si="6"/>
        <v>0</v>
      </c>
      <c r="T67" s="175">
        <f t="shared" si="7"/>
        <v>6</v>
      </c>
      <c r="U67" s="250">
        <f t="shared" si="8"/>
        <v>0.43786713750159456</v>
      </c>
      <c r="V67" s="382">
        <f t="shared" si="9"/>
        <v>39.770816416137976</v>
      </c>
      <c r="W67" s="401"/>
      <c r="X67" s="157">
        <f t="shared" si="10"/>
        <v>44249</v>
      </c>
      <c r="Y67" s="384">
        <f t="shared" si="11"/>
        <v>8.3930000000000007</v>
      </c>
      <c r="Z67" s="384">
        <f t="shared" si="12"/>
        <v>8.5786703325276079</v>
      </c>
      <c r="AA67" s="385">
        <f t="shared" si="13"/>
        <v>8.9883836047262324</v>
      </c>
      <c r="AB67" s="196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4.5582530765953456E-2</v>
      </c>
      <c r="AD67" s="230">
        <f>(INDEX(Models!$BJ67:$BT67,,AH67)*(1-AF67)+INDEX(Models!$BJ67:$BT67,,AH67+1)*AF67-ERP_i)*AE67*Ramure*Pc/MaxiM</f>
        <v>1.8114447218854258E-4</v>
      </c>
      <c r="AE67" s="304">
        <f t="shared" si="15"/>
        <v>0.5</v>
      </c>
      <c r="AF67" s="176">
        <f t="shared" si="22"/>
        <v>0.43786713750159456</v>
      </c>
      <c r="AG67" s="814">
        <f t="shared" si="23"/>
        <v>0</v>
      </c>
      <c r="AH67" s="175">
        <f t="shared" si="16"/>
        <v>6</v>
      </c>
      <c r="AI67" s="224">
        <f t="shared" si="17"/>
        <v>0.43786713750159456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44250</v>
      </c>
      <c r="B68" s="616">
        <v>31.088000000000001</v>
      </c>
      <c r="C68" s="389"/>
      <c r="D68" s="392">
        <f t="shared" si="0"/>
        <v>31.776426152998166</v>
      </c>
      <c r="E68" s="384">
        <f t="shared" si="1"/>
        <v>33.294974241095133</v>
      </c>
      <c r="F68" s="384">
        <f t="shared" si="2"/>
        <v>33.299068976875517</v>
      </c>
      <c r="G68" s="110">
        <f t="shared" si="21"/>
        <v>0.77525886797457599</v>
      </c>
      <c r="H68" s="413" t="b">
        <f>Wh_hp&gt;='2020'!Maxi_hp</f>
        <v>0</v>
      </c>
      <c r="I68" s="379">
        <f>IF(H68,Wh_hp,'2020'!Maxi_hp)</f>
        <v>41.700793464247006</v>
      </c>
      <c r="J68" s="85">
        <f>IF(H68,An,'2020'!An_max)</f>
        <v>2020</v>
      </c>
      <c r="K68" s="196">
        <f t="shared" si="3"/>
        <v>44250</v>
      </c>
      <c r="L68" s="147">
        <f>IF(t&lt;Tvie,1-EXP((T0-t)*PertePVj)+'2020'!Pspv,1-EXP((T0-t)*PertePVj)+Pspv)</f>
        <v>2.1664681537297725E-2</v>
      </c>
      <c r="M68" s="847"/>
      <c r="N68" s="847"/>
      <c r="O68" s="48">
        <f>IF(t&lt;Tnet,'2020'!Resal+('2020'!Salim-'2020'!Resal)*(1-EXP(('2020'!Tnet-t)/('2020'!Tau_j))),Resal+(Salim-Resal)*(1-EXP((Tnet-t)/(Tau_j))))*Salcycl</f>
        <v>4.560892815536885E-2</v>
      </c>
      <c r="P68" s="168">
        <f>(INDEX(Models!$BJ68:$BT68,,T68)*(1-R68)+INDEX(Models!$BJ68:$BT68,,T68+1)*R68-ERP_i)*Q68*Ramure*Pc/MaxiM</f>
        <v>1.8110081910661287E-4</v>
      </c>
      <c r="Q68" s="304">
        <f t="shared" si="4"/>
        <v>0.5</v>
      </c>
      <c r="R68" s="176">
        <f t="shared" si="5"/>
        <v>0.43801256721782128</v>
      </c>
      <c r="S68" s="814">
        <f t="shared" si="6"/>
        <v>0</v>
      </c>
      <c r="T68" s="175">
        <f t="shared" si="7"/>
        <v>6</v>
      </c>
      <c r="U68" s="250">
        <f t="shared" si="8"/>
        <v>0.43801256721782128</v>
      </c>
      <c r="V68" s="382">
        <f t="shared" si="9"/>
        <v>40.097822603035041</v>
      </c>
      <c r="W68" s="401"/>
      <c r="X68" s="157">
        <f t="shared" si="10"/>
        <v>44250</v>
      </c>
      <c r="Y68" s="384">
        <f t="shared" si="11"/>
        <v>31.088000000000001</v>
      </c>
      <c r="Z68" s="384">
        <f t="shared" si="12"/>
        <v>31.776426152998166</v>
      </c>
      <c r="AA68" s="385">
        <f t="shared" si="13"/>
        <v>33.294974241095133</v>
      </c>
      <c r="AB68" s="196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4.560892815536885E-2</v>
      </c>
      <c r="AD68" s="230">
        <f>(INDEX(Models!$BJ68:$BT68,,AH68)*(1-AF68)+INDEX(Models!$BJ68:$BT68,,AH68+1)*AF68-ERP_i)*AE68*Ramure*Pc/MaxiM</f>
        <v>1.8110081910661287E-4</v>
      </c>
      <c r="AE68" s="304">
        <f t="shared" si="15"/>
        <v>0.5</v>
      </c>
      <c r="AF68" s="176">
        <f t="shared" si="22"/>
        <v>0.43801256721782128</v>
      </c>
      <c r="AG68" s="814">
        <f t="shared" si="23"/>
        <v>0</v>
      </c>
      <c r="AH68" s="175">
        <f t="shared" si="16"/>
        <v>6</v>
      </c>
      <c r="AI68" s="224">
        <f t="shared" si="17"/>
        <v>0.43801256721782128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44251</v>
      </c>
      <c r="B69" s="616">
        <v>38.128</v>
      </c>
      <c r="C69" s="389"/>
      <c r="D69" s="392">
        <f t="shared" si="0"/>
        <v>38.973176578412364</v>
      </c>
      <c r="E69" s="384">
        <f t="shared" si="1"/>
        <v>40.836774338872033</v>
      </c>
      <c r="F69" s="384">
        <f t="shared" si="2"/>
        <v>40.843560880608536</v>
      </c>
      <c r="G69" s="110">
        <f t="shared" si="21"/>
        <v>0.94322916792002354</v>
      </c>
      <c r="H69" s="413" t="b">
        <f>Wh_hp&gt;='2020'!Maxi_hp</f>
        <v>0</v>
      </c>
      <c r="I69" s="379">
        <f>IF(H69,Wh_hp,'2020'!Maxi_hp)</f>
        <v>41.717998173912889</v>
      </c>
      <c r="J69" s="85">
        <f>IF(H69,An,'2020'!An_max)</f>
        <v>2020</v>
      </c>
      <c r="K69" s="196">
        <f t="shared" si="3"/>
        <v>44251</v>
      </c>
      <c r="L69" s="147">
        <f>IF(t&lt;Tvie,1-EXP((T0-t)*PertePVj)+'2020'!Pspv,1-EXP((T0-t)*PertePVj)+Pspv)</f>
        <v>2.1686109591603442E-2</v>
      </c>
      <c r="M69" s="847"/>
      <c r="N69" s="847"/>
      <c r="O69" s="48">
        <f>IF(t&lt;Tnet,'2020'!Resal+('2020'!Salim-'2020'!Resal)*(1-EXP(('2020'!Tnet-t)/('2020'!Tau_j))),Resal+(Salim-Resal)*(1-EXP((Tnet-t)/(Tau_j))))*Salcycl</f>
        <v>4.5635283164021448E-2</v>
      </c>
      <c r="P69" s="168">
        <f>(INDEX(Models!$BJ69:$BT69,,T69)*(1-R69)+INDEX(Models!$BJ69:$BT69,,T69+1)*R69-ERP_i)*Q69*Ramure*Pc/MaxiM</f>
        <v>1.8082059654997198E-4</v>
      </c>
      <c r="Q69" s="304">
        <f t="shared" si="4"/>
        <v>0.5</v>
      </c>
      <c r="R69" s="176">
        <f t="shared" si="5"/>
        <v>0.43816394657415225</v>
      </c>
      <c r="S69" s="814">
        <f t="shared" si="6"/>
        <v>0</v>
      </c>
      <c r="T69" s="175">
        <f t="shared" si="7"/>
        <v>6</v>
      </c>
      <c r="U69" s="250">
        <f t="shared" si="8"/>
        <v>0.43816394657415225</v>
      </c>
      <c r="V69" s="382">
        <f t="shared" si="9"/>
        <v>40.422245411719004</v>
      </c>
      <c r="W69" s="401"/>
      <c r="X69" s="157">
        <f t="shared" si="10"/>
        <v>44251</v>
      </c>
      <c r="Y69" s="384">
        <f t="shared" si="11"/>
        <v>38.128</v>
      </c>
      <c r="Z69" s="384">
        <f t="shared" si="12"/>
        <v>38.973176578412364</v>
      </c>
      <c r="AA69" s="385">
        <f t="shared" si="13"/>
        <v>40.836774338872033</v>
      </c>
      <c r="AB69" s="196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4.5635283164021448E-2</v>
      </c>
      <c r="AD69" s="230">
        <f>(INDEX(Models!$BJ69:$BT69,,AH69)*(1-AF69)+INDEX(Models!$BJ69:$BT69,,AH69+1)*AF69-ERP_i)*AE69*Ramure*Pc/MaxiM</f>
        <v>1.8082059654997198E-4</v>
      </c>
      <c r="AE69" s="304">
        <f t="shared" si="15"/>
        <v>0.5</v>
      </c>
      <c r="AF69" s="176">
        <f t="shared" si="22"/>
        <v>0.43816394657415225</v>
      </c>
      <c r="AG69" s="814">
        <f t="shared" si="23"/>
        <v>0</v>
      </c>
      <c r="AH69" s="175">
        <f t="shared" si="16"/>
        <v>6</v>
      </c>
      <c r="AI69" s="224">
        <f t="shared" si="17"/>
        <v>0.43816394657415225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44252</v>
      </c>
      <c r="B70" s="616">
        <v>35.197000000000003</v>
      </c>
      <c r="C70" s="389"/>
      <c r="D70" s="392">
        <f t="shared" si="0"/>
        <v>35.977993634356551</v>
      </c>
      <c r="E70" s="384">
        <f t="shared" si="1"/>
        <v>37.699408807004396</v>
      </c>
      <c r="F70" s="384">
        <f t="shared" si="2"/>
        <v>37.704884979554372</v>
      </c>
      <c r="G70" s="110">
        <f t="shared" si="21"/>
        <v>0.86381871352195028</v>
      </c>
      <c r="H70" s="413" t="b">
        <f>Wh_hp&gt;='2020'!Maxi_hp</f>
        <v>0</v>
      </c>
      <c r="I70" s="379">
        <f>IF(H70,Wh_hp,'2020'!Maxi_hp)</f>
        <v>42.62355723611401</v>
      </c>
      <c r="J70" s="85">
        <f>IF(H70,An,'2020'!An_max)</f>
        <v>2019</v>
      </c>
      <c r="K70" s="196">
        <f t="shared" si="3"/>
        <v>44252</v>
      </c>
      <c r="L70" s="147">
        <f>IF(t&lt;Tvie,1-EXP((T0-t)*PertePVj)+'2020'!Pspv,1-EXP((T0-t)*PertePVj)+Pspv)</f>
        <v>2.1707537176579805E-2</v>
      </c>
      <c r="M70" s="847"/>
      <c r="N70" s="847"/>
      <c r="O70" s="48">
        <f>IF(t&lt;Tnet,'2020'!Resal+('2020'!Salim-'2020'!Resal)*(1-EXP(('2020'!Tnet-t)/('2020'!Tau_j))),Resal+(Salim-Resal)*(1-EXP((Tnet-t)/(Tau_j))))*Salcycl</f>
        <v>4.5661595953940079E-2</v>
      </c>
      <c r="P70" s="168">
        <f>(INDEX(Models!$BJ70:$BT70,,T70)*(1-R70)+INDEX(Models!$BJ70:$BT70,,T70+1)*R70-ERP_i)*Q70*Ramure*Pc/MaxiM</f>
        <v>1.8030788491494614E-4</v>
      </c>
      <c r="Q70" s="304">
        <f t="shared" si="4"/>
        <v>0.5</v>
      </c>
      <c r="R70" s="176">
        <f t="shared" si="5"/>
        <v>0.4383215124494339</v>
      </c>
      <c r="S70" s="814">
        <f t="shared" si="6"/>
        <v>0</v>
      </c>
      <c r="T70" s="175">
        <f t="shared" si="7"/>
        <v>6</v>
      </c>
      <c r="U70" s="250">
        <f t="shared" si="8"/>
        <v>0.4383215124494339</v>
      </c>
      <c r="V70" s="382">
        <f t="shared" si="9"/>
        <v>40.744388731239923</v>
      </c>
      <c r="W70" s="401"/>
      <c r="X70" s="157">
        <f t="shared" si="10"/>
        <v>44252</v>
      </c>
      <c r="Y70" s="384">
        <f t="shared" si="11"/>
        <v>35.197000000000003</v>
      </c>
      <c r="Z70" s="384">
        <f t="shared" si="12"/>
        <v>35.977993634356551</v>
      </c>
      <c r="AA70" s="385">
        <f t="shared" si="13"/>
        <v>37.699408807004396</v>
      </c>
      <c r="AB70" s="196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4.5661595953940079E-2</v>
      </c>
      <c r="AD70" s="230">
        <f>(INDEX(Models!$BJ70:$BT70,,AH70)*(1-AF70)+INDEX(Models!$BJ70:$BT70,,AH70+1)*AF70-ERP_i)*AE70*Ramure*Pc/MaxiM</f>
        <v>1.8030788491494614E-4</v>
      </c>
      <c r="AE70" s="304">
        <f t="shared" si="15"/>
        <v>0.5</v>
      </c>
      <c r="AF70" s="176">
        <f t="shared" si="22"/>
        <v>0.4383215124494339</v>
      </c>
      <c r="AG70" s="814">
        <f t="shared" si="23"/>
        <v>0</v>
      </c>
      <c r="AH70" s="175">
        <f t="shared" si="16"/>
        <v>6</v>
      </c>
      <c r="AI70" s="224">
        <f t="shared" si="17"/>
        <v>0.4383215124494339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44253</v>
      </c>
      <c r="B71" s="616">
        <v>8.1810000000000009</v>
      </c>
      <c r="C71" s="389"/>
      <c r="D71" s="392">
        <f t="shared" si="0"/>
        <v>8.3627130942103207</v>
      </c>
      <c r="E71" s="384">
        <f t="shared" si="1"/>
        <v>8.7630795096221075</v>
      </c>
      <c r="F71" s="384">
        <f t="shared" si="2"/>
        <v>8.7630795096221075</v>
      </c>
      <c r="G71" s="110">
        <f t="shared" si="21"/>
        <v>0.19918712613759215</v>
      </c>
      <c r="H71" s="413" t="b">
        <f>Wh_hp&gt;='2020'!Maxi_hp</f>
        <v>0</v>
      </c>
      <c r="I71" s="379">
        <f>IF(H71,Wh_hp,'2020'!Maxi_hp)</f>
        <v>39.634820926127432</v>
      </c>
      <c r="J71" s="85">
        <f>IF(H71,An,'2020'!An_max)</f>
        <v>2019</v>
      </c>
      <c r="K71" s="196">
        <f t="shared" si="3"/>
        <v>44253</v>
      </c>
      <c r="L71" s="147">
        <f>IF(t&lt;Tvie,1-EXP((T0-t)*PertePVj)+'2020'!Pspv,1-EXP((T0-t)*PertePVj)+Pspv)</f>
        <v>2.1728964292237141E-2</v>
      </c>
      <c r="M71" s="847"/>
      <c r="N71" s="847"/>
      <c r="O71" s="48">
        <f>IF(t&lt;Tnet,'2020'!Resal+('2020'!Salim-'2020'!Resal)*(1-EXP(('2020'!Tnet-t)/('2020'!Tau_j))),Resal+(Salim-Resal)*(1-EXP((Tnet-t)/(Tau_j))))*Salcycl</f>
        <v>4.5687867486786195E-2</v>
      </c>
      <c r="P71" s="168">
        <f>(INDEX(Models!$BJ71:$BT71,,T71)*(1-R71)+INDEX(Models!$BJ71:$BT71,,T71+1)*R71-ERP_i)*Q71*Ramure*Pc/MaxiM</f>
        <v>1.7956661004010709E-4</v>
      </c>
      <c r="Q71" s="304">
        <f t="shared" si="4"/>
        <v>0.5</v>
      </c>
      <c r="R71" s="176">
        <f t="shared" si="5"/>
        <v>0.43848551060277308</v>
      </c>
      <c r="S71" s="814">
        <f t="shared" si="6"/>
        <v>0</v>
      </c>
      <c r="T71" s="175">
        <f t="shared" si="7"/>
        <v>6</v>
      </c>
      <c r="U71" s="250">
        <f t="shared" si="8"/>
        <v>0.43848551060277308</v>
      </c>
      <c r="V71" s="382">
        <f t="shared" si="9"/>
        <v>41.064556350459632</v>
      </c>
      <c r="W71" s="401"/>
      <c r="X71" s="157">
        <f t="shared" si="10"/>
        <v>44253</v>
      </c>
      <c r="Y71" s="384">
        <f t="shared" si="11"/>
        <v>8.1810000000000009</v>
      </c>
      <c r="Z71" s="384">
        <f t="shared" si="12"/>
        <v>8.3627130942103207</v>
      </c>
      <c r="AA71" s="385">
        <f t="shared" si="13"/>
        <v>8.7630795096221075</v>
      </c>
      <c r="AB71" s="196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4.5687867486786195E-2</v>
      </c>
      <c r="AD71" s="230">
        <f>(INDEX(Models!$BJ71:$BT71,,AH71)*(1-AF71)+INDEX(Models!$BJ71:$BT71,,AH71+1)*AF71-ERP_i)*AE71*Ramure*Pc/MaxiM</f>
        <v>1.7956661004010709E-4</v>
      </c>
      <c r="AE71" s="304">
        <f t="shared" si="15"/>
        <v>0.5</v>
      </c>
      <c r="AF71" s="176">
        <f t="shared" si="22"/>
        <v>0.43848551060277308</v>
      </c>
      <c r="AG71" s="814">
        <f t="shared" si="23"/>
        <v>0</v>
      </c>
      <c r="AH71" s="175">
        <f t="shared" si="16"/>
        <v>6</v>
      </c>
      <c r="AI71" s="224">
        <f t="shared" si="17"/>
        <v>0.43848551060277308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44254</v>
      </c>
      <c r="B72" s="616">
        <v>39.966000000000001</v>
      </c>
      <c r="C72" s="389"/>
      <c r="D72" s="392">
        <f t="shared" si="0"/>
        <v>40.85460359993963</v>
      </c>
      <c r="E72" s="384">
        <f t="shared" si="1"/>
        <v>42.81170200782941</v>
      </c>
      <c r="F72" s="384">
        <f t="shared" si="2"/>
        <v>42.818977335461106</v>
      </c>
      <c r="G72" s="110">
        <f t="shared" si="21"/>
        <v>0.96574927849075409</v>
      </c>
      <c r="H72" s="413" t="b">
        <f>Wh_hp&gt;='2020'!Maxi_hp</f>
        <v>0</v>
      </c>
      <c r="I72" s="379">
        <f>IF(H72,Wh_hp,'2020'!Maxi_hp)</f>
        <v>43.393091127418728</v>
      </c>
      <c r="J72" s="85">
        <f>IF(H72,An,'2020'!An_max)</f>
        <v>2019</v>
      </c>
      <c r="K72" s="196">
        <f t="shared" si="3"/>
        <v>44254</v>
      </c>
      <c r="L72" s="147">
        <f>IF(t&lt;Tvie,1-EXP((T0-t)*PertePVj)+'2020'!Pspv,1-EXP((T0-t)*PertePVj)+Pspv)</f>
        <v>2.1750390938585551E-2</v>
      </c>
      <c r="M72" s="847"/>
      <c r="N72" s="847"/>
      <c r="O72" s="48">
        <f>IF(t&lt;Tnet,'2020'!Resal+('2020'!Salim-'2020'!Resal)*(1-EXP(('2020'!Tnet-t)/('2020'!Tau_j))),Resal+(Salim-Resal)*(1-EXP((Tnet-t)/(Tau_j))))*Salcycl</f>
        <v>4.5714099559318336E-2</v>
      </c>
      <c r="P72" s="168">
        <f>(INDEX(Models!$BJ72:$BT72,,T72)*(1-R72)+INDEX(Models!$BJ72:$BT72,,T72+1)*R72-ERP_i)*Q72*Ramure*Pc/MaxiM</f>
        <v>1.7864797354115173E-4</v>
      </c>
      <c r="Q72" s="304">
        <f t="shared" si="4"/>
        <v>0.5</v>
      </c>
      <c r="R72" s="176">
        <f t="shared" si="5"/>
        <v>0.43865619595965916</v>
      </c>
      <c r="S72" s="814">
        <f t="shared" si="6"/>
        <v>0</v>
      </c>
      <c r="T72" s="175">
        <f t="shared" si="7"/>
        <v>6</v>
      </c>
      <c r="U72" s="250">
        <f t="shared" si="8"/>
        <v>0.43865619595965916</v>
      </c>
      <c r="V72" s="382">
        <f t="shared" si="9"/>
        <v>41.383049997647035</v>
      </c>
      <c r="W72" s="401"/>
      <c r="X72" s="157">
        <f t="shared" si="10"/>
        <v>44254</v>
      </c>
      <c r="Y72" s="384">
        <f t="shared" si="11"/>
        <v>39.966000000000001</v>
      </c>
      <c r="Z72" s="384">
        <f t="shared" si="12"/>
        <v>40.85460359993963</v>
      </c>
      <c r="AA72" s="385">
        <f t="shared" si="13"/>
        <v>42.81170200782941</v>
      </c>
      <c r="AB72" s="196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4.5714099559318336E-2</v>
      </c>
      <c r="AD72" s="230">
        <f>(INDEX(Models!$BJ72:$BT72,,AH72)*(1-AF72)+INDEX(Models!$BJ72:$BT72,,AH72+1)*AF72-ERP_i)*AE72*Ramure*Pc/MaxiM</f>
        <v>1.7864797354115173E-4</v>
      </c>
      <c r="AE72" s="304">
        <f t="shared" si="15"/>
        <v>0.5</v>
      </c>
      <c r="AF72" s="176">
        <f t="shared" si="22"/>
        <v>0.43865619595965916</v>
      </c>
      <c r="AG72" s="814">
        <f t="shared" si="23"/>
        <v>0</v>
      </c>
      <c r="AH72" s="175">
        <f t="shared" si="16"/>
        <v>6</v>
      </c>
      <c r="AI72" s="224">
        <f t="shared" si="17"/>
        <v>0.43865619595965916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44255</v>
      </c>
      <c r="B73" s="616">
        <v>32.33</v>
      </c>
      <c r="C73" s="389"/>
      <c r="D73" s="392">
        <f t="shared" si="0"/>
        <v>33.049548730719501</v>
      </c>
      <c r="E73" s="384">
        <f t="shared" si="1"/>
        <v>34.633704589813867</v>
      </c>
      <c r="F73" s="384">
        <f t="shared" si="2"/>
        <v>34.637882773084826</v>
      </c>
      <c r="G73" s="110">
        <f t="shared" si="21"/>
        <v>0.77525239599380547</v>
      </c>
      <c r="H73" s="413" t="b">
        <f>Wh_hp&gt;='2020'!Maxi_hp</f>
        <v>0</v>
      </c>
      <c r="I73" s="379">
        <f>IF(H73,Wh_hp,'2020'!Maxi_hp)</f>
        <v>35.991021294726998</v>
      </c>
      <c r="J73" s="85">
        <f>IF(H73,An,'2020'!An_max)</f>
        <v>2019</v>
      </c>
      <c r="K73" s="196">
        <f t="shared" si="3"/>
        <v>44255</v>
      </c>
      <c r="L73" s="147">
        <f>IF(t&lt;Tvie,1-EXP((T0-t)*PertePVj)+'2020'!Pspv,1-EXP((T0-t)*PertePVj)+Pspv)</f>
        <v>2.1771817115635361E-2</v>
      </c>
      <c r="M73" s="847"/>
      <c r="N73" s="847"/>
      <c r="O73" s="48">
        <f>IF(t&lt;Tnet,'2020'!Resal+('2020'!Salim-'2020'!Resal)*(1-EXP(('2020'!Tnet-t)/('2020'!Tau_j))),Resal+(Salim-Resal)*(1-EXP((Tnet-t)/(Tau_j))))*Salcycl</f>
        <v>4.5740294832920768E-2</v>
      </c>
      <c r="P73" s="168">
        <f>(INDEX(Models!$BJ73:$BT73,,T73)*(1-R73)+INDEX(Models!$BJ73:$BT73,,T73+1)*R73-ERP_i)*Q73*Ramure*Pc/MaxiM</f>
        <v>1.7765174068591435E-4</v>
      </c>
      <c r="Q73" s="304">
        <f t="shared" si="4"/>
        <v>0.5</v>
      </c>
      <c r="R73" s="176">
        <f t="shared" si="5"/>
        <v>0.43883383290321176</v>
      </c>
      <c r="S73" s="814">
        <f t="shared" si="6"/>
        <v>0</v>
      </c>
      <c r="T73" s="175">
        <f t="shared" si="7"/>
        <v>6</v>
      </c>
      <c r="U73" s="250">
        <f t="shared" si="8"/>
        <v>0.43883383290321176</v>
      </c>
      <c r="V73" s="382">
        <f t="shared" si="9"/>
        <v>41.700169208800638</v>
      </c>
      <c r="W73" s="401"/>
      <c r="X73" s="157">
        <f t="shared" si="10"/>
        <v>44255</v>
      </c>
      <c r="Y73" s="384">
        <f t="shared" si="11"/>
        <v>32.33</v>
      </c>
      <c r="Z73" s="384">
        <f t="shared" si="12"/>
        <v>33.049548730719501</v>
      </c>
      <c r="AA73" s="385">
        <f t="shared" si="13"/>
        <v>34.633704589813867</v>
      </c>
      <c r="AB73" s="196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4.5740294832920768E-2</v>
      </c>
      <c r="AD73" s="230">
        <f>(INDEX(Models!$BJ73:$BT73,,AH73)*(1-AF73)+INDEX(Models!$BJ73:$BT73,,AH73+1)*AF73-ERP_i)*AE73*Ramure*Pc/MaxiM</f>
        <v>1.7765174068591435E-4</v>
      </c>
      <c r="AE73" s="304">
        <f t="shared" si="15"/>
        <v>0.5</v>
      </c>
      <c r="AF73" s="176">
        <f t="shared" si="22"/>
        <v>0.43883383290321176</v>
      </c>
      <c r="AG73" s="814">
        <f t="shared" si="23"/>
        <v>0</v>
      </c>
      <c r="AH73" s="175">
        <f t="shared" si="16"/>
        <v>6</v>
      </c>
      <c r="AI73" s="224">
        <f t="shared" si="17"/>
        <v>0.43883383290321176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44256</v>
      </c>
      <c r="B74" s="616">
        <v>36.582000000000001</v>
      </c>
      <c r="C74" s="389"/>
      <c r="D74" s="392">
        <f t="shared" si="0"/>
        <v>37.397001944237829</v>
      </c>
      <c r="E74" s="384">
        <f t="shared" si="1"/>
        <v>39.190617656409778</v>
      </c>
      <c r="F74" s="384">
        <f t="shared" si="2"/>
        <v>39.196260063356199</v>
      </c>
      <c r="G74" s="110">
        <f t="shared" si="21"/>
        <v>0.87063540040698484</v>
      </c>
      <c r="H74" s="413" t="b">
        <f>Wh_hp&gt;='2020'!Maxi_hp</f>
        <v>1</v>
      </c>
      <c r="I74" s="379">
        <f>IF(H74,Wh_hp,'2020'!Maxi_hp)</f>
        <v>39.196260063356199</v>
      </c>
      <c r="J74" s="85">
        <f>IF(H74,An,'2020'!An_max)</f>
        <v>2021</v>
      </c>
      <c r="K74" s="196">
        <f t="shared" si="3"/>
        <v>44256</v>
      </c>
      <c r="L74" s="147">
        <f>IF(t&lt;Tvie,1-EXP((T0-t)*PertePVj)+'2020'!Pspv,1-EXP((T0-t)*PertePVj)+Pspv)</f>
        <v>2.1793242823397008E-2</v>
      </c>
      <c r="M74" s="847"/>
      <c r="N74" s="847"/>
      <c r="O74" s="48">
        <f>IF(t&lt;Tnet,'2020'!Resal+('2020'!Salim-'2020'!Resal)*(1-EXP(('2020'!Tnet-t)/('2020'!Tau_j))),Resal+(Salim-Resal)*(1-EXP((Tnet-t)/(Tau_j))))*Salcycl</f>
        <v>4.5766456857017482E-2</v>
      </c>
      <c r="P74" s="168">
        <f>(INDEX(Models!$BJ74:$BT74,,T74)*(1-R74)+INDEX(Models!$BJ74:$BT74,,T74+1)*R74-ERP_i)*Q74*Ramure*Pc/MaxiM</f>
        <v>1.7657836166934179E-4</v>
      </c>
      <c r="Q74" s="304">
        <f t="shared" si="4"/>
        <v>0.5</v>
      </c>
      <c r="R74" s="176">
        <f t="shared" si="5"/>
        <v>0.43901869557024703</v>
      </c>
      <c r="S74" s="814">
        <f t="shared" si="6"/>
        <v>0</v>
      </c>
      <c r="T74" s="175">
        <f t="shared" si="7"/>
        <v>6</v>
      </c>
      <c r="U74" s="250">
        <f t="shared" si="8"/>
        <v>0.43901869557024703</v>
      </c>
      <c r="V74" s="382">
        <f t="shared" si="9"/>
        <v>42.016217464424088</v>
      </c>
      <c r="W74" s="401"/>
      <c r="X74" s="157">
        <f t="shared" si="10"/>
        <v>44256</v>
      </c>
      <c r="Y74" s="384">
        <f t="shared" si="11"/>
        <v>36.582000000000001</v>
      </c>
      <c r="Z74" s="384">
        <f t="shared" si="12"/>
        <v>37.397001944237829</v>
      </c>
      <c r="AA74" s="385">
        <f t="shared" si="13"/>
        <v>39.190617656409778</v>
      </c>
      <c r="AB74" s="196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4.5766456857017482E-2</v>
      </c>
      <c r="AD74" s="230">
        <f>(INDEX(Models!$BJ74:$BT74,,AH74)*(1-AF74)+INDEX(Models!$BJ74:$BT74,,AH74+1)*AF74-ERP_i)*AE74*Ramure*Pc/MaxiM</f>
        <v>1.7657836166934179E-4</v>
      </c>
      <c r="AE74" s="304">
        <f t="shared" si="15"/>
        <v>0.5</v>
      </c>
      <c r="AF74" s="176">
        <f t="shared" si="22"/>
        <v>0.43901869557024703</v>
      </c>
      <c r="AG74" s="814">
        <f t="shared" si="23"/>
        <v>0</v>
      </c>
      <c r="AH74" s="175">
        <f t="shared" si="16"/>
        <v>6</v>
      </c>
      <c r="AI74" s="224">
        <f t="shared" si="17"/>
        <v>0.43901869557024703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44257</v>
      </c>
      <c r="B75" s="616">
        <v>15.38</v>
      </c>
      <c r="C75" s="389"/>
      <c r="D75" s="392">
        <f t="shared" si="0"/>
        <v>15.722991848106091</v>
      </c>
      <c r="E75" s="384">
        <f t="shared" si="1"/>
        <v>16.477541134927286</v>
      </c>
      <c r="F75" s="384">
        <f t="shared" si="2"/>
        <v>16.477802628705902</v>
      </c>
      <c r="G75" s="110">
        <f t="shared" si="21"/>
        <v>0.36326486474586284</v>
      </c>
      <c r="H75" s="413" t="b">
        <f>Wh_hp&gt;='2020'!Maxi_hp</f>
        <v>0</v>
      </c>
      <c r="I75" s="379">
        <f>IF(H75,Wh_hp,'2020'!Maxi_hp)</f>
        <v>29.944510502068969</v>
      </c>
      <c r="J75" s="85">
        <f>IF(H75,An,'2020'!An_max)</f>
        <v>2020</v>
      </c>
      <c r="K75" s="196">
        <f t="shared" si="3"/>
        <v>44257</v>
      </c>
      <c r="L75" s="147">
        <f>IF(t&lt;Tvie,1-EXP((T0-t)*PertePVj)+'2020'!Pspv,1-EXP((T0-t)*PertePVj)+Pspv)</f>
        <v>2.1814668061880704E-2</v>
      </c>
      <c r="M75" s="847"/>
      <c r="N75" s="847"/>
      <c r="O75" s="48">
        <f>IF(t&lt;Tnet,'2020'!Resal+('2020'!Salim-'2020'!Resal)*(1-EXP(('2020'!Tnet-t)/('2020'!Tau_j))),Resal+(Salim-Resal)*(1-EXP((Tnet-t)/(Tau_j))))*Salcycl</f>
        <v>4.579259008625905E-2</v>
      </c>
      <c r="P75" s="168">
        <f>(INDEX(Models!$BJ75:$BT75,,T75)*(1-R75)+INDEX(Models!$BJ75:$BT75,,T75+1)*R75-ERP_i)*Q75*Ramure*Pc/MaxiM</f>
        <v>1.7542833434597968E-4</v>
      </c>
      <c r="Q75" s="304">
        <f t="shared" si="4"/>
        <v>0.5</v>
      </c>
      <c r="R75" s="176">
        <f t="shared" si="5"/>
        <v>0.43921106815180394</v>
      </c>
      <c r="S75" s="814">
        <f t="shared" si="6"/>
        <v>0</v>
      </c>
      <c r="T75" s="175">
        <f t="shared" si="7"/>
        <v>6</v>
      </c>
      <c r="U75" s="250">
        <f t="shared" si="8"/>
        <v>0.43921106815180394</v>
      </c>
      <c r="V75" s="382">
        <f t="shared" si="9"/>
        <v>42.331498137807429</v>
      </c>
      <c r="W75" s="401"/>
      <c r="X75" s="157">
        <f t="shared" si="10"/>
        <v>44257</v>
      </c>
      <c r="Y75" s="384">
        <f t="shared" si="11"/>
        <v>15.379999999999999</v>
      </c>
      <c r="Z75" s="384">
        <f t="shared" si="12"/>
        <v>15.722991848106089</v>
      </c>
      <c r="AA75" s="385">
        <f t="shared" si="13"/>
        <v>16.477541134927286</v>
      </c>
      <c r="AB75" s="196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4.579259008625905E-2</v>
      </c>
      <c r="AD75" s="230">
        <f>(INDEX(Models!$BJ75:$BT75,,AH75)*(1-AF75)+INDEX(Models!$BJ75:$BT75,,AH75+1)*AF75-ERP_i)*AE75*Ramure*Pc/MaxiM</f>
        <v>1.7542833434597968E-4</v>
      </c>
      <c r="AE75" s="304">
        <f t="shared" si="15"/>
        <v>0.5</v>
      </c>
      <c r="AF75" s="176">
        <f t="shared" si="22"/>
        <v>0.43921106815180394</v>
      </c>
      <c r="AG75" s="814">
        <f t="shared" si="23"/>
        <v>0</v>
      </c>
      <c r="AH75" s="175">
        <f t="shared" si="16"/>
        <v>6</v>
      </c>
      <c r="AI75" s="224">
        <f t="shared" si="17"/>
        <v>0.43921106815180394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44258</v>
      </c>
      <c r="B76" s="616">
        <v>16.695</v>
      </c>
      <c r="C76" s="389"/>
      <c r="D76" s="392">
        <f t="shared" si="0"/>
        <v>17.067691700382081</v>
      </c>
      <c r="E76" s="384">
        <f t="shared" si="1"/>
        <v>17.88726282776673</v>
      </c>
      <c r="F76" s="384">
        <f t="shared" si="2"/>
        <v>17.887670035105426</v>
      </c>
      <c r="G76" s="110">
        <f t="shared" si="21"/>
        <v>0.39141651257307014</v>
      </c>
      <c r="H76" s="413" t="b">
        <f>Wh_hp&gt;='2020'!Maxi_hp</f>
        <v>0</v>
      </c>
      <c r="I76" s="379">
        <f>IF(H76,Wh_hp,'2020'!Maxi_hp)</f>
        <v>38.508024321438462</v>
      </c>
      <c r="J76" s="85">
        <f>IF(H76,An,'2020'!An_max)</f>
        <v>2019</v>
      </c>
      <c r="K76" s="196">
        <f t="shared" si="3"/>
        <v>44258</v>
      </c>
      <c r="L76" s="147">
        <f>IF(t&lt;Tvie,1-EXP((T0-t)*PertePVj)+'2020'!Pspv,1-EXP((T0-t)*PertePVj)+Pspv)</f>
        <v>2.1836092831096554E-2</v>
      </c>
      <c r="M76" s="847"/>
      <c r="N76" s="847"/>
      <c r="O76" s="48">
        <f>IF(t&lt;Tnet,'2020'!Resal+('2020'!Salim-'2020'!Resal)*(1-EXP(('2020'!Tnet-t)/('2020'!Tau_j))),Resal+(Salim-Resal)*(1-EXP((Tnet-t)/(Tau_j))))*Salcycl</f>
        <v>4.5818699891434202E-2</v>
      </c>
      <c r="P76" s="168">
        <f>(INDEX(Models!$BJ76:$BT76,,T76)*(1-R76)+INDEX(Models!$BJ76:$BT76,,T76+1)*R76-ERP_i)*Q76*Ramure*Pc/MaxiM</f>
        <v>1.7420220753706851E-4</v>
      </c>
      <c r="Q76" s="304">
        <f t="shared" si="4"/>
        <v>0.5</v>
      </c>
      <c r="R76" s="176">
        <f t="shared" si="5"/>
        <v>0.43941124519771868</v>
      </c>
      <c r="S76" s="814">
        <f t="shared" si="6"/>
        <v>0</v>
      </c>
      <c r="T76" s="175">
        <f t="shared" si="7"/>
        <v>6</v>
      </c>
      <c r="U76" s="250">
        <f t="shared" si="8"/>
        <v>0.43941124519771868</v>
      </c>
      <c r="V76" s="382">
        <f t="shared" si="9"/>
        <v>42.646314493548367</v>
      </c>
      <c r="W76" s="401"/>
      <c r="X76" s="157">
        <f t="shared" si="10"/>
        <v>44258</v>
      </c>
      <c r="Y76" s="384">
        <f t="shared" si="11"/>
        <v>16.695</v>
      </c>
      <c r="Z76" s="384">
        <f t="shared" si="12"/>
        <v>17.067691700382081</v>
      </c>
      <c r="AA76" s="385">
        <f t="shared" si="13"/>
        <v>17.88726282776673</v>
      </c>
      <c r="AB76" s="196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4.5818699891434202E-2</v>
      </c>
      <c r="AD76" s="230">
        <f>(INDEX(Models!$BJ76:$BT76,,AH76)*(1-AF76)+INDEX(Models!$BJ76:$BT76,,AH76+1)*AF76-ERP_i)*AE76*Ramure*Pc/MaxiM</f>
        <v>1.7420220753706851E-4</v>
      </c>
      <c r="AE76" s="304">
        <f t="shared" si="15"/>
        <v>0.5</v>
      </c>
      <c r="AF76" s="176">
        <f t="shared" si="22"/>
        <v>0.43941124519771868</v>
      </c>
      <c r="AG76" s="814">
        <f t="shared" si="23"/>
        <v>0</v>
      </c>
      <c r="AH76" s="175">
        <f t="shared" si="16"/>
        <v>6</v>
      </c>
      <c r="AI76" s="224">
        <f t="shared" si="17"/>
        <v>0.43941124519771868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44259</v>
      </c>
      <c r="B77" s="616">
        <v>30.138000000000002</v>
      </c>
      <c r="C77" s="389"/>
      <c r="D77" s="392">
        <f t="shared" si="0"/>
        <v>30.811462059805045</v>
      </c>
      <c r="E77" s="384">
        <f t="shared" si="1"/>
        <v>32.291876436544719</v>
      </c>
      <c r="F77" s="384">
        <f t="shared" si="2"/>
        <v>32.295079329869516</v>
      </c>
      <c r="G77" s="110">
        <f t="shared" si="21"/>
        <v>0.70146875372668316</v>
      </c>
      <c r="H77" s="413" t="b">
        <f>Wh_hp&gt;='2020'!Maxi_hp</f>
        <v>1</v>
      </c>
      <c r="I77" s="379">
        <f>IF(H77,Wh_hp,'2020'!Maxi_hp)</f>
        <v>32.295079329869516</v>
      </c>
      <c r="J77" s="85">
        <f>IF(H77,An,'2020'!An_max)</f>
        <v>2021</v>
      </c>
      <c r="K77" s="196">
        <f t="shared" si="3"/>
        <v>44259</v>
      </c>
      <c r="L77" s="147">
        <f>IF(t&lt;Tvie,1-EXP((T0-t)*PertePVj)+'2020'!Pspv,1-EXP((T0-t)*PertePVj)+Pspv)</f>
        <v>2.1857517131055104E-2</v>
      </c>
      <c r="M77" s="847"/>
      <c r="N77" s="847"/>
      <c r="O77" s="48">
        <f>IF(t&lt;Tnet,'2020'!Resal+('2020'!Salim-'2020'!Resal)*(1-EXP(('2020'!Tnet-t)/('2020'!Tau_j))),Resal+(Salim-Resal)*(1-EXP((Tnet-t)/(Tau_j))))*Salcycl</f>
        <v>4.5844792564122681E-2</v>
      </c>
      <c r="P77" s="168">
        <f>(INDEX(Models!$BJ77:$BT77,,T77)*(1-R77)+INDEX(Models!$BJ77:$BT77,,T77+1)*R77-ERP_i)*Q77*Ramure*Pc/MaxiM</f>
        <v>1.729005834216185E-4</v>
      </c>
      <c r="Q77" s="304">
        <f t="shared" si="4"/>
        <v>0.5</v>
      </c>
      <c r="R77" s="176">
        <f t="shared" si="5"/>
        <v>0.43961953192477765</v>
      </c>
      <c r="S77" s="814">
        <f t="shared" si="6"/>
        <v>0</v>
      </c>
      <c r="T77" s="175">
        <f t="shared" si="7"/>
        <v>6</v>
      </c>
      <c r="U77" s="250">
        <f t="shared" si="8"/>
        <v>0.43961953192477765</v>
      </c>
      <c r="V77" s="382">
        <f t="shared" si="9"/>
        <v>42.960969686517259</v>
      </c>
      <c r="W77" s="401"/>
      <c r="X77" s="157">
        <f t="shared" si="10"/>
        <v>44259</v>
      </c>
      <c r="Y77" s="384">
        <f t="shared" si="11"/>
        <v>30.138000000000002</v>
      </c>
      <c r="Z77" s="384">
        <f t="shared" si="12"/>
        <v>30.811462059805045</v>
      </c>
      <c r="AA77" s="385">
        <f t="shared" si="13"/>
        <v>32.291876436544719</v>
      </c>
      <c r="AB77" s="196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4.5844792564122681E-2</v>
      </c>
      <c r="AD77" s="230">
        <f>(INDEX(Models!$BJ77:$BT77,,AH77)*(1-AF77)+INDEX(Models!$BJ77:$BT77,,AH77+1)*AF77-ERP_i)*AE77*Ramure*Pc/MaxiM</f>
        <v>1.729005834216185E-4</v>
      </c>
      <c r="AE77" s="304">
        <f t="shared" si="15"/>
        <v>0.5</v>
      </c>
      <c r="AF77" s="176">
        <f t="shared" si="22"/>
        <v>0.43961953192477765</v>
      </c>
      <c r="AG77" s="814">
        <f t="shared" si="23"/>
        <v>0</v>
      </c>
      <c r="AH77" s="175">
        <f t="shared" si="16"/>
        <v>6</v>
      </c>
      <c r="AI77" s="224">
        <f t="shared" si="17"/>
        <v>0.43961953192477765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44260</v>
      </c>
      <c r="B78" s="616">
        <v>31.829000000000001</v>
      </c>
      <c r="C78" s="389"/>
      <c r="D78" s="392">
        <f t="shared" si="0"/>
        <v>32.540961781660037</v>
      </c>
      <c r="E78" s="384">
        <f t="shared" si="1"/>
        <v>34.105406637082709</v>
      </c>
      <c r="F78" s="384">
        <f t="shared" si="2"/>
        <v>34.109046435840071</v>
      </c>
      <c r="G78" s="110">
        <f t="shared" si="21"/>
        <v>0.73544478157972892</v>
      </c>
      <c r="H78" s="413" t="b">
        <f>Wh_hp&gt;='2020'!Maxi_hp</f>
        <v>0</v>
      </c>
      <c r="I78" s="379">
        <f>IF(H78,Wh_hp,'2020'!Maxi_hp)</f>
        <v>45.312703719886137</v>
      </c>
      <c r="J78" s="85">
        <f>IF(H78,An,'2020'!An_max)</f>
        <v>2019</v>
      </c>
      <c r="K78" s="196">
        <f t="shared" si="3"/>
        <v>44260</v>
      </c>
      <c r="L78" s="147">
        <f>IF(t&lt;Tvie,1-EXP((T0-t)*PertePVj)+'2020'!Pspv,1-EXP((T0-t)*PertePVj)+Pspv)</f>
        <v>2.1878940961766347E-2</v>
      </c>
      <c r="M78" s="847"/>
      <c r="N78" s="847"/>
      <c r="O78" s="48">
        <f>IF(t&lt;Tnet,'2020'!Resal+('2020'!Salim-'2020'!Resal)*(1-EXP(('2020'!Tnet-t)/('2020'!Tau_j))),Resal+(Salim-Resal)*(1-EXP((Tnet-t)/(Tau_j))))*Salcycl</f>
        <v>4.5870875315166378E-2</v>
      </c>
      <c r="P78" s="168">
        <f>(INDEX(Models!$BJ78:$BT78,,T78)*(1-R78)+INDEX(Models!$BJ78:$BT78,,T78+1)*R78-ERP_i)*Q78*Ramure*Pc/MaxiM</f>
        <v>1.71524119054124E-4</v>
      </c>
      <c r="Q78" s="304">
        <f t="shared" si="4"/>
        <v>0.5</v>
      </c>
      <c r="R78" s="176">
        <f t="shared" si="5"/>
        <v>0.43983624452791503</v>
      </c>
      <c r="S78" s="814">
        <f t="shared" si="6"/>
        <v>0</v>
      </c>
      <c r="T78" s="175">
        <f t="shared" si="7"/>
        <v>6</v>
      </c>
      <c r="U78" s="250">
        <f t="shared" si="8"/>
        <v>0.43983624452791503</v>
      </c>
      <c r="V78" s="382">
        <f t="shared" si="9"/>
        <v>43.275766759528416</v>
      </c>
      <c r="W78" s="401"/>
      <c r="X78" s="157">
        <f t="shared" si="10"/>
        <v>44260</v>
      </c>
      <c r="Y78" s="384">
        <f t="shared" si="11"/>
        <v>31.829000000000001</v>
      </c>
      <c r="Z78" s="384">
        <f t="shared" si="12"/>
        <v>32.540961781660037</v>
      </c>
      <c r="AA78" s="385">
        <f t="shared" si="13"/>
        <v>34.105406637082709</v>
      </c>
      <c r="AB78" s="196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4.5870875315166378E-2</v>
      </c>
      <c r="AD78" s="230">
        <f>(INDEX(Models!$BJ78:$BT78,,AH78)*(1-AF78)+INDEX(Models!$BJ78:$BT78,,AH78+1)*AF78-ERP_i)*AE78*Ramure*Pc/MaxiM</f>
        <v>1.71524119054124E-4</v>
      </c>
      <c r="AE78" s="304">
        <f t="shared" si="15"/>
        <v>0.5</v>
      </c>
      <c r="AF78" s="176">
        <f t="shared" si="22"/>
        <v>0.43983624452791503</v>
      </c>
      <c r="AG78" s="814">
        <f t="shared" si="23"/>
        <v>0</v>
      </c>
      <c r="AH78" s="175">
        <f t="shared" si="16"/>
        <v>6</v>
      </c>
      <c r="AI78" s="224">
        <f t="shared" si="17"/>
        <v>0.43983624452791503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44261</v>
      </c>
      <c r="B79" s="616">
        <v>10.117000000000001</v>
      </c>
      <c r="C79" s="389"/>
      <c r="D79" s="392">
        <f t="shared" ref="D79:D142" si="24">Wh/(1-Ppv)</f>
        <v>10.343527009904184</v>
      </c>
      <c r="E79" s="384">
        <f t="shared" si="1"/>
        <v>10.841100526663654</v>
      </c>
      <c r="F79" s="384">
        <f t="shared" ref="F79:F142" si="25">Wh_sa/(1-Pvg*MEDIAN((-Sdif+Wh/Env_an)/Csdif,0,1))</f>
        <v>10.841100526663654</v>
      </c>
      <c r="G79" s="110">
        <f t="shared" si="21"/>
        <v>0.23205137862164327</v>
      </c>
      <c r="H79" s="413" t="b">
        <f>Wh_hp&gt;='2020'!Maxi_hp</f>
        <v>0</v>
      </c>
      <c r="I79" s="379">
        <f>IF(H79,Wh_hp,'2020'!Maxi_hp)</f>
        <v>24.720173237036324</v>
      </c>
      <c r="J79" s="85">
        <f>IF(H79,An,'2020'!An_max)</f>
        <v>2019</v>
      </c>
      <c r="K79" s="196">
        <f t="shared" ref="K79:K142" si="26">t</f>
        <v>44261</v>
      </c>
      <c r="L79" s="147">
        <f>IF(t&lt;Tvie,1-EXP((T0-t)*PertePVj)+'2020'!Pspv,1-EXP((T0-t)*PertePVj)+Pspv)</f>
        <v>2.1900364323240828E-2</v>
      </c>
      <c r="M79" s="847"/>
      <c r="N79" s="847"/>
      <c r="O79" s="48">
        <f>IF(t&lt;Tnet,'2020'!Resal+('2020'!Salim-'2020'!Resal)*(1-EXP(('2020'!Tnet-t)/('2020'!Tau_j))),Resal+(Salim-Resal)*(1-EXP((Tnet-t)/(Tau_j))))*Salcycl</f>
        <v>4.5896956267095744E-2</v>
      </c>
      <c r="P79" s="168">
        <f>(INDEX(Models!$BJ79:$BT79,,T79)*(1-R79)+INDEX(Models!$BJ79:$BT79,,T79+1)*R79-ERP_i)*Q79*Ramure*Pc/MaxiM</f>
        <v>1.7007477602621422E-4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0.4400617104938539</v>
      </c>
      <c r="S79" s="814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0.4400617104938539</v>
      </c>
      <c r="V79" s="382">
        <f t="shared" ref="V79:V142" si="32">MaxiM*(1-Ppv)*(1-Pvg)*(1-Psa)</f>
        <v>43.590688465521993</v>
      </c>
      <c r="W79" s="401"/>
      <c r="X79" s="157">
        <f t="shared" ref="X79:X142" si="33">t</f>
        <v>44261</v>
      </c>
      <c r="Y79" s="384">
        <f t="shared" ref="Y79:Y142" si="34">Wh_pvt_s*(1-Ppv)</f>
        <v>10.117000000000001</v>
      </c>
      <c r="Z79" s="384">
        <f t="shared" ref="Z79:Z142" si="35">Wh_sa_s*(1-Psa_s)</f>
        <v>10.343527009904184</v>
      </c>
      <c r="AA79" s="385">
        <f t="shared" ref="AA79:AA142" si="36">Wh_hp*(1-Pvg_s*MEDIAN((-Sdif+Wh/Env_an)/Csdif,0,1))</f>
        <v>10.841100526663654</v>
      </c>
      <c r="AB79" s="196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4.5896956267095744E-2</v>
      </c>
      <c r="AD79" s="230">
        <f>(INDEX(Models!$BJ79:$BT79,,AH79)*(1-AF79)+INDEX(Models!$BJ79:$BT79,,AH79+1)*AF79-ERP_i)*AE79*Ramure*Pc/MaxiM</f>
        <v>1.7007477602621422E-4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0.4400617104938539</v>
      </c>
      <c r="AG79" s="814">
        <f t="shared" si="23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0.4400617104938539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16">
        <v>10.271000000000001</v>
      </c>
      <c r="C80" s="389"/>
      <c r="D80" s="392">
        <f t="shared" si="24"/>
        <v>10.501205185584572</v>
      </c>
      <c r="E80" s="384">
        <f t="shared" ref="E80:E143" si="45">Wh_pvt/(1-Psa)</f>
        <v>11.006664739563464</v>
      </c>
      <c r="F80" s="384">
        <f t="shared" si="25"/>
        <v>11.006664739563464</v>
      </c>
      <c r="G80" s="110">
        <f t="shared" ref="G80:G143" si="46">+Wh_hp/MaxiM</f>
        <v>0.23389545081071306</v>
      </c>
      <c r="H80" s="413" t="b">
        <f>Wh_hp&gt;='2020'!Maxi_hp</f>
        <v>0</v>
      </c>
      <c r="I80" s="379">
        <f>IF(H80,Wh_hp,'2020'!Maxi_hp)</f>
        <v>41.978203972024616</v>
      </c>
      <c r="J80" s="85">
        <f>IF(H80,An,'2020'!An_max)</f>
        <v>2019</v>
      </c>
      <c r="K80" s="196">
        <f t="shared" si="26"/>
        <v>44262</v>
      </c>
      <c r="L80" s="147">
        <f>IF(t&lt;Tvie,1-EXP((T0-t)*PertePVj)+'2020'!Pspv,1-EXP((T0-t)*PertePVj)+Pspv)</f>
        <v>2.1921787215488764E-2</v>
      </c>
      <c r="M80" s="847"/>
      <c r="N80" s="847"/>
      <c r="O80" s="48">
        <f>IF(t&lt;Tnet,'2020'!Resal+('2020'!Salim-'2020'!Resal)*(1-EXP(('2020'!Tnet-t)/('2020'!Tau_j))),Resal+(Salim-Resal)*(1-EXP((Tnet-t)/(Tau_j))))*Salcycl</f>
        <v>4.5923044440702991E-2</v>
      </c>
      <c r="P80" s="168">
        <f>(INDEX(Models!$BJ80:$BT80,,T80)*(1-R80)+INDEX(Models!$BJ80:$BT80,,T80+1)*R80-ERP_i)*Q80*Ramure*Pc/MaxiM</f>
        <v>1.6870091580120053E-4</v>
      </c>
      <c r="Q80" s="304">
        <f t="shared" si="27"/>
        <v>0.5</v>
      </c>
      <c r="R80" s="176">
        <f t="shared" si="28"/>
        <v>0.44029626891651524</v>
      </c>
      <c r="S80" s="814">
        <f t="shared" si="29"/>
        <v>0</v>
      </c>
      <c r="T80" s="175">
        <f t="shared" si="30"/>
        <v>6</v>
      </c>
      <c r="U80" s="250">
        <f t="shared" si="31"/>
        <v>0.44029626891651524</v>
      </c>
      <c r="V80" s="382">
        <f t="shared" si="32"/>
        <v>43.905374120356534</v>
      </c>
      <c r="W80" s="401"/>
      <c r="X80" s="157">
        <f t="shared" si="33"/>
        <v>44262</v>
      </c>
      <c r="Y80" s="384">
        <f t="shared" si="34"/>
        <v>10.271000000000001</v>
      </c>
      <c r="Z80" s="384">
        <f t="shared" si="35"/>
        <v>10.501205185584572</v>
      </c>
      <c r="AA80" s="385">
        <f t="shared" si="36"/>
        <v>11.006664739563464</v>
      </c>
      <c r="AB80" s="196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4.5923044440702991E-2</v>
      </c>
      <c r="AD80" s="230">
        <f>(INDEX(Models!$BJ80:$BT80,,AH80)*(1-AF80)+INDEX(Models!$BJ80:$BT80,,AH80+1)*AF80-ERP_i)*AE80*Ramure*Pc/MaxiM</f>
        <v>1.6870091580120053E-4</v>
      </c>
      <c r="AE80" s="304">
        <f t="shared" si="38"/>
        <v>0.5</v>
      </c>
      <c r="AF80" s="176">
        <f t="shared" si="39"/>
        <v>0.44029626891651524</v>
      </c>
      <c r="AG80" s="814">
        <f t="shared" ref="AG80:AG143" si="47">INDEX(Echel_vg,AH80)</f>
        <v>0</v>
      </c>
      <c r="AH80" s="175">
        <f t="shared" si="40"/>
        <v>6</v>
      </c>
      <c r="AI80" s="224">
        <f t="shared" si="41"/>
        <v>0.44029626891651524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16">
        <v>23.283999999999999</v>
      </c>
      <c r="C81" s="389"/>
      <c r="D81" s="392">
        <f t="shared" si="24"/>
        <v>23.806388575242622</v>
      </c>
      <c r="E81" s="384">
        <f t="shared" si="45"/>
        <v>24.95295567176024</v>
      </c>
      <c r="F81" s="384">
        <f t="shared" si="25"/>
        <v>24.954308797775941</v>
      </c>
      <c r="G81" s="110">
        <f t="shared" si="46"/>
        <v>0.52649398743208431</v>
      </c>
      <c r="H81" s="413" t="b">
        <f>Wh_hp&gt;='2020'!Maxi_hp</f>
        <v>0</v>
      </c>
      <c r="I81" s="379">
        <f>IF(H81,Wh_hp,'2020'!Maxi_hp)</f>
        <v>32.630641543370331</v>
      </c>
      <c r="J81" s="85">
        <f>IF(H81,An,'2020'!An_max)</f>
        <v>2020</v>
      </c>
      <c r="K81" s="196">
        <f t="shared" si="26"/>
        <v>44263</v>
      </c>
      <c r="L81" s="147">
        <f>IF(t&lt;Tvie,1-EXP((T0-t)*PertePVj)+'2020'!Pspv,1-EXP((T0-t)*PertePVj)+Pspv)</f>
        <v>2.1943209638520256E-2</v>
      </c>
      <c r="M81" s="847"/>
      <c r="N81" s="847"/>
      <c r="O81" s="48">
        <f>IF(t&lt;Tnet,'2020'!Resal+('2020'!Salim-'2020'!Resal)*(1-EXP(('2020'!Tnet-t)/('2020'!Tau_j))),Resal+(Salim-Resal)*(1-EXP((Tnet-t)/(Tau_j))))*Salcycl</f>
        <v>4.594914973600555E-2</v>
      </c>
      <c r="P81" s="168">
        <f>(INDEX(Models!$BJ81:$BT81,,T81)*(1-R81)+INDEX(Models!$BJ81:$BT81,,T81+1)*R81-ERP_i)*Q81*Ramure*Pc/MaxiM</f>
        <v>1.6754044347730917E-4</v>
      </c>
      <c r="Q81" s="304">
        <f t="shared" si="27"/>
        <v>0.5</v>
      </c>
      <c r="R81" s="176">
        <f t="shared" si="28"/>
        <v>0.44054027081344127</v>
      </c>
      <c r="S81" s="814">
        <f t="shared" si="29"/>
        <v>0</v>
      </c>
      <c r="T81" s="175">
        <f t="shared" si="30"/>
        <v>6</v>
      </c>
      <c r="U81" s="250">
        <f t="shared" si="31"/>
        <v>0.44054027081344127</v>
      </c>
      <c r="V81" s="382">
        <f t="shared" si="32"/>
        <v>44.219614954660024</v>
      </c>
      <c r="W81" s="401"/>
      <c r="X81" s="157">
        <f t="shared" si="33"/>
        <v>44263</v>
      </c>
      <c r="Y81" s="384">
        <f t="shared" si="34"/>
        <v>23.283999999999999</v>
      </c>
      <c r="Z81" s="384">
        <f t="shared" si="35"/>
        <v>23.806388575242622</v>
      </c>
      <c r="AA81" s="385">
        <f t="shared" si="36"/>
        <v>24.95295567176024</v>
      </c>
      <c r="AB81" s="196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4.594914973600555E-2</v>
      </c>
      <c r="AD81" s="230">
        <f>(INDEX(Models!$BJ81:$BT81,,AH81)*(1-AF81)+INDEX(Models!$BJ81:$BT81,,AH81+1)*AF81-ERP_i)*AE81*Ramure*Pc/MaxiM</f>
        <v>1.6754044347730917E-4</v>
      </c>
      <c r="AE81" s="304">
        <f t="shared" si="38"/>
        <v>0.5</v>
      </c>
      <c r="AF81" s="176">
        <f t="shared" si="39"/>
        <v>0.44054027081344127</v>
      </c>
      <c r="AG81" s="814">
        <f t="shared" si="47"/>
        <v>0</v>
      </c>
      <c r="AH81" s="175">
        <f t="shared" si="40"/>
        <v>6</v>
      </c>
      <c r="AI81" s="224">
        <f t="shared" si="41"/>
        <v>0.44054027081344127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16">
        <v>41.762</v>
      </c>
      <c r="C82" s="389"/>
      <c r="D82" s="392">
        <f t="shared" si="24"/>
        <v>42.699887293434983</v>
      </c>
      <c r="E82" s="384">
        <f t="shared" si="45"/>
        <v>44.757632091111063</v>
      </c>
      <c r="F82" s="384">
        <f t="shared" si="25"/>
        <v>44.764426477667158</v>
      </c>
      <c r="G82" s="110">
        <f t="shared" si="46"/>
        <v>0.93775820429258183</v>
      </c>
      <c r="H82" s="413" t="b">
        <f>Wh_hp&gt;='2020'!Maxi_hp</f>
        <v>1</v>
      </c>
      <c r="I82" s="379">
        <f>IF(H82,Wh_hp,'2020'!Maxi_hp)</f>
        <v>44.764426477667158</v>
      </c>
      <c r="J82" s="85">
        <f>IF(H82,An,'2020'!An_max)</f>
        <v>2021</v>
      </c>
      <c r="K82" s="196">
        <f t="shared" si="26"/>
        <v>44264</v>
      </c>
      <c r="L82" s="147">
        <f>IF(t&lt;Tvie,1-EXP((T0-t)*PertePVj)+'2020'!Pspv,1-EXP((T0-t)*PertePVj)+Pspv)</f>
        <v>2.196463159234574E-2</v>
      </c>
      <c r="M82" s="847"/>
      <c r="N82" s="847"/>
      <c r="O82" s="48">
        <f>IF(t&lt;Tnet,'2020'!Resal+('2020'!Salim-'2020'!Resal)*(1-EXP(('2020'!Tnet-t)/('2020'!Tau_j))),Resal+(Salim-Resal)*(1-EXP((Tnet-t)/(Tau_j))))*Salcycl</f>
        <v>4.5975282907889908E-2</v>
      </c>
      <c r="P82" s="168">
        <f>(INDEX(Models!$BJ82:$BT82,,T82)*(1-R82)+INDEX(Models!$BJ82:$BT82,,T82+1)*R82-ERP_i)*Q82*Ramure*Pc/MaxiM</f>
        <v>1.6659031690614362E-4</v>
      </c>
      <c r="Q82" s="304">
        <f t="shared" si="27"/>
        <v>0.5</v>
      </c>
      <c r="R82" s="176">
        <f t="shared" si="28"/>
        <v>0.44079407944239346</v>
      </c>
      <c r="S82" s="814">
        <f t="shared" si="29"/>
        <v>0</v>
      </c>
      <c r="T82" s="175">
        <f t="shared" si="30"/>
        <v>6</v>
      </c>
      <c r="U82" s="250">
        <f t="shared" si="31"/>
        <v>0.44079407944239346</v>
      </c>
      <c r="V82" s="382">
        <f t="shared" si="32"/>
        <v>44.53320828929192</v>
      </c>
      <c r="W82" s="401"/>
      <c r="X82" s="157">
        <f t="shared" si="33"/>
        <v>44264</v>
      </c>
      <c r="Y82" s="384">
        <f t="shared" si="34"/>
        <v>41.762</v>
      </c>
      <c r="Z82" s="384">
        <f t="shared" si="35"/>
        <v>42.699887293434983</v>
      </c>
      <c r="AA82" s="385">
        <f t="shared" si="36"/>
        <v>44.757632091111063</v>
      </c>
      <c r="AB82" s="196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4.5975282907889908E-2</v>
      </c>
      <c r="AD82" s="230">
        <f>(INDEX(Models!$BJ82:$BT82,,AH82)*(1-AF82)+INDEX(Models!$BJ82:$BT82,,AH82+1)*AF82-ERP_i)*AE82*Ramure*Pc/MaxiM</f>
        <v>1.6659031690614362E-4</v>
      </c>
      <c r="AE82" s="304">
        <f t="shared" si="38"/>
        <v>0.5</v>
      </c>
      <c r="AF82" s="176">
        <f t="shared" si="39"/>
        <v>0.44079407944239346</v>
      </c>
      <c r="AG82" s="814">
        <f t="shared" si="47"/>
        <v>0</v>
      </c>
      <c r="AH82" s="175">
        <f t="shared" si="40"/>
        <v>6</v>
      </c>
      <c r="AI82" s="224">
        <f t="shared" si="41"/>
        <v>0.44079407944239346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44265</v>
      </c>
      <c r="B83" s="616">
        <v>42.216000000000001</v>
      </c>
      <c r="C83" s="389"/>
      <c r="D83" s="392">
        <f t="shared" si="24"/>
        <v>43.165028610090623</v>
      </c>
      <c r="E83" s="384">
        <f t="shared" si="45"/>
        <v>45.246430259888356</v>
      </c>
      <c r="F83" s="384">
        <f t="shared" si="25"/>
        <v>45.253306652586467</v>
      </c>
      <c r="G83" s="110">
        <f t="shared" si="46"/>
        <v>0.94134279695262979</v>
      </c>
      <c r="H83" s="413" t="b">
        <f>Wh_hp&gt;='2020'!Maxi_hp</f>
        <v>1</v>
      </c>
      <c r="I83" s="379">
        <f>IF(H83,Wh_hp,'2020'!Maxi_hp)</f>
        <v>45.253306652586467</v>
      </c>
      <c r="J83" s="85">
        <f>IF(H83,An,'2020'!An_max)</f>
        <v>2021</v>
      </c>
      <c r="K83" s="196">
        <f t="shared" si="26"/>
        <v>44265</v>
      </c>
      <c r="L83" s="147">
        <f>IF(t&lt;Tvie,1-EXP((T0-t)*PertePVj)+'2020'!Pspv,1-EXP((T0-t)*PertePVj)+Pspv)</f>
        <v>2.1986053076975542E-2</v>
      </c>
      <c r="M83" s="847"/>
      <c r="N83" s="847"/>
      <c r="O83" s="48">
        <f>IF(t&lt;Tnet,'2020'!Resal+('2020'!Salim-'2020'!Resal)*(1-EXP(('2020'!Tnet-t)/('2020'!Tau_j))),Resal+(Salim-Resal)*(1-EXP((Tnet-t)/(Tau_j))))*Salcycl</f>
        <v>4.6001455536768196E-2</v>
      </c>
      <c r="P83" s="168">
        <f>(INDEX(Models!$BJ83:$BT83,,T83)*(1-R83)+INDEX(Models!$BJ83:$BT83,,T83+1)*R83-ERP_i)*Q83*Ramure*Pc/MaxiM</f>
        <v>1.6584764625837437E-4</v>
      </c>
      <c r="Q83" s="304">
        <f t="shared" si="27"/>
        <v>0.5</v>
      </c>
      <c r="R83" s="176">
        <f t="shared" si="28"/>
        <v>0.44105807061719549</v>
      </c>
      <c r="S83" s="814">
        <f t="shared" si="29"/>
        <v>0</v>
      </c>
      <c r="T83" s="175">
        <f t="shared" si="30"/>
        <v>6</v>
      </c>
      <c r="U83" s="250">
        <f t="shared" si="31"/>
        <v>0.44105807061719549</v>
      </c>
      <c r="V83" s="382">
        <f t="shared" si="32"/>
        <v>44.845951429154411</v>
      </c>
      <c r="W83" s="401"/>
      <c r="X83" s="157">
        <f t="shared" si="33"/>
        <v>44265</v>
      </c>
      <c r="Y83" s="384">
        <f t="shared" si="34"/>
        <v>42.216000000000001</v>
      </c>
      <c r="Z83" s="384">
        <f t="shared" si="35"/>
        <v>43.165028610090623</v>
      </c>
      <c r="AA83" s="385">
        <f t="shared" si="36"/>
        <v>45.246430259888356</v>
      </c>
      <c r="AB83" s="196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4.6001455536768196E-2</v>
      </c>
      <c r="AD83" s="230">
        <f>(INDEX(Models!$BJ83:$BT83,,AH83)*(1-AF83)+INDEX(Models!$BJ83:$BT83,,AH83+1)*AF83-ERP_i)*AE83*Ramure*Pc/MaxiM</f>
        <v>1.6584764625837437E-4</v>
      </c>
      <c r="AE83" s="304">
        <f t="shared" si="38"/>
        <v>0.5</v>
      </c>
      <c r="AF83" s="176">
        <f t="shared" si="39"/>
        <v>0.44105807061719549</v>
      </c>
      <c r="AG83" s="814">
        <f t="shared" si="47"/>
        <v>0</v>
      </c>
      <c r="AH83" s="175">
        <f t="shared" si="40"/>
        <v>6</v>
      </c>
      <c r="AI83" s="224">
        <f t="shared" si="41"/>
        <v>0.44105807061719549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44266</v>
      </c>
      <c r="B84" s="616">
        <v>33.368000000000002</v>
      </c>
      <c r="C84" s="389"/>
      <c r="D84" s="392">
        <f t="shared" si="24"/>
        <v>34.118870150908762</v>
      </c>
      <c r="E84" s="384">
        <f t="shared" si="45"/>
        <v>35.76505254441367</v>
      </c>
      <c r="F84" s="384">
        <f t="shared" si="25"/>
        <v>35.768760137724279</v>
      </c>
      <c r="G84" s="110">
        <f t="shared" si="46"/>
        <v>0.73887699285391584</v>
      </c>
      <c r="H84" s="413" t="b">
        <f>Wh_hp&gt;='2020'!Maxi_hp</f>
        <v>1</v>
      </c>
      <c r="I84" s="379">
        <f>IF(H84,Wh_hp,'2020'!Maxi_hp)</f>
        <v>35.768760137724279</v>
      </c>
      <c r="J84" s="85">
        <f>IF(H84,An,'2020'!An_max)</f>
        <v>2021</v>
      </c>
      <c r="K84" s="196">
        <f t="shared" si="26"/>
        <v>44266</v>
      </c>
      <c r="L84" s="147">
        <f>IF(t&lt;Tvie,1-EXP((T0-t)*PertePVj)+'2020'!Pspv,1-EXP((T0-t)*PertePVj)+Pspv)</f>
        <v>2.2007474092419765E-2</v>
      </c>
      <c r="M84" s="847"/>
      <c r="N84" s="847"/>
      <c r="O84" s="48">
        <f>IF(t&lt;Tnet,'2020'!Resal+('2020'!Salim-'2020'!Resal)*(1-EXP(('2020'!Tnet-t)/('2020'!Tau_j))),Resal+(Salim-Resal)*(1-EXP((Tnet-t)/(Tau_j))))*Salcycl</f>
        <v>4.6027679994616259E-2</v>
      </c>
      <c r="P84" s="168">
        <f>(INDEX(Models!$BJ84:$BT84,,T84)*(1-R84)+INDEX(Models!$BJ84:$BT84,,T84+1)*R84-ERP_i)*Q84*Ramure*Pc/MaxiM</f>
        <v>1.6530970238863151E-4</v>
      </c>
      <c r="Q84" s="304">
        <f t="shared" si="27"/>
        <v>0.5</v>
      </c>
      <c r="R84" s="176">
        <f t="shared" si="28"/>
        <v>0.44133263302179443</v>
      </c>
      <c r="S84" s="814">
        <f t="shared" si="29"/>
        <v>0</v>
      </c>
      <c r="T84" s="175">
        <f t="shared" si="30"/>
        <v>6</v>
      </c>
      <c r="U84" s="250">
        <f t="shared" si="31"/>
        <v>0.44133263302179443</v>
      </c>
      <c r="V84" s="382">
        <f t="shared" si="32"/>
        <v>45.157641662920824</v>
      </c>
      <c r="W84" s="401"/>
      <c r="X84" s="157">
        <f t="shared" si="33"/>
        <v>44266</v>
      </c>
      <c r="Y84" s="384">
        <f t="shared" si="34"/>
        <v>33.368000000000002</v>
      </c>
      <c r="Z84" s="384">
        <f t="shared" si="35"/>
        <v>34.118870150908762</v>
      </c>
      <c r="AA84" s="385">
        <f t="shared" si="36"/>
        <v>35.76505254441367</v>
      </c>
      <c r="AB84" s="196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4.6027679994616259E-2</v>
      </c>
      <c r="AD84" s="230">
        <f>(INDEX(Models!$BJ84:$BT84,,AH84)*(1-AF84)+INDEX(Models!$BJ84:$BT84,,AH84+1)*AF84-ERP_i)*AE84*Ramure*Pc/MaxiM</f>
        <v>1.6530970238863151E-4</v>
      </c>
      <c r="AE84" s="304">
        <f t="shared" si="38"/>
        <v>0.5</v>
      </c>
      <c r="AF84" s="176">
        <f t="shared" si="39"/>
        <v>0.44133263302179443</v>
      </c>
      <c r="AG84" s="814">
        <f t="shared" si="47"/>
        <v>0</v>
      </c>
      <c r="AH84" s="175">
        <f t="shared" si="40"/>
        <v>6</v>
      </c>
      <c r="AI84" s="224">
        <f t="shared" si="41"/>
        <v>0.44133263302179443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44267</v>
      </c>
      <c r="B85" s="616">
        <v>27.564</v>
      </c>
      <c r="C85" s="389"/>
      <c r="D85" s="392">
        <f t="shared" si="24"/>
        <v>28.184881791386346</v>
      </c>
      <c r="E85" s="384">
        <f t="shared" si="45"/>
        <v>29.545572692261967</v>
      </c>
      <c r="F85" s="384">
        <f t="shared" si="25"/>
        <v>29.547705173747218</v>
      </c>
      <c r="G85" s="110">
        <f t="shared" si="46"/>
        <v>0.606171275637861</v>
      </c>
      <c r="H85" s="413" t="b">
        <f>Wh_hp&gt;='2020'!Maxi_hp</f>
        <v>0</v>
      </c>
      <c r="I85" s="379">
        <f>IF(H85,Wh_hp,'2020'!Maxi_hp)</f>
        <v>43.865300261572678</v>
      </c>
      <c r="J85" s="85">
        <f>IF(H85,An,'2020'!An_max)</f>
        <v>2020</v>
      </c>
      <c r="K85" s="196">
        <f t="shared" si="26"/>
        <v>44267</v>
      </c>
      <c r="L85" s="147">
        <f>IF(t&lt;Tvie,1-EXP((T0-t)*PertePVj)+'2020'!Pspv,1-EXP((T0-t)*PertePVj)+Pspv)</f>
        <v>2.2028894638688734E-2</v>
      </c>
      <c r="M85" s="847"/>
      <c r="N85" s="847"/>
      <c r="O85" s="48">
        <f>IF(t&lt;Tnet,'2020'!Resal+('2020'!Salim-'2020'!Resal)*(1-EXP(('2020'!Tnet-t)/('2020'!Tau_j))),Resal+(Salim-Resal)*(1-EXP((Tnet-t)/(Tau_j))))*Salcycl</f>
        <v>4.605396940679328E-2</v>
      </c>
      <c r="P85" s="168">
        <f>(INDEX(Models!$BJ85:$BT85,,T85)*(1-R85)+INDEX(Models!$BJ85:$BT85,,T85+1)*R85-ERP_i)*Q85*Ramure*Pc/MaxiM</f>
        <v>1.6497392509070099E-4</v>
      </c>
      <c r="Q85" s="304">
        <f t="shared" si="27"/>
        <v>0.5</v>
      </c>
      <c r="R85" s="176">
        <f t="shared" si="28"/>
        <v>0.44161816852140756</v>
      </c>
      <c r="S85" s="814">
        <f t="shared" si="29"/>
        <v>0</v>
      </c>
      <c r="T85" s="175">
        <f t="shared" si="30"/>
        <v>6</v>
      </c>
      <c r="U85" s="250">
        <f t="shared" si="31"/>
        <v>0.44161816852140756</v>
      </c>
      <c r="V85" s="382">
        <f t="shared" si="32"/>
        <v>45.468076264413376</v>
      </c>
      <c r="W85" s="401"/>
      <c r="X85" s="157">
        <f t="shared" si="33"/>
        <v>44267</v>
      </c>
      <c r="Y85" s="384">
        <f t="shared" si="34"/>
        <v>27.564</v>
      </c>
      <c r="Z85" s="384">
        <f t="shared" si="35"/>
        <v>28.184881791386346</v>
      </c>
      <c r="AA85" s="385">
        <f t="shared" si="36"/>
        <v>29.545572692261967</v>
      </c>
      <c r="AB85" s="196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4.605396940679328E-2</v>
      </c>
      <c r="AD85" s="230">
        <f>(INDEX(Models!$BJ85:$BT85,,AH85)*(1-AF85)+INDEX(Models!$BJ85:$BT85,,AH85+1)*AF85-ERP_i)*AE85*Ramure*Pc/MaxiM</f>
        <v>1.6497392509070099E-4</v>
      </c>
      <c r="AE85" s="304">
        <f t="shared" si="38"/>
        <v>0.5</v>
      </c>
      <c r="AF85" s="176">
        <f t="shared" si="39"/>
        <v>0.44161816852140756</v>
      </c>
      <c r="AG85" s="814">
        <f t="shared" si="47"/>
        <v>0</v>
      </c>
      <c r="AH85" s="175">
        <f t="shared" si="40"/>
        <v>6</v>
      </c>
      <c r="AI85" s="224">
        <f t="shared" si="41"/>
        <v>0.44161816852140756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44268</v>
      </c>
      <c r="B86" s="616">
        <v>42.611000000000004</v>
      </c>
      <c r="C86" s="389"/>
      <c r="D86" s="392">
        <f t="shared" si="24"/>
        <v>43.571771269210643</v>
      </c>
      <c r="E86" s="384">
        <f t="shared" si="45"/>
        <v>45.676562699259968</v>
      </c>
      <c r="F86" s="384">
        <f t="shared" si="25"/>
        <v>45.683346556341533</v>
      </c>
      <c r="G86" s="110">
        <f t="shared" si="46"/>
        <v>0.93082235069787056</v>
      </c>
      <c r="H86" s="413" t="b">
        <f>Wh_hp&gt;='2020'!Maxi_hp</f>
        <v>1</v>
      </c>
      <c r="I86" s="379">
        <f>IF(H86,Wh_hp,'2020'!Maxi_hp)</f>
        <v>45.683346556341533</v>
      </c>
      <c r="J86" s="85">
        <f>IF(H86,An,'2020'!An_max)</f>
        <v>2021</v>
      </c>
      <c r="K86" s="196">
        <f t="shared" si="26"/>
        <v>44268</v>
      </c>
      <c r="L86" s="147">
        <f>IF(t&lt;Tvie,1-EXP((T0-t)*PertePVj)+'2020'!Pspv,1-EXP((T0-t)*PertePVj)+Pspv)</f>
        <v>2.2050314715792885E-2</v>
      </c>
      <c r="M86" s="847"/>
      <c r="N86" s="847"/>
      <c r="O86" s="48">
        <f>IF(t&lt;Tnet,'2020'!Resal+('2020'!Salim-'2020'!Resal)*(1-EXP(('2020'!Tnet-t)/('2020'!Tau_j))),Resal+(Salim-Resal)*(1-EXP((Tnet-t)/(Tau_j))))*Salcycl</f>
        <v>4.6080337610067731E-2</v>
      </c>
      <c r="P86" s="168">
        <f>(INDEX(Models!$BJ86:$BT86,,T86)*(1-R86)+INDEX(Models!$BJ86:$BT86,,T86+1)*R86-ERP_i)*Q86*Ramure*Pc/MaxiM</f>
        <v>1.647780320788549E-4</v>
      </c>
      <c r="Q86" s="304">
        <f t="shared" si="27"/>
        <v>0.5</v>
      </c>
      <c r="R86" s="176">
        <f t="shared" si="28"/>
        <v>0.44191509246951505</v>
      </c>
      <c r="S86" s="814">
        <f t="shared" si="29"/>
        <v>0</v>
      </c>
      <c r="T86" s="175">
        <f t="shared" si="30"/>
        <v>6</v>
      </c>
      <c r="U86" s="250">
        <f t="shared" si="31"/>
        <v>0.44191509246951505</v>
      </c>
      <c r="V86" s="382">
        <f t="shared" si="32"/>
        <v>45.777055235057354</v>
      </c>
      <c r="W86" s="401"/>
      <c r="X86" s="157">
        <f t="shared" si="33"/>
        <v>44268</v>
      </c>
      <c r="Y86" s="384">
        <f t="shared" si="34"/>
        <v>42.611000000000004</v>
      </c>
      <c r="Z86" s="384">
        <f t="shared" si="35"/>
        <v>43.571771269210643</v>
      </c>
      <c r="AA86" s="385">
        <f t="shared" si="36"/>
        <v>45.676562699259968</v>
      </c>
      <c r="AB86" s="196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4.6080337610067731E-2</v>
      </c>
      <c r="AD86" s="230">
        <f>(INDEX(Models!$BJ86:$BT86,,AH86)*(1-AF86)+INDEX(Models!$BJ86:$BT86,,AH86+1)*AF86-ERP_i)*AE86*Ramure*Pc/MaxiM</f>
        <v>1.647780320788549E-4</v>
      </c>
      <c r="AE86" s="304">
        <f t="shared" si="38"/>
        <v>0.5</v>
      </c>
      <c r="AF86" s="176">
        <f t="shared" si="39"/>
        <v>0.44191509246951505</v>
      </c>
      <c r="AG86" s="814">
        <f t="shared" si="47"/>
        <v>0</v>
      </c>
      <c r="AH86" s="175">
        <f t="shared" si="40"/>
        <v>6</v>
      </c>
      <c r="AI86" s="224">
        <f t="shared" si="41"/>
        <v>0.44191509246951505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44269</v>
      </c>
      <c r="B87" s="616">
        <v>24.942</v>
      </c>
      <c r="C87" s="389"/>
      <c r="D87" s="392">
        <f t="shared" si="24"/>
        <v>25.504938220342869</v>
      </c>
      <c r="E87" s="384">
        <f t="shared" si="45"/>
        <v>26.73772933539513</v>
      </c>
      <c r="F87" s="384">
        <f t="shared" si="25"/>
        <v>26.739246766811718</v>
      </c>
      <c r="G87" s="110">
        <f t="shared" si="46"/>
        <v>0.54116620591391951</v>
      </c>
      <c r="H87" s="413" t="b">
        <f>Wh_hp&gt;='2020'!Maxi_hp</f>
        <v>0</v>
      </c>
      <c r="I87" s="379">
        <f>IF(H87,Wh_hp,'2020'!Maxi_hp)</f>
        <v>40.234319557946243</v>
      </c>
      <c r="J87" s="85">
        <f>IF(H87,An,'2020'!An_max)</f>
        <v>2020</v>
      </c>
      <c r="K87" s="196">
        <f t="shared" si="26"/>
        <v>44269</v>
      </c>
      <c r="L87" s="147">
        <f>IF(t&lt;Tvie,1-EXP((T0-t)*PertePVj)+'2020'!Pspv,1-EXP((T0-t)*PertePVj)+Pspv)</f>
        <v>2.207173432374232E-2</v>
      </c>
      <c r="M87" s="847"/>
      <c r="N87" s="847"/>
      <c r="O87" s="48">
        <f>IF(t&lt;Tnet,'2020'!Resal+('2020'!Salim-'2020'!Resal)*(1-EXP(('2020'!Tnet-t)/('2020'!Tau_j))),Resal+(Salim-Resal)*(1-EXP((Tnet-t)/(Tau_j))))*Salcycl</f>
        <v>4.6106799107293928E-2</v>
      </c>
      <c r="P87" s="168">
        <f>(INDEX(Models!$BJ87:$BT87,,T87)*(1-R87)+INDEX(Models!$BJ87:$BT87,,T87+1)*R87-ERP_i)*Q87*Ramure*Pc/MaxiM</f>
        <v>1.6467827369079198E-4</v>
      </c>
      <c r="Q87" s="304">
        <f t="shared" si="27"/>
        <v>0.5</v>
      </c>
      <c r="R87" s="176">
        <f t="shared" si="28"/>
        <v>0.44222383400933762</v>
      </c>
      <c r="S87" s="814">
        <f t="shared" si="29"/>
        <v>0</v>
      </c>
      <c r="T87" s="175">
        <f t="shared" si="30"/>
        <v>6</v>
      </c>
      <c r="U87" s="250">
        <f t="shared" si="31"/>
        <v>0.44222383400933762</v>
      </c>
      <c r="V87" s="382">
        <f t="shared" si="32"/>
        <v>46.084377790493505</v>
      </c>
      <c r="W87" s="401"/>
      <c r="X87" s="157">
        <f t="shared" si="33"/>
        <v>44269</v>
      </c>
      <c r="Y87" s="384">
        <f t="shared" si="34"/>
        <v>24.942</v>
      </c>
      <c r="Z87" s="384">
        <f t="shared" si="35"/>
        <v>25.504938220342869</v>
      </c>
      <c r="AA87" s="385">
        <f t="shared" si="36"/>
        <v>26.73772933539513</v>
      </c>
      <c r="AB87" s="196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4.6106799107293928E-2</v>
      </c>
      <c r="AD87" s="230">
        <f>(INDEX(Models!$BJ87:$BT87,,AH87)*(1-AF87)+INDEX(Models!$BJ87:$BT87,,AH87+1)*AF87-ERP_i)*AE87*Ramure*Pc/MaxiM</f>
        <v>1.6467827369079198E-4</v>
      </c>
      <c r="AE87" s="304">
        <f t="shared" si="38"/>
        <v>0.5</v>
      </c>
      <c r="AF87" s="176">
        <f t="shared" si="39"/>
        <v>0.44222383400933762</v>
      </c>
      <c r="AG87" s="814">
        <f t="shared" si="47"/>
        <v>0</v>
      </c>
      <c r="AH87" s="175">
        <f t="shared" si="40"/>
        <v>6</v>
      </c>
      <c r="AI87" s="224">
        <f t="shared" si="41"/>
        <v>0.44222383400933762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16">
        <v>16.705000000000002</v>
      </c>
      <c r="C88" s="389"/>
      <c r="D88" s="392">
        <f t="shared" si="24"/>
        <v>17.082404176991535</v>
      </c>
      <c r="E88" s="384">
        <f t="shared" si="45"/>
        <v>17.90858766012888</v>
      </c>
      <c r="F88" s="384">
        <f t="shared" si="25"/>
        <v>17.908840865639345</v>
      </c>
      <c r="G88" s="110">
        <f t="shared" si="46"/>
        <v>0.36004618339660083</v>
      </c>
      <c r="H88" s="413" t="b">
        <f>Wh_hp&gt;='2020'!Maxi_hp</f>
        <v>0</v>
      </c>
      <c r="I88" s="379">
        <f>IF(H88,Wh_hp,'2020'!Maxi_hp)</f>
        <v>34.275990691254492</v>
      </c>
      <c r="J88" s="85">
        <f>IF(H88,An,'2020'!An_max)</f>
        <v>2020</v>
      </c>
      <c r="K88" s="196">
        <f t="shared" si="26"/>
        <v>44270</v>
      </c>
      <c r="L88" s="147">
        <f>IF(t&lt;Tvie,1-EXP((T0-t)*PertePVj)+'2020'!Pspv,1-EXP((T0-t)*PertePVj)+Pspv)</f>
        <v>2.2093153462547366E-2</v>
      </c>
      <c r="M88" s="847"/>
      <c r="N88" s="847"/>
      <c r="O88" s="48">
        <f>IF(t&lt;Tnet,'2020'!Resal+('2020'!Salim-'2020'!Resal)*(1-EXP(('2020'!Tnet-t)/('2020'!Tau_j))),Resal+(Salim-Resal)*(1-EXP((Tnet-t)/(Tau_j))))*Salcycl</f>
        <v>4.6133369019195965E-2</v>
      </c>
      <c r="P88" s="168">
        <f>(INDEX(Models!$BJ88:$BT88,,T88)*(1-R88)+INDEX(Models!$BJ88:$BT88,,T88+1)*R88-ERP_i)*Q88*Ramure*Pc/MaxiM</f>
        <v>1.6467452116401815E-4</v>
      </c>
      <c r="Q88" s="304">
        <f t="shared" si="27"/>
        <v>0.5</v>
      </c>
      <c r="R88" s="176">
        <f t="shared" si="28"/>
        <v>0.44254483636831654</v>
      </c>
      <c r="S88" s="814">
        <f t="shared" si="29"/>
        <v>0</v>
      </c>
      <c r="T88" s="175">
        <f t="shared" si="30"/>
        <v>6</v>
      </c>
      <c r="U88" s="250">
        <f t="shared" si="31"/>
        <v>0.44254483636831654</v>
      </c>
      <c r="V88" s="382">
        <f t="shared" si="32"/>
        <v>46.389841169585708</v>
      </c>
      <c r="W88" s="401"/>
      <c r="X88" s="157">
        <f t="shared" si="33"/>
        <v>44270</v>
      </c>
      <c r="Y88" s="384">
        <f t="shared" si="34"/>
        <v>16.705000000000002</v>
      </c>
      <c r="Z88" s="384">
        <f t="shared" si="35"/>
        <v>17.082404176991535</v>
      </c>
      <c r="AA88" s="385">
        <f t="shared" si="36"/>
        <v>17.90858766012888</v>
      </c>
      <c r="AB88" s="196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4.6133369019195965E-2</v>
      </c>
      <c r="AD88" s="230">
        <f>(INDEX(Models!$BJ88:$BT88,,AH88)*(1-AF88)+INDEX(Models!$BJ88:$BT88,,AH88+1)*AF88-ERP_i)*AE88*Ramure*Pc/MaxiM</f>
        <v>1.6467452116401815E-4</v>
      </c>
      <c r="AE88" s="304">
        <f t="shared" si="38"/>
        <v>0.5</v>
      </c>
      <c r="AF88" s="176">
        <f t="shared" si="39"/>
        <v>0.44254483636831654</v>
      </c>
      <c r="AG88" s="814">
        <f t="shared" si="47"/>
        <v>0</v>
      </c>
      <c r="AH88" s="175">
        <f t="shared" si="40"/>
        <v>6</v>
      </c>
      <c r="AI88" s="224">
        <f t="shared" si="41"/>
        <v>0.44254483636831654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44271</v>
      </c>
      <c r="B89" s="616">
        <v>33.1</v>
      </c>
      <c r="C89" s="389"/>
      <c r="D89" s="392">
        <f t="shared" si="24"/>
        <v>33.848546114622536</v>
      </c>
      <c r="E89" s="384">
        <f t="shared" si="45"/>
        <v>35.48661028209731</v>
      </c>
      <c r="F89" s="384">
        <f t="shared" si="25"/>
        <v>35.490025951656726</v>
      </c>
      <c r="G89" s="110">
        <f t="shared" si="46"/>
        <v>0.70883343721990977</v>
      </c>
      <c r="H89" s="413" t="b">
        <f>Wh_hp&gt;='2020'!Maxi_hp</f>
        <v>0</v>
      </c>
      <c r="I89" s="379">
        <f>IF(H89,Wh_hp,'2020'!Maxi_hp)</f>
        <v>51.528895224299958</v>
      </c>
      <c r="J89" s="85">
        <f>IF(H89,An,'2020'!An_max)</f>
        <v>2020</v>
      </c>
      <c r="K89" s="196">
        <f t="shared" si="26"/>
        <v>44271</v>
      </c>
      <c r="L89" s="147">
        <f>IF(t&lt;Tvie,1-EXP((T0-t)*PertePVj)+'2020'!Pspv,1-EXP((T0-t)*PertePVj)+Pspv)</f>
        <v>2.2114572132218235E-2</v>
      </c>
      <c r="M89" s="847"/>
      <c r="N89" s="847"/>
      <c r="O89" s="48">
        <f>IF(t&lt;Tnet,'2020'!Resal+('2020'!Salim-'2020'!Resal)*(1-EXP(('2020'!Tnet-t)/('2020'!Tau_j))),Resal+(Salim-Resal)*(1-EXP((Tnet-t)/(Tau_j))))*Salcycl</f>
        <v>4.6160063033722852E-2</v>
      </c>
      <c r="P89" s="168">
        <f>(INDEX(Models!$BJ89:$BT89,,T89)*(1-R89)+INDEX(Models!$BJ89:$BT89,,T89+1)*R89-ERP_i)*Q89*Ramure*Pc/MaxiM</f>
        <v>1.6476674491329286E-4</v>
      </c>
      <c r="Q89" s="304">
        <f t="shared" si="27"/>
        <v>0.5</v>
      </c>
      <c r="R89" s="176">
        <f t="shared" si="28"/>
        <v>0.44287855714397972</v>
      </c>
      <c r="S89" s="814">
        <f t="shared" si="29"/>
        <v>0</v>
      </c>
      <c r="T89" s="175">
        <f t="shared" si="30"/>
        <v>6</v>
      </c>
      <c r="U89" s="250">
        <f t="shared" si="31"/>
        <v>0.44287855714397972</v>
      </c>
      <c r="V89" s="382">
        <f t="shared" si="32"/>
        <v>46.693242602002435</v>
      </c>
      <c r="W89" s="401"/>
      <c r="X89" s="157">
        <f t="shared" si="33"/>
        <v>44271</v>
      </c>
      <c r="Y89" s="384">
        <f t="shared" si="34"/>
        <v>33.1</v>
      </c>
      <c r="Z89" s="384">
        <f t="shared" si="35"/>
        <v>33.848546114622536</v>
      </c>
      <c r="AA89" s="385">
        <f t="shared" si="36"/>
        <v>35.48661028209731</v>
      </c>
      <c r="AB89" s="196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4.6160063033722852E-2</v>
      </c>
      <c r="AD89" s="230">
        <f>(INDEX(Models!$BJ89:$BT89,,AH89)*(1-AF89)+INDEX(Models!$BJ89:$BT89,,AH89+1)*AF89-ERP_i)*AE89*Ramure*Pc/MaxiM</f>
        <v>1.6476674491329286E-4</v>
      </c>
      <c r="AE89" s="304">
        <f t="shared" si="38"/>
        <v>0.5</v>
      </c>
      <c r="AF89" s="176">
        <f t="shared" si="39"/>
        <v>0.44287855714397972</v>
      </c>
      <c r="AG89" s="814">
        <f t="shared" si="47"/>
        <v>0</v>
      </c>
      <c r="AH89" s="175">
        <f t="shared" si="40"/>
        <v>6</v>
      </c>
      <c r="AI89" s="224">
        <f t="shared" si="41"/>
        <v>0.44287855714397972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44272</v>
      </c>
      <c r="B90" s="616">
        <v>24.01</v>
      </c>
      <c r="C90" s="389"/>
      <c r="D90" s="392">
        <f t="shared" si="24"/>
        <v>24.553516401703508</v>
      </c>
      <c r="E90" s="384">
        <f t="shared" si="45"/>
        <v>25.742481764587275</v>
      </c>
      <c r="F90" s="384">
        <f t="shared" si="25"/>
        <v>25.74376126702278</v>
      </c>
      <c r="G90" s="110">
        <f t="shared" si="46"/>
        <v>0.51085327600849906</v>
      </c>
      <c r="H90" s="413" t="b">
        <f>Wh_hp&gt;='2020'!Maxi_hp</f>
        <v>1</v>
      </c>
      <c r="I90" s="379">
        <f>IF(H90,Wh_hp,'2020'!Maxi_hp)</f>
        <v>25.74376126702278</v>
      </c>
      <c r="J90" s="85">
        <f>IF(H90,An,'2020'!An_max)</f>
        <v>2021</v>
      </c>
      <c r="K90" s="196">
        <f t="shared" si="26"/>
        <v>44272</v>
      </c>
      <c r="L90" s="147">
        <f>IF(t&lt;Tvie,1-EXP((T0-t)*PertePVj)+'2020'!Pspv,1-EXP((T0-t)*PertePVj)+Pspv)</f>
        <v>2.2135990332765365E-2</v>
      </c>
      <c r="M90" s="847"/>
      <c r="N90" s="847"/>
      <c r="O90" s="48">
        <f>IF(t&lt;Tnet,'2020'!Resal+('2020'!Salim-'2020'!Resal)*(1-EXP(('2020'!Tnet-t)/('2020'!Tau_j))),Resal+(Salim-Resal)*(1-EXP((Tnet-t)/(Tau_j))))*Salcycl</f>
        <v>4.6186897353438998E-2</v>
      </c>
      <c r="P90" s="168">
        <f>(INDEX(Models!$BJ90:$BT90,,T90)*(1-R90)+INDEX(Models!$BJ90:$BT90,,T90+1)*R90-ERP_i)*Q90*Ramure*Pc/MaxiM</f>
        <v>1.6495501786735795E-4</v>
      </c>
      <c r="Q90" s="304">
        <f t="shared" si="27"/>
        <v>0.5</v>
      </c>
      <c r="R90" s="176">
        <f t="shared" si="28"/>
        <v>0.44322546857943829</v>
      </c>
      <c r="S90" s="814">
        <f t="shared" si="29"/>
        <v>0</v>
      </c>
      <c r="T90" s="175">
        <f t="shared" si="30"/>
        <v>6</v>
      </c>
      <c r="U90" s="250">
        <f t="shared" si="31"/>
        <v>0.44322546857943829</v>
      </c>
      <c r="V90" s="382">
        <f t="shared" si="32"/>
        <v>46.994379309909711</v>
      </c>
      <c r="W90" s="401"/>
      <c r="X90" s="157">
        <f t="shared" si="33"/>
        <v>44272</v>
      </c>
      <c r="Y90" s="384">
        <f t="shared" si="34"/>
        <v>24.01</v>
      </c>
      <c r="Z90" s="384">
        <f t="shared" si="35"/>
        <v>24.553516401703508</v>
      </c>
      <c r="AA90" s="385">
        <f t="shared" si="36"/>
        <v>25.742481764587275</v>
      </c>
      <c r="AB90" s="196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4.6186897353438998E-2</v>
      </c>
      <c r="AD90" s="230">
        <f>(INDEX(Models!$BJ90:$BT90,,AH90)*(1-AF90)+INDEX(Models!$BJ90:$BT90,,AH90+1)*AF90-ERP_i)*AE90*Ramure*Pc/MaxiM</f>
        <v>1.6495501786735795E-4</v>
      </c>
      <c r="AE90" s="304">
        <f t="shared" si="38"/>
        <v>0.5</v>
      </c>
      <c r="AF90" s="176">
        <f t="shared" si="39"/>
        <v>0.44322546857943829</v>
      </c>
      <c r="AG90" s="814">
        <f t="shared" si="47"/>
        <v>0</v>
      </c>
      <c r="AH90" s="175">
        <f t="shared" si="40"/>
        <v>6</v>
      </c>
      <c r="AI90" s="224">
        <f t="shared" si="41"/>
        <v>0.44322546857943829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44273</v>
      </c>
      <c r="B91" s="616">
        <v>19.977</v>
      </c>
      <c r="C91" s="389"/>
      <c r="D91" s="392">
        <f t="shared" si="24"/>
        <v>20.429668501606404</v>
      </c>
      <c r="E91" s="384">
        <f t="shared" si="45"/>
        <v>21.41954916129572</v>
      </c>
      <c r="F91" s="384">
        <f t="shared" si="25"/>
        <v>21.42016810536612</v>
      </c>
      <c r="G91" s="110">
        <f t="shared" si="46"/>
        <v>0.42235120812659221</v>
      </c>
      <c r="H91" s="413" t="b">
        <f>Wh_hp&gt;='2020'!Maxi_hp</f>
        <v>0</v>
      </c>
      <c r="I91" s="379">
        <f>IF(H91,Wh_hp,'2020'!Maxi_hp)</f>
        <v>31.959695723000372</v>
      </c>
      <c r="J91" s="85">
        <f>IF(H91,An,'2020'!An_max)</f>
        <v>2019</v>
      </c>
      <c r="K91" s="196">
        <f t="shared" si="26"/>
        <v>44273</v>
      </c>
      <c r="L91" s="147">
        <f>IF(t&lt;Tvie,1-EXP((T0-t)*PertePVj)+'2020'!Pspv,1-EXP((T0-t)*PertePVj)+Pspv)</f>
        <v>2.2157408064198858E-2</v>
      </c>
      <c r="M91" s="847"/>
      <c r="N91" s="847"/>
      <c r="O91" s="48">
        <f>IF(t&lt;Tnet,'2020'!Resal+('2020'!Salim-'2020'!Resal)*(1-EXP(('2020'!Tnet-t)/('2020'!Tau_j))),Resal+(Salim-Resal)*(1-EXP((Tnet-t)/(Tau_j))))*Salcycl</f>
        <v>4.621388864140942E-2</v>
      </c>
      <c r="P91" s="168">
        <f>(INDEX(Models!$BJ91:$BT91,,T91)*(1-R91)+INDEX(Models!$BJ91:$BT91,,T91+1)*R91-ERP_i)*Q91*Ramure*Pc/MaxiM</f>
        <v>1.6523951880658181E-4</v>
      </c>
      <c r="Q91" s="304">
        <f t="shared" si="27"/>
        <v>0.5</v>
      </c>
      <c r="R91" s="176">
        <f t="shared" si="28"/>
        <v>0.44358605782661353</v>
      </c>
      <c r="S91" s="814">
        <f t="shared" si="29"/>
        <v>0</v>
      </c>
      <c r="T91" s="175">
        <f t="shared" si="30"/>
        <v>6</v>
      </c>
      <c r="U91" s="250">
        <f t="shared" si="31"/>
        <v>0.44358605782661353</v>
      </c>
      <c r="V91" s="382">
        <f t="shared" si="32"/>
        <v>47.293048510962919</v>
      </c>
      <c r="W91" s="401"/>
      <c r="X91" s="157">
        <f t="shared" si="33"/>
        <v>44273</v>
      </c>
      <c r="Y91" s="384">
        <f t="shared" si="34"/>
        <v>19.977</v>
      </c>
      <c r="Z91" s="384">
        <f t="shared" si="35"/>
        <v>20.429668501606404</v>
      </c>
      <c r="AA91" s="385">
        <f t="shared" si="36"/>
        <v>21.41954916129572</v>
      </c>
      <c r="AB91" s="196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4.621388864140942E-2</v>
      </c>
      <c r="AD91" s="230">
        <f>(INDEX(Models!$BJ91:$BT91,,AH91)*(1-AF91)+INDEX(Models!$BJ91:$BT91,,AH91+1)*AF91-ERP_i)*AE91*Ramure*Pc/MaxiM</f>
        <v>1.6523951880658181E-4</v>
      </c>
      <c r="AE91" s="304">
        <f t="shared" si="38"/>
        <v>0.5</v>
      </c>
      <c r="AF91" s="176">
        <f t="shared" si="39"/>
        <v>0.44358605782661353</v>
      </c>
      <c r="AG91" s="814">
        <f t="shared" si="47"/>
        <v>0</v>
      </c>
      <c r="AH91" s="175">
        <f t="shared" si="40"/>
        <v>6</v>
      </c>
      <c r="AI91" s="224">
        <f t="shared" si="41"/>
        <v>0.44358605782661353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44274</v>
      </c>
      <c r="B92" s="616">
        <v>11.512</v>
      </c>
      <c r="C92" s="389"/>
      <c r="D92" s="392">
        <f t="shared" si="24"/>
        <v>11.773113835302519</v>
      </c>
      <c r="E92" s="384">
        <f t="shared" si="45"/>
        <v>12.34390920709976</v>
      </c>
      <c r="F92" s="384">
        <f t="shared" si="25"/>
        <v>12.34390920709976</v>
      </c>
      <c r="G92" s="110">
        <f t="shared" si="46"/>
        <v>0.24186433644645111</v>
      </c>
      <c r="H92" s="413" t="b">
        <f>Wh_hp&gt;='2020'!Maxi_hp</f>
        <v>0</v>
      </c>
      <c r="I92" s="379">
        <f>IF(H92,Wh_hp,'2020'!Maxi_hp)</f>
        <v>46.728461228850939</v>
      </c>
      <c r="J92" s="85">
        <f>IF(H92,An,'2020'!An_max)</f>
        <v>2020</v>
      </c>
      <c r="K92" s="196">
        <f t="shared" si="26"/>
        <v>44274</v>
      </c>
      <c r="L92" s="147">
        <f>IF(t&lt;Tvie,1-EXP((T0-t)*PertePVj)+'2020'!Pspv,1-EXP((T0-t)*PertePVj)+Pspv)</f>
        <v>2.217882532652915E-2</v>
      </c>
      <c r="M92" s="847"/>
      <c r="N92" s="847"/>
      <c r="O92" s="48">
        <f>IF(t&lt;Tnet,'2020'!Resal+('2020'!Salim-'2020'!Resal)*(1-EXP(('2020'!Tnet-t)/('2020'!Tau_j))),Resal+(Salim-Resal)*(1-EXP((Tnet-t)/(Tau_j))))*Salcycl</f>
        <v>4.6241053966027179E-2</v>
      </c>
      <c r="P92" s="168">
        <f>(INDEX(Models!$BJ92:$BT92,,T92)*(1-R92)+INDEX(Models!$BJ92:$BT92,,T92+1)*R92-ERP_i)*Q92*Ramure*Pc/MaxiM</f>
        <v>1.6562053572554539E-4</v>
      </c>
      <c r="Q92" s="304">
        <f t="shared" si="27"/>
        <v>0.5</v>
      </c>
      <c r="R92" s="176">
        <f t="shared" si="28"/>
        <v>0.44396082719513746</v>
      </c>
      <c r="S92" s="814">
        <f t="shared" si="29"/>
        <v>0</v>
      </c>
      <c r="T92" s="175">
        <f t="shared" si="30"/>
        <v>6</v>
      </c>
      <c r="U92" s="250">
        <f t="shared" si="31"/>
        <v>0.44396082719513746</v>
      </c>
      <c r="V92" s="382">
        <f t="shared" si="32"/>
        <v>47.589047420147743</v>
      </c>
      <c r="W92" s="401"/>
      <c r="X92" s="157">
        <f t="shared" si="33"/>
        <v>44274</v>
      </c>
      <c r="Y92" s="384">
        <f t="shared" si="34"/>
        <v>11.512</v>
      </c>
      <c r="Z92" s="384">
        <f t="shared" si="35"/>
        <v>11.773113835302519</v>
      </c>
      <c r="AA92" s="385">
        <f t="shared" si="36"/>
        <v>12.34390920709976</v>
      </c>
      <c r="AB92" s="196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4.6241053966027179E-2</v>
      </c>
      <c r="AD92" s="230">
        <f>(INDEX(Models!$BJ92:$BT92,,AH92)*(1-AF92)+INDEX(Models!$BJ92:$BT92,,AH92+1)*AF92-ERP_i)*AE92*Ramure*Pc/MaxiM</f>
        <v>1.6562053572554539E-4</v>
      </c>
      <c r="AE92" s="304">
        <f t="shared" si="38"/>
        <v>0.5</v>
      </c>
      <c r="AF92" s="176">
        <f t="shared" si="39"/>
        <v>0.44396082719513746</v>
      </c>
      <c r="AG92" s="814">
        <f t="shared" si="47"/>
        <v>0</v>
      </c>
      <c r="AH92" s="175">
        <f t="shared" si="40"/>
        <v>6</v>
      </c>
      <c r="AI92" s="224">
        <f t="shared" si="41"/>
        <v>0.44396082719513746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16">
        <v>39.587000000000003</v>
      </c>
      <c r="C93" s="389"/>
      <c r="D93" s="392">
        <f t="shared" si="24"/>
        <v>40.485794438955914</v>
      </c>
      <c r="E93" s="384">
        <f t="shared" si="45"/>
        <v>42.449883064678822</v>
      </c>
      <c r="F93" s="384">
        <f t="shared" si="25"/>
        <v>42.455188882750889</v>
      </c>
      <c r="G93" s="110">
        <f t="shared" si="46"/>
        <v>0.8266818957906289</v>
      </c>
      <c r="H93" s="413" t="b">
        <f>Wh_hp&gt;='2020'!Maxi_hp</f>
        <v>0</v>
      </c>
      <c r="I93" s="379">
        <f>IF(H93,Wh_hp,'2020'!Maxi_hp)</f>
        <v>52.177110378201441</v>
      </c>
      <c r="J93" s="85">
        <f>IF(H93,An,'2020'!An_max)</f>
        <v>2019</v>
      </c>
      <c r="K93" s="196">
        <f t="shared" si="26"/>
        <v>44275</v>
      </c>
      <c r="L93" s="147">
        <f>IF(t&lt;Tvie,1-EXP((T0-t)*PertePVj)+'2020'!Pspv,1-EXP((T0-t)*PertePVj)+Pspv)</f>
        <v>2.2200242119766345E-2</v>
      </c>
      <c r="M93" s="847"/>
      <c r="N93" s="847"/>
      <c r="O93" s="48">
        <f>IF(t&lt;Tnet,'2020'!Resal+('2020'!Salim-'2020'!Resal)*(1-EXP(('2020'!Tnet-t)/('2020'!Tau_j))),Resal+(Salim-Resal)*(1-EXP((Tnet-t)/(Tau_j))))*Salcycl</f>
        <v>4.6268410745215045E-2</v>
      </c>
      <c r="P93" s="168">
        <f>(INDEX(Models!$BJ93:$BT93,,T93)*(1-R93)+INDEX(Models!$BJ93:$BT93,,T93+1)*R93-ERP_i)*Q93*Ramure*Pc/MaxiM</f>
        <v>1.6608988954283188E-4</v>
      </c>
      <c r="Q93" s="304">
        <f t="shared" si="27"/>
        <v>0.5</v>
      </c>
      <c r="R93" s="176">
        <f t="shared" si="28"/>
        <v>0.44435029438471035</v>
      </c>
      <c r="S93" s="814">
        <f t="shared" si="29"/>
        <v>0</v>
      </c>
      <c r="T93" s="175">
        <f t="shared" si="30"/>
        <v>6</v>
      </c>
      <c r="U93" s="250">
        <f t="shared" si="31"/>
        <v>0.44435029438471035</v>
      </c>
      <c r="V93" s="382">
        <f t="shared" si="32"/>
        <v>47.884648696348094</v>
      </c>
      <c r="W93" s="401"/>
      <c r="X93" s="157">
        <f t="shared" si="33"/>
        <v>44275</v>
      </c>
      <c r="Y93" s="384">
        <f t="shared" si="34"/>
        <v>39.587000000000003</v>
      </c>
      <c r="Z93" s="384">
        <f t="shared" si="35"/>
        <v>40.485794438955914</v>
      </c>
      <c r="AA93" s="385">
        <f t="shared" si="36"/>
        <v>42.449883064678822</v>
      </c>
      <c r="AB93" s="196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4.6268410745215045E-2</v>
      </c>
      <c r="AD93" s="230">
        <f>(INDEX(Models!$BJ93:$BT93,,AH93)*(1-AF93)+INDEX(Models!$BJ93:$BT93,,AH93+1)*AF93-ERP_i)*AE93*Ramure*Pc/MaxiM</f>
        <v>1.6608988954283188E-4</v>
      </c>
      <c r="AE93" s="304">
        <f t="shared" si="38"/>
        <v>0.5</v>
      </c>
      <c r="AF93" s="176">
        <f t="shared" si="39"/>
        <v>0.44435029438471035</v>
      </c>
      <c r="AG93" s="814">
        <f t="shared" si="47"/>
        <v>0</v>
      </c>
      <c r="AH93" s="175">
        <f t="shared" si="40"/>
        <v>6</v>
      </c>
      <c r="AI93" s="224">
        <f t="shared" si="41"/>
        <v>0.44435029438471035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44276</v>
      </c>
      <c r="B94" s="616">
        <v>41.884999999999998</v>
      </c>
      <c r="C94" s="389"/>
      <c r="D94" s="392">
        <f t="shared" si="24"/>
        <v>42.836907118787657</v>
      </c>
      <c r="E94" s="384">
        <f t="shared" si="45"/>
        <v>44.91635357700703</v>
      </c>
      <c r="F94" s="384">
        <f t="shared" si="25"/>
        <v>44.92243402269257</v>
      </c>
      <c r="G94" s="110">
        <f t="shared" si="46"/>
        <v>0.86928709897856349</v>
      </c>
      <c r="H94" s="413" t="b">
        <f>Wh_hp&gt;='2020'!Maxi_hp</f>
        <v>0</v>
      </c>
      <c r="I94" s="379">
        <f>IF(H94,Wh_hp,'2020'!Maxi_hp)</f>
        <v>51.739394586450686</v>
      </c>
      <c r="J94" s="85">
        <f>IF(H94,An,'2020'!An_max)</f>
        <v>2020</v>
      </c>
      <c r="K94" s="196">
        <f t="shared" si="26"/>
        <v>44276</v>
      </c>
      <c r="L94" s="147">
        <f>IF(t&lt;Tvie,1-EXP((T0-t)*PertePVj)+'2020'!Pspv,1-EXP((T0-t)*PertePVj)+Pspv)</f>
        <v>2.2221658443920878E-2</v>
      </c>
      <c r="M94" s="847"/>
      <c r="N94" s="847"/>
      <c r="O94" s="48">
        <f>IF(t&lt;Tnet,'2020'!Resal+('2020'!Salim-'2020'!Resal)*(1-EXP(('2020'!Tnet-t)/('2020'!Tau_j))),Resal+(Salim-Resal)*(1-EXP((Tnet-t)/(Tau_j))))*Salcycl</f>
        <v>4.6295976690410842E-2</v>
      </c>
      <c r="P94" s="168">
        <f>(INDEX(Models!$BJ94:$BT94,,T94)*(1-R94)+INDEX(Models!$BJ94:$BT94,,T94+1)*R94-ERP_i)*Q94*Ramure*Pc/MaxiM</f>
        <v>1.6642486919556175E-4</v>
      </c>
      <c r="Q94" s="304">
        <f t="shared" si="27"/>
        <v>0.5</v>
      </c>
      <c r="R94" s="176">
        <f t="shared" si="28"/>
        <v>0.44475499269853047</v>
      </c>
      <c r="S94" s="814">
        <f t="shared" si="29"/>
        <v>0</v>
      </c>
      <c r="T94" s="175">
        <f t="shared" si="30"/>
        <v>6</v>
      </c>
      <c r="U94" s="250">
        <f t="shared" si="31"/>
        <v>0.44475499269853047</v>
      </c>
      <c r="V94" s="382">
        <f t="shared" si="32"/>
        <v>48.181663438066259</v>
      </c>
      <c r="W94" s="401"/>
      <c r="X94" s="157">
        <f t="shared" si="33"/>
        <v>44276</v>
      </c>
      <c r="Y94" s="384">
        <f t="shared" si="34"/>
        <v>41.884999999999998</v>
      </c>
      <c r="Z94" s="384">
        <f t="shared" si="35"/>
        <v>42.836907118787657</v>
      </c>
      <c r="AA94" s="385">
        <f t="shared" si="36"/>
        <v>44.91635357700703</v>
      </c>
      <c r="AB94" s="196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4.6295976690410842E-2</v>
      </c>
      <c r="AD94" s="230">
        <f>(INDEX(Models!$BJ94:$BT94,,AH94)*(1-AF94)+INDEX(Models!$BJ94:$BT94,,AH94+1)*AF94-ERP_i)*AE94*Ramure*Pc/MaxiM</f>
        <v>1.6642486919556175E-4</v>
      </c>
      <c r="AE94" s="304">
        <f t="shared" si="38"/>
        <v>0.5</v>
      </c>
      <c r="AF94" s="176">
        <f t="shared" si="39"/>
        <v>0.44475499269853047</v>
      </c>
      <c r="AG94" s="814">
        <f t="shared" si="47"/>
        <v>0</v>
      </c>
      <c r="AH94" s="175">
        <f t="shared" si="40"/>
        <v>6</v>
      </c>
      <c r="AI94" s="224">
        <f t="shared" si="41"/>
        <v>0.44475499269853047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44277</v>
      </c>
      <c r="B95" s="616">
        <v>36.011000000000003</v>
      </c>
      <c r="C95" s="389"/>
      <c r="D95" s="392">
        <f t="shared" si="24"/>
        <v>36.830217258939001</v>
      </c>
      <c r="E95" s="384">
        <f t="shared" si="45"/>
        <v>38.619204391108731</v>
      </c>
      <c r="F95" s="384">
        <f t="shared" si="25"/>
        <v>38.62327242284249</v>
      </c>
      <c r="G95" s="110">
        <f t="shared" si="46"/>
        <v>0.74276815984287647</v>
      </c>
      <c r="H95" s="413" t="b">
        <f>Wh_hp&gt;='2020'!Maxi_hp</f>
        <v>0</v>
      </c>
      <c r="I95" s="379">
        <f>IF(H95,Wh_hp,'2020'!Maxi_hp)</f>
        <v>50.590016829396532</v>
      </c>
      <c r="J95" s="85">
        <f>IF(H95,An,'2020'!An_max)</f>
        <v>2019</v>
      </c>
      <c r="K95" s="196">
        <f t="shared" si="26"/>
        <v>44277</v>
      </c>
      <c r="L95" s="147">
        <f>IF(t&lt;Tvie,1-EXP((T0-t)*PertePVj)+'2020'!Pspv,1-EXP((T0-t)*PertePVj)+Pspv)</f>
        <v>2.2243074299002963E-2</v>
      </c>
      <c r="M95" s="847"/>
      <c r="N95" s="847"/>
      <c r="O95" s="48">
        <f>IF(t&lt;Tnet,'2020'!Resal+('2020'!Salim-'2020'!Resal)*(1-EXP(('2020'!Tnet-t)/('2020'!Tau_j))),Resal+(Salim-Resal)*(1-EXP((Tnet-t)/(Tau_j))))*Salcycl</f>
        <v>4.6323769750720369E-2</v>
      </c>
      <c r="P95" s="168">
        <f>(INDEX(Models!$BJ95:$BT95,,T95)*(1-R95)+INDEX(Models!$BJ95:$BT95,,T95+1)*R95-ERP_i)*Q95*Ramure*Pc/MaxiM</f>
        <v>1.6649927588042665E-4</v>
      </c>
      <c r="Q95" s="304">
        <f t="shared" si="27"/>
        <v>0.5</v>
      </c>
      <c r="R95" s="176">
        <f t="shared" si="28"/>
        <v>0.44517547123523532</v>
      </c>
      <c r="S95" s="814">
        <f t="shared" si="29"/>
        <v>0</v>
      </c>
      <c r="T95" s="175">
        <f t="shared" si="30"/>
        <v>6</v>
      </c>
      <c r="U95" s="250">
        <f t="shared" si="31"/>
        <v>0.44517547123523532</v>
      </c>
      <c r="V95" s="382">
        <f t="shared" si="32"/>
        <v>48.479187451816024</v>
      </c>
      <c r="W95" s="401"/>
      <c r="X95" s="157">
        <f t="shared" si="33"/>
        <v>44277</v>
      </c>
      <c r="Y95" s="384">
        <f t="shared" si="34"/>
        <v>36.011000000000003</v>
      </c>
      <c r="Z95" s="384">
        <f t="shared" si="35"/>
        <v>36.830217258939001</v>
      </c>
      <c r="AA95" s="385">
        <f t="shared" si="36"/>
        <v>38.619204391108731</v>
      </c>
      <c r="AB95" s="196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4.6323769750720369E-2</v>
      </c>
      <c r="AD95" s="230">
        <f>(INDEX(Models!$BJ95:$BT95,,AH95)*(1-AF95)+INDEX(Models!$BJ95:$BT95,,AH95+1)*AF95-ERP_i)*AE95*Ramure*Pc/MaxiM</f>
        <v>1.6649927588042665E-4</v>
      </c>
      <c r="AE95" s="304">
        <f t="shared" si="38"/>
        <v>0.5</v>
      </c>
      <c r="AF95" s="176">
        <f t="shared" si="39"/>
        <v>0.44517547123523532</v>
      </c>
      <c r="AG95" s="814">
        <f t="shared" si="47"/>
        <v>0</v>
      </c>
      <c r="AH95" s="175">
        <f t="shared" si="40"/>
        <v>6</v>
      </c>
      <c r="AI95" s="224">
        <f t="shared" si="41"/>
        <v>0.44517547123523532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16">
        <v>48.725000000000001</v>
      </c>
      <c r="C96" s="389"/>
      <c r="D96" s="392">
        <f t="shared" si="24"/>
        <v>49.834540615491463</v>
      </c>
      <c r="E96" s="384">
        <f t="shared" si="45"/>
        <v>52.256734754550827</v>
      </c>
      <c r="F96" s="384">
        <f t="shared" si="25"/>
        <v>52.265414537152118</v>
      </c>
      <c r="G96" s="110">
        <f t="shared" si="46"/>
        <v>0.99894779906427944</v>
      </c>
      <c r="H96" s="413" t="b">
        <f>Wh_hp&gt;='2020'!Maxi_hp</f>
        <v>1</v>
      </c>
      <c r="I96" s="379">
        <f>IF(H96,Wh_hp,'2020'!Maxi_hp)</f>
        <v>52.265414537152118</v>
      </c>
      <c r="J96" s="85">
        <f>IF(H96,An,'2020'!An_max)</f>
        <v>2021</v>
      </c>
      <c r="K96" s="196">
        <f t="shared" si="26"/>
        <v>44278</v>
      </c>
      <c r="L96" s="147">
        <f>IF(t&lt;Tvie,1-EXP((T0-t)*PertePVj)+'2020'!Pspv,1-EXP((T0-t)*PertePVj)+Pspv)</f>
        <v>2.2264489685022815E-2</v>
      </c>
      <c r="M96" s="847"/>
      <c r="N96" s="847"/>
      <c r="O96" s="48">
        <f>IF(t&lt;Tnet,'2020'!Resal+('2020'!Salim-'2020'!Resal)*(1-EXP(('2020'!Tnet-t)/('2020'!Tau_j))),Resal+(Salim-Resal)*(1-EXP((Tnet-t)/(Tau_j))))*Salcycl</f>
        <v>4.6351808057590628E-2</v>
      </c>
      <c r="P96" s="168">
        <f>(INDEX(Models!$BJ96:$BT96,,T96)*(1-R96)+INDEX(Models!$BJ96:$BT96,,T96+1)*R96-ERP_i)*Q96*Ramure*Pc/MaxiM</f>
        <v>1.6632119305392897E-4</v>
      </c>
      <c r="Q96" s="304">
        <f t="shared" si="27"/>
        <v>0.5</v>
      </c>
      <c r="R96" s="176">
        <f t="shared" si="28"/>
        <v>0.4456122950566121</v>
      </c>
      <c r="S96" s="814">
        <f t="shared" si="29"/>
        <v>0</v>
      </c>
      <c r="T96" s="175">
        <f t="shared" si="30"/>
        <v>6</v>
      </c>
      <c r="U96" s="250">
        <f t="shared" si="31"/>
        <v>0.4456122950566121</v>
      </c>
      <c r="V96" s="382">
        <f t="shared" si="32"/>
        <v>48.776310298724809</v>
      </c>
      <c r="W96" s="401"/>
      <c r="X96" s="157">
        <f t="shared" si="33"/>
        <v>44278</v>
      </c>
      <c r="Y96" s="384">
        <f t="shared" si="34"/>
        <v>48.725000000000001</v>
      </c>
      <c r="Z96" s="384">
        <f t="shared" si="35"/>
        <v>49.834540615491463</v>
      </c>
      <c r="AA96" s="385">
        <f t="shared" si="36"/>
        <v>52.256734754550827</v>
      </c>
      <c r="AB96" s="196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4.6351808057590628E-2</v>
      </c>
      <c r="AD96" s="230">
        <f>(INDEX(Models!$BJ96:$BT96,,AH96)*(1-AF96)+INDEX(Models!$BJ96:$BT96,,AH96+1)*AF96-ERP_i)*AE96*Ramure*Pc/MaxiM</f>
        <v>1.6632119305392897E-4</v>
      </c>
      <c r="AE96" s="304">
        <f t="shared" si="38"/>
        <v>0.5</v>
      </c>
      <c r="AF96" s="176">
        <f t="shared" si="39"/>
        <v>0.4456122950566121</v>
      </c>
      <c r="AG96" s="814">
        <f t="shared" si="47"/>
        <v>0</v>
      </c>
      <c r="AH96" s="175">
        <f t="shared" si="40"/>
        <v>6</v>
      </c>
      <c r="AI96" s="224">
        <f t="shared" si="41"/>
        <v>0.4456122950566121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44279</v>
      </c>
      <c r="B97" s="616">
        <v>48.201999999999998</v>
      </c>
      <c r="C97" s="389"/>
      <c r="D97" s="392">
        <f t="shared" si="24"/>
        <v>49.300710940837831</v>
      </c>
      <c r="E97" s="384">
        <f t="shared" si="45"/>
        <v>51.698492712996675</v>
      </c>
      <c r="F97" s="384">
        <f t="shared" si="25"/>
        <v>51.706853506641295</v>
      </c>
      <c r="G97" s="110">
        <f t="shared" si="46"/>
        <v>0.98226438426047491</v>
      </c>
      <c r="H97" s="413" t="b">
        <f>Wh_hp&gt;='2020'!Maxi_hp</f>
        <v>1</v>
      </c>
      <c r="I97" s="379">
        <f>IF(H97,Wh_hp,'2020'!Maxi_hp)</f>
        <v>51.706853506641295</v>
      </c>
      <c r="J97" s="85">
        <f>IF(H97,An,'2020'!An_max)</f>
        <v>2021</v>
      </c>
      <c r="K97" s="196">
        <f t="shared" si="26"/>
        <v>44279</v>
      </c>
      <c r="L97" s="147">
        <f>IF(t&lt;Tvie,1-EXP((T0-t)*PertePVj)+'2020'!Pspv,1-EXP((T0-t)*PertePVj)+Pspv)</f>
        <v>2.2285904601990758E-2</v>
      </c>
      <c r="M97" s="847"/>
      <c r="N97" s="847"/>
      <c r="O97" s="48">
        <f>IF(t&lt;Tnet,'2020'!Resal+('2020'!Salim-'2020'!Resal)*(1-EXP(('2020'!Tnet-t)/('2020'!Tau_j))),Resal+(Salim-Resal)*(1-EXP((Tnet-t)/(Tau_j))))*Salcycl</f>
        <v>4.6380109870322372E-2</v>
      </c>
      <c r="P97" s="168">
        <f>(INDEX(Models!$BJ97:$BT97,,T97)*(1-R97)+INDEX(Models!$BJ97:$BT97,,T97+1)*R97-ERP_i)*Q97*Ramure*Pc/MaxiM</f>
        <v>1.6589836476826926E-4</v>
      </c>
      <c r="Q97" s="304">
        <f t="shared" si="27"/>
        <v>0.5</v>
      </c>
      <c r="R97" s="176">
        <f t="shared" si="28"/>
        <v>0.44606604532814798</v>
      </c>
      <c r="S97" s="814">
        <f t="shared" si="29"/>
        <v>0</v>
      </c>
      <c r="T97" s="175">
        <f t="shared" si="30"/>
        <v>6</v>
      </c>
      <c r="U97" s="250">
        <f t="shared" si="31"/>
        <v>0.44606604532814798</v>
      </c>
      <c r="V97" s="382">
        <f t="shared" si="32"/>
        <v>49.072121700973433</v>
      </c>
      <c r="W97" s="401"/>
      <c r="X97" s="157">
        <f t="shared" si="33"/>
        <v>44279</v>
      </c>
      <c r="Y97" s="384">
        <f t="shared" si="34"/>
        <v>48.201999999999998</v>
      </c>
      <c r="Z97" s="384">
        <f t="shared" si="35"/>
        <v>49.300710940837831</v>
      </c>
      <c r="AA97" s="385">
        <f t="shared" si="36"/>
        <v>51.698492712996675</v>
      </c>
      <c r="AB97" s="196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4.6380109870322372E-2</v>
      </c>
      <c r="AD97" s="230">
        <f>(INDEX(Models!$BJ97:$BT97,,AH97)*(1-AF97)+INDEX(Models!$BJ97:$BT97,,AH97+1)*AF97-ERP_i)*AE97*Ramure*Pc/MaxiM</f>
        <v>1.6589836476826926E-4</v>
      </c>
      <c r="AE97" s="304">
        <f t="shared" si="38"/>
        <v>0.5</v>
      </c>
      <c r="AF97" s="176">
        <f t="shared" si="39"/>
        <v>0.44606604532814798</v>
      </c>
      <c r="AG97" s="814">
        <f t="shared" si="47"/>
        <v>0</v>
      </c>
      <c r="AH97" s="175">
        <f t="shared" si="40"/>
        <v>6</v>
      </c>
      <c r="AI97" s="224">
        <f t="shared" si="41"/>
        <v>0.44606604532814798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16">
        <v>33.236000000000004</v>
      </c>
      <c r="C98" s="389"/>
      <c r="D98" s="392">
        <f t="shared" si="24"/>
        <v>33.994322191000322</v>
      </c>
      <c r="E98" s="384">
        <f t="shared" si="45"/>
        <v>35.648733330613332</v>
      </c>
      <c r="F98" s="384">
        <f t="shared" si="25"/>
        <v>35.651874613576531</v>
      </c>
      <c r="G98" s="110">
        <f t="shared" si="46"/>
        <v>0.67320889932957118</v>
      </c>
      <c r="H98" s="413" t="b">
        <f>Wh_hp&gt;='2020'!Maxi_hp</f>
        <v>0</v>
      </c>
      <c r="I98" s="379">
        <f>IF(H98,Wh_hp,'2020'!Maxi_hp)</f>
        <v>50.650647588143606</v>
      </c>
      <c r="J98" s="85">
        <f>IF(H98,An,'2020'!An_max)</f>
        <v>2020</v>
      </c>
      <c r="K98" s="196">
        <f t="shared" si="26"/>
        <v>44280</v>
      </c>
      <c r="L98" s="147">
        <f>IF(t&lt;Tvie,1-EXP((T0-t)*PertePVj)+'2020'!Pspv,1-EXP((T0-t)*PertePVj)+Pspv)</f>
        <v>2.2307319049917007E-2</v>
      </c>
      <c r="M98" s="847"/>
      <c r="N98" s="847"/>
      <c r="O98" s="48">
        <f>IF(t&lt;Tnet,'2020'!Resal+('2020'!Salim-'2020'!Resal)*(1-EXP(('2020'!Tnet-t)/('2020'!Tau_j))),Resal+(Salim-Resal)*(1-EXP((Tnet-t)/(Tau_j))))*Salcycl</f>
        <v>4.6408693522703208E-2</v>
      </c>
      <c r="P98" s="168">
        <f>(INDEX(Models!$BJ98:$BT98,,T98)*(1-R98)+INDEX(Models!$BJ98:$BT98,,T98+1)*R98-ERP_i)*Q98*Ramure*Pc/MaxiM</f>
        <v>1.6523814447890722E-4</v>
      </c>
      <c r="Q98" s="304">
        <f t="shared" si="27"/>
        <v>0.5</v>
      </c>
      <c r="R98" s="176">
        <f t="shared" si="28"/>
        <v>0.44653731942929631</v>
      </c>
      <c r="S98" s="814">
        <f t="shared" si="29"/>
        <v>0</v>
      </c>
      <c r="T98" s="175">
        <f t="shared" si="30"/>
        <v>6</v>
      </c>
      <c r="U98" s="250">
        <f t="shared" si="31"/>
        <v>0.44653731942929631</v>
      </c>
      <c r="V98" s="382">
        <f t="shared" si="32"/>
        <v>49.365711553642235</v>
      </c>
      <c r="W98" s="401"/>
      <c r="X98" s="157">
        <f t="shared" si="33"/>
        <v>44280</v>
      </c>
      <c r="Y98" s="384">
        <f t="shared" si="34"/>
        <v>33.236000000000004</v>
      </c>
      <c r="Z98" s="384">
        <f t="shared" si="35"/>
        <v>33.994322191000322</v>
      </c>
      <c r="AA98" s="385">
        <f t="shared" si="36"/>
        <v>35.648733330613332</v>
      </c>
      <c r="AB98" s="196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4.6408693522703208E-2</v>
      </c>
      <c r="AD98" s="230">
        <f>(INDEX(Models!$BJ98:$BT98,,AH98)*(1-AF98)+INDEX(Models!$BJ98:$BT98,,AH98+1)*AF98-ERP_i)*AE98*Ramure*Pc/MaxiM</f>
        <v>1.6523814447890722E-4</v>
      </c>
      <c r="AE98" s="304">
        <f t="shared" si="38"/>
        <v>0.5</v>
      </c>
      <c r="AF98" s="176">
        <f t="shared" si="39"/>
        <v>0.44653731942929631</v>
      </c>
      <c r="AG98" s="814">
        <f t="shared" si="47"/>
        <v>0</v>
      </c>
      <c r="AH98" s="175">
        <f t="shared" si="40"/>
        <v>6</v>
      </c>
      <c r="AI98" s="224">
        <f t="shared" si="41"/>
        <v>0.44653731942929631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16">
        <v>39.971000000000004</v>
      </c>
      <c r="C99" s="389"/>
      <c r="D99" s="392">
        <f t="shared" si="24"/>
        <v>40.883885361415608</v>
      </c>
      <c r="E99" s="384">
        <f t="shared" si="45"/>
        <v>42.874891450417714</v>
      </c>
      <c r="F99" s="384">
        <f t="shared" si="25"/>
        <v>42.879975062853177</v>
      </c>
      <c r="G99" s="110">
        <f t="shared" si="46"/>
        <v>0.80491849152686579</v>
      </c>
      <c r="H99" s="413" t="b">
        <f>Wh_hp&gt;='2020'!Maxi_hp</f>
        <v>0</v>
      </c>
      <c r="I99" s="379">
        <f>IF(H99,Wh_hp,'2020'!Maxi_hp)</f>
        <v>54.179948097742042</v>
      </c>
      <c r="J99" s="85">
        <f>IF(H99,An,'2020'!An_max)</f>
        <v>2019</v>
      </c>
      <c r="K99" s="196">
        <f t="shared" si="26"/>
        <v>44281</v>
      </c>
      <c r="L99" s="147">
        <f>IF(t&lt;Tvie,1-EXP((T0-t)*PertePVj)+'2020'!Pspv,1-EXP((T0-t)*PertePVj)+Pspv)</f>
        <v>2.2328733028811998E-2</v>
      </c>
      <c r="M99" s="847"/>
      <c r="N99" s="847"/>
      <c r="O99" s="48">
        <f>IF(t&lt;Tnet,'2020'!Resal+('2020'!Salim-'2020'!Resal)*(1-EXP(('2020'!Tnet-t)/('2020'!Tau_j))),Resal+(Salim-Resal)*(1-EXP((Tnet-t)/(Tau_j))))*Salcycl</f>
        <v>4.6437577371002514E-2</v>
      </c>
      <c r="P99" s="168">
        <f>(INDEX(Models!$BJ99:$BT99,,T99)*(1-R99)+INDEX(Models!$BJ99:$BT99,,T99+1)*R99-ERP_i)*Q99*Ramure*Pc/MaxiM</f>
        <v>1.6434744817872348E-4</v>
      </c>
      <c r="Q99" s="304">
        <f t="shared" si="27"/>
        <v>0.5</v>
      </c>
      <c r="R99" s="176">
        <f t="shared" si="28"/>
        <v>0.44702673103013851</v>
      </c>
      <c r="S99" s="814">
        <f t="shared" si="29"/>
        <v>0</v>
      </c>
      <c r="T99" s="175">
        <f t="shared" si="30"/>
        <v>6</v>
      </c>
      <c r="U99" s="250">
        <f t="shared" si="31"/>
        <v>0.44702673103013851</v>
      </c>
      <c r="V99" s="382">
        <f t="shared" si="32"/>
        <v>49.656169925679677</v>
      </c>
      <c r="W99" s="401"/>
      <c r="X99" s="157">
        <f t="shared" si="33"/>
        <v>44281</v>
      </c>
      <c r="Y99" s="384">
        <f t="shared" si="34"/>
        <v>39.971000000000004</v>
      </c>
      <c r="Z99" s="384">
        <f t="shared" si="35"/>
        <v>40.883885361415608</v>
      </c>
      <c r="AA99" s="385">
        <f t="shared" si="36"/>
        <v>42.874891450417714</v>
      </c>
      <c r="AB99" s="196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4.6437577371002514E-2</v>
      </c>
      <c r="AD99" s="230">
        <f>(INDEX(Models!$BJ99:$BT99,,AH99)*(1-AF99)+INDEX(Models!$BJ99:$BT99,,AH99+1)*AF99-ERP_i)*AE99*Ramure*Pc/MaxiM</f>
        <v>1.6434744817872348E-4</v>
      </c>
      <c r="AE99" s="304">
        <f t="shared" si="38"/>
        <v>0.5</v>
      </c>
      <c r="AF99" s="176">
        <f t="shared" si="39"/>
        <v>0.44702673103013851</v>
      </c>
      <c r="AG99" s="814">
        <f t="shared" si="47"/>
        <v>0</v>
      </c>
      <c r="AH99" s="175">
        <f t="shared" si="40"/>
        <v>6</v>
      </c>
      <c r="AI99" s="224">
        <f t="shared" si="41"/>
        <v>0.44702673103013851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16">
        <v>41.962000000000003</v>
      </c>
      <c r="C100" s="389"/>
      <c r="D100" s="392">
        <f t="shared" si="24"/>
        <v>42.921297283926251</v>
      </c>
      <c r="E100" s="384">
        <f t="shared" si="45"/>
        <v>45.012901881259772</v>
      </c>
      <c r="F100" s="384">
        <f t="shared" si="25"/>
        <v>45.018574085392146</v>
      </c>
      <c r="G100" s="110">
        <f t="shared" si="46"/>
        <v>0.84017348278071102</v>
      </c>
      <c r="H100" s="413" t="b">
        <f>Wh_hp&gt;='2020'!Maxi_hp</f>
        <v>0</v>
      </c>
      <c r="I100" s="379">
        <f>IF(H100,Wh_hp,'2020'!Maxi_hp)</f>
        <v>53.631049698889107</v>
      </c>
      <c r="J100" s="85">
        <f>IF(H100,An,'2020'!An_max)</f>
        <v>2019</v>
      </c>
      <c r="K100" s="196">
        <f t="shared" si="26"/>
        <v>44282</v>
      </c>
      <c r="L100" s="147">
        <f>IF(t&lt;Tvie,1-EXP((T0-t)*PertePVj)+'2020'!Pspv,1-EXP((T0-t)*PertePVj)+Pspv)</f>
        <v>2.2350146538685833E-2</v>
      </c>
      <c r="M100" s="847"/>
      <c r="N100" s="847"/>
      <c r="O100" s="48">
        <f>IF(t&lt;Tnet,'2020'!Resal+('2020'!Salim-'2020'!Resal)*(1-EXP(('2020'!Tnet-t)/('2020'!Tau_j))),Resal+(Salim-Resal)*(1-EXP((Tnet-t)/(Tau_j))))*Salcycl</f>
        <v>4.646677974352776E-2</v>
      </c>
      <c r="P100" s="168">
        <f>(INDEX(Models!$BJ100:$BT100,,T100)*(1-R100)+INDEX(Models!$BJ100:$BT100,,T100+1)*R100-ERP_i)*Q100*Ramure*Pc/MaxiM</f>
        <v>1.6326749023751156E-4</v>
      </c>
      <c r="Q100" s="304">
        <f t="shared" si="27"/>
        <v>0.5</v>
      </c>
      <c r="R100" s="176">
        <f t="shared" si="28"/>
        <v>0.44753491013091723</v>
      </c>
      <c r="S100" s="814">
        <f t="shared" si="29"/>
        <v>0</v>
      </c>
      <c r="T100" s="175">
        <f t="shared" si="30"/>
        <v>6</v>
      </c>
      <c r="U100" s="250">
        <f t="shared" si="31"/>
        <v>0.44753491013091723</v>
      </c>
      <c r="V100" s="382">
        <f t="shared" si="32"/>
        <v>49.942585332099178</v>
      </c>
      <c r="W100" s="401"/>
      <c r="X100" s="157">
        <f t="shared" si="33"/>
        <v>44282</v>
      </c>
      <c r="Y100" s="384">
        <f t="shared" si="34"/>
        <v>41.962000000000003</v>
      </c>
      <c r="Z100" s="384">
        <f t="shared" si="35"/>
        <v>42.921297283926251</v>
      </c>
      <c r="AA100" s="385">
        <f t="shared" si="36"/>
        <v>45.012901881259772</v>
      </c>
      <c r="AB100" s="196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4.646677974352776E-2</v>
      </c>
      <c r="AD100" s="230">
        <f>(INDEX(Models!$BJ100:$BT100,,AH100)*(1-AF100)+INDEX(Models!$BJ100:$BT100,,AH100+1)*AF100-ERP_i)*AE100*Ramure*Pc/MaxiM</f>
        <v>1.6326749023751156E-4</v>
      </c>
      <c r="AE100" s="304">
        <f t="shared" si="38"/>
        <v>0.5</v>
      </c>
      <c r="AF100" s="176">
        <f t="shared" si="39"/>
        <v>0.44753491013091723</v>
      </c>
      <c r="AG100" s="814">
        <f t="shared" si="47"/>
        <v>0</v>
      </c>
      <c r="AH100" s="175">
        <f t="shared" si="40"/>
        <v>6</v>
      </c>
      <c r="AI100" s="224">
        <f t="shared" si="41"/>
        <v>0.44753491013091723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16">
        <v>48.889000000000003</v>
      </c>
      <c r="C101" s="389"/>
      <c r="D101" s="392">
        <f t="shared" si="24"/>
        <v>50.007751389652888</v>
      </c>
      <c r="E101" s="384">
        <f t="shared" si="45"/>
        <v>52.446311829165701</v>
      </c>
      <c r="F101" s="384">
        <f t="shared" si="25"/>
        <v>52.454489751823985</v>
      </c>
      <c r="G101" s="110">
        <f t="shared" si="46"/>
        <v>0.97341221073438156</v>
      </c>
      <c r="H101" s="413" t="b">
        <f>Wh_hp&gt;='2020'!Maxi_hp</f>
        <v>0</v>
      </c>
      <c r="I101" s="379">
        <f>IF(H101,Wh_hp,'2020'!Maxi_hp)</f>
        <v>52.658123194281352</v>
      </c>
      <c r="J101" s="85">
        <f>IF(H101,An,'2020'!An_max)</f>
        <v>2019</v>
      </c>
      <c r="K101" s="196">
        <f t="shared" si="26"/>
        <v>44283</v>
      </c>
      <c r="L101" s="147">
        <f>IF(t&lt;Tvie,1-EXP((T0-t)*PertePVj)+'2020'!Pspv,1-EXP((T0-t)*PertePVj)+Pspv)</f>
        <v>2.2371559579548839E-2</v>
      </c>
      <c r="M101" s="847"/>
      <c r="N101" s="847"/>
      <c r="O101" s="48">
        <f>IF(t&lt;Tnet,'2020'!Resal+('2020'!Salim-'2020'!Resal)*(1-EXP(('2020'!Tnet-t)/('2020'!Tau_j))),Resal+(Salim-Resal)*(1-EXP((Tnet-t)/(Tau_j))))*Salcycl</f>
        <v>4.6496318891897988E-2</v>
      </c>
      <c r="P101" s="168">
        <f>(INDEX(Models!$BJ101:$BT101,,T101)*(1-R101)+INDEX(Models!$BJ101:$BT101,,T101+1)*R101-ERP_i)*Q101*Ramure*Pc/MaxiM</f>
        <v>1.6205913675470393E-4</v>
      </c>
      <c r="Q101" s="304">
        <f t="shared" si="27"/>
        <v>0.5</v>
      </c>
      <c r="R101" s="176">
        <f t="shared" si="28"/>
        <v>0.44806250306071577</v>
      </c>
      <c r="S101" s="814">
        <f t="shared" si="29"/>
        <v>0</v>
      </c>
      <c r="T101" s="175">
        <f t="shared" si="30"/>
        <v>6</v>
      </c>
      <c r="U101" s="250">
        <f t="shared" si="31"/>
        <v>0.44806250306071577</v>
      </c>
      <c r="V101" s="382">
        <f t="shared" si="32"/>
        <v>50.224045424368732</v>
      </c>
      <c r="W101" s="401"/>
      <c r="X101" s="157">
        <f t="shared" si="33"/>
        <v>44283</v>
      </c>
      <c r="Y101" s="384">
        <f t="shared" si="34"/>
        <v>48.889000000000003</v>
      </c>
      <c r="Z101" s="384">
        <f t="shared" si="35"/>
        <v>50.007751389652888</v>
      </c>
      <c r="AA101" s="385">
        <f t="shared" si="36"/>
        <v>52.446311829165701</v>
      </c>
      <c r="AB101" s="196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4.6496318891897988E-2</v>
      </c>
      <c r="AD101" s="230">
        <f>(INDEX(Models!$BJ101:$BT101,,AH101)*(1-AF101)+INDEX(Models!$BJ101:$BT101,,AH101+1)*AF101-ERP_i)*AE101*Ramure*Pc/MaxiM</f>
        <v>1.6205913675470393E-4</v>
      </c>
      <c r="AE101" s="304">
        <f t="shared" si="38"/>
        <v>0.5</v>
      </c>
      <c r="AF101" s="176">
        <f t="shared" si="39"/>
        <v>0.44806250306071577</v>
      </c>
      <c r="AG101" s="814">
        <f t="shared" si="47"/>
        <v>0</v>
      </c>
      <c r="AH101" s="175">
        <f t="shared" si="40"/>
        <v>6</v>
      </c>
      <c r="AI101" s="224">
        <f t="shared" si="41"/>
        <v>0.44806250306071577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16">
        <v>50.789000000000001</v>
      </c>
      <c r="C102" s="389"/>
      <c r="D102" s="392">
        <f t="shared" si="24"/>
        <v>51.952367928216418</v>
      </c>
      <c r="E102" s="384">
        <f t="shared" si="45"/>
        <v>54.487463245985523</v>
      </c>
      <c r="F102" s="384">
        <f t="shared" si="25"/>
        <v>54.496222253055954</v>
      </c>
      <c r="G102" s="110">
        <f t="shared" si="46"/>
        <v>1.0057299256313255</v>
      </c>
      <c r="H102" s="413" t="b">
        <f>Wh_hp&gt;='2020'!Maxi_hp</f>
        <v>1</v>
      </c>
      <c r="I102" s="379">
        <f>IF(H102,Wh_hp,'2020'!Maxi_hp)</f>
        <v>54.496222253055954</v>
      </c>
      <c r="J102" s="85">
        <f>IF(H102,An,'2020'!An_max)</f>
        <v>2021</v>
      </c>
      <c r="K102" s="196">
        <f t="shared" si="26"/>
        <v>44284</v>
      </c>
      <c r="L102" s="147">
        <f>IF(t&lt;Tvie,1-EXP((T0-t)*PertePVj)+'2020'!Pspv,1-EXP((T0-t)*PertePVj)+Pspv)</f>
        <v>2.2392972151411228E-2</v>
      </c>
      <c r="M102" s="847"/>
      <c r="N102" s="847"/>
      <c r="O102" s="48">
        <f>IF(t&lt;Tnet,'2020'!Resal+('2020'!Salim-'2020'!Resal)*(1-EXP(('2020'!Tnet-t)/('2020'!Tau_j))),Resal+(Salim-Resal)*(1-EXP((Tnet-t)/(Tau_j))))*Salcycl</f>
        <v>4.6526212944146994E-2</v>
      </c>
      <c r="P102" s="168">
        <f>(INDEX(Models!$BJ102:$BT102,,T102)*(1-R102)+INDEX(Models!$BJ102:$BT102,,T102+1)*R102-ERP_i)*Q102*Ramure*Pc/MaxiM</f>
        <v>1.6072686708005883E-4</v>
      </c>
      <c r="Q102" s="304">
        <f t="shared" si="27"/>
        <v>0.5</v>
      </c>
      <c r="R102" s="176">
        <f t="shared" si="28"/>
        <v>0.4486101724313476</v>
      </c>
      <c r="S102" s="814">
        <f t="shared" si="29"/>
        <v>0</v>
      </c>
      <c r="T102" s="175">
        <f t="shared" si="30"/>
        <v>6</v>
      </c>
      <c r="U102" s="250">
        <f t="shared" si="31"/>
        <v>0.4486101724313476</v>
      </c>
      <c r="V102" s="382">
        <f t="shared" si="32"/>
        <v>50.499640813728689</v>
      </c>
      <c r="W102" s="401"/>
      <c r="X102" s="157">
        <f t="shared" si="33"/>
        <v>44284</v>
      </c>
      <c r="Y102" s="384">
        <f t="shared" si="34"/>
        <v>50.789000000000001</v>
      </c>
      <c r="Z102" s="384">
        <f t="shared" si="35"/>
        <v>51.952367928216418</v>
      </c>
      <c r="AA102" s="385">
        <f t="shared" si="36"/>
        <v>54.487463245985523</v>
      </c>
      <c r="AB102" s="196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4.6526212944146994E-2</v>
      </c>
      <c r="AD102" s="230">
        <f>(INDEX(Models!$BJ102:$BT102,,AH102)*(1-AF102)+INDEX(Models!$BJ102:$BT102,,AH102+1)*AF102-ERP_i)*AE102*Ramure*Pc/MaxiM</f>
        <v>1.6072686708005883E-4</v>
      </c>
      <c r="AE102" s="304">
        <f t="shared" si="38"/>
        <v>0.5</v>
      </c>
      <c r="AF102" s="176">
        <f t="shared" si="39"/>
        <v>0.4486101724313476</v>
      </c>
      <c r="AG102" s="814">
        <f t="shared" si="47"/>
        <v>0</v>
      </c>
      <c r="AH102" s="175">
        <f t="shared" si="40"/>
        <v>6</v>
      </c>
      <c r="AI102" s="224">
        <f t="shared" si="41"/>
        <v>0.4486101724313476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16">
        <v>47.252000000000002</v>
      </c>
      <c r="C103" s="389"/>
      <c r="D103" s="392">
        <f t="shared" si="24"/>
        <v>48.335408417354309</v>
      </c>
      <c r="E103" s="384">
        <f t="shared" si="45"/>
        <v>50.695617932610148</v>
      </c>
      <c r="F103" s="384">
        <f t="shared" si="25"/>
        <v>50.702894536786921</v>
      </c>
      <c r="G103" s="110">
        <f t="shared" si="46"/>
        <v>0.93072062935244371</v>
      </c>
      <c r="H103" s="413" t="b">
        <f>Wh_hp&gt;='2020'!Maxi_hp</f>
        <v>0</v>
      </c>
      <c r="I103" s="379">
        <f>IF(H103,Wh_hp,'2020'!Maxi_hp)</f>
        <v>54.590031723801168</v>
      </c>
      <c r="J103" s="85">
        <f>IF(H103,An,'2020'!An_max)</f>
        <v>2019</v>
      </c>
      <c r="K103" s="196">
        <f t="shared" si="26"/>
        <v>44285</v>
      </c>
      <c r="L103" s="147">
        <f>IF(t&lt;Tvie,1-EXP((T0-t)*PertePVj)+'2020'!Pspv,1-EXP((T0-t)*PertePVj)+Pspv)</f>
        <v>2.2414384254283437E-2</v>
      </c>
      <c r="M103" s="847"/>
      <c r="N103" s="847"/>
      <c r="O103" s="48">
        <f>IF(t&lt;Tnet,'2020'!Resal+('2020'!Salim-'2020'!Resal)*(1-EXP(('2020'!Tnet-t)/('2020'!Tau_j))),Resal+(Salim-Resal)*(1-EXP((Tnet-t)/(Tau_j))))*Salcycl</f>
        <v>4.6556479859724179E-2</v>
      </c>
      <c r="P103" s="168">
        <f>(INDEX(Models!$BJ103:$BT103,,T103)*(1-R103)+INDEX(Models!$BJ103:$BT103,,T103+1)*R103-ERP_i)*Q103*Ramure*Pc/MaxiM</f>
        <v>1.5927473848406369E-4</v>
      </c>
      <c r="Q103" s="304">
        <f t="shared" si="27"/>
        <v>0.5</v>
      </c>
      <c r="R103" s="176">
        <f t="shared" si="28"/>
        <v>0.44917859704231861</v>
      </c>
      <c r="S103" s="814">
        <f t="shared" si="29"/>
        <v>0</v>
      </c>
      <c r="T103" s="175">
        <f t="shared" si="30"/>
        <v>6</v>
      </c>
      <c r="U103" s="250">
        <f t="shared" si="31"/>
        <v>0.44917859704231861</v>
      </c>
      <c r="V103" s="382">
        <f t="shared" si="32"/>
        <v>50.768462311368893</v>
      </c>
      <c r="W103" s="401"/>
      <c r="X103" s="157">
        <f t="shared" si="33"/>
        <v>44285</v>
      </c>
      <c r="Y103" s="384">
        <f t="shared" si="34"/>
        <v>47.252000000000002</v>
      </c>
      <c r="Z103" s="384">
        <f t="shared" si="35"/>
        <v>48.335408417354309</v>
      </c>
      <c r="AA103" s="385">
        <f t="shared" si="36"/>
        <v>50.695617932610148</v>
      </c>
      <c r="AB103" s="196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4.6556479859724179E-2</v>
      </c>
      <c r="AD103" s="230">
        <f>(INDEX(Models!$BJ103:$BT103,,AH103)*(1-AF103)+INDEX(Models!$BJ103:$BT103,,AH103+1)*AF103-ERP_i)*AE103*Ramure*Pc/MaxiM</f>
        <v>1.5927473848406369E-4</v>
      </c>
      <c r="AE103" s="304">
        <f t="shared" si="38"/>
        <v>0.5</v>
      </c>
      <c r="AF103" s="176">
        <f t="shared" si="39"/>
        <v>0.44917859704231861</v>
      </c>
      <c r="AG103" s="814">
        <f t="shared" si="47"/>
        <v>0</v>
      </c>
      <c r="AH103" s="175">
        <f t="shared" si="40"/>
        <v>6</v>
      </c>
      <c r="AI103" s="224">
        <f t="shared" si="41"/>
        <v>0.44917859704231861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16">
        <v>45.695999999999998</v>
      </c>
      <c r="C104" s="389"/>
      <c r="D104" s="392">
        <f t="shared" si="24"/>
        <v>46.744755799970754</v>
      </c>
      <c r="E104" s="384">
        <f t="shared" si="45"/>
        <v>49.028870527118521</v>
      </c>
      <c r="F104" s="384">
        <f t="shared" si="25"/>
        <v>49.035449054954384</v>
      </c>
      <c r="G104" s="110">
        <f t="shared" si="46"/>
        <v>0.89545916445223173</v>
      </c>
      <c r="H104" s="413" t="b">
        <f>Wh_hp&gt;='2020'!Maxi_hp</f>
        <v>1</v>
      </c>
      <c r="I104" s="379">
        <f>IF(H104,Wh_hp,'2020'!Maxi_hp)</f>
        <v>49.035449054954384</v>
      </c>
      <c r="J104" s="85">
        <f>IF(H104,An,'2020'!An_max)</f>
        <v>2021</v>
      </c>
      <c r="K104" s="196">
        <f t="shared" si="26"/>
        <v>44286</v>
      </c>
      <c r="L104" s="147">
        <f>IF(t&lt;Tvie,1-EXP((T0-t)*PertePVj)+'2020'!Pspv,1-EXP((T0-t)*PertePVj)+Pspv)</f>
        <v>2.2435795888175569E-2</v>
      </c>
      <c r="M104" s="847"/>
      <c r="N104" s="847"/>
      <c r="O104" s="48">
        <f>IF(t&lt;Tnet,'2020'!Resal+('2020'!Salim-'2020'!Resal)*(1-EXP(('2020'!Tnet-t)/('2020'!Tau_j))),Resal+(Salim-Resal)*(1-EXP((Tnet-t)/(Tau_j))))*Salcycl</f>
        <v>4.6587137386417919E-2</v>
      </c>
      <c r="P104" s="168">
        <f>(INDEX(Models!$BJ104:$BT104,,T104)*(1-R104)+INDEX(Models!$BJ104:$BT104,,T104+1)*R104-ERP_i)*Q104*Ramure*Pc/MaxiM</f>
        <v>1.5770636983481454E-4</v>
      </c>
      <c r="Q104" s="304">
        <f t="shared" si="27"/>
        <v>0.5</v>
      </c>
      <c r="R104" s="176">
        <f t="shared" si="28"/>
        <v>0.44976847173251716</v>
      </c>
      <c r="S104" s="814">
        <f t="shared" si="29"/>
        <v>0</v>
      </c>
      <c r="T104" s="175">
        <f t="shared" si="30"/>
        <v>6</v>
      </c>
      <c r="U104" s="250">
        <f t="shared" si="31"/>
        <v>0.44976847173251716</v>
      </c>
      <c r="V104" s="382">
        <f t="shared" si="32"/>
        <v>51.029600936944483</v>
      </c>
      <c r="W104" s="401"/>
      <c r="X104" s="157">
        <f t="shared" si="33"/>
        <v>44286</v>
      </c>
      <c r="Y104" s="384">
        <f t="shared" si="34"/>
        <v>45.695999999999998</v>
      </c>
      <c r="Z104" s="384">
        <f t="shared" si="35"/>
        <v>46.744755799970754</v>
      </c>
      <c r="AA104" s="385">
        <f t="shared" si="36"/>
        <v>49.028870527118521</v>
      </c>
      <c r="AB104" s="196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4.6587137386417919E-2</v>
      </c>
      <c r="AD104" s="230">
        <f>(INDEX(Models!$BJ104:$BT104,,AH104)*(1-AF104)+INDEX(Models!$BJ104:$BT104,,AH104+1)*AF104-ERP_i)*AE104*Ramure*Pc/MaxiM</f>
        <v>1.5770636983481454E-4</v>
      </c>
      <c r="AE104" s="304">
        <f t="shared" si="38"/>
        <v>0.5</v>
      </c>
      <c r="AF104" s="176">
        <f t="shared" si="39"/>
        <v>0.44976847173251716</v>
      </c>
      <c r="AG104" s="814">
        <f t="shared" si="47"/>
        <v>0</v>
      </c>
      <c r="AH104" s="175">
        <f t="shared" si="40"/>
        <v>6</v>
      </c>
      <c r="AI104" s="224">
        <f t="shared" si="41"/>
        <v>0.44976847173251716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44287</v>
      </c>
      <c r="B105" s="616">
        <v>46.709000000000003</v>
      </c>
      <c r="C105" s="389"/>
      <c r="D105" s="392">
        <f t="shared" si="24"/>
        <v>47.782051422210358</v>
      </c>
      <c r="E105" s="384">
        <f t="shared" si="45"/>
        <v>50.118485137357681</v>
      </c>
      <c r="F105" s="384">
        <f t="shared" si="25"/>
        <v>50.125309607744178</v>
      </c>
      <c r="G105" s="110">
        <f t="shared" si="46"/>
        <v>0.91080567685642799</v>
      </c>
      <c r="H105" s="413" t="b">
        <f>Wh_hp&gt;='2020'!Maxi_hp</f>
        <v>1</v>
      </c>
      <c r="I105" s="379">
        <f>IF(H105,Wh_hp,'2020'!Maxi_hp)</f>
        <v>50.125309607744178</v>
      </c>
      <c r="J105" s="85">
        <f>IF(H105,An,'2020'!An_max)</f>
        <v>2021</v>
      </c>
      <c r="K105" s="196">
        <f t="shared" si="26"/>
        <v>44287</v>
      </c>
      <c r="L105" s="147">
        <f>IF(t&lt;Tvie,1-EXP((T0-t)*PertePVj)+'2020'!Pspv,1-EXP((T0-t)*PertePVj)+Pspv)</f>
        <v>2.2457207053098061E-2</v>
      </c>
      <c r="M105" s="847"/>
      <c r="N105" s="847"/>
      <c r="O105" s="48">
        <f>IF(t&lt;Tnet,'2020'!Resal+('2020'!Salim-'2020'!Resal)*(1-EXP(('2020'!Tnet-t)/('2020'!Tau_j))),Resal+(Salim-Resal)*(1-EXP((Tnet-t)/(Tau_j))))*Salcycl</f>
        <v>4.6618203019184505E-2</v>
      </c>
      <c r="P105" s="168">
        <f>(INDEX(Models!$BJ105:$BT105,,T105)*(1-R105)+INDEX(Models!$BJ105:$BT105,,T105+1)*R105-ERP_i)*Q105*Ramure*Pc/MaxiM</f>
        <v>1.5602492651165794E-4</v>
      </c>
      <c r="Q105" s="304">
        <f t="shared" si="27"/>
        <v>0.5</v>
      </c>
      <c r="R105" s="176">
        <f t="shared" si="28"/>
        <v>0.45038050717408834</v>
      </c>
      <c r="S105" s="814">
        <f t="shared" si="29"/>
        <v>0</v>
      </c>
      <c r="T105" s="175">
        <f t="shared" si="30"/>
        <v>6</v>
      </c>
      <c r="U105" s="250">
        <f t="shared" si="31"/>
        <v>0.45038050717408834</v>
      </c>
      <c r="V105" s="382">
        <f t="shared" si="32"/>
        <v>51.282147924790131</v>
      </c>
      <c r="W105" s="401"/>
      <c r="X105" s="157">
        <f t="shared" si="33"/>
        <v>44287</v>
      </c>
      <c r="Y105" s="384">
        <f t="shared" si="34"/>
        <v>46.709000000000003</v>
      </c>
      <c r="Z105" s="384">
        <f t="shared" si="35"/>
        <v>47.782051422210358</v>
      </c>
      <c r="AA105" s="385">
        <f t="shared" si="36"/>
        <v>50.118485137357681</v>
      </c>
      <c r="AB105" s="196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4.6618203019184505E-2</v>
      </c>
      <c r="AD105" s="230">
        <f>(INDEX(Models!$BJ105:$BT105,,AH105)*(1-AF105)+INDEX(Models!$BJ105:$BT105,,AH105+1)*AF105-ERP_i)*AE105*Ramure*Pc/MaxiM</f>
        <v>1.5602492651165794E-4</v>
      </c>
      <c r="AE105" s="304">
        <f t="shared" si="38"/>
        <v>0.5</v>
      </c>
      <c r="AF105" s="176">
        <f t="shared" si="39"/>
        <v>0.45038050717408834</v>
      </c>
      <c r="AG105" s="814">
        <f t="shared" si="47"/>
        <v>0</v>
      </c>
      <c r="AH105" s="175">
        <f t="shared" si="40"/>
        <v>6</v>
      </c>
      <c r="AI105" s="224">
        <f t="shared" si="41"/>
        <v>0.45038050717408834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44288</v>
      </c>
      <c r="B106" s="616">
        <v>39.82</v>
      </c>
      <c r="C106" s="389"/>
      <c r="D106" s="392">
        <f t="shared" si="24"/>
        <v>40.735681820387875</v>
      </c>
      <c r="E106" s="384">
        <f t="shared" si="45"/>
        <v>42.728975448311196</v>
      </c>
      <c r="F106" s="384">
        <f t="shared" si="25"/>
        <v>42.733427379675554</v>
      </c>
      <c r="G106" s="110">
        <f t="shared" si="46"/>
        <v>0.77278711595792027</v>
      </c>
      <c r="H106" s="413" t="b">
        <f>Wh_hp&gt;='2020'!Maxi_hp</f>
        <v>0</v>
      </c>
      <c r="I106" s="379">
        <f>IF(H106,Wh_hp,'2020'!Maxi_hp)</f>
        <v>43.183256148076218</v>
      </c>
      <c r="J106" s="85">
        <f>IF(H106,An,'2020'!An_max)</f>
        <v>2020</v>
      </c>
      <c r="K106" s="196">
        <f t="shared" si="26"/>
        <v>44288</v>
      </c>
      <c r="L106" s="147">
        <f>IF(t&lt;Tvie,1-EXP((T0-t)*PertePVj)+'2020'!Pspv,1-EXP((T0-t)*PertePVj)+Pspv)</f>
        <v>2.2478617749061014E-2</v>
      </c>
      <c r="M106" s="847"/>
      <c r="N106" s="847"/>
      <c r="O106" s="48">
        <f>IF(t&lt;Tnet,'2020'!Resal+('2020'!Salim-'2020'!Resal)*(1-EXP(('2020'!Tnet-t)/('2020'!Tau_j))),Resal+(Salim-Resal)*(1-EXP((Tnet-t)/(Tau_j))))*Salcycl</f>
        <v>4.6649693960825016E-2</v>
      </c>
      <c r="P106" s="168">
        <f>(INDEX(Models!$BJ106:$BT106,,T106)*(1-R106)+INDEX(Models!$BJ106:$BT106,,T106+1)*R106-ERP_i)*Q106*Ramure*Pc/MaxiM</f>
        <v>1.5423310618143643E-4</v>
      </c>
      <c r="Q106" s="304">
        <f t="shared" si="27"/>
        <v>0.5</v>
      </c>
      <c r="R106" s="176">
        <f t="shared" si="28"/>
        <v>0.45101542960375196</v>
      </c>
      <c r="S106" s="814">
        <f t="shared" si="29"/>
        <v>0</v>
      </c>
      <c r="T106" s="175">
        <f t="shared" si="30"/>
        <v>6</v>
      </c>
      <c r="U106" s="250">
        <f t="shared" si="31"/>
        <v>0.45101542960375196</v>
      </c>
      <c r="V106" s="382">
        <f t="shared" si="32"/>
        <v>51.52519474100955</v>
      </c>
      <c r="W106" s="401"/>
      <c r="X106" s="157">
        <f t="shared" si="33"/>
        <v>44288</v>
      </c>
      <c r="Y106" s="384">
        <f t="shared" si="34"/>
        <v>39.82</v>
      </c>
      <c r="Z106" s="384">
        <f t="shared" si="35"/>
        <v>40.735681820387875</v>
      </c>
      <c r="AA106" s="385">
        <f t="shared" si="36"/>
        <v>42.728975448311196</v>
      </c>
      <c r="AB106" s="196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4.6649693960825016E-2</v>
      </c>
      <c r="AD106" s="230">
        <f>(INDEX(Models!$BJ106:$BT106,,AH106)*(1-AF106)+INDEX(Models!$BJ106:$BT106,,AH106+1)*AF106-ERP_i)*AE106*Ramure*Pc/MaxiM</f>
        <v>1.5423310618143643E-4</v>
      </c>
      <c r="AE106" s="304">
        <f t="shared" si="38"/>
        <v>0.5</v>
      </c>
      <c r="AF106" s="176">
        <f t="shared" si="39"/>
        <v>0.45101542960375196</v>
      </c>
      <c r="AG106" s="814">
        <f t="shared" si="47"/>
        <v>0</v>
      </c>
      <c r="AH106" s="175">
        <f t="shared" si="40"/>
        <v>6</v>
      </c>
      <c r="AI106" s="224">
        <f t="shared" si="41"/>
        <v>0.45101542960375196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16">
        <v>47.578000000000003</v>
      </c>
      <c r="C107" s="389"/>
      <c r="D107" s="392">
        <f t="shared" si="24"/>
        <v>48.673147173077865</v>
      </c>
      <c r="E107" s="384">
        <f t="shared" si="45"/>
        <v>51.056550000413999</v>
      </c>
      <c r="F107" s="384">
        <f t="shared" si="25"/>
        <v>51.063430423468454</v>
      </c>
      <c r="G107" s="110">
        <f t="shared" si="46"/>
        <v>0.91918210867856476</v>
      </c>
      <c r="H107" s="413" t="b">
        <f>Wh_hp&gt;='2020'!Maxi_hp</f>
        <v>1</v>
      </c>
      <c r="I107" s="379">
        <f>IF(H107,Wh_hp,'2020'!Maxi_hp)</f>
        <v>51.063430423468454</v>
      </c>
      <c r="J107" s="85">
        <f>IF(H107,An,'2020'!An_max)</f>
        <v>2021</v>
      </c>
      <c r="K107" s="196">
        <f t="shared" si="26"/>
        <v>44289</v>
      </c>
      <c r="L107" s="147">
        <f>IF(t&lt;Tvie,1-EXP((T0-t)*PertePVj)+'2020'!Pspv,1-EXP((T0-t)*PertePVj)+Pspv)</f>
        <v>2.2500027976074866E-2</v>
      </c>
      <c r="M107" s="847"/>
      <c r="N107" s="847"/>
      <c r="O107" s="48">
        <f>IF(t&lt;Tnet,'2020'!Resal+('2020'!Salim-'2020'!Resal)*(1-EXP(('2020'!Tnet-t)/('2020'!Tau_j))),Resal+(Salim-Resal)*(1-EXP((Tnet-t)/(Tau_j))))*Salcycl</f>
        <v>4.6681627084415415E-2</v>
      </c>
      <c r="P107" s="168">
        <f>(INDEX(Models!$BJ107:$BT107,,T107)*(1-R107)+INDEX(Models!$BJ107:$BT107,,T107+1)*R107-ERP_i)*Q107*Ramure*Pc/MaxiM</f>
        <v>1.523257968337957E-4</v>
      </c>
      <c r="Q107" s="304">
        <f t="shared" si="27"/>
        <v>0.5</v>
      </c>
      <c r="R107" s="176">
        <f t="shared" si="28"/>
        <v>0.45167398048664009</v>
      </c>
      <c r="S107" s="814">
        <f t="shared" si="29"/>
        <v>0</v>
      </c>
      <c r="T107" s="175">
        <f t="shared" si="30"/>
        <v>6</v>
      </c>
      <c r="U107" s="250">
        <f t="shared" si="31"/>
        <v>0.45167398048664009</v>
      </c>
      <c r="V107" s="382">
        <f t="shared" si="32"/>
        <v>51.760323518204231</v>
      </c>
      <c r="W107" s="401"/>
      <c r="X107" s="157">
        <f t="shared" si="33"/>
        <v>44289</v>
      </c>
      <c r="Y107" s="384">
        <f t="shared" si="34"/>
        <v>47.578000000000003</v>
      </c>
      <c r="Z107" s="384">
        <f t="shared" si="35"/>
        <v>48.673147173077865</v>
      </c>
      <c r="AA107" s="385">
        <f t="shared" si="36"/>
        <v>51.056550000413999</v>
      </c>
      <c r="AB107" s="196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4.6681627084415415E-2</v>
      </c>
      <c r="AD107" s="230">
        <f>(INDEX(Models!$BJ107:$BT107,,AH107)*(1-AF107)+INDEX(Models!$BJ107:$BT107,,AH107+1)*AF107-ERP_i)*AE107*Ramure*Pc/MaxiM</f>
        <v>1.523257968337957E-4</v>
      </c>
      <c r="AE107" s="304">
        <f t="shared" si="38"/>
        <v>0.5</v>
      </c>
      <c r="AF107" s="176">
        <f t="shared" si="39"/>
        <v>0.45167398048664009</v>
      </c>
      <c r="AG107" s="814">
        <f t="shared" si="47"/>
        <v>0</v>
      </c>
      <c r="AH107" s="175">
        <f t="shared" si="40"/>
        <v>6</v>
      </c>
      <c r="AI107" s="224">
        <f t="shared" si="41"/>
        <v>0.45167398048664009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16">
        <v>49.487000000000002</v>
      </c>
      <c r="C108" s="389"/>
      <c r="D108" s="392">
        <f t="shared" si="24"/>
        <v>50.627197270993193</v>
      </c>
      <c r="E108" s="384">
        <f t="shared" si="45"/>
        <v>53.108089570806534</v>
      </c>
      <c r="F108" s="384">
        <f t="shared" si="25"/>
        <v>53.11551902017537</v>
      </c>
      <c r="G108" s="110">
        <f t="shared" si="46"/>
        <v>0.95185252883588956</v>
      </c>
      <c r="H108" s="413" t="b">
        <f>Wh_hp&gt;='2020'!Maxi_hp</f>
        <v>0</v>
      </c>
      <c r="I108" s="379">
        <f>IF(H108,Wh_hp,'2020'!Maxi_hp)</f>
        <v>56.358160230802568</v>
      </c>
      <c r="J108" s="85">
        <f>IF(H108,An,'2020'!An_max)</f>
        <v>2020</v>
      </c>
      <c r="K108" s="196">
        <f t="shared" si="26"/>
        <v>44290</v>
      </c>
      <c r="L108" s="147">
        <f>IF(t&lt;Tvie,1-EXP((T0-t)*PertePVj)+'2020'!Pspv,1-EXP((T0-t)*PertePVj)+Pspv)</f>
        <v>2.2521437734149719E-2</v>
      </c>
      <c r="M108" s="847"/>
      <c r="N108" s="847"/>
      <c r="O108" s="48">
        <f>IF(t&lt;Tnet,'2020'!Resal+('2020'!Salim-'2020'!Resal)*(1-EXP(('2020'!Tnet-t)/('2020'!Tau_j))),Resal+(Salim-Resal)*(1-EXP((Tnet-t)/(Tau_j))))*Salcycl</f>
        <v>4.6714018897359891E-2</v>
      </c>
      <c r="P108" s="168">
        <f>(INDEX(Models!$BJ108:$BT108,,T108)*(1-R108)+INDEX(Models!$BJ108:$BT108,,T108+1)*R108-ERP_i)*Q108*Ramure*Pc/MaxiM</f>
        <v>1.5020255899090136E-4</v>
      </c>
      <c r="Q108" s="304">
        <f t="shared" si="27"/>
        <v>0.5</v>
      </c>
      <c r="R108" s="176">
        <f t="shared" si="28"/>
        <v>0.45235691610755169</v>
      </c>
      <c r="S108" s="814">
        <f t="shared" si="29"/>
        <v>0</v>
      </c>
      <c r="T108" s="175">
        <f t="shared" si="30"/>
        <v>6</v>
      </c>
      <c r="U108" s="250">
        <f t="shared" si="31"/>
        <v>0.45235691610755169</v>
      </c>
      <c r="V108" s="382">
        <f t="shared" si="32"/>
        <v>51.989659397109314</v>
      </c>
      <c r="W108" s="401"/>
      <c r="X108" s="157">
        <f t="shared" si="33"/>
        <v>44290</v>
      </c>
      <c r="Y108" s="384">
        <f t="shared" si="34"/>
        <v>49.487000000000002</v>
      </c>
      <c r="Z108" s="384">
        <f t="shared" si="35"/>
        <v>50.627197270993193</v>
      </c>
      <c r="AA108" s="385">
        <f t="shared" si="36"/>
        <v>53.108089570806534</v>
      </c>
      <c r="AB108" s="196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4.6714018897359891E-2</v>
      </c>
      <c r="AD108" s="230">
        <f>(INDEX(Models!$BJ108:$BT108,,AH108)*(1-AF108)+INDEX(Models!$BJ108:$BT108,,AH108+1)*AF108-ERP_i)*AE108*Ramure*Pc/MaxiM</f>
        <v>1.5020255899090136E-4</v>
      </c>
      <c r="AE108" s="304">
        <f t="shared" si="38"/>
        <v>0.5</v>
      </c>
      <c r="AF108" s="176">
        <f t="shared" si="39"/>
        <v>0.45235691610755169</v>
      </c>
      <c r="AG108" s="814">
        <f t="shared" si="47"/>
        <v>0</v>
      </c>
      <c r="AH108" s="175">
        <f t="shared" si="40"/>
        <v>6</v>
      </c>
      <c r="AI108" s="224">
        <f t="shared" si="41"/>
        <v>0.45235691610755169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16">
        <v>48.038000000000004</v>
      </c>
      <c r="C109" s="389"/>
      <c r="D109" s="392">
        <f t="shared" si="24"/>
        <v>49.145888240427965</v>
      </c>
      <c r="E109" s="384">
        <f t="shared" si="45"/>
        <v>51.555969231280237</v>
      </c>
      <c r="F109" s="384">
        <f t="shared" si="25"/>
        <v>51.562731996651408</v>
      </c>
      <c r="G109" s="110">
        <f t="shared" si="46"/>
        <v>0.9200219123236294</v>
      </c>
      <c r="H109" s="413" t="b">
        <f>Wh_hp&gt;='2020'!Maxi_hp</f>
        <v>0</v>
      </c>
      <c r="I109" s="379">
        <f>IF(H109,Wh_hp,'2020'!Maxi_hp)</f>
        <v>58.338550286510831</v>
      </c>
      <c r="J109" s="85">
        <f>IF(H109,An,'2020'!An_max)</f>
        <v>2020</v>
      </c>
      <c r="K109" s="196">
        <f t="shared" si="26"/>
        <v>44291</v>
      </c>
      <c r="L109" s="147">
        <f>IF(t&lt;Tvie,1-EXP((T0-t)*PertePVj)+'2020'!Pspv,1-EXP((T0-t)*PertePVj)+Pspv)</f>
        <v>2.2542847023295898E-2</v>
      </c>
      <c r="M109" s="847"/>
      <c r="N109" s="847"/>
      <c r="O109" s="48">
        <f>IF(t&lt;Tnet,'2020'!Resal+('2020'!Salim-'2020'!Resal)*(1-EXP(('2020'!Tnet-t)/('2020'!Tau_j))),Resal+(Salim-Resal)*(1-EXP((Tnet-t)/(Tau_j))))*Salcycl</f>
        <v>4.6746885506906859E-2</v>
      </c>
      <c r="P109" s="168">
        <f>(INDEX(Models!$BJ109:$BT109,,T109)*(1-R109)+INDEX(Models!$BJ109:$BT109,,T109+1)*R109-ERP_i)*Q109*Ramure*Pc/MaxiM</f>
        <v>1.4807048550452624E-4</v>
      </c>
      <c r="Q109" s="304">
        <f t="shared" si="27"/>
        <v>0.5</v>
      </c>
      <c r="R109" s="176">
        <f t="shared" si="28"/>
        <v>0.45306500708436293</v>
      </c>
      <c r="S109" s="814">
        <f t="shared" si="29"/>
        <v>0</v>
      </c>
      <c r="T109" s="175">
        <f t="shared" si="30"/>
        <v>6</v>
      </c>
      <c r="U109" s="250">
        <f t="shared" si="31"/>
        <v>0.45306500708436293</v>
      </c>
      <c r="V109" s="382">
        <f t="shared" si="32"/>
        <v>52.213090487681512</v>
      </c>
      <c r="W109" s="401"/>
      <c r="X109" s="157">
        <f t="shared" si="33"/>
        <v>44291</v>
      </c>
      <c r="Y109" s="384">
        <f t="shared" si="34"/>
        <v>48.038000000000004</v>
      </c>
      <c r="Z109" s="384">
        <f t="shared" si="35"/>
        <v>49.145888240427965</v>
      </c>
      <c r="AA109" s="385">
        <f t="shared" si="36"/>
        <v>51.555969231280237</v>
      </c>
      <c r="AB109" s="196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4.6746885506906859E-2</v>
      </c>
      <c r="AD109" s="230">
        <f>(INDEX(Models!$BJ109:$BT109,,AH109)*(1-AF109)+INDEX(Models!$BJ109:$BT109,,AH109+1)*AF109-ERP_i)*AE109*Ramure*Pc/MaxiM</f>
        <v>1.4807048550452624E-4</v>
      </c>
      <c r="AE109" s="304">
        <f t="shared" si="38"/>
        <v>0.5</v>
      </c>
      <c r="AF109" s="176">
        <f t="shared" si="39"/>
        <v>0.45306500708436293</v>
      </c>
      <c r="AG109" s="814">
        <f t="shared" si="47"/>
        <v>0</v>
      </c>
      <c r="AH109" s="175">
        <f t="shared" si="40"/>
        <v>6</v>
      </c>
      <c r="AI109" s="224">
        <f t="shared" si="41"/>
        <v>0.45306500708436293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44292</v>
      </c>
      <c r="B110" s="616">
        <v>30.384</v>
      </c>
      <c r="C110" s="389"/>
      <c r="D110" s="392">
        <f t="shared" si="24"/>
        <v>31.085419355337049</v>
      </c>
      <c r="E110" s="384">
        <f t="shared" si="45"/>
        <v>32.61096836651776</v>
      </c>
      <c r="F110" s="384">
        <f t="shared" si="25"/>
        <v>32.612868697830564</v>
      </c>
      <c r="G110" s="110">
        <f t="shared" si="46"/>
        <v>0.57945904246453506</v>
      </c>
      <c r="H110" s="413" t="b">
        <f>Wh_hp&gt;='2020'!Maxi_hp</f>
        <v>0</v>
      </c>
      <c r="I110" s="379">
        <f>IF(H110,Wh_hp,'2020'!Maxi_hp)</f>
        <v>58.925500878405153</v>
      </c>
      <c r="J110" s="85">
        <f>IF(H110,An,'2020'!An_max)</f>
        <v>2020</v>
      </c>
      <c r="K110" s="196">
        <f t="shared" si="26"/>
        <v>44292</v>
      </c>
      <c r="L110" s="147">
        <f>IF(t&lt;Tvie,1-EXP((T0-t)*PertePVj)+'2020'!Pspv,1-EXP((T0-t)*PertePVj)+Pspv)</f>
        <v>2.2564255843523728E-2</v>
      </c>
      <c r="M110" s="847"/>
      <c r="N110" s="847"/>
      <c r="O110" s="48">
        <f>IF(t&lt;Tnet,'2020'!Resal+('2020'!Salim-'2020'!Resal)*(1-EXP(('2020'!Tnet-t)/('2020'!Tau_j))),Resal+(Salim-Resal)*(1-EXP((Tnet-t)/(Tau_j))))*Salcycl</f>
        <v>4.6780242586939483E-2</v>
      </c>
      <c r="P110" s="168">
        <f>(INDEX(Models!$BJ110:$BT110,,T110)*(1-R110)+INDEX(Models!$BJ110:$BT110,,T110+1)*R110-ERP_i)*Q110*Ramure*Pc/MaxiM</f>
        <v>1.4592888132923223E-4</v>
      </c>
      <c r="Q110" s="304">
        <f t="shared" si="27"/>
        <v>0.5</v>
      </c>
      <c r="R110" s="176">
        <f t="shared" si="28"/>
        <v>0.45379903779818703</v>
      </c>
      <c r="S110" s="814">
        <f t="shared" si="29"/>
        <v>0</v>
      </c>
      <c r="T110" s="175">
        <f t="shared" si="30"/>
        <v>6</v>
      </c>
      <c r="U110" s="250">
        <f t="shared" si="31"/>
        <v>0.45379903779818703</v>
      </c>
      <c r="V110" s="382">
        <f t="shared" si="32"/>
        <v>52.430515656437812</v>
      </c>
      <c r="W110" s="401"/>
      <c r="X110" s="157">
        <f t="shared" si="33"/>
        <v>44292</v>
      </c>
      <c r="Y110" s="384">
        <f t="shared" si="34"/>
        <v>30.384</v>
      </c>
      <c r="Z110" s="384">
        <f t="shared" si="35"/>
        <v>31.085419355337049</v>
      </c>
      <c r="AA110" s="385">
        <f t="shared" si="36"/>
        <v>32.61096836651776</v>
      </c>
      <c r="AB110" s="196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4.6780242586939483E-2</v>
      </c>
      <c r="AD110" s="230">
        <f>(INDEX(Models!$BJ110:$BT110,,AH110)*(1-AF110)+INDEX(Models!$BJ110:$BT110,,AH110+1)*AF110-ERP_i)*AE110*Ramure*Pc/MaxiM</f>
        <v>1.4592888132923223E-4</v>
      </c>
      <c r="AE110" s="304">
        <f t="shared" si="38"/>
        <v>0.5</v>
      </c>
      <c r="AF110" s="176">
        <f t="shared" si="39"/>
        <v>0.45379903779818703</v>
      </c>
      <c r="AG110" s="814">
        <f t="shared" si="47"/>
        <v>0</v>
      </c>
      <c r="AH110" s="175">
        <f t="shared" si="40"/>
        <v>6</v>
      </c>
      <c r="AI110" s="224">
        <f t="shared" si="41"/>
        <v>0.45379903779818703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16">
        <v>52.920999999999999</v>
      </c>
      <c r="C111" s="389"/>
      <c r="D111" s="392">
        <f t="shared" si="24"/>
        <v>54.143875387714367</v>
      </c>
      <c r="E111" s="384">
        <f t="shared" si="45"/>
        <v>56.803059813803245</v>
      </c>
      <c r="F111" s="384">
        <f t="shared" si="25"/>
        <v>56.811227959193118</v>
      </c>
      <c r="G111" s="110">
        <f t="shared" si="46"/>
        <v>1.0053031240391095</v>
      </c>
      <c r="H111" s="413" t="b">
        <f>Wh_hp&gt;='2020'!Maxi_hp</f>
        <v>1</v>
      </c>
      <c r="I111" s="379">
        <f>IF(H111,Wh_hp,'2020'!Maxi_hp)</f>
        <v>56.811227959193118</v>
      </c>
      <c r="J111" s="85">
        <f>IF(H111,An,'2020'!An_max)</f>
        <v>2021</v>
      </c>
      <c r="K111" s="196">
        <f t="shared" si="26"/>
        <v>44293</v>
      </c>
      <c r="L111" s="147">
        <f>IF(t&lt;Tvie,1-EXP((T0-t)*PertePVj)+'2020'!Pspv,1-EXP((T0-t)*PertePVj)+Pspv)</f>
        <v>2.2585664194843535E-2</v>
      </c>
      <c r="M111" s="847"/>
      <c r="N111" s="847"/>
      <c r="O111" s="48">
        <f>IF(t&lt;Tnet,'2020'!Resal+('2020'!Salim-'2020'!Resal)*(1-EXP(('2020'!Tnet-t)/('2020'!Tau_j))),Resal+(Salim-Resal)*(1-EXP((Tnet-t)/(Tau_j))))*Salcycl</f>
        <v>4.6814105345830241E-2</v>
      </c>
      <c r="P111" s="168">
        <f>(INDEX(Models!$BJ111:$BT111,,T111)*(1-R111)+INDEX(Models!$BJ111:$BT111,,T111+1)*R111-ERP_i)*Q111*Ramure*Pc/MaxiM</f>
        <v>1.4377695542403999E-4</v>
      </c>
      <c r="Q111" s="304">
        <f t="shared" si="27"/>
        <v>0.5</v>
      </c>
      <c r="R111" s="176">
        <f t="shared" si="28"/>
        <v>0.45455980573475646</v>
      </c>
      <c r="S111" s="814">
        <f t="shared" si="29"/>
        <v>0</v>
      </c>
      <c r="T111" s="175">
        <f t="shared" si="30"/>
        <v>6</v>
      </c>
      <c r="U111" s="250">
        <f t="shared" si="31"/>
        <v>0.45455980573475646</v>
      </c>
      <c r="V111" s="382">
        <f t="shared" si="32"/>
        <v>52.641833825576768</v>
      </c>
      <c r="W111" s="401"/>
      <c r="X111" s="157">
        <f t="shared" si="33"/>
        <v>44293</v>
      </c>
      <c r="Y111" s="384">
        <f t="shared" si="34"/>
        <v>52.920999999999999</v>
      </c>
      <c r="Z111" s="384">
        <f t="shared" si="35"/>
        <v>54.143875387714367</v>
      </c>
      <c r="AA111" s="385">
        <f t="shared" si="36"/>
        <v>56.803059813803245</v>
      </c>
      <c r="AB111" s="196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4.6814105345830241E-2</v>
      </c>
      <c r="AD111" s="230">
        <f>(INDEX(Models!$BJ111:$BT111,,AH111)*(1-AF111)+INDEX(Models!$BJ111:$BT111,,AH111+1)*AF111-ERP_i)*AE111*Ramure*Pc/MaxiM</f>
        <v>1.4377695542403999E-4</v>
      </c>
      <c r="AE111" s="304">
        <f t="shared" si="38"/>
        <v>0.5</v>
      </c>
      <c r="AF111" s="176">
        <f t="shared" si="39"/>
        <v>0.45455980573475646</v>
      </c>
      <c r="AG111" s="814">
        <f t="shared" si="47"/>
        <v>0</v>
      </c>
      <c r="AH111" s="175">
        <f t="shared" si="40"/>
        <v>6</v>
      </c>
      <c r="AI111" s="224">
        <f t="shared" si="41"/>
        <v>0.45455980573475646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44294</v>
      </c>
      <c r="B112" s="616">
        <v>51.06</v>
      </c>
      <c r="C112" s="389"/>
      <c r="D112" s="392">
        <f t="shared" si="24"/>
        <v>52.241016423679739</v>
      </c>
      <c r="E112" s="384">
        <f t="shared" si="45"/>
        <v>54.808722215841392</v>
      </c>
      <c r="F112" s="384">
        <f t="shared" si="25"/>
        <v>54.816109955651925</v>
      </c>
      <c r="G112" s="110">
        <f t="shared" si="46"/>
        <v>0.9661798171399254</v>
      </c>
      <c r="H112" s="413" t="b">
        <f>Wh_hp&gt;='2020'!Maxi_hp</f>
        <v>1</v>
      </c>
      <c r="I112" s="379">
        <f>IF(H112,Wh_hp,'2020'!Maxi_hp)</f>
        <v>54.816109955651925</v>
      </c>
      <c r="J112" s="85">
        <f>IF(H112,An,'2020'!An_max)</f>
        <v>2021</v>
      </c>
      <c r="K112" s="196">
        <f t="shared" si="26"/>
        <v>44294</v>
      </c>
      <c r="L112" s="147">
        <f>IF(t&lt;Tvie,1-EXP((T0-t)*PertePVj)+'2020'!Pspv,1-EXP((T0-t)*PertePVj)+Pspv)</f>
        <v>2.2607072077265422E-2</v>
      </c>
      <c r="M112" s="847"/>
      <c r="N112" s="847"/>
      <c r="O112" s="48">
        <f>IF(t&lt;Tnet,'2020'!Resal+('2020'!Salim-'2020'!Resal)*(1-EXP(('2020'!Tnet-t)/('2020'!Tau_j))),Resal+(Salim-Resal)*(1-EXP((Tnet-t)/(Tau_j))))*Salcycl</f>
        <v>4.6848488495130534E-2</v>
      </c>
      <c r="P112" s="168">
        <f>(INDEX(Models!$BJ112:$BT112,,T112)*(1-R112)+INDEX(Models!$BJ112:$BT112,,T112+1)*R112-ERP_i)*Q112*Ramure*Pc/MaxiM</f>
        <v>1.4161382029753751E-4</v>
      </c>
      <c r="Q112" s="304">
        <f t="shared" si="27"/>
        <v>0.5</v>
      </c>
      <c r="R112" s="176">
        <f t="shared" si="28"/>
        <v>0.45534812073140257</v>
      </c>
      <c r="S112" s="814">
        <f t="shared" si="29"/>
        <v>0</v>
      </c>
      <c r="T112" s="175">
        <f t="shared" si="30"/>
        <v>6</v>
      </c>
      <c r="U112" s="250">
        <f t="shared" si="31"/>
        <v>0.45534812073140257</v>
      </c>
      <c r="V112" s="382">
        <f t="shared" si="32"/>
        <v>52.846943977200091</v>
      </c>
      <c r="W112" s="401"/>
      <c r="X112" s="157">
        <f t="shared" si="33"/>
        <v>44294</v>
      </c>
      <c r="Y112" s="384">
        <f t="shared" si="34"/>
        <v>51.06</v>
      </c>
      <c r="Z112" s="384">
        <f t="shared" si="35"/>
        <v>52.241016423679739</v>
      </c>
      <c r="AA112" s="385">
        <f t="shared" si="36"/>
        <v>54.808722215841392</v>
      </c>
      <c r="AB112" s="196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4.6848488495130534E-2</v>
      </c>
      <c r="AD112" s="230">
        <f>(INDEX(Models!$BJ112:$BT112,,AH112)*(1-AF112)+INDEX(Models!$BJ112:$BT112,,AH112+1)*AF112-ERP_i)*AE112*Ramure*Pc/MaxiM</f>
        <v>1.4161382029753751E-4</v>
      </c>
      <c r="AE112" s="304">
        <f t="shared" si="38"/>
        <v>0.5</v>
      </c>
      <c r="AF112" s="176">
        <f t="shared" si="39"/>
        <v>0.45534812073140257</v>
      </c>
      <c r="AG112" s="814">
        <f t="shared" si="47"/>
        <v>0</v>
      </c>
      <c r="AH112" s="175">
        <f t="shared" si="40"/>
        <v>6</v>
      </c>
      <c r="AI112" s="224">
        <f t="shared" si="41"/>
        <v>0.45534812073140257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16">
        <v>30.943999999999999</v>
      </c>
      <c r="C113" s="389"/>
      <c r="D113" s="392">
        <f t="shared" si="24"/>
        <v>31.660427330518594</v>
      </c>
      <c r="E113" s="384">
        <f t="shared" si="45"/>
        <v>33.21779049603709</v>
      </c>
      <c r="F113" s="384">
        <f t="shared" si="25"/>
        <v>33.219665474592922</v>
      </c>
      <c r="G113" s="110">
        <f t="shared" si="46"/>
        <v>0.58329714312629366</v>
      </c>
      <c r="H113" s="413" t="b">
        <f>Wh_hp&gt;='2020'!Maxi_hp</f>
        <v>0</v>
      </c>
      <c r="I113" s="379">
        <f>IF(H113,Wh_hp,'2020'!Maxi_hp)</f>
        <v>51.284257833174017</v>
      </c>
      <c r="J113" s="85">
        <f>IF(H113,An,'2020'!An_max)</f>
        <v>2020</v>
      </c>
      <c r="K113" s="196">
        <f t="shared" si="26"/>
        <v>44295</v>
      </c>
      <c r="L113" s="147">
        <f>IF(t&lt;Tvie,1-EXP((T0-t)*PertePVj)+'2020'!Pspv,1-EXP((T0-t)*PertePVj)+Pspv)</f>
        <v>2.2628479490799713E-2</v>
      </c>
      <c r="M113" s="847"/>
      <c r="N113" s="847"/>
      <c r="O113" s="48">
        <f>IF(t&lt;Tnet,'2020'!Resal+('2020'!Salim-'2020'!Resal)*(1-EXP(('2020'!Tnet-t)/('2020'!Tau_j))),Resal+(Salim-Resal)*(1-EXP((Tnet-t)/(Tau_j))))*Salcycl</f>
        <v>4.6883406218853986E-2</v>
      </c>
      <c r="P113" s="168">
        <f>(INDEX(Models!$BJ113:$BT113,,T113)*(1-R113)+INDEX(Models!$BJ113:$BT113,,T113+1)*R113-ERP_i)*Q113*Ramure*Pc/MaxiM</f>
        <v>1.3943849164239875E-4</v>
      </c>
      <c r="Q113" s="304">
        <f t="shared" si="27"/>
        <v>0.5</v>
      </c>
      <c r="R113" s="176">
        <f t="shared" si="28"/>
        <v>0.45616480412394222</v>
      </c>
      <c r="S113" s="814">
        <f t="shared" si="29"/>
        <v>0</v>
      </c>
      <c r="T113" s="175">
        <f t="shared" si="30"/>
        <v>6</v>
      </c>
      <c r="U113" s="250">
        <f t="shared" si="31"/>
        <v>0.45616480412394222</v>
      </c>
      <c r="V113" s="382">
        <f t="shared" si="32"/>
        <v>53.04574515890107</v>
      </c>
      <c r="W113" s="401"/>
      <c r="X113" s="157">
        <f t="shared" si="33"/>
        <v>44295</v>
      </c>
      <c r="Y113" s="384">
        <f t="shared" si="34"/>
        <v>30.943999999999999</v>
      </c>
      <c r="Z113" s="384">
        <f t="shared" si="35"/>
        <v>31.660427330518594</v>
      </c>
      <c r="AA113" s="385">
        <f t="shared" si="36"/>
        <v>33.21779049603709</v>
      </c>
      <c r="AB113" s="196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4.6883406218853986E-2</v>
      </c>
      <c r="AD113" s="230">
        <f>(INDEX(Models!$BJ113:$BT113,,AH113)*(1-AF113)+INDEX(Models!$BJ113:$BT113,,AH113+1)*AF113-ERP_i)*AE113*Ramure*Pc/MaxiM</f>
        <v>1.3943849164239875E-4</v>
      </c>
      <c r="AE113" s="304">
        <f t="shared" si="38"/>
        <v>0.5</v>
      </c>
      <c r="AF113" s="176">
        <f t="shared" si="39"/>
        <v>0.45616480412394222</v>
      </c>
      <c r="AG113" s="814">
        <f t="shared" si="47"/>
        <v>0</v>
      </c>
      <c r="AH113" s="175">
        <f t="shared" si="40"/>
        <v>6</v>
      </c>
      <c r="AI113" s="224">
        <f t="shared" si="41"/>
        <v>0.45616480412394222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16">
        <v>29.45</v>
      </c>
      <c r="C114" s="389"/>
      <c r="D114" s="392">
        <f t="shared" si="24"/>
        <v>30.13249764978428</v>
      </c>
      <c r="E114" s="384">
        <f t="shared" si="45"/>
        <v>31.615879035964543</v>
      </c>
      <c r="F114" s="384">
        <f t="shared" si="25"/>
        <v>31.617446949152317</v>
      </c>
      <c r="G114" s="110">
        <f t="shared" si="46"/>
        <v>0.55312639087176674</v>
      </c>
      <c r="H114" s="413" t="b">
        <f>Wh_hp&gt;='2020'!Maxi_hp</f>
        <v>0</v>
      </c>
      <c r="I114" s="379">
        <f>IF(H114,Wh_hp,'2020'!Maxi_hp)</f>
        <v>56.741360880863638</v>
      </c>
      <c r="J114" s="85">
        <f>IF(H114,An,'2020'!An_max)</f>
        <v>2020</v>
      </c>
      <c r="K114" s="196">
        <f t="shared" si="26"/>
        <v>44296</v>
      </c>
      <c r="L114" s="147">
        <f>IF(t&lt;Tvie,1-EXP((T0-t)*PertePVj)+'2020'!Pspv,1-EXP((T0-t)*PertePVj)+Pspv)</f>
        <v>2.2649886435456734E-2</v>
      </c>
      <c r="M114" s="847"/>
      <c r="N114" s="847"/>
      <c r="O114" s="48">
        <f>IF(t&lt;Tnet,'2020'!Resal+('2020'!Salim-'2020'!Resal)*(1-EXP(('2020'!Tnet-t)/('2020'!Tau_j))),Resal+(Salim-Resal)*(1-EXP((Tnet-t)/(Tau_j))))*Salcycl</f>
        <v>4.691887214310396E-2</v>
      </c>
      <c r="P114" s="168">
        <f>(INDEX(Models!$BJ114:$BT114,,T114)*(1-R114)+INDEX(Models!$BJ114:$BT114,,T114+1)*R114-ERP_i)*Q114*Ramure*Pc/MaxiM</f>
        <v>1.3711114755846581E-4</v>
      </c>
      <c r="Q114" s="304">
        <f t="shared" si="27"/>
        <v>0.5</v>
      </c>
      <c r="R114" s="176">
        <f t="shared" si="28"/>
        <v>0.45701068778774773</v>
      </c>
      <c r="S114" s="814">
        <f t="shared" si="29"/>
        <v>0</v>
      </c>
      <c r="T114" s="175">
        <f t="shared" si="30"/>
        <v>6</v>
      </c>
      <c r="U114" s="250">
        <f t="shared" si="31"/>
        <v>0.45701068778774773</v>
      </c>
      <c r="V114" s="382">
        <f t="shared" si="32"/>
        <v>53.238143874654696</v>
      </c>
      <c r="W114" s="401"/>
      <c r="X114" s="157">
        <f t="shared" si="33"/>
        <v>44296</v>
      </c>
      <c r="Y114" s="384">
        <f t="shared" si="34"/>
        <v>29.45</v>
      </c>
      <c r="Z114" s="384">
        <f t="shared" si="35"/>
        <v>30.13249764978428</v>
      </c>
      <c r="AA114" s="385">
        <f t="shared" si="36"/>
        <v>31.615879035964543</v>
      </c>
      <c r="AB114" s="196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4.691887214310396E-2</v>
      </c>
      <c r="AD114" s="230">
        <f>(INDEX(Models!$BJ114:$BT114,,AH114)*(1-AF114)+INDEX(Models!$BJ114:$BT114,,AH114+1)*AF114-ERP_i)*AE114*Ramure*Pc/MaxiM</f>
        <v>1.3711114755846581E-4</v>
      </c>
      <c r="AE114" s="304">
        <f t="shared" si="38"/>
        <v>0.5</v>
      </c>
      <c r="AF114" s="176">
        <f t="shared" si="39"/>
        <v>0.45701068778774773</v>
      </c>
      <c r="AG114" s="814">
        <f t="shared" si="47"/>
        <v>0</v>
      </c>
      <c r="AH114" s="175">
        <f t="shared" si="40"/>
        <v>6</v>
      </c>
      <c r="AI114" s="224">
        <f t="shared" si="41"/>
        <v>0.45701068778774773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16">
        <v>6.8109999999999999</v>
      </c>
      <c r="C115" s="389"/>
      <c r="D115" s="392">
        <f t="shared" si="24"/>
        <v>6.9689961530839177</v>
      </c>
      <c r="E115" s="384">
        <f t="shared" si="45"/>
        <v>7.3123466539071842</v>
      </c>
      <c r="F115" s="384">
        <f t="shared" si="25"/>
        <v>7.3123466539071842</v>
      </c>
      <c r="G115" s="110">
        <f t="shared" si="46"/>
        <v>0.12747225984298566</v>
      </c>
      <c r="H115" s="413" t="b">
        <f>Wh_hp&gt;='2020'!Maxi_hp</f>
        <v>0</v>
      </c>
      <c r="I115" s="379">
        <f>IF(H115,Wh_hp,'2020'!Maxi_hp)</f>
        <v>57.80661489847374</v>
      </c>
      <c r="J115" s="85">
        <f>IF(H115,An,'2020'!An_max)</f>
        <v>2020</v>
      </c>
      <c r="K115" s="196">
        <f t="shared" si="26"/>
        <v>44297</v>
      </c>
      <c r="L115" s="147">
        <f>IF(t&lt;Tvie,1-EXP((T0-t)*PertePVj)+'2020'!Pspv,1-EXP((T0-t)*PertePVj)+Pspv)</f>
        <v>2.267129291124681E-2</v>
      </c>
      <c r="M115" s="847"/>
      <c r="N115" s="847"/>
      <c r="O115" s="48">
        <f>IF(t&lt;Tnet,'2020'!Resal+('2020'!Salim-'2020'!Resal)*(1-EXP(('2020'!Tnet-t)/('2020'!Tau_j))),Resal+(Salim-Resal)*(1-EXP((Tnet-t)/(Tau_j))))*Salcycl</f>
        <v>4.6954899305793323E-2</v>
      </c>
      <c r="P115" s="168">
        <f>(INDEX(Models!$BJ115:$BT115,,T115)*(1-R115)+INDEX(Models!$BJ115:$BT115,,T115+1)*R115-ERP_i)*Q115*Ramure*Pc/MaxiM</f>
        <v>1.3459516284180506E-4</v>
      </c>
      <c r="Q115" s="304">
        <f t="shared" si="27"/>
        <v>0.5</v>
      </c>
      <c r="R115" s="176">
        <f t="shared" si="28"/>
        <v>0.45788661306728601</v>
      </c>
      <c r="S115" s="814">
        <f t="shared" si="29"/>
        <v>0</v>
      </c>
      <c r="T115" s="175">
        <f t="shared" si="30"/>
        <v>6</v>
      </c>
      <c r="U115" s="250">
        <f t="shared" si="31"/>
        <v>0.45788661306728601</v>
      </c>
      <c r="V115" s="382">
        <f t="shared" si="32"/>
        <v>53.424041283446499</v>
      </c>
      <c r="W115" s="401"/>
      <c r="X115" s="157">
        <f t="shared" si="33"/>
        <v>44297</v>
      </c>
      <c r="Y115" s="384">
        <f t="shared" si="34"/>
        <v>6.8109999999999999</v>
      </c>
      <c r="Z115" s="384">
        <f t="shared" si="35"/>
        <v>6.9689961530839177</v>
      </c>
      <c r="AA115" s="385">
        <f t="shared" si="36"/>
        <v>7.3123466539071842</v>
      </c>
      <c r="AB115" s="196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4.6954899305793323E-2</v>
      </c>
      <c r="AD115" s="230">
        <f>(INDEX(Models!$BJ115:$BT115,,AH115)*(1-AF115)+INDEX(Models!$BJ115:$BT115,,AH115+1)*AF115-ERP_i)*AE115*Ramure*Pc/MaxiM</f>
        <v>1.3459516284180506E-4</v>
      </c>
      <c r="AE115" s="304">
        <f t="shared" si="38"/>
        <v>0.5</v>
      </c>
      <c r="AF115" s="176">
        <f t="shared" si="39"/>
        <v>0.45788661306728601</v>
      </c>
      <c r="AG115" s="814">
        <f t="shared" si="47"/>
        <v>0</v>
      </c>
      <c r="AH115" s="175">
        <f t="shared" si="40"/>
        <v>6</v>
      </c>
      <c r="AI115" s="224">
        <f t="shared" si="41"/>
        <v>0.45788661306728601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16">
        <v>42.923999999999999</v>
      </c>
      <c r="C116" s="389"/>
      <c r="D116" s="392">
        <f t="shared" si="24"/>
        <v>43.920678738904058</v>
      </c>
      <c r="E116" s="384">
        <f t="shared" si="45"/>
        <v>46.086345236921325</v>
      </c>
      <c r="F116" s="384">
        <f t="shared" si="25"/>
        <v>46.090693936015256</v>
      </c>
      <c r="G116" s="110">
        <f t="shared" si="46"/>
        <v>0.80074098298822571</v>
      </c>
      <c r="H116" s="413" t="b">
        <f>Wh_hp&gt;='2020'!Maxi_hp</f>
        <v>0</v>
      </c>
      <c r="I116" s="379">
        <f>IF(H116,Wh_hp,'2020'!Maxi_hp)</f>
        <v>57.16977965777064</v>
      </c>
      <c r="J116" s="85">
        <f>IF(H116,An,'2020'!An_max)</f>
        <v>2019</v>
      </c>
      <c r="K116" s="196">
        <f t="shared" si="26"/>
        <v>44298</v>
      </c>
      <c r="L116" s="147">
        <f>IF(t&lt;Tvie,1-EXP((T0-t)*PertePVj)+'2020'!Pspv,1-EXP((T0-t)*PertePVj)+Pspv)</f>
        <v>2.2692698918180043E-2</v>
      </c>
      <c r="M116" s="847"/>
      <c r="N116" s="847"/>
      <c r="O116" s="48">
        <f>IF(t&lt;Tnet,'2020'!Resal+('2020'!Salim-'2020'!Resal)*(1-EXP(('2020'!Tnet-t)/('2020'!Tau_j))),Resal+(Salim-Resal)*(1-EXP((Tnet-t)/(Tau_j))))*Salcycl</f>
        <v>4.6991500126208188E-2</v>
      </c>
      <c r="P116" s="168">
        <f>(INDEX(Models!$BJ116:$BT116,,T116)*(1-R116)+INDEX(Models!$BJ116:$BT116,,T116+1)*R116-ERP_i)*Q116*Ramure*Pc/MaxiM</f>
        <v>1.3188789658727881E-4</v>
      </c>
      <c r="Q116" s="304">
        <f t="shared" si="27"/>
        <v>0.5</v>
      </c>
      <c r="R116" s="176">
        <f t="shared" si="28"/>
        <v>0.45879342958846298</v>
      </c>
      <c r="S116" s="814">
        <f t="shared" si="29"/>
        <v>0</v>
      </c>
      <c r="T116" s="175">
        <f t="shared" si="30"/>
        <v>6</v>
      </c>
      <c r="U116" s="250">
        <f t="shared" si="31"/>
        <v>0.45879342958846298</v>
      </c>
      <c r="V116" s="382">
        <f t="shared" si="32"/>
        <v>53.603336812284859</v>
      </c>
      <c r="W116" s="401"/>
      <c r="X116" s="157">
        <f t="shared" si="33"/>
        <v>44298</v>
      </c>
      <c r="Y116" s="384">
        <f t="shared" si="34"/>
        <v>42.923999999999999</v>
      </c>
      <c r="Z116" s="384">
        <f t="shared" si="35"/>
        <v>43.920678738904058</v>
      </c>
      <c r="AA116" s="385">
        <f t="shared" si="36"/>
        <v>46.086345236921325</v>
      </c>
      <c r="AB116" s="196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4.6991500126208188E-2</v>
      </c>
      <c r="AD116" s="230">
        <f>(INDEX(Models!$BJ116:$BT116,,AH116)*(1-AF116)+INDEX(Models!$BJ116:$BT116,,AH116+1)*AF116-ERP_i)*AE116*Ramure*Pc/MaxiM</f>
        <v>1.3188789658727881E-4</v>
      </c>
      <c r="AE116" s="304">
        <f t="shared" si="38"/>
        <v>0.5</v>
      </c>
      <c r="AF116" s="176">
        <f t="shared" si="39"/>
        <v>0.45879342958846298</v>
      </c>
      <c r="AG116" s="814">
        <f t="shared" si="47"/>
        <v>0</v>
      </c>
      <c r="AH116" s="175">
        <f t="shared" si="40"/>
        <v>6</v>
      </c>
      <c r="AI116" s="224">
        <f t="shared" si="41"/>
        <v>0.45879342958846298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16">
        <v>47.614000000000004</v>
      </c>
      <c r="C117" s="389"/>
      <c r="D117" s="392">
        <f t="shared" si="24"/>
        <v>48.720645838758337</v>
      </c>
      <c r="E117" s="384">
        <f t="shared" si="45"/>
        <v>51.124986809296594</v>
      </c>
      <c r="F117" s="384">
        <f t="shared" si="25"/>
        <v>51.130502361251047</v>
      </c>
      <c r="G117" s="110">
        <f t="shared" si="46"/>
        <v>0.88539602340327594</v>
      </c>
      <c r="H117" s="413" t="b">
        <f>Wh_hp&gt;='2020'!Maxi_hp</f>
        <v>0</v>
      </c>
      <c r="I117" s="379">
        <f>IF(H117,Wh_hp,'2020'!Maxi_hp)</f>
        <v>58.311942637393507</v>
      </c>
      <c r="J117" s="85">
        <f>IF(H117,An,'2020'!An_max)</f>
        <v>2019</v>
      </c>
      <c r="K117" s="196">
        <f t="shared" si="26"/>
        <v>44299</v>
      </c>
      <c r="L117" s="147">
        <f>IF(t&lt;Tvie,1-EXP((T0-t)*PertePVj)+'2020'!Pspv,1-EXP((T0-t)*PertePVj)+Pspv)</f>
        <v>2.2714104456266759E-2</v>
      </c>
      <c r="M117" s="847"/>
      <c r="N117" s="847"/>
      <c r="O117" s="48">
        <f>IF(t&lt;Tnet,'2020'!Resal+('2020'!Salim-'2020'!Resal)*(1-EXP(('2020'!Tnet-t)/('2020'!Tau_j))),Resal+(Salim-Resal)*(1-EXP((Tnet-t)/(Tau_j))))*Salcycl</f>
        <v>4.7028686374175226E-2</v>
      </c>
      <c r="P117" s="168">
        <f>(INDEX(Models!$BJ117:$BT117,,T117)*(1-R117)+INDEX(Models!$BJ117:$BT117,,T117+1)*R117-ERP_i)*Q117*Ramure*Pc/MaxiM</f>
        <v>1.2898622173307715E-4</v>
      </c>
      <c r="Q117" s="304">
        <f t="shared" si="27"/>
        <v>0.5</v>
      </c>
      <c r="R117" s="176">
        <f t="shared" si="28"/>
        <v>0.4597319939482159</v>
      </c>
      <c r="S117" s="814">
        <f t="shared" si="29"/>
        <v>0</v>
      </c>
      <c r="T117" s="175">
        <f t="shared" si="30"/>
        <v>6</v>
      </c>
      <c r="U117" s="250">
        <f t="shared" si="31"/>
        <v>0.4597319939482159</v>
      </c>
      <c r="V117" s="382">
        <f t="shared" si="32"/>
        <v>53.775929982395624</v>
      </c>
      <c r="W117" s="401"/>
      <c r="X117" s="157">
        <f t="shared" si="33"/>
        <v>44299</v>
      </c>
      <c r="Y117" s="384">
        <f t="shared" si="34"/>
        <v>47.614000000000004</v>
      </c>
      <c r="Z117" s="384">
        <f t="shared" si="35"/>
        <v>48.720645838758337</v>
      </c>
      <c r="AA117" s="385">
        <f t="shared" si="36"/>
        <v>51.124986809296594</v>
      </c>
      <c r="AB117" s="196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4.7028686374175226E-2</v>
      </c>
      <c r="AD117" s="230">
        <f>(INDEX(Models!$BJ117:$BT117,,AH117)*(1-AF117)+INDEX(Models!$BJ117:$BT117,,AH117+1)*AF117-ERP_i)*AE117*Ramure*Pc/MaxiM</f>
        <v>1.2898622173307715E-4</v>
      </c>
      <c r="AE117" s="304">
        <f t="shared" si="38"/>
        <v>0.5</v>
      </c>
      <c r="AF117" s="176">
        <f t="shared" si="39"/>
        <v>0.4597319939482159</v>
      </c>
      <c r="AG117" s="814">
        <f t="shared" si="47"/>
        <v>0</v>
      </c>
      <c r="AH117" s="175">
        <f t="shared" si="40"/>
        <v>6</v>
      </c>
      <c r="AI117" s="224">
        <f t="shared" si="41"/>
        <v>0.4597319939482159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16">
        <v>53.371000000000002</v>
      </c>
      <c r="C118" s="389"/>
      <c r="D118" s="392">
        <f t="shared" si="24"/>
        <v>54.612646341101829</v>
      </c>
      <c r="E118" s="384">
        <f t="shared" si="45"/>
        <v>57.310026956166965</v>
      </c>
      <c r="F118" s="384">
        <f t="shared" si="25"/>
        <v>57.317133350603086</v>
      </c>
      <c r="G118" s="110">
        <f t="shared" si="46"/>
        <v>0.98941780174871941</v>
      </c>
      <c r="H118" s="413" t="b">
        <f>Wh_hp&gt;='2020'!Maxi_hp</f>
        <v>1</v>
      </c>
      <c r="I118" s="379">
        <f>IF(H118,Wh_hp,'2020'!Maxi_hp)</f>
        <v>57.317133350603086</v>
      </c>
      <c r="J118" s="85">
        <f>IF(H118,An,'2020'!An_max)</f>
        <v>2021</v>
      </c>
      <c r="K118" s="196">
        <f t="shared" si="26"/>
        <v>44300</v>
      </c>
      <c r="L118" s="147">
        <f>IF(t&lt;Tvie,1-EXP((T0-t)*PertePVj)+'2020'!Pspv,1-EXP((T0-t)*PertePVj)+Pspv)</f>
        <v>2.2735509525517283E-2</v>
      </c>
      <c r="M118" s="847"/>
      <c r="N118" s="847"/>
      <c r="O118" s="48">
        <f>IF(t&lt;Tnet,'2020'!Resal+('2020'!Salim-'2020'!Resal)*(1-EXP(('2020'!Tnet-t)/('2020'!Tau_j))),Resal+(Salim-Resal)*(1-EXP((Tnet-t)/(Tau_j))))*Salcycl</f>
        <v>4.7066469138606445E-2</v>
      </c>
      <c r="P118" s="168">
        <f>(INDEX(Models!$BJ118:$BT118,,T118)*(1-R118)+INDEX(Models!$BJ118:$BT118,,T118+1)*R118-ERP_i)*Q118*Ramure*Pc/MaxiM</f>
        <v>1.2588651421747667E-4</v>
      </c>
      <c r="Q118" s="304">
        <f t="shared" si="27"/>
        <v>0.5</v>
      </c>
      <c r="R118" s="176">
        <f t="shared" si="28"/>
        <v>0.46070316827595409</v>
      </c>
      <c r="S118" s="814">
        <f t="shared" si="29"/>
        <v>0</v>
      </c>
      <c r="T118" s="175">
        <f t="shared" si="30"/>
        <v>6</v>
      </c>
      <c r="U118" s="250">
        <f t="shared" si="31"/>
        <v>0.46070316827595409</v>
      </c>
      <c r="V118" s="382">
        <f t="shared" si="32"/>
        <v>53.941720415646486</v>
      </c>
      <c r="W118" s="401"/>
      <c r="X118" s="157">
        <f t="shared" si="33"/>
        <v>44300</v>
      </c>
      <c r="Y118" s="384">
        <f t="shared" si="34"/>
        <v>53.371000000000002</v>
      </c>
      <c r="Z118" s="384">
        <f t="shared" si="35"/>
        <v>54.612646341101829</v>
      </c>
      <c r="AA118" s="385">
        <f t="shared" si="36"/>
        <v>57.310026956166965</v>
      </c>
      <c r="AB118" s="196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4.7066469138606445E-2</v>
      </c>
      <c r="AD118" s="230">
        <f>(INDEX(Models!$BJ118:$BT118,,AH118)*(1-AF118)+INDEX(Models!$BJ118:$BT118,,AH118+1)*AF118-ERP_i)*AE118*Ramure*Pc/MaxiM</f>
        <v>1.2588651421747667E-4</v>
      </c>
      <c r="AE118" s="304">
        <f t="shared" si="38"/>
        <v>0.5</v>
      </c>
      <c r="AF118" s="176">
        <f t="shared" si="39"/>
        <v>0.46070316827595409</v>
      </c>
      <c r="AG118" s="814">
        <f t="shared" si="47"/>
        <v>0</v>
      </c>
      <c r="AH118" s="175">
        <f t="shared" si="40"/>
        <v>6</v>
      </c>
      <c r="AI118" s="224">
        <f t="shared" si="41"/>
        <v>0.46070316827595409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16">
        <v>53.621000000000002</v>
      </c>
      <c r="C119" s="389"/>
      <c r="D119" s="392">
        <f t="shared" si="24"/>
        <v>54.869664237164422</v>
      </c>
      <c r="E119" s="384">
        <f t="shared" si="45"/>
        <v>57.582058995274537</v>
      </c>
      <c r="F119" s="384">
        <f t="shared" si="25"/>
        <v>57.589029120758397</v>
      </c>
      <c r="G119" s="110">
        <f t="shared" si="46"/>
        <v>0.99113335119333346</v>
      </c>
      <c r="H119" s="413" t="b">
        <f>Wh_hp&gt;='2020'!Maxi_hp</f>
        <v>1</v>
      </c>
      <c r="I119" s="379">
        <f>IF(H119,Wh_hp,'2020'!Maxi_hp)</f>
        <v>57.589029120758397</v>
      </c>
      <c r="J119" s="85">
        <f>IF(H119,An,'2020'!An_max)</f>
        <v>2021</v>
      </c>
      <c r="K119" s="196">
        <f t="shared" si="26"/>
        <v>44301</v>
      </c>
      <c r="L119" s="147">
        <f>IF(t&lt;Tvie,1-EXP((T0-t)*PertePVj)+'2020'!Pspv,1-EXP((T0-t)*PertePVj)+Pspv)</f>
        <v>2.2756914125941941E-2</v>
      </c>
      <c r="M119" s="847"/>
      <c r="N119" s="847"/>
      <c r="O119" s="48">
        <f>IF(t&lt;Tnet,'2020'!Resal+('2020'!Salim-'2020'!Resal)*(1-EXP(('2020'!Tnet-t)/('2020'!Tau_j))),Resal+(Salim-Resal)*(1-EXP((Tnet-t)/(Tau_j))))*Salcycl</f>
        <v>4.7104858795214373E-2</v>
      </c>
      <c r="P119" s="168">
        <f>(INDEX(Models!$BJ119:$BT119,,T119)*(1-R119)+INDEX(Models!$BJ119:$BT119,,T119+1)*R119-ERP_i)*Q119*Ramure*Pc/MaxiM</f>
        <v>1.2258464175326749E-4</v>
      </c>
      <c r="Q119" s="304">
        <f t="shared" si="27"/>
        <v>0.5</v>
      </c>
      <c r="R119" s="176">
        <f t="shared" si="28"/>
        <v>0.46170781866167299</v>
      </c>
      <c r="S119" s="814">
        <f t="shared" si="29"/>
        <v>0</v>
      </c>
      <c r="T119" s="175">
        <f t="shared" si="30"/>
        <v>6</v>
      </c>
      <c r="U119" s="250">
        <f t="shared" si="31"/>
        <v>0.46170781866167299</v>
      </c>
      <c r="V119" s="382">
        <f t="shared" si="32"/>
        <v>54.100607835035106</v>
      </c>
      <c r="W119" s="401"/>
      <c r="X119" s="157">
        <f t="shared" si="33"/>
        <v>44301</v>
      </c>
      <c r="Y119" s="384">
        <f t="shared" si="34"/>
        <v>53.621000000000002</v>
      </c>
      <c r="Z119" s="384">
        <f t="shared" si="35"/>
        <v>54.869664237164422</v>
      </c>
      <c r="AA119" s="385">
        <f t="shared" si="36"/>
        <v>57.582058995274537</v>
      </c>
      <c r="AB119" s="196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4.7104858795214373E-2</v>
      </c>
      <c r="AD119" s="230">
        <f>(INDEX(Models!$BJ119:$BT119,,AH119)*(1-AF119)+INDEX(Models!$BJ119:$BT119,,AH119+1)*AF119-ERP_i)*AE119*Ramure*Pc/MaxiM</f>
        <v>1.2258464175326749E-4</v>
      </c>
      <c r="AE119" s="304">
        <f t="shared" si="38"/>
        <v>0.5</v>
      </c>
      <c r="AF119" s="176">
        <f t="shared" si="39"/>
        <v>0.46170781866167299</v>
      </c>
      <c r="AG119" s="814">
        <f t="shared" si="47"/>
        <v>0</v>
      </c>
      <c r="AH119" s="175">
        <f t="shared" si="40"/>
        <v>6</v>
      </c>
      <c r="AI119" s="224">
        <f t="shared" si="41"/>
        <v>0.46170781866167299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16">
        <v>44.728999999999999</v>
      </c>
      <c r="C120" s="389"/>
      <c r="D120" s="392">
        <f t="shared" si="24"/>
        <v>45.771600073634588</v>
      </c>
      <c r="E120" s="384">
        <f t="shared" si="45"/>
        <v>48.036212803885576</v>
      </c>
      <c r="F120" s="384">
        <f t="shared" si="25"/>
        <v>48.040498740602871</v>
      </c>
      <c r="G120" s="110">
        <f t="shared" si="46"/>
        <v>0.82443520151171878</v>
      </c>
      <c r="H120" s="413" t="b">
        <f>Wh_hp&gt;='2020'!Maxi_hp</f>
        <v>0</v>
      </c>
      <c r="I120" s="379">
        <f>IF(H120,Wh_hp,'2020'!Maxi_hp)</f>
        <v>51.189407245873092</v>
      </c>
      <c r="J120" s="85">
        <f>IF(H120,An,'2020'!An_max)</f>
        <v>2020</v>
      </c>
      <c r="K120" s="196">
        <f t="shared" si="26"/>
        <v>44302</v>
      </c>
      <c r="L120" s="147">
        <f>IF(t&lt;Tvie,1-EXP((T0-t)*PertePVj)+'2020'!Pspv,1-EXP((T0-t)*PertePVj)+Pspv)</f>
        <v>2.2778318257550834E-2</v>
      </c>
      <c r="M120" s="847"/>
      <c r="N120" s="847"/>
      <c r="O120" s="48">
        <f>IF(t&lt;Tnet,'2020'!Resal+('2020'!Salim-'2020'!Resal)*(1-EXP(('2020'!Tnet-t)/('2020'!Tau_j))),Resal+(Salim-Resal)*(1-EXP((Tnet-t)/(Tau_j))))*Salcycl</f>
        <v>4.7143864973214662E-2</v>
      </c>
      <c r="P120" s="168">
        <f>(INDEX(Models!$BJ120:$BT120,,T120)*(1-R120)+INDEX(Models!$BJ120:$BT120,,T120+1)*R120-ERP_i)*Q120*Ramure*Pc/MaxiM</f>
        <v>1.1907595217664098E-4</v>
      </c>
      <c r="Q120" s="304">
        <f t="shared" si="27"/>
        <v>0.5</v>
      </c>
      <c r="R120" s="176">
        <f t="shared" si="28"/>
        <v>0.46274681344585838</v>
      </c>
      <c r="S120" s="814">
        <f t="shared" si="29"/>
        <v>0</v>
      </c>
      <c r="T120" s="175">
        <f t="shared" si="30"/>
        <v>6</v>
      </c>
      <c r="U120" s="250">
        <f t="shared" si="31"/>
        <v>0.46274681344585838</v>
      </c>
      <c r="V120" s="382">
        <f t="shared" si="32"/>
        <v>54.252492071732945</v>
      </c>
      <c r="W120" s="401"/>
      <c r="X120" s="157">
        <f t="shared" si="33"/>
        <v>44302</v>
      </c>
      <c r="Y120" s="384">
        <f t="shared" si="34"/>
        <v>44.728999999999999</v>
      </c>
      <c r="Z120" s="384">
        <f t="shared" si="35"/>
        <v>45.771600073634588</v>
      </c>
      <c r="AA120" s="385">
        <f t="shared" si="36"/>
        <v>48.036212803885576</v>
      </c>
      <c r="AB120" s="196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4.7143864973214662E-2</v>
      </c>
      <c r="AD120" s="230">
        <f>(INDEX(Models!$BJ120:$BT120,,AH120)*(1-AF120)+INDEX(Models!$BJ120:$BT120,,AH120+1)*AF120-ERP_i)*AE120*Ramure*Pc/MaxiM</f>
        <v>1.1907595217664098E-4</v>
      </c>
      <c r="AE120" s="304">
        <f t="shared" si="38"/>
        <v>0.5</v>
      </c>
      <c r="AF120" s="176">
        <f t="shared" si="39"/>
        <v>0.46274681344585838</v>
      </c>
      <c r="AG120" s="814">
        <f t="shared" si="47"/>
        <v>0</v>
      </c>
      <c r="AH120" s="175">
        <f t="shared" si="40"/>
        <v>6</v>
      </c>
      <c r="AI120" s="224">
        <f t="shared" si="41"/>
        <v>0.46274681344585838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16">
        <v>50.551000000000002</v>
      </c>
      <c r="C121" s="389"/>
      <c r="D121" s="392">
        <f t="shared" si="24"/>
        <v>51.730439638577238</v>
      </c>
      <c r="E121" s="384">
        <f t="shared" si="45"/>
        <v>54.29213227278013</v>
      </c>
      <c r="F121" s="384">
        <f t="shared" si="25"/>
        <v>54.29776328466933</v>
      </c>
      <c r="G121" s="110">
        <f t="shared" si="46"/>
        <v>0.92929270625282379</v>
      </c>
      <c r="H121" s="413" t="b">
        <f>Wh_hp&gt;='2020'!Maxi_hp</f>
        <v>1</v>
      </c>
      <c r="I121" s="379">
        <f>IF(H121,Wh_hp,'2020'!Maxi_hp)</f>
        <v>54.29776328466933</v>
      </c>
      <c r="J121" s="85">
        <f>IF(H121,An,'2020'!An_max)</f>
        <v>2021</v>
      </c>
      <c r="K121" s="196">
        <f t="shared" si="26"/>
        <v>44303</v>
      </c>
      <c r="L121" s="147">
        <f>IF(t&lt;Tvie,1-EXP((T0-t)*PertePVj)+'2020'!Pspv,1-EXP((T0-t)*PertePVj)+Pspv)</f>
        <v>2.2799721920354288E-2</v>
      </c>
      <c r="M121" s="847"/>
      <c r="N121" s="847"/>
      <c r="O121" s="48">
        <f>IF(t&lt;Tnet,'2020'!Resal+('2020'!Salim-'2020'!Resal)*(1-EXP(('2020'!Tnet-t)/('2020'!Tau_j))),Resal+(Salim-Resal)*(1-EXP((Tnet-t)/(Tau_j))))*Salcycl</f>
        <v>4.7183496520861803E-2</v>
      </c>
      <c r="P121" s="168">
        <f>(INDEX(Models!$BJ121:$BT121,,T121)*(1-R121)+INDEX(Models!$BJ121:$BT121,,T121+1)*R121-ERP_i)*Q121*Ramure*Pc/MaxiM</f>
        <v>1.1535658047133892E-4</v>
      </c>
      <c r="Q121" s="304">
        <f t="shared" si="27"/>
        <v>0.5</v>
      </c>
      <c r="R121" s="176">
        <f t="shared" si="28"/>
        <v>0.46382102136666448</v>
      </c>
      <c r="S121" s="814">
        <f t="shared" si="29"/>
        <v>0</v>
      </c>
      <c r="T121" s="175">
        <f t="shared" si="30"/>
        <v>6</v>
      </c>
      <c r="U121" s="250">
        <f t="shared" si="31"/>
        <v>0.46382102136666448</v>
      </c>
      <c r="V121" s="382">
        <f t="shared" si="32"/>
        <v>54.39665097744264</v>
      </c>
      <c r="W121" s="401"/>
      <c r="X121" s="157">
        <f t="shared" si="33"/>
        <v>44303</v>
      </c>
      <c r="Y121" s="384">
        <f t="shared" si="34"/>
        <v>50.551000000000002</v>
      </c>
      <c r="Z121" s="384">
        <f t="shared" si="35"/>
        <v>51.730439638577238</v>
      </c>
      <c r="AA121" s="385">
        <f t="shared" si="36"/>
        <v>54.29213227278013</v>
      </c>
      <c r="AB121" s="196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4.7183496520861803E-2</v>
      </c>
      <c r="AD121" s="230">
        <f>(INDEX(Models!$BJ121:$BT121,,AH121)*(1-AF121)+INDEX(Models!$BJ121:$BT121,,AH121+1)*AF121-ERP_i)*AE121*Ramure*Pc/MaxiM</f>
        <v>1.1535658047133892E-4</v>
      </c>
      <c r="AE121" s="304">
        <f t="shared" si="38"/>
        <v>0.5</v>
      </c>
      <c r="AF121" s="176">
        <f t="shared" si="39"/>
        <v>0.46382102136666448</v>
      </c>
      <c r="AG121" s="814">
        <f t="shared" si="47"/>
        <v>0</v>
      </c>
      <c r="AH121" s="175">
        <f t="shared" si="40"/>
        <v>6</v>
      </c>
      <c r="AI121" s="224">
        <f t="shared" si="41"/>
        <v>0.46382102136666448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16">
        <v>34.558999999999997</v>
      </c>
      <c r="C122" s="389"/>
      <c r="D122" s="392">
        <f t="shared" si="24"/>
        <v>35.366094057287675</v>
      </c>
      <c r="E122" s="384">
        <f t="shared" si="45"/>
        <v>37.11899250535609</v>
      </c>
      <c r="F122" s="384">
        <f t="shared" si="25"/>
        <v>37.120970385008562</v>
      </c>
      <c r="G122" s="110">
        <f t="shared" si="46"/>
        <v>0.63369301977706993</v>
      </c>
      <c r="H122" s="413" t="b">
        <f>Wh_hp&gt;='2020'!Maxi_hp</f>
        <v>1</v>
      </c>
      <c r="I122" s="379">
        <f>IF(H122,Wh_hp,'2020'!Maxi_hp)</f>
        <v>37.120970385008562</v>
      </c>
      <c r="J122" s="85">
        <f>IF(H122,An,'2020'!An_max)</f>
        <v>2021</v>
      </c>
      <c r="K122" s="196">
        <f t="shared" si="26"/>
        <v>44304</v>
      </c>
      <c r="L122" s="147">
        <f>IF(t&lt;Tvie,1-EXP((T0-t)*PertePVj)+'2020'!Pspv,1-EXP((T0-t)*PertePVj)+Pspv)</f>
        <v>2.2821125114362628E-2</v>
      </c>
      <c r="M122" s="847"/>
      <c r="N122" s="847"/>
      <c r="O122" s="48">
        <f>IF(t&lt;Tnet,'2020'!Resal+('2020'!Salim-'2020'!Resal)*(1-EXP(('2020'!Tnet-t)/('2020'!Tau_j))),Resal+(Salim-Resal)*(1-EXP((Tnet-t)/(Tau_j))))*Salcycl</f>
        <v>4.7223761469697215E-2</v>
      </c>
      <c r="P122" s="168">
        <f>(INDEX(Models!$BJ122:$BT122,,T122)*(1-R122)+INDEX(Models!$BJ122:$BT122,,T122+1)*R122-ERP_i)*Q122*Ramure*Pc/MaxiM</f>
        <v>1.1175918571211729E-4</v>
      </c>
      <c r="Q122" s="304">
        <f t="shared" si="27"/>
        <v>0.5</v>
      </c>
      <c r="R122" s="176">
        <f t="shared" si="28"/>
        <v>0.46493130956029821</v>
      </c>
      <c r="S122" s="814">
        <f t="shared" si="29"/>
        <v>0</v>
      </c>
      <c r="T122" s="175">
        <f t="shared" si="30"/>
        <v>6</v>
      </c>
      <c r="U122" s="250">
        <f t="shared" si="31"/>
        <v>0.46493130956029821</v>
      </c>
      <c r="V122" s="382">
        <f t="shared" si="32"/>
        <v>54.532680494907225</v>
      </c>
      <c r="W122" s="401"/>
      <c r="X122" s="157">
        <f t="shared" si="33"/>
        <v>44304</v>
      </c>
      <c r="Y122" s="384">
        <f t="shared" si="34"/>
        <v>34.558999999999997</v>
      </c>
      <c r="Z122" s="384">
        <f t="shared" si="35"/>
        <v>35.366094057287675</v>
      </c>
      <c r="AA122" s="385">
        <f t="shared" si="36"/>
        <v>37.11899250535609</v>
      </c>
      <c r="AB122" s="196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4.7223761469697215E-2</v>
      </c>
      <c r="AD122" s="230">
        <f>(INDEX(Models!$BJ122:$BT122,,AH122)*(1-AF122)+INDEX(Models!$BJ122:$BT122,,AH122+1)*AF122-ERP_i)*AE122*Ramure*Pc/MaxiM</f>
        <v>1.1175918571211729E-4</v>
      </c>
      <c r="AE122" s="304">
        <f t="shared" si="38"/>
        <v>0.5</v>
      </c>
      <c r="AF122" s="176">
        <f t="shared" si="39"/>
        <v>0.46493130956029821</v>
      </c>
      <c r="AG122" s="814">
        <f t="shared" si="47"/>
        <v>0</v>
      </c>
      <c r="AH122" s="175">
        <f t="shared" si="40"/>
        <v>6</v>
      </c>
      <c r="AI122" s="224">
        <f t="shared" si="41"/>
        <v>0.46493130956029821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16">
        <v>53.556000000000004</v>
      </c>
      <c r="C123" s="389"/>
      <c r="D123" s="392">
        <f t="shared" si="24"/>
        <v>54.807952173350472</v>
      </c>
      <c r="E123" s="384">
        <f t="shared" si="45"/>
        <v>57.526944026124788</v>
      </c>
      <c r="F123" s="384">
        <f t="shared" si="25"/>
        <v>57.532999013855843</v>
      </c>
      <c r="G123" s="110">
        <f t="shared" si="46"/>
        <v>0.97978178382399705</v>
      </c>
      <c r="H123" s="413" t="b">
        <f>Wh_hp&gt;='2020'!Maxi_hp</f>
        <v>1</v>
      </c>
      <c r="I123" s="379">
        <f>IF(H123,Wh_hp,'2020'!Maxi_hp)</f>
        <v>57.532999013855843</v>
      </c>
      <c r="J123" s="85">
        <f>IF(H123,An,'2020'!An_max)</f>
        <v>2021</v>
      </c>
      <c r="K123" s="196">
        <f t="shared" si="26"/>
        <v>44305</v>
      </c>
      <c r="L123" s="147">
        <f>IF(t&lt;Tvie,1-EXP((T0-t)*PertePVj)+'2020'!Pspv,1-EXP((T0-t)*PertePVj)+Pspv)</f>
        <v>2.284252783958618E-2</v>
      </c>
      <c r="M123" s="847"/>
      <c r="N123" s="847"/>
      <c r="O123" s="48">
        <f>IF(t&lt;Tnet,'2020'!Resal+('2020'!Salim-'2020'!Resal)*(1-EXP(('2020'!Tnet-t)/('2020'!Tau_j))),Resal+(Salim-Resal)*(1-EXP((Tnet-t)/(Tau_j))))*Salcycl</f>
        <v>4.7264666997425354E-2</v>
      </c>
      <c r="P123" s="168">
        <f>(INDEX(Models!$BJ123:$BT123,,T123)*(1-R123)+INDEX(Models!$BJ123:$BT123,,T123+1)*R123-ERP_i)*Q123*Ramure*Pc/MaxiM</f>
        <v>1.0837342843385517E-4</v>
      </c>
      <c r="Q123" s="304">
        <f t="shared" si="27"/>
        <v>0.5</v>
      </c>
      <c r="R123" s="176">
        <f t="shared" si="28"/>
        <v>0.46607854141108035</v>
      </c>
      <c r="S123" s="814">
        <f t="shared" si="29"/>
        <v>0</v>
      </c>
      <c r="T123" s="175">
        <f t="shared" si="30"/>
        <v>6</v>
      </c>
      <c r="U123" s="250">
        <f t="shared" si="31"/>
        <v>0.46607854141108035</v>
      </c>
      <c r="V123" s="382">
        <f t="shared" si="32"/>
        <v>54.660979876049488</v>
      </c>
      <c r="W123" s="401"/>
      <c r="X123" s="157">
        <f t="shared" si="33"/>
        <v>44305</v>
      </c>
      <c r="Y123" s="384">
        <f t="shared" si="34"/>
        <v>53.556000000000004</v>
      </c>
      <c r="Z123" s="384">
        <f t="shared" si="35"/>
        <v>54.807952173350472</v>
      </c>
      <c r="AA123" s="385">
        <f t="shared" si="36"/>
        <v>57.526944026124788</v>
      </c>
      <c r="AB123" s="196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4.7264666997425354E-2</v>
      </c>
      <c r="AD123" s="230">
        <f>(INDEX(Models!$BJ123:$BT123,,AH123)*(1-AF123)+INDEX(Models!$BJ123:$BT123,,AH123+1)*AF123-ERP_i)*AE123*Ramure*Pc/MaxiM</f>
        <v>1.0837342843385517E-4</v>
      </c>
      <c r="AE123" s="304">
        <f t="shared" si="38"/>
        <v>0.5</v>
      </c>
      <c r="AF123" s="176">
        <f t="shared" si="39"/>
        <v>0.46607854141108035</v>
      </c>
      <c r="AG123" s="814">
        <f t="shared" si="47"/>
        <v>0</v>
      </c>
      <c r="AH123" s="175">
        <f t="shared" si="40"/>
        <v>6</v>
      </c>
      <c r="AI123" s="224">
        <f t="shared" si="41"/>
        <v>0.46607854141108035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44306</v>
      </c>
      <c r="B124" s="616">
        <v>40.917000000000002</v>
      </c>
      <c r="C124" s="389"/>
      <c r="D124" s="392">
        <f t="shared" si="24"/>
        <v>41.874413666892281</v>
      </c>
      <c r="E124" s="384">
        <f t="shared" si="45"/>
        <v>42.107542652604032</v>
      </c>
      <c r="F124" s="384">
        <f t="shared" si="25"/>
        <v>42.110172283646826</v>
      </c>
      <c r="G124" s="110">
        <f t="shared" si="46"/>
        <v>0.71550420550400018</v>
      </c>
      <c r="H124" s="413" t="b">
        <f>Wh_hp&gt;='2020'!Maxi_hp</f>
        <v>0</v>
      </c>
      <c r="I124" s="379">
        <f>IF(H124,Wh_hp,'2020'!Maxi_hp)</f>
        <v>50.447436278195291</v>
      </c>
      <c r="J124" s="85">
        <f>IF(H124,An,'2020'!An_max)</f>
        <v>2019</v>
      </c>
      <c r="K124" s="196">
        <f t="shared" si="26"/>
        <v>44306</v>
      </c>
      <c r="L124" s="147">
        <f>IF(t&lt;Tvie,1-EXP((T0-t)*PertePVj)+'2020'!Pspv,1-EXP((T0-t)*PertePVj)+Pspv)</f>
        <v>2.2863930096035046E-2</v>
      </c>
      <c r="M124" s="847"/>
      <c r="N124" s="847"/>
      <c r="O124" s="48">
        <f>IF(t&lt;Tnet,'2020'!Resal+('2020'!Salim-'2020'!Resal)*(1-EXP(('2020'!Tnet-t)/('2020'!Tau_j))),Resal+(Salim-Resal)*(1-EXP((Tnet-t)/(Tau_j))))*Salcycl</f>
        <v>5.5365136748804439E-3</v>
      </c>
      <c r="P124" s="168">
        <f>(INDEX(Models!$BJ124:$BT124,,T124)*(1-R124)+INDEX(Models!$BJ124:$BT124,,T124+1)*R124-ERP_i)*Q124*Ramure*Pc/MaxiM</f>
        <v>1.0519581027127321E-4</v>
      </c>
      <c r="Q124" s="304">
        <f t="shared" si="27"/>
        <v>0.5</v>
      </c>
      <c r="R124" s="176">
        <f t="shared" si="28"/>
        <v>0.46726357424828185</v>
      </c>
      <c r="S124" s="814">
        <f t="shared" si="29"/>
        <v>0</v>
      </c>
      <c r="T124" s="175">
        <f t="shared" si="30"/>
        <v>6</v>
      </c>
      <c r="U124" s="250">
        <f t="shared" si="31"/>
        <v>0.46726357424828185</v>
      </c>
      <c r="V124" s="382">
        <f t="shared" si="32"/>
        <v>57.18380185709114</v>
      </c>
      <c r="W124" s="401"/>
      <c r="X124" s="157">
        <f t="shared" si="33"/>
        <v>44306</v>
      </c>
      <c r="Y124" s="384">
        <f t="shared" si="34"/>
        <v>39.198393864911388</v>
      </c>
      <c r="Z124" s="384">
        <f t="shared" si="35"/>
        <v>40.115594001932493</v>
      </c>
      <c r="AA124" s="385">
        <f t="shared" si="36"/>
        <v>42.107542652604032</v>
      </c>
      <c r="AB124" s="196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4.7306219389374744E-2</v>
      </c>
      <c r="AD124" s="230">
        <f>(INDEX(Models!$BJ124:$BT124,,AH124)*(1-AF124)+INDEX(Models!$BJ124:$BT124,,AH124+1)*AF124-ERP_i)*AE124*Ramure*Pc/MaxiM</f>
        <v>1.0519581027127321E-4</v>
      </c>
      <c r="AE124" s="304">
        <f t="shared" si="38"/>
        <v>0.5</v>
      </c>
      <c r="AF124" s="176">
        <f t="shared" si="39"/>
        <v>0.46726357424828185</v>
      </c>
      <c r="AG124" s="814">
        <f t="shared" si="47"/>
        <v>0</v>
      </c>
      <c r="AH124" s="175">
        <f t="shared" si="40"/>
        <v>6</v>
      </c>
      <c r="AI124" s="224">
        <f t="shared" si="41"/>
        <v>0.46726357424828185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16">
        <v>55.329000000000001</v>
      </c>
      <c r="C125" s="389"/>
      <c r="D125" s="392">
        <f t="shared" si="24"/>
        <v>56.624879152275334</v>
      </c>
      <c r="E125" s="384">
        <f t="shared" si="45"/>
        <v>56.944772704763871</v>
      </c>
      <c r="F125" s="384">
        <f t="shared" si="25"/>
        <v>56.950308189704678</v>
      </c>
      <c r="G125" s="110">
        <f t="shared" si="46"/>
        <v>0.96558511260123581</v>
      </c>
      <c r="H125" s="413" t="b">
        <f>Wh_hp&gt;='2020'!Maxi_hp</f>
        <v>1</v>
      </c>
      <c r="I125" s="379">
        <f>IF(H125,Wh_hp,'2020'!Maxi_hp)</f>
        <v>56.950308189704678</v>
      </c>
      <c r="J125" s="85">
        <f>IF(H125,An,'2020'!An_max)</f>
        <v>2021</v>
      </c>
      <c r="K125" s="196">
        <f t="shared" si="26"/>
        <v>44307</v>
      </c>
      <c r="L125" s="147">
        <f>IF(t&lt;Tvie,1-EXP((T0-t)*PertePVj)+'2020'!Pspv,1-EXP((T0-t)*PertePVj)+Pspv)</f>
        <v>2.2885331883719551E-2</v>
      </c>
      <c r="M125" s="847"/>
      <c r="N125" s="847"/>
      <c r="O125" s="48">
        <f>IF(t&lt;Tnet,'2020'!Resal+('2020'!Salim-'2020'!Resal)*(1-EXP(('2020'!Tnet-t)/('2020'!Tau_j))),Resal+(Salim-Resal)*(1-EXP((Tnet-t)/(Tau_j))))*Salcycl</f>
        <v>5.6176104898523309E-3</v>
      </c>
      <c r="P125" s="168">
        <f>(INDEX(Models!$BJ125:$BT125,,T125)*(1-R125)+INDEX(Models!$BJ125:$BT125,,T125+1)*R125-ERP_i)*Q125*Ramure*Pc/MaxiM</f>
        <v>1.0222352890129821E-4</v>
      </c>
      <c r="Q125" s="304">
        <f t="shared" si="27"/>
        <v>0.5</v>
      </c>
      <c r="R125" s="176">
        <f t="shared" si="28"/>
        <v>0.46848725688756571</v>
      </c>
      <c r="S125" s="814">
        <f t="shared" si="29"/>
        <v>0</v>
      </c>
      <c r="T125" s="175">
        <f t="shared" si="30"/>
        <v>6</v>
      </c>
      <c r="U125" s="250">
        <f t="shared" si="31"/>
        <v>0.46848725688756571</v>
      </c>
      <c r="V125" s="382">
        <f t="shared" si="32"/>
        <v>57.300719762026063</v>
      </c>
      <c r="W125" s="401"/>
      <c r="X125" s="157">
        <f t="shared" si="33"/>
        <v>44307</v>
      </c>
      <c r="Y125" s="384">
        <f t="shared" si="34"/>
        <v>53.006441785470322</v>
      </c>
      <c r="Z125" s="384">
        <f t="shared" si="35"/>
        <v>54.247923519210083</v>
      </c>
      <c r="AA125" s="385">
        <f t="shared" si="36"/>
        <v>56.944772704763871</v>
      </c>
      <c r="AB125" s="196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4.7359029766189067E-2</v>
      </c>
      <c r="AD125" s="230">
        <f>(INDEX(Models!$BJ125:$BT125,,AH125)*(1-AF125)+INDEX(Models!$BJ125:$BT125,,AH125+1)*AF125-ERP_i)*AE125*Ramure*Pc/MaxiM</f>
        <v>1.0222352890129821E-4</v>
      </c>
      <c r="AE125" s="304">
        <f t="shared" si="38"/>
        <v>0.5</v>
      </c>
      <c r="AF125" s="176">
        <f t="shared" si="39"/>
        <v>0.46848725688756571</v>
      </c>
      <c r="AG125" s="814">
        <f t="shared" si="47"/>
        <v>0</v>
      </c>
      <c r="AH125" s="175">
        <f t="shared" si="40"/>
        <v>6</v>
      </c>
      <c r="AI125" s="224">
        <f t="shared" si="41"/>
        <v>0.46848725688756571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44308</v>
      </c>
      <c r="B126" s="616">
        <v>59.761000000000003</v>
      </c>
      <c r="C126" s="389"/>
      <c r="D126" s="392">
        <f t="shared" si="24"/>
        <v>61.162022122903934</v>
      </c>
      <c r="E126" s="384">
        <f t="shared" si="45"/>
        <v>61.512567689376844</v>
      </c>
      <c r="F126" s="384">
        <f t="shared" si="25"/>
        <v>61.518685977469168</v>
      </c>
      <c r="G126" s="110">
        <f t="shared" si="46"/>
        <v>1.0409354183450457</v>
      </c>
      <c r="H126" s="413" t="b">
        <f>Wh_hp&gt;='2020'!Maxi_hp</f>
        <v>1</v>
      </c>
      <c r="I126" s="379">
        <f>IF(H126,Wh_hp,'2020'!Maxi_hp)</f>
        <v>61.518685977469168</v>
      </c>
      <c r="J126" s="85">
        <f>IF(H126,An,'2020'!An_max)</f>
        <v>2021</v>
      </c>
      <c r="K126" s="196">
        <f t="shared" si="26"/>
        <v>44308</v>
      </c>
      <c r="L126" s="147">
        <f>IF(t&lt;Tvie,1-EXP((T0-t)*PertePVj)+'2020'!Pspv,1-EXP((T0-t)*PertePVj)+Pspv)</f>
        <v>2.2906733202649909E-2</v>
      </c>
      <c r="M126" s="847"/>
      <c r="N126" s="847"/>
      <c r="O126" s="48">
        <f>IF(t&lt;Tnet,'2020'!Resal+('2020'!Salim-'2020'!Resal)*(1-EXP(('2020'!Tnet-t)/('2020'!Tau_j))),Resal+(Salim-Resal)*(1-EXP((Tnet-t)/(Tau_j))))*Salcycl</f>
        <v>5.6987633526059305E-3</v>
      </c>
      <c r="P126" s="168">
        <f>(INDEX(Models!$BJ126:$BT126,,T126)*(1-R126)+INDEX(Models!$BJ126:$BT126,,T126+1)*R126-ERP_i)*Q126*Ramure*Pc/MaxiM</f>
        <v>9.945414137365905E-5</v>
      </c>
      <c r="Q126" s="304">
        <f t="shared" si="27"/>
        <v>0.5</v>
      </c>
      <c r="R126" s="176">
        <f t="shared" si="28"/>
        <v>0.46975042701569519</v>
      </c>
      <c r="S126" s="814">
        <f t="shared" si="29"/>
        <v>0</v>
      </c>
      <c r="T126" s="175">
        <f t="shared" si="30"/>
        <v>6</v>
      </c>
      <c r="U126" s="250">
        <f t="shared" si="31"/>
        <v>0.46975042701569519</v>
      </c>
      <c r="V126" s="382">
        <f t="shared" si="32"/>
        <v>57.410862332854762</v>
      </c>
      <c r="W126" s="401"/>
      <c r="X126" s="157">
        <f t="shared" si="33"/>
        <v>44308</v>
      </c>
      <c r="Y126" s="384">
        <f t="shared" si="34"/>
        <v>57.253858144017379</v>
      </c>
      <c r="Z126" s="384">
        <f t="shared" si="35"/>
        <v>58.59610345251911</v>
      </c>
      <c r="AA126" s="385">
        <f t="shared" si="36"/>
        <v>61.512567689376844</v>
      </c>
      <c r="AB126" s="196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4.7412493843293206E-2</v>
      </c>
      <c r="AD126" s="230">
        <f>(INDEX(Models!$BJ126:$BT126,,AH126)*(1-AF126)+INDEX(Models!$BJ126:$BT126,,AH126+1)*AF126-ERP_i)*AE126*Ramure*Pc/MaxiM</f>
        <v>9.945414137365905E-5</v>
      </c>
      <c r="AE126" s="304">
        <f t="shared" si="38"/>
        <v>0.5</v>
      </c>
      <c r="AF126" s="176">
        <f t="shared" si="39"/>
        <v>0.46975042701569519</v>
      </c>
      <c r="AG126" s="814">
        <f t="shared" si="47"/>
        <v>0</v>
      </c>
      <c r="AH126" s="175">
        <f t="shared" si="40"/>
        <v>6</v>
      </c>
      <c r="AI126" s="224">
        <f t="shared" si="41"/>
        <v>0.46975042701569519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44309</v>
      </c>
      <c r="B127" s="616">
        <v>58.84</v>
      </c>
      <c r="C127" s="389"/>
      <c r="D127" s="392">
        <f t="shared" si="24"/>
        <v>60.220749415357602</v>
      </c>
      <c r="E127" s="384">
        <f t="shared" si="45"/>
        <v>60.570847451287193</v>
      </c>
      <c r="F127" s="384">
        <f t="shared" si="25"/>
        <v>60.576716442775776</v>
      </c>
      <c r="G127" s="110">
        <f t="shared" si="46"/>
        <v>1.0230436512949352</v>
      </c>
      <c r="H127" s="413" t="b">
        <f>Wh_hp&gt;='2020'!Maxi_hp</f>
        <v>1</v>
      </c>
      <c r="I127" s="379">
        <f>IF(H127,Wh_hp,'2020'!Maxi_hp)</f>
        <v>60.576716442775776</v>
      </c>
      <c r="J127" s="85">
        <f>IF(H127,An,'2020'!An_max)</f>
        <v>2021</v>
      </c>
      <c r="K127" s="196">
        <f t="shared" si="26"/>
        <v>44309</v>
      </c>
      <c r="L127" s="147">
        <f>IF(t&lt;Tvie,1-EXP((T0-t)*PertePVj)+'2020'!Pspv,1-EXP((T0-t)*PertePVj)+Pspv)</f>
        <v>2.2928134052836557E-2</v>
      </c>
      <c r="M127" s="847"/>
      <c r="N127" s="847"/>
      <c r="O127" s="48">
        <f>IF(t&lt;Tnet,'2020'!Resal+('2020'!Salim-'2020'!Resal)*(1-EXP(('2020'!Tnet-t)/('2020'!Tau_j))),Resal+(Salim-Resal)*(1-EXP((Tnet-t)/(Tau_j))))*Salcycl</f>
        <v>5.7799758573818224E-3</v>
      </c>
      <c r="P127" s="168">
        <f>(INDEX(Models!$BJ127:$BT127,,T127)*(1-R127)+INDEX(Models!$BJ127:$BT127,,T127+1)*R127-ERP_i)*Q127*Ramure*Pc/MaxiM</f>
        <v>9.6885269344761397E-5</v>
      </c>
      <c r="Q127" s="304">
        <f t="shared" si="27"/>
        <v>0.5</v>
      </c>
      <c r="R127" s="176">
        <f t="shared" si="28"/>
        <v>0.47105390841811523</v>
      </c>
      <c r="S127" s="814">
        <f t="shared" si="29"/>
        <v>0</v>
      </c>
      <c r="T127" s="175">
        <f t="shared" si="30"/>
        <v>6</v>
      </c>
      <c r="U127" s="250">
        <f t="shared" si="31"/>
        <v>0.47105390841811523</v>
      </c>
      <c r="V127" s="382">
        <f t="shared" si="32"/>
        <v>57.514652405615593</v>
      </c>
      <c r="W127" s="401"/>
      <c r="X127" s="157">
        <f t="shared" si="33"/>
        <v>44309</v>
      </c>
      <c r="Y127" s="384">
        <f t="shared" si="34"/>
        <v>56.372898339541337</v>
      </c>
      <c r="Z127" s="384">
        <f t="shared" si="35"/>
        <v>57.695754329077964</v>
      </c>
      <c r="AA127" s="385">
        <f t="shared" si="36"/>
        <v>60.570847451287193</v>
      </c>
      <c r="AB127" s="196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4.7466615429501174E-2</v>
      </c>
      <c r="AD127" s="230">
        <f>(INDEX(Models!$BJ127:$BT127,,AH127)*(1-AF127)+INDEX(Models!$BJ127:$BT127,,AH127+1)*AF127-ERP_i)*AE127*Ramure*Pc/MaxiM</f>
        <v>9.6885269344761397E-5</v>
      </c>
      <c r="AE127" s="304">
        <f t="shared" si="38"/>
        <v>0.5</v>
      </c>
      <c r="AF127" s="176">
        <f t="shared" si="39"/>
        <v>0.47105390841811523</v>
      </c>
      <c r="AG127" s="814">
        <f t="shared" si="47"/>
        <v>0</v>
      </c>
      <c r="AH127" s="175">
        <f t="shared" si="40"/>
        <v>6</v>
      </c>
      <c r="AI127" s="224">
        <f t="shared" si="41"/>
        <v>0.47105390841811523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44310</v>
      </c>
      <c r="B128" s="616">
        <v>55.628999999999998</v>
      </c>
      <c r="C128" s="389"/>
      <c r="D128" s="392">
        <f t="shared" si="24"/>
        <v>56.935646581766804</v>
      </c>
      <c r="E128" s="384">
        <f t="shared" si="45"/>
        <v>57.271328238931481</v>
      </c>
      <c r="F128" s="384">
        <f t="shared" si="25"/>
        <v>57.276493751473431</v>
      </c>
      <c r="G128" s="110">
        <f t="shared" si="46"/>
        <v>0.96556731498398374</v>
      </c>
      <c r="H128" s="413" t="b">
        <f>Wh_hp&gt;='2020'!Maxi_hp</f>
        <v>1</v>
      </c>
      <c r="I128" s="379">
        <f>IF(H128,Wh_hp,'2020'!Maxi_hp)</f>
        <v>57.276493751473431</v>
      </c>
      <c r="J128" s="85">
        <f>IF(H128,An,'2020'!An_max)</f>
        <v>2021</v>
      </c>
      <c r="K128" s="196">
        <f t="shared" si="26"/>
        <v>44310</v>
      </c>
      <c r="L128" s="147">
        <f>IF(t&lt;Tvie,1-EXP((T0-t)*PertePVj)+'2020'!Pspv,1-EXP((T0-t)*PertePVj)+Pspv)</f>
        <v>2.2949534434289709E-2</v>
      </c>
      <c r="M128" s="847"/>
      <c r="N128" s="847"/>
      <c r="O128" s="48">
        <f>IF(t&lt;Tnet,'2020'!Resal+('2020'!Salim-'2020'!Resal)*(1-EXP(('2020'!Tnet-t)/('2020'!Tau_j))),Resal+(Salim-Resal)*(1-EXP((Tnet-t)/(Tau_j))))*Salcycl</f>
        <v>5.8612514758561701E-3</v>
      </c>
      <c r="P128" s="168">
        <f>(INDEX(Models!$BJ128:$BT128,,T128)*(1-R128)+INDEX(Models!$BJ128:$BT128,,T128+1)*R128-ERP_i)*Q128*Ramure*Pc/MaxiM</f>
        <v>9.4850606095079929E-5</v>
      </c>
      <c r="Q128" s="304">
        <f t="shared" si="27"/>
        <v>0.5</v>
      </c>
      <c r="R128" s="176">
        <f t="shared" si="28"/>
        <v>0.47239850805006411</v>
      </c>
      <c r="S128" s="814">
        <f t="shared" si="29"/>
        <v>0</v>
      </c>
      <c r="T128" s="175">
        <f t="shared" si="30"/>
        <v>6</v>
      </c>
      <c r="U128" s="250">
        <f t="shared" si="31"/>
        <v>0.47239850805006411</v>
      </c>
      <c r="V128" s="382">
        <f t="shared" si="32"/>
        <v>57.612493299391367</v>
      </c>
      <c r="W128" s="401"/>
      <c r="X128" s="157">
        <f t="shared" si="33"/>
        <v>44310</v>
      </c>
      <c r="Y128" s="384">
        <f t="shared" si="34"/>
        <v>53.297824141462357</v>
      </c>
      <c r="Z128" s="384">
        <f t="shared" si="35"/>
        <v>54.549714697288458</v>
      </c>
      <c r="AA128" s="385">
        <f t="shared" si="36"/>
        <v>57.271328238931481</v>
      </c>
      <c r="AB128" s="196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4.7521397273844794E-2</v>
      </c>
      <c r="AD128" s="230">
        <f>(INDEX(Models!$BJ128:$BT128,,AH128)*(1-AF128)+INDEX(Models!$BJ128:$BT128,,AH128+1)*AF128-ERP_i)*AE128*Ramure*Pc/MaxiM</f>
        <v>9.4850606095079929E-5</v>
      </c>
      <c r="AE128" s="304">
        <f t="shared" si="38"/>
        <v>0.5</v>
      </c>
      <c r="AF128" s="176">
        <f t="shared" si="39"/>
        <v>0.47239850805006411</v>
      </c>
      <c r="AG128" s="814">
        <f t="shared" si="47"/>
        <v>0</v>
      </c>
      <c r="AH128" s="175">
        <f t="shared" si="40"/>
        <v>6</v>
      </c>
      <c r="AI128" s="224">
        <f t="shared" si="41"/>
        <v>0.47239850805006411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44311</v>
      </c>
      <c r="B129" s="616">
        <v>26.945</v>
      </c>
      <c r="C129" s="389"/>
      <c r="D129" s="392">
        <f t="shared" si="24"/>
        <v>27.578504004885232</v>
      </c>
      <c r="E129" s="384">
        <f t="shared" si="45"/>
        <v>27.743371585733069</v>
      </c>
      <c r="F129" s="384">
        <f t="shared" si="25"/>
        <v>27.743990268552331</v>
      </c>
      <c r="G129" s="110">
        <f t="shared" si="46"/>
        <v>0.46691232077857203</v>
      </c>
      <c r="H129" s="413" t="b">
        <f>Wh_hp&gt;='2020'!Maxi_hp</f>
        <v>0</v>
      </c>
      <c r="I129" s="379">
        <f>IF(H129,Wh_hp,'2020'!Maxi_hp)</f>
        <v>55.011025243549312</v>
      </c>
      <c r="J129" s="85">
        <f>IF(H129,An,'2020'!An_max)</f>
        <v>2020</v>
      </c>
      <c r="K129" s="196">
        <f t="shared" si="26"/>
        <v>44311</v>
      </c>
      <c r="L129" s="147">
        <f>IF(t&lt;Tvie,1-EXP((T0-t)*PertePVj)+'2020'!Pspv,1-EXP((T0-t)*PertePVj)+Pspv)</f>
        <v>2.2970934347019467E-2</v>
      </c>
      <c r="M129" s="847"/>
      <c r="N129" s="847"/>
      <c r="O129" s="48">
        <f>IF(t&lt;Tnet,'2020'!Resal+('2020'!Salim-'2020'!Resal)*(1-EXP(('2020'!Tnet-t)/('2020'!Tau_j))),Resal+(Salim-Resal)*(1-EXP((Tnet-t)/(Tau_j))))*Salcycl</f>
        <v>5.9425935430508503E-3</v>
      </c>
      <c r="P129" s="168">
        <f>(INDEX(Models!$BJ129:$BT129,,T129)*(1-R129)+INDEX(Models!$BJ129:$BT129,,T129+1)*R129-ERP_i)*Q129*Ramure*Pc/MaxiM</f>
        <v>9.3502295947932014E-5</v>
      </c>
      <c r="Q129" s="304">
        <f t="shared" si="27"/>
        <v>0.5</v>
      </c>
      <c r="R129" s="176">
        <f t="shared" si="28"/>
        <v>0.47378501295304359</v>
      </c>
      <c r="S129" s="814">
        <f t="shared" si="29"/>
        <v>0</v>
      </c>
      <c r="T129" s="175">
        <f t="shared" si="30"/>
        <v>6</v>
      </c>
      <c r="U129" s="250">
        <f t="shared" si="31"/>
        <v>0.47378501295304359</v>
      </c>
      <c r="V129" s="382">
        <f t="shared" si="32"/>
        <v>57.704798533685256</v>
      </c>
      <c r="W129" s="401"/>
      <c r="X129" s="157">
        <f t="shared" si="33"/>
        <v>44311</v>
      </c>
      <c r="Y129" s="384">
        <f t="shared" si="34"/>
        <v>25.816458739736451</v>
      </c>
      <c r="Z129" s="384">
        <f t="shared" si="35"/>
        <v>26.423429606449286</v>
      </c>
      <c r="AA129" s="385">
        <f t="shared" si="36"/>
        <v>27.743371585733069</v>
      </c>
      <c r="AB129" s="196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4.7576841019660261E-2</v>
      </c>
      <c r="AD129" s="230">
        <f>(INDEX(Models!$BJ129:$BT129,,AH129)*(1-AF129)+INDEX(Models!$BJ129:$BT129,,AH129+1)*AF129-ERP_i)*AE129*Ramure*Pc/MaxiM</f>
        <v>9.3502295947932014E-5</v>
      </c>
      <c r="AE129" s="304">
        <f t="shared" si="38"/>
        <v>0.5</v>
      </c>
      <c r="AF129" s="176">
        <f t="shared" si="39"/>
        <v>0.47378501295304359</v>
      </c>
      <c r="AG129" s="814">
        <f t="shared" si="47"/>
        <v>0</v>
      </c>
      <c r="AH129" s="175">
        <f t="shared" si="40"/>
        <v>6</v>
      </c>
      <c r="AI129" s="224">
        <f t="shared" si="41"/>
        <v>0.47378501295304359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44312</v>
      </c>
      <c r="B130" s="616">
        <v>5.9910000000000005</v>
      </c>
      <c r="C130" s="389"/>
      <c r="D130" s="392">
        <f t="shared" si="24"/>
        <v>6.1319887317226405</v>
      </c>
      <c r="E130" s="384">
        <f t="shared" si="45"/>
        <v>6.1691517341124431</v>
      </c>
      <c r="F130" s="384">
        <f t="shared" si="25"/>
        <v>6.1691517341124431</v>
      </c>
      <c r="G130" s="110">
        <f t="shared" si="46"/>
        <v>0.10365526036288704</v>
      </c>
      <c r="H130" s="413" t="b">
        <f>Wh_hp&gt;='2020'!Maxi_hp</f>
        <v>0</v>
      </c>
      <c r="I130" s="379">
        <f>IF(H130,Wh_hp,'2020'!Maxi_hp)</f>
        <v>44.734858830457235</v>
      </c>
      <c r="J130" s="85">
        <f>IF(H130,An,'2020'!An_max)</f>
        <v>2020</v>
      </c>
      <c r="K130" s="196">
        <f t="shared" si="26"/>
        <v>44312</v>
      </c>
      <c r="L130" s="147">
        <f>IF(t&lt;Tvie,1-EXP((T0-t)*PertePVj)+'2020'!Pspv,1-EXP((T0-t)*PertePVj)+Pspv)</f>
        <v>2.2992333791036268E-2</v>
      </c>
      <c r="M130" s="847"/>
      <c r="N130" s="847"/>
      <c r="O130" s="48">
        <f>IF(t&lt;Tnet,'2020'!Resal+('2020'!Salim-'2020'!Resal)*(1-EXP(('2020'!Tnet-t)/('2020'!Tau_j))),Resal+(Salim-Resal)*(1-EXP((Tnet-t)/(Tau_j))))*Salcycl</f>
        <v>6.0240052427805602E-3</v>
      </c>
      <c r="P130" s="168">
        <f>(INDEX(Models!$BJ130:$BT130,,T130)*(1-R130)+INDEX(Models!$BJ130:$BT130,,T130+1)*R130-ERP_i)*Q130*Ramure*Pc/MaxiM</f>
        <v>9.284833783323692E-5</v>
      </c>
      <c r="Q130" s="304">
        <f t="shared" si="27"/>
        <v>0.5</v>
      </c>
      <c r="R130" s="176">
        <f t="shared" si="28"/>
        <v>0.47521418701975898</v>
      </c>
      <c r="S130" s="814">
        <f t="shared" si="29"/>
        <v>0</v>
      </c>
      <c r="T130" s="175">
        <f t="shared" si="30"/>
        <v>6</v>
      </c>
      <c r="U130" s="250">
        <f t="shared" si="31"/>
        <v>0.47521418701975898</v>
      </c>
      <c r="V130" s="382">
        <f t="shared" si="32"/>
        <v>57.79198976140794</v>
      </c>
      <c r="W130" s="401"/>
      <c r="X130" s="157">
        <f t="shared" si="33"/>
        <v>44312</v>
      </c>
      <c r="Y130" s="384">
        <f t="shared" si="34"/>
        <v>5.7402100691280094</v>
      </c>
      <c r="Z130" s="384">
        <f t="shared" si="35"/>
        <v>5.8752968555522935</v>
      </c>
      <c r="AA130" s="385">
        <f t="shared" si="36"/>
        <v>6.1691517341124431</v>
      </c>
      <c r="AB130" s="196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4.7632947157916897E-2</v>
      </c>
      <c r="AD130" s="230">
        <f>(INDEX(Models!$BJ130:$BT130,,AH130)*(1-AF130)+INDEX(Models!$BJ130:$BT130,,AH130+1)*AF130-ERP_i)*AE130*Ramure*Pc/MaxiM</f>
        <v>9.284833783323692E-5</v>
      </c>
      <c r="AE130" s="304">
        <f t="shared" si="38"/>
        <v>0.5</v>
      </c>
      <c r="AF130" s="176">
        <f t="shared" si="39"/>
        <v>0.47521418701975898</v>
      </c>
      <c r="AG130" s="814">
        <f t="shared" si="47"/>
        <v>0</v>
      </c>
      <c r="AH130" s="175">
        <f t="shared" si="40"/>
        <v>6</v>
      </c>
      <c r="AI130" s="224">
        <f t="shared" si="41"/>
        <v>0.47521418701975898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44313</v>
      </c>
      <c r="B131" s="616">
        <v>19.994</v>
      </c>
      <c r="C131" s="389"/>
      <c r="D131" s="392">
        <f t="shared" si="24"/>
        <v>20.464975476690466</v>
      </c>
      <c r="E131" s="384">
        <f t="shared" si="45"/>
        <v>20.590691730758458</v>
      </c>
      <c r="F131" s="384">
        <f t="shared" si="25"/>
        <v>20.590815988468382</v>
      </c>
      <c r="G131" s="110">
        <f t="shared" si="46"/>
        <v>0.34544172725536082</v>
      </c>
      <c r="H131" s="413" t="b">
        <f>Wh_hp&gt;='2020'!Maxi_hp</f>
        <v>0</v>
      </c>
      <c r="I131" s="379">
        <f>IF(H131,Wh_hp,'2020'!Maxi_hp)</f>
        <v>32.651115623265042</v>
      </c>
      <c r="J131" s="85">
        <f>IF(H131,An,'2020'!An_max)</f>
        <v>2019</v>
      </c>
      <c r="K131" s="196">
        <f t="shared" si="26"/>
        <v>44313</v>
      </c>
      <c r="L131" s="147">
        <f>IF(t&lt;Tvie,1-EXP((T0-t)*PertePVj)+'2020'!Pspv,1-EXP((T0-t)*PertePVj)+Pspv)</f>
        <v>2.3013732766350325E-2</v>
      </c>
      <c r="M131" s="847"/>
      <c r="N131" s="847"/>
      <c r="O131" s="48">
        <f>IF(t&lt;Tnet,'2020'!Resal+('2020'!Salim-'2020'!Resal)*(1-EXP(('2020'!Tnet-t)/('2020'!Tau_j))),Resal+(Salim-Resal)*(1-EXP((Tnet-t)/(Tau_j))))*Salcycl</f>
        <v>6.1054895926685769E-3</v>
      </c>
      <c r="P131" s="168">
        <f>(INDEX(Models!$BJ131:$BT131,,T131)*(1-R131)+INDEX(Models!$BJ131:$BT131,,T131+1)*R131-ERP_i)*Q131*Ramure*Pc/MaxiM</f>
        <v>9.289798420488819E-5</v>
      </c>
      <c r="Q131" s="304">
        <f t="shared" si="27"/>
        <v>0.5</v>
      </c>
      <c r="R131" s="176">
        <f t="shared" si="28"/>
        <v>0.47668676761203999</v>
      </c>
      <c r="S131" s="814">
        <f t="shared" si="29"/>
        <v>0</v>
      </c>
      <c r="T131" s="175">
        <f t="shared" si="30"/>
        <v>6</v>
      </c>
      <c r="U131" s="250">
        <f t="shared" si="31"/>
        <v>0.47668676761203999</v>
      </c>
      <c r="V131" s="382">
        <f t="shared" si="32"/>
        <v>57.874488418701226</v>
      </c>
      <c r="W131" s="401"/>
      <c r="X131" s="157">
        <f t="shared" si="33"/>
        <v>44313</v>
      </c>
      <c r="Y131" s="384">
        <f t="shared" si="34"/>
        <v>19.157457496052523</v>
      </c>
      <c r="Z131" s="384">
        <f t="shared" si="35"/>
        <v>19.608727510876005</v>
      </c>
      <c r="AA131" s="385">
        <f t="shared" si="36"/>
        <v>20.590691730758458</v>
      </c>
      <c r="AB131" s="196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4.7689714980074786E-2</v>
      </c>
      <c r="AD131" s="230">
        <f>(INDEX(Models!$BJ131:$BT131,,AH131)*(1-AF131)+INDEX(Models!$BJ131:$BT131,,AH131+1)*AF131-ERP_i)*AE131*Ramure*Pc/MaxiM</f>
        <v>9.289798420488819E-5</v>
      </c>
      <c r="AE131" s="304">
        <f t="shared" si="38"/>
        <v>0.5</v>
      </c>
      <c r="AF131" s="176">
        <f t="shared" si="39"/>
        <v>0.47668676761203999</v>
      </c>
      <c r="AG131" s="814">
        <f t="shared" si="47"/>
        <v>0</v>
      </c>
      <c r="AH131" s="175">
        <f t="shared" si="40"/>
        <v>6</v>
      </c>
      <c r="AI131" s="224">
        <f t="shared" si="41"/>
        <v>0.47668676761203999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44314</v>
      </c>
      <c r="B132" s="616">
        <v>15.09</v>
      </c>
      <c r="C132" s="389"/>
      <c r="D132" s="392">
        <f t="shared" si="24"/>
        <v>15.445795937024904</v>
      </c>
      <c r="E132" s="384">
        <f t="shared" si="45"/>
        <v>15.541954779465202</v>
      </c>
      <c r="F132" s="384">
        <f t="shared" si="25"/>
        <v>15.541954779465202</v>
      </c>
      <c r="G132" s="110">
        <f t="shared" si="46"/>
        <v>0.26036030333839805</v>
      </c>
      <c r="H132" s="413" t="b">
        <f>Wh_hp&gt;='2020'!Maxi_hp</f>
        <v>0</v>
      </c>
      <c r="I132" s="379">
        <f>IF(H132,Wh_hp,'2020'!Maxi_hp)</f>
        <v>46.272317689396395</v>
      </c>
      <c r="J132" s="85">
        <f>IF(H132,An,'2020'!An_max)</f>
        <v>2019</v>
      </c>
      <c r="K132" s="196">
        <f t="shared" si="26"/>
        <v>44314</v>
      </c>
      <c r="L132" s="147">
        <f>IF(t&lt;Tvie,1-EXP((T0-t)*PertePVj)+'2020'!Pspv,1-EXP((T0-t)*PertePVj)+Pspv)</f>
        <v>2.3035131272971854E-2</v>
      </c>
      <c r="M132" s="847"/>
      <c r="N132" s="847"/>
      <c r="O132" s="48">
        <f>IF(t&lt;Tnet,'2020'!Resal+('2020'!Salim-'2020'!Resal)*(1-EXP(('2020'!Tnet-t)/('2020'!Tau_j))),Resal+(Salim-Resal)*(1-EXP((Tnet-t)/(Tau_j))))*Salcycl</f>
        <v>6.187049428772449E-3</v>
      </c>
      <c r="P132" s="168">
        <f>(INDEX(Models!$BJ132:$BT132,,T132)*(1-R132)+INDEX(Models!$BJ132:$BT132,,T132+1)*R132-ERP_i)*Q132*Ramure*Pc/MaxiM</f>
        <v>9.3661699396064131E-5</v>
      </c>
      <c r="Q132" s="304">
        <f t="shared" si="27"/>
        <v>0.5</v>
      </c>
      <c r="R132" s="176">
        <f t="shared" si="28"/>
        <v>0.47820346203776637</v>
      </c>
      <c r="S132" s="814">
        <f t="shared" si="29"/>
        <v>0</v>
      </c>
      <c r="T132" s="175">
        <f t="shared" si="30"/>
        <v>6</v>
      </c>
      <c r="U132" s="250">
        <f t="shared" si="31"/>
        <v>0.47820346203776637</v>
      </c>
      <c r="V132" s="382">
        <f t="shared" si="32"/>
        <v>57.952715723122459</v>
      </c>
      <c r="W132" s="401"/>
      <c r="X132" s="157">
        <f t="shared" si="33"/>
        <v>44314</v>
      </c>
      <c r="Y132" s="384">
        <f t="shared" si="34"/>
        <v>14.458953881563735</v>
      </c>
      <c r="Z132" s="384">
        <f t="shared" si="35"/>
        <v>14.799870849402756</v>
      </c>
      <c r="AA132" s="385">
        <f t="shared" si="36"/>
        <v>15.541954779465202</v>
      </c>
      <c r="AB132" s="196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4.7747142530804643E-2</v>
      </c>
      <c r="AD132" s="230">
        <f>(INDEX(Models!$BJ132:$BT132,,AH132)*(1-AF132)+INDEX(Models!$BJ132:$BT132,,AH132+1)*AF132-ERP_i)*AE132*Ramure*Pc/MaxiM</f>
        <v>9.3661699396064131E-5</v>
      </c>
      <c r="AE132" s="304">
        <f t="shared" si="38"/>
        <v>0.5</v>
      </c>
      <c r="AF132" s="176">
        <f t="shared" si="39"/>
        <v>0.47820346203776637</v>
      </c>
      <c r="AG132" s="814">
        <f t="shared" si="47"/>
        <v>0</v>
      </c>
      <c r="AH132" s="175">
        <f t="shared" si="40"/>
        <v>6</v>
      </c>
      <c r="AI132" s="224">
        <f t="shared" si="41"/>
        <v>0.47820346203776637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44315</v>
      </c>
      <c r="B133" s="616">
        <v>23.574999999999999</v>
      </c>
      <c r="C133" s="389"/>
      <c r="D133" s="392">
        <f t="shared" si="24"/>
        <v>24.131386008825398</v>
      </c>
      <c r="E133" s="384">
        <f t="shared" si="45"/>
        <v>24.283612383554708</v>
      </c>
      <c r="F133" s="384">
        <f t="shared" si="25"/>
        <v>24.283963191601039</v>
      </c>
      <c r="G133" s="110">
        <f t="shared" si="46"/>
        <v>0.40624295072551714</v>
      </c>
      <c r="H133" s="413" t="b">
        <f>Wh_hp&gt;='2020'!Maxi_hp</f>
        <v>0</v>
      </c>
      <c r="I133" s="379">
        <f>IF(H133,Wh_hp,'2020'!Maxi_hp)</f>
        <v>53.368157207245993</v>
      </c>
      <c r="J133" s="85">
        <f>IF(H133,An,'2020'!An_max)</f>
        <v>2019</v>
      </c>
      <c r="K133" s="196">
        <f t="shared" si="26"/>
        <v>44315</v>
      </c>
      <c r="L133" s="147">
        <f>IF(t&lt;Tvie,1-EXP((T0-t)*PertePVj)+'2020'!Pspv,1-EXP((T0-t)*PertePVj)+Pspv)</f>
        <v>2.3056529310911289E-2</v>
      </c>
      <c r="M133" s="847"/>
      <c r="N133" s="847"/>
      <c r="O133" s="48">
        <f>IF(t&lt;Tnet,'2020'!Resal+('2020'!Salim-'2020'!Resal)*(1-EXP(('2020'!Tnet-t)/('2020'!Tau_j))),Resal+(Salim-Resal)*(1-EXP((Tnet-t)/(Tau_j))))*Salcycl</f>
        <v>6.2686873898711382E-3</v>
      </c>
      <c r="P133" s="168">
        <f>(INDEX(Models!$BJ133:$BT133,,T133)*(1-R133)+INDEX(Models!$BJ133:$BT133,,T133+1)*R133-ERP_i)*Q133*Ramure*Pc/MaxiM</f>
        <v>9.5151115417998805E-5</v>
      </c>
      <c r="Q133" s="304">
        <f t="shared" si="27"/>
        <v>0.5</v>
      </c>
      <c r="R133" s="176">
        <f t="shared" si="28"/>
        <v>0.47976494389444557</v>
      </c>
      <c r="S133" s="814">
        <f t="shared" si="29"/>
        <v>0</v>
      </c>
      <c r="T133" s="175">
        <f t="shared" si="30"/>
        <v>6</v>
      </c>
      <c r="U133" s="250">
        <f t="shared" si="31"/>
        <v>0.47976494389444557</v>
      </c>
      <c r="V133" s="382">
        <f t="shared" si="32"/>
        <v>58.02709267736644</v>
      </c>
      <c r="W133" s="401"/>
      <c r="X133" s="157">
        <f t="shared" si="33"/>
        <v>44315</v>
      </c>
      <c r="Y133" s="384">
        <f t="shared" si="34"/>
        <v>22.589598917703313</v>
      </c>
      <c r="Z133" s="384">
        <f t="shared" si="35"/>
        <v>23.12272879184064</v>
      </c>
      <c r="AA133" s="385">
        <f t="shared" si="36"/>
        <v>24.283612383554708</v>
      </c>
      <c r="AB133" s="196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4.78052265609476E-2</v>
      </c>
      <c r="AD133" s="230">
        <f>(INDEX(Models!$BJ133:$BT133,,AH133)*(1-AF133)+INDEX(Models!$BJ133:$BT133,,AH133+1)*AF133-ERP_i)*AE133*Ramure*Pc/MaxiM</f>
        <v>9.5151115417998805E-5</v>
      </c>
      <c r="AE133" s="304">
        <f t="shared" si="38"/>
        <v>0.5</v>
      </c>
      <c r="AF133" s="176">
        <f t="shared" si="39"/>
        <v>0.47976494389444557</v>
      </c>
      <c r="AG133" s="814">
        <f t="shared" si="47"/>
        <v>0</v>
      </c>
      <c r="AH133" s="175">
        <f t="shared" si="40"/>
        <v>6</v>
      </c>
      <c r="AI133" s="224">
        <f t="shared" si="41"/>
        <v>0.47976494389444557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44316</v>
      </c>
      <c r="B134" s="616">
        <v>17.080000000000002</v>
      </c>
      <c r="C134" s="389"/>
      <c r="D134" s="392">
        <f t="shared" si="24"/>
        <v>17.483482531472198</v>
      </c>
      <c r="E134" s="384">
        <f t="shared" si="45"/>
        <v>17.595219316054617</v>
      </c>
      <c r="F134" s="384">
        <f t="shared" si="25"/>
        <v>17.595219316054617</v>
      </c>
      <c r="G134" s="110">
        <f t="shared" si="46"/>
        <v>0.29395719281056404</v>
      </c>
      <c r="H134" s="413" t="b">
        <f>Wh_hp&gt;='2020'!Maxi_hp</f>
        <v>0</v>
      </c>
      <c r="I134" s="379">
        <f>IF(H134,Wh_hp,'2020'!Maxi_hp)</f>
        <v>60.260535835391735</v>
      </c>
      <c r="J134" s="85">
        <f>IF(H134,An,'2020'!An_max)</f>
        <v>2019</v>
      </c>
      <c r="K134" s="196">
        <f t="shared" si="26"/>
        <v>44316</v>
      </c>
      <c r="L134" s="147">
        <f>IF(t&lt;Tvie,1-EXP((T0-t)*PertePVj)+'2020'!Pspv,1-EXP((T0-t)*PertePVj)+Pspv)</f>
        <v>2.3077926880178623E-2</v>
      </c>
      <c r="M134" s="847"/>
      <c r="N134" s="847"/>
      <c r="O134" s="48">
        <f>IF(t&lt;Tnet,'2020'!Resal+('2020'!Salim-'2020'!Resal)*(1-EXP(('2020'!Tnet-t)/('2020'!Tau_j))),Resal+(Salim-Resal)*(1-EXP((Tnet-t)/(Tau_j))))*Salcycl</f>
        <v>6.3504059014748955E-3</v>
      </c>
      <c r="P134" s="168">
        <f>(INDEX(Models!$BJ134:$BT134,,T134)*(1-R134)+INDEX(Models!$BJ134:$BT134,,T134+1)*R134-ERP_i)*Q134*Ramure*Pc/MaxiM</f>
        <v>9.7378984616966859E-5</v>
      </c>
      <c r="Q134" s="304">
        <f t="shared" si="27"/>
        <v>0.5</v>
      </c>
      <c r="R134" s="176">
        <f t="shared" si="28"/>
        <v>0.48137184928881305</v>
      </c>
      <c r="S134" s="814">
        <f t="shared" si="29"/>
        <v>0</v>
      </c>
      <c r="T134" s="175">
        <f t="shared" si="30"/>
        <v>6</v>
      </c>
      <c r="U134" s="250">
        <f t="shared" si="31"/>
        <v>0.48137184928881305</v>
      </c>
      <c r="V134" s="382">
        <f t="shared" si="32"/>
        <v>58.098040070577916</v>
      </c>
      <c r="W134" s="401"/>
      <c r="X134" s="157">
        <f t="shared" si="33"/>
        <v>44316</v>
      </c>
      <c r="Y134" s="384">
        <f t="shared" si="34"/>
        <v>16.366416911362144</v>
      </c>
      <c r="Z134" s="384">
        <f t="shared" si="35"/>
        <v>16.753042398863652</v>
      </c>
      <c r="AA134" s="385">
        <f t="shared" si="36"/>
        <v>17.595219316054617</v>
      </c>
      <c r="AB134" s="196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4.7863962481134205E-2</v>
      </c>
      <c r="AD134" s="230">
        <f>(INDEX(Models!$BJ134:$BT134,,AH134)*(1-AF134)+INDEX(Models!$BJ134:$BT134,,AH134+1)*AF134-ERP_i)*AE134*Ramure*Pc/MaxiM</f>
        <v>9.7378984616966859E-5</v>
      </c>
      <c r="AE134" s="304">
        <f t="shared" si="38"/>
        <v>0.5</v>
      </c>
      <c r="AF134" s="176">
        <f t="shared" si="39"/>
        <v>0.48137184928881305</v>
      </c>
      <c r="AG134" s="814">
        <f t="shared" si="47"/>
        <v>0</v>
      </c>
      <c r="AH134" s="175">
        <f t="shared" si="40"/>
        <v>6</v>
      </c>
      <c r="AI134" s="224">
        <f t="shared" si="41"/>
        <v>0.48137184928881305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44317</v>
      </c>
      <c r="B135" s="616">
        <v>20.321000000000002</v>
      </c>
      <c r="C135" s="389"/>
      <c r="D135" s="392">
        <f t="shared" si="24"/>
        <v>20.801500601684801</v>
      </c>
      <c r="E135" s="384">
        <f t="shared" si="45"/>
        <v>20.936166360846237</v>
      </c>
      <c r="F135" s="384">
        <f t="shared" si="25"/>
        <v>20.936314569253952</v>
      </c>
      <c r="G135" s="110">
        <f t="shared" si="46"/>
        <v>0.34934149946582171</v>
      </c>
      <c r="H135" s="413" t="b">
        <f>Wh_hp&gt;='2020'!Maxi_hp</f>
        <v>0</v>
      </c>
      <c r="I135" s="379">
        <f>IF(H135,Wh_hp,'2020'!Maxi_hp)</f>
        <v>56.919945297038041</v>
      </c>
      <c r="J135" s="85">
        <f>IF(H135,An,'2020'!An_max)</f>
        <v>2019</v>
      </c>
      <c r="K135" s="196">
        <f t="shared" si="26"/>
        <v>44317</v>
      </c>
      <c r="L135" s="147">
        <f>IF(t&lt;Tvie,1-EXP((T0-t)*PertePVj)+'2020'!Pspv,1-EXP((T0-t)*PertePVj)+Pspv)</f>
        <v>2.3099323980784403E-2</v>
      </c>
      <c r="M135" s="847"/>
      <c r="N135" s="847"/>
      <c r="O135" s="48">
        <f>IF(t&lt;Tnet,'2020'!Resal+('2020'!Salim-'2020'!Resal)*(1-EXP(('2020'!Tnet-t)/('2020'!Tau_j))),Resal+(Salim-Resal)*(1-EXP((Tnet-t)/(Tau_j))))*Salcycl</f>
        <v>6.4322071596297492E-3</v>
      </c>
      <c r="P135" s="168">
        <f>(INDEX(Models!$BJ135:$BT135,,T135)*(1-R135)+INDEX(Models!$BJ135:$BT135,,T135+1)*R135-ERP_i)*Q135*Ramure*Pc/MaxiM</f>
        <v>1.0036251536492227E-4</v>
      </c>
      <c r="Q135" s="304">
        <f t="shared" si="27"/>
        <v>0.5</v>
      </c>
      <c r="R135" s="176">
        <f t="shared" si="28"/>
        <v>0.48302477294364909</v>
      </c>
      <c r="S135" s="814">
        <f t="shared" si="29"/>
        <v>0</v>
      </c>
      <c r="T135" s="175">
        <f t="shared" si="30"/>
        <v>6</v>
      </c>
      <c r="U135" s="250">
        <f t="shared" si="31"/>
        <v>0.48302477294364909</v>
      </c>
      <c r="V135" s="382">
        <f t="shared" si="32"/>
        <v>58.164015450683571</v>
      </c>
      <c r="W135" s="401"/>
      <c r="X135" s="157">
        <f t="shared" si="33"/>
        <v>44317</v>
      </c>
      <c r="Y135" s="384">
        <f t="shared" si="34"/>
        <v>19.472400232333598</v>
      </c>
      <c r="Z135" s="384">
        <f t="shared" si="35"/>
        <v>19.932835251667466</v>
      </c>
      <c r="AA135" s="385">
        <f t="shared" si="36"/>
        <v>20.936166360846237</v>
      </c>
      <c r="AB135" s="196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4.792334431651963E-2</v>
      </c>
      <c r="AD135" s="230">
        <f>(INDEX(Models!$BJ135:$BT135,,AH135)*(1-AF135)+INDEX(Models!$BJ135:$BT135,,AH135+1)*AF135-ERP_i)*AE135*Ramure*Pc/MaxiM</f>
        <v>1.0036251536492227E-4</v>
      </c>
      <c r="AE135" s="304">
        <f t="shared" si="38"/>
        <v>0.5</v>
      </c>
      <c r="AF135" s="176">
        <f t="shared" si="39"/>
        <v>0.48302477294364909</v>
      </c>
      <c r="AG135" s="814">
        <f t="shared" si="47"/>
        <v>0</v>
      </c>
      <c r="AH135" s="175">
        <f t="shared" si="40"/>
        <v>6</v>
      </c>
      <c r="AI135" s="224">
        <f t="shared" si="41"/>
        <v>0.48302477294364909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44318</v>
      </c>
      <c r="B136" s="616">
        <v>39.25</v>
      </c>
      <c r="C136" s="389"/>
      <c r="D136" s="392">
        <f t="shared" si="24"/>
        <v>40.178966662717229</v>
      </c>
      <c r="E136" s="384">
        <f t="shared" si="45"/>
        <v>40.442412302232952</v>
      </c>
      <c r="F136" s="384">
        <f t="shared" si="25"/>
        <v>40.444664400159141</v>
      </c>
      <c r="G136" s="110">
        <f t="shared" si="46"/>
        <v>0.67409403878027008</v>
      </c>
      <c r="H136" s="413" t="b">
        <f>Wh_hp&gt;='2020'!Maxi_hp</f>
        <v>1</v>
      </c>
      <c r="I136" s="379">
        <f>IF(H136,Wh_hp,'2020'!Maxi_hp)</f>
        <v>40.444664400159141</v>
      </c>
      <c r="J136" s="85">
        <f>IF(H136,An,'2020'!An_max)</f>
        <v>2021</v>
      </c>
      <c r="K136" s="196">
        <f t="shared" si="26"/>
        <v>44318</v>
      </c>
      <c r="L136" s="147">
        <f>IF(t&lt;Tvie,1-EXP((T0-t)*PertePVj)+'2020'!Pspv,1-EXP((T0-t)*PertePVj)+Pspv)</f>
        <v>2.3120720612738732E-2</v>
      </c>
      <c r="M136" s="847"/>
      <c r="N136" s="847"/>
      <c r="O136" s="48">
        <f>IF(t&lt;Tnet,'2020'!Resal+('2020'!Salim-'2020'!Resal)*(1-EXP(('2020'!Tnet-t)/('2020'!Tau_j))),Resal+(Salim-Resal)*(1-EXP((Tnet-t)/(Tau_j))))*Salcycl</f>
        <v>6.5140931145982687E-3</v>
      </c>
      <c r="P136" s="168">
        <f>(INDEX(Models!$BJ136:$BT136,,T136)*(1-R136)+INDEX(Models!$BJ136:$BT136,,T136+1)*R136-ERP_i)*Q136*Ramure*Pc/MaxiM</f>
        <v>1.0418503179315415E-4</v>
      </c>
      <c r="Q136" s="304">
        <f t="shared" si="27"/>
        <v>0.5</v>
      </c>
      <c r="R136" s="176">
        <f t="shared" si="28"/>
        <v>0.4847242642049101</v>
      </c>
      <c r="S136" s="814">
        <f t="shared" si="29"/>
        <v>0</v>
      </c>
      <c r="T136" s="175">
        <f t="shared" si="30"/>
        <v>6</v>
      </c>
      <c r="U136" s="250">
        <f t="shared" si="31"/>
        <v>0.4847242642049101</v>
      </c>
      <c r="V136" s="382">
        <f t="shared" si="32"/>
        <v>58.223473207707748</v>
      </c>
      <c r="W136" s="401"/>
      <c r="X136" s="157">
        <f t="shared" si="33"/>
        <v>44318</v>
      </c>
      <c r="Y136" s="384">
        <f t="shared" si="34"/>
        <v>37.611658784488974</v>
      </c>
      <c r="Z136" s="384">
        <f t="shared" si="35"/>
        <v>38.501849284878425</v>
      </c>
      <c r="AA136" s="385">
        <f t="shared" si="36"/>
        <v>40.442412302232952</v>
      </c>
      <c r="AB136" s="196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4.7983364663125749E-2</v>
      </c>
      <c r="AD136" s="230">
        <f>(INDEX(Models!$BJ136:$BT136,,AH136)*(1-AF136)+INDEX(Models!$BJ136:$BT136,,AH136+1)*AF136-ERP_i)*AE136*Ramure*Pc/MaxiM</f>
        <v>1.0418503179315415E-4</v>
      </c>
      <c r="AE136" s="304">
        <f t="shared" si="38"/>
        <v>0.5</v>
      </c>
      <c r="AF136" s="176">
        <f t="shared" si="39"/>
        <v>0.4847242642049101</v>
      </c>
      <c r="AG136" s="814">
        <f t="shared" si="47"/>
        <v>0</v>
      </c>
      <c r="AH136" s="175">
        <f t="shared" si="40"/>
        <v>6</v>
      </c>
      <c r="AI136" s="224">
        <f t="shared" si="41"/>
        <v>0.4847242642049101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44319</v>
      </c>
      <c r="B137" s="616">
        <v>58.057000000000002</v>
      </c>
      <c r="C137" s="389"/>
      <c r="D137" s="392">
        <f t="shared" si="24"/>
        <v>59.432391340686173</v>
      </c>
      <c r="E137" s="384">
        <f t="shared" si="45"/>
        <v>59.827014242578016</v>
      </c>
      <c r="F137" s="384">
        <f t="shared" si="25"/>
        <v>59.833471224448644</v>
      </c>
      <c r="G137" s="110">
        <f t="shared" si="46"/>
        <v>0.9962268074797922</v>
      </c>
      <c r="H137" s="413" t="b">
        <f>Wh_hp&gt;='2020'!Maxi_hp</f>
        <v>1</v>
      </c>
      <c r="I137" s="379">
        <f>IF(H137,Wh_hp,'2020'!Maxi_hp)</f>
        <v>59.833471224448644</v>
      </c>
      <c r="J137" s="85">
        <f>IF(H137,An,'2020'!An_max)</f>
        <v>2021</v>
      </c>
      <c r="K137" s="196">
        <f t="shared" si="26"/>
        <v>44319</v>
      </c>
      <c r="L137" s="147">
        <f>IF(t&lt;Tvie,1-EXP((T0-t)*PertePVj)+'2020'!Pspv,1-EXP((T0-t)*PertePVj)+Pspv)</f>
        <v>2.3142116776051824E-2</v>
      </c>
      <c r="M137" s="847"/>
      <c r="N137" s="847"/>
      <c r="O137" s="48">
        <f>IF(t&lt;Tnet,'2020'!Resal+('2020'!Salim-'2020'!Resal)*(1-EXP(('2020'!Tnet-t)/('2020'!Tau_j))),Resal+(Salim-Resal)*(1-EXP((Tnet-t)/(Tau_j))))*Salcycl</f>
        <v>6.5960654545083562E-3</v>
      </c>
      <c r="P137" s="168">
        <f>(INDEX(Models!$BJ137:$BT137,,T137)*(1-R137)+INDEX(Models!$BJ137:$BT137,,T137+1)*R137-ERP_i)*Q137*Ramure*Pc/MaxiM</f>
        <v>1.0850064082999544E-4</v>
      </c>
      <c r="Q137" s="304">
        <f t="shared" si="27"/>
        <v>0.5</v>
      </c>
      <c r="R137" s="176">
        <f t="shared" si="28"/>
        <v>0.48647082296424837</v>
      </c>
      <c r="S137" s="814">
        <f t="shared" si="29"/>
        <v>0</v>
      </c>
      <c r="T137" s="175">
        <f t="shared" si="30"/>
        <v>6</v>
      </c>
      <c r="U137" s="250">
        <f t="shared" si="31"/>
        <v>0.48647082296424837</v>
      </c>
      <c r="V137" s="382">
        <f t="shared" si="32"/>
        <v>58.276855843611713</v>
      </c>
      <c r="W137" s="401"/>
      <c r="X137" s="157">
        <f t="shared" si="33"/>
        <v>44319</v>
      </c>
      <c r="Y137" s="384">
        <f t="shared" si="34"/>
        <v>55.634678623419809</v>
      </c>
      <c r="Z137" s="384">
        <f t="shared" si="35"/>
        <v>56.952684294062621</v>
      </c>
      <c r="AA137" s="385">
        <f t="shared" si="36"/>
        <v>59.827014242578016</v>
      </c>
      <c r="AB137" s="196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4.8044014646309682E-2</v>
      </c>
      <c r="AD137" s="230">
        <f>(INDEX(Models!$BJ137:$BT137,,AH137)*(1-AF137)+INDEX(Models!$BJ137:$BT137,,AH137+1)*AF137-ERP_i)*AE137*Ramure*Pc/MaxiM</f>
        <v>1.0850064082999544E-4</v>
      </c>
      <c r="AE137" s="304">
        <f t="shared" si="38"/>
        <v>0.5</v>
      </c>
      <c r="AF137" s="176">
        <f t="shared" si="39"/>
        <v>0.48647082296424837</v>
      </c>
      <c r="AG137" s="814">
        <f t="shared" si="47"/>
        <v>0</v>
      </c>
      <c r="AH137" s="175">
        <f t="shared" si="40"/>
        <v>6</v>
      </c>
      <c r="AI137" s="224">
        <f t="shared" si="41"/>
        <v>0.48647082296424837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44320</v>
      </c>
      <c r="B138" s="616">
        <v>50.186</v>
      </c>
      <c r="C138" s="389"/>
      <c r="D138" s="392">
        <f t="shared" si="24"/>
        <v>51.376049769533651</v>
      </c>
      <c r="E138" s="384">
        <f t="shared" si="45"/>
        <v>51.72145212245654</v>
      </c>
      <c r="F138" s="384">
        <f t="shared" si="25"/>
        <v>51.726145308574445</v>
      </c>
      <c r="G138" s="110">
        <f t="shared" si="46"/>
        <v>0.86044103475382006</v>
      </c>
      <c r="H138" s="413" t="b">
        <f>Wh_hp&gt;='2020'!Maxi_hp</f>
        <v>0</v>
      </c>
      <c r="I138" s="379">
        <f>IF(H138,Wh_hp,'2020'!Maxi_hp)</f>
        <v>55.569460873367788</v>
      </c>
      <c r="J138" s="85">
        <f>IF(H138,An,'2020'!An_max)</f>
        <v>2020</v>
      </c>
      <c r="K138" s="196">
        <f t="shared" si="26"/>
        <v>44320</v>
      </c>
      <c r="L138" s="147">
        <f>IF(t&lt;Tvie,1-EXP((T0-t)*PertePVj)+'2020'!Pspv,1-EXP((T0-t)*PertePVj)+Pspv)</f>
        <v>2.3163512470734116E-2</v>
      </c>
      <c r="M138" s="847"/>
      <c r="N138" s="847"/>
      <c r="O138" s="48">
        <f>IF(t&lt;Tnet,'2020'!Resal+('2020'!Salim-'2020'!Resal)*(1-EXP(('2020'!Tnet-t)/('2020'!Tau_j))),Resal+(Salim-Resal)*(1-EXP((Tnet-t)/(Tau_j))))*Salcycl</f>
        <v>6.6781255890709561E-3</v>
      </c>
      <c r="P138" s="168">
        <f>(INDEX(Models!$BJ138:$BT138,,T138)*(1-R138)+INDEX(Models!$BJ138:$BT138,,T138+1)*R138-ERP_i)*Q138*Ramure*Pc/MaxiM</f>
        <v>1.1332108188784184E-4</v>
      </c>
      <c r="Q138" s="304">
        <f t="shared" si="27"/>
        <v>0.5</v>
      </c>
      <c r="R138" s="176">
        <f t="shared" si="28"/>
        <v>0.48826489551402263</v>
      </c>
      <c r="S138" s="814">
        <f t="shared" si="29"/>
        <v>0</v>
      </c>
      <c r="T138" s="175">
        <f t="shared" si="30"/>
        <v>6</v>
      </c>
      <c r="U138" s="250">
        <f t="shared" si="31"/>
        <v>0.48826489551402263</v>
      </c>
      <c r="V138" s="382">
        <f t="shared" si="32"/>
        <v>58.324584933625779</v>
      </c>
      <c r="W138" s="401"/>
      <c r="X138" s="157">
        <f t="shared" si="33"/>
        <v>44320</v>
      </c>
      <c r="Y138" s="384">
        <f t="shared" si="34"/>
        <v>48.092959043545704</v>
      </c>
      <c r="Z138" s="384">
        <f t="shared" si="35"/>
        <v>49.233376985321556</v>
      </c>
      <c r="AA138" s="385">
        <f t="shared" si="36"/>
        <v>51.72145212245654</v>
      </c>
      <c r="AB138" s="196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4.8105283881902189E-2</v>
      </c>
      <c r="AD138" s="230">
        <f>(INDEX(Models!$BJ138:$BT138,,AH138)*(1-AF138)+INDEX(Models!$BJ138:$BT138,,AH138+1)*AF138-ERP_i)*AE138*Ramure*Pc/MaxiM</f>
        <v>1.1332108188784184E-4</v>
      </c>
      <c r="AE138" s="304">
        <f t="shared" si="38"/>
        <v>0.5</v>
      </c>
      <c r="AF138" s="176">
        <f t="shared" si="39"/>
        <v>0.48826489551402263</v>
      </c>
      <c r="AG138" s="814">
        <f t="shared" si="47"/>
        <v>0</v>
      </c>
      <c r="AH138" s="175">
        <f t="shared" si="40"/>
        <v>6</v>
      </c>
      <c r="AI138" s="224">
        <f t="shared" si="41"/>
        <v>0.48826489551402263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44321</v>
      </c>
      <c r="B139" s="616">
        <v>34.502000000000002</v>
      </c>
      <c r="C139" s="389"/>
      <c r="D139" s="392">
        <f t="shared" si="24"/>
        <v>35.320912086491958</v>
      </c>
      <c r="E139" s="384">
        <f t="shared" si="45"/>
        <v>35.561316351355067</v>
      </c>
      <c r="F139" s="384">
        <f t="shared" si="25"/>
        <v>35.563071339850204</v>
      </c>
      <c r="G139" s="110">
        <f t="shared" si="46"/>
        <v>0.59107989371641911</v>
      </c>
      <c r="H139" s="413" t="b">
        <f>Wh_hp&gt;='2020'!Maxi_hp</f>
        <v>0</v>
      </c>
      <c r="I139" s="379">
        <f>IF(H139,Wh_hp,'2020'!Maxi_hp)</f>
        <v>58.993355519975921</v>
      </c>
      <c r="J139" s="85">
        <f>IF(H139,An,'2020'!An_max)</f>
        <v>2020</v>
      </c>
      <c r="K139" s="196">
        <f t="shared" si="26"/>
        <v>44321</v>
      </c>
      <c r="L139" s="147">
        <f>IF(t&lt;Tvie,1-EXP((T0-t)*PertePVj)+'2020'!Pspv,1-EXP((T0-t)*PertePVj)+Pspv)</f>
        <v>2.318490769679582E-2</v>
      </c>
      <c r="M139" s="847"/>
      <c r="N139" s="847"/>
      <c r="O139" s="48">
        <f>IF(t&lt;Tnet,'2020'!Resal+('2020'!Salim-'2020'!Resal)*(1-EXP(('2020'!Tnet-t)/('2020'!Tau_j))),Resal+(Salim-Resal)*(1-EXP((Tnet-t)/(Tau_j))))*Salcycl</f>
        <v>6.7602746334768761E-3</v>
      </c>
      <c r="P139" s="168">
        <f>(INDEX(Models!$BJ139:$BT139,,T139)*(1-R139)+INDEX(Models!$BJ139:$BT139,,T139+1)*R139-ERP_i)*Q139*Ramure*Pc/MaxiM</f>
        <v>1.186587360036394E-4</v>
      </c>
      <c r="Q139" s="304">
        <f t="shared" si="27"/>
        <v>0.5</v>
      </c>
      <c r="R139" s="176">
        <f t="shared" si="28"/>
        <v>0.49010687035396849</v>
      </c>
      <c r="S139" s="814">
        <f t="shared" si="29"/>
        <v>0</v>
      </c>
      <c r="T139" s="175">
        <f t="shared" si="30"/>
        <v>6</v>
      </c>
      <c r="U139" s="250">
        <f t="shared" si="31"/>
        <v>0.49010687035396849</v>
      </c>
      <c r="V139" s="382">
        <f t="shared" si="32"/>
        <v>58.367081863413716</v>
      </c>
      <c r="W139" s="401"/>
      <c r="X139" s="157">
        <f t="shared" si="33"/>
        <v>44321</v>
      </c>
      <c r="Y139" s="384">
        <f t="shared" si="34"/>
        <v>33.06365602559908</v>
      </c>
      <c r="Z139" s="384">
        <f t="shared" si="35"/>
        <v>33.848428721181243</v>
      </c>
      <c r="AA139" s="385">
        <f t="shared" si="36"/>
        <v>35.561316351355067</v>
      </c>
      <c r="AB139" s="196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4.8167160440576819E-2</v>
      </c>
      <c r="AD139" s="230">
        <f>(INDEX(Models!$BJ139:$BT139,,AH139)*(1-AF139)+INDEX(Models!$BJ139:$BT139,,AH139+1)*AF139-ERP_i)*AE139*Ramure*Pc/MaxiM</f>
        <v>1.186587360036394E-4</v>
      </c>
      <c r="AE139" s="304">
        <f t="shared" si="38"/>
        <v>0.5</v>
      </c>
      <c r="AF139" s="176">
        <f t="shared" si="39"/>
        <v>0.49010687035396849</v>
      </c>
      <c r="AG139" s="814">
        <f t="shared" si="47"/>
        <v>0</v>
      </c>
      <c r="AH139" s="175">
        <f t="shared" si="40"/>
        <v>6</v>
      </c>
      <c r="AI139" s="224">
        <f t="shared" si="41"/>
        <v>0.49010687035396849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44322</v>
      </c>
      <c r="B140" s="616">
        <v>38.265999999999998</v>
      </c>
      <c r="C140" s="389"/>
      <c r="D140" s="392">
        <f t="shared" si="24"/>
        <v>39.175109438303494</v>
      </c>
      <c r="E140" s="384">
        <f t="shared" si="45"/>
        <v>39.445012464361795</v>
      </c>
      <c r="F140" s="384">
        <f t="shared" si="25"/>
        <v>39.447504990388055</v>
      </c>
      <c r="G140" s="110">
        <f t="shared" si="46"/>
        <v>0.65514604382838693</v>
      </c>
      <c r="H140" s="413" t="b">
        <f>Wh_hp&gt;='2020'!Maxi_hp</f>
        <v>0</v>
      </c>
      <c r="I140" s="379">
        <f>IF(H140,Wh_hp,'2020'!Maxi_hp)</f>
        <v>62.888390720107274</v>
      </c>
      <c r="J140" s="85">
        <f>IF(H140,An,'2020'!An_max)</f>
        <v>2019</v>
      </c>
      <c r="K140" s="196">
        <f t="shared" si="26"/>
        <v>44322</v>
      </c>
      <c r="L140" s="147">
        <f>IF(t&lt;Tvie,1-EXP((T0-t)*PertePVj)+'2020'!Pspv,1-EXP((T0-t)*PertePVj)+Pspv)</f>
        <v>2.3206302454247041E-2</v>
      </c>
      <c r="M140" s="847"/>
      <c r="N140" s="847"/>
      <c r="O140" s="48">
        <f>IF(t&lt;Tnet,'2020'!Resal+('2020'!Salim-'2020'!Resal)*(1-EXP(('2020'!Tnet-t)/('2020'!Tau_j))),Resal+(Salim-Resal)*(1-EXP((Tnet-t)/(Tau_j))))*Salcycl</f>
        <v>6.8425133925906316E-3</v>
      </c>
      <c r="P140" s="168">
        <f>(INDEX(Models!$BJ140:$BT140,,T140)*(1-R140)+INDEX(Models!$BJ140:$BT140,,T140+1)*R140-ERP_i)*Q140*Ramure*Pc/MaxiM</f>
        <v>1.245265838507224E-4</v>
      </c>
      <c r="Q140" s="304">
        <f t="shared" si="27"/>
        <v>0.5</v>
      </c>
      <c r="R140" s="176">
        <f t="shared" si="28"/>
        <v>0.4919970739707733</v>
      </c>
      <c r="S140" s="814">
        <f t="shared" si="29"/>
        <v>0</v>
      </c>
      <c r="T140" s="175">
        <f t="shared" si="30"/>
        <v>6</v>
      </c>
      <c r="U140" s="250">
        <f t="shared" si="31"/>
        <v>0.4919970739707733</v>
      </c>
      <c r="V140" s="382">
        <f t="shared" si="32"/>
        <v>58.404767836794839</v>
      </c>
      <c r="W140" s="401"/>
      <c r="X140" s="157">
        <f t="shared" si="33"/>
        <v>44322</v>
      </c>
      <c r="Y140" s="384">
        <f t="shared" si="34"/>
        <v>36.671369282635148</v>
      </c>
      <c r="Z140" s="384">
        <f t="shared" si="35"/>
        <v>37.54259407567222</v>
      </c>
      <c r="AA140" s="385">
        <f t="shared" si="36"/>
        <v>39.445012464361795</v>
      </c>
      <c r="AB140" s="196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4.8229630816022488E-2</v>
      </c>
      <c r="AD140" s="230">
        <f>(INDEX(Models!$BJ140:$BT140,,AH140)*(1-AF140)+INDEX(Models!$BJ140:$BT140,,AH140+1)*AF140-ERP_i)*AE140*Ramure*Pc/MaxiM</f>
        <v>1.245265838507224E-4</v>
      </c>
      <c r="AE140" s="304">
        <f t="shared" si="38"/>
        <v>0.5</v>
      </c>
      <c r="AF140" s="176">
        <f t="shared" si="39"/>
        <v>0.4919970739707733</v>
      </c>
      <c r="AG140" s="814">
        <f t="shared" si="47"/>
        <v>0</v>
      </c>
      <c r="AH140" s="175">
        <f t="shared" si="40"/>
        <v>6</v>
      </c>
      <c r="AI140" s="224">
        <f t="shared" si="41"/>
        <v>0.4919970739707733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44323</v>
      </c>
      <c r="B141" s="616">
        <v>31.202000000000002</v>
      </c>
      <c r="C141" s="389"/>
      <c r="D141" s="392">
        <f t="shared" si="24"/>
        <v>31.943985201015202</v>
      </c>
      <c r="E141" s="384">
        <f t="shared" si="45"/>
        <v>32.166734768055655</v>
      </c>
      <c r="F141" s="384">
        <f t="shared" si="25"/>
        <v>32.168142387716806</v>
      </c>
      <c r="G141" s="110">
        <f t="shared" si="46"/>
        <v>0.53388626565690445</v>
      </c>
      <c r="H141" s="413" t="b">
        <f>Wh_hp&gt;='2020'!Maxi_hp</f>
        <v>0</v>
      </c>
      <c r="I141" s="379">
        <f>IF(H141,Wh_hp,'2020'!Maxi_hp)</f>
        <v>58.152952169417603</v>
      </c>
      <c r="J141" s="85">
        <f>IF(H141,An,'2020'!An_max)</f>
        <v>2020</v>
      </c>
      <c r="K141" s="196">
        <f t="shared" si="26"/>
        <v>44323</v>
      </c>
      <c r="L141" s="147">
        <f>IF(t&lt;Tvie,1-EXP((T0-t)*PertePVj)+'2020'!Pspv,1-EXP((T0-t)*PertePVj)+Pspv)</f>
        <v>2.3227696743098325E-2</v>
      </c>
      <c r="M141" s="847"/>
      <c r="N141" s="847"/>
      <c r="O141" s="48">
        <f>IF(t&lt;Tnet,'2020'!Resal+('2020'!Salim-'2020'!Resal)*(1-EXP(('2020'!Tnet-t)/('2020'!Tau_j))),Resal+(Salim-Resal)*(1-EXP((Tnet-t)/(Tau_j))))*Salcycl</f>
        <v>6.9248423455669939E-3</v>
      </c>
      <c r="P141" s="168">
        <f>(INDEX(Models!$BJ141:$BT141,,T141)*(1-R141)+INDEX(Models!$BJ141:$BT141,,T141+1)*R141-ERP_i)*Q141*Ramure*Pc/MaxiM</f>
        <v>1.3093815984783157E-4</v>
      </c>
      <c r="Q141" s="304">
        <f t="shared" si="27"/>
        <v>0.5</v>
      </c>
      <c r="R141" s="176">
        <f t="shared" si="28"/>
        <v>0.49393576661386468</v>
      </c>
      <c r="S141" s="814">
        <f t="shared" si="29"/>
        <v>0</v>
      </c>
      <c r="T141" s="175">
        <f t="shared" si="30"/>
        <v>6</v>
      </c>
      <c r="U141" s="250">
        <f t="shared" si="31"/>
        <v>0.49393576661386468</v>
      </c>
      <c r="V141" s="382">
        <f t="shared" si="32"/>
        <v>58.438063869525052</v>
      </c>
      <c r="W141" s="401"/>
      <c r="X141" s="157">
        <f t="shared" si="33"/>
        <v>44323</v>
      </c>
      <c r="Y141" s="384">
        <f t="shared" si="34"/>
        <v>29.90224010031223</v>
      </c>
      <c r="Z141" s="384">
        <f t="shared" si="35"/>
        <v>30.613316942554235</v>
      </c>
      <c r="AA141" s="385">
        <f t="shared" si="36"/>
        <v>32.166734768055655</v>
      </c>
      <c r="AB141" s="196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4.8292679897497651E-2</v>
      </c>
      <c r="AD141" s="230">
        <f>(INDEX(Models!$BJ141:$BT141,,AH141)*(1-AF141)+INDEX(Models!$BJ141:$BT141,,AH141+1)*AF141-ERP_i)*AE141*Ramure*Pc/MaxiM</f>
        <v>1.3093815984783157E-4</v>
      </c>
      <c r="AE141" s="304">
        <f t="shared" si="38"/>
        <v>0.5</v>
      </c>
      <c r="AF141" s="176">
        <f t="shared" si="39"/>
        <v>0.49393576661386468</v>
      </c>
      <c r="AG141" s="814">
        <f t="shared" si="47"/>
        <v>0</v>
      </c>
      <c r="AH141" s="175">
        <f t="shared" si="40"/>
        <v>6</v>
      </c>
      <c r="AI141" s="224">
        <f t="shared" si="41"/>
        <v>0.49393576661386468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44324</v>
      </c>
      <c r="B142" s="616">
        <v>55.974000000000004</v>
      </c>
      <c r="C142" s="389"/>
      <c r="D142" s="392">
        <f t="shared" si="24"/>
        <v>57.306319819332515</v>
      </c>
      <c r="E142" s="384">
        <f t="shared" si="45"/>
        <v>57.710713890476136</v>
      </c>
      <c r="F142" s="384">
        <f t="shared" si="25"/>
        <v>57.718187862260137</v>
      </c>
      <c r="G142" s="110">
        <f t="shared" si="46"/>
        <v>0.95734610442257351</v>
      </c>
      <c r="H142" s="413" t="b">
        <f>Wh_hp&gt;='2020'!Maxi_hp</f>
        <v>1</v>
      </c>
      <c r="I142" s="379">
        <f>IF(H142,Wh_hp,'2020'!Maxi_hp)</f>
        <v>57.718187862260137</v>
      </c>
      <c r="J142" s="85">
        <f>IF(H142,An,'2020'!An_max)</f>
        <v>2021</v>
      </c>
      <c r="K142" s="196">
        <f t="shared" si="26"/>
        <v>44324</v>
      </c>
      <c r="L142" s="147">
        <f>IF(t&lt;Tvie,1-EXP((T0-t)*PertePVj)+'2020'!Pspv,1-EXP((T0-t)*PertePVj)+Pspv)</f>
        <v>2.3249090563359665E-2</v>
      </c>
      <c r="M142" s="847"/>
      <c r="N142" s="847"/>
      <c r="O142" s="48">
        <f>IF(t&lt;Tnet,'2020'!Resal+('2020'!Salim-'2020'!Resal)*(1-EXP(('2020'!Tnet-t)/('2020'!Tau_j))),Resal+(Salim-Resal)*(1-EXP((Tnet-t)/(Tau_j))))*Salcycl</f>
        <v>7.0072616310219195E-3</v>
      </c>
      <c r="P142" s="168">
        <f>(INDEX(Models!$BJ142:$BT142,,T142)*(1-R142)+INDEX(Models!$BJ142:$BT142,,T142+1)*R142-ERP_i)*Q142*Ramure*Pc/MaxiM</f>
        <v>1.3789146918773373E-4</v>
      </c>
      <c r="Q142" s="304">
        <f t="shared" si="27"/>
        <v>0.5</v>
      </c>
      <c r="R142" s="176">
        <f t="shared" si="28"/>
        <v>0.49592313809274446</v>
      </c>
      <c r="S142" s="814">
        <f t="shared" si="29"/>
        <v>0</v>
      </c>
      <c r="T142" s="175">
        <f t="shared" si="30"/>
        <v>6</v>
      </c>
      <c r="U142" s="250">
        <f t="shared" si="31"/>
        <v>0.49592313809274446</v>
      </c>
      <c r="V142" s="382">
        <f t="shared" si="32"/>
        <v>58.467391739527798</v>
      </c>
      <c r="W142" s="401"/>
      <c r="X142" s="157">
        <f t="shared" si="33"/>
        <v>44324</v>
      </c>
      <c r="Y142" s="384">
        <f t="shared" si="34"/>
        <v>53.643196885816813</v>
      </c>
      <c r="Z142" s="384">
        <f t="shared" si="35"/>
        <v>54.920037818809455</v>
      </c>
      <c r="AA142" s="385">
        <f t="shared" si="36"/>
        <v>57.710713890476136</v>
      </c>
      <c r="AB142" s="196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4.8356290947342041E-2</v>
      </c>
      <c r="AD142" s="230">
        <f>(INDEX(Models!$BJ142:$BT142,,AH142)*(1-AF142)+INDEX(Models!$BJ142:$BT142,,AH142+1)*AF142-ERP_i)*AE142*Ramure*Pc/MaxiM</f>
        <v>1.3789146918773373E-4</v>
      </c>
      <c r="AE142" s="304">
        <f t="shared" si="38"/>
        <v>0.5</v>
      </c>
      <c r="AF142" s="176">
        <f t="shared" si="39"/>
        <v>0.49592313809274446</v>
      </c>
      <c r="AG142" s="814">
        <f t="shared" si="47"/>
        <v>0</v>
      </c>
      <c r="AH142" s="175">
        <f t="shared" si="40"/>
        <v>6</v>
      </c>
      <c r="AI142" s="224">
        <f t="shared" si="41"/>
        <v>0.49592313809274446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16">
        <v>20.667999999999999</v>
      </c>
      <c r="C143" s="389"/>
      <c r="D143" s="392">
        <f t="shared" ref="D143:D206" si="48">Wh/(1-Ppv)</f>
        <v>21.160413051551767</v>
      </c>
      <c r="E143" s="384">
        <f t="shared" si="45"/>
        <v>21.311506754809361</v>
      </c>
      <c r="F143" s="384">
        <f t="shared" ref="F143:F206" si="49">Wh_sa/(1-Pvg*MEDIAN((-Sdif+Wh/Env_an)/Csdif,0,1))</f>
        <v>21.31174227199228</v>
      </c>
      <c r="G143" s="110">
        <f t="shared" si="46"/>
        <v>0.35329291404253566</v>
      </c>
      <c r="H143" s="413" t="b">
        <f>Wh_hp&gt;='2020'!Maxi_hp</f>
        <v>0</v>
      </c>
      <c r="I143" s="379">
        <f>IF(H143,Wh_hp,'2020'!Maxi_hp)</f>
        <v>53.184851947705042</v>
      </c>
      <c r="J143" s="85">
        <f>IF(H143,An,'2020'!An_max)</f>
        <v>2020</v>
      </c>
      <c r="K143" s="196">
        <f t="shared" ref="K143:K206" si="50">t</f>
        <v>44325</v>
      </c>
      <c r="L143" s="147">
        <f>IF(t&lt;Tvie,1-EXP((T0-t)*PertePVj)+'2020'!Pspv,1-EXP((T0-t)*PertePVj)+Pspv)</f>
        <v>2.3270483915041384E-2</v>
      </c>
      <c r="M143" s="847"/>
      <c r="N143" s="847"/>
      <c r="O143" s="48">
        <f>IF(t&lt;Tnet,'2020'!Resal+('2020'!Salim-'2020'!Resal)*(1-EXP(('2020'!Tnet-t)/('2020'!Tau_j))),Resal+(Salim-Resal)*(1-EXP((Tnet-t)/(Tau_j))))*Salcycl</f>
        <v>7.0897710328949679E-3</v>
      </c>
      <c r="P143" s="168">
        <f>(INDEX(Models!$BJ143:$BT143,,T143)*(1-R143)+INDEX(Models!$BJ143:$BT143,,T143+1)*R143-ERP_i)*Q143*Ramure*Pc/MaxiM</f>
        <v>1.4502624686430469E-4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0.49795930362315166</v>
      </c>
      <c r="S143" s="814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0.49795930362315166</v>
      </c>
      <c r="V143" s="382">
        <f t="shared" ref="V143:V206" si="56">MaxiM*(1-Ppv)*(1-Pvg)*(1-Psa)</f>
        <v>58.493194028777872</v>
      </c>
      <c r="W143" s="401"/>
      <c r="X143" s="157">
        <f t="shared" ref="X143:X206" si="57">t</f>
        <v>44325</v>
      </c>
      <c r="Y143" s="384">
        <f t="shared" ref="Y143:Y206" si="58">Wh_pvt_s*(1-Ppv)</f>
        <v>19.807678133328185</v>
      </c>
      <c r="Z143" s="384">
        <f t="shared" ref="Z143:Z206" si="59">Wh_sa_s*(1-Psa_s)</f>
        <v>20.279594101674775</v>
      </c>
      <c r="AA143" s="385">
        <f t="shared" ref="AA143:AA206" si="60">Wh_hp*(1-Pvg_s*MEDIAN((-Sdif+Wh/Env_an)/Csdif,0,1))</f>
        <v>21.311506754809361</v>
      </c>
      <c r="AB143" s="196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4.8420445584013636E-2</v>
      </c>
      <c r="AD143" s="230">
        <f>(INDEX(Models!$BJ143:$BT143,,AH143)*(1-AF143)+INDEX(Models!$BJ143:$BT143,,AH143+1)*AF143-ERP_i)*AE143*Ramure*Pc/MaxiM</f>
        <v>1.4502624686430469E-4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0.49795930362315166</v>
      </c>
      <c r="AG143" s="814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0.49795930362315166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40.858000000000004</v>
      </c>
      <c r="C144" s="389"/>
      <c r="D144" s="392">
        <f t="shared" si="48"/>
        <v>41.83235403639241</v>
      </c>
      <c r="E144" s="384">
        <f t="shared" ref="E144:E169" si="69">Wh_pvt/(1-Psa)</f>
        <v>42.134558679645174</v>
      </c>
      <c r="F144" s="384">
        <f t="shared" si="49"/>
        <v>42.138210868501233</v>
      </c>
      <c r="G144" s="110">
        <f t="shared" ref="G144:G169" si="70">+Wh_hp/MaxiM</f>
        <v>0.69819180930139424</v>
      </c>
      <c r="H144" s="413" t="b">
        <f>Wh_hp&gt;='2020'!Maxi_hp</f>
        <v>0</v>
      </c>
      <c r="I144" s="379">
        <f>IF(H144,Wh_hp,'2020'!Maxi_hp)</f>
        <v>43.712721891518086</v>
      </c>
      <c r="J144" s="85">
        <f>IF(H144,An,'2020'!An_max)</f>
        <v>2020</v>
      </c>
      <c r="K144" s="196">
        <f t="shared" si="50"/>
        <v>44326</v>
      </c>
      <c r="L144" s="147">
        <f>IF(t&lt;Tvie,1-EXP((T0-t)*PertePVj)+'2020'!Pspv,1-EXP((T0-t)*PertePVj)+Pspv)</f>
        <v>2.3291876798153921E-2</v>
      </c>
      <c r="M144" s="847"/>
      <c r="N144" s="847"/>
      <c r="O144" s="48">
        <f>IF(t&lt;Tnet,'2020'!Resal+('2020'!Salim-'2020'!Resal)*(1-EXP(('2020'!Tnet-t)/('2020'!Tau_j))),Resal+(Salim-Resal)*(1-EXP((Tnet-t)/(Tau_j))))*Salcycl</f>
        <v>7.1723699671442844E-3</v>
      </c>
      <c r="P144" s="168">
        <f>(INDEX(Models!$BJ144:$BT144,,T144)*(1-R144)+INDEX(Models!$BJ144:$BT144,,T144+1)*R144-ERP_i)*Q144*Ramure*Pc/MaxiM</f>
        <v>1.5234662465203529E-4</v>
      </c>
      <c r="Q144" s="304">
        <f t="shared" si="51"/>
        <v>0.5</v>
      </c>
      <c r="R144" s="176">
        <f t="shared" si="52"/>
        <v>0.50004429975118259</v>
      </c>
      <c r="S144" s="814">
        <f t="shared" si="53"/>
        <v>0</v>
      </c>
      <c r="T144" s="175">
        <f t="shared" si="54"/>
        <v>6</v>
      </c>
      <c r="U144" s="250">
        <f t="shared" si="55"/>
        <v>0.50004429975118259</v>
      </c>
      <c r="V144" s="382">
        <f t="shared" si="56"/>
        <v>58.515891873250268</v>
      </c>
      <c r="W144" s="401"/>
      <c r="X144" s="157">
        <f t="shared" si="57"/>
        <v>44326</v>
      </c>
      <c r="Y144" s="384">
        <f t="shared" si="58"/>
        <v>39.157849395941604</v>
      </c>
      <c r="Z144" s="384">
        <f t="shared" si="59"/>
        <v>40.091659387017565</v>
      </c>
      <c r="AA144" s="385">
        <f t="shared" si="60"/>
        <v>42.134558679645174</v>
      </c>
      <c r="AB144" s="196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4.8485123771202961E-2</v>
      </c>
      <c r="AD144" s="230">
        <f>(INDEX(Models!$BJ144:$BT144,,AH144)*(1-AF144)+INDEX(Models!$BJ144:$BT144,,AH144+1)*AF144-ERP_i)*AE144*Ramure*Pc/MaxiM</f>
        <v>1.5234662465203529E-4</v>
      </c>
      <c r="AE144" s="304">
        <f t="shared" si="62"/>
        <v>0.5</v>
      </c>
      <c r="AF144" s="176">
        <f t="shared" si="63"/>
        <v>0.50004429975118259</v>
      </c>
      <c r="AG144" s="814">
        <f t="shared" ref="AG144:AG207" si="71">INDEX(Echel_vg,AH144)</f>
        <v>0</v>
      </c>
      <c r="AH144" s="175">
        <f t="shared" si="64"/>
        <v>6</v>
      </c>
      <c r="AI144" s="224">
        <f t="shared" si="65"/>
        <v>0.50004429975118259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44327</v>
      </c>
      <c r="B145" s="616">
        <v>33.491999999999997</v>
      </c>
      <c r="C145" s="389"/>
      <c r="D145" s="392">
        <f t="shared" si="48"/>
        <v>34.29144570542347</v>
      </c>
      <c r="E145" s="384">
        <f t="shared" si="69"/>
        <v>34.542050265209078</v>
      </c>
      <c r="F145" s="384">
        <f t="shared" si="49"/>
        <v>34.544197275847822</v>
      </c>
      <c r="G145" s="110">
        <f t="shared" si="70"/>
        <v>0.57210573193630654</v>
      </c>
      <c r="H145" s="413" t="b">
        <f>Wh_hp&gt;='2020'!Maxi_hp</f>
        <v>0</v>
      </c>
      <c r="I145" s="379">
        <f>IF(H145,Wh_hp,'2020'!Maxi_hp)</f>
        <v>39.004851483109995</v>
      </c>
      <c r="J145" s="85">
        <f>IF(H145,An,'2020'!An_max)</f>
        <v>2019</v>
      </c>
      <c r="K145" s="196">
        <f t="shared" si="50"/>
        <v>44327</v>
      </c>
      <c r="L145" s="147">
        <f>IF(t&lt;Tvie,1-EXP((T0-t)*PertePVj)+'2020'!Pspv,1-EXP((T0-t)*PertePVj)+Pspv)</f>
        <v>2.3313269212707377E-2</v>
      </c>
      <c r="M145" s="847"/>
      <c r="N145" s="847"/>
      <c r="O145" s="48">
        <f>IF(t&lt;Tnet,'2020'!Resal+('2020'!Salim-'2020'!Resal)*(1-EXP(('2020'!Tnet-t)/('2020'!Tau_j))),Resal+(Salim-Resal)*(1-EXP((Tnet-t)/(Tau_j))))*Salcycl</f>
        <v>7.2550574694177899E-3</v>
      </c>
      <c r="P145" s="168">
        <f>(INDEX(Models!$BJ145:$BT145,,T145)*(1-R145)+INDEX(Models!$BJ145:$BT145,,T145+1)*R145-ERP_i)*Q145*Ramure*Pc/MaxiM</f>
        <v>1.5985647108542847E-4</v>
      </c>
      <c r="Q145" s="304">
        <f t="shared" si="51"/>
        <v>0.5</v>
      </c>
      <c r="R145" s="176">
        <f t="shared" si="52"/>
        <v>0.50217808038620115</v>
      </c>
      <c r="S145" s="814">
        <f t="shared" si="53"/>
        <v>0</v>
      </c>
      <c r="T145" s="175">
        <f t="shared" si="54"/>
        <v>6</v>
      </c>
      <c r="U145" s="250">
        <f t="shared" si="55"/>
        <v>0.50217808038620115</v>
      </c>
      <c r="V145" s="382">
        <f t="shared" si="56"/>
        <v>58.535906263701335</v>
      </c>
      <c r="W145" s="401"/>
      <c r="X145" s="157">
        <f t="shared" si="57"/>
        <v>44327</v>
      </c>
      <c r="Y145" s="384">
        <f t="shared" si="58"/>
        <v>32.098832096235839</v>
      </c>
      <c r="Z145" s="384">
        <f t="shared" si="59"/>
        <v>32.865023230490138</v>
      </c>
      <c r="AA145" s="385">
        <f t="shared" si="60"/>
        <v>34.542050265209078</v>
      </c>
      <c r="AB145" s="196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4.8550303813553491E-2</v>
      </c>
      <c r="AD145" s="230">
        <f>(INDEX(Models!$BJ145:$BT145,,AH145)*(1-AF145)+INDEX(Models!$BJ145:$BT145,,AH145+1)*AF145-ERP_i)*AE145*Ramure*Pc/MaxiM</f>
        <v>1.5985647108542847E-4</v>
      </c>
      <c r="AE145" s="304">
        <f t="shared" si="62"/>
        <v>0.5</v>
      </c>
      <c r="AF145" s="176">
        <f t="shared" si="63"/>
        <v>0.50217808038620115</v>
      </c>
      <c r="AG145" s="814">
        <f t="shared" si="71"/>
        <v>0</v>
      </c>
      <c r="AH145" s="175">
        <f t="shared" si="64"/>
        <v>6</v>
      </c>
      <c r="AI145" s="224">
        <f t="shared" si="65"/>
        <v>0.50217808038620115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44328</v>
      </c>
      <c r="B146" s="616">
        <v>36.863</v>
      </c>
      <c r="C146" s="389"/>
      <c r="D146" s="392">
        <f t="shared" si="48"/>
        <v>37.743737321254912</v>
      </c>
      <c r="E146" s="384">
        <f t="shared" si="69"/>
        <v>38.022741819899011</v>
      </c>
      <c r="F146" s="384">
        <f t="shared" si="49"/>
        <v>38.025741548212544</v>
      </c>
      <c r="G146" s="110">
        <f t="shared" si="70"/>
        <v>0.62950347144000185</v>
      </c>
      <c r="H146" s="413" t="b">
        <f>Wh_hp&gt;='2020'!Maxi_hp</f>
        <v>0</v>
      </c>
      <c r="I146" s="379">
        <f>IF(H146,Wh_hp,'2020'!Maxi_hp)</f>
        <v>55.50428873596136</v>
      </c>
      <c r="J146" s="85">
        <f>IF(H146,An,'2020'!An_max)</f>
        <v>2019</v>
      </c>
      <c r="K146" s="196">
        <f t="shared" si="50"/>
        <v>44328</v>
      </c>
      <c r="L146" s="147">
        <f>IF(t&lt;Tvie,1-EXP((T0-t)*PertePVj)+'2020'!Pspv,1-EXP((T0-t)*PertePVj)+Pspv)</f>
        <v>2.3334661158711967E-2</v>
      </c>
      <c r="M146" s="847"/>
      <c r="N146" s="847"/>
      <c r="O146" s="48">
        <f>IF(t&lt;Tnet,'2020'!Resal+('2020'!Salim-'2020'!Resal)*(1-EXP(('2020'!Tnet-t)/('2020'!Tau_j))),Resal+(Salim-Resal)*(1-EXP((Tnet-t)/(Tau_j))))*Salcycl</f>
        <v>7.3378321838454179E-3</v>
      </c>
      <c r="P146" s="168">
        <f>(INDEX(Models!$BJ146:$BT146,,T146)*(1-R146)+INDEX(Models!$BJ146:$BT146,,T146+1)*R146-ERP_i)*Q146*Ramure*Pc/MaxiM</f>
        <v>1.6755936191765414E-4</v>
      </c>
      <c r="Q146" s="304">
        <f t="shared" si="51"/>
        <v>0.5</v>
      </c>
      <c r="R146" s="176">
        <f t="shared" si="52"/>
        <v>0.50436051297489848</v>
      </c>
      <c r="S146" s="814">
        <f t="shared" si="53"/>
        <v>0</v>
      </c>
      <c r="T146" s="175">
        <f t="shared" si="54"/>
        <v>6</v>
      </c>
      <c r="U146" s="250">
        <f t="shared" si="55"/>
        <v>0.50436051297489848</v>
      </c>
      <c r="V146" s="382">
        <f t="shared" si="56"/>
        <v>58.553658044840297</v>
      </c>
      <c r="W146" s="401"/>
      <c r="X146" s="157">
        <f t="shared" si="57"/>
        <v>44328</v>
      </c>
      <c r="Y146" s="384">
        <f t="shared" si="58"/>
        <v>35.330116243573308</v>
      </c>
      <c r="Z146" s="384">
        <f t="shared" si="59"/>
        <v>36.1742296347783</v>
      </c>
      <c r="AA146" s="385">
        <f t="shared" si="60"/>
        <v>38.022741819899011</v>
      </c>
      <c r="AB146" s="196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4.8615962359487286E-2</v>
      </c>
      <c r="AD146" s="230">
        <f>(INDEX(Models!$BJ146:$BT146,,AH146)*(1-AF146)+INDEX(Models!$BJ146:$BT146,,AH146+1)*AF146-ERP_i)*AE146*Ramure*Pc/MaxiM</f>
        <v>1.6755936191765414E-4</v>
      </c>
      <c r="AE146" s="304">
        <f t="shared" si="62"/>
        <v>0.5</v>
      </c>
      <c r="AF146" s="176">
        <f t="shared" si="63"/>
        <v>0.50436051297489848</v>
      </c>
      <c r="AG146" s="814">
        <f t="shared" si="71"/>
        <v>0</v>
      </c>
      <c r="AH146" s="175">
        <f t="shared" si="64"/>
        <v>6</v>
      </c>
      <c r="AI146" s="224">
        <f t="shared" si="65"/>
        <v>0.50436051297489848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44329</v>
      </c>
      <c r="B147" s="616">
        <v>48.139000000000003</v>
      </c>
      <c r="C147" s="389"/>
      <c r="D147" s="392">
        <f t="shared" si="48"/>
        <v>49.290225091690594</v>
      </c>
      <c r="E147" s="384">
        <f t="shared" si="69"/>
        <v>49.658727229104137</v>
      </c>
      <c r="F147" s="384">
        <f t="shared" si="49"/>
        <v>49.665224421731907</v>
      </c>
      <c r="G147" s="110">
        <f t="shared" si="70"/>
        <v>0.82187478179129858</v>
      </c>
      <c r="H147" s="413" t="b">
        <f>Wh_hp&gt;='2020'!Maxi_hp</f>
        <v>0</v>
      </c>
      <c r="I147" s="379">
        <f>IF(H147,Wh_hp,'2020'!Maxi_hp)</f>
        <v>62.466176005743364</v>
      </c>
      <c r="J147" s="85">
        <f>IF(H147,An,'2020'!An_max)</f>
        <v>2019</v>
      </c>
      <c r="K147" s="196">
        <f t="shared" si="50"/>
        <v>44329</v>
      </c>
      <c r="L147" s="147">
        <f>IF(t&lt;Tvie,1-EXP((T0-t)*PertePVj)+'2020'!Pspv,1-EXP((T0-t)*PertePVj)+Pspv)</f>
        <v>2.3356052636178126E-2</v>
      </c>
      <c r="M147" s="847"/>
      <c r="N147" s="847"/>
      <c r="O147" s="48">
        <f>IF(t&lt;Tnet,'2020'!Resal+('2020'!Salim-'2020'!Resal)*(1-EXP(('2020'!Tnet-t)/('2020'!Tau_j))),Resal+(Salim-Resal)*(1-EXP((Tnet-t)/(Tau_j))))*Salcycl</f>
        <v>7.420692353097013E-3</v>
      </c>
      <c r="P147" s="168">
        <f>(INDEX(Models!$BJ147:$BT147,,T147)*(1-R147)+INDEX(Models!$BJ147:$BT147,,T147+1)*R147-ERP_i)*Q147*Ramure*Pc/MaxiM</f>
        <v>1.7545854936793287E-4</v>
      </c>
      <c r="Q147" s="304">
        <f t="shared" si="51"/>
        <v>0.5</v>
      </c>
      <c r="R147" s="176">
        <f t="shared" si="52"/>
        <v>0.5065913748501697</v>
      </c>
      <c r="S147" s="814">
        <f t="shared" si="53"/>
        <v>0</v>
      </c>
      <c r="T147" s="175">
        <f t="shared" si="54"/>
        <v>6</v>
      </c>
      <c r="U147" s="250">
        <f t="shared" si="55"/>
        <v>0.5065913748501697</v>
      </c>
      <c r="V147" s="382">
        <f t="shared" si="56"/>
        <v>58.569567917808619</v>
      </c>
      <c r="W147" s="401"/>
      <c r="X147" s="157">
        <f t="shared" si="57"/>
        <v>44329</v>
      </c>
      <c r="Y147" s="384">
        <f t="shared" si="58"/>
        <v>46.137868548224084</v>
      </c>
      <c r="Z147" s="384">
        <f t="shared" si="59"/>
        <v>47.241237374951638</v>
      </c>
      <c r="AA147" s="385">
        <f t="shared" si="60"/>
        <v>49.658727229104137</v>
      </c>
      <c r="AB147" s="196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4.8682074411598115E-2</v>
      </c>
      <c r="AD147" s="230">
        <f>(INDEX(Models!$BJ147:$BT147,,AH147)*(1-AF147)+INDEX(Models!$BJ147:$BT147,,AH147+1)*AF147-ERP_i)*AE147*Ramure*Pc/MaxiM</f>
        <v>1.7545854936793287E-4</v>
      </c>
      <c r="AE147" s="304">
        <f t="shared" si="62"/>
        <v>0.5</v>
      </c>
      <c r="AF147" s="176">
        <f t="shared" si="63"/>
        <v>0.5065913748501697</v>
      </c>
      <c r="AG147" s="814">
        <f t="shared" si="71"/>
        <v>0</v>
      </c>
      <c r="AH147" s="175">
        <f t="shared" si="64"/>
        <v>6</v>
      </c>
      <c r="AI147" s="224">
        <f t="shared" si="65"/>
        <v>0.5065913748501697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44330</v>
      </c>
      <c r="B148" s="616">
        <v>43.487000000000002</v>
      </c>
      <c r="C148" s="389"/>
      <c r="D148" s="392">
        <f t="shared" si="48"/>
        <v>44.527949633182288</v>
      </c>
      <c r="E148" s="384">
        <f t="shared" si="69"/>
        <v>44.864597231563472</v>
      </c>
      <c r="F148" s="384">
        <f t="shared" si="49"/>
        <v>44.869801321006996</v>
      </c>
      <c r="G148" s="110">
        <f t="shared" si="70"/>
        <v>0.74225077038607834</v>
      </c>
      <c r="H148" s="413" t="b">
        <f>Wh_hp&gt;='2020'!Maxi_hp</f>
        <v>0</v>
      </c>
      <c r="I148" s="379">
        <f>IF(H148,Wh_hp,'2020'!Maxi_hp)</f>
        <v>61.499322120098213</v>
      </c>
      <c r="J148" s="85">
        <f>IF(H148,An,'2020'!An_max)</f>
        <v>2019</v>
      </c>
      <c r="K148" s="196">
        <f t="shared" si="50"/>
        <v>44330</v>
      </c>
      <c r="L148" s="147">
        <f>IF(t&lt;Tvie,1-EXP((T0-t)*PertePVj)+'2020'!Pspv,1-EXP((T0-t)*PertePVj)+Pspv)</f>
        <v>2.3377443645116069E-2</v>
      </c>
      <c r="M148" s="847"/>
      <c r="N148" s="847"/>
      <c r="O148" s="48">
        <f>IF(t&lt;Tnet,'2020'!Resal+('2020'!Salim-'2020'!Resal)*(1-EXP(('2020'!Tnet-t)/('2020'!Tau_j))),Resal+(Salim-Resal)*(1-EXP((Tnet-t)/(Tau_j))))*Salcycl</f>
        <v>7.5036358098483705E-3</v>
      </c>
      <c r="P148" s="168">
        <f>(INDEX(Models!$BJ148:$BT148,,T148)*(1-R148)+INDEX(Models!$BJ148:$BT148,,T148+1)*R148-ERP_i)*Q148*Ramure*Pc/MaxiM</f>
        <v>1.8355693029821539E-4</v>
      </c>
      <c r="Q148" s="304">
        <f t="shared" si="51"/>
        <v>0.5</v>
      </c>
      <c r="R148" s="176">
        <f t="shared" si="52"/>
        <v>0.50887034978953116</v>
      </c>
      <c r="S148" s="814">
        <f t="shared" si="53"/>
        <v>0</v>
      </c>
      <c r="T148" s="175">
        <f t="shared" si="54"/>
        <v>6</v>
      </c>
      <c r="U148" s="250">
        <f t="shared" si="55"/>
        <v>0.50887034978953116</v>
      </c>
      <c r="V148" s="382">
        <f t="shared" si="56"/>
        <v>58.584056444511937</v>
      </c>
      <c r="W148" s="401"/>
      <c r="X148" s="157">
        <f t="shared" si="57"/>
        <v>44330</v>
      </c>
      <c r="Y148" s="384">
        <f t="shared" si="58"/>
        <v>41.679819235629147</v>
      </c>
      <c r="Z148" s="384">
        <f t="shared" si="59"/>
        <v>42.677510328241468</v>
      </c>
      <c r="AA148" s="385">
        <f t="shared" si="60"/>
        <v>44.864597231563472</v>
      </c>
      <c r="AB148" s="196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4.8748613345030375E-2</v>
      </c>
      <c r="AD148" s="230">
        <f>(INDEX(Models!$BJ148:$BT148,,AH148)*(1-AF148)+INDEX(Models!$BJ148:$BT148,,AH148+1)*AF148-ERP_i)*AE148*Ramure*Pc/MaxiM</f>
        <v>1.8355693029821539E-4</v>
      </c>
      <c r="AE148" s="304">
        <f t="shared" si="62"/>
        <v>0.5</v>
      </c>
      <c r="AF148" s="176">
        <f t="shared" si="63"/>
        <v>0.50887034978953116</v>
      </c>
      <c r="AG148" s="814">
        <f t="shared" si="71"/>
        <v>0</v>
      </c>
      <c r="AH148" s="175">
        <f t="shared" si="64"/>
        <v>6</v>
      </c>
      <c r="AI148" s="224">
        <f t="shared" si="65"/>
        <v>0.50887034978953116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44331</v>
      </c>
      <c r="B149" s="616">
        <v>19.646000000000001</v>
      </c>
      <c r="C149" s="389"/>
      <c r="D149" s="392">
        <f t="shared" si="48"/>
        <v>20.116707503226934</v>
      </c>
      <c r="E149" s="384">
        <f t="shared" si="69"/>
        <v>20.270492839822825</v>
      </c>
      <c r="F149" s="384">
        <f t="shared" si="49"/>
        <v>20.270688830610759</v>
      </c>
      <c r="G149" s="110">
        <f t="shared" si="70"/>
        <v>0.33521494711654898</v>
      </c>
      <c r="H149" s="413" t="b">
        <f>Wh_hp&gt;='2020'!Maxi_hp</f>
        <v>0</v>
      </c>
      <c r="I149" s="379">
        <f>IF(H149,Wh_hp,'2020'!Maxi_hp)</f>
        <v>61.883239006526935</v>
      </c>
      <c r="J149" s="85">
        <f>IF(H149,An,'2020'!An_max)</f>
        <v>2019</v>
      </c>
      <c r="K149" s="196">
        <f t="shared" si="50"/>
        <v>44331</v>
      </c>
      <c r="L149" s="147">
        <f>IF(t&lt;Tvie,1-EXP((T0-t)*PertePVj)+'2020'!Pspv,1-EXP((T0-t)*PertePVj)+Pspv)</f>
        <v>2.3398834185535899E-2</v>
      </c>
      <c r="M149" s="847"/>
      <c r="N149" s="847"/>
      <c r="O149" s="48">
        <f>IF(t&lt;Tnet,'2020'!Resal+('2020'!Salim-'2020'!Resal)*(1-EXP(('2020'!Tnet-t)/('2020'!Tau_j))),Resal+(Salim-Resal)*(1-EXP((Tnet-t)/(Tau_j))))*Salcycl</f>
        <v>7.5866599697945632E-3</v>
      </c>
      <c r="P149" s="168">
        <f>(INDEX(Models!$BJ149:$BT149,,T149)*(1-R149)+INDEX(Models!$BJ149:$BT149,,T149+1)*R149-ERP_i)*Q149*Ramure*Pc/MaxiM</f>
        <v>1.9186045102296642E-4</v>
      </c>
      <c r="Q149" s="304">
        <f t="shared" si="51"/>
        <v>0.5</v>
      </c>
      <c r="R149" s="176">
        <f t="shared" si="52"/>
        <v>0.51119702481855489</v>
      </c>
      <c r="S149" s="814">
        <f t="shared" si="53"/>
        <v>0</v>
      </c>
      <c r="T149" s="175">
        <f t="shared" si="54"/>
        <v>6</v>
      </c>
      <c r="U149" s="250">
        <f t="shared" si="55"/>
        <v>0.51119702481855489</v>
      </c>
      <c r="V149" s="382">
        <f t="shared" si="56"/>
        <v>58.596493965449689</v>
      </c>
      <c r="W149" s="401"/>
      <c r="X149" s="157">
        <f t="shared" si="57"/>
        <v>44331</v>
      </c>
      <c r="Y149" s="384">
        <f t="shared" si="58"/>
        <v>18.829825167180548</v>
      </c>
      <c r="Z149" s="384">
        <f t="shared" si="59"/>
        <v>19.280977564138873</v>
      </c>
      <c r="AA149" s="385">
        <f t="shared" si="60"/>
        <v>20.270492839822825</v>
      </c>
      <c r="AB149" s="196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4.881555093421213E-2</v>
      </c>
      <c r="AD149" s="230">
        <f>(INDEX(Models!$BJ149:$BT149,,AH149)*(1-AF149)+INDEX(Models!$BJ149:$BT149,,AH149+1)*AF149-ERP_i)*AE149*Ramure*Pc/MaxiM</f>
        <v>1.9186045102296642E-4</v>
      </c>
      <c r="AE149" s="304">
        <f t="shared" si="62"/>
        <v>0.5</v>
      </c>
      <c r="AF149" s="176">
        <f t="shared" si="63"/>
        <v>0.51119702481855489</v>
      </c>
      <c r="AG149" s="814">
        <f t="shared" si="71"/>
        <v>0</v>
      </c>
      <c r="AH149" s="175">
        <f t="shared" si="64"/>
        <v>6</v>
      </c>
      <c r="AI149" s="224">
        <f t="shared" si="65"/>
        <v>0.51119702481855489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44332</v>
      </c>
      <c r="B150" s="616">
        <v>12.745000000000001</v>
      </c>
      <c r="C150" s="389"/>
      <c r="D150" s="392">
        <f t="shared" si="48"/>
        <v>13.050649129313799</v>
      </c>
      <c r="E150" s="384">
        <f t="shared" si="69"/>
        <v>13.151518141110964</v>
      </c>
      <c r="F150" s="384">
        <f t="shared" si="49"/>
        <v>13.151518141110964</v>
      </c>
      <c r="G150" s="110">
        <f t="shared" si="70"/>
        <v>0.21742573252683045</v>
      </c>
      <c r="H150" s="413" t="b">
        <f>Wh_hp&gt;='2020'!Maxi_hp</f>
        <v>0</v>
      </c>
      <c r="I150" s="379">
        <f>IF(H150,Wh_hp,'2020'!Maxi_hp)</f>
        <v>52.836978218882514</v>
      </c>
      <c r="J150" s="85">
        <f>IF(H150,An,'2020'!An_max)</f>
        <v>2019</v>
      </c>
      <c r="K150" s="196">
        <f t="shared" si="50"/>
        <v>44332</v>
      </c>
      <c r="L150" s="147">
        <f>IF(t&lt;Tvie,1-EXP((T0-t)*PertePVj)+'2020'!Pspv,1-EXP((T0-t)*PertePVj)+Pspv)</f>
        <v>2.3420224257448052E-2</v>
      </c>
      <c r="M150" s="847"/>
      <c r="N150" s="847"/>
      <c r="O150" s="48">
        <f>IF(t&lt;Tnet,'2020'!Resal+('2020'!Salim-'2020'!Resal)*(1-EXP(('2020'!Tnet-t)/('2020'!Tau_j))),Resal+(Salim-Resal)*(1-EXP((Tnet-t)/(Tau_j))))*Salcycl</f>
        <v>7.669761826344196E-3</v>
      </c>
      <c r="P150" s="168">
        <f>(INDEX(Models!$BJ150:$BT150,,T150)*(1-R150)+INDEX(Models!$BJ150:$BT150,,T150+1)*R150-ERP_i)*Q150*Ramure*Pc/MaxiM</f>
        <v>2.003615132533512E-4</v>
      </c>
      <c r="Q150" s="304">
        <f t="shared" si="51"/>
        <v>0.5</v>
      </c>
      <c r="R150" s="176">
        <f t="shared" si="52"/>
        <v>0.51357088729523059</v>
      </c>
      <c r="S150" s="814">
        <f t="shared" si="53"/>
        <v>0</v>
      </c>
      <c r="T150" s="175">
        <f t="shared" si="54"/>
        <v>6</v>
      </c>
      <c r="U150" s="250">
        <f t="shared" si="55"/>
        <v>0.51357088729523059</v>
      </c>
      <c r="V150" s="382">
        <f t="shared" si="56"/>
        <v>58.605971999846716</v>
      </c>
      <c r="W150" s="401"/>
      <c r="X150" s="157">
        <f t="shared" si="57"/>
        <v>44332</v>
      </c>
      <c r="Y150" s="384">
        <f t="shared" si="58"/>
        <v>12.215679333622575</v>
      </c>
      <c r="Z150" s="384">
        <f t="shared" si="59"/>
        <v>12.508634355379993</v>
      </c>
      <c r="AA150" s="385">
        <f t="shared" si="60"/>
        <v>13.151518141110964</v>
      </c>
      <c r="AB150" s="196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4.8882857388254555E-2</v>
      </c>
      <c r="AD150" s="230">
        <f>(INDEX(Models!$BJ150:$BT150,,AH150)*(1-AF150)+INDEX(Models!$BJ150:$BT150,,AH150+1)*AF150-ERP_i)*AE150*Ramure*Pc/MaxiM</f>
        <v>2.003615132533512E-4</v>
      </c>
      <c r="AE150" s="304">
        <f t="shared" si="62"/>
        <v>0.5</v>
      </c>
      <c r="AF150" s="176">
        <f t="shared" si="63"/>
        <v>0.51357088729523059</v>
      </c>
      <c r="AG150" s="814">
        <f t="shared" si="71"/>
        <v>0</v>
      </c>
      <c r="AH150" s="175">
        <f t="shared" si="64"/>
        <v>6</v>
      </c>
      <c r="AI150" s="224">
        <f t="shared" si="65"/>
        <v>0.51357088729523059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44333</v>
      </c>
      <c r="B151" s="616">
        <v>55.145000000000003</v>
      </c>
      <c r="C151" s="389"/>
      <c r="D151" s="392">
        <f t="shared" si="48"/>
        <v>56.468717879755218</v>
      </c>
      <c r="E151" s="384">
        <f t="shared" si="69"/>
        <v>56.909937090593175</v>
      </c>
      <c r="F151" s="384">
        <f t="shared" si="49"/>
        <v>56.920827652240035</v>
      </c>
      <c r="G151" s="110">
        <f t="shared" si="70"/>
        <v>0.94082371085330374</v>
      </c>
      <c r="H151" s="413" t="b">
        <f>Wh_hp&gt;='2020'!Maxi_hp</f>
        <v>1</v>
      </c>
      <c r="I151" s="379">
        <f>IF(H151,Wh_hp,'2020'!Maxi_hp)</f>
        <v>56.920827652240035</v>
      </c>
      <c r="J151" s="85">
        <f>IF(H151,An,'2020'!An_max)</f>
        <v>2021</v>
      </c>
      <c r="K151" s="196">
        <f t="shared" si="50"/>
        <v>44333</v>
      </c>
      <c r="L151" s="147">
        <f>IF(t&lt;Tvie,1-EXP((T0-t)*PertePVj)+'2020'!Pspv,1-EXP((T0-t)*PertePVj)+Pspv)</f>
        <v>2.3441613860862742E-2</v>
      </c>
      <c r="M151" s="847"/>
      <c r="N151" s="847"/>
      <c r="O151" s="48">
        <f>IF(t&lt;Tnet,'2020'!Resal+('2020'!Salim-'2020'!Resal)*(1-EXP(('2020'!Tnet-t)/('2020'!Tau_j))),Resal+(Salim-Resal)*(1-EXP((Tnet-t)/(Tau_j))))*Salcycl</f>
        <v>7.7529379471215189E-3</v>
      </c>
      <c r="P151" s="168">
        <f>(INDEX(Models!$BJ151:$BT151,,T151)*(1-R151)+INDEX(Models!$BJ151:$BT151,,T151+1)*R151-ERP_i)*Q151*Ramure*Pc/MaxiM</f>
        <v>2.0899085123718319E-4</v>
      </c>
      <c r="Q151" s="304">
        <f t="shared" si="51"/>
        <v>0.5</v>
      </c>
      <c r="R151" s="176">
        <f t="shared" si="52"/>
        <v>0.51599132231121481</v>
      </c>
      <c r="S151" s="814">
        <f t="shared" si="53"/>
        <v>0</v>
      </c>
      <c r="T151" s="175">
        <f t="shared" si="54"/>
        <v>6</v>
      </c>
      <c r="U151" s="250">
        <f t="shared" si="55"/>
        <v>0.51599132231121481</v>
      </c>
      <c r="V151" s="382">
        <f t="shared" si="56"/>
        <v>58.612495808354531</v>
      </c>
      <c r="W151" s="401"/>
      <c r="X151" s="157">
        <f t="shared" si="57"/>
        <v>44333</v>
      </c>
      <c r="Y151" s="384">
        <f t="shared" si="58"/>
        <v>52.855409309101127</v>
      </c>
      <c r="Z151" s="384">
        <f t="shared" si="59"/>
        <v>54.124167135635489</v>
      </c>
      <c r="AA151" s="385">
        <f t="shared" si="60"/>
        <v>56.909937090593175</v>
      </c>
      <c r="AB151" s="196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4.8950501395267784E-2</v>
      </c>
      <c r="AD151" s="230">
        <f>(INDEX(Models!$BJ151:$BT151,,AH151)*(1-AF151)+INDEX(Models!$BJ151:$BT151,,AH151+1)*AF151-ERP_i)*AE151*Ramure*Pc/MaxiM</f>
        <v>2.0899085123718319E-4</v>
      </c>
      <c r="AE151" s="304">
        <f t="shared" si="62"/>
        <v>0.5</v>
      </c>
      <c r="AF151" s="176">
        <f t="shared" si="63"/>
        <v>0.51599132231121481</v>
      </c>
      <c r="AG151" s="814">
        <f t="shared" si="71"/>
        <v>0</v>
      </c>
      <c r="AH151" s="175">
        <f t="shared" si="64"/>
        <v>6</v>
      </c>
      <c r="AI151" s="224">
        <f t="shared" si="65"/>
        <v>0.51599132231121481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44334</v>
      </c>
      <c r="B152" s="616">
        <v>35.927</v>
      </c>
      <c r="C152" s="389"/>
      <c r="D152" s="392">
        <f t="shared" si="48"/>
        <v>36.790208778792561</v>
      </c>
      <c r="E152" s="384">
        <f t="shared" si="69"/>
        <v>37.080780616080567</v>
      </c>
      <c r="F152" s="384">
        <f t="shared" si="49"/>
        <v>37.084390436415525</v>
      </c>
      <c r="G152" s="110">
        <f t="shared" si="70"/>
        <v>0.61284688242940688</v>
      </c>
      <c r="H152" s="413" t="b">
        <f>Wh_hp&gt;='2020'!Maxi_hp</f>
        <v>0</v>
      </c>
      <c r="I152" s="379">
        <f>IF(H152,Wh_hp,'2020'!Maxi_hp)</f>
        <v>62.196197916934416</v>
      </c>
      <c r="J152" s="85">
        <f>IF(H152,An,'2020'!An_max)</f>
        <v>2020</v>
      </c>
      <c r="K152" s="196">
        <f t="shared" si="50"/>
        <v>44334</v>
      </c>
      <c r="L152" s="147">
        <f>IF(t&lt;Tvie,1-EXP((T0-t)*PertePVj)+'2020'!Pspv,1-EXP((T0-t)*PertePVj)+Pspv)</f>
        <v>2.3463002995790294E-2</v>
      </c>
      <c r="M152" s="847"/>
      <c r="N152" s="847"/>
      <c r="O152" s="48">
        <f>IF(t&lt;Tnet,'2020'!Resal+('2020'!Salim-'2020'!Resal)*(1-EXP(('2020'!Tnet-t)/('2020'!Tau_j))),Resal+(Salim-Resal)*(1-EXP((Tnet-t)/(Tau_j))))*Salcycl</f>
        <v>7.8361844723946021E-3</v>
      </c>
      <c r="P152" s="168">
        <f>(INDEX(Models!$BJ152:$BT152,,T152)*(1-R152)+INDEX(Models!$BJ152:$BT152,,T152+1)*R152-ERP_i)*Q152*Ramure*Pc/MaxiM</f>
        <v>2.1775001907140747E-4</v>
      </c>
      <c r="Q152" s="304">
        <f t="shared" si="51"/>
        <v>0.5</v>
      </c>
      <c r="R152" s="176">
        <f t="shared" si="52"/>
        <v>0.51845761044558913</v>
      </c>
      <c r="S152" s="814">
        <f t="shared" si="53"/>
        <v>0</v>
      </c>
      <c r="T152" s="175">
        <f t="shared" si="54"/>
        <v>6</v>
      </c>
      <c r="U152" s="250">
        <f t="shared" si="55"/>
        <v>0.51845761044558913</v>
      </c>
      <c r="V152" s="382">
        <f t="shared" si="56"/>
        <v>58.616066529826497</v>
      </c>
      <c r="W152" s="401"/>
      <c r="X152" s="157">
        <f t="shared" si="57"/>
        <v>44334</v>
      </c>
      <c r="Y152" s="384">
        <f t="shared" si="58"/>
        <v>34.435759101299595</v>
      </c>
      <c r="Z152" s="384">
        <f t="shared" si="59"/>
        <v>35.263138218972308</v>
      </c>
      <c r="AA152" s="385">
        <f t="shared" si="60"/>
        <v>37.080780616080567</v>
      </c>
      <c r="AB152" s="196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4.901845017577687E-2</v>
      </c>
      <c r="AD152" s="230">
        <f>(INDEX(Models!$BJ152:$BT152,,AH152)*(1-AF152)+INDEX(Models!$BJ152:$BT152,,AH152+1)*AF152-ERP_i)*AE152*Ramure*Pc/MaxiM</f>
        <v>2.1775001907140747E-4</v>
      </c>
      <c r="AE152" s="304">
        <f t="shared" si="62"/>
        <v>0.5</v>
      </c>
      <c r="AF152" s="176">
        <f t="shared" si="63"/>
        <v>0.51845761044558913</v>
      </c>
      <c r="AG152" s="814">
        <f t="shared" si="71"/>
        <v>0</v>
      </c>
      <c r="AH152" s="175">
        <f t="shared" si="64"/>
        <v>6</v>
      </c>
      <c r="AI152" s="224">
        <f t="shared" si="65"/>
        <v>0.51845761044558913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44335</v>
      </c>
      <c r="B153" s="616">
        <v>49.905000000000001</v>
      </c>
      <c r="C153" s="389"/>
      <c r="D153" s="392">
        <f t="shared" si="48"/>
        <v>51.105173920311529</v>
      </c>
      <c r="E153" s="384">
        <f t="shared" si="69"/>
        <v>51.513132020762257</v>
      </c>
      <c r="F153" s="384">
        <f t="shared" si="49"/>
        <v>51.522329833644072</v>
      </c>
      <c r="G153" s="110">
        <f t="shared" si="70"/>
        <v>0.85133776968513553</v>
      </c>
      <c r="H153" s="413" t="b">
        <f>Wh_hp&gt;='2020'!Maxi_hp</f>
        <v>0</v>
      </c>
      <c r="I153" s="379">
        <f>IF(H153,Wh_hp,'2020'!Maxi_hp)</f>
        <v>60.966167385308943</v>
      </c>
      <c r="J153" s="85">
        <f>IF(H153,An,'2020'!An_max)</f>
        <v>2020</v>
      </c>
      <c r="K153" s="196">
        <f t="shared" si="50"/>
        <v>44335</v>
      </c>
      <c r="L153" s="147">
        <f>IF(t&lt;Tvie,1-EXP((T0-t)*PertePVj)+'2020'!Pspv,1-EXP((T0-t)*PertePVj)+Pspv)</f>
        <v>2.3484391662240811E-2</v>
      </c>
      <c r="M153" s="847"/>
      <c r="N153" s="847"/>
      <c r="O153" s="48">
        <f>IF(t&lt;Tnet,'2020'!Resal+('2020'!Salim-'2020'!Resal)*(1-EXP(('2020'!Tnet-t)/('2020'!Tau_j))),Resal+(Salim-Resal)*(1-EXP((Tnet-t)/(Tau_j))))*Salcycl</f>
        <v>7.9194971155375649E-3</v>
      </c>
      <c r="P153" s="168">
        <f>(INDEX(Models!$BJ153:$BT153,,T153)*(1-R153)+INDEX(Models!$BJ153:$BT153,,T153+1)*R153-ERP_i)*Q153*Ramure*Pc/MaxiM</f>
        <v>2.2664027903585864E-4</v>
      </c>
      <c r="Q153" s="304">
        <f t="shared" si="51"/>
        <v>0.5</v>
      </c>
      <c r="R153" s="176">
        <f t="shared" si="52"/>
        <v>0.520968925905967</v>
      </c>
      <c r="S153" s="814">
        <f t="shared" si="53"/>
        <v>0</v>
      </c>
      <c r="T153" s="175">
        <f t="shared" si="54"/>
        <v>6</v>
      </c>
      <c r="U153" s="250">
        <f t="shared" si="55"/>
        <v>0.520968925905967</v>
      </c>
      <c r="V153" s="382">
        <f t="shared" si="56"/>
        <v>58.616685351870622</v>
      </c>
      <c r="W153" s="401"/>
      <c r="X153" s="157">
        <f t="shared" si="57"/>
        <v>44335</v>
      </c>
      <c r="Y153" s="384">
        <f t="shared" si="58"/>
        <v>47.834152186605344</v>
      </c>
      <c r="Z153" s="384">
        <f t="shared" si="59"/>
        <v>48.984523932013147</v>
      </c>
      <c r="AA153" s="385">
        <f t="shared" si="60"/>
        <v>51.513132020762257</v>
      </c>
      <c r="AB153" s="196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4.9086669545349314E-2</v>
      </c>
      <c r="AD153" s="230">
        <f>(INDEX(Models!$BJ153:$BT153,,AH153)*(1-AF153)+INDEX(Models!$BJ153:$BT153,,AH153+1)*AF153-ERP_i)*AE153*Ramure*Pc/MaxiM</f>
        <v>2.2664027903585864E-4</v>
      </c>
      <c r="AE153" s="304">
        <f t="shared" si="62"/>
        <v>0.5</v>
      </c>
      <c r="AF153" s="176">
        <f t="shared" si="63"/>
        <v>0.520968925905967</v>
      </c>
      <c r="AG153" s="814">
        <f t="shared" si="71"/>
        <v>0</v>
      </c>
      <c r="AH153" s="175">
        <f t="shared" si="64"/>
        <v>6</v>
      </c>
      <c r="AI153" s="224">
        <f t="shared" si="65"/>
        <v>0.520968925905967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44336</v>
      </c>
      <c r="B154" s="616">
        <v>59.231000000000002</v>
      </c>
      <c r="C154" s="389"/>
      <c r="D154" s="392">
        <f t="shared" si="48"/>
        <v>60.656785036087236</v>
      </c>
      <c r="E154" s="384">
        <f t="shared" si="69"/>
        <v>61.146129633823207</v>
      </c>
      <c r="F154" s="384">
        <f t="shared" si="49"/>
        <v>61.160542885736888</v>
      </c>
      <c r="G154" s="110">
        <f t="shared" si="70"/>
        <v>1.0105204008317155</v>
      </c>
      <c r="H154" s="413" t="b">
        <f>Wh_hp&gt;='2020'!Maxi_hp</f>
        <v>1</v>
      </c>
      <c r="I154" s="379">
        <f>IF(H154,Wh_hp,'2020'!Maxi_hp)</f>
        <v>61.160542885736888</v>
      </c>
      <c r="J154" s="85">
        <f>IF(H154,An,'2020'!An_max)</f>
        <v>2021</v>
      </c>
      <c r="K154" s="196">
        <f t="shared" si="50"/>
        <v>44336</v>
      </c>
      <c r="L154" s="147">
        <f>IF(t&lt;Tvie,1-EXP((T0-t)*PertePVj)+'2020'!Pspv,1-EXP((T0-t)*PertePVj)+Pspv)</f>
        <v>2.3505779860224618E-2</v>
      </c>
      <c r="M154" s="847"/>
      <c r="N154" s="847"/>
      <c r="O154" s="48">
        <f>IF(t&lt;Tnet,'2020'!Resal+('2020'!Salim-'2020'!Resal)*(1-EXP(('2020'!Tnet-t)/('2020'!Tau_j))),Resal+(Salim-Resal)*(1-EXP((Tnet-t)/(Tau_j))))*Salcycl</f>
        <v>8.0028711656230742E-3</v>
      </c>
      <c r="P154" s="168">
        <f>(INDEX(Models!$BJ154:$BT154,,T154)*(1-R154)+INDEX(Models!$BJ154:$BT154,,T154+1)*R154-ERP_i)*Q154*Ramure*Pc/MaxiM</f>
        <v>2.3566258953274465E-4</v>
      </c>
      <c r="Q154" s="304">
        <f t="shared" si="51"/>
        <v>0.5</v>
      </c>
      <c r="R154" s="176">
        <f t="shared" si="52"/>
        <v>0.5235243350905634</v>
      </c>
      <c r="S154" s="814">
        <f t="shared" si="53"/>
        <v>0</v>
      </c>
      <c r="T154" s="175">
        <f t="shared" si="54"/>
        <v>6</v>
      </c>
      <c r="U154" s="250">
        <f t="shared" si="55"/>
        <v>0.5235243350905634</v>
      </c>
      <c r="V154" s="382">
        <f t="shared" si="56"/>
        <v>58.614353506618507</v>
      </c>
      <c r="W154" s="401"/>
      <c r="X154" s="157">
        <f t="shared" si="57"/>
        <v>44336</v>
      </c>
      <c r="Y154" s="384">
        <f t="shared" si="58"/>
        <v>56.773846631324652</v>
      </c>
      <c r="Z154" s="384">
        <f t="shared" si="59"/>
        <v>58.140484050379783</v>
      </c>
      <c r="AA154" s="385">
        <f t="shared" si="60"/>
        <v>61.146129633823207</v>
      </c>
      <c r="AB154" s="196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4.9155123986471212E-2</v>
      </c>
      <c r="AD154" s="230">
        <f>(INDEX(Models!$BJ154:$BT154,,AH154)*(1-AF154)+INDEX(Models!$BJ154:$BT154,,AH154+1)*AF154-ERP_i)*AE154*Ramure*Pc/MaxiM</f>
        <v>2.3566258953274465E-4</v>
      </c>
      <c r="AE154" s="304">
        <f t="shared" si="62"/>
        <v>0.5</v>
      </c>
      <c r="AF154" s="176">
        <f t="shared" si="63"/>
        <v>0.5235243350905634</v>
      </c>
      <c r="AG154" s="814">
        <f t="shared" si="71"/>
        <v>0</v>
      </c>
      <c r="AH154" s="175">
        <f t="shared" si="64"/>
        <v>6</v>
      </c>
      <c r="AI154" s="224">
        <f t="shared" si="65"/>
        <v>0.5235243350905634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16">
        <v>39.966999999999999</v>
      </c>
      <c r="C155" s="389"/>
      <c r="D155" s="392">
        <f t="shared" si="48"/>
        <v>40.929966173609387</v>
      </c>
      <c r="E155" s="384">
        <f t="shared" si="69"/>
        <v>41.263636378027783</v>
      </c>
      <c r="F155" s="384">
        <f t="shared" si="49"/>
        <v>41.269148874790531</v>
      </c>
      <c r="G155" s="110">
        <f t="shared" si="70"/>
        <v>0.68184927341519352</v>
      </c>
      <c r="H155" s="413" t="b">
        <f>Wh_hp&gt;='2020'!Maxi_hp</f>
        <v>0</v>
      </c>
      <c r="I155" s="379">
        <f>IF(H155,Wh_hp,'2020'!Maxi_hp)</f>
        <v>59.215074303893267</v>
      </c>
      <c r="J155" s="85">
        <f>IF(H155,An,'2020'!An_max)</f>
        <v>2020</v>
      </c>
      <c r="K155" s="196">
        <f t="shared" si="50"/>
        <v>44337</v>
      </c>
      <c r="L155" s="147">
        <f>IF(t&lt;Tvie,1-EXP((T0-t)*PertePVj)+'2020'!Pspv,1-EXP((T0-t)*PertePVj)+Pspv)</f>
        <v>2.352716758975204E-2</v>
      </c>
      <c r="M155" s="847"/>
      <c r="N155" s="847"/>
      <c r="O155" s="48">
        <f>IF(t&lt;Tnet,'2020'!Resal+('2020'!Salim-'2020'!Resal)*(1-EXP(('2020'!Tnet-t)/('2020'!Tau_j))),Resal+(Salim-Resal)*(1-EXP((Tnet-t)/(Tau_j))))*Salcycl</f>
        <v>8.0863014922278528E-3</v>
      </c>
      <c r="P155" s="168">
        <f>(INDEX(Models!$BJ155:$BT155,,T155)*(1-R155)+INDEX(Models!$BJ155:$BT155,,T155+1)*R155-ERP_i)*Q155*Ramure*Pc/MaxiM</f>
        <v>2.4481759381862045E-4</v>
      </c>
      <c r="Q155" s="304">
        <f t="shared" si="51"/>
        <v>0.5</v>
      </c>
      <c r="R155" s="176">
        <f t="shared" si="52"/>
        <v>0.52612279560312913</v>
      </c>
      <c r="S155" s="814">
        <f t="shared" si="53"/>
        <v>0</v>
      </c>
      <c r="T155" s="175">
        <f t="shared" si="54"/>
        <v>6</v>
      </c>
      <c r="U155" s="250">
        <f t="shared" si="55"/>
        <v>0.52612279560312913</v>
      </c>
      <c r="V155" s="382">
        <f t="shared" si="56"/>
        <v>58.609072272343596</v>
      </c>
      <c r="W155" s="401"/>
      <c r="X155" s="157">
        <f t="shared" si="57"/>
        <v>44337</v>
      </c>
      <c r="Y155" s="384">
        <f t="shared" si="58"/>
        <v>38.309455119546513</v>
      </c>
      <c r="Z155" s="384">
        <f t="shared" si="59"/>
        <v>39.232484353903118</v>
      </c>
      <c r="AA155" s="385">
        <f t="shared" si="60"/>
        <v>41.263636378027783</v>
      </c>
      <c r="AB155" s="196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4.9223776729629791E-2</v>
      </c>
      <c r="AD155" s="230">
        <f>(INDEX(Models!$BJ155:$BT155,,AH155)*(1-AF155)+INDEX(Models!$BJ155:$BT155,,AH155+1)*AF155-ERP_i)*AE155*Ramure*Pc/MaxiM</f>
        <v>2.4481759381862045E-4</v>
      </c>
      <c r="AE155" s="304">
        <f t="shared" si="62"/>
        <v>0.5</v>
      </c>
      <c r="AF155" s="176">
        <f t="shared" si="63"/>
        <v>0.52612279560312913</v>
      </c>
      <c r="AG155" s="814">
        <f t="shared" si="71"/>
        <v>0</v>
      </c>
      <c r="AH155" s="175">
        <f t="shared" si="64"/>
        <v>6</v>
      </c>
      <c r="AI155" s="224">
        <f t="shared" si="65"/>
        <v>0.52612279560312913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44338</v>
      </c>
      <c r="B156" s="616">
        <v>34.75</v>
      </c>
      <c r="C156" s="389"/>
      <c r="D156" s="392">
        <f t="shared" si="48"/>
        <v>35.588047078666001</v>
      </c>
      <c r="E156" s="384">
        <f t="shared" si="69"/>
        <v>35.881188587148948</v>
      </c>
      <c r="F156" s="384">
        <f t="shared" si="49"/>
        <v>35.885004169095595</v>
      </c>
      <c r="G156" s="110">
        <f t="shared" si="70"/>
        <v>0.59290724191938815</v>
      </c>
      <c r="H156" s="413" t="b">
        <f>Wh_hp&gt;='2020'!Maxi_hp</f>
        <v>0</v>
      </c>
      <c r="I156" s="379">
        <f>IF(H156,Wh_hp,'2020'!Maxi_hp)</f>
        <v>59.915343833320051</v>
      </c>
      <c r="J156" s="85">
        <f>IF(H156,An,'2020'!An_max)</f>
        <v>2019</v>
      </c>
      <c r="K156" s="196">
        <f t="shared" si="50"/>
        <v>44338</v>
      </c>
      <c r="L156" s="147">
        <f>IF(t&lt;Tvie,1-EXP((T0-t)*PertePVj)+'2020'!Pspv,1-EXP((T0-t)*PertePVj)+Pspv)</f>
        <v>2.3548554850833292E-2</v>
      </c>
      <c r="M156" s="847"/>
      <c r="N156" s="847"/>
      <c r="O156" s="48">
        <f>IF(t&lt;Tnet,'2020'!Resal+('2020'!Salim-'2020'!Resal)*(1-EXP(('2020'!Tnet-t)/('2020'!Tau_j))),Resal+(Salim-Resal)*(1-EXP((Tnet-t)/(Tau_j))))*Salcycl</f>
        <v>8.1697825525193137E-3</v>
      </c>
      <c r="P156" s="168">
        <f>(INDEX(Models!$BJ156:$BT156,,T156)*(1-R156)+INDEX(Models!$BJ156:$BT156,,T156+1)*R156-ERP_i)*Q156*Ramure*Pc/MaxiM</f>
        <v>2.5403049543113701E-4</v>
      </c>
      <c r="Q156" s="304">
        <f t="shared" si="51"/>
        <v>0.5</v>
      </c>
      <c r="R156" s="176">
        <f t="shared" si="52"/>
        <v>0.52876315575046251</v>
      </c>
      <c r="S156" s="814">
        <f t="shared" si="53"/>
        <v>0</v>
      </c>
      <c r="T156" s="175">
        <f t="shared" si="54"/>
        <v>6</v>
      </c>
      <c r="U156" s="250">
        <f t="shared" si="55"/>
        <v>0.52876315575046251</v>
      </c>
      <c r="V156" s="382">
        <f t="shared" si="56"/>
        <v>58.600847379072178</v>
      </c>
      <c r="W156" s="401"/>
      <c r="X156" s="157">
        <f t="shared" si="57"/>
        <v>44338</v>
      </c>
      <c r="Y156" s="384">
        <f t="shared" si="58"/>
        <v>33.309211518037316</v>
      </c>
      <c r="Z156" s="384">
        <f t="shared" si="59"/>
        <v>34.112511875026065</v>
      </c>
      <c r="AA156" s="385">
        <f t="shared" si="60"/>
        <v>35.881188587148948</v>
      </c>
      <c r="AB156" s="196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4.9292589843479839E-2</v>
      </c>
      <c r="AD156" s="230">
        <f>(INDEX(Models!$BJ156:$BT156,,AH156)*(1-AF156)+INDEX(Models!$BJ156:$BT156,,AH156+1)*AF156-ERP_i)*AE156*Ramure*Pc/MaxiM</f>
        <v>2.5403049543113701E-4</v>
      </c>
      <c r="AE156" s="304">
        <f t="shared" si="62"/>
        <v>0.5</v>
      </c>
      <c r="AF156" s="176">
        <f t="shared" si="63"/>
        <v>0.52876315575046251</v>
      </c>
      <c r="AG156" s="814">
        <f t="shared" si="71"/>
        <v>0</v>
      </c>
      <c r="AH156" s="175">
        <f t="shared" si="64"/>
        <v>6</v>
      </c>
      <c r="AI156" s="224">
        <f t="shared" si="65"/>
        <v>0.52876315575046251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44339</v>
      </c>
      <c r="B157" s="616">
        <v>35.417999999999999</v>
      </c>
      <c r="C157" s="389"/>
      <c r="D157" s="392">
        <f t="shared" si="48"/>
        <v>36.272951346473107</v>
      </c>
      <c r="E157" s="384">
        <f t="shared" si="69"/>
        <v>36.574814570823627</v>
      </c>
      <c r="F157" s="384">
        <f t="shared" si="49"/>
        <v>36.579004549468991</v>
      </c>
      <c r="G157" s="110">
        <f t="shared" si="70"/>
        <v>0.60441925376841021</v>
      </c>
      <c r="H157" s="413" t="b">
        <f>Wh_hp&gt;='2020'!Maxi_hp</f>
        <v>0</v>
      </c>
      <c r="I157" s="379">
        <f>IF(H157,Wh_hp,'2020'!Maxi_hp)</f>
        <v>55.585260349029333</v>
      </c>
      <c r="J157" s="85">
        <f>IF(H157,An,'2020'!An_max)</f>
        <v>2020</v>
      </c>
      <c r="K157" s="196">
        <f t="shared" si="50"/>
        <v>44339</v>
      </c>
      <c r="L157" s="147">
        <f>IF(t&lt;Tvie,1-EXP((T0-t)*PertePVj)+'2020'!Pspv,1-EXP((T0-t)*PertePVj)+Pspv)</f>
        <v>2.3569941643478587E-2</v>
      </c>
      <c r="M157" s="847"/>
      <c r="N157" s="847"/>
      <c r="O157" s="48">
        <f>IF(t&lt;Tnet,'2020'!Resal+('2020'!Salim-'2020'!Resal)*(1-EXP(('2020'!Tnet-t)/('2020'!Tau_j))),Resal+(Salim-Resal)*(1-EXP((Tnet-t)/(Tau_j))))*Salcycl</f>
        <v>8.2533084006753046E-3</v>
      </c>
      <c r="P157" s="168">
        <f>(INDEX(Models!$BJ157:$BT157,,T157)*(1-R157)+INDEX(Models!$BJ157:$BT157,,T157+1)*R157-ERP_i)*Q157*Ramure*Pc/MaxiM</f>
        <v>2.6331618420421355E-4</v>
      </c>
      <c r="Q157" s="304">
        <f t="shared" si="51"/>
        <v>0.5</v>
      </c>
      <c r="R157" s="176">
        <f t="shared" si="52"/>
        <v>0.53144415454952587</v>
      </c>
      <c r="S157" s="814">
        <f t="shared" si="53"/>
        <v>0</v>
      </c>
      <c r="T157" s="175">
        <f t="shared" si="54"/>
        <v>6</v>
      </c>
      <c r="U157" s="250">
        <f t="shared" si="55"/>
        <v>0.53144415454952587</v>
      </c>
      <c r="V157" s="382">
        <f t="shared" si="56"/>
        <v>58.589679321411637</v>
      </c>
      <c r="W157" s="401"/>
      <c r="X157" s="157">
        <f t="shared" si="57"/>
        <v>44339</v>
      </c>
      <c r="Y157" s="384">
        <f t="shared" si="58"/>
        <v>33.94991263025581</v>
      </c>
      <c r="Z157" s="384">
        <f t="shared" si="59"/>
        <v>34.769425971378446</v>
      </c>
      <c r="AA157" s="385">
        <f t="shared" si="60"/>
        <v>36.574814570823627</v>
      </c>
      <c r="AB157" s="196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4.9361524333888789E-2</v>
      </c>
      <c r="AD157" s="230">
        <f>(INDEX(Models!$BJ157:$BT157,,AH157)*(1-AF157)+INDEX(Models!$BJ157:$BT157,,AH157+1)*AF157-ERP_i)*AE157*Ramure*Pc/MaxiM</f>
        <v>2.6331618420421355E-4</v>
      </c>
      <c r="AE157" s="304">
        <f t="shared" si="62"/>
        <v>0.5</v>
      </c>
      <c r="AF157" s="176">
        <f t="shared" si="63"/>
        <v>0.53144415454952587</v>
      </c>
      <c r="AG157" s="814">
        <f t="shared" si="71"/>
        <v>0</v>
      </c>
      <c r="AH157" s="175">
        <f t="shared" si="64"/>
        <v>6</v>
      </c>
      <c r="AI157" s="224">
        <f t="shared" si="65"/>
        <v>0.53144415454952587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44340</v>
      </c>
      <c r="B158" s="616">
        <v>25.175000000000001</v>
      </c>
      <c r="C158" s="389"/>
      <c r="D158" s="392">
        <f t="shared" si="48"/>
        <v>25.783261375178732</v>
      </c>
      <c r="E158" s="384">
        <f t="shared" si="69"/>
        <v>26.000020234058965</v>
      </c>
      <c r="F158" s="384">
        <f t="shared" si="49"/>
        <v>26.001334753599281</v>
      </c>
      <c r="G158" s="110">
        <f t="shared" si="70"/>
        <v>0.4296912192726548</v>
      </c>
      <c r="H158" s="413" t="b">
        <f>Wh_hp&gt;='2020'!Maxi_hp</f>
        <v>1</v>
      </c>
      <c r="I158" s="379">
        <f>IF(H158,Wh_hp,'2020'!Maxi_hp)</f>
        <v>26.001334753599281</v>
      </c>
      <c r="J158" s="85">
        <f>IF(H158,An,'2020'!An_max)</f>
        <v>2021</v>
      </c>
      <c r="K158" s="196">
        <f t="shared" si="50"/>
        <v>44340</v>
      </c>
      <c r="L158" s="147">
        <f>IF(t&lt;Tvie,1-EXP((T0-t)*PertePVj)+'2020'!Pspv,1-EXP((T0-t)*PertePVj)+Pspv)</f>
        <v>2.3591327967698361E-2</v>
      </c>
      <c r="M158" s="847"/>
      <c r="N158" s="847"/>
      <c r="O158" s="48">
        <f>IF(t&lt;Tnet,'2020'!Resal+('2020'!Salim-'2020'!Resal)*(1-EXP(('2020'!Tnet-t)/('2020'!Tau_j))),Resal+(Salim-Resal)*(1-EXP((Tnet-t)/(Tau_j))))*Salcycl</f>
        <v>8.3368726996715763E-3</v>
      </c>
      <c r="P158" s="168">
        <f>(INDEX(Models!$BJ158:$BT158,,T158)*(1-R158)+INDEX(Models!$BJ158:$BT158,,T158+1)*R158-ERP_i)*Q158*Ramure*Pc/MaxiM</f>
        <v>2.7267121877860758E-4</v>
      </c>
      <c r="Q158" s="304">
        <f t="shared" si="51"/>
        <v>0.5</v>
      </c>
      <c r="R158" s="176">
        <f t="shared" si="52"/>
        <v>0.53416442226802352</v>
      </c>
      <c r="S158" s="814">
        <f t="shared" si="53"/>
        <v>0</v>
      </c>
      <c r="T158" s="175">
        <f t="shared" si="54"/>
        <v>6</v>
      </c>
      <c r="U158" s="250">
        <f t="shared" si="55"/>
        <v>0.53416442226802352</v>
      </c>
      <c r="V158" s="382">
        <f t="shared" si="56"/>
        <v>58.575569697345543</v>
      </c>
      <c r="W158" s="401"/>
      <c r="X158" s="157">
        <f t="shared" si="57"/>
        <v>44340</v>
      </c>
      <c r="Y158" s="384">
        <f t="shared" si="58"/>
        <v>24.131769640678812</v>
      </c>
      <c r="Z158" s="384">
        <f t="shared" si="59"/>
        <v>24.714825187337624</v>
      </c>
      <c r="AA158" s="385">
        <f t="shared" si="60"/>
        <v>26.000020234058965</v>
      </c>
      <c r="AB158" s="196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4.9430540251572154E-2</v>
      </c>
      <c r="AD158" s="230">
        <f>(INDEX(Models!$BJ158:$BT158,,AH158)*(1-AF158)+INDEX(Models!$BJ158:$BT158,,AH158+1)*AF158-ERP_i)*AE158*Ramure*Pc/MaxiM</f>
        <v>2.7267121877860758E-4</v>
      </c>
      <c r="AE158" s="304">
        <f t="shared" si="62"/>
        <v>0.5</v>
      </c>
      <c r="AF158" s="176">
        <f t="shared" si="63"/>
        <v>0.53416442226802352</v>
      </c>
      <c r="AG158" s="814">
        <f t="shared" si="71"/>
        <v>0</v>
      </c>
      <c r="AH158" s="175">
        <f t="shared" si="64"/>
        <v>6</v>
      </c>
      <c r="AI158" s="224">
        <f t="shared" si="65"/>
        <v>0.53416442226802352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44341</v>
      </c>
      <c r="B159" s="616">
        <v>49.529000000000003</v>
      </c>
      <c r="C159" s="389"/>
      <c r="D159" s="392">
        <f t="shared" si="48"/>
        <v>50.726797348984384</v>
      </c>
      <c r="E159" s="384">
        <f t="shared" si="69"/>
        <v>51.157568051342537</v>
      </c>
      <c r="F159" s="384">
        <f t="shared" si="49"/>
        <v>51.168822816898604</v>
      </c>
      <c r="G159" s="110">
        <f t="shared" si="70"/>
        <v>0.84575090961030241</v>
      </c>
      <c r="H159" s="413" t="b">
        <f>Wh_hp&gt;='2020'!Maxi_hp</f>
        <v>0</v>
      </c>
      <c r="I159" s="379">
        <f>IF(H159,Wh_hp,'2020'!Maxi_hp)</f>
        <v>56.074384360716962</v>
      </c>
      <c r="J159" s="85">
        <f>IF(H159,An,'2020'!An_max)</f>
        <v>2020</v>
      </c>
      <c r="K159" s="196">
        <f t="shared" si="50"/>
        <v>44341</v>
      </c>
      <c r="L159" s="147">
        <f>IF(t&lt;Tvie,1-EXP((T0-t)*PertePVj)+'2020'!Pspv,1-EXP((T0-t)*PertePVj)+Pspv)</f>
        <v>2.3612713823502607E-2</v>
      </c>
      <c r="M159" s="847"/>
      <c r="N159" s="847"/>
      <c r="O159" s="48">
        <f>IF(t&lt;Tnet,'2020'!Resal+('2020'!Salim-'2020'!Resal)*(1-EXP(('2020'!Tnet-t)/('2020'!Tau_j))),Resal+(Salim-Resal)*(1-EXP((Tnet-t)/(Tau_j))))*Salcycl</f>
        <v>8.4204687354533531E-3</v>
      </c>
      <c r="P159" s="168">
        <f>(INDEX(Models!$BJ159:$BT159,,T159)*(1-R159)+INDEX(Models!$BJ159:$BT159,,T159+1)*R159-ERP_i)*Q159*Ramure*Pc/MaxiM</f>
        <v>2.8209329739887665E-4</v>
      </c>
      <c r="Q159" s="304">
        <f t="shared" si="51"/>
        <v>0.5</v>
      </c>
      <c r="R159" s="176">
        <f t="shared" si="52"/>
        <v>0.53692248151865385</v>
      </c>
      <c r="S159" s="814">
        <f t="shared" si="53"/>
        <v>0</v>
      </c>
      <c r="T159" s="175">
        <f t="shared" si="54"/>
        <v>6</v>
      </c>
      <c r="U159" s="250">
        <f t="shared" si="55"/>
        <v>0.53692248151865385</v>
      </c>
      <c r="V159" s="382">
        <f t="shared" si="56"/>
        <v>58.558520058172604</v>
      </c>
      <c r="W159" s="401"/>
      <c r="X159" s="157">
        <f t="shared" si="57"/>
        <v>44341</v>
      </c>
      <c r="Y159" s="384">
        <f t="shared" si="58"/>
        <v>47.477114023987703</v>
      </c>
      <c r="Z159" s="384">
        <f t="shared" si="59"/>
        <v>48.625289059125933</v>
      </c>
      <c r="AA159" s="385">
        <f t="shared" si="60"/>
        <v>51.157568051342537</v>
      </c>
      <c r="AB159" s="196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4.9499596807947799E-2</v>
      </c>
      <c r="AD159" s="230">
        <f>(INDEX(Models!$BJ159:$BT159,,AH159)*(1-AF159)+INDEX(Models!$BJ159:$BT159,,AH159+1)*AF159-ERP_i)*AE159*Ramure*Pc/MaxiM</f>
        <v>2.8209329739887665E-4</v>
      </c>
      <c r="AE159" s="304">
        <f t="shared" si="62"/>
        <v>0.5</v>
      </c>
      <c r="AF159" s="176">
        <f t="shared" si="63"/>
        <v>0.53692248151865385</v>
      </c>
      <c r="AG159" s="814">
        <f t="shared" si="71"/>
        <v>0</v>
      </c>
      <c r="AH159" s="175">
        <f t="shared" si="64"/>
        <v>6</v>
      </c>
      <c r="AI159" s="224">
        <f t="shared" si="65"/>
        <v>0.53692248151865385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44342</v>
      </c>
      <c r="B160" s="616">
        <v>50.353999999999999</v>
      </c>
      <c r="C160" s="389"/>
      <c r="D160" s="392">
        <f t="shared" si="48"/>
        <v>51.572878527715822</v>
      </c>
      <c r="E160" s="384">
        <f t="shared" si="69"/>
        <v>52.015220615734655</v>
      </c>
      <c r="F160" s="384">
        <f t="shared" si="49"/>
        <v>52.02736073847926</v>
      </c>
      <c r="G160" s="110">
        <f t="shared" si="70"/>
        <v>0.86013545345316333</v>
      </c>
      <c r="H160" s="413" t="b">
        <f>Wh_hp&gt;='2020'!Maxi_hp</f>
        <v>0</v>
      </c>
      <c r="I160" s="379">
        <f>IF(H160,Wh_hp,'2020'!Maxi_hp)</f>
        <v>59.949871504131856</v>
      </c>
      <c r="J160" s="85">
        <f>IF(H160,An,'2020'!An_max)</f>
        <v>2020</v>
      </c>
      <c r="K160" s="196">
        <f t="shared" si="50"/>
        <v>44342</v>
      </c>
      <c r="L160" s="147">
        <f>IF(t&lt;Tvie,1-EXP((T0-t)*PertePVj)+'2020'!Pspv,1-EXP((T0-t)*PertePVj)+Pspv)</f>
        <v>2.363409921090176E-2</v>
      </c>
      <c r="M160" s="847"/>
      <c r="N160" s="847"/>
      <c r="O160" s="48">
        <f>IF(t&lt;Tnet,'2020'!Resal+('2020'!Salim-'2020'!Resal)*(1-EXP(('2020'!Tnet-t)/('2020'!Tau_j))),Resal+(Salim-Resal)*(1-EXP((Tnet-t)/(Tau_j))))*Salcycl</f>
        <v>8.5040894334883297E-3</v>
      </c>
      <c r="P160" s="168">
        <f>(INDEX(Models!$BJ160:$BT160,,T160)*(1-R160)+INDEX(Models!$BJ160:$BT160,,T160+1)*R160-ERP_i)*Q160*Ramure*Pc/MaxiM</f>
        <v>2.9157978519428674E-4</v>
      </c>
      <c r="Q160" s="304">
        <f t="shared" si="51"/>
        <v>0.5</v>
      </c>
      <c r="R160" s="176">
        <f t="shared" si="52"/>
        <v>0.53971674892315324</v>
      </c>
      <c r="S160" s="814">
        <f t="shared" si="53"/>
        <v>0</v>
      </c>
      <c r="T160" s="175">
        <f t="shared" si="54"/>
        <v>6</v>
      </c>
      <c r="U160" s="250">
        <f t="shared" si="55"/>
        <v>0.53971674892315324</v>
      </c>
      <c r="V160" s="382">
        <f t="shared" si="56"/>
        <v>58.538531999560028</v>
      </c>
      <c r="W160" s="401"/>
      <c r="X160" s="157">
        <f t="shared" si="57"/>
        <v>44342</v>
      </c>
      <c r="Y160" s="384">
        <f t="shared" si="58"/>
        <v>48.268499710435513</v>
      </c>
      <c r="Z160" s="384">
        <f t="shared" si="59"/>
        <v>49.436896220387197</v>
      </c>
      <c r="AA160" s="385">
        <f t="shared" si="60"/>
        <v>52.015220615734655</v>
      </c>
      <c r="AB160" s="196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4.9568652498755507E-2</v>
      </c>
      <c r="AD160" s="230">
        <f>(INDEX(Models!$BJ160:$BT160,,AH160)*(1-AF160)+INDEX(Models!$BJ160:$BT160,,AH160+1)*AF160-ERP_i)*AE160*Ramure*Pc/MaxiM</f>
        <v>2.9157978519428674E-4</v>
      </c>
      <c r="AE160" s="304">
        <f t="shared" si="62"/>
        <v>0.5</v>
      </c>
      <c r="AF160" s="176">
        <f t="shared" si="63"/>
        <v>0.53971674892315324</v>
      </c>
      <c r="AG160" s="814">
        <f t="shared" si="71"/>
        <v>0</v>
      </c>
      <c r="AH160" s="175">
        <f t="shared" si="64"/>
        <v>6</v>
      </c>
      <c r="AI160" s="224">
        <f t="shared" si="65"/>
        <v>0.53971674892315324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44343</v>
      </c>
      <c r="B161" s="616">
        <v>57.937000000000005</v>
      </c>
      <c r="C161" s="389"/>
      <c r="D161" s="392">
        <f t="shared" si="48"/>
        <v>59.340733786339747</v>
      </c>
      <c r="E161" s="384">
        <f t="shared" si="69"/>
        <v>59.854750062132418</v>
      </c>
      <c r="F161" s="384">
        <f t="shared" si="49"/>
        <v>59.872524660282878</v>
      </c>
      <c r="G161" s="110">
        <f t="shared" si="70"/>
        <v>0.9901077045338218</v>
      </c>
      <c r="H161" s="413" t="b">
        <f>Wh_hp&gt;='2020'!Maxi_hp</f>
        <v>1</v>
      </c>
      <c r="I161" s="379">
        <f>IF(H161,Wh_hp,'2020'!Maxi_hp)</f>
        <v>59.872524660282878</v>
      </c>
      <c r="J161" s="85">
        <f>IF(H161,An,'2020'!An_max)</f>
        <v>2021</v>
      </c>
      <c r="K161" s="196">
        <f t="shared" si="50"/>
        <v>44343</v>
      </c>
      <c r="L161" s="147">
        <f>IF(t&lt;Tvie,1-EXP((T0-t)*PertePVj)+'2020'!Pspv,1-EXP((T0-t)*PertePVj)+Pspv)</f>
        <v>2.3655484129906146E-2</v>
      </c>
      <c r="M161" s="847"/>
      <c r="N161" s="847"/>
      <c r="O161" s="48">
        <f>IF(t&lt;Tnet,'2020'!Resal+('2020'!Salim-'2020'!Resal)*(1-EXP(('2020'!Tnet-t)/('2020'!Tau_j))),Resal+(Salim-Resal)*(1-EXP((Tnet-t)/(Tau_j))))*Salcycl</f>
        <v>8.5877273776782687E-3</v>
      </c>
      <c r="P161" s="168">
        <f>(INDEX(Models!$BJ161:$BT161,,T161)*(1-R161)+INDEX(Models!$BJ161:$BT161,,T161+1)*R161-ERP_i)*Q161*Ramure*Pc/MaxiM</f>
        <v>3.0112771745330417E-4</v>
      </c>
      <c r="Q161" s="304">
        <f t="shared" si="51"/>
        <v>0.5</v>
      </c>
      <c r="R161" s="176">
        <f t="shared" si="52"/>
        <v>0.54254553735773869</v>
      </c>
      <c r="S161" s="814">
        <f t="shared" si="53"/>
        <v>0</v>
      </c>
      <c r="T161" s="175">
        <f t="shared" si="54"/>
        <v>6</v>
      </c>
      <c r="U161" s="250">
        <f t="shared" si="55"/>
        <v>0.54254553735773869</v>
      </c>
      <c r="V161" s="382">
        <f t="shared" si="56"/>
        <v>58.515607156755621</v>
      </c>
      <c r="W161" s="401"/>
      <c r="X161" s="157">
        <f t="shared" si="57"/>
        <v>44343</v>
      </c>
      <c r="Y161" s="384">
        <f t="shared" si="58"/>
        <v>55.538088552854425</v>
      </c>
      <c r="Z161" s="384">
        <f t="shared" si="59"/>
        <v>56.883700015829213</v>
      </c>
      <c r="AA161" s="385">
        <f t="shared" si="60"/>
        <v>59.854750062132418</v>
      </c>
      <c r="AB161" s="196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4.963766523490775E-2</v>
      </c>
      <c r="AD161" s="230">
        <f>(INDEX(Models!$BJ161:$BT161,,AH161)*(1-AF161)+INDEX(Models!$BJ161:$BT161,,AH161+1)*AF161-ERP_i)*AE161*Ramure*Pc/MaxiM</f>
        <v>3.0112771745330417E-4</v>
      </c>
      <c r="AE161" s="304">
        <f t="shared" si="62"/>
        <v>0.5</v>
      </c>
      <c r="AF161" s="176">
        <f t="shared" si="63"/>
        <v>0.54254553735773869</v>
      </c>
      <c r="AG161" s="814">
        <f t="shared" si="71"/>
        <v>0</v>
      </c>
      <c r="AH161" s="175">
        <f t="shared" si="64"/>
        <v>6</v>
      </c>
      <c r="AI161" s="224">
        <f t="shared" si="65"/>
        <v>0.54254553735773869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44344</v>
      </c>
      <c r="B162" s="616">
        <v>41.038000000000004</v>
      </c>
      <c r="C162" s="389"/>
      <c r="D162" s="392">
        <f t="shared" si="48"/>
        <v>42.033214905330517</v>
      </c>
      <c r="E162" s="384">
        <f t="shared" si="69"/>
        <v>42.400888906228865</v>
      </c>
      <c r="F162" s="384">
        <f t="shared" si="49"/>
        <v>42.408449676138247</v>
      </c>
      <c r="G162" s="110">
        <f t="shared" si="70"/>
        <v>0.70153429514419807</v>
      </c>
      <c r="H162" s="413" t="b">
        <f>Wh_hp&gt;='2020'!Maxi_hp</f>
        <v>0</v>
      </c>
      <c r="I162" s="379">
        <f>IF(H162,Wh_hp,'2020'!Maxi_hp)</f>
        <v>58.893102499621982</v>
      </c>
      <c r="J162" s="85">
        <f>IF(H162,An,'2020'!An_max)</f>
        <v>2020</v>
      </c>
      <c r="K162" s="196">
        <f t="shared" si="50"/>
        <v>44344</v>
      </c>
      <c r="L162" s="147">
        <f>IF(t&lt;Tvie,1-EXP((T0-t)*PertePVj)+'2020'!Pspv,1-EXP((T0-t)*PertePVj)+Pspv)</f>
        <v>2.3676868580525867E-2</v>
      </c>
      <c r="M162" s="847"/>
      <c r="N162" s="847"/>
      <c r="O162" s="48">
        <f>IF(t&lt;Tnet,'2020'!Resal+('2020'!Salim-'2020'!Resal)*(1-EXP(('2020'!Tnet-t)/('2020'!Tau_j))),Resal+(Salim-Resal)*(1-EXP((Tnet-t)/(Tau_j))))*Salcycl</f>
        <v>8.6713748315860716E-3</v>
      </c>
      <c r="P162" s="168">
        <f>(INDEX(Models!$BJ162:$BT162,,T162)*(1-R162)+INDEX(Models!$BJ162:$BT162,,T162+1)*R162-ERP_i)*Q162*Ramure*Pc/MaxiM</f>
        <v>3.107338048162489E-4</v>
      </c>
      <c r="Q162" s="304">
        <f t="shared" si="51"/>
        <v>0.5</v>
      </c>
      <c r="R162" s="176">
        <f t="shared" si="52"/>
        <v>0.54540705878666418</v>
      </c>
      <c r="S162" s="814">
        <f t="shared" si="53"/>
        <v>0</v>
      </c>
      <c r="T162" s="175">
        <f t="shared" si="54"/>
        <v>6</v>
      </c>
      <c r="U162" s="250">
        <f t="shared" si="55"/>
        <v>0.54540705878666418</v>
      </c>
      <c r="V162" s="382">
        <f t="shared" si="56"/>
        <v>58.489747202460634</v>
      </c>
      <c r="W162" s="401"/>
      <c r="X162" s="157">
        <f t="shared" si="57"/>
        <v>44344</v>
      </c>
      <c r="Y162" s="384">
        <f t="shared" si="58"/>
        <v>39.339266382207121</v>
      </c>
      <c r="Z162" s="384">
        <f t="shared" si="59"/>
        <v>40.293285200578879</v>
      </c>
      <c r="AA162" s="385">
        <f t="shared" si="60"/>
        <v>42.400888906228865</v>
      </c>
      <c r="AB162" s="196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4.9706592479960184E-2</v>
      </c>
      <c r="AD162" s="230">
        <f>(INDEX(Models!$BJ162:$BT162,,AH162)*(1-AF162)+INDEX(Models!$BJ162:$BT162,,AH162+1)*AF162-ERP_i)*AE162*Ramure*Pc/MaxiM</f>
        <v>3.107338048162489E-4</v>
      </c>
      <c r="AE162" s="304">
        <f t="shared" si="62"/>
        <v>0.5</v>
      </c>
      <c r="AF162" s="176">
        <f t="shared" si="63"/>
        <v>0.54540705878666418</v>
      </c>
      <c r="AG162" s="814">
        <f t="shared" si="71"/>
        <v>0</v>
      </c>
      <c r="AH162" s="175">
        <f t="shared" si="64"/>
        <v>6</v>
      </c>
      <c r="AI162" s="224">
        <f t="shared" si="65"/>
        <v>0.54540705878666418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16">
        <v>35.959000000000003</v>
      </c>
      <c r="C163" s="389"/>
      <c r="D163" s="392">
        <f t="shared" si="48"/>
        <v>36.831850495394079</v>
      </c>
      <c r="E163" s="384">
        <f t="shared" si="69"/>
        <v>37.157162334558464</v>
      </c>
      <c r="F163" s="384">
        <f t="shared" si="49"/>
        <v>37.162522184098599</v>
      </c>
      <c r="G163" s="110">
        <f t="shared" si="70"/>
        <v>0.61499549018215793</v>
      </c>
      <c r="H163" s="413" t="b">
        <f>Wh_hp&gt;='2020'!Maxi_hp</f>
        <v>0</v>
      </c>
      <c r="I163" s="379">
        <f>IF(H163,Wh_hp,'2020'!Maxi_hp)</f>
        <v>59.391392288478862</v>
      </c>
      <c r="J163" s="85">
        <f>IF(H163,An,'2020'!An_max)</f>
        <v>2020</v>
      </c>
      <c r="K163" s="196">
        <f t="shared" si="50"/>
        <v>44345</v>
      </c>
      <c r="L163" s="147">
        <f>IF(t&lt;Tvie,1-EXP((T0-t)*PertePVj)+'2020'!Pspv,1-EXP((T0-t)*PertePVj)+Pspv)</f>
        <v>2.3698252562771138E-2</v>
      </c>
      <c r="M163" s="847"/>
      <c r="N163" s="847"/>
      <c r="O163" s="48">
        <f>IF(t&lt;Tnet,'2020'!Resal+('2020'!Salim-'2020'!Resal)*(1-EXP(('2020'!Tnet-t)/('2020'!Tau_j))),Resal+(Salim-Resal)*(1-EXP((Tnet-t)/(Tau_j))))*Salcycl</f>
        <v>8.7550237619147923E-3</v>
      </c>
      <c r="P163" s="168">
        <f>(INDEX(Models!$BJ163:$BT163,,T163)*(1-R163)+INDEX(Models!$BJ163:$BT163,,T163+1)*R163-ERP_i)*Q163*Ramure*Pc/MaxiM</f>
        <v>3.2039941909811756E-4</v>
      </c>
      <c r="Q163" s="304">
        <f t="shared" si="51"/>
        <v>0.5</v>
      </c>
      <c r="R163" s="176">
        <f t="shared" si="52"/>
        <v>0.54829942768539741</v>
      </c>
      <c r="S163" s="814">
        <f t="shared" si="53"/>
        <v>0</v>
      </c>
      <c r="T163" s="175">
        <f t="shared" si="54"/>
        <v>6</v>
      </c>
      <c r="U163" s="250">
        <f t="shared" si="55"/>
        <v>0.54829942768539741</v>
      </c>
      <c r="V163" s="382">
        <f t="shared" si="56"/>
        <v>58.460045132427545</v>
      </c>
      <c r="W163" s="401"/>
      <c r="X163" s="157">
        <f t="shared" si="57"/>
        <v>44345</v>
      </c>
      <c r="Y163" s="384">
        <f t="shared" si="58"/>
        <v>34.470920428325627</v>
      </c>
      <c r="Z163" s="384">
        <f t="shared" si="59"/>
        <v>35.307650036283405</v>
      </c>
      <c r="AA163" s="385">
        <f t="shared" si="60"/>
        <v>37.157162334558464</v>
      </c>
      <c r="AB163" s="196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4.9775391393516034E-2</v>
      </c>
      <c r="AD163" s="230">
        <f>(INDEX(Models!$BJ163:$BT163,,AH163)*(1-AF163)+INDEX(Models!$BJ163:$BT163,,AH163+1)*AF163-ERP_i)*AE163*Ramure*Pc/MaxiM</f>
        <v>3.2039941909811756E-4</v>
      </c>
      <c r="AE163" s="304">
        <f t="shared" si="62"/>
        <v>0.5</v>
      </c>
      <c r="AF163" s="176">
        <f t="shared" si="63"/>
        <v>0.54829942768539741</v>
      </c>
      <c r="AG163" s="814">
        <f t="shared" si="71"/>
        <v>0</v>
      </c>
      <c r="AH163" s="175">
        <f t="shared" si="64"/>
        <v>6</v>
      </c>
      <c r="AI163" s="224">
        <f t="shared" si="65"/>
        <v>0.54829942768539741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16">
        <v>49.366</v>
      </c>
      <c r="C164" s="389"/>
      <c r="D164" s="392">
        <f t="shared" si="48"/>
        <v>50.56539271323085</v>
      </c>
      <c r="E164" s="384">
        <f t="shared" si="69"/>
        <v>51.016308820517878</v>
      </c>
      <c r="F164" s="384">
        <f t="shared" si="49"/>
        <v>51.029418260417032</v>
      </c>
      <c r="G164" s="110">
        <f t="shared" si="70"/>
        <v>0.84487198772472916</v>
      </c>
      <c r="H164" s="413" t="b">
        <f>Wh_hp&gt;='2020'!Maxi_hp</f>
        <v>0</v>
      </c>
      <c r="I164" s="379">
        <f>IF(H164,Wh_hp,'2020'!Maxi_hp)</f>
        <v>59.235447555070827</v>
      </c>
      <c r="J164" s="85">
        <f>IF(H164,An,'2020'!An_max)</f>
        <v>2019</v>
      </c>
      <c r="K164" s="196">
        <f t="shared" si="50"/>
        <v>44346</v>
      </c>
      <c r="L164" s="147">
        <f>IF(t&lt;Tvie,1-EXP((T0-t)*PertePVj)+'2020'!Pspv,1-EXP((T0-t)*PertePVj)+Pspv)</f>
        <v>2.3719636076652395E-2</v>
      </c>
      <c r="M164" s="847"/>
      <c r="N164" s="847"/>
      <c r="O164" s="48">
        <f>IF(t&lt;Tnet,'2020'!Resal+('2020'!Salim-'2020'!Resal)*(1-EXP(('2020'!Tnet-t)/('2020'!Tau_j))),Resal+(Salim-Resal)*(1-EXP((Tnet-t)/(Tau_j))))*Salcycl</f>
        <v>8.8386658641536314E-3</v>
      </c>
      <c r="P164" s="168">
        <f>(INDEX(Models!$BJ164:$BT164,,T164)*(1-R164)+INDEX(Models!$BJ164:$BT164,,T164+1)*R164-ERP_i)*Q164*Ramure*Pc/MaxiM</f>
        <v>3.3000296074834072E-4</v>
      </c>
      <c r="Q164" s="304">
        <f t="shared" si="51"/>
        <v>0.5</v>
      </c>
      <c r="R164" s="176">
        <f t="shared" si="52"/>
        <v>0.55122066504944989</v>
      </c>
      <c r="S164" s="814">
        <f t="shared" si="53"/>
        <v>0</v>
      </c>
      <c r="T164" s="175">
        <f t="shared" si="54"/>
        <v>6</v>
      </c>
      <c r="U164" s="250">
        <f t="shared" si="55"/>
        <v>0.55122066504944989</v>
      </c>
      <c r="V164" s="382">
        <f t="shared" si="56"/>
        <v>58.425881047086875</v>
      </c>
      <c r="W164" s="401"/>
      <c r="X164" s="157">
        <f t="shared" si="57"/>
        <v>44346</v>
      </c>
      <c r="Y164" s="384">
        <f t="shared" si="58"/>
        <v>47.32367833934692</v>
      </c>
      <c r="Z164" s="384">
        <f t="shared" si="59"/>
        <v>48.473450955388188</v>
      </c>
      <c r="AA164" s="385">
        <f t="shared" si="60"/>
        <v>51.016308820517878</v>
      </c>
      <c r="AB164" s="196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4.984401897980905E-2</v>
      </c>
      <c r="AD164" s="230">
        <f>(INDEX(Models!$BJ164:$BT164,,AH164)*(1-AF164)+INDEX(Models!$BJ164:$BT164,,AH164+1)*AF164-ERP_i)*AE164*Ramure*Pc/MaxiM</f>
        <v>3.3000296074834072E-4</v>
      </c>
      <c r="AE164" s="304">
        <f t="shared" si="62"/>
        <v>0.5</v>
      </c>
      <c r="AF164" s="176">
        <f t="shared" si="63"/>
        <v>0.55122066504944989</v>
      </c>
      <c r="AG164" s="814">
        <f t="shared" si="71"/>
        <v>0</v>
      </c>
      <c r="AH164" s="175">
        <f t="shared" si="64"/>
        <v>6</v>
      </c>
      <c r="AI164" s="224">
        <f t="shared" si="65"/>
        <v>0.55122066504944989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16">
        <v>55.073</v>
      </c>
      <c r="C165" s="389"/>
      <c r="D165" s="392">
        <f t="shared" si="48"/>
        <v>56.412285140240307</v>
      </c>
      <c r="E165" s="384">
        <f t="shared" si="69"/>
        <v>56.92014331316134</v>
      </c>
      <c r="F165" s="384">
        <f t="shared" si="49"/>
        <v>56.937908755499997</v>
      </c>
      <c r="G165" s="110">
        <f t="shared" si="70"/>
        <v>0.94320389109768599</v>
      </c>
      <c r="H165" s="413" t="b">
        <f>Wh_hp&gt;='2020'!Maxi_hp</f>
        <v>0</v>
      </c>
      <c r="I165" s="379">
        <f>IF(H165,Wh_hp,'2020'!Maxi_hp)</f>
        <v>60.201047487090179</v>
      </c>
      <c r="J165" s="85">
        <f>IF(H165,An,'2020'!An_max)</f>
        <v>2019</v>
      </c>
      <c r="K165" s="196">
        <f t="shared" si="50"/>
        <v>44347</v>
      </c>
      <c r="L165" s="147">
        <f>IF(t&lt;Tvie,1-EXP((T0-t)*PertePVj)+'2020'!Pspv,1-EXP((T0-t)*PertePVj)+Pspv)</f>
        <v>2.3741019122179852E-2</v>
      </c>
      <c r="M165" s="847"/>
      <c r="N165" s="847"/>
      <c r="O165" s="48">
        <f>IF(t&lt;Tnet,'2020'!Resal+('2020'!Salim-'2020'!Resal)*(1-EXP(('2020'!Tnet-t)/('2020'!Tau_j))),Resal+(Salim-Resal)*(1-EXP((Tnet-t)/(Tau_j))))*Salcycl</f>
        <v>8.922292590285999E-3</v>
      </c>
      <c r="P165" s="168">
        <f>(INDEX(Models!$BJ165:$BT165,,T165)*(1-R165)+INDEX(Models!$BJ165:$BT165,,T165+1)*R165-ERP_i)*Q165*Ramure*Pc/MaxiM</f>
        <v>3.3955204239079348E-4</v>
      </c>
      <c r="Q165" s="304">
        <f t="shared" si="51"/>
        <v>0.5</v>
      </c>
      <c r="R165" s="176">
        <f t="shared" si="52"/>
        <v>0.55416870297922594</v>
      </c>
      <c r="S165" s="814">
        <f t="shared" si="53"/>
        <v>0</v>
      </c>
      <c r="T165" s="175">
        <f t="shared" si="54"/>
        <v>6</v>
      </c>
      <c r="U165" s="250">
        <f t="shared" si="55"/>
        <v>0.55416870297922594</v>
      </c>
      <c r="V165" s="382">
        <f t="shared" si="56"/>
        <v>58.387675730486293</v>
      </c>
      <c r="W165" s="401"/>
      <c r="X165" s="157">
        <f t="shared" si="57"/>
        <v>44347</v>
      </c>
      <c r="Y165" s="384">
        <f t="shared" si="58"/>
        <v>52.79522708261262</v>
      </c>
      <c r="Z165" s="384">
        <f t="shared" si="59"/>
        <v>54.079120516915374</v>
      </c>
      <c r="AA165" s="385">
        <f t="shared" si="60"/>
        <v>56.92014331316134</v>
      </c>
      <c r="AB165" s="196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4.991243224064501E-2</v>
      </c>
      <c r="AD165" s="230">
        <f>(INDEX(Models!$BJ165:$BT165,,AH165)*(1-AF165)+INDEX(Models!$BJ165:$BT165,,AH165+1)*AF165-ERP_i)*AE165*Ramure*Pc/MaxiM</f>
        <v>3.3955204239079348E-4</v>
      </c>
      <c r="AE165" s="304">
        <f t="shared" si="62"/>
        <v>0.5</v>
      </c>
      <c r="AF165" s="176">
        <f t="shared" si="63"/>
        <v>0.55416870297922594</v>
      </c>
      <c r="AG165" s="814">
        <f t="shared" si="71"/>
        <v>0</v>
      </c>
      <c r="AH165" s="175">
        <f t="shared" si="64"/>
        <v>6</v>
      </c>
      <c r="AI165" s="224">
        <f t="shared" si="65"/>
        <v>0.55416870297922594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44348</v>
      </c>
      <c r="B166" s="616">
        <v>34.133000000000003</v>
      </c>
      <c r="C166" s="389"/>
      <c r="D166" s="392">
        <f t="shared" si="48"/>
        <v>34.963824441320696</v>
      </c>
      <c r="E166" s="384">
        <f t="shared" si="69"/>
        <v>35.28156653123191</v>
      </c>
      <c r="F166" s="384">
        <f t="shared" si="49"/>
        <v>35.286581241073783</v>
      </c>
      <c r="G166" s="110">
        <f t="shared" si="70"/>
        <v>0.58489053849109307</v>
      </c>
      <c r="H166" s="413" t="b">
        <f>Wh_hp&gt;='2020'!Maxi_hp</f>
        <v>0</v>
      </c>
      <c r="I166" s="379">
        <f>IF(H166,Wh_hp,'2020'!Maxi_hp)</f>
        <v>61.029409506694016</v>
      </c>
      <c r="J166" s="85">
        <f>IF(H166,An,'2020'!An_max)</f>
        <v>2019</v>
      </c>
      <c r="K166" s="196">
        <f t="shared" si="50"/>
        <v>44348</v>
      </c>
      <c r="L166" s="147">
        <f>IF(t&lt;Tvie,1-EXP((T0-t)*PertePVj)+'2020'!Pspv,1-EXP((T0-t)*PertePVj)+Pspv)</f>
        <v>2.3762401699363722E-2</v>
      </c>
      <c r="M166" s="847"/>
      <c r="N166" s="847"/>
      <c r="O166" s="48">
        <f>IF(t&lt;Tnet,'2020'!Resal+('2020'!Salim-'2020'!Resal)*(1-EXP(('2020'!Tnet-t)/('2020'!Tau_j))),Resal+(Salim-Resal)*(1-EXP((Tnet-t)/(Tau_j))))*Salcycl</f>
        <v>9.0058951784337607E-3</v>
      </c>
      <c r="P166" s="168">
        <f>(INDEX(Models!$BJ166:$BT166,,T166)*(1-R166)+INDEX(Models!$BJ166:$BT166,,T166+1)*R166-ERP_i)*Q166*Ramure*Pc/MaxiM</f>
        <v>3.4903720062359262E-4</v>
      </c>
      <c r="Q166" s="304">
        <f t="shared" si="51"/>
        <v>0.5</v>
      </c>
      <c r="R166" s="176">
        <f t="shared" si="52"/>
        <v>0.55714138982547534</v>
      </c>
      <c r="S166" s="814">
        <f t="shared" si="53"/>
        <v>0</v>
      </c>
      <c r="T166" s="175">
        <f t="shared" si="54"/>
        <v>6</v>
      </c>
      <c r="U166" s="250">
        <f t="shared" si="55"/>
        <v>0.55714138982547534</v>
      </c>
      <c r="V166" s="382">
        <f t="shared" si="56"/>
        <v>58.345850776501159</v>
      </c>
      <c r="W166" s="401"/>
      <c r="X166" s="157">
        <f t="shared" si="57"/>
        <v>44348</v>
      </c>
      <c r="Y166" s="384">
        <f t="shared" si="58"/>
        <v>32.721700785806938</v>
      </c>
      <c r="Z166" s="384">
        <f t="shared" si="59"/>
        <v>33.51817307873258</v>
      </c>
      <c r="AA166" s="385">
        <f t="shared" si="60"/>
        <v>35.28156653123191</v>
      </c>
      <c r="AB166" s="196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4.9980588331823103E-2</v>
      </c>
      <c r="AD166" s="230">
        <f>(INDEX(Models!$BJ166:$BT166,,AH166)*(1-AF166)+INDEX(Models!$BJ166:$BT166,,AH166+1)*AF166-ERP_i)*AE166*Ramure*Pc/MaxiM</f>
        <v>3.4903720062359262E-4</v>
      </c>
      <c r="AE166" s="304">
        <f t="shared" si="62"/>
        <v>0.5</v>
      </c>
      <c r="AF166" s="176">
        <f t="shared" si="63"/>
        <v>0.55714138982547534</v>
      </c>
      <c r="AG166" s="814">
        <f t="shared" si="71"/>
        <v>0</v>
      </c>
      <c r="AH166" s="175">
        <f t="shared" si="64"/>
        <v>6</v>
      </c>
      <c r="AI166" s="224">
        <f t="shared" si="65"/>
        <v>0.55714138982547534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44349</v>
      </c>
      <c r="B167" s="616">
        <v>36.346000000000004</v>
      </c>
      <c r="C167" s="389"/>
      <c r="D167" s="392">
        <f t="shared" si="48"/>
        <v>37.231506091740165</v>
      </c>
      <c r="E167" s="384">
        <f t="shared" si="69"/>
        <v>37.573024773500947</v>
      </c>
      <c r="F167" s="384">
        <f t="shared" si="49"/>
        <v>37.579248433018897</v>
      </c>
      <c r="G167" s="110">
        <f t="shared" si="70"/>
        <v>0.6233014447614319</v>
      </c>
      <c r="H167" s="413" t="b">
        <f>Wh_hp&gt;='2020'!Maxi_hp</f>
        <v>0</v>
      </c>
      <c r="I167" s="379">
        <f>IF(H167,Wh_hp,'2020'!Maxi_hp)</f>
        <v>60.469553797129123</v>
      </c>
      <c r="J167" s="85">
        <f>IF(H167,An,'2020'!An_max)</f>
        <v>2019</v>
      </c>
      <c r="K167" s="196">
        <f t="shared" si="50"/>
        <v>44349</v>
      </c>
      <c r="L167" s="147">
        <f>IF(t&lt;Tvie,1-EXP((T0-t)*PertePVj)+'2020'!Pspv,1-EXP((T0-t)*PertePVj)+Pspv)</f>
        <v>2.3783783808214221E-2</v>
      </c>
      <c r="M167" s="847"/>
      <c r="N167" s="847"/>
      <c r="O167" s="48">
        <f>IF(t&lt;Tnet,'2020'!Resal+('2020'!Salim-'2020'!Resal)*(1-EXP(('2020'!Tnet-t)/('2020'!Tau_j))),Resal+(Salim-Resal)*(1-EXP((Tnet-t)/(Tau_j))))*Salcycl</f>
        <v>9.0894646842924753E-3</v>
      </c>
      <c r="P167" s="168">
        <f>(INDEX(Models!$BJ167:$BT167,,T167)*(1-R167)+INDEX(Models!$BJ167:$BT167,,T167+1)*R167-ERP_i)*Q167*Ramure*Pc/MaxiM</f>
        <v>3.5844839845016314E-4</v>
      </c>
      <c r="Q167" s="304">
        <f t="shared" si="51"/>
        <v>0.5</v>
      </c>
      <c r="R167" s="176">
        <f t="shared" si="52"/>
        <v>0.56013649587412284</v>
      </c>
      <c r="S167" s="814">
        <f t="shared" si="53"/>
        <v>0</v>
      </c>
      <c r="T167" s="175">
        <f t="shared" si="54"/>
        <v>6</v>
      </c>
      <c r="U167" s="250">
        <f t="shared" si="55"/>
        <v>0.56013649587412284</v>
      </c>
      <c r="V167" s="382">
        <f t="shared" si="56"/>
        <v>58.300827625172005</v>
      </c>
      <c r="W167" s="401"/>
      <c r="X167" s="157">
        <f t="shared" si="57"/>
        <v>44349</v>
      </c>
      <c r="Y167" s="384">
        <f t="shared" si="58"/>
        <v>34.843649348354049</v>
      </c>
      <c r="Z167" s="384">
        <f t="shared" si="59"/>
        <v>35.692553320082041</v>
      </c>
      <c r="AA167" s="385">
        <f t="shared" si="60"/>
        <v>37.573024773500947</v>
      </c>
      <c r="AB167" s="196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5.0048444722106698E-2</v>
      </c>
      <c r="AD167" s="230">
        <f>(INDEX(Models!$BJ167:$BT167,,AH167)*(1-AF167)+INDEX(Models!$BJ167:$BT167,,AH167+1)*AF167-ERP_i)*AE167*Ramure*Pc/MaxiM</f>
        <v>3.5844839845016314E-4</v>
      </c>
      <c r="AE167" s="304">
        <f t="shared" si="62"/>
        <v>0.5</v>
      </c>
      <c r="AF167" s="176">
        <f t="shared" si="63"/>
        <v>0.56013649587412284</v>
      </c>
      <c r="AG167" s="814">
        <f t="shared" si="71"/>
        <v>0</v>
      </c>
      <c r="AH167" s="175">
        <f t="shared" si="64"/>
        <v>6</v>
      </c>
      <c r="AI167" s="224">
        <f t="shared" si="65"/>
        <v>0.56013649587412284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44350</v>
      </c>
      <c r="B168" s="616">
        <v>48.703000000000003</v>
      </c>
      <c r="C168" s="389"/>
      <c r="D168" s="392">
        <f t="shared" si="48"/>
        <v>49.890655303854395</v>
      </c>
      <c r="E168" s="384">
        <f t="shared" si="69"/>
        <v>50.352538739607155</v>
      </c>
      <c r="F168" s="384">
        <f t="shared" si="49"/>
        <v>50.366724119434203</v>
      </c>
      <c r="G168" s="110">
        <f t="shared" si="70"/>
        <v>0.83598751713099673</v>
      </c>
      <c r="H168" s="413" t="b">
        <f>Wh_hp&gt;='2020'!Maxi_hp</f>
        <v>0</v>
      </c>
      <c r="I168" s="379">
        <f>IF(H168,Wh_hp,'2020'!Maxi_hp)</f>
        <v>57.408695514870161</v>
      </c>
      <c r="J168" s="85">
        <f>IF(H168,An,'2020'!An_max)</f>
        <v>2020</v>
      </c>
      <c r="K168" s="196">
        <f t="shared" si="50"/>
        <v>44350</v>
      </c>
      <c r="L168" s="147">
        <f>IF(t&lt;Tvie,1-EXP((T0-t)*PertePVj)+'2020'!Pspv,1-EXP((T0-t)*PertePVj)+Pspv)</f>
        <v>2.3805165448741672E-2</v>
      </c>
      <c r="M168" s="847"/>
      <c r="N168" s="847"/>
      <c r="O168" s="48">
        <f>IF(t&lt;Tnet,'2020'!Resal+('2020'!Salim-'2020'!Resal)*(1-EXP(('2020'!Tnet-t)/('2020'!Tau_j))),Resal+(Salim-Resal)*(1-EXP((Tnet-t)/(Tau_j))))*Salcycl</f>
        <v>9.1729920141930162E-3</v>
      </c>
      <c r="P168" s="168">
        <f>(INDEX(Models!$BJ168:$BT168,,T168)*(1-R168)+INDEX(Models!$BJ168:$BT168,,T168+1)*R168-ERP_i)*Q168*Ramure*Pc/MaxiM</f>
        <v>3.6777505287411116E-4</v>
      </c>
      <c r="Q168" s="304">
        <f t="shared" si="51"/>
        <v>0.5</v>
      </c>
      <c r="R168" s="176">
        <f t="shared" si="52"/>
        <v>0.56315171954348597</v>
      </c>
      <c r="S168" s="814">
        <f t="shared" si="53"/>
        <v>0</v>
      </c>
      <c r="T168" s="175">
        <f t="shared" si="54"/>
        <v>6</v>
      </c>
      <c r="U168" s="250">
        <f t="shared" si="55"/>
        <v>0.56315171954348597</v>
      </c>
      <c r="V168" s="382">
        <f t="shared" si="56"/>
        <v>58.253027559945018</v>
      </c>
      <c r="W168" s="401"/>
      <c r="X168" s="157">
        <f t="shared" si="57"/>
        <v>44350</v>
      </c>
      <c r="Y168" s="384">
        <f t="shared" si="58"/>
        <v>46.690493959825645</v>
      </c>
      <c r="Z168" s="384">
        <f t="shared" si="59"/>
        <v>47.829072954773977</v>
      </c>
      <c r="AA168" s="385">
        <f t="shared" si="60"/>
        <v>50.352538739607155</v>
      </c>
      <c r="AB168" s="196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5.0115959353768037E-2</v>
      </c>
      <c r="AD168" s="230">
        <f>(INDEX(Models!$BJ168:$BT168,,AH168)*(1-AF168)+INDEX(Models!$BJ168:$BT168,,AH168+1)*AF168-ERP_i)*AE168*Ramure*Pc/MaxiM</f>
        <v>3.6777505287411116E-4</v>
      </c>
      <c r="AE168" s="304">
        <f t="shared" si="62"/>
        <v>0.5</v>
      </c>
      <c r="AF168" s="176">
        <f t="shared" si="63"/>
        <v>0.56315171954348597</v>
      </c>
      <c r="AG168" s="814">
        <f t="shared" si="71"/>
        <v>0</v>
      </c>
      <c r="AH168" s="175">
        <f t="shared" si="64"/>
        <v>6</v>
      </c>
      <c r="AI168" s="224">
        <f t="shared" si="65"/>
        <v>0.56315171954348597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44351</v>
      </c>
      <c r="B169" s="616">
        <v>9.8109999999999999</v>
      </c>
      <c r="C169" s="389"/>
      <c r="D169" s="392">
        <f t="shared" si="48"/>
        <v>10.050467943006472</v>
      </c>
      <c r="E169" s="384">
        <f t="shared" si="69"/>
        <v>10.144368969341619</v>
      </c>
      <c r="F169" s="384">
        <f t="shared" si="49"/>
        <v>10.144368969341619</v>
      </c>
      <c r="G169" s="110">
        <f t="shared" si="70"/>
        <v>0.16850201557695374</v>
      </c>
      <c r="H169" s="413" t="b">
        <f>Wh_hp&gt;='2020'!Maxi_hp</f>
        <v>0</v>
      </c>
      <c r="I169" s="379">
        <f>IF(H169,Wh_hp,'2020'!Maxi_hp)</f>
        <v>56.649023658356676</v>
      </c>
      <c r="J169" s="85">
        <f>IF(H169,An,'2020'!An_max)</f>
        <v>2019</v>
      </c>
      <c r="K169" s="196">
        <f t="shared" si="50"/>
        <v>44351</v>
      </c>
      <c r="L169" s="147">
        <f>IF(t&lt;Tvie,1-EXP((T0-t)*PertePVj)+'2020'!Pspv,1-EXP((T0-t)*PertePVj)+Pspv)</f>
        <v>2.3826546620956401E-2</v>
      </c>
      <c r="M169" s="847"/>
      <c r="N169" s="847"/>
      <c r="O169" s="48">
        <f>IF(t&lt;Tnet,'2020'!Resal+('2020'!Salim-'2020'!Resal)*(1-EXP(('2020'!Tnet-t)/('2020'!Tau_j))),Resal+(Salim-Resal)*(1-EXP((Tnet-t)/(Tau_j))))*Salcycl</f>
        <v>9.2564679596073545E-3</v>
      </c>
      <c r="P169" s="168">
        <f>(INDEX(Models!$BJ169:$BT169,,T169)*(1-R169)+INDEX(Models!$BJ169:$BT169,,T169+1)*R169-ERP_i)*Q169*Ramure*Pc/MaxiM</f>
        <v>3.7700606569430708E-4</v>
      </c>
      <c r="Q169" s="304">
        <f t="shared" si="51"/>
        <v>0.5</v>
      </c>
      <c r="R169" s="176">
        <f t="shared" si="52"/>
        <v>0.5661846940612818</v>
      </c>
      <c r="S169" s="814">
        <f t="shared" si="53"/>
        <v>0</v>
      </c>
      <c r="T169" s="175">
        <f t="shared" si="54"/>
        <v>6</v>
      </c>
      <c r="U169" s="250">
        <f t="shared" si="55"/>
        <v>0.5661846940612818</v>
      </c>
      <c r="V169" s="382">
        <f t="shared" si="56"/>
        <v>58.202871698057201</v>
      </c>
      <c r="W169" s="401"/>
      <c r="X169" s="157">
        <f t="shared" si="57"/>
        <v>44351</v>
      </c>
      <c r="Y169" s="384">
        <f t="shared" si="58"/>
        <v>9.4057174180421779</v>
      </c>
      <c r="Z169" s="384">
        <f t="shared" si="59"/>
        <v>9.635293180206963</v>
      </c>
      <c r="AA169" s="385">
        <f t="shared" si="60"/>
        <v>10.144368969341619</v>
      </c>
      <c r="AB169" s="196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5.0183090803694853E-2</v>
      </c>
      <c r="AD169" s="230">
        <f>(INDEX(Models!$BJ169:$BT169,,AH169)*(1-AF169)+INDEX(Models!$BJ169:$BT169,,AH169+1)*AF169-ERP_i)*AE169*Ramure*Pc/MaxiM</f>
        <v>3.7700606569430708E-4</v>
      </c>
      <c r="AE169" s="304">
        <f t="shared" si="62"/>
        <v>0.5</v>
      </c>
      <c r="AF169" s="176">
        <f t="shared" si="63"/>
        <v>0.5661846940612818</v>
      </c>
      <c r="AG169" s="814">
        <f t="shared" si="71"/>
        <v>0</v>
      </c>
      <c r="AH169" s="175">
        <f t="shared" si="64"/>
        <v>6</v>
      </c>
      <c r="AI169" s="224">
        <f t="shared" si="65"/>
        <v>0.5661846940612818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44352</v>
      </c>
      <c r="B170" s="616">
        <v>42.177</v>
      </c>
      <c r="C170" s="389"/>
      <c r="D170" s="392">
        <f t="shared" si="48"/>
        <v>43.207407104524712</v>
      </c>
      <c r="E170" s="384">
        <f t="shared" ref="E170:E232" si="72">Wh_pvt/(1-Psa)</f>
        <v>43.614763906643226</v>
      </c>
      <c r="F170" s="384">
        <f t="shared" si="49"/>
        <v>43.624994616930465</v>
      </c>
      <c r="G170" s="110">
        <f t="shared" ref="G170:G232" si="73">+Wh_hp/MaxiM</f>
        <v>0.72519410943303286</v>
      </c>
      <c r="H170" s="413" t="b">
        <f>Wh_hp&gt;='2020'!Maxi_hp</f>
        <v>1</v>
      </c>
      <c r="I170" s="379">
        <f>IF(H170,Wh_hp,'2020'!Maxi_hp)</f>
        <v>43.624994616930465</v>
      </c>
      <c r="J170" s="85">
        <f>IF(H170,An,'2020'!An_max)</f>
        <v>2021</v>
      </c>
      <c r="K170" s="196">
        <f t="shared" si="50"/>
        <v>44352</v>
      </c>
      <c r="L170" s="147">
        <f>IF(t&lt;Tvie,1-EXP((T0-t)*PertePVj)+'2020'!Pspv,1-EXP((T0-t)*PertePVj)+Pspv)</f>
        <v>2.3847927324868512E-2</v>
      </c>
      <c r="M170" s="847"/>
      <c r="N170" s="847"/>
      <c r="O170" s="48">
        <f>IF(t&lt;Tnet,'2020'!Resal+('2020'!Salim-'2020'!Resal)*(1-EXP(('2020'!Tnet-t)/('2020'!Tau_j))),Resal+(Salim-Resal)*(1-EXP((Tnet-t)/(Tau_j))))*Salcycl</f>
        <v>9.3398832328991325E-3</v>
      </c>
      <c r="P170" s="168">
        <f>(INDEX(Models!$BJ170:$BT170,,T170)*(1-R170)+INDEX(Models!$BJ170:$BT170,,T170+1)*R170-ERP_i)*Q170*Ramure*Pc/MaxiM</f>
        <v>3.8598371055808937E-4</v>
      </c>
      <c r="Q170" s="304">
        <f t="shared" si="51"/>
        <v>0.5</v>
      </c>
      <c r="R170" s="176">
        <f t="shared" si="52"/>
        <v>0.56923299458344501</v>
      </c>
      <c r="S170" s="814">
        <f t="shared" si="53"/>
        <v>0</v>
      </c>
      <c r="T170" s="175">
        <f t="shared" si="54"/>
        <v>6</v>
      </c>
      <c r="U170" s="250">
        <f t="shared" si="55"/>
        <v>0.56923299458344501</v>
      </c>
      <c r="V170" s="382">
        <f t="shared" si="56"/>
        <v>58.150789494782067</v>
      </c>
      <c r="W170" s="401"/>
      <c r="X170" s="157">
        <f t="shared" si="57"/>
        <v>44352</v>
      </c>
      <c r="Y170" s="384">
        <f t="shared" si="58"/>
        <v>40.435274997998128</v>
      </c>
      <c r="Z170" s="384">
        <f t="shared" si="59"/>
        <v>41.423130811150976</v>
      </c>
      <c r="AA170" s="385">
        <f t="shared" si="60"/>
        <v>43.614763906643226</v>
      </c>
      <c r="AB170" s="196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5.024979844401796E-2</v>
      </c>
      <c r="AD170" s="230">
        <f>(INDEX(Models!$BJ170:$BT170,,AH170)*(1-AF170)+INDEX(Models!$BJ170:$BT170,,AH170+1)*AF170-ERP_i)*AE170*Ramure*Pc/MaxiM</f>
        <v>3.8598371055808937E-4</v>
      </c>
      <c r="AE170" s="304">
        <f t="shared" si="62"/>
        <v>0.5</v>
      </c>
      <c r="AF170" s="176">
        <f t="shared" si="63"/>
        <v>0.56923299458344501</v>
      </c>
      <c r="AG170" s="814">
        <f t="shared" si="71"/>
        <v>0</v>
      </c>
      <c r="AH170" s="175">
        <f t="shared" si="64"/>
        <v>6</v>
      </c>
      <c r="AI170" s="224">
        <f t="shared" si="65"/>
        <v>0.56923299458344501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44353</v>
      </c>
      <c r="B171" s="616">
        <v>44.408999999999999</v>
      </c>
      <c r="C171" s="389"/>
      <c r="D171" s="392">
        <f t="shared" si="48"/>
        <v>45.494932537173462</v>
      </c>
      <c r="E171" s="384">
        <f t="shared" si="72"/>
        <v>45.92771993681054</v>
      </c>
      <c r="F171" s="384">
        <f t="shared" si="49"/>
        <v>45.939751690279834</v>
      </c>
      <c r="G171" s="110">
        <f t="shared" si="73"/>
        <v>0.76428984429488334</v>
      </c>
      <c r="H171" s="413" t="b">
        <f>Wh_hp&gt;='2020'!Maxi_hp</f>
        <v>0</v>
      </c>
      <c r="I171" s="379">
        <f>IF(H171,Wh_hp,'2020'!Maxi_hp)</f>
        <v>58.308075737012821</v>
      </c>
      <c r="J171" s="85">
        <f>IF(H171,An,'2020'!An_max)</f>
        <v>2019</v>
      </c>
      <c r="K171" s="196">
        <f t="shared" si="50"/>
        <v>44353</v>
      </c>
      <c r="L171" s="147">
        <f>IF(t&lt;Tvie,1-EXP((T0-t)*PertePVj)+'2020'!Pspv,1-EXP((T0-t)*PertePVj)+Pspv)</f>
        <v>2.3869307560488329E-2</v>
      </c>
      <c r="M171" s="847"/>
      <c r="N171" s="847"/>
      <c r="O171" s="48">
        <f>IF(t&lt;Tnet,'2020'!Resal+('2020'!Salim-'2020'!Resal)*(1-EXP(('2020'!Tnet-t)/('2020'!Tau_j))),Resal+(Salim-Resal)*(1-EXP((Tnet-t)/(Tau_j))))*Salcycl</f>
        <v>9.4232285041044566E-3</v>
      </c>
      <c r="P171" s="168">
        <f>(INDEX(Models!$BJ171:$BT171,,T171)*(1-R171)+INDEX(Models!$BJ171:$BT171,,T171+1)*R171-ERP_i)*Q171*Ramure*Pc/MaxiM</f>
        <v>3.9477906579685884E-4</v>
      </c>
      <c r="Q171" s="304">
        <f t="shared" si="51"/>
        <v>0.5</v>
      </c>
      <c r="R171" s="176">
        <f t="shared" si="52"/>
        <v>0.57229414571172899</v>
      </c>
      <c r="S171" s="814">
        <f t="shared" si="53"/>
        <v>0</v>
      </c>
      <c r="T171" s="175">
        <f t="shared" si="54"/>
        <v>6</v>
      </c>
      <c r="U171" s="250">
        <f t="shared" si="55"/>
        <v>0.57229414571172899</v>
      </c>
      <c r="V171" s="382">
        <f t="shared" si="56"/>
        <v>58.097196877909205</v>
      </c>
      <c r="W171" s="401"/>
      <c r="X171" s="157">
        <f t="shared" si="57"/>
        <v>44353</v>
      </c>
      <c r="Y171" s="384">
        <f t="shared" si="58"/>
        <v>42.575715560576391</v>
      </c>
      <c r="Z171" s="384">
        <f t="shared" si="59"/>
        <v>43.616818823894015</v>
      </c>
      <c r="AA171" s="385">
        <f t="shared" si="60"/>
        <v>45.92771993681054</v>
      </c>
      <c r="AB171" s="196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5.0316042601199734E-2</v>
      </c>
      <c r="AD171" s="230">
        <f>(INDEX(Models!$BJ171:$BT171,,AH171)*(1-AF171)+INDEX(Models!$BJ171:$BT171,,AH171+1)*AF171-ERP_i)*AE171*Ramure*Pc/MaxiM</f>
        <v>3.9477906579685884E-4</v>
      </c>
      <c r="AE171" s="304">
        <f t="shared" si="62"/>
        <v>0.5</v>
      </c>
      <c r="AF171" s="176">
        <f t="shared" si="63"/>
        <v>0.57229414571172899</v>
      </c>
      <c r="AG171" s="814">
        <f t="shared" si="71"/>
        <v>0</v>
      </c>
      <c r="AH171" s="175">
        <f t="shared" si="64"/>
        <v>6</v>
      </c>
      <c r="AI171" s="224">
        <f t="shared" si="65"/>
        <v>0.57229414571172899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44354</v>
      </c>
      <c r="B172" s="616">
        <v>52.082999999999998</v>
      </c>
      <c r="C172" s="389"/>
      <c r="D172" s="392">
        <f t="shared" si="48"/>
        <v>53.357753403067946</v>
      </c>
      <c r="E172" s="384">
        <f t="shared" si="72"/>
        <v>53.869866994050398</v>
      </c>
      <c r="F172" s="384">
        <f t="shared" si="49"/>
        <v>53.888415995131361</v>
      </c>
      <c r="G172" s="110">
        <f t="shared" si="73"/>
        <v>0.89727190096275067</v>
      </c>
      <c r="H172" s="413" t="b">
        <f>Wh_hp&gt;='2020'!Maxi_hp</f>
        <v>1</v>
      </c>
      <c r="I172" s="379">
        <f>IF(H172,Wh_hp,'2020'!Maxi_hp)</f>
        <v>53.888415995131361</v>
      </c>
      <c r="J172" s="85">
        <f>IF(H172,An,'2020'!An_max)</f>
        <v>2021</v>
      </c>
      <c r="K172" s="196">
        <f t="shared" si="50"/>
        <v>44354</v>
      </c>
      <c r="L172" s="147">
        <f>IF(t&lt;Tvie,1-EXP((T0-t)*PertePVj)+'2020'!Pspv,1-EXP((T0-t)*PertePVj)+Pspv)</f>
        <v>2.3890687327826177E-2</v>
      </c>
      <c r="M172" s="847"/>
      <c r="N172" s="847"/>
      <c r="O172" s="48">
        <f>IF(t&lt;Tnet,'2020'!Resal+('2020'!Salim-'2020'!Resal)*(1-EXP(('2020'!Tnet-t)/('2020'!Tau_j))),Resal+(Salim-Resal)*(1-EXP((Tnet-t)/(Tau_j))))*Salcycl</f>
        <v>9.5064944385144998E-3</v>
      </c>
      <c r="P172" s="168">
        <f>(INDEX(Models!$BJ172:$BT172,,T172)*(1-R172)+INDEX(Models!$BJ172:$BT172,,T172+1)*R172-ERP_i)*Q172*Ramure*Pc/MaxiM</f>
        <v>4.0337822310336095E-4</v>
      </c>
      <c r="Q172" s="304">
        <f t="shared" si="51"/>
        <v>0.5</v>
      </c>
      <c r="R172" s="176">
        <f t="shared" si="52"/>
        <v>0.57536562936242452</v>
      </c>
      <c r="S172" s="814">
        <f t="shared" si="53"/>
        <v>0</v>
      </c>
      <c r="T172" s="175">
        <f t="shared" si="54"/>
        <v>6</v>
      </c>
      <c r="U172" s="250">
        <f t="shared" si="55"/>
        <v>0.57536562936242452</v>
      </c>
      <c r="V172" s="382">
        <f t="shared" si="56"/>
        <v>58.042514528269102</v>
      </c>
      <c r="W172" s="401"/>
      <c r="X172" s="157">
        <f t="shared" si="57"/>
        <v>44354</v>
      </c>
      <c r="Y172" s="384">
        <f t="shared" si="58"/>
        <v>49.933659563755747</v>
      </c>
      <c r="Z172" s="384">
        <f t="shared" si="59"/>
        <v>51.155806952664491</v>
      </c>
      <c r="AA172" s="385">
        <f t="shared" si="60"/>
        <v>53.869866994050398</v>
      </c>
      <c r="AB172" s="196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5.0381784712512132E-2</v>
      </c>
      <c r="AD172" s="230">
        <f>(INDEX(Models!$BJ172:$BT172,,AH172)*(1-AF172)+INDEX(Models!$BJ172:$BT172,,AH172+1)*AF172-ERP_i)*AE172*Ramure*Pc/MaxiM</f>
        <v>4.0337822310336095E-4</v>
      </c>
      <c r="AE172" s="304">
        <f t="shared" si="62"/>
        <v>0.5</v>
      </c>
      <c r="AF172" s="176">
        <f t="shared" si="63"/>
        <v>0.57536562936242452</v>
      </c>
      <c r="AG172" s="814">
        <f t="shared" si="71"/>
        <v>0</v>
      </c>
      <c r="AH172" s="175">
        <f t="shared" si="64"/>
        <v>6</v>
      </c>
      <c r="AI172" s="224">
        <f t="shared" si="65"/>
        <v>0.57536562936242452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44355</v>
      </c>
      <c r="B173" s="616">
        <v>56.853000000000002</v>
      </c>
      <c r="C173" s="389"/>
      <c r="D173" s="392">
        <f t="shared" si="48"/>
        <v>58.245776897918113</v>
      </c>
      <c r="E173" s="384">
        <f t="shared" si="72"/>
        <v>58.809743028369262</v>
      </c>
      <c r="F173" s="384">
        <f t="shared" si="49"/>
        <v>58.833291739769251</v>
      </c>
      <c r="G173" s="110">
        <f t="shared" si="73"/>
        <v>0.98042985275532202</v>
      </c>
      <c r="H173" s="413" t="b">
        <f>Wh_hp&gt;='2020'!Maxi_hp</f>
        <v>0</v>
      </c>
      <c r="I173" s="379">
        <f>IF(H173,Wh_hp,'2020'!Maxi_hp)</f>
        <v>61.825772248847073</v>
      </c>
      <c r="J173" s="85">
        <f>IF(H173,An,'2020'!An_max)</f>
        <v>2019</v>
      </c>
      <c r="K173" s="196">
        <f t="shared" si="50"/>
        <v>44355</v>
      </c>
      <c r="L173" s="147">
        <f>IF(t&lt;Tvie,1-EXP((T0-t)*PertePVj)+'2020'!Pspv,1-EXP((T0-t)*PertePVj)+Pspv)</f>
        <v>2.3912066626892159E-2</v>
      </c>
      <c r="M173" s="847"/>
      <c r="N173" s="847"/>
      <c r="O173" s="48">
        <f>IF(t&lt;Tnet,'2020'!Resal+('2020'!Salim-'2020'!Resal)*(1-EXP(('2020'!Tnet-t)/('2020'!Tau_j))),Resal+(Salim-Resal)*(1-EXP((Tnet-t)/(Tau_j))))*Salcycl</f>
        <v>9.5896717348194754E-3</v>
      </c>
      <c r="P173" s="168">
        <f>(INDEX(Models!$BJ173:$BT173,,T173)*(1-R173)+INDEX(Models!$BJ173:$BT173,,T173+1)*R173-ERP_i)*Q173*Ramure*Pc/MaxiM</f>
        <v>4.1176694225515686E-4</v>
      </c>
      <c r="Q173" s="304">
        <f t="shared" si="51"/>
        <v>0.5</v>
      </c>
      <c r="R173" s="176">
        <f t="shared" si="52"/>
        <v>0.5784448929343845</v>
      </c>
      <c r="S173" s="814">
        <f t="shared" si="53"/>
        <v>0</v>
      </c>
      <c r="T173" s="175">
        <f t="shared" si="54"/>
        <v>6</v>
      </c>
      <c r="U173" s="250">
        <f t="shared" si="55"/>
        <v>0.5784448929343845</v>
      </c>
      <c r="V173" s="382">
        <f t="shared" si="56"/>
        <v>57.987162945790431</v>
      </c>
      <c r="W173" s="401"/>
      <c r="X173" s="157">
        <f t="shared" si="57"/>
        <v>44355</v>
      </c>
      <c r="Y173" s="384">
        <f t="shared" si="58"/>
        <v>54.507647870985828</v>
      </c>
      <c r="Z173" s="384">
        <f t="shared" si="59"/>
        <v>55.842968658183771</v>
      </c>
      <c r="AA173" s="385">
        <f t="shared" si="60"/>
        <v>58.809743028369262</v>
      </c>
      <c r="AB173" s="196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5.0446987478832375E-2</v>
      </c>
      <c r="AD173" s="230">
        <f>(INDEX(Models!$BJ173:$BT173,,AH173)*(1-AF173)+INDEX(Models!$BJ173:$BT173,,AH173+1)*AF173-ERP_i)*AE173*Ramure*Pc/MaxiM</f>
        <v>4.1176694225515686E-4</v>
      </c>
      <c r="AE173" s="304">
        <f t="shared" si="62"/>
        <v>0.5</v>
      </c>
      <c r="AF173" s="176">
        <f t="shared" si="63"/>
        <v>0.5784448929343845</v>
      </c>
      <c r="AG173" s="814">
        <f t="shared" si="71"/>
        <v>0</v>
      </c>
      <c r="AH173" s="175">
        <f t="shared" si="64"/>
        <v>6</v>
      </c>
      <c r="AI173" s="224">
        <f t="shared" si="65"/>
        <v>0.5784448929343845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44356</v>
      </c>
      <c r="B174" s="616">
        <v>55.944000000000003</v>
      </c>
      <c r="C174" s="389"/>
      <c r="D174" s="392">
        <f t="shared" si="48"/>
        <v>57.315763704487587</v>
      </c>
      <c r="E174" s="384">
        <f t="shared" si="72"/>
        <v>57.875579786206529</v>
      </c>
      <c r="F174" s="384">
        <f t="shared" si="49"/>
        <v>57.898701564439953</v>
      </c>
      <c r="G174" s="110">
        <f t="shared" si="73"/>
        <v>0.96567131537924855</v>
      </c>
      <c r="H174" s="413" t="b">
        <f>Wh_hp&gt;='2020'!Maxi_hp</f>
        <v>1</v>
      </c>
      <c r="I174" s="379">
        <f>IF(H174,Wh_hp,'2020'!Maxi_hp)</f>
        <v>57.898701564439953</v>
      </c>
      <c r="J174" s="85">
        <f>IF(H174,An,'2020'!An_max)</f>
        <v>2021</v>
      </c>
      <c r="K174" s="196">
        <f t="shared" si="50"/>
        <v>44356</v>
      </c>
      <c r="L174" s="147">
        <f>IF(t&lt;Tvie,1-EXP((T0-t)*PertePVj)+'2020'!Pspv,1-EXP((T0-t)*PertePVj)+Pspv)</f>
        <v>2.3933445457696712E-2</v>
      </c>
      <c r="M174" s="847"/>
      <c r="N174" s="847"/>
      <c r="O174" s="48">
        <f>IF(t&lt;Tnet,'2020'!Resal+('2020'!Salim-'2020'!Resal)*(1-EXP(('2020'!Tnet-t)/('2020'!Tau_j))),Resal+(Salim-Resal)*(1-EXP((Tnet-t)/(Tau_j))))*Salcycl</f>
        <v>9.6727511635634495E-3</v>
      </c>
      <c r="P174" s="168">
        <f>(INDEX(Models!$BJ174:$BT174,,T174)*(1-R174)+INDEX(Models!$BJ174:$BT174,,T174+1)*R174-ERP_i)*Q174*Ramure*Pc/MaxiM</f>
        <v>4.1993070572373704E-4</v>
      </c>
      <c r="Q174" s="304">
        <f t="shared" si="51"/>
        <v>0.5</v>
      </c>
      <c r="R174" s="176">
        <f t="shared" si="52"/>
        <v>0.58152935772096803</v>
      </c>
      <c r="S174" s="814">
        <f t="shared" si="53"/>
        <v>0</v>
      </c>
      <c r="T174" s="175">
        <f t="shared" si="54"/>
        <v>6</v>
      </c>
      <c r="U174" s="250">
        <f t="shared" si="55"/>
        <v>0.58152935772096803</v>
      </c>
      <c r="V174" s="382">
        <f t="shared" si="56"/>
        <v>57.931562443779143</v>
      </c>
      <c r="W174" s="401"/>
      <c r="X174" s="157">
        <f t="shared" si="57"/>
        <v>44356</v>
      </c>
      <c r="Y174" s="384">
        <f t="shared" si="58"/>
        <v>53.636995520561513</v>
      </c>
      <c r="Z174" s="384">
        <f t="shared" si="59"/>
        <v>54.952190781409314</v>
      </c>
      <c r="AA174" s="385">
        <f t="shared" si="60"/>
        <v>57.875579786206529</v>
      </c>
      <c r="AB174" s="196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5.051161501269217E-2</v>
      </c>
      <c r="AD174" s="230">
        <f>(INDEX(Models!$BJ174:$BT174,,AH174)*(1-AF174)+INDEX(Models!$BJ174:$BT174,,AH174+1)*AF174-ERP_i)*AE174*Ramure*Pc/MaxiM</f>
        <v>4.1993070572373704E-4</v>
      </c>
      <c r="AE174" s="304">
        <f t="shared" si="62"/>
        <v>0.5</v>
      </c>
      <c r="AF174" s="176">
        <f t="shared" si="63"/>
        <v>0.58152935772096803</v>
      </c>
      <c r="AG174" s="814">
        <f t="shared" si="71"/>
        <v>0</v>
      </c>
      <c r="AH174" s="175">
        <f t="shared" si="64"/>
        <v>6</v>
      </c>
      <c r="AI174" s="224">
        <f t="shared" si="65"/>
        <v>0.58152935772096803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44357</v>
      </c>
      <c r="B175" s="616">
        <v>55.131</v>
      </c>
      <c r="C175" s="389"/>
      <c r="D175" s="392">
        <f t="shared" si="48"/>
        <v>56.484065845992141</v>
      </c>
      <c r="E175" s="384">
        <f t="shared" si="72"/>
        <v>57.040537564792032</v>
      </c>
      <c r="F175" s="384">
        <f t="shared" si="49"/>
        <v>57.063298050914646</v>
      </c>
      <c r="G175" s="110">
        <f t="shared" si="73"/>
        <v>0.95254119560344042</v>
      </c>
      <c r="H175" s="413" t="b">
        <f>Wh_hp&gt;='2020'!Maxi_hp</f>
        <v>1</v>
      </c>
      <c r="I175" s="379">
        <f>IF(H175,Wh_hp,'2020'!Maxi_hp)</f>
        <v>57.063298050914646</v>
      </c>
      <c r="J175" s="85">
        <f>IF(H175,An,'2020'!An_max)</f>
        <v>2021</v>
      </c>
      <c r="K175" s="196">
        <f t="shared" si="50"/>
        <v>44357</v>
      </c>
      <c r="L175" s="147">
        <f>IF(t&lt;Tvie,1-EXP((T0-t)*PertePVj)+'2020'!Pspv,1-EXP((T0-t)*PertePVj)+Pspv)</f>
        <v>2.3954823820249938E-2</v>
      </c>
      <c r="M175" s="847"/>
      <c r="N175" s="847"/>
      <c r="O175" s="48">
        <f>IF(t&lt;Tnet,'2020'!Resal+('2020'!Salim-'2020'!Resal)*(1-EXP(('2020'!Tnet-t)/('2020'!Tau_j))),Resal+(Salim-Resal)*(1-EXP((Tnet-t)/(Tau_j))))*Salcycl</f>
        <v>9.7557236056514552E-3</v>
      </c>
      <c r="P175" s="168">
        <f>(INDEX(Models!$BJ175:$BT175,,T175)*(1-R175)+INDEX(Models!$BJ175:$BT175,,T175+1)*R175-ERP_i)*Q175*Ramure*Pc/MaxiM</f>
        <v>4.2785477581947206E-4</v>
      </c>
      <c r="Q175" s="304">
        <f t="shared" si="51"/>
        <v>0.5</v>
      </c>
      <c r="R175" s="176">
        <f t="shared" si="52"/>
        <v>0.58461642750757492</v>
      </c>
      <c r="S175" s="814">
        <f t="shared" si="53"/>
        <v>0</v>
      </c>
      <c r="T175" s="175">
        <f t="shared" si="54"/>
        <v>6</v>
      </c>
      <c r="U175" s="250">
        <f t="shared" si="55"/>
        <v>0.58461642750757492</v>
      </c>
      <c r="V175" s="382">
        <f t="shared" si="56"/>
        <v>57.876133145060855</v>
      </c>
      <c r="W175" s="401"/>
      <c r="X175" s="157">
        <f t="shared" si="57"/>
        <v>44357</v>
      </c>
      <c r="Y175" s="384">
        <f t="shared" si="58"/>
        <v>52.858386587942782</v>
      </c>
      <c r="Z175" s="384">
        <f t="shared" si="59"/>
        <v>54.155676271902699</v>
      </c>
      <c r="AA175" s="385">
        <f t="shared" si="60"/>
        <v>57.040537564792032</v>
      </c>
      <c r="AB175" s="196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5.057563298053476E-2</v>
      </c>
      <c r="AD175" s="230">
        <f>(INDEX(Models!$BJ175:$BT175,,AH175)*(1-AF175)+INDEX(Models!$BJ175:$BT175,,AH175+1)*AF175-ERP_i)*AE175*Ramure*Pc/MaxiM</f>
        <v>4.2785477581947206E-4</v>
      </c>
      <c r="AE175" s="304">
        <f t="shared" si="62"/>
        <v>0.5</v>
      </c>
      <c r="AF175" s="176">
        <f t="shared" si="63"/>
        <v>0.58461642750757492</v>
      </c>
      <c r="AG175" s="814">
        <f t="shared" si="71"/>
        <v>0</v>
      </c>
      <c r="AH175" s="175">
        <f t="shared" si="64"/>
        <v>6</v>
      </c>
      <c r="AI175" s="224">
        <f t="shared" si="65"/>
        <v>0.58461642750757492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44358</v>
      </c>
      <c r="B176" s="616">
        <v>44.305999999999997</v>
      </c>
      <c r="C176" s="389"/>
      <c r="D176" s="392">
        <f t="shared" si="48"/>
        <v>45.394384929785005</v>
      </c>
      <c r="E176" s="384">
        <f t="shared" si="72"/>
        <v>45.84543895271203</v>
      </c>
      <c r="F176" s="384">
        <f t="shared" si="49"/>
        <v>45.858742340827412</v>
      </c>
      <c r="G176" s="110">
        <f t="shared" si="73"/>
        <v>0.76614601514424396</v>
      </c>
      <c r="H176" s="413" t="b">
        <f>Wh_hp&gt;='2020'!Maxi_hp</f>
        <v>0</v>
      </c>
      <c r="I176" s="379">
        <f>IF(H176,Wh_hp,'2020'!Maxi_hp)</f>
        <v>47.380965960563586</v>
      </c>
      <c r="J176" s="85">
        <f>IF(H176,An,'2020'!An_max)</f>
        <v>2020</v>
      </c>
      <c r="K176" s="196">
        <f t="shared" si="50"/>
        <v>44358</v>
      </c>
      <c r="L176" s="147">
        <f>IF(t&lt;Tvie,1-EXP((T0-t)*PertePVj)+'2020'!Pspv,1-EXP((T0-t)*PertePVj)+Pspv)</f>
        <v>2.3976201714562162E-2</v>
      </c>
      <c r="M176" s="847"/>
      <c r="N176" s="847"/>
      <c r="O176" s="48">
        <f>IF(t&lt;Tnet,'2020'!Resal+('2020'!Salim-'2020'!Resal)*(1-EXP(('2020'!Tnet-t)/('2020'!Tau_j))),Resal+(Salim-Resal)*(1-EXP((Tnet-t)/(Tau_j))))*Salcycl</f>
        <v>9.8385800906447135E-3</v>
      </c>
      <c r="P176" s="168">
        <f>(INDEX(Models!$BJ176:$BT176,,T176)*(1-R176)+INDEX(Models!$BJ176:$BT176,,T176+1)*R176-ERP_i)*Q176*Ramure*Pc/MaxiM</f>
        <v>4.3552425410290664E-4</v>
      </c>
      <c r="Q176" s="304">
        <f t="shared" si="51"/>
        <v>0.5</v>
      </c>
      <c r="R176" s="176">
        <f t="shared" si="52"/>
        <v>0.58770349729418181</v>
      </c>
      <c r="S176" s="814">
        <f t="shared" si="53"/>
        <v>0</v>
      </c>
      <c r="T176" s="175">
        <f t="shared" si="54"/>
        <v>6</v>
      </c>
      <c r="U176" s="250">
        <f t="shared" si="55"/>
        <v>0.58770349729418181</v>
      </c>
      <c r="V176" s="382">
        <f t="shared" si="56"/>
        <v>57.82129497831091</v>
      </c>
      <c r="W176" s="401"/>
      <c r="X176" s="157">
        <f t="shared" si="57"/>
        <v>44358</v>
      </c>
      <c r="Y176" s="384">
        <f t="shared" si="58"/>
        <v>42.480334249639469</v>
      </c>
      <c r="Z176" s="384">
        <f t="shared" si="59"/>
        <v>43.523871368980807</v>
      </c>
      <c r="AA176" s="385">
        <f t="shared" si="60"/>
        <v>45.84543895271203</v>
      </c>
      <c r="AB176" s="196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5.0639008738161281E-2</v>
      </c>
      <c r="AD176" s="230">
        <f>(INDEX(Models!$BJ176:$BT176,,AH176)*(1-AF176)+INDEX(Models!$BJ176:$BT176,,AH176+1)*AF176-ERP_i)*AE176*Ramure*Pc/MaxiM</f>
        <v>4.3552425410290664E-4</v>
      </c>
      <c r="AE176" s="304">
        <f t="shared" si="62"/>
        <v>0.5</v>
      </c>
      <c r="AF176" s="176">
        <f t="shared" si="63"/>
        <v>0.58770349729418181</v>
      </c>
      <c r="AG176" s="814">
        <f t="shared" si="71"/>
        <v>0</v>
      </c>
      <c r="AH176" s="175">
        <f t="shared" si="64"/>
        <v>6</v>
      </c>
      <c r="AI176" s="224">
        <f t="shared" si="65"/>
        <v>0.58770349729418181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44359</v>
      </c>
      <c r="B177" s="616">
        <v>45.163000000000004</v>
      </c>
      <c r="C177" s="389"/>
      <c r="D177" s="392">
        <f t="shared" si="48"/>
        <v>46.273450797626737</v>
      </c>
      <c r="E177" s="384">
        <f t="shared" si="72"/>
        <v>46.737144583295276</v>
      </c>
      <c r="F177" s="384">
        <f t="shared" si="49"/>
        <v>46.751398016840014</v>
      </c>
      <c r="G177" s="110">
        <f t="shared" si="73"/>
        <v>0.7817130188335818</v>
      </c>
      <c r="H177" s="413" t="b">
        <f>Wh_hp&gt;='2020'!Maxi_hp</f>
        <v>0</v>
      </c>
      <c r="I177" s="379">
        <f>IF(H177,Wh_hp,'2020'!Maxi_hp)</f>
        <v>57.291729611874956</v>
      </c>
      <c r="J177" s="85">
        <f>IF(H177,An,'2020'!An_max)</f>
        <v>2019</v>
      </c>
      <c r="K177" s="196">
        <f t="shared" si="50"/>
        <v>44359</v>
      </c>
      <c r="L177" s="147">
        <f>IF(t&lt;Tvie,1-EXP((T0-t)*PertePVj)+'2020'!Pspv,1-EXP((T0-t)*PertePVj)+Pspv)</f>
        <v>2.399757914064371E-2</v>
      </c>
      <c r="M177" s="847"/>
      <c r="N177" s="847"/>
      <c r="O177" s="48">
        <f>IF(t&lt;Tnet,'2020'!Resal+('2020'!Salim-'2020'!Resal)*(1-EXP(('2020'!Tnet-t)/('2020'!Tau_j))),Resal+(Salim-Resal)*(1-EXP((Tnet-t)/(Tau_j))))*Salcycl</f>
        <v>9.9213118345760128E-3</v>
      </c>
      <c r="P177" s="168">
        <f>(INDEX(Models!$BJ177:$BT177,,T177)*(1-R177)+INDEX(Models!$BJ177:$BT177,,T177+1)*R177-ERP_i)*Q177*Ramure*Pc/MaxiM</f>
        <v>4.4293216681362172E-4</v>
      </c>
      <c r="Q177" s="304">
        <f t="shared" si="51"/>
        <v>0.5</v>
      </c>
      <c r="R177" s="176">
        <f t="shared" si="52"/>
        <v>0.59078796208076534</v>
      </c>
      <c r="S177" s="814">
        <f t="shared" si="53"/>
        <v>0</v>
      </c>
      <c r="T177" s="175">
        <f t="shared" si="54"/>
        <v>6</v>
      </c>
      <c r="U177" s="250">
        <f t="shared" si="55"/>
        <v>0.59078796208076534</v>
      </c>
      <c r="V177" s="382">
        <f t="shared" si="56"/>
        <v>57.766420709882951</v>
      </c>
      <c r="W177" s="401"/>
      <c r="X177" s="157">
        <f t="shared" si="57"/>
        <v>44359</v>
      </c>
      <c r="Y177" s="384">
        <f t="shared" si="58"/>
        <v>43.302778978958948</v>
      </c>
      <c r="Z177" s="384">
        <f t="shared" si="59"/>
        <v>44.367491364244223</v>
      </c>
      <c r="AA177" s="385">
        <f t="shared" si="60"/>
        <v>46.737144583295276</v>
      </c>
      <c r="AB177" s="196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5.0701711458384875E-2</v>
      </c>
      <c r="AD177" s="230">
        <f>(INDEX(Models!$BJ177:$BT177,,AH177)*(1-AF177)+INDEX(Models!$BJ177:$BT177,,AH177+1)*AF177-ERP_i)*AE177*Ramure*Pc/MaxiM</f>
        <v>4.4293216681362172E-4</v>
      </c>
      <c r="AE177" s="304">
        <f t="shared" si="62"/>
        <v>0.5</v>
      </c>
      <c r="AF177" s="176">
        <f t="shared" si="63"/>
        <v>0.59078796208076534</v>
      </c>
      <c r="AG177" s="814">
        <f t="shared" si="71"/>
        <v>0</v>
      </c>
      <c r="AH177" s="175">
        <f t="shared" si="64"/>
        <v>6</v>
      </c>
      <c r="AI177" s="224">
        <f t="shared" si="65"/>
        <v>0.59078796208076534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44360</v>
      </c>
      <c r="B178" s="616">
        <v>54.661000000000001</v>
      </c>
      <c r="C178" s="389"/>
      <c r="D178" s="392">
        <f t="shared" si="48"/>
        <v>56.006210716441821</v>
      </c>
      <c r="E178" s="384">
        <f t="shared" si="72"/>
        <v>56.572153463872013</v>
      </c>
      <c r="F178" s="384">
        <f t="shared" si="49"/>
        <v>56.595694016107771</v>
      </c>
      <c r="G178" s="110">
        <f t="shared" si="73"/>
        <v>0.94712461117281288</v>
      </c>
      <c r="H178" s="413" t="b">
        <f>Wh_hp&gt;='2020'!Maxi_hp</f>
        <v>0</v>
      </c>
      <c r="I178" s="379">
        <f>IF(H178,Wh_hp,'2020'!Maxi_hp)</f>
        <v>61.075275136442549</v>
      </c>
      <c r="J178" s="85">
        <f>IF(H178,An,'2020'!An_max)</f>
        <v>2019</v>
      </c>
      <c r="K178" s="196">
        <f t="shared" si="50"/>
        <v>44360</v>
      </c>
      <c r="L178" s="147">
        <f>IF(t&lt;Tvie,1-EXP((T0-t)*PertePVj)+'2020'!Pspv,1-EXP((T0-t)*PertePVj)+Pspv)</f>
        <v>2.4018956098504685E-2</v>
      </c>
      <c r="M178" s="847"/>
      <c r="N178" s="847"/>
      <c r="O178" s="48">
        <f>IF(t&lt;Tnet,'2020'!Resal+('2020'!Salim-'2020'!Resal)*(1-EXP(('2020'!Tnet-t)/('2020'!Tau_j))),Resal+(Salim-Resal)*(1-EXP((Tnet-t)/(Tau_j))))*Salcycl</f>
        <v>1.0003910277016616E-2</v>
      </c>
      <c r="P178" s="168">
        <f>(INDEX(Models!$BJ178:$BT178,,T178)*(1-R178)+INDEX(Models!$BJ178:$BT178,,T178+1)*R178-ERP_i)*Q178*Ramure*Pc/MaxiM</f>
        <v>4.4990599728108682E-4</v>
      </c>
      <c r="Q178" s="304">
        <f t="shared" si="51"/>
        <v>0.5</v>
      </c>
      <c r="R178" s="176">
        <f t="shared" si="52"/>
        <v>0.59386722565272532</v>
      </c>
      <c r="S178" s="814">
        <f t="shared" si="53"/>
        <v>0</v>
      </c>
      <c r="T178" s="175">
        <f t="shared" si="54"/>
        <v>6</v>
      </c>
      <c r="U178" s="250">
        <f t="shared" si="55"/>
        <v>0.59386722565272532</v>
      </c>
      <c r="V178" s="382">
        <f t="shared" si="56"/>
        <v>57.710613895814895</v>
      </c>
      <c r="W178" s="401"/>
      <c r="X178" s="157">
        <f t="shared" si="57"/>
        <v>44360</v>
      </c>
      <c r="Y178" s="384">
        <f t="shared" si="58"/>
        <v>52.410514812461187</v>
      </c>
      <c r="Z178" s="384">
        <f t="shared" si="59"/>
        <v>53.700340944071577</v>
      </c>
      <c r="AA178" s="385">
        <f t="shared" si="60"/>
        <v>56.572153463872013</v>
      </c>
      <c r="AB178" s="196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5.0763712249957585E-2</v>
      </c>
      <c r="AD178" s="230">
        <f>(INDEX(Models!$BJ178:$BT178,,AH178)*(1-AF178)+INDEX(Models!$BJ178:$BT178,,AH178+1)*AF178-ERP_i)*AE178*Ramure*Pc/MaxiM</f>
        <v>4.4990599728108682E-4</v>
      </c>
      <c r="AE178" s="304">
        <f t="shared" si="62"/>
        <v>0.5</v>
      </c>
      <c r="AF178" s="176">
        <f t="shared" si="63"/>
        <v>0.59386722565272532</v>
      </c>
      <c r="AG178" s="814">
        <f t="shared" si="71"/>
        <v>0</v>
      </c>
      <c r="AH178" s="175">
        <f t="shared" si="64"/>
        <v>6</v>
      </c>
      <c r="AI178" s="224">
        <f t="shared" si="65"/>
        <v>0.59386722565272532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16">
        <v>51.029000000000003</v>
      </c>
      <c r="C179" s="389"/>
      <c r="D179" s="392">
        <f t="shared" si="48"/>
        <v>52.285972160431825</v>
      </c>
      <c r="E179" s="384">
        <f t="shared" si="72"/>
        <v>52.818721172838238</v>
      </c>
      <c r="F179" s="384">
        <f t="shared" si="49"/>
        <v>52.838885669161783</v>
      </c>
      <c r="G179" s="110">
        <f t="shared" si="73"/>
        <v>0.88502603077589104</v>
      </c>
      <c r="H179" s="413" t="b">
        <f>Wh_hp&gt;='2020'!Maxi_hp</f>
        <v>1</v>
      </c>
      <c r="I179" s="379">
        <f>IF(H179,Wh_hp,'2020'!Maxi_hp)</f>
        <v>52.838885669161783</v>
      </c>
      <c r="J179" s="85">
        <f>IF(H179,An,'2020'!An_max)</f>
        <v>2021</v>
      </c>
      <c r="K179" s="196">
        <f t="shared" si="50"/>
        <v>44361</v>
      </c>
      <c r="L179" s="147">
        <f>IF(t&lt;Tvie,1-EXP((T0-t)*PertePVj)+'2020'!Pspv,1-EXP((T0-t)*PertePVj)+Pspv)</f>
        <v>2.4040332588155522E-2</v>
      </c>
      <c r="M179" s="847"/>
      <c r="N179" s="847"/>
      <c r="O179" s="48">
        <f>IF(t&lt;Tnet,'2020'!Resal+('2020'!Salim-'2020'!Resal)*(1-EXP(('2020'!Tnet-t)/('2020'!Tau_j))),Resal+(Salim-Resal)*(1-EXP((Tnet-t)/(Tau_j))))*Salcycl</f>
        <v>1.0086367117126946E-2</v>
      </c>
      <c r="P179" s="168">
        <f>(INDEX(Models!$BJ179:$BT179,,T179)*(1-R179)+INDEX(Models!$BJ179:$BT179,,T179+1)*R179-ERP_i)*Q179*Ramure*Pc/MaxiM</f>
        <v>4.5656994311840709E-4</v>
      </c>
      <c r="Q179" s="304">
        <f t="shared" si="51"/>
        <v>0.5</v>
      </c>
      <c r="R179" s="176">
        <f t="shared" si="52"/>
        <v>0.59693870930342086</v>
      </c>
      <c r="S179" s="814">
        <f t="shared" si="53"/>
        <v>0</v>
      </c>
      <c r="T179" s="175">
        <f t="shared" si="54"/>
        <v>6</v>
      </c>
      <c r="U179" s="250">
        <f t="shared" si="55"/>
        <v>0.59693870930342086</v>
      </c>
      <c r="V179" s="382">
        <f t="shared" si="56"/>
        <v>57.653868091522618</v>
      </c>
      <c r="W179" s="401"/>
      <c r="X179" s="157">
        <f t="shared" si="57"/>
        <v>44361</v>
      </c>
      <c r="Y179" s="384">
        <f t="shared" si="58"/>
        <v>48.928967405761355</v>
      </c>
      <c r="Z179" s="384">
        <f t="shared" si="59"/>
        <v>50.134210500231518</v>
      </c>
      <c r="AA179" s="385">
        <f t="shared" si="60"/>
        <v>52.818721172838238</v>
      </c>
      <c r="AB179" s="196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5.0824984266889334E-2</v>
      </c>
      <c r="AD179" s="230">
        <f>(INDEX(Models!$BJ179:$BT179,,AH179)*(1-AF179)+INDEX(Models!$BJ179:$BT179,,AH179+1)*AF179-ERP_i)*AE179*Ramure*Pc/MaxiM</f>
        <v>4.5656994311840709E-4</v>
      </c>
      <c r="AE179" s="304">
        <f t="shared" si="62"/>
        <v>0.5</v>
      </c>
      <c r="AF179" s="176">
        <f t="shared" si="63"/>
        <v>0.59693870930342086</v>
      </c>
      <c r="AG179" s="814">
        <f t="shared" si="71"/>
        <v>0</v>
      </c>
      <c r="AH179" s="175">
        <f t="shared" si="64"/>
        <v>6</v>
      </c>
      <c r="AI179" s="224">
        <f t="shared" si="65"/>
        <v>0.59693870930342086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16">
        <v>50.015999999999998</v>
      </c>
      <c r="C180" s="389"/>
      <c r="D180" s="392">
        <f t="shared" si="48"/>
        <v>51.249141919355893</v>
      </c>
      <c r="E180" s="384">
        <f t="shared" si="72"/>
        <v>51.775631454804007</v>
      </c>
      <c r="F180" s="384">
        <f t="shared" si="49"/>
        <v>51.795100148483911</v>
      </c>
      <c r="G180" s="110">
        <f t="shared" si="73"/>
        <v>0.86831524654997561</v>
      </c>
      <c r="H180" s="413" t="b">
        <f>Wh_hp&gt;='2020'!Maxi_hp</f>
        <v>1</v>
      </c>
      <c r="I180" s="379">
        <f>IF(H180,Wh_hp,'2020'!Maxi_hp)</f>
        <v>51.795100148483911</v>
      </c>
      <c r="J180" s="85">
        <f>IF(H180,An,'2020'!An_max)</f>
        <v>2021</v>
      </c>
      <c r="K180" s="196">
        <f t="shared" si="50"/>
        <v>44362</v>
      </c>
      <c r="L180" s="147">
        <f>IF(t&lt;Tvie,1-EXP((T0-t)*PertePVj)+'2020'!Pspv,1-EXP((T0-t)*PertePVj)+Pspv)</f>
        <v>2.4061708609606214E-2</v>
      </c>
      <c r="M180" s="847"/>
      <c r="N180" s="847"/>
      <c r="O180" s="48">
        <f>IF(t&lt;Tnet,'2020'!Resal+('2020'!Salim-'2020'!Resal)*(1-EXP(('2020'!Tnet-t)/('2020'!Tau_j))),Resal+(Salim-Resal)*(1-EXP((Tnet-t)/(Tau_j))))*Salcycl</f>
        <v>1.0168674348427697E-2</v>
      </c>
      <c r="P180" s="168">
        <f>(INDEX(Models!$BJ180:$BT180,,T180)*(1-R180)+INDEX(Models!$BJ180:$BT180,,T180+1)*R180-ERP_i)*Q180*Ramure*Pc/MaxiM</f>
        <v>4.6291269771997853E-4</v>
      </c>
      <c r="Q180" s="304">
        <f t="shared" si="51"/>
        <v>0.5</v>
      </c>
      <c r="R180" s="176">
        <f t="shared" si="52"/>
        <v>0.59999986043170483</v>
      </c>
      <c r="S180" s="814">
        <f t="shared" si="53"/>
        <v>0</v>
      </c>
      <c r="T180" s="175">
        <f t="shared" si="54"/>
        <v>6</v>
      </c>
      <c r="U180" s="250">
        <f t="shared" si="55"/>
        <v>0.59999986043170483</v>
      </c>
      <c r="V180" s="382">
        <f t="shared" si="56"/>
        <v>57.59618466629319</v>
      </c>
      <c r="W180" s="401"/>
      <c r="X180" s="157">
        <f t="shared" si="57"/>
        <v>44362</v>
      </c>
      <c r="Y180" s="384">
        <f t="shared" si="58"/>
        <v>47.958585934163544</v>
      </c>
      <c r="Z180" s="384">
        <f t="shared" si="59"/>
        <v>49.141002415058644</v>
      </c>
      <c r="AA180" s="385">
        <f t="shared" si="60"/>
        <v>51.775631454804007</v>
      </c>
      <c r="AB180" s="196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5.0885502807342615E-2</v>
      </c>
      <c r="AD180" s="230">
        <f>(INDEX(Models!$BJ180:$BT180,,AH180)*(1-AF180)+INDEX(Models!$BJ180:$BT180,,AH180+1)*AF180-ERP_i)*AE180*Ramure*Pc/MaxiM</f>
        <v>4.6291269771997853E-4</v>
      </c>
      <c r="AE180" s="304">
        <f t="shared" si="62"/>
        <v>0.5</v>
      </c>
      <c r="AF180" s="176">
        <f t="shared" si="63"/>
        <v>0.59999986043170483</v>
      </c>
      <c r="AG180" s="814">
        <f t="shared" si="71"/>
        <v>0</v>
      </c>
      <c r="AH180" s="175">
        <f t="shared" si="64"/>
        <v>6</v>
      </c>
      <c r="AI180" s="224">
        <f t="shared" si="65"/>
        <v>0.59999986043170483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16">
        <v>48.944000000000003</v>
      </c>
      <c r="C181" s="389"/>
      <c r="D181" s="392">
        <f t="shared" si="48"/>
        <v>50.151810267594634</v>
      </c>
      <c r="E181" s="384">
        <f t="shared" si="72"/>
        <v>50.671232165180754</v>
      </c>
      <c r="F181" s="384">
        <f t="shared" si="49"/>
        <v>50.689930224273716</v>
      </c>
      <c r="G181" s="110">
        <f t="shared" si="73"/>
        <v>0.85055913113427173</v>
      </c>
      <c r="H181" s="413" t="b">
        <f>Wh_hp&gt;='2020'!Maxi_hp</f>
        <v>0</v>
      </c>
      <c r="I181" s="379">
        <f>IF(H181,Wh_hp,'2020'!Maxi_hp)</f>
        <v>60.496565061953568</v>
      </c>
      <c r="J181" s="85">
        <f>IF(H181,An,'2020'!An_max)</f>
        <v>2019</v>
      </c>
      <c r="K181" s="196">
        <f t="shared" si="50"/>
        <v>44363</v>
      </c>
      <c r="L181" s="147">
        <f>IF(t&lt;Tvie,1-EXP((T0-t)*PertePVj)+'2020'!Pspv,1-EXP((T0-t)*PertePVj)+Pspv)</f>
        <v>2.4083084162867308E-2</v>
      </c>
      <c r="M181" s="847"/>
      <c r="N181" s="847"/>
      <c r="O181" s="48">
        <f>IF(t&lt;Tnet,'2020'!Resal+('2020'!Salim-'2020'!Resal)*(1-EXP(('2020'!Tnet-t)/('2020'!Tau_j))),Resal+(Salim-Resal)*(1-EXP((Tnet-t)/(Tau_j))))*Salcycl</f>
        <v>1.0250824292033807E-2</v>
      </c>
      <c r="P181" s="168">
        <f>(INDEX(Models!$BJ181:$BT181,,T181)*(1-R181)+INDEX(Models!$BJ181:$BT181,,T181+1)*R181-ERP_i)*Q181*Ramure*Pc/MaxiM</f>
        <v>4.6892323167718053E-4</v>
      </c>
      <c r="Q181" s="304">
        <f t="shared" si="51"/>
        <v>0.5</v>
      </c>
      <c r="R181" s="176">
        <f t="shared" si="52"/>
        <v>0.60304816095386804</v>
      </c>
      <c r="S181" s="814">
        <f t="shared" si="53"/>
        <v>0</v>
      </c>
      <c r="T181" s="175">
        <f t="shared" si="54"/>
        <v>6</v>
      </c>
      <c r="U181" s="250">
        <f t="shared" si="55"/>
        <v>0.60304816095386804</v>
      </c>
      <c r="V181" s="382">
        <f t="shared" si="56"/>
        <v>57.537564948207489</v>
      </c>
      <c r="W181" s="401"/>
      <c r="X181" s="157">
        <f t="shared" si="57"/>
        <v>44363</v>
      </c>
      <c r="Y181" s="384">
        <f t="shared" si="58"/>
        <v>46.931623737751494</v>
      </c>
      <c r="Z181" s="384">
        <f t="shared" si="59"/>
        <v>48.089773807736464</v>
      </c>
      <c r="AA181" s="385">
        <f t="shared" si="60"/>
        <v>50.671232165180754</v>
      </c>
      <c r="AB181" s="196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5.0945245401357503E-2</v>
      </c>
      <c r="AD181" s="230">
        <f>(INDEX(Models!$BJ181:$BT181,,AH181)*(1-AF181)+INDEX(Models!$BJ181:$BT181,,AH181+1)*AF181-ERP_i)*AE181*Ramure*Pc/MaxiM</f>
        <v>4.6892323167718053E-4</v>
      </c>
      <c r="AE181" s="304">
        <f t="shared" si="62"/>
        <v>0.5</v>
      </c>
      <c r="AF181" s="176">
        <f t="shared" si="63"/>
        <v>0.60304816095386804</v>
      </c>
      <c r="AG181" s="814">
        <f t="shared" si="71"/>
        <v>0</v>
      </c>
      <c r="AH181" s="175">
        <f t="shared" si="64"/>
        <v>6</v>
      </c>
      <c r="AI181" s="224">
        <f t="shared" si="65"/>
        <v>0.60304816095386804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16">
        <v>15.338000000000001</v>
      </c>
      <c r="C182" s="389"/>
      <c r="D182" s="392">
        <f t="shared" si="48"/>
        <v>15.716846075738935</v>
      </c>
      <c r="E182" s="384">
        <f t="shared" si="72"/>
        <v>15.880940813883967</v>
      </c>
      <c r="F182" s="384">
        <f t="shared" si="49"/>
        <v>15.880940813883967</v>
      </c>
      <c r="G182" s="110">
        <f t="shared" si="73"/>
        <v>0.26672323324286679</v>
      </c>
      <c r="H182" s="413" t="b">
        <f>Wh_hp&gt;='2020'!Maxi_hp</f>
        <v>0</v>
      </c>
      <c r="I182" s="379">
        <f>IF(H182,Wh_hp,'2020'!Maxi_hp)</f>
        <v>59.643028752560177</v>
      </c>
      <c r="J182" s="85">
        <f>IF(H182,An,'2020'!An_max)</f>
        <v>2019</v>
      </c>
      <c r="K182" s="196">
        <f t="shared" si="50"/>
        <v>44364</v>
      </c>
      <c r="L182" s="147">
        <f>IF(t&lt;Tvie,1-EXP((T0-t)*PertePVj)+'2020'!Pspv,1-EXP((T0-t)*PertePVj)+Pspv)</f>
        <v>2.4104459247948906E-2</v>
      </c>
      <c r="M182" s="847"/>
      <c r="N182" s="847"/>
      <c r="O182" s="48">
        <f>IF(t&lt;Tnet,'2020'!Resal+('2020'!Salim-'2020'!Resal)*(1-EXP(('2020'!Tnet-t)/('2020'!Tau_j))),Resal+(Salim-Resal)*(1-EXP((Tnet-t)/(Tau_j))))*Salcycl</f>
        <v>1.0332809628102914E-2</v>
      </c>
      <c r="P182" s="168">
        <f>(INDEX(Models!$BJ182:$BT182,,T182)*(1-R182)+INDEX(Models!$BJ182:$BT182,,T182+1)*R182-ERP_i)*Q182*Ramure*Pc/MaxiM</f>
        <v>4.7459082903413653E-4</v>
      </c>
      <c r="Q182" s="304">
        <f t="shared" si="51"/>
        <v>0.5</v>
      </c>
      <c r="R182" s="176">
        <f t="shared" si="52"/>
        <v>0.60608113547166387</v>
      </c>
      <c r="S182" s="814">
        <f t="shared" si="53"/>
        <v>0</v>
      </c>
      <c r="T182" s="175">
        <f t="shared" si="54"/>
        <v>6</v>
      </c>
      <c r="U182" s="250">
        <f t="shared" si="55"/>
        <v>0.60608113547166387</v>
      </c>
      <c r="V182" s="382">
        <f t="shared" si="56"/>
        <v>57.478010218572798</v>
      </c>
      <c r="W182" s="401"/>
      <c r="X182" s="157">
        <f t="shared" si="57"/>
        <v>44364</v>
      </c>
      <c r="Y182" s="384">
        <f t="shared" si="58"/>
        <v>14.707669251287836</v>
      </c>
      <c r="Z182" s="384">
        <f t="shared" si="59"/>
        <v>15.070946261270663</v>
      </c>
      <c r="AA182" s="385">
        <f t="shared" si="60"/>
        <v>15.880940813883967</v>
      </c>
      <c r="AB182" s="196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5.1004191886740304E-2</v>
      </c>
      <c r="AD182" s="230">
        <f>(INDEX(Models!$BJ182:$BT182,,AH182)*(1-AF182)+INDEX(Models!$BJ182:$BT182,,AH182+1)*AF182-ERP_i)*AE182*Ramure*Pc/MaxiM</f>
        <v>4.7459082903413653E-4</v>
      </c>
      <c r="AE182" s="304">
        <f t="shared" si="62"/>
        <v>0.5</v>
      </c>
      <c r="AF182" s="176">
        <f t="shared" si="63"/>
        <v>0.60608113547166387</v>
      </c>
      <c r="AG182" s="814">
        <f t="shared" si="71"/>
        <v>0</v>
      </c>
      <c r="AH182" s="175">
        <f t="shared" si="64"/>
        <v>6</v>
      </c>
      <c r="AI182" s="224">
        <f t="shared" si="65"/>
        <v>0.60608113547166387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16">
        <v>39.677999999999997</v>
      </c>
      <c r="C183" s="389"/>
      <c r="D183" s="392">
        <f t="shared" si="48"/>
        <v>40.658930604896653</v>
      </c>
      <c r="E183" s="384">
        <f t="shared" si="72"/>
        <v>41.086834514096992</v>
      </c>
      <c r="F183" s="384">
        <f t="shared" si="49"/>
        <v>41.097852480522057</v>
      </c>
      <c r="G183" s="110">
        <f t="shared" si="73"/>
        <v>0.69089699810650884</v>
      </c>
      <c r="H183" s="413" t="b">
        <f>Wh_hp&gt;='2020'!Maxi_hp</f>
        <v>0</v>
      </c>
      <c r="I183" s="379">
        <f>IF(H183,Wh_hp,'2020'!Maxi_hp)</f>
        <v>57.817123290426146</v>
      </c>
      <c r="J183" s="85">
        <f>IF(H183,An,'2020'!An_max)</f>
        <v>2019</v>
      </c>
      <c r="K183" s="196">
        <f t="shared" si="50"/>
        <v>44365</v>
      </c>
      <c r="L183" s="147">
        <f>IF(t&lt;Tvie,1-EXP((T0-t)*PertePVj)+'2020'!Pspv,1-EXP((T0-t)*PertePVj)+Pspv)</f>
        <v>2.4125833864861224E-2</v>
      </c>
      <c r="M183" s="847"/>
      <c r="N183" s="847"/>
      <c r="O183" s="48">
        <f>IF(t&lt;Tnet,'2020'!Resal+('2020'!Salim-'2020'!Resal)*(1-EXP(('2020'!Tnet-t)/('2020'!Tau_j))),Resal+(Salim-Resal)*(1-EXP((Tnet-t)/(Tau_j))))*Salcycl</f>
        <v>1.0414623425261007E-2</v>
      </c>
      <c r="P183" s="168">
        <f>(INDEX(Models!$BJ183:$BT183,,T183)*(1-R183)+INDEX(Models!$BJ183:$BT183,,T183+1)*R183-ERP_i)*Q183*Ramure*Pc/MaxiM</f>
        <v>4.7990512096194611E-4</v>
      </c>
      <c r="Q183" s="304">
        <f t="shared" si="51"/>
        <v>0.5</v>
      </c>
      <c r="R183" s="176">
        <f t="shared" si="52"/>
        <v>0.609096359141027</v>
      </c>
      <c r="S183" s="814">
        <f t="shared" si="53"/>
        <v>0</v>
      </c>
      <c r="T183" s="175">
        <f t="shared" si="54"/>
        <v>6</v>
      </c>
      <c r="U183" s="250">
        <f t="shared" si="55"/>
        <v>0.609096359141027</v>
      </c>
      <c r="V183" s="382">
        <f t="shared" si="56"/>
        <v>57.417521709133439</v>
      </c>
      <c r="W183" s="401"/>
      <c r="X183" s="157">
        <f t="shared" si="57"/>
        <v>44365</v>
      </c>
      <c r="Y183" s="384">
        <f t="shared" si="58"/>
        <v>38.04820683577983</v>
      </c>
      <c r="Z183" s="384">
        <f t="shared" si="59"/>
        <v>38.988845238588809</v>
      </c>
      <c r="AA183" s="385">
        <f t="shared" si="60"/>
        <v>41.086834514096992</v>
      </c>
      <c r="AB183" s="196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5.106232447253533E-2</v>
      </c>
      <c r="AD183" s="230">
        <f>(INDEX(Models!$BJ183:$BT183,,AH183)*(1-AF183)+INDEX(Models!$BJ183:$BT183,,AH183+1)*AF183-ERP_i)*AE183*Ramure*Pc/MaxiM</f>
        <v>4.7990512096194611E-4</v>
      </c>
      <c r="AE183" s="304">
        <f t="shared" si="62"/>
        <v>0.5</v>
      </c>
      <c r="AF183" s="176">
        <f t="shared" si="63"/>
        <v>0.609096359141027</v>
      </c>
      <c r="AG183" s="814">
        <f t="shared" si="71"/>
        <v>0</v>
      </c>
      <c r="AH183" s="175">
        <f t="shared" si="64"/>
        <v>6</v>
      </c>
      <c r="AI183" s="224">
        <f t="shared" si="65"/>
        <v>0.609096359141027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16">
        <v>32.222999999999999</v>
      </c>
      <c r="C184" s="389"/>
      <c r="D184" s="392">
        <f t="shared" si="48"/>
        <v>33.020349241824533</v>
      </c>
      <c r="E184" s="384">
        <f t="shared" si="72"/>
        <v>33.370615874633167</v>
      </c>
      <c r="F184" s="384">
        <f t="shared" si="49"/>
        <v>33.376666208729489</v>
      </c>
      <c r="G184" s="110">
        <f t="shared" si="73"/>
        <v>0.56163538969879412</v>
      </c>
      <c r="H184" s="413" t="b">
        <f>Wh_hp&gt;='2020'!Maxi_hp</f>
        <v>0</v>
      </c>
      <c r="I184" s="379">
        <f>IF(H184,Wh_hp,'2020'!Maxi_hp)</f>
        <v>49.023288922737898</v>
      </c>
      <c r="J184" s="85">
        <f>IF(H184,An,'2020'!An_max)</f>
        <v>2019</v>
      </c>
      <c r="K184" s="196">
        <f t="shared" si="50"/>
        <v>44366</v>
      </c>
      <c r="L184" s="147">
        <f>IF(t&lt;Tvie,1-EXP((T0-t)*PertePVj)+'2020'!Pspv,1-EXP((T0-t)*PertePVj)+Pspv)</f>
        <v>2.4147208013614585E-2</v>
      </c>
      <c r="M184" s="847"/>
      <c r="N184" s="847"/>
      <c r="O184" s="48">
        <f>IF(t&lt;Tnet,'2020'!Resal+('2020'!Salim-'2020'!Resal)*(1-EXP(('2020'!Tnet-t)/('2020'!Tau_j))),Resal+(Salim-Resal)*(1-EXP((Tnet-t)/(Tau_j))))*Salcycl</f>
        <v>1.0496259167781415E-2</v>
      </c>
      <c r="P184" s="168">
        <f>(INDEX(Models!$BJ184:$BT184,,T184)*(1-R184)+INDEX(Models!$BJ184:$BT184,,T184+1)*R184-ERP_i)*Q184*Ramure*Pc/MaxiM</f>
        <v>4.8467994761408975E-4</v>
      </c>
      <c r="Q184" s="304">
        <f t="shared" si="51"/>
        <v>0.5</v>
      </c>
      <c r="R184" s="176">
        <f t="shared" si="52"/>
        <v>0.6120914651896745</v>
      </c>
      <c r="S184" s="814">
        <f t="shared" si="53"/>
        <v>0</v>
      </c>
      <c r="T184" s="175">
        <f t="shared" si="54"/>
        <v>6</v>
      </c>
      <c r="U184" s="250">
        <f t="shared" si="55"/>
        <v>0.6120914651896745</v>
      </c>
      <c r="V184" s="382">
        <f t="shared" si="56"/>
        <v>57.356110708642255</v>
      </c>
      <c r="W184" s="401"/>
      <c r="X184" s="157">
        <f t="shared" si="57"/>
        <v>44366</v>
      </c>
      <c r="Y184" s="384">
        <f t="shared" si="58"/>
        <v>30.900107773236307</v>
      </c>
      <c r="Z184" s="384">
        <f t="shared" si="59"/>
        <v>31.664722412012537</v>
      </c>
      <c r="AA184" s="385">
        <f t="shared" si="60"/>
        <v>33.370615874633167</v>
      </c>
      <c r="AB184" s="196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5.111962778959004E-2</v>
      </c>
      <c r="AD184" s="230">
        <f>(INDEX(Models!$BJ184:$BT184,,AH184)*(1-AF184)+INDEX(Models!$BJ184:$BT184,,AH184+1)*AF184-ERP_i)*AE184*Ramure*Pc/MaxiM</f>
        <v>4.8467994761408975E-4</v>
      </c>
      <c r="AE184" s="304">
        <f t="shared" si="62"/>
        <v>0.5</v>
      </c>
      <c r="AF184" s="176">
        <f t="shared" si="63"/>
        <v>0.6120914651896745</v>
      </c>
      <c r="AG184" s="814">
        <f t="shared" si="71"/>
        <v>0</v>
      </c>
      <c r="AH184" s="175">
        <f t="shared" si="64"/>
        <v>6</v>
      </c>
      <c r="AI184" s="224">
        <f t="shared" si="65"/>
        <v>0.6120914651896745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16">
        <v>33.816000000000003</v>
      </c>
      <c r="C185" s="389"/>
      <c r="D185" s="392">
        <f t="shared" si="48"/>
        <v>34.653526588343176</v>
      </c>
      <c r="E185" s="384">
        <f t="shared" si="72"/>
        <v>35.024000334248306</v>
      </c>
      <c r="F185" s="384">
        <f t="shared" si="49"/>
        <v>35.031103520924049</v>
      </c>
      <c r="G185" s="110">
        <f t="shared" si="73"/>
        <v>0.59005223608778901</v>
      </c>
      <c r="H185" s="413" t="b">
        <f>Wh_hp&gt;='2020'!Maxi_hp</f>
        <v>0</v>
      </c>
      <c r="I185" s="379">
        <f>IF(H185,Wh_hp,'2020'!Maxi_hp)</f>
        <v>58.21085404536079</v>
      </c>
      <c r="J185" s="85">
        <f>IF(H185,An,'2020'!An_max)</f>
        <v>2020</v>
      </c>
      <c r="K185" s="196">
        <f t="shared" si="50"/>
        <v>44367</v>
      </c>
      <c r="L185" s="147">
        <f>IF(t&lt;Tvie,1-EXP((T0-t)*PertePVj)+'2020'!Pspv,1-EXP((T0-t)*PertePVj)+Pspv)</f>
        <v>2.4168581694219315E-2</v>
      </c>
      <c r="M185" s="847"/>
      <c r="N185" s="847"/>
      <c r="O185" s="48">
        <f>IF(t&lt;Tnet,'2020'!Resal+('2020'!Salim-'2020'!Resal)*(1-EXP(('2020'!Tnet-t)/('2020'!Tau_j))),Resal+(Salim-Resal)*(1-EXP((Tnet-t)/(Tau_j))))*Salcycl</f>
        <v>1.0577710780309266E-2</v>
      </c>
      <c r="P185" s="168">
        <f>(INDEX(Models!$BJ185:$BT185,,T185)*(1-R185)+INDEX(Models!$BJ185:$BT185,,T185+1)*R185-ERP_i)*Q185*Ramure*Pc/MaxiM</f>
        <v>4.8906686717416865E-4</v>
      </c>
      <c r="Q185" s="304">
        <f t="shared" si="51"/>
        <v>0.5</v>
      </c>
      <c r="R185" s="176">
        <f t="shared" si="52"/>
        <v>0.61506415203592391</v>
      </c>
      <c r="S185" s="814">
        <f t="shared" si="53"/>
        <v>0</v>
      </c>
      <c r="T185" s="175">
        <f t="shared" si="54"/>
        <v>6</v>
      </c>
      <c r="U185" s="250">
        <f t="shared" si="55"/>
        <v>0.61506415203592391</v>
      </c>
      <c r="V185" s="382">
        <f t="shared" si="56"/>
        <v>57.293769070415294</v>
      </c>
      <c r="W185" s="401"/>
      <c r="X185" s="157">
        <f t="shared" si="57"/>
        <v>44367</v>
      </c>
      <c r="Y185" s="384">
        <f t="shared" si="58"/>
        <v>32.42844812210673</v>
      </c>
      <c r="Z185" s="384">
        <f t="shared" si="59"/>
        <v>33.231608978534801</v>
      </c>
      <c r="AA185" s="385">
        <f t="shared" si="60"/>
        <v>35.024000334248306</v>
      </c>
      <c r="AB185" s="196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5.1176088927820565E-2</v>
      </c>
      <c r="AD185" s="230">
        <f>(INDEX(Models!$BJ185:$BT185,,AH185)*(1-AF185)+INDEX(Models!$BJ185:$BT185,,AH185+1)*AF185-ERP_i)*AE185*Ramure*Pc/MaxiM</f>
        <v>4.8906686717416865E-4</v>
      </c>
      <c r="AE185" s="304">
        <f t="shared" si="62"/>
        <v>0.5</v>
      </c>
      <c r="AF185" s="176">
        <f t="shared" si="63"/>
        <v>0.61506415203592391</v>
      </c>
      <c r="AG185" s="814">
        <f t="shared" si="71"/>
        <v>0</v>
      </c>
      <c r="AH185" s="175">
        <f t="shared" si="64"/>
        <v>6</v>
      </c>
      <c r="AI185" s="224">
        <f t="shared" si="65"/>
        <v>0.61506415203592391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16">
        <v>34.782000000000004</v>
      </c>
      <c r="C186" s="389"/>
      <c r="D186" s="392">
        <f t="shared" si="48"/>
        <v>35.644232373805785</v>
      </c>
      <c r="E186" s="384">
        <f t="shared" si="72"/>
        <v>36.028256575266617</v>
      </c>
      <c r="F186" s="384">
        <f t="shared" si="49"/>
        <v>36.036068141743407</v>
      </c>
      <c r="G186" s="110">
        <f t="shared" si="73"/>
        <v>0.60758493182952811</v>
      </c>
      <c r="H186" s="413" t="b">
        <f>Wh_hp&gt;='2020'!Maxi_hp</f>
        <v>0</v>
      </c>
      <c r="I186" s="379">
        <f>IF(H186,Wh_hp,'2020'!Maxi_hp)</f>
        <v>52.532940622341521</v>
      </c>
      <c r="J186" s="85">
        <f>IF(H186,An,'2020'!An_max)</f>
        <v>2020</v>
      </c>
      <c r="K186" s="196">
        <f t="shared" si="50"/>
        <v>44368</v>
      </c>
      <c r="L186" s="147">
        <f>IF(t&lt;Tvie,1-EXP((T0-t)*PertePVj)+'2020'!Pspv,1-EXP((T0-t)*PertePVj)+Pspv)</f>
        <v>2.4189954906685518E-2</v>
      </c>
      <c r="M186" s="847"/>
      <c r="N186" s="847"/>
      <c r="O186" s="48">
        <f>IF(t&lt;Tnet,'2020'!Resal+('2020'!Salim-'2020'!Resal)*(1-EXP(('2020'!Tnet-t)/('2020'!Tau_j))),Resal+(Salim-Resal)*(1-EXP((Tnet-t)/(Tau_j))))*Salcycl</f>
        <v>1.0658972649941267E-2</v>
      </c>
      <c r="P186" s="168">
        <f>(INDEX(Models!$BJ186:$BT186,,T186)*(1-R186)+INDEX(Models!$BJ186:$BT186,,T186+1)*R186-ERP_i)*Q186*Ramure*Pc/MaxiM</f>
        <v>4.9305645103268501E-4</v>
      </c>
      <c r="Q186" s="304">
        <f t="shared" si="51"/>
        <v>0.5</v>
      </c>
      <c r="R186" s="176">
        <f t="shared" si="52"/>
        <v>0.61801218996569995</v>
      </c>
      <c r="S186" s="814">
        <f t="shared" si="53"/>
        <v>0</v>
      </c>
      <c r="T186" s="175">
        <f t="shared" si="54"/>
        <v>6</v>
      </c>
      <c r="U186" s="250">
        <f t="shared" si="55"/>
        <v>0.61801218996569995</v>
      </c>
      <c r="V186" s="382">
        <f t="shared" si="56"/>
        <v>57.230497871957695</v>
      </c>
      <c r="W186" s="401"/>
      <c r="X186" s="157">
        <f t="shared" si="57"/>
        <v>44368</v>
      </c>
      <c r="Y186" s="384">
        <f t="shared" si="58"/>
        <v>33.355595478882165</v>
      </c>
      <c r="Z186" s="384">
        <f t="shared" si="59"/>
        <v>34.182467834395418</v>
      </c>
      <c r="AA186" s="385">
        <f t="shared" si="60"/>
        <v>36.028256575266617</v>
      </c>
      <c r="AB186" s="196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5.1231697459885851E-2</v>
      </c>
      <c r="AD186" s="230">
        <f>(INDEX(Models!$BJ186:$BT186,,AH186)*(1-AF186)+INDEX(Models!$BJ186:$BT186,,AH186+1)*AF186-ERP_i)*AE186*Ramure*Pc/MaxiM</f>
        <v>4.9305645103268501E-4</v>
      </c>
      <c r="AE186" s="304">
        <f t="shared" si="62"/>
        <v>0.5</v>
      </c>
      <c r="AF186" s="176">
        <f t="shared" si="63"/>
        <v>0.61801218996569995</v>
      </c>
      <c r="AG186" s="814">
        <f t="shared" si="71"/>
        <v>0</v>
      </c>
      <c r="AH186" s="175">
        <f t="shared" si="64"/>
        <v>6</v>
      </c>
      <c r="AI186" s="224">
        <f t="shared" si="65"/>
        <v>0.61801218996569995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16">
        <v>39.236000000000004</v>
      </c>
      <c r="C187" s="389"/>
      <c r="D187" s="392">
        <f t="shared" si="48"/>
        <v>40.209526008893683</v>
      </c>
      <c r="E187" s="384">
        <f t="shared" si="72"/>
        <v>40.646066373174826</v>
      </c>
      <c r="F187" s="384">
        <f t="shared" si="49"/>
        <v>40.657210862541938</v>
      </c>
      <c r="G187" s="110">
        <f t="shared" si="73"/>
        <v>0.6861956722193624</v>
      </c>
      <c r="H187" s="413" t="b">
        <f>Wh_hp&gt;='2020'!Maxi_hp</f>
        <v>0</v>
      </c>
      <c r="I187" s="379">
        <f>IF(H187,Wh_hp,'2020'!Maxi_hp)</f>
        <v>59.462179190219061</v>
      </c>
      <c r="J187" s="85">
        <f>IF(H187,An,'2020'!An_max)</f>
        <v>2020</v>
      </c>
      <c r="K187" s="196">
        <f t="shared" si="50"/>
        <v>44369</v>
      </c>
      <c r="L187" s="147">
        <f>IF(t&lt;Tvie,1-EXP((T0-t)*PertePVj)+'2020'!Pspv,1-EXP((T0-t)*PertePVj)+Pspv)</f>
        <v>2.4211327651023518E-2</v>
      </c>
      <c r="M187" s="847"/>
      <c r="N187" s="847"/>
      <c r="O187" s="48">
        <f>IF(t&lt;Tnet,'2020'!Resal+('2020'!Salim-'2020'!Resal)*(1-EXP(('2020'!Tnet-t)/('2020'!Tau_j))),Resal+(Salim-Resal)*(1-EXP((Tnet-t)/(Tau_j))))*Salcycl</f>
        <v>1.074003964549064E-2</v>
      </c>
      <c r="P187" s="168">
        <f>(INDEX(Models!$BJ187:$BT187,,T187)*(1-R187)+INDEX(Models!$BJ187:$BT187,,T187+1)*R187-ERP_i)*Q187*Ramure*Pc/MaxiM</f>
        <v>4.9663973103897491E-4</v>
      </c>
      <c r="Q187" s="304">
        <f t="shared" si="51"/>
        <v>0.5</v>
      </c>
      <c r="R187" s="176">
        <f t="shared" si="52"/>
        <v>0.62093342732975254</v>
      </c>
      <c r="S187" s="814">
        <f t="shared" si="53"/>
        <v>0</v>
      </c>
      <c r="T187" s="175">
        <f t="shared" si="54"/>
        <v>6</v>
      </c>
      <c r="U187" s="250">
        <f t="shared" si="55"/>
        <v>0.62093342732975254</v>
      </c>
      <c r="V187" s="382">
        <f t="shared" si="56"/>
        <v>57.166298128911073</v>
      </c>
      <c r="W187" s="401"/>
      <c r="X187" s="157">
        <f t="shared" si="57"/>
        <v>44369</v>
      </c>
      <c r="Y187" s="384">
        <f t="shared" si="58"/>
        <v>37.627849623007009</v>
      </c>
      <c r="Z187" s="384">
        <f t="shared" si="59"/>
        <v>38.561474107325935</v>
      </c>
      <c r="AA187" s="385">
        <f t="shared" si="60"/>
        <v>40.646066373174826</v>
      </c>
      <c r="AB187" s="196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5.1286445451082123E-2</v>
      </c>
      <c r="AD187" s="230">
        <f>(INDEX(Models!$BJ187:$BT187,,AH187)*(1-AF187)+INDEX(Models!$BJ187:$BT187,,AH187+1)*AF187-ERP_i)*AE187*Ramure*Pc/MaxiM</f>
        <v>4.9663973103897491E-4</v>
      </c>
      <c r="AE187" s="304">
        <f t="shared" si="62"/>
        <v>0.5</v>
      </c>
      <c r="AF187" s="176">
        <f t="shared" si="63"/>
        <v>0.62093342732975254</v>
      </c>
      <c r="AG187" s="814">
        <f t="shared" si="71"/>
        <v>0</v>
      </c>
      <c r="AH187" s="175">
        <f t="shared" si="64"/>
        <v>6</v>
      </c>
      <c r="AI187" s="224">
        <f t="shared" si="65"/>
        <v>0.62093342732975254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44370</v>
      </c>
      <c r="B188" s="616">
        <v>24.397000000000002</v>
      </c>
      <c r="C188" s="389"/>
      <c r="D188" s="392">
        <f t="shared" si="48"/>
        <v>25.002887469359631</v>
      </c>
      <c r="E188" s="384">
        <f t="shared" si="72"/>
        <v>25.276401057883387</v>
      </c>
      <c r="F188" s="384">
        <f t="shared" si="49"/>
        <v>25.278697972012594</v>
      </c>
      <c r="G188" s="110">
        <f t="shared" si="73"/>
        <v>0.42708444911120863</v>
      </c>
      <c r="H188" s="413" t="b">
        <f>Wh_hp&gt;='2020'!Maxi_hp</f>
        <v>0</v>
      </c>
      <c r="I188" s="379">
        <f>IF(H188,Wh_hp,'2020'!Maxi_hp)</f>
        <v>53.377678678761548</v>
      </c>
      <c r="J188" s="85">
        <f>IF(H188,An,'2020'!An_max)</f>
        <v>2019</v>
      </c>
      <c r="K188" s="196">
        <f t="shared" si="50"/>
        <v>44370</v>
      </c>
      <c r="L188" s="147">
        <f>IF(t&lt;Tvie,1-EXP((T0-t)*PertePVj)+'2020'!Pspv,1-EXP((T0-t)*PertePVj)+Pspv)</f>
        <v>2.4232699927243528E-2</v>
      </c>
      <c r="M188" s="847"/>
      <c r="N188" s="847"/>
      <c r="O188" s="48">
        <f>IF(t&lt;Tnet,'2020'!Resal+('2020'!Salim-'2020'!Resal)*(1-EXP(('2020'!Tnet-t)/('2020'!Tau_j))),Resal+(Salim-Resal)*(1-EXP((Tnet-t)/(Tau_j))))*Salcycl</f>
        <v>1.0820907133788743E-2</v>
      </c>
      <c r="P188" s="168">
        <f>(INDEX(Models!$BJ188:$BT188,,T188)*(1-R188)+INDEX(Models!$BJ188:$BT188,,T188+1)*R188-ERP_i)*Q188*Ramure*Pc/MaxiM</f>
        <v>4.9980310518013625E-4</v>
      </c>
      <c r="Q188" s="304">
        <f t="shared" si="51"/>
        <v>0.5</v>
      </c>
      <c r="R188" s="176">
        <f t="shared" si="52"/>
        <v>0.62382579622848566</v>
      </c>
      <c r="S188" s="814">
        <f t="shared" si="53"/>
        <v>0</v>
      </c>
      <c r="T188" s="175">
        <f t="shared" si="54"/>
        <v>6</v>
      </c>
      <c r="U188" s="250">
        <f t="shared" si="55"/>
        <v>0.62382579622848566</v>
      </c>
      <c r="V188" s="382">
        <f t="shared" si="56"/>
        <v>57.101171086023001</v>
      </c>
      <c r="W188" s="401"/>
      <c r="X188" s="157">
        <f t="shared" si="57"/>
        <v>44370</v>
      </c>
      <c r="Y188" s="384">
        <f t="shared" si="58"/>
        <v>23.397633651969556</v>
      </c>
      <c r="Z188" s="384">
        <f t="shared" si="59"/>
        <v>23.97870235067823</v>
      </c>
      <c r="AA188" s="385">
        <f t="shared" si="60"/>
        <v>25.276401057883387</v>
      </c>
      <c r="AB188" s="196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5.1340327455376575E-2</v>
      </c>
      <c r="AD188" s="230">
        <f>(INDEX(Models!$BJ188:$BT188,,AH188)*(1-AF188)+INDEX(Models!$BJ188:$BT188,,AH188+1)*AF188-ERP_i)*AE188*Ramure*Pc/MaxiM</f>
        <v>4.9980310518013625E-4</v>
      </c>
      <c r="AE188" s="304">
        <f t="shared" si="62"/>
        <v>0.5</v>
      </c>
      <c r="AF188" s="176">
        <f t="shared" si="63"/>
        <v>0.62382579622848566</v>
      </c>
      <c r="AG188" s="814">
        <f t="shared" si="71"/>
        <v>0</v>
      </c>
      <c r="AH188" s="175">
        <f t="shared" si="64"/>
        <v>6</v>
      </c>
      <c r="AI188" s="224">
        <f t="shared" si="65"/>
        <v>0.62382579622848566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16">
        <v>36.619999999999997</v>
      </c>
      <c r="C189" s="389"/>
      <c r="D189" s="392">
        <f t="shared" si="48"/>
        <v>37.530261658512231</v>
      </c>
      <c r="E189" s="384">
        <f t="shared" si="72"/>
        <v>37.943909885881283</v>
      </c>
      <c r="F189" s="384">
        <f t="shared" si="49"/>
        <v>37.953229938444331</v>
      </c>
      <c r="G189" s="110">
        <f t="shared" si="73"/>
        <v>0.64189553562921742</v>
      </c>
      <c r="H189" s="413" t="b">
        <f>Wh_hp&gt;='2020'!Maxi_hp</f>
        <v>0</v>
      </c>
      <c r="I189" s="379">
        <f>IF(H189,Wh_hp,'2020'!Maxi_hp)</f>
        <v>58.686977834802818</v>
      </c>
      <c r="J189" s="85">
        <f>IF(H189,An,'2020'!An_max)</f>
        <v>2020</v>
      </c>
      <c r="K189" s="196">
        <f t="shared" si="50"/>
        <v>44371</v>
      </c>
      <c r="L189" s="147">
        <f>IF(t&lt;Tvie,1-EXP((T0-t)*PertePVj)+'2020'!Pspv,1-EXP((T0-t)*PertePVj)+Pspv)</f>
        <v>2.4254071735355875E-2</v>
      </c>
      <c r="M189" s="847"/>
      <c r="N189" s="847"/>
      <c r="O189" s="48">
        <f>IF(t&lt;Tnet,'2020'!Resal+('2020'!Salim-'2020'!Resal)*(1-EXP(('2020'!Tnet-t)/('2020'!Tau_j))),Resal+(Salim-Resal)*(1-EXP((Tnet-t)/(Tau_j))))*Salcycl</f>
        <v>1.0901570992897899E-2</v>
      </c>
      <c r="P189" s="168">
        <f>(INDEX(Models!$BJ189:$BT189,,T189)*(1-R189)+INDEX(Models!$BJ189:$BT189,,T189+1)*R189-ERP_i)*Q189*Ramure*Pc/MaxiM</f>
        <v>5.0253307697769212E-4</v>
      </c>
      <c r="Q189" s="304">
        <f t="shared" si="51"/>
        <v>0.5</v>
      </c>
      <c r="R189" s="176">
        <f t="shared" si="52"/>
        <v>0.62668731765741115</v>
      </c>
      <c r="S189" s="814">
        <f t="shared" si="53"/>
        <v>0</v>
      </c>
      <c r="T189" s="175">
        <f t="shared" si="54"/>
        <v>6</v>
      </c>
      <c r="U189" s="250">
        <f t="shared" si="55"/>
        <v>0.62668731765741115</v>
      </c>
      <c r="V189" s="382">
        <f t="shared" si="56"/>
        <v>57.035117944905593</v>
      </c>
      <c r="W189" s="401"/>
      <c r="X189" s="157">
        <f t="shared" si="57"/>
        <v>44371</v>
      </c>
      <c r="Y189" s="384">
        <f t="shared" si="58"/>
        <v>35.120848291963277</v>
      </c>
      <c r="Z189" s="384">
        <f t="shared" si="59"/>
        <v>35.993845605305687</v>
      </c>
      <c r="AA189" s="385">
        <f t="shared" si="60"/>
        <v>37.943909885881283</v>
      </c>
      <c r="AB189" s="196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5.1393340497606556E-2</v>
      </c>
      <c r="AD189" s="230">
        <f>(INDEX(Models!$BJ189:$BT189,,AH189)*(1-AF189)+INDEX(Models!$BJ189:$BT189,,AH189+1)*AF189-ERP_i)*AE189*Ramure*Pc/MaxiM</f>
        <v>5.0253307697769212E-4</v>
      </c>
      <c r="AE189" s="304">
        <f t="shared" si="62"/>
        <v>0.5</v>
      </c>
      <c r="AF189" s="176">
        <f t="shared" si="63"/>
        <v>0.62668731765741115</v>
      </c>
      <c r="AG189" s="814">
        <f t="shared" si="71"/>
        <v>0</v>
      </c>
      <c r="AH189" s="175">
        <f t="shared" si="64"/>
        <v>6</v>
      </c>
      <c r="AI189" s="224">
        <f t="shared" si="65"/>
        <v>0.62668731765741115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16">
        <v>52.405000000000001</v>
      </c>
      <c r="C190" s="389"/>
      <c r="D190" s="392">
        <f t="shared" si="48"/>
        <v>53.708805039379648</v>
      </c>
      <c r="E190" s="384">
        <f t="shared" si="72"/>
        <v>54.305186093079023</v>
      </c>
      <c r="F190" s="384">
        <f t="shared" si="49"/>
        <v>54.329474393927917</v>
      </c>
      <c r="G190" s="110">
        <f t="shared" si="73"/>
        <v>0.91984698518094732</v>
      </c>
      <c r="H190" s="413" t="b">
        <f>Wh_hp&gt;='2020'!Maxi_hp</f>
        <v>0</v>
      </c>
      <c r="I190" s="379">
        <f>IF(H190,Wh_hp,'2020'!Maxi_hp)</f>
        <v>55.730397600386027</v>
      </c>
      <c r="J190" s="85">
        <f>IF(H190,An,'2020'!An_max)</f>
        <v>2020</v>
      </c>
      <c r="K190" s="196">
        <f t="shared" si="50"/>
        <v>44372</v>
      </c>
      <c r="L190" s="147">
        <f>IF(t&lt;Tvie,1-EXP((T0-t)*PertePVj)+'2020'!Pspv,1-EXP((T0-t)*PertePVj)+Pspv)</f>
        <v>2.4275443075370773E-2</v>
      </c>
      <c r="M190" s="847"/>
      <c r="N190" s="847"/>
      <c r="O190" s="48">
        <f>IF(t&lt;Tnet,'2020'!Resal+('2020'!Salim-'2020'!Resal)*(1-EXP(('2020'!Tnet-t)/('2020'!Tau_j))),Resal+(Salim-Resal)*(1-EXP((Tnet-t)/(Tau_j))))*Salcycl</f>
        <v>1.0982027622134929E-2</v>
      </c>
      <c r="P190" s="168">
        <f>(INDEX(Models!$BJ190:$BT190,,T190)*(1-R190)+INDEX(Models!$BJ190:$BT190,,T190+1)*R190-ERP_i)*Q190*Ramure*Pc/MaxiM</f>
        <v>5.0482160151826892E-4</v>
      </c>
      <c r="Q190" s="304">
        <f t="shared" si="51"/>
        <v>0.5</v>
      </c>
      <c r="R190" s="176">
        <f t="shared" si="52"/>
        <v>0.6295161060919966</v>
      </c>
      <c r="S190" s="814">
        <f t="shared" si="53"/>
        <v>0</v>
      </c>
      <c r="T190" s="175">
        <f t="shared" si="54"/>
        <v>6</v>
      </c>
      <c r="U190" s="250">
        <f t="shared" si="55"/>
        <v>0.6295161060919966</v>
      </c>
      <c r="V190" s="382">
        <f t="shared" si="56"/>
        <v>56.968139557837574</v>
      </c>
      <c r="W190" s="401"/>
      <c r="X190" s="157">
        <f t="shared" si="57"/>
        <v>44372</v>
      </c>
      <c r="Y190" s="384">
        <f t="shared" si="58"/>
        <v>50.260966733765507</v>
      </c>
      <c r="Z190" s="384">
        <f t="shared" si="59"/>
        <v>51.511429508530824</v>
      </c>
      <c r="AA190" s="385">
        <f t="shared" si="60"/>
        <v>54.305186093079023</v>
      </c>
      <c r="AB190" s="196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5.1445484041978982E-2</v>
      </c>
      <c r="AD190" s="230">
        <f>(INDEX(Models!$BJ190:$BT190,,AH190)*(1-AF190)+INDEX(Models!$BJ190:$BT190,,AH190+1)*AF190-ERP_i)*AE190*Ramure*Pc/MaxiM</f>
        <v>5.0482160151826892E-4</v>
      </c>
      <c r="AE190" s="304">
        <f t="shared" si="62"/>
        <v>0.5</v>
      </c>
      <c r="AF190" s="176">
        <f t="shared" si="63"/>
        <v>0.6295161060919966</v>
      </c>
      <c r="AG190" s="814">
        <f t="shared" si="71"/>
        <v>0</v>
      </c>
      <c r="AH190" s="175">
        <f t="shared" si="64"/>
        <v>6</v>
      </c>
      <c r="AI190" s="224">
        <f t="shared" si="65"/>
        <v>0.6295161060919966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16">
        <v>54.678000000000004</v>
      </c>
      <c r="C191" s="389"/>
      <c r="D191" s="392">
        <f t="shared" si="48"/>
        <v>56.039583329849492</v>
      </c>
      <c r="E191" s="384">
        <f t="shared" si="72"/>
        <v>56.666443046536074</v>
      </c>
      <c r="F191" s="384">
        <f t="shared" si="49"/>
        <v>56.693565123895979</v>
      </c>
      <c r="G191" s="110">
        <f t="shared" si="73"/>
        <v>0.96092168658268928</v>
      </c>
      <c r="H191" s="413" t="b">
        <f>Wh_hp&gt;='2020'!Maxi_hp</f>
        <v>0</v>
      </c>
      <c r="I191" s="379">
        <f>IF(H191,Wh_hp,'2020'!Maxi_hp)</f>
        <v>57.645147266339038</v>
      </c>
      <c r="J191" s="85">
        <f>IF(H191,An,'2020'!An_max)</f>
        <v>2019</v>
      </c>
      <c r="K191" s="196">
        <f t="shared" si="50"/>
        <v>44373</v>
      </c>
      <c r="L191" s="147">
        <f>IF(t&lt;Tvie,1-EXP((T0-t)*PertePVj)+'2020'!Pspv,1-EXP((T0-t)*PertePVj)+Pspv)</f>
        <v>2.4296813947298546E-2</v>
      </c>
      <c r="M191" s="847"/>
      <c r="N191" s="847"/>
      <c r="O191" s="48">
        <f>IF(t&lt;Tnet,'2020'!Resal+('2020'!Salim-'2020'!Resal)*(1-EXP(('2020'!Tnet-t)/('2020'!Tau_j))),Resal+(Salim-Resal)*(1-EXP((Tnet-t)/(Tau_j))))*Salcycl</f>
        <v>1.1062273948830494E-2</v>
      </c>
      <c r="P191" s="168">
        <f>(INDEX(Models!$BJ191:$BT191,,T191)*(1-R191)+INDEX(Models!$BJ191:$BT191,,T191+1)*R191-ERP_i)*Q191*Ramure*Pc/MaxiM</f>
        <v>5.0666320228146368E-4</v>
      </c>
      <c r="Q191" s="304">
        <f t="shared" si="51"/>
        <v>0.5</v>
      </c>
      <c r="R191" s="176">
        <f t="shared" si="52"/>
        <v>0.63231037349649599</v>
      </c>
      <c r="S191" s="814">
        <f t="shared" si="53"/>
        <v>0</v>
      </c>
      <c r="T191" s="175">
        <f t="shared" si="54"/>
        <v>6</v>
      </c>
      <c r="U191" s="250">
        <f t="shared" si="55"/>
        <v>0.63231037349649599</v>
      </c>
      <c r="V191" s="382">
        <f t="shared" si="56"/>
        <v>56.900010197059153</v>
      </c>
      <c r="W191" s="401"/>
      <c r="X191" s="157">
        <f t="shared" si="57"/>
        <v>44373</v>
      </c>
      <c r="Y191" s="384">
        <f t="shared" si="58"/>
        <v>52.442392269428254</v>
      </c>
      <c r="Z191" s="384">
        <f t="shared" si="59"/>
        <v>53.748304831911902</v>
      </c>
      <c r="AA191" s="385">
        <f t="shared" si="60"/>
        <v>56.666443046536074</v>
      </c>
      <c r="AB191" s="196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5.149675994711226E-2</v>
      </c>
      <c r="AD191" s="230">
        <f>(INDEX(Models!$BJ191:$BT191,,AH191)*(1-AF191)+INDEX(Models!$BJ191:$BT191,,AH191+1)*AF191-ERP_i)*AE191*Ramure*Pc/MaxiM</f>
        <v>5.0666320228146368E-4</v>
      </c>
      <c r="AE191" s="304">
        <f t="shared" si="62"/>
        <v>0.5</v>
      </c>
      <c r="AF191" s="176">
        <f t="shared" si="63"/>
        <v>0.63231037349649599</v>
      </c>
      <c r="AG191" s="814">
        <f t="shared" si="71"/>
        <v>0</v>
      </c>
      <c r="AH191" s="175">
        <f t="shared" si="64"/>
        <v>6</v>
      </c>
      <c r="AI191" s="224">
        <f t="shared" si="65"/>
        <v>0.63231037349649599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44374</v>
      </c>
      <c r="B192" s="616">
        <v>7.8029999999999999</v>
      </c>
      <c r="C192" s="389"/>
      <c r="D192" s="392">
        <f t="shared" si="48"/>
        <v>7.9974842974918277</v>
      </c>
      <c r="E192" s="384">
        <f t="shared" si="72"/>
        <v>8.0875988098156579</v>
      </c>
      <c r="F192" s="384">
        <f t="shared" si="49"/>
        <v>8.0875988098156579</v>
      </c>
      <c r="G192" s="110">
        <f t="shared" si="73"/>
        <v>0.13723309724648397</v>
      </c>
      <c r="H192" s="413" t="b">
        <f>Wh_hp&gt;='2020'!Maxi_hp</f>
        <v>0</v>
      </c>
      <c r="I192" s="379">
        <f>IF(H192,Wh_hp,'2020'!Maxi_hp)</f>
        <v>57.559954834573851</v>
      </c>
      <c r="J192" s="85">
        <f>IF(H192,An,'2020'!An_max)</f>
        <v>2019</v>
      </c>
      <c r="K192" s="196">
        <f t="shared" si="50"/>
        <v>44374</v>
      </c>
      <c r="L192" s="147">
        <f>IF(t&lt;Tvie,1-EXP((T0-t)*PertePVj)+'2020'!Pspv,1-EXP((T0-t)*PertePVj)+Pspv)</f>
        <v>2.4318184351149297E-2</v>
      </c>
      <c r="M192" s="847"/>
      <c r="N192" s="847"/>
      <c r="O192" s="48">
        <f>IF(t&lt;Tnet,'2020'!Resal+('2020'!Salim-'2020'!Resal)*(1-EXP(('2020'!Tnet-t)/('2020'!Tau_j))),Resal+(Salim-Resal)*(1-EXP((Tnet-t)/(Tau_j))))*Salcycl</f>
        <v>1.1142307431775919E-2</v>
      </c>
      <c r="P192" s="168">
        <f>(INDEX(Models!$BJ192:$BT192,,T192)*(1-R192)+INDEX(Models!$BJ192:$BT192,,T192+1)*R192-ERP_i)*Q192*Ramure*Pc/MaxiM</f>
        <v>5.0787992879211996E-4</v>
      </c>
      <c r="Q192" s="304">
        <f t="shared" si="51"/>
        <v>0.5</v>
      </c>
      <c r="R192" s="176">
        <f t="shared" si="52"/>
        <v>0.63506843274712632</v>
      </c>
      <c r="S192" s="814">
        <f t="shared" si="53"/>
        <v>0</v>
      </c>
      <c r="T192" s="175">
        <f t="shared" si="54"/>
        <v>6</v>
      </c>
      <c r="U192" s="250">
        <f t="shared" si="55"/>
        <v>0.63506843274712632</v>
      </c>
      <c r="V192" s="382">
        <f t="shared" si="56"/>
        <v>56.830583652191471</v>
      </c>
      <c r="W192" s="401"/>
      <c r="X192" s="157">
        <f t="shared" si="57"/>
        <v>44374</v>
      </c>
      <c r="Y192" s="384">
        <f t="shared" si="58"/>
        <v>7.4841683179706031</v>
      </c>
      <c r="Z192" s="384">
        <f t="shared" si="59"/>
        <v>7.6707059595996059</v>
      </c>
      <c r="AA192" s="385">
        <f t="shared" si="60"/>
        <v>8.0875988098156579</v>
      </c>
      <c r="AB192" s="196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5.1547172407968876E-2</v>
      </c>
      <c r="AD192" s="230">
        <f>(INDEX(Models!$BJ192:$BT192,,AH192)*(1-AF192)+INDEX(Models!$BJ192:$BT192,,AH192+1)*AF192-ERP_i)*AE192*Ramure*Pc/MaxiM</f>
        <v>5.0787992879211996E-4</v>
      </c>
      <c r="AE192" s="304">
        <f t="shared" si="62"/>
        <v>0.5</v>
      </c>
      <c r="AF192" s="176">
        <f t="shared" si="63"/>
        <v>0.63506843274712632</v>
      </c>
      <c r="AG192" s="814">
        <f t="shared" si="71"/>
        <v>0</v>
      </c>
      <c r="AH192" s="175">
        <f t="shared" si="64"/>
        <v>6</v>
      </c>
      <c r="AI192" s="224">
        <f t="shared" si="65"/>
        <v>0.63506843274712632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16">
        <v>24.439</v>
      </c>
      <c r="C193" s="389"/>
      <c r="D193" s="392">
        <f t="shared" si="48"/>
        <v>25.017903127565543</v>
      </c>
      <c r="E193" s="384">
        <f t="shared" si="72"/>
        <v>25.301843606097396</v>
      </c>
      <c r="F193" s="384">
        <f t="shared" si="49"/>
        <v>25.304234638489817</v>
      </c>
      <c r="G193" s="110">
        <f t="shared" si="73"/>
        <v>0.4298606037946926</v>
      </c>
      <c r="H193" s="413" t="b">
        <f>Wh_hp&gt;='2020'!Maxi_hp</f>
        <v>0</v>
      </c>
      <c r="I193" s="379">
        <f>IF(H193,Wh_hp,'2020'!Maxi_hp)</f>
        <v>56.223471140194263</v>
      </c>
      <c r="J193" s="85">
        <f>IF(H193,An,'2020'!An_max)</f>
        <v>2019</v>
      </c>
      <c r="K193" s="196">
        <f t="shared" si="50"/>
        <v>44375</v>
      </c>
      <c r="L193" s="147">
        <f>IF(t&lt;Tvie,1-EXP((T0-t)*PertePVj)+'2020'!Pspv,1-EXP((T0-t)*PertePVj)+Pspv)</f>
        <v>2.3139554286933352E-2</v>
      </c>
      <c r="M193" s="847"/>
      <c r="N193" s="847"/>
      <c r="O193" s="48">
        <f>IF(t&lt;Tnet,'2020'!Resal+('2020'!Salim-'2020'!Resal)*(1-EXP(('2020'!Tnet-t)/('2020'!Tau_j))),Resal+(Salim-Resal)*(1-EXP((Tnet-t)/(Tau_j))))*Salcycl</f>
        <v>1.1222126061336785E-2</v>
      </c>
      <c r="P193" s="168">
        <f>(INDEX(Models!$BJ193:$BT193,,T193)*(1-R193)+INDEX(Models!$BJ193:$BT193,,T193+1)*R193-ERP_i)*Q193*Ramure*Pc/MaxiM</f>
        <v>5.0864829604527987E-4</v>
      </c>
      <c r="Q193" s="304">
        <f t="shared" si="51"/>
        <v>0.5</v>
      </c>
      <c r="R193" s="176">
        <f t="shared" si="52"/>
        <v>0.63778870046562397</v>
      </c>
      <c r="S193" s="814">
        <f t="shared" si="53"/>
        <v>0</v>
      </c>
      <c r="T193" s="175">
        <f t="shared" si="54"/>
        <v>6</v>
      </c>
      <c r="U193" s="250">
        <f t="shared" si="55"/>
        <v>0.63778870046562397</v>
      </c>
      <c r="V193" s="382">
        <f t="shared" si="56"/>
        <v>56.829765852731221</v>
      </c>
      <c r="W193" s="401"/>
      <c r="X193" s="157">
        <f t="shared" si="57"/>
        <v>44375</v>
      </c>
      <c r="Y193" s="384">
        <f t="shared" si="58"/>
        <v>23.441086393740559</v>
      </c>
      <c r="Z193" s="384">
        <f t="shared" si="59"/>
        <v>23.996351266561479</v>
      </c>
      <c r="AA193" s="385">
        <f t="shared" si="60"/>
        <v>25.301843606097396</v>
      </c>
      <c r="AB193" s="196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5.1596727885129728E-2</v>
      </c>
      <c r="AD193" s="230">
        <f>(INDEX(Models!$BJ193:$BT193,,AH193)*(1-AF193)+INDEX(Models!$BJ193:$BT193,,AH193+1)*AF193-ERP_i)*AE193*Ramure*Pc/MaxiM</f>
        <v>5.0864829604527987E-4</v>
      </c>
      <c r="AE193" s="304">
        <f t="shared" si="62"/>
        <v>0.5</v>
      </c>
      <c r="AF193" s="176">
        <f t="shared" si="63"/>
        <v>0.63778870046562397</v>
      </c>
      <c r="AG193" s="814">
        <f t="shared" si="71"/>
        <v>0</v>
      </c>
      <c r="AH193" s="175">
        <f t="shared" si="64"/>
        <v>6</v>
      </c>
      <c r="AI193" s="224">
        <f t="shared" si="65"/>
        <v>0.63778870046562397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44376</v>
      </c>
      <c r="B194" s="616">
        <v>37.145000000000003</v>
      </c>
      <c r="C194" s="389"/>
      <c r="D194" s="392">
        <f t="shared" si="48"/>
        <v>38.025710583542235</v>
      </c>
      <c r="E194" s="384">
        <f t="shared" si="72"/>
        <v>38.460379343358824</v>
      </c>
      <c r="F194" s="384">
        <f t="shared" si="49"/>
        <v>38.470293653107198</v>
      </c>
      <c r="G194" s="110">
        <f t="shared" si="73"/>
        <v>0.65428125903882728</v>
      </c>
      <c r="H194" s="413" t="b">
        <f>Wh_hp&gt;='2020'!Maxi_hp</f>
        <v>0</v>
      </c>
      <c r="I194" s="379">
        <f>IF(H194,Wh_hp,'2020'!Maxi_hp)</f>
        <v>55.361812565230082</v>
      </c>
      <c r="J194" s="85">
        <f>IF(H194,An,'2020'!An_max)</f>
        <v>2019</v>
      </c>
      <c r="K194" s="196">
        <f t="shared" si="50"/>
        <v>44376</v>
      </c>
      <c r="L194" s="147">
        <f>IF(t&lt;Tvie,1-EXP((T0-t)*PertePVj)+'2020'!Pspv,1-EXP((T0-t)*PertePVj)+Pspv)</f>
        <v>2.3160923754661035E-2</v>
      </c>
      <c r="M194" s="847"/>
      <c r="N194" s="847"/>
      <c r="O194" s="48">
        <f>IF(t&lt;Tnet,'2020'!Resal+('2020'!Salim-'2020'!Resal)*(1-EXP(('2020'!Tnet-t)/('2020'!Tau_j))),Resal+(Salim-Resal)*(1-EXP((Tnet-t)/(Tau_j))))*Salcycl</f>
        <v>1.1301728356240024E-2</v>
      </c>
      <c r="P194" s="168">
        <f>(INDEX(Models!$BJ194:$BT194,,T194)*(1-R194)+INDEX(Models!$BJ194:$BT194,,T194+1)*R194-ERP_i)*Q194*Ramure*Pc/MaxiM</f>
        <v>5.0896190015617263E-4</v>
      </c>
      <c r="Q194" s="304">
        <f t="shared" si="51"/>
        <v>0.5</v>
      </c>
      <c r="R194" s="176">
        <f t="shared" si="52"/>
        <v>0.64046969926468744</v>
      </c>
      <c r="S194" s="814">
        <f t="shared" si="53"/>
        <v>0</v>
      </c>
      <c r="T194" s="175">
        <f t="shared" si="54"/>
        <v>6</v>
      </c>
      <c r="U194" s="250">
        <f t="shared" si="55"/>
        <v>0.64046969926468744</v>
      </c>
      <c r="V194" s="382">
        <f t="shared" si="56"/>
        <v>56.757953029007773</v>
      </c>
      <c r="W194" s="401"/>
      <c r="X194" s="157">
        <f t="shared" si="57"/>
        <v>44376</v>
      </c>
      <c r="Y194" s="384">
        <f t="shared" si="58"/>
        <v>35.629303020367622</v>
      </c>
      <c r="Z194" s="384">
        <f t="shared" si="59"/>
        <v>36.474076321061411</v>
      </c>
      <c r="AA194" s="385">
        <f t="shared" si="60"/>
        <v>38.460379343358824</v>
      </c>
      <c r="AB194" s="196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5.1645435021961013E-2</v>
      </c>
      <c r="AD194" s="230">
        <f>(INDEX(Models!$BJ194:$BT194,,AH194)*(1-AF194)+INDEX(Models!$BJ194:$BT194,,AH194+1)*AF194-ERP_i)*AE194*Ramure*Pc/MaxiM</f>
        <v>5.0896190015617263E-4</v>
      </c>
      <c r="AE194" s="304">
        <f t="shared" si="62"/>
        <v>0.5</v>
      </c>
      <c r="AF194" s="176">
        <f t="shared" si="63"/>
        <v>0.64046969926468744</v>
      </c>
      <c r="AG194" s="814">
        <f t="shared" si="71"/>
        <v>0</v>
      </c>
      <c r="AH194" s="175">
        <f t="shared" si="64"/>
        <v>6</v>
      </c>
      <c r="AI194" s="224">
        <f t="shared" si="65"/>
        <v>0.64046969926468744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44377</v>
      </c>
      <c r="B195" s="616">
        <v>46.722000000000001</v>
      </c>
      <c r="C195" s="389"/>
      <c r="D195" s="392">
        <f t="shared" si="48"/>
        <v>47.830828263486829</v>
      </c>
      <c r="E195" s="384">
        <f t="shared" si="72"/>
        <v>48.38146318032296</v>
      </c>
      <c r="F195" s="384">
        <f t="shared" si="49"/>
        <v>48.399906283705654</v>
      </c>
      <c r="G195" s="110">
        <f t="shared" si="73"/>
        <v>0.82413173873347323</v>
      </c>
      <c r="H195" s="413" t="b">
        <f>Wh_hp&gt;='2020'!Maxi_hp</f>
        <v>0</v>
      </c>
      <c r="I195" s="379">
        <f>IF(H195,Wh_hp,'2020'!Maxi_hp)</f>
        <v>52.079984666293029</v>
      </c>
      <c r="J195" s="85">
        <f>IF(H195,An,'2020'!An_max)</f>
        <v>2019</v>
      </c>
      <c r="K195" s="196">
        <f t="shared" si="50"/>
        <v>44377</v>
      </c>
      <c r="L195" s="147">
        <f>IF(t&lt;Tvie,1-EXP((T0-t)*PertePVj)+'2020'!Pspv,1-EXP((T0-t)*PertePVj)+Pspv)</f>
        <v>2.318229275434245E-2</v>
      </c>
      <c r="M195" s="847"/>
      <c r="N195" s="847"/>
      <c r="O195" s="48">
        <f>IF(t&lt;Tnet,'2020'!Resal+('2020'!Salim-'2020'!Resal)*(1-EXP(('2020'!Tnet-t)/('2020'!Tau_j))),Resal+(Salim-Resal)*(1-EXP((Tnet-t)/(Tau_j))))*Salcycl</f>
        <v>1.1381113357069282E-2</v>
      </c>
      <c r="P195" s="168">
        <f>(INDEX(Models!$BJ195:$BT195,,T195)*(1-R195)+INDEX(Models!$BJ195:$BT195,,T195+1)*R195-ERP_i)*Q195*Ramure*Pc/MaxiM</f>
        <v>5.0881485527645882E-4</v>
      </c>
      <c r="Q195" s="304">
        <f t="shared" si="51"/>
        <v>0.5</v>
      </c>
      <c r="R195" s="176">
        <f t="shared" si="52"/>
        <v>0.64311005941202071</v>
      </c>
      <c r="S195" s="814">
        <f t="shared" si="53"/>
        <v>0</v>
      </c>
      <c r="T195" s="175">
        <f t="shared" si="54"/>
        <v>6</v>
      </c>
      <c r="U195" s="250">
        <f t="shared" si="55"/>
        <v>0.64311005941202071</v>
      </c>
      <c r="V195" s="382">
        <f t="shared" si="56"/>
        <v>56.685146812590851</v>
      </c>
      <c r="W195" s="401"/>
      <c r="X195" s="157">
        <f t="shared" si="57"/>
        <v>44377</v>
      </c>
      <c r="Y195" s="384">
        <f t="shared" si="58"/>
        <v>44.816851087331813</v>
      </c>
      <c r="Z195" s="384">
        <f t="shared" si="59"/>
        <v>45.880465469552476</v>
      </c>
      <c r="AA195" s="385">
        <f t="shared" si="60"/>
        <v>48.38146318032296</v>
      </c>
      <c r="AB195" s="196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5.1693304550319022E-2</v>
      </c>
      <c r="AD195" s="230">
        <f>(INDEX(Models!$BJ195:$BT195,,AH195)*(1-AF195)+INDEX(Models!$BJ195:$BT195,,AH195+1)*AF195-ERP_i)*AE195*Ramure*Pc/MaxiM</f>
        <v>5.0881485527645882E-4</v>
      </c>
      <c r="AE195" s="304">
        <f t="shared" si="62"/>
        <v>0.5</v>
      </c>
      <c r="AF195" s="176">
        <f t="shared" si="63"/>
        <v>0.64311005941202071</v>
      </c>
      <c r="AG195" s="814">
        <f t="shared" si="71"/>
        <v>0</v>
      </c>
      <c r="AH195" s="175">
        <f t="shared" si="64"/>
        <v>6</v>
      </c>
      <c r="AI195" s="224">
        <f t="shared" si="65"/>
        <v>0.64311005941202071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44378</v>
      </c>
      <c r="B196" s="616">
        <v>53.350999999999999</v>
      </c>
      <c r="C196" s="389"/>
      <c r="D196" s="392">
        <f t="shared" si="48"/>
        <v>54.618345591096848</v>
      </c>
      <c r="E196" s="384">
        <f t="shared" si="72"/>
        <v>55.251543787396947</v>
      </c>
      <c r="F196" s="384">
        <f t="shared" si="49"/>
        <v>55.277324509879548</v>
      </c>
      <c r="G196" s="110">
        <f t="shared" si="73"/>
        <v>0.94236706620855015</v>
      </c>
      <c r="H196" s="413" t="b">
        <f>Wh_hp&gt;='2020'!Maxi_hp</f>
        <v>0</v>
      </c>
      <c r="I196" s="379">
        <f>IF(H196,Wh_hp,'2020'!Maxi_hp)</f>
        <v>57.002748716265671</v>
      </c>
      <c r="J196" s="85">
        <f>IF(H196,An,'2020'!An_max)</f>
        <v>2020</v>
      </c>
      <c r="K196" s="196">
        <f t="shared" si="50"/>
        <v>44378</v>
      </c>
      <c r="L196" s="147">
        <f>IF(t&lt;Tvie,1-EXP((T0-t)*PertePVj)+'2020'!Pspv,1-EXP((T0-t)*PertePVj)+Pspv)</f>
        <v>2.3203661285988032E-2</v>
      </c>
      <c r="M196" s="847"/>
      <c r="N196" s="847"/>
      <c r="O196" s="48">
        <f>IF(t&lt;Tnet,'2020'!Resal+('2020'!Salim-'2020'!Resal)*(1-EXP(('2020'!Tnet-t)/('2020'!Tau_j))),Resal+(Salim-Resal)*(1-EXP((Tnet-t)/(Tau_j))))*Salcycl</f>
        <v>1.1460280616530616E-2</v>
      </c>
      <c r="P196" s="168">
        <f>(INDEX(Models!$BJ196:$BT196,,T196)*(1-R196)+INDEX(Models!$BJ196:$BT196,,T196+1)*R196-ERP_i)*Q196*Ramure*Pc/MaxiM</f>
        <v>5.0820178951666744E-4</v>
      </c>
      <c r="Q196" s="304">
        <f t="shared" si="51"/>
        <v>0.5</v>
      </c>
      <c r="R196" s="176">
        <f t="shared" si="52"/>
        <v>0.64570851992458644</v>
      </c>
      <c r="S196" s="814">
        <f t="shared" si="53"/>
        <v>0</v>
      </c>
      <c r="T196" s="175">
        <f t="shared" si="54"/>
        <v>6</v>
      </c>
      <c r="U196" s="250">
        <f t="shared" si="55"/>
        <v>0.64570851992458644</v>
      </c>
      <c r="V196" s="382">
        <f t="shared" si="56"/>
        <v>56.611452272490894</v>
      </c>
      <c r="W196" s="401"/>
      <c r="X196" s="157">
        <f t="shared" si="57"/>
        <v>44378</v>
      </c>
      <c r="Y196" s="384">
        <f t="shared" si="58"/>
        <v>51.177104610581743</v>
      </c>
      <c r="Z196" s="384">
        <f t="shared" si="59"/>
        <v>52.392809618797578</v>
      </c>
      <c r="AA196" s="385">
        <f t="shared" si="60"/>
        <v>55.251543787396947</v>
      </c>
      <c r="AB196" s="196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5.1740349185527258E-2</v>
      </c>
      <c r="AD196" s="230">
        <f>(INDEX(Models!$BJ196:$BT196,,AH196)*(1-AF196)+INDEX(Models!$BJ196:$BT196,,AH196+1)*AF196-ERP_i)*AE196*Ramure*Pc/MaxiM</f>
        <v>5.0820178951666744E-4</v>
      </c>
      <c r="AE196" s="304">
        <f t="shared" si="62"/>
        <v>0.5</v>
      </c>
      <c r="AF196" s="176">
        <f t="shared" si="63"/>
        <v>0.64570851992458644</v>
      </c>
      <c r="AG196" s="814">
        <f t="shared" si="71"/>
        <v>0</v>
      </c>
      <c r="AH196" s="175">
        <f t="shared" si="64"/>
        <v>6</v>
      </c>
      <c r="AI196" s="224">
        <f t="shared" si="65"/>
        <v>0.64570851992458644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44379</v>
      </c>
      <c r="B197" s="616">
        <v>51.992000000000004</v>
      </c>
      <c r="C197" s="389"/>
      <c r="D197" s="392">
        <f t="shared" si="48"/>
        <v>53.228227137495942</v>
      </c>
      <c r="E197" s="384">
        <f t="shared" si="72"/>
        <v>53.849610184876738</v>
      </c>
      <c r="F197" s="384">
        <f t="shared" si="49"/>
        <v>53.87379302070552</v>
      </c>
      <c r="G197" s="110">
        <f t="shared" si="73"/>
        <v>0.91955700291212905</v>
      </c>
      <c r="H197" s="413" t="b">
        <f>Wh_hp&gt;='2020'!Maxi_hp</f>
        <v>1</v>
      </c>
      <c r="I197" s="379">
        <f>IF(H197,Wh_hp,'2020'!Maxi_hp)</f>
        <v>53.87379302070552</v>
      </c>
      <c r="J197" s="85">
        <f>IF(H197,An,'2020'!An_max)</f>
        <v>2021</v>
      </c>
      <c r="K197" s="196">
        <f t="shared" si="50"/>
        <v>44379</v>
      </c>
      <c r="L197" s="147">
        <f>IF(t&lt;Tvie,1-EXP((T0-t)*PertePVj)+'2020'!Pspv,1-EXP((T0-t)*PertePVj)+Pspv)</f>
        <v>2.3225029349607886E-2</v>
      </c>
      <c r="M197" s="847"/>
      <c r="N197" s="847"/>
      <c r="O197" s="48">
        <f>IF(t&lt;Tnet,'2020'!Resal+('2020'!Salim-'2020'!Resal)*(1-EXP(('2020'!Tnet-t)/('2020'!Tau_j))),Resal+(Salim-Resal)*(1-EXP((Tnet-t)/(Tau_j))))*Salcycl</f>
        <v>1.1539230186578235E-2</v>
      </c>
      <c r="P197" s="168">
        <f>(INDEX(Models!$BJ197:$BT197,,T197)*(1-R197)+INDEX(Models!$BJ197:$BT197,,T197+1)*R197-ERP_i)*Q197*Ramure*Pc/MaxiM</f>
        <v>5.0711783745774016E-4</v>
      </c>
      <c r="Q197" s="304">
        <f t="shared" si="51"/>
        <v>0.5</v>
      </c>
      <c r="R197" s="176">
        <f t="shared" si="52"/>
        <v>0.64826392910918285</v>
      </c>
      <c r="S197" s="814">
        <f t="shared" si="53"/>
        <v>0</v>
      </c>
      <c r="T197" s="175">
        <f t="shared" si="54"/>
        <v>6</v>
      </c>
      <c r="U197" s="250">
        <f t="shared" si="55"/>
        <v>0.64826392910918285</v>
      </c>
      <c r="V197" s="382">
        <f t="shared" si="56"/>
        <v>56.536974372087435</v>
      </c>
      <c r="W197" s="401"/>
      <c r="X197" s="157">
        <f t="shared" si="57"/>
        <v>44379</v>
      </c>
      <c r="Y197" s="384">
        <f t="shared" si="58"/>
        <v>49.875031418170124</v>
      </c>
      <c r="Z197" s="384">
        <f t="shared" si="59"/>
        <v>51.060922849978951</v>
      </c>
      <c r="AA197" s="385">
        <f t="shared" si="60"/>
        <v>53.849610184876738</v>
      </c>
      <c r="AB197" s="196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5.1786583511443274E-2</v>
      </c>
      <c r="AD197" s="230">
        <f>(INDEX(Models!$BJ197:$BT197,,AH197)*(1-AF197)+INDEX(Models!$BJ197:$BT197,,AH197+1)*AF197-ERP_i)*AE197*Ramure*Pc/MaxiM</f>
        <v>5.0711783745774016E-4</v>
      </c>
      <c r="AE197" s="304">
        <f t="shared" si="62"/>
        <v>0.5</v>
      </c>
      <c r="AF197" s="176">
        <f t="shared" si="63"/>
        <v>0.64826392910918285</v>
      </c>
      <c r="AG197" s="814">
        <f t="shared" si="71"/>
        <v>0</v>
      </c>
      <c r="AH197" s="175">
        <f t="shared" si="64"/>
        <v>6</v>
      </c>
      <c r="AI197" s="224">
        <f t="shared" si="65"/>
        <v>0.64826392910918285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44380</v>
      </c>
      <c r="B198" s="616">
        <v>31.981999999999999</v>
      </c>
      <c r="C198" s="389"/>
      <c r="D198" s="392">
        <f t="shared" si="48"/>
        <v>32.743160506371915</v>
      </c>
      <c r="E198" s="384">
        <f t="shared" si="72"/>
        <v>33.128040846015544</v>
      </c>
      <c r="F198" s="384">
        <f t="shared" si="49"/>
        <v>33.134414821021679</v>
      </c>
      <c r="G198" s="110">
        <f t="shared" si="73"/>
        <v>0.56625845098173566</v>
      </c>
      <c r="H198" s="413" t="b">
        <f>Wh_hp&gt;='2020'!Maxi_hp</f>
        <v>0</v>
      </c>
      <c r="I198" s="379">
        <f>IF(H198,Wh_hp,'2020'!Maxi_hp)</f>
        <v>50.483737643611768</v>
      </c>
      <c r="J198" s="85">
        <f>IF(H198,An,'2020'!An_max)</f>
        <v>2019</v>
      </c>
      <c r="K198" s="196">
        <f t="shared" si="50"/>
        <v>44380</v>
      </c>
      <c r="L198" s="147">
        <f>IF(t&lt;Tvie,1-EXP((T0-t)*PertePVj)+'2020'!Pspv,1-EXP((T0-t)*PertePVj)+Pspv)</f>
        <v>2.3246396945212223E-2</v>
      </c>
      <c r="M198" s="847"/>
      <c r="N198" s="847"/>
      <c r="O198" s="48">
        <f>IF(t&lt;Tnet,'2020'!Resal+('2020'!Salim-'2020'!Resal)*(1-EXP(('2020'!Tnet-t)/('2020'!Tau_j))),Resal+(Salim-Resal)*(1-EXP((Tnet-t)/(Tau_j))))*Salcycl</f>
        <v>1.1617962602515939E-2</v>
      </c>
      <c r="P198" s="168">
        <f>(INDEX(Models!$BJ198:$BT198,,T198)*(1-R198)+INDEX(Models!$BJ198:$BT198,,T198+1)*R198-ERP_i)*Q198*Ramure*Pc/MaxiM</f>
        <v>5.0540148534621715E-4</v>
      </c>
      <c r="Q198" s="304">
        <f t="shared" si="51"/>
        <v>0.5</v>
      </c>
      <c r="R198" s="176">
        <f t="shared" si="52"/>
        <v>0.65077524456956071</v>
      </c>
      <c r="S198" s="814">
        <f t="shared" si="53"/>
        <v>0</v>
      </c>
      <c r="T198" s="175">
        <f t="shared" si="54"/>
        <v>6</v>
      </c>
      <c r="U198" s="250">
        <f t="shared" si="55"/>
        <v>0.65077524456956071</v>
      </c>
      <c r="V198" s="382">
        <f t="shared" si="56"/>
        <v>56.461826849907858</v>
      </c>
      <c r="W198" s="401"/>
      <c r="X198" s="157">
        <f t="shared" si="57"/>
        <v>44380</v>
      </c>
      <c r="Y198" s="384">
        <f t="shared" si="58"/>
        <v>30.68075608989043</v>
      </c>
      <c r="Z198" s="384">
        <f t="shared" si="59"/>
        <v>31.410947442565508</v>
      </c>
      <c r="AA198" s="385">
        <f t="shared" si="60"/>
        <v>33.128040846015544</v>
      </c>
      <c r="AB198" s="196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5.1832023856507634E-2</v>
      </c>
      <c r="AD198" s="230">
        <f>(INDEX(Models!$BJ198:$BT198,,AH198)*(1-AF198)+INDEX(Models!$BJ198:$BT198,,AH198+1)*AF198-ERP_i)*AE198*Ramure*Pc/MaxiM</f>
        <v>5.0540148534621715E-4</v>
      </c>
      <c r="AE198" s="304">
        <f t="shared" si="62"/>
        <v>0.5</v>
      </c>
      <c r="AF198" s="176">
        <f t="shared" si="63"/>
        <v>0.65077524456956071</v>
      </c>
      <c r="AG198" s="814">
        <f t="shared" si="71"/>
        <v>0</v>
      </c>
      <c r="AH198" s="175">
        <f t="shared" si="64"/>
        <v>6</v>
      </c>
      <c r="AI198" s="224">
        <f t="shared" si="65"/>
        <v>0.65077524456956071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44381</v>
      </c>
      <c r="B199" s="616">
        <v>33.411999999999999</v>
      </c>
      <c r="C199" s="389"/>
      <c r="D199" s="392">
        <f t="shared" si="48"/>
        <v>34.207942331587724</v>
      </c>
      <c r="E199" s="384">
        <f t="shared" si="72"/>
        <v>34.612790099417083</v>
      </c>
      <c r="F199" s="384">
        <f t="shared" si="49"/>
        <v>34.62007150935424</v>
      </c>
      <c r="G199" s="110">
        <f t="shared" si="73"/>
        <v>0.5923837408489766</v>
      </c>
      <c r="H199" s="413" t="b">
        <f>Wh_hp&gt;='2020'!Maxi_hp</f>
        <v>0</v>
      </c>
      <c r="I199" s="379">
        <f>IF(H199,Wh_hp,'2020'!Maxi_hp)</f>
        <v>48.796596745729502</v>
      </c>
      <c r="J199" s="85">
        <f>IF(H199,An,'2020'!An_max)</f>
        <v>2020</v>
      </c>
      <c r="K199" s="196">
        <f t="shared" si="50"/>
        <v>44381</v>
      </c>
      <c r="L199" s="147">
        <f>IF(t&lt;Tvie,1-EXP((T0-t)*PertePVj)+'2020'!Pspv,1-EXP((T0-t)*PertePVj)+Pspv)</f>
        <v>2.3267764072811482E-2</v>
      </c>
      <c r="M199" s="847"/>
      <c r="N199" s="847"/>
      <c r="O199" s="48">
        <f>IF(t&lt;Tnet,'2020'!Resal+('2020'!Salim-'2020'!Resal)*(1-EXP(('2020'!Tnet-t)/('2020'!Tau_j))),Resal+(Salim-Resal)*(1-EXP((Tnet-t)/(Tau_j))))*Salcycl</f>
        <v>1.1696478864215596E-2</v>
      </c>
      <c r="P199" s="168">
        <f>(INDEX(Models!$BJ199:$BT199,,T199)*(1-R199)+INDEX(Models!$BJ199:$BT199,,T199+1)*R199-ERP_i)*Q199*Ramure*Pc/MaxiM</f>
        <v>5.0323930367427827E-4</v>
      </c>
      <c r="Q199" s="304">
        <f t="shared" si="51"/>
        <v>0.5</v>
      </c>
      <c r="R199" s="176">
        <f t="shared" si="52"/>
        <v>0.65324153270393504</v>
      </c>
      <c r="S199" s="814">
        <f t="shared" si="53"/>
        <v>0</v>
      </c>
      <c r="T199" s="175">
        <f t="shared" si="54"/>
        <v>6</v>
      </c>
      <c r="U199" s="250">
        <f t="shared" si="55"/>
        <v>0.65324153270393504</v>
      </c>
      <c r="V199" s="382">
        <f t="shared" si="56"/>
        <v>56.386103686672698</v>
      </c>
      <c r="W199" s="401"/>
      <c r="X199" s="157">
        <f t="shared" si="57"/>
        <v>44381</v>
      </c>
      <c r="Y199" s="384">
        <f t="shared" si="58"/>
        <v>32.053610472554134</v>
      </c>
      <c r="Z199" s="384">
        <f t="shared" si="59"/>
        <v>32.817193181022034</v>
      </c>
      <c r="AA199" s="385">
        <f t="shared" si="60"/>
        <v>34.612790099417083</v>
      </c>
      <c r="AB199" s="196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5.1876688161735032E-2</v>
      </c>
      <c r="AD199" s="230">
        <f>(INDEX(Models!$BJ199:$BT199,,AH199)*(1-AF199)+INDEX(Models!$BJ199:$BT199,,AH199+1)*AF199-ERP_i)*AE199*Ramure*Pc/MaxiM</f>
        <v>5.0323930367427827E-4</v>
      </c>
      <c r="AE199" s="304">
        <f t="shared" si="62"/>
        <v>0.5</v>
      </c>
      <c r="AF199" s="176">
        <f t="shared" si="63"/>
        <v>0.65324153270393504</v>
      </c>
      <c r="AG199" s="814">
        <f t="shared" si="71"/>
        <v>0</v>
      </c>
      <c r="AH199" s="175">
        <f t="shared" si="64"/>
        <v>6</v>
      </c>
      <c r="AI199" s="224">
        <f t="shared" si="65"/>
        <v>0.65324153270393504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44382</v>
      </c>
      <c r="B200" s="616">
        <v>55.834000000000003</v>
      </c>
      <c r="C200" s="389"/>
      <c r="D200" s="392">
        <f t="shared" si="48"/>
        <v>57.165330863850009</v>
      </c>
      <c r="E200" s="384">
        <f t="shared" si="72"/>
        <v>57.846460230830992</v>
      </c>
      <c r="F200" s="384">
        <f t="shared" si="49"/>
        <v>57.87508432107736</v>
      </c>
      <c r="G200" s="110">
        <f t="shared" si="73"/>
        <v>0.99154239140292633</v>
      </c>
      <c r="H200" s="413" t="b">
        <f>Wh_hp&gt;='2020'!Maxi_hp</f>
        <v>1</v>
      </c>
      <c r="I200" s="379">
        <f>IF(H200,Wh_hp,'2020'!Maxi_hp)</f>
        <v>57.87508432107736</v>
      </c>
      <c r="J200" s="85">
        <f>IF(H200,An,'2020'!An_max)</f>
        <v>2021</v>
      </c>
      <c r="K200" s="196">
        <f t="shared" si="50"/>
        <v>44382</v>
      </c>
      <c r="L200" s="147">
        <f>IF(t&lt;Tvie,1-EXP((T0-t)*PertePVj)+'2020'!Pspv,1-EXP((T0-t)*PertePVj)+Pspv)</f>
        <v>2.3289130732415765E-2</v>
      </c>
      <c r="M200" s="847"/>
      <c r="N200" s="847"/>
      <c r="O200" s="48">
        <f>IF(t&lt;Tnet,'2020'!Resal+('2020'!Salim-'2020'!Resal)*(1-EXP(('2020'!Tnet-t)/('2020'!Tau_j))),Resal+(Salim-Resal)*(1-EXP((Tnet-t)/(Tau_j))))*Salcycl</f>
        <v>1.1774780414618196E-2</v>
      </c>
      <c r="P200" s="168">
        <f>(INDEX(Models!$BJ200:$BT200,,T200)*(1-R200)+INDEX(Models!$BJ200:$BT200,,T200+1)*R200-ERP_i)*Q200*Ramure*Pc/MaxiM</f>
        <v>5.0062844568214682E-4</v>
      </c>
      <c r="Q200" s="304">
        <f t="shared" si="51"/>
        <v>0.5</v>
      </c>
      <c r="R200" s="176">
        <f t="shared" si="52"/>
        <v>0.65566196771991936</v>
      </c>
      <c r="S200" s="814">
        <f t="shared" si="53"/>
        <v>0</v>
      </c>
      <c r="T200" s="175">
        <f t="shared" si="54"/>
        <v>6</v>
      </c>
      <c r="U200" s="250">
        <f t="shared" si="55"/>
        <v>0.65566196771991936</v>
      </c>
      <c r="V200" s="382">
        <f t="shared" si="56"/>
        <v>56.309909521853129</v>
      </c>
      <c r="W200" s="401"/>
      <c r="X200" s="157">
        <f t="shared" si="57"/>
        <v>44382</v>
      </c>
      <c r="Y200" s="384">
        <f t="shared" si="58"/>
        <v>53.565790877089498</v>
      </c>
      <c r="Z200" s="384">
        <f t="shared" si="59"/>
        <v>54.843037548314996</v>
      </c>
      <c r="AA200" s="385">
        <f t="shared" si="60"/>
        <v>57.846460230830992</v>
      </c>
      <c r="AB200" s="196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5.1920595841666271E-2</v>
      </c>
      <c r="AD200" s="230">
        <f>(INDEX(Models!$BJ200:$BT200,,AH200)*(1-AF200)+INDEX(Models!$BJ200:$BT200,,AH200+1)*AF200-ERP_i)*AE200*Ramure*Pc/MaxiM</f>
        <v>5.0062844568214682E-4</v>
      </c>
      <c r="AE200" s="304">
        <f t="shared" si="62"/>
        <v>0.5</v>
      </c>
      <c r="AF200" s="176">
        <f t="shared" si="63"/>
        <v>0.65566196771991936</v>
      </c>
      <c r="AG200" s="814">
        <f t="shared" si="71"/>
        <v>0</v>
      </c>
      <c r="AH200" s="175">
        <f t="shared" si="64"/>
        <v>6</v>
      </c>
      <c r="AI200" s="224">
        <f t="shared" si="65"/>
        <v>0.65566196771991936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44383</v>
      </c>
      <c r="B201" s="616">
        <v>21.100999999999999</v>
      </c>
      <c r="C201" s="389"/>
      <c r="D201" s="392">
        <f t="shared" si="48"/>
        <v>21.604614295070206</v>
      </c>
      <c r="E201" s="384">
        <f t="shared" si="72"/>
        <v>21.863762611683342</v>
      </c>
      <c r="F201" s="384">
        <f t="shared" si="49"/>
        <v>21.864931975916264</v>
      </c>
      <c r="G201" s="110">
        <f t="shared" si="73"/>
        <v>0.37507331979598391</v>
      </c>
      <c r="H201" s="413" t="b">
        <f>Wh_hp&gt;='2020'!Maxi_hp</f>
        <v>0</v>
      </c>
      <c r="I201" s="379">
        <f>IF(H201,Wh_hp,'2020'!Maxi_hp)</f>
        <v>56.501784231476087</v>
      </c>
      <c r="J201" s="85">
        <f>IF(H201,An,'2020'!An_max)</f>
        <v>2020</v>
      </c>
      <c r="K201" s="196">
        <f t="shared" si="50"/>
        <v>44383</v>
      </c>
      <c r="L201" s="147">
        <f>IF(t&lt;Tvie,1-EXP((T0-t)*PertePVj)+'2020'!Pspv,1-EXP((T0-t)*PertePVj)+Pspv)</f>
        <v>2.3310496924035397E-2</v>
      </c>
      <c r="M201" s="847"/>
      <c r="N201" s="847"/>
      <c r="O201" s="48">
        <f>IF(t&lt;Tnet,'2020'!Resal+('2020'!Salim-'2020'!Resal)*(1-EXP(('2020'!Tnet-t)/('2020'!Tau_j))),Resal+(Salim-Resal)*(1-EXP((Tnet-t)/(Tau_j))))*Salcycl</f>
        <v>1.1852869115705348E-2</v>
      </c>
      <c r="P201" s="168">
        <f>(INDEX(Models!$BJ201:$BT201,,T201)*(1-R201)+INDEX(Models!$BJ201:$BT201,,T201+1)*R201-ERP_i)*Q201*Ramure*Pc/MaxiM</f>
        <v>4.9756648298398436E-4</v>
      </c>
      <c r="Q201" s="304">
        <f t="shared" si="51"/>
        <v>0.5</v>
      </c>
      <c r="R201" s="176">
        <f t="shared" si="52"/>
        <v>0.65803583019659495</v>
      </c>
      <c r="S201" s="814">
        <f t="shared" si="53"/>
        <v>0</v>
      </c>
      <c r="T201" s="175">
        <f t="shared" si="54"/>
        <v>6</v>
      </c>
      <c r="U201" s="250">
        <f t="shared" si="55"/>
        <v>0.65803583019659495</v>
      </c>
      <c r="V201" s="382">
        <f t="shared" si="56"/>
        <v>56.233348903938364</v>
      </c>
      <c r="W201" s="401"/>
      <c r="X201" s="157">
        <f t="shared" si="57"/>
        <v>44383</v>
      </c>
      <c r="Y201" s="384">
        <f t="shared" si="58"/>
        <v>20.244467563388078</v>
      </c>
      <c r="Z201" s="384">
        <f t="shared" si="59"/>
        <v>20.72763913160794</v>
      </c>
      <c r="AA201" s="385">
        <f t="shared" si="60"/>
        <v>21.863762611683342</v>
      </c>
      <c r="AB201" s="196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5.1963767639349068E-2</v>
      </c>
      <c r="AD201" s="230">
        <f>(INDEX(Models!$BJ201:$BT201,,AH201)*(1-AF201)+INDEX(Models!$BJ201:$BT201,,AH201+1)*AF201-ERP_i)*AE201*Ramure*Pc/MaxiM</f>
        <v>4.9756648298398436E-4</v>
      </c>
      <c r="AE201" s="304">
        <f t="shared" si="62"/>
        <v>0.5</v>
      </c>
      <c r="AF201" s="176">
        <f t="shared" si="63"/>
        <v>0.65803583019659495</v>
      </c>
      <c r="AG201" s="814">
        <f t="shared" si="71"/>
        <v>0</v>
      </c>
      <c r="AH201" s="175">
        <f t="shared" si="64"/>
        <v>6</v>
      </c>
      <c r="AI201" s="224">
        <f t="shared" si="65"/>
        <v>0.65803583019659495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44384</v>
      </c>
      <c r="B202" s="616">
        <v>34.914999999999999</v>
      </c>
      <c r="C202" s="389"/>
      <c r="D202" s="392">
        <f t="shared" si="48"/>
        <v>35.749092925926895</v>
      </c>
      <c r="E202" s="384">
        <f t="shared" si="72"/>
        <v>36.180756384658451</v>
      </c>
      <c r="F202" s="384">
        <f t="shared" si="49"/>
        <v>36.188974291492499</v>
      </c>
      <c r="G202" s="110">
        <f t="shared" si="73"/>
        <v>0.621578274000117</v>
      </c>
      <c r="H202" s="413" t="b">
        <f>Wh_hp&gt;='2020'!Maxi_hp</f>
        <v>0</v>
      </c>
      <c r="I202" s="379">
        <f>IF(H202,Wh_hp,'2020'!Maxi_hp)</f>
        <v>50.138186272546442</v>
      </c>
      <c r="J202" s="85">
        <f>IF(H202,An,'2020'!An_max)</f>
        <v>2019</v>
      </c>
      <c r="K202" s="196">
        <f t="shared" si="50"/>
        <v>44384</v>
      </c>
      <c r="L202" s="147">
        <f>IF(t&lt;Tvie,1-EXP((T0-t)*PertePVj)+'2020'!Pspv,1-EXP((T0-t)*PertePVj)+Pspv)</f>
        <v>2.3331862647680592E-2</v>
      </c>
      <c r="M202" s="847"/>
      <c r="N202" s="847"/>
      <c r="O202" s="48">
        <f>IF(t&lt;Tnet,'2020'!Resal+('2020'!Salim-'2020'!Resal)*(1-EXP(('2020'!Tnet-t)/('2020'!Tau_j))),Resal+(Salim-Resal)*(1-EXP((Tnet-t)/(Tau_j))))*Salcycl</f>
        <v>1.1930747222150139E-2</v>
      </c>
      <c r="P202" s="168">
        <f>(INDEX(Models!$BJ202:$BT202,,T202)*(1-R202)+INDEX(Models!$BJ202:$BT202,,T202+1)*R202-ERP_i)*Q202*Ramure*Pc/MaxiM</f>
        <v>4.9405138465241356E-4</v>
      </c>
      <c r="Q202" s="304">
        <f t="shared" si="51"/>
        <v>0.5</v>
      </c>
      <c r="R202" s="176">
        <f t="shared" si="52"/>
        <v>0.66036250522561879</v>
      </c>
      <c r="S202" s="814">
        <f t="shared" si="53"/>
        <v>0</v>
      </c>
      <c r="T202" s="175">
        <f t="shared" si="54"/>
        <v>6</v>
      </c>
      <c r="U202" s="250">
        <f t="shared" si="55"/>
        <v>0.66036250522561879</v>
      </c>
      <c r="V202" s="382">
        <f t="shared" si="56"/>
        <v>56.156526293662395</v>
      </c>
      <c r="W202" s="401"/>
      <c r="X202" s="157">
        <f t="shared" si="57"/>
        <v>44384</v>
      </c>
      <c r="Y202" s="384">
        <f t="shared" si="58"/>
        <v>33.498869177878703</v>
      </c>
      <c r="Z202" s="384">
        <f t="shared" si="59"/>
        <v>34.299131810209197</v>
      </c>
      <c r="AA202" s="385">
        <f t="shared" si="60"/>
        <v>36.180756384658451</v>
      </c>
      <c r="AB202" s="196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5.2006225476455448E-2</v>
      </c>
      <c r="AD202" s="230">
        <f>(INDEX(Models!$BJ202:$BT202,,AH202)*(1-AF202)+INDEX(Models!$BJ202:$BT202,,AH202+1)*AF202-ERP_i)*AE202*Ramure*Pc/MaxiM</f>
        <v>4.9405138465241356E-4</v>
      </c>
      <c r="AE202" s="304">
        <f t="shared" si="62"/>
        <v>0.5</v>
      </c>
      <c r="AF202" s="176">
        <f t="shared" si="63"/>
        <v>0.66036250522561879</v>
      </c>
      <c r="AG202" s="814">
        <f t="shared" si="71"/>
        <v>0</v>
      </c>
      <c r="AH202" s="175">
        <f t="shared" si="64"/>
        <v>6</v>
      </c>
      <c r="AI202" s="224">
        <f t="shared" si="65"/>
        <v>0.66036250522561879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44385</v>
      </c>
      <c r="B203" s="616">
        <v>51.136000000000003</v>
      </c>
      <c r="C203" s="389"/>
      <c r="D203" s="392">
        <f t="shared" si="48"/>
        <v>52.358745721569981</v>
      </c>
      <c r="E203" s="384">
        <f t="shared" si="72"/>
        <v>52.995133401121947</v>
      </c>
      <c r="F203" s="384">
        <f t="shared" si="49"/>
        <v>53.017844366603413</v>
      </c>
      <c r="G203" s="110">
        <f t="shared" si="73"/>
        <v>0.91179130850572232</v>
      </c>
      <c r="H203" s="413" t="b">
        <f>Wh_hp&gt;='2020'!Maxi_hp</f>
        <v>0</v>
      </c>
      <c r="I203" s="379">
        <f>IF(H203,Wh_hp,'2020'!Maxi_hp)</f>
        <v>58.837681305863043</v>
      </c>
      <c r="J203" s="85">
        <f>IF(H203,An,'2020'!An_max)</f>
        <v>2020</v>
      </c>
      <c r="K203" s="196">
        <f t="shared" si="50"/>
        <v>44385</v>
      </c>
      <c r="L203" s="147">
        <f>IF(t&lt;Tvie,1-EXP((T0-t)*PertePVj)+'2020'!Pspv,1-EXP((T0-t)*PertePVj)+Pspv)</f>
        <v>2.3353227903361563E-2</v>
      </c>
      <c r="M203" s="847"/>
      <c r="N203" s="847"/>
      <c r="O203" s="48">
        <f>IF(t&lt;Tnet,'2020'!Resal+('2020'!Salim-'2020'!Resal)*(1-EXP(('2020'!Tnet-t)/('2020'!Tau_j))),Resal+(Salim-Resal)*(1-EXP((Tnet-t)/(Tau_j))))*Salcycl</f>
        <v>1.2008417352875174E-2</v>
      </c>
      <c r="P203" s="168">
        <f>(INDEX(Models!$BJ203:$BT203,,T203)*(1-R203)+INDEX(Models!$BJ203:$BT203,,T203+1)*R203-ERP_i)*Q203*Ramure*Pc/MaxiM</f>
        <v>4.9008149469406367E-4</v>
      </c>
      <c r="Q203" s="304">
        <f t="shared" si="51"/>
        <v>0.5</v>
      </c>
      <c r="R203" s="176">
        <f t="shared" si="52"/>
        <v>0.66264148016498015</v>
      </c>
      <c r="S203" s="814">
        <f t="shared" si="53"/>
        <v>0</v>
      </c>
      <c r="T203" s="175">
        <f t="shared" si="54"/>
        <v>6</v>
      </c>
      <c r="U203" s="250">
        <f t="shared" si="55"/>
        <v>0.66264148016498015</v>
      </c>
      <c r="V203" s="382">
        <f t="shared" si="56"/>
        <v>56.079546068559054</v>
      </c>
      <c r="W203" s="401"/>
      <c r="X203" s="157">
        <f t="shared" si="57"/>
        <v>44385</v>
      </c>
      <c r="Y203" s="384">
        <f t="shared" si="58"/>
        <v>49.063650659741761</v>
      </c>
      <c r="Z203" s="384">
        <f t="shared" si="59"/>
        <v>50.236843105940203</v>
      </c>
      <c r="AA203" s="385">
        <f t="shared" si="60"/>
        <v>52.995133401121947</v>
      </c>
      <c r="AB203" s="196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5.2047992299673204E-2</v>
      </c>
      <c r="AD203" s="230">
        <f>(INDEX(Models!$BJ203:$BT203,,AH203)*(1-AF203)+INDEX(Models!$BJ203:$BT203,,AH203+1)*AF203-ERP_i)*AE203*Ramure*Pc/MaxiM</f>
        <v>4.9008149469406367E-4</v>
      </c>
      <c r="AE203" s="304">
        <f t="shared" si="62"/>
        <v>0.5</v>
      </c>
      <c r="AF203" s="176">
        <f t="shared" si="63"/>
        <v>0.66264148016498015</v>
      </c>
      <c r="AG203" s="814">
        <f t="shared" si="71"/>
        <v>0</v>
      </c>
      <c r="AH203" s="175">
        <f t="shared" si="64"/>
        <v>6</v>
      </c>
      <c r="AI203" s="224">
        <f t="shared" si="65"/>
        <v>0.66264148016498015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44386</v>
      </c>
      <c r="B204" s="616">
        <v>56.344000000000001</v>
      </c>
      <c r="C204" s="389"/>
      <c r="D204" s="392">
        <f t="shared" si="48"/>
        <v>57.692539614810698</v>
      </c>
      <c r="E204" s="384">
        <f t="shared" si="72"/>
        <v>58.398335027861627</v>
      </c>
      <c r="F204" s="384">
        <f t="shared" si="49"/>
        <v>58.42671028153908</v>
      </c>
      <c r="G204" s="110">
        <f t="shared" si="73"/>
        <v>1.0060977170241003</v>
      </c>
      <c r="H204" s="413" t="b">
        <f>Wh_hp&gt;='2020'!Maxi_hp</f>
        <v>1</v>
      </c>
      <c r="I204" s="379">
        <f>IF(H204,Wh_hp,'2020'!Maxi_hp)</f>
        <v>58.42671028153908</v>
      </c>
      <c r="J204" s="85">
        <f>IF(H204,An,'2020'!An_max)</f>
        <v>2021</v>
      </c>
      <c r="K204" s="196">
        <f t="shared" si="50"/>
        <v>44386</v>
      </c>
      <c r="L204" s="147">
        <f>IF(t&lt;Tvie,1-EXP((T0-t)*PertePVj)+'2020'!Pspv,1-EXP((T0-t)*PertePVj)+Pspv)</f>
        <v>2.3374592691088637E-2</v>
      </c>
      <c r="M204" s="847"/>
      <c r="N204" s="847"/>
      <c r="O204" s="48">
        <f>IF(t&lt;Tnet,'2020'!Resal+('2020'!Salim-'2020'!Resal)*(1-EXP(('2020'!Tnet-t)/('2020'!Tau_j))),Resal+(Salim-Resal)*(1-EXP((Tnet-t)/(Tau_j))))*Salcycl</f>
        <v>1.2085882460761954E-2</v>
      </c>
      <c r="P204" s="168">
        <f>(INDEX(Models!$BJ204:$BT204,,T204)*(1-R204)+INDEX(Models!$BJ204:$BT204,,T204+1)*R204-ERP_i)*Q204*Ramure*Pc/MaxiM</f>
        <v>4.8565550825503293E-4</v>
      </c>
      <c r="Q204" s="304">
        <f t="shared" si="51"/>
        <v>0.5</v>
      </c>
      <c r="R204" s="176">
        <f t="shared" si="52"/>
        <v>0.66487234204025136</v>
      </c>
      <c r="S204" s="814">
        <f t="shared" si="53"/>
        <v>0</v>
      </c>
      <c r="T204" s="175">
        <f t="shared" si="54"/>
        <v>6</v>
      </c>
      <c r="U204" s="250">
        <f t="shared" si="55"/>
        <v>0.66487234204025136</v>
      </c>
      <c r="V204" s="382">
        <f t="shared" si="56"/>
        <v>56.002512525977956</v>
      </c>
      <c r="W204" s="401"/>
      <c r="X204" s="157">
        <f t="shared" si="57"/>
        <v>44386</v>
      </c>
      <c r="Y204" s="384">
        <f t="shared" si="58"/>
        <v>54.062485044387579</v>
      </c>
      <c r="Z204" s="384">
        <f t="shared" si="59"/>
        <v>55.356418786355981</v>
      </c>
      <c r="AA204" s="385">
        <f t="shared" si="60"/>
        <v>58.398335027861627</v>
      </c>
      <c r="AB204" s="196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5.2089091924527556E-2</v>
      </c>
      <c r="AD204" s="230">
        <f>(INDEX(Models!$BJ204:$BT204,,AH204)*(1-AF204)+INDEX(Models!$BJ204:$BT204,,AH204+1)*AF204-ERP_i)*AE204*Ramure*Pc/MaxiM</f>
        <v>4.8565550825503293E-4</v>
      </c>
      <c r="AE204" s="304">
        <f t="shared" si="62"/>
        <v>0.5</v>
      </c>
      <c r="AF204" s="176">
        <f t="shared" si="63"/>
        <v>0.66487234204025136</v>
      </c>
      <c r="AG204" s="814">
        <f t="shared" si="71"/>
        <v>0</v>
      </c>
      <c r="AH204" s="175">
        <f t="shared" si="64"/>
        <v>6</v>
      </c>
      <c r="AI204" s="224">
        <f t="shared" si="65"/>
        <v>0.66487234204025136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44387</v>
      </c>
      <c r="B205" s="616">
        <v>48.957000000000001</v>
      </c>
      <c r="C205" s="389"/>
      <c r="D205" s="392">
        <f t="shared" si="48"/>
        <v>50.129835475752799</v>
      </c>
      <c r="E205" s="384">
        <f t="shared" si="72"/>
        <v>50.747079603938808</v>
      </c>
      <c r="F205" s="384">
        <f t="shared" si="49"/>
        <v>50.767142628496416</v>
      </c>
      <c r="G205" s="110">
        <f t="shared" si="73"/>
        <v>0.87532541124985985</v>
      </c>
      <c r="H205" s="413" t="b">
        <f>Wh_hp&gt;='2020'!Maxi_hp</f>
        <v>0</v>
      </c>
      <c r="I205" s="379">
        <f>IF(H205,Wh_hp,'2020'!Maxi_hp)</f>
        <v>57.577022545392943</v>
      </c>
      <c r="J205" s="85">
        <f>IF(H205,An,'2020'!An_max)</f>
        <v>2019</v>
      </c>
      <c r="K205" s="196">
        <f t="shared" si="50"/>
        <v>44387</v>
      </c>
      <c r="L205" s="147">
        <f>IF(t&lt;Tvie,1-EXP((T0-t)*PertePVj)+'2020'!Pspv,1-EXP((T0-t)*PertePVj)+Pspv)</f>
        <v>2.3395957010872027E-2</v>
      </c>
      <c r="M205" s="847"/>
      <c r="N205" s="847"/>
      <c r="O205" s="48">
        <f>IF(t&lt;Tnet,'2020'!Resal+('2020'!Salim-'2020'!Resal)*(1-EXP(('2020'!Tnet-t)/('2020'!Tau_j))),Resal+(Salim-Resal)*(1-EXP((Tnet-t)/(Tau_j))))*Salcycl</f>
        <v>1.2163145800770367E-2</v>
      </c>
      <c r="P205" s="168">
        <f>(INDEX(Models!$BJ205:$BT205,,T205)*(1-R205)+INDEX(Models!$BJ205:$BT205,,T205+1)*R205-ERP_i)*Q205*Ramure*Pc/MaxiM</f>
        <v>4.8077469221089922E-4</v>
      </c>
      <c r="Q205" s="304">
        <f t="shared" si="51"/>
        <v>0.5</v>
      </c>
      <c r="R205" s="176">
        <f t="shared" si="52"/>
        <v>0.66705477462894858</v>
      </c>
      <c r="S205" s="814">
        <f t="shared" si="53"/>
        <v>0</v>
      </c>
      <c r="T205" s="175">
        <f t="shared" si="54"/>
        <v>6</v>
      </c>
      <c r="U205" s="250">
        <f t="shared" si="55"/>
        <v>0.66705477462894858</v>
      </c>
      <c r="V205" s="382">
        <f t="shared" si="56"/>
        <v>55.925268579441003</v>
      </c>
      <c r="W205" s="401"/>
      <c r="X205" s="157">
        <f t="shared" si="57"/>
        <v>44387</v>
      </c>
      <c r="Y205" s="384">
        <f t="shared" si="58"/>
        <v>46.97627293244372</v>
      </c>
      <c r="Z205" s="384">
        <f t="shared" si="59"/>
        <v>48.101657237319756</v>
      </c>
      <c r="AA205" s="385">
        <f t="shared" si="60"/>
        <v>50.747079603938808</v>
      </c>
      <c r="AB205" s="196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5.2129548877798297E-2</v>
      </c>
      <c r="AD205" s="230">
        <f>(INDEX(Models!$BJ205:$BT205,,AH205)*(1-AF205)+INDEX(Models!$BJ205:$BT205,,AH205+1)*AF205-ERP_i)*AE205*Ramure*Pc/MaxiM</f>
        <v>4.8077469221089922E-4</v>
      </c>
      <c r="AE205" s="304">
        <f t="shared" si="62"/>
        <v>0.5</v>
      </c>
      <c r="AF205" s="176">
        <f t="shared" si="63"/>
        <v>0.66705477462894858</v>
      </c>
      <c r="AG205" s="814">
        <f t="shared" si="71"/>
        <v>0</v>
      </c>
      <c r="AH205" s="175">
        <f t="shared" si="64"/>
        <v>6</v>
      </c>
      <c r="AI205" s="224">
        <f t="shared" si="65"/>
        <v>0.66705477462894858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44388</v>
      </c>
      <c r="B206" s="616">
        <v>49.518999999999998</v>
      </c>
      <c r="C206" s="389"/>
      <c r="D206" s="392">
        <f t="shared" si="48"/>
        <v>50.706408231349677</v>
      </c>
      <c r="E206" s="384">
        <f t="shared" si="72"/>
        <v>51.334756476960386</v>
      </c>
      <c r="F206" s="384">
        <f t="shared" si="49"/>
        <v>51.355215481400862</v>
      </c>
      <c r="G206" s="110">
        <f t="shared" si="73"/>
        <v>0.88661274042885074</v>
      </c>
      <c r="H206" s="413" t="b">
        <f>Wh_hp&gt;='2020'!Maxi_hp</f>
        <v>0</v>
      </c>
      <c r="I206" s="379">
        <f>IF(H206,Wh_hp,'2020'!Maxi_hp)</f>
        <v>58.243264696264866</v>
      </c>
      <c r="J206" s="85">
        <f>IF(H206,An,'2020'!An_max)</f>
        <v>2019</v>
      </c>
      <c r="K206" s="196">
        <f t="shared" si="50"/>
        <v>44388</v>
      </c>
      <c r="L206" s="147">
        <f>IF(t&lt;Tvie,1-EXP((T0-t)*PertePVj)+'2020'!Pspv,1-EXP((T0-t)*PertePVj)+Pspv)</f>
        <v>2.3417320862721948E-2</v>
      </c>
      <c r="M206" s="847"/>
      <c r="N206" s="847"/>
      <c r="O206" s="48">
        <f>IF(t&lt;Tnet,'2020'!Resal+('2020'!Salim-'2020'!Resal)*(1-EXP(('2020'!Tnet-t)/('2020'!Tau_j))),Resal+(Salim-Resal)*(1-EXP((Tnet-t)/(Tau_j))))*Salcycl</f>
        <v>1.2240210896738588E-2</v>
      </c>
      <c r="P206" s="168">
        <f>(INDEX(Models!$BJ206:$BT206,,T206)*(1-R206)+INDEX(Models!$BJ206:$BT206,,T206+1)*R206-ERP_i)*Q206*Ramure*Pc/MaxiM</f>
        <v>4.7533080401308819E-4</v>
      </c>
      <c r="Q206" s="304">
        <f t="shared" si="51"/>
        <v>0.5</v>
      </c>
      <c r="R206" s="176">
        <f t="shared" si="52"/>
        <v>0.66918855526396726</v>
      </c>
      <c r="S206" s="814">
        <f t="shared" si="53"/>
        <v>0</v>
      </c>
      <c r="T206" s="175">
        <f t="shared" si="54"/>
        <v>6</v>
      </c>
      <c r="U206" s="250">
        <f t="shared" si="55"/>
        <v>0.66918855526396726</v>
      </c>
      <c r="V206" s="382">
        <f t="shared" si="56"/>
        <v>55.847593663283121</v>
      </c>
      <c r="W206" s="401"/>
      <c r="X206" s="157">
        <f t="shared" si="57"/>
        <v>44388</v>
      </c>
      <c r="Y206" s="384">
        <f t="shared" si="58"/>
        <v>47.517245165820206</v>
      </c>
      <c r="Z206" s="384">
        <f t="shared" si="59"/>
        <v>48.656653636123643</v>
      </c>
      <c r="AA206" s="385">
        <f t="shared" si="60"/>
        <v>51.334756476960386</v>
      </c>
      <c r="AB206" s="196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5.2169388239694997E-2</v>
      </c>
      <c r="AD206" s="230">
        <f>(INDEX(Models!$BJ206:$BT206,,AH206)*(1-AF206)+INDEX(Models!$BJ206:$BT206,,AH206+1)*AF206-ERP_i)*AE206*Ramure*Pc/MaxiM</f>
        <v>4.7533080401308819E-4</v>
      </c>
      <c r="AE206" s="304">
        <f t="shared" si="62"/>
        <v>0.5</v>
      </c>
      <c r="AF206" s="176">
        <f t="shared" si="63"/>
        <v>0.66918855526396726</v>
      </c>
      <c r="AG206" s="814">
        <f t="shared" si="71"/>
        <v>0</v>
      </c>
      <c r="AH206" s="175">
        <f t="shared" si="64"/>
        <v>6</v>
      </c>
      <c r="AI206" s="224">
        <f t="shared" si="65"/>
        <v>0.66918855526396726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44389</v>
      </c>
      <c r="B207" s="616">
        <v>13.056000000000001</v>
      </c>
      <c r="C207" s="389"/>
      <c r="D207" s="392">
        <f t="shared" ref="D207:D270" si="74">Wh/(1-Ppv)</f>
        <v>13.36936021260291</v>
      </c>
      <c r="E207" s="384">
        <f t="shared" si="72"/>
        <v>13.53608527826291</v>
      </c>
      <c r="F207" s="384">
        <f t="shared" ref="F207:F270" si="75">Wh_sa/(1-Pvg*MEDIAN((-Sdif+Wh/Env_an)/Csdif,0,1))</f>
        <v>13.53608527826291</v>
      </c>
      <c r="G207" s="110">
        <f t="shared" si="73"/>
        <v>0.23399663663002063</v>
      </c>
      <c r="H207" s="413" t="b">
        <f>Wh_hp&gt;='2020'!Maxi_hp</f>
        <v>0</v>
      </c>
      <c r="I207" s="379">
        <f>IF(H207,Wh_hp,'2020'!Maxi_hp)</f>
        <v>59.300969895752004</v>
      </c>
      <c r="J207" s="85">
        <f>IF(H207,An,'2020'!An_max)</f>
        <v>2019</v>
      </c>
      <c r="K207" s="196">
        <f t="shared" ref="K207:K270" si="76">t</f>
        <v>44389</v>
      </c>
      <c r="L207" s="147">
        <f>IF(t&lt;Tvie,1-EXP((T0-t)*PertePVj)+'2020'!Pspv,1-EXP((T0-t)*PertePVj)+Pspv)</f>
        <v>2.3438684246648724E-2</v>
      </c>
      <c r="M207" s="847"/>
      <c r="N207" s="847"/>
      <c r="O207" s="48">
        <f>IF(t&lt;Tnet,'2020'!Resal+('2020'!Salim-'2020'!Resal)*(1-EXP(('2020'!Tnet-t)/('2020'!Tau_j))),Resal+(Salim-Resal)*(1-EXP((Tnet-t)/(Tau_j))))*Salcycl</f>
        <v>1.2317081507142696E-2</v>
      </c>
      <c r="P207" s="168">
        <f>(INDEX(Models!$BJ207:$BT207,,T207)*(1-R207)+INDEX(Models!$BJ207:$BT207,,T207+1)*R207-ERP_i)*Q207*Ramure*Pc/MaxiM</f>
        <v>4.6950764998614474E-4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0.67127355139199818</v>
      </c>
      <c r="S207" s="814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0.67127355139199818</v>
      </c>
      <c r="V207" s="382">
        <f t="shared" ref="V207:V270" si="82">MaxiM*(1-Ppv)*(1-Pvg)*(1-Psa)</f>
        <v>55.769477271399161</v>
      </c>
      <c r="W207" s="401"/>
      <c r="X207" s="157">
        <f t="shared" ref="X207:X270" si="83">t</f>
        <v>44389</v>
      </c>
      <c r="Y207" s="384">
        <f t="shared" ref="Y207:Y270" si="84">Wh_pvt_s*(1-Ppv)</f>
        <v>12.528680838142893</v>
      </c>
      <c r="Z207" s="384">
        <f t="shared" ref="Z207:Z270" si="85">Wh_sa_s*(1-Psa_s)</f>
        <v>12.829384736049944</v>
      </c>
      <c r="AA207" s="385">
        <f t="shared" ref="AA207:AA270" si="86">Wh_hp*(1-Pvg_s*MEDIAN((-Sdif+Wh/Env_an)/Csdif,0,1))</f>
        <v>13.53608527826291</v>
      </c>
      <c r="AB207" s="196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5.2208635486940262E-2</v>
      </c>
      <c r="AD207" s="230">
        <f>(INDEX(Models!$BJ207:$BT207,,AH207)*(1-AF207)+INDEX(Models!$BJ207:$BT207,,AH207+1)*AF207-ERP_i)*AE207*Ramure*Pc/MaxiM</f>
        <v>4.6950764998614474E-4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0.67127355139199818</v>
      </c>
      <c r="AG207" s="814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0.67127355139199818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29.678000000000001</v>
      </c>
      <c r="C208" s="389"/>
      <c r="D208" s="392">
        <f t="shared" si="74"/>
        <v>30.390973675752388</v>
      </c>
      <c r="E208" s="384">
        <f t="shared" si="72"/>
        <v>30.772358956220828</v>
      </c>
      <c r="F208" s="384">
        <f t="shared" si="75"/>
        <v>30.777103318919671</v>
      </c>
      <c r="G208" s="110">
        <f t="shared" si="73"/>
        <v>0.53274077678578591</v>
      </c>
      <c r="H208" s="413" t="b">
        <f>Wh_hp&gt;='2020'!Maxi_hp</f>
        <v>0</v>
      </c>
      <c r="I208" s="379">
        <f>IF(H208,Wh_hp,'2020'!Maxi_hp)</f>
        <v>51.897485728868915</v>
      </c>
      <c r="J208" s="85">
        <f>IF(H208,An,'2020'!An_max)</f>
        <v>2019</v>
      </c>
      <c r="K208" s="196">
        <f t="shared" si="76"/>
        <v>44390</v>
      </c>
      <c r="L208" s="147">
        <f>IF(t&lt;Tvie,1-EXP((T0-t)*PertePVj)+'2020'!Pspv,1-EXP((T0-t)*PertePVj)+Pspv)</f>
        <v>2.3460047162662569E-2</v>
      </c>
      <c r="M208" s="847"/>
      <c r="N208" s="847"/>
      <c r="O208" s="48">
        <f>IF(t&lt;Tnet,'2020'!Resal+('2020'!Salim-'2020'!Resal)*(1-EXP(('2020'!Tnet-t)/('2020'!Tau_j))),Resal+(Salim-Resal)*(1-EXP((Tnet-t)/(Tau_j))))*Salcycl</f>
        <v>1.2393761590101924E-2</v>
      </c>
      <c r="P208" s="168">
        <f>(INDEX(Models!$BJ208:$BT208,,T208)*(1-R208)+INDEX(Models!$BJ208:$BT208,,T208+1)*R208-ERP_i)*Q208*Ramure*Pc/MaxiM</f>
        <v>4.6330644183140672E-4</v>
      </c>
      <c r="Q208" s="304">
        <f t="shared" si="77"/>
        <v>0.5</v>
      </c>
      <c r="R208" s="176">
        <f t="shared" si="78"/>
        <v>0.67330971692240538</v>
      </c>
      <c r="S208" s="814">
        <f t="shared" si="79"/>
        <v>0</v>
      </c>
      <c r="T208" s="175">
        <f t="shared" si="80"/>
        <v>6</v>
      </c>
      <c r="U208" s="250">
        <f t="shared" si="81"/>
        <v>0.67330971692240538</v>
      </c>
      <c r="V208" s="382">
        <f t="shared" si="82"/>
        <v>55.690919116774715</v>
      </c>
      <c r="W208" s="401"/>
      <c r="X208" s="157">
        <f t="shared" si="83"/>
        <v>44390</v>
      </c>
      <c r="Y208" s="384">
        <f t="shared" si="84"/>
        <v>28.480383225414691</v>
      </c>
      <c r="Z208" s="384">
        <f t="shared" si="85"/>
        <v>29.164585783372122</v>
      </c>
      <c r="AA208" s="385">
        <f t="shared" si="86"/>
        <v>30.772358956220828</v>
      </c>
      <c r="AB208" s="196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5.224731633788781E-2</v>
      </c>
      <c r="AD208" s="230">
        <f>(INDEX(Models!$BJ208:$BT208,,AH208)*(1-AF208)+INDEX(Models!$BJ208:$BT208,,AH208+1)*AF208-ERP_i)*AE208*Ramure*Pc/MaxiM</f>
        <v>4.6330644183140672E-4</v>
      </c>
      <c r="AE208" s="304">
        <f t="shared" si="88"/>
        <v>0.5</v>
      </c>
      <c r="AF208" s="176">
        <f t="shared" si="89"/>
        <v>0.67330971692240538</v>
      </c>
      <c r="AG208" s="814">
        <f t="shared" ref="AG208:AG271" si="95">INDEX(Echel_vg,AH208)</f>
        <v>0</v>
      </c>
      <c r="AH208" s="175">
        <f t="shared" si="90"/>
        <v>6</v>
      </c>
      <c r="AI208" s="224">
        <f t="shared" si="91"/>
        <v>0.67330971692240538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44391</v>
      </c>
      <c r="B209" s="616">
        <v>30.536999999999999</v>
      </c>
      <c r="C209" s="389"/>
      <c r="D209" s="392">
        <f t="shared" si="74"/>
        <v>31.271294064999203</v>
      </c>
      <c r="E209" s="384">
        <f t="shared" si="72"/>
        <v>31.666179405546064</v>
      </c>
      <c r="F209" s="384">
        <f t="shared" si="75"/>
        <v>31.671327133482837</v>
      </c>
      <c r="G209" s="110">
        <f t="shared" si="73"/>
        <v>0.54894733693343301</v>
      </c>
      <c r="H209" s="413" t="b">
        <f>Wh_hp&gt;='2020'!Maxi_hp</f>
        <v>0</v>
      </c>
      <c r="I209" s="379">
        <f>IF(H209,Wh_hp,'2020'!Maxi_hp)</f>
        <v>58.425013192463943</v>
      </c>
      <c r="J209" s="85">
        <f>IF(H209,An,'2020'!An_max)</f>
        <v>2019</v>
      </c>
      <c r="K209" s="196">
        <f t="shared" si="76"/>
        <v>44391</v>
      </c>
      <c r="L209" s="147">
        <f>IF(t&lt;Tvie,1-EXP((T0-t)*PertePVj)+'2020'!Pspv,1-EXP((T0-t)*PertePVj)+Pspv)</f>
        <v>2.3481409610773697E-2</v>
      </c>
      <c r="M209" s="847"/>
      <c r="N209" s="847"/>
      <c r="O209" s="48">
        <f>IF(t&lt;Tnet,'2020'!Resal+('2020'!Salim-'2020'!Resal)*(1-EXP(('2020'!Tnet-t)/('2020'!Tau_j))),Resal+(Salim-Resal)*(1-EXP((Tnet-t)/(Tau_j))))*Salcycl</f>
        <v>1.2470255267918463E-2</v>
      </c>
      <c r="P209" s="168">
        <f>(INDEX(Models!$BJ209:$BT209,,T209)*(1-R209)+INDEX(Models!$BJ209:$BT209,,T209+1)*R209-ERP_i)*Q209*Ramure*Pc/MaxiM</f>
        <v>4.5672849480850889E-4</v>
      </c>
      <c r="Q209" s="304">
        <f t="shared" si="77"/>
        <v>0.5</v>
      </c>
      <c r="R209" s="176">
        <f t="shared" si="78"/>
        <v>0.67529708840128522</v>
      </c>
      <c r="S209" s="814">
        <f t="shared" si="79"/>
        <v>0</v>
      </c>
      <c r="T209" s="175">
        <f t="shared" si="80"/>
        <v>6</v>
      </c>
      <c r="U209" s="250">
        <f t="shared" si="81"/>
        <v>0.67529708840128522</v>
      </c>
      <c r="V209" s="382">
        <f t="shared" si="82"/>
        <v>55.611918897568977</v>
      </c>
      <c r="W209" s="401"/>
      <c r="X209" s="157">
        <f t="shared" si="83"/>
        <v>44391</v>
      </c>
      <c r="Y209" s="384">
        <f t="shared" si="84"/>
        <v>29.305809942599655</v>
      </c>
      <c r="Z209" s="384">
        <f t="shared" si="85"/>
        <v>30.010498756525241</v>
      </c>
      <c r="AA209" s="385">
        <f t="shared" si="86"/>
        <v>31.666179405546064</v>
      </c>
      <c r="AB209" s="196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5.2285456600768332E-2</v>
      </c>
      <c r="AD209" s="230">
        <f>(INDEX(Models!$BJ209:$BT209,,AH209)*(1-AF209)+INDEX(Models!$BJ209:$BT209,,AH209+1)*AF209-ERP_i)*AE209*Ramure*Pc/MaxiM</f>
        <v>4.5672849480850889E-4</v>
      </c>
      <c r="AE209" s="304">
        <f t="shared" si="88"/>
        <v>0.5</v>
      </c>
      <c r="AF209" s="176">
        <f t="shared" si="89"/>
        <v>0.67529708840128522</v>
      </c>
      <c r="AG209" s="814">
        <f t="shared" si="95"/>
        <v>0</v>
      </c>
      <c r="AH209" s="175">
        <f t="shared" si="90"/>
        <v>6</v>
      </c>
      <c r="AI209" s="224">
        <f t="shared" si="91"/>
        <v>0.67529708840128522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16">
        <v>34.570999999999998</v>
      </c>
      <c r="C210" s="389"/>
      <c r="D210" s="392">
        <f t="shared" si="74"/>
        <v>35.403070274276168</v>
      </c>
      <c r="E210" s="384">
        <f t="shared" si="72"/>
        <v>35.852901092500169</v>
      </c>
      <c r="F210" s="384">
        <f t="shared" si="75"/>
        <v>35.860332837632839</v>
      </c>
      <c r="G210" s="110">
        <f t="shared" si="73"/>
        <v>0.62238560079022398</v>
      </c>
      <c r="H210" s="413" t="b">
        <f>Wh_hp&gt;='2020'!Maxi_hp</f>
        <v>0</v>
      </c>
      <c r="I210" s="379">
        <f>IF(H210,Wh_hp,'2020'!Maxi_hp)</f>
        <v>59.682824722317406</v>
      </c>
      <c r="J210" s="85">
        <f>IF(H210,An,'2020'!An_max)</f>
        <v>2019</v>
      </c>
      <c r="K210" s="196">
        <f t="shared" si="76"/>
        <v>44392</v>
      </c>
      <c r="L210" s="147">
        <f>IF(t&lt;Tvie,1-EXP((T0-t)*PertePVj)+'2020'!Pspv,1-EXP((T0-t)*PertePVj)+Pspv)</f>
        <v>2.3502771590992434E-2</v>
      </c>
      <c r="M210" s="847"/>
      <c r="N210" s="847"/>
      <c r="O210" s="48">
        <f>IF(t&lt;Tnet,'2020'!Resal+('2020'!Salim-'2020'!Resal)*(1-EXP(('2020'!Tnet-t)/('2020'!Tau_j))),Resal+(Salim-Resal)*(1-EXP((Tnet-t)/(Tau_j))))*Salcycl</f>
        <v>1.254656679144164E-2</v>
      </c>
      <c r="P210" s="168">
        <f>(INDEX(Models!$BJ210:$BT210,,T210)*(1-R210)+INDEX(Models!$BJ210:$BT210,,T210+1)*R210-ERP_i)*Q210*Ramure*Pc/MaxiM</f>
        <v>4.4977519766408494E-4</v>
      </c>
      <c r="Q210" s="304">
        <f t="shared" si="77"/>
        <v>0.5</v>
      </c>
      <c r="R210" s="176">
        <f t="shared" si="78"/>
        <v>0.67723578104437654</v>
      </c>
      <c r="S210" s="814">
        <f t="shared" si="79"/>
        <v>0</v>
      </c>
      <c r="T210" s="175">
        <f t="shared" si="80"/>
        <v>6</v>
      </c>
      <c r="U210" s="250">
        <f t="shared" si="81"/>
        <v>0.67723578104437654</v>
      </c>
      <c r="V210" s="382">
        <f t="shared" si="82"/>
        <v>55.53247630048169</v>
      </c>
      <c r="W210" s="401"/>
      <c r="X210" s="157">
        <f t="shared" si="83"/>
        <v>44392</v>
      </c>
      <c r="Y210" s="384">
        <f t="shared" si="84"/>
        <v>33.178413917525589</v>
      </c>
      <c r="Z210" s="384">
        <f t="shared" si="85"/>
        <v>33.976966807763176</v>
      </c>
      <c r="AA210" s="385">
        <f t="shared" si="86"/>
        <v>35.852901092500169</v>
      </c>
      <c r="AB210" s="196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5.2323082026112681E-2</v>
      </c>
      <c r="AD210" s="230">
        <f>(INDEX(Models!$BJ210:$BT210,,AH210)*(1-AF210)+INDEX(Models!$BJ210:$BT210,,AH210+1)*AF210-ERP_i)*AE210*Ramure*Pc/MaxiM</f>
        <v>4.4977519766408494E-4</v>
      </c>
      <c r="AE210" s="304">
        <f t="shared" si="88"/>
        <v>0.5</v>
      </c>
      <c r="AF210" s="176">
        <f t="shared" si="89"/>
        <v>0.67723578104437654</v>
      </c>
      <c r="AG210" s="814">
        <f t="shared" si="95"/>
        <v>0</v>
      </c>
      <c r="AH210" s="175">
        <f t="shared" si="90"/>
        <v>6</v>
      </c>
      <c r="AI210" s="224">
        <f t="shared" si="91"/>
        <v>0.67723578104437654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16">
        <v>41.052</v>
      </c>
      <c r="C211" s="389"/>
      <c r="D211" s="392">
        <f t="shared" si="74"/>
        <v>42.040977551720744</v>
      </c>
      <c r="E211" s="384">
        <f t="shared" si="72"/>
        <v>42.578432351243471</v>
      </c>
      <c r="F211" s="384">
        <f t="shared" si="75"/>
        <v>42.59028543532343</v>
      </c>
      <c r="G211" s="110">
        <f t="shared" si="73"/>
        <v>0.74018650846448364</v>
      </c>
      <c r="H211" s="413" t="b">
        <f>Wh_hp&gt;='2020'!Maxi_hp</f>
        <v>0</v>
      </c>
      <c r="I211" s="379">
        <f>IF(H211,Wh_hp,'2020'!Maxi_hp)</f>
        <v>58.694583788185525</v>
      </c>
      <c r="J211" s="85">
        <f>IF(H211,An,'2020'!An_max)</f>
        <v>2019</v>
      </c>
      <c r="K211" s="196">
        <f t="shared" si="76"/>
        <v>44393</v>
      </c>
      <c r="L211" s="147">
        <f>IF(t&lt;Tvie,1-EXP((T0-t)*PertePVj)+'2020'!Pspv,1-EXP((T0-t)*PertePVj)+Pspv)</f>
        <v>2.3524133103328883E-2</v>
      </c>
      <c r="M211" s="847"/>
      <c r="N211" s="847"/>
      <c r="O211" s="48">
        <f>IF(t&lt;Tnet,'2020'!Resal+('2020'!Salim-'2020'!Resal)*(1-EXP(('2020'!Tnet-t)/('2020'!Tau_j))),Resal+(Salim-Resal)*(1-EXP((Tnet-t)/(Tau_j))))*Salcycl</f>
        <v>1.2622700504543848E-2</v>
      </c>
      <c r="P211" s="168">
        <f>(INDEX(Models!$BJ211:$BT211,,T211)*(1-R211)+INDEX(Models!$BJ211:$BT211,,T211+1)*R211-ERP_i)*Q211*Ramure*Pc/MaxiM</f>
        <v>4.4244798359318433E-4</v>
      </c>
      <c r="Q211" s="304">
        <f t="shared" si="77"/>
        <v>0.5</v>
      </c>
      <c r="R211" s="176">
        <f t="shared" si="78"/>
        <v>0.67912598466118146</v>
      </c>
      <c r="S211" s="814">
        <f t="shared" si="79"/>
        <v>0</v>
      </c>
      <c r="T211" s="175">
        <f t="shared" si="80"/>
        <v>6</v>
      </c>
      <c r="U211" s="250">
        <f t="shared" si="81"/>
        <v>0.67912598466118146</v>
      </c>
      <c r="V211" s="382">
        <f t="shared" si="82"/>
        <v>55.452591004957746</v>
      </c>
      <c r="W211" s="401"/>
      <c r="X211" s="157">
        <f t="shared" si="83"/>
        <v>44393</v>
      </c>
      <c r="Y211" s="384">
        <f t="shared" si="84"/>
        <v>39.399840713166178</v>
      </c>
      <c r="Z211" s="384">
        <f t="shared" si="85"/>
        <v>40.349016344236389</v>
      </c>
      <c r="AA211" s="385">
        <f t="shared" si="86"/>
        <v>42.578432351243471</v>
      </c>
      <c r="AB211" s="196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5.2360218164348903E-2</v>
      </c>
      <c r="AD211" s="230">
        <f>(INDEX(Models!$BJ211:$BT211,,AH211)*(1-AF211)+INDEX(Models!$BJ211:$BT211,,AH211+1)*AF211-ERP_i)*AE211*Ramure*Pc/MaxiM</f>
        <v>4.4244798359318433E-4</v>
      </c>
      <c r="AE211" s="304">
        <f t="shared" si="88"/>
        <v>0.5</v>
      </c>
      <c r="AF211" s="176">
        <f t="shared" si="89"/>
        <v>0.67912598466118146</v>
      </c>
      <c r="AG211" s="814">
        <f t="shared" si="95"/>
        <v>0</v>
      </c>
      <c r="AH211" s="175">
        <f t="shared" si="90"/>
        <v>6</v>
      </c>
      <c r="AI211" s="224">
        <f t="shared" si="91"/>
        <v>0.67912598466118146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16">
        <v>55.783000000000001</v>
      </c>
      <c r="C212" s="389"/>
      <c r="D212" s="392">
        <f t="shared" si="74"/>
        <v>57.128109569544208</v>
      </c>
      <c r="E212" s="384">
        <f t="shared" si="72"/>
        <v>57.862890793154122</v>
      </c>
      <c r="F212" s="384">
        <f t="shared" si="75"/>
        <v>57.888056189789317</v>
      </c>
      <c r="G212" s="110">
        <f t="shared" si="73"/>
        <v>1.0074177215179112</v>
      </c>
      <c r="H212" s="413" t="b">
        <f>Wh_hp&gt;='2020'!Maxi_hp</f>
        <v>1</v>
      </c>
      <c r="I212" s="379">
        <f>IF(H212,Wh_hp,'2020'!Maxi_hp)</f>
        <v>57.888056189789317</v>
      </c>
      <c r="J212" s="85">
        <f>IF(H212,An,'2020'!An_max)</f>
        <v>2021</v>
      </c>
      <c r="K212" s="196">
        <f t="shared" si="76"/>
        <v>44394</v>
      </c>
      <c r="L212" s="147">
        <f>IF(t&lt;Tvie,1-EXP((T0-t)*PertePVj)+'2020'!Pspv,1-EXP((T0-t)*PertePVj)+Pspv)</f>
        <v>2.3545494147793479E-2</v>
      </c>
      <c r="M212" s="847"/>
      <c r="N212" s="847"/>
      <c r="O212" s="48">
        <f>IF(t&lt;Tnet,'2020'!Resal+('2020'!Salim-'2020'!Resal)*(1-EXP(('2020'!Tnet-t)/('2020'!Tau_j))),Resal+(Salim-Resal)*(1-EXP((Tnet-t)/(Tau_j))))*Salcycl</f>
        <v>1.2698660808990373E-2</v>
      </c>
      <c r="P212" s="168">
        <f>(INDEX(Models!$BJ212:$BT212,,T212)*(1-R212)+INDEX(Models!$BJ212:$BT212,,T212+1)*R212-ERP_i)*Q212*Ramure*Pc/MaxiM</f>
        <v>4.3472519707159907E-4</v>
      </c>
      <c r="Q212" s="304">
        <f t="shared" si="77"/>
        <v>0.5</v>
      </c>
      <c r="R212" s="176">
        <f t="shared" si="78"/>
        <v>0.68096795950112721</v>
      </c>
      <c r="S212" s="814">
        <f t="shared" si="79"/>
        <v>0</v>
      </c>
      <c r="T212" s="175">
        <f t="shared" si="80"/>
        <v>6</v>
      </c>
      <c r="U212" s="250">
        <f t="shared" si="81"/>
        <v>0.68096795950112721</v>
      </c>
      <c r="V212" s="382">
        <f t="shared" si="82"/>
        <v>55.372263966083324</v>
      </c>
      <c r="W212" s="401"/>
      <c r="X212" s="157">
        <f t="shared" si="83"/>
        <v>44394</v>
      </c>
      <c r="Y212" s="384">
        <f t="shared" si="84"/>
        <v>53.540030965258005</v>
      </c>
      <c r="Z212" s="384">
        <f t="shared" si="85"/>
        <v>54.831055255903216</v>
      </c>
      <c r="AA212" s="385">
        <f t="shared" si="86"/>
        <v>57.862890793154122</v>
      </c>
      <c r="AB212" s="196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5.2396890229507997E-2</v>
      </c>
      <c r="AD212" s="230">
        <f>(INDEX(Models!$BJ212:$BT212,,AH212)*(1-AF212)+INDEX(Models!$BJ212:$BT212,,AH212+1)*AF212-ERP_i)*AE212*Ramure*Pc/MaxiM</f>
        <v>4.3472519707159907E-4</v>
      </c>
      <c r="AE212" s="304">
        <f t="shared" si="88"/>
        <v>0.5</v>
      </c>
      <c r="AF212" s="176">
        <f t="shared" si="89"/>
        <v>0.68096795950112721</v>
      </c>
      <c r="AG212" s="814">
        <f t="shared" si="95"/>
        <v>0</v>
      </c>
      <c r="AH212" s="175">
        <f t="shared" si="90"/>
        <v>6</v>
      </c>
      <c r="AI212" s="224">
        <f t="shared" si="91"/>
        <v>0.68096795950112721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44395</v>
      </c>
      <c r="B213" s="616">
        <v>50.186</v>
      </c>
      <c r="C213" s="389"/>
      <c r="D213" s="392">
        <f t="shared" si="74"/>
        <v>51.397272043478949</v>
      </c>
      <c r="E213" s="384">
        <f t="shared" si="72"/>
        <v>52.06233991246534</v>
      </c>
      <c r="F213" s="384">
        <f t="shared" si="75"/>
        <v>52.081635029975637</v>
      </c>
      <c r="G213" s="110">
        <f t="shared" si="73"/>
        <v>0.90761123663032095</v>
      </c>
      <c r="H213" s="413" t="b">
        <f>Wh_hp&gt;='2020'!Maxi_hp</f>
        <v>1</v>
      </c>
      <c r="I213" s="379">
        <f>IF(H213,Wh_hp,'2020'!Maxi_hp)</f>
        <v>52.081635029975637</v>
      </c>
      <c r="J213" s="85">
        <f>IF(H213,An,'2020'!An_max)</f>
        <v>2021</v>
      </c>
      <c r="K213" s="196">
        <f t="shared" si="76"/>
        <v>44395</v>
      </c>
      <c r="L213" s="147">
        <f>IF(t&lt;Tvie,1-EXP((T0-t)*PertePVj)+'2020'!Pspv,1-EXP((T0-t)*PertePVj)+Pspv)</f>
        <v>2.3566854724396326E-2</v>
      </c>
      <c r="M213" s="847"/>
      <c r="N213" s="847"/>
      <c r="O213" s="48">
        <f>IF(t&lt;Tnet,'2020'!Resal+('2020'!Salim-'2020'!Resal)*(1-EXP(('2020'!Tnet-t)/('2020'!Tau_j))),Resal+(Salim-Resal)*(1-EXP((Tnet-t)/(Tau_j))))*Salcycl</f>
        <v>1.2774452129977153E-2</v>
      </c>
      <c r="P213" s="168">
        <f>(INDEX(Models!$BJ213:$BT213,,T213)*(1-R213)+INDEX(Models!$BJ213:$BT213,,T213+1)*R213-ERP_i)*Q213*Ramure*Pc/MaxiM</f>
        <v>4.2677456332662866E-4</v>
      </c>
      <c r="Q213" s="304">
        <f t="shared" si="77"/>
        <v>0.5</v>
      </c>
      <c r="R213" s="176">
        <f t="shared" si="78"/>
        <v>0.68276203205090147</v>
      </c>
      <c r="S213" s="814">
        <f t="shared" si="79"/>
        <v>0</v>
      </c>
      <c r="T213" s="175">
        <f t="shared" si="80"/>
        <v>6</v>
      </c>
      <c r="U213" s="250">
        <f t="shared" si="81"/>
        <v>0.68276203205090147</v>
      </c>
      <c r="V213" s="382">
        <f t="shared" si="82"/>
        <v>55.2914856550072</v>
      </c>
      <c r="W213" s="401"/>
      <c r="X213" s="157">
        <f t="shared" si="83"/>
        <v>44395</v>
      </c>
      <c r="Y213" s="384">
        <f t="shared" si="84"/>
        <v>48.169935829996838</v>
      </c>
      <c r="Z213" s="384">
        <f t="shared" si="85"/>
        <v>49.332548841734173</v>
      </c>
      <c r="AA213" s="385">
        <f t="shared" si="86"/>
        <v>52.06233991246534</v>
      </c>
      <c r="AB213" s="196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5.2433122969902698E-2</v>
      </c>
      <c r="AD213" s="230">
        <f>(INDEX(Models!$BJ213:$BT213,,AH213)*(1-AF213)+INDEX(Models!$BJ213:$BT213,,AH213+1)*AF213-ERP_i)*AE213*Ramure*Pc/MaxiM</f>
        <v>4.2677456332662866E-4</v>
      </c>
      <c r="AE213" s="304">
        <f t="shared" si="88"/>
        <v>0.5</v>
      </c>
      <c r="AF213" s="176">
        <f t="shared" si="89"/>
        <v>0.68276203205090147</v>
      </c>
      <c r="AG213" s="814">
        <f t="shared" si="95"/>
        <v>0</v>
      </c>
      <c r="AH213" s="175">
        <f t="shared" si="90"/>
        <v>6</v>
      </c>
      <c r="AI213" s="224">
        <f t="shared" si="91"/>
        <v>0.68276203205090147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44396</v>
      </c>
      <c r="B214" s="616">
        <v>55.381999999999998</v>
      </c>
      <c r="C214" s="389"/>
      <c r="D214" s="392">
        <f t="shared" si="74"/>
        <v>56.719921698339753</v>
      </c>
      <c r="E214" s="384">
        <f t="shared" si="72"/>
        <v>57.458264935214586</v>
      </c>
      <c r="F214" s="384">
        <f t="shared" si="75"/>
        <v>57.48232696721184</v>
      </c>
      <c r="G214" s="110">
        <f t="shared" si="73"/>
        <v>1.0031107316000989</v>
      </c>
      <c r="H214" s="413" t="b">
        <f>Wh_hp&gt;='2020'!Maxi_hp</f>
        <v>0</v>
      </c>
      <c r="I214" s="379">
        <f>IF(H214,Wh_hp,'2020'!Maxi_hp)</f>
        <v>57.925852793246442</v>
      </c>
      <c r="J214" s="85">
        <f>IF(H214,An,'2020'!An_max)</f>
        <v>2020</v>
      </c>
      <c r="K214" s="196">
        <f t="shared" si="76"/>
        <v>44396</v>
      </c>
      <c r="L214" s="147">
        <f>IF(t&lt;Tvie,1-EXP((T0-t)*PertePVj)+'2020'!Pspv,1-EXP((T0-t)*PertePVj)+Pspv)</f>
        <v>2.3588214833147748E-2</v>
      </c>
      <c r="M214" s="847"/>
      <c r="N214" s="847"/>
      <c r="O214" s="48">
        <f>IF(t&lt;Tnet,'2020'!Resal+('2020'!Salim-'2020'!Resal)*(1-EXP(('2020'!Tnet-t)/('2020'!Tau_j))),Resal+(Salim-Resal)*(1-EXP((Tnet-t)/(Tau_j))))*Salcycl</f>
        <v>1.2850078882599899E-2</v>
      </c>
      <c r="P214" s="168">
        <f>(INDEX(Models!$BJ214:$BT214,,T214)*(1-R214)+INDEX(Models!$BJ214:$BT214,,T214+1)*R214-ERP_i)*Q214*Ramure*Pc/MaxiM</f>
        <v>4.1859878099542361E-4</v>
      </c>
      <c r="Q214" s="304">
        <f t="shared" si="77"/>
        <v>0.5</v>
      </c>
      <c r="R214" s="176">
        <f t="shared" si="78"/>
        <v>0.68450859081023974</v>
      </c>
      <c r="S214" s="814">
        <f t="shared" si="79"/>
        <v>0</v>
      </c>
      <c r="T214" s="175">
        <f t="shared" si="80"/>
        <v>6</v>
      </c>
      <c r="U214" s="250">
        <f t="shared" si="81"/>
        <v>0.68450859081023974</v>
      </c>
      <c r="V214" s="382">
        <f t="shared" si="82"/>
        <v>55.210255712904328</v>
      </c>
      <c r="W214" s="401"/>
      <c r="X214" s="157">
        <f t="shared" si="83"/>
        <v>44396</v>
      </c>
      <c r="Y214" s="384">
        <f t="shared" si="84"/>
        <v>53.159265894738567</v>
      </c>
      <c r="Z214" s="384">
        <f t="shared" si="85"/>
        <v>54.443490648419967</v>
      </c>
      <c r="AA214" s="385">
        <f t="shared" si="86"/>
        <v>57.458264935214586</v>
      </c>
      <c r="AB214" s="196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5.2468940546566166E-2</v>
      </c>
      <c r="AD214" s="230">
        <f>(INDEX(Models!$BJ214:$BT214,,AH214)*(1-AF214)+INDEX(Models!$BJ214:$BT214,,AH214+1)*AF214-ERP_i)*AE214*Ramure*Pc/MaxiM</f>
        <v>4.1859878099542361E-4</v>
      </c>
      <c r="AE214" s="304">
        <f t="shared" si="88"/>
        <v>0.5</v>
      </c>
      <c r="AF214" s="176">
        <f t="shared" si="89"/>
        <v>0.68450859081023974</v>
      </c>
      <c r="AG214" s="814">
        <f t="shared" si="95"/>
        <v>0</v>
      </c>
      <c r="AH214" s="175">
        <f t="shared" si="90"/>
        <v>6</v>
      </c>
      <c r="AI214" s="224">
        <f t="shared" si="91"/>
        <v>0.68450859081023974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44397</v>
      </c>
      <c r="B215" s="616">
        <v>46.127000000000002</v>
      </c>
      <c r="C215" s="389"/>
      <c r="D215" s="392">
        <f t="shared" si="74"/>
        <v>47.242372307320871</v>
      </c>
      <c r="E215" s="384">
        <f t="shared" si="72"/>
        <v>47.861001861664015</v>
      </c>
      <c r="F215" s="384">
        <f t="shared" si="75"/>
        <v>47.876059664568473</v>
      </c>
      <c r="G215" s="110">
        <f t="shared" si="73"/>
        <v>0.83663664447798824</v>
      </c>
      <c r="H215" s="413" t="b">
        <f>Wh_hp&gt;='2020'!Maxi_hp</f>
        <v>0</v>
      </c>
      <c r="I215" s="379">
        <f>IF(H215,Wh_hp,'2020'!Maxi_hp)</f>
        <v>57.010821173837634</v>
      </c>
      <c r="J215" s="85">
        <f>IF(H215,An,'2020'!An_max)</f>
        <v>2020</v>
      </c>
      <c r="K215" s="196">
        <f t="shared" si="76"/>
        <v>44397</v>
      </c>
      <c r="L215" s="147">
        <f>IF(t&lt;Tvie,1-EXP((T0-t)*PertePVj)+'2020'!Pspv,1-EXP((T0-t)*PertePVj)+Pspv)</f>
        <v>2.3609574474057961E-2</v>
      </c>
      <c r="M215" s="847"/>
      <c r="N215" s="847"/>
      <c r="O215" s="48">
        <f>IF(t&lt;Tnet,'2020'!Resal+('2020'!Salim-'2020'!Resal)*(1-EXP(('2020'!Tnet-t)/('2020'!Tau_j))),Resal+(Salim-Resal)*(1-EXP((Tnet-t)/(Tau_j))))*Salcycl</f>
        <v>1.2925545439504372E-2</v>
      </c>
      <c r="P215" s="168">
        <f>(INDEX(Models!$BJ215:$BT215,,T215)*(1-R215)+INDEX(Models!$BJ215:$BT215,,T215+1)*R215-ERP_i)*Q215*Ramure*Pc/MaxiM</f>
        <v>4.1020043417255885E-4</v>
      </c>
      <c r="Q215" s="304">
        <f t="shared" si="77"/>
        <v>0.5</v>
      </c>
      <c r="R215" s="176">
        <f t="shared" si="78"/>
        <v>0.68620808207150086</v>
      </c>
      <c r="S215" s="814">
        <f t="shared" si="79"/>
        <v>0</v>
      </c>
      <c r="T215" s="175">
        <f t="shared" si="80"/>
        <v>6</v>
      </c>
      <c r="U215" s="250">
        <f t="shared" si="81"/>
        <v>0.68620808207150086</v>
      </c>
      <c r="V215" s="382">
        <f t="shared" si="82"/>
        <v>55.128573790625943</v>
      </c>
      <c r="W215" s="401"/>
      <c r="X215" s="157">
        <f t="shared" si="83"/>
        <v>44397</v>
      </c>
      <c r="Y215" s="384">
        <f t="shared" si="84"/>
        <v>44.277441167898253</v>
      </c>
      <c r="Z215" s="384">
        <f t="shared" si="85"/>
        <v>45.348090282683579</v>
      </c>
      <c r="AA215" s="385">
        <f t="shared" si="86"/>
        <v>47.861001861664015</v>
      </c>
      <c r="AB215" s="196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5.2504366420153124E-2</v>
      </c>
      <c r="AD215" s="230">
        <f>(INDEX(Models!$BJ215:$BT215,,AH215)*(1-AF215)+INDEX(Models!$BJ215:$BT215,,AH215+1)*AF215-ERP_i)*AE215*Ramure*Pc/MaxiM</f>
        <v>4.1020043417255885E-4</v>
      </c>
      <c r="AE215" s="304">
        <f t="shared" si="88"/>
        <v>0.5</v>
      </c>
      <c r="AF215" s="176">
        <f t="shared" si="89"/>
        <v>0.68620808207150086</v>
      </c>
      <c r="AG215" s="814">
        <f t="shared" si="95"/>
        <v>0</v>
      </c>
      <c r="AH215" s="175">
        <f t="shared" si="90"/>
        <v>6</v>
      </c>
      <c r="AI215" s="224">
        <f t="shared" si="91"/>
        <v>0.68620808207150086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44398</v>
      </c>
      <c r="B216" s="616">
        <v>45.012</v>
      </c>
      <c r="C216" s="389"/>
      <c r="D216" s="392">
        <f t="shared" si="74"/>
        <v>46.101419587306474</v>
      </c>
      <c r="E216" s="384">
        <f t="shared" si="72"/>
        <v>46.708672314689558</v>
      </c>
      <c r="F216" s="384">
        <f t="shared" si="75"/>
        <v>46.722549100674435</v>
      </c>
      <c r="G216" s="110">
        <f t="shared" si="73"/>
        <v>0.81762402265920142</v>
      </c>
      <c r="H216" s="413" t="b">
        <f>Wh_hp&gt;='2020'!Maxi_hp</f>
        <v>0</v>
      </c>
      <c r="I216" s="379">
        <f>IF(H216,Wh_hp,'2020'!Maxi_hp)</f>
        <v>47.604879092254187</v>
      </c>
      <c r="J216" s="85">
        <f>IF(H216,An,'2020'!An_max)</f>
        <v>2020</v>
      </c>
      <c r="K216" s="196">
        <f t="shared" si="76"/>
        <v>44398</v>
      </c>
      <c r="L216" s="147">
        <f>IF(t&lt;Tvie,1-EXP((T0-t)*PertePVj)+'2020'!Pspv,1-EXP((T0-t)*PertePVj)+Pspv)</f>
        <v>2.3630933647137288E-2</v>
      </c>
      <c r="M216" s="847"/>
      <c r="N216" s="847"/>
      <c r="O216" s="48">
        <f>IF(t&lt;Tnet,'2020'!Resal+('2020'!Salim-'2020'!Resal)*(1-EXP(('2020'!Tnet-t)/('2020'!Tau_j))),Resal+(Salim-Resal)*(1-EXP((Tnet-t)/(Tau_j))))*Salcycl</f>
        <v>1.3000856099951826E-2</v>
      </c>
      <c r="P216" s="168">
        <f>(INDEX(Models!$BJ216:$BT216,,T216)*(1-R216)+INDEX(Models!$BJ216:$BT216,,T216+1)*R216-ERP_i)*Q216*Ramure*Pc/MaxiM</f>
        <v>4.0158197804920708E-4</v>
      </c>
      <c r="Q216" s="304">
        <f t="shared" si="77"/>
        <v>0.5</v>
      </c>
      <c r="R216" s="176">
        <f t="shared" si="78"/>
        <v>0.68786100572633679</v>
      </c>
      <c r="S216" s="814">
        <f t="shared" si="79"/>
        <v>0</v>
      </c>
      <c r="T216" s="175">
        <f t="shared" si="80"/>
        <v>6</v>
      </c>
      <c r="U216" s="250">
        <f t="shared" si="81"/>
        <v>0.68786100572633679</v>
      </c>
      <c r="V216" s="382">
        <f t="shared" si="82"/>
        <v>55.046439551909693</v>
      </c>
      <c r="W216" s="401"/>
      <c r="X216" s="157">
        <f t="shared" si="83"/>
        <v>44398</v>
      </c>
      <c r="Y216" s="384">
        <f t="shared" si="84"/>
        <v>43.20884748926251</v>
      </c>
      <c r="Z216" s="384">
        <f t="shared" si="85"/>
        <v>44.254625610646606</v>
      </c>
      <c r="AA216" s="385">
        <f t="shared" si="86"/>
        <v>46.708672314689558</v>
      </c>
      <c r="AB216" s="196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5.2539423246915309E-2</v>
      </c>
      <c r="AD216" s="230">
        <f>(INDEX(Models!$BJ216:$BT216,,AH216)*(1-AF216)+INDEX(Models!$BJ216:$BT216,,AH216+1)*AF216-ERP_i)*AE216*Ramure*Pc/MaxiM</f>
        <v>4.0158197804920708E-4</v>
      </c>
      <c r="AE216" s="304">
        <f t="shared" si="88"/>
        <v>0.5</v>
      </c>
      <c r="AF216" s="176">
        <f t="shared" si="89"/>
        <v>0.68786100572633679</v>
      </c>
      <c r="AG216" s="814">
        <f t="shared" si="95"/>
        <v>0</v>
      </c>
      <c r="AH216" s="175">
        <f t="shared" si="90"/>
        <v>6</v>
      </c>
      <c r="AI216" s="224">
        <f t="shared" si="91"/>
        <v>0.68786100572633679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44399</v>
      </c>
      <c r="B217" s="616">
        <v>52.375999999999998</v>
      </c>
      <c r="C217" s="389"/>
      <c r="D217" s="392">
        <f t="shared" si="74"/>
        <v>53.644823037679743</v>
      </c>
      <c r="E217" s="384">
        <f t="shared" si="72"/>
        <v>54.355577386204764</v>
      </c>
      <c r="F217" s="384">
        <f t="shared" si="75"/>
        <v>54.375496718092663</v>
      </c>
      <c r="G217" s="110">
        <f t="shared" si="73"/>
        <v>0.95289200724025558</v>
      </c>
      <c r="H217" s="413" t="b">
        <f>Wh_hp&gt;='2020'!Maxi_hp</f>
        <v>1</v>
      </c>
      <c r="I217" s="379">
        <f>IF(H217,Wh_hp,'2020'!Maxi_hp)</f>
        <v>54.375496718092663</v>
      </c>
      <c r="J217" s="85">
        <f>IF(H217,An,'2020'!An_max)</f>
        <v>2021</v>
      </c>
      <c r="K217" s="196">
        <f t="shared" si="76"/>
        <v>44399</v>
      </c>
      <c r="L217" s="147">
        <f>IF(t&lt;Tvie,1-EXP((T0-t)*PertePVj)+'2020'!Pspv,1-EXP((T0-t)*PertePVj)+Pspv)</f>
        <v>2.3652292352395833E-2</v>
      </c>
      <c r="M217" s="847"/>
      <c r="N217" s="847"/>
      <c r="O217" s="48">
        <f>IF(t&lt;Tnet,'2020'!Resal+('2020'!Salim-'2020'!Resal)*(1-EXP(('2020'!Tnet-t)/('2020'!Tau_j))),Resal+(Salim-Resal)*(1-EXP((Tnet-t)/(Tau_j))))*Salcycl</f>
        <v>1.3076015060515325E-2</v>
      </c>
      <c r="P217" s="168">
        <f>(INDEX(Models!$BJ217:$BT217,,T217)*(1-R217)+INDEX(Models!$BJ217:$BT217,,T217+1)*R217-ERP_i)*Q217*Ramure*Pc/MaxiM</f>
        <v>3.9274572649037188E-4</v>
      </c>
      <c r="Q217" s="304">
        <f t="shared" si="77"/>
        <v>0.5</v>
      </c>
      <c r="R217" s="176">
        <f t="shared" si="78"/>
        <v>0.68946791112070427</v>
      </c>
      <c r="S217" s="814">
        <f t="shared" si="79"/>
        <v>0</v>
      </c>
      <c r="T217" s="175">
        <f t="shared" si="80"/>
        <v>6</v>
      </c>
      <c r="U217" s="250">
        <f t="shared" si="81"/>
        <v>0.68946791112070427</v>
      </c>
      <c r="V217" s="382">
        <f t="shared" si="82"/>
        <v>54.963852674497936</v>
      </c>
      <c r="W217" s="401"/>
      <c r="X217" s="157">
        <f t="shared" si="83"/>
        <v>44399</v>
      </c>
      <c r="Y217" s="384">
        <f t="shared" si="84"/>
        <v>50.279837128827978</v>
      </c>
      <c r="Z217" s="384">
        <f t="shared" si="85"/>
        <v>51.49788004313686</v>
      </c>
      <c r="AA217" s="385">
        <f t="shared" si="86"/>
        <v>54.355577386204764</v>
      </c>
      <c r="AB217" s="196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5.2574132784268368E-2</v>
      </c>
      <c r="AD217" s="230">
        <f>(INDEX(Models!$BJ217:$BT217,,AH217)*(1-AF217)+INDEX(Models!$BJ217:$BT217,,AH217+1)*AF217-ERP_i)*AE217*Ramure*Pc/MaxiM</f>
        <v>3.9274572649037188E-4</v>
      </c>
      <c r="AE217" s="304">
        <f t="shared" si="88"/>
        <v>0.5</v>
      </c>
      <c r="AF217" s="176">
        <f t="shared" si="89"/>
        <v>0.68946791112070427</v>
      </c>
      <c r="AG217" s="814">
        <f t="shared" si="95"/>
        <v>0</v>
      </c>
      <c r="AH217" s="175">
        <f t="shared" si="90"/>
        <v>6</v>
      </c>
      <c r="AI217" s="224">
        <f t="shared" si="91"/>
        <v>0.68946791112070427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16">
        <v>43.557000000000002</v>
      </c>
      <c r="C218" s="389"/>
      <c r="D218" s="392">
        <f t="shared" si="74"/>
        <v>44.613156273324797</v>
      </c>
      <c r="E218" s="384">
        <f t="shared" si="72"/>
        <v>45.207683714780252</v>
      </c>
      <c r="F218" s="384">
        <f t="shared" si="75"/>
        <v>45.219919989842658</v>
      </c>
      <c r="G218" s="110">
        <f t="shared" si="73"/>
        <v>0.7935755712701581</v>
      </c>
      <c r="H218" s="413" t="b">
        <f>Wh_hp&gt;='2020'!Maxi_hp</f>
        <v>0</v>
      </c>
      <c r="I218" s="379">
        <f>IF(H218,Wh_hp,'2020'!Maxi_hp)</f>
        <v>55.212338097424414</v>
      </c>
      <c r="J218" s="85">
        <f>IF(H218,An,'2020'!An_max)</f>
        <v>2019</v>
      </c>
      <c r="K218" s="196">
        <f t="shared" si="76"/>
        <v>44400</v>
      </c>
      <c r="L218" s="147">
        <f>IF(t&lt;Tvie,1-EXP((T0-t)*PertePVj)+'2020'!Pspv,1-EXP((T0-t)*PertePVj)+Pspv)</f>
        <v>2.3673650589843921E-2</v>
      </c>
      <c r="M218" s="847"/>
      <c r="N218" s="847"/>
      <c r="O218" s="48">
        <f>IF(t&lt;Tnet,'2020'!Resal+('2020'!Salim-'2020'!Resal)*(1-EXP(('2020'!Tnet-t)/('2020'!Tau_j))),Resal+(Salim-Resal)*(1-EXP((Tnet-t)/(Tau_j))))*Salcycl</f>
        <v>1.3151026387602339E-2</v>
      </c>
      <c r="P218" s="168">
        <f>(INDEX(Models!$BJ218:$BT218,,T218)*(1-R218)+INDEX(Models!$BJ218:$BT218,,T218+1)*R218-ERP_i)*Q218*Ramure*Pc/MaxiM</f>
        <v>3.8369384153598239E-4</v>
      </c>
      <c r="Q218" s="304">
        <f t="shared" si="77"/>
        <v>0.5</v>
      </c>
      <c r="R218" s="176">
        <f t="shared" si="78"/>
        <v>0.69102939297738353</v>
      </c>
      <c r="S218" s="814">
        <f t="shared" si="79"/>
        <v>0</v>
      </c>
      <c r="T218" s="175">
        <f t="shared" si="80"/>
        <v>6</v>
      </c>
      <c r="U218" s="250">
        <f t="shared" si="81"/>
        <v>0.69102939297738353</v>
      </c>
      <c r="V218" s="382">
        <f t="shared" si="82"/>
        <v>54.880812852924279</v>
      </c>
      <c r="W218" s="401"/>
      <c r="X218" s="157">
        <f t="shared" si="83"/>
        <v>44400</v>
      </c>
      <c r="Y218" s="384">
        <f t="shared" si="84"/>
        <v>41.815446922914681</v>
      </c>
      <c r="Z218" s="384">
        <f t="shared" si="85"/>
        <v>42.829374571501965</v>
      </c>
      <c r="AA218" s="385">
        <f t="shared" si="86"/>
        <v>45.207683714780252</v>
      </c>
      <c r="AB218" s="196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5.2608515806367724E-2</v>
      </c>
      <c r="AD218" s="230">
        <f>(INDEX(Models!$BJ218:$BT218,,AH218)*(1-AF218)+INDEX(Models!$BJ218:$BT218,,AH218+1)*AF218-ERP_i)*AE218*Ramure*Pc/MaxiM</f>
        <v>3.8369384153598239E-4</v>
      </c>
      <c r="AE218" s="304">
        <f t="shared" si="88"/>
        <v>0.5</v>
      </c>
      <c r="AF218" s="176">
        <f t="shared" si="89"/>
        <v>0.69102939297738353</v>
      </c>
      <c r="AG218" s="814">
        <f t="shared" si="95"/>
        <v>0</v>
      </c>
      <c r="AH218" s="175">
        <f t="shared" si="90"/>
        <v>6</v>
      </c>
      <c r="AI218" s="224">
        <f t="shared" si="91"/>
        <v>0.69102939297738353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44401</v>
      </c>
      <c r="B219" s="616">
        <v>32.731999999999999</v>
      </c>
      <c r="C219" s="389"/>
      <c r="D219" s="392">
        <f t="shared" si="74"/>
        <v>33.526408530391357</v>
      </c>
      <c r="E219" s="384">
        <f t="shared" si="72"/>
        <v>33.975768442102549</v>
      </c>
      <c r="F219" s="384">
        <f t="shared" si="75"/>
        <v>33.981172607769402</v>
      </c>
      <c r="G219" s="110">
        <f t="shared" si="73"/>
        <v>0.59719241182324623</v>
      </c>
      <c r="H219" s="413" t="b">
        <f>Wh_hp&gt;='2020'!Maxi_hp</f>
        <v>0</v>
      </c>
      <c r="I219" s="379">
        <f>IF(H219,Wh_hp,'2020'!Maxi_hp)</f>
        <v>55.317819769739138</v>
      </c>
      <c r="J219" s="85">
        <f>IF(H219,An,'2020'!An_max)</f>
        <v>2019</v>
      </c>
      <c r="K219" s="196">
        <f t="shared" si="76"/>
        <v>44401</v>
      </c>
      <c r="L219" s="147">
        <f>IF(t&lt;Tvie,1-EXP((T0-t)*PertePVj)+'2020'!Pspv,1-EXP((T0-t)*PertePVj)+Pspv)</f>
        <v>2.3695008359491766E-2</v>
      </c>
      <c r="M219" s="847"/>
      <c r="N219" s="847"/>
      <c r="O219" s="48">
        <f>IF(t&lt;Tnet,'2020'!Resal+('2020'!Salim-'2020'!Resal)*(1-EXP(('2020'!Tnet-t)/('2020'!Tau_j))),Resal+(Salim-Resal)*(1-EXP((Tnet-t)/(Tau_j))))*Salcycl</f>
        <v>1.3225893991976633E-2</v>
      </c>
      <c r="P219" s="168">
        <f>(INDEX(Models!$BJ219:$BT219,,T219)*(1-R219)+INDEX(Models!$BJ219:$BT219,,T219+1)*R219-ERP_i)*Q219*Ramure*Pc/MaxiM</f>
        <v>3.7442308604366853E-4</v>
      </c>
      <c r="Q219" s="304">
        <f t="shared" si="77"/>
        <v>0.5</v>
      </c>
      <c r="R219" s="176">
        <f t="shared" si="78"/>
        <v>0.69254608740310986</v>
      </c>
      <c r="S219" s="814">
        <f t="shared" si="79"/>
        <v>0</v>
      </c>
      <c r="T219" s="175">
        <f t="shared" si="80"/>
        <v>6</v>
      </c>
      <c r="U219" s="250">
        <f t="shared" si="81"/>
        <v>0.69254608740310986</v>
      </c>
      <c r="V219" s="382">
        <f t="shared" si="82"/>
        <v>54.797998298168444</v>
      </c>
      <c r="W219" s="401"/>
      <c r="X219" s="157">
        <f t="shared" si="83"/>
        <v>44401</v>
      </c>
      <c r="Y219" s="384">
        <f t="shared" si="84"/>
        <v>31.424520048585066</v>
      </c>
      <c r="Z219" s="384">
        <f t="shared" si="85"/>
        <v>32.187195925098884</v>
      </c>
      <c r="AA219" s="385">
        <f t="shared" si="86"/>
        <v>33.975768442102549</v>
      </c>
      <c r="AB219" s="196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5.2642592030009164E-2</v>
      </c>
      <c r="AD219" s="230">
        <f>(INDEX(Models!$BJ219:$BT219,,AH219)*(1-AF219)+INDEX(Models!$BJ219:$BT219,,AH219+1)*AF219-ERP_i)*AE219*Ramure*Pc/MaxiM</f>
        <v>3.7442308604366853E-4</v>
      </c>
      <c r="AE219" s="304">
        <f t="shared" si="88"/>
        <v>0.5</v>
      </c>
      <c r="AF219" s="176">
        <f t="shared" si="89"/>
        <v>0.69254608740310986</v>
      </c>
      <c r="AG219" s="814">
        <f t="shared" si="95"/>
        <v>0</v>
      </c>
      <c r="AH219" s="175">
        <f t="shared" si="90"/>
        <v>6</v>
      </c>
      <c r="AI219" s="224">
        <f t="shared" si="91"/>
        <v>0.69254608740310986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44402</v>
      </c>
      <c r="B220" s="616">
        <v>36.186999999999998</v>
      </c>
      <c r="C220" s="389"/>
      <c r="D220" s="392">
        <f t="shared" si="74"/>
        <v>37.066072529745554</v>
      </c>
      <c r="E220" s="384">
        <f t="shared" si="72"/>
        <v>37.565719956218722</v>
      </c>
      <c r="F220" s="384">
        <f t="shared" si="75"/>
        <v>37.572797697767903</v>
      </c>
      <c r="G220" s="110">
        <f t="shared" si="73"/>
        <v>0.66124516071085604</v>
      </c>
      <c r="H220" s="413" t="b">
        <f>Wh_hp&gt;='2020'!Maxi_hp</f>
        <v>0</v>
      </c>
      <c r="I220" s="379">
        <f>IF(H220,Wh_hp,'2020'!Maxi_hp)</f>
        <v>56.522396659484173</v>
      </c>
      <c r="J220" s="85">
        <f>IF(H220,An,'2020'!An_max)</f>
        <v>2020</v>
      </c>
      <c r="K220" s="196">
        <f t="shared" si="76"/>
        <v>44402</v>
      </c>
      <c r="L220" s="147">
        <f>IF(t&lt;Tvie,1-EXP((T0-t)*PertePVj)+'2020'!Pspv,1-EXP((T0-t)*PertePVj)+Pspv)</f>
        <v>2.3716365661349693E-2</v>
      </c>
      <c r="M220" s="847"/>
      <c r="N220" s="847"/>
      <c r="O220" s="48">
        <f>IF(t&lt;Tnet,'2020'!Resal+('2020'!Salim-'2020'!Resal)*(1-EXP(('2020'!Tnet-t)/('2020'!Tau_j))),Resal+(Salim-Resal)*(1-EXP((Tnet-t)/(Tau_j))))*Salcycl</f>
        <v>1.3300621605428709E-2</v>
      </c>
      <c r="P220" s="168">
        <f>(INDEX(Models!$BJ220:$BT220,,T220)*(1-R220)+INDEX(Models!$BJ220:$BT220,,T220+1)*R220-ERP_i)*Q220*Ramure*Pc/MaxiM</f>
        <v>3.6490247281672697E-4</v>
      </c>
      <c r="Q220" s="304">
        <f t="shared" si="77"/>
        <v>0.5</v>
      </c>
      <c r="R220" s="176">
        <f t="shared" si="78"/>
        <v>0.6940186679953908</v>
      </c>
      <c r="S220" s="814">
        <f t="shared" si="79"/>
        <v>0</v>
      </c>
      <c r="T220" s="175">
        <f t="shared" si="80"/>
        <v>6</v>
      </c>
      <c r="U220" s="250">
        <f t="shared" si="81"/>
        <v>0.6940186679953908</v>
      </c>
      <c r="V220" s="382">
        <f t="shared" si="82"/>
        <v>54.715879848442924</v>
      </c>
      <c r="W220" s="401"/>
      <c r="X220" s="157">
        <f t="shared" si="83"/>
        <v>44402</v>
      </c>
      <c r="Y220" s="384">
        <f t="shared" si="84"/>
        <v>34.742902028446927</v>
      </c>
      <c r="Z220" s="384">
        <f t="shared" si="85"/>
        <v>35.586893814913033</v>
      </c>
      <c r="AA220" s="385">
        <f t="shared" si="86"/>
        <v>37.565719956218722</v>
      </c>
      <c r="AB220" s="196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5.2676380051065945E-2</v>
      </c>
      <c r="AD220" s="230">
        <f>(INDEX(Models!$BJ220:$BT220,,AH220)*(1-AF220)+INDEX(Models!$BJ220:$BT220,,AH220+1)*AF220-ERP_i)*AE220*Ramure*Pc/MaxiM</f>
        <v>3.6490247281672697E-4</v>
      </c>
      <c r="AE220" s="304">
        <f t="shared" si="88"/>
        <v>0.5</v>
      </c>
      <c r="AF220" s="176">
        <f t="shared" si="89"/>
        <v>0.6940186679953908</v>
      </c>
      <c r="AG220" s="814">
        <f t="shared" si="95"/>
        <v>0</v>
      </c>
      <c r="AH220" s="175">
        <f t="shared" si="90"/>
        <v>6</v>
      </c>
      <c r="AI220" s="224">
        <f t="shared" si="91"/>
        <v>0.6940186679953908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44403</v>
      </c>
      <c r="B221" s="616">
        <v>31.919</v>
      </c>
      <c r="C221" s="389"/>
      <c r="D221" s="392">
        <f t="shared" si="74"/>
        <v>32.695107386089205</v>
      </c>
      <c r="E221" s="384">
        <f t="shared" si="72"/>
        <v>33.138339730488326</v>
      </c>
      <c r="F221" s="384">
        <f t="shared" si="75"/>
        <v>33.143120569095124</v>
      </c>
      <c r="G221" s="110">
        <f t="shared" si="73"/>
        <v>0.58410849796675657</v>
      </c>
      <c r="H221" s="413" t="b">
        <f>Wh_hp&gt;='2020'!Maxi_hp</f>
        <v>0</v>
      </c>
      <c r="I221" s="379">
        <f>IF(H221,Wh_hp,'2020'!Maxi_hp)</f>
        <v>56.237487014663813</v>
      </c>
      <c r="J221" s="85">
        <f>IF(H221,An,'2020'!An_max)</f>
        <v>2020</v>
      </c>
      <c r="K221" s="196">
        <f t="shared" si="76"/>
        <v>44403</v>
      </c>
      <c r="L221" s="147">
        <f>IF(t&lt;Tvie,1-EXP((T0-t)*PertePVj)+'2020'!Pspv,1-EXP((T0-t)*PertePVj)+Pspv)</f>
        <v>2.3737722495427917E-2</v>
      </c>
      <c r="M221" s="847"/>
      <c r="N221" s="847"/>
      <c r="O221" s="48">
        <f>IF(t&lt;Tnet,'2020'!Resal+('2020'!Salim-'2020'!Resal)*(1-EXP(('2020'!Tnet-t)/('2020'!Tau_j))),Resal+(Salim-Resal)*(1-EXP((Tnet-t)/(Tau_j))))*Salcycl</f>
        <v>1.3375212759718607E-2</v>
      </c>
      <c r="P221" s="168">
        <f>(INDEX(Models!$BJ221:$BT221,,T221)*(1-R221)+INDEX(Models!$BJ221:$BT221,,T221+1)*R221-ERP_i)*Q221*Ramure*Pc/MaxiM</f>
        <v>3.5525162660261024E-4</v>
      </c>
      <c r="Q221" s="304">
        <f t="shared" si="77"/>
        <v>0.5</v>
      </c>
      <c r="R221" s="176">
        <f t="shared" si="78"/>
        <v>0.69544784206210619</v>
      </c>
      <c r="S221" s="814">
        <f t="shared" si="79"/>
        <v>0</v>
      </c>
      <c r="T221" s="175">
        <f t="shared" si="80"/>
        <v>6</v>
      </c>
      <c r="U221" s="250">
        <f t="shared" si="81"/>
        <v>0.69544784206210619</v>
      </c>
      <c r="V221" s="382">
        <f t="shared" si="82"/>
        <v>54.634137534487415</v>
      </c>
      <c r="W221" s="401"/>
      <c r="X221" s="157">
        <f t="shared" si="83"/>
        <v>44403</v>
      </c>
      <c r="Y221" s="384">
        <f t="shared" si="84"/>
        <v>30.646455653041105</v>
      </c>
      <c r="Z221" s="384">
        <f t="shared" si="85"/>
        <v>31.391621246881151</v>
      </c>
      <c r="AA221" s="385">
        <f t="shared" si="86"/>
        <v>33.138339730488326</v>
      </c>
      <c r="AB221" s="196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5.2709897291569469E-2</v>
      </c>
      <c r="AD221" s="230">
        <f>(INDEX(Models!$BJ221:$BT221,,AH221)*(1-AF221)+INDEX(Models!$BJ221:$BT221,,AH221+1)*AF221-ERP_i)*AE221*Ramure*Pc/MaxiM</f>
        <v>3.5525162660261024E-4</v>
      </c>
      <c r="AE221" s="304">
        <f t="shared" si="88"/>
        <v>0.5</v>
      </c>
      <c r="AF221" s="176">
        <f t="shared" si="89"/>
        <v>0.69544784206210619</v>
      </c>
      <c r="AG221" s="814">
        <f t="shared" si="95"/>
        <v>0</v>
      </c>
      <c r="AH221" s="175">
        <f t="shared" si="90"/>
        <v>6</v>
      </c>
      <c r="AI221" s="224">
        <f t="shared" si="91"/>
        <v>0.69544784206210619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44404</v>
      </c>
      <c r="B222" s="616">
        <v>48.087000000000003</v>
      </c>
      <c r="C222" s="389"/>
      <c r="D222" s="392">
        <f t="shared" si="74"/>
        <v>49.257308271745273</v>
      </c>
      <c r="E222" s="384">
        <f t="shared" si="72"/>
        <v>49.92883465974316</v>
      </c>
      <c r="F222" s="384">
        <f t="shared" si="75"/>
        <v>49.943167450700308</v>
      </c>
      <c r="G222" s="110">
        <f t="shared" si="73"/>
        <v>0.88143024802275738</v>
      </c>
      <c r="H222" s="413" t="b">
        <f>Wh_hp&gt;='2020'!Maxi_hp</f>
        <v>1</v>
      </c>
      <c r="I222" s="379">
        <f>IF(H222,Wh_hp,'2020'!Maxi_hp)</f>
        <v>49.943167450700308</v>
      </c>
      <c r="J222" s="85">
        <f>IF(H222,An,'2020'!An_max)</f>
        <v>2021</v>
      </c>
      <c r="K222" s="196">
        <f t="shared" si="76"/>
        <v>44404</v>
      </c>
      <c r="L222" s="147">
        <f>IF(t&lt;Tvie,1-EXP((T0-t)*PertePVj)+'2020'!Pspv,1-EXP((T0-t)*PertePVj)+Pspv)</f>
        <v>2.375907886173665E-2</v>
      </c>
      <c r="M222" s="847"/>
      <c r="N222" s="847"/>
      <c r="O222" s="48">
        <f>IF(t&lt;Tnet,'2020'!Resal+('2020'!Salim-'2020'!Resal)*(1-EXP(('2020'!Tnet-t)/('2020'!Tau_j))),Resal+(Salim-Resal)*(1-EXP((Tnet-t)/(Tau_j))))*Salcycl</f>
        <v>1.3449670767888496E-2</v>
      </c>
      <c r="P222" s="168">
        <f>(INDEX(Models!$BJ222:$BT222,,T222)*(1-R222)+INDEX(Models!$BJ222:$BT222,,T222+1)*R222-ERP_i)*Q222*Ramure*Pc/MaxiM</f>
        <v>3.4547496452684817E-4</v>
      </c>
      <c r="Q222" s="304">
        <f t="shared" si="77"/>
        <v>0.5</v>
      </c>
      <c r="R222" s="176">
        <f t="shared" si="78"/>
        <v>0.69683434696508573</v>
      </c>
      <c r="S222" s="814">
        <f t="shared" si="79"/>
        <v>0</v>
      </c>
      <c r="T222" s="175">
        <f t="shared" si="80"/>
        <v>6</v>
      </c>
      <c r="U222" s="250">
        <f t="shared" si="81"/>
        <v>0.69683434696508573</v>
      </c>
      <c r="V222" s="382">
        <f t="shared" si="82"/>
        <v>54.552457837793767</v>
      </c>
      <c r="W222" s="401"/>
      <c r="X222" s="157">
        <f t="shared" si="83"/>
        <v>44404</v>
      </c>
      <c r="Y222" s="384">
        <f t="shared" si="84"/>
        <v>46.17173429213846</v>
      </c>
      <c r="Z222" s="384">
        <f t="shared" si="85"/>
        <v>47.295430146795944</v>
      </c>
      <c r="AA222" s="385">
        <f t="shared" si="86"/>
        <v>49.92883465974316</v>
      </c>
      <c r="AB222" s="196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5.2743159957436163E-2</v>
      </c>
      <c r="AD222" s="230">
        <f>(INDEX(Models!$BJ222:$BT222,,AH222)*(1-AF222)+INDEX(Models!$BJ222:$BT222,,AH222+1)*AF222-ERP_i)*AE222*Ramure*Pc/MaxiM</f>
        <v>3.4547496452684817E-4</v>
      </c>
      <c r="AE222" s="304">
        <f t="shared" si="88"/>
        <v>0.5</v>
      </c>
      <c r="AF222" s="176">
        <f t="shared" si="89"/>
        <v>0.69683434696508573</v>
      </c>
      <c r="AG222" s="814">
        <f t="shared" si="95"/>
        <v>0</v>
      </c>
      <c r="AH222" s="175">
        <f t="shared" si="90"/>
        <v>6</v>
      </c>
      <c r="AI222" s="224">
        <f t="shared" si="91"/>
        <v>0.69683434696508573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44405</v>
      </c>
      <c r="B223" s="616">
        <v>26.516000000000002</v>
      </c>
      <c r="C223" s="389"/>
      <c r="D223" s="392">
        <f t="shared" si="74"/>
        <v>27.161922321736004</v>
      </c>
      <c r="E223" s="384">
        <f t="shared" si="72"/>
        <v>27.534296106709252</v>
      </c>
      <c r="F223" s="384">
        <f t="shared" si="75"/>
        <v>27.536761989976235</v>
      </c>
      <c r="G223" s="110">
        <f t="shared" si="73"/>
        <v>0.4866755843239825</v>
      </c>
      <c r="H223" s="413" t="b">
        <f>Wh_hp&gt;='2020'!Maxi_hp</f>
        <v>0</v>
      </c>
      <c r="I223" s="379">
        <f>IF(H223,Wh_hp,'2020'!Maxi_hp)</f>
        <v>58.386184765777948</v>
      </c>
      <c r="J223" s="85">
        <f>IF(H223,An,'2020'!An_max)</f>
        <v>2019</v>
      </c>
      <c r="K223" s="196">
        <f t="shared" si="76"/>
        <v>44405</v>
      </c>
      <c r="L223" s="147">
        <f>IF(t&lt;Tvie,1-EXP((T0-t)*PertePVj)+'2020'!Pspv,1-EXP((T0-t)*PertePVj)+Pspv)</f>
        <v>2.3780434760286108E-2</v>
      </c>
      <c r="M223" s="847"/>
      <c r="N223" s="847"/>
      <c r="O223" s="48">
        <f>IF(t&lt;Tnet,'2020'!Resal+('2020'!Salim-'2020'!Resal)*(1-EXP(('2020'!Tnet-t)/('2020'!Tau_j))),Resal+(Salim-Resal)*(1-EXP((Tnet-t)/(Tau_j))))*Salcycl</f>
        <v>1.3523998708015302E-2</v>
      </c>
      <c r="P223" s="168">
        <f>(INDEX(Models!$BJ223:$BT223,,T223)*(1-R223)+INDEX(Models!$BJ223:$BT223,,T223+1)*R223-ERP_i)*Q223*Ramure*Pc/MaxiM</f>
        <v>3.3557654478741697E-4</v>
      </c>
      <c r="Q223" s="304">
        <f t="shared" si="77"/>
        <v>0.5</v>
      </c>
      <c r="R223" s="176">
        <f t="shared" si="78"/>
        <v>0.69817894659703472</v>
      </c>
      <c r="S223" s="814">
        <f t="shared" si="79"/>
        <v>0</v>
      </c>
      <c r="T223" s="175">
        <f t="shared" si="80"/>
        <v>6</v>
      </c>
      <c r="U223" s="250">
        <f t="shared" si="81"/>
        <v>0.69817894659703472</v>
      </c>
      <c r="V223" s="382">
        <f t="shared" si="82"/>
        <v>54.470527384694755</v>
      </c>
      <c r="W223" s="401"/>
      <c r="X223" s="157">
        <f t="shared" si="83"/>
        <v>44405</v>
      </c>
      <c r="Y223" s="384">
        <f t="shared" si="84"/>
        <v>25.460920183053769</v>
      </c>
      <c r="Z223" s="384">
        <f t="shared" si="85"/>
        <v>26.081141056419781</v>
      </c>
      <c r="AA223" s="385">
        <f t="shared" si="86"/>
        <v>27.534296106709252</v>
      </c>
      <c r="AB223" s="196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5.2776183006740501E-2</v>
      </c>
      <c r="AD223" s="230">
        <f>(INDEX(Models!$BJ223:$BT223,,AH223)*(1-AF223)+INDEX(Models!$BJ223:$BT223,,AH223+1)*AF223-ERP_i)*AE223*Ramure*Pc/MaxiM</f>
        <v>3.3557654478741697E-4</v>
      </c>
      <c r="AE223" s="304">
        <f t="shared" si="88"/>
        <v>0.5</v>
      </c>
      <c r="AF223" s="176">
        <f t="shared" si="89"/>
        <v>0.69817894659703472</v>
      </c>
      <c r="AG223" s="814">
        <f t="shared" si="95"/>
        <v>0</v>
      </c>
      <c r="AH223" s="175">
        <f t="shared" si="90"/>
        <v>6</v>
      </c>
      <c r="AI223" s="224">
        <f t="shared" si="91"/>
        <v>0.69817894659703472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44406</v>
      </c>
      <c r="B224" s="616">
        <v>52.902000000000001</v>
      </c>
      <c r="C224" s="389"/>
      <c r="D224" s="392">
        <f t="shared" si="74"/>
        <v>54.191863361801637</v>
      </c>
      <c r="E224" s="384">
        <f t="shared" si="72"/>
        <v>54.938933940871983</v>
      </c>
      <c r="F224" s="384">
        <f t="shared" si="75"/>
        <v>54.956127109183427</v>
      </c>
      <c r="G224" s="110">
        <f t="shared" si="73"/>
        <v>0.97266484325816838</v>
      </c>
      <c r="H224" s="413" t="b">
        <f>Wh_hp&gt;='2020'!Maxi_hp</f>
        <v>0</v>
      </c>
      <c r="I224" s="379">
        <f>IF(H224,Wh_hp,'2020'!Maxi_hp)</f>
        <v>57.892402465153239</v>
      </c>
      <c r="J224" s="85">
        <f>IF(H224,An,'2020'!An_max)</f>
        <v>2019</v>
      </c>
      <c r="K224" s="196">
        <f t="shared" si="76"/>
        <v>44406</v>
      </c>
      <c r="L224" s="147">
        <f>IF(t&lt;Tvie,1-EXP((T0-t)*PertePVj)+'2020'!Pspv,1-EXP((T0-t)*PertePVj)+Pspv)</f>
        <v>2.3801790191086615E-2</v>
      </c>
      <c r="M224" s="847"/>
      <c r="N224" s="847"/>
      <c r="O224" s="48">
        <f>IF(t&lt;Tnet,'2020'!Resal+('2020'!Salim-'2020'!Resal)*(1-EXP(('2020'!Tnet-t)/('2020'!Tau_j))),Resal+(Salim-Resal)*(1-EXP((Tnet-t)/(Tau_j))))*Salcycl</f>
        <v>1.3598199409445715E-2</v>
      </c>
      <c r="P224" s="168">
        <f>(INDEX(Models!$BJ224:$BT224,,T224)*(1-R224)+INDEX(Models!$BJ224:$BT224,,T224+1)*R224-ERP_i)*Q224*Ramure*Pc/MaxiM</f>
        <v>3.255600622347387E-4</v>
      </c>
      <c r="Q224" s="304">
        <f t="shared" si="77"/>
        <v>0.5</v>
      </c>
      <c r="R224" s="176">
        <f t="shared" si="78"/>
        <v>0.6994824279994547</v>
      </c>
      <c r="S224" s="814">
        <f t="shared" si="79"/>
        <v>0</v>
      </c>
      <c r="T224" s="175">
        <f t="shared" si="80"/>
        <v>6</v>
      </c>
      <c r="U224" s="250">
        <f t="shared" si="81"/>
        <v>0.6994824279994547</v>
      </c>
      <c r="V224" s="382">
        <f t="shared" si="82"/>
        <v>54.388032945928813</v>
      </c>
      <c r="W224" s="401"/>
      <c r="X224" s="157">
        <f t="shared" si="83"/>
        <v>44406</v>
      </c>
      <c r="Y224" s="384">
        <f t="shared" si="84"/>
        <v>50.799075288844065</v>
      </c>
      <c r="Z224" s="384">
        <f t="shared" si="85"/>
        <v>52.037664870116664</v>
      </c>
      <c r="AA224" s="385">
        <f t="shared" si="86"/>
        <v>54.938933940871983</v>
      </c>
      <c r="AB224" s="196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5.2808980128333252E-2</v>
      </c>
      <c r="AD224" s="230">
        <f>(INDEX(Models!$BJ224:$BT224,,AH224)*(1-AF224)+INDEX(Models!$BJ224:$BT224,,AH224+1)*AF224-ERP_i)*AE224*Ramure*Pc/MaxiM</f>
        <v>3.255600622347387E-4</v>
      </c>
      <c r="AE224" s="304">
        <f t="shared" si="88"/>
        <v>0.5</v>
      </c>
      <c r="AF224" s="176">
        <f t="shared" si="89"/>
        <v>0.6994824279994547</v>
      </c>
      <c r="AG224" s="814">
        <f t="shared" si="95"/>
        <v>0</v>
      </c>
      <c r="AH224" s="175">
        <f t="shared" si="90"/>
        <v>6</v>
      </c>
      <c r="AI224" s="224">
        <f t="shared" si="91"/>
        <v>0.6994824279994547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44407</v>
      </c>
      <c r="B225" s="616">
        <v>17.483000000000001</v>
      </c>
      <c r="C225" s="389"/>
      <c r="D225" s="392">
        <f t="shared" si="74"/>
        <v>17.909664537949681</v>
      </c>
      <c r="E225" s="384">
        <f t="shared" si="72"/>
        <v>18.157924685699079</v>
      </c>
      <c r="F225" s="384">
        <f t="shared" si="75"/>
        <v>18.158104228430087</v>
      </c>
      <c r="G225" s="110">
        <f t="shared" si="73"/>
        <v>0.32184452880247766</v>
      </c>
      <c r="H225" s="413" t="b">
        <f>Wh_hp&gt;='2020'!Maxi_hp</f>
        <v>0</v>
      </c>
      <c r="I225" s="379">
        <f>IF(H225,Wh_hp,'2020'!Maxi_hp)</f>
        <v>50.981621896708326</v>
      </c>
      <c r="J225" s="85">
        <f>IF(H225,An,'2020'!An_max)</f>
        <v>2020</v>
      </c>
      <c r="K225" s="196">
        <f t="shared" si="76"/>
        <v>44407</v>
      </c>
      <c r="L225" s="147">
        <f>IF(t&lt;Tvie,1-EXP((T0-t)*PertePVj)+'2020'!Pspv,1-EXP((T0-t)*PertePVj)+Pspv)</f>
        <v>2.3823145154148385E-2</v>
      </c>
      <c r="M225" s="847"/>
      <c r="N225" s="847"/>
      <c r="O225" s="48">
        <f>IF(t&lt;Tnet,'2020'!Resal+('2020'!Salim-'2020'!Resal)*(1-EXP(('2020'!Tnet-t)/('2020'!Tau_j))),Resal+(Salim-Resal)*(1-EXP((Tnet-t)/(Tau_j))))*Salcycl</f>
        <v>1.3672275441528091E-2</v>
      </c>
      <c r="P225" s="168">
        <f>(INDEX(Models!$BJ225:$BT225,,T225)*(1-R225)+INDEX(Models!$BJ225:$BT225,,T225+1)*R225-ERP_i)*Q225*Ramure*Pc/MaxiM</f>
        <v>3.1542884552198644E-4</v>
      </c>
      <c r="Q225" s="304">
        <f t="shared" si="77"/>
        <v>0.5</v>
      </c>
      <c r="R225" s="176">
        <f t="shared" si="78"/>
        <v>0.70074559812758408</v>
      </c>
      <c r="S225" s="814">
        <f t="shared" si="79"/>
        <v>0</v>
      </c>
      <c r="T225" s="175">
        <f t="shared" si="80"/>
        <v>6</v>
      </c>
      <c r="U225" s="250">
        <f t="shared" si="81"/>
        <v>0.70074559812758408</v>
      </c>
      <c r="V225" s="382">
        <f t="shared" si="82"/>
        <v>54.304661437550919</v>
      </c>
      <c r="W225" s="401"/>
      <c r="X225" s="157">
        <f t="shared" si="83"/>
        <v>44407</v>
      </c>
      <c r="Y225" s="384">
        <f t="shared" si="84"/>
        <v>16.78871081993789</v>
      </c>
      <c r="Z225" s="384">
        <f t="shared" si="85"/>
        <v>17.198431551205957</v>
      </c>
      <c r="AA225" s="385">
        <f t="shared" si="86"/>
        <v>18.157924685699079</v>
      </c>
      <c r="AB225" s="196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5.2841563730507433E-2</v>
      </c>
      <c r="AD225" s="230">
        <f>(INDEX(Models!$BJ225:$BT225,,AH225)*(1-AF225)+INDEX(Models!$BJ225:$BT225,,AH225+1)*AF225-ERP_i)*AE225*Ramure*Pc/MaxiM</f>
        <v>3.1542884552198644E-4</v>
      </c>
      <c r="AE225" s="304">
        <f t="shared" si="88"/>
        <v>0.5</v>
      </c>
      <c r="AF225" s="176">
        <f t="shared" si="89"/>
        <v>0.70074559812758408</v>
      </c>
      <c r="AG225" s="814">
        <f t="shared" si="95"/>
        <v>0</v>
      </c>
      <c r="AH225" s="175">
        <f t="shared" si="90"/>
        <v>6</v>
      </c>
      <c r="AI225" s="224">
        <f t="shared" si="91"/>
        <v>0.70074559812758408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44408</v>
      </c>
      <c r="B226" s="616">
        <v>12.393000000000001</v>
      </c>
      <c r="C226" s="389"/>
      <c r="D226" s="392">
        <f t="shared" si="74"/>
        <v>12.69572316659581</v>
      </c>
      <c r="E226" s="384">
        <f t="shared" si="72"/>
        <v>12.872673891094532</v>
      </c>
      <c r="F226" s="384">
        <f t="shared" si="75"/>
        <v>12.872673891094532</v>
      </c>
      <c r="G226" s="110">
        <f t="shared" si="73"/>
        <v>0.22849861675014047</v>
      </c>
      <c r="H226" s="413" t="b">
        <f>Wh_hp&gt;='2020'!Maxi_hp</f>
        <v>0</v>
      </c>
      <c r="I226" s="379">
        <f>IF(H226,Wh_hp,'2020'!Maxi_hp)</f>
        <v>54.258423369971332</v>
      </c>
      <c r="J226" s="85">
        <f>IF(H226,An,'2020'!An_max)</f>
        <v>2019</v>
      </c>
      <c r="K226" s="196">
        <f t="shared" si="76"/>
        <v>44408</v>
      </c>
      <c r="L226" s="147">
        <f>IF(t&lt;Tvie,1-EXP((T0-t)*PertePVj)+'2020'!Pspv,1-EXP((T0-t)*PertePVj)+Pspv)</f>
        <v>2.3844499649481633E-2</v>
      </c>
      <c r="M226" s="847"/>
      <c r="N226" s="847"/>
      <c r="O226" s="48">
        <f>IF(t&lt;Tnet,'2020'!Resal+('2020'!Salim-'2020'!Resal)*(1-EXP(('2020'!Tnet-t)/('2020'!Tau_j))),Resal+(Salim-Resal)*(1-EXP((Tnet-t)/(Tau_j))))*Salcycl</f>
        <v>1.374622910482797E-2</v>
      </c>
      <c r="P226" s="168">
        <f>(INDEX(Models!$BJ226:$BT226,,T226)*(1-R226)+INDEX(Models!$BJ226:$BT226,,T226+1)*R226-ERP_i)*Q226*Ramure*Pc/MaxiM</f>
        <v>3.0530321007711286E-4</v>
      </c>
      <c r="Q226" s="304">
        <f t="shared" si="77"/>
        <v>0.5</v>
      </c>
      <c r="R226" s="176">
        <f t="shared" si="78"/>
        <v>0.70196928076686804</v>
      </c>
      <c r="S226" s="814">
        <f t="shared" si="79"/>
        <v>0</v>
      </c>
      <c r="T226" s="175">
        <f t="shared" si="80"/>
        <v>6</v>
      </c>
      <c r="U226" s="250">
        <f t="shared" si="81"/>
        <v>0.70196928076686804</v>
      </c>
      <c r="V226" s="382">
        <f t="shared" si="82"/>
        <v>54.220093554723448</v>
      </c>
      <c r="W226" s="401"/>
      <c r="X226" s="157">
        <f t="shared" si="83"/>
        <v>44408</v>
      </c>
      <c r="Y226" s="384">
        <f t="shared" si="84"/>
        <v>11.901331631627881</v>
      </c>
      <c r="Z226" s="384">
        <f t="shared" si="85"/>
        <v>12.192044840554958</v>
      </c>
      <c r="AA226" s="385">
        <f t="shared" si="86"/>
        <v>12.872673891094532</v>
      </c>
      <c r="AB226" s="196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5.2873944939321495E-2</v>
      </c>
      <c r="AD226" s="230">
        <f>(INDEX(Models!$BJ226:$BT226,,AH226)*(1-AF226)+INDEX(Models!$BJ226:$BT226,,AH226+1)*AF226-ERP_i)*AE226*Ramure*Pc/MaxiM</f>
        <v>3.0530321007711286E-4</v>
      </c>
      <c r="AE226" s="304">
        <f t="shared" si="88"/>
        <v>0.5</v>
      </c>
      <c r="AF226" s="176">
        <f t="shared" si="89"/>
        <v>0.70196928076686804</v>
      </c>
      <c r="AG226" s="814">
        <f t="shared" si="95"/>
        <v>0</v>
      </c>
      <c r="AH226" s="175">
        <f t="shared" si="90"/>
        <v>6</v>
      </c>
      <c r="AI226" s="224">
        <f t="shared" si="91"/>
        <v>0.70196928076686804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44409</v>
      </c>
      <c r="B227" s="616">
        <v>45.047000000000004</v>
      </c>
      <c r="C227" s="389"/>
      <c r="D227" s="392">
        <f t="shared" si="74"/>
        <v>46.148370251867554</v>
      </c>
      <c r="E227" s="384">
        <f t="shared" si="72"/>
        <v>46.795081195157572</v>
      </c>
      <c r="F227" s="384">
        <f t="shared" si="75"/>
        <v>46.80558523434037</v>
      </c>
      <c r="G227" s="110">
        <f t="shared" si="73"/>
        <v>0.83207961128704078</v>
      </c>
      <c r="H227" s="413" t="b">
        <f>Wh_hp&gt;='2020'!Maxi_hp</f>
        <v>0</v>
      </c>
      <c r="I227" s="379">
        <f>IF(H227,Wh_hp,'2020'!Maxi_hp)</f>
        <v>53.056225384758235</v>
      </c>
      <c r="J227" s="85">
        <f>IF(H227,An,'2020'!An_max)</f>
        <v>2018</v>
      </c>
      <c r="K227" s="196">
        <f t="shared" si="76"/>
        <v>44409</v>
      </c>
      <c r="L227" s="147">
        <f>IF(t&lt;Tvie,1-EXP((T0-t)*PertePVj)+'2020'!Pspv,1-EXP((T0-t)*PertePVj)+Pspv)</f>
        <v>2.3865853677096684E-2</v>
      </c>
      <c r="M227" s="847"/>
      <c r="N227" s="847"/>
      <c r="O227" s="48">
        <f>IF(t&lt;Tnet,'2020'!Resal+('2020'!Salim-'2020'!Resal)*(1-EXP(('2020'!Tnet-t)/('2020'!Tau_j))),Resal+(Salim-Resal)*(1-EXP((Tnet-t)/(Tau_j))))*Salcycl</f>
        <v>1.3820062424786297E-2</v>
      </c>
      <c r="P227" s="168">
        <f>(INDEX(Models!$BJ227:$BT227,,T227)*(1-R227)+INDEX(Models!$BJ227:$BT227,,T227+1)*R227-ERP_i)*Q227*Ramure*Pc/MaxiM</f>
        <v>2.9521062551439024E-4</v>
      </c>
      <c r="Q227" s="304">
        <f t="shared" si="77"/>
        <v>0.5</v>
      </c>
      <c r="R227" s="176">
        <f t="shared" si="78"/>
        <v>0.70315431360406955</v>
      </c>
      <c r="S227" s="814">
        <f t="shared" si="79"/>
        <v>0</v>
      </c>
      <c r="T227" s="175">
        <f t="shared" si="80"/>
        <v>6</v>
      </c>
      <c r="U227" s="250">
        <f t="shared" si="81"/>
        <v>0.70315431360406955</v>
      </c>
      <c r="V227" s="382">
        <f t="shared" si="82"/>
        <v>54.134015183449527</v>
      </c>
      <c r="W227" s="401"/>
      <c r="X227" s="157">
        <f t="shared" si="83"/>
        <v>44409</v>
      </c>
      <c r="Y227" s="384">
        <f t="shared" si="84"/>
        <v>43.261615628022255</v>
      </c>
      <c r="Z227" s="384">
        <f t="shared" si="85"/>
        <v>44.31933437733813</v>
      </c>
      <c r="AA227" s="385">
        <f t="shared" si="86"/>
        <v>46.795081195157572</v>
      </c>
      <c r="AB227" s="196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5.2906133606103023E-2</v>
      </c>
      <c r="AD227" s="230">
        <f>(INDEX(Models!$BJ227:$BT227,,AH227)*(1-AF227)+INDEX(Models!$BJ227:$BT227,,AH227+1)*AF227-ERP_i)*AE227*Ramure*Pc/MaxiM</f>
        <v>2.9521062551439024E-4</v>
      </c>
      <c r="AE227" s="304">
        <f t="shared" si="88"/>
        <v>0.5</v>
      </c>
      <c r="AF227" s="176">
        <f t="shared" si="89"/>
        <v>0.70315431360406955</v>
      </c>
      <c r="AG227" s="814">
        <f t="shared" si="95"/>
        <v>0</v>
      </c>
      <c r="AH227" s="175">
        <f t="shared" si="90"/>
        <v>6</v>
      </c>
      <c r="AI227" s="224">
        <f t="shared" si="91"/>
        <v>0.70315431360406955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44410</v>
      </c>
      <c r="B228" s="616">
        <v>52.929000000000002</v>
      </c>
      <c r="C228" s="389"/>
      <c r="D228" s="392">
        <f t="shared" si="74"/>
        <v>54.224266286049335</v>
      </c>
      <c r="E228" s="384">
        <f t="shared" si="72"/>
        <v>54.988260929141326</v>
      </c>
      <c r="F228" s="384">
        <f t="shared" si="75"/>
        <v>55.003482276378371</v>
      </c>
      <c r="G228" s="110">
        <f t="shared" si="73"/>
        <v>0.97932211273983438</v>
      </c>
      <c r="H228" s="413" t="b">
        <f>Wh_hp&gt;='2020'!Maxi_hp</f>
        <v>0</v>
      </c>
      <c r="I228" s="379">
        <f>IF(H228,Wh_hp,'2020'!Maxi_hp)</f>
        <v>55.3831905498918</v>
      </c>
      <c r="J228" s="85">
        <f>IF(H228,An,'2020'!An_max)</f>
        <v>2019</v>
      </c>
      <c r="K228" s="196">
        <f t="shared" si="76"/>
        <v>44410</v>
      </c>
      <c r="L228" s="147">
        <f>IF(t&lt;Tvie,1-EXP((T0-t)*PertePVj)+'2020'!Pspv,1-EXP((T0-t)*PertePVj)+Pspv)</f>
        <v>2.388720723700364E-2</v>
      </c>
      <c r="M228" s="847"/>
      <c r="N228" s="847"/>
      <c r="O228" s="48">
        <f>IF(t&lt;Tnet,'2020'!Resal+('2020'!Salim-'2020'!Resal)*(1-EXP(('2020'!Tnet-t)/('2020'!Tau_j))),Resal+(Salim-Resal)*(1-EXP((Tnet-t)/(Tau_j))))*Salcycl</f>
        <v>1.3893777147753101E-2</v>
      </c>
      <c r="P228" s="168">
        <f>(INDEX(Models!$BJ228:$BT228,,T228)*(1-R228)+INDEX(Models!$BJ228:$BT228,,T228+1)*R228-ERP_i)*Q228*Ramure*Pc/MaxiM</f>
        <v>2.8515429876908692E-4</v>
      </c>
      <c r="Q228" s="304">
        <f t="shared" si="77"/>
        <v>0.5</v>
      </c>
      <c r="R228" s="176">
        <f t="shared" si="78"/>
        <v>0.70430154545485157</v>
      </c>
      <c r="S228" s="814">
        <f t="shared" si="79"/>
        <v>0</v>
      </c>
      <c r="T228" s="175">
        <f t="shared" si="80"/>
        <v>6</v>
      </c>
      <c r="U228" s="250">
        <f t="shared" si="81"/>
        <v>0.70430154545485157</v>
      </c>
      <c r="V228" s="382">
        <f t="shared" si="82"/>
        <v>54.046113656746748</v>
      </c>
      <c r="W228" s="401"/>
      <c r="X228" s="157">
        <f t="shared" si="83"/>
        <v>44410</v>
      </c>
      <c r="Y228" s="384">
        <f t="shared" si="84"/>
        <v>50.833303872358087</v>
      </c>
      <c r="Z228" s="384">
        <f t="shared" si="85"/>
        <v>52.077284765901631</v>
      </c>
      <c r="AA228" s="385">
        <f t="shared" si="86"/>
        <v>54.988260929141326</v>
      </c>
      <c r="AB228" s="196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5.2938138323574545E-2</v>
      </c>
      <c r="AD228" s="230">
        <f>(INDEX(Models!$BJ228:$BT228,,AH228)*(1-AF228)+INDEX(Models!$BJ228:$BT228,,AH228+1)*AF228-ERP_i)*AE228*Ramure*Pc/MaxiM</f>
        <v>2.8515429876908692E-4</v>
      </c>
      <c r="AE228" s="304">
        <f t="shared" si="88"/>
        <v>0.5</v>
      </c>
      <c r="AF228" s="176">
        <f t="shared" si="89"/>
        <v>0.70430154545485157</v>
      </c>
      <c r="AG228" s="814">
        <f t="shared" si="95"/>
        <v>0</v>
      </c>
      <c r="AH228" s="175">
        <f t="shared" si="90"/>
        <v>6</v>
      </c>
      <c r="AI228" s="224">
        <f t="shared" si="91"/>
        <v>0.70430154545485157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44411</v>
      </c>
      <c r="B229" s="616">
        <v>35.661999999999999</v>
      </c>
      <c r="C229" s="389"/>
      <c r="D229" s="392">
        <f t="shared" si="74"/>
        <v>36.535511480387498</v>
      </c>
      <c r="E229" s="384">
        <f t="shared" si="72"/>
        <v>37.05304524860717</v>
      </c>
      <c r="F229" s="384">
        <f t="shared" si="75"/>
        <v>37.058302728945442</v>
      </c>
      <c r="G229" s="110">
        <f t="shared" si="73"/>
        <v>0.66085692511153005</v>
      </c>
      <c r="H229" s="413" t="b">
        <f>Wh_hp&gt;='2020'!Maxi_hp</f>
        <v>0</v>
      </c>
      <c r="I229" s="379">
        <f>IF(H229,Wh_hp,'2020'!Maxi_hp)</f>
        <v>56.092480847378184</v>
      </c>
      <c r="J229" s="85">
        <f>IF(H229,An,'2020'!An_max)</f>
        <v>2019</v>
      </c>
      <c r="K229" s="196">
        <f t="shared" si="76"/>
        <v>44411</v>
      </c>
      <c r="L229" s="147">
        <f>IF(t&lt;Tvie,1-EXP((T0-t)*PertePVj)+'2020'!Pspv,1-EXP((T0-t)*PertePVj)+Pspv)</f>
        <v>2.3908560329212937E-2</v>
      </c>
      <c r="M229" s="847"/>
      <c r="N229" s="847"/>
      <c r="O229" s="48">
        <f>IF(t&lt;Tnet,'2020'!Resal+('2020'!Salim-'2020'!Resal)*(1-EXP(('2020'!Tnet-t)/('2020'!Tau_j))),Resal+(Salim-Resal)*(1-EXP((Tnet-t)/(Tau_j))))*Salcycl</f>
        <v>1.3967374739303652E-2</v>
      </c>
      <c r="P229" s="168">
        <f>(INDEX(Models!$BJ229:$BT229,,T229)*(1-R229)+INDEX(Models!$BJ229:$BT229,,T229+1)*R229-ERP_i)*Q229*Ramure*Pc/MaxiM</f>
        <v>2.7513707687722063E-4</v>
      </c>
      <c r="Q229" s="304">
        <f t="shared" si="77"/>
        <v>0.5</v>
      </c>
      <c r="R229" s="176">
        <f t="shared" si="78"/>
        <v>0.70541183364848536</v>
      </c>
      <c r="S229" s="814">
        <f t="shared" si="79"/>
        <v>0</v>
      </c>
      <c r="T229" s="175">
        <f t="shared" si="80"/>
        <v>6</v>
      </c>
      <c r="U229" s="250">
        <f t="shared" si="81"/>
        <v>0.70541183364848536</v>
      </c>
      <c r="V229" s="382">
        <f t="shared" si="82"/>
        <v>53.95607644931745</v>
      </c>
      <c r="W229" s="401"/>
      <c r="X229" s="157">
        <f t="shared" si="83"/>
        <v>44411</v>
      </c>
      <c r="Y229" s="384">
        <f t="shared" si="84"/>
        <v>34.251387014229806</v>
      </c>
      <c r="Z229" s="384">
        <f t="shared" si="85"/>
        <v>35.090346684919197</v>
      </c>
      <c r="AA229" s="385">
        <f t="shared" si="86"/>
        <v>37.05304524860717</v>
      </c>
      <c r="AB229" s="196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5.2969966449970839E-2</v>
      </c>
      <c r="AD229" s="230">
        <f>(INDEX(Models!$BJ229:$BT229,,AH229)*(1-AF229)+INDEX(Models!$BJ229:$BT229,,AH229+1)*AF229-ERP_i)*AE229*Ramure*Pc/MaxiM</f>
        <v>2.7513707687722063E-4</v>
      </c>
      <c r="AE229" s="304">
        <f t="shared" si="88"/>
        <v>0.5</v>
      </c>
      <c r="AF229" s="176">
        <f t="shared" si="89"/>
        <v>0.70541183364848536</v>
      </c>
      <c r="AG229" s="814">
        <f t="shared" si="95"/>
        <v>0</v>
      </c>
      <c r="AH229" s="175">
        <f t="shared" si="90"/>
        <v>6</v>
      </c>
      <c r="AI229" s="224">
        <f t="shared" si="91"/>
        <v>0.70541183364848536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44412</v>
      </c>
      <c r="B230" s="616">
        <v>31.269000000000002</v>
      </c>
      <c r="C230" s="389"/>
      <c r="D230" s="392">
        <f t="shared" si="74"/>
        <v>32.035609342997788</v>
      </c>
      <c r="E230" s="384">
        <f t="shared" si="72"/>
        <v>32.491822354353083</v>
      </c>
      <c r="F230" s="384">
        <f t="shared" si="75"/>
        <v>32.495275377728476</v>
      </c>
      <c r="G230" s="110">
        <f t="shared" si="73"/>
        <v>0.5804297517133471</v>
      </c>
      <c r="H230" s="413" t="b">
        <f>Wh_hp&gt;='2020'!Maxi_hp</f>
        <v>0</v>
      </c>
      <c r="I230" s="379">
        <f>IF(H230,Wh_hp,'2020'!Maxi_hp)</f>
        <v>52.936123470546605</v>
      </c>
      <c r="J230" s="85">
        <f>IF(H230,An,'2020'!An_max)</f>
        <v>2018</v>
      </c>
      <c r="K230" s="196">
        <f t="shared" si="76"/>
        <v>44412</v>
      </c>
      <c r="L230" s="147">
        <f>IF(t&lt;Tvie,1-EXP((T0-t)*PertePVj)+'2020'!Pspv,1-EXP((T0-t)*PertePVj)+Pspv)</f>
        <v>2.3929912953734568E-2</v>
      </c>
      <c r="M230" s="847"/>
      <c r="N230" s="847"/>
      <c r="O230" s="48">
        <f>IF(t&lt;Tnet,'2020'!Resal+('2020'!Salim-'2020'!Resal)*(1-EXP(('2020'!Tnet-t)/('2020'!Tau_j))),Resal+(Salim-Resal)*(1-EXP((Tnet-t)/(Tau_j))))*Salcycl</f>
        <v>1.4040856384719785E-2</v>
      </c>
      <c r="P230" s="168">
        <f>(INDEX(Models!$BJ230:$BT230,,T230)*(1-R230)+INDEX(Models!$BJ230:$BT230,,T230+1)*R230-ERP_i)*Q230*Ramure*Pc/MaxiM</f>
        <v>2.6516145953359095E-4</v>
      </c>
      <c r="Q230" s="304">
        <f t="shared" si="77"/>
        <v>0.5</v>
      </c>
      <c r="R230" s="176">
        <f t="shared" si="78"/>
        <v>0.70648604156929151</v>
      </c>
      <c r="S230" s="814">
        <f t="shared" si="79"/>
        <v>0</v>
      </c>
      <c r="T230" s="175">
        <f t="shared" si="80"/>
        <v>6</v>
      </c>
      <c r="U230" s="250">
        <f t="shared" si="81"/>
        <v>0.70648604156929151</v>
      </c>
      <c r="V230" s="382">
        <f t="shared" si="82"/>
        <v>53.863591179655728</v>
      </c>
      <c r="W230" s="401"/>
      <c r="X230" s="157">
        <f t="shared" si="83"/>
        <v>44412</v>
      </c>
      <c r="Y230" s="384">
        <f t="shared" si="84"/>
        <v>30.03338668392804</v>
      </c>
      <c r="Z230" s="384">
        <f t="shared" si="85"/>
        <v>30.769702998289372</v>
      </c>
      <c r="AA230" s="385">
        <f t="shared" si="86"/>
        <v>32.491822354353083</v>
      </c>
      <c r="AB230" s="196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5.3001624140450558E-2</v>
      </c>
      <c r="AD230" s="230">
        <f>(INDEX(Models!$BJ230:$BT230,,AH230)*(1-AF230)+INDEX(Models!$BJ230:$BT230,,AH230+1)*AF230-ERP_i)*AE230*Ramure*Pc/MaxiM</f>
        <v>2.6516145953359095E-4</v>
      </c>
      <c r="AE230" s="304">
        <f t="shared" si="88"/>
        <v>0.5</v>
      </c>
      <c r="AF230" s="176">
        <f t="shared" si="89"/>
        <v>0.70648604156929151</v>
      </c>
      <c r="AG230" s="814">
        <f t="shared" si="95"/>
        <v>0</v>
      </c>
      <c r="AH230" s="175">
        <f t="shared" si="90"/>
        <v>6</v>
      </c>
      <c r="AI230" s="224">
        <f t="shared" si="91"/>
        <v>0.70648604156929151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44413</v>
      </c>
      <c r="B231" s="616">
        <v>47.258000000000003</v>
      </c>
      <c r="C231" s="389"/>
      <c r="D231" s="392">
        <f t="shared" si="74"/>
        <v>48.417664314020122</v>
      </c>
      <c r="E231" s="384">
        <f t="shared" si="72"/>
        <v>49.110825455799748</v>
      </c>
      <c r="F231" s="384">
        <f t="shared" si="75"/>
        <v>49.121194039826932</v>
      </c>
      <c r="G231" s="110">
        <f t="shared" si="73"/>
        <v>0.8788798071233157</v>
      </c>
      <c r="H231" s="413" t="b">
        <f>Wh_hp&gt;='2020'!Maxi_hp</f>
        <v>0</v>
      </c>
      <c r="I231" s="379">
        <f>IF(H231,Wh_hp,'2020'!Maxi_hp)</f>
        <v>56.311096677498618</v>
      </c>
      <c r="J231" s="85">
        <f>IF(H231,An,'2020'!An_max)</f>
        <v>2020</v>
      </c>
      <c r="K231" s="196">
        <f t="shared" si="76"/>
        <v>44413</v>
      </c>
      <c r="L231" s="147">
        <f>IF(t&lt;Tvie,1-EXP((T0-t)*PertePVj)+'2020'!Pspv,1-EXP((T0-t)*PertePVj)+Pspv)</f>
        <v>2.395126511057908E-2</v>
      </c>
      <c r="M231" s="847"/>
      <c r="N231" s="847"/>
      <c r="O231" s="48">
        <f>IF(t&lt;Tnet,'2020'!Resal+('2020'!Salim-'2020'!Resal)*(1-EXP(('2020'!Tnet-t)/('2020'!Tau_j))),Resal+(Salim-Resal)*(1-EXP((Tnet-t)/(Tau_j))))*Salcycl</f>
        <v>1.4114222991496714E-2</v>
      </c>
      <c r="P231" s="168">
        <f>(INDEX(Models!$BJ231:$BT231,,T231)*(1-R231)+INDEX(Models!$BJ231:$BT231,,T231+1)*R231-ERP_i)*Q231*Ramure*Pc/MaxiM</f>
        <v>2.5522961181986131E-4</v>
      </c>
      <c r="Q231" s="304">
        <f t="shared" si="77"/>
        <v>0.5</v>
      </c>
      <c r="R231" s="176">
        <f t="shared" si="78"/>
        <v>0.70752503635347685</v>
      </c>
      <c r="S231" s="814">
        <f t="shared" si="79"/>
        <v>0</v>
      </c>
      <c r="T231" s="175">
        <f t="shared" si="80"/>
        <v>6</v>
      </c>
      <c r="U231" s="250">
        <f t="shared" si="81"/>
        <v>0.70752503635347685</v>
      </c>
      <c r="V231" s="382">
        <f t="shared" si="82"/>
        <v>53.768345607008058</v>
      </c>
      <c r="W231" s="401"/>
      <c r="X231" s="157">
        <f t="shared" si="83"/>
        <v>44413</v>
      </c>
      <c r="Y231" s="384">
        <f t="shared" si="84"/>
        <v>45.392440006251732</v>
      </c>
      <c r="Z231" s="384">
        <f t="shared" si="85"/>
        <v>46.506325333636504</v>
      </c>
      <c r="AA231" s="385">
        <f t="shared" si="86"/>
        <v>49.110825455799748</v>
      </c>
      <c r="AB231" s="196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5.3033116385048817E-2</v>
      </c>
      <c r="AD231" s="230">
        <f>(INDEX(Models!$BJ231:$BT231,,AH231)*(1-AF231)+INDEX(Models!$BJ231:$BT231,,AH231+1)*AF231-ERP_i)*AE231*Ramure*Pc/MaxiM</f>
        <v>2.5522961181986131E-4</v>
      </c>
      <c r="AE231" s="304">
        <f t="shared" si="88"/>
        <v>0.5</v>
      </c>
      <c r="AF231" s="176">
        <f t="shared" si="89"/>
        <v>0.70752503635347685</v>
      </c>
      <c r="AG231" s="814">
        <f t="shared" si="95"/>
        <v>0</v>
      </c>
      <c r="AH231" s="175">
        <f t="shared" si="90"/>
        <v>6</v>
      </c>
      <c r="AI231" s="224">
        <f t="shared" si="91"/>
        <v>0.70752503635347685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44414</v>
      </c>
      <c r="B232" s="616">
        <v>19.253</v>
      </c>
      <c r="C232" s="389"/>
      <c r="D232" s="392">
        <f t="shared" si="74"/>
        <v>19.725880985912891</v>
      </c>
      <c r="E232" s="384">
        <f t="shared" si="72"/>
        <v>20.009769088487776</v>
      </c>
      <c r="F232" s="384">
        <f t="shared" si="75"/>
        <v>20.010180977837805</v>
      </c>
      <c r="G232" s="110">
        <f t="shared" si="73"/>
        <v>0.35864845738879841</v>
      </c>
      <c r="H232" s="413" t="b">
        <f>Wh_hp&gt;='2020'!Maxi_hp</f>
        <v>0</v>
      </c>
      <c r="I232" s="379">
        <f>IF(H232,Wh_hp,'2020'!Maxi_hp)</f>
        <v>56.389246381378285</v>
      </c>
      <c r="J232" s="85">
        <f>IF(H232,An,'2020'!An_max)</f>
        <v>2020</v>
      </c>
      <c r="K232" s="196">
        <f t="shared" si="76"/>
        <v>44414</v>
      </c>
      <c r="L232" s="147">
        <f>IF(t&lt;Tvie,1-EXP((T0-t)*PertePVj)+'2020'!Pspv,1-EXP((T0-t)*PertePVj)+Pspv)</f>
        <v>2.3972616799756465E-2</v>
      </c>
      <c r="M232" s="847"/>
      <c r="N232" s="847"/>
      <c r="O232" s="48">
        <f>IF(t&lt;Tnet,'2020'!Resal+('2020'!Salim-'2020'!Resal)*(1-EXP(('2020'!Tnet-t)/('2020'!Tau_j))),Resal+(Salim-Resal)*(1-EXP((Tnet-t)/(Tau_j))))*Salcycl</f>
        <v>1.418747519371491E-2</v>
      </c>
      <c r="P232" s="168">
        <f>(INDEX(Models!$BJ232:$BT232,,T232)*(1-R232)+INDEX(Models!$BJ232:$BT232,,T232+1)*R232-ERP_i)*Q232*Ramure*Pc/MaxiM</f>
        <v>2.453433768796028E-4</v>
      </c>
      <c r="Q232" s="304">
        <f t="shared" si="77"/>
        <v>0.5</v>
      </c>
      <c r="R232" s="176">
        <f t="shared" si="78"/>
        <v>0.70852968673919581</v>
      </c>
      <c r="S232" s="814">
        <f t="shared" si="79"/>
        <v>0</v>
      </c>
      <c r="T232" s="175">
        <f t="shared" si="80"/>
        <v>6</v>
      </c>
      <c r="U232" s="250">
        <f t="shared" si="81"/>
        <v>0.70852968673919581</v>
      </c>
      <c r="V232" s="382">
        <f t="shared" si="82"/>
        <v>53.670027632569081</v>
      </c>
      <c r="W232" s="401"/>
      <c r="X232" s="157">
        <f t="shared" si="83"/>
        <v>44414</v>
      </c>
      <c r="Y232" s="384">
        <f t="shared" si="84"/>
        <v>18.493729529844671</v>
      </c>
      <c r="Z232" s="384">
        <f t="shared" si="85"/>
        <v>18.947961756161575</v>
      </c>
      <c r="AA232" s="385">
        <f t="shared" si="86"/>
        <v>20.009769088487776</v>
      </c>
      <c r="AB232" s="196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5.3064447052369554E-2</v>
      </c>
      <c r="AD232" s="230">
        <f>(INDEX(Models!$BJ232:$BT232,,AH232)*(1-AF232)+INDEX(Models!$BJ232:$BT232,,AH232+1)*AF232-ERP_i)*AE232*Ramure*Pc/MaxiM</f>
        <v>2.453433768796028E-4</v>
      </c>
      <c r="AE232" s="304">
        <f t="shared" si="88"/>
        <v>0.5</v>
      </c>
      <c r="AF232" s="176">
        <f t="shared" si="89"/>
        <v>0.70852968673919581</v>
      </c>
      <c r="AG232" s="814">
        <f t="shared" si="95"/>
        <v>0</v>
      </c>
      <c r="AH232" s="175">
        <f t="shared" si="90"/>
        <v>6</v>
      </c>
      <c r="AI232" s="224">
        <f t="shared" si="91"/>
        <v>0.70852968673919581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44415</v>
      </c>
      <c r="B233" s="616">
        <v>23.314</v>
      </c>
      <c r="C233" s="389"/>
      <c r="D233" s="392">
        <f t="shared" si="74"/>
        <v>23.887147452084854</v>
      </c>
      <c r="E233" s="384">
        <f t="shared" ref="E233:E296" si="96">Wh_pvt/(1-Psa)</f>
        <v>24.23272091567803</v>
      </c>
      <c r="F233" s="384">
        <f t="shared" si="75"/>
        <v>24.233823308863343</v>
      </c>
      <c r="G233" s="110">
        <f t="shared" ref="G233:G296" si="97">+Wh_hp/MaxiM</f>
        <v>0.43513082732942199</v>
      </c>
      <c r="H233" s="413" t="b">
        <f>Wh_hp&gt;='2020'!Maxi_hp</f>
        <v>0</v>
      </c>
      <c r="I233" s="379">
        <f>IF(H233,Wh_hp,'2020'!Maxi_hp)</f>
        <v>54.87487901548878</v>
      </c>
      <c r="J233" s="85">
        <f>IF(H233,An,'2020'!An_max)</f>
        <v>2020</v>
      </c>
      <c r="K233" s="196">
        <f t="shared" si="76"/>
        <v>44415</v>
      </c>
      <c r="L233" s="147">
        <f>IF(t&lt;Tvie,1-EXP((T0-t)*PertePVj)+'2020'!Pspv,1-EXP((T0-t)*PertePVj)+Pspv)</f>
        <v>2.3993968021277047E-2</v>
      </c>
      <c r="M233" s="847"/>
      <c r="N233" s="847"/>
      <c r="O233" s="48">
        <f>IF(t&lt;Tnet,'2020'!Resal+('2020'!Salim-'2020'!Resal)*(1-EXP(('2020'!Tnet-t)/('2020'!Tau_j))),Resal+(Salim-Resal)*(1-EXP((Tnet-t)/(Tau_j))))*Salcycl</f>
        <v>1.4260613358097958E-2</v>
      </c>
      <c r="P233" s="168">
        <f>(INDEX(Models!$BJ233:$BT233,,T233)*(1-R233)+INDEX(Models!$BJ233:$BT233,,T233+1)*R233-ERP_i)*Q233*Ramure*Pc/MaxiM</f>
        <v>2.3550085230456726E-4</v>
      </c>
      <c r="Q233" s="304">
        <f t="shared" si="77"/>
        <v>0.5</v>
      </c>
      <c r="R233" s="176">
        <f t="shared" si="78"/>
        <v>0.709500861066934</v>
      </c>
      <c r="S233" s="814">
        <f t="shared" si="79"/>
        <v>0</v>
      </c>
      <c r="T233" s="175">
        <f t="shared" si="80"/>
        <v>6</v>
      </c>
      <c r="U233" s="250">
        <f t="shared" si="81"/>
        <v>0.709500861066934</v>
      </c>
      <c r="V233" s="382">
        <f t="shared" si="82"/>
        <v>53.569107078020338</v>
      </c>
      <c r="W233" s="401"/>
      <c r="X233" s="157">
        <f t="shared" si="83"/>
        <v>44415</v>
      </c>
      <c r="Y233" s="384">
        <f t="shared" si="84"/>
        <v>22.395502339905075</v>
      </c>
      <c r="Z233" s="384">
        <f t="shared" si="85"/>
        <v>22.946069600103968</v>
      </c>
      <c r="AA233" s="385">
        <f t="shared" si="86"/>
        <v>24.23272091567803</v>
      </c>
      <c r="AB233" s="196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5.3095618938178261E-2</v>
      </c>
      <c r="AD233" s="230">
        <f>(INDEX(Models!$BJ233:$BT233,,AH233)*(1-AF233)+INDEX(Models!$BJ233:$BT233,,AH233+1)*AF233-ERP_i)*AE233*Ramure*Pc/MaxiM</f>
        <v>2.3550085230456726E-4</v>
      </c>
      <c r="AE233" s="304">
        <f t="shared" si="88"/>
        <v>0.5</v>
      </c>
      <c r="AF233" s="176">
        <f t="shared" si="89"/>
        <v>0.709500861066934</v>
      </c>
      <c r="AG233" s="814">
        <f t="shared" si="95"/>
        <v>0</v>
      </c>
      <c r="AH233" s="175">
        <f t="shared" si="90"/>
        <v>6</v>
      </c>
      <c r="AI233" s="224">
        <f t="shared" si="91"/>
        <v>0.709500861066934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44416</v>
      </c>
      <c r="B234" s="616">
        <v>35.923000000000002</v>
      </c>
      <c r="C234" s="389"/>
      <c r="D234" s="392">
        <f t="shared" si="74"/>
        <v>36.806930160949939</v>
      </c>
      <c r="E234" s="384">
        <f t="shared" si="96"/>
        <v>37.342179427746316</v>
      </c>
      <c r="F234" s="384">
        <f t="shared" si="75"/>
        <v>37.346671397232846</v>
      </c>
      <c r="G234" s="110">
        <f t="shared" si="97"/>
        <v>0.67181080352937517</v>
      </c>
      <c r="H234" s="413" t="b">
        <f>Wh_hp&gt;='2020'!Maxi_hp</f>
        <v>0</v>
      </c>
      <c r="I234" s="379">
        <f>IF(H234,Wh_hp,'2020'!Maxi_hp)</f>
        <v>54.060598352097749</v>
      </c>
      <c r="J234" s="85">
        <f>IF(H234,An,'2020'!An_max)</f>
        <v>2019</v>
      </c>
      <c r="K234" s="196">
        <f t="shared" si="76"/>
        <v>44416</v>
      </c>
      <c r="L234" s="147">
        <f>IF(t&lt;Tvie,1-EXP((T0-t)*PertePVj)+'2020'!Pspv,1-EXP((T0-t)*PertePVj)+Pspv)</f>
        <v>2.4015318775151152E-2</v>
      </c>
      <c r="M234" s="847"/>
      <c r="N234" s="847"/>
      <c r="O234" s="48">
        <f>IF(t&lt;Tnet,'2020'!Resal+('2020'!Salim-'2020'!Resal)*(1-EXP(('2020'!Tnet-t)/('2020'!Tau_j))),Resal+(Salim-Resal)*(1-EXP((Tnet-t)/(Tau_j))))*Salcycl</f>
        <v>1.4333637591561418E-2</v>
      </c>
      <c r="P234" s="168">
        <f>(INDEX(Models!$BJ234:$BT234,,T234)*(1-R234)+INDEX(Models!$BJ234:$BT234,,T234+1)*R234-ERP_i)*Q234*Ramure*Pc/MaxiM</f>
        <v>2.2640063764208993E-4</v>
      </c>
      <c r="Q234" s="304">
        <f t="shared" si="77"/>
        <v>0.5</v>
      </c>
      <c r="R234" s="176">
        <f t="shared" si="78"/>
        <v>0.71043942542668681</v>
      </c>
      <c r="S234" s="814">
        <f t="shared" si="79"/>
        <v>0</v>
      </c>
      <c r="T234" s="175">
        <f t="shared" si="80"/>
        <v>6</v>
      </c>
      <c r="U234" s="250">
        <f t="shared" si="81"/>
        <v>0.71043942542668681</v>
      </c>
      <c r="V234" s="382">
        <f t="shared" si="82"/>
        <v>53.466224562419072</v>
      </c>
      <c r="W234" s="401"/>
      <c r="X234" s="157">
        <f t="shared" si="83"/>
        <v>44416</v>
      </c>
      <c r="Y234" s="384">
        <f t="shared" si="84"/>
        <v>34.50917392599434</v>
      </c>
      <c r="Z234" s="384">
        <f t="shared" si="85"/>
        <v>35.358315135321334</v>
      </c>
      <c r="AA234" s="385">
        <f t="shared" si="86"/>
        <v>37.342179427746316</v>
      </c>
      <c r="AB234" s="196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5.3126633818028228E-2</v>
      </c>
      <c r="AD234" s="230">
        <f>(INDEX(Models!$BJ234:$BT234,,AH234)*(1-AF234)+INDEX(Models!$BJ234:$BT234,,AH234+1)*AF234-ERP_i)*AE234*Ramure*Pc/MaxiM</f>
        <v>2.2640063764208993E-4</v>
      </c>
      <c r="AE234" s="304">
        <f t="shared" si="88"/>
        <v>0.5</v>
      </c>
      <c r="AF234" s="176">
        <f t="shared" si="89"/>
        <v>0.71043942542668681</v>
      </c>
      <c r="AG234" s="814">
        <f t="shared" si="95"/>
        <v>0</v>
      </c>
      <c r="AH234" s="175">
        <f t="shared" si="90"/>
        <v>6</v>
      </c>
      <c r="AI234" s="224">
        <f t="shared" si="91"/>
        <v>0.71043942542668681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44417</v>
      </c>
      <c r="B235" s="616">
        <v>53.353999999999999</v>
      </c>
      <c r="C235" s="389"/>
      <c r="D235" s="392">
        <f t="shared" si="74"/>
        <v>54.66803752625416</v>
      </c>
      <c r="E235" s="384">
        <f t="shared" si="96"/>
        <v>55.467127344906316</v>
      </c>
      <c r="F235" s="384">
        <f t="shared" si="75"/>
        <v>55.479223820400136</v>
      </c>
      <c r="G235" s="110">
        <f t="shared" si="97"/>
        <v>0.99986167618846078</v>
      </c>
      <c r="H235" s="413" t="b">
        <f>Wh_hp&gt;='2020'!Maxi_hp</f>
        <v>1</v>
      </c>
      <c r="I235" s="379">
        <f>IF(H235,Wh_hp,'2020'!Maxi_hp)</f>
        <v>55.479223820400136</v>
      </c>
      <c r="J235" s="85">
        <f>IF(H235,An,'2020'!An_max)</f>
        <v>2021</v>
      </c>
      <c r="K235" s="196">
        <f t="shared" si="76"/>
        <v>44417</v>
      </c>
      <c r="L235" s="147">
        <f>IF(t&lt;Tvie,1-EXP((T0-t)*PertePVj)+'2020'!Pspv,1-EXP((T0-t)*PertePVj)+Pspv)</f>
        <v>2.4036669061388884E-2</v>
      </c>
      <c r="M235" s="847"/>
      <c r="N235" s="847"/>
      <c r="O235" s="48">
        <f>IF(t&lt;Tnet,'2020'!Resal+('2020'!Salim-'2020'!Resal)*(1-EXP(('2020'!Tnet-t)/('2020'!Tau_j))),Resal+(Salim-Resal)*(1-EXP((Tnet-t)/(Tau_j))))*Salcycl</f>
        <v>1.440654775004389E-2</v>
      </c>
      <c r="P235" s="168">
        <f>(INDEX(Models!$BJ235:$BT235,,T235)*(1-R235)+INDEX(Models!$BJ235:$BT235,,T235+1)*R235-ERP_i)*Q235*Ramure*Pc/MaxiM</f>
        <v>2.1807921448286933E-4</v>
      </c>
      <c r="Q235" s="304">
        <f t="shared" si="77"/>
        <v>0.5</v>
      </c>
      <c r="R235" s="176">
        <f t="shared" si="78"/>
        <v>0.71134624194786378</v>
      </c>
      <c r="S235" s="814">
        <f t="shared" si="79"/>
        <v>0</v>
      </c>
      <c r="T235" s="175">
        <f t="shared" si="80"/>
        <v>6</v>
      </c>
      <c r="U235" s="250">
        <f t="shared" si="81"/>
        <v>0.71134624194786378</v>
      </c>
      <c r="V235" s="382">
        <f t="shared" si="82"/>
        <v>53.361378850308341</v>
      </c>
      <c r="W235" s="401"/>
      <c r="X235" s="157">
        <f t="shared" si="83"/>
        <v>44417</v>
      </c>
      <c r="Y235" s="384">
        <f t="shared" si="84"/>
        <v>51.256260915358894</v>
      </c>
      <c r="Z235" s="384">
        <f t="shared" si="85"/>
        <v>52.518633938904571</v>
      </c>
      <c r="AA235" s="385">
        <f t="shared" si="86"/>
        <v>55.467127344906316</v>
      </c>
      <c r="AB235" s="196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5.3157492503035045E-2</v>
      </c>
      <c r="AD235" s="230">
        <f>(INDEX(Models!$BJ235:$BT235,,AH235)*(1-AF235)+INDEX(Models!$BJ235:$BT235,,AH235+1)*AF235-ERP_i)*AE235*Ramure*Pc/MaxiM</f>
        <v>2.1807921448286933E-4</v>
      </c>
      <c r="AE235" s="304">
        <f t="shared" si="88"/>
        <v>0.5</v>
      </c>
      <c r="AF235" s="176">
        <f t="shared" si="89"/>
        <v>0.71134624194786378</v>
      </c>
      <c r="AG235" s="814">
        <f t="shared" si="95"/>
        <v>0</v>
      </c>
      <c r="AH235" s="175">
        <f t="shared" si="90"/>
        <v>6</v>
      </c>
      <c r="AI235" s="224">
        <f t="shared" si="91"/>
        <v>0.71134624194786378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44418</v>
      </c>
      <c r="B236" s="616">
        <v>49.481000000000002</v>
      </c>
      <c r="C236" s="389"/>
      <c r="D236" s="392">
        <f t="shared" si="74"/>
        <v>50.700759837398508</v>
      </c>
      <c r="E236" s="384">
        <f t="shared" si="96"/>
        <v>51.445659205971154</v>
      </c>
      <c r="F236" s="384">
        <f t="shared" si="75"/>
        <v>51.455396116933656</v>
      </c>
      <c r="G236" s="110">
        <f t="shared" si="97"/>
        <v>0.92912110455340191</v>
      </c>
      <c r="H236" s="413" t="b">
        <f>Wh_hp&gt;='2020'!Maxi_hp</f>
        <v>1</v>
      </c>
      <c r="I236" s="379">
        <f>IF(H236,Wh_hp,'2020'!Maxi_hp)</f>
        <v>51.455396116933656</v>
      </c>
      <c r="J236" s="85">
        <f>IF(H236,An,'2020'!An_max)</f>
        <v>2021</v>
      </c>
      <c r="K236" s="196">
        <f t="shared" si="76"/>
        <v>44418</v>
      </c>
      <c r="L236" s="147">
        <f>IF(t&lt;Tvie,1-EXP((T0-t)*PertePVj)+'2020'!Pspv,1-EXP((T0-t)*PertePVj)+Pspv)</f>
        <v>2.4058018880000566E-2</v>
      </c>
      <c r="M236" s="847"/>
      <c r="N236" s="847"/>
      <c r="O236" s="48">
        <f>IF(t&lt;Tnet,'2020'!Resal+('2020'!Salim-'2020'!Resal)*(1-EXP(('2020'!Tnet-t)/('2020'!Tau_j))),Resal+(Salim-Resal)*(1-EXP((Tnet-t)/(Tau_j))))*Salcycl</f>
        <v>1.4479343448400938E-2</v>
      </c>
      <c r="P236" s="168">
        <f>(INDEX(Models!$BJ236:$BT236,,T236)*(1-R236)+INDEX(Models!$BJ236:$BT236,,T236+1)*R236-ERP_i)*Q236*Ramure*Pc/MaxiM</f>
        <v>2.1054279603891318E-4</v>
      </c>
      <c r="Q236" s="304">
        <f t="shared" si="77"/>
        <v>0.5</v>
      </c>
      <c r="R236" s="176">
        <f t="shared" si="78"/>
        <v>0.71222216722740206</v>
      </c>
      <c r="S236" s="814">
        <f t="shared" si="79"/>
        <v>0</v>
      </c>
      <c r="T236" s="175">
        <f t="shared" si="80"/>
        <v>6</v>
      </c>
      <c r="U236" s="250">
        <f t="shared" si="81"/>
        <v>0.71222216722740206</v>
      </c>
      <c r="V236" s="382">
        <f t="shared" si="82"/>
        <v>53.254570352095705</v>
      </c>
      <c r="W236" s="401"/>
      <c r="X236" s="157">
        <f t="shared" si="83"/>
        <v>44418</v>
      </c>
      <c r="Y236" s="384">
        <f t="shared" si="84"/>
        <v>47.53750681612803</v>
      </c>
      <c r="Z236" s="384">
        <f t="shared" si="85"/>
        <v>48.709357457472606</v>
      </c>
      <c r="AA236" s="385">
        <f t="shared" si="86"/>
        <v>51.445659205971154</v>
      </c>
      <c r="AB236" s="196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5.3188194897907999E-2</v>
      </c>
      <c r="AD236" s="230">
        <f>(INDEX(Models!$BJ236:$BT236,,AH236)*(1-AF236)+INDEX(Models!$BJ236:$BT236,,AH236+1)*AF236-ERP_i)*AE236*Ramure*Pc/MaxiM</f>
        <v>2.1054279603891318E-4</v>
      </c>
      <c r="AE236" s="304">
        <f t="shared" si="88"/>
        <v>0.5</v>
      </c>
      <c r="AF236" s="176">
        <f t="shared" si="89"/>
        <v>0.71222216722740206</v>
      </c>
      <c r="AG236" s="814">
        <f t="shared" si="95"/>
        <v>0</v>
      </c>
      <c r="AH236" s="175">
        <f t="shared" si="90"/>
        <v>6</v>
      </c>
      <c r="AI236" s="224">
        <f t="shared" si="91"/>
        <v>0.71222216722740206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44419</v>
      </c>
      <c r="B237" s="616">
        <v>49.133000000000003</v>
      </c>
      <c r="C237" s="389"/>
      <c r="D237" s="392">
        <f t="shared" si="74"/>
        <v>50.345282598379974</v>
      </c>
      <c r="E237" s="384">
        <f t="shared" si="96"/>
        <v>51.088726983203152</v>
      </c>
      <c r="F237" s="384">
        <f t="shared" si="75"/>
        <v>51.098017365974044</v>
      </c>
      <c r="G237" s="110">
        <f t="shared" si="97"/>
        <v>0.92447418594803643</v>
      </c>
      <c r="H237" s="413" t="b">
        <f>Wh_hp&gt;='2020'!Maxi_hp</f>
        <v>0</v>
      </c>
      <c r="I237" s="379">
        <f>IF(H237,Wh_hp,'2020'!Maxi_hp)</f>
        <v>54.32605328693775</v>
      </c>
      <c r="J237" s="85">
        <f>IF(H237,An,'2020'!An_max)</f>
        <v>2018</v>
      </c>
      <c r="K237" s="196">
        <f t="shared" si="76"/>
        <v>44419</v>
      </c>
      <c r="L237" s="147">
        <f>IF(t&lt;Tvie,1-EXP((T0-t)*PertePVj)+'2020'!Pspv,1-EXP((T0-t)*PertePVj)+Pspv)</f>
        <v>2.4079368230996413E-2</v>
      </c>
      <c r="M237" s="847"/>
      <c r="N237" s="847"/>
      <c r="O237" s="48">
        <f>IF(t&lt;Tnet,'2020'!Resal+('2020'!Salim-'2020'!Resal)*(1-EXP(('2020'!Tnet-t)/('2020'!Tau_j))),Resal+(Salim-Resal)*(1-EXP((Tnet-t)/(Tau_j))))*Salcycl</f>
        <v>1.4552024071134236E-2</v>
      </c>
      <c r="P237" s="168">
        <f>(INDEX(Models!$BJ237:$BT237,,T237)*(1-R237)+INDEX(Models!$BJ237:$BT237,,T237+1)*R237-ERP_i)*Q237*Ramure*Pc/MaxiM</f>
        <v>2.037975560238377E-4</v>
      </c>
      <c r="Q237" s="304">
        <f t="shared" si="77"/>
        <v>0.5</v>
      </c>
      <c r="R237" s="176">
        <f t="shared" si="78"/>
        <v>0.71306805089120762</v>
      </c>
      <c r="S237" s="814">
        <f t="shared" si="79"/>
        <v>0</v>
      </c>
      <c r="T237" s="175">
        <f t="shared" si="80"/>
        <v>6</v>
      </c>
      <c r="U237" s="250">
        <f t="shared" si="81"/>
        <v>0.71306805089120762</v>
      </c>
      <c r="V237" s="382">
        <f t="shared" si="82"/>
        <v>53.145799502395533</v>
      </c>
      <c r="W237" s="401"/>
      <c r="X237" s="157">
        <f t="shared" si="83"/>
        <v>44419</v>
      </c>
      <c r="Y237" s="384">
        <f t="shared" si="84"/>
        <v>47.205133889252394</v>
      </c>
      <c r="Z237" s="384">
        <f t="shared" si="85"/>
        <v>48.369849301869927</v>
      </c>
      <c r="AA237" s="385">
        <f t="shared" si="86"/>
        <v>51.088726983203152</v>
      </c>
      <c r="AB237" s="196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5.3218740060349018E-2</v>
      </c>
      <c r="AD237" s="230">
        <f>(INDEX(Models!$BJ237:$BT237,,AH237)*(1-AF237)+INDEX(Models!$BJ237:$BT237,,AH237+1)*AF237-ERP_i)*AE237*Ramure*Pc/MaxiM</f>
        <v>2.037975560238377E-4</v>
      </c>
      <c r="AE237" s="304">
        <f t="shared" si="88"/>
        <v>0.5</v>
      </c>
      <c r="AF237" s="176">
        <f t="shared" si="89"/>
        <v>0.71306805089120762</v>
      </c>
      <c r="AG237" s="814">
        <f t="shared" si="95"/>
        <v>0</v>
      </c>
      <c r="AH237" s="175">
        <f t="shared" si="90"/>
        <v>6</v>
      </c>
      <c r="AI237" s="224">
        <f t="shared" si="91"/>
        <v>0.71306805089120762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44420</v>
      </c>
      <c r="B238" s="616">
        <v>47.423999999999999</v>
      </c>
      <c r="C238" s="389"/>
      <c r="D238" s="392">
        <f t="shared" si="74"/>
        <v>48.595178653859762</v>
      </c>
      <c r="E238" s="384">
        <f t="shared" si="96"/>
        <v>49.316410883317445</v>
      </c>
      <c r="F238" s="384">
        <f t="shared" si="75"/>
        <v>49.324694783920783</v>
      </c>
      <c r="G238" s="110">
        <f t="shared" si="97"/>
        <v>0.8941740723927829</v>
      </c>
      <c r="H238" s="413" t="b">
        <f>Wh_hp&gt;='2020'!Maxi_hp</f>
        <v>0</v>
      </c>
      <c r="I238" s="379">
        <f>IF(H238,Wh_hp,'2020'!Maxi_hp)</f>
        <v>51.451294762618211</v>
      </c>
      <c r="J238" s="85">
        <f>IF(H238,An,'2020'!An_max)</f>
        <v>2018</v>
      </c>
      <c r="K238" s="196">
        <f t="shared" si="76"/>
        <v>44420</v>
      </c>
      <c r="L238" s="147">
        <f>IF(t&lt;Tvie,1-EXP((T0-t)*PertePVj)+'2020'!Pspv,1-EXP((T0-t)*PertePVj)+Pspv)</f>
        <v>2.4100717114386751E-2</v>
      </c>
      <c r="M238" s="847"/>
      <c r="N238" s="847"/>
      <c r="O238" s="48">
        <f>IF(t&lt;Tnet,'2020'!Resal+('2020'!Salim-'2020'!Resal)*(1-EXP(('2020'!Tnet-t)/('2020'!Tau_j))),Resal+(Salim-Resal)*(1-EXP((Tnet-t)/(Tau_j))))*Salcycl</f>
        <v>1.4624588783723828E-2</v>
      </c>
      <c r="P238" s="168">
        <f>(INDEX(Models!$BJ238:$BT238,,T238)*(1-R238)+INDEX(Models!$BJ238:$BT238,,T238+1)*R238-ERP_i)*Q238*Ramure*Pc/MaxiM</f>
        <v>1.9784964187321221E-4</v>
      </c>
      <c r="Q238" s="304">
        <f t="shared" si="77"/>
        <v>0.5</v>
      </c>
      <c r="R238" s="176">
        <f t="shared" si="78"/>
        <v>0.71388473428374732</v>
      </c>
      <c r="S238" s="814">
        <f t="shared" si="79"/>
        <v>0</v>
      </c>
      <c r="T238" s="175">
        <f t="shared" si="80"/>
        <v>6</v>
      </c>
      <c r="U238" s="250">
        <f t="shared" si="81"/>
        <v>0.71388473428374732</v>
      </c>
      <c r="V238" s="382">
        <f t="shared" si="82"/>
        <v>53.035066762107071</v>
      </c>
      <c r="W238" s="401"/>
      <c r="X238" s="157">
        <f t="shared" si="83"/>
        <v>44420</v>
      </c>
      <c r="Y238" s="384">
        <f t="shared" si="84"/>
        <v>45.565084053377412</v>
      </c>
      <c r="Z238" s="384">
        <f t="shared" si="85"/>
        <v>46.69035509345504</v>
      </c>
      <c r="AA238" s="385">
        <f t="shared" si="86"/>
        <v>49.316410883317445</v>
      </c>
      <c r="AB238" s="196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5.3249126260944815E-2</v>
      </c>
      <c r="AD238" s="230">
        <f>(INDEX(Models!$BJ238:$BT238,,AH238)*(1-AF238)+INDEX(Models!$BJ238:$BT238,,AH238+1)*AF238-ERP_i)*AE238*Ramure*Pc/MaxiM</f>
        <v>1.9784964187321221E-4</v>
      </c>
      <c r="AE238" s="304">
        <f t="shared" si="88"/>
        <v>0.5</v>
      </c>
      <c r="AF238" s="176">
        <f t="shared" si="89"/>
        <v>0.71388473428374732</v>
      </c>
      <c r="AG238" s="814">
        <f t="shared" si="95"/>
        <v>0</v>
      </c>
      <c r="AH238" s="175">
        <f t="shared" si="90"/>
        <v>6</v>
      </c>
      <c r="AI238" s="224">
        <f t="shared" si="91"/>
        <v>0.71388473428374732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44421</v>
      </c>
      <c r="B239" s="616">
        <v>30.151</v>
      </c>
      <c r="C239" s="389"/>
      <c r="D239" s="392">
        <f t="shared" si="74"/>
        <v>30.896282142479883</v>
      </c>
      <c r="E239" s="384">
        <f t="shared" si="96"/>
        <v>31.357139162679388</v>
      </c>
      <c r="F239" s="384">
        <f t="shared" si="75"/>
        <v>31.359467678536632</v>
      </c>
      <c r="G239" s="110">
        <f t="shared" si="97"/>
        <v>0.5696537546919378</v>
      </c>
      <c r="H239" s="413" t="b">
        <f>Wh_hp&gt;='2020'!Maxi_hp</f>
        <v>0</v>
      </c>
      <c r="I239" s="379">
        <f>IF(H239,Wh_hp,'2020'!Maxi_hp)</f>
        <v>51.299776685989691</v>
      </c>
      <c r="J239" s="85">
        <f>IF(H239,An,'2020'!An_max)</f>
        <v>2019</v>
      </c>
      <c r="K239" s="196">
        <f t="shared" si="76"/>
        <v>44421</v>
      </c>
      <c r="L239" s="147">
        <f>IF(t&lt;Tvie,1-EXP((T0-t)*PertePVj)+'2020'!Pspv,1-EXP((T0-t)*PertePVj)+Pspv)</f>
        <v>2.4122065530181681E-2</v>
      </c>
      <c r="M239" s="847"/>
      <c r="N239" s="847"/>
      <c r="O239" s="48">
        <f>IF(t&lt;Tnet,'2020'!Resal+('2020'!Salim-'2020'!Resal)*(1-EXP(('2020'!Tnet-t)/('2020'!Tau_j))),Resal+(Salim-Resal)*(1-EXP((Tnet-t)/(Tau_j))))*Salcycl</f>
        <v>1.469703654432891E-2</v>
      </c>
      <c r="P239" s="168">
        <f>(INDEX(Models!$BJ239:$BT239,,T239)*(1-R239)+INDEX(Models!$BJ239:$BT239,,T239+1)*R239-ERP_i)*Q239*Ramure*Pc/MaxiM</f>
        <v>1.9270518608689759E-4</v>
      </c>
      <c r="Q239" s="304">
        <f t="shared" si="77"/>
        <v>0.5</v>
      </c>
      <c r="R239" s="176">
        <f t="shared" si="78"/>
        <v>0.71467304928039344</v>
      </c>
      <c r="S239" s="814">
        <f t="shared" si="79"/>
        <v>0</v>
      </c>
      <c r="T239" s="175">
        <f t="shared" si="80"/>
        <v>6</v>
      </c>
      <c r="U239" s="250">
        <f t="shared" si="81"/>
        <v>0.71467304928039344</v>
      </c>
      <c r="V239" s="382">
        <f t="shared" si="82"/>
        <v>52.922372610806285</v>
      </c>
      <c r="W239" s="401"/>
      <c r="X239" s="157">
        <f t="shared" si="83"/>
        <v>44421</v>
      </c>
      <c r="Y239" s="384">
        <f t="shared" si="84"/>
        <v>28.970352617837985</v>
      </c>
      <c r="Z239" s="384">
        <f t="shared" si="85"/>
        <v>29.686451137536171</v>
      </c>
      <c r="AA239" s="385">
        <f t="shared" si="86"/>
        <v>31.357139162679388</v>
      </c>
      <c r="AB239" s="196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5.3279351042700894E-2</v>
      </c>
      <c r="AD239" s="230">
        <f>(INDEX(Models!$BJ239:$BT239,,AH239)*(1-AF239)+INDEX(Models!$BJ239:$BT239,,AH239+1)*AF239-ERP_i)*AE239*Ramure*Pc/MaxiM</f>
        <v>1.9270518608689759E-4</v>
      </c>
      <c r="AE239" s="304">
        <f t="shared" si="88"/>
        <v>0.5</v>
      </c>
      <c r="AF239" s="176">
        <f t="shared" si="89"/>
        <v>0.71467304928039344</v>
      </c>
      <c r="AG239" s="814">
        <f t="shared" si="95"/>
        <v>0</v>
      </c>
      <c r="AH239" s="175">
        <f t="shared" si="90"/>
        <v>6</v>
      </c>
      <c r="AI239" s="224">
        <f t="shared" si="91"/>
        <v>0.71467304928039344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44422</v>
      </c>
      <c r="B240" s="616">
        <v>48.164999999999999</v>
      </c>
      <c r="C240" s="389"/>
      <c r="D240" s="392">
        <f t="shared" si="74"/>
        <v>49.356637712188544</v>
      </c>
      <c r="E240" s="384">
        <f t="shared" si="96"/>
        <v>50.096531730438386</v>
      </c>
      <c r="F240" s="384">
        <f t="shared" si="75"/>
        <v>50.104814016630087</v>
      </c>
      <c r="G240" s="110">
        <f t="shared" si="97"/>
        <v>0.91206154763574832</v>
      </c>
      <c r="H240" s="413" t="b">
        <f>Wh_hp&gt;='2020'!Maxi_hp</f>
        <v>0</v>
      </c>
      <c r="I240" s="379">
        <f>IF(H240,Wh_hp,'2020'!Maxi_hp)</f>
        <v>56.168421438709679</v>
      </c>
      <c r="J240" s="85">
        <f>IF(H240,An,'2020'!An_max)</f>
        <v>2019</v>
      </c>
      <c r="K240" s="196">
        <f t="shared" si="76"/>
        <v>44422</v>
      </c>
      <c r="L240" s="147">
        <f>IF(t&lt;Tvie,1-EXP((T0-t)*PertePVj)+'2020'!Pspv,1-EXP((T0-t)*PertePVj)+Pspv)</f>
        <v>2.4143413478391641E-2</v>
      </c>
      <c r="M240" s="847"/>
      <c r="N240" s="847"/>
      <c r="O240" s="48">
        <f>IF(t&lt;Tnet,'2020'!Resal+('2020'!Salim-'2020'!Resal)*(1-EXP(('2020'!Tnet-t)/('2020'!Tau_j))),Resal+(Salim-Resal)*(1-EXP((Tnet-t)/(Tau_j))))*Salcycl</f>
        <v>1.4769366115624412E-2</v>
      </c>
      <c r="P240" s="168">
        <f>(INDEX(Models!$BJ240:$BT240,,T240)*(1-R240)+INDEX(Models!$BJ240:$BT240,,T240+1)*R240-ERP_i)*Q240*Ramure*Pc/MaxiM</f>
        <v>1.8904202237659835E-4</v>
      </c>
      <c r="Q240" s="304">
        <f t="shared" si="77"/>
        <v>0.5</v>
      </c>
      <c r="R240" s="176">
        <f t="shared" si="78"/>
        <v>0.71543381721696275</v>
      </c>
      <c r="S240" s="814">
        <f t="shared" si="79"/>
        <v>0</v>
      </c>
      <c r="T240" s="175">
        <f t="shared" si="80"/>
        <v>6</v>
      </c>
      <c r="U240" s="250">
        <f t="shared" si="81"/>
        <v>0.71543381721696275</v>
      </c>
      <c r="V240" s="382">
        <f t="shared" si="82"/>
        <v>52.80768207282339</v>
      </c>
      <c r="W240" s="401"/>
      <c r="X240" s="157">
        <f t="shared" si="83"/>
        <v>44422</v>
      </c>
      <c r="Y240" s="384">
        <f t="shared" si="84"/>
        <v>46.28089163849414</v>
      </c>
      <c r="Z240" s="384">
        <f t="shared" si="85"/>
        <v>47.425915116748911</v>
      </c>
      <c r="AA240" s="385">
        <f t="shared" si="86"/>
        <v>50.096531730438386</v>
      </c>
      <c r="AB240" s="196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5.3309411279400504E-2</v>
      </c>
      <c r="AD240" s="230">
        <f>(INDEX(Models!$BJ240:$BT240,,AH240)*(1-AF240)+INDEX(Models!$BJ240:$BT240,,AH240+1)*AF240-ERP_i)*AE240*Ramure*Pc/MaxiM</f>
        <v>1.8904202237659835E-4</v>
      </c>
      <c r="AE240" s="304">
        <f t="shared" si="88"/>
        <v>0.5</v>
      </c>
      <c r="AF240" s="176">
        <f t="shared" si="89"/>
        <v>0.71543381721696275</v>
      </c>
      <c r="AG240" s="814">
        <f t="shared" si="95"/>
        <v>0</v>
      </c>
      <c r="AH240" s="175">
        <f t="shared" si="90"/>
        <v>6</v>
      </c>
      <c r="AI240" s="224">
        <f t="shared" si="91"/>
        <v>0.71543381721696275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44423</v>
      </c>
      <c r="B241" s="616">
        <v>20.164999999999999</v>
      </c>
      <c r="C241" s="389"/>
      <c r="D241" s="392">
        <f t="shared" si="74"/>
        <v>20.664349055295094</v>
      </c>
      <c r="E241" s="384">
        <f t="shared" si="96"/>
        <v>20.975660922634169</v>
      </c>
      <c r="F241" s="384">
        <f t="shared" si="75"/>
        <v>20.976123737594971</v>
      </c>
      <c r="G241" s="110">
        <f t="shared" si="97"/>
        <v>0.38263988638832253</v>
      </c>
      <c r="H241" s="413" t="b">
        <f>Wh_hp&gt;='2020'!Maxi_hp</f>
        <v>0</v>
      </c>
      <c r="I241" s="379">
        <f>IF(H241,Wh_hp,'2020'!Maxi_hp)</f>
        <v>54.459997130630313</v>
      </c>
      <c r="J241" s="85">
        <f>IF(H241,An,'2020'!An_max)</f>
        <v>2018</v>
      </c>
      <c r="K241" s="196">
        <f t="shared" si="76"/>
        <v>44423</v>
      </c>
      <c r="L241" s="147">
        <f>IF(t&lt;Tvie,1-EXP((T0-t)*PertePVj)+'2020'!Pspv,1-EXP((T0-t)*PertePVj)+Pspv)</f>
        <v>2.4164760959026622E-2</v>
      </c>
      <c r="M241" s="847"/>
      <c r="N241" s="847"/>
      <c r="O241" s="48">
        <f>IF(t&lt;Tnet,'2020'!Resal+('2020'!Salim-'2020'!Resal)*(1-EXP(('2020'!Tnet-t)/('2020'!Tau_j))),Resal+(Salim-Resal)*(1-EXP((Tnet-t)/(Tau_j))))*Salcycl</f>
        <v>1.4841576076544299E-2</v>
      </c>
      <c r="P241" s="168">
        <f>(INDEX(Models!$BJ241:$BT241,,T241)*(1-R241)+INDEX(Models!$BJ241:$BT241,,T241+1)*R241-ERP_i)*Q241*Ramure*Pc/MaxiM</f>
        <v>1.8674947265964292E-4</v>
      </c>
      <c r="Q241" s="304">
        <f t="shared" si="77"/>
        <v>0.5</v>
      </c>
      <c r="R241" s="176">
        <f t="shared" si="78"/>
        <v>0.71616784793078692</v>
      </c>
      <c r="S241" s="814">
        <f t="shared" si="79"/>
        <v>0</v>
      </c>
      <c r="T241" s="175">
        <f t="shared" si="80"/>
        <v>6</v>
      </c>
      <c r="U241" s="250">
        <f t="shared" si="81"/>
        <v>0.71616784793078692</v>
      </c>
      <c r="V241" s="382">
        <f t="shared" si="82"/>
        <v>52.691002060256913</v>
      </c>
      <c r="W241" s="401"/>
      <c r="X241" s="157">
        <f t="shared" si="83"/>
        <v>44423</v>
      </c>
      <c r="Y241" s="384">
        <f t="shared" si="84"/>
        <v>19.376998142391788</v>
      </c>
      <c r="Z241" s="384">
        <f t="shared" si="85"/>
        <v>19.85683378418986</v>
      </c>
      <c r="AA241" s="385">
        <f t="shared" si="86"/>
        <v>20.975660922634169</v>
      </c>
      <c r="AB241" s="196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5.3339303232014891E-2</v>
      </c>
      <c r="AD241" s="230">
        <f>(INDEX(Models!$BJ241:$BT241,,AH241)*(1-AF241)+INDEX(Models!$BJ241:$BT241,,AH241+1)*AF241-ERP_i)*AE241*Ramure*Pc/MaxiM</f>
        <v>1.8674947265964292E-4</v>
      </c>
      <c r="AE241" s="304">
        <f t="shared" si="88"/>
        <v>0.5</v>
      </c>
      <c r="AF241" s="176">
        <f t="shared" si="89"/>
        <v>0.71616784793078692</v>
      </c>
      <c r="AG241" s="814">
        <f t="shared" si="95"/>
        <v>0</v>
      </c>
      <c r="AH241" s="175">
        <f t="shared" si="90"/>
        <v>6</v>
      </c>
      <c r="AI241" s="224">
        <f t="shared" si="91"/>
        <v>0.71616784793078692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44424</v>
      </c>
      <c r="B242" s="616">
        <v>31.664000000000001</v>
      </c>
      <c r="C242" s="389"/>
      <c r="D242" s="392">
        <f t="shared" si="74"/>
        <v>32.448810432691175</v>
      </c>
      <c r="E242" s="384">
        <f t="shared" si="96"/>
        <v>32.940067559878983</v>
      </c>
      <c r="F242" s="384">
        <f t="shared" si="75"/>
        <v>32.942711334198854</v>
      </c>
      <c r="G242" s="110">
        <f t="shared" si="97"/>
        <v>0.6022303871540261</v>
      </c>
      <c r="H242" s="413" t="b">
        <f>Wh_hp&gt;='2020'!Maxi_hp</f>
        <v>0</v>
      </c>
      <c r="I242" s="379">
        <f>IF(H242,Wh_hp,'2020'!Maxi_hp)</f>
        <v>55.604090749056766</v>
      </c>
      <c r="J242" s="85">
        <f>IF(H242,An,'2020'!An_max)</f>
        <v>2019</v>
      </c>
      <c r="K242" s="196">
        <f t="shared" si="76"/>
        <v>44424</v>
      </c>
      <c r="L242" s="147">
        <f>IF(t&lt;Tvie,1-EXP((T0-t)*PertePVj)+'2020'!Pspv,1-EXP((T0-t)*PertePVj)+Pspv)</f>
        <v>2.418610797209695E-2</v>
      </c>
      <c r="M242" s="847"/>
      <c r="N242" s="847"/>
      <c r="O242" s="48">
        <f>IF(t&lt;Tnet,'2020'!Resal+('2020'!Salim-'2020'!Resal)*(1-EXP(('2020'!Tnet-t)/('2020'!Tau_j))),Resal+(Salim-Resal)*(1-EXP((Tnet-t)/(Tau_j))))*Salcycl</f>
        <v>1.4913664833710415E-2</v>
      </c>
      <c r="P242" s="168">
        <f>(INDEX(Models!$BJ242:$BT242,,T242)*(1-R242)+INDEX(Models!$BJ242:$BT242,,T242+1)*R242-ERP_i)*Q242*Ramure*Pc/MaxiM</f>
        <v>1.858375937941149E-4</v>
      </c>
      <c r="Q242" s="304">
        <f t="shared" si="77"/>
        <v>0.5</v>
      </c>
      <c r="R242" s="176">
        <f t="shared" si="78"/>
        <v>0.71687593890759815</v>
      </c>
      <c r="S242" s="814">
        <f t="shared" si="79"/>
        <v>0</v>
      </c>
      <c r="T242" s="175">
        <f t="shared" si="80"/>
        <v>6</v>
      </c>
      <c r="U242" s="250">
        <f t="shared" si="81"/>
        <v>0.71687593890759815</v>
      </c>
      <c r="V242" s="382">
        <f t="shared" si="82"/>
        <v>52.572333111142413</v>
      </c>
      <c r="W242" s="401"/>
      <c r="X242" s="157">
        <f t="shared" si="83"/>
        <v>44424</v>
      </c>
      <c r="Y242" s="384">
        <f t="shared" si="84"/>
        <v>30.427914994127267</v>
      </c>
      <c r="Z242" s="384">
        <f t="shared" si="85"/>
        <v>31.182088349749783</v>
      </c>
      <c r="AA242" s="385">
        <f t="shared" si="86"/>
        <v>32.940067559878983</v>
      </c>
      <c r="AB242" s="196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5.3369022602443542E-2</v>
      </c>
      <c r="AD242" s="230">
        <f>(INDEX(Models!$BJ242:$BT242,,AH242)*(1-AF242)+INDEX(Models!$BJ242:$BT242,,AH242+1)*AF242-ERP_i)*AE242*Ramure*Pc/MaxiM</f>
        <v>1.858375937941149E-4</v>
      </c>
      <c r="AE242" s="304">
        <f t="shared" si="88"/>
        <v>0.5</v>
      </c>
      <c r="AF242" s="176">
        <f t="shared" si="89"/>
        <v>0.71687593890759815</v>
      </c>
      <c r="AG242" s="814">
        <f t="shared" si="95"/>
        <v>0</v>
      </c>
      <c r="AH242" s="175">
        <f t="shared" si="90"/>
        <v>6</v>
      </c>
      <c r="AI242" s="224">
        <f t="shared" si="91"/>
        <v>0.71687593890759815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16">
        <v>41.774000000000001</v>
      </c>
      <c r="C243" s="389"/>
      <c r="D243" s="392">
        <f t="shared" si="74"/>
        <v>42.810329094437648</v>
      </c>
      <c r="E243" s="384">
        <f t="shared" si="96"/>
        <v>43.461629013513772</v>
      </c>
      <c r="F243" s="384">
        <f t="shared" si="75"/>
        <v>43.467372468160903</v>
      </c>
      <c r="G243" s="110">
        <f t="shared" si="97"/>
        <v>0.79638516016868943</v>
      </c>
      <c r="H243" s="413" t="b">
        <f>Wh_hp&gt;='2020'!Maxi_hp</f>
        <v>0</v>
      </c>
      <c r="I243" s="379">
        <f>IF(H243,Wh_hp,'2020'!Maxi_hp)</f>
        <v>54.149035020517147</v>
      </c>
      <c r="J243" s="85">
        <f>IF(H243,An,'2020'!An_max)</f>
        <v>2019</v>
      </c>
      <c r="K243" s="196">
        <f t="shared" si="76"/>
        <v>44425</v>
      </c>
      <c r="L243" s="147">
        <f>IF(t&lt;Tvie,1-EXP((T0-t)*PertePVj)+'2020'!Pspv,1-EXP((T0-t)*PertePVj)+Pspv)</f>
        <v>2.420745451761306E-2</v>
      </c>
      <c r="M243" s="847"/>
      <c r="N243" s="847"/>
      <c r="O243" s="48">
        <f>IF(t&lt;Tnet,'2020'!Resal+('2020'!Salim-'2020'!Resal)*(1-EXP(('2020'!Tnet-t)/('2020'!Tau_j))),Resal+(Salim-Resal)*(1-EXP((Tnet-t)/(Tau_j))))*Salcycl</f>
        <v>1.4985630632335687E-2</v>
      </c>
      <c r="P243" s="168">
        <f>(INDEX(Models!$BJ243:$BT243,,T243)*(1-R243)+INDEX(Models!$BJ243:$BT243,,T243+1)*R243-ERP_i)*Q243*Ramure*Pc/MaxiM</f>
        <v>1.8631649213451541E-4</v>
      </c>
      <c r="Q243" s="304">
        <f t="shared" si="77"/>
        <v>0.5</v>
      </c>
      <c r="R243" s="176">
        <f t="shared" si="78"/>
        <v>0.71755887452850975</v>
      </c>
      <c r="S243" s="814">
        <f t="shared" si="79"/>
        <v>0</v>
      </c>
      <c r="T243" s="175">
        <f t="shared" si="80"/>
        <v>6</v>
      </c>
      <c r="U243" s="250">
        <f t="shared" si="81"/>
        <v>0.71755887452850975</v>
      </c>
      <c r="V243" s="382">
        <f t="shared" si="82"/>
        <v>52.451675784516198</v>
      </c>
      <c r="W243" s="401"/>
      <c r="X243" s="157">
        <f t="shared" si="83"/>
        <v>44425</v>
      </c>
      <c r="Y243" s="384">
        <f t="shared" si="84"/>
        <v>40.144925386678608</v>
      </c>
      <c r="Z243" s="384">
        <f t="shared" si="85"/>
        <v>41.140840409713114</v>
      </c>
      <c r="AA243" s="385">
        <f t="shared" si="86"/>
        <v>43.461629013513772</v>
      </c>
      <c r="AB243" s="196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5.3398564583923891E-2</v>
      </c>
      <c r="AD243" s="230">
        <f>(INDEX(Models!$BJ243:$BT243,,AH243)*(1-AF243)+INDEX(Models!$BJ243:$BT243,,AH243+1)*AF243-ERP_i)*AE243*Ramure*Pc/MaxiM</f>
        <v>1.8631649213451541E-4</v>
      </c>
      <c r="AE243" s="304">
        <f t="shared" si="88"/>
        <v>0.5</v>
      </c>
      <c r="AF243" s="176">
        <f t="shared" si="89"/>
        <v>0.71755887452850975</v>
      </c>
      <c r="AG243" s="814">
        <f t="shared" si="95"/>
        <v>0</v>
      </c>
      <c r="AH243" s="175">
        <f t="shared" si="90"/>
        <v>6</v>
      </c>
      <c r="AI243" s="224">
        <f t="shared" si="91"/>
        <v>0.71755887452850975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16">
        <v>50.478999999999999</v>
      </c>
      <c r="C244" s="389"/>
      <c r="D244" s="392">
        <f t="shared" si="74"/>
        <v>51.732414351654413</v>
      </c>
      <c r="E244" s="384">
        <f t="shared" si="96"/>
        <v>52.523282179648689</v>
      </c>
      <c r="F244" s="384">
        <f t="shared" si="75"/>
        <v>52.532669315171944</v>
      </c>
      <c r="G244" s="110">
        <f t="shared" si="97"/>
        <v>0.96463701836258386</v>
      </c>
      <c r="H244" s="413" t="b">
        <f>Wh_hp&gt;='2020'!Maxi_hp</f>
        <v>1</v>
      </c>
      <c r="I244" s="379">
        <f>IF(H244,Wh_hp,'2020'!Maxi_hp)</f>
        <v>52.532669315171944</v>
      </c>
      <c r="J244" s="85">
        <f>IF(H244,An,'2020'!An_max)</f>
        <v>2021</v>
      </c>
      <c r="K244" s="196">
        <f t="shared" si="76"/>
        <v>44426</v>
      </c>
      <c r="L244" s="147">
        <f>IF(t&lt;Tvie,1-EXP((T0-t)*PertePVj)+'2020'!Pspv,1-EXP((T0-t)*PertePVj)+Pspv)</f>
        <v>2.4228800595584944E-2</v>
      </c>
      <c r="M244" s="847"/>
      <c r="N244" s="847"/>
      <c r="O244" s="48">
        <f>IF(t&lt;Tnet,'2020'!Resal+('2020'!Salim-'2020'!Resal)*(1-EXP(('2020'!Tnet-t)/('2020'!Tau_j))),Resal+(Salim-Resal)*(1-EXP((Tnet-t)/(Tau_j))))*Salcycl</f>
        <v>1.5057471566404057E-2</v>
      </c>
      <c r="P244" s="168">
        <f>(INDEX(Models!$BJ244:$BT244,,T244)*(1-R244)+INDEX(Models!$BJ244:$BT244,,T244+1)*R244-ERP_i)*Q244*Ramure*Pc/MaxiM</f>
        <v>1.8819632569702869E-4</v>
      </c>
      <c r="Q244" s="304">
        <f t="shared" si="77"/>
        <v>0.5</v>
      </c>
      <c r="R244" s="176">
        <f t="shared" si="78"/>
        <v>0.71821742541139799</v>
      </c>
      <c r="S244" s="814">
        <f t="shared" si="79"/>
        <v>0</v>
      </c>
      <c r="T244" s="175">
        <f t="shared" si="80"/>
        <v>6</v>
      </c>
      <c r="U244" s="250">
        <f t="shared" si="81"/>
        <v>0.71821742541139799</v>
      </c>
      <c r="V244" s="382">
        <f t="shared" si="82"/>
        <v>52.329030664937342</v>
      </c>
      <c r="W244" s="401"/>
      <c r="X244" s="157">
        <f t="shared" si="83"/>
        <v>44426</v>
      </c>
      <c r="Y244" s="384">
        <f t="shared" si="84"/>
        <v>48.512487226094819</v>
      </c>
      <c r="Z244" s="384">
        <f t="shared" si="85"/>
        <v>49.717072255981279</v>
      </c>
      <c r="AA244" s="385">
        <f t="shared" si="86"/>
        <v>52.523282179648689</v>
      </c>
      <c r="AB244" s="196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5.3427923907518826E-2</v>
      </c>
      <c r="AD244" s="230">
        <f>(INDEX(Models!$BJ244:$BT244,,AH244)*(1-AF244)+INDEX(Models!$BJ244:$BT244,,AH244+1)*AF244-ERP_i)*AE244*Ramure*Pc/MaxiM</f>
        <v>1.8819632569702869E-4</v>
      </c>
      <c r="AE244" s="304">
        <f t="shared" si="88"/>
        <v>0.5</v>
      </c>
      <c r="AF244" s="176">
        <f t="shared" si="89"/>
        <v>0.71821742541139799</v>
      </c>
      <c r="AG244" s="814">
        <f t="shared" si="95"/>
        <v>0</v>
      </c>
      <c r="AH244" s="175">
        <f t="shared" si="90"/>
        <v>6</v>
      </c>
      <c r="AI244" s="224">
        <f t="shared" si="91"/>
        <v>0.71821742541139799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44427</v>
      </c>
      <c r="B245" s="616">
        <v>46.716999999999999</v>
      </c>
      <c r="C245" s="389"/>
      <c r="D245" s="392">
        <f t="shared" si="74"/>
        <v>47.878049705415563</v>
      </c>
      <c r="E245" s="384">
        <f t="shared" si="96"/>
        <v>48.613532866234493</v>
      </c>
      <c r="F245" s="384">
        <f t="shared" si="75"/>
        <v>48.621445184788691</v>
      </c>
      <c r="G245" s="110">
        <f t="shared" si="97"/>
        <v>0.89486054698585715</v>
      </c>
      <c r="H245" s="413" t="b">
        <f>Wh_hp&gt;='2020'!Maxi_hp</f>
        <v>0</v>
      </c>
      <c r="I245" s="379">
        <f>IF(H245,Wh_hp,'2020'!Maxi_hp)</f>
        <v>51.308352268844715</v>
      </c>
      <c r="J245" s="85">
        <f>IF(H245,An,'2020'!An_max)</f>
        <v>2018</v>
      </c>
      <c r="K245" s="196">
        <f t="shared" si="76"/>
        <v>44427</v>
      </c>
      <c r="L245" s="147">
        <f>IF(t&lt;Tvie,1-EXP((T0-t)*PertePVj)+'2020'!Pspv,1-EXP((T0-t)*PertePVj)+Pspv)</f>
        <v>2.4250146206022928E-2</v>
      </c>
      <c r="M245" s="847"/>
      <c r="N245" s="847"/>
      <c r="O245" s="48">
        <f>IF(t&lt;Tnet,'2020'!Resal+('2020'!Salim-'2020'!Resal)*(1-EXP(('2020'!Tnet-t)/('2020'!Tau_j))),Resal+(Salim-Resal)*(1-EXP((Tnet-t)/(Tau_j))))*Salcycl</f>
        <v>1.512918558794504E-2</v>
      </c>
      <c r="P245" s="168">
        <f>(INDEX(Models!$BJ245:$BT245,,T245)*(1-R245)+INDEX(Models!$BJ245:$BT245,,T245+1)*R245-ERP_i)*Q245*Ramure*Pc/MaxiM</f>
        <v>1.9148730443364356E-4</v>
      </c>
      <c r="Q245" s="304">
        <f t="shared" si="77"/>
        <v>0.5</v>
      </c>
      <c r="R245" s="176">
        <f t="shared" si="78"/>
        <v>0.71885234784106156</v>
      </c>
      <c r="S245" s="814">
        <f t="shared" si="79"/>
        <v>0</v>
      </c>
      <c r="T245" s="175">
        <f t="shared" si="80"/>
        <v>6</v>
      </c>
      <c r="U245" s="250">
        <f t="shared" si="81"/>
        <v>0.71885234784106156</v>
      </c>
      <c r="V245" s="382">
        <f t="shared" si="82"/>
        <v>52.204398359718859</v>
      </c>
      <c r="W245" s="401"/>
      <c r="X245" s="157">
        <f t="shared" si="83"/>
        <v>44427</v>
      </c>
      <c r="Y245" s="384">
        <f t="shared" si="84"/>
        <v>44.898929129801232</v>
      </c>
      <c r="Z245" s="384">
        <f t="shared" si="85"/>
        <v>46.014794627149733</v>
      </c>
      <c r="AA245" s="385">
        <f t="shared" si="86"/>
        <v>48.613532866234493</v>
      </c>
      <c r="AB245" s="196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5.3457094884164891E-2</v>
      </c>
      <c r="AD245" s="230">
        <f>(INDEX(Models!$BJ245:$BT245,,AH245)*(1-AF245)+INDEX(Models!$BJ245:$BT245,,AH245+1)*AF245-ERP_i)*AE245*Ramure*Pc/MaxiM</f>
        <v>1.9148730443364356E-4</v>
      </c>
      <c r="AE245" s="304">
        <f t="shared" si="88"/>
        <v>0.5</v>
      </c>
      <c r="AF245" s="176">
        <f t="shared" si="89"/>
        <v>0.71885234784106156</v>
      </c>
      <c r="AG245" s="814">
        <f t="shared" si="95"/>
        <v>0</v>
      </c>
      <c r="AH245" s="175">
        <f t="shared" si="90"/>
        <v>6</v>
      </c>
      <c r="AI245" s="224">
        <f t="shared" si="91"/>
        <v>0.71885234784106156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16">
        <v>50.893999999999998</v>
      </c>
      <c r="C246" s="389"/>
      <c r="D246" s="392">
        <f t="shared" si="74"/>
        <v>52.160001013356236</v>
      </c>
      <c r="E246" s="384">
        <f t="shared" si="96"/>
        <v>52.965111518868646</v>
      </c>
      <c r="F246" s="384">
        <f t="shared" si="75"/>
        <v>52.975167716922265</v>
      </c>
      <c r="G246" s="110">
        <f t="shared" si="97"/>
        <v>0.97726278218207296</v>
      </c>
      <c r="H246" s="413" t="b">
        <f>Wh_hp&gt;='2020'!Maxi_hp</f>
        <v>1</v>
      </c>
      <c r="I246" s="379">
        <f>IF(H246,Wh_hp,'2020'!Maxi_hp)</f>
        <v>52.975167716922265</v>
      </c>
      <c r="J246" s="85">
        <f>IF(H246,An,'2020'!An_max)</f>
        <v>2021</v>
      </c>
      <c r="K246" s="196">
        <f t="shared" si="76"/>
        <v>44428</v>
      </c>
      <c r="L246" s="147">
        <f>IF(t&lt;Tvie,1-EXP((T0-t)*PertePVj)+'2020'!Pspv,1-EXP((T0-t)*PertePVj)+Pspv)</f>
        <v>2.4271491348937337E-2</v>
      </c>
      <c r="M246" s="847"/>
      <c r="N246" s="847"/>
      <c r="O246" s="48">
        <f>IF(t&lt;Tnet,'2020'!Resal+('2020'!Salim-'2020'!Resal)*(1-EXP(('2020'!Tnet-t)/('2020'!Tau_j))),Resal+(Salim-Resal)*(1-EXP((Tnet-t)/(Tau_j))))*Salcycl</f>
        <v>1.5200770515239872E-2</v>
      </c>
      <c r="P246" s="168">
        <f>(INDEX(Models!$BJ246:$BT246,,T246)*(1-R246)+INDEX(Models!$BJ246:$BT246,,T246+1)*R246-ERP_i)*Q246*Ramure*Pc/MaxiM</f>
        <v>1.961996887118982E-4</v>
      </c>
      <c r="Q246" s="304">
        <f t="shared" si="77"/>
        <v>0.5</v>
      </c>
      <c r="R246" s="176">
        <f t="shared" si="78"/>
        <v>0.71946438328263262</v>
      </c>
      <c r="S246" s="814">
        <f t="shared" si="79"/>
        <v>0</v>
      </c>
      <c r="T246" s="175">
        <f t="shared" si="80"/>
        <v>6</v>
      </c>
      <c r="U246" s="250">
        <f t="shared" si="81"/>
        <v>0.71946438328263262</v>
      </c>
      <c r="V246" s="382">
        <f t="shared" si="82"/>
        <v>52.077779500506907</v>
      </c>
      <c r="W246" s="401"/>
      <c r="X246" s="157">
        <f t="shared" si="83"/>
        <v>44428</v>
      </c>
      <c r="Y246" s="384">
        <f t="shared" si="84"/>
        <v>48.9154321386318</v>
      </c>
      <c r="Z246" s="384">
        <f t="shared" si="85"/>
        <v>50.132215780245083</v>
      </c>
      <c r="AA246" s="385">
        <f t="shared" si="86"/>
        <v>52.965111518868646</v>
      </c>
      <c r="AB246" s="196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5.3486071441846222E-2</v>
      </c>
      <c r="AD246" s="230">
        <f>(INDEX(Models!$BJ246:$BT246,,AH246)*(1-AF246)+INDEX(Models!$BJ246:$BT246,,AH246+1)*AF246-ERP_i)*AE246*Ramure*Pc/MaxiM</f>
        <v>1.961996887118982E-4</v>
      </c>
      <c r="AE246" s="304">
        <f t="shared" si="88"/>
        <v>0.5</v>
      </c>
      <c r="AF246" s="176">
        <f t="shared" si="89"/>
        <v>0.71946438328263262</v>
      </c>
      <c r="AG246" s="814">
        <f t="shared" si="95"/>
        <v>0</v>
      </c>
      <c r="AH246" s="175">
        <f t="shared" si="90"/>
        <v>6</v>
      </c>
      <c r="AI246" s="224">
        <f t="shared" si="91"/>
        <v>0.71946438328263262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44429</v>
      </c>
      <c r="B247" s="616">
        <v>47.791000000000004</v>
      </c>
      <c r="C247" s="389"/>
      <c r="D247" s="392">
        <f t="shared" si="74"/>
        <v>48.980884597862925</v>
      </c>
      <c r="E247" s="384">
        <f t="shared" si="96"/>
        <v>49.740533164206624</v>
      </c>
      <c r="F247" s="384">
        <f t="shared" si="75"/>
        <v>49.749448002577971</v>
      </c>
      <c r="G247" s="110">
        <f t="shared" si="97"/>
        <v>0.91991160726389709</v>
      </c>
      <c r="H247" s="413" t="b">
        <f>Wh_hp&gt;='2020'!Maxi_hp</f>
        <v>0</v>
      </c>
      <c r="I247" s="379">
        <f>IF(H247,Wh_hp,'2020'!Maxi_hp)</f>
        <v>53.054891406226311</v>
      </c>
      <c r="J247" s="85">
        <f>IF(H247,An,'2020'!An_max)</f>
        <v>2020</v>
      </c>
      <c r="K247" s="196">
        <f t="shared" si="76"/>
        <v>44429</v>
      </c>
      <c r="L247" s="147">
        <f>IF(t&lt;Tvie,1-EXP((T0-t)*PertePVj)+'2020'!Pspv,1-EXP((T0-t)*PertePVj)+Pspv)</f>
        <v>2.4292836024338273E-2</v>
      </c>
      <c r="M247" s="847"/>
      <c r="N247" s="847"/>
      <c r="O247" s="48">
        <f>IF(t&lt;Tnet,'2020'!Resal+('2020'!Salim-'2020'!Resal)*(1-EXP(('2020'!Tnet-t)/('2020'!Tau_j))),Resal+(Salim-Resal)*(1-EXP((Tnet-t)/(Tau_j))))*Salcycl</f>
        <v>1.5272224039816722E-2</v>
      </c>
      <c r="P247" s="168">
        <f>(INDEX(Models!$BJ247:$BT247,,T247)*(1-R247)+INDEX(Models!$BJ247:$BT247,,T247+1)*R247-ERP_i)*Q247*Ramure*Pc/MaxiM</f>
        <v>2.0233851624682286E-4</v>
      </c>
      <c r="Q247" s="304">
        <f t="shared" si="77"/>
        <v>0.5</v>
      </c>
      <c r="R247" s="176">
        <f t="shared" si="78"/>
        <v>0.72005425797283129</v>
      </c>
      <c r="S247" s="814">
        <f t="shared" si="79"/>
        <v>0</v>
      </c>
      <c r="T247" s="175">
        <f t="shared" si="80"/>
        <v>6</v>
      </c>
      <c r="U247" s="250">
        <f t="shared" si="81"/>
        <v>0.72005425797283129</v>
      </c>
      <c r="V247" s="382">
        <f t="shared" si="82"/>
        <v>51.950528028129447</v>
      </c>
      <c r="W247" s="401"/>
      <c r="X247" s="157">
        <f t="shared" si="83"/>
        <v>44429</v>
      </c>
      <c r="Y247" s="384">
        <f t="shared" si="84"/>
        <v>45.935001574813647</v>
      </c>
      <c r="Z247" s="384">
        <f t="shared" si="85"/>
        <v>47.078676134389298</v>
      </c>
      <c r="AA247" s="385">
        <f t="shared" si="86"/>
        <v>49.740533164206624</v>
      </c>
      <c r="AB247" s="196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5.3514847157545266E-2</v>
      </c>
      <c r="AD247" s="230">
        <f>(INDEX(Models!$BJ247:$BT247,,AH247)*(1-AF247)+INDEX(Models!$BJ247:$BT247,,AH247+1)*AF247-ERP_i)*AE247*Ramure*Pc/MaxiM</f>
        <v>2.0233851624682286E-4</v>
      </c>
      <c r="AE247" s="304">
        <f t="shared" si="88"/>
        <v>0.5</v>
      </c>
      <c r="AF247" s="176">
        <f t="shared" si="89"/>
        <v>0.72005425797283129</v>
      </c>
      <c r="AG247" s="814">
        <f t="shared" si="95"/>
        <v>0</v>
      </c>
      <c r="AH247" s="175">
        <f t="shared" si="90"/>
        <v>6</v>
      </c>
      <c r="AI247" s="224">
        <f t="shared" si="91"/>
        <v>0.72005425797283129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44430</v>
      </c>
      <c r="B248" s="616">
        <v>18.762</v>
      </c>
      <c r="C248" s="389"/>
      <c r="D248" s="392">
        <f t="shared" si="74"/>
        <v>19.229550763037427</v>
      </c>
      <c r="E248" s="384">
        <f t="shared" si="96"/>
        <v>19.529197864524903</v>
      </c>
      <c r="F248" s="384">
        <f t="shared" si="75"/>
        <v>19.52956050016321</v>
      </c>
      <c r="G248" s="110">
        <f t="shared" si="97"/>
        <v>0.36196668802995285</v>
      </c>
      <c r="H248" s="413" t="b">
        <f>Wh_hp&gt;='2020'!Maxi_hp</f>
        <v>0</v>
      </c>
      <c r="I248" s="379">
        <f>IF(H248,Wh_hp,'2020'!Maxi_hp)</f>
        <v>55.9528605164124</v>
      </c>
      <c r="J248" s="85">
        <f>IF(H248,An,'2020'!An_max)</f>
        <v>2019</v>
      </c>
      <c r="K248" s="196">
        <f t="shared" si="76"/>
        <v>44430</v>
      </c>
      <c r="L248" s="147">
        <f>IF(t&lt;Tvie,1-EXP((T0-t)*PertePVj)+'2020'!Pspv,1-EXP((T0-t)*PertePVj)+Pspv)</f>
        <v>2.4314180232236061E-2</v>
      </c>
      <c r="M248" s="847"/>
      <c r="N248" s="847"/>
      <c r="O248" s="48">
        <f>IF(t&lt;Tnet,'2020'!Resal+('2020'!Salim-'2020'!Resal)*(1-EXP(('2020'!Tnet-t)/('2020'!Tau_j))),Resal+(Salim-Resal)*(1-EXP((Tnet-t)/(Tau_j))))*Salcycl</f>
        <v>1.5343543732115586E-2</v>
      </c>
      <c r="P248" s="168">
        <f>(INDEX(Models!$BJ248:$BT248,,T248)*(1-R248)+INDEX(Models!$BJ248:$BT248,,T248+1)*R248-ERP_i)*Q248*Ramure*Pc/MaxiM</f>
        <v>2.0952387215739392E-4</v>
      </c>
      <c r="Q248" s="304">
        <f t="shared" si="77"/>
        <v>0.5</v>
      </c>
      <c r="R248" s="176">
        <f t="shared" si="78"/>
        <v>0.72062268258380224</v>
      </c>
      <c r="S248" s="814">
        <f t="shared" si="79"/>
        <v>0</v>
      </c>
      <c r="T248" s="175">
        <f t="shared" si="80"/>
        <v>6</v>
      </c>
      <c r="U248" s="250">
        <f t="shared" si="81"/>
        <v>0.72062268258380224</v>
      </c>
      <c r="V248" s="382">
        <f t="shared" si="82"/>
        <v>51.82360103862252</v>
      </c>
      <c r="W248" s="401"/>
      <c r="X248" s="157">
        <f t="shared" si="83"/>
        <v>44430</v>
      </c>
      <c r="Y248" s="384">
        <f t="shared" si="84"/>
        <v>18.034125840958218</v>
      </c>
      <c r="Z248" s="384">
        <f t="shared" si="85"/>
        <v>18.483537913106868</v>
      </c>
      <c r="AA248" s="385">
        <f t="shared" si="86"/>
        <v>19.529197864524903</v>
      </c>
      <c r="AB248" s="196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5.3543415283711718E-2</v>
      </c>
      <c r="AD248" s="230">
        <f>(INDEX(Models!$BJ248:$BT248,,AH248)*(1-AF248)+INDEX(Models!$BJ248:$BT248,,AH248+1)*AF248-ERP_i)*AE248*Ramure*Pc/MaxiM</f>
        <v>2.0952387215739392E-4</v>
      </c>
      <c r="AE248" s="304">
        <f t="shared" si="88"/>
        <v>0.5</v>
      </c>
      <c r="AF248" s="176">
        <f t="shared" si="89"/>
        <v>0.72062268258380224</v>
      </c>
      <c r="AG248" s="814">
        <f t="shared" si="95"/>
        <v>0</v>
      </c>
      <c r="AH248" s="175">
        <f t="shared" si="90"/>
        <v>6</v>
      </c>
      <c r="AI248" s="224">
        <f t="shared" si="91"/>
        <v>0.72062268258380224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44431</v>
      </c>
      <c r="B249" s="616">
        <v>46.919000000000004</v>
      </c>
      <c r="C249" s="389"/>
      <c r="D249" s="392">
        <f t="shared" si="74"/>
        <v>48.089277772048675</v>
      </c>
      <c r="E249" s="384">
        <f t="shared" si="96"/>
        <v>48.842166435981369</v>
      </c>
      <c r="F249" s="384">
        <f t="shared" si="75"/>
        <v>48.851369213082776</v>
      </c>
      <c r="G249" s="110">
        <f t="shared" si="97"/>
        <v>0.90756115886756872</v>
      </c>
      <c r="H249" s="413" t="b">
        <f>Wh_hp&gt;='2020'!Maxi_hp</f>
        <v>0</v>
      </c>
      <c r="I249" s="379">
        <f>IF(H249,Wh_hp,'2020'!Maxi_hp)</f>
        <v>53.332836013800012</v>
      </c>
      <c r="J249" s="85">
        <f>IF(H249,An,'2020'!An_max)</f>
        <v>2019</v>
      </c>
      <c r="K249" s="196">
        <f t="shared" si="76"/>
        <v>44431</v>
      </c>
      <c r="L249" s="147">
        <f>IF(t&lt;Tvie,1-EXP((T0-t)*PertePVj)+'2020'!Pspv,1-EXP((T0-t)*PertePVj)+Pspv)</f>
        <v>2.4335523972640806E-2</v>
      </c>
      <c r="M249" s="847"/>
      <c r="N249" s="847"/>
      <c r="O249" s="48">
        <f>IF(t&lt;Tnet,'2020'!Resal+('2020'!Salim-'2020'!Resal)*(1-EXP(('2020'!Tnet-t)/('2020'!Tau_j))),Resal+(Salim-Resal)*(1-EXP((Tnet-t)/(Tau_j))))*Salcycl</f>
        <v>1.541472704572845E-2</v>
      </c>
      <c r="P249" s="168">
        <f>(INDEX(Models!$BJ249:$BT249,,T249)*(1-R249)+INDEX(Models!$BJ249:$BT249,,T249+1)*R249-ERP_i)*Q249*Ramure*Pc/MaxiM</f>
        <v>2.1703591614079091E-4</v>
      </c>
      <c r="Q249" s="304">
        <f t="shared" si="77"/>
        <v>0.5</v>
      </c>
      <c r="R249" s="176">
        <f t="shared" si="78"/>
        <v>0.72117035195443402</v>
      </c>
      <c r="S249" s="814">
        <f t="shared" si="79"/>
        <v>0</v>
      </c>
      <c r="T249" s="175">
        <f t="shared" si="80"/>
        <v>6</v>
      </c>
      <c r="U249" s="250">
        <f t="shared" si="81"/>
        <v>0.72117035195443402</v>
      </c>
      <c r="V249" s="382">
        <f t="shared" si="82"/>
        <v>51.696411785959263</v>
      </c>
      <c r="W249" s="401"/>
      <c r="X249" s="157">
        <f t="shared" si="83"/>
        <v>44431</v>
      </c>
      <c r="Y249" s="384">
        <f t="shared" si="84"/>
        <v>45.1006808662531</v>
      </c>
      <c r="Z249" s="384">
        <f t="shared" si="85"/>
        <v>46.225605189491809</v>
      </c>
      <c r="AA249" s="385">
        <f t="shared" si="86"/>
        <v>48.842166435981369</v>
      </c>
      <c r="AB249" s="196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5.3571768769084961E-2</v>
      </c>
      <c r="AD249" s="230">
        <f>(INDEX(Models!$BJ249:$BT249,,AH249)*(1-AF249)+INDEX(Models!$BJ249:$BT249,,AH249+1)*AF249-ERP_i)*AE249*Ramure*Pc/MaxiM</f>
        <v>2.1703591614079091E-4</v>
      </c>
      <c r="AE249" s="304">
        <f t="shared" si="88"/>
        <v>0.5</v>
      </c>
      <c r="AF249" s="176">
        <f t="shared" si="89"/>
        <v>0.72117035195443402</v>
      </c>
      <c r="AG249" s="814">
        <f t="shared" si="95"/>
        <v>0</v>
      </c>
      <c r="AH249" s="175">
        <f t="shared" si="90"/>
        <v>6</v>
      </c>
      <c r="AI249" s="224">
        <f t="shared" si="91"/>
        <v>0.72117035195443402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16">
        <v>45.497</v>
      </c>
      <c r="C250" s="389"/>
      <c r="D250" s="392">
        <f t="shared" si="74"/>
        <v>46.632829640847071</v>
      </c>
      <c r="E250" s="384">
        <f t="shared" si="96"/>
        <v>47.366333855202441</v>
      </c>
      <c r="F250" s="384">
        <f t="shared" si="75"/>
        <v>47.375195657964063</v>
      </c>
      <c r="G250" s="110">
        <f t="shared" si="97"/>
        <v>0.88223282552698123</v>
      </c>
      <c r="H250" s="413" t="b">
        <f>Wh_hp&gt;='2020'!Maxi_hp</f>
        <v>0</v>
      </c>
      <c r="I250" s="379">
        <f>IF(H250,Wh_hp,'2020'!Maxi_hp)</f>
        <v>53.598539486969429</v>
      </c>
      <c r="J250" s="85">
        <f>IF(H250,An,'2020'!An_max)</f>
        <v>2019</v>
      </c>
      <c r="K250" s="196">
        <f t="shared" si="76"/>
        <v>44432</v>
      </c>
      <c r="L250" s="147">
        <f>IF(t&lt;Tvie,1-EXP((T0-t)*PertePVj)+'2020'!Pspv,1-EXP((T0-t)*PertePVj)+Pspv)</f>
        <v>2.4356867245563053E-2</v>
      </c>
      <c r="M250" s="847"/>
      <c r="N250" s="847"/>
      <c r="O250" s="48">
        <f>IF(t&lt;Tnet,'2020'!Resal+('2020'!Salim-'2020'!Resal)*(1-EXP(('2020'!Tnet-t)/('2020'!Tau_j))),Resal+(Salim-Resal)*(1-EXP((Tnet-t)/(Tau_j))))*Salcycl</f>
        <v>1.5485771320146417E-2</v>
      </c>
      <c r="P250" s="168">
        <f>(INDEX(Models!$BJ250:$BT250,,T250)*(1-R250)+INDEX(Models!$BJ250:$BT250,,T250+1)*R250-ERP_i)*Q250*Ramure*Pc/MaxiM</f>
        <v>2.2487828556635517E-4</v>
      </c>
      <c r="Q250" s="304">
        <f t="shared" si="77"/>
        <v>0.5</v>
      </c>
      <c r="R250" s="176">
        <f t="shared" si="78"/>
        <v>0.72169794488423256</v>
      </c>
      <c r="S250" s="814">
        <f t="shared" si="79"/>
        <v>0</v>
      </c>
      <c r="T250" s="175">
        <f t="shared" si="80"/>
        <v>6</v>
      </c>
      <c r="U250" s="250">
        <f t="shared" si="81"/>
        <v>0.72169794488423256</v>
      </c>
      <c r="V250" s="382">
        <f t="shared" si="82"/>
        <v>51.568336101053568</v>
      </c>
      <c r="W250" s="401"/>
      <c r="X250" s="157">
        <f t="shared" si="83"/>
        <v>44432</v>
      </c>
      <c r="Y250" s="384">
        <f t="shared" si="84"/>
        <v>43.735645542655455</v>
      </c>
      <c r="Z250" s="384">
        <f t="shared" si="85"/>
        <v>44.82750308422807</v>
      </c>
      <c r="AA250" s="385">
        <f t="shared" si="86"/>
        <v>47.366333855202441</v>
      </c>
      <c r="AB250" s="196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5.3599900273800086E-2</v>
      </c>
      <c r="AD250" s="230">
        <f>(INDEX(Models!$BJ250:$BT250,,AH250)*(1-AF250)+INDEX(Models!$BJ250:$BT250,,AH250+1)*AF250-ERP_i)*AE250*Ramure*Pc/MaxiM</f>
        <v>2.2487828556635517E-4</v>
      </c>
      <c r="AE250" s="304">
        <f t="shared" si="88"/>
        <v>0.5</v>
      </c>
      <c r="AF250" s="176">
        <f t="shared" si="89"/>
        <v>0.72169794488423256</v>
      </c>
      <c r="AG250" s="814">
        <f t="shared" si="95"/>
        <v>0</v>
      </c>
      <c r="AH250" s="175">
        <f t="shared" si="90"/>
        <v>6</v>
      </c>
      <c r="AI250" s="224">
        <f t="shared" si="91"/>
        <v>0.72169794488423256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16">
        <v>47.905000000000001</v>
      </c>
      <c r="C251" s="389"/>
      <c r="D251" s="392">
        <f t="shared" si="74"/>
        <v>49.102019341434378</v>
      </c>
      <c r="E251" s="384">
        <f t="shared" si="96"/>
        <v>49.877954407057125</v>
      </c>
      <c r="F251" s="384">
        <f t="shared" si="75"/>
        <v>49.888440108684854</v>
      </c>
      <c r="G251" s="110">
        <f t="shared" si="97"/>
        <v>0.93128048472768332</v>
      </c>
      <c r="H251" s="413" t="b">
        <f>Wh_hp&gt;='2020'!Maxi_hp</f>
        <v>0</v>
      </c>
      <c r="I251" s="379">
        <f>IF(H251,Wh_hp,'2020'!Maxi_hp)</f>
        <v>49.950195766823477</v>
      </c>
      <c r="J251" s="85">
        <f>IF(H251,An,'2020'!An_max)</f>
        <v>2020</v>
      </c>
      <c r="K251" s="196">
        <f t="shared" si="76"/>
        <v>44433</v>
      </c>
      <c r="L251" s="147">
        <f>IF(t&lt;Tvie,1-EXP((T0-t)*PertePVj)+'2020'!Pspv,1-EXP((T0-t)*PertePVj)+Pspv)</f>
        <v>2.4378210051012685E-2</v>
      </c>
      <c r="M251" s="847"/>
      <c r="N251" s="847"/>
      <c r="O251" s="48">
        <f>IF(t&lt;Tnet,'2020'!Resal+('2020'!Salim-'2020'!Resal)*(1-EXP(('2020'!Tnet-t)/('2020'!Tau_j))),Resal+(Salim-Resal)*(1-EXP((Tnet-t)/(Tau_j))))*Salcycl</f>
        <v>1.5556673781973729E-2</v>
      </c>
      <c r="P251" s="168">
        <f>(INDEX(Models!$BJ251:$BT251,,T251)*(1-R251)+INDEX(Models!$BJ251:$BT251,,T251+1)*R251-ERP_i)*Q251*Ramure*Pc/MaxiM</f>
        <v>2.3305508870221782E-4</v>
      </c>
      <c r="Q251" s="304">
        <f t="shared" si="77"/>
        <v>0.5</v>
      </c>
      <c r="R251" s="176">
        <f t="shared" si="78"/>
        <v>0.72220612398501127</v>
      </c>
      <c r="S251" s="814">
        <f t="shared" si="79"/>
        <v>0</v>
      </c>
      <c r="T251" s="175">
        <f t="shared" si="80"/>
        <v>6</v>
      </c>
      <c r="U251" s="250">
        <f t="shared" si="81"/>
        <v>0.72220612398501127</v>
      </c>
      <c r="V251" s="382">
        <f t="shared" si="82"/>
        <v>51.438750051645791</v>
      </c>
      <c r="W251" s="401"/>
      <c r="X251" s="157">
        <f t="shared" si="83"/>
        <v>44433</v>
      </c>
      <c r="Y251" s="384">
        <f t="shared" si="84"/>
        <v>46.052382020601712</v>
      </c>
      <c r="Z251" s="384">
        <f t="shared" si="85"/>
        <v>47.203109335032039</v>
      </c>
      <c r="AA251" s="385">
        <f t="shared" si="86"/>
        <v>49.877954407057125</v>
      </c>
      <c r="AB251" s="196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5.3627802178804522E-2</v>
      </c>
      <c r="AD251" s="230">
        <f>(INDEX(Models!$BJ251:$BT251,,AH251)*(1-AF251)+INDEX(Models!$BJ251:$BT251,,AH251+1)*AF251-ERP_i)*AE251*Ramure*Pc/MaxiM</f>
        <v>2.3305508870221782E-4</v>
      </c>
      <c r="AE251" s="304">
        <f t="shared" si="88"/>
        <v>0.5</v>
      </c>
      <c r="AF251" s="176">
        <f t="shared" si="89"/>
        <v>0.72220612398501127</v>
      </c>
      <c r="AG251" s="814">
        <f t="shared" si="95"/>
        <v>0</v>
      </c>
      <c r="AH251" s="175">
        <f t="shared" si="90"/>
        <v>6</v>
      </c>
      <c r="AI251" s="224">
        <f t="shared" si="91"/>
        <v>0.72220612398501127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44434</v>
      </c>
      <c r="B252" s="616">
        <v>50.039000000000001</v>
      </c>
      <c r="C252" s="389"/>
      <c r="D252" s="392">
        <f t="shared" si="74"/>
        <v>51.290464372513284</v>
      </c>
      <c r="E252" s="384">
        <f t="shared" si="96"/>
        <v>52.104727433632227</v>
      </c>
      <c r="F252" s="384">
        <f t="shared" si="75"/>
        <v>52.116872838823433</v>
      </c>
      <c r="G252" s="110">
        <f t="shared" si="97"/>
        <v>0.97527713378629755</v>
      </c>
      <c r="H252" s="413" t="b">
        <f>Wh_hp&gt;='2020'!Maxi_hp</f>
        <v>0</v>
      </c>
      <c r="I252" s="379">
        <f>IF(H252,Wh_hp,'2020'!Maxi_hp)</f>
        <v>53.423762617483668</v>
      </c>
      <c r="J252" s="85">
        <f>IF(H252,An,'2020'!An_max)</f>
        <v>2018</v>
      </c>
      <c r="K252" s="196">
        <f t="shared" si="76"/>
        <v>44434</v>
      </c>
      <c r="L252" s="147">
        <f>IF(t&lt;Tvie,1-EXP((T0-t)*PertePVj)+'2020'!Pspv,1-EXP((T0-t)*PertePVj)+Pspv)</f>
        <v>2.4399552389000136E-2</v>
      </c>
      <c r="M252" s="847"/>
      <c r="N252" s="847"/>
      <c r="O252" s="48">
        <f>IF(t&lt;Tnet,'2020'!Resal+('2020'!Salim-'2020'!Resal)*(1-EXP(('2020'!Tnet-t)/('2020'!Tau_j))),Resal+(Salim-Resal)*(1-EXP((Tnet-t)/(Tau_j))))*Salcycl</f>
        <v>1.5627431544596473E-2</v>
      </c>
      <c r="P252" s="168">
        <f>(INDEX(Models!$BJ252:$BT252,,T252)*(1-R252)+INDEX(Models!$BJ252:$BT252,,T252+1)*R252-ERP_i)*Q252*Ramure*Pc/MaxiM</f>
        <v>2.4157072595220016E-4</v>
      </c>
      <c r="Q252" s="304">
        <f t="shared" si="77"/>
        <v>0.5</v>
      </c>
      <c r="R252" s="176">
        <f t="shared" si="78"/>
        <v>0.72269553558585353</v>
      </c>
      <c r="S252" s="814">
        <f t="shared" si="79"/>
        <v>0</v>
      </c>
      <c r="T252" s="175">
        <f t="shared" si="80"/>
        <v>6</v>
      </c>
      <c r="U252" s="250">
        <f t="shared" si="81"/>
        <v>0.72269553558585353</v>
      </c>
      <c r="V252" s="382">
        <f t="shared" si="82"/>
        <v>51.307029954500798</v>
      </c>
      <c r="W252" s="401"/>
      <c r="X252" s="157">
        <f t="shared" si="83"/>
        <v>44434</v>
      </c>
      <c r="Y252" s="384">
        <f t="shared" si="84"/>
        <v>48.105905858004391</v>
      </c>
      <c r="Z252" s="384">
        <f t="shared" si="85"/>
        <v>49.309023971651158</v>
      </c>
      <c r="AA252" s="385">
        <f t="shared" si="86"/>
        <v>52.104727433632227</v>
      </c>
      <c r="AB252" s="196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5.3655466589707448E-2</v>
      </c>
      <c r="AD252" s="230">
        <f>(INDEX(Models!$BJ252:$BT252,,AH252)*(1-AF252)+INDEX(Models!$BJ252:$BT252,,AH252+1)*AF252-ERP_i)*AE252*Ramure*Pc/MaxiM</f>
        <v>2.4157072595220016E-4</v>
      </c>
      <c r="AE252" s="304">
        <f t="shared" si="88"/>
        <v>0.5</v>
      </c>
      <c r="AF252" s="176">
        <f t="shared" si="89"/>
        <v>0.72269553558585353</v>
      </c>
      <c r="AG252" s="814">
        <f t="shared" si="95"/>
        <v>0</v>
      </c>
      <c r="AH252" s="175">
        <f t="shared" si="90"/>
        <v>6</v>
      </c>
      <c r="AI252" s="224">
        <f t="shared" si="91"/>
        <v>0.72269553558585353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44435</v>
      </c>
      <c r="B253" s="616">
        <v>45.731000000000002</v>
      </c>
      <c r="C253" s="389"/>
      <c r="D253" s="392">
        <f t="shared" si="74"/>
        <v>46.875747677365624</v>
      </c>
      <c r="E253" s="384">
        <f t="shared" si="96"/>
        <v>47.623340863675743</v>
      </c>
      <c r="F253" s="384">
        <f t="shared" si="75"/>
        <v>47.633457596500904</v>
      </c>
      <c r="G253" s="110">
        <f t="shared" si="97"/>
        <v>0.89362866958682052</v>
      </c>
      <c r="H253" s="413" t="b">
        <f>Wh_hp&gt;='2020'!Maxi_hp</f>
        <v>0</v>
      </c>
      <c r="I253" s="379">
        <f>IF(H253,Wh_hp,'2020'!Maxi_hp)</f>
        <v>52.471560857407106</v>
      </c>
      <c r="J253" s="85">
        <f>IF(H253,An,'2020'!An_max)</f>
        <v>2018</v>
      </c>
      <c r="K253" s="196">
        <f t="shared" si="76"/>
        <v>44435</v>
      </c>
      <c r="L253" s="147">
        <f>IF(t&lt;Tvie,1-EXP((T0-t)*PertePVj)+'2020'!Pspv,1-EXP((T0-t)*PertePVj)+Pspv)</f>
        <v>2.4420894259535732E-2</v>
      </c>
      <c r="M253" s="847"/>
      <c r="N253" s="847"/>
      <c r="O253" s="48">
        <f>IF(t&lt;Tnet,'2020'!Resal+('2020'!Salim-'2020'!Resal)*(1-EXP(('2020'!Tnet-t)/('2020'!Tau_j))),Resal+(Salim-Resal)*(1-EXP((Tnet-t)/(Tau_j))))*Salcycl</f>
        <v>1.5698041606323758E-2</v>
      </c>
      <c r="P253" s="168">
        <f>(INDEX(Models!$BJ253:$BT253,,T253)*(1-R253)+INDEX(Models!$BJ253:$BT253,,T253+1)*R253-ERP_i)*Q253*Ramure*Pc/MaxiM</f>
        <v>2.5043006692549374E-4</v>
      </c>
      <c r="Q253" s="304">
        <f t="shared" si="77"/>
        <v>0.5</v>
      </c>
      <c r="R253" s="176">
        <f t="shared" si="78"/>
        <v>0.72316680968700187</v>
      </c>
      <c r="S253" s="814">
        <f t="shared" si="79"/>
        <v>0</v>
      </c>
      <c r="T253" s="175">
        <f t="shared" si="80"/>
        <v>6</v>
      </c>
      <c r="U253" s="250">
        <f t="shared" si="81"/>
        <v>0.72316680968700187</v>
      </c>
      <c r="V253" s="382">
        <f t="shared" si="82"/>
        <v>51.172552363962176</v>
      </c>
      <c r="W253" s="401"/>
      <c r="X253" s="157">
        <f t="shared" si="83"/>
        <v>44435</v>
      </c>
      <c r="Y253" s="384">
        <f t="shared" si="84"/>
        <v>43.966211386347659</v>
      </c>
      <c r="Z253" s="384">
        <f t="shared" si="85"/>
        <v>45.066782516808125</v>
      </c>
      <c r="AA253" s="385">
        <f t="shared" si="86"/>
        <v>47.623340863675743</v>
      </c>
      <c r="AB253" s="196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5.3682885335279075E-2</v>
      </c>
      <c r="AD253" s="230">
        <f>(INDEX(Models!$BJ253:$BT253,,AH253)*(1-AF253)+INDEX(Models!$BJ253:$BT253,,AH253+1)*AF253-ERP_i)*AE253*Ramure*Pc/MaxiM</f>
        <v>2.5043006692549374E-4</v>
      </c>
      <c r="AE253" s="304">
        <f t="shared" si="88"/>
        <v>0.5</v>
      </c>
      <c r="AF253" s="176">
        <f t="shared" si="89"/>
        <v>0.72316680968700187</v>
      </c>
      <c r="AG253" s="814">
        <f t="shared" si="95"/>
        <v>0</v>
      </c>
      <c r="AH253" s="175">
        <f t="shared" si="90"/>
        <v>6</v>
      </c>
      <c r="AI253" s="224">
        <f t="shared" si="91"/>
        <v>0.72316680968700187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16">
        <v>51.667999999999999</v>
      </c>
      <c r="C254" s="389"/>
      <c r="D254" s="392">
        <f t="shared" si="74"/>
        <v>52.962522455135733</v>
      </c>
      <c r="E254" s="384">
        <f t="shared" si="96"/>
        <v>53.811041915155386</v>
      </c>
      <c r="F254" s="384">
        <f t="shared" si="75"/>
        <v>53.825007614477727</v>
      </c>
      <c r="G254" s="110">
        <f t="shared" si="97"/>
        <v>1.0124091456577242</v>
      </c>
      <c r="H254" s="413" t="b">
        <f>Wh_hp&gt;='2020'!Maxi_hp</f>
        <v>1</v>
      </c>
      <c r="I254" s="379">
        <f>IF(H254,Wh_hp,'2020'!Maxi_hp)</f>
        <v>53.825007614477727</v>
      </c>
      <c r="J254" s="85">
        <f>IF(H254,An,'2020'!An_max)</f>
        <v>2021</v>
      </c>
      <c r="K254" s="196">
        <f t="shared" si="76"/>
        <v>44436</v>
      </c>
      <c r="L254" s="147">
        <f>IF(t&lt;Tvie,1-EXP((T0-t)*PertePVj)+'2020'!Pspv,1-EXP((T0-t)*PertePVj)+Pspv)</f>
        <v>2.4442235662629465E-2</v>
      </c>
      <c r="M254" s="847"/>
      <c r="N254" s="847"/>
      <c r="O254" s="48">
        <f>IF(t&lt;Tnet,'2020'!Resal+('2020'!Salim-'2020'!Resal)*(1-EXP(('2020'!Tnet-t)/('2020'!Tau_j))),Resal+(Salim-Resal)*(1-EXP((Tnet-t)/(Tau_j))))*Salcycl</f>
        <v>1.576850084704785E-2</v>
      </c>
      <c r="P254" s="168">
        <f>(INDEX(Models!$BJ254:$BT254,,T254)*(1-R254)+INDEX(Models!$BJ254:$BT254,,T254+1)*R254-ERP_i)*Q254*Ramure*Pc/MaxiM</f>
        <v>2.5946488335623218E-4</v>
      </c>
      <c r="Q254" s="304">
        <f t="shared" si="77"/>
        <v>0.5</v>
      </c>
      <c r="R254" s="176">
        <f t="shared" si="78"/>
        <v>0.72362055995853769</v>
      </c>
      <c r="S254" s="814">
        <f t="shared" si="79"/>
        <v>0</v>
      </c>
      <c r="T254" s="175">
        <f t="shared" si="80"/>
        <v>6</v>
      </c>
      <c r="U254" s="250">
        <f t="shared" si="81"/>
        <v>0.72362055995853769</v>
      </c>
      <c r="V254" s="382">
        <f t="shared" si="82"/>
        <v>51.034702937648035</v>
      </c>
      <c r="W254" s="401"/>
      <c r="X254" s="157">
        <f t="shared" si="83"/>
        <v>44436</v>
      </c>
      <c r="Y254" s="384">
        <f t="shared" si="84"/>
        <v>49.676228794443098</v>
      </c>
      <c r="Z254" s="384">
        <f t="shared" si="85"/>
        <v>50.92084816544385</v>
      </c>
      <c r="AA254" s="385">
        <f t="shared" si="86"/>
        <v>53.811041915155386</v>
      </c>
      <c r="AB254" s="196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5.3710049960908467E-2</v>
      </c>
      <c r="AD254" s="230">
        <f>(INDEX(Models!$BJ254:$BT254,,AH254)*(1-AF254)+INDEX(Models!$BJ254:$BT254,,AH254+1)*AF254-ERP_i)*AE254*Ramure*Pc/MaxiM</f>
        <v>2.5946488335623218E-4</v>
      </c>
      <c r="AE254" s="304">
        <f t="shared" si="88"/>
        <v>0.5</v>
      </c>
      <c r="AF254" s="176">
        <f t="shared" si="89"/>
        <v>0.72362055995853769</v>
      </c>
      <c r="AG254" s="814">
        <f t="shared" si="95"/>
        <v>0</v>
      </c>
      <c r="AH254" s="175">
        <f t="shared" si="90"/>
        <v>6</v>
      </c>
      <c r="AI254" s="224">
        <f t="shared" si="91"/>
        <v>0.72362055995853769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16">
        <v>51.247999999999998</v>
      </c>
      <c r="C255" s="389"/>
      <c r="D255" s="392">
        <f t="shared" si="74"/>
        <v>52.533148707351749</v>
      </c>
      <c r="E255" s="384">
        <f t="shared" si="96"/>
        <v>53.378602030721929</v>
      </c>
      <c r="F255" s="384">
        <f t="shared" si="75"/>
        <v>53.392910497519651</v>
      </c>
      <c r="G255" s="110">
        <f t="shared" si="97"/>
        <v>1.0069775142298514</v>
      </c>
      <c r="H255" s="413" t="b">
        <f>Wh_hp&gt;='2020'!Maxi_hp</f>
        <v>1</v>
      </c>
      <c r="I255" s="379">
        <f>IF(H255,Wh_hp,'2020'!Maxi_hp)</f>
        <v>53.392910497519651</v>
      </c>
      <c r="J255" s="85">
        <f>IF(H255,An,'2020'!An_max)</f>
        <v>2021</v>
      </c>
      <c r="K255" s="196">
        <f t="shared" si="76"/>
        <v>44437</v>
      </c>
      <c r="L255" s="147">
        <f>IF(t&lt;Tvie,1-EXP((T0-t)*PertePVj)+'2020'!Pspv,1-EXP((T0-t)*PertePVj)+Pspv)</f>
        <v>2.4463576598291771E-2</v>
      </c>
      <c r="M255" s="847"/>
      <c r="N255" s="847"/>
      <c r="O255" s="48">
        <f>IF(t&lt;Tnet,'2020'!Resal+('2020'!Salim-'2020'!Resal)*(1-EXP(('2020'!Tnet-t)/('2020'!Tau_j))),Resal+(Salim-Resal)*(1-EXP((Tnet-t)/(Tau_j))))*Salcycl</f>
        <v>1.5838806023499404E-2</v>
      </c>
      <c r="P255" s="168">
        <f>(INDEX(Models!$BJ255:$BT255,,T255)*(1-R255)+INDEX(Models!$BJ255:$BT255,,T255+1)*R255-ERP_i)*Q255*Ramure*Pc/MaxiM</f>
        <v>2.6798439463963735E-4</v>
      </c>
      <c r="Q255" s="304">
        <f t="shared" si="77"/>
        <v>0.5</v>
      </c>
      <c r="R255" s="176">
        <f t="shared" si="78"/>
        <v>0.72405738377991447</v>
      </c>
      <c r="S255" s="814">
        <f t="shared" si="79"/>
        <v>0</v>
      </c>
      <c r="T255" s="175">
        <f t="shared" si="80"/>
        <v>6</v>
      </c>
      <c r="U255" s="250">
        <f t="shared" si="81"/>
        <v>0.72405738377991447</v>
      </c>
      <c r="V255" s="382">
        <f t="shared" si="82"/>
        <v>50.892894107168907</v>
      </c>
      <c r="W255" s="401"/>
      <c r="X255" s="157">
        <f t="shared" si="83"/>
        <v>44437</v>
      </c>
      <c r="Y255" s="384">
        <f t="shared" si="84"/>
        <v>49.274538556479328</v>
      </c>
      <c r="Z255" s="384">
        <f t="shared" si="85"/>
        <v>50.510198670653807</v>
      </c>
      <c r="AA255" s="385">
        <f t="shared" si="86"/>
        <v>53.378602030721929</v>
      </c>
      <c r="AB255" s="196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5.373695171741702E-2</v>
      </c>
      <c r="AD255" s="230">
        <f>(INDEX(Models!$BJ255:$BT255,,AH255)*(1-AF255)+INDEX(Models!$BJ255:$BT255,,AH255+1)*AF255-ERP_i)*AE255*Ramure*Pc/MaxiM</f>
        <v>2.6798439463963735E-4</v>
      </c>
      <c r="AE255" s="304">
        <f t="shared" si="88"/>
        <v>0.5</v>
      </c>
      <c r="AF255" s="176">
        <f t="shared" si="89"/>
        <v>0.72405738377991447</v>
      </c>
      <c r="AG255" s="814">
        <f t="shared" si="95"/>
        <v>0</v>
      </c>
      <c r="AH255" s="175">
        <f t="shared" si="90"/>
        <v>6</v>
      </c>
      <c r="AI255" s="224">
        <f t="shared" si="91"/>
        <v>0.72405738377991447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44438</v>
      </c>
      <c r="B256" s="616">
        <v>49.806000000000004</v>
      </c>
      <c r="C256" s="389"/>
      <c r="D256" s="392">
        <f t="shared" si="74"/>
        <v>51.056104484031756</v>
      </c>
      <c r="E256" s="384">
        <f t="shared" si="96"/>
        <v>51.881484624082589</v>
      </c>
      <c r="F256" s="384">
        <f t="shared" si="75"/>
        <v>51.895427977541566</v>
      </c>
      <c r="G256" s="110">
        <f t="shared" si="97"/>
        <v>0.98145946896827718</v>
      </c>
      <c r="H256" s="413" t="b">
        <f>Wh_hp&gt;='2020'!Maxi_hp</f>
        <v>1</v>
      </c>
      <c r="I256" s="379">
        <f>IF(H256,Wh_hp,'2020'!Maxi_hp)</f>
        <v>51.895427977541566</v>
      </c>
      <c r="J256" s="85">
        <f>IF(H256,An,'2020'!An_max)</f>
        <v>2021</v>
      </c>
      <c r="K256" s="196">
        <f t="shared" si="76"/>
        <v>44438</v>
      </c>
      <c r="L256" s="147">
        <f>IF(t&lt;Tvie,1-EXP((T0-t)*PertePVj)+'2020'!Pspv,1-EXP((T0-t)*PertePVj)+Pspv)</f>
        <v>2.4484917066532753E-2</v>
      </c>
      <c r="M256" s="847"/>
      <c r="N256" s="847"/>
      <c r="O256" s="48">
        <f>IF(t&lt;Tnet,'2020'!Resal+('2020'!Salim-'2020'!Resal)*(1-EXP(('2020'!Tnet-t)/('2020'!Tau_j))),Resal+(Salim-Resal)*(1-EXP((Tnet-t)/(Tau_j))))*Salcycl</f>
        <v>1.5908953763202557E-2</v>
      </c>
      <c r="P256" s="168">
        <f>(INDEX(Models!$BJ256:$BT256,,T256)*(1-R256)+INDEX(Models!$BJ256:$BT256,,T256+1)*R256-ERP_i)*Q256*Ramure*Pc/MaxiM</f>
        <v>2.7598887526550966E-4</v>
      </c>
      <c r="Q256" s="304">
        <f t="shared" si="77"/>
        <v>0.5</v>
      </c>
      <c r="R256" s="176">
        <f t="shared" si="78"/>
        <v>0.72447786231661937</v>
      </c>
      <c r="S256" s="814">
        <f t="shared" si="79"/>
        <v>0</v>
      </c>
      <c r="T256" s="175">
        <f t="shared" si="80"/>
        <v>6</v>
      </c>
      <c r="U256" s="250">
        <f t="shared" si="81"/>
        <v>0.72447786231661937</v>
      </c>
      <c r="V256" s="382">
        <f t="shared" si="82"/>
        <v>50.746503077662759</v>
      </c>
      <c r="W256" s="401"/>
      <c r="X256" s="157">
        <f t="shared" si="83"/>
        <v>44438</v>
      </c>
      <c r="Y256" s="384">
        <f t="shared" si="84"/>
        <v>47.890132968646299</v>
      </c>
      <c r="Z256" s="384">
        <f t="shared" si="85"/>
        <v>49.092150194783336</v>
      </c>
      <c r="AA256" s="385">
        <f t="shared" si="86"/>
        <v>51.881484624082589</v>
      </c>
      <c r="AB256" s="196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5.3763581545707768E-2</v>
      </c>
      <c r="AD256" s="230">
        <f>(INDEX(Models!$BJ256:$BT256,,AH256)*(1-AF256)+INDEX(Models!$BJ256:$BT256,,AH256+1)*AF256-ERP_i)*AE256*Ramure*Pc/MaxiM</f>
        <v>2.7598887526550966E-4</v>
      </c>
      <c r="AE256" s="304">
        <f t="shared" si="88"/>
        <v>0.5</v>
      </c>
      <c r="AF256" s="176">
        <f t="shared" si="89"/>
        <v>0.72447786231661937</v>
      </c>
      <c r="AG256" s="814">
        <f t="shared" si="95"/>
        <v>0</v>
      </c>
      <c r="AH256" s="175">
        <f t="shared" si="90"/>
        <v>6</v>
      </c>
      <c r="AI256" s="224">
        <f t="shared" si="91"/>
        <v>0.72447786231661937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16">
        <v>49.74</v>
      </c>
      <c r="C257" s="389"/>
      <c r="D257" s="392">
        <f t="shared" si="74"/>
        <v>50.989563347137533</v>
      </c>
      <c r="E257" s="384">
        <f t="shared" si="96"/>
        <v>51.817552945476102</v>
      </c>
      <c r="F257" s="384">
        <f t="shared" si="75"/>
        <v>51.83189151482037</v>
      </c>
      <c r="G257" s="110">
        <f t="shared" si="97"/>
        <v>0.98309616941616096</v>
      </c>
      <c r="H257" s="413" t="b">
        <f>Wh_hp&gt;='2020'!Maxi_hp</f>
        <v>1</v>
      </c>
      <c r="I257" s="379">
        <f>IF(H257,Wh_hp,'2020'!Maxi_hp)</f>
        <v>51.83189151482037</v>
      </c>
      <c r="J257" s="85">
        <f>IF(H257,An,'2020'!An_max)</f>
        <v>2021</v>
      </c>
      <c r="K257" s="196">
        <f t="shared" si="76"/>
        <v>44439</v>
      </c>
      <c r="L257" s="147">
        <f>IF(t&lt;Tvie,1-EXP((T0-t)*PertePVj)+'2020'!Pspv,1-EXP((T0-t)*PertePVj)+Pspv)</f>
        <v>2.4506257067362737E-2</v>
      </c>
      <c r="M257" s="847"/>
      <c r="N257" s="847"/>
      <c r="O257" s="48">
        <f>IF(t&lt;Tnet,'2020'!Resal+('2020'!Salim-'2020'!Resal)*(1-EXP(('2020'!Tnet-t)/('2020'!Tau_j))),Resal+(Salim-Resal)*(1-EXP((Tnet-t)/(Tau_j))))*Salcycl</f>
        <v>1.5978940557262594E-2</v>
      </c>
      <c r="P257" s="168">
        <f>(INDEX(Models!$BJ257:$BT257,,T257)*(1-R257)+INDEX(Models!$BJ257:$BT257,,T257+1)*R257-ERP_i)*Q257*Ramure*Pc/MaxiM</f>
        <v>2.8347885829227735E-4</v>
      </c>
      <c r="Q257" s="304">
        <f t="shared" si="77"/>
        <v>0.5</v>
      </c>
      <c r="R257" s="176">
        <f t="shared" si="78"/>
        <v>0.72488256063043943</v>
      </c>
      <c r="S257" s="814">
        <f t="shared" si="79"/>
        <v>0</v>
      </c>
      <c r="T257" s="175">
        <f t="shared" si="80"/>
        <v>6</v>
      </c>
      <c r="U257" s="250">
        <f t="shared" si="81"/>
        <v>0.72488256063043943</v>
      </c>
      <c r="V257" s="382">
        <f t="shared" si="82"/>
        <v>50.594907285316474</v>
      </c>
      <c r="W257" s="401"/>
      <c r="X257" s="157">
        <f t="shared" si="83"/>
        <v>44439</v>
      </c>
      <c r="Y257" s="384">
        <f t="shared" si="84"/>
        <v>47.828741496221383</v>
      </c>
      <c r="Z257" s="384">
        <f t="shared" si="85"/>
        <v>49.030290396772131</v>
      </c>
      <c r="AA257" s="385">
        <f t="shared" si="86"/>
        <v>51.817552945476102</v>
      </c>
      <c r="AB257" s="196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5.3789930057809014E-2</v>
      </c>
      <c r="AD257" s="230">
        <f>(INDEX(Models!$BJ257:$BT257,,AH257)*(1-AF257)+INDEX(Models!$BJ257:$BT257,,AH257+1)*AF257-ERP_i)*AE257*Ramure*Pc/MaxiM</f>
        <v>2.8347885829227735E-4</v>
      </c>
      <c r="AE257" s="304">
        <f t="shared" si="88"/>
        <v>0.5</v>
      </c>
      <c r="AF257" s="176">
        <f t="shared" si="89"/>
        <v>0.72488256063043943</v>
      </c>
      <c r="AG257" s="814">
        <f t="shared" si="95"/>
        <v>0</v>
      </c>
      <c r="AH257" s="175">
        <f t="shared" si="90"/>
        <v>6</v>
      </c>
      <c r="AI257" s="224">
        <f t="shared" si="91"/>
        <v>0.72488256063043943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44440</v>
      </c>
      <c r="B258" s="616">
        <v>31.655000000000001</v>
      </c>
      <c r="C258" s="389"/>
      <c r="D258" s="392">
        <f t="shared" si="74"/>
        <v>32.450943655292036</v>
      </c>
      <c r="E258" s="384">
        <f t="shared" si="96"/>
        <v>32.980235632467355</v>
      </c>
      <c r="F258" s="384">
        <f t="shared" si="75"/>
        <v>32.984719461513365</v>
      </c>
      <c r="G258" s="110">
        <f t="shared" si="97"/>
        <v>0.62751163019766854</v>
      </c>
      <c r="H258" s="413" t="b">
        <f>Wh_hp&gt;='2020'!Maxi_hp</f>
        <v>0</v>
      </c>
      <c r="I258" s="379">
        <f>IF(H258,Wh_hp,'2020'!Maxi_hp)</f>
        <v>53.126958868503813</v>
      </c>
      <c r="J258" s="85">
        <f>IF(H258,An,'2020'!An_max)</f>
        <v>2018</v>
      </c>
      <c r="K258" s="196">
        <f t="shared" si="76"/>
        <v>44440</v>
      </c>
      <c r="L258" s="147">
        <f>IF(t&lt;Tvie,1-EXP((T0-t)*PertePVj)+'2020'!Pspv,1-EXP((T0-t)*PertePVj)+Pspv)</f>
        <v>2.4527596600791936E-2</v>
      </c>
      <c r="M258" s="847"/>
      <c r="N258" s="847"/>
      <c r="O258" s="48">
        <f>IF(t&lt;Tnet,'2020'!Resal+('2020'!Salim-'2020'!Resal)*(1-EXP(('2020'!Tnet-t)/('2020'!Tau_j))),Resal+(Salim-Resal)*(1-EXP((Tnet-t)/(Tau_j))))*Salcycl</f>
        <v>1.6048762752145358E-2</v>
      </c>
      <c r="P258" s="168">
        <f>(INDEX(Models!$BJ258:$BT258,,T258)*(1-R258)+INDEX(Models!$BJ258:$BT258,,T258+1)*R258-ERP_i)*Q258*Ramure*Pc/MaxiM</f>
        <v>2.9045507573817155E-4</v>
      </c>
      <c r="Q258" s="304">
        <f t="shared" si="77"/>
        <v>0.5</v>
      </c>
      <c r="R258" s="176">
        <f t="shared" si="78"/>
        <v>0.72527202782001243</v>
      </c>
      <c r="S258" s="814">
        <f t="shared" si="79"/>
        <v>0</v>
      </c>
      <c r="T258" s="175">
        <f t="shared" si="80"/>
        <v>6</v>
      </c>
      <c r="U258" s="250">
        <f t="shared" si="81"/>
        <v>0.72527202782001243</v>
      </c>
      <c r="V258" s="382">
        <f t="shared" si="82"/>
        <v>50.437484387627478</v>
      </c>
      <c r="W258" s="401"/>
      <c r="X258" s="157">
        <f t="shared" si="83"/>
        <v>44440</v>
      </c>
      <c r="Y258" s="384">
        <f t="shared" si="84"/>
        <v>30.439978915001706</v>
      </c>
      <c r="Z258" s="384">
        <f t="shared" si="85"/>
        <v>31.20537168343067</v>
      </c>
      <c r="AA258" s="385">
        <f t="shared" si="86"/>
        <v>32.980235632467355</v>
      </c>
      <c r="AB258" s="196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5.381598751494128E-2</v>
      </c>
      <c r="AD258" s="230">
        <f>(INDEX(Models!$BJ258:$BT258,,AH258)*(1-AF258)+INDEX(Models!$BJ258:$BT258,,AH258+1)*AF258-ERP_i)*AE258*Ramure*Pc/MaxiM</f>
        <v>2.9045507573817155E-4</v>
      </c>
      <c r="AE258" s="304">
        <f t="shared" si="88"/>
        <v>0.5</v>
      </c>
      <c r="AF258" s="176">
        <f t="shared" si="89"/>
        <v>0.72527202782001243</v>
      </c>
      <c r="AG258" s="814">
        <f t="shared" si="95"/>
        <v>0</v>
      </c>
      <c r="AH258" s="175">
        <f t="shared" si="90"/>
        <v>6</v>
      </c>
      <c r="AI258" s="224">
        <f t="shared" si="91"/>
        <v>0.72527202782001243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16">
        <v>20.018000000000001</v>
      </c>
      <c r="C259" s="389"/>
      <c r="D259" s="392">
        <f t="shared" si="74"/>
        <v>20.521788054723746</v>
      </c>
      <c r="E259" s="384">
        <f t="shared" si="96"/>
        <v>20.857985757359454</v>
      </c>
      <c r="F259" s="384">
        <f t="shared" si="75"/>
        <v>20.858854432153244</v>
      </c>
      <c r="G259" s="110">
        <f t="shared" si="97"/>
        <v>0.39807940641272332</v>
      </c>
      <c r="H259" s="413" t="b">
        <f>Wh_hp&gt;='2020'!Maxi_hp</f>
        <v>0</v>
      </c>
      <c r="I259" s="379">
        <f>IF(H259,Wh_hp,'2020'!Maxi_hp)</f>
        <v>50.943890407811566</v>
      </c>
      <c r="J259" s="85">
        <f>IF(H259,An,'2020'!An_max)</f>
        <v>2018</v>
      </c>
      <c r="K259" s="196">
        <f t="shared" si="76"/>
        <v>44441</v>
      </c>
      <c r="L259" s="147">
        <f>IF(t&lt;Tvie,1-EXP((T0-t)*PertePVj)+'2020'!Pspv,1-EXP((T0-t)*PertePVj)+Pspv)</f>
        <v>2.4548935666830564E-2</v>
      </c>
      <c r="M259" s="847"/>
      <c r="N259" s="847"/>
      <c r="O259" s="48">
        <f>IF(t&lt;Tnet,'2020'!Resal+('2020'!Salim-'2020'!Resal)*(1-EXP(('2020'!Tnet-t)/('2020'!Tau_j))),Resal+(Salim-Resal)*(1-EXP((Tnet-t)/(Tau_j))))*Salcycl</f>
        <v>1.6118416540632837E-2</v>
      </c>
      <c r="P259" s="168">
        <f>(INDEX(Models!$BJ259:$BT259,,T259)*(1-R259)+INDEX(Models!$BJ259:$BT259,,T259+1)*R259-ERP_i)*Q259*Ramure*Pc/MaxiM</f>
        <v>2.9691839871517098E-4</v>
      </c>
      <c r="Q259" s="304">
        <f t="shared" si="77"/>
        <v>0.5</v>
      </c>
      <c r="R259" s="176">
        <f t="shared" si="78"/>
        <v>0.72564679718853631</v>
      </c>
      <c r="S259" s="814">
        <f t="shared" si="79"/>
        <v>0</v>
      </c>
      <c r="T259" s="175">
        <f t="shared" si="80"/>
        <v>6</v>
      </c>
      <c r="U259" s="250">
        <f t="shared" si="81"/>
        <v>0.72564679718853631</v>
      </c>
      <c r="V259" s="382">
        <f t="shared" si="82"/>
        <v>50.273612272780795</v>
      </c>
      <c r="W259" s="401"/>
      <c r="X259" s="157">
        <f t="shared" si="83"/>
        <v>44441</v>
      </c>
      <c r="Y259" s="384">
        <f t="shared" si="84"/>
        <v>19.25048328067189</v>
      </c>
      <c r="Z259" s="384">
        <f t="shared" si="85"/>
        <v>19.734955431958817</v>
      </c>
      <c r="AA259" s="385">
        <f t="shared" si="86"/>
        <v>20.857985757359454</v>
      </c>
      <c r="AB259" s="196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5.3841743803300382E-2</v>
      </c>
      <c r="AD259" s="230">
        <f>(INDEX(Models!$BJ259:$BT259,,AH259)*(1-AF259)+INDEX(Models!$BJ259:$BT259,,AH259+1)*AF259-ERP_i)*AE259*Ramure*Pc/MaxiM</f>
        <v>2.9691839871517098E-4</v>
      </c>
      <c r="AE259" s="304">
        <f t="shared" si="88"/>
        <v>0.5</v>
      </c>
      <c r="AF259" s="176">
        <f t="shared" si="89"/>
        <v>0.72564679718853631</v>
      </c>
      <c r="AG259" s="814">
        <f t="shared" si="95"/>
        <v>0</v>
      </c>
      <c r="AH259" s="175">
        <f t="shared" si="90"/>
        <v>6</v>
      </c>
      <c r="AI259" s="224">
        <f t="shared" si="91"/>
        <v>0.72564679718853631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16">
        <v>28.414999999999999</v>
      </c>
      <c r="C260" s="389"/>
      <c r="D260" s="392">
        <f t="shared" si="74"/>
        <v>29.130750530083695</v>
      </c>
      <c r="E260" s="384">
        <f t="shared" si="96"/>
        <v>29.610075409163056</v>
      </c>
      <c r="F260" s="384">
        <f t="shared" si="75"/>
        <v>29.613498190409114</v>
      </c>
      <c r="G260" s="110">
        <f t="shared" si="97"/>
        <v>0.56702922489214447</v>
      </c>
      <c r="H260" s="413" t="b">
        <f>Wh_hp&gt;='2020'!Maxi_hp</f>
        <v>0</v>
      </c>
      <c r="I260" s="379">
        <f>IF(H260,Wh_hp,'2020'!Maxi_hp)</f>
        <v>53.385719153898613</v>
      </c>
      <c r="J260" s="85">
        <f>IF(H260,An,'2020'!An_max)</f>
        <v>2019</v>
      </c>
      <c r="K260" s="196">
        <f t="shared" si="76"/>
        <v>44442</v>
      </c>
      <c r="L260" s="147">
        <f>IF(t&lt;Tvie,1-EXP((T0-t)*PertePVj)+'2020'!Pspv,1-EXP((T0-t)*PertePVj)+Pspv)</f>
        <v>2.4570274265488946E-2</v>
      </c>
      <c r="M260" s="847"/>
      <c r="N260" s="847"/>
      <c r="O260" s="48">
        <f>IF(t&lt;Tnet,'2020'!Resal+('2020'!Salim-'2020'!Resal)*(1-EXP(('2020'!Tnet-t)/('2020'!Tau_j))),Resal+(Salim-Resal)*(1-EXP((Tnet-t)/(Tau_j))))*Salcycl</f>
        <v>1.6187897952162293E-2</v>
      </c>
      <c r="P260" s="168">
        <f>(INDEX(Models!$BJ260:$BT260,,T260)*(1-R260)+INDEX(Models!$BJ260:$BT260,,T260+1)*R260-ERP_i)*Q260*Ramure*Pc/MaxiM</f>
        <v>3.0286977750455449E-4</v>
      </c>
      <c r="Q260" s="304">
        <f t="shared" si="77"/>
        <v>0.5</v>
      </c>
      <c r="R260" s="176">
        <f t="shared" si="78"/>
        <v>0.72600738643571161</v>
      </c>
      <c r="S260" s="814">
        <f t="shared" si="79"/>
        <v>0</v>
      </c>
      <c r="T260" s="175">
        <f t="shared" si="80"/>
        <v>6</v>
      </c>
      <c r="U260" s="250">
        <f t="shared" si="81"/>
        <v>0.72600738643571161</v>
      </c>
      <c r="V260" s="382">
        <f t="shared" si="82"/>
        <v>50.102669050573731</v>
      </c>
      <c r="W260" s="401"/>
      <c r="X260" s="157">
        <f t="shared" si="83"/>
        <v>44442</v>
      </c>
      <c r="Y260" s="384">
        <f t="shared" si="84"/>
        <v>27.326726094766805</v>
      </c>
      <c r="Z260" s="384">
        <f t="shared" si="85"/>
        <v>28.015063898313567</v>
      </c>
      <c r="AA260" s="385">
        <f t="shared" si="86"/>
        <v>29.610075409163056</v>
      </c>
      <c r="AB260" s="196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5.3867188408304352E-2</v>
      </c>
      <c r="AD260" s="230">
        <f>(INDEX(Models!$BJ260:$BT260,,AH260)*(1-AF260)+INDEX(Models!$BJ260:$BT260,,AH260+1)*AF260-ERP_i)*AE260*Ramure*Pc/MaxiM</f>
        <v>3.0286977750455449E-4</v>
      </c>
      <c r="AE260" s="304">
        <f t="shared" si="88"/>
        <v>0.5</v>
      </c>
      <c r="AF260" s="176">
        <f t="shared" si="89"/>
        <v>0.72600738643571161</v>
      </c>
      <c r="AG260" s="814">
        <f t="shared" si="95"/>
        <v>0</v>
      </c>
      <c r="AH260" s="175">
        <f t="shared" si="90"/>
        <v>6</v>
      </c>
      <c r="AI260" s="224">
        <f t="shared" si="91"/>
        <v>0.72600738643571161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16">
        <v>41.801000000000002</v>
      </c>
      <c r="C261" s="389"/>
      <c r="D261" s="392">
        <f t="shared" si="74"/>
        <v>42.854870361237694</v>
      </c>
      <c r="E261" s="384">
        <f t="shared" si="96"/>
        <v>43.563084258484885</v>
      </c>
      <c r="F261" s="384">
        <f t="shared" si="75"/>
        <v>43.573395050273362</v>
      </c>
      <c r="G261" s="110">
        <f t="shared" si="97"/>
        <v>0.83720973245792729</v>
      </c>
      <c r="H261" s="413" t="b">
        <f>Wh_hp&gt;='2020'!Maxi_hp</f>
        <v>0</v>
      </c>
      <c r="I261" s="379">
        <f>IF(H261,Wh_hp,'2020'!Maxi_hp)</f>
        <v>53.038083158550982</v>
      </c>
      <c r="J261" s="85">
        <f>IF(H261,An,'2020'!An_max)</f>
        <v>2019</v>
      </c>
      <c r="K261" s="196">
        <f t="shared" si="76"/>
        <v>44443</v>
      </c>
      <c r="L261" s="147">
        <f>IF(t&lt;Tvie,1-EXP((T0-t)*PertePVj)+'2020'!Pspv,1-EXP((T0-t)*PertePVj)+Pspv)</f>
        <v>2.4591612396777186E-2</v>
      </c>
      <c r="M261" s="847"/>
      <c r="N261" s="847"/>
      <c r="O261" s="48">
        <f>IF(t&lt;Tnet,'2020'!Resal+('2020'!Salim-'2020'!Resal)*(1-EXP(('2020'!Tnet-t)/('2020'!Tau_j))),Resal+(Salim-Resal)*(1-EXP((Tnet-t)/(Tau_j))))*Salcycl</f>
        <v>1.6257202842777416E-2</v>
      </c>
      <c r="P261" s="168">
        <f>(INDEX(Models!$BJ261:$BT261,,T261)*(1-R261)+INDEX(Models!$BJ261:$BT261,,T261+1)*R261-ERP_i)*Q261*Ramure*Pc/MaxiM</f>
        <v>3.0830194475329396E-4</v>
      </c>
      <c r="Q261" s="304">
        <f t="shared" si="77"/>
        <v>0.5</v>
      </c>
      <c r="R261" s="176">
        <f t="shared" si="78"/>
        <v>0.72635429787117012</v>
      </c>
      <c r="S261" s="814">
        <f t="shared" si="79"/>
        <v>0</v>
      </c>
      <c r="T261" s="175">
        <f t="shared" si="80"/>
        <v>6</v>
      </c>
      <c r="U261" s="250">
        <f t="shared" si="81"/>
        <v>0.72635429787117012</v>
      </c>
      <c r="V261" s="382">
        <f t="shared" si="82"/>
        <v>49.925367240724604</v>
      </c>
      <c r="W261" s="401"/>
      <c r="X261" s="157">
        <f t="shared" si="83"/>
        <v>44443</v>
      </c>
      <c r="Y261" s="384">
        <f t="shared" si="84"/>
        <v>40.201816620921576</v>
      </c>
      <c r="Z261" s="384">
        <f t="shared" si="85"/>
        <v>41.215369000163747</v>
      </c>
      <c r="AA261" s="385">
        <f t="shared" si="86"/>
        <v>43.563084258484885</v>
      </c>
      <c r="AB261" s="196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5.389231038809815E-2</v>
      </c>
      <c r="AD261" s="230">
        <f>(INDEX(Models!$BJ261:$BT261,,AH261)*(1-AF261)+INDEX(Models!$BJ261:$BT261,,AH261+1)*AF261-ERP_i)*AE261*Ramure*Pc/MaxiM</f>
        <v>3.0830194475329396E-4</v>
      </c>
      <c r="AE261" s="304">
        <f t="shared" si="88"/>
        <v>0.5</v>
      </c>
      <c r="AF261" s="176">
        <f t="shared" si="89"/>
        <v>0.72635429787117012</v>
      </c>
      <c r="AG261" s="814">
        <f t="shared" si="95"/>
        <v>0</v>
      </c>
      <c r="AH261" s="175">
        <f t="shared" si="90"/>
        <v>6</v>
      </c>
      <c r="AI261" s="224">
        <f t="shared" si="91"/>
        <v>0.72635429787117012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16">
        <v>44.980000000000004</v>
      </c>
      <c r="C262" s="389"/>
      <c r="D262" s="392">
        <f t="shared" si="74"/>
        <v>46.115026852980513</v>
      </c>
      <c r="E262" s="384">
        <f t="shared" si="96"/>
        <v>46.880411780204632</v>
      </c>
      <c r="F262" s="384">
        <f t="shared" si="75"/>
        <v>46.893094173440723</v>
      </c>
      <c r="G262" s="110">
        <f t="shared" si="97"/>
        <v>0.90421090742500798</v>
      </c>
      <c r="H262" s="413" t="b">
        <f>Wh_hp&gt;='2020'!Maxi_hp</f>
        <v>0</v>
      </c>
      <c r="I262" s="379">
        <f>IF(H262,Wh_hp,'2020'!Maxi_hp)</f>
        <v>52.253818490500642</v>
      </c>
      <c r="J262" s="85">
        <f>IF(H262,An,'2020'!An_max)</f>
        <v>2020</v>
      </c>
      <c r="K262" s="196">
        <f t="shared" si="76"/>
        <v>44444</v>
      </c>
      <c r="L262" s="147">
        <f>IF(t&lt;Tvie,1-EXP((T0-t)*PertePVj)+'2020'!Pspv,1-EXP((T0-t)*PertePVj)+Pspv)</f>
        <v>2.4612950060705609E-2</v>
      </c>
      <c r="M262" s="847"/>
      <c r="N262" s="847"/>
      <c r="O262" s="48">
        <f>IF(t&lt;Tnet,'2020'!Resal+('2020'!Salim-'2020'!Resal)*(1-EXP(('2020'!Tnet-t)/('2020'!Tau_j))),Resal+(Salim-Resal)*(1-EXP((Tnet-t)/(Tau_j))))*Salcycl</f>
        <v>1.6326326884938024E-2</v>
      </c>
      <c r="P262" s="168">
        <f>(INDEX(Models!$BJ262:$BT262,,T262)*(1-R262)+INDEX(Models!$BJ262:$BT262,,T262+1)*R262-ERP_i)*Q262*Ramure*Pc/MaxiM</f>
        <v>3.1330977342161262E-4</v>
      </c>
      <c r="Q262" s="304">
        <f t="shared" si="77"/>
        <v>0.5</v>
      </c>
      <c r="R262" s="176">
        <f t="shared" si="78"/>
        <v>0.7266880186468333</v>
      </c>
      <c r="S262" s="814">
        <f t="shared" si="79"/>
        <v>0</v>
      </c>
      <c r="T262" s="175">
        <f t="shared" si="80"/>
        <v>6</v>
      </c>
      <c r="U262" s="250">
        <f t="shared" si="81"/>
        <v>0.7266880186468333</v>
      </c>
      <c r="V262" s="382">
        <f t="shared" si="82"/>
        <v>49.74289894770866</v>
      </c>
      <c r="W262" s="401"/>
      <c r="X262" s="157">
        <f t="shared" si="83"/>
        <v>44444</v>
      </c>
      <c r="Y262" s="384">
        <f t="shared" si="84"/>
        <v>43.261103839024543</v>
      </c>
      <c r="Z262" s="384">
        <f t="shared" si="85"/>
        <v>44.352756007696641</v>
      </c>
      <c r="AA262" s="385">
        <f t="shared" si="86"/>
        <v>46.880411780204632</v>
      </c>
      <c r="AB262" s="196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5.3917098347145954E-2</v>
      </c>
      <c r="AD262" s="230">
        <f>(INDEX(Models!$BJ262:$BT262,,AH262)*(1-AF262)+INDEX(Models!$BJ262:$BT262,,AH262+1)*AF262-ERP_i)*AE262*Ramure*Pc/MaxiM</f>
        <v>3.1330977342161262E-4</v>
      </c>
      <c r="AE262" s="304">
        <f t="shared" si="88"/>
        <v>0.5</v>
      </c>
      <c r="AF262" s="176">
        <f t="shared" si="89"/>
        <v>0.7266880186468333</v>
      </c>
      <c r="AG262" s="814">
        <f t="shared" si="95"/>
        <v>0</v>
      </c>
      <c r="AH262" s="175">
        <f t="shared" si="90"/>
        <v>6</v>
      </c>
      <c r="AI262" s="224">
        <f t="shared" si="91"/>
        <v>0.7266880186468333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16">
        <v>48.737000000000002</v>
      </c>
      <c r="C263" s="389"/>
      <c r="D263" s="392">
        <f t="shared" si="74"/>
        <v>49.967924198352428</v>
      </c>
      <c r="E263" s="384">
        <f t="shared" si="96"/>
        <v>50.800817084996417</v>
      </c>
      <c r="F263" s="384">
        <f t="shared" si="75"/>
        <v>50.816610032740059</v>
      </c>
      <c r="G263" s="110">
        <f t="shared" si="97"/>
        <v>0.98347876042597604</v>
      </c>
      <c r="H263" s="413" t="b">
        <f>Wh_hp&gt;='2020'!Maxi_hp</f>
        <v>0</v>
      </c>
      <c r="I263" s="379">
        <f>IF(H263,Wh_hp,'2020'!Maxi_hp)</f>
        <v>54.048993300295933</v>
      </c>
      <c r="J263" s="85">
        <f>IF(H263,An,'2020'!An_max)</f>
        <v>2019</v>
      </c>
      <c r="K263" s="196">
        <f t="shared" si="76"/>
        <v>44445</v>
      </c>
      <c r="L263" s="147">
        <f>IF(t&lt;Tvie,1-EXP((T0-t)*PertePVj)+'2020'!Pspv,1-EXP((T0-t)*PertePVj)+Pspv)</f>
        <v>2.4634287257284428E-2</v>
      </c>
      <c r="M263" s="847"/>
      <c r="N263" s="847"/>
      <c r="O263" s="48">
        <f>IF(t&lt;Tnet,'2020'!Resal+('2020'!Salim-'2020'!Resal)*(1-EXP(('2020'!Tnet-t)/('2020'!Tau_j))),Resal+(Salim-Resal)*(1-EXP((Tnet-t)/(Tau_j))))*Salcycl</f>
        <v>1.6395265557450679E-2</v>
      </c>
      <c r="P263" s="168">
        <f>(INDEX(Models!$BJ263:$BT263,,T263)*(1-R263)+INDEX(Models!$BJ263:$BT263,,T263+1)*R263-ERP_i)*Q263*Ramure*Pc/MaxiM</f>
        <v>3.182920793224191E-4</v>
      </c>
      <c r="Q263" s="304">
        <f t="shared" si="77"/>
        <v>0.5</v>
      </c>
      <c r="R263" s="176">
        <f t="shared" si="78"/>
        <v>0.72700902100581222</v>
      </c>
      <c r="S263" s="814">
        <f t="shared" si="79"/>
        <v>0</v>
      </c>
      <c r="T263" s="175">
        <f t="shared" si="80"/>
        <v>6</v>
      </c>
      <c r="U263" s="250">
        <f t="shared" si="81"/>
        <v>0.72700902100581222</v>
      </c>
      <c r="V263" s="382">
        <f t="shared" si="82"/>
        <v>49.555349730147647</v>
      </c>
      <c r="W263" s="401"/>
      <c r="X263" s="157">
        <f t="shared" si="83"/>
        <v>44445</v>
      </c>
      <c r="Y263" s="384">
        <f t="shared" si="84"/>
        <v>46.876605541281599</v>
      </c>
      <c r="Z263" s="384">
        <f t="shared" si="85"/>
        <v>48.060542757306081</v>
      </c>
      <c r="AA263" s="385">
        <f t="shared" si="86"/>
        <v>50.800817084996417</v>
      </c>
      <c r="AB263" s="196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5.3941540410767354E-2</v>
      </c>
      <c r="AD263" s="230">
        <f>(INDEX(Models!$BJ263:$BT263,,AH263)*(1-AF263)+INDEX(Models!$BJ263:$BT263,,AH263+1)*AF263-ERP_i)*AE263*Ramure*Pc/MaxiM</f>
        <v>3.182920793224191E-4</v>
      </c>
      <c r="AE263" s="304">
        <f t="shared" si="88"/>
        <v>0.5</v>
      </c>
      <c r="AF263" s="176">
        <f t="shared" si="89"/>
        <v>0.72700902100581222</v>
      </c>
      <c r="AG263" s="814">
        <f t="shared" si="95"/>
        <v>0</v>
      </c>
      <c r="AH263" s="175">
        <f t="shared" si="90"/>
        <v>6</v>
      </c>
      <c r="AI263" s="224">
        <f t="shared" si="91"/>
        <v>0.72700902100581222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44446</v>
      </c>
      <c r="B264" s="616">
        <v>37.676000000000002</v>
      </c>
      <c r="C264" s="389"/>
      <c r="D264" s="392">
        <f t="shared" si="74"/>
        <v>38.628407490278533</v>
      </c>
      <c r="E264" s="384">
        <f t="shared" si="96"/>
        <v>39.275032175194731</v>
      </c>
      <c r="F264" s="384">
        <f t="shared" si="75"/>
        <v>39.283435678205919</v>
      </c>
      <c r="G264" s="110">
        <f t="shared" si="97"/>
        <v>0.76316296649108195</v>
      </c>
      <c r="H264" s="413" t="b">
        <f>Wh_hp&gt;='2020'!Maxi_hp</f>
        <v>0</v>
      </c>
      <c r="I264" s="379">
        <f>IF(H264,Wh_hp,'2020'!Maxi_hp)</f>
        <v>52.847504684614634</v>
      </c>
      <c r="J264" s="85">
        <f>IF(H264,An,'2020'!An_max)</f>
        <v>2019</v>
      </c>
      <c r="K264" s="196">
        <f t="shared" si="76"/>
        <v>44446</v>
      </c>
      <c r="L264" s="147">
        <f>IF(t&lt;Tvie,1-EXP((T0-t)*PertePVj)+'2020'!Pspv,1-EXP((T0-t)*PertePVj)+Pspv)</f>
        <v>2.4655623986523857E-2</v>
      </c>
      <c r="M264" s="847"/>
      <c r="N264" s="847"/>
      <c r="O264" s="48">
        <f>IF(t&lt;Tnet,'2020'!Resal+('2020'!Salim-'2020'!Resal)*(1-EXP(('2020'!Tnet-t)/('2020'!Tau_j))),Resal+(Salim-Resal)*(1-EXP((Tnet-t)/(Tau_j))))*Salcycl</f>
        <v>1.646401413579468E-2</v>
      </c>
      <c r="P264" s="168">
        <f>(INDEX(Models!$BJ264:$BT264,,T264)*(1-R264)+INDEX(Models!$BJ264:$BT264,,T264+1)*R264-ERP_i)*Q264*Ramure*Pc/MaxiM</f>
        <v>3.2324875135178563E-4</v>
      </c>
      <c r="Q264" s="304">
        <f t="shared" si="77"/>
        <v>0.5</v>
      </c>
      <c r="R264" s="176">
        <f t="shared" si="78"/>
        <v>0.72731776254563485</v>
      </c>
      <c r="S264" s="814">
        <f t="shared" si="79"/>
        <v>0</v>
      </c>
      <c r="T264" s="175">
        <f t="shared" si="80"/>
        <v>6</v>
      </c>
      <c r="U264" s="250">
        <f t="shared" si="81"/>
        <v>0.72731776254563485</v>
      </c>
      <c r="V264" s="382">
        <f t="shared" si="82"/>
        <v>49.362825102317096</v>
      </c>
      <c r="W264" s="401"/>
      <c r="X264" s="157">
        <f t="shared" si="83"/>
        <v>44446</v>
      </c>
      <c r="Y264" s="384">
        <f t="shared" si="84"/>
        <v>36.239437758107456</v>
      </c>
      <c r="Z264" s="384">
        <f t="shared" si="85"/>
        <v>37.155530548326801</v>
      </c>
      <c r="AA264" s="385">
        <f t="shared" si="86"/>
        <v>39.275032175194731</v>
      </c>
      <c r="AB264" s="196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5.3965624201488517E-2</v>
      </c>
      <c r="AD264" s="230">
        <f>(INDEX(Models!$BJ264:$BT264,,AH264)*(1-AF264)+INDEX(Models!$BJ264:$BT264,,AH264+1)*AF264-ERP_i)*AE264*Ramure*Pc/MaxiM</f>
        <v>3.2324875135178563E-4</v>
      </c>
      <c r="AE264" s="304">
        <f t="shared" si="88"/>
        <v>0.5</v>
      </c>
      <c r="AF264" s="176">
        <f t="shared" si="89"/>
        <v>0.72731776254563485</v>
      </c>
      <c r="AG264" s="814">
        <f t="shared" si="95"/>
        <v>0</v>
      </c>
      <c r="AH264" s="175">
        <f t="shared" si="90"/>
        <v>6</v>
      </c>
      <c r="AI264" s="224">
        <f t="shared" si="91"/>
        <v>0.72731776254563485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44447</v>
      </c>
      <c r="B265" s="616">
        <v>31.346</v>
      </c>
      <c r="C265" s="389"/>
      <c r="D265" s="392">
        <f t="shared" si="74"/>
        <v>32.139095174030189</v>
      </c>
      <c r="E265" s="384">
        <f t="shared" si="96"/>
        <v>32.679369054770078</v>
      </c>
      <c r="F265" s="384">
        <f t="shared" si="75"/>
        <v>32.68454165825996</v>
      </c>
      <c r="G265" s="110">
        <f t="shared" si="97"/>
        <v>0.63745343958237122</v>
      </c>
      <c r="H265" s="413" t="b">
        <f>Wh_hp&gt;='2020'!Maxi_hp</f>
        <v>0</v>
      </c>
      <c r="I265" s="379">
        <f>IF(H265,Wh_hp,'2020'!Maxi_hp)</f>
        <v>46.460443083143332</v>
      </c>
      <c r="J265" s="85">
        <f>IF(H265,An,'2020'!An_max)</f>
        <v>2018</v>
      </c>
      <c r="K265" s="196">
        <f t="shared" si="76"/>
        <v>44447</v>
      </c>
      <c r="L265" s="147">
        <f>IF(t&lt;Tvie,1-EXP((T0-t)*PertePVj)+'2020'!Pspv,1-EXP((T0-t)*PertePVj)+Pspv)</f>
        <v>2.4676960248434222E-2</v>
      </c>
      <c r="M265" s="847"/>
      <c r="N265" s="847"/>
      <c r="O265" s="48">
        <f>IF(t&lt;Tnet,'2020'!Resal+('2020'!Salim-'2020'!Resal)*(1-EXP(('2020'!Tnet-t)/('2020'!Tau_j))),Resal+(Salim-Resal)*(1-EXP((Tnet-t)/(Tau_j))))*Salcycl</f>
        <v>1.6532567683127518E-2</v>
      </c>
      <c r="P265" s="168">
        <f>(INDEX(Models!$BJ265:$BT265,,T265)*(1-R265)+INDEX(Models!$BJ265:$BT265,,T265+1)*R265-ERP_i)*Q265*Ramure*Pc/MaxiM</f>
        <v>3.2817957303046927E-4</v>
      </c>
      <c r="Q265" s="304">
        <f t="shared" si="77"/>
        <v>0.5</v>
      </c>
      <c r="R265" s="176">
        <f t="shared" si="78"/>
        <v>0.72761468649374228</v>
      </c>
      <c r="S265" s="814">
        <f t="shared" si="79"/>
        <v>0</v>
      </c>
      <c r="T265" s="175">
        <f t="shared" si="80"/>
        <v>6</v>
      </c>
      <c r="U265" s="250">
        <f t="shared" si="81"/>
        <v>0.72761468649374228</v>
      </c>
      <c r="V265" s="382">
        <f t="shared" si="82"/>
        <v>49.165430542791306</v>
      </c>
      <c r="W265" s="401"/>
      <c r="X265" s="157">
        <f t="shared" si="83"/>
        <v>44447</v>
      </c>
      <c r="Y265" s="384">
        <f t="shared" si="84"/>
        <v>30.152142586197954</v>
      </c>
      <c r="Z265" s="384">
        <f t="shared" si="85"/>
        <v>30.91503159186961</v>
      </c>
      <c r="AA265" s="385">
        <f t="shared" si="86"/>
        <v>32.679369054770078</v>
      </c>
      <c r="AB265" s="196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5.3989336818084495E-2</v>
      </c>
      <c r="AD265" s="230">
        <f>(INDEX(Models!$BJ265:$BT265,,AH265)*(1-AF265)+INDEX(Models!$BJ265:$BT265,,AH265+1)*AF265-ERP_i)*AE265*Ramure*Pc/MaxiM</f>
        <v>3.2817957303046927E-4</v>
      </c>
      <c r="AE265" s="304">
        <f t="shared" si="88"/>
        <v>0.5</v>
      </c>
      <c r="AF265" s="176">
        <f t="shared" si="89"/>
        <v>0.72761468649374228</v>
      </c>
      <c r="AG265" s="814">
        <f t="shared" si="95"/>
        <v>0</v>
      </c>
      <c r="AH265" s="175">
        <f t="shared" si="90"/>
        <v>6</v>
      </c>
      <c r="AI265" s="224">
        <f t="shared" si="91"/>
        <v>0.72761468649374228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16">
        <v>18.021000000000001</v>
      </c>
      <c r="C266" s="389"/>
      <c r="D266" s="392">
        <f t="shared" si="74"/>
        <v>18.477359289833664</v>
      </c>
      <c r="E266" s="384">
        <f t="shared" si="96"/>
        <v>18.789278620656187</v>
      </c>
      <c r="F266" s="384">
        <f t="shared" si="75"/>
        <v>18.789887059834179</v>
      </c>
      <c r="G266" s="110">
        <f t="shared" si="97"/>
        <v>0.36794070954513475</v>
      </c>
      <c r="H266" s="413" t="b">
        <f>Wh_hp&gt;='2020'!Maxi_hp</f>
        <v>0</v>
      </c>
      <c r="I266" s="379">
        <f>IF(H266,Wh_hp,'2020'!Maxi_hp)</f>
        <v>49.540166553764124</v>
      </c>
      <c r="J266" s="85">
        <f>IF(H266,An,'2020'!An_max)</f>
        <v>2020</v>
      </c>
      <c r="K266" s="196">
        <f t="shared" si="76"/>
        <v>44448</v>
      </c>
      <c r="L266" s="147">
        <f>IF(t&lt;Tvie,1-EXP((T0-t)*PertePVj)+'2020'!Pspv,1-EXP((T0-t)*PertePVj)+Pspv)</f>
        <v>2.4698296043025626E-2</v>
      </c>
      <c r="M266" s="847"/>
      <c r="N266" s="847"/>
      <c r="O266" s="48">
        <f>IF(t&lt;Tnet,'2020'!Resal+('2020'!Salim-'2020'!Resal)*(1-EXP(('2020'!Tnet-t)/('2020'!Tau_j))),Resal+(Salim-Resal)*(1-EXP((Tnet-t)/(Tau_j))))*Salcycl</f>
        <v>1.6600921042259166E-2</v>
      </c>
      <c r="P266" s="168">
        <f>(INDEX(Models!$BJ266:$BT266,,T266)*(1-R266)+INDEX(Models!$BJ266:$BT266,,T266+1)*R266-ERP_i)*Q266*Ramure*Pc/MaxiM</f>
        <v>3.3308421985546097E-4</v>
      </c>
      <c r="Q266" s="304">
        <f t="shared" si="77"/>
        <v>0.5</v>
      </c>
      <c r="R266" s="176">
        <f t="shared" si="78"/>
        <v>0.72790022199335547</v>
      </c>
      <c r="S266" s="814">
        <f t="shared" si="79"/>
        <v>0</v>
      </c>
      <c r="T266" s="175">
        <f t="shared" si="80"/>
        <v>6</v>
      </c>
      <c r="U266" s="250">
        <f t="shared" si="81"/>
        <v>0.72790022199335547</v>
      </c>
      <c r="V266" s="382">
        <f t="shared" si="82"/>
        <v>48.96327149489931</v>
      </c>
      <c r="W266" s="401"/>
      <c r="X266" s="157">
        <f t="shared" si="83"/>
        <v>44448</v>
      </c>
      <c r="Y266" s="384">
        <f t="shared" si="84"/>
        <v>17.335421734764648</v>
      </c>
      <c r="Z266" s="384">
        <f t="shared" si="85"/>
        <v>17.774419612343262</v>
      </c>
      <c r="AA266" s="385">
        <f t="shared" si="86"/>
        <v>18.789278620656187</v>
      </c>
      <c r="AB266" s="196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5.4012664818181323E-2</v>
      </c>
      <c r="AD266" s="230">
        <f>(INDEX(Models!$BJ266:$BT266,,AH266)*(1-AF266)+INDEX(Models!$BJ266:$BT266,,AH266+1)*AF266-ERP_i)*AE266*Ramure*Pc/MaxiM</f>
        <v>3.3308421985546097E-4</v>
      </c>
      <c r="AE266" s="304">
        <f t="shared" si="88"/>
        <v>0.5</v>
      </c>
      <c r="AF266" s="176">
        <f t="shared" si="89"/>
        <v>0.72790022199335547</v>
      </c>
      <c r="AG266" s="814">
        <f t="shared" si="95"/>
        <v>0</v>
      </c>
      <c r="AH266" s="175">
        <f t="shared" si="90"/>
        <v>6</v>
      </c>
      <c r="AI266" s="224">
        <f t="shared" si="91"/>
        <v>0.72790022199335547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16">
        <v>39.835999999999999</v>
      </c>
      <c r="C267" s="389"/>
      <c r="D267" s="392">
        <f t="shared" si="74"/>
        <v>40.845690410000969</v>
      </c>
      <c r="E267" s="384">
        <f t="shared" si="96"/>
        <v>41.538091719900613</v>
      </c>
      <c r="F267" s="384">
        <f t="shared" si="75"/>
        <v>41.548463415023789</v>
      </c>
      <c r="G267" s="110">
        <f t="shared" si="97"/>
        <v>0.81696837074296269</v>
      </c>
      <c r="H267" s="413" t="b">
        <f>Wh_hp&gt;='2020'!Maxi_hp</f>
        <v>1</v>
      </c>
      <c r="I267" s="379">
        <f>IF(H267,Wh_hp,'2020'!Maxi_hp)</f>
        <v>41.548463415023789</v>
      </c>
      <c r="J267" s="85">
        <f>IF(H267,An,'2020'!An_max)</f>
        <v>2021</v>
      </c>
      <c r="K267" s="196">
        <f t="shared" si="76"/>
        <v>44449</v>
      </c>
      <c r="L267" s="147">
        <f>IF(t&lt;Tvie,1-EXP((T0-t)*PertePVj)+'2020'!Pspv,1-EXP((T0-t)*PertePVj)+Pspv)</f>
        <v>2.4719631370308505E-2</v>
      </c>
      <c r="M267" s="847"/>
      <c r="N267" s="847"/>
      <c r="O267" s="48">
        <f>IF(t&lt;Tnet,'2020'!Resal+('2020'!Salim-'2020'!Resal)*(1-EXP(('2020'!Tnet-t)/('2020'!Tau_j))),Resal+(Salim-Resal)*(1-EXP((Tnet-t)/(Tau_j))))*Salcycl</f>
        <v>1.6669068828886972E-2</v>
      </c>
      <c r="P267" s="168">
        <f>(INDEX(Models!$BJ267:$BT267,,T267)*(1-R267)+INDEX(Models!$BJ267:$BT267,,T267+1)*R267-ERP_i)*Q267*Ramure*Pc/MaxiM</f>
        <v>3.3796225665563173E-4</v>
      </c>
      <c r="Q267" s="304">
        <f t="shared" si="77"/>
        <v>0.5</v>
      </c>
      <c r="R267" s="176">
        <f t="shared" si="78"/>
        <v>0.72817478439795436</v>
      </c>
      <c r="S267" s="814">
        <f t="shared" si="79"/>
        <v>0</v>
      </c>
      <c r="T267" s="175">
        <f t="shared" si="80"/>
        <v>6</v>
      </c>
      <c r="U267" s="250">
        <f t="shared" si="81"/>
        <v>0.72817478439795436</v>
      </c>
      <c r="V267" s="382">
        <f t="shared" si="82"/>
        <v>48.756453368622957</v>
      </c>
      <c r="W267" s="401"/>
      <c r="X267" s="157">
        <f t="shared" si="83"/>
        <v>44449</v>
      </c>
      <c r="Y267" s="384">
        <f t="shared" si="84"/>
        <v>38.322234025893223</v>
      </c>
      <c r="Z267" s="384">
        <f t="shared" si="85"/>
        <v>39.293556251662807</v>
      </c>
      <c r="AA267" s="385">
        <f t="shared" si="86"/>
        <v>41.538091719900613</v>
      </c>
      <c r="AB267" s="196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5.4035594205269211E-2</v>
      </c>
      <c r="AD267" s="230">
        <f>(INDEX(Models!$BJ267:$BT267,,AH267)*(1-AF267)+INDEX(Models!$BJ267:$BT267,,AH267+1)*AF267-ERP_i)*AE267*Ramure*Pc/MaxiM</f>
        <v>3.3796225665563173E-4</v>
      </c>
      <c r="AE267" s="304">
        <f t="shared" si="88"/>
        <v>0.5</v>
      </c>
      <c r="AF267" s="176">
        <f t="shared" si="89"/>
        <v>0.72817478439795436</v>
      </c>
      <c r="AG267" s="814">
        <f t="shared" si="95"/>
        <v>0</v>
      </c>
      <c r="AH267" s="175">
        <f t="shared" si="90"/>
        <v>6</v>
      </c>
      <c r="AI267" s="224">
        <f t="shared" si="91"/>
        <v>0.72817478439795436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16">
        <v>40.49</v>
      </c>
      <c r="C268" s="389"/>
      <c r="D268" s="392">
        <f t="shared" si="74"/>
        <v>41.517175025277552</v>
      </c>
      <c r="E268" s="384">
        <f t="shared" si="96"/>
        <v>42.223876271557465</v>
      </c>
      <c r="F268" s="384">
        <f t="shared" si="75"/>
        <v>42.234907442392178</v>
      </c>
      <c r="G268" s="110">
        <f t="shared" si="97"/>
        <v>0.83400197863612535</v>
      </c>
      <c r="H268" s="413" t="b">
        <f>Wh_hp&gt;='2020'!Maxi_hp</f>
        <v>0</v>
      </c>
      <c r="I268" s="379">
        <f>IF(H268,Wh_hp,'2020'!Maxi_hp)</f>
        <v>48.625367547378296</v>
      </c>
      <c r="J268" s="85">
        <f>IF(H268,An,'2020'!An_max)</f>
        <v>2018</v>
      </c>
      <c r="K268" s="196">
        <f t="shared" si="76"/>
        <v>44450</v>
      </c>
      <c r="L268" s="147">
        <f>IF(t&lt;Tvie,1-EXP((T0-t)*PertePVj)+'2020'!Pspv,1-EXP((T0-t)*PertePVj)+Pspv)</f>
        <v>2.474096623029285E-2</v>
      </c>
      <c r="M268" s="847"/>
      <c r="N268" s="847"/>
      <c r="O268" s="48">
        <f>IF(t&lt;Tnet,'2020'!Resal+('2020'!Salim-'2020'!Resal)*(1-EXP(('2020'!Tnet-t)/('2020'!Tau_j))),Resal+(Salim-Resal)*(1-EXP((Tnet-t)/(Tau_j))))*Salcycl</f>
        <v>1.6737005426381398E-2</v>
      </c>
      <c r="P268" s="168">
        <f>(INDEX(Models!$BJ268:$BT268,,T268)*(1-R268)+INDEX(Models!$BJ268:$BT268,,T268+1)*R268-ERP_i)*Q268*Ramure*Pc/MaxiM</f>
        <v>3.4233411538917377E-4</v>
      </c>
      <c r="Q268" s="304">
        <f t="shared" si="77"/>
        <v>0.5</v>
      </c>
      <c r="R268" s="176">
        <f t="shared" si="78"/>
        <v>0.72843877557275638</v>
      </c>
      <c r="S268" s="814">
        <f t="shared" si="79"/>
        <v>0</v>
      </c>
      <c r="T268" s="175">
        <f t="shared" si="80"/>
        <v>6</v>
      </c>
      <c r="U268" s="250">
        <f t="shared" si="81"/>
        <v>0.72843877557275638</v>
      </c>
      <c r="V268" s="382">
        <f t="shared" si="82"/>
        <v>48.545104802677102</v>
      </c>
      <c r="W268" s="401"/>
      <c r="X268" s="157">
        <f t="shared" si="83"/>
        <v>44450</v>
      </c>
      <c r="Y268" s="384">
        <f t="shared" si="84"/>
        <v>38.9531461271607</v>
      </c>
      <c r="Z268" s="384">
        <f t="shared" si="85"/>
        <v>39.941333305669133</v>
      </c>
      <c r="AA268" s="385">
        <f t="shared" si="86"/>
        <v>42.223876271557465</v>
      </c>
      <c r="AB268" s="196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5.4058110420948768E-2</v>
      </c>
      <c r="AD268" s="230">
        <f>(INDEX(Models!$BJ268:$BT268,,AH268)*(1-AF268)+INDEX(Models!$BJ268:$BT268,,AH268+1)*AF268-ERP_i)*AE268*Ramure*Pc/MaxiM</f>
        <v>3.4233411538917377E-4</v>
      </c>
      <c r="AE268" s="304">
        <f t="shared" si="88"/>
        <v>0.5</v>
      </c>
      <c r="AF268" s="176">
        <f t="shared" si="89"/>
        <v>0.72843877557275638</v>
      </c>
      <c r="AG268" s="814">
        <f t="shared" si="95"/>
        <v>0</v>
      </c>
      <c r="AH268" s="175">
        <f t="shared" si="90"/>
        <v>6</v>
      </c>
      <c r="AI268" s="224">
        <f t="shared" si="91"/>
        <v>0.72843877557275638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16">
        <v>46.282000000000004</v>
      </c>
      <c r="C269" s="389"/>
      <c r="D269" s="392">
        <f t="shared" si="74"/>
        <v>47.457148169687542</v>
      </c>
      <c r="E269" s="384">
        <f t="shared" si="96"/>
        <v>48.268283397556367</v>
      </c>
      <c r="F269" s="384">
        <f t="shared" si="75"/>
        <v>48.283995668389117</v>
      </c>
      <c r="G269" s="110">
        <f t="shared" si="97"/>
        <v>0.95761801176230721</v>
      </c>
      <c r="H269" s="413" t="b">
        <f>Wh_hp&gt;='2020'!Maxi_hp</f>
        <v>0</v>
      </c>
      <c r="I269" s="379">
        <f>IF(H269,Wh_hp,'2020'!Maxi_hp)</f>
        <v>50.900576803696573</v>
      </c>
      <c r="J269" s="85">
        <f>IF(H269,An,'2020'!An_max)</f>
        <v>2019</v>
      </c>
      <c r="K269" s="196">
        <f t="shared" si="76"/>
        <v>44451</v>
      </c>
      <c r="L269" s="147">
        <f>IF(t&lt;Tvie,1-EXP((T0-t)*PertePVj)+'2020'!Pspv,1-EXP((T0-t)*PertePVj)+Pspv)</f>
        <v>2.4762300622988988E-2</v>
      </c>
      <c r="M269" s="847"/>
      <c r="N269" s="847"/>
      <c r="O269" s="48">
        <f>IF(t&lt;Tnet,'2020'!Resal+('2020'!Salim-'2020'!Resal)*(1-EXP(('2020'!Tnet-t)/('2020'!Tau_j))),Resal+(Salim-Resal)*(1-EXP((Tnet-t)/(Tau_j))))*Salcycl</f>
        <v>1.6804724982407124E-2</v>
      </c>
      <c r="P269" s="168">
        <f>(INDEX(Models!$BJ269:$BT269,,T269)*(1-R269)+INDEX(Models!$BJ269:$BT269,,T269+1)*R269-ERP_i)*Q269*Ramure*Pc/MaxiM</f>
        <v>3.4637523510803726E-4</v>
      </c>
      <c r="Q269" s="304">
        <f t="shared" si="77"/>
        <v>0.5</v>
      </c>
      <c r="R269" s="176">
        <f t="shared" si="78"/>
        <v>0.72869258420170857</v>
      </c>
      <c r="S269" s="814">
        <f t="shared" si="79"/>
        <v>0</v>
      </c>
      <c r="T269" s="175">
        <f t="shared" si="80"/>
        <v>6</v>
      </c>
      <c r="U269" s="250">
        <f t="shared" si="81"/>
        <v>0.72869258420170857</v>
      </c>
      <c r="V269" s="382">
        <f t="shared" si="82"/>
        <v>48.329322309351333</v>
      </c>
      <c r="W269" s="401"/>
      <c r="X269" s="157">
        <f t="shared" si="83"/>
        <v>44451</v>
      </c>
      <c r="Y269" s="384">
        <f t="shared" si="84"/>
        <v>44.527329791629661</v>
      </c>
      <c r="Z269" s="384">
        <f t="shared" si="85"/>
        <v>45.657925057731099</v>
      </c>
      <c r="AA269" s="385">
        <f t="shared" si="86"/>
        <v>48.268283397556367</v>
      </c>
      <c r="AB269" s="196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5.4080198343192297E-2</v>
      </c>
      <c r="AD269" s="230">
        <f>(INDEX(Models!$BJ269:$BT269,,AH269)*(1-AF269)+INDEX(Models!$BJ269:$BT269,,AH269+1)*AF269-ERP_i)*AE269*Ramure*Pc/MaxiM</f>
        <v>3.4637523510803726E-4</v>
      </c>
      <c r="AE269" s="304">
        <f t="shared" si="88"/>
        <v>0.5</v>
      </c>
      <c r="AF269" s="176">
        <f t="shared" si="89"/>
        <v>0.72869258420170857</v>
      </c>
      <c r="AG269" s="814">
        <f t="shared" si="95"/>
        <v>0</v>
      </c>
      <c r="AH269" s="175">
        <f t="shared" si="90"/>
        <v>6</v>
      </c>
      <c r="AI269" s="224">
        <f t="shared" si="91"/>
        <v>0.72869258420170857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16">
        <v>33.131999999999998</v>
      </c>
      <c r="C270" s="389"/>
      <c r="D270" s="392">
        <f t="shared" si="74"/>
        <v>33.973999179820559</v>
      </c>
      <c r="E270" s="384">
        <f t="shared" si="96"/>
        <v>34.557053436599041</v>
      </c>
      <c r="F270" s="384">
        <f t="shared" si="75"/>
        <v>34.563772179642193</v>
      </c>
      <c r="G270" s="110">
        <f t="shared" si="97"/>
        <v>0.6885758408524012</v>
      </c>
      <c r="H270" s="413" t="b">
        <f>Wh_hp&gt;='2020'!Maxi_hp</f>
        <v>0</v>
      </c>
      <c r="I270" s="379">
        <f>IF(H270,Wh_hp,'2020'!Maxi_hp)</f>
        <v>48.380443853441712</v>
      </c>
      <c r="J270" s="85">
        <f>IF(H270,An,'2020'!An_max)</f>
        <v>2020</v>
      </c>
      <c r="K270" s="196">
        <f t="shared" si="76"/>
        <v>44452</v>
      </c>
      <c r="L270" s="147">
        <f>IF(t&lt;Tvie,1-EXP((T0-t)*PertePVj)+'2020'!Pspv,1-EXP((T0-t)*PertePVj)+Pspv)</f>
        <v>2.4783634548407242E-2</v>
      </c>
      <c r="M270" s="847"/>
      <c r="N270" s="847"/>
      <c r="O270" s="48">
        <f>IF(t&lt;Tnet,'2020'!Resal+('2020'!Salim-'2020'!Resal)*(1-EXP(('2020'!Tnet-t)/('2020'!Tau_j))),Resal+(Salim-Resal)*(1-EXP((Tnet-t)/(Tau_j))))*Salcycl</f>
        <v>1.6872221407655475E-2</v>
      </c>
      <c r="P270" s="168">
        <f>(INDEX(Models!$BJ270:$BT270,,T270)*(1-R270)+INDEX(Models!$BJ270:$BT270,,T270+1)*R270-ERP_i)*Q270*Ramure*Pc/MaxiM</f>
        <v>3.5008160851155351E-4</v>
      </c>
      <c r="Q270" s="304">
        <f t="shared" si="77"/>
        <v>0.5</v>
      </c>
      <c r="R270" s="176">
        <f t="shared" si="78"/>
        <v>0.72893658609863465</v>
      </c>
      <c r="S270" s="814">
        <f t="shared" si="79"/>
        <v>0</v>
      </c>
      <c r="T270" s="175">
        <f t="shared" si="80"/>
        <v>6</v>
      </c>
      <c r="U270" s="250">
        <f t="shared" si="81"/>
        <v>0.72893658609863465</v>
      </c>
      <c r="V270" s="382">
        <f t="shared" si="82"/>
        <v>48.109211147391036</v>
      </c>
      <c r="W270" s="401"/>
      <c r="X270" s="157">
        <f t="shared" si="83"/>
        <v>44452</v>
      </c>
      <c r="Y270" s="384">
        <f t="shared" si="84"/>
        <v>31.877339287549432</v>
      </c>
      <c r="Z270" s="384">
        <f t="shared" si="85"/>
        <v>32.687453181518357</v>
      </c>
      <c r="AA270" s="385">
        <f t="shared" si="86"/>
        <v>34.557053436599041</v>
      </c>
      <c r="AB270" s="196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5.4101842291351336E-2</v>
      </c>
      <c r="AD270" s="230">
        <f>(INDEX(Models!$BJ270:$BT270,,AH270)*(1-AF270)+INDEX(Models!$BJ270:$BT270,,AH270+1)*AF270-ERP_i)*AE270*Ramure*Pc/MaxiM</f>
        <v>3.5008160851155351E-4</v>
      </c>
      <c r="AE270" s="304">
        <f t="shared" si="88"/>
        <v>0.5</v>
      </c>
      <c r="AF270" s="176">
        <f t="shared" si="89"/>
        <v>0.72893658609863465</v>
      </c>
      <c r="AG270" s="814">
        <f t="shared" si="95"/>
        <v>0</v>
      </c>
      <c r="AH270" s="175">
        <f t="shared" si="90"/>
        <v>6</v>
      </c>
      <c r="AI270" s="224">
        <f t="shared" si="91"/>
        <v>0.72893658609863465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16">
        <v>20.498999999999999</v>
      </c>
      <c r="C271" s="389"/>
      <c r="D271" s="392">
        <f t="shared" ref="D271:D334" si="98">Wh/(1-Ppv)</f>
        <v>21.02041061273356</v>
      </c>
      <c r="E271" s="384">
        <f t="shared" si="96"/>
        <v>21.382621277329623</v>
      </c>
      <c r="F271" s="384">
        <f t="shared" ref="F271:F334" si="99">Wh_sa/(1-Pvg*MEDIAN((-Sdif+Wh/Env_an)/Csdif,0,1))</f>
        <v>21.384004303500731</v>
      </c>
      <c r="G271" s="110">
        <f t="shared" si="97"/>
        <v>0.42796560291812236</v>
      </c>
      <c r="H271" s="413" t="b">
        <f>Wh_hp&gt;='2020'!Maxi_hp</f>
        <v>0</v>
      </c>
      <c r="I271" s="379">
        <f>IF(H271,Wh_hp,'2020'!Maxi_hp)</f>
        <v>48.09542285224876</v>
      </c>
      <c r="J271" s="85">
        <f>IF(H271,An,'2020'!An_max)</f>
        <v>2020</v>
      </c>
      <c r="K271" s="196">
        <f t="shared" ref="K271:K334" si="100">t</f>
        <v>44453</v>
      </c>
      <c r="L271" s="147">
        <f>IF(t&lt;Tvie,1-EXP((T0-t)*PertePVj)+'2020'!Pspv,1-EXP((T0-t)*PertePVj)+Pspv)</f>
        <v>2.4804968006557716E-2</v>
      </c>
      <c r="M271" s="847"/>
      <c r="N271" s="847"/>
      <c r="O271" s="48">
        <f>IF(t&lt;Tnet,'2020'!Resal+('2020'!Salim-'2020'!Resal)*(1-EXP(('2020'!Tnet-t)/('2020'!Tau_j))),Resal+(Salim-Resal)*(1-EXP((Tnet-t)/(Tau_j))))*Salcycl</f>
        <v>1.6939488376950571E-2</v>
      </c>
      <c r="P271" s="168">
        <f>(INDEX(Models!$BJ271:$BT271,,T271)*(1-R271)+INDEX(Models!$BJ271:$BT271,,T271+1)*R271-ERP_i)*Q271*Ramure*Pc/MaxiM</f>
        <v>3.5344902234384768E-4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0.72917114452129606</v>
      </c>
      <c r="S271" s="814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0.72917114452129606</v>
      </c>
      <c r="V271" s="382">
        <f t="shared" ref="V271:V334" si="106">MaxiM*(1-Ppv)*(1-Pvg)*(1-Psa)</f>
        <v>47.884876526871487</v>
      </c>
      <c r="W271" s="401"/>
      <c r="X271" s="157">
        <f t="shared" ref="X271:X334" si="107">t</f>
        <v>44453</v>
      </c>
      <c r="Y271" s="384">
        <f t="shared" ref="Y271:Y334" si="108">Wh_pvt_s*(1-Ppv)</f>
        <v>19.723640467688689</v>
      </c>
      <c r="Z271" s="384">
        <f t="shared" ref="Z271:Z334" si="109">Wh_sa_s*(1-Psa_s)</f>
        <v>20.225329109163592</v>
      </c>
      <c r="AA271" s="385">
        <f t="shared" ref="AA271:AA334" si="110">Wh_hp*(1-Pvg_s*MEDIAN((-Sdif+Wh/Env_an)/Csdif,0,1))</f>
        <v>21.382621277329623</v>
      </c>
      <c r="AB271" s="196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5.4123026038581191E-2</v>
      </c>
      <c r="AD271" s="230">
        <f>(INDEX(Models!$BJ271:$BT271,,AH271)*(1-AF271)+INDEX(Models!$BJ271:$BT271,,AH271+1)*AF271-ERP_i)*AE271*Ramure*Pc/MaxiM</f>
        <v>3.5344902234384768E-4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0.72917114452129606</v>
      </c>
      <c r="AG271" s="814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0.72917114452129606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30.490000000000002</v>
      </c>
      <c r="C272" s="389"/>
      <c r="D272" s="392">
        <f t="shared" si="98"/>
        <v>31.266224705595036</v>
      </c>
      <c r="E272" s="384">
        <f t="shared" si="96"/>
        <v>31.807153679573634</v>
      </c>
      <c r="F272" s="384">
        <f t="shared" si="99"/>
        <v>31.812658415188142</v>
      </c>
      <c r="G272" s="110">
        <f t="shared" si="97"/>
        <v>0.63967045196853434</v>
      </c>
      <c r="H272" s="413" t="b">
        <f>Wh_hp&gt;='2020'!Maxi_hp</f>
        <v>0</v>
      </c>
      <c r="I272" s="379">
        <f>IF(H272,Wh_hp,'2020'!Maxi_hp)</f>
        <v>48.958278323972046</v>
      </c>
      <c r="J272" s="85">
        <f>IF(H272,An,'2020'!An_max)</f>
        <v>2020</v>
      </c>
      <c r="K272" s="196">
        <f t="shared" si="100"/>
        <v>44454</v>
      </c>
      <c r="L272" s="147">
        <f>IF(t&lt;Tvie,1-EXP((T0-t)*PertePVj)+'2020'!Pspv,1-EXP((T0-t)*PertePVj)+Pspv)</f>
        <v>2.4826300997450736E-2</v>
      </c>
      <c r="M272" s="847"/>
      <c r="N272" s="847"/>
      <c r="O272" s="48">
        <f>IF(t&lt;Tnet,'2020'!Resal+('2020'!Salim-'2020'!Resal)*(1-EXP(('2020'!Tnet-t)/('2020'!Tau_j))),Resal+(Salim-Resal)*(1-EXP((Tnet-t)/(Tau_j))))*Salcycl</f>
        <v>1.7006519332975683E-2</v>
      </c>
      <c r="P272" s="168">
        <f>(INDEX(Models!$BJ272:$BT272,,T272)*(1-R272)+INDEX(Models!$BJ272:$BT272,,T272+1)*R272-ERP_i)*Q272*Ramure*Pc/MaxiM</f>
        <v>3.5647306400597223E-4</v>
      </c>
      <c r="Q272" s="304">
        <f t="shared" si="101"/>
        <v>0.5</v>
      </c>
      <c r="R272" s="176">
        <f t="shared" si="102"/>
        <v>0.72939661048723481</v>
      </c>
      <c r="S272" s="814">
        <f t="shared" si="103"/>
        <v>0</v>
      </c>
      <c r="T272" s="175">
        <f t="shared" si="104"/>
        <v>6</v>
      </c>
      <c r="U272" s="250">
        <f t="shared" si="105"/>
        <v>0.72939661048723481</v>
      </c>
      <c r="V272" s="382">
        <f t="shared" si="106"/>
        <v>47.656423620290937</v>
      </c>
      <c r="W272" s="401"/>
      <c r="X272" s="157">
        <f t="shared" si="107"/>
        <v>44454</v>
      </c>
      <c r="Y272" s="384">
        <f t="shared" si="108"/>
        <v>29.338096491112523</v>
      </c>
      <c r="Z272" s="384">
        <f t="shared" si="109"/>
        <v>30.084995648591452</v>
      </c>
      <c r="AA272" s="385">
        <f t="shared" si="110"/>
        <v>31.807153679573634</v>
      </c>
      <c r="AB272" s="196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5.4143732832282326E-2</v>
      </c>
      <c r="AD272" s="230">
        <f>(INDEX(Models!$BJ272:$BT272,,AH272)*(1-AF272)+INDEX(Models!$BJ272:$BT272,,AH272+1)*AF272-ERP_i)*AE272*Ramure*Pc/MaxiM</f>
        <v>3.5647306400597223E-4</v>
      </c>
      <c r="AE272" s="304">
        <f t="shared" si="112"/>
        <v>0.5</v>
      </c>
      <c r="AF272" s="176">
        <f t="shared" si="113"/>
        <v>0.72939661048723481</v>
      </c>
      <c r="AG272" s="814">
        <f t="shared" ref="AG272:AG335" si="119">INDEX(Echel_vg,AH272)</f>
        <v>0</v>
      </c>
      <c r="AH272" s="175">
        <f t="shared" si="114"/>
        <v>6</v>
      </c>
      <c r="AI272" s="224">
        <f t="shared" si="115"/>
        <v>0.72939661048723481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16">
        <v>21.859000000000002</v>
      </c>
      <c r="C273" s="389"/>
      <c r="D273" s="392">
        <f t="shared" si="98"/>
        <v>22.415984159407667</v>
      </c>
      <c r="E273" s="384">
        <f t="shared" si="96"/>
        <v>22.805346858809113</v>
      </c>
      <c r="F273" s="384">
        <f t="shared" si="99"/>
        <v>22.8072299841694</v>
      </c>
      <c r="G273" s="110">
        <f t="shared" si="97"/>
        <v>0.46079987458392996</v>
      </c>
      <c r="H273" s="413" t="b">
        <f>Wh_hp&gt;='2020'!Maxi_hp</f>
        <v>0</v>
      </c>
      <c r="I273" s="379">
        <f>IF(H273,Wh_hp,'2020'!Maxi_hp)</f>
        <v>47.140487034967791</v>
      </c>
      <c r="J273" s="85">
        <f>IF(H273,An,'2020'!An_max)</f>
        <v>2018</v>
      </c>
      <c r="K273" s="196">
        <f t="shared" si="100"/>
        <v>44455</v>
      </c>
      <c r="L273" s="147">
        <f>IF(t&lt;Tvie,1-EXP((T0-t)*PertePVj)+'2020'!Pspv,1-EXP((T0-t)*PertePVj)+Pspv)</f>
        <v>2.4847633521096514E-2</v>
      </c>
      <c r="M273" s="847"/>
      <c r="N273" s="847"/>
      <c r="O273" s="48">
        <f>IF(t&lt;Tnet,'2020'!Resal+('2020'!Salim-'2020'!Resal)*(1-EXP(('2020'!Tnet-t)/('2020'!Tau_j))),Resal+(Salim-Resal)*(1-EXP((Tnet-t)/(Tau_j))))*Salcycl</f>
        <v>1.7073307492845389E-2</v>
      </c>
      <c r="P273" s="168">
        <f>(INDEX(Models!$BJ273:$BT273,,T273)*(1-R273)+INDEX(Models!$BJ273:$BT273,,T273+1)*R273-ERP_i)*Q273*Ramure*Pc/MaxiM</f>
        <v>3.5914912949605582E-4</v>
      </c>
      <c r="Q273" s="304">
        <f t="shared" si="101"/>
        <v>0.5</v>
      </c>
      <c r="R273" s="176">
        <f t="shared" si="102"/>
        <v>0.72961332309037219</v>
      </c>
      <c r="S273" s="814">
        <f t="shared" si="103"/>
        <v>0</v>
      </c>
      <c r="T273" s="175">
        <f t="shared" si="104"/>
        <v>6</v>
      </c>
      <c r="U273" s="250">
        <f t="shared" si="105"/>
        <v>0.72961332309037219</v>
      </c>
      <c r="V273" s="382">
        <f t="shared" si="106"/>
        <v>47.423957553170347</v>
      </c>
      <c r="W273" s="401"/>
      <c r="X273" s="157">
        <f t="shared" si="107"/>
        <v>44455</v>
      </c>
      <c r="Y273" s="384">
        <f t="shared" si="108"/>
        <v>21.034152876916021</v>
      </c>
      <c r="Z273" s="384">
        <f t="shared" si="109"/>
        <v>21.570119296194186</v>
      </c>
      <c r="AA273" s="385">
        <f t="shared" si="110"/>
        <v>22.805346858809113</v>
      </c>
      <c r="AB273" s="196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5.416394542307907E-2</v>
      </c>
      <c r="AD273" s="230">
        <f>(INDEX(Models!$BJ273:$BT273,,AH273)*(1-AF273)+INDEX(Models!$BJ273:$BT273,,AH273+1)*AF273-ERP_i)*AE273*Ramure*Pc/MaxiM</f>
        <v>3.5914912949605582E-4</v>
      </c>
      <c r="AE273" s="304">
        <f t="shared" si="112"/>
        <v>0.5</v>
      </c>
      <c r="AF273" s="176">
        <f t="shared" si="113"/>
        <v>0.72961332309037219</v>
      </c>
      <c r="AG273" s="814">
        <f t="shared" si="119"/>
        <v>0</v>
      </c>
      <c r="AH273" s="175">
        <f t="shared" si="114"/>
        <v>6</v>
      </c>
      <c r="AI273" s="224">
        <f t="shared" si="115"/>
        <v>0.72961332309037219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44456</v>
      </c>
      <c r="B274" s="616">
        <v>44.356999999999999</v>
      </c>
      <c r="C274" s="389"/>
      <c r="D274" s="392">
        <f t="shared" si="98"/>
        <v>45.488245614364743</v>
      </c>
      <c r="E274" s="384">
        <f t="shared" si="96"/>
        <v>46.281503449553917</v>
      </c>
      <c r="F274" s="384">
        <f t="shared" si="99"/>
        <v>46.296804378150576</v>
      </c>
      <c r="G274" s="110">
        <f t="shared" si="97"/>
        <v>0.93998510495079457</v>
      </c>
      <c r="H274" s="413" t="b">
        <f>Wh_hp&gt;='2020'!Maxi_hp</f>
        <v>1</v>
      </c>
      <c r="I274" s="379">
        <f>IF(H274,Wh_hp,'2020'!Maxi_hp)</f>
        <v>46.296804378150576</v>
      </c>
      <c r="J274" s="85">
        <f>IF(H274,An,'2020'!An_max)</f>
        <v>2021</v>
      </c>
      <c r="K274" s="196">
        <f t="shared" si="100"/>
        <v>44456</v>
      </c>
      <c r="L274" s="147">
        <f>IF(t&lt;Tvie,1-EXP((T0-t)*PertePVj)+'2020'!Pspv,1-EXP((T0-t)*PertePVj)+Pspv)</f>
        <v>2.4868965577505266E-2</v>
      </c>
      <c r="M274" s="847"/>
      <c r="N274" s="847"/>
      <c r="O274" s="48">
        <f>IF(t&lt;Tnet,'2020'!Resal+('2020'!Salim-'2020'!Resal)*(1-EXP(('2020'!Tnet-t)/('2020'!Tau_j))),Resal+(Salim-Resal)*(1-EXP((Tnet-t)/(Tau_j))))*Salcycl</f>
        <v>1.7139845857726054E-2</v>
      </c>
      <c r="P274" s="168">
        <f>(INDEX(Models!$BJ274:$BT274,,T274)*(1-R274)+INDEX(Models!$BJ274:$BT274,,T274+1)*R274-ERP_i)*Q274*Ramure*Pc/MaxiM</f>
        <v>3.6147243250096288E-4</v>
      </c>
      <c r="Q274" s="304">
        <f t="shared" si="101"/>
        <v>0.5</v>
      </c>
      <c r="R274" s="176">
        <f t="shared" si="102"/>
        <v>0.72982160981743127</v>
      </c>
      <c r="S274" s="814">
        <f t="shared" si="103"/>
        <v>0</v>
      </c>
      <c r="T274" s="175">
        <f t="shared" si="104"/>
        <v>6</v>
      </c>
      <c r="U274" s="250">
        <f t="shared" si="105"/>
        <v>0.72982160981743127</v>
      </c>
      <c r="V274" s="382">
        <f t="shared" si="106"/>
        <v>47.187583409158314</v>
      </c>
      <c r="W274" s="401"/>
      <c r="X274" s="157">
        <f t="shared" si="107"/>
        <v>44456</v>
      </c>
      <c r="Y274" s="384">
        <f t="shared" si="108"/>
        <v>42.685193649377005</v>
      </c>
      <c r="Z274" s="384">
        <f t="shared" si="109"/>
        <v>43.773802845539223</v>
      </c>
      <c r="AA274" s="385">
        <f t="shared" si="110"/>
        <v>46.281503449553917</v>
      </c>
      <c r="AB274" s="196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5.4183646102768643E-2</v>
      </c>
      <c r="AD274" s="230">
        <f>(INDEX(Models!$BJ274:$BT274,,AH274)*(1-AF274)+INDEX(Models!$BJ274:$BT274,,AH274+1)*AF274-ERP_i)*AE274*Ramure*Pc/MaxiM</f>
        <v>3.6147243250096288E-4</v>
      </c>
      <c r="AE274" s="304">
        <f t="shared" si="112"/>
        <v>0.5</v>
      </c>
      <c r="AF274" s="176">
        <f t="shared" si="113"/>
        <v>0.72982160981743127</v>
      </c>
      <c r="AG274" s="814">
        <f t="shared" si="119"/>
        <v>0</v>
      </c>
      <c r="AH274" s="175">
        <f t="shared" si="114"/>
        <v>6</v>
      </c>
      <c r="AI274" s="224">
        <f t="shared" si="115"/>
        <v>0.72982160981743127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16">
        <v>8.2710000000000008</v>
      </c>
      <c r="C275" s="389"/>
      <c r="D275" s="392">
        <f t="shared" si="98"/>
        <v>8.4821225508960634</v>
      </c>
      <c r="E275" s="384">
        <f t="shared" si="96"/>
        <v>8.6306221333594131</v>
      </c>
      <c r="F275" s="384">
        <f t="shared" si="99"/>
        <v>8.6306221333594131</v>
      </c>
      <c r="G275" s="110">
        <f t="shared" si="97"/>
        <v>0.17611787330508938</v>
      </c>
      <c r="H275" s="413" t="b">
        <f>Wh_hp&gt;='2020'!Maxi_hp</f>
        <v>0</v>
      </c>
      <c r="I275" s="379">
        <f>IF(H275,Wh_hp,'2020'!Maxi_hp)</f>
        <v>43.87264914274769</v>
      </c>
      <c r="J275" s="85">
        <f>IF(H275,An,'2020'!An_max)</f>
        <v>2020</v>
      </c>
      <c r="K275" s="196">
        <f t="shared" si="100"/>
        <v>44457</v>
      </c>
      <c r="L275" s="147">
        <f>IF(t&lt;Tvie,1-EXP((T0-t)*PertePVj)+'2020'!Pspv,1-EXP((T0-t)*PertePVj)+Pspv)</f>
        <v>2.4890297166687204E-2</v>
      </c>
      <c r="M275" s="847"/>
      <c r="N275" s="847"/>
      <c r="O275" s="48">
        <f>IF(t&lt;Tnet,'2020'!Resal+('2020'!Salim-'2020'!Resal)*(1-EXP(('2020'!Tnet-t)/('2020'!Tau_j))),Resal+(Salim-Resal)*(1-EXP((Tnet-t)/(Tau_j))))*Salcycl</f>
        <v>1.7206127225679733E-2</v>
      </c>
      <c r="P275" s="168">
        <f>(INDEX(Models!$BJ275:$BT275,,T275)*(1-R275)+INDEX(Models!$BJ275:$BT275,,T275+1)*R275-ERP_i)*Q275*Ramure*Pc/MaxiM</f>
        <v>3.6345046958840546E-4</v>
      </c>
      <c r="Q275" s="304">
        <f t="shared" si="101"/>
        <v>0.5</v>
      </c>
      <c r="R275" s="176">
        <f t="shared" si="102"/>
        <v>0.73002178686334585</v>
      </c>
      <c r="S275" s="814">
        <f t="shared" si="103"/>
        <v>0</v>
      </c>
      <c r="T275" s="175">
        <f t="shared" si="104"/>
        <v>6</v>
      </c>
      <c r="U275" s="250">
        <f t="shared" si="105"/>
        <v>0.73002178686334585</v>
      </c>
      <c r="V275" s="382">
        <f t="shared" si="106"/>
        <v>46.94579684620296</v>
      </c>
      <c r="W275" s="401"/>
      <c r="X275" s="157">
        <f t="shared" si="107"/>
        <v>44457</v>
      </c>
      <c r="Y275" s="384">
        <f t="shared" si="108"/>
        <v>7.9596431351012615</v>
      </c>
      <c r="Z275" s="384">
        <f t="shared" si="109"/>
        <v>8.1628181034128211</v>
      </c>
      <c r="AA275" s="385">
        <f t="shared" si="110"/>
        <v>8.6306221333594131</v>
      </c>
      <c r="AB275" s="196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5.4202816751577808E-2</v>
      </c>
      <c r="AD275" s="230">
        <f>(INDEX(Models!$BJ275:$BT275,,AH275)*(1-AF275)+INDEX(Models!$BJ275:$BT275,,AH275+1)*AF275-ERP_i)*AE275*Ramure*Pc/MaxiM</f>
        <v>3.6345046958840546E-4</v>
      </c>
      <c r="AE275" s="304">
        <f t="shared" si="112"/>
        <v>0.5</v>
      </c>
      <c r="AF275" s="176">
        <f t="shared" si="113"/>
        <v>0.73002178686334585</v>
      </c>
      <c r="AG275" s="814">
        <f t="shared" si="119"/>
        <v>0</v>
      </c>
      <c r="AH275" s="175">
        <f t="shared" si="114"/>
        <v>6</v>
      </c>
      <c r="AI275" s="224">
        <f t="shared" si="115"/>
        <v>0.73002178686334585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16">
        <v>30.018000000000001</v>
      </c>
      <c r="C276" s="389"/>
      <c r="D276" s="392">
        <f t="shared" si="98"/>
        <v>30.784902036434232</v>
      </c>
      <c r="E276" s="384">
        <f t="shared" si="96"/>
        <v>31.325968685013226</v>
      </c>
      <c r="F276" s="384">
        <f t="shared" si="99"/>
        <v>31.331569222695848</v>
      </c>
      <c r="G276" s="110">
        <f t="shared" si="97"/>
        <v>0.64269915949815648</v>
      </c>
      <c r="H276" s="413" t="b">
        <f>Wh_hp&gt;='2020'!Maxi_hp</f>
        <v>0</v>
      </c>
      <c r="I276" s="379">
        <f>IF(H276,Wh_hp,'2020'!Maxi_hp)</f>
        <v>43.178617640852714</v>
      </c>
      <c r="J276" s="85">
        <f>IF(H276,An,'2020'!An_max)</f>
        <v>2019</v>
      </c>
      <c r="K276" s="196">
        <f t="shared" si="100"/>
        <v>44458</v>
      </c>
      <c r="L276" s="147">
        <f>IF(t&lt;Tvie,1-EXP((T0-t)*PertePVj)+'2020'!Pspv,1-EXP((T0-t)*PertePVj)+Pspv)</f>
        <v>2.4911628288652544E-2</v>
      </c>
      <c r="M276" s="847"/>
      <c r="N276" s="847"/>
      <c r="O276" s="48">
        <f>IF(t&lt;Tnet,'2020'!Resal+('2020'!Salim-'2020'!Resal)*(1-EXP(('2020'!Tnet-t)/('2020'!Tau_j))),Resal+(Salim-Resal)*(1-EXP((Tnet-t)/(Tau_j))))*Salcycl</f>
        <v>1.7272144207877149E-2</v>
      </c>
      <c r="P276" s="168">
        <f>(INDEX(Models!$BJ276:$BT276,,T276)*(1-R276)+INDEX(Models!$BJ276:$BT276,,T276+1)*R276-ERP_i)*Q276*Ramure*Pc/MaxiM</f>
        <v>3.6498991195687164E-4</v>
      </c>
      <c r="Q276" s="304">
        <f t="shared" si="101"/>
        <v>0.5</v>
      </c>
      <c r="R276" s="176">
        <f t="shared" si="102"/>
        <v>0.73021415944490287</v>
      </c>
      <c r="S276" s="814">
        <f t="shared" si="103"/>
        <v>0</v>
      </c>
      <c r="T276" s="175">
        <f t="shared" si="104"/>
        <v>6</v>
      </c>
      <c r="U276" s="250">
        <f t="shared" si="105"/>
        <v>0.73021415944490287</v>
      </c>
      <c r="V276" s="382">
        <f t="shared" si="106"/>
        <v>46.697444716011375</v>
      </c>
      <c r="W276" s="401"/>
      <c r="X276" s="157">
        <f t="shared" si="107"/>
        <v>44458</v>
      </c>
      <c r="Y276" s="384">
        <f t="shared" si="108"/>
        <v>28.88936207508543</v>
      </c>
      <c r="Z276" s="384">
        <f t="shared" si="109"/>
        <v>29.627429588133232</v>
      </c>
      <c r="AA276" s="385">
        <f t="shared" si="110"/>
        <v>31.325968685013226</v>
      </c>
      <c r="AB276" s="196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5.4221438894963815E-2</v>
      </c>
      <c r="AD276" s="230">
        <f>(INDEX(Models!$BJ276:$BT276,,AH276)*(1-AF276)+INDEX(Models!$BJ276:$BT276,,AH276+1)*AF276-ERP_i)*AE276*Ramure*Pc/MaxiM</f>
        <v>3.6498991195687164E-4</v>
      </c>
      <c r="AE276" s="304">
        <f t="shared" si="112"/>
        <v>0.5</v>
      </c>
      <c r="AF276" s="176">
        <f t="shared" si="113"/>
        <v>0.73021415944490287</v>
      </c>
      <c r="AG276" s="814">
        <f t="shared" si="119"/>
        <v>0</v>
      </c>
      <c r="AH276" s="175">
        <f t="shared" si="114"/>
        <v>6</v>
      </c>
      <c r="AI276" s="224">
        <f t="shared" si="115"/>
        <v>0.73021415944490287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44459</v>
      </c>
      <c r="B277" s="616">
        <v>27.693000000000001</v>
      </c>
      <c r="C277" s="389"/>
      <c r="D277" s="392">
        <f t="shared" si="98"/>
        <v>28.401124060138169</v>
      </c>
      <c r="E277" s="384">
        <f t="shared" si="96"/>
        <v>28.90222768273027</v>
      </c>
      <c r="F277" s="384">
        <f t="shared" si="99"/>
        <v>28.906705263524863</v>
      </c>
      <c r="G277" s="110">
        <f t="shared" si="97"/>
        <v>0.59615141837995556</v>
      </c>
      <c r="H277" s="413" t="b">
        <f>Wh_hp&gt;='2020'!Maxi_hp</f>
        <v>0</v>
      </c>
      <c r="I277" s="379">
        <f>IF(H277,Wh_hp,'2020'!Maxi_hp)</f>
        <v>48.114900996687737</v>
      </c>
      <c r="J277" s="85">
        <f>IF(H277,An,'2020'!An_max)</f>
        <v>2019</v>
      </c>
      <c r="K277" s="196">
        <f t="shared" si="100"/>
        <v>44459</v>
      </c>
      <c r="L277" s="147">
        <f>IF(t&lt;Tvie,1-EXP((T0-t)*PertePVj)+'2020'!Pspv,1-EXP((T0-t)*PertePVj)+Pspv)</f>
        <v>2.4932958943411722E-2</v>
      </c>
      <c r="M277" s="847"/>
      <c r="N277" s="847"/>
      <c r="O277" s="48">
        <f>IF(t&lt;Tnet,'2020'!Resal+('2020'!Salim-'2020'!Resal)*(1-EXP(('2020'!Tnet-t)/('2020'!Tau_j))),Resal+(Salim-Resal)*(1-EXP((Tnet-t)/(Tau_j))))*Salcycl</f>
        <v>1.7337889248292208E-2</v>
      </c>
      <c r="P277" s="168">
        <f>(INDEX(Models!$BJ277:$BT277,,T277)*(1-R277)+INDEX(Models!$BJ277:$BT277,,T277+1)*R277-ERP_i)*Q277*Ramure*Pc/MaxiM</f>
        <v>3.6596917399856719E-4</v>
      </c>
      <c r="Q277" s="304">
        <f t="shared" si="101"/>
        <v>0.5</v>
      </c>
      <c r="R277" s="176">
        <f t="shared" si="102"/>
        <v>0.73039902211193808</v>
      </c>
      <c r="S277" s="814">
        <f t="shared" si="103"/>
        <v>0</v>
      </c>
      <c r="T277" s="175">
        <f t="shared" si="104"/>
        <v>6</v>
      </c>
      <c r="U277" s="250">
        <f t="shared" si="105"/>
        <v>0.73039902211193808</v>
      </c>
      <c r="V277" s="382">
        <f t="shared" si="106"/>
        <v>46.443156951725399</v>
      </c>
      <c r="W277" s="401"/>
      <c r="X277" s="157">
        <f t="shared" si="107"/>
        <v>44459</v>
      </c>
      <c r="Y277" s="384">
        <f t="shared" si="108"/>
        <v>26.653053386773642</v>
      </c>
      <c r="Z277" s="384">
        <f t="shared" si="109"/>
        <v>27.334585484391145</v>
      </c>
      <c r="AA277" s="385">
        <f t="shared" si="110"/>
        <v>28.90222768273027</v>
      </c>
      <c r="AB277" s="196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5.4239493770088416E-2</v>
      </c>
      <c r="AD277" s="230">
        <f>(INDEX(Models!$BJ277:$BT277,,AH277)*(1-AF277)+INDEX(Models!$BJ277:$BT277,,AH277+1)*AF277-ERP_i)*AE277*Ramure*Pc/MaxiM</f>
        <v>3.6596917399856719E-4</v>
      </c>
      <c r="AE277" s="304">
        <f t="shared" si="112"/>
        <v>0.5</v>
      </c>
      <c r="AF277" s="176">
        <f t="shared" si="113"/>
        <v>0.73039902211193808</v>
      </c>
      <c r="AG277" s="814">
        <f t="shared" si="119"/>
        <v>0</v>
      </c>
      <c r="AH277" s="175">
        <f t="shared" si="114"/>
        <v>6</v>
      </c>
      <c r="AI277" s="224">
        <f t="shared" si="115"/>
        <v>0.73039902211193808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16">
        <v>13.183</v>
      </c>
      <c r="C278" s="389"/>
      <c r="D278" s="392">
        <f t="shared" si="98"/>
        <v>13.520391765274715</v>
      </c>
      <c r="E278" s="384">
        <f t="shared" si="96"/>
        <v>13.75985947969207</v>
      </c>
      <c r="F278" s="384">
        <f t="shared" si="99"/>
        <v>13.75985947969207</v>
      </c>
      <c r="G278" s="110">
        <f t="shared" si="97"/>
        <v>0.2853433260884457</v>
      </c>
      <c r="H278" s="413" t="b">
        <f>Wh_hp&gt;='2020'!Maxi_hp</f>
        <v>0</v>
      </c>
      <c r="I278" s="379">
        <f>IF(H278,Wh_hp,'2020'!Maxi_hp)</f>
        <v>37.617231305236523</v>
      </c>
      <c r="J278" s="85">
        <f>IF(H278,An,'2020'!An_max)</f>
        <v>2020</v>
      </c>
      <c r="K278" s="196">
        <f t="shared" si="100"/>
        <v>44460</v>
      </c>
      <c r="L278" s="147">
        <f>IF(t&lt;Tvie,1-EXP((T0-t)*PertePVj)+'2020'!Pspv,1-EXP((T0-t)*PertePVj)+Pspv)</f>
        <v>2.4954289130974729E-2</v>
      </c>
      <c r="M278" s="847"/>
      <c r="N278" s="847"/>
      <c r="O278" s="48">
        <f>IF(t&lt;Tnet,'2020'!Resal+('2020'!Salim-'2020'!Resal)*(1-EXP(('2020'!Tnet-t)/('2020'!Tau_j))),Resal+(Salim-Resal)*(1-EXP((Tnet-t)/(Tau_j))))*Salcycl</f>
        <v>1.7403354646955683E-2</v>
      </c>
      <c r="P278" s="168">
        <f>(INDEX(Models!$BJ278:$BT278,,T278)*(1-R278)+INDEX(Models!$BJ278:$BT278,,T278+1)*R278-ERP_i)*Q278*Ramure*Pc/MaxiM</f>
        <v>3.6637663401589606E-4</v>
      </c>
      <c r="Q278" s="304">
        <f t="shared" si="101"/>
        <v>0.5</v>
      </c>
      <c r="R278" s="176">
        <f t="shared" si="102"/>
        <v>0.73057665905549074</v>
      </c>
      <c r="S278" s="814">
        <f t="shared" si="103"/>
        <v>0</v>
      </c>
      <c r="T278" s="175">
        <f t="shared" si="104"/>
        <v>6</v>
      </c>
      <c r="U278" s="250">
        <f t="shared" si="105"/>
        <v>0.73057665905549074</v>
      </c>
      <c r="V278" s="382">
        <f t="shared" si="106"/>
        <v>46.183558022832571</v>
      </c>
      <c r="W278" s="401"/>
      <c r="X278" s="157">
        <f t="shared" si="107"/>
        <v>44460</v>
      </c>
      <c r="Y278" s="384">
        <f t="shared" si="108"/>
        <v>12.688553867568961</v>
      </c>
      <c r="Z278" s="384">
        <f t="shared" si="109"/>
        <v>13.013291301245848</v>
      </c>
      <c r="AA278" s="385">
        <f t="shared" si="110"/>
        <v>13.75985947969207</v>
      </c>
      <c r="AB278" s="196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5.4256962401982932E-2</v>
      </c>
      <c r="AD278" s="230">
        <f>(INDEX(Models!$BJ278:$BT278,,AH278)*(1-AF278)+INDEX(Models!$BJ278:$BT278,,AH278+1)*AF278-ERP_i)*AE278*Ramure*Pc/MaxiM</f>
        <v>3.6637663401589606E-4</v>
      </c>
      <c r="AE278" s="304">
        <f t="shared" si="112"/>
        <v>0.5</v>
      </c>
      <c r="AF278" s="176">
        <f t="shared" si="113"/>
        <v>0.73057665905549074</v>
      </c>
      <c r="AG278" s="814">
        <f t="shared" si="119"/>
        <v>0</v>
      </c>
      <c r="AH278" s="175">
        <f t="shared" si="114"/>
        <v>6</v>
      </c>
      <c r="AI278" s="224">
        <f t="shared" si="115"/>
        <v>0.73057665905549074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16">
        <v>43.204999999999998</v>
      </c>
      <c r="C279" s="389"/>
      <c r="D279" s="392">
        <f t="shared" si="98"/>
        <v>44.311712440566289</v>
      </c>
      <c r="E279" s="384">
        <f t="shared" si="96"/>
        <v>45.099535139805894</v>
      </c>
      <c r="F279" s="384">
        <f t="shared" si="99"/>
        <v>45.114661069235737</v>
      </c>
      <c r="G279" s="110">
        <f t="shared" si="97"/>
        <v>0.94086124415505501</v>
      </c>
      <c r="H279" s="413" t="b">
        <f>Wh_hp&gt;='2020'!Maxi_hp</f>
        <v>1</v>
      </c>
      <c r="I279" s="379">
        <f>IF(H279,Wh_hp,'2020'!Maxi_hp)</f>
        <v>45.114661069235737</v>
      </c>
      <c r="J279" s="85">
        <f>IF(H279,An,'2020'!An_max)</f>
        <v>2021</v>
      </c>
      <c r="K279" s="196">
        <f t="shared" si="100"/>
        <v>44461</v>
      </c>
      <c r="L279" s="147">
        <f>IF(t&lt;Tvie,1-EXP((T0-t)*PertePVj)+'2020'!Pspv,1-EXP((T0-t)*PertePVj)+Pspv)</f>
        <v>2.497561885135189E-2</v>
      </c>
      <c r="M279" s="847"/>
      <c r="N279" s="847"/>
      <c r="O279" s="48">
        <f>IF(t&lt;Tnet,'2020'!Resal+('2020'!Salim-'2020'!Resal)*(1-EXP(('2020'!Tnet-t)/('2020'!Tau_j))),Resal+(Salim-Resal)*(1-EXP((Tnet-t)/(Tau_j))))*Salcycl</f>
        <v>1.7468532586808236E-2</v>
      </c>
      <c r="P279" s="168">
        <f>(INDEX(Models!$BJ279:$BT279,,T279)*(1-R279)+INDEX(Models!$BJ279:$BT279,,T279+1)*R279-ERP_i)*Q279*Ramure*Pc/MaxiM</f>
        <v>3.6620028606886381E-4</v>
      </c>
      <c r="Q279" s="304">
        <f t="shared" si="101"/>
        <v>0.5</v>
      </c>
      <c r="R279" s="176">
        <f t="shared" si="102"/>
        <v>0.73074734441237688</v>
      </c>
      <c r="S279" s="814">
        <f t="shared" si="103"/>
        <v>0</v>
      </c>
      <c r="T279" s="175">
        <f t="shared" si="104"/>
        <v>6</v>
      </c>
      <c r="U279" s="250">
        <f t="shared" si="105"/>
        <v>0.73074734441237688</v>
      </c>
      <c r="V279" s="382">
        <f t="shared" si="106"/>
        <v>45.91927215627809</v>
      </c>
      <c r="W279" s="401"/>
      <c r="X279" s="157">
        <f t="shared" si="107"/>
        <v>44461</v>
      </c>
      <c r="Y279" s="384">
        <f t="shared" si="108"/>
        <v>41.586555460325229</v>
      </c>
      <c r="Z279" s="384">
        <f t="shared" si="109"/>
        <v>42.651810830959228</v>
      </c>
      <c r="AA279" s="385">
        <f t="shared" si="110"/>
        <v>45.099535139805894</v>
      </c>
      <c r="AB279" s="196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5.4273825689308337E-2</v>
      </c>
      <c r="AD279" s="230">
        <f>(INDEX(Models!$BJ279:$BT279,,AH279)*(1-AF279)+INDEX(Models!$BJ279:$BT279,,AH279+1)*AF279-ERP_i)*AE279*Ramure*Pc/MaxiM</f>
        <v>3.6620028606886381E-4</v>
      </c>
      <c r="AE279" s="304">
        <f t="shared" si="112"/>
        <v>0.5</v>
      </c>
      <c r="AF279" s="176">
        <f t="shared" si="113"/>
        <v>0.73074734441237688</v>
      </c>
      <c r="AG279" s="814">
        <f t="shared" si="119"/>
        <v>0</v>
      </c>
      <c r="AH279" s="175">
        <f t="shared" si="114"/>
        <v>6</v>
      </c>
      <c r="AI279" s="224">
        <f t="shared" si="115"/>
        <v>0.73074734441237688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16">
        <v>36.15</v>
      </c>
      <c r="C280" s="389"/>
      <c r="D280" s="392">
        <f t="shared" si="98"/>
        <v>37.076807020986131</v>
      </c>
      <c r="E280" s="384">
        <f t="shared" si="96"/>
        <v>37.738491662982163</v>
      </c>
      <c r="F280" s="384">
        <f t="shared" si="99"/>
        <v>37.748184704597399</v>
      </c>
      <c r="G280" s="110">
        <f t="shared" si="97"/>
        <v>0.79179277865688569</v>
      </c>
      <c r="H280" s="413" t="b">
        <f>Wh_hp&gt;='2020'!Maxi_hp</f>
        <v>0</v>
      </c>
      <c r="I280" s="379">
        <f>IF(H280,Wh_hp,'2020'!Maxi_hp)</f>
        <v>44.179127561148483</v>
      </c>
      <c r="J280" s="85">
        <f>IF(H280,An,'2020'!An_max)</f>
        <v>2018</v>
      </c>
      <c r="K280" s="196">
        <f t="shared" si="100"/>
        <v>44462</v>
      </c>
      <c r="L280" s="147">
        <f>IF(t&lt;Tvie,1-EXP((T0-t)*PertePVj)+'2020'!Pspv,1-EXP((T0-t)*PertePVj)+Pspv)</f>
        <v>2.4996948104553419E-2</v>
      </c>
      <c r="M280" s="847"/>
      <c r="N280" s="847"/>
      <c r="O280" s="48">
        <f>IF(t&lt;Tnet,'2020'!Resal+('2020'!Salim-'2020'!Resal)*(1-EXP(('2020'!Tnet-t)/('2020'!Tau_j))),Resal+(Salim-Resal)*(1-EXP((Tnet-t)/(Tau_j))))*Salcycl</f>
        <v>1.7533415164153968E-2</v>
      </c>
      <c r="P280" s="168">
        <f>(INDEX(Models!$BJ280:$BT280,,T280)*(1-R280)+INDEX(Models!$BJ280:$BT280,,T280+1)*R280-ERP_i)*Q280*Ramure*Pc/MaxiM</f>
        <v>3.6542975646637003E-4</v>
      </c>
      <c r="Q280" s="304">
        <f t="shared" si="101"/>
        <v>0.5</v>
      </c>
      <c r="R280" s="176">
        <f t="shared" si="102"/>
        <v>0.73091134256571588</v>
      </c>
      <c r="S280" s="814">
        <f t="shared" si="103"/>
        <v>0</v>
      </c>
      <c r="T280" s="175">
        <f t="shared" si="104"/>
        <v>6</v>
      </c>
      <c r="U280" s="250">
        <f t="shared" si="105"/>
        <v>0.73091134256571588</v>
      </c>
      <c r="V280" s="382">
        <f t="shared" si="106"/>
        <v>45.650923242702873</v>
      </c>
      <c r="W280" s="401"/>
      <c r="X280" s="157">
        <f t="shared" si="107"/>
        <v>44462</v>
      </c>
      <c r="Y280" s="384">
        <f t="shared" si="108"/>
        <v>34.797533774703737</v>
      </c>
      <c r="Z280" s="384">
        <f t="shared" si="109"/>
        <v>35.689666516485133</v>
      </c>
      <c r="AA280" s="385">
        <f t="shared" si="110"/>
        <v>37.738491662982163</v>
      </c>
      <c r="AB280" s="196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5.4290064499497047E-2</v>
      </c>
      <c r="AD280" s="230">
        <f>(INDEX(Models!$BJ280:$BT280,,AH280)*(1-AF280)+INDEX(Models!$BJ280:$BT280,,AH280+1)*AF280-ERP_i)*AE280*Ramure*Pc/MaxiM</f>
        <v>3.6542975646637003E-4</v>
      </c>
      <c r="AE280" s="304">
        <f t="shared" si="112"/>
        <v>0.5</v>
      </c>
      <c r="AF280" s="176">
        <f t="shared" si="113"/>
        <v>0.73091134256571588</v>
      </c>
      <c r="AG280" s="814">
        <f t="shared" si="119"/>
        <v>0</v>
      </c>
      <c r="AH280" s="175">
        <f t="shared" si="114"/>
        <v>6</v>
      </c>
      <c r="AI280" s="224">
        <f t="shared" si="115"/>
        <v>0.73091134256571588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16">
        <v>38.792999999999999</v>
      </c>
      <c r="C281" s="389"/>
      <c r="D281" s="392">
        <f t="shared" si="98"/>
        <v>39.788438163006191</v>
      </c>
      <c r="E281" s="384">
        <f t="shared" si="96"/>
        <v>40.501177661606931</v>
      </c>
      <c r="F281" s="384">
        <f t="shared" si="99"/>
        <v>40.512868531707113</v>
      </c>
      <c r="G281" s="110">
        <f t="shared" si="97"/>
        <v>0.85479970084741863</v>
      </c>
      <c r="H281" s="413" t="b">
        <f>Wh_hp&gt;='2020'!Maxi_hp</f>
        <v>1</v>
      </c>
      <c r="I281" s="379">
        <f>IF(H281,Wh_hp,'2020'!Maxi_hp)</f>
        <v>40.512868531707113</v>
      </c>
      <c r="J281" s="85">
        <f>IF(H281,An,'2020'!An_max)</f>
        <v>2021</v>
      </c>
      <c r="K281" s="196">
        <f t="shared" si="100"/>
        <v>44463</v>
      </c>
      <c r="L281" s="147">
        <f>IF(t&lt;Tvie,1-EXP((T0-t)*PertePVj)+'2020'!Pspv,1-EXP((T0-t)*PertePVj)+Pspv)</f>
        <v>2.5018276890589532E-2</v>
      </c>
      <c r="M281" s="847"/>
      <c r="N281" s="847"/>
      <c r="O281" s="48">
        <f>IF(t&lt;Tnet,'2020'!Resal+('2020'!Salim-'2020'!Resal)*(1-EXP(('2020'!Tnet-t)/('2020'!Tau_j))),Resal+(Salim-Resal)*(1-EXP((Tnet-t)/(Tau_j))))*Salcycl</f>
        <v>1.7597994422675286E-2</v>
      </c>
      <c r="P281" s="168">
        <f>(INDEX(Models!$BJ281:$BT281,,T281)*(1-R281)+INDEX(Models!$BJ281:$BT281,,T281+1)*R281-ERP_i)*Q281*Ramure*Pc/MaxiM</f>
        <v>3.6405344020105923E-4</v>
      </c>
      <c r="Q281" s="304">
        <f t="shared" si="101"/>
        <v>0.5</v>
      </c>
      <c r="R281" s="176">
        <f t="shared" si="102"/>
        <v>0.73106890844099759</v>
      </c>
      <c r="S281" s="814">
        <f t="shared" si="103"/>
        <v>0</v>
      </c>
      <c r="T281" s="175">
        <f t="shared" si="104"/>
        <v>6</v>
      </c>
      <c r="U281" s="250">
        <f t="shared" si="105"/>
        <v>0.73106890844099759</v>
      </c>
      <c r="V281" s="382">
        <f t="shared" si="106"/>
        <v>45.379134966715597</v>
      </c>
      <c r="W281" s="401"/>
      <c r="X281" s="157">
        <f t="shared" si="107"/>
        <v>44463</v>
      </c>
      <c r="Y281" s="384">
        <f t="shared" si="108"/>
        <v>37.34349108832361</v>
      </c>
      <c r="Z281" s="384">
        <f t="shared" si="109"/>
        <v>38.301734487112022</v>
      </c>
      <c r="AA281" s="385">
        <f t="shared" si="110"/>
        <v>40.501177661606931</v>
      </c>
      <c r="AB281" s="196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5.4305659772946942E-2</v>
      </c>
      <c r="AD281" s="230">
        <f>(INDEX(Models!$BJ281:$BT281,,AH281)*(1-AF281)+INDEX(Models!$BJ281:$BT281,,AH281+1)*AF281-ERP_i)*AE281*Ramure*Pc/MaxiM</f>
        <v>3.6405344020105923E-4</v>
      </c>
      <c r="AE281" s="304">
        <f t="shared" si="112"/>
        <v>0.5</v>
      </c>
      <c r="AF281" s="176">
        <f t="shared" si="113"/>
        <v>0.73106890844099759</v>
      </c>
      <c r="AG281" s="814">
        <f t="shared" si="119"/>
        <v>0</v>
      </c>
      <c r="AH281" s="175">
        <f t="shared" si="114"/>
        <v>6</v>
      </c>
      <c r="AI281" s="224">
        <f t="shared" si="115"/>
        <v>0.73106890844099759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16">
        <v>30.574000000000002</v>
      </c>
      <c r="C282" s="389"/>
      <c r="D282" s="392">
        <f t="shared" si="98"/>
        <v>31.359222552387717</v>
      </c>
      <c r="E282" s="384">
        <f t="shared" si="96"/>
        <v>31.923055942769192</v>
      </c>
      <c r="F282" s="384">
        <f t="shared" si="99"/>
        <v>31.929301158277642</v>
      </c>
      <c r="G282" s="110">
        <f t="shared" si="97"/>
        <v>0.67773478624265071</v>
      </c>
      <c r="H282" s="413" t="b">
        <f>Wh_hp&gt;='2020'!Maxi_hp</f>
        <v>0</v>
      </c>
      <c r="I282" s="379">
        <f>IF(H282,Wh_hp,'2020'!Maxi_hp)</f>
        <v>46.527927467994083</v>
      </c>
      <c r="J282" s="85">
        <f>IF(H282,An,'2020'!An_max)</f>
        <v>2018</v>
      </c>
      <c r="K282" s="196">
        <f t="shared" si="100"/>
        <v>44464</v>
      </c>
      <c r="L282" s="147">
        <f>IF(t&lt;Tvie,1-EXP((T0-t)*PertePVj)+'2020'!Pspv,1-EXP((T0-t)*PertePVj)+Pspv)</f>
        <v>2.5039605209470552E-2</v>
      </c>
      <c r="M282" s="847"/>
      <c r="N282" s="847"/>
      <c r="O282" s="48">
        <f>IF(t&lt;Tnet,'2020'!Resal+('2020'!Salim-'2020'!Resal)*(1-EXP(('2020'!Tnet-t)/('2020'!Tau_j))),Resal+(Salim-Resal)*(1-EXP((Tnet-t)/(Tau_j))))*Salcycl</f>
        <v>1.766226239092835E-2</v>
      </c>
      <c r="P282" s="168">
        <f>(INDEX(Models!$BJ282:$BT282,,T282)*(1-R282)+INDEX(Models!$BJ282:$BT282,,T282+1)*R282-ERP_i)*Q282*Ramure*Pc/MaxiM</f>
        <v>3.6235904150469717E-4</v>
      </c>
      <c r="Q282" s="304">
        <f t="shared" si="101"/>
        <v>0.5</v>
      </c>
      <c r="R282" s="176">
        <f t="shared" si="102"/>
        <v>0.73122028779732862</v>
      </c>
      <c r="S282" s="814">
        <f t="shared" si="103"/>
        <v>0</v>
      </c>
      <c r="T282" s="175">
        <f t="shared" si="104"/>
        <v>6</v>
      </c>
      <c r="U282" s="250">
        <f t="shared" si="105"/>
        <v>0.73122028779732862</v>
      </c>
      <c r="V282" s="382">
        <f t="shared" si="106"/>
        <v>45.104517257981222</v>
      </c>
      <c r="W282" s="401"/>
      <c r="X282" s="157">
        <f t="shared" si="107"/>
        <v>44464</v>
      </c>
      <c r="Y282" s="384">
        <f t="shared" si="108"/>
        <v>29.433056568838271</v>
      </c>
      <c r="Z282" s="384">
        <f t="shared" si="109"/>
        <v>30.188976625211502</v>
      </c>
      <c r="AA282" s="385">
        <f t="shared" si="110"/>
        <v>31.923055942769192</v>
      </c>
      <c r="AB282" s="196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5.4320592635821022E-2</v>
      </c>
      <c r="AD282" s="230">
        <f>(INDEX(Models!$BJ282:$BT282,,AH282)*(1-AF282)+INDEX(Models!$BJ282:$BT282,,AH282+1)*AF282-ERP_i)*AE282*Ramure*Pc/MaxiM</f>
        <v>3.6235904150469717E-4</v>
      </c>
      <c r="AE282" s="304">
        <f t="shared" si="112"/>
        <v>0.5</v>
      </c>
      <c r="AF282" s="176">
        <f t="shared" si="113"/>
        <v>0.73122028779732862</v>
      </c>
      <c r="AG282" s="814">
        <f t="shared" si="119"/>
        <v>0</v>
      </c>
      <c r="AH282" s="175">
        <f t="shared" si="114"/>
        <v>6</v>
      </c>
      <c r="AI282" s="224">
        <f t="shared" si="115"/>
        <v>0.73122028779732862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16">
        <v>33.753999999999998</v>
      </c>
      <c r="C283" s="389"/>
      <c r="D283" s="392">
        <f t="shared" si="98"/>
        <v>34.621650875048047</v>
      </c>
      <c r="E283" s="384">
        <f t="shared" si="96"/>
        <v>35.246436652490473</v>
      </c>
      <c r="F283" s="384">
        <f t="shared" si="99"/>
        <v>35.254668716594708</v>
      </c>
      <c r="G283" s="110">
        <f t="shared" si="97"/>
        <v>0.75287651985472159</v>
      </c>
      <c r="H283" s="413" t="b">
        <f>Wh_hp&gt;='2020'!Maxi_hp</f>
        <v>0</v>
      </c>
      <c r="I283" s="379">
        <f>IF(H283,Wh_hp,'2020'!Maxi_hp)</f>
        <v>45.350079953012298</v>
      </c>
      <c r="J283" s="85">
        <f>IF(H283,An,'2020'!An_max)</f>
        <v>2018</v>
      </c>
      <c r="K283" s="196">
        <f t="shared" si="100"/>
        <v>44465</v>
      </c>
      <c r="L283" s="147">
        <f>IF(t&lt;Tvie,1-EXP((T0-t)*PertePVj)+'2020'!Pspv,1-EXP((T0-t)*PertePVj)+Pspv)</f>
        <v>2.5060933061206693E-2</v>
      </c>
      <c r="M283" s="847"/>
      <c r="N283" s="847"/>
      <c r="O283" s="48">
        <f>IF(t&lt;Tnet,'2020'!Resal+('2020'!Salim-'2020'!Resal)*(1-EXP(('2020'!Tnet-t)/('2020'!Tau_j))),Resal+(Salim-Resal)*(1-EXP((Tnet-t)/(Tau_j))))*Salcycl</f>
        <v>1.7726211123196722E-2</v>
      </c>
      <c r="P283" s="168">
        <f>(INDEX(Models!$BJ283:$BT283,,T283)*(1-R283)+INDEX(Models!$BJ283:$BT283,,T283+1)*R283-ERP_i)*Q283*Ramure*Pc/MaxiM</f>
        <v>3.6084307898848623E-4</v>
      </c>
      <c r="Q283" s="304">
        <f t="shared" si="101"/>
        <v>0.5</v>
      </c>
      <c r="R283" s="176">
        <f t="shared" si="102"/>
        <v>0.73136571751355528</v>
      </c>
      <c r="S283" s="814">
        <f t="shared" si="103"/>
        <v>0</v>
      </c>
      <c r="T283" s="175">
        <f t="shared" si="104"/>
        <v>6</v>
      </c>
      <c r="U283" s="250">
        <f t="shared" si="105"/>
        <v>0.73136571751355528</v>
      </c>
      <c r="V283" s="382">
        <f t="shared" si="106"/>
        <v>44.827670756798923</v>
      </c>
      <c r="W283" s="401"/>
      <c r="X283" s="157">
        <f t="shared" si="107"/>
        <v>44465</v>
      </c>
      <c r="Y283" s="384">
        <f t="shared" si="108"/>
        <v>32.49601284234739</v>
      </c>
      <c r="Z283" s="384">
        <f t="shared" si="109"/>
        <v>33.33132699706195</v>
      </c>
      <c r="AA283" s="385">
        <f t="shared" si="110"/>
        <v>35.246436652490473</v>
      </c>
      <c r="AB283" s="196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5.433484452089158E-2</v>
      </c>
      <c r="AD283" s="230">
        <f>(INDEX(Models!$BJ283:$BT283,,AH283)*(1-AF283)+INDEX(Models!$BJ283:$BT283,,AH283+1)*AF283-ERP_i)*AE283*Ramure*Pc/MaxiM</f>
        <v>3.6084307898848623E-4</v>
      </c>
      <c r="AE283" s="304">
        <f t="shared" si="112"/>
        <v>0.5</v>
      </c>
      <c r="AF283" s="176">
        <f t="shared" si="113"/>
        <v>0.73136571751355528</v>
      </c>
      <c r="AG283" s="814">
        <f t="shared" si="119"/>
        <v>0</v>
      </c>
      <c r="AH283" s="175">
        <f t="shared" si="114"/>
        <v>6</v>
      </c>
      <c r="AI283" s="224">
        <f t="shared" si="115"/>
        <v>0.73136571751355528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16">
        <v>24.657</v>
      </c>
      <c r="C284" s="389"/>
      <c r="D284" s="392">
        <f t="shared" si="98"/>
        <v>25.291364593770851</v>
      </c>
      <c r="E284" s="384">
        <f t="shared" si="96"/>
        <v>25.749442875770104</v>
      </c>
      <c r="F284" s="384">
        <f t="shared" si="99"/>
        <v>25.752795362737679</v>
      </c>
      <c r="G284" s="110">
        <f t="shared" si="97"/>
        <v>0.55335077858529969</v>
      </c>
      <c r="H284" s="413" t="b">
        <f>Wh_hp&gt;='2020'!Maxi_hp</f>
        <v>0</v>
      </c>
      <c r="I284" s="379">
        <f>IF(H284,Wh_hp,'2020'!Maxi_hp)</f>
        <v>44.445052403607114</v>
      </c>
      <c r="J284" s="85">
        <f>IF(H284,An,'2020'!An_max)</f>
        <v>2018</v>
      </c>
      <c r="K284" s="196">
        <f t="shared" si="100"/>
        <v>44466</v>
      </c>
      <c r="L284" s="147">
        <f>IF(t&lt;Tvie,1-EXP((T0-t)*PertePVj)+'2020'!Pspv,1-EXP((T0-t)*PertePVj)+Pspv)</f>
        <v>2.5082260445808059E-2</v>
      </c>
      <c r="M284" s="847"/>
      <c r="N284" s="847"/>
      <c r="O284" s="48">
        <f>IF(t&lt;Tnet,'2020'!Resal+('2020'!Salim-'2020'!Resal)*(1-EXP(('2020'!Tnet-t)/('2020'!Tau_j))),Resal+(Salim-Resal)*(1-EXP((Tnet-t)/(Tau_j))))*Salcycl</f>
        <v>1.778983274353867E-2</v>
      </c>
      <c r="P284" s="168">
        <f>(INDEX(Models!$BJ284:$BT284,,T284)*(1-R284)+INDEX(Models!$BJ284:$BT284,,T284+1)*R284-ERP_i)*Q284*Ramure*Pc/MaxiM</f>
        <v>3.59501717593218E-4</v>
      </c>
      <c r="Q284" s="304">
        <f t="shared" si="101"/>
        <v>0.5</v>
      </c>
      <c r="R284" s="176">
        <f t="shared" si="102"/>
        <v>0.73150542586899681</v>
      </c>
      <c r="S284" s="814">
        <f t="shared" si="103"/>
        <v>0</v>
      </c>
      <c r="T284" s="175">
        <f t="shared" si="104"/>
        <v>6</v>
      </c>
      <c r="U284" s="250">
        <f t="shared" si="105"/>
        <v>0.73150542586899681</v>
      </c>
      <c r="V284" s="382">
        <f t="shared" si="106"/>
        <v>44.549218724920706</v>
      </c>
      <c r="W284" s="401"/>
      <c r="X284" s="157">
        <f t="shared" si="107"/>
        <v>44466</v>
      </c>
      <c r="Y284" s="384">
        <f t="shared" si="108"/>
        <v>23.739248834094319</v>
      </c>
      <c r="Z284" s="384">
        <f t="shared" si="109"/>
        <v>24.350001924213366</v>
      </c>
      <c r="AA284" s="385">
        <f t="shared" si="110"/>
        <v>25.749442875770104</v>
      </c>
      <c r="AB284" s="196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5.4348397295756391E-2</v>
      </c>
      <c r="AD284" s="230">
        <f>(INDEX(Models!$BJ284:$BT284,,AH284)*(1-AF284)+INDEX(Models!$BJ284:$BT284,,AH284+1)*AF284-ERP_i)*AE284*Ramure*Pc/MaxiM</f>
        <v>3.59501717593218E-4</v>
      </c>
      <c r="AE284" s="304">
        <f t="shared" si="112"/>
        <v>0.5</v>
      </c>
      <c r="AF284" s="176">
        <f t="shared" si="113"/>
        <v>0.73150542586899681</v>
      </c>
      <c r="AG284" s="814">
        <f t="shared" si="119"/>
        <v>0</v>
      </c>
      <c r="AH284" s="175">
        <f t="shared" si="114"/>
        <v>6</v>
      </c>
      <c r="AI284" s="224">
        <f t="shared" si="115"/>
        <v>0.73150542586899681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16">
        <v>26.718</v>
      </c>
      <c r="C285" s="389"/>
      <c r="D285" s="392">
        <f t="shared" si="98"/>
        <v>27.405988629846547</v>
      </c>
      <c r="E285" s="384">
        <f t="shared" si="96"/>
        <v>27.904165022337768</v>
      </c>
      <c r="F285" s="384">
        <f t="shared" si="99"/>
        <v>27.908501328984151</v>
      </c>
      <c r="G285" s="110">
        <f t="shared" si="97"/>
        <v>0.60340426513601364</v>
      </c>
      <c r="H285" s="413" t="b">
        <f>Wh_hp&gt;='2020'!Maxi_hp</f>
        <v>0</v>
      </c>
      <c r="I285" s="379">
        <f>IF(H285,Wh_hp,'2020'!Maxi_hp)</f>
        <v>42.089507508036213</v>
      </c>
      <c r="J285" s="85">
        <f>IF(H285,An,'2020'!An_max)</f>
        <v>2018</v>
      </c>
      <c r="K285" s="196">
        <f t="shared" si="100"/>
        <v>44467</v>
      </c>
      <c r="L285" s="147">
        <f>IF(t&lt;Tvie,1-EXP((T0-t)*PertePVj)+'2020'!Pspv,1-EXP((T0-t)*PertePVj)+Pspv)</f>
        <v>2.5103587363284975E-2</v>
      </c>
      <c r="M285" s="847"/>
      <c r="N285" s="847"/>
      <c r="O285" s="48">
        <f>IF(t&lt;Tnet,'2020'!Resal+('2020'!Salim-'2020'!Resal)*(1-EXP(('2020'!Tnet-t)/('2020'!Tau_j))),Resal+(Salim-Resal)*(1-EXP((Tnet-t)/(Tau_j))))*Salcycl</f>
        <v>1.7853119492821951E-2</v>
      </c>
      <c r="P285" s="168">
        <f>(INDEX(Models!$BJ285:$BT285,,T285)*(1-R285)+INDEX(Models!$BJ285:$BT285,,T285+1)*R285-ERP_i)*Q285*Ramure*Pc/MaxiM</f>
        <v>3.5833110239784409E-4</v>
      </c>
      <c r="Q285" s="304">
        <f t="shared" si="101"/>
        <v>0.5</v>
      </c>
      <c r="R285" s="176">
        <f t="shared" si="102"/>
        <v>0.73163963281856881</v>
      </c>
      <c r="S285" s="814">
        <f t="shared" si="103"/>
        <v>0</v>
      </c>
      <c r="T285" s="175">
        <f t="shared" si="104"/>
        <v>6</v>
      </c>
      <c r="U285" s="250">
        <f t="shared" si="105"/>
        <v>0.73163963281856881</v>
      </c>
      <c r="V285" s="382">
        <f t="shared" si="106"/>
        <v>44.269784192575791</v>
      </c>
      <c r="W285" s="401"/>
      <c r="X285" s="157">
        <f t="shared" si="107"/>
        <v>44467</v>
      </c>
      <c r="Y285" s="384">
        <f t="shared" si="108"/>
        <v>25.724845303214334</v>
      </c>
      <c r="Z285" s="384">
        <f t="shared" si="109"/>
        <v>26.387260194792027</v>
      </c>
      <c r="AA285" s="385">
        <f t="shared" si="110"/>
        <v>27.904165022337768</v>
      </c>
      <c r="AB285" s="196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5.4361233397646168E-2</v>
      </c>
      <c r="AD285" s="230">
        <f>(INDEX(Models!$BJ285:$BT285,,AH285)*(1-AF285)+INDEX(Models!$BJ285:$BT285,,AH285+1)*AF285-ERP_i)*AE285*Ramure*Pc/MaxiM</f>
        <v>3.5833110239784409E-4</v>
      </c>
      <c r="AE285" s="304">
        <f t="shared" si="112"/>
        <v>0.5</v>
      </c>
      <c r="AF285" s="176">
        <f t="shared" si="113"/>
        <v>0.73163963281856881</v>
      </c>
      <c r="AG285" s="814">
        <f t="shared" si="119"/>
        <v>0</v>
      </c>
      <c r="AH285" s="175">
        <f t="shared" si="114"/>
        <v>6</v>
      </c>
      <c r="AI285" s="224">
        <f t="shared" si="115"/>
        <v>0.73163963281856881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16">
        <v>27.98</v>
      </c>
      <c r="C286" s="389"/>
      <c r="D286" s="392">
        <f t="shared" si="98"/>
        <v>28.701112990235433</v>
      </c>
      <c r="E286" s="384">
        <f t="shared" si="96"/>
        <v>29.224704662883461</v>
      </c>
      <c r="F286" s="384">
        <f t="shared" si="99"/>
        <v>29.229718862711451</v>
      </c>
      <c r="G286" s="110">
        <f t="shared" si="97"/>
        <v>0.6359356056792731</v>
      </c>
      <c r="H286" s="413" t="b">
        <f>Wh_hp&gt;='2020'!Maxi_hp</f>
        <v>0</v>
      </c>
      <c r="I286" s="379">
        <f>IF(H286,Wh_hp,'2020'!Maxi_hp)</f>
        <v>45.134596389109774</v>
      </c>
      <c r="J286" s="85">
        <f>IF(H286,An,'2020'!An_max)</f>
        <v>2019</v>
      </c>
      <c r="K286" s="196">
        <f t="shared" si="100"/>
        <v>44468</v>
      </c>
      <c r="L286" s="147">
        <f>IF(t&lt;Tvie,1-EXP((T0-t)*PertePVj)+'2020'!Pspv,1-EXP((T0-t)*PertePVj)+Pspv)</f>
        <v>2.5124913813647766E-2</v>
      </c>
      <c r="M286" s="847"/>
      <c r="N286" s="847"/>
      <c r="O286" s="48">
        <f>IF(t&lt;Tnet,'2020'!Resal+('2020'!Salim-'2020'!Resal)*(1-EXP(('2020'!Tnet-t)/('2020'!Tau_j))),Resal+(Salim-Resal)*(1-EXP((Tnet-t)/(Tau_j))))*Salcycl</f>
        <v>1.7916063778499421E-2</v>
      </c>
      <c r="P286" s="168">
        <f>(INDEX(Models!$BJ286:$BT286,,T286)*(1-R286)+INDEX(Models!$BJ286:$BT286,,T286+1)*R286-ERP_i)*Q286*Ramure*Pc/MaxiM</f>
        <v>3.5732733210014724E-4</v>
      </c>
      <c r="Q286" s="304">
        <f t="shared" si="101"/>
        <v>0.5</v>
      </c>
      <c r="R286" s="176">
        <f t="shared" si="102"/>
        <v>0.73176855026211496</v>
      </c>
      <c r="S286" s="814">
        <f t="shared" si="103"/>
        <v>0</v>
      </c>
      <c r="T286" s="175">
        <f t="shared" si="104"/>
        <v>6</v>
      </c>
      <c r="U286" s="250">
        <f t="shared" si="105"/>
        <v>0.73176855026211496</v>
      </c>
      <c r="V286" s="382">
        <f t="shared" si="106"/>
        <v>43.989989956328479</v>
      </c>
      <c r="W286" s="401"/>
      <c r="X286" s="157">
        <f t="shared" si="107"/>
        <v>44468</v>
      </c>
      <c r="Y286" s="384">
        <f t="shared" si="108"/>
        <v>26.941316402391074</v>
      </c>
      <c r="Z286" s="384">
        <f t="shared" si="109"/>
        <v>27.63565997750927</v>
      </c>
      <c r="AA286" s="385">
        <f t="shared" si="110"/>
        <v>29.224704662883461</v>
      </c>
      <c r="AB286" s="196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5.4373335973941964E-2</v>
      </c>
      <c r="AD286" s="230">
        <f>(INDEX(Models!$BJ286:$BT286,,AH286)*(1-AF286)+INDEX(Models!$BJ286:$BT286,,AH286+1)*AF286-ERP_i)*AE286*Ramure*Pc/MaxiM</f>
        <v>3.5732733210014724E-4</v>
      </c>
      <c r="AE286" s="304">
        <f t="shared" si="112"/>
        <v>0.5</v>
      </c>
      <c r="AF286" s="176">
        <f t="shared" si="113"/>
        <v>0.73176855026211496</v>
      </c>
      <c r="AG286" s="814">
        <f t="shared" si="119"/>
        <v>0</v>
      </c>
      <c r="AH286" s="175">
        <f t="shared" si="114"/>
        <v>6</v>
      </c>
      <c r="AI286" s="224">
        <f t="shared" si="115"/>
        <v>0.73176855026211496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44469</v>
      </c>
      <c r="B287" s="616">
        <v>21.388000000000002</v>
      </c>
      <c r="C287" s="389"/>
      <c r="D287" s="392">
        <f t="shared" si="98"/>
        <v>21.939700981964915</v>
      </c>
      <c r="E287" s="384">
        <f t="shared" si="96"/>
        <v>22.341368816231704</v>
      </c>
      <c r="F287" s="384">
        <f t="shared" si="99"/>
        <v>22.343522946858769</v>
      </c>
      <c r="G287" s="110">
        <f t="shared" si="97"/>
        <v>0.48918354174048051</v>
      </c>
      <c r="H287" s="413" t="b">
        <f>Wh_hp&gt;='2020'!Maxi_hp</f>
        <v>0</v>
      </c>
      <c r="I287" s="379">
        <f>IF(H287,Wh_hp,'2020'!Maxi_hp)</f>
        <v>39.258046137495292</v>
      </c>
      <c r="J287" s="85">
        <f>IF(H287,An,'2020'!An_max)</f>
        <v>2018</v>
      </c>
      <c r="K287" s="196">
        <f t="shared" si="100"/>
        <v>44469</v>
      </c>
      <c r="L287" s="147">
        <f>IF(t&lt;Tvie,1-EXP((T0-t)*PertePVj)+'2020'!Pspv,1-EXP((T0-t)*PertePVj)+Pspv)</f>
        <v>2.5146239796906424E-2</v>
      </c>
      <c r="M287" s="847"/>
      <c r="N287" s="847"/>
      <c r="O287" s="48">
        <f>IF(t&lt;Tnet,'2020'!Resal+('2020'!Salim-'2020'!Resal)*(1-EXP(('2020'!Tnet-t)/('2020'!Tau_j))),Resal+(Salim-Resal)*(1-EXP((Tnet-t)/(Tau_j))))*Salcycl</f>
        <v>1.7978658226838938E-2</v>
      </c>
      <c r="P287" s="168">
        <f>(INDEX(Models!$BJ287:$BT287,,T287)*(1-R287)+INDEX(Models!$BJ287:$BT287,,T287+1)*R287-ERP_i)*Q287*Ramure*Pc/MaxiM</f>
        <v>3.5648643278671824E-4</v>
      </c>
      <c r="Q287" s="304">
        <f t="shared" si="101"/>
        <v>0.5</v>
      </c>
      <c r="R287" s="176">
        <f t="shared" si="102"/>
        <v>0.7318923823078004</v>
      </c>
      <c r="S287" s="814">
        <f t="shared" si="103"/>
        <v>0</v>
      </c>
      <c r="T287" s="175">
        <f t="shared" si="104"/>
        <v>6</v>
      </c>
      <c r="U287" s="250">
        <f t="shared" si="105"/>
        <v>0.7318923823078004</v>
      </c>
      <c r="V287" s="382">
        <f t="shared" si="106"/>
        <v>43.710458583266671</v>
      </c>
      <c r="W287" s="401"/>
      <c r="X287" s="157">
        <f t="shared" si="107"/>
        <v>44469</v>
      </c>
      <c r="Y287" s="384">
        <f t="shared" si="108"/>
        <v>20.595092398463585</v>
      </c>
      <c r="Z287" s="384">
        <f t="shared" si="109"/>
        <v>21.126340420713934</v>
      </c>
      <c r="AA287" s="385">
        <f t="shared" si="110"/>
        <v>22.341368816231704</v>
      </c>
      <c r="AB287" s="196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5.4384689027424889E-2</v>
      </c>
      <c r="AD287" s="230">
        <f>(INDEX(Models!$BJ287:$BT287,,AH287)*(1-AF287)+INDEX(Models!$BJ287:$BT287,,AH287+1)*AF287-ERP_i)*AE287*Ramure*Pc/MaxiM</f>
        <v>3.5648643278671824E-4</v>
      </c>
      <c r="AE287" s="304">
        <f t="shared" si="112"/>
        <v>0.5</v>
      </c>
      <c r="AF287" s="176">
        <f t="shared" si="113"/>
        <v>0.7318923823078004</v>
      </c>
      <c r="AG287" s="814">
        <f t="shared" si="119"/>
        <v>0</v>
      </c>
      <c r="AH287" s="175">
        <f t="shared" si="114"/>
        <v>6</v>
      </c>
      <c r="AI287" s="224">
        <f t="shared" si="115"/>
        <v>0.7318923823078004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16">
        <v>32.515999999999998</v>
      </c>
      <c r="C288" s="389"/>
      <c r="D288" s="392">
        <f t="shared" si="98"/>
        <v>33.355476123896764</v>
      </c>
      <c r="E288" s="384">
        <f t="shared" si="96"/>
        <v>33.968294584875842</v>
      </c>
      <c r="F288" s="384">
        <f t="shared" si="99"/>
        <v>33.976042964730993</v>
      </c>
      <c r="G288" s="110">
        <f t="shared" si="97"/>
        <v>0.74857214856622667</v>
      </c>
      <c r="H288" s="413" t="b">
        <f>Wh_hp&gt;='2020'!Maxi_hp</f>
        <v>0</v>
      </c>
      <c r="I288" s="379">
        <f>IF(H288,Wh_hp,'2020'!Maxi_hp)</f>
        <v>44.088165069651787</v>
      </c>
      <c r="J288" s="85">
        <f>IF(H288,An,'2020'!An_max)</f>
        <v>2020</v>
      </c>
      <c r="K288" s="196">
        <f t="shared" si="100"/>
        <v>44470</v>
      </c>
      <c r="L288" s="147">
        <f>IF(t&lt;Tvie,1-EXP((T0-t)*PertePVj)+'2020'!Pspv,1-EXP((T0-t)*PertePVj)+Pspv)</f>
        <v>2.5167565313071384E-2</v>
      </c>
      <c r="M288" s="847"/>
      <c r="N288" s="847"/>
      <c r="O288" s="48">
        <f>IF(t&lt;Tnet,'2020'!Resal+('2020'!Salim-'2020'!Resal)*(1-EXP(('2020'!Tnet-t)/('2020'!Tau_j))),Resal+(Salim-Resal)*(1-EXP((Tnet-t)/(Tau_j))))*Salcycl</f>
        <v>1.804089573728359E-2</v>
      </c>
      <c r="P288" s="168">
        <f>(INDEX(Models!$BJ288:$BT288,,T288)*(1-R288)+INDEX(Models!$BJ288:$BT288,,T288+1)*R288-ERP_i)*Q288*Ramure*Pc/MaxiM</f>
        <v>3.5580433216127958E-4</v>
      </c>
      <c r="Q288" s="304">
        <f t="shared" si="101"/>
        <v>0.5</v>
      </c>
      <c r="R288" s="176">
        <f t="shared" si="102"/>
        <v>0.73201132552944936</v>
      </c>
      <c r="S288" s="814">
        <f t="shared" si="103"/>
        <v>0</v>
      </c>
      <c r="T288" s="175">
        <f t="shared" si="104"/>
        <v>6</v>
      </c>
      <c r="U288" s="250">
        <f t="shared" si="105"/>
        <v>0.73201132552944936</v>
      </c>
      <c r="V288" s="382">
        <f t="shared" si="106"/>
        <v>43.431812407089978</v>
      </c>
      <c r="W288" s="401"/>
      <c r="X288" s="157">
        <f t="shared" si="107"/>
        <v>44470</v>
      </c>
      <c r="Y288" s="384">
        <f t="shared" si="108"/>
        <v>31.312182983196752</v>
      </c>
      <c r="Z288" s="384">
        <f t="shared" si="109"/>
        <v>32.120579772515249</v>
      </c>
      <c r="AA288" s="385">
        <f t="shared" si="110"/>
        <v>33.968294584875842</v>
      </c>
      <c r="AB288" s="196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5.4395277565193759E-2</v>
      </c>
      <c r="AD288" s="230">
        <f>(INDEX(Models!$BJ288:$BT288,,AH288)*(1-AF288)+INDEX(Models!$BJ288:$BT288,,AH288+1)*AF288-ERP_i)*AE288*Ramure*Pc/MaxiM</f>
        <v>3.5580433216127958E-4</v>
      </c>
      <c r="AE288" s="304">
        <f t="shared" si="112"/>
        <v>0.5</v>
      </c>
      <c r="AF288" s="176">
        <f t="shared" si="113"/>
        <v>0.73201132552944936</v>
      </c>
      <c r="AG288" s="814">
        <f t="shared" si="119"/>
        <v>0</v>
      </c>
      <c r="AH288" s="175">
        <f t="shared" si="114"/>
        <v>6</v>
      </c>
      <c r="AI288" s="224">
        <f t="shared" si="115"/>
        <v>0.73201132552944936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44471</v>
      </c>
      <c r="B289" s="616">
        <v>40.106999999999999</v>
      </c>
      <c r="C289" s="389"/>
      <c r="D289" s="392">
        <f t="shared" si="98"/>
        <v>41.143355470066588</v>
      </c>
      <c r="E289" s="384">
        <f t="shared" si="96"/>
        <v>41.901895833571423</v>
      </c>
      <c r="F289" s="384">
        <f t="shared" si="99"/>
        <v>41.915285653583361</v>
      </c>
      <c r="G289" s="110">
        <f t="shared" si="97"/>
        <v>0.92936357214994514</v>
      </c>
      <c r="H289" s="413" t="b">
        <f>Wh_hp&gt;='2020'!Maxi_hp</f>
        <v>0</v>
      </c>
      <c r="I289" s="379">
        <f>IF(H289,Wh_hp,'2020'!Maxi_hp)</f>
        <v>42.828343839340114</v>
      </c>
      <c r="J289" s="85">
        <f>IF(H289,An,'2020'!An_max)</f>
        <v>2018</v>
      </c>
      <c r="K289" s="196">
        <f t="shared" si="100"/>
        <v>44471</v>
      </c>
      <c r="L289" s="147">
        <f>IF(t&lt;Tvie,1-EXP((T0-t)*PertePVj)+'2020'!Pspv,1-EXP((T0-t)*PertePVj)+Pspv)</f>
        <v>2.5188890362152751E-2</v>
      </c>
      <c r="M289" s="847"/>
      <c r="N289" s="847"/>
      <c r="O289" s="48">
        <f>IF(t&lt;Tnet,'2020'!Resal+('2020'!Salim-'2020'!Resal)*(1-EXP(('2020'!Tnet-t)/('2020'!Tau_j))),Resal+(Salim-Resal)*(1-EXP((Tnet-t)/(Tau_j))))*Salcycl</f>
        <v>1.8102769538582562E-2</v>
      </c>
      <c r="P289" s="168">
        <f>(INDEX(Models!$BJ289:$BT289,,T289)*(1-R289)+INDEX(Models!$BJ289:$BT289,,T289+1)*R289-ERP_i)*Q289*Ramure*Pc/MaxiM</f>
        <v>3.5528408874829087E-4</v>
      </c>
      <c r="Q289" s="304">
        <f t="shared" si="101"/>
        <v>0.5</v>
      </c>
      <c r="R289" s="176">
        <f t="shared" si="102"/>
        <v>0.73212556921774319</v>
      </c>
      <c r="S289" s="814">
        <f t="shared" si="103"/>
        <v>0</v>
      </c>
      <c r="T289" s="175">
        <f t="shared" si="104"/>
        <v>6</v>
      </c>
      <c r="U289" s="250">
        <f t="shared" si="105"/>
        <v>0.73212556921774319</v>
      </c>
      <c r="V289" s="382">
        <f t="shared" si="106"/>
        <v>43.153792043888565</v>
      </c>
      <c r="W289" s="401"/>
      <c r="X289" s="157">
        <f t="shared" si="107"/>
        <v>44471</v>
      </c>
      <c r="Y289" s="384">
        <f t="shared" si="108"/>
        <v>38.624179770610574</v>
      </c>
      <c r="Z289" s="384">
        <f t="shared" si="109"/>
        <v>39.622219513850098</v>
      </c>
      <c r="AA289" s="385">
        <f t="shared" si="110"/>
        <v>41.901895833571423</v>
      </c>
      <c r="AB289" s="196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5.440508775010764E-2</v>
      </c>
      <c r="AD289" s="230">
        <f>(INDEX(Models!$BJ289:$BT289,,AH289)*(1-AF289)+INDEX(Models!$BJ289:$BT289,,AH289+1)*AF289-ERP_i)*AE289*Ramure*Pc/MaxiM</f>
        <v>3.5528408874829087E-4</v>
      </c>
      <c r="AE289" s="304">
        <f t="shared" si="112"/>
        <v>0.5</v>
      </c>
      <c r="AF289" s="176">
        <f t="shared" si="113"/>
        <v>0.73212556921774319</v>
      </c>
      <c r="AG289" s="814">
        <f t="shared" si="119"/>
        <v>0</v>
      </c>
      <c r="AH289" s="175">
        <f t="shared" si="114"/>
        <v>6</v>
      </c>
      <c r="AI289" s="224">
        <f t="shared" si="115"/>
        <v>0.73212556921774319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16">
        <v>5.8140000000000001</v>
      </c>
      <c r="C290" s="389"/>
      <c r="D290" s="392">
        <f t="shared" si="98"/>
        <v>5.9643628699565783</v>
      </c>
      <c r="E290" s="384">
        <f t="shared" si="96"/>
        <v>6.0747054801895377</v>
      </c>
      <c r="F290" s="384">
        <f t="shared" si="99"/>
        <v>6.0747054801895377</v>
      </c>
      <c r="G290" s="110">
        <f t="shared" si="97"/>
        <v>0.13555373686876837</v>
      </c>
      <c r="H290" s="413" t="b">
        <f>Wh_hp&gt;='2020'!Maxi_hp</f>
        <v>0</v>
      </c>
      <c r="I290" s="379">
        <f>IF(H290,Wh_hp,'2020'!Maxi_hp)</f>
        <v>41.859424132175342</v>
      </c>
      <c r="J290" s="85">
        <f>IF(H290,An,'2020'!An_max)</f>
        <v>2018</v>
      </c>
      <c r="K290" s="196">
        <f t="shared" si="100"/>
        <v>44472</v>
      </c>
      <c r="L290" s="147">
        <f>IF(t&lt;Tvie,1-EXP((T0-t)*PertePVj)+'2020'!Pspv,1-EXP((T0-t)*PertePVj)+Pspv)</f>
        <v>2.5210214944160959E-2</v>
      </c>
      <c r="M290" s="847"/>
      <c r="N290" s="847"/>
      <c r="O290" s="48">
        <f>IF(t&lt;Tnet,'2020'!Resal+('2020'!Salim-'2020'!Resal)*(1-EXP(('2020'!Tnet-t)/('2020'!Tau_j))),Resal+(Salim-Resal)*(1-EXP((Tnet-t)/(Tau_j))))*Salcycl</f>
        <v>1.8164273246300058E-2</v>
      </c>
      <c r="P290" s="168">
        <f>(INDEX(Models!$BJ290:$BT290,,T290)*(1-R290)+INDEX(Models!$BJ290:$BT290,,T290+1)*R290-ERP_i)*Q290*Ramure*Pc/MaxiM</f>
        <v>3.5500432154405675E-4</v>
      </c>
      <c r="Q290" s="304">
        <f t="shared" si="101"/>
        <v>0.5</v>
      </c>
      <c r="R290" s="176">
        <f t="shared" si="102"/>
        <v>0.73223529562521605</v>
      </c>
      <c r="S290" s="814">
        <f t="shared" si="103"/>
        <v>0</v>
      </c>
      <c r="T290" s="175">
        <f t="shared" si="104"/>
        <v>6</v>
      </c>
      <c r="U290" s="250">
        <f t="shared" si="105"/>
        <v>0.73223529562521605</v>
      </c>
      <c r="V290" s="382">
        <f t="shared" si="106"/>
        <v>42.875512981993012</v>
      </c>
      <c r="W290" s="401"/>
      <c r="X290" s="157">
        <f t="shared" si="107"/>
        <v>44472</v>
      </c>
      <c r="Y290" s="384">
        <f t="shared" si="108"/>
        <v>5.5993444033329922</v>
      </c>
      <c r="Z290" s="384">
        <f t="shared" si="109"/>
        <v>5.7441558058717694</v>
      </c>
      <c r="AA290" s="385">
        <f t="shared" si="110"/>
        <v>6.0747054801895377</v>
      </c>
      <c r="AB290" s="196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5.4414107053541487E-2</v>
      </c>
      <c r="AD290" s="230">
        <f>(INDEX(Models!$BJ290:$BT290,,AH290)*(1-AF290)+INDEX(Models!$BJ290:$BT290,,AH290+1)*AF290-ERP_i)*AE290*Ramure*Pc/MaxiM</f>
        <v>3.5500432154405675E-4</v>
      </c>
      <c r="AE290" s="304">
        <f t="shared" si="112"/>
        <v>0.5</v>
      </c>
      <c r="AF290" s="176">
        <f t="shared" si="113"/>
        <v>0.73223529562521605</v>
      </c>
      <c r="AG290" s="814">
        <f t="shared" si="119"/>
        <v>0</v>
      </c>
      <c r="AH290" s="175">
        <f t="shared" si="114"/>
        <v>6</v>
      </c>
      <c r="AI290" s="224">
        <f t="shared" si="115"/>
        <v>0.73223529562521605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44473</v>
      </c>
      <c r="B291" s="616">
        <v>34.237000000000002</v>
      </c>
      <c r="C291" s="389"/>
      <c r="D291" s="392">
        <f t="shared" si="98"/>
        <v>35.12321271346098</v>
      </c>
      <c r="E291" s="384">
        <f t="shared" si="96"/>
        <v>35.775230634832042</v>
      </c>
      <c r="F291" s="384">
        <f t="shared" si="99"/>
        <v>35.784374444297512</v>
      </c>
      <c r="G291" s="110">
        <f t="shared" si="97"/>
        <v>0.80366843307896918</v>
      </c>
      <c r="H291" s="413" t="b">
        <f>Wh_hp&gt;='2020'!Maxi_hp</f>
        <v>0</v>
      </c>
      <c r="I291" s="379">
        <f>IF(H291,Wh_hp,'2020'!Maxi_hp)</f>
        <v>43.452210521350182</v>
      </c>
      <c r="J291" s="85">
        <f>IF(H291,An,'2020'!An_max)</f>
        <v>2018</v>
      </c>
      <c r="K291" s="196">
        <f t="shared" si="100"/>
        <v>44473</v>
      </c>
      <c r="L291" s="147">
        <f>IF(t&lt;Tvie,1-EXP((T0-t)*PertePVj)+'2020'!Pspv,1-EXP((T0-t)*PertePVj)+Pspv)</f>
        <v>2.5231539059106002E-2</v>
      </c>
      <c r="M291" s="847"/>
      <c r="N291" s="847"/>
      <c r="O291" s="48">
        <f>IF(t&lt;Tnet,'2020'!Resal+('2020'!Salim-'2020'!Resal)*(1-EXP(('2020'!Tnet-t)/('2020'!Tau_j))),Resal+(Salim-Resal)*(1-EXP((Tnet-t)/(Tau_j))))*Salcycl</f>
        <v>1.822540092127967E-2</v>
      </c>
      <c r="P291" s="168">
        <f>(INDEX(Models!$BJ291:$BT291,,T291)*(1-R291)+INDEX(Models!$BJ291:$BT291,,T291+1)*R291-ERP_i)*Q291*Ramure*Pc/MaxiM</f>
        <v>3.5507332116337971E-4</v>
      </c>
      <c r="Q291" s="304">
        <f t="shared" si="101"/>
        <v>0.5</v>
      </c>
      <c r="R291" s="176">
        <f t="shared" si="102"/>
        <v>0.7323406802050143</v>
      </c>
      <c r="S291" s="814">
        <f t="shared" si="103"/>
        <v>0</v>
      </c>
      <c r="T291" s="175">
        <f t="shared" si="104"/>
        <v>6</v>
      </c>
      <c r="U291" s="250">
        <f t="shared" si="105"/>
        <v>0.7323406802050143</v>
      </c>
      <c r="V291" s="382">
        <f t="shared" si="106"/>
        <v>42.596659879670035</v>
      </c>
      <c r="W291" s="401"/>
      <c r="X291" s="157">
        <f t="shared" si="107"/>
        <v>44473</v>
      </c>
      <c r="Y291" s="384">
        <f t="shared" si="108"/>
        <v>32.974720378400413</v>
      </c>
      <c r="Z291" s="384">
        <f t="shared" si="109"/>
        <v>33.82825942744558</v>
      </c>
      <c r="AA291" s="385">
        <f t="shared" si="110"/>
        <v>35.775230634832042</v>
      </c>
      <c r="AB291" s="196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5.4422324408184737E-2</v>
      </c>
      <c r="AD291" s="230">
        <f>(INDEX(Models!$BJ291:$BT291,,AH291)*(1-AF291)+INDEX(Models!$BJ291:$BT291,,AH291+1)*AF291-ERP_i)*AE291*Ramure*Pc/MaxiM</f>
        <v>3.5507332116337971E-4</v>
      </c>
      <c r="AE291" s="304">
        <f t="shared" si="112"/>
        <v>0.5</v>
      </c>
      <c r="AF291" s="176">
        <f t="shared" si="113"/>
        <v>0.7323406802050143</v>
      </c>
      <c r="AG291" s="814">
        <f t="shared" si="119"/>
        <v>0</v>
      </c>
      <c r="AH291" s="175">
        <f t="shared" si="114"/>
        <v>6</v>
      </c>
      <c r="AI291" s="224">
        <f t="shared" si="115"/>
        <v>0.7323406802050143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16">
        <v>12.084</v>
      </c>
      <c r="C292" s="389"/>
      <c r="D292" s="392">
        <f t="shared" si="98"/>
        <v>12.397061286641808</v>
      </c>
      <c r="E292" s="384">
        <f t="shared" si="96"/>
        <v>12.627978356811431</v>
      </c>
      <c r="F292" s="384">
        <f t="shared" si="99"/>
        <v>12.627978356811431</v>
      </c>
      <c r="G292" s="110">
        <f t="shared" si="97"/>
        <v>0.2854580065032441</v>
      </c>
      <c r="H292" s="413" t="b">
        <f>Wh_hp&gt;='2020'!Maxi_hp</f>
        <v>0</v>
      </c>
      <c r="I292" s="379">
        <f>IF(H292,Wh_hp,'2020'!Maxi_hp)</f>
        <v>43.149247591520734</v>
      </c>
      <c r="J292" s="85">
        <f>IF(H292,An,'2020'!An_max)</f>
        <v>2018</v>
      </c>
      <c r="K292" s="196">
        <f t="shared" si="100"/>
        <v>44474</v>
      </c>
      <c r="L292" s="147">
        <f>IF(t&lt;Tvie,1-EXP((T0-t)*PertePVj)+'2020'!Pspv,1-EXP((T0-t)*PertePVj)+Pspv)</f>
        <v>2.5252862706998204E-2</v>
      </c>
      <c r="M292" s="847"/>
      <c r="N292" s="847"/>
      <c r="O292" s="48">
        <f>IF(t&lt;Tnet,'2020'!Resal+('2020'!Salim-'2020'!Resal)*(1-EXP(('2020'!Tnet-t)/('2020'!Tau_j))),Resal+(Salim-Resal)*(1-EXP((Tnet-t)/(Tau_j))))*Salcycl</f>
        <v>1.8286147128615204E-2</v>
      </c>
      <c r="P292" s="168">
        <f>(INDEX(Models!$BJ292:$BT292,,T292)*(1-R292)+INDEX(Models!$BJ292:$BT292,,T292+1)*R292-ERP_i)*Q292*Ramure*Pc/MaxiM</f>
        <v>3.554964245533402E-4</v>
      </c>
      <c r="Q292" s="304">
        <f t="shared" si="101"/>
        <v>0.5</v>
      </c>
      <c r="R292" s="176">
        <f t="shared" si="102"/>
        <v>0.73244189184340325</v>
      </c>
      <c r="S292" s="814">
        <f t="shared" si="103"/>
        <v>0</v>
      </c>
      <c r="T292" s="175">
        <f t="shared" si="104"/>
        <v>6</v>
      </c>
      <c r="U292" s="250">
        <f t="shared" si="105"/>
        <v>0.73244189184340325</v>
      </c>
      <c r="V292" s="382">
        <f t="shared" si="106"/>
        <v>42.316921950018646</v>
      </c>
      <c r="W292" s="401"/>
      <c r="X292" s="157">
        <f t="shared" si="107"/>
        <v>44474</v>
      </c>
      <c r="Y292" s="384">
        <f t="shared" si="108"/>
        <v>11.63910553458591</v>
      </c>
      <c r="Z292" s="384">
        <f t="shared" si="109"/>
        <v>11.940640899863737</v>
      </c>
      <c r="AA292" s="385">
        <f t="shared" si="110"/>
        <v>12.627978356811431</v>
      </c>
      <c r="AB292" s="196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5.4429730359566927E-2</v>
      </c>
      <c r="AD292" s="230">
        <f>(INDEX(Models!$BJ292:$BT292,,AH292)*(1-AF292)+INDEX(Models!$BJ292:$BT292,,AH292+1)*AF292-ERP_i)*AE292*Ramure*Pc/MaxiM</f>
        <v>3.554964245533402E-4</v>
      </c>
      <c r="AE292" s="304">
        <f t="shared" si="112"/>
        <v>0.5</v>
      </c>
      <c r="AF292" s="176">
        <f t="shared" si="113"/>
        <v>0.73244189184340325</v>
      </c>
      <c r="AG292" s="814">
        <f t="shared" si="119"/>
        <v>0</v>
      </c>
      <c r="AH292" s="175">
        <f t="shared" si="114"/>
        <v>6</v>
      </c>
      <c r="AI292" s="224">
        <f t="shared" si="115"/>
        <v>0.73244189184340325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16">
        <v>34.835000000000001</v>
      </c>
      <c r="C293" s="389"/>
      <c r="D293" s="392">
        <f t="shared" si="98"/>
        <v>35.738255307960763</v>
      </c>
      <c r="E293" s="384">
        <f t="shared" si="96"/>
        <v>36.406181572909666</v>
      </c>
      <c r="F293" s="384">
        <f t="shared" si="99"/>
        <v>36.415980739096128</v>
      </c>
      <c r="G293" s="110">
        <f t="shared" si="97"/>
        <v>0.82862240664808262</v>
      </c>
      <c r="H293" s="413" t="b">
        <f>Wh_hp&gt;='2020'!Maxi_hp</f>
        <v>0</v>
      </c>
      <c r="I293" s="379">
        <f>IF(H293,Wh_hp,'2020'!Maxi_hp)</f>
        <v>40.753647143943134</v>
      </c>
      <c r="J293" s="85">
        <f>IF(H293,An,'2020'!An_max)</f>
        <v>2018</v>
      </c>
      <c r="K293" s="196">
        <f t="shared" si="100"/>
        <v>44475</v>
      </c>
      <c r="L293" s="147">
        <f>IF(t&lt;Tvie,1-EXP((T0-t)*PertePVj)+'2020'!Pspv,1-EXP((T0-t)*PertePVj)+Pspv)</f>
        <v>2.5274185887847779E-2</v>
      </c>
      <c r="M293" s="847"/>
      <c r="N293" s="847"/>
      <c r="O293" s="48">
        <f>IF(t&lt;Tnet,'2020'!Resal+('2020'!Salim-'2020'!Resal)*(1-EXP(('2020'!Tnet-t)/('2020'!Tau_j))),Resal+(Salim-Resal)*(1-EXP((Tnet-t)/(Tau_j))))*Salcycl</f>
        <v>1.834650699665577E-2</v>
      </c>
      <c r="P293" s="168">
        <f>(INDEX(Models!$BJ293:$BT293,,T293)*(1-R293)+INDEX(Models!$BJ293:$BT293,,T293+1)*R293-ERP_i)*Q293*Ramure*Pc/MaxiM</f>
        <v>3.5627899006103345E-4</v>
      </c>
      <c r="Q293" s="304">
        <f t="shared" si="101"/>
        <v>0.5</v>
      </c>
      <c r="R293" s="176">
        <f t="shared" si="102"/>
        <v>0.73253909308602672</v>
      </c>
      <c r="S293" s="814">
        <f t="shared" si="103"/>
        <v>0</v>
      </c>
      <c r="T293" s="175">
        <f t="shared" si="104"/>
        <v>6</v>
      </c>
      <c r="U293" s="250">
        <f t="shared" si="105"/>
        <v>0.73253909308602672</v>
      </c>
      <c r="V293" s="382">
        <f t="shared" si="106"/>
        <v>42.035988485140564</v>
      </c>
      <c r="W293" s="401"/>
      <c r="X293" s="157">
        <f t="shared" si="107"/>
        <v>44475</v>
      </c>
      <c r="Y293" s="384">
        <f t="shared" si="108"/>
        <v>33.554315371549038</v>
      </c>
      <c r="Z293" s="384">
        <f t="shared" si="109"/>
        <v>34.424363124221379</v>
      </c>
      <c r="AA293" s="385">
        <f t="shared" si="110"/>
        <v>36.406181572909666</v>
      </c>
      <c r="AB293" s="196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5.4436317214958556E-2</v>
      </c>
      <c r="AD293" s="230">
        <f>(INDEX(Models!$BJ293:$BT293,,AH293)*(1-AF293)+INDEX(Models!$BJ293:$BT293,,AH293+1)*AF293-ERP_i)*AE293*Ramure*Pc/MaxiM</f>
        <v>3.5627899006103345E-4</v>
      </c>
      <c r="AE293" s="304">
        <f t="shared" si="112"/>
        <v>0.5</v>
      </c>
      <c r="AF293" s="176">
        <f t="shared" si="113"/>
        <v>0.73253909308602672</v>
      </c>
      <c r="AG293" s="814">
        <f t="shared" si="119"/>
        <v>0</v>
      </c>
      <c r="AH293" s="175">
        <f t="shared" si="114"/>
        <v>6</v>
      </c>
      <c r="AI293" s="224">
        <f t="shared" si="115"/>
        <v>0.73253909308602672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44476</v>
      </c>
      <c r="B294" s="616">
        <v>42.142000000000003</v>
      </c>
      <c r="C294" s="389"/>
      <c r="D294" s="392">
        <f t="shared" si="98"/>
        <v>43.235668217289174</v>
      </c>
      <c r="E294" s="384">
        <f t="shared" si="96"/>
        <v>44.046407369560406</v>
      </c>
      <c r="F294" s="384">
        <f t="shared" si="99"/>
        <v>44.062156348589909</v>
      </c>
      <c r="G294" s="110">
        <f t="shared" si="97"/>
        <v>1.0093034282481337</v>
      </c>
      <c r="H294" s="413" t="b">
        <f>Wh_hp&gt;='2020'!Maxi_hp</f>
        <v>1</v>
      </c>
      <c r="I294" s="379">
        <f>IF(H294,Wh_hp,'2020'!Maxi_hp)</f>
        <v>44.062156348589909</v>
      </c>
      <c r="J294" s="85">
        <f>IF(H294,An,'2020'!An_max)</f>
        <v>2021</v>
      </c>
      <c r="K294" s="196">
        <f t="shared" si="100"/>
        <v>44476</v>
      </c>
      <c r="L294" s="147">
        <f>IF(t&lt;Tvie,1-EXP((T0-t)*PertePVj)+'2020'!Pspv,1-EXP((T0-t)*PertePVj)+Pspv)</f>
        <v>2.5295508601664941E-2</v>
      </c>
      <c r="M294" s="847"/>
      <c r="N294" s="847"/>
      <c r="O294" s="48">
        <f>IF(t&lt;Tnet,'2020'!Resal+('2020'!Salim-'2020'!Resal)*(1-EXP(('2020'!Tnet-t)/('2020'!Tau_j))),Resal+(Salim-Resal)*(1-EXP((Tnet-t)/(Tau_j))))*Salcycl</f>
        <v>1.840647627555464E-2</v>
      </c>
      <c r="P294" s="168">
        <f>(INDEX(Models!$BJ294:$BT294,,T294)*(1-R294)+INDEX(Models!$BJ294:$BT294,,T294+1)*R294-ERP_i)*Q294*Ramure*Pc/MaxiM</f>
        <v>3.5742642518239997E-4</v>
      </c>
      <c r="Q294" s="304">
        <f t="shared" si="101"/>
        <v>0.5</v>
      </c>
      <c r="R294" s="176">
        <f t="shared" si="102"/>
        <v>0.73263244035794051</v>
      </c>
      <c r="S294" s="814">
        <f t="shared" si="103"/>
        <v>0</v>
      </c>
      <c r="T294" s="175">
        <f t="shared" si="104"/>
        <v>6</v>
      </c>
      <c r="U294" s="250">
        <f t="shared" si="105"/>
        <v>0.73263244035794051</v>
      </c>
      <c r="V294" s="382">
        <f t="shared" si="106"/>
        <v>41.753548854130656</v>
      </c>
      <c r="W294" s="401"/>
      <c r="X294" s="157">
        <f t="shared" si="107"/>
        <v>44476</v>
      </c>
      <c r="Y294" s="384">
        <f t="shared" si="108"/>
        <v>40.594911168172942</v>
      </c>
      <c r="Z294" s="384">
        <f t="shared" si="109"/>
        <v>41.648429371587774</v>
      </c>
      <c r="AA294" s="385">
        <f t="shared" si="110"/>
        <v>44.046407369560406</v>
      </c>
      <c r="AB294" s="196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5.4442079188275004E-2</v>
      </c>
      <c r="AD294" s="230">
        <f>(INDEX(Models!$BJ294:$BT294,,AH294)*(1-AF294)+INDEX(Models!$BJ294:$BT294,,AH294+1)*AF294-ERP_i)*AE294*Ramure*Pc/MaxiM</f>
        <v>3.5742642518239997E-4</v>
      </c>
      <c r="AE294" s="304">
        <f t="shared" si="112"/>
        <v>0.5</v>
      </c>
      <c r="AF294" s="176">
        <f t="shared" si="113"/>
        <v>0.73263244035794051</v>
      </c>
      <c r="AG294" s="814">
        <f t="shared" si="119"/>
        <v>0</v>
      </c>
      <c r="AH294" s="175">
        <f t="shared" si="114"/>
        <v>6</v>
      </c>
      <c r="AI294" s="224">
        <f t="shared" si="115"/>
        <v>0.73263244035794051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44477</v>
      </c>
      <c r="B295" s="616">
        <v>41.384999999999998</v>
      </c>
      <c r="C295" s="389"/>
      <c r="D295" s="392">
        <f t="shared" si="98"/>
        <v>42.459951407620558</v>
      </c>
      <c r="E295" s="384">
        <f t="shared" si="96"/>
        <v>43.258770079180991</v>
      </c>
      <c r="F295" s="384">
        <f t="shared" si="99"/>
        <v>43.274258019273653</v>
      </c>
      <c r="G295" s="110">
        <f t="shared" si="97"/>
        <v>0.99796631086107979</v>
      </c>
      <c r="H295" s="413" t="b">
        <f>Wh_hp&gt;='2020'!Maxi_hp</f>
        <v>1</v>
      </c>
      <c r="I295" s="379">
        <f>IF(H295,Wh_hp,'2020'!Maxi_hp)</f>
        <v>43.274258019273653</v>
      </c>
      <c r="J295" s="85">
        <f>IF(H295,An,'2020'!An_max)</f>
        <v>2021</v>
      </c>
      <c r="K295" s="196">
        <f t="shared" si="100"/>
        <v>44477</v>
      </c>
      <c r="L295" s="147">
        <f>IF(t&lt;Tvie,1-EXP((T0-t)*PertePVj)+'2020'!Pspv,1-EXP((T0-t)*PertePVj)+Pspv)</f>
        <v>2.5316830848460016E-2</v>
      </c>
      <c r="M295" s="847"/>
      <c r="N295" s="847"/>
      <c r="O295" s="48">
        <f>IF(t&lt;Tnet,'2020'!Resal+('2020'!Salim-'2020'!Resal)*(1-EXP(('2020'!Tnet-t)/('2020'!Tau_j))),Resal+(Salim-Resal)*(1-EXP((Tnet-t)/(Tau_j))))*Salcycl</f>
        <v>1.8466051394856502E-2</v>
      </c>
      <c r="P295" s="168">
        <f>(INDEX(Models!$BJ295:$BT295,,T295)*(1-R295)+INDEX(Models!$BJ295:$BT295,,T295+1)*R295-ERP_i)*Q295*Ramure*Pc/MaxiM</f>
        <v>3.5894421777742628E-4</v>
      </c>
      <c r="Q295" s="304">
        <f t="shared" si="101"/>
        <v>0.5</v>
      </c>
      <c r="R295" s="176">
        <f t="shared" si="102"/>
        <v>0.73272208417745721</v>
      </c>
      <c r="S295" s="814">
        <f t="shared" si="103"/>
        <v>0</v>
      </c>
      <c r="T295" s="175">
        <f t="shared" si="104"/>
        <v>6</v>
      </c>
      <c r="U295" s="250">
        <f t="shared" si="105"/>
        <v>0.73272208417745721</v>
      </c>
      <c r="V295" s="382">
        <f t="shared" si="106"/>
        <v>41.469292498874694</v>
      </c>
      <c r="W295" s="401"/>
      <c r="X295" s="157">
        <f t="shared" si="107"/>
        <v>44477</v>
      </c>
      <c r="Y295" s="384">
        <f t="shared" si="108"/>
        <v>39.867913322466947</v>
      </c>
      <c r="Z295" s="384">
        <f t="shared" si="109"/>
        <v>40.903459282232092</v>
      </c>
      <c r="AA295" s="385">
        <f t="shared" si="110"/>
        <v>43.258770079180991</v>
      </c>
      <c r="AB295" s="196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5.4447012539601304E-2</v>
      </c>
      <c r="AD295" s="230">
        <f>(INDEX(Models!$BJ295:$BT295,,AH295)*(1-AF295)+INDEX(Models!$BJ295:$BT295,,AH295+1)*AF295-ERP_i)*AE295*Ramure*Pc/MaxiM</f>
        <v>3.5894421777742628E-4</v>
      </c>
      <c r="AE295" s="304">
        <f t="shared" si="112"/>
        <v>0.5</v>
      </c>
      <c r="AF295" s="176">
        <f t="shared" si="113"/>
        <v>0.73272208417745721</v>
      </c>
      <c r="AG295" s="814">
        <f t="shared" si="119"/>
        <v>0</v>
      </c>
      <c r="AH295" s="175">
        <f t="shared" si="114"/>
        <v>6</v>
      </c>
      <c r="AI295" s="224">
        <f t="shared" si="115"/>
        <v>0.73272208417745721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44478</v>
      </c>
      <c r="B296" s="616">
        <v>14.503</v>
      </c>
      <c r="C296" s="389"/>
      <c r="D296" s="392">
        <f t="shared" si="98"/>
        <v>14.880032535497664</v>
      </c>
      <c r="E296" s="384">
        <f t="shared" si="96"/>
        <v>15.160891530828142</v>
      </c>
      <c r="F296" s="384">
        <f t="shared" si="99"/>
        <v>15.16129885717757</v>
      </c>
      <c r="G296" s="110">
        <f t="shared" si="97"/>
        <v>0.3520430356526762</v>
      </c>
      <c r="H296" s="413" t="b">
        <f>Wh_hp&gt;='2020'!Maxi_hp</f>
        <v>0</v>
      </c>
      <c r="I296" s="379">
        <f>IF(H296,Wh_hp,'2020'!Maxi_hp)</f>
        <v>36.645700878669174</v>
      </c>
      <c r="J296" s="85">
        <f>IF(H296,An,'2020'!An_max)</f>
        <v>2020</v>
      </c>
      <c r="K296" s="196">
        <f t="shared" si="100"/>
        <v>44478</v>
      </c>
      <c r="L296" s="147">
        <f>IF(t&lt;Tvie,1-EXP((T0-t)*PertePVj)+'2020'!Pspv,1-EXP((T0-t)*PertePVj)+Pspv)</f>
        <v>2.5338152628243106E-2</v>
      </c>
      <c r="M296" s="847"/>
      <c r="N296" s="847"/>
      <c r="O296" s="48">
        <f>IF(t&lt;Tnet,'2020'!Resal+('2020'!Salim-'2020'!Resal)*(1-EXP(('2020'!Tnet-t)/('2020'!Tau_j))),Resal+(Salim-Resal)*(1-EXP((Tnet-t)/(Tau_j))))*Salcycl</f>
        <v>1.8525229519608343E-2</v>
      </c>
      <c r="P296" s="168">
        <f>(INDEX(Models!$BJ296:$BT296,,T296)*(1-R296)+INDEX(Models!$BJ296:$BT296,,T296+1)*R296-ERP_i)*Q296*Ramure*Pc/MaxiM</f>
        <v>3.6054708649403959E-4</v>
      </c>
      <c r="Q296" s="304">
        <f t="shared" si="101"/>
        <v>0.5</v>
      </c>
      <c r="R296" s="176">
        <f t="shared" si="102"/>
        <v>0.73280816936385473</v>
      </c>
      <c r="S296" s="814">
        <f t="shared" si="103"/>
        <v>0</v>
      </c>
      <c r="T296" s="175">
        <f t="shared" si="104"/>
        <v>6</v>
      </c>
      <c r="U296" s="250">
        <f t="shared" si="105"/>
        <v>0.73280816936385473</v>
      </c>
      <c r="V296" s="382">
        <f t="shared" si="106"/>
        <v>41.182920914975881</v>
      </c>
      <c r="W296" s="401"/>
      <c r="X296" s="157">
        <f t="shared" si="107"/>
        <v>44478</v>
      </c>
      <c r="Y296" s="384">
        <f t="shared" si="108"/>
        <v>13.972132429013275</v>
      </c>
      <c r="Z296" s="384">
        <f t="shared" si="109"/>
        <v>14.335364071847172</v>
      </c>
      <c r="AA296" s="385">
        <f t="shared" si="110"/>
        <v>15.160891530828142</v>
      </c>
      <c r="AB296" s="196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5.4451115707960976E-2</v>
      </c>
      <c r="AD296" s="230">
        <f>(INDEX(Models!$BJ296:$BT296,,AH296)*(1-AF296)+INDEX(Models!$BJ296:$BT296,,AH296+1)*AF296-ERP_i)*AE296*Ramure*Pc/MaxiM</f>
        <v>3.6054708649403959E-4</v>
      </c>
      <c r="AE296" s="304">
        <f t="shared" si="112"/>
        <v>0.5</v>
      </c>
      <c r="AF296" s="176">
        <f t="shared" si="113"/>
        <v>0.73280816936385473</v>
      </c>
      <c r="AG296" s="814">
        <f t="shared" si="119"/>
        <v>0</v>
      </c>
      <c r="AH296" s="175">
        <f t="shared" si="114"/>
        <v>6</v>
      </c>
      <c r="AI296" s="224">
        <f t="shared" si="115"/>
        <v>0.73280816936385473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44479</v>
      </c>
      <c r="B297" s="616">
        <v>25.797000000000001</v>
      </c>
      <c r="C297" s="389"/>
      <c r="D297" s="392">
        <f t="shared" si="98"/>
        <v>26.468220138877157</v>
      </c>
      <c r="E297" s="384">
        <f t="shared" ref="E297:E360" si="120">Wh_pvt/(1-Psa)</f>
        <v>26.969420073582267</v>
      </c>
      <c r="F297" s="384">
        <f t="shared" si="99"/>
        <v>26.974033872990532</v>
      </c>
      <c r="G297" s="110">
        <f t="shared" ref="G297:G360" si="121">+Wh_hp/MaxiM</f>
        <v>0.63070350306276224</v>
      </c>
      <c r="H297" s="413" t="b">
        <f>Wh_hp&gt;='2020'!Maxi_hp</f>
        <v>0</v>
      </c>
      <c r="I297" s="379">
        <f>IF(H297,Wh_hp,'2020'!Maxi_hp)</f>
        <v>30.948419560361163</v>
      </c>
      <c r="J297" s="85">
        <f>IF(H297,An,'2020'!An_max)</f>
        <v>2019</v>
      </c>
      <c r="K297" s="196">
        <f t="shared" si="100"/>
        <v>44479</v>
      </c>
      <c r="L297" s="147">
        <f>IF(t&lt;Tvie,1-EXP((T0-t)*PertePVj)+'2020'!Pspv,1-EXP((T0-t)*PertePVj)+Pspv)</f>
        <v>2.5359473941024537E-2</v>
      </c>
      <c r="M297" s="847"/>
      <c r="N297" s="847"/>
      <c r="O297" s="48">
        <f>IF(t&lt;Tnet,'2020'!Resal+('2020'!Salim-'2020'!Resal)*(1-EXP(('2020'!Tnet-t)/('2020'!Tau_j))),Resal+(Salim-Resal)*(1-EXP((Tnet-t)/(Tau_j))))*Salcycl</f>
        <v>1.8584008604473415E-2</v>
      </c>
      <c r="P297" s="168">
        <f>(INDEX(Models!$BJ297:$BT297,,T297)*(1-R297)+INDEX(Models!$BJ297:$BT297,,T297+1)*R297-ERP_i)*Q297*Ramure*Pc/MaxiM</f>
        <v>3.6192112312537206E-4</v>
      </c>
      <c r="Q297" s="304">
        <f t="shared" si="101"/>
        <v>0.5</v>
      </c>
      <c r="R297" s="176">
        <f t="shared" si="102"/>
        <v>0.73289083523900933</v>
      </c>
      <c r="S297" s="814">
        <f t="shared" si="103"/>
        <v>0</v>
      </c>
      <c r="T297" s="175">
        <f t="shared" si="104"/>
        <v>6</v>
      </c>
      <c r="U297" s="250">
        <f t="shared" si="105"/>
        <v>0.73289083523900933</v>
      </c>
      <c r="V297" s="382">
        <f t="shared" si="106"/>
        <v>40.894136508972174</v>
      </c>
      <c r="W297" s="401"/>
      <c r="X297" s="157">
        <f t="shared" si="107"/>
        <v>44479</v>
      </c>
      <c r="Y297" s="384">
        <f t="shared" si="108"/>
        <v>24.854129471678664</v>
      </c>
      <c r="Z297" s="384">
        <f t="shared" si="109"/>
        <v>25.500816770033161</v>
      </c>
      <c r="AA297" s="385">
        <f t="shared" si="110"/>
        <v>26.969420073582267</v>
      </c>
      <c r="AB297" s="196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5.445438943596969E-2</v>
      </c>
      <c r="AD297" s="230">
        <f>(INDEX(Models!$BJ297:$BT297,,AH297)*(1-AF297)+INDEX(Models!$BJ297:$BT297,,AH297+1)*AF297-ERP_i)*AE297*Ramure*Pc/MaxiM</f>
        <v>3.6192112312537206E-4</v>
      </c>
      <c r="AE297" s="304">
        <f t="shared" si="112"/>
        <v>0.5</v>
      </c>
      <c r="AF297" s="176">
        <f t="shared" si="113"/>
        <v>0.73289083523900933</v>
      </c>
      <c r="AG297" s="814">
        <f t="shared" si="119"/>
        <v>0</v>
      </c>
      <c r="AH297" s="175">
        <f t="shared" si="114"/>
        <v>6</v>
      </c>
      <c r="AI297" s="224">
        <f t="shared" si="115"/>
        <v>0.73289083523900933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44480</v>
      </c>
      <c r="B298" s="616">
        <v>40.817999999999998</v>
      </c>
      <c r="C298" s="389"/>
      <c r="D298" s="392">
        <f t="shared" si="98"/>
        <v>41.880972365070086</v>
      </c>
      <c r="E298" s="384">
        <f t="shared" si="120"/>
        <v>42.676565432702432</v>
      </c>
      <c r="F298" s="384">
        <f t="shared" si="99"/>
        <v>42.692065507044191</v>
      </c>
      <c r="G298" s="110">
        <f t="shared" si="121"/>
        <v>1.0053043706041465</v>
      </c>
      <c r="H298" s="413" t="b">
        <f>Wh_hp&gt;='2020'!Maxi_hp</f>
        <v>0</v>
      </c>
      <c r="I298" s="379">
        <f>IF(H298,Wh_hp,'2020'!Maxi_hp)</f>
        <v>43.136286710165194</v>
      </c>
      <c r="J298" s="85">
        <f>IF(H298,An,'2020'!An_max)</f>
        <v>2019</v>
      </c>
      <c r="K298" s="196">
        <f t="shared" si="100"/>
        <v>44480</v>
      </c>
      <c r="L298" s="147">
        <f>IF(t&lt;Tvie,1-EXP((T0-t)*PertePVj)+'2020'!Pspv,1-EXP((T0-t)*PertePVj)+Pspv)</f>
        <v>2.538079478681441E-2</v>
      </c>
      <c r="M298" s="847"/>
      <c r="N298" s="847"/>
      <c r="O298" s="48">
        <f>IF(t&lt;Tnet,'2020'!Resal+('2020'!Salim-'2020'!Resal)*(1-EXP(('2020'!Tnet-t)/('2020'!Tau_j))),Resal+(Salim-Resal)*(1-EXP((Tnet-t)/(Tau_j))))*Salcycl</f>
        <v>1.8642387445328465E-2</v>
      </c>
      <c r="P298" s="168">
        <f>(INDEX(Models!$BJ298:$BT298,,T298)*(1-R298)+INDEX(Models!$BJ298:$BT298,,T298+1)*R298-ERP_i)*Q298*Ramure*Pc/MaxiM</f>
        <v>3.6306686401011372E-4</v>
      </c>
      <c r="Q298" s="304">
        <f t="shared" si="101"/>
        <v>0.5</v>
      </c>
      <c r="R298" s="176">
        <f t="shared" si="102"/>
        <v>0.73297021582302913</v>
      </c>
      <c r="S298" s="814">
        <f t="shared" si="103"/>
        <v>0</v>
      </c>
      <c r="T298" s="175">
        <f t="shared" si="104"/>
        <v>6</v>
      </c>
      <c r="U298" s="250">
        <f t="shared" si="105"/>
        <v>0.73297021582302913</v>
      </c>
      <c r="V298" s="382">
        <f t="shared" si="106"/>
        <v>40.602628610348191</v>
      </c>
      <c r="W298" s="401"/>
      <c r="X298" s="157">
        <f t="shared" si="107"/>
        <v>44480</v>
      </c>
      <c r="Y298" s="384">
        <f t="shared" si="108"/>
        <v>39.328355268529613</v>
      </c>
      <c r="Z298" s="384">
        <f t="shared" si="109"/>
        <v>40.352534670119738</v>
      </c>
      <c r="AA298" s="385">
        <f t="shared" si="110"/>
        <v>42.676565432702432</v>
      </c>
      <c r="AB298" s="196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5.44568368850466E-2</v>
      </c>
      <c r="AD298" s="230">
        <f>(INDEX(Models!$BJ298:$BT298,,AH298)*(1-AF298)+INDEX(Models!$BJ298:$BT298,,AH298+1)*AF298-ERP_i)*AE298*Ramure*Pc/MaxiM</f>
        <v>3.6306686401011372E-4</v>
      </c>
      <c r="AE298" s="304">
        <f t="shared" si="112"/>
        <v>0.5</v>
      </c>
      <c r="AF298" s="176">
        <f t="shared" si="113"/>
        <v>0.73297021582302913</v>
      </c>
      <c r="AG298" s="814">
        <f t="shared" si="119"/>
        <v>0</v>
      </c>
      <c r="AH298" s="175">
        <f t="shared" si="114"/>
        <v>6</v>
      </c>
      <c r="AI298" s="224">
        <f t="shared" si="115"/>
        <v>0.73297021582302913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44481</v>
      </c>
      <c r="B299" s="616">
        <v>39.311</v>
      </c>
      <c r="C299" s="389"/>
      <c r="D299" s="392">
        <f t="shared" si="98"/>
        <v>40.335609805556381</v>
      </c>
      <c r="E299" s="384">
        <f t="shared" si="120"/>
        <v>41.104274776860834</v>
      </c>
      <c r="F299" s="384">
        <f t="shared" si="99"/>
        <v>41.118712487030926</v>
      </c>
      <c r="G299" s="110">
        <f t="shared" si="121"/>
        <v>0.9752508121313036</v>
      </c>
      <c r="H299" s="413" t="b">
        <f>Wh_hp&gt;='2020'!Maxi_hp</f>
        <v>1</v>
      </c>
      <c r="I299" s="379">
        <f>IF(H299,Wh_hp,'2020'!Maxi_hp)</f>
        <v>41.118712487030926</v>
      </c>
      <c r="J299" s="85">
        <f>IF(H299,An,'2020'!An_max)</f>
        <v>2021</v>
      </c>
      <c r="K299" s="196">
        <f t="shared" si="100"/>
        <v>44481</v>
      </c>
      <c r="L299" s="147">
        <f>IF(t&lt;Tvie,1-EXP((T0-t)*PertePVj)+'2020'!Pspv,1-EXP((T0-t)*PertePVj)+Pspv)</f>
        <v>2.5402115165623164E-2</v>
      </c>
      <c r="M299" s="847"/>
      <c r="N299" s="847"/>
      <c r="O299" s="48">
        <f>IF(t&lt;Tnet,'2020'!Resal+('2020'!Salim-'2020'!Resal)*(1-EXP(('2020'!Tnet-t)/('2020'!Tau_j))),Resal+(Salim-Resal)*(1-EXP((Tnet-t)/(Tau_j))))*Salcycl</f>
        <v>1.8700365727828457E-2</v>
      </c>
      <c r="P299" s="168">
        <f>(INDEX(Models!$BJ299:$BT299,,T299)*(1-R299)+INDEX(Models!$BJ299:$BT299,,T299+1)*R299-ERP_i)*Q299*Ramure*Pc/MaxiM</f>
        <v>3.639851502671048E-4</v>
      </c>
      <c r="Q299" s="304">
        <f t="shared" si="101"/>
        <v>0.5</v>
      </c>
      <c r="R299" s="176">
        <f t="shared" si="102"/>
        <v>0.73304644002397001</v>
      </c>
      <c r="S299" s="814">
        <f t="shared" si="103"/>
        <v>0</v>
      </c>
      <c r="T299" s="175">
        <f t="shared" si="104"/>
        <v>6</v>
      </c>
      <c r="U299" s="250">
        <f t="shared" si="105"/>
        <v>0.73304644002397001</v>
      </c>
      <c r="V299" s="382">
        <f t="shared" si="106"/>
        <v>40.308086591249342</v>
      </c>
      <c r="W299" s="401"/>
      <c r="X299" s="157">
        <f t="shared" si="107"/>
        <v>44481</v>
      </c>
      <c r="Y299" s="384">
        <f t="shared" si="108"/>
        <v>37.878525614136009</v>
      </c>
      <c r="Z299" s="384">
        <f t="shared" si="109"/>
        <v>38.86579911937023</v>
      </c>
      <c r="AA299" s="385">
        <f t="shared" si="110"/>
        <v>41.104274776860834</v>
      </c>
      <c r="AB299" s="196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5.4458463739901021E-2</v>
      </c>
      <c r="AD299" s="230">
        <f>(INDEX(Models!$BJ299:$BT299,,AH299)*(1-AF299)+INDEX(Models!$BJ299:$BT299,,AH299+1)*AF299-ERP_i)*AE299*Ramure*Pc/MaxiM</f>
        <v>3.639851502671048E-4</v>
      </c>
      <c r="AE299" s="304">
        <f t="shared" si="112"/>
        <v>0.5</v>
      </c>
      <c r="AF299" s="176">
        <f t="shared" si="113"/>
        <v>0.73304644002397001</v>
      </c>
      <c r="AG299" s="814">
        <f t="shared" si="119"/>
        <v>0</v>
      </c>
      <c r="AH299" s="175">
        <f t="shared" si="114"/>
        <v>6</v>
      </c>
      <c r="AI299" s="224">
        <f t="shared" si="115"/>
        <v>0.73304644002397001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44482</v>
      </c>
      <c r="B300" s="616">
        <v>37.486000000000004</v>
      </c>
      <c r="C300" s="389"/>
      <c r="D300" s="392">
        <f t="shared" si="98"/>
        <v>38.463884059206215</v>
      </c>
      <c r="E300" s="384">
        <f t="shared" si="120"/>
        <v>39.199180086962713</v>
      </c>
      <c r="F300" s="384">
        <f t="shared" si="99"/>
        <v>39.212191078905711</v>
      </c>
      <c r="G300" s="110">
        <f t="shared" si="121"/>
        <v>0.93688028691483749</v>
      </c>
      <c r="H300" s="413" t="b">
        <f>Wh_hp&gt;='2020'!Maxi_hp</f>
        <v>1</v>
      </c>
      <c r="I300" s="379">
        <f>IF(H300,Wh_hp,'2020'!Maxi_hp)</f>
        <v>39.212191078905711</v>
      </c>
      <c r="J300" s="85">
        <f>IF(H300,An,'2020'!An_max)</f>
        <v>2021</v>
      </c>
      <c r="K300" s="196">
        <f t="shared" si="100"/>
        <v>44482</v>
      </c>
      <c r="L300" s="147">
        <f>IF(t&lt;Tvie,1-EXP((T0-t)*PertePVj)+'2020'!Pspv,1-EXP((T0-t)*PertePVj)+Pspv)</f>
        <v>2.5423435077460789E-2</v>
      </c>
      <c r="M300" s="847"/>
      <c r="N300" s="847"/>
      <c r="O300" s="48">
        <f>IF(t&lt;Tnet,'2020'!Resal+('2020'!Salim-'2020'!Resal)*(1-EXP(('2020'!Tnet-t)/('2020'!Tau_j))),Resal+(Salim-Resal)*(1-EXP((Tnet-t)/(Tau_j))))*Salcycl</f>
        <v>1.8757944072433464E-2</v>
      </c>
      <c r="P300" s="168">
        <f>(INDEX(Models!$BJ300:$BT300,,T300)*(1-R300)+INDEX(Models!$BJ300:$BT300,,T300+1)*R300-ERP_i)*Q300*Ramure*Pc/MaxiM</f>
        <v>3.6467712823690747E-4</v>
      </c>
      <c r="Q300" s="304">
        <f t="shared" si="101"/>
        <v>0.5</v>
      </c>
      <c r="R300" s="176">
        <f t="shared" si="102"/>
        <v>0.73311963182172657</v>
      </c>
      <c r="S300" s="814">
        <f t="shared" si="103"/>
        <v>0</v>
      </c>
      <c r="T300" s="175">
        <f t="shared" si="104"/>
        <v>6</v>
      </c>
      <c r="U300" s="250">
        <f t="shared" si="105"/>
        <v>0.73311963182172657</v>
      </c>
      <c r="V300" s="382">
        <f t="shared" si="106"/>
        <v>40.010199864885529</v>
      </c>
      <c r="W300" s="401"/>
      <c r="X300" s="157">
        <f t="shared" si="107"/>
        <v>44482</v>
      </c>
      <c r="Y300" s="384">
        <f t="shared" si="108"/>
        <v>36.122116127707564</v>
      </c>
      <c r="Z300" s="384">
        <f t="shared" si="109"/>
        <v>37.064421029433028</v>
      </c>
      <c r="AA300" s="385">
        <f t="shared" si="110"/>
        <v>39.199180086962713</v>
      </c>
      <c r="AB300" s="196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5.4459278301070585E-2</v>
      </c>
      <c r="AD300" s="230">
        <f>(INDEX(Models!$BJ300:$BT300,,AH300)*(1-AF300)+INDEX(Models!$BJ300:$BT300,,AH300+1)*AF300-ERP_i)*AE300*Ramure*Pc/MaxiM</f>
        <v>3.6467712823690747E-4</v>
      </c>
      <c r="AE300" s="304">
        <f t="shared" si="112"/>
        <v>0.5</v>
      </c>
      <c r="AF300" s="176">
        <f t="shared" si="113"/>
        <v>0.73311963182172657</v>
      </c>
      <c r="AG300" s="814">
        <f t="shared" si="119"/>
        <v>0</v>
      </c>
      <c r="AH300" s="175">
        <f t="shared" si="114"/>
        <v>6</v>
      </c>
      <c r="AI300" s="224">
        <f t="shared" si="115"/>
        <v>0.73311963182172657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44483</v>
      </c>
      <c r="B301" s="616">
        <v>41.54</v>
      </c>
      <c r="C301" s="389"/>
      <c r="D301" s="392">
        <f t="shared" si="98"/>
        <v>42.624571765184896</v>
      </c>
      <c r="E301" s="384">
        <f t="shared" si="120"/>
        <v>43.44193720374949</v>
      </c>
      <c r="F301" s="384">
        <f t="shared" si="99"/>
        <v>43.45780557148769</v>
      </c>
      <c r="G301" s="110">
        <f t="shared" si="121"/>
        <v>1.0461194665036058</v>
      </c>
      <c r="H301" s="413" t="b">
        <f>Wh_hp&gt;='2020'!Maxi_hp</f>
        <v>1</v>
      </c>
      <c r="I301" s="379">
        <f>IF(H301,Wh_hp,'2020'!Maxi_hp)</f>
        <v>43.45780557148769</v>
      </c>
      <c r="J301" s="85">
        <f>IF(H301,An,'2020'!An_max)</f>
        <v>2021</v>
      </c>
      <c r="K301" s="196">
        <f t="shared" si="100"/>
        <v>44483</v>
      </c>
      <c r="L301" s="147">
        <f>IF(t&lt;Tvie,1-EXP((T0-t)*PertePVj)+'2020'!Pspv,1-EXP((T0-t)*PertePVj)+Pspv)</f>
        <v>2.5444754522337722E-2</v>
      </c>
      <c r="M301" s="847"/>
      <c r="N301" s="847"/>
      <c r="O301" s="48">
        <f>IF(t&lt;Tnet,'2020'!Resal+('2020'!Salim-'2020'!Resal)*(1-EXP(('2020'!Tnet-t)/('2020'!Tau_j))),Resal+(Salim-Resal)*(1-EXP((Tnet-t)/(Tau_j))))*Salcycl</f>
        <v>1.8815124075407176E-2</v>
      </c>
      <c r="P301" s="168">
        <f>(INDEX(Models!$BJ301:$BT301,,T301)*(1-R301)+INDEX(Models!$BJ301:$BT301,,T301+1)*R301-ERP_i)*Q301*Ramure*Pc/MaxiM</f>
        <v>3.651442480707075E-4</v>
      </c>
      <c r="Q301" s="304">
        <f t="shared" si="101"/>
        <v>0.5</v>
      </c>
      <c r="R301" s="176">
        <f t="shared" si="102"/>
        <v>0.73318991044619497</v>
      </c>
      <c r="S301" s="814">
        <f t="shared" si="103"/>
        <v>0</v>
      </c>
      <c r="T301" s="175">
        <f t="shared" si="104"/>
        <v>6</v>
      </c>
      <c r="U301" s="250">
        <f t="shared" si="105"/>
        <v>0.73318991044619497</v>
      </c>
      <c r="V301" s="382">
        <f t="shared" si="106"/>
        <v>39.708657882867932</v>
      </c>
      <c r="W301" s="401"/>
      <c r="X301" s="157">
        <f t="shared" si="107"/>
        <v>44483</v>
      </c>
      <c r="Y301" s="384">
        <f t="shared" si="108"/>
        <v>40.030948287298287</v>
      </c>
      <c r="Z301" s="384">
        <f t="shared" si="109"/>
        <v>41.076120079449957</v>
      </c>
      <c r="AA301" s="385">
        <f t="shared" si="110"/>
        <v>43.44193720374949</v>
      </c>
      <c r="AB301" s="196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5.4459291564358185E-2</v>
      </c>
      <c r="AD301" s="230">
        <f>(INDEX(Models!$BJ301:$BT301,,AH301)*(1-AF301)+INDEX(Models!$BJ301:$BT301,,AH301+1)*AF301-ERP_i)*AE301*Ramure*Pc/MaxiM</f>
        <v>3.651442480707075E-4</v>
      </c>
      <c r="AE301" s="304">
        <f t="shared" si="112"/>
        <v>0.5</v>
      </c>
      <c r="AF301" s="176">
        <f t="shared" si="113"/>
        <v>0.73318991044619497</v>
      </c>
      <c r="AG301" s="814">
        <f t="shared" si="119"/>
        <v>0</v>
      </c>
      <c r="AH301" s="175">
        <f t="shared" si="114"/>
        <v>6</v>
      </c>
      <c r="AI301" s="224">
        <f t="shared" si="115"/>
        <v>0.73318991044619497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44484</v>
      </c>
      <c r="B302" s="616">
        <v>34.92</v>
      </c>
      <c r="C302" s="389"/>
      <c r="D302" s="392">
        <f t="shared" si="98"/>
        <v>35.832513420464757</v>
      </c>
      <c r="E302" s="384">
        <f t="shared" si="120"/>
        <v>36.521748510974575</v>
      </c>
      <c r="F302" s="384">
        <f t="shared" si="99"/>
        <v>36.532927545407937</v>
      </c>
      <c r="G302" s="110">
        <f t="shared" si="121"/>
        <v>0.88617091191665265</v>
      </c>
      <c r="H302" s="413" t="b">
        <f>Wh_hp&gt;='2020'!Maxi_hp</f>
        <v>1</v>
      </c>
      <c r="I302" s="379">
        <f>IF(H302,Wh_hp,'2020'!Maxi_hp)</f>
        <v>36.532927545407937</v>
      </c>
      <c r="J302" s="85">
        <f>IF(H302,An,'2020'!An_max)</f>
        <v>2021</v>
      </c>
      <c r="K302" s="196">
        <f t="shared" si="100"/>
        <v>44484</v>
      </c>
      <c r="L302" s="147">
        <f>IF(t&lt;Tvie,1-EXP((T0-t)*PertePVj)+'2020'!Pspv,1-EXP((T0-t)*PertePVj)+Pspv)</f>
        <v>2.5466073500264065E-2</v>
      </c>
      <c r="M302" s="847"/>
      <c r="N302" s="847"/>
      <c r="O302" s="48">
        <f>IF(t&lt;Tnet,'2020'!Resal+('2020'!Salim-'2020'!Resal)*(1-EXP(('2020'!Tnet-t)/('2020'!Tau_j))),Resal+(Salim-Resal)*(1-EXP((Tnet-t)/(Tau_j))))*Salcycl</f>
        <v>1.8871908345316744E-2</v>
      </c>
      <c r="P302" s="168">
        <f>(INDEX(Models!$BJ302:$BT302,,T302)*(1-R302)+INDEX(Models!$BJ302:$BT302,,T302+1)*R302-ERP_i)*Q302*Ramure*Pc/MaxiM</f>
        <v>3.6538826026800069E-4</v>
      </c>
      <c r="Q302" s="304">
        <f t="shared" si="101"/>
        <v>0.5</v>
      </c>
      <c r="R302" s="176">
        <f t="shared" si="102"/>
        <v>0.73325739054981465</v>
      </c>
      <c r="S302" s="814">
        <f t="shared" si="103"/>
        <v>0</v>
      </c>
      <c r="T302" s="175">
        <f t="shared" si="104"/>
        <v>6</v>
      </c>
      <c r="U302" s="250">
        <f t="shared" si="105"/>
        <v>0.73325739054981465</v>
      </c>
      <c r="V302" s="382">
        <f t="shared" si="106"/>
        <v>39.403150135071485</v>
      </c>
      <c r="W302" s="401"/>
      <c r="X302" s="157">
        <f t="shared" si="107"/>
        <v>44484</v>
      </c>
      <c r="Y302" s="384">
        <f t="shared" si="108"/>
        <v>33.653412696280768</v>
      </c>
      <c r="Z302" s="384">
        <f t="shared" si="109"/>
        <v>34.532828238371124</v>
      </c>
      <c r="AA302" s="385">
        <f t="shared" si="110"/>
        <v>36.521748510974575</v>
      </c>
      <c r="AB302" s="196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5.4458517286098435E-2</v>
      </c>
      <c r="AD302" s="230">
        <f>(INDEX(Models!$BJ302:$BT302,,AH302)*(1-AF302)+INDEX(Models!$BJ302:$BT302,,AH302+1)*AF302-ERP_i)*AE302*Ramure*Pc/MaxiM</f>
        <v>3.6538826026800069E-4</v>
      </c>
      <c r="AE302" s="304">
        <f t="shared" si="112"/>
        <v>0.5</v>
      </c>
      <c r="AF302" s="176">
        <f t="shared" si="113"/>
        <v>0.73325739054981465</v>
      </c>
      <c r="AG302" s="814">
        <f t="shared" si="119"/>
        <v>0</v>
      </c>
      <c r="AH302" s="175">
        <f t="shared" si="114"/>
        <v>6</v>
      </c>
      <c r="AI302" s="224">
        <f t="shared" si="115"/>
        <v>0.73325739054981465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44485</v>
      </c>
      <c r="B303" s="616">
        <v>37.517000000000003</v>
      </c>
      <c r="C303" s="389"/>
      <c r="D303" s="392">
        <f t="shared" si="98"/>
        <v>38.498219204602755</v>
      </c>
      <c r="E303" s="384">
        <f t="shared" si="120"/>
        <v>39.240984349645935</v>
      </c>
      <c r="F303" s="384">
        <f t="shared" si="99"/>
        <v>39.25450354106809</v>
      </c>
      <c r="G303" s="110">
        <f t="shared" si="121"/>
        <v>0.95969823543842325</v>
      </c>
      <c r="H303" s="413" t="b">
        <f>Wh_hp&gt;='2020'!Maxi_hp</f>
        <v>1</v>
      </c>
      <c r="I303" s="379">
        <f>IF(H303,Wh_hp,'2020'!Maxi_hp)</f>
        <v>39.25450354106809</v>
      </c>
      <c r="J303" s="85">
        <f>IF(H303,An,'2020'!An_max)</f>
        <v>2021</v>
      </c>
      <c r="K303" s="196">
        <f t="shared" si="100"/>
        <v>44485</v>
      </c>
      <c r="L303" s="147">
        <f>IF(t&lt;Tvie,1-EXP((T0-t)*PertePVj)+'2020'!Pspv,1-EXP((T0-t)*PertePVj)+Pspv)</f>
        <v>2.5487392011250144E-2</v>
      </c>
      <c r="M303" s="847"/>
      <c r="N303" s="847"/>
      <c r="O303" s="48">
        <f>IF(t&lt;Tnet,'2020'!Resal+('2020'!Salim-'2020'!Resal)*(1-EXP(('2020'!Tnet-t)/('2020'!Tau_j))),Resal+(Salim-Resal)*(1-EXP((Tnet-t)/(Tau_j))))*Salcycl</f>
        <v>1.8928300534588337E-2</v>
      </c>
      <c r="P303" s="168">
        <f>(INDEX(Models!$BJ303:$BT303,,T303)*(1-R303)+INDEX(Models!$BJ303:$BT303,,T303+1)*R303-ERP_i)*Q303*Ramure*Pc/MaxiM</f>
        <v>3.6542701934222995E-4</v>
      </c>
      <c r="Q303" s="304">
        <f t="shared" si="101"/>
        <v>0.5</v>
      </c>
      <c r="R303" s="176">
        <f t="shared" si="102"/>
        <v>0.73332218237459446</v>
      </c>
      <c r="S303" s="814">
        <f t="shared" si="103"/>
        <v>0</v>
      </c>
      <c r="T303" s="175">
        <f t="shared" si="104"/>
        <v>6</v>
      </c>
      <c r="U303" s="250">
        <f t="shared" si="105"/>
        <v>0.73332218237459446</v>
      </c>
      <c r="V303" s="382">
        <f t="shared" si="106"/>
        <v>39.091674252603056</v>
      </c>
      <c r="W303" s="401"/>
      <c r="X303" s="157">
        <f t="shared" si="107"/>
        <v>44485</v>
      </c>
      <c r="Y303" s="384">
        <f t="shared" si="108"/>
        <v>36.158353971027097</v>
      </c>
      <c r="Z303" s="384">
        <f t="shared" si="109"/>
        <v>37.104039162358916</v>
      </c>
      <c r="AA303" s="385">
        <f t="shared" si="110"/>
        <v>39.240984349645935</v>
      </c>
      <c r="AB303" s="196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5.4456972033279413E-2</v>
      </c>
      <c r="AD303" s="230">
        <f>(INDEX(Models!$BJ303:$BT303,,AH303)*(1-AF303)+INDEX(Models!$BJ303:$BT303,,AH303+1)*AF303-ERP_i)*AE303*Ramure*Pc/MaxiM</f>
        <v>3.6542701934222995E-4</v>
      </c>
      <c r="AE303" s="304">
        <f t="shared" si="112"/>
        <v>0.5</v>
      </c>
      <c r="AF303" s="176">
        <f t="shared" si="113"/>
        <v>0.73332218237459446</v>
      </c>
      <c r="AG303" s="814">
        <f t="shared" si="119"/>
        <v>0</v>
      </c>
      <c r="AH303" s="175">
        <f t="shared" si="114"/>
        <v>6</v>
      </c>
      <c r="AI303" s="224">
        <f t="shared" si="115"/>
        <v>0.73332218237459446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44486</v>
      </c>
      <c r="B304" s="616">
        <v>34.874000000000002</v>
      </c>
      <c r="C304" s="389"/>
      <c r="D304" s="392">
        <f t="shared" si="98"/>
        <v>35.786877070988737</v>
      </c>
      <c r="E304" s="384">
        <f t="shared" si="120"/>
        <v>36.479413394430324</v>
      </c>
      <c r="F304" s="384">
        <f t="shared" si="99"/>
        <v>36.49082251593331</v>
      </c>
      <c r="G304" s="110">
        <f t="shared" si="121"/>
        <v>0.89938846847754328</v>
      </c>
      <c r="H304" s="413" t="b">
        <f>Wh_hp&gt;='2020'!Maxi_hp</f>
        <v>1</v>
      </c>
      <c r="I304" s="379">
        <f>IF(H304,Wh_hp,'2020'!Maxi_hp)</f>
        <v>36.49082251593331</v>
      </c>
      <c r="J304" s="85">
        <f>IF(H304,An,'2020'!An_max)</f>
        <v>2021</v>
      </c>
      <c r="K304" s="196">
        <f t="shared" si="100"/>
        <v>44486</v>
      </c>
      <c r="L304" s="147">
        <f>IF(t&lt;Tvie,1-EXP((T0-t)*PertePVj)+'2020'!Pspv,1-EXP((T0-t)*PertePVj)+Pspv)</f>
        <v>2.5508710055306062E-2</v>
      </c>
      <c r="M304" s="847"/>
      <c r="N304" s="847"/>
      <c r="O304" s="48">
        <f>IF(t&lt;Tnet,'2020'!Resal+('2020'!Salim-'2020'!Resal)*(1-EXP(('2020'!Tnet-t)/('2020'!Tau_j))),Resal+(Salim-Resal)*(1-EXP((Tnet-t)/(Tau_j))))*Salcycl</f>
        <v>1.898430536570302E-2</v>
      </c>
      <c r="P304" s="168">
        <f>(INDEX(Models!$BJ304:$BT304,,T304)*(1-R304)+INDEX(Models!$BJ304:$BT304,,T304+1)*R304-ERP_i)*Q304*Ramure*Pc/MaxiM</f>
        <v>3.6511024248433635E-4</v>
      </c>
      <c r="Q304" s="304">
        <f t="shared" si="101"/>
        <v>0.5</v>
      </c>
      <c r="R304" s="176">
        <f t="shared" si="102"/>
        <v>0.73338439191374127</v>
      </c>
      <c r="S304" s="814">
        <f t="shared" si="103"/>
        <v>0</v>
      </c>
      <c r="T304" s="175">
        <f t="shared" si="104"/>
        <v>6</v>
      </c>
      <c r="U304" s="250">
        <f t="shared" si="105"/>
        <v>0.73338439191374127</v>
      </c>
      <c r="V304" s="382">
        <f t="shared" si="106"/>
        <v>38.773201353685508</v>
      </c>
      <c r="W304" s="401"/>
      <c r="X304" s="157">
        <f t="shared" si="107"/>
        <v>44486</v>
      </c>
      <c r="Y304" s="384">
        <f t="shared" si="108"/>
        <v>33.61306841146105</v>
      </c>
      <c r="Z304" s="384">
        <f t="shared" si="109"/>
        <v>34.492938785906155</v>
      </c>
      <c r="AA304" s="385">
        <f t="shared" si="110"/>
        <v>36.479413394430324</v>
      </c>
      <c r="AB304" s="196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5.4454675217652022E-2</v>
      </c>
      <c r="AD304" s="230">
        <f>(INDEX(Models!$BJ304:$BT304,,AH304)*(1-AF304)+INDEX(Models!$BJ304:$BT304,,AH304+1)*AF304-ERP_i)*AE304*Ramure*Pc/MaxiM</f>
        <v>3.6511024248433635E-4</v>
      </c>
      <c r="AE304" s="304">
        <f t="shared" si="112"/>
        <v>0.5</v>
      </c>
      <c r="AF304" s="176">
        <f t="shared" si="113"/>
        <v>0.73338439191374127</v>
      </c>
      <c r="AG304" s="814">
        <f t="shared" si="119"/>
        <v>0</v>
      </c>
      <c r="AH304" s="175">
        <f t="shared" si="114"/>
        <v>6</v>
      </c>
      <c r="AI304" s="224">
        <f t="shared" si="115"/>
        <v>0.73338439191374127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44487</v>
      </c>
      <c r="B305" s="616">
        <v>35.161999999999999</v>
      </c>
      <c r="C305" s="389"/>
      <c r="D305" s="392">
        <f t="shared" si="98"/>
        <v>36.083205226499615</v>
      </c>
      <c r="E305" s="384">
        <f t="shared" si="120"/>
        <v>36.783561615206771</v>
      </c>
      <c r="F305" s="384">
        <f t="shared" si="99"/>
        <v>36.795330820706575</v>
      </c>
      <c r="G305" s="110">
        <f t="shared" si="121"/>
        <v>0.91447241448608185</v>
      </c>
      <c r="H305" s="413" t="b">
        <f>Wh_hp&gt;='2020'!Maxi_hp</f>
        <v>0</v>
      </c>
      <c r="I305" s="379">
        <f>IF(H305,Wh_hp,'2020'!Maxi_hp)</f>
        <v>40.595682285029085</v>
      </c>
      <c r="J305" s="85">
        <f>IF(H305,An,'2020'!An_max)</f>
        <v>2020</v>
      </c>
      <c r="K305" s="196">
        <f t="shared" si="100"/>
        <v>44487</v>
      </c>
      <c r="L305" s="147">
        <f>IF(t&lt;Tvie,1-EXP((T0-t)*PertePVj)+'2020'!Pspv,1-EXP((T0-t)*PertePVj)+Pspv)</f>
        <v>2.5530027632442033E-2</v>
      </c>
      <c r="M305" s="847"/>
      <c r="N305" s="847"/>
      <c r="O305" s="48">
        <f>IF(t&lt;Tnet,'2020'!Resal+('2020'!Salim-'2020'!Resal)*(1-EXP(('2020'!Tnet-t)/('2020'!Tau_j))),Resal+(Salim-Resal)*(1-EXP((Tnet-t)/(Tau_j))))*Salcycl</f>
        <v>1.9039928651651283E-2</v>
      </c>
      <c r="P305" s="168">
        <f>(INDEX(Models!$BJ305:$BT305,,T305)*(1-R305)+INDEX(Models!$BJ305:$BT305,,T305+1)*R305-ERP_i)*Q305*Ramure*Pc/MaxiM</f>
        <v>3.6435213155855829E-4</v>
      </c>
      <c r="Q305" s="304">
        <f t="shared" si="101"/>
        <v>0.5</v>
      </c>
      <c r="R305" s="176">
        <f t="shared" si="102"/>
        <v>0.73344412106800561</v>
      </c>
      <c r="S305" s="814">
        <f t="shared" si="103"/>
        <v>0</v>
      </c>
      <c r="T305" s="175">
        <f t="shared" si="104"/>
        <v>6</v>
      </c>
      <c r="U305" s="250">
        <f t="shared" si="105"/>
        <v>0.73344412106800561</v>
      </c>
      <c r="V305" s="382">
        <f t="shared" si="106"/>
        <v>38.448874310144539</v>
      </c>
      <c r="W305" s="401"/>
      <c r="X305" s="157">
        <f t="shared" si="107"/>
        <v>44487</v>
      </c>
      <c r="Y305" s="384">
        <f t="shared" si="108"/>
        <v>33.892685426214058</v>
      </c>
      <c r="Z305" s="384">
        <f t="shared" si="109"/>
        <v>34.78063602500638</v>
      </c>
      <c r="AA305" s="385">
        <f t="shared" si="110"/>
        <v>36.783561615206771</v>
      </c>
      <c r="AB305" s="196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5.4451649113074402E-2</v>
      </c>
      <c r="AD305" s="230">
        <f>(INDEX(Models!$BJ305:$BT305,,AH305)*(1-AF305)+INDEX(Models!$BJ305:$BT305,,AH305+1)*AF305-ERP_i)*AE305*Ramure*Pc/MaxiM</f>
        <v>3.6435213155855829E-4</v>
      </c>
      <c r="AE305" s="304">
        <f t="shared" si="112"/>
        <v>0.5</v>
      </c>
      <c r="AF305" s="176">
        <f t="shared" si="113"/>
        <v>0.73344412106800561</v>
      </c>
      <c r="AG305" s="814">
        <f t="shared" si="119"/>
        <v>0</v>
      </c>
      <c r="AH305" s="175">
        <f t="shared" si="114"/>
        <v>6</v>
      </c>
      <c r="AI305" s="224">
        <f t="shared" si="115"/>
        <v>0.73344412106800561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44488</v>
      </c>
      <c r="B306" s="616">
        <v>35.005000000000003</v>
      </c>
      <c r="C306" s="389"/>
      <c r="D306" s="392">
        <f t="shared" si="98"/>
        <v>35.922877835729494</v>
      </c>
      <c r="E306" s="384">
        <f t="shared" si="120"/>
        <v>36.622184950856848</v>
      </c>
      <c r="F306" s="384">
        <f t="shared" si="99"/>
        <v>36.633935286838827</v>
      </c>
      <c r="G306" s="110">
        <f t="shared" si="121"/>
        <v>0.9182494572644716</v>
      </c>
      <c r="H306" s="413" t="b">
        <f>Wh_hp&gt;='2020'!Maxi_hp</f>
        <v>0</v>
      </c>
      <c r="I306" s="379">
        <f>IF(H306,Wh_hp,'2020'!Maxi_hp)</f>
        <v>39.260964769799557</v>
      </c>
      <c r="J306" s="85">
        <f>IF(H306,An,'2020'!An_max)</f>
        <v>2020</v>
      </c>
      <c r="K306" s="196">
        <f t="shared" si="100"/>
        <v>44488</v>
      </c>
      <c r="L306" s="147">
        <f>IF(t&lt;Tvie,1-EXP((T0-t)*PertePVj)+'2020'!Pspv,1-EXP((T0-t)*PertePVj)+Pspv)</f>
        <v>2.5551344742668493E-2</v>
      </c>
      <c r="M306" s="847"/>
      <c r="N306" s="847"/>
      <c r="O306" s="48">
        <f>IF(t&lt;Tnet,'2020'!Resal+('2020'!Salim-'2020'!Resal)*(1-EXP(('2020'!Tnet-t)/('2020'!Tau_j))),Resal+(Salim-Resal)*(1-EXP((Tnet-t)/(Tau_j))))*Salcycl</f>
        <v>1.9095177310303909E-2</v>
      </c>
      <c r="P306" s="168">
        <f>(INDEX(Models!$BJ306:$BT306,,T306)*(1-R306)+INDEX(Models!$BJ306:$BT306,,T306+1)*R306-ERP_i)*Q306*Ramure*Pc/MaxiM</f>
        <v>3.6313963718987222E-4</v>
      </c>
      <c r="Q306" s="304">
        <f t="shared" si="101"/>
        <v>0.5</v>
      </c>
      <c r="R306" s="176">
        <f t="shared" si="102"/>
        <v>0.73350146779686365</v>
      </c>
      <c r="S306" s="814">
        <f t="shared" si="103"/>
        <v>0</v>
      </c>
      <c r="T306" s="175">
        <f t="shared" si="104"/>
        <v>6</v>
      </c>
      <c r="U306" s="250">
        <f t="shared" si="105"/>
        <v>0.73350146779686365</v>
      </c>
      <c r="V306" s="382">
        <f t="shared" si="106"/>
        <v>38.119832686985383</v>
      </c>
      <c r="W306" s="401"/>
      <c r="X306" s="157">
        <f t="shared" si="107"/>
        <v>44488</v>
      </c>
      <c r="Y306" s="384">
        <f t="shared" si="108"/>
        <v>33.743386549680721</v>
      </c>
      <c r="Z306" s="384">
        <f t="shared" si="109"/>
        <v>34.628183196342754</v>
      </c>
      <c r="AA306" s="385">
        <f t="shared" si="110"/>
        <v>36.622184950856848</v>
      </c>
      <c r="AB306" s="196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5.4447918855465315E-2</v>
      </c>
      <c r="AD306" s="230">
        <f>(INDEX(Models!$BJ306:$BT306,,AH306)*(1-AF306)+INDEX(Models!$BJ306:$BT306,,AH306+1)*AF306-ERP_i)*AE306*Ramure*Pc/MaxiM</f>
        <v>3.6313963718987222E-4</v>
      </c>
      <c r="AE306" s="304">
        <f t="shared" si="112"/>
        <v>0.5</v>
      </c>
      <c r="AF306" s="176">
        <f t="shared" si="113"/>
        <v>0.73350146779686365</v>
      </c>
      <c r="AG306" s="814">
        <f t="shared" si="119"/>
        <v>0</v>
      </c>
      <c r="AH306" s="175">
        <f t="shared" si="114"/>
        <v>6</v>
      </c>
      <c r="AI306" s="224">
        <f t="shared" si="115"/>
        <v>0.73350146779686365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44489</v>
      </c>
      <c r="B307" s="616">
        <v>27.988</v>
      </c>
      <c r="C307" s="389"/>
      <c r="D307" s="392">
        <f t="shared" si="98"/>
        <v>28.722511049217143</v>
      </c>
      <c r="E307" s="384">
        <f t="shared" si="120"/>
        <v>29.283287748214491</v>
      </c>
      <c r="F307" s="384">
        <f t="shared" si="99"/>
        <v>29.289952708321952</v>
      </c>
      <c r="G307" s="110">
        <f t="shared" si="121"/>
        <v>0.74057457932576787</v>
      </c>
      <c r="H307" s="413" t="b">
        <f>Wh_hp&gt;='2020'!Maxi_hp</f>
        <v>0</v>
      </c>
      <c r="I307" s="379">
        <f>IF(H307,Wh_hp,'2020'!Maxi_hp)</f>
        <v>33.080208038674293</v>
      </c>
      <c r="J307" s="85">
        <f>IF(H307,An,'2020'!An_max)</f>
        <v>2020</v>
      </c>
      <c r="K307" s="196">
        <f t="shared" si="100"/>
        <v>44489</v>
      </c>
      <c r="L307" s="147">
        <f>IF(t&lt;Tvie,1-EXP((T0-t)*PertePVj)+'2020'!Pspv,1-EXP((T0-t)*PertePVj)+Pspv)</f>
        <v>2.5572661385995434E-2</v>
      </c>
      <c r="M307" s="847"/>
      <c r="N307" s="847"/>
      <c r="O307" s="48">
        <f>IF(t&lt;Tnet,'2020'!Resal+('2020'!Salim-'2020'!Resal)*(1-EXP(('2020'!Tnet-t)/('2020'!Tau_j))),Resal+(Salim-Resal)*(1-EXP((Tnet-t)/(Tau_j))))*Salcycl</f>
        <v>1.91500593723989E-2</v>
      </c>
      <c r="P307" s="168">
        <f>(INDEX(Models!$BJ307:$BT307,,T307)*(1-R307)+INDEX(Models!$BJ307:$BT307,,T307+1)*R307-ERP_i)*Q307*Ramure*Pc/MaxiM</f>
        <v>3.6145955424882539E-4</v>
      </c>
      <c r="Q307" s="304">
        <f t="shared" si="101"/>
        <v>0.5</v>
      </c>
      <c r="R307" s="176">
        <f t="shared" si="102"/>
        <v>0.73355652626465973</v>
      </c>
      <c r="S307" s="814">
        <f t="shared" si="103"/>
        <v>0</v>
      </c>
      <c r="T307" s="175">
        <f t="shared" si="104"/>
        <v>6</v>
      </c>
      <c r="U307" s="250">
        <f t="shared" si="105"/>
        <v>0.73355652626465973</v>
      </c>
      <c r="V307" s="382">
        <f t="shared" si="106"/>
        <v>37.78721562631867</v>
      </c>
      <c r="W307" s="401"/>
      <c r="X307" s="157">
        <f t="shared" si="107"/>
        <v>44489</v>
      </c>
      <c r="Y307" s="384">
        <f t="shared" si="108"/>
        <v>26.98092121748962</v>
      </c>
      <c r="Z307" s="384">
        <f t="shared" si="109"/>
        <v>27.689002707853469</v>
      </c>
      <c r="AA307" s="385">
        <f t="shared" si="110"/>
        <v>29.283287748214491</v>
      </c>
      <c r="AB307" s="196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5.4443512424872144E-2</v>
      </c>
      <c r="AD307" s="230">
        <f>(INDEX(Models!$BJ307:$BT307,,AH307)*(1-AF307)+INDEX(Models!$BJ307:$BT307,,AH307+1)*AF307-ERP_i)*AE307*Ramure*Pc/MaxiM</f>
        <v>3.6145955424882539E-4</v>
      </c>
      <c r="AE307" s="304">
        <f t="shared" si="112"/>
        <v>0.5</v>
      </c>
      <c r="AF307" s="176">
        <f t="shared" si="113"/>
        <v>0.73355652626465973</v>
      </c>
      <c r="AG307" s="814">
        <f t="shared" si="119"/>
        <v>0</v>
      </c>
      <c r="AH307" s="175">
        <f t="shared" si="114"/>
        <v>6</v>
      </c>
      <c r="AI307" s="224">
        <f t="shared" si="115"/>
        <v>0.73355652626465973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44490</v>
      </c>
      <c r="B308" s="616">
        <v>10.713000000000001</v>
      </c>
      <c r="C308" s="389"/>
      <c r="D308" s="392">
        <f t="shared" si="98"/>
        <v>10.994390175463449</v>
      </c>
      <c r="E308" s="384">
        <f t="shared" si="120"/>
        <v>11.209667170050949</v>
      </c>
      <c r="F308" s="384">
        <f t="shared" si="99"/>
        <v>11.209667170050949</v>
      </c>
      <c r="G308" s="110">
        <f t="shared" si="121"/>
        <v>0.28594212730236607</v>
      </c>
      <c r="H308" s="413" t="b">
        <f>Wh_hp&gt;='2020'!Maxi_hp</f>
        <v>0</v>
      </c>
      <c r="I308" s="379">
        <f>IF(H308,Wh_hp,'2020'!Maxi_hp)</f>
        <v>24.658725492939233</v>
      </c>
      <c r="J308" s="85">
        <f>IF(H308,An,'2020'!An_max)</f>
        <v>2019</v>
      </c>
      <c r="K308" s="196">
        <f t="shared" si="100"/>
        <v>44490</v>
      </c>
      <c r="L308" s="147">
        <f>IF(t&lt;Tvie,1-EXP((T0-t)*PertePVj)+'2020'!Pspv,1-EXP((T0-t)*PertePVj)+Pspv)</f>
        <v>2.559397756243318E-2</v>
      </c>
      <c r="M308" s="847"/>
      <c r="N308" s="847"/>
      <c r="O308" s="48">
        <f>IF(t&lt;Tnet,'2020'!Resal+('2020'!Salim-'2020'!Resal)*(1-EXP(('2020'!Tnet-t)/('2020'!Tau_j))),Resal+(Salim-Resal)*(1-EXP((Tnet-t)/(Tau_j))))*Salcycl</f>
        <v>1.9204583982891016E-2</v>
      </c>
      <c r="P308" s="168">
        <f>(INDEX(Models!$BJ308:$BT308,,T308)*(1-R308)+INDEX(Models!$BJ308:$BT308,,T308+1)*R308-ERP_i)*Q308*Ramure*Pc/MaxiM</f>
        <v>3.5929861283055543E-4</v>
      </c>
      <c r="Q308" s="304">
        <f t="shared" si="101"/>
        <v>0.5</v>
      </c>
      <c r="R308" s="176">
        <f t="shared" si="102"/>
        <v>0.73360938698183098</v>
      </c>
      <c r="S308" s="814">
        <f t="shared" si="103"/>
        <v>0</v>
      </c>
      <c r="T308" s="175">
        <f t="shared" si="104"/>
        <v>6</v>
      </c>
      <c r="U308" s="250">
        <f t="shared" si="105"/>
        <v>0.73360938698183098</v>
      </c>
      <c r="V308" s="382">
        <f t="shared" si="106"/>
        <v>37.452161858740332</v>
      </c>
      <c r="W308" s="401"/>
      <c r="X308" s="157">
        <f t="shared" si="107"/>
        <v>44490</v>
      </c>
      <c r="Y308" s="384">
        <f t="shared" si="108"/>
        <v>10.328148568055566</v>
      </c>
      <c r="Z308" s="384">
        <f t="shared" si="109"/>
        <v>10.599430145370762</v>
      </c>
      <c r="AA308" s="385">
        <f t="shared" si="110"/>
        <v>11.209667170050949</v>
      </c>
      <c r="AB308" s="196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5.4438460609300361E-2</v>
      </c>
      <c r="AD308" s="230">
        <f>(INDEX(Models!$BJ308:$BT308,,AH308)*(1-AF308)+INDEX(Models!$BJ308:$BT308,,AH308+1)*AF308-ERP_i)*AE308*Ramure*Pc/MaxiM</f>
        <v>3.5929861283055543E-4</v>
      </c>
      <c r="AE308" s="304">
        <f t="shared" si="112"/>
        <v>0.5</v>
      </c>
      <c r="AF308" s="176">
        <f t="shared" si="113"/>
        <v>0.73360938698183098</v>
      </c>
      <c r="AG308" s="814">
        <f t="shared" si="119"/>
        <v>0</v>
      </c>
      <c r="AH308" s="175">
        <f t="shared" si="114"/>
        <v>6</v>
      </c>
      <c r="AI308" s="224">
        <f t="shared" si="115"/>
        <v>0.73360938698183098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44491</v>
      </c>
      <c r="B309" s="616">
        <v>12.898</v>
      </c>
      <c r="C309" s="389"/>
      <c r="D309" s="392">
        <f t="shared" si="98"/>
        <v>13.237071467707649</v>
      </c>
      <c r="E309" s="384">
        <f t="shared" si="120"/>
        <v>13.497007107136822</v>
      </c>
      <c r="F309" s="384">
        <f t="shared" si="99"/>
        <v>13.497333801058797</v>
      </c>
      <c r="G309" s="110">
        <f t="shared" si="121"/>
        <v>0.3473913730214338</v>
      </c>
      <c r="H309" s="413" t="b">
        <f>Wh_hp&gt;='2020'!Maxi_hp</f>
        <v>0</v>
      </c>
      <c r="I309" s="379">
        <f>IF(H309,Wh_hp,'2020'!Maxi_hp)</f>
        <v>25.467727123230592</v>
      </c>
      <c r="J309" s="85">
        <f>IF(H309,An,'2020'!An_max)</f>
        <v>2020</v>
      </c>
      <c r="K309" s="196">
        <f t="shared" si="100"/>
        <v>44491</v>
      </c>
      <c r="L309" s="147">
        <f>IF(t&lt;Tvie,1-EXP((T0-t)*PertePVj)+'2020'!Pspv,1-EXP((T0-t)*PertePVj)+Pspv)</f>
        <v>2.5615293271991947E-2</v>
      </c>
      <c r="M309" s="847"/>
      <c r="N309" s="847"/>
      <c r="O309" s="48">
        <f>IF(t&lt;Tnet,'2020'!Resal+('2020'!Salim-'2020'!Resal)*(1-EXP(('2020'!Tnet-t)/('2020'!Tau_j))),Resal+(Salim-Resal)*(1-EXP((Tnet-t)/(Tau_j))))*Salcycl</f>
        <v>1.9258761395459838E-2</v>
      </c>
      <c r="P309" s="168">
        <f>(INDEX(Models!$BJ309:$BT309,,T309)*(1-R309)+INDEX(Models!$BJ309:$BT309,,T309+1)*R309-ERP_i)*Q309*Ramure*Pc/MaxiM</f>
        <v>3.5664357725224836E-4</v>
      </c>
      <c r="Q309" s="304">
        <f t="shared" si="101"/>
        <v>0.5</v>
      </c>
      <c r="R309" s="176">
        <f t="shared" si="102"/>
        <v>0.73366013694133847</v>
      </c>
      <c r="S309" s="814">
        <f t="shared" si="103"/>
        <v>0</v>
      </c>
      <c r="T309" s="175">
        <f t="shared" si="104"/>
        <v>6</v>
      </c>
      <c r="U309" s="250">
        <f t="shared" si="105"/>
        <v>0.73366013694133847</v>
      </c>
      <c r="V309" s="382">
        <f t="shared" si="106"/>
        <v>37.115809706673538</v>
      </c>
      <c r="W309" s="401"/>
      <c r="X309" s="157">
        <f t="shared" si="107"/>
        <v>44491</v>
      </c>
      <c r="Y309" s="384">
        <f t="shared" si="108"/>
        <v>12.435416504246104</v>
      </c>
      <c r="Z309" s="384">
        <f t="shared" si="109"/>
        <v>12.762327259840045</v>
      </c>
      <c r="AA309" s="385">
        <f t="shared" si="110"/>
        <v>13.497007107136822</v>
      </c>
      <c r="AB309" s="196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5.443279695009564E-2</v>
      </c>
      <c r="AD309" s="230">
        <f>(INDEX(Models!$BJ309:$BT309,,AH309)*(1-AF309)+INDEX(Models!$BJ309:$BT309,,AH309+1)*AF309-ERP_i)*AE309*Ramure*Pc/MaxiM</f>
        <v>3.5664357725224836E-4</v>
      </c>
      <c r="AE309" s="304">
        <f t="shared" si="112"/>
        <v>0.5</v>
      </c>
      <c r="AF309" s="176">
        <f t="shared" si="113"/>
        <v>0.73366013694133847</v>
      </c>
      <c r="AG309" s="814">
        <f t="shared" si="119"/>
        <v>0</v>
      </c>
      <c r="AH309" s="175">
        <f t="shared" si="114"/>
        <v>6</v>
      </c>
      <c r="AI309" s="224">
        <f t="shared" si="115"/>
        <v>0.73366013694133847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44492</v>
      </c>
      <c r="B310" s="616">
        <v>34.956000000000003</v>
      </c>
      <c r="C310" s="389"/>
      <c r="D310" s="392">
        <f t="shared" si="98"/>
        <v>35.87573209899967</v>
      </c>
      <c r="E310" s="384">
        <f t="shared" si="120"/>
        <v>36.582230185973614</v>
      </c>
      <c r="F310" s="384">
        <f t="shared" si="99"/>
        <v>36.594272730298478</v>
      </c>
      <c r="G310" s="110">
        <f t="shared" si="121"/>
        <v>0.95040279726500532</v>
      </c>
      <c r="H310" s="413" t="b">
        <f>Wh_hp&gt;='2020'!Maxi_hp</f>
        <v>0</v>
      </c>
      <c r="I310" s="379">
        <f>IF(H310,Wh_hp,'2020'!Maxi_hp)</f>
        <v>38.121231488419959</v>
      </c>
      <c r="J310" s="85">
        <f>IF(H310,An,'2020'!An_max)</f>
        <v>2018</v>
      </c>
      <c r="K310" s="196">
        <f t="shared" si="100"/>
        <v>44492</v>
      </c>
      <c r="L310" s="147">
        <f>IF(t&lt;Tvie,1-EXP((T0-t)*PertePVj)+'2020'!Pspv,1-EXP((T0-t)*PertePVj)+Pspv)</f>
        <v>2.5636608514682059E-2</v>
      </c>
      <c r="M310" s="847"/>
      <c r="N310" s="847"/>
      <c r="O310" s="48">
        <f>IF(t&lt;Tnet,'2020'!Resal+('2020'!Salim-'2020'!Resal)*(1-EXP(('2020'!Tnet-t)/('2020'!Tau_j))),Resal+(Salim-Resal)*(1-EXP((Tnet-t)/(Tau_j))))*Salcycl</f>
        <v>1.9312602960024843E-2</v>
      </c>
      <c r="P310" s="168">
        <f>(INDEX(Models!$BJ310:$BT310,,T310)*(1-R310)+INDEX(Models!$BJ310:$BT310,,T310+1)*R310-ERP_i)*Q310*Ramure*Pc/MaxiM</f>
        <v>3.5416435566902268E-4</v>
      </c>
      <c r="Q310" s="304">
        <f t="shared" si="101"/>
        <v>0.5</v>
      </c>
      <c r="R310" s="176">
        <f t="shared" si="102"/>
        <v>0.73370885975043154</v>
      </c>
      <c r="S310" s="814">
        <f t="shared" si="103"/>
        <v>0</v>
      </c>
      <c r="T310" s="175">
        <f t="shared" si="104"/>
        <v>6</v>
      </c>
      <c r="U310" s="250">
        <f t="shared" si="105"/>
        <v>0.73370885975043154</v>
      </c>
      <c r="V310" s="382">
        <f t="shared" si="106"/>
        <v>36.779271967386919</v>
      </c>
      <c r="W310" s="401"/>
      <c r="X310" s="157">
        <f t="shared" si="107"/>
        <v>44492</v>
      </c>
      <c r="Y310" s="384">
        <f t="shared" si="108"/>
        <v>33.704384648864185</v>
      </c>
      <c r="Z310" s="384">
        <f t="shared" si="109"/>
        <v>34.591185325102657</v>
      </c>
      <c r="AA310" s="385">
        <f t="shared" si="110"/>
        <v>36.582230185973614</v>
      </c>
      <c r="AB310" s="196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5.4426557668820437E-2</v>
      </c>
      <c r="AD310" s="230">
        <f>(INDEX(Models!$BJ310:$BT310,,AH310)*(1-AF310)+INDEX(Models!$BJ310:$BT310,,AH310+1)*AF310-ERP_i)*AE310*Ramure*Pc/MaxiM</f>
        <v>3.5416435566902268E-4</v>
      </c>
      <c r="AE310" s="304">
        <f t="shared" si="112"/>
        <v>0.5</v>
      </c>
      <c r="AF310" s="176">
        <f t="shared" si="113"/>
        <v>0.73370885975043154</v>
      </c>
      <c r="AG310" s="814">
        <f t="shared" si="119"/>
        <v>0</v>
      </c>
      <c r="AH310" s="175">
        <f t="shared" si="114"/>
        <v>6</v>
      </c>
      <c r="AI310" s="224">
        <f t="shared" si="115"/>
        <v>0.73370885975043154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44493</v>
      </c>
      <c r="B311" s="616">
        <v>37.701999999999998</v>
      </c>
      <c r="C311" s="389"/>
      <c r="D311" s="392">
        <f t="shared" si="98"/>
        <v>38.694828953016028</v>
      </c>
      <c r="E311" s="384">
        <f t="shared" si="120"/>
        <v>39.458996660961837</v>
      </c>
      <c r="F311" s="384">
        <f t="shared" si="99"/>
        <v>39.472897554741962</v>
      </c>
      <c r="G311" s="110">
        <f t="shared" si="121"/>
        <v>1.0345279284596807</v>
      </c>
      <c r="H311" s="413" t="b">
        <f>Wh_hp&gt;='2020'!Maxi_hp</f>
        <v>1</v>
      </c>
      <c r="I311" s="379">
        <f>IF(H311,Wh_hp,'2020'!Maxi_hp)</f>
        <v>39.472897554741962</v>
      </c>
      <c r="J311" s="85">
        <f>IF(H311,An,'2020'!An_max)</f>
        <v>2021</v>
      </c>
      <c r="K311" s="196">
        <f t="shared" si="100"/>
        <v>44493</v>
      </c>
      <c r="L311" s="147">
        <f>IF(t&lt;Tvie,1-EXP((T0-t)*PertePVj)+'2020'!Pspv,1-EXP((T0-t)*PertePVj)+Pspv)</f>
        <v>2.5657923290513508E-2</v>
      </c>
      <c r="M311" s="847"/>
      <c r="N311" s="847"/>
      <c r="O311" s="48">
        <f>IF(t&lt;Tnet,'2020'!Resal+('2020'!Salim-'2020'!Resal)*(1-EXP(('2020'!Tnet-t)/('2020'!Tau_j))),Resal+(Salim-Resal)*(1-EXP((Tnet-t)/(Tau_j))))*Salcycl</f>
        <v>1.936612110317109E-2</v>
      </c>
      <c r="P311" s="168">
        <f>(INDEX(Models!$BJ311:$BT311,,T311)*(1-R311)+INDEX(Models!$BJ311:$BT311,,T311+1)*R311-ERP_i)*Q311*Ramure*Pc/MaxiM</f>
        <v>3.5216299388327716E-4</v>
      </c>
      <c r="Q311" s="304">
        <f t="shared" si="101"/>
        <v>0.5</v>
      </c>
      <c r="R311" s="176">
        <f t="shared" si="102"/>
        <v>0.73375563575786718</v>
      </c>
      <c r="S311" s="814">
        <f t="shared" si="103"/>
        <v>0</v>
      </c>
      <c r="T311" s="175">
        <f t="shared" si="104"/>
        <v>6</v>
      </c>
      <c r="U311" s="250">
        <f t="shared" si="105"/>
        <v>0.73375563575786718</v>
      </c>
      <c r="V311" s="382">
        <f t="shared" si="106"/>
        <v>36.443675383548999</v>
      </c>
      <c r="W311" s="401"/>
      <c r="X311" s="157">
        <f t="shared" si="107"/>
        <v>44493</v>
      </c>
      <c r="Y311" s="384">
        <f t="shared" si="108"/>
        <v>36.354307313079246</v>
      </c>
      <c r="Z311" s="384">
        <f t="shared" si="109"/>
        <v>37.311646681475281</v>
      </c>
      <c r="AA311" s="385">
        <f t="shared" si="110"/>
        <v>39.458996660961837</v>
      </c>
      <c r="AB311" s="196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5.4419781575718688E-2</v>
      </c>
      <c r="AD311" s="230">
        <f>(INDEX(Models!$BJ311:$BT311,,AH311)*(1-AF311)+INDEX(Models!$BJ311:$BT311,,AH311+1)*AF311-ERP_i)*AE311*Ramure*Pc/MaxiM</f>
        <v>3.5216299388327716E-4</v>
      </c>
      <c r="AE311" s="304">
        <f t="shared" si="112"/>
        <v>0.5</v>
      </c>
      <c r="AF311" s="176">
        <f t="shared" si="113"/>
        <v>0.73375563575786718</v>
      </c>
      <c r="AG311" s="814">
        <f t="shared" si="119"/>
        <v>0</v>
      </c>
      <c r="AH311" s="175">
        <f t="shared" si="114"/>
        <v>6</v>
      </c>
      <c r="AI311" s="224">
        <f t="shared" si="115"/>
        <v>0.73375563575786718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44494</v>
      </c>
      <c r="B312" s="616">
        <v>35.335999999999999</v>
      </c>
      <c r="C312" s="389"/>
      <c r="D312" s="392">
        <f t="shared" si="98"/>
        <v>36.267317051666012</v>
      </c>
      <c r="E312" s="384">
        <f t="shared" si="120"/>
        <v>36.985551658722372</v>
      </c>
      <c r="F312" s="384">
        <f t="shared" si="99"/>
        <v>36.998127299597662</v>
      </c>
      <c r="G312" s="110">
        <f t="shared" si="121"/>
        <v>0.97855070853231307</v>
      </c>
      <c r="H312" s="413" t="b">
        <f>Wh_hp&gt;='2020'!Maxi_hp</f>
        <v>0</v>
      </c>
      <c r="I312" s="379">
        <f>IF(H312,Wh_hp,'2020'!Maxi_hp)</f>
        <v>37.235103928768822</v>
      </c>
      <c r="J312" s="85">
        <f>IF(H312,An,'2020'!An_max)</f>
        <v>2018</v>
      </c>
      <c r="K312" s="196">
        <f t="shared" si="100"/>
        <v>44494</v>
      </c>
      <c r="L312" s="147">
        <f>IF(t&lt;Tvie,1-EXP((T0-t)*PertePVj)+'2020'!Pspv,1-EXP((T0-t)*PertePVj)+Pspv)</f>
        <v>2.5679237599496842E-2</v>
      </c>
      <c r="M312" s="847"/>
      <c r="N312" s="847"/>
      <c r="O312" s="48">
        <f>IF(t&lt;Tnet,'2020'!Resal+('2020'!Salim-'2020'!Resal)*(1-EXP(('2020'!Tnet-t)/('2020'!Tau_j))),Resal+(Salim-Resal)*(1-EXP((Tnet-t)/(Tau_j))))*Salcycl</f>
        <v>1.9419329301445735E-2</v>
      </c>
      <c r="P312" s="168">
        <f>(INDEX(Models!$BJ312:$BT312,,T312)*(1-R312)+INDEX(Models!$BJ312:$BT312,,T312+1)*R312-ERP_i)*Q312*Ramure*Pc/MaxiM</f>
        <v>3.5063832890622134E-4</v>
      </c>
      <c r="Q312" s="304">
        <f t="shared" si="101"/>
        <v>0.5</v>
      </c>
      <c r="R312" s="176">
        <f t="shared" si="102"/>
        <v>0.73380054217671209</v>
      </c>
      <c r="S312" s="814">
        <f t="shared" si="103"/>
        <v>0</v>
      </c>
      <c r="T312" s="175">
        <f t="shared" si="104"/>
        <v>6</v>
      </c>
      <c r="U312" s="250">
        <f t="shared" si="105"/>
        <v>0.73380054217671209</v>
      </c>
      <c r="V312" s="382">
        <f t="shared" si="106"/>
        <v>36.110157697196371</v>
      </c>
      <c r="W312" s="401"/>
      <c r="X312" s="157">
        <f t="shared" si="107"/>
        <v>44494</v>
      </c>
      <c r="Y312" s="384">
        <f t="shared" si="108"/>
        <v>34.074993059214194</v>
      </c>
      <c r="Z312" s="384">
        <f t="shared" si="109"/>
        <v>34.973074960715422</v>
      </c>
      <c r="AA312" s="385">
        <f t="shared" si="110"/>
        <v>36.985551658722372</v>
      </c>
      <c r="AB312" s="196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5.4412509960016946E-2</v>
      </c>
      <c r="AD312" s="230">
        <f>(INDEX(Models!$BJ312:$BT312,,AH312)*(1-AF312)+INDEX(Models!$BJ312:$BT312,,AH312+1)*AF312-ERP_i)*AE312*Ramure*Pc/MaxiM</f>
        <v>3.5063832890622134E-4</v>
      </c>
      <c r="AE312" s="304">
        <f t="shared" si="112"/>
        <v>0.5</v>
      </c>
      <c r="AF312" s="176">
        <f t="shared" si="113"/>
        <v>0.73380054217671209</v>
      </c>
      <c r="AG312" s="814">
        <f t="shared" si="119"/>
        <v>0</v>
      </c>
      <c r="AH312" s="175">
        <f t="shared" si="114"/>
        <v>6</v>
      </c>
      <c r="AI312" s="224">
        <f t="shared" si="115"/>
        <v>0.73380054217671209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44495</v>
      </c>
      <c r="B313" s="616">
        <v>23.634</v>
      </c>
      <c r="C313" s="389"/>
      <c r="D313" s="392">
        <f t="shared" si="98"/>
        <v>24.257429309818995</v>
      </c>
      <c r="E313" s="384">
        <f t="shared" si="120"/>
        <v>24.739156146352759</v>
      </c>
      <c r="F313" s="384">
        <f t="shared" si="99"/>
        <v>24.743611391705084</v>
      </c>
      <c r="G313" s="110">
        <f t="shared" si="121"/>
        <v>0.66042726249631101</v>
      </c>
      <c r="H313" s="413" t="b">
        <f>Wh_hp&gt;='2020'!Maxi_hp</f>
        <v>0</v>
      </c>
      <c r="I313" s="379">
        <f>IF(H313,Wh_hp,'2020'!Maxi_hp)</f>
        <v>37.759644135743372</v>
      </c>
      <c r="J313" s="85">
        <f>IF(H313,An,'2020'!An_max)</f>
        <v>2019</v>
      </c>
      <c r="K313" s="196">
        <f t="shared" si="100"/>
        <v>44495</v>
      </c>
      <c r="L313" s="147">
        <f>IF(t&lt;Tvie,1-EXP((T0-t)*PertePVj)+'2020'!Pspv,1-EXP((T0-t)*PertePVj)+Pspv)</f>
        <v>2.570055144164194E-2</v>
      </c>
      <c r="M313" s="847"/>
      <c r="N313" s="847"/>
      <c r="O313" s="48">
        <f>IF(t&lt;Tnet,'2020'!Resal+('2020'!Salim-'2020'!Resal)*(1-EXP(('2020'!Tnet-t)/('2020'!Tau_j))),Resal+(Salim-Resal)*(1-EXP((Tnet-t)/(Tau_j))))*Salcycl</f>
        <v>1.9472242047543831E-2</v>
      </c>
      <c r="P313" s="168">
        <f>(INDEX(Models!$BJ313:$BT313,,T313)*(1-R313)+INDEX(Models!$BJ313:$BT313,,T313+1)*R313-ERP_i)*Q313*Ramure*Pc/MaxiM</f>
        <v>3.4958598408047344E-4</v>
      </c>
      <c r="Q313" s="304">
        <f t="shared" si="101"/>
        <v>0.5</v>
      </c>
      <c r="R313" s="176">
        <f t="shared" si="102"/>
        <v>0.73384365320284983</v>
      </c>
      <c r="S313" s="814">
        <f t="shared" si="103"/>
        <v>0</v>
      </c>
      <c r="T313" s="175">
        <f t="shared" si="104"/>
        <v>6</v>
      </c>
      <c r="U313" s="250">
        <f t="shared" si="105"/>
        <v>0.73384365320284983</v>
      </c>
      <c r="V313" s="382">
        <f t="shared" si="106"/>
        <v>35.779856401914579</v>
      </c>
      <c r="W313" s="401"/>
      <c r="X313" s="157">
        <f t="shared" si="107"/>
        <v>44495</v>
      </c>
      <c r="Y313" s="384">
        <f t="shared" si="108"/>
        <v>22.792008788628046</v>
      </c>
      <c r="Z313" s="384">
        <f t="shared" si="109"/>
        <v>23.393227638948893</v>
      </c>
      <c r="AA313" s="385">
        <f t="shared" si="110"/>
        <v>24.739156146352759</v>
      </c>
      <c r="AB313" s="196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5.4404786462463557E-2</v>
      </c>
      <c r="AD313" s="230">
        <f>(INDEX(Models!$BJ313:$BT313,,AH313)*(1-AF313)+INDEX(Models!$BJ313:$BT313,,AH313+1)*AF313-ERP_i)*AE313*Ramure*Pc/MaxiM</f>
        <v>3.4958598408047344E-4</v>
      </c>
      <c r="AE313" s="304">
        <f t="shared" si="112"/>
        <v>0.5</v>
      </c>
      <c r="AF313" s="176">
        <f t="shared" si="113"/>
        <v>0.73384365320284983</v>
      </c>
      <c r="AG313" s="814">
        <f t="shared" si="119"/>
        <v>0</v>
      </c>
      <c r="AH313" s="175">
        <f t="shared" si="114"/>
        <v>6</v>
      </c>
      <c r="AI313" s="224">
        <f t="shared" si="115"/>
        <v>0.73384365320284983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44496</v>
      </c>
      <c r="B314" s="616">
        <v>34.532000000000004</v>
      </c>
      <c r="C314" s="389"/>
      <c r="D314" s="392">
        <f t="shared" si="98"/>
        <v>35.443677480776444</v>
      </c>
      <c r="E314" s="384">
        <f t="shared" si="120"/>
        <v>36.149491782250536</v>
      </c>
      <c r="F314" s="384">
        <f t="shared" si="99"/>
        <v>36.161643424321802</v>
      </c>
      <c r="G314" s="110">
        <f t="shared" si="121"/>
        <v>0.97398434997825034</v>
      </c>
      <c r="H314" s="413" t="b">
        <f>Wh_hp&gt;='2020'!Maxi_hp</f>
        <v>1</v>
      </c>
      <c r="I314" s="379">
        <f>IF(H314,Wh_hp,'2020'!Maxi_hp)</f>
        <v>36.161643424321802</v>
      </c>
      <c r="J314" s="85">
        <f>IF(H314,An,'2020'!An_max)</f>
        <v>2021</v>
      </c>
      <c r="K314" s="196">
        <f t="shared" si="100"/>
        <v>44496</v>
      </c>
      <c r="L314" s="147">
        <f>IF(t&lt;Tvie,1-EXP((T0-t)*PertePVj)+'2020'!Pspv,1-EXP((T0-t)*PertePVj)+Pspv)</f>
        <v>2.5721864816959351E-2</v>
      </c>
      <c r="M314" s="847"/>
      <c r="N314" s="847"/>
      <c r="O314" s="48">
        <f>IF(t&lt;Tnet,'2020'!Resal+('2020'!Salim-'2020'!Resal)*(1-EXP(('2020'!Tnet-t)/('2020'!Tau_j))),Resal+(Salim-Resal)*(1-EXP((Tnet-t)/(Tau_j))))*Salcycl</f>
        <v>1.9524874809461346E-2</v>
      </c>
      <c r="P314" s="168">
        <f>(INDEX(Models!$BJ314:$BT314,,T314)*(1-R314)+INDEX(Models!$BJ314:$BT314,,T314+1)*R314-ERP_i)*Q314*Ramure*Pc/MaxiM</f>
        <v>3.4900118198319884E-4</v>
      </c>
      <c r="Q314" s="304">
        <f t="shared" si="101"/>
        <v>0.5</v>
      </c>
      <c r="R314" s="176">
        <f t="shared" si="102"/>
        <v>0.73388504012931621</v>
      </c>
      <c r="S314" s="814">
        <f t="shared" si="103"/>
        <v>0</v>
      </c>
      <c r="T314" s="175">
        <f t="shared" si="104"/>
        <v>6</v>
      </c>
      <c r="U314" s="250">
        <f t="shared" si="105"/>
        <v>0.73388504012931621</v>
      </c>
      <c r="V314" s="382">
        <f t="shared" si="106"/>
        <v>35.453908641770241</v>
      </c>
      <c r="W314" s="401"/>
      <c r="X314" s="157">
        <f t="shared" si="107"/>
        <v>44496</v>
      </c>
      <c r="Y314" s="384">
        <f t="shared" si="108"/>
        <v>33.303827709575749</v>
      </c>
      <c r="Z314" s="384">
        <f t="shared" si="109"/>
        <v>34.1830802795537</v>
      </c>
      <c r="AA314" s="385">
        <f t="shared" si="110"/>
        <v>36.149491782250536</v>
      </c>
      <c r="AB314" s="196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5.4396656930661071E-2</v>
      </c>
      <c r="AD314" s="230">
        <f>(INDEX(Models!$BJ314:$BT314,,AH314)*(1-AF314)+INDEX(Models!$BJ314:$BT314,,AH314+1)*AF314-ERP_i)*AE314*Ramure*Pc/MaxiM</f>
        <v>3.4900118198319884E-4</v>
      </c>
      <c r="AE314" s="304">
        <f t="shared" si="112"/>
        <v>0.5</v>
      </c>
      <c r="AF314" s="176">
        <f t="shared" si="113"/>
        <v>0.73388504012931621</v>
      </c>
      <c r="AG314" s="814">
        <f t="shared" si="119"/>
        <v>0</v>
      </c>
      <c r="AH314" s="175">
        <f t="shared" si="114"/>
        <v>6</v>
      </c>
      <c r="AI314" s="224">
        <f t="shared" si="115"/>
        <v>0.73388504012931621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44497</v>
      </c>
      <c r="B315" s="616">
        <v>35.218000000000004</v>
      </c>
      <c r="C315" s="389"/>
      <c r="D315" s="392">
        <f t="shared" si="98"/>
        <v>36.148579301480879</v>
      </c>
      <c r="E315" s="384">
        <f t="shared" si="120"/>
        <v>36.870400120379252</v>
      </c>
      <c r="F315" s="384">
        <f t="shared" si="99"/>
        <v>36.883267903412836</v>
      </c>
      <c r="G315" s="110">
        <f t="shared" si="121"/>
        <v>1.002406503862997</v>
      </c>
      <c r="H315" s="413" t="b">
        <f>Wh_hp&gt;='2020'!Maxi_hp</f>
        <v>1</v>
      </c>
      <c r="I315" s="379">
        <f>IF(H315,Wh_hp,'2020'!Maxi_hp)</f>
        <v>36.883267903412836</v>
      </c>
      <c r="J315" s="85">
        <f>IF(H315,An,'2020'!An_max)</f>
        <v>2021</v>
      </c>
      <c r="K315" s="196">
        <f t="shared" si="100"/>
        <v>44497</v>
      </c>
      <c r="L315" s="147">
        <f>IF(t&lt;Tvie,1-EXP((T0-t)*PertePVj)+'2020'!Pspv,1-EXP((T0-t)*PertePVj)+Pspv)</f>
        <v>2.5743177725459067E-2</v>
      </c>
      <c r="M315" s="847"/>
      <c r="N315" s="847"/>
      <c r="O315" s="48">
        <f>IF(t&lt;Tnet,'2020'!Resal+('2020'!Salim-'2020'!Resal)*(1-EXP(('2020'!Tnet-t)/('2020'!Tau_j))),Resal+(Salim-Resal)*(1-EXP((Tnet-t)/(Tau_j))))*Salcycl</f>
        <v>1.9577243982752499E-2</v>
      </c>
      <c r="P315" s="168">
        <f>(INDEX(Models!$BJ315:$BT315,,T315)*(1-R315)+INDEX(Models!$BJ315:$BT315,,T315+1)*R315-ERP_i)*Q315*Ramure*Pc/MaxiM</f>
        <v>3.4887860444695153E-4</v>
      </c>
      <c r="Q315" s="304">
        <f t="shared" si="101"/>
        <v>0.5</v>
      </c>
      <c r="R315" s="176">
        <f t="shared" si="102"/>
        <v>0.73392477145658541</v>
      </c>
      <c r="S315" s="814">
        <f t="shared" si="103"/>
        <v>0</v>
      </c>
      <c r="T315" s="175">
        <f t="shared" si="104"/>
        <v>6</v>
      </c>
      <c r="U315" s="250">
        <f t="shared" si="105"/>
        <v>0.73392477145658541</v>
      </c>
      <c r="V315" s="382">
        <f t="shared" si="106"/>
        <v>35.133451213933256</v>
      </c>
      <c r="W315" s="401"/>
      <c r="X315" s="157">
        <f t="shared" si="107"/>
        <v>44497</v>
      </c>
      <c r="Y315" s="384">
        <f t="shared" si="108"/>
        <v>33.967548438348942</v>
      </c>
      <c r="Z315" s="384">
        <f t="shared" si="109"/>
        <v>34.865086558025709</v>
      </c>
      <c r="AA315" s="385">
        <f t="shared" si="110"/>
        <v>36.870400120379252</v>
      </c>
      <c r="AB315" s="196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5.4388169257896087E-2</v>
      </c>
      <c r="AD315" s="230">
        <f>(INDEX(Models!$BJ315:$BT315,,AH315)*(1-AF315)+INDEX(Models!$BJ315:$BT315,,AH315+1)*AF315-ERP_i)*AE315*Ramure*Pc/MaxiM</f>
        <v>3.4887860444695153E-4</v>
      </c>
      <c r="AE315" s="304">
        <f t="shared" si="112"/>
        <v>0.5</v>
      </c>
      <c r="AF315" s="176">
        <f t="shared" si="113"/>
        <v>0.73392477145658541</v>
      </c>
      <c r="AG315" s="814">
        <f t="shared" si="119"/>
        <v>0</v>
      </c>
      <c r="AH315" s="175">
        <f t="shared" si="114"/>
        <v>6</v>
      </c>
      <c r="AI315" s="224">
        <f t="shared" si="115"/>
        <v>0.73392477145658541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44498</v>
      </c>
      <c r="B316" s="616">
        <v>17.907</v>
      </c>
      <c r="C316" s="389"/>
      <c r="D316" s="392">
        <f t="shared" si="98"/>
        <v>18.380565909645746</v>
      </c>
      <c r="E316" s="384">
        <f t="shared" si="120"/>
        <v>18.748588837597936</v>
      </c>
      <c r="F316" s="384">
        <f t="shared" si="99"/>
        <v>18.750593245359667</v>
      </c>
      <c r="G316" s="110">
        <f t="shared" si="121"/>
        <v>0.51415437977963552</v>
      </c>
      <c r="H316" s="413" t="b">
        <f>Wh_hp&gt;='2020'!Maxi_hp</f>
        <v>0</v>
      </c>
      <c r="I316" s="379">
        <f>IF(H316,Wh_hp,'2020'!Maxi_hp)</f>
        <v>30.389582180422003</v>
      </c>
      <c r="J316" s="85">
        <f>IF(H316,An,'2020'!An_max)</f>
        <v>2019</v>
      </c>
      <c r="K316" s="196">
        <f t="shared" si="100"/>
        <v>44498</v>
      </c>
      <c r="L316" s="147">
        <f>IF(t&lt;Tvie,1-EXP((T0-t)*PertePVj)+'2020'!Pspv,1-EXP((T0-t)*PertePVj)+Pspv)</f>
        <v>2.5764490167151301E-2</v>
      </c>
      <c r="M316" s="847"/>
      <c r="N316" s="847"/>
      <c r="O316" s="48">
        <f>IF(t&lt;Tnet,'2020'!Resal+('2020'!Salim-'2020'!Resal)*(1-EXP(('2020'!Tnet-t)/('2020'!Tau_j))),Resal+(Salim-Resal)*(1-EXP((Tnet-t)/(Tau_j))))*Salcycl</f>
        <v>1.9629366836087687E-2</v>
      </c>
      <c r="P316" s="168">
        <f>(INDEX(Models!$BJ316:$BT316,,T316)*(1-R316)+INDEX(Models!$BJ316:$BT316,,T316+1)*R316-ERP_i)*Q316*Ramure*Pc/MaxiM</f>
        <v>3.4921225145391591E-4</v>
      </c>
      <c r="Q316" s="304">
        <f t="shared" si="101"/>
        <v>0.5</v>
      </c>
      <c r="R316" s="176">
        <f t="shared" si="102"/>
        <v>0.73396291299892713</v>
      </c>
      <c r="S316" s="814">
        <f t="shared" si="103"/>
        <v>0</v>
      </c>
      <c r="T316" s="175">
        <f t="shared" si="104"/>
        <v>6</v>
      </c>
      <c r="U316" s="250">
        <f t="shared" si="105"/>
        <v>0.73396291299892713</v>
      </c>
      <c r="V316" s="382">
        <f t="shared" si="106"/>
        <v>34.819620575857762</v>
      </c>
      <c r="W316" s="401"/>
      <c r="X316" s="157">
        <f t="shared" si="107"/>
        <v>44498</v>
      </c>
      <c r="Y316" s="384">
        <f t="shared" si="108"/>
        <v>17.272272333726011</v>
      </c>
      <c r="Z316" s="384">
        <f t="shared" si="109"/>
        <v>17.72905232810642</v>
      </c>
      <c r="AA316" s="385">
        <f t="shared" si="110"/>
        <v>18.748588837597936</v>
      </c>
      <c r="AB316" s="196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5.4379373206316514E-2</v>
      </c>
      <c r="AD316" s="230">
        <f>(INDEX(Models!$BJ316:$BT316,,AH316)*(1-AF316)+INDEX(Models!$BJ316:$BT316,,AH316+1)*AF316-ERP_i)*AE316*Ramure*Pc/MaxiM</f>
        <v>3.4921225145391591E-4</v>
      </c>
      <c r="AE316" s="304">
        <f t="shared" si="112"/>
        <v>0.5</v>
      </c>
      <c r="AF316" s="176">
        <f t="shared" si="113"/>
        <v>0.73396291299892713</v>
      </c>
      <c r="AG316" s="814">
        <f t="shared" si="119"/>
        <v>0</v>
      </c>
      <c r="AH316" s="175">
        <f t="shared" si="114"/>
        <v>6</v>
      </c>
      <c r="AI316" s="224">
        <f t="shared" si="115"/>
        <v>0.73396291299892713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44499</v>
      </c>
      <c r="B317" s="616">
        <v>11.586</v>
      </c>
      <c r="C317" s="389"/>
      <c r="D317" s="392">
        <f t="shared" si="98"/>
        <v>11.892661824755413</v>
      </c>
      <c r="E317" s="384">
        <f t="shared" si="120"/>
        <v>12.131423543275764</v>
      </c>
      <c r="F317" s="384">
        <f t="shared" si="99"/>
        <v>12.131640240805678</v>
      </c>
      <c r="G317" s="110">
        <f t="shared" si="121"/>
        <v>0.33561037740003213</v>
      </c>
      <c r="H317" s="413" t="b">
        <f>Wh_hp&gt;='2020'!Maxi_hp</f>
        <v>0</v>
      </c>
      <c r="I317" s="379">
        <f>IF(H317,Wh_hp,'2020'!Maxi_hp)</f>
        <v>32.225870251285528</v>
      </c>
      <c r="J317" s="85">
        <f>IF(H317,An,'2020'!An_max)</f>
        <v>2018</v>
      </c>
      <c r="K317" s="196">
        <f t="shared" si="100"/>
        <v>44499</v>
      </c>
      <c r="L317" s="147">
        <f>IF(t&lt;Tvie,1-EXP((T0-t)*PertePVj)+'2020'!Pspv,1-EXP((T0-t)*PertePVj)+Pspv)</f>
        <v>2.5785802142046489E-2</v>
      </c>
      <c r="M317" s="847"/>
      <c r="N317" s="847"/>
      <c r="O317" s="48">
        <f>IF(t&lt;Tnet,'2020'!Resal+('2020'!Salim-'2020'!Resal)*(1-EXP(('2020'!Tnet-t)/('2020'!Tau_j))),Resal+(Salim-Resal)*(1-EXP((Tnet-t)/(Tau_j))))*Salcycl</f>
        <v>1.9681261450367242E-2</v>
      </c>
      <c r="P317" s="168">
        <f>(INDEX(Models!$BJ317:$BT317,,T317)*(1-R317)+INDEX(Models!$BJ317:$BT317,,T317+1)*R317-ERP_i)*Q317*Ramure*Pc/MaxiM</f>
        <v>3.5002414817109117E-4</v>
      </c>
      <c r="Q317" s="304">
        <f t="shared" si="101"/>
        <v>0.5</v>
      </c>
      <c r="R317" s="176">
        <f t="shared" si="102"/>
        <v>0.73399952798695267</v>
      </c>
      <c r="S317" s="814">
        <f t="shared" si="103"/>
        <v>0</v>
      </c>
      <c r="T317" s="175">
        <f t="shared" si="104"/>
        <v>6</v>
      </c>
      <c r="U317" s="250">
        <f t="shared" si="105"/>
        <v>0.73399952798695267</v>
      </c>
      <c r="V317" s="382">
        <f t="shared" si="106"/>
        <v>34.510707304135586</v>
      </c>
      <c r="W317" s="401"/>
      <c r="X317" s="157">
        <f t="shared" si="107"/>
        <v>44499</v>
      </c>
      <c r="Y317" s="384">
        <f t="shared" si="108"/>
        <v>11.176023714688119</v>
      </c>
      <c r="Z317" s="384">
        <f t="shared" si="109"/>
        <v>11.471834160558656</v>
      </c>
      <c r="AA317" s="385">
        <f t="shared" si="110"/>
        <v>12.131423543275764</v>
      </c>
      <c r="AB317" s="196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5.4370320215446341E-2</v>
      </c>
      <c r="AD317" s="230">
        <f>(INDEX(Models!$BJ317:$BT317,,AH317)*(1-AF317)+INDEX(Models!$BJ317:$BT317,,AH317+1)*AF317-ERP_i)*AE317*Ramure*Pc/MaxiM</f>
        <v>3.5002414817109117E-4</v>
      </c>
      <c r="AE317" s="304">
        <f t="shared" si="112"/>
        <v>0.5</v>
      </c>
      <c r="AF317" s="176">
        <f t="shared" si="113"/>
        <v>0.73399952798695267</v>
      </c>
      <c r="AG317" s="814">
        <f t="shared" si="119"/>
        <v>0</v>
      </c>
      <c r="AH317" s="175">
        <f t="shared" si="114"/>
        <v>6</v>
      </c>
      <c r="AI317" s="224">
        <f t="shared" si="115"/>
        <v>0.73399952798695267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44500</v>
      </c>
      <c r="B318" s="616">
        <v>18.838000000000001</v>
      </c>
      <c r="C318" s="389"/>
      <c r="D318" s="392">
        <f t="shared" si="98"/>
        <v>19.337033008507341</v>
      </c>
      <c r="E318" s="384">
        <f t="shared" si="120"/>
        <v>19.726290853556545</v>
      </c>
      <c r="F318" s="384">
        <f t="shared" si="99"/>
        <v>19.728781229577482</v>
      </c>
      <c r="G318" s="110">
        <f t="shared" si="121"/>
        <v>0.55062637583956231</v>
      </c>
      <c r="H318" s="413" t="b">
        <f>Wh_hp&gt;='2020'!Maxi_hp</f>
        <v>0</v>
      </c>
      <c r="I318" s="379">
        <f>IF(H318,Wh_hp,'2020'!Maxi_hp)</f>
        <v>35.005693815920047</v>
      </c>
      <c r="J318" s="85">
        <f>IF(H318,An,'2020'!An_max)</f>
        <v>2020</v>
      </c>
      <c r="K318" s="196">
        <f t="shared" si="100"/>
        <v>44500</v>
      </c>
      <c r="L318" s="147">
        <f>IF(t&lt;Tvie,1-EXP((T0-t)*PertePVj)+'2020'!Pspv,1-EXP((T0-t)*PertePVj)+Pspv)</f>
        <v>2.5807113650154624E-2</v>
      </c>
      <c r="M318" s="847"/>
      <c r="N318" s="847"/>
      <c r="O318" s="48">
        <f>IF(t&lt;Tnet,'2020'!Resal+('2020'!Salim-'2020'!Resal)*(1-EXP(('2020'!Tnet-t)/('2020'!Tau_j))),Resal+(Salim-Resal)*(1-EXP((Tnet-t)/(Tau_j))))*Salcycl</f>
        <v>1.9732946651702735E-2</v>
      </c>
      <c r="P318" s="168">
        <f>(INDEX(Models!$BJ318:$BT318,,T318)*(1-R318)+INDEX(Models!$BJ318:$BT318,,T318+1)*R318-ERP_i)*Q318*Ramure*Pc/MaxiM</f>
        <v>3.5238720113298951E-4</v>
      </c>
      <c r="Q318" s="304">
        <f t="shared" si="101"/>
        <v>0.5</v>
      </c>
      <c r="R318" s="176">
        <f t="shared" si="102"/>
        <v>0.7340346771664692</v>
      </c>
      <c r="S318" s="814">
        <f t="shared" si="103"/>
        <v>0</v>
      </c>
      <c r="T318" s="175">
        <f t="shared" si="104"/>
        <v>6</v>
      </c>
      <c r="U318" s="250">
        <f t="shared" si="105"/>
        <v>0.7340346771664692</v>
      </c>
      <c r="V318" s="382">
        <f t="shared" si="106"/>
        <v>34.204208063047453</v>
      </c>
      <c r="W318" s="401"/>
      <c r="X318" s="157">
        <f t="shared" si="107"/>
        <v>44500</v>
      </c>
      <c r="Y318" s="384">
        <f t="shared" si="108"/>
        <v>18.172544135442291</v>
      </c>
      <c r="Z318" s="384">
        <f t="shared" si="109"/>
        <v>18.653948709820792</v>
      </c>
      <c r="AA318" s="385">
        <f t="shared" si="110"/>
        <v>19.726290853556545</v>
      </c>
      <c r="AB318" s="196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5.4361063197160268E-2</v>
      </c>
      <c r="AD318" s="230">
        <f>(INDEX(Models!$BJ318:$BT318,,AH318)*(1-AF318)+INDEX(Models!$BJ318:$BT318,,AH318+1)*AF318-ERP_i)*AE318*Ramure*Pc/MaxiM</f>
        <v>3.5238720113298951E-4</v>
      </c>
      <c r="AE318" s="304">
        <f t="shared" si="112"/>
        <v>0.5</v>
      </c>
      <c r="AF318" s="176">
        <f t="shared" si="113"/>
        <v>0.7340346771664692</v>
      </c>
      <c r="AG318" s="814">
        <f t="shared" si="119"/>
        <v>0</v>
      </c>
      <c r="AH318" s="175">
        <f t="shared" si="114"/>
        <v>6</v>
      </c>
      <c r="AI318" s="224">
        <f t="shared" si="115"/>
        <v>0.7340346771664692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44501</v>
      </c>
      <c r="B319" s="616">
        <v>18.061</v>
      </c>
      <c r="C319" s="389"/>
      <c r="D319" s="392">
        <f t="shared" si="98"/>
        <v>18.539855255251311</v>
      </c>
      <c r="E319" s="384">
        <f t="shared" si="120"/>
        <v>18.914059364573578</v>
      </c>
      <c r="F319" s="384">
        <f t="shared" si="99"/>
        <v>18.916301708627454</v>
      </c>
      <c r="G319" s="110">
        <f t="shared" si="121"/>
        <v>0.53264424343988281</v>
      </c>
      <c r="H319" s="413" t="b">
        <f>Wh_hp&gt;='2020'!Maxi_hp</f>
        <v>0</v>
      </c>
      <c r="I319" s="379">
        <f>IF(H319,Wh_hp,'2020'!Maxi_hp)</f>
        <v>32.902406059457448</v>
      </c>
      <c r="J319" s="85">
        <f>IF(H319,An,'2020'!An_max)</f>
        <v>2020</v>
      </c>
      <c r="K319" s="196">
        <f t="shared" si="100"/>
        <v>44501</v>
      </c>
      <c r="L319" s="147">
        <f>IF(t&lt;Tvie,1-EXP((T0-t)*PertePVj)+'2020'!Pspv,1-EXP((T0-t)*PertePVj)+Pspv)</f>
        <v>2.5828424691486142E-2</v>
      </c>
      <c r="M319" s="847"/>
      <c r="N319" s="847"/>
      <c r="O319" s="48">
        <f>IF(t&lt;Tnet,'2020'!Resal+('2020'!Salim-'2020'!Resal)*(1-EXP(('2020'!Tnet-t)/('2020'!Tau_j))),Resal+(Salim-Resal)*(1-EXP((Tnet-t)/(Tau_j))))*Salcycl</f>
        <v>1.9784441938633199E-2</v>
      </c>
      <c r="P319" s="168">
        <f>(INDEX(Models!$BJ319:$BT319,,T319)*(1-R319)+INDEX(Models!$BJ319:$BT319,,T319+1)*R319-ERP_i)*Q319*Ramure*Pc/MaxiM</f>
        <v>3.5647997321561854E-4</v>
      </c>
      <c r="Q319" s="304">
        <f t="shared" si="101"/>
        <v>0.5</v>
      </c>
      <c r="R319" s="176">
        <f t="shared" si="102"/>
        <v>0.73406841889375429</v>
      </c>
      <c r="S319" s="814">
        <f t="shared" si="103"/>
        <v>0</v>
      </c>
      <c r="T319" s="175">
        <f t="shared" si="104"/>
        <v>6</v>
      </c>
      <c r="U319" s="250">
        <f t="shared" si="105"/>
        <v>0.73406841889375429</v>
      </c>
      <c r="V319" s="382">
        <f t="shared" si="106"/>
        <v>33.90011679361514</v>
      </c>
      <c r="W319" s="401"/>
      <c r="X319" s="157">
        <f t="shared" si="107"/>
        <v>44501</v>
      </c>
      <c r="Y319" s="384">
        <f t="shared" si="108"/>
        <v>17.424080443094471</v>
      </c>
      <c r="Z319" s="384">
        <f t="shared" si="109"/>
        <v>17.886048910405108</v>
      </c>
      <c r="AA319" s="385">
        <f t="shared" si="110"/>
        <v>18.914059364573578</v>
      </c>
      <c r="AB319" s="196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5.4351656318365797E-2</v>
      </c>
      <c r="AD319" s="230">
        <f>(INDEX(Models!$BJ319:$BT319,,AH319)*(1-AF319)+INDEX(Models!$BJ319:$BT319,,AH319+1)*AF319-ERP_i)*AE319*Ramure*Pc/MaxiM</f>
        <v>3.5647997321561854E-4</v>
      </c>
      <c r="AE319" s="304">
        <f t="shared" si="112"/>
        <v>0.5</v>
      </c>
      <c r="AF319" s="176">
        <f t="shared" si="113"/>
        <v>0.73406841889375429</v>
      </c>
      <c r="AG319" s="814">
        <f t="shared" si="119"/>
        <v>0</v>
      </c>
      <c r="AH319" s="175">
        <f t="shared" si="114"/>
        <v>6</v>
      </c>
      <c r="AI319" s="224">
        <f t="shared" si="115"/>
        <v>0.73406841889375429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44502</v>
      </c>
      <c r="B320" s="616">
        <v>29.251999999999999</v>
      </c>
      <c r="C320" s="389"/>
      <c r="D320" s="392">
        <f t="shared" si="98"/>
        <v>30.028221578309626</v>
      </c>
      <c r="E320" s="384">
        <f t="shared" si="120"/>
        <v>30.635908330156767</v>
      </c>
      <c r="F320" s="384">
        <f t="shared" si="99"/>
        <v>30.64495954050053</v>
      </c>
      <c r="G320" s="110">
        <f t="shared" si="121"/>
        <v>0.87057752318277914</v>
      </c>
      <c r="H320" s="413" t="b">
        <f>Wh_hp&gt;='2020'!Maxi_hp</f>
        <v>1</v>
      </c>
      <c r="I320" s="379">
        <f>IF(H320,Wh_hp,'2020'!Maxi_hp)</f>
        <v>30.64495954050053</v>
      </c>
      <c r="J320" s="85">
        <f>IF(H320,An,'2020'!An_max)</f>
        <v>2021</v>
      </c>
      <c r="K320" s="196">
        <f t="shared" si="100"/>
        <v>44502</v>
      </c>
      <c r="L320" s="147">
        <f>IF(t&lt;Tvie,1-EXP((T0-t)*PertePVj)+'2020'!Pspv,1-EXP((T0-t)*PertePVj)+Pspv)</f>
        <v>2.5849735266051145E-2</v>
      </c>
      <c r="M320" s="847"/>
      <c r="N320" s="847"/>
      <c r="O320" s="48">
        <f>IF(t&lt;Tnet,'2020'!Resal+('2020'!Salim-'2020'!Resal)*(1-EXP(('2020'!Tnet-t)/('2020'!Tau_j))),Resal+(Salim-Resal)*(1-EXP((Tnet-t)/(Tau_j))))*Salcycl</f>
        <v>1.9835767403996313E-2</v>
      </c>
      <c r="P320" s="168">
        <f>(INDEX(Models!$BJ320:$BT320,,T320)*(1-R320)+INDEX(Models!$BJ320:$BT320,,T320+1)*R320-ERP_i)*Q320*Ramure*Pc/MaxiM</f>
        <v>3.6231524090534362E-4</v>
      </c>
      <c r="Q320" s="304">
        <f t="shared" si="101"/>
        <v>0.5</v>
      </c>
      <c r="R320" s="176">
        <f t="shared" si="102"/>
        <v>0.73410080922736665</v>
      </c>
      <c r="S320" s="814">
        <f t="shared" si="103"/>
        <v>0</v>
      </c>
      <c r="T320" s="175">
        <f t="shared" si="104"/>
        <v>6</v>
      </c>
      <c r="U320" s="250">
        <f t="shared" si="105"/>
        <v>0.73410080922736665</v>
      </c>
      <c r="V320" s="382">
        <f t="shared" si="106"/>
        <v>33.598433208608299</v>
      </c>
      <c r="W320" s="401"/>
      <c r="X320" s="157">
        <f t="shared" si="107"/>
        <v>44502</v>
      </c>
      <c r="Y320" s="384">
        <f t="shared" si="108"/>
        <v>28.222192127254495</v>
      </c>
      <c r="Z320" s="384">
        <f t="shared" si="109"/>
        <v>28.971087058075465</v>
      </c>
      <c r="AA320" s="385">
        <f t="shared" si="110"/>
        <v>30.635908330156767</v>
      </c>
      <c r="AB320" s="196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5.4342154772754593E-2</v>
      </c>
      <c r="AD320" s="230">
        <f>(INDEX(Models!$BJ320:$BT320,,AH320)*(1-AF320)+INDEX(Models!$BJ320:$BT320,,AH320+1)*AF320-ERP_i)*AE320*Ramure*Pc/MaxiM</f>
        <v>3.6231524090534362E-4</v>
      </c>
      <c r="AE320" s="304">
        <f t="shared" si="112"/>
        <v>0.5</v>
      </c>
      <c r="AF320" s="176">
        <f t="shared" si="113"/>
        <v>0.73410080922736665</v>
      </c>
      <c r="AG320" s="814">
        <f t="shared" si="119"/>
        <v>0</v>
      </c>
      <c r="AH320" s="175">
        <f t="shared" si="114"/>
        <v>6</v>
      </c>
      <c r="AI320" s="224">
        <f t="shared" si="115"/>
        <v>0.73410080922736665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44503</v>
      </c>
      <c r="B321" s="616">
        <v>17.064</v>
      </c>
      <c r="C321" s="389"/>
      <c r="D321" s="392">
        <f t="shared" si="98"/>
        <v>17.517187964656049</v>
      </c>
      <c r="E321" s="384">
        <f t="shared" si="120"/>
        <v>17.872619746466295</v>
      </c>
      <c r="F321" s="384">
        <f t="shared" si="99"/>
        <v>17.874626421961207</v>
      </c>
      <c r="G321" s="110">
        <f t="shared" si="121"/>
        <v>0.51231336262631177</v>
      </c>
      <c r="H321" s="413" t="b">
        <f>Wh_hp&gt;='2020'!Maxi_hp</f>
        <v>0</v>
      </c>
      <c r="I321" s="379">
        <f>IF(H321,Wh_hp,'2020'!Maxi_hp)</f>
        <v>31.704368019491852</v>
      </c>
      <c r="J321" s="85">
        <f>IF(H321,An,'2020'!An_max)</f>
        <v>2020</v>
      </c>
      <c r="K321" s="196">
        <f t="shared" si="100"/>
        <v>44503</v>
      </c>
      <c r="L321" s="147">
        <f>IF(t&lt;Tvie,1-EXP((T0-t)*PertePVj)+'2020'!Pspv,1-EXP((T0-t)*PertePVj)+Pspv)</f>
        <v>2.5871045373859848E-2</v>
      </c>
      <c r="M321" s="847"/>
      <c r="N321" s="847"/>
      <c r="O321" s="48">
        <f>IF(t&lt;Tnet,'2020'!Resal+('2020'!Salim-'2020'!Resal)*(1-EXP(('2020'!Tnet-t)/('2020'!Tau_j))),Resal+(Salim-Resal)*(1-EXP((Tnet-t)/(Tau_j))))*Salcycl</f>
        <v>1.9886943651924286E-2</v>
      </c>
      <c r="P321" s="168">
        <f>(INDEX(Models!$BJ321:$BT321,,T321)*(1-R321)+INDEX(Models!$BJ321:$BT321,,T321+1)*R321-ERP_i)*Q321*Ramure*Pc/MaxiM</f>
        <v>3.6990557071443021E-4</v>
      </c>
      <c r="Q321" s="304">
        <f t="shared" si="101"/>
        <v>0.5</v>
      </c>
      <c r="R321" s="176">
        <f t="shared" si="102"/>
        <v>0.73413190201660261</v>
      </c>
      <c r="S321" s="814">
        <f t="shared" si="103"/>
        <v>0</v>
      </c>
      <c r="T321" s="175">
        <f t="shared" si="104"/>
        <v>6</v>
      </c>
      <c r="U321" s="250">
        <f t="shared" si="105"/>
        <v>0.73413190201660261</v>
      </c>
      <c r="V321" s="382">
        <f t="shared" si="106"/>
        <v>33.299157027012676</v>
      </c>
      <c r="W321" s="401"/>
      <c r="X321" s="157">
        <f t="shared" si="107"/>
        <v>44503</v>
      </c>
      <c r="Y321" s="384">
        <f t="shared" si="108"/>
        <v>16.464292727170747</v>
      </c>
      <c r="Z321" s="384">
        <f t="shared" si="109"/>
        <v>16.901553586906324</v>
      </c>
      <c r="AA321" s="385">
        <f t="shared" si="110"/>
        <v>17.872619746466295</v>
      </c>
      <c r="AB321" s="196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5.433261454308997E-2</v>
      </c>
      <c r="AD321" s="230">
        <f>(INDEX(Models!$BJ321:$BT321,,AH321)*(1-AF321)+INDEX(Models!$BJ321:$BT321,,AH321+1)*AF321-ERP_i)*AE321*Ramure*Pc/MaxiM</f>
        <v>3.6990557071443021E-4</v>
      </c>
      <c r="AE321" s="304">
        <f t="shared" si="112"/>
        <v>0.5</v>
      </c>
      <c r="AF321" s="176">
        <f t="shared" si="113"/>
        <v>0.73413190201660261</v>
      </c>
      <c r="AG321" s="814">
        <f t="shared" si="119"/>
        <v>0</v>
      </c>
      <c r="AH321" s="175">
        <f t="shared" si="114"/>
        <v>6</v>
      </c>
      <c r="AI321" s="224">
        <f t="shared" si="115"/>
        <v>0.73413190201660261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44504</v>
      </c>
      <c r="B322" s="616">
        <v>13.427</v>
      </c>
      <c r="C322" s="389"/>
      <c r="D322" s="392">
        <f t="shared" si="98"/>
        <v>13.783897569355068</v>
      </c>
      <c r="E322" s="384">
        <f t="shared" si="120"/>
        <v>14.064311699431959</v>
      </c>
      <c r="F322" s="384">
        <f t="shared" si="99"/>
        <v>14.065125960137062</v>
      </c>
      <c r="G322" s="110">
        <f t="shared" si="121"/>
        <v>0.40671982224943604</v>
      </c>
      <c r="H322" s="413" t="b">
        <f>Wh_hp&gt;='2020'!Maxi_hp</f>
        <v>0</v>
      </c>
      <c r="I322" s="379">
        <f>IF(H322,Wh_hp,'2020'!Maxi_hp)</f>
        <v>22.319752291324583</v>
      </c>
      <c r="J322" s="85">
        <f>IF(H322,An,'2020'!An_max)</f>
        <v>2018</v>
      </c>
      <c r="K322" s="196">
        <f t="shared" si="100"/>
        <v>44504</v>
      </c>
      <c r="L322" s="147">
        <f>IF(t&lt;Tvie,1-EXP((T0-t)*PertePVj)+'2020'!Pspv,1-EXP((T0-t)*PertePVj)+Pspv)</f>
        <v>2.5892355014922465E-2</v>
      </c>
      <c r="M322" s="847"/>
      <c r="N322" s="847"/>
      <c r="O322" s="48">
        <f>IF(t&lt;Tnet,'2020'!Resal+('2020'!Salim-'2020'!Resal)*(1-EXP(('2020'!Tnet-t)/('2020'!Tau_j))),Resal+(Salim-Resal)*(1-EXP((Tnet-t)/(Tau_j))))*Salcycl</f>
        <v>1.9937991710480728E-2</v>
      </c>
      <c r="P322" s="168">
        <f>(INDEX(Models!$BJ322:$BT322,,T322)*(1-R322)+INDEX(Models!$BJ322:$BT322,,T322+1)*R322-ERP_i)*Q322*Ramure*Pc/MaxiM</f>
        <v>3.7926346417334865E-4</v>
      </c>
      <c r="Q322" s="304">
        <f t="shared" si="101"/>
        <v>0.5</v>
      </c>
      <c r="R322" s="176">
        <f t="shared" si="102"/>
        <v>0.73416174898670605</v>
      </c>
      <c r="S322" s="814">
        <f t="shared" si="103"/>
        <v>0</v>
      </c>
      <c r="T322" s="175">
        <f t="shared" si="104"/>
        <v>6</v>
      </c>
      <c r="U322" s="250">
        <f t="shared" si="105"/>
        <v>0.73416174898670605</v>
      </c>
      <c r="V322" s="382">
        <f t="shared" si="106"/>
        <v>33.0022879721338</v>
      </c>
      <c r="W322" s="401"/>
      <c r="X322" s="157">
        <f t="shared" si="107"/>
        <v>44504</v>
      </c>
      <c r="Y322" s="384">
        <f t="shared" si="108"/>
        <v>12.955918844143083</v>
      </c>
      <c r="Z322" s="384">
        <f t="shared" si="109"/>
        <v>13.300294798878779</v>
      </c>
      <c r="AA322" s="385">
        <f t="shared" si="110"/>
        <v>14.064311699431959</v>
      </c>
      <c r="AB322" s="196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5.4323092155589607E-2</v>
      </c>
      <c r="AD322" s="230">
        <f>(INDEX(Models!$BJ322:$BT322,,AH322)*(1-AF322)+INDEX(Models!$BJ322:$BT322,,AH322+1)*AF322-ERP_i)*AE322*Ramure*Pc/MaxiM</f>
        <v>3.7926346417334865E-4</v>
      </c>
      <c r="AE322" s="304">
        <f t="shared" si="112"/>
        <v>0.5</v>
      </c>
      <c r="AF322" s="176">
        <f t="shared" si="113"/>
        <v>0.73416174898670605</v>
      </c>
      <c r="AG322" s="814">
        <f t="shared" si="119"/>
        <v>0</v>
      </c>
      <c r="AH322" s="175">
        <f t="shared" si="114"/>
        <v>6</v>
      </c>
      <c r="AI322" s="224">
        <f t="shared" si="115"/>
        <v>0.73416174898670605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44505</v>
      </c>
      <c r="B323" s="616">
        <v>12.125</v>
      </c>
      <c r="C323" s="389"/>
      <c r="D323" s="392">
        <f t="shared" si="98"/>
        <v>12.447561940090383</v>
      </c>
      <c r="E323" s="384">
        <f t="shared" si="120"/>
        <v>12.70145037998291</v>
      </c>
      <c r="F323" s="384">
        <f t="shared" si="99"/>
        <v>12.701951270205756</v>
      </c>
      <c r="G323" s="110">
        <f t="shared" si="121"/>
        <v>0.37057627852329006</v>
      </c>
      <c r="H323" s="413" t="b">
        <f>Wh_hp&gt;='2020'!Maxi_hp</f>
        <v>0</v>
      </c>
      <c r="I323" s="379">
        <f>IF(H323,Wh_hp,'2020'!Maxi_hp)</f>
        <v>14.673621389398376</v>
      </c>
      <c r="J323" s="85">
        <f>IF(H323,An,'2020'!An_max)</f>
        <v>2020</v>
      </c>
      <c r="K323" s="196">
        <f t="shared" si="100"/>
        <v>44505</v>
      </c>
      <c r="L323" s="147">
        <f>IF(t&lt;Tvie,1-EXP((T0-t)*PertePVj)+'2020'!Pspv,1-EXP((T0-t)*PertePVj)+Pspv)</f>
        <v>2.5913664189249321E-2</v>
      </c>
      <c r="M323" s="847"/>
      <c r="N323" s="847"/>
      <c r="O323" s="48">
        <f>IF(t&lt;Tnet,'2020'!Resal+('2020'!Salim-'2020'!Resal)*(1-EXP(('2020'!Tnet-t)/('2020'!Tau_j))),Resal+(Salim-Resal)*(1-EXP((Tnet-t)/(Tau_j))))*Salcycl</f>
        <v>1.9988932940496949E-2</v>
      </c>
      <c r="P323" s="168">
        <f>(INDEX(Models!$BJ323:$BT323,,T323)*(1-R323)+INDEX(Models!$BJ323:$BT323,,T323+1)*R323-ERP_i)*Q323*Ramure*Pc/MaxiM</f>
        <v>3.9040151191697562E-4</v>
      </c>
      <c r="Q323" s="304">
        <f t="shared" si="101"/>
        <v>0.5</v>
      </c>
      <c r="R323" s="176">
        <f t="shared" si="102"/>
        <v>0.7341903998209397</v>
      </c>
      <c r="S323" s="814">
        <f t="shared" si="103"/>
        <v>0</v>
      </c>
      <c r="T323" s="175">
        <f t="shared" si="104"/>
        <v>6</v>
      </c>
      <c r="U323" s="250">
        <f t="shared" si="105"/>
        <v>0.7341903998209397</v>
      </c>
      <c r="V323" s="382">
        <f t="shared" si="106"/>
        <v>32.70782577020222</v>
      </c>
      <c r="W323" s="401"/>
      <c r="X323" s="157">
        <f t="shared" si="107"/>
        <v>44505</v>
      </c>
      <c r="Y323" s="384">
        <f t="shared" si="108"/>
        <v>11.700324054211704</v>
      </c>
      <c r="Z323" s="384">
        <f t="shared" si="109"/>
        <v>12.011588320324092</v>
      </c>
      <c r="AA323" s="385">
        <f t="shared" si="110"/>
        <v>12.70145037998291</v>
      </c>
      <c r="AB323" s="196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5.4313644428042492E-2</v>
      </c>
      <c r="AD323" s="230">
        <f>(INDEX(Models!$BJ323:$BT323,,AH323)*(1-AF323)+INDEX(Models!$BJ323:$BT323,,AH323+1)*AF323-ERP_i)*AE323*Ramure*Pc/MaxiM</f>
        <v>3.9040151191697562E-4</v>
      </c>
      <c r="AE323" s="304">
        <f t="shared" si="112"/>
        <v>0.5</v>
      </c>
      <c r="AF323" s="176">
        <f t="shared" si="113"/>
        <v>0.7341903998209397</v>
      </c>
      <c r="AG323" s="814">
        <f t="shared" si="119"/>
        <v>0</v>
      </c>
      <c r="AH323" s="175">
        <f t="shared" si="114"/>
        <v>6</v>
      </c>
      <c r="AI323" s="224">
        <f t="shared" si="115"/>
        <v>0.7341903998209397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44506</v>
      </c>
      <c r="B324" s="616">
        <v>20.629000000000001</v>
      </c>
      <c r="C324" s="389"/>
      <c r="D324" s="392">
        <f t="shared" si="98"/>
        <v>21.178257535177348</v>
      </c>
      <c r="E324" s="384">
        <f t="shared" si="120"/>
        <v>21.611344313964906</v>
      </c>
      <c r="F324" s="384">
        <f t="shared" si="99"/>
        <v>21.615528372307963</v>
      </c>
      <c r="G324" s="110">
        <f t="shared" si="121"/>
        <v>0.636254262068082</v>
      </c>
      <c r="H324" s="413" t="b">
        <f>Wh_hp&gt;='2020'!Maxi_hp</f>
        <v>0</v>
      </c>
      <c r="I324" s="379">
        <f>IF(H324,Wh_hp,'2020'!Maxi_hp)</f>
        <v>23.891288220345345</v>
      </c>
      <c r="J324" s="85">
        <f>IF(H324,An,'2020'!An_max)</f>
        <v>2018</v>
      </c>
      <c r="K324" s="196">
        <f t="shared" si="100"/>
        <v>44506</v>
      </c>
      <c r="L324" s="147">
        <f>IF(t&lt;Tvie,1-EXP((T0-t)*PertePVj)+'2020'!Pspv,1-EXP((T0-t)*PertePVj)+Pspv)</f>
        <v>2.5934972896850518E-2</v>
      </c>
      <c r="M324" s="847"/>
      <c r="N324" s="847"/>
      <c r="O324" s="48">
        <f>IF(t&lt;Tnet,'2020'!Resal+('2020'!Salim-'2020'!Resal)*(1-EXP(('2020'!Tnet-t)/('2020'!Tau_j))),Resal+(Salim-Resal)*(1-EXP((Tnet-t)/(Tau_j))))*Salcycl</f>
        <v>2.0039788941204614E-2</v>
      </c>
      <c r="P324" s="168">
        <f>(INDEX(Models!$BJ324:$BT324,,T324)*(1-R324)+INDEX(Models!$BJ324:$BT324,,T324+1)*R324-ERP_i)*Q324*Ramure*Pc/MaxiM</f>
        <v>4.0280063108788928E-4</v>
      </c>
      <c r="Q324" s="304">
        <f t="shared" si="101"/>
        <v>0.5</v>
      </c>
      <c r="R324" s="176">
        <f t="shared" si="102"/>
        <v>0.73421790223962125</v>
      </c>
      <c r="S324" s="814">
        <f t="shared" si="103"/>
        <v>0</v>
      </c>
      <c r="T324" s="175">
        <f t="shared" si="104"/>
        <v>6</v>
      </c>
      <c r="U324" s="250">
        <f t="shared" si="105"/>
        <v>0.73421790223962125</v>
      </c>
      <c r="V324" s="382">
        <f t="shared" si="106"/>
        <v>32.41578739583187</v>
      </c>
      <c r="W324" s="401"/>
      <c r="X324" s="157">
        <f t="shared" si="107"/>
        <v>44506</v>
      </c>
      <c r="Y324" s="384">
        <f t="shared" si="108"/>
        <v>19.907702162936069</v>
      </c>
      <c r="Z324" s="384">
        <f t="shared" si="109"/>
        <v>20.437754779207289</v>
      </c>
      <c r="AA324" s="385">
        <f t="shared" si="110"/>
        <v>21.611344313964906</v>
      </c>
      <c r="AB324" s="196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5.4304328213366296E-2</v>
      </c>
      <c r="AD324" s="230">
        <f>(INDEX(Models!$BJ324:$BT324,,AH324)*(1-AF324)+INDEX(Models!$BJ324:$BT324,,AH324+1)*AF324-ERP_i)*AE324*Ramure*Pc/MaxiM</f>
        <v>4.0280063108788928E-4</v>
      </c>
      <c r="AE324" s="304">
        <f t="shared" si="112"/>
        <v>0.5</v>
      </c>
      <c r="AF324" s="176">
        <f t="shared" si="113"/>
        <v>0.73421790223962125</v>
      </c>
      <c r="AG324" s="814">
        <f t="shared" si="119"/>
        <v>0</v>
      </c>
      <c r="AH324" s="175">
        <f t="shared" si="114"/>
        <v>6</v>
      </c>
      <c r="AI324" s="224">
        <f t="shared" si="115"/>
        <v>0.73421790223962125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44507</v>
      </c>
      <c r="B325" s="616">
        <v>10.382</v>
      </c>
      <c r="C325" s="389"/>
      <c r="D325" s="392">
        <f t="shared" si="98"/>
        <v>10.658659153540608</v>
      </c>
      <c r="E325" s="384">
        <f t="shared" si="120"/>
        <v>10.877188188831131</v>
      </c>
      <c r="F325" s="384">
        <f t="shared" si="99"/>
        <v>10.877337835991986</v>
      </c>
      <c r="G325" s="110">
        <f t="shared" si="121"/>
        <v>0.32303316141333344</v>
      </c>
      <c r="H325" s="413" t="b">
        <f>Wh_hp&gt;='2020'!Maxi_hp</f>
        <v>0</v>
      </c>
      <c r="I325" s="379">
        <f>IF(H325,Wh_hp,'2020'!Maxi_hp)</f>
        <v>16.07541957497671</v>
      </c>
      <c r="J325" s="85">
        <f>IF(H325,An,'2020'!An_max)</f>
        <v>2020</v>
      </c>
      <c r="K325" s="196">
        <f t="shared" si="100"/>
        <v>44507</v>
      </c>
      <c r="L325" s="147">
        <f>IF(t&lt;Tvie,1-EXP((T0-t)*PertePVj)+'2020'!Pspv,1-EXP((T0-t)*PertePVj)+Pspv)</f>
        <v>2.5956281137736383E-2</v>
      </c>
      <c r="M325" s="847"/>
      <c r="N325" s="847"/>
      <c r="O325" s="48">
        <f>IF(t&lt;Tnet,'2020'!Resal+('2020'!Salim-'2020'!Resal)*(1-EXP(('2020'!Tnet-t)/('2020'!Tau_j))),Resal+(Salim-Resal)*(1-EXP((Tnet-t)/(Tau_j))))*Salcycl</f>
        <v>2.0090581453294357E-2</v>
      </c>
      <c r="P325" s="168">
        <f>(INDEX(Models!$BJ325:$BT325,,T325)*(1-R325)+INDEX(Models!$BJ325:$BT325,,T325+1)*R325-ERP_i)*Q325*Ramure*Pc/MaxiM</f>
        <v>4.1576473788032043E-4</v>
      </c>
      <c r="Q325" s="304">
        <f t="shared" si="101"/>
        <v>0.5</v>
      </c>
      <c r="R325" s="176">
        <f t="shared" si="102"/>
        <v>0.73424430207622393</v>
      </c>
      <c r="S325" s="814">
        <f t="shared" si="103"/>
        <v>0</v>
      </c>
      <c r="T325" s="175">
        <f t="shared" si="104"/>
        <v>6</v>
      </c>
      <c r="U325" s="250">
        <f t="shared" si="105"/>
        <v>0.73424430207622393</v>
      </c>
      <c r="V325" s="382">
        <f t="shared" si="106"/>
        <v>32.126194908649346</v>
      </c>
      <c r="W325" s="401"/>
      <c r="X325" s="157">
        <f t="shared" si="107"/>
        <v>44507</v>
      </c>
      <c r="Y325" s="384">
        <f t="shared" si="108"/>
        <v>10.019606961941639</v>
      </c>
      <c r="Z325" s="384">
        <f t="shared" si="109"/>
        <v>10.286609079154156</v>
      </c>
      <c r="AA325" s="385">
        <f t="shared" si="110"/>
        <v>10.877188188831131</v>
      </c>
      <c r="AB325" s="196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5.4295200140362758E-2</v>
      </c>
      <c r="AD325" s="230">
        <f>(INDEX(Models!$BJ325:$BT325,,AH325)*(1-AF325)+INDEX(Models!$BJ325:$BT325,,AH325+1)*AF325-ERP_i)*AE325*Ramure*Pc/MaxiM</f>
        <v>4.1576473788032043E-4</v>
      </c>
      <c r="AE325" s="304">
        <f t="shared" si="112"/>
        <v>0.5</v>
      </c>
      <c r="AF325" s="176">
        <f t="shared" si="113"/>
        <v>0.73424430207622393</v>
      </c>
      <c r="AG325" s="814">
        <f t="shared" si="119"/>
        <v>0</v>
      </c>
      <c r="AH325" s="175">
        <f t="shared" si="114"/>
        <v>6</v>
      </c>
      <c r="AI325" s="224">
        <f t="shared" si="115"/>
        <v>0.73424430207622393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44508</v>
      </c>
      <c r="B326" s="616">
        <v>24.682000000000002</v>
      </c>
      <c r="C326" s="389"/>
      <c r="D326" s="392">
        <f t="shared" si="98"/>
        <v>25.340279360130612</v>
      </c>
      <c r="E326" s="384">
        <f t="shared" si="120"/>
        <v>25.8611575265016</v>
      </c>
      <c r="F326" s="384">
        <f t="shared" si="99"/>
        <v>25.868696727513875</v>
      </c>
      <c r="G326" s="110">
        <f t="shared" si="121"/>
        <v>0.77510473894044396</v>
      </c>
      <c r="H326" s="413" t="b">
        <f>Wh_hp&gt;='2020'!Maxi_hp</f>
        <v>1</v>
      </c>
      <c r="I326" s="379">
        <f>IF(H326,Wh_hp,'2020'!Maxi_hp)</f>
        <v>25.868696727513875</v>
      </c>
      <c r="J326" s="85">
        <f>IF(H326,An,'2020'!An_max)</f>
        <v>2021</v>
      </c>
      <c r="K326" s="196">
        <f t="shared" si="100"/>
        <v>44508</v>
      </c>
      <c r="L326" s="147">
        <f>IF(t&lt;Tvie,1-EXP((T0-t)*PertePVj)+'2020'!Pspv,1-EXP((T0-t)*PertePVj)+Pspv)</f>
        <v>2.5977588911917017E-2</v>
      </c>
      <c r="M326" s="847"/>
      <c r="N326" s="847"/>
      <c r="O326" s="48">
        <f>IF(t&lt;Tnet,'2020'!Resal+('2020'!Salim-'2020'!Resal)*(1-EXP(('2020'!Tnet-t)/('2020'!Tau_j))),Resal+(Salim-Resal)*(1-EXP((Tnet-t)/(Tau_j))))*Salcycl</f>
        <v>2.0141332260058768E-2</v>
      </c>
      <c r="P326" s="168">
        <f>(INDEX(Models!$BJ326:$BT326,,T326)*(1-R326)+INDEX(Models!$BJ326:$BT326,,T326+1)*R326-ERP_i)*Q326*Ramure*Pc/MaxiM</f>
        <v>4.2930084466966968E-4</v>
      </c>
      <c r="Q326" s="304">
        <f t="shared" si="101"/>
        <v>0.5</v>
      </c>
      <c r="R326" s="176">
        <f t="shared" si="102"/>
        <v>0.73426964335064349</v>
      </c>
      <c r="S326" s="814">
        <f t="shared" si="103"/>
        <v>0</v>
      </c>
      <c r="T326" s="175">
        <f t="shared" si="104"/>
        <v>6</v>
      </c>
      <c r="U326" s="250">
        <f t="shared" si="105"/>
        <v>0.73426964335064349</v>
      </c>
      <c r="V326" s="382">
        <f t="shared" si="106"/>
        <v>31.83904718110287</v>
      </c>
      <c r="W326" s="401"/>
      <c r="X326" s="157">
        <f t="shared" si="107"/>
        <v>44508</v>
      </c>
      <c r="Y326" s="384">
        <f t="shared" si="108"/>
        <v>23.821910147105847</v>
      </c>
      <c r="Z326" s="384">
        <f t="shared" si="109"/>
        <v>24.45725054775108</v>
      </c>
      <c r="AA326" s="385">
        <f t="shared" si="110"/>
        <v>25.8611575265016</v>
      </c>
      <c r="AB326" s="196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5.4286316353467388E-2</v>
      </c>
      <c r="AD326" s="230">
        <f>(INDEX(Models!$BJ326:$BT326,,AH326)*(1-AF326)+INDEX(Models!$BJ326:$BT326,,AH326+1)*AF326-ERP_i)*AE326*Ramure*Pc/MaxiM</f>
        <v>4.2930084466966968E-4</v>
      </c>
      <c r="AE326" s="304">
        <f t="shared" si="112"/>
        <v>0.5</v>
      </c>
      <c r="AF326" s="176">
        <f t="shared" si="113"/>
        <v>0.73426964335064349</v>
      </c>
      <c r="AG326" s="814">
        <f t="shared" si="119"/>
        <v>0</v>
      </c>
      <c r="AH326" s="175">
        <f t="shared" si="114"/>
        <v>6</v>
      </c>
      <c r="AI326" s="224">
        <f t="shared" si="115"/>
        <v>0.73426964335064349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44509</v>
      </c>
      <c r="B327" s="616">
        <v>20.68</v>
      </c>
      <c r="C327" s="389"/>
      <c r="D327" s="392">
        <f t="shared" si="98"/>
        <v>21.232008793142356</v>
      </c>
      <c r="E327" s="384">
        <f t="shared" si="120"/>
        <v>21.669561955216246</v>
      </c>
      <c r="F327" s="384">
        <f t="shared" si="99"/>
        <v>21.67444118735272</v>
      </c>
      <c r="G327" s="110">
        <f t="shared" si="121"/>
        <v>0.65523419191128296</v>
      </c>
      <c r="H327" s="413" t="b">
        <f>Wh_hp&gt;='2020'!Maxi_hp</f>
        <v>0</v>
      </c>
      <c r="I327" s="379">
        <f>IF(H327,Wh_hp,'2020'!Maxi_hp)</f>
        <v>23.871171034928089</v>
      </c>
      <c r="J327" s="85">
        <f>IF(H327,An,'2020'!An_max)</f>
        <v>2020</v>
      </c>
      <c r="K327" s="196">
        <f t="shared" si="100"/>
        <v>44509</v>
      </c>
      <c r="L327" s="147">
        <f>IF(t&lt;Tvie,1-EXP((T0-t)*PertePVj)+'2020'!Pspv,1-EXP((T0-t)*PertePVj)+Pspv)</f>
        <v>2.5998896219402746E-2</v>
      </c>
      <c r="M327" s="847"/>
      <c r="N327" s="847"/>
      <c r="O327" s="48">
        <f>IF(t&lt;Tnet,'2020'!Resal+('2020'!Salim-'2020'!Resal)*(1-EXP(('2020'!Tnet-t)/('2020'!Tau_j))),Resal+(Salim-Resal)*(1-EXP((Tnet-t)/(Tau_j))))*Salcycl</f>
        <v>2.0192063087300382E-2</v>
      </c>
      <c r="P327" s="168">
        <f>(INDEX(Models!$BJ327:$BT327,,T327)*(1-R327)+INDEX(Models!$BJ327:$BT327,,T327+1)*R327-ERP_i)*Q327*Ramure*Pc/MaxiM</f>
        <v>4.4341658716709318E-4</v>
      </c>
      <c r="Q327" s="304">
        <f t="shared" si="101"/>
        <v>0.5</v>
      </c>
      <c r="R327" s="176">
        <f t="shared" si="102"/>
        <v>0.73429396833972516</v>
      </c>
      <c r="S327" s="814">
        <f t="shared" si="103"/>
        <v>0</v>
      </c>
      <c r="T327" s="175">
        <f t="shared" si="104"/>
        <v>6</v>
      </c>
      <c r="U327" s="250">
        <f t="shared" si="105"/>
        <v>0.73429396833972516</v>
      </c>
      <c r="V327" s="382">
        <f t="shared" si="106"/>
        <v>31.554343092377394</v>
      </c>
      <c r="W327" s="401"/>
      <c r="X327" s="157">
        <f t="shared" si="107"/>
        <v>44509</v>
      </c>
      <c r="Y327" s="384">
        <f t="shared" si="108"/>
        <v>19.960581824460238</v>
      </c>
      <c r="Z327" s="384">
        <f t="shared" si="109"/>
        <v>20.493387273364469</v>
      </c>
      <c r="AA327" s="385">
        <f t="shared" si="110"/>
        <v>21.669561955216246</v>
      </c>
      <c r="AB327" s="196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5.42777322533117E-2</v>
      </c>
      <c r="AD327" s="230">
        <f>(INDEX(Models!$BJ327:$BT327,,AH327)*(1-AF327)+INDEX(Models!$BJ327:$BT327,,AH327+1)*AF327-ERP_i)*AE327*Ramure*Pc/MaxiM</f>
        <v>4.4341658716709318E-4</v>
      </c>
      <c r="AE327" s="304">
        <f t="shared" si="112"/>
        <v>0.5</v>
      </c>
      <c r="AF327" s="176">
        <f t="shared" si="113"/>
        <v>0.73429396833972516</v>
      </c>
      <c r="AG327" s="814">
        <f t="shared" si="119"/>
        <v>0</v>
      </c>
      <c r="AH327" s="175">
        <f t="shared" si="114"/>
        <v>6</v>
      </c>
      <c r="AI327" s="224">
        <f t="shared" si="115"/>
        <v>0.73429396833972516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44510</v>
      </c>
      <c r="B328" s="616">
        <v>5.6040000000000001</v>
      </c>
      <c r="C328" s="389"/>
      <c r="D328" s="392">
        <f t="shared" si="98"/>
        <v>5.7537127747490597</v>
      </c>
      <c r="E328" s="384">
        <f t="shared" si="120"/>
        <v>5.8725904217272147</v>
      </c>
      <c r="F328" s="384">
        <f t="shared" si="99"/>
        <v>5.8725904217272147</v>
      </c>
      <c r="G328" s="110">
        <f t="shared" si="121"/>
        <v>0.17911927890182586</v>
      </c>
      <c r="H328" s="413" t="b">
        <f>Wh_hp&gt;='2020'!Maxi_hp</f>
        <v>0</v>
      </c>
      <c r="I328" s="379">
        <f>IF(H328,Wh_hp,'2020'!Maxi_hp)</f>
        <v>22.85647548168469</v>
      </c>
      <c r="J328" s="85">
        <f>IF(H328,An,'2020'!An_max)</f>
        <v>2020</v>
      </c>
      <c r="K328" s="196">
        <f t="shared" si="100"/>
        <v>44510</v>
      </c>
      <c r="L328" s="147">
        <f>IF(t&lt;Tvie,1-EXP((T0-t)*PertePVj)+'2020'!Pspv,1-EXP((T0-t)*PertePVj)+Pspv)</f>
        <v>2.6020203060203785E-2</v>
      </c>
      <c r="M328" s="847"/>
      <c r="N328" s="847"/>
      <c r="O328" s="48">
        <f>IF(t&lt;Tnet,'2020'!Resal+('2020'!Salim-'2020'!Resal)*(1-EXP(('2020'!Tnet-t)/('2020'!Tau_j))),Resal+(Salim-Resal)*(1-EXP((Tnet-t)/(Tau_j))))*Salcycl</f>
        <v>2.0242795502702648E-2</v>
      </c>
      <c r="P328" s="168">
        <f>(INDEX(Models!$BJ328:$BT328,,T328)*(1-R328)+INDEX(Models!$BJ328:$BT328,,T328+1)*R328-ERP_i)*Q328*Ramure*Pc/MaxiM</f>
        <v>4.581202693644478E-4</v>
      </c>
      <c r="Q328" s="304">
        <f t="shared" si="101"/>
        <v>0.5</v>
      </c>
      <c r="R328" s="176">
        <f t="shared" si="102"/>
        <v>0.73431731764514629</v>
      </c>
      <c r="S328" s="814">
        <f t="shared" si="103"/>
        <v>0</v>
      </c>
      <c r="T328" s="175">
        <f t="shared" si="104"/>
        <v>6</v>
      </c>
      <c r="U328" s="250">
        <f t="shared" si="105"/>
        <v>0.73431731764514629</v>
      </c>
      <c r="V328" s="382">
        <f t="shared" si="106"/>
        <v>31.272081533337303</v>
      </c>
      <c r="W328" s="401"/>
      <c r="X328" s="157">
        <f t="shared" si="107"/>
        <v>44510</v>
      </c>
      <c r="Y328" s="384">
        <f t="shared" si="108"/>
        <v>5.4093745727205729</v>
      </c>
      <c r="Z328" s="384">
        <f t="shared" si="109"/>
        <v>5.5538878626811377</v>
      </c>
      <c r="AA328" s="385">
        <f t="shared" si="110"/>
        <v>5.8725904217272147</v>
      </c>
      <c r="AB328" s="196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5.4269502239923273E-2</v>
      </c>
      <c r="AD328" s="230">
        <f>(INDEX(Models!$BJ328:$BT328,,AH328)*(1-AF328)+INDEX(Models!$BJ328:$BT328,,AH328+1)*AF328-ERP_i)*AE328*Ramure*Pc/MaxiM</f>
        <v>4.581202693644478E-4</v>
      </c>
      <c r="AE328" s="304">
        <f t="shared" si="112"/>
        <v>0.5</v>
      </c>
      <c r="AF328" s="176">
        <f t="shared" si="113"/>
        <v>0.73431731764514629</v>
      </c>
      <c r="AG328" s="814">
        <f t="shared" si="119"/>
        <v>0</v>
      </c>
      <c r="AH328" s="175">
        <f t="shared" si="114"/>
        <v>6</v>
      </c>
      <c r="AI328" s="224">
        <f t="shared" si="115"/>
        <v>0.73431731764514629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44511</v>
      </c>
      <c r="B329" s="616">
        <v>8.8049999999999997</v>
      </c>
      <c r="C329" s="389"/>
      <c r="D329" s="392">
        <f t="shared" si="98"/>
        <v>9.0404263480326605</v>
      </c>
      <c r="E329" s="384">
        <f t="shared" si="120"/>
        <v>9.2276889220813736</v>
      </c>
      <c r="F329" s="384">
        <f t="shared" si="99"/>
        <v>9.2276889220813736</v>
      </c>
      <c r="G329" s="110">
        <f t="shared" si="121"/>
        <v>0.2839686789592788</v>
      </c>
      <c r="H329" s="413" t="b">
        <f>Wh_hp&gt;='2020'!Maxi_hp</f>
        <v>0</v>
      </c>
      <c r="I329" s="379">
        <f>IF(H329,Wh_hp,'2020'!Maxi_hp)</f>
        <v>26.823928749005539</v>
      </c>
      <c r="J329" s="85">
        <f>IF(H329,An,'2020'!An_max)</f>
        <v>2018</v>
      </c>
      <c r="K329" s="196">
        <f t="shared" si="100"/>
        <v>44511</v>
      </c>
      <c r="L329" s="147">
        <f>IF(t&lt;Tvie,1-EXP((T0-t)*PertePVj)+'2020'!Pspv,1-EXP((T0-t)*PertePVj)+Pspv)</f>
        <v>2.6041509434330347E-2</v>
      </c>
      <c r="M329" s="847"/>
      <c r="N329" s="847"/>
      <c r="O329" s="48">
        <f>IF(t&lt;Tnet,'2020'!Resal+('2020'!Salim-'2020'!Resal)*(1-EXP(('2020'!Tnet-t)/('2020'!Tau_j))),Resal+(Salim-Resal)*(1-EXP((Tnet-t)/(Tau_j))))*Salcycl</f>
        <v>2.0293550815372974E-2</v>
      </c>
      <c r="P329" s="168">
        <f>(INDEX(Models!$BJ329:$BT329,,T329)*(1-R329)+INDEX(Models!$BJ329:$BT329,,T329+1)*R329-ERP_i)*Q329*Ramure*Pc/MaxiM</f>
        <v>4.7342090489420905E-4</v>
      </c>
      <c r="Q329" s="304">
        <f t="shared" si="101"/>
        <v>0.5</v>
      </c>
      <c r="R329" s="176">
        <f t="shared" si="102"/>
        <v>0.73433973025874466</v>
      </c>
      <c r="S329" s="814">
        <f t="shared" si="103"/>
        <v>0</v>
      </c>
      <c r="T329" s="175">
        <f t="shared" si="104"/>
        <v>6</v>
      </c>
      <c r="U329" s="250">
        <f t="shared" si="105"/>
        <v>0.73433973025874466</v>
      </c>
      <c r="V329" s="382">
        <f t="shared" si="106"/>
        <v>30.992261404274267</v>
      </c>
      <c r="W329" s="401"/>
      <c r="X329" s="157">
        <f t="shared" si="107"/>
        <v>44511</v>
      </c>
      <c r="Y329" s="384">
        <f t="shared" si="108"/>
        <v>8.4997153170541875</v>
      </c>
      <c r="Z329" s="384">
        <f t="shared" si="109"/>
        <v>8.7269790236312854</v>
      </c>
      <c r="AA329" s="385">
        <f t="shared" si="110"/>
        <v>9.2276889220813736</v>
      </c>
      <c r="AB329" s="196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5.4261679460381074E-2</v>
      </c>
      <c r="AD329" s="230">
        <f>(INDEX(Models!$BJ329:$BT329,,AH329)*(1-AF329)+INDEX(Models!$BJ329:$BT329,,AH329+1)*AF329-ERP_i)*AE329*Ramure*Pc/MaxiM</f>
        <v>4.7342090489420905E-4</v>
      </c>
      <c r="AE329" s="304">
        <f t="shared" si="112"/>
        <v>0.5</v>
      </c>
      <c r="AF329" s="176">
        <f t="shared" si="113"/>
        <v>0.73433973025874466</v>
      </c>
      <c r="AG329" s="814">
        <f t="shared" si="119"/>
        <v>0</v>
      </c>
      <c r="AH329" s="175">
        <f t="shared" si="114"/>
        <v>6</v>
      </c>
      <c r="AI329" s="224">
        <f t="shared" si="115"/>
        <v>0.73433973025874466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44512</v>
      </c>
      <c r="B330" s="616">
        <v>8.1790000000000003</v>
      </c>
      <c r="C330" s="389"/>
      <c r="D330" s="392">
        <f t="shared" si="98"/>
        <v>8.3978721922095314</v>
      </c>
      <c r="E330" s="384">
        <f t="shared" si="120"/>
        <v>8.5722694418249166</v>
      </c>
      <c r="F330" s="384">
        <f t="shared" si="99"/>
        <v>8.5722694418249166</v>
      </c>
      <c r="G330" s="110">
        <f t="shared" si="121"/>
        <v>0.26615755465796614</v>
      </c>
      <c r="H330" s="413" t="b">
        <f>Wh_hp&gt;='2020'!Maxi_hp</f>
        <v>0</v>
      </c>
      <c r="I330" s="379">
        <f>IF(H330,Wh_hp,'2020'!Maxi_hp)</f>
        <v>27.427217713351663</v>
      </c>
      <c r="J330" s="85">
        <f>IF(H330,An,'2020'!An_max)</f>
        <v>2018</v>
      </c>
      <c r="K330" s="196">
        <f t="shared" si="100"/>
        <v>44512</v>
      </c>
      <c r="L330" s="147">
        <f>IF(t&lt;Tvie,1-EXP((T0-t)*PertePVj)+'2020'!Pspv,1-EXP((T0-t)*PertePVj)+Pspv)</f>
        <v>2.6062815341792535E-2</v>
      </c>
      <c r="M330" s="847"/>
      <c r="N330" s="847"/>
      <c r="O330" s="48">
        <f>IF(t&lt;Tnet,'2020'!Resal+('2020'!Salim-'2020'!Resal)*(1-EXP(('2020'!Tnet-t)/('2020'!Tau_j))),Resal+(Salim-Resal)*(1-EXP((Tnet-t)/(Tau_j))))*Salcycl</f>
        <v>2.0344349976271773E-2</v>
      </c>
      <c r="P330" s="168">
        <f>(INDEX(Models!$BJ330:$BT330,,T330)*(1-R330)+INDEX(Models!$BJ330:$BT330,,T330+1)*R330-ERP_i)*Q330*Ramure*Pc/MaxiM</f>
        <v>4.8932825393658099E-4</v>
      </c>
      <c r="Q330" s="304">
        <f t="shared" si="101"/>
        <v>0.5</v>
      </c>
      <c r="R330" s="176">
        <f t="shared" si="102"/>
        <v>0.73436124362538258</v>
      </c>
      <c r="S330" s="814">
        <f t="shared" si="103"/>
        <v>0</v>
      </c>
      <c r="T330" s="175">
        <f t="shared" si="104"/>
        <v>6</v>
      </c>
      <c r="U330" s="250">
        <f t="shared" si="105"/>
        <v>0.73436124362538258</v>
      </c>
      <c r="V330" s="382">
        <f t="shared" si="106"/>
        <v>30.714881622340503</v>
      </c>
      <c r="W330" s="401"/>
      <c r="X330" s="157">
        <f t="shared" si="107"/>
        <v>44512</v>
      </c>
      <c r="Y330" s="384">
        <f t="shared" si="108"/>
        <v>7.8958907171363402</v>
      </c>
      <c r="Z330" s="384">
        <f t="shared" si="109"/>
        <v>8.1071868304394972</v>
      </c>
      <c r="AA330" s="385">
        <f t="shared" si="110"/>
        <v>8.5722694418249166</v>
      </c>
      <c r="AB330" s="196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5.4254315562718647E-2</v>
      </c>
      <c r="AD330" s="230">
        <f>(INDEX(Models!$BJ330:$BT330,,AH330)*(1-AF330)+INDEX(Models!$BJ330:$BT330,,AH330+1)*AF330-ERP_i)*AE330*Ramure*Pc/MaxiM</f>
        <v>4.8932825393658099E-4</v>
      </c>
      <c r="AE330" s="304">
        <f t="shared" si="112"/>
        <v>0.5</v>
      </c>
      <c r="AF330" s="176">
        <f t="shared" si="113"/>
        <v>0.73436124362538258</v>
      </c>
      <c r="AG330" s="814">
        <f t="shared" si="119"/>
        <v>0</v>
      </c>
      <c r="AH330" s="175">
        <f t="shared" si="114"/>
        <v>6</v>
      </c>
      <c r="AI330" s="224">
        <f t="shared" si="115"/>
        <v>0.73436124362538258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44513</v>
      </c>
      <c r="B331" s="616">
        <v>5.3620000000000001</v>
      </c>
      <c r="C331" s="389"/>
      <c r="D331" s="392">
        <f t="shared" si="98"/>
        <v>5.5056089693379819</v>
      </c>
      <c r="E331" s="384">
        <f t="shared" si="120"/>
        <v>5.6202348590983844</v>
      </c>
      <c r="F331" s="384">
        <f t="shared" si="99"/>
        <v>5.6202348590983844</v>
      </c>
      <c r="G331" s="110">
        <f t="shared" si="121"/>
        <v>0.17606751140959406</v>
      </c>
      <c r="H331" s="413" t="b">
        <f>Wh_hp&gt;='2020'!Maxi_hp</f>
        <v>0</v>
      </c>
      <c r="I331" s="379">
        <f>IF(H331,Wh_hp,'2020'!Maxi_hp)</f>
        <v>31.04926746236552</v>
      </c>
      <c r="J331" s="85">
        <f>IF(H331,An,'2020'!An_max)</f>
        <v>2020</v>
      </c>
      <c r="K331" s="196">
        <f t="shared" si="100"/>
        <v>44513</v>
      </c>
      <c r="L331" s="147">
        <f>IF(t&lt;Tvie,1-EXP((T0-t)*PertePVj)+'2020'!Pspv,1-EXP((T0-t)*PertePVj)+Pspv)</f>
        <v>2.6084120782600785E-2</v>
      </c>
      <c r="M331" s="847"/>
      <c r="N331" s="847"/>
      <c r="O331" s="48">
        <f>IF(t&lt;Tnet,'2020'!Resal+('2020'!Salim-'2020'!Resal)*(1-EXP(('2020'!Tnet-t)/('2020'!Tau_j))),Resal+(Salim-Resal)*(1-EXP((Tnet-t)/(Tau_j))))*Salcycl</f>
        <v>2.0395213480240773E-2</v>
      </c>
      <c r="P331" s="168">
        <f>(INDEX(Models!$BJ331:$BT331,,T331)*(1-R331)+INDEX(Models!$BJ331:$BT331,,T331+1)*R331-ERP_i)*Q331*Ramure*Pc/MaxiM</f>
        <v>5.0587145574794554E-4</v>
      </c>
      <c r="Q331" s="304">
        <f t="shared" si="101"/>
        <v>0.5</v>
      </c>
      <c r="R331" s="176">
        <f t="shared" si="102"/>
        <v>0.73438189370343299</v>
      </c>
      <c r="S331" s="814">
        <f t="shared" si="103"/>
        <v>0</v>
      </c>
      <c r="T331" s="175">
        <f t="shared" si="104"/>
        <v>6</v>
      </c>
      <c r="U331" s="250">
        <f t="shared" si="105"/>
        <v>0.73438189370343299</v>
      </c>
      <c r="V331" s="382">
        <f t="shared" si="106"/>
        <v>30.438821304100323</v>
      </c>
      <c r="W331" s="401"/>
      <c r="X331" s="157">
        <f t="shared" si="107"/>
        <v>44513</v>
      </c>
      <c r="Y331" s="384">
        <f t="shared" si="108"/>
        <v>5.1767051231357311</v>
      </c>
      <c r="Z331" s="384">
        <f t="shared" si="109"/>
        <v>5.3153513908157342</v>
      </c>
      <c r="AA331" s="385">
        <f t="shared" si="110"/>
        <v>5.6202348590983844</v>
      </c>
      <c r="AB331" s="196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5.4247460457828849E-2</v>
      </c>
      <c r="AD331" s="230">
        <f>(INDEX(Models!$BJ331:$BT331,,AH331)*(1-AF331)+INDEX(Models!$BJ331:$BT331,,AH331+1)*AF331-ERP_i)*AE331*Ramure*Pc/MaxiM</f>
        <v>5.0587145574794554E-4</v>
      </c>
      <c r="AE331" s="304">
        <f t="shared" si="112"/>
        <v>0.5</v>
      </c>
      <c r="AF331" s="176">
        <f t="shared" si="113"/>
        <v>0.73438189370343299</v>
      </c>
      <c r="AG331" s="814">
        <f t="shared" si="119"/>
        <v>0</v>
      </c>
      <c r="AH331" s="175">
        <f t="shared" si="114"/>
        <v>6</v>
      </c>
      <c r="AI331" s="224">
        <f t="shared" si="115"/>
        <v>0.73438189370343299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44514</v>
      </c>
      <c r="B332" s="616">
        <v>4.5830000000000002</v>
      </c>
      <c r="C332" s="389"/>
      <c r="D332" s="392">
        <f t="shared" si="98"/>
        <v>4.7058481700252024</v>
      </c>
      <c r="E332" s="384">
        <f t="shared" si="120"/>
        <v>4.8040730217830507</v>
      </c>
      <c r="F332" s="384">
        <f t="shared" si="99"/>
        <v>4.8040730217830507</v>
      </c>
      <c r="G332" s="110">
        <f t="shared" si="121"/>
        <v>0.15186011010772588</v>
      </c>
      <c r="H332" s="413" t="b">
        <f>Wh_hp&gt;='2020'!Maxi_hp</f>
        <v>0</v>
      </c>
      <c r="I332" s="379">
        <f>IF(H332,Wh_hp,'2020'!Maxi_hp)</f>
        <v>19.84263142805246</v>
      </c>
      <c r="J332" s="85">
        <f>IF(H332,An,'2020'!An_max)</f>
        <v>2020</v>
      </c>
      <c r="K332" s="196">
        <f t="shared" si="100"/>
        <v>44514</v>
      </c>
      <c r="L332" s="147">
        <f>IF(t&lt;Tvie,1-EXP((T0-t)*PertePVj)+'2020'!Pspv,1-EXP((T0-t)*PertePVj)+Pspv)</f>
        <v>2.610542575676509E-2</v>
      </c>
      <c r="M332" s="847"/>
      <c r="N332" s="847"/>
      <c r="O332" s="48">
        <f>IF(t&lt;Tnet,'2020'!Resal+('2020'!Salim-'2020'!Resal)*(1-EXP(('2020'!Tnet-t)/('2020'!Tau_j))),Resal+(Salim-Resal)*(1-EXP((Tnet-t)/(Tau_j))))*Salcycl</f>
        <v>2.0446161270336351E-2</v>
      </c>
      <c r="P332" s="168">
        <f>(INDEX(Models!$BJ332:$BT332,,T332)*(1-R332)+INDEX(Models!$BJ332:$BT332,,T332+1)*R332-ERP_i)*Q332*Ramure*Pc/MaxiM</f>
        <v>5.2153770158330586E-4</v>
      </c>
      <c r="Q332" s="304">
        <f t="shared" si="101"/>
        <v>0.5</v>
      </c>
      <c r="R332" s="176">
        <f t="shared" si="102"/>
        <v>0.73440171502297003</v>
      </c>
      <c r="S332" s="814">
        <f t="shared" si="103"/>
        <v>0</v>
      </c>
      <c r="T332" s="175">
        <f t="shared" si="104"/>
        <v>6</v>
      </c>
      <c r="U332" s="250">
        <f t="shared" si="105"/>
        <v>0.73440171502297003</v>
      </c>
      <c r="V332" s="382">
        <f t="shared" si="106"/>
        <v>30.163350925165744</v>
      </c>
      <c r="W332" s="401"/>
      <c r="X332" s="157">
        <f t="shared" si="107"/>
        <v>44514</v>
      </c>
      <c r="Y332" s="384">
        <f t="shared" si="108"/>
        <v>4.4248846594871418</v>
      </c>
      <c r="Z332" s="384">
        <f t="shared" si="109"/>
        <v>4.5434945183111841</v>
      </c>
      <c r="AA332" s="385">
        <f t="shared" si="110"/>
        <v>4.8040730217830507</v>
      </c>
      <c r="AB332" s="196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5.4241162091069155E-2</v>
      </c>
      <c r="AD332" s="230">
        <f>(INDEX(Models!$BJ332:$BT332,,AH332)*(1-AF332)+INDEX(Models!$BJ332:$BT332,,AH332+1)*AF332-ERP_i)*AE332*Ramure*Pc/MaxiM</f>
        <v>5.2153770158330586E-4</v>
      </c>
      <c r="AE332" s="304">
        <f t="shared" si="112"/>
        <v>0.5</v>
      </c>
      <c r="AF332" s="176">
        <f t="shared" si="113"/>
        <v>0.73440171502297003</v>
      </c>
      <c r="AG332" s="814">
        <f t="shared" si="119"/>
        <v>0</v>
      </c>
      <c r="AH332" s="175">
        <f t="shared" si="114"/>
        <v>6</v>
      </c>
      <c r="AI332" s="224">
        <f t="shared" si="115"/>
        <v>0.73440171502297003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44515</v>
      </c>
      <c r="B333" s="616">
        <v>6.4660000000000002</v>
      </c>
      <c r="C333" s="389"/>
      <c r="D333" s="392">
        <f t="shared" si="98"/>
        <v>6.6394675785225976</v>
      </c>
      <c r="E333" s="384">
        <f t="shared" si="120"/>
        <v>6.7784060078609558</v>
      </c>
      <c r="F333" s="384">
        <f t="shared" si="99"/>
        <v>6.7784060078609558</v>
      </c>
      <c r="G333" s="110">
        <f t="shared" si="121"/>
        <v>0.21621784691988741</v>
      </c>
      <c r="H333" s="413" t="b">
        <f>Wh_hp&gt;='2020'!Maxi_hp</f>
        <v>0</v>
      </c>
      <c r="I333" s="379">
        <f>IF(H333,Wh_hp,'2020'!Maxi_hp)</f>
        <v>29.001692225643055</v>
      </c>
      <c r="J333" s="85">
        <f>IF(H333,An,'2020'!An_max)</f>
        <v>2020</v>
      </c>
      <c r="K333" s="196">
        <f t="shared" si="100"/>
        <v>44515</v>
      </c>
      <c r="L333" s="147">
        <f>IF(t&lt;Tvie,1-EXP((T0-t)*PertePVj)+'2020'!Pspv,1-EXP((T0-t)*PertePVj)+Pspv)</f>
        <v>2.6126730264295885E-2</v>
      </c>
      <c r="M333" s="847"/>
      <c r="N333" s="847"/>
      <c r="O333" s="48">
        <f>IF(t&lt;Tnet,'2020'!Resal+('2020'!Salim-'2020'!Resal)*(1-EXP(('2020'!Tnet-t)/('2020'!Tau_j))),Resal+(Salim-Resal)*(1-EXP((Tnet-t)/(Tau_j))))*Salcycl</f>
        <v>2.0497212645160336E-2</v>
      </c>
      <c r="P333" s="168">
        <f>(INDEX(Models!$BJ333:$BT333,,T333)*(1-R333)+INDEX(Models!$BJ333:$BT333,,T333+1)*R333-ERP_i)*Q333*Ramure*Pc/MaxiM</f>
        <v>5.3525012609005314E-4</v>
      </c>
      <c r="Q333" s="304">
        <f t="shared" si="101"/>
        <v>0.5</v>
      </c>
      <c r="R333" s="176">
        <f t="shared" si="102"/>
        <v>0.73442074074174701</v>
      </c>
      <c r="S333" s="814">
        <f t="shared" si="103"/>
        <v>0</v>
      </c>
      <c r="T333" s="175">
        <f t="shared" si="104"/>
        <v>6</v>
      </c>
      <c r="U333" s="250">
        <f t="shared" si="105"/>
        <v>0.73442074074174701</v>
      </c>
      <c r="V333" s="382">
        <f t="shared" si="106"/>
        <v>29.889017788060706</v>
      </c>
      <c r="W333" s="401"/>
      <c r="X333" s="157">
        <f t="shared" si="107"/>
        <v>44515</v>
      </c>
      <c r="Y333" s="384">
        <f t="shared" si="108"/>
        <v>6.2432833824826179</v>
      </c>
      <c r="Z333" s="384">
        <f t="shared" si="109"/>
        <v>6.4107759977609406</v>
      </c>
      <c r="AA333" s="385">
        <f t="shared" si="110"/>
        <v>6.7784060078609558</v>
      </c>
      <c r="AB333" s="196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5.4235466225196947E-2</v>
      </c>
      <c r="AD333" s="230">
        <f>(INDEX(Models!$BJ333:$BT333,,AH333)*(1-AF333)+INDEX(Models!$BJ333:$BT333,,AH333+1)*AF333-ERP_i)*AE333*Ramure*Pc/MaxiM</f>
        <v>5.3525012609005314E-4</v>
      </c>
      <c r="AE333" s="304">
        <f t="shared" si="112"/>
        <v>0.5</v>
      </c>
      <c r="AF333" s="176">
        <f t="shared" si="113"/>
        <v>0.73442074074174701</v>
      </c>
      <c r="AG333" s="814">
        <f t="shared" si="119"/>
        <v>0</v>
      </c>
      <c r="AH333" s="175">
        <f t="shared" si="114"/>
        <v>6</v>
      </c>
      <c r="AI333" s="224">
        <f t="shared" si="115"/>
        <v>0.73442074074174701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44516</v>
      </c>
      <c r="B334" s="616">
        <v>8.8040000000000003</v>
      </c>
      <c r="C334" s="389"/>
      <c r="D334" s="392">
        <f t="shared" si="98"/>
        <v>9.0403883856400782</v>
      </c>
      <c r="E334" s="384">
        <f t="shared" si="120"/>
        <v>9.2300510387518813</v>
      </c>
      <c r="F334" s="384">
        <f t="shared" si="99"/>
        <v>9.2300510387518813</v>
      </c>
      <c r="G334" s="110">
        <f t="shared" si="121"/>
        <v>0.29710576429896846</v>
      </c>
      <c r="H334" s="413" t="b">
        <f>Wh_hp&gt;='2020'!Maxi_hp</f>
        <v>0</v>
      </c>
      <c r="I334" s="379">
        <f>IF(H334,Wh_hp,'2020'!Maxi_hp)</f>
        <v>26.916043187141536</v>
      </c>
      <c r="J334" s="85">
        <f>IF(H334,An,'2020'!An_max)</f>
        <v>2018</v>
      </c>
      <c r="K334" s="196">
        <f t="shared" si="100"/>
        <v>44516</v>
      </c>
      <c r="L334" s="147">
        <f>IF(t&lt;Tvie,1-EXP((T0-t)*PertePVj)+'2020'!Pspv,1-EXP((T0-t)*PertePVj)+Pspv)</f>
        <v>2.6148034305203162E-2</v>
      </c>
      <c r="M334" s="847"/>
      <c r="N334" s="847"/>
      <c r="O334" s="48">
        <f>IF(t&lt;Tnet,'2020'!Resal+('2020'!Salim-'2020'!Resal)*(1-EXP(('2020'!Tnet-t)/('2020'!Tau_j))),Resal+(Salim-Resal)*(1-EXP((Tnet-t)/(Tau_j))))*Salcycl</f>
        <v>2.0548386169861273E-2</v>
      </c>
      <c r="P334" s="168">
        <f>(INDEX(Models!$BJ334:$BT334,,T334)*(1-R334)+INDEX(Models!$BJ334:$BT334,,T334+1)*R334-ERP_i)*Q334*Ramure*Pc/MaxiM</f>
        <v>5.4699610256233168E-4</v>
      </c>
      <c r="Q334" s="304">
        <f t="shared" si="101"/>
        <v>0.5</v>
      </c>
      <c r="R334" s="176">
        <f t="shared" si="102"/>
        <v>0.73443900269904083</v>
      </c>
      <c r="S334" s="814">
        <f t="shared" si="103"/>
        <v>0</v>
      </c>
      <c r="T334" s="175">
        <f t="shared" si="104"/>
        <v>6</v>
      </c>
      <c r="U334" s="250">
        <f t="shared" si="105"/>
        <v>0.73443900269904083</v>
      </c>
      <c r="V334" s="382">
        <f t="shared" si="106"/>
        <v>29.616336347680861</v>
      </c>
      <c r="W334" s="401"/>
      <c r="X334" s="157">
        <f t="shared" si="107"/>
        <v>44516</v>
      </c>
      <c r="Y334" s="384">
        <f t="shared" si="108"/>
        <v>8.5012422235905287</v>
      </c>
      <c r="Z334" s="384">
        <f t="shared" si="109"/>
        <v>8.7295015290391689</v>
      </c>
      <c r="AA334" s="385">
        <f t="shared" si="110"/>
        <v>9.2300510387518813</v>
      </c>
      <c r="AB334" s="196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5.4230416236181286E-2</v>
      </c>
      <c r="AD334" s="230">
        <f>(INDEX(Models!$BJ334:$BT334,,AH334)*(1-AF334)+INDEX(Models!$BJ334:$BT334,,AH334+1)*AF334-ERP_i)*AE334*Ramure*Pc/MaxiM</f>
        <v>5.4699610256233168E-4</v>
      </c>
      <c r="AE334" s="304">
        <f t="shared" si="112"/>
        <v>0.5</v>
      </c>
      <c r="AF334" s="176">
        <f t="shared" si="113"/>
        <v>0.73443900269904083</v>
      </c>
      <c r="AG334" s="814">
        <f t="shared" si="119"/>
        <v>0</v>
      </c>
      <c r="AH334" s="175">
        <f t="shared" si="114"/>
        <v>6</v>
      </c>
      <c r="AI334" s="224">
        <f t="shared" si="115"/>
        <v>0.73443900269904083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44517</v>
      </c>
      <c r="B335" s="616">
        <v>2.7530000000000001</v>
      </c>
      <c r="C335" s="389"/>
      <c r="D335" s="392">
        <f t="shared" ref="D335:D379" si="122">Wh/(1-Ppv)</f>
        <v>2.8269802000333213</v>
      </c>
      <c r="E335" s="384">
        <f t="shared" si="120"/>
        <v>2.8864399968573391</v>
      </c>
      <c r="F335" s="384">
        <f t="shared" ref="F335:F379" si="123">Wh_sa/(1-Pvg*MEDIAN((-Sdif+Wh/Env_an)/Csdif,0,1))</f>
        <v>2.8864399968573391</v>
      </c>
      <c r="G335" s="110">
        <f t="shared" si="121"/>
        <v>9.3760104308769826E-2</v>
      </c>
      <c r="H335" s="413" t="b">
        <f>Wh_hp&gt;='2020'!Maxi_hp</f>
        <v>0</v>
      </c>
      <c r="I335" s="379">
        <f>IF(H335,Wh_hp,'2020'!Maxi_hp)</f>
        <v>29.428386616561589</v>
      </c>
      <c r="J335" s="85">
        <f>IF(H335,An,'2020'!An_max)</f>
        <v>2018</v>
      </c>
      <c r="K335" s="196">
        <f t="shared" ref="K335:K379" si="124">t</f>
        <v>44517</v>
      </c>
      <c r="L335" s="147">
        <f>IF(t&lt;Tvie,1-EXP((T0-t)*PertePVj)+'2020'!Pspv,1-EXP((T0-t)*PertePVj)+Pspv)</f>
        <v>2.6169337879497358E-2</v>
      </c>
      <c r="M335" s="847"/>
      <c r="N335" s="847"/>
      <c r="O335" s="48">
        <f>IF(t&lt;Tnet,'2020'!Resal+('2020'!Salim-'2020'!Resal)*(1-EXP(('2020'!Tnet-t)/('2020'!Tau_j))),Resal+(Salim-Resal)*(1-EXP((Tnet-t)/(Tau_j))))*Salcycl</f>
        <v>2.0599699591453698E-2</v>
      </c>
      <c r="P335" s="168">
        <f>(INDEX(Models!$BJ335:$BT335,,T335)*(1-R335)+INDEX(Models!$BJ335:$BT335,,T335+1)*R335-ERP_i)*Q335*Ramure*Pc/MaxiM</f>
        <v>5.5676069968766631E-4</v>
      </c>
      <c r="Q335" s="304">
        <f t="shared" ref="Q335:Q379" si="125">IF(OR(t&lt;Ttai,Notai),Dd+PousD*Croivg,Dens+PousD*(Croivg-Croi_tai))</f>
        <v>0.5</v>
      </c>
      <c r="R335" s="176">
        <f t="shared" ref="R335:R379" si="126">(Hp_vg-S335)/(INDEX(Echel_vg,T335+1)-S335)</f>
        <v>0.73445653146743728</v>
      </c>
      <c r="S335" s="814">
        <f t="shared" ref="S335:S379" si="127">INDEX(Echel_vg,T335)</f>
        <v>0</v>
      </c>
      <c r="T335" s="175">
        <f t="shared" ref="T335:T379" si="128">MIN(MATCH(Hp_vg,Echel_vg),10)</f>
        <v>6</v>
      </c>
      <c r="U335" s="250">
        <f t="shared" ref="U335:U379" si="129">IF(OR(t&lt;Ttai,Notai),Hdd+PousH*Croivg,Hdtf+PousH*(Croivg-Croi_tai))</f>
        <v>0.73445653146743728</v>
      </c>
      <c r="V335" s="382">
        <f t="shared" ref="V335:V379" si="130">MaxiM*(1-Ppv)*(1-Pvg)*(1-Psa)</f>
        <v>29.345820997944454</v>
      </c>
      <c r="W335" s="401"/>
      <c r="X335" s="157">
        <f t="shared" ref="X335:X379" si="131">t</f>
        <v>44517</v>
      </c>
      <c r="Y335" s="384">
        <f t="shared" ref="Y335:Y379" si="132">Wh_pvt_s*(1-Ppv)</f>
        <v>2.6584795565367214</v>
      </c>
      <c r="Z335" s="384">
        <f t="shared" ref="Z335:Z379" si="133">Wh_sa_s*(1-Psa_s)</f>
        <v>2.7299197488277063</v>
      </c>
      <c r="AA335" s="385">
        <f t="shared" ref="AA335:AA379" si="134">Wh_hp*(1-Pvg_s*MEDIAN((-Sdif+Wh/Env_an)/Csdif,0,1))</f>
        <v>2.8864399968573391</v>
      </c>
      <c r="AB335" s="196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5.4226052923340512E-2</v>
      </c>
      <c r="AD335" s="230">
        <f>(INDEX(Models!$BJ335:$BT335,,AH335)*(1-AF335)+INDEX(Models!$BJ335:$BT335,,AH335+1)*AF335-ERP_i)*AE335*Ramure*Pc/MaxiM</f>
        <v>5.5676069968766631E-4</v>
      </c>
      <c r="AE335" s="304">
        <f t="shared" ref="AE335:AE379" si="136">IF(OR(t&lt;Ttai,Notai),Dd_s+PousD*Croivg,Dens_s+PousD*(Croivg-Croi_tai))</f>
        <v>0.5</v>
      </c>
      <c r="AF335" s="176">
        <f t="shared" ref="AF335:AF379" si="137">(Hp_vg_s-AG335)/(INDEX(Echel_vg,AH335+1)-AG335)</f>
        <v>0.73445653146743728</v>
      </c>
      <c r="AG335" s="814">
        <f t="shared" si="119"/>
        <v>0</v>
      </c>
      <c r="AH335" s="175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0.73445653146743728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19.635000000000002</v>
      </c>
      <c r="C336" s="389"/>
      <c r="D336" s="392">
        <f t="shared" si="122"/>
        <v>20.163084096773076</v>
      </c>
      <c r="E336" s="384">
        <f t="shared" si="120"/>
        <v>20.58825565943933</v>
      </c>
      <c r="F336" s="384">
        <f t="shared" si="123"/>
        <v>20.594488151566544</v>
      </c>
      <c r="G336" s="110">
        <f t="shared" si="121"/>
        <v>0.67507619106711436</v>
      </c>
      <c r="H336" s="413" t="b">
        <f>Wh_hp&gt;='2020'!Maxi_hp</f>
        <v>0</v>
      </c>
      <c r="I336" s="379">
        <f>IF(H336,Wh_hp,'2020'!Maxi_hp)</f>
        <v>28.461608184939823</v>
      </c>
      <c r="J336" s="85">
        <f>IF(H336,An,'2020'!An_max)</f>
        <v>2020</v>
      </c>
      <c r="K336" s="196">
        <f t="shared" si="124"/>
        <v>44518</v>
      </c>
      <c r="L336" s="147">
        <f>IF(t&lt;Tvie,1-EXP((T0-t)*PertePVj)+'2020'!Pspv,1-EXP((T0-t)*PertePVj)+Pspv)</f>
        <v>2.6190640987188575E-2</v>
      </c>
      <c r="M336" s="847"/>
      <c r="N336" s="847"/>
      <c r="O336" s="48">
        <f>IF(t&lt;Tnet,'2020'!Resal+('2020'!Salim-'2020'!Resal)*(1-EXP(('2020'!Tnet-t)/('2020'!Tau_j))),Resal+(Salim-Resal)*(1-EXP((Tnet-t)/(Tau_j))))*Salcycl</f>
        <v>2.065116975907191E-2</v>
      </c>
      <c r="P336" s="168">
        <f>(INDEX(Models!$BJ336:$BT336,,T336)*(1-R336)+INDEX(Models!$BJ336:$BT336,,T336+1)*R336-ERP_i)*Q336*Ramure*Pc/MaxiM</f>
        <v>5.6452671247563056E-4</v>
      </c>
      <c r="Q336" s="304">
        <f t="shared" si="125"/>
        <v>0.5</v>
      </c>
      <c r="R336" s="176">
        <f t="shared" si="126"/>
        <v>0.73447335640263534</v>
      </c>
      <c r="S336" s="814">
        <f t="shared" si="127"/>
        <v>0</v>
      </c>
      <c r="T336" s="175">
        <f t="shared" si="128"/>
        <v>6</v>
      </c>
      <c r="U336" s="250">
        <f t="shared" si="129"/>
        <v>0.73447335640263534</v>
      </c>
      <c r="V336" s="382">
        <f t="shared" si="130"/>
        <v>29.077986076401981</v>
      </c>
      <c r="W336" s="401"/>
      <c r="X336" s="157">
        <f t="shared" si="131"/>
        <v>44518</v>
      </c>
      <c r="Y336" s="384">
        <f t="shared" si="132"/>
        <v>18.961928907354643</v>
      </c>
      <c r="Z336" s="384">
        <f t="shared" si="133"/>
        <v>19.471910730635297</v>
      </c>
      <c r="AA336" s="385">
        <f t="shared" si="134"/>
        <v>20.58825565943933</v>
      </c>
      <c r="AB336" s="196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5.4222414335145803E-2</v>
      </c>
      <c r="AD336" s="230">
        <f>(INDEX(Models!$BJ336:$BT336,,AH336)*(1-AF336)+INDEX(Models!$BJ336:$BT336,,AH336+1)*AF336-ERP_i)*AE336*Ramure*Pc/MaxiM</f>
        <v>5.6452671247563056E-4</v>
      </c>
      <c r="AE336" s="304">
        <f t="shared" si="136"/>
        <v>0.5</v>
      </c>
      <c r="AF336" s="176">
        <f t="shared" si="137"/>
        <v>0.73447335640263534</v>
      </c>
      <c r="AG336" s="814">
        <f t="shared" ref="AG336:AG379" si="143">INDEX(Echel_vg,AH336)</f>
        <v>0</v>
      </c>
      <c r="AH336" s="175">
        <f t="shared" si="138"/>
        <v>6</v>
      </c>
      <c r="AI336" s="224">
        <f t="shared" si="139"/>
        <v>0.73447335640263534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44519</v>
      </c>
      <c r="B337" s="616">
        <v>28.365000000000002</v>
      </c>
      <c r="C337" s="389"/>
      <c r="D337" s="392">
        <f t="shared" si="122"/>
        <v>29.128514992971489</v>
      </c>
      <c r="E337" s="384">
        <f t="shared" si="120"/>
        <v>29.744305779956004</v>
      </c>
      <c r="F337" s="384">
        <f t="shared" si="123"/>
        <v>29.760900399703338</v>
      </c>
      <c r="G337" s="110">
        <f t="shared" si="121"/>
        <v>0.98442715928025082</v>
      </c>
      <c r="H337" s="413" t="b">
        <f>Wh_hp&gt;='2020'!Maxi_hp</f>
        <v>1</v>
      </c>
      <c r="I337" s="379">
        <f>IF(H337,Wh_hp,'2020'!Maxi_hp)</f>
        <v>29.760900399703338</v>
      </c>
      <c r="J337" s="85">
        <f>IF(H337,An,'2020'!An_max)</f>
        <v>2021</v>
      </c>
      <c r="K337" s="196">
        <f t="shared" si="124"/>
        <v>44519</v>
      </c>
      <c r="L337" s="147">
        <f>IF(t&lt;Tvie,1-EXP((T0-t)*PertePVj)+'2020'!Pspv,1-EXP((T0-t)*PertePVj)+Pspv)</f>
        <v>2.6211943628287139E-2</v>
      </c>
      <c r="M337" s="847"/>
      <c r="N337" s="847"/>
      <c r="O337" s="48">
        <f>IF(t&lt;Tnet,'2020'!Resal+('2020'!Salim-'2020'!Resal)*(1-EXP(('2020'!Tnet-t)/('2020'!Tau_j))),Resal+(Salim-Resal)*(1-EXP((Tnet-t)/(Tau_j))))*Salcycl</f>
        <v>2.0702812549737892E-2</v>
      </c>
      <c r="P337" s="168">
        <f>(INDEX(Models!$BJ337:$BT337,,T337)*(1-R337)+INDEX(Models!$BJ337:$BT337,,T337+1)*R337-ERP_i)*Q337*Ramure*Pc/MaxiM</f>
        <v>5.7027472157915023E-4</v>
      </c>
      <c r="Q337" s="304">
        <f t="shared" si="125"/>
        <v>0.5</v>
      </c>
      <c r="R337" s="176">
        <f t="shared" si="126"/>
        <v>0.73448950569133764</v>
      </c>
      <c r="S337" s="814">
        <f t="shared" si="127"/>
        <v>0</v>
      </c>
      <c r="T337" s="175">
        <f t="shared" si="128"/>
        <v>6</v>
      </c>
      <c r="U337" s="250">
        <f t="shared" si="129"/>
        <v>0.73448950569133764</v>
      </c>
      <c r="V337" s="382">
        <f t="shared" si="130"/>
        <v>28.81334587118749</v>
      </c>
      <c r="W337" s="401"/>
      <c r="X337" s="157">
        <f t="shared" si="131"/>
        <v>44519</v>
      </c>
      <c r="Y337" s="384">
        <f t="shared" si="132"/>
        <v>27.39419985695681</v>
      </c>
      <c r="Z337" s="384">
        <f t="shared" si="133"/>
        <v>28.131583333468139</v>
      </c>
      <c r="AA337" s="385">
        <f t="shared" si="134"/>
        <v>29.744305779956004</v>
      </c>
      <c r="AB337" s="196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5.4219535611909925E-2</v>
      </c>
      <c r="AD337" s="230">
        <f>(INDEX(Models!$BJ337:$BT337,,AH337)*(1-AF337)+INDEX(Models!$BJ337:$BT337,,AH337+1)*AF337-ERP_i)*AE337*Ramure*Pc/MaxiM</f>
        <v>5.7027472157915023E-4</v>
      </c>
      <c r="AE337" s="304">
        <f t="shared" si="136"/>
        <v>0.5</v>
      </c>
      <c r="AF337" s="176">
        <f t="shared" si="137"/>
        <v>0.73448950569133764</v>
      </c>
      <c r="AG337" s="814">
        <f t="shared" si="143"/>
        <v>0</v>
      </c>
      <c r="AH337" s="175">
        <f t="shared" si="138"/>
        <v>6</v>
      </c>
      <c r="AI337" s="224">
        <f t="shared" si="139"/>
        <v>0.73448950569133764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44520</v>
      </c>
      <c r="B338" s="616">
        <v>21.89</v>
      </c>
      <c r="C338" s="389"/>
      <c r="D338" s="392">
        <f t="shared" si="122"/>
        <v>22.479715913126224</v>
      </c>
      <c r="E338" s="384">
        <f t="shared" si="120"/>
        <v>22.956162873631229</v>
      </c>
      <c r="F338" s="384">
        <f t="shared" si="123"/>
        <v>22.964947351857148</v>
      </c>
      <c r="G338" s="110">
        <f t="shared" si="121"/>
        <v>0.76651335753497873</v>
      </c>
      <c r="H338" s="413" t="b">
        <f>Wh_hp&gt;='2020'!Maxi_hp</f>
        <v>0</v>
      </c>
      <c r="I338" s="379">
        <f>IF(H338,Wh_hp,'2020'!Maxi_hp)</f>
        <v>30.755738511673645</v>
      </c>
      <c r="J338" s="85">
        <f>IF(H338,An,'2020'!An_max)</f>
        <v>2019</v>
      </c>
      <c r="K338" s="196">
        <f t="shared" si="124"/>
        <v>44520</v>
      </c>
      <c r="L338" s="147">
        <f>IF(t&lt;Tvie,1-EXP((T0-t)*PertePVj)+'2020'!Pspv,1-EXP((T0-t)*PertePVj)+Pspv)</f>
        <v>2.6233245802803042E-2</v>
      </c>
      <c r="M338" s="847"/>
      <c r="N338" s="847"/>
      <c r="O338" s="48">
        <f>IF(t&lt;Tnet,'2020'!Resal+('2020'!Salim-'2020'!Resal)*(1-EXP(('2020'!Tnet-t)/('2020'!Tau_j))),Resal+(Salim-Resal)*(1-EXP((Tnet-t)/(Tau_j))))*Salcycl</f>
        <v>2.0754642800181432E-2</v>
      </c>
      <c r="P338" s="168">
        <f>(INDEX(Models!$BJ338:$BT338,,T338)*(1-R338)+INDEX(Models!$BJ338:$BT338,,T338+1)*R338-ERP_i)*Q338*Ramure*Pc/MaxiM</f>
        <v>5.7378333879799499E-4</v>
      </c>
      <c r="Q338" s="304">
        <f t="shared" si="125"/>
        <v>0.5</v>
      </c>
      <c r="R338" s="176">
        <f t="shared" si="126"/>
        <v>0.7345050063973011</v>
      </c>
      <c r="S338" s="814">
        <f t="shared" si="127"/>
        <v>0</v>
      </c>
      <c r="T338" s="175">
        <f t="shared" si="128"/>
        <v>6</v>
      </c>
      <c r="U338" s="250">
        <f t="shared" si="129"/>
        <v>0.7345050063973011</v>
      </c>
      <c r="V338" s="382">
        <f t="shared" si="130"/>
        <v>28.552420330618538</v>
      </c>
      <c r="W338" s="401"/>
      <c r="X338" s="157">
        <f t="shared" si="131"/>
        <v>44520</v>
      </c>
      <c r="Y338" s="384">
        <f t="shared" si="132"/>
        <v>21.141974166671165</v>
      </c>
      <c r="Z338" s="384">
        <f t="shared" si="133"/>
        <v>21.711538287319385</v>
      </c>
      <c r="AA338" s="385">
        <f t="shared" si="134"/>
        <v>22.956162873631229</v>
      </c>
      <c r="AB338" s="196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5.4217448846448642E-2</v>
      </c>
      <c r="AD338" s="230">
        <f>(INDEX(Models!$BJ338:$BT338,,AH338)*(1-AF338)+INDEX(Models!$BJ338:$BT338,,AH338+1)*AF338-ERP_i)*AE338*Ramure*Pc/MaxiM</f>
        <v>5.7378333879799499E-4</v>
      </c>
      <c r="AE338" s="304">
        <f t="shared" si="136"/>
        <v>0.5</v>
      </c>
      <c r="AF338" s="176">
        <f t="shared" si="137"/>
        <v>0.7345050063973011</v>
      </c>
      <c r="AG338" s="814">
        <f t="shared" si="143"/>
        <v>0</v>
      </c>
      <c r="AH338" s="175">
        <f t="shared" si="138"/>
        <v>6</v>
      </c>
      <c r="AI338" s="224">
        <f t="shared" si="139"/>
        <v>0.7345050063973011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44521</v>
      </c>
      <c r="B339" s="616">
        <v>9.8239999999999998</v>
      </c>
      <c r="C339" s="389"/>
      <c r="D339" s="392">
        <f t="shared" si="122"/>
        <v>10.088878951769404</v>
      </c>
      <c r="E339" s="384">
        <f t="shared" si="120"/>
        <v>10.303255431191328</v>
      </c>
      <c r="F339" s="384">
        <f t="shared" si="123"/>
        <v>10.303655239026158</v>
      </c>
      <c r="G339" s="110">
        <f t="shared" si="121"/>
        <v>0.34700409429831319</v>
      </c>
      <c r="H339" s="413" t="b">
        <f>Wh_hp&gt;='2020'!Maxi_hp</f>
        <v>0</v>
      </c>
      <c r="I339" s="379">
        <f>IF(H339,Wh_hp,'2020'!Maxi_hp)</f>
        <v>29.244111126722764</v>
      </c>
      <c r="J339" s="85">
        <f>IF(H339,An,'2020'!An_max)</f>
        <v>2019</v>
      </c>
      <c r="K339" s="196">
        <f t="shared" si="124"/>
        <v>44521</v>
      </c>
      <c r="L339" s="147">
        <f>IF(t&lt;Tvie,1-EXP((T0-t)*PertePVj)+'2020'!Pspv,1-EXP((T0-t)*PertePVj)+Pspv)</f>
        <v>2.625454751074683E-2</v>
      </c>
      <c r="M339" s="847"/>
      <c r="N339" s="847"/>
      <c r="O339" s="48">
        <f>IF(t&lt;Tnet,'2020'!Resal+('2020'!Salim-'2020'!Resal)*(1-EXP(('2020'!Tnet-t)/('2020'!Tau_j))),Resal+(Salim-Resal)*(1-EXP((Tnet-t)/(Tau_j))))*Salcycl</f>
        <v>2.0806674245203782E-2</v>
      </c>
      <c r="P339" s="168">
        <f>(INDEX(Models!$BJ339:$BT339,,T339)*(1-R339)+INDEX(Models!$BJ339:$BT339,,T339+1)*R339-ERP_i)*Q339*Ramure*Pc/MaxiM</f>
        <v>5.7557744645332155E-4</v>
      </c>
      <c r="Q339" s="304">
        <f t="shared" si="125"/>
        <v>0.5</v>
      </c>
      <c r="R339" s="176">
        <f t="shared" si="126"/>
        <v>0.73451988450561212</v>
      </c>
      <c r="S339" s="814">
        <f t="shared" si="127"/>
        <v>0</v>
      </c>
      <c r="T339" s="175">
        <f t="shared" si="128"/>
        <v>6</v>
      </c>
      <c r="U339" s="250">
        <f t="shared" si="129"/>
        <v>0.73451988450561212</v>
      </c>
      <c r="V339" s="382">
        <f t="shared" si="130"/>
        <v>28.295707975426172</v>
      </c>
      <c r="W339" s="401"/>
      <c r="X339" s="157">
        <f t="shared" si="131"/>
        <v>44521</v>
      </c>
      <c r="Y339" s="384">
        <f t="shared" si="132"/>
        <v>9.4888108141493586</v>
      </c>
      <c r="Z339" s="384">
        <f t="shared" si="133"/>
        <v>9.7446522496125159</v>
      </c>
      <c r="AA339" s="385">
        <f t="shared" si="134"/>
        <v>10.303255431191328</v>
      </c>
      <c r="AB339" s="196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5.4216182963661819E-2</v>
      </c>
      <c r="AD339" s="230">
        <f>(INDEX(Models!$BJ339:$BT339,,AH339)*(1-AF339)+INDEX(Models!$BJ339:$BT339,,AH339+1)*AF339-ERP_i)*AE339*Ramure*Pc/MaxiM</f>
        <v>5.7557744645332155E-4</v>
      </c>
      <c r="AE339" s="304">
        <f t="shared" si="136"/>
        <v>0.5</v>
      </c>
      <c r="AF339" s="176">
        <f t="shared" si="137"/>
        <v>0.73451988450561212</v>
      </c>
      <c r="AG339" s="814">
        <f t="shared" si="143"/>
        <v>0</v>
      </c>
      <c r="AH339" s="175">
        <f t="shared" si="138"/>
        <v>6</v>
      </c>
      <c r="AI339" s="224">
        <f t="shared" si="139"/>
        <v>0.73451988450561212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44522</v>
      </c>
      <c r="B340" s="616">
        <v>18.297000000000001</v>
      </c>
      <c r="C340" s="389"/>
      <c r="D340" s="392">
        <f t="shared" si="122"/>
        <v>18.790742713479549</v>
      </c>
      <c r="E340" s="384">
        <f t="shared" si="120"/>
        <v>19.191047221892106</v>
      </c>
      <c r="F340" s="384">
        <f t="shared" si="123"/>
        <v>19.196610943708507</v>
      </c>
      <c r="G340" s="110">
        <f t="shared" si="121"/>
        <v>0.65225893825867032</v>
      </c>
      <c r="H340" s="413" t="b">
        <f>Wh_hp&gt;='2020'!Maxi_hp</f>
        <v>0</v>
      </c>
      <c r="I340" s="379">
        <f>IF(H340,Wh_hp,'2020'!Maxi_hp)</f>
        <v>30.738398160711071</v>
      </c>
      <c r="J340" s="85">
        <f>IF(H340,An,'2020'!An_max)</f>
        <v>2020</v>
      </c>
      <c r="K340" s="196">
        <f t="shared" si="124"/>
        <v>44522</v>
      </c>
      <c r="L340" s="147">
        <f>IF(t&lt;Tvie,1-EXP((T0-t)*PertePVj)+'2020'!Pspv,1-EXP((T0-t)*PertePVj)+Pspv)</f>
        <v>2.6275848752128385E-2</v>
      </c>
      <c r="M340" s="847"/>
      <c r="N340" s="847"/>
      <c r="O340" s="48">
        <f>IF(t&lt;Tnet,'2020'!Resal+('2020'!Salim-'2020'!Resal)*(1-EXP(('2020'!Tnet-t)/('2020'!Tau_j))),Resal+(Salim-Resal)*(1-EXP((Tnet-t)/(Tau_j))))*Salcycl</f>
        <v>2.0858919463024993E-2</v>
      </c>
      <c r="P340" s="168">
        <f>(INDEX(Models!$BJ340:$BT340,,T340)*(1-R340)+INDEX(Models!$BJ340:$BT340,,T340+1)*R340-ERP_i)*Q340*Ramure*Pc/MaxiM</f>
        <v>5.7563468815801332E-4</v>
      </c>
      <c r="Q340" s="304">
        <f t="shared" si="125"/>
        <v>0.5</v>
      </c>
      <c r="R340" s="176">
        <f t="shared" si="126"/>
        <v>0.73453416496525326</v>
      </c>
      <c r="S340" s="814">
        <f t="shared" si="127"/>
        <v>0</v>
      </c>
      <c r="T340" s="175">
        <f t="shared" si="128"/>
        <v>6</v>
      </c>
      <c r="U340" s="250">
        <f t="shared" si="129"/>
        <v>0.73453416496525326</v>
      </c>
      <c r="V340" s="382">
        <f t="shared" si="130"/>
        <v>28.043723147665656</v>
      </c>
      <c r="W340" s="401"/>
      <c r="X340" s="157">
        <f t="shared" si="131"/>
        <v>44522</v>
      </c>
      <c r="Y340" s="384">
        <f t="shared" si="132"/>
        <v>17.673667786012633</v>
      </c>
      <c r="Z340" s="384">
        <f t="shared" si="133"/>
        <v>18.150589942092971</v>
      </c>
      <c r="AA340" s="385">
        <f t="shared" si="134"/>
        <v>19.191047221892106</v>
      </c>
      <c r="AB340" s="196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5.421576361983188E-2</v>
      </c>
      <c r="AD340" s="230">
        <f>(INDEX(Models!$BJ340:$BT340,,AH340)*(1-AF340)+INDEX(Models!$BJ340:$BT340,,AH340+1)*AF340-ERP_i)*AE340*Ramure*Pc/MaxiM</f>
        <v>5.7563468815801332E-4</v>
      </c>
      <c r="AE340" s="304">
        <f t="shared" si="136"/>
        <v>0.5</v>
      </c>
      <c r="AF340" s="176">
        <f t="shared" si="137"/>
        <v>0.73453416496525326</v>
      </c>
      <c r="AG340" s="814">
        <f t="shared" si="143"/>
        <v>0</v>
      </c>
      <c r="AH340" s="175">
        <f t="shared" si="138"/>
        <v>6</v>
      </c>
      <c r="AI340" s="224">
        <f t="shared" si="139"/>
        <v>0.73453416496525326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44523</v>
      </c>
      <c r="B341" s="616">
        <v>11.853</v>
      </c>
      <c r="C341" s="389"/>
      <c r="D341" s="392">
        <f t="shared" si="122"/>
        <v>12.17311831247244</v>
      </c>
      <c r="E341" s="384">
        <f t="shared" si="120"/>
        <v>12.433111963516712</v>
      </c>
      <c r="F341" s="384">
        <f t="shared" si="123"/>
        <v>12.434400736693169</v>
      </c>
      <c r="G341" s="110">
        <f t="shared" si="121"/>
        <v>0.42621267019110237</v>
      </c>
      <c r="H341" s="413" t="b">
        <f>Wh_hp&gt;='2020'!Maxi_hp</f>
        <v>0</v>
      </c>
      <c r="I341" s="379">
        <f>IF(H341,Wh_hp,'2020'!Maxi_hp)</f>
        <v>30.216505837462773</v>
      </c>
      <c r="J341" s="85">
        <f>IF(H341,An,'2020'!An_max)</f>
        <v>2020</v>
      </c>
      <c r="K341" s="196">
        <f t="shared" si="124"/>
        <v>44523</v>
      </c>
      <c r="L341" s="147">
        <f>IF(t&lt;Tvie,1-EXP((T0-t)*PertePVj)+'2020'!Pspv,1-EXP((T0-t)*PertePVj)+Pspv)</f>
        <v>2.6297149526958143E-2</v>
      </c>
      <c r="M341" s="847"/>
      <c r="N341" s="847"/>
      <c r="O341" s="48">
        <f>IF(t&lt;Tnet,'2020'!Resal+('2020'!Salim-'2020'!Resal)*(1-EXP(('2020'!Tnet-t)/('2020'!Tau_j))),Resal+(Salim-Resal)*(1-EXP((Tnet-t)/(Tau_j))))*Salcycl</f>
        <v>2.0911389828000285E-2</v>
      </c>
      <c r="P341" s="168">
        <f>(INDEX(Models!$BJ341:$BT341,,T341)*(1-R341)+INDEX(Models!$BJ341:$BT341,,T341+1)*R341-ERP_i)*Q341*Ramure*Pc/MaxiM</f>
        <v>5.7392766083280982E-4</v>
      </c>
      <c r="Q341" s="304">
        <f t="shared" si="125"/>
        <v>0.5</v>
      </c>
      <c r="R341" s="176">
        <f t="shared" si="126"/>
        <v>0.73454787173002312</v>
      </c>
      <c r="S341" s="814">
        <f t="shared" si="127"/>
        <v>0</v>
      </c>
      <c r="T341" s="175">
        <f t="shared" si="128"/>
        <v>6</v>
      </c>
      <c r="U341" s="250">
        <f t="shared" si="129"/>
        <v>0.73454787173002312</v>
      </c>
      <c r="V341" s="382">
        <f t="shared" si="130"/>
        <v>27.796980239371035</v>
      </c>
      <c r="W341" s="401"/>
      <c r="X341" s="157">
        <f t="shared" si="131"/>
        <v>44523</v>
      </c>
      <c r="Y341" s="384">
        <f t="shared" si="132"/>
        <v>11.449806595025381</v>
      </c>
      <c r="Z341" s="384">
        <f t="shared" si="133"/>
        <v>11.759035715529501</v>
      </c>
      <c r="AA341" s="385">
        <f t="shared" si="134"/>
        <v>12.433111963516712</v>
      </c>
      <c r="AB341" s="196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5.421621312228158E-2</v>
      </c>
      <c r="AD341" s="230">
        <f>(INDEX(Models!$BJ341:$BT341,,AH341)*(1-AF341)+INDEX(Models!$BJ341:$BT341,,AH341+1)*AF341-ERP_i)*AE341*Ramure*Pc/MaxiM</f>
        <v>5.7392766083280982E-4</v>
      </c>
      <c r="AE341" s="304">
        <f t="shared" si="136"/>
        <v>0.5</v>
      </c>
      <c r="AF341" s="176">
        <f t="shared" si="137"/>
        <v>0.73454787173002312</v>
      </c>
      <c r="AG341" s="814">
        <f t="shared" si="143"/>
        <v>0</v>
      </c>
      <c r="AH341" s="175">
        <f t="shared" si="138"/>
        <v>6</v>
      </c>
      <c r="AI341" s="224">
        <f t="shared" si="139"/>
        <v>0.73454787173002312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16">
        <v>0.97399999999999998</v>
      </c>
      <c r="C342" s="389"/>
      <c r="D342" s="392">
        <f t="shared" si="122"/>
        <v>1.0003270574811574</v>
      </c>
      <c r="E342" s="384">
        <f t="shared" si="120"/>
        <v>1.0217470604026857</v>
      </c>
      <c r="F342" s="384">
        <f t="shared" si="123"/>
        <v>1.0217470604026857</v>
      </c>
      <c r="G342" s="110">
        <f t="shared" si="121"/>
        <v>3.5326049854358728E-2</v>
      </c>
      <c r="H342" s="413" t="b">
        <f>Wh_hp&gt;='2020'!Maxi_hp</f>
        <v>0</v>
      </c>
      <c r="I342" s="379">
        <f>IF(H342,Wh_hp,'2020'!Maxi_hp)</f>
        <v>28.331820487180057</v>
      </c>
      <c r="J342" s="85">
        <f>IF(H342,An,'2020'!An_max)</f>
        <v>2020</v>
      </c>
      <c r="K342" s="196">
        <f t="shared" si="124"/>
        <v>44524</v>
      </c>
      <c r="L342" s="147">
        <f>IF(t&lt;Tvie,1-EXP((T0-t)*PertePVj)+'2020'!Pspv,1-EXP((T0-t)*PertePVj)+Pspv)</f>
        <v>2.6318449835246317E-2</v>
      </c>
      <c r="M342" s="847"/>
      <c r="N342" s="847"/>
      <c r="O342" s="48">
        <f>IF(t&lt;Tnet,'2020'!Resal+('2020'!Salim-'2020'!Resal)*(1-EXP(('2020'!Tnet-t)/('2020'!Tau_j))),Resal+(Salim-Resal)*(1-EXP((Tnet-t)/(Tau_j))))*Salcycl</f>
        <v>2.0964095471032059E-2</v>
      </c>
      <c r="P342" s="168">
        <f>(INDEX(Models!$BJ342:$BT342,,T342)*(1-R342)+INDEX(Models!$BJ342:$BT342,,T342+1)*R342-ERP_i)*Q342*Ramure*Pc/MaxiM</f>
        <v>5.7043016261702046E-4</v>
      </c>
      <c r="Q342" s="304">
        <f t="shared" si="125"/>
        <v>0.5</v>
      </c>
      <c r="R342" s="176">
        <f t="shared" si="126"/>
        <v>0.73456102779787191</v>
      </c>
      <c r="S342" s="814">
        <f t="shared" si="127"/>
        <v>0</v>
      </c>
      <c r="T342" s="175">
        <f t="shared" si="128"/>
        <v>6</v>
      </c>
      <c r="U342" s="250">
        <f t="shared" si="129"/>
        <v>0.73456102779787191</v>
      </c>
      <c r="V342" s="382">
        <f t="shared" si="130"/>
        <v>27.55599352418119</v>
      </c>
      <c r="W342" s="401"/>
      <c r="X342" s="157">
        <f t="shared" si="131"/>
        <v>44524</v>
      </c>
      <c r="Y342" s="384">
        <f t="shared" si="132"/>
        <v>0.94091759217242077</v>
      </c>
      <c r="Z342" s="384">
        <f t="shared" si="133"/>
        <v>0.96635043769003426</v>
      </c>
      <c r="AA342" s="385">
        <f t="shared" si="134"/>
        <v>1.0217470604026857</v>
      </c>
      <c r="AB342" s="196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5.4217550369872219E-2</v>
      </c>
      <c r="AD342" s="230">
        <f>(INDEX(Models!$BJ342:$BT342,,AH342)*(1-AF342)+INDEX(Models!$BJ342:$BT342,,AH342+1)*AF342-ERP_i)*AE342*Ramure*Pc/MaxiM</f>
        <v>5.7043016261702046E-4</v>
      </c>
      <c r="AE342" s="304">
        <f t="shared" si="136"/>
        <v>0.5</v>
      </c>
      <c r="AF342" s="176">
        <f t="shared" si="137"/>
        <v>0.73456102779787191</v>
      </c>
      <c r="AG342" s="814">
        <f t="shared" si="143"/>
        <v>0</v>
      </c>
      <c r="AH342" s="175">
        <f t="shared" si="138"/>
        <v>6</v>
      </c>
      <c r="AI342" s="224">
        <f t="shared" si="139"/>
        <v>0.73456102779787191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44525</v>
      </c>
      <c r="B343" s="616">
        <v>14.593999999999999</v>
      </c>
      <c r="C343" s="389"/>
      <c r="D343" s="392">
        <f t="shared" si="122"/>
        <v>14.988801273502396</v>
      </c>
      <c r="E343" s="384">
        <f t="shared" si="120"/>
        <v>15.310584521155985</v>
      </c>
      <c r="F343" s="384">
        <f t="shared" si="123"/>
        <v>15.313479412230318</v>
      </c>
      <c r="G343" s="110">
        <f t="shared" si="121"/>
        <v>0.53396151409853732</v>
      </c>
      <c r="H343" s="413" t="b">
        <f>Wh_hp&gt;='2020'!Maxi_hp</f>
        <v>0</v>
      </c>
      <c r="I343" s="379">
        <f>IF(H343,Wh_hp,'2020'!Maxi_hp)</f>
        <v>25.716385889252038</v>
      </c>
      <c r="J343" s="85">
        <f>IF(H343,An,'2020'!An_max)</f>
        <v>2020</v>
      </c>
      <c r="K343" s="196">
        <f t="shared" si="124"/>
        <v>44525</v>
      </c>
      <c r="L343" s="147">
        <f>IF(t&lt;Tvie,1-EXP((T0-t)*PertePVj)+'2020'!Pspv,1-EXP((T0-t)*PertePVj)+Pspv)</f>
        <v>2.6339749677003012E-2</v>
      </c>
      <c r="M343" s="847"/>
      <c r="N343" s="847"/>
      <c r="O343" s="48">
        <f>IF(t&lt;Tnet,'2020'!Resal+('2020'!Salim-'2020'!Resal)*(1-EXP(('2020'!Tnet-t)/('2020'!Tau_j))),Resal+(Salim-Resal)*(1-EXP((Tnet-t)/(Tau_j))))*Salcycl</f>
        <v>2.1017045247942834E-2</v>
      </c>
      <c r="P343" s="168">
        <f>(INDEX(Models!$BJ343:$BT343,,T343)*(1-R343)+INDEX(Models!$BJ343:$BT343,,T343+1)*R343-ERP_i)*Q343*Ramure*Pc/MaxiM</f>
        <v>5.6511802212634295E-4</v>
      </c>
      <c r="Q343" s="304">
        <f t="shared" si="125"/>
        <v>0.5</v>
      </c>
      <c r="R343" s="176">
        <f t="shared" si="126"/>
        <v>0.73457365524871032</v>
      </c>
      <c r="S343" s="814">
        <f t="shared" si="127"/>
        <v>0</v>
      </c>
      <c r="T343" s="175">
        <f t="shared" si="128"/>
        <v>6</v>
      </c>
      <c r="U343" s="250">
        <f t="shared" si="129"/>
        <v>0.73457365524871032</v>
      </c>
      <c r="V343" s="382">
        <f t="shared" si="130"/>
        <v>27.321277140550055</v>
      </c>
      <c r="W343" s="401"/>
      <c r="X343" s="157">
        <f t="shared" si="131"/>
        <v>44525</v>
      </c>
      <c r="Y343" s="384">
        <f t="shared" si="132"/>
        <v>14.099036460084882</v>
      </c>
      <c r="Z343" s="384">
        <f t="shared" si="133"/>
        <v>14.480447831168769</v>
      </c>
      <c r="AA343" s="385">
        <f t="shared" si="134"/>
        <v>15.310584521155985</v>
      </c>
      <c r="AB343" s="196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5.4219790814657803E-2</v>
      </c>
      <c r="AD343" s="230">
        <f>(INDEX(Models!$BJ343:$BT343,,AH343)*(1-AF343)+INDEX(Models!$BJ343:$BT343,,AH343+1)*AF343-ERP_i)*AE343*Ramure*Pc/MaxiM</f>
        <v>5.6511802212634295E-4</v>
      </c>
      <c r="AE343" s="304">
        <f t="shared" si="136"/>
        <v>0.5</v>
      </c>
      <c r="AF343" s="176">
        <f t="shared" si="137"/>
        <v>0.73457365524871032</v>
      </c>
      <c r="AG343" s="814">
        <f t="shared" si="143"/>
        <v>0</v>
      </c>
      <c r="AH343" s="175">
        <f t="shared" si="138"/>
        <v>6</v>
      </c>
      <c r="AI343" s="224">
        <f t="shared" si="139"/>
        <v>0.73457365524871032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16">
        <v>7.524</v>
      </c>
      <c r="C344" s="389"/>
      <c r="D344" s="392">
        <f t="shared" si="122"/>
        <v>7.7277105570560565</v>
      </c>
      <c r="E344" s="384">
        <f t="shared" si="120"/>
        <v>7.8940399258803939</v>
      </c>
      <c r="F344" s="384">
        <f t="shared" si="123"/>
        <v>7.8940399258803939</v>
      </c>
      <c r="G344" s="110">
        <f t="shared" si="121"/>
        <v>0.27755162053578775</v>
      </c>
      <c r="H344" s="413" t="b">
        <f>Wh_hp&gt;='2020'!Maxi_hp</f>
        <v>0</v>
      </c>
      <c r="I344" s="379">
        <f>IF(H344,Wh_hp,'2020'!Maxi_hp)</f>
        <v>27.213789763808492</v>
      </c>
      <c r="J344" s="85">
        <f>IF(H344,An,'2020'!An_max)</f>
        <v>2020</v>
      </c>
      <c r="K344" s="196">
        <f t="shared" si="124"/>
        <v>44526</v>
      </c>
      <c r="L344" s="147">
        <f>IF(t&lt;Tvie,1-EXP((T0-t)*PertePVj)+'2020'!Pspv,1-EXP((T0-t)*PertePVj)+Pspv)</f>
        <v>2.6361049052238551E-2</v>
      </c>
      <c r="M344" s="847"/>
      <c r="N344" s="847"/>
      <c r="O344" s="48">
        <f>IF(t&lt;Tnet,'2020'!Resal+('2020'!Salim-'2020'!Resal)*(1-EXP(('2020'!Tnet-t)/('2020'!Tau_j))),Resal+(Salim-Resal)*(1-EXP((Tnet-t)/(Tau_j))))*Salcycl</f>
        <v>2.1070246716010526E-2</v>
      </c>
      <c r="P344" s="168">
        <f>(INDEX(Models!$BJ344:$BT344,,T344)*(1-R344)+INDEX(Models!$BJ344:$BT344,,T344+1)*R344-ERP_i)*Q344*Ramure*Pc/MaxiM</f>
        <v>5.5796641769371459E-4</v>
      </c>
      <c r="Q344" s="304">
        <f t="shared" si="125"/>
        <v>0.5</v>
      </c>
      <c r="R344" s="176">
        <f t="shared" si="126"/>
        <v>0.73458577528074931</v>
      </c>
      <c r="S344" s="814">
        <f t="shared" si="127"/>
        <v>0</v>
      </c>
      <c r="T344" s="175">
        <f t="shared" si="128"/>
        <v>6</v>
      </c>
      <c r="U344" s="250">
        <f t="shared" si="129"/>
        <v>0.73458577528074931</v>
      </c>
      <c r="V344" s="382">
        <f t="shared" si="130"/>
        <v>27.093345180824347</v>
      </c>
      <c r="W344" s="401"/>
      <c r="X344" s="157">
        <f t="shared" si="131"/>
        <v>44526</v>
      </c>
      <c r="Y344" s="384">
        <f t="shared" si="132"/>
        <v>7.269190181498776</v>
      </c>
      <c r="Z344" s="384">
        <f t="shared" si="133"/>
        <v>7.4660018217459232</v>
      </c>
      <c r="AA344" s="385">
        <f t="shared" si="134"/>
        <v>7.8940399258803939</v>
      </c>
      <c r="AB344" s="196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5.4222946444843677E-2</v>
      </c>
      <c r="AD344" s="230">
        <f>(INDEX(Models!$BJ344:$BT344,,AH344)*(1-AF344)+INDEX(Models!$BJ344:$BT344,,AH344+1)*AF344-ERP_i)*AE344*Ramure*Pc/MaxiM</f>
        <v>5.5796641769371459E-4</v>
      </c>
      <c r="AE344" s="304">
        <f t="shared" si="136"/>
        <v>0.5</v>
      </c>
      <c r="AF344" s="176">
        <f t="shared" si="137"/>
        <v>0.73458577528074931</v>
      </c>
      <c r="AG344" s="814">
        <f t="shared" si="143"/>
        <v>0</v>
      </c>
      <c r="AH344" s="175">
        <f t="shared" si="138"/>
        <v>6</v>
      </c>
      <c r="AI344" s="224">
        <f t="shared" si="139"/>
        <v>0.73458577528074931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44527</v>
      </c>
      <c r="B345" s="616">
        <v>12.58</v>
      </c>
      <c r="C345" s="389"/>
      <c r="D345" s="392">
        <f t="shared" si="122"/>
        <v>12.920883237535641</v>
      </c>
      <c r="E345" s="384">
        <f t="shared" si="120"/>
        <v>13.199710033128854</v>
      </c>
      <c r="F345" s="384">
        <f t="shared" si="123"/>
        <v>13.201451703785889</v>
      </c>
      <c r="G345" s="110">
        <f t="shared" si="121"/>
        <v>0.46801072896515628</v>
      </c>
      <c r="H345" s="413" t="b">
        <f>Wh_hp&gt;='2020'!Maxi_hp</f>
        <v>0</v>
      </c>
      <c r="I345" s="379">
        <f>IF(H345,Wh_hp,'2020'!Maxi_hp)</f>
        <v>25.74929122512259</v>
      </c>
      <c r="J345" s="85">
        <f>IF(H345,An,'2020'!An_max)</f>
        <v>2018</v>
      </c>
      <c r="K345" s="196">
        <f t="shared" si="124"/>
        <v>44527</v>
      </c>
      <c r="L345" s="147">
        <f>IF(t&lt;Tvie,1-EXP((T0-t)*PertePVj)+'2020'!Pspv,1-EXP((T0-t)*PertePVj)+Pspv)</f>
        <v>2.6382347960963039E-2</v>
      </c>
      <c r="M345" s="847"/>
      <c r="N345" s="847"/>
      <c r="O345" s="48">
        <f>IF(t&lt;Tnet,'2020'!Resal+('2020'!Salim-'2020'!Resal)*(1-EXP(('2020'!Tnet-t)/('2020'!Tau_j))),Resal+(Salim-Resal)*(1-EXP((Tnet-t)/(Tau_j))))*Salcycl</f>
        <v>2.1123706118801735E-2</v>
      </c>
      <c r="P345" s="168">
        <f>(INDEX(Models!$BJ345:$BT345,,T345)*(1-R345)+INDEX(Models!$BJ345:$BT345,,T345+1)*R345-ERP_i)*Q345*Ramure*Pc/MaxiM</f>
        <v>5.4903594894365739E-4</v>
      </c>
      <c r="Q345" s="304">
        <f t="shared" si="125"/>
        <v>0.5</v>
      </c>
      <c r="R345" s="176">
        <f t="shared" si="126"/>
        <v>0.73459740824542563</v>
      </c>
      <c r="S345" s="814">
        <f t="shared" si="127"/>
        <v>0</v>
      </c>
      <c r="T345" s="175">
        <f t="shared" si="128"/>
        <v>6</v>
      </c>
      <c r="U345" s="250">
        <f t="shared" si="129"/>
        <v>0.73459740824542563</v>
      </c>
      <c r="V345" s="382">
        <f t="shared" si="130"/>
        <v>26.868512492435574</v>
      </c>
      <c r="W345" s="401"/>
      <c r="X345" s="157">
        <f t="shared" si="131"/>
        <v>44527</v>
      </c>
      <c r="Y345" s="384">
        <f t="shared" si="132"/>
        <v>12.154573657514684</v>
      </c>
      <c r="Z345" s="384">
        <f t="shared" si="133"/>
        <v>12.483929016754669</v>
      </c>
      <c r="AA345" s="385">
        <f t="shared" si="134"/>
        <v>13.199710033128854</v>
      </c>
      <c r="AB345" s="196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5.4227025789029167E-2</v>
      </c>
      <c r="AD345" s="230">
        <f>(INDEX(Models!$BJ345:$BT345,,AH345)*(1-AF345)+INDEX(Models!$BJ345:$BT345,,AH345+1)*AF345-ERP_i)*AE345*Ramure*Pc/MaxiM</f>
        <v>5.4903594894365739E-4</v>
      </c>
      <c r="AE345" s="304">
        <f t="shared" si="136"/>
        <v>0.5</v>
      </c>
      <c r="AF345" s="176">
        <f t="shared" si="137"/>
        <v>0.73459740824542563</v>
      </c>
      <c r="AG345" s="814">
        <f t="shared" si="143"/>
        <v>0</v>
      </c>
      <c r="AH345" s="175">
        <f t="shared" si="138"/>
        <v>6</v>
      </c>
      <c r="AI345" s="224">
        <f t="shared" si="139"/>
        <v>0.73459740824542563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44528</v>
      </c>
      <c r="B346" s="616">
        <v>5.8929999999999998</v>
      </c>
      <c r="C346" s="389"/>
      <c r="D346" s="392">
        <f t="shared" si="122"/>
        <v>6.0528164246190421</v>
      </c>
      <c r="E346" s="384">
        <f t="shared" si="120"/>
        <v>6.1837728308588602</v>
      </c>
      <c r="F346" s="384">
        <f t="shared" si="123"/>
        <v>6.1837728308588602</v>
      </c>
      <c r="G346" s="110">
        <f t="shared" si="121"/>
        <v>0.22105936291488593</v>
      </c>
      <c r="H346" s="413" t="b">
        <f>Wh_hp&gt;='2020'!Maxi_hp</f>
        <v>0</v>
      </c>
      <c r="I346" s="379">
        <f>IF(H346,Wh_hp,'2020'!Maxi_hp)</f>
        <v>19.489438693359329</v>
      </c>
      <c r="J346" s="85">
        <f>IF(H346,An,'2020'!An_max)</f>
        <v>2018</v>
      </c>
      <c r="K346" s="196">
        <f t="shared" si="124"/>
        <v>44528</v>
      </c>
      <c r="L346" s="147">
        <f>IF(t&lt;Tvie,1-EXP((T0-t)*PertePVj)+'2020'!Pspv,1-EXP((T0-t)*PertePVj)+Pspv)</f>
        <v>2.6403646403186799E-2</v>
      </c>
      <c r="M346" s="847"/>
      <c r="N346" s="847"/>
      <c r="O346" s="48">
        <f>IF(t&lt;Tnet,'2020'!Resal+('2020'!Salim-'2020'!Resal)*(1-EXP(('2020'!Tnet-t)/('2020'!Tau_j))),Resal+(Salim-Resal)*(1-EXP((Tnet-t)/(Tau_j))))*Salcycl</f>
        <v>2.1177428379371713E-2</v>
      </c>
      <c r="P346" s="168">
        <f>(INDEX(Models!$BJ346:$BT346,,T346)*(1-R346)+INDEX(Models!$BJ346:$BT346,,T346+1)*R346-ERP_i)*Q346*Ramure*Pc/MaxiM</f>
        <v>5.3887853154806415E-4</v>
      </c>
      <c r="Q346" s="304">
        <f t="shared" si="125"/>
        <v>0.5</v>
      </c>
      <c r="R346" s="176">
        <f t="shared" si="126"/>
        <v>0.73460857368096644</v>
      </c>
      <c r="S346" s="814">
        <f t="shared" si="127"/>
        <v>0</v>
      </c>
      <c r="T346" s="175">
        <f t="shared" si="128"/>
        <v>6</v>
      </c>
      <c r="U346" s="250">
        <f t="shared" si="129"/>
        <v>0.73460857368096644</v>
      </c>
      <c r="V346" s="382">
        <f t="shared" si="130"/>
        <v>26.643632330928835</v>
      </c>
      <c r="W346" s="401"/>
      <c r="X346" s="157">
        <f t="shared" si="131"/>
        <v>44528</v>
      </c>
      <c r="Y346" s="384">
        <f t="shared" si="132"/>
        <v>5.6939947908583868</v>
      </c>
      <c r="Z346" s="384">
        <f t="shared" si="133"/>
        <v>5.8484142528089116</v>
      </c>
      <c r="AA346" s="385">
        <f t="shared" si="134"/>
        <v>6.1837728308588602</v>
      </c>
      <c r="AB346" s="196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5.4232033941546215E-2</v>
      </c>
      <c r="AD346" s="230">
        <f>(INDEX(Models!$BJ346:$BT346,,AH346)*(1-AF346)+INDEX(Models!$BJ346:$BT346,,AH346+1)*AF346-ERP_i)*AE346*Ramure*Pc/MaxiM</f>
        <v>5.3887853154806415E-4</v>
      </c>
      <c r="AE346" s="304">
        <f t="shared" si="136"/>
        <v>0.5</v>
      </c>
      <c r="AF346" s="176">
        <f t="shared" si="137"/>
        <v>0.73460857368096644</v>
      </c>
      <c r="AG346" s="814">
        <f t="shared" si="143"/>
        <v>0</v>
      </c>
      <c r="AH346" s="175">
        <f t="shared" si="138"/>
        <v>6</v>
      </c>
      <c r="AI346" s="224">
        <f t="shared" si="139"/>
        <v>0.73460857368096644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44529</v>
      </c>
      <c r="B347" s="616">
        <v>6.8129999999999997</v>
      </c>
      <c r="C347" s="389"/>
      <c r="D347" s="392">
        <f t="shared" si="122"/>
        <v>6.9979196371806509</v>
      </c>
      <c r="E347" s="384">
        <f t="shared" si="120"/>
        <v>7.1497182883205843</v>
      </c>
      <c r="F347" s="384">
        <f t="shared" si="123"/>
        <v>7.1497182883205843</v>
      </c>
      <c r="G347" s="110">
        <f t="shared" si="121"/>
        <v>0.25773635411266593</v>
      </c>
      <c r="H347" s="413" t="b">
        <f>Wh_hp&gt;='2020'!Maxi_hp</f>
        <v>0</v>
      </c>
      <c r="I347" s="379">
        <f>IF(H347,Wh_hp,'2020'!Maxi_hp)</f>
        <v>27.334557288633277</v>
      </c>
      <c r="J347" s="85">
        <f>IF(H347,An,'2020'!An_max)</f>
        <v>2018</v>
      </c>
      <c r="K347" s="196">
        <f t="shared" si="124"/>
        <v>44529</v>
      </c>
      <c r="L347" s="147">
        <f>IF(t&lt;Tvie,1-EXP((T0-t)*PertePVj)+'2020'!Pspv,1-EXP((T0-t)*PertePVj)+Pspv)</f>
        <v>2.6424944378920047E-2</v>
      </c>
      <c r="M347" s="847"/>
      <c r="N347" s="847"/>
      <c r="O347" s="48">
        <f>IF(t&lt;Tnet,'2020'!Resal+('2020'!Salim-'2020'!Resal)*(1-EXP(('2020'!Tnet-t)/('2020'!Tau_j))),Resal+(Salim-Resal)*(1-EXP((Tnet-t)/(Tau_j))))*Salcycl</f>
        <v>2.123141710183241E-2</v>
      </c>
      <c r="P347" s="168">
        <f>(INDEX(Models!$BJ347:$BT347,,T347)*(1-R347)+INDEX(Models!$BJ347:$BT347,,T347+1)*R347-ERP_i)*Q347*Ramure*Pc/MaxiM</f>
        <v>5.2905732261578379E-4</v>
      </c>
      <c r="Q347" s="304">
        <f t="shared" si="125"/>
        <v>0.5</v>
      </c>
      <c r="R347" s="176">
        <f t="shared" si="126"/>
        <v>0.73461929034464402</v>
      </c>
      <c r="S347" s="814">
        <f t="shared" si="127"/>
        <v>0</v>
      </c>
      <c r="T347" s="175">
        <f t="shared" si="128"/>
        <v>6</v>
      </c>
      <c r="U347" s="250">
        <f t="shared" si="129"/>
        <v>0.73461929034464402</v>
      </c>
      <c r="V347" s="382">
        <f t="shared" si="130"/>
        <v>26.420004100331084</v>
      </c>
      <c r="W347" s="401"/>
      <c r="X347" s="157">
        <f t="shared" si="131"/>
        <v>44529</v>
      </c>
      <c r="Y347" s="384">
        <f t="shared" si="132"/>
        <v>6.5832483849641559</v>
      </c>
      <c r="Z347" s="384">
        <f t="shared" si="133"/>
        <v>6.7619320636398754</v>
      </c>
      <c r="AA347" s="385">
        <f t="shared" si="134"/>
        <v>7.1497182883205843</v>
      </c>
      <c r="AB347" s="196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5.4237972608539929E-2</v>
      </c>
      <c r="AD347" s="230">
        <f>(INDEX(Models!$BJ347:$BT347,,AH347)*(1-AF347)+INDEX(Models!$BJ347:$BT347,,AH347+1)*AF347-ERP_i)*AE347*Ramure*Pc/MaxiM</f>
        <v>5.2905732261578379E-4</v>
      </c>
      <c r="AE347" s="304">
        <f t="shared" si="136"/>
        <v>0.5</v>
      </c>
      <c r="AF347" s="176">
        <f t="shared" si="137"/>
        <v>0.73461929034464402</v>
      </c>
      <c r="AG347" s="814">
        <f t="shared" si="143"/>
        <v>0</v>
      </c>
      <c r="AH347" s="175">
        <f t="shared" si="138"/>
        <v>6</v>
      </c>
      <c r="AI347" s="224">
        <f t="shared" si="139"/>
        <v>0.73461929034464402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44530</v>
      </c>
      <c r="B348" s="616">
        <v>22.774000000000001</v>
      </c>
      <c r="C348" s="389"/>
      <c r="D348" s="392">
        <f t="shared" si="122"/>
        <v>23.39264761729169</v>
      </c>
      <c r="E348" s="384">
        <f t="shared" si="120"/>
        <v>23.901405149334369</v>
      </c>
      <c r="F348" s="384">
        <f t="shared" si="123"/>
        <v>23.911508162314874</v>
      </c>
      <c r="G348" s="110">
        <f t="shared" si="121"/>
        <v>0.86918643645359706</v>
      </c>
      <c r="H348" s="413" t="b">
        <f>Wh_hp&gt;='2020'!Maxi_hp</f>
        <v>0</v>
      </c>
      <c r="I348" s="379">
        <f>IF(H348,Wh_hp,'2020'!Maxi_hp)</f>
        <v>26.225428056883853</v>
      </c>
      <c r="J348" s="85">
        <f>IF(H348,An,'2020'!An_max)</f>
        <v>2020</v>
      </c>
      <c r="K348" s="196">
        <f t="shared" si="124"/>
        <v>44530</v>
      </c>
      <c r="L348" s="147">
        <f>IF(t&lt;Tvie,1-EXP((T0-t)*PertePVj)+'2020'!Pspv,1-EXP((T0-t)*PertePVj)+Pspv)</f>
        <v>2.6446241888172996E-2</v>
      </c>
      <c r="M348" s="847"/>
      <c r="N348" s="847"/>
      <c r="O348" s="48">
        <f>IF(t&lt;Tnet,'2020'!Resal+('2020'!Salim-'2020'!Resal)*(1-EXP(('2020'!Tnet-t)/('2020'!Tau_j))),Resal+(Salim-Resal)*(1-EXP((Tnet-t)/(Tau_j))))*Salcycl</f>
        <v>2.1285674581222186E-2</v>
      </c>
      <c r="P348" s="168">
        <f>(INDEX(Models!$BJ348:$BT348,,T348)*(1-R348)+INDEX(Models!$BJ348:$BT348,,T348+1)*R348-ERP_i)*Q348*Ramure*Pc/MaxiM</f>
        <v>5.1954487129757059E-4</v>
      </c>
      <c r="Q348" s="304">
        <f t="shared" si="125"/>
        <v>0.5</v>
      </c>
      <c r="R348" s="176">
        <f t="shared" si="126"/>
        <v>0.73462957624376946</v>
      </c>
      <c r="S348" s="814">
        <f t="shared" si="127"/>
        <v>0</v>
      </c>
      <c r="T348" s="175">
        <f t="shared" si="128"/>
        <v>6</v>
      </c>
      <c r="U348" s="250">
        <f t="shared" si="129"/>
        <v>0.73462957624376946</v>
      </c>
      <c r="V348" s="382">
        <f t="shared" si="130"/>
        <v>26.198969970920917</v>
      </c>
      <c r="W348" s="401"/>
      <c r="X348" s="157">
        <f t="shared" si="131"/>
        <v>44530</v>
      </c>
      <c r="Y348" s="384">
        <f t="shared" si="132"/>
        <v>22.007063195539715</v>
      </c>
      <c r="Z348" s="384">
        <f t="shared" si="133"/>
        <v>22.604877247068139</v>
      </c>
      <c r="AA348" s="385">
        <f t="shared" si="134"/>
        <v>23.901405149334369</v>
      </c>
      <c r="AB348" s="196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5.4244840174274778E-2</v>
      </c>
      <c r="AD348" s="230">
        <f>(INDEX(Models!$BJ348:$BT348,,AH348)*(1-AF348)+INDEX(Models!$BJ348:$BT348,,AH348+1)*AF348-ERP_i)*AE348*Ramure*Pc/MaxiM</f>
        <v>5.1954487129757059E-4</v>
      </c>
      <c r="AE348" s="304">
        <f t="shared" si="136"/>
        <v>0.5</v>
      </c>
      <c r="AF348" s="176">
        <f t="shared" si="137"/>
        <v>0.73462957624376946</v>
      </c>
      <c r="AG348" s="814">
        <f t="shared" si="143"/>
        <v>0</v>
      </c>
      <c r="AH348" s="175">
        <f t="shared" si="138"/>
        <v>6</v>
      </c>
      <c r="AI348" s="224">
        <f t="shared" si="139"/>
        <v>0.73462957624376946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44531</v>
      </c>
      <c r="B349" s="616">
        <v>4.3650000000000002</v>
      </c>
      <c r="C349" s="389"/>
      <c r="D349" s="392">
        <f t="shared" si="122"/>
        <v>4.4836717567760989</v>
      </c>
      <c r="E349" s="384">
        <f t="shared" si="120"/>
        <v>4.5814406243327808</v>
      </c>
      <c r="F349" s="384">
        <f t="shared" si="123"/>
        <v>4.5814406243327808</v>
      </c>
      <c r="G349" s="110">
        <f t="shared" si="121"/>
        <v>0.16791601935758266</v>
      </c>
      <c r="H349" s="413" t="b">
        <f>Wh_hp&gt;='2020'!Maxi_hp</f>
        <v>0</v>
      </c>
      <c r="I349" s="379">
        <f>IF(H349,Wh_hp,'2020'!Maxi_hp)</f>
        <v>26.861538170544915</v>
      </c>
      <c r="J349" s="85">
        <f>IF(H349,An,'2020'!An_max)</f>
        <v>2020</v>
      </c>
      <c r="K349" s="196">
        <f t="shared" si="124"/>
        <v>44531</v>
      </c>
      <c r="L349" s="147">
        <f>IF(t&lt;Tvie,1-EXP((T0-t)*PertePVj)+'2020'!Pspv,1-EXP((T0-t)*PertePVj)+Pspv)</f>
        <v>2.6467538930955749E-2</v>
      </c>
      <c r="M349" s="847"/>
      <c r="N349" s="847"/>
      <c r="O349" s="48">
        <f>IF(t&lt;Tnet,'2020'!Resal+('2020'!Salim-'2020'!Resal)*(1-EXP(('2020'!Tnet-t)/('2020'!Tau_j))),Resal+(Salim-Resal)*(1-EXP((Tnet-t)/(Tau_j))))*Salcycl</f>
        <v>2.1340201821543957E-2</v>
      </c>
      <c r="P349" s="168">
        <f>(INDEX(Models!$BJ349:$BT349,,T349)*(1-R349)+INDEX(Models!$BJ349:$BT349,,T349+1)*R349-ERP_i)*Q349*Ramure*Pc/MaxiM</f>
        <v>5.1031449538599958E-4</v>
      </c>
      <c r="Q349" s="304">
        <f t="shared" si="125"/>
        <v>0.5</v>
      </c>
      <c r="R349" s="176">
        <f t="shared" si="126"/>
        <v>0.73463944866547481</v>
      </c>
      <c r="S349" s="814">
        <f t="shared" si="127"/>
        <v>0</v>
      </c>
      <c r="T349" s="175">
        <f t="shared" si="128"/>
        <v>6</v>
      </c>
      <c r="U349" s="250">
        <f t="shared" si="129"/>
        <v>0.73463944866547481</v>
      </c>
      <c r="V349" s="382">
        <f t="shared" si="130"/>
        <v>25.981871735161693</v>
      </c>
      <c r="W349" s="401"/>
      <c r="X349" s="157">
        <f t="shared" si="131"/>
        <v>44531</v>
      </c>
      <c r="Y349" s="384">
        <f t="shared" si="132"/>
        <v>4.218204599732637</v>
      </c>
      <c r="Z349" s="384">
        <f t="shared" si="133"/>
        <v>4.3328854130868848</v>
      </c>
      <c r="AA349" s="385">
        <f t="shared" si="134"/>
        <v>4.5814406243327808</v>
      </c>
      <c r="AB349" s="196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5.4252631786992744E-2</v>
      </c>
      <c r="AD349" s="230">
        <f>(INDEX(Models!$BJ349:$BT349,,AH349)*(1-AF349)+INDEX(Models!$BJ349:$BT349,,AH349+1)*AF349-ERP_i)*AE349*Ramure*Pc/MaxiM</f>
        <v>5.1031449538599958E-4</v>
      </c>
      <c r="AE349" s="304">
        <f t="shared" si="136"/>
        <v>0.5</v>
      </c>
      <c r="AF349" s="176">
        <f t="shared" si="137"/>
        <v>0.73463944866547481</v>
      </c>
      <c r="AG349" s="814">
        <f t="shared" si="143"/>
        <v>0</v>
      </c>
      <c r="AH349" s="175">
        <f t="shared" si="138"/>
        <v>6</v>
      </c>
      <c r="AI349" s="224">
        <f t="shared" si="139"/>
        <v>0.73463944866547481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44532</v>
      </c>
      <c r="B350" s="616">
        <v>9.1129999999999995</v>
      </c>
      <c r="C350" s="389"/>
      <c r="D350" s="392">
        <f t="shared" si="122"/>
        <v>9.3609609549250674</v>
      </c>
      <c r="E350" s="384">
        <f t="shared" si="120"/>
        <v>9.5656173238104625</v>
      </c>
      <c r="F350" s="384">
        <f t="shared" si="123"/>
        <v>9.5659847348518507</v>
      </c>
      <c r="G350" s="110">
        <f t="shared" si="121"/>
        <v>0.35346384092261468</v>
      </c>
      <c r="H350" s="413" t="b">
        <f>Wh_hp&gt;='2020'!Maxi_hp</f>
        <v>1</v>
      </c>
      <c r="I350" s="379">
        <f>IF(H350,Wh_hp,'2020'!Maxi_hp)</f>
        <v>9.5659847348518507</v>
      </c>
      <c r="J350" s="85">
        <f>IF(H350,An,'2020'!An_max)</f>
        <v>2021</v>
      </c>
      <c r="K350" s="196">
        <f t="shared" si="124"/>
        <v>44532</v>
      </c>
      <c r="L350" s="147">
        <f>IF(t&lt;Tvie,1-EXP((T0-t)*PertePVj)+'2020'!Pspv,1-EXP((T0-t)*PertePVj)+Pspv)</f>
        <v>2.6488835507278631E-2</v>
      </c>
      <c r="M350" s="847"/>
      <c r="N350" s="847"/>
      <c r="O350" s="48">
        <f>IF(t&lt;Tnet,'2020'!Resal+('2020'!Salim-'2020'!Resal)*(1-EXP(('2020'!Tnet-t)/('2020'!Tau_j))),Resal+(Salim-Resal)*(1-EXP((Tnet-t)/(Tau_j))))*Salcycl</f>
        <v>2.1394998561772894E-2</v>
      </c>
      <c r="P350" s="168">
        <f>(INDEX(Models!$BJ350:$BT350,,T350)*(1-R350)+INDEX(Models!$BJ350:$BT350,,T350+1)*R350-ERP_i)*Q350*Ramure*Pc/MaxiM</f>
        <v>5.0134025894611528E-4</v>
      </c>
      <c r="Q350" s="304">
        <f t="shared" si="125"/>
        <v>0.5</v>
      </c>
      <c r="R350" s="176">
        <f t="shared" si="126"/>
        <v>0.7346489242053279</v>
      </c>
      <c r="S350" s="814">
        <f t="shared" si="127"/>
        <v>0</v>
      </c>
      <c r="T350" s="175">
        <f t="shared" si="128"/>
        <v>6</v>
      </c>
      <c r="U350" s="250">
        <f t="shared" si="129"/>
        <v>0.7346489242053279</v>
      </c>
      <c r="V350" s="382">
        <f t="shared" si="130"/>
        <v>25.770050801169802</v>
      </c>
      <c r="W350" s="401"/>
      <c r="X350" s="157">
        <f t="shared" si="131"/>
        <v>44532</v>
      </c>
      <c r="Y350" s="384">
        <f t="shared" si="132"/>
        <v>8.8069409013879465</v>
      </c>
      <c r="Z350" s="384">
        <f t="shared" si="133"/>
        <v>9.0465741150252548</v>
      </c>
      <c r="AA350" s="385">
        <f t="shared" si="134"/>
        <v>9.5656173238104625</v>
      </c>
      <c r="AB350" s="196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5.426133946349905E-2</v>
      </c>
      <c r="AD350" s="230">
        <f>(INDEX(Models!$BJ350:$BT350,,AH350)*(1-AF350)+INDEX(Models!$BJ350:$BT350,,AH350+1)*AF350-ERP_i)*AE350*Ramure*Pc/MaxiM</f>
        <v>5.0134025894611528E-4</v>
      </c>
      <c r="AE350" s="304">
        <f t="shared" si="136"/>
        <v>0.5</v>
      </c>
      <c r="AF350" s="176">
        <f t="shared" si="137"/>
        <v>0.7346489242053279</v>
      </c>
      <c r="AG350" s="814">
        <f t="shared" si="143"/>
        <v>0</v>
      </c>
      <c r="AH350" s="175">
        <f t="shared" si="138"/>
        <v>6</v>
      </c>
      <c r="AI350" s="224">
        <f t="shared" si="139"/>
        <v>0.7346489242053279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44533</v>
      </c>
      <c r="B351" s="616">
        <v>16.03</v>
      </c>
      <c r="C351" s="389"/>
      <c r="D351" s="392">
        <f t="shared" si="122"/>
        <v>16.466529874243971</v>
      </c>
      <c r="E351" s="384">
        <f t="shared" si="120"/>
        <v>16.82748039403662</v>
      </c>
      <c r="F351" s="384">
        <f t="shared" si="123"/>
        <v>16.831353899278419</v>
      </c>
      <c r="G351" s="110">
        <f t="shared" si="121"/>
        <v>0.62686825577855865</v>
      </c>
      <c r="H351" s="413" t="b">
        <f>Wh_hp&gt;='2020'!Maxi_hp</f>
        <v>1</v>
      </c>
      <c r="I351" s="379">
        <f>IF(H351,Wh_hp,'2020'!Maxi_hp)</f>
        <v>16.831353899278419</v>
      </c>
      <c r="J351" s="85">
        <f>IF(H351,An,'2020'!An_max)</f>
        <v>2021</v>
      </c>
      <c r="K351" s="196">
        <f t="shared" si="124"/>
        <v>44533</v>
      </c>
      <c r="L351" s="147">
        <f>IF(t&lt;Tvie,1-EXP((T0-t)*PertePVj)+'2020'!Pspv,1-EXP((T0-t)*PertePVj)+Pspv)</f>
        <v>2.6510131617151857E-2</v>
      </c>
      <c r="M351" s="847"/>
      <c r="N351" s="847"/>
      <c r="O351" s="48">
        <f>IF(t&lt;Tnet,'2020'!Resal+('2020'!Salim-'2020'!Resal)*(1-EXP(('2020'!Tnet-t)/('2020'!Tau_j))),Resal+(Salim-Resal)*(1-EXP((Tnet-t)/(Tau_j))))*Salcycl</f>
        <v>2.1450063309571013E-2</v>
      </c>
      <c r="P351" s="168">
        <f>(INDEX(Models!$BJ351:$BT351,,T351)*(1-R351)+INDEX(Models!$BJ351:$BT351,,T351+1)*R351-ERP_i)*Q351*Ramure*Pc/MaxiM</f>
        <v>4.9259697114107986E-4</v>
      </c>
      <c r="Q351" s="304">
        <f t="shared" si="125"/>
        <v>0.5</v>
      </c>
      <c r="R351" s="176">
        <f t="shared" si="126"/>
        <v>0.73465801879482551</v>
      </c>
      <c r="S351" s="814">
        <f t="shared" si="127"/>
        <v>0</v>
      </c>
      <c r="T351" s="175">
        <f t="shared" si="128"/>
        <v>6</v>
      </c>
      <c r="U351" s="250">
        <f t="shared" si="129"/>
        <v>0.73465801879482551</v>
      </c>
      <c r="V351" s="382">
        <f t="shared" si="130"/>
        <v>25.564848178218124</v>
      </c>
      <c r="W351" s="401"/>
      <c r="X351" s="157">
        <f t="shared" si="131"/>
        <v>44533</v>
      </c>
      <c r="Y351" s="384">
        <f t="shared" si="132"/>
        <v>15.492348492017234</v>
      </c>
      <c r="Z351" s="384">
        <f t="shared" si="133"/>
        <v>15.914237009731773</v>
      </c>
      <c r="AA351" s="385">
        <f t="shared" si="134"/>
        <v>16.82748039403662</v>
      </c>
      <c r="AB351" s="196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5.4270952211507899E-2</v>
      </c>
      <c r="AD351" s="230">
        <f>(INDEX(Models!$BJ351:$BT351,,AH351)*(1-AF351)+INDEX(Models!$BJ351:$BT351,,AH351+1)*AF351-ERP_i)*AE351*Ramure*Pc/MaxiM</f>
        <v>4.9259697114107986E-4</v>
      </c>
      <c r="AE351" s="304">
        <f t="shared" si="136"/>
        <v>0.5</v>
      </c>
      <c r="AF351" s="176">
        <f t="shared" si="137"/>
        <v>0.73465801879482551</v>
      </c>
      <c r="AG351" s="814">
        <f t="shared" si="143"/>
        <v>0</v>
      </c>
      <c r="AH351" s="175">
        <f t="shared" si="138"/>
        <v>6</v>
      </c>
      <c r="AI351" s="224">
        <f t="shared" si="139"/>
        <v>0.73465801879482551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44534</v>
      </c>
      <c r="B352" s="616">
        <v>7.0339999999999998</v>
      </c>
      <c r="C352" s="389"/>
      <c r="D352" s="392">
        <f t="shared" si="122"/>
        <v>7.2257083556439738</v>
      </c>
      <c r="E352" s="384">
        <f t="shared" si="120"/>
        <v>7.3845152612759328</v>
      </c>
      <c r="F352" s="384">
        <f t="shared" si="123"/>
        <v>7.3845152612759328</v>
      </c>
      <c r="G352" s="110">
        <f t="shared" si="121"/>
        <v>0.27714856274668298</v>
      </c>
      <c r="H352" s="413" t="b">
        <f>Wh_hp&gt;='2020'!Maxi_hp</f>
        <v>0</v>
      </c>
      <c r="I352" s="379">
        <f>IF(H352,Wh_hp,'2020'!Maxi_hp)</f>
        <v>12.576608863373881</v>
      </c>
      <c r="J352" s="85">
        <f>IF(H352,An,'2020'!An_max)</f>
        <v>2020</v>
      </c>
      <c r="K352" s="196">
        <f t="shared" si="124"/>
        <v>44534</v>
      </c>
      <c r="L352" s="147">
        <f>IF(t&lt;Tvie,1-EXP((T0-t)*PertePVj)+'2020'!Pspv,1-EXP((T0-t)*PertePVj)+Pspv)</f>
        <v>2.653142726058564E-2</v>
      </c>
      <c r="M352" s="847"/>
      <c r="N352" s="847"/>
      <c r="O352" s="48">
        <f>IF(t&lt;Tnet,'2020'!Resal+('2020'!Salim-'2020'!Resal)*(1-EXP(('2020'!Tnet-t)/('2020'!Tau_j))),Resal+(Salim-Resal)*(1-EXP((Tnet-t)/(Tau_j))))*Salcycl</f>
        <v>2.1505393382384223E-2</v>
      </c>
      <c r="P352" s="168">
        <f>(INDEX(Models!$BJ352:$BT352,,T352)*(1-R352)+INDEX(Models!$BJ352:$BT352,,T352+1)*R352-ERP_i)*Q352*Ramure*Pc/MaxiM</f>
        <v>4.8429224771852277E-4</v>
      </c>
      <c r="Q352" s="304">
        <f t="shared" si="125"/>
        <v>0.5</v>
      </c>
      <c r="R352" s="176">
        <f t="shared" si="126"/>
        <v>0.73466674772780638</v>
      </c>
      <c r="S352" s="814">
        <f t="shared" si="127"/>
        <v>0</v>
      </c>
      <c r="T352" s="175">
        <f t="shared" si="128"/>
        <v>6</v>
      </c>
      <c r="U352" s="250">
        <f t="shared" si="129"/>
        <v>0.73466674772780638</v>
      </c>
      <c r="V352" s="382">
        <f t="shared" si="130"/>
        <v>25.36759858558456</v>
      </c>
      <c r="W352" s="401"/>
      <c r="X352" s="157">
        <f t="shared" si="131"/>
        <v>44534</v>
      </c>
      <c r="Y352" s="384">
        <f t="shared" si="132"/>
        <v>6.7983862070578978</v>
      </c>
      <c r="Z352" s="384">
        <f t="shared" si="133"/>
        <v>6.983673019794284</v>
      </c>
      <c r="AA352" s="385">
        <f t="shared" si="134"/>
        <v>7.3845152612759328</v>
      </c>
      <c r="AB352" s="196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5.4281456168646255E-2</v>
      </c>
      <c r="AD352" s="230">
        <f>(INDEX(Models!$BJ352:$BT352,,AH352)*(1-AF352)+INDEX(Models!$BJ352:$BT352,,AH352+1)*AF352-ERP_i)*AE352*Ramure*Pc/MaxiM</f>
        <v>4.8429224771852277E-4</v>
      </c>
      <c r="AE352" s="304">
        <f t="shared" si="136"/>
        <v>0.5</v>
      </c>
      <c r="AF352" s="176">
        <f t="shared" si="137"/>
        <v>0.73466674772780638</v>
      </c>
      <c r="AG352" s="814">
        <f t="shared" si="143"/>
        <v>0</v>
      </c>
      <c r="AH352" s="175">
        <f t="shared" si="138"/>
        <v>6</v>
      </c>
      <c r="AI352" s="224">
        <f t="shared" si="139"/>
        <v>0.73466674772780638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44535</v>
      </c>
      <c r="B353" s="616">
        <v>6.9740000000000002</v>
      </c>
      <c r="C353" s="389"/>
      <c r="D353" s="392">
        <f t="shared" si="122"/>
        <v>7.164229805504676</v>
      </c>
      <c r="E353" s="384">
        <f t="shared" si="120"/>
        <v>7.3221015263574003</v>
      </c>
      <c r="F353" s="384">
        <f t="shared" si="123"/>
        <v>7.3221015263574003</v>
      </c>
      <c r="G353" s="110">
        <f t="shared" si="121"/>
        <v>0.2768378307364272</v>
      </c>
      <c r="H353" s="413" t="b">
        <f>Wh_hp&gt;='2020'!Maxi_hp</f>
        <v>0</v>
      </c>
      <c r="I353" s="379">
        <f>IF(H353,Wh_hp,'2020'!Maxi_hp)</f>
        <v>21.154330156522605</v>
      </c>
      <c r="J353" s="85">
        <f>IF(H353,An,'2020'!An_max)</f>
        <v>2018</v>
      </c>
      <c r="K353" s="196">
        <f t="shared" si="124"/>
        <v>44535</v>
      </c>
      <c r="L353" s="147">
        <f>IF(t&lt;Tvie,1-EXP((T0-t)*PertePVj)+'2020'!Pspv,1-EXP((T0-t)*PertePVj)+Pspv)</f>
        <v>2.6552722437590083E-2</v>
      </c>
      <c r="M353" s="847"/>
      <c r="N353" s="847"/>
      <c r="O353" s="48">
        <f>IF(t&lt;Tnet,'2020'!Resal+('2020'!Salim-'2020'!Resal)*(1-EXP(('2020'!Tnet-t)/('2020'!Tau_j))),Resal+(Salim-Resal)*(1-EXP((Tnet-t)/(Tau_j))))*Salcycl</f>
        <v>2.156098495553951E-2</v>
      </c>
      <c r="P353" s="168">
        <f>(INDEX(Models!$BJ353:$BT353,,T353)*(1-R353)+INDEX(Models!$BJ353:$BT353,,T353+1)*R353-ERP_i)*Q353*Ramure*Pc/MaxiM</f>
        <v>4.7661506487279025E-4</v>
      </c>
      <c r="Q353" s="304">
        <f t="shared" si="125"/>
        <v>0.5</v>
      </c>
      <c r="R353" s="176">
        <f t="shared" si="126"/>
        <v>0.73467512568582782</v>
      </c>
      <c r="S353" s="814">
        <f t="shared" si="127"/>
        <v>0</v>
      </c>
      <c r="T353" s="175">
        <f t="shared" si="128"/>
        <v>6</v>
      </c>
      <c r="U353" s="250">
        <f t="shared" si="129"/>
        <v>0.73467512568582782</v>
      </c>
      <c r="V353" s="382">
        <f t="shared" si="130"/>
        <v>25.179637002625714</v>
      </c>
      <c r="W353" s="401"/>
      <c r="X353" s="157">
        <f t="shared" si="131"/>
        <v>44535</v>
      </c>
      <c r="Y353" s="384">
        <f t="shared" si="132"/>
        <v>6.740697855456788</v>
      </c>
      <c r="Z353" s="384">
        <f t="shared" si="133"/>
        <v>6.9245638781137036</v>
      </c>
      <c r="AA353" s="385">
        <f t="shared" si="134"/>
        <v>7.3221015263574003</v>
      </c>
      <c r="AB353" s="196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5.4292834756890333E-2</v>
      </c>
      <c r="AD353" s="230">
        <f>(INDEX(Models!$BJ353:$BT353,,AH353)*(1-AF353)+INDEX(Models!$BJ353:$BT353,,AH353+1)*AF353-ERP_i)*AE353*Ramure*Pc/MaxiM</f>
        <v>4.7661506487279025E-4</v>
      </c>
      <c r="AE353" s="304">
        <f t="shared" si="136"/>
        <v>0.5</v>
      </c>
      <c r="AF353" s="176">
        <f t="shared" si="137"/>
        <v>0.73467512568582782</v>
      </c>
      <c r="AG353" s="814">
        <f t="shared" si="143"/>
        <v>0</v>
      </c>
      <c r="AH353" s="175">
        <f t="shared" si="138"/>
        <v>6</v>
      </c>
      <c r="AI353" s="224">
        <f t="shared" si="139"/>
        <v>0.73467512568582782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16">
        <v>10.715</v>
      </c>
      <c r="C354" s="389"/>
      <c r="D354" s="392">
        <f t="shared" si="122"/>
        <v>11.007513862131052</v>
      </c>
      <c r="E354" s="384">
        <f t="shared" si="120"/>
        <v>11.25071877227658</v>
      </c>
      <c r="F354" s="384">
        <f t="shared" si="123"/>
        <v>11.251689073350173</v>
      </c>
      <c r="G354" s="110">
        <f t="shared" si="121"/>
        <v>0.42839622920146625</v>
      </c>
      <c r="H354" s="413" t="b">
        <f>Wh_hp&gt;='2020'!Maxi_hp</f>
        <v>0</v>
      </c>
      <c r="I354" s="379">
        <f>IF(H354,Wh_hp,'2020'!Maxi_hp)</f>
        <v>23.185833675036029</v>
      </c>
      <c r="J354" s="85">
        <f>IF(H354,An,'2020'!An_max)</f>
        <v>2020</v>
      </c>
      <c r="K354" s="196">
        <f t="shared" si="124"/>
        <v>44536</v>
      </c>
      <c r="L354" s="147">
        <f>IF(t&lt;Tvie,1-EXP((T0-t)*PertePVj)+'2020'!Pspv,1-EXP((T0-t)*PertePVj)+Pspv)</f>
        <v>2.6574017148175623E-2</v>
      </c>
      <c r="M354" s="847"/>
      <c r="N354" s="847"/>
      <c r="O354" s="48">
        <f>IF(t&lt;Tnet,'2020'!Resal+('2020'!Salim-'2020'!Resal)*(1-EXP(('2020'!Tnet-t)/('2020'!Tau_j))),Resal+(Salim-Resal)*(1-EXP((Tnet-t)/(Tau_j))))*Salcycl</f>
        <v>2.1616833116904492E-2</v>
      </c>
      <c r="P354" s="168">
        <f>(INDEX(Models!$BJ354:$BT354,,T354)*(1-R354)+INDEX(Models!$BJ354:$BT354,,T354+1)*R354-ERP_i)*Q354*Ramure*Pc/MaxiM</f>
        <v>4.6954716708290823E-4</v>
      </c>
      <c r="Q354" s="304">
        <f t="shared" si="125"/>
        <v>0.5</v>
      </c>
      <c r="R354" s="176">
        <f t="shared" si="126"/>
        <v>0.73468316676254153</v>
      </c>
      <c r="S354" s="814">
        <f t="shared" si="127"/>
        <v>0</v>
      </c>
      <c r="T354" s="175">
        <f t="shared" si="128"/>
        <v>6</v>
      </c>
      <c r="U354" s="250">
        <f t="shared" si="129"/>
        <v>0.73468316676254153</v>
      </c>
      <c r="V354" s="382">
        <f t="shared" si="130"/>
        <v>25.002303327896719</v>
      </c>
      <c r="W354" s="401"/>
      <c r="X354" s="157">
        <f t="shared" si="131"/>
        <v>44536</v>
      </c>
      <c r="Y354" s="384">
        <f t="shared" si="132"/>
        <v>10.357006876500446</v>
      </c>
      <c r="Z354" s="384">
        <f t="shared" si="133"/>
        <v>10.639747714723779</v>
      </c>
      <c r="AA354" s="385">
        <f t="shared" si="134"/>
        <v>11.25071877227658</v>
      </c>
      <c r="AB354" s="196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5.4305068851096233E-2</v>
      </c>
      <c r="AD354" s="230">
        <f>(INDEX(Models!$BJ354:$BT354,,AH354)*(1-AF354)+INDEX(Models!$BJ354:$BT354,,AH354+1)*AF354-ERP_i)*AE354*Ramure*Pc/MaxiM</f>
        <v>4.6954716708290823E-4</v>
      </c>
      <c r="AE354" s="304">
        <f t="shared" si="136"/>
        <v>0.5</v>
      </c>
      <c r="AF354" s="176">
        <f t="shared" si="137"/>
        <v>0.73468316676254153</v>
      </c>
      <c r="AG354" s="814">
        <f t="shared" si="143"/>
        <v>0</v>
      </c>
      <c r="AH354" s="175">
        <f t="shared" si="138"/>
        <v>6</v>
      </c>
      <c r="AI354" s="224">
        <f t="shared" si="139"/>
        <v>0.73468316676254153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16">
        <v>5.9320000000000004</v>
      </c>
      <c r="C355" s="389"/>
      <c r="D355" s="392">
        <f t="shared" si="122"/>
        <v>6.0940737900955639</v>
      </c>
      <c r="E355" s="384">
        <f t="shared" si="120"/>
        <v>6.2290761331002136</v>
      </c>
      <c r="F355" s="384">
        <f t="shared" si="123"/>
        <v>6.2290761331002136</v>
      </c>
      <c r="G355" s="110">
        <f t="shared" si="121"/>
        <v>0.23872722543819094</v>
      </c>
      <c r="H355" s="413" t="b">
        <f>Wh_hp&gt;='2020'!Maxi_hp</f>
        <v>0</v>
      </c>
      <c r="I355" s="379">
        <f>IF(H355,Wh_hp,'2020'!Maxi_hp)</f>
        <v>22.326722541325999</v>
      </c>
      <c r="J355" s="85">
        <f>IF(H355,An,'2020'!An_max)</f>
        <v>2018</v>
      </c>
      <c r="K355" s="196">
        <f t="shared" si="124"/>
        <v>44537</v>
      </c>
      <c r="L355" s="147">
        <f>IF(t&lt;Tvie,1-EXP((T0-t)*PertePVj)+'2020'!Pspv,1-EXP((T0-t)*PertePVj)+Pspv)</f>
        <v>2.6595311392352251E-2</v>
      </c>
      <c r="M355" s="847"/>
      <c r="N355" s="847"/>
      <c r="O355" s="48">
        <f>IF(t&lt;Tnet,'2020'!Resal+('2020'!Salim-'2020'!Resal)*(1-EXP(('2020'!Tnet-t)/('2020'!Tau_j))),Resal+(Salim-Resal)*(1-EXP((Tnet-t)/(Tau_j))))*Salcycl</f>
        <v>2.1672931927620952E-2</v>
      </c>
      <c r="P355" s="168">
        <f>(INDEX(Models!$BJ355:$BT355,,T355)*(1-R355)+INDEX(Models!$BJ355:$BT355,,T355+1)*R355-ERP_i)*Q355*Ramure*Pc/MaxiM</f>
        <v>4.6307056493544656E-4</v>
      </c>
      <c r="Q355" s="304">
        <f t="shared" si="125"/>
        <v>0.5</v>
      </c>
      <c r="R355" s="176">
        <f t="shared" si="126"/>
        <v>0.73469088448711262</v>
      </c>
      <c r="S355" s="814">
        <f t="shared" si="127"/>
        <v>0</v>
      </c>
      <c r="T355" s="175">
        <f t="shared" si="128"/>
        <v>6</v>
      </c>
      <c r="U355" s="250">
        <f t="shared" si="129"/>
        <v>0.73469088448711262</v>
      </c>
      <c r="V355" s="382">
        <f t="shared" si="130"/>
        <v>24.836937029387755</v>
      </c>
      <c r="W355" s="401"/>
      <c r="X355" s="157">
        <f t="shared" si="131"/>
        <v>44537</v>
      </c>
      <c r="Y355" s="384">
        <f t="shared" si="132"/>
        <v>5.7340586748818776</v>
      </c>
      <c r="Z355" s="384">
        <f t="shared" si="133"/>
        <v>5.8907243225670518</v>
      </c>
      <c r="AA355" s="385">
        <f t="shared" si="134"/>
        <v>6.2290761331002136</v>
      </c>
      <c r="AB355" s="196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5.431813696018583E-2</v>
      </c>
      <c r="AD355" s="230">
        <f>(INDEX(Models!$BJ355:$BT355,,AH355)*(1-AF355)+INDEX(Models!$BJ355:$BT355,,AH355+1)*AF355-ERP_i)*AE355*Ramure*Pc/MaxiM</f>
        <v>4.6307056493544656E-4</v>
      </c>
      <c r="AE355" s="304">
        <f t="shared" si="136"/>
        <v>0.5</v>
      </c>
      <c r="AF355" s="176">
        <f t="shared" si="137"/>
        <v>0.73469088448711262</v>
      </c>
      <c r="AG355" s="814">
        <f t="shared" si="143"/>
        <v>0</v>
      </c>
      <c r="AH355" s="175">
        <f t="shared" si="138"/>
        <v>6</v>
      </c>
      <c r="AI355" s="224">
        <f t="shared" si="139"/>
        <v>0.73469088448711262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44538</v>
      </c>
      <c r="B356" s="616">
        <v>10.133000000000001</v>
      </c>
      <c r="C356" s="389"/>
      <c r="D356" s="392">
        <f t="shared" si="122"/>
        <v>10.410081016197191</v>
      </c>
      <c r="E356" s="384">
        <f t="shared" si="120"/>
        <v>10.641308939049422</v>
      </c>
      <c r="F356" s="384">
        <f t="shared" si="123"/>
        <v>10.642076907174728</v>
      </c>
      <c r="G356" s="110">
        <f t="shared" si="121"/>
        <v>0.41033619167380087</v>
      </c>
      <c r="H356" s="413" t="b">
        <f>Wh_hp&gt;='2020'!Maxi_hp</f>
        <v>0</v>
      </c>
      <c r="I356" s="379">
        <f>IF(H356,Wh_hp,'2020'!Maxi_hp)</f>
        <v>18.567301939285336</v>
      </c>
      <c r="J356" s="85">
        <f>IF(H356,An,'2020'!An_max)</f>
        <v>2019</v>
      </c>
      <c r="K356" s="196">
        <f t="shared" si="124"/>
        <v>44538</v>
      </c>
      <c r="L356" s="147">
        <f>IF(t&lt;Tvie,1-EXP((T0-t)*PertePVj)+'2020'!Pspv,1-EXP((T0-t)*PertePVj)+Pspv)</f>
        <v>2.6616605170130293E-2</v>
      </c>
      <c r="M356" s="847"/>
      <c r="N356" s="847"/>
      <c r="O356" s="48">
        <f>IF(t&lt;Tnet,'2020'!Resal+('2020'!Salim-'2020'!Resal)*(1-EXP(('2020'!Tnet-t)/('2020'!Tau_j))),Resal+(Salim-Resal)*(1-EXP((Tnet-t)/(Tau_j))))*Salcycl</f>
        <v>2.1729274488377543E-2</v>
      </c>
      <c r="P356" s="168">
        <f>(INDEX(Models!$BJ356:$BT356,,T356)*(1-R356)+INDEX(Models!$BJ356:$BT356,,T356+1)*R356-ERP_i)*Q356*Ramure*Pc/MaxiM</f>
        <v>4.5716732551769843E-4</v>
      </c>
      <c r="Q356" s="304">
        <f t="shared" si="125"/>
        <v>0.5</v>
      </c>
      <c r="R356" s="176">
        <f t="shared" si="126"/>
        <v>0.73469829184671309</v>
      </c>
      <c r="S356" s="814">
        <f t="shared" si="127"/>
        <v>0</v>
      </c>
      <c r="T356" s="175">
        <f t="shared" si="128"/>
        <v>6</v>
      </c>
      <c r="U356" s="250">
        <f t="shared" si="129"/>
        <v>0.73469829184671309</v>
      </c>
      <c r="V356" s="382">
        <f t="shared" si="130"/>
        <v>24.684877129765564</v>
      </c>
      <c r="W356" s="401"/>
      <c r="X356" s="157">
        <f t="shared" si="131"/>
        <v>44538</v>
      </c>
      <c r="Y356" s="384">
        <f t="shared" si="132"/>
        <v>9.7952984157254601</v>
      </c>
      <c r="Z356" s="384">
        <f t="shared" si="133"/>
        <v>10.063145177689728</v>
      </c>
      <c r="AA356" s="385">
        <f t="shared" si="134"/>
        <v>10.641308939049422</v>
      </c>
      <c r="AB356" s="196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5.4332015419462122E-2</v>
      </c>
      <c r="AD356" s="230">
        <f>(INDEX(Models!$BJ356:$BT356,,AH356)*(1-AF356)+INDEX(Models!$BJ356:$BT356,,AH356+1)*AF356-ERP_i)*AE356*Ramure*Pc/MaxiM</f>
        <v>4.5716732551769843E-4</v>
      </c>
      <c r="AE356" s="304">
        <f t="shared" si="136"/>
        <v>0.5</v>
      </c>
      <c r="AF356" s="176">
        <f t="shared" si="137"/>
        <v>0.73469829184671309</v>
      </c>
      <c r="AG356" s="814">
        <f t="shared" si="143"/>
        <v>0</v>
      </c>
      <c r="AH356" s="175">
        <f t="shared" si="138"/>
        <v>6</v>
      </c>
      <c r="AI356" s="224">
        <f t="shared" si="139"/>
        <v>0.73469829184671309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16">
        <v>8.0839999999999996</v>
      </c>
      <c r="C357" s="389"/>
      <c r="D357" s="392">
        <f t="shared" si="122"/>
        <v>8.3052339796142345</v>
      </c>
      <c r="E357" s="384">
        <f t="shared" si="120"/>
        <v>8.4902002339418363</v>
      </c>
      <c r="F357" s="384">
        <f t="shared" si="123"/>
        <v>8.4903609187687774</v>
      </c>
      <c r="G357" s="110">
        <f t="shared" si="121"/>
        <v>0.32917864805185498</v>
      </c>
      <c r="H357" s="413" t="b">
        <f>Wh_hp&gt;='2020'!Maxi_hp</f>
        <v>0</v>
      </c>
      <c r="I357" s="379">
        <f>IF(H357,Wh_hp,'2020'!Maxi_hp)</f>
        <v>10.545859216009614</v>
      </c>
      <c r="J357" s="85">
        <f>IF(H357,An,'2020'!An_max)</f>
        <v>2020</v>
      </c>
      <c r="K357" s="196">
        <f t="shared" si="124"/>
        <v>44539</v>
      </c>
      <c r="L357" s="147">
        <f>IF(t&lt;Tvie,1-EXP((T0-t)*PertePVj)+'2020'!Pspv,1-EXP((T0-t)*PertePVj)+Pspv)</f>
        <v>2.6637898481519963E-2</v>
      </c>
      <c r="M357" s="847"/>
      <c r="N357" s="847"/>
      <c r="O357" s="48">
        <f>IF(t&lt;Tnet,'2020'!Resal+('2020'!Salim-'2020'!Resal)*(1-EXP(('2020'!Tnet-t)/('2020'!Tau_j))),Resal+(Salim-Resal)*(1-EXP((Tnet-t)/(Tau_j))))*Salcycl</f>
        <v>2.1785853010645135E-2</v>
      </c>
      <c r="P357" s="168">
        <f>(INDEX(Models!$BJ357:$BT357,,T357)*(1-R357)+INDEX(Models!$BJ357:$BT357,,T357+1)*R357-ERP_i)*Q357*Ramure*Pc/MaxiM</f>
        <v>4.5181936538997295E-4</v>
      </c>
      <c r="Q357" s="304">
        <f t="shared" si="125"/>
        <v>0.5</v>
      </c>
      <c r="R357" s="176">
        <f t="shared" si="126"/>
        <v>0.73470540130812911</v>
      </c>
      <c r="S357" s="814">
        <f t="shared" si="127"/>
        <v>0</v>
      </c>
      <c r="T357" s="175">
        <f t="shared" si="128"/>
        <v>6</v>
      </c>
      <c r="U357" s="250">
        <f t="shared" si="129"/>
        <v>0.73470540130812911</v>
      </c>
      <c r="V357" s="382">
        <f t="shared" si="130"/>
        <v>24.547462200419368</v>
      </c>
      <c r="W357" s="401"/>
      <c r="X357" s="157">
        <f t="shared" si="131"/>
        <v>44539</v>
      </c>
      <c r="Y357" s="384">
        <f t="shared" si="132"/>
        <v>7.8149160628953718</v>
      </c>
      <c r="Z357" s="384">
        <f t="shared" si="133"/>
        <v>8.0287860506422231</v>
      </c>
      <c r="AA357" s="385">
        <f t="shared" si="134"/>
        <v>8.4902002339418363</v>
      </c>
      <c r="AB357" s="196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5.4346678592453748E-2</v>
      </c>
      <c r="AD357" s="230">
        <f>(INDEX(Models!$BJ357:$BT357,,AH357)*(1-AF357)+INDEX(Models!$BJ357:$BT357,,AH357+1)*AF357-ERP_i)*AE357*Ramure*Pc/MaxiM</f>
        <v>4.5181936538997295E-4</v>
      </c>
      <c r="AE357" s="304">
        <f t="shared" si="136"/>
        <v>0.5</v>
      </c>
      <c r="AF357" s="176">
        <f t="shared" si="137"/>
        <v>0.73470540130812911</v>
      </c>
      <c r="AG357" s="814">
        <f t="shared" si="143"/>
        <v>0</v>
      </c>
      <c r="AH357" s="175">
        <f t="shared" si="138"/>
        <v>6</v>
      </c>
      <c r="AI357" s="224">
        <f t="shared" si="139"/>
        <v>0.73470540130812911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44540</v>
      </c>
      <c r="B358" s="616">
        <v>2.2120000000000002</v>
      </c>
      <c r="C358" s="389"/>
      <c r="D358" s="392">
        <f t="shared" si="122"/>
        <v>2.2725852859438374</v>
      </c>
      <c r="E358" s="384">
        <f t="shared" si="120"/>
        <v>2.3233330574099602</v>
      </c>
      <c r="F358" s="384">
        <f t="shared" si="123"/>
        <v>2.3233330574099602</v>
      </c>
      <c r="G358" s="110">
        <f t="shared" si="121"/>
        <v>9.0518646872513556E-2</v>
      </c>
      <c r="H358" s="413" t="b">
        <f>Wh_hp&gt;='2020'!Maxi_hp</f>
        <v>0</v>
      </c>
      <c r="I358" s="379">
        <f>IF(H358,Wh_hp,'2020'!Maxi_hp)</f>
        <v>22.599335595679641</v>
      </c>
      <c r="J358" s="85">
        <f>IF(H358,An,'2020'!An_max)</f>
        <v>2019</v>
      </c>
      <c r="K358" s="196">
        <f t="shared" si="124"/>
        <v>44540</v>
      </c>
      <c r="L358" s="147">
        <f>IF(t&lt;Tvie,1-EXP((T0-t)*PertePVj)+'2020'!Pspv,1-EXP((T0-t)*PertePVj)+Pspv)</f>
        <v>2.6659191326531474E-2</v>
      </c>
      <c r="M358" s="847"/>
      <c r="N358" s="847"/>
      <c r="O358" s="48">
        <f>IF(t&lt;Tnet,'2020'!Resal+('2020'!Salim-'2020'!Resal)*(1-EXP(('2020'!Tnet-t)/('2020'!Tau_j))),Resal+(Salim-Resal)*(1-EXP((Tnet-t)/(Tau_j))))*Salcycl</f>
        <v>2.1842658892262359E-2</v>
      </c>
      <c r="P358" s="168">
        <f>(INDEX(Models!$BJ358:$BT358,,T358)*(1-R358)+INDEX(Models!$BJ358:$BT358,,T358+1)*R358-ERP_i)*Q358*Ramure*Pc/MaxiM</f>
        <v>4.4700824901667109E-4</v>
      </c>
      <c r="Q358" s="304">
        <f t="shared" si="125"/>
        <v>0.5</v>
      </c>
      <c r="R358" s="176">
        <f t="shared" si="126"/>
        <v>0.73471222483851584</v>
      </c>
      <c r="S358" s="814">
        <f t="shared" si="127"/>
        <v>0</v>
      </c>
      <c r="T358" s="175">
        <f t="shared" si="128"/>
        <v>6</v>
      </c>
      <c r="U358" s="250">
        <f t="shared" si="129"/>
        <v>0.73471222483851584</v>
      </c>
      <c r="V358" s="382">
        <f t="shared" si="130"/>
        <v>24.426030372141589</v>
      </c>
      <c r="W358" s="401"/>
      <c r="X358" s="157">
        <f t="shared" si="131"/>
        <v>44540</v>
      </c>
      <c r="Y358" s="384">
        <f t="shared" si="132"/>
        <v>2.1384607045578097</v>
      </c>
      <c r="Z358" s="384">
        <f t="shared" si="133"/>
        <v>2.1970317955457364</v>
      </c>
      <c r="AA358" s="385">
        <f t="shared" si="134"/>
        <v>2.3233330574099602</v>
      </c>
      <c r="AB358" s="196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5.4362099080630173E-2</v>
      </c>
      <c r="AD358" s="230">
        <f>(INDEX(Models!$BJ358:$BT358,,AH358)*(1-AF358)+INDEX(Models!$BJ358:$BT358,,AH358+1)*AF358-ERP_i)*AE358*Ramure*Pc/MaxiM</f>
        <v>4.4700824901667109E-4</v>
      </c>
      <c r="AE358" s="304">
        <f t="shared" si="136"/>
        <v>0.5</v>
      </c>
      <c r="AF358" s="176">
        <f t="shared" si="137"/>
        <v>0.73471222483851584</v>
      </c>
      <c r="AG358" s="814">
        <f t="shared" si="143"/>
        <v>0</v>
      </c>
      <c r="AH358" s="175">
        <f t="shared" si="138"/>
        <v>6</v>
      </c>
      <c r="AI358" s="224">
        <f t="shared" si="139"/>
        <v>0.73471222483851584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44541</v>
      </c>
      <c r="B359" s="616">
        <v>12.759</v>
      </c>
      <c r="C359" s="389"/>
      <c r="D359" s="392">
        <f t="shared" si="122"/>
        <v>13.108747730211149</v>
      </c>
      <c r="E359" s="384">
        <f t="shared" si="120"/>
        <v>13.40225281563511</v>
      </c>
      <c r="F359" s="384">
        <f t="shared" si="123"/>
        <v>13.404157727779436</v>
      </c>
      <c r="G359" s="110">
        <f t="shared" si="121"/>
        <v>0.52451104224135325</v>
      </c>
      <c r="H359" s="413" t="b">
        <f>Wh_hp&gt;='2020'!Maxi_hp</f>
        <v>0</v>
      </c>
      <c r="I359" s="379">
        <f>IF(H359,Wh_hp,'2020'!Maxi_hp)</f>
        <v>18.967198725102847</v>
      </c>
      <c r="J359" s="85">
        <f>IF(H359,An,'2020'!An_max)</f>
        <v>2018</v>
      </c>
      <c r="K359" s="196">
        <f t="shared" si="124"/>
        <v>44541</v>
      </c>
      <c r="L359" s="147">
        <f>IF(t&lt;Tvie,1-EXP((T0-t)*PertePVj)+'2020'!Pspv,1-EXP((T0-t)*PertePVj)+Pspv)</f>
        <v>2.6680483705175041E-2</v>
      </c>
      <c r="M359" s="847"/>
      <c r="N359" s="847"/>
      <c r="O359" s="48">
        <f>IF(t&lt;Tnet,'2020'!Resal+('2020'!Salim-'2020'!Resal)*(1-EXP(('2020'!Tnet-t)/('2020'!Tau_j))),Resal+(Salim-Resal)*(1-EXP((Tnet-t)/(Tau_j))))*Salcycl</f>
        <v>2.1899682796727861E-2</v>
      </c>
      <c r="P359" s="168">
        <f>(INDEX(Models!$BJ359:$BT359,,T359)*(1-R359)+INDEX(Models!$BJ359:$BT359,,T359+1)*R359-ERP_i)*Q359*Ramure*Pc/MaxiM</f>
        <v>4.4278271981066714E-4</v>
      </c>
      <c r="Q359" s="304">
        <f t="shared" si="125"/>
        <v>0.5</v>
      </c>
      <c r="R359" s="176">
        <f t="shared" si="126"/>
        <v>0.73471877392533069</v>
      </c>
      <c r="S359" s="814">
        <f t="shared" si="127"/>
        <v>0</v>
      </c>
      <c r="T359" s="175">
        <f t="shared" si="128"/>
        <v>6</v>
      </c>
      <c r="U359" s="250">
        <f t="shared" si="129"/>
        <v>0.73471877392533069</v>
      </c>
      <c r="V359" s="382">
        <f t="shared" si="130"/>
        <v>24.318197691352609</v>
      </c>
      <c r="W359" s="401"/>
      <c r="X359" s="157">
        <f t="shared" si="131"/>
        <v>44541</v>
      </c>
      <c r="Y359" s="384">
        <f t="shared" si="132"/>
        <v>12.335327698329788</v>
      </c>
      <c r="Z359" s="384">
        <f t="shared" si="133"/>
        <v>12.673461789081538</v>
      </c>
      <c r="AA359" s="385">
        <f t="shared" si="134"/>
        <v>13.40225281563511</v>
      </c>
      <c r="AB359" s="196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5.4378247939283912E-2</v>
      </c>
      <c r="AD359" s="230">
        <f>(INDEX(Models!$BJ359:$BT359,,AH359)*(1-AF359)+INDEX(Models!$BJ359:$BT359,,AH359+1)*AF359-ERP_i)*AE359*Ramure*Pc/MaxiM</f>
        <v>4.4278271981066714E-4</v>
      </c>
      <c r="AE359" s="304">
        <f t="shared" si="136"/>
        <v>0.5</v>
      </c>
      <c r="AF359" s="176">
        <f t="shared" si="137"/>
        <v>0.73471877392533069</v>
      </c>
      <c r="AG359" s="814">
        <f t="shared" si="143"/>
        <v>0</v>
      </c>
      <c r="AH359" s="175">
        <f t="shared" si="138"/>
        <v>6</v>
      </c>
      <c r="AI359" s="224">
        <f t="shared" si="139"/>
        <v>0.73471877392533069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44542</v>
      </c>
      <c r="B360" s="616">
        <v>23.962</v>
      </c>
      <c r="C360" s="389"/>
      <c r="D360" s="392">
        <f t="shared" si="122"/>
        <v>24.619381192441303</v>
      </c>
      <c r="E360" s="384">
        <f t="shared" si="120"/>
        <v>25.172082460747703</v>
      </c>
      <c r="F360" s="384">
        <f t="shared" si="123"/>
        <v>25.182974084445021</v>
      </c>
      <c r="G360" s="110">
        <f t="shared" si="121"/>
        <v>0.98930830281771176</v>
      </c>
      <c r="H360" s="413" t="b">
        <f>Wh_hp&gt;='2020'!Maxi_hp</f>
        <v>1</v>
      </c>
      <c r="I360" s="379">
        <f>IF(H360,Wh_hp,'2020'!Maxi_hp)</f>
        <v>25.182974084445021</v>
      </c>
      <c r="J360" s="85">
        <f>IF(H360,An,'2020'!An_max)</f>
        <v>2021</v>
      </c>
      <c r="K360" s="196">
        <f t="shared" si="124"/>
        <v>44542</v>
      </c>
      <c r="L360" s="147">
        <f>IF(t&lt;Tvie,1-EXP((T0-t)*PertePVj)+'2020'!Pspv,1-EXP((T0-t)*PertePVj)+Pspv)</f>
        <v>2.6701775617460878E-2</v>
      </c>
      <c r="M360" s="847"/>
      <c r="N360" s="847"/>
      <c r="O360" s="48">
        <f>IF(t&lt;Tnet,'2020'!Resal+('2020'!Salim-'2020'!Resal)*(1-EXP(('2020'!Tnet-t)/('2020'!Tau_j))),Resal+(Salim-Resal)*(1-EXP((Tnet-t)/(Tau_j))))*Salcycl</f>
        <v>2.1956914735531349E-2</v>
      </c>
      <c r="P360" s="168">
        <f>(INDEX(Models!$BJ360:$BT360,,T360)*(1-R360)+INDEX(Models!$BJ360:$BT360,,T360+1)*R360-ERP_i)*Q360*Ramure*Pc/MaxiM</f>
        <v>4.3920366894313482E-4</v>
      </c>
      <c r="Q360" s="304">
        <f t="shared" si="125"/>
        <v>0.5</v>
      </c>
      <c r="R360" s="176">
        <f t="shared" si="126"/>
        <v>0.73472505959547951</v>
      </c>
      <c r="S360" s="814">
        <f t="shared" si="127"/>
        <v>0</v>
      </c>
      <c r="T360" s="175">
        <f t="shared" si="128"/>
        <v>6</v>
      </c>
      <c r="U360" s="250">
        <f t="shared" si="129"/>
        <v>0.73472505959547951</v>
      </c>
      <c r="V360" s="382">
        <f t="shared" si="130"/>
        <v>24.220800752348776</v>
      </c>
      <c r="W360" s="401"/>
      <c r="X360" s="157">
        <f t="shared" si="131"/>
        <v>44542</v>
      </c>
      <c r="Y360" s="384">
        <f t="shared" si="132"/>
        <v>23.167266429710264</v>
      </c>
      <c r="Z360" s="384">
        <f t="shared" si="133"/>
        <v>23.802844646518892</v>
      </c>
      <c r="AA360" s="385">
        <f t="shared" si="134"/>
        <v>25.172082460747703</v>
      </c>
      <c r="AB360" s="196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5.4395094897847399E-2</v>
      </c>
      <c r="AD360" s="230">
        <f>(INDEX(Models!$BJ360:$BT360,,AH360)*(1-AF360)+INDEX(Models!$BJ360:$BT360,,AH360+1)*AF360-ERP_i)*AE360*Ramure*Pc/MaxiM</f>
        <v>4.3920366894313482E-4</v>
      </c>
      <c r="AE360" s="304">
        <f t="shared" si="136"/>
        <v>0.5</v>
      </c>
      <c r="AF360" s="176">
        <f t="shared" si="137"/>
        <v>0.73472505959547951</v>
      </c>
      <c r="AG360" s="814">
        <f t="shared" si="143"/>
        <v>0</v>
      </c>
      <c r="AH360" s="175">
        <f t="shared" si="138"/>
        <v>6</v>
      </c>
      <c r="AI360" s="224">
        <f t="shared" si="139"/>
        <v>0.73472505959547951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44543</v>
      </c>
      <c r="B361" s="616">
        <v>24.384</v>
      </c>
      <c r="C361" s="389"/>
      <c r="D361" s="392">
        <f t="shared" si="122"/>
        <v>25.053506535316576</v>
      </c>
      <c r="E361" s="384">
        <f t="shared" ref="E361:E379" si="144">Wh_pvt/(1-Psa)</f>
        <v>25.617458073671237</v>
      </c>
      <c r="F361" s="384">
        <f t="shared" si="123"/>
        <v>25.628630345535896</v>
      </c>
      <c r="G361" s="110">
        <f t="shared" ref="G361:G379" si="145">+Wh_hp/MaxiM</f>
        <v>1.0103581479326669</v>
      </c>
      <c r="H361" s="413" t="b">
        <f>Wh_hp&gt;='2020'!Maxi_hp</f>
        <v>1</v>
      </c>
      <c r="I361" s="379">
        <f>IF(H361,Wh_hp,'2020'!Maxi_hp)</f>
        <v>25.628630345535896</v>
      </c>
      <c r="J361" s="85">
        <f>IF(H361,An,'2020'!An_max)</f>
        <v>2021</v>
      </c>
      <c r="K361" s="196">
        <f t="shared" si="124"/>
        <v>44543</v>
      </c>
      <c r="L361" s="147">
        <f>IF(t&lt;Tvie,1-EXP((T0-t)*PertePVj)+'2020'!Pspv,1-EXP((T0-t)*PertePVj)+Pspv)</f>
        <v>2.6723067063399199E-2</v>
      </c>
      <c r="M361" s="847"/>
      <c r="N361" s="847"/>
      <c r="O361" s="48">
        <f>IF(t&lt;Tnet,'2020'!Resal+('2020'!Salim-'2020'!Resal)*(1-EXP(('2020'!Tnet-t)/('2020'!Tau_j))),Resal+(Salim-Resal)*(1-EXP((Tnet-t)/(Tau_j))))*Salcycl</f>
        <v>2.2014344152836676E-2</v>
      </c>
      <c r="P361" s="168">
        <f>(INDEX(Models!$BJ361:$BT361,,T361)*(1-R361)+INDEX(Models!$BJ361:$BT361,,T361+1)*R361-ERP_i)*Q361*Ramure*Pc/MaxiM</f>
        <v>4.3592933816717926E-4</v>
      </c>
      <c r="Q361" s="304">
        <f t="shared" si="125"/>
        <v>0.5</v>
      </c>
      <c r="R361" s="176">
        <f t="shared" si="126"/>
        <v>0.73473109243370494</v>
      </c>
      <c r="S361" s="814">
        <f t="shared" si="127"/>
        <v>0</v>
      </c>
      <c r="T361" s="175">
        <f t="shared" si="128"/>
        <v>6</v>
      </c>
      <c r="U361" s="250">
        <f t="shared" si="129"/>
        <v>0.73473109243370494</v>
      </c>
      <c r="V361" s="382">
        <f t="shared" si="130"/>
        <v>24.134016289068438</v>
      </c>
      <c r="W361" s="401"/>
      <c r="X361" s="157">
        <f t="shared" si="131"/>
        <v>44543</v>
      </c>
      <c r="Y361" s="384">
        <f t="shared" si="132"/>
        <v>23.576217927594964</v>
      </c>
      <c r="Z361" s="384">
        <f t="shared" si="133"/>
        <v>24.223545354619759</v>
      </c>
      <c r="AA361" s="385">
        <f t="shared" si="134"/>
        <v>25.617458073671237</v>
      </c>
      <c r="AB361" s="196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5.4412608582898175E-2</v>
      </c>
      <c r="AD361" s="230">
        <f>(INDEX(Models!$BJ361:$BT361,,AH361)*(1-AF361)+INDEX(Models!$BJ361:$BT361,,AH361+1)*AF361-ERP_i)*AE361*Ramure*Pc/MaxiM</f>
        <v>4.3592933816717926E-4</v>
      </c>
      <c r="AE361" s="304">
        <f t="shared" si="136"/>
        <v>0.5</v>
      </c>
      <c r="AF361" s="176">
        <f t="shared" si="137"/>
        <v>0.73473109243370494</v>
      </c>
      <c r="AG361" s="814">
        <f t="shared" si="143"/>
        <v>0</v>
      </c>
      <c r="AH361" s="175">
        <f t="shared" si="138"/>
        <v>6</v>
      </c>
      <c r="AI361" s="224">
        <f t="shared" si="139"/>
        <v>0.73473109243370494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44544</v>
      </c>
      <c r="B362" s="616">
        <v>24.539000000000001</v>
      </c>
      <c r="C362" s="389"/>
      <c r="D362" s="392">
        <f t="shared" si="122"/>
        <v>25.213313894238055</v>
      </c>
      <c r="E362" s="384">
        <f t="shared" si="144"/>
        <v>25.782381589695234</v>
      </c>
      <c r="F362" s="384">
        <f t="shared" si="123"/>
        <v>25.793549080224839</v>
      </c>
      <c r="G362" s="110">
        <f t="shared" si="145"/>
        <v>1.0199928114879837</v>
      </c>
      <c r="H362" s="413" t="b">
        <f>Wh_hp&gt;='2020'!Maxi_hp</f>
        <v>1</v>
      </c>
      <c r="I362" s="379">
        <f>IF(H362,Wh_hp,'2020'!Maxi_hp)</f>
        <v>25.793549080224839</v>
      </c>
      <c r="J362" s="85">
        <f>IF(H362,An,'2020'!An_max)</f>
        <v>2021</v>
      </c>
      <c r="K362" s="196">
        <f t="shared" si="124"/>
        <v>44544</v>
      </c>
      <c r="L362" s="147">
        <f>IF(t&lt;Tvie,1-EXP((T0-t)*PertePVj)+'2020'!Pspv,1-EXP((T0-t)*PertePVj)+Pspv)</f>
        <v>2.6744358043000217E-2</v>
      </c>
      <c r="M362" s="847"/>
      <c r="N362" s="847"/>
      <c r="O362" s="48">
        <f>IF(t&lt;Tnet,'2020'!Resal+('2020'!Salim-'2020'!Resal)*(1-EXP(('2020'!Tnet-t)/('2020'!Tau_j))),Resal+(Salim-Resal)*(1-EXP((Tnet-t)/(Tau_j))))*Salcycl</f>
        <v>2.2071960011817614E-2</v>
      </c>
      <c r="P362" s="168">
        <f>(INDEX(Models!$BJ362:$BT362,,T362)*(1-R362)+INDEX(Models!$BJ362:$BT362,,T362+1)*R362-ERP_i)*Q362*Ramure*Pc/MaxiM</f>
        <v>4.329567247559295E-4</v>
      </c>
      <c r="Q362" s="304">
        <f t="shared" si="125"/>
        <v>0.5</v>
      </c>
      <c r="R362" s="176">
        <f t="shared" si="126"/>
        <v>0.73473688260024661</v>
      </c>
      <c r="S362" s="814">
        <f t="shared" si="127"/>
        <v>0</v>
      </c>
      <c r="T362" s="175">
        <f t="shared" si="128"/>
        <v>6</v>
      </c>
      <c r="U362" s="250">
        <f t="shared" si="129"/>
        <v>0.73473688260024661</v>
      </c>
      <c r="V362" s="382">
        <f t="shared" si="130"/>
        <v>24.058012687562051</v>
      </c>
      <c r="W362" s="401"/>
      <c r="X362" s="157">
        <f t="shared" si="131"/>
        <v>44544</v>
      </c>
      <c r="Y362" s="384">
        <f t="shared" si="132"/>
        <v>23.727025621011776</v>
      </c>
      <c r="Z362" s="384">
        <f t="shared" si="133"/>
        <v>24.379027049154349</v>
      </c>
      <c r="AA362" s="385">
        <f t="shared" si="134"/>
        <v>25.782381589695234</v>
      </c>
      <c r="AB362" s="196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5.4430756742107275E-2</v>
      </c>
      <c r="AD362" s="230">
        <f>(INDEX(Models!$BJ362:$BT362,,AH362)*(1-AF362)+INDEX(Models!$BJ362:$BT362,,AH362+1)*AF362-ERP_i)*AE362*Ramure*Pc/MaxiM</f>
        <v>4.329567247559295E-4</v>
      </c>
      <c r="AE362" s="304">
        <f t="shared" si="136"/>
        <v>0.5</v>
      </c>
      <c r="AF362" s="176">
        <f t="shared" si="137"/>
        <v>0.73473688260024661</v>
      </c>
      <c r="AG362" s="814">
        <f t="shared" si="143"/>
        <v>0</v>
      </c>
      <c r="AH362" s="175">
        <f t="shared" si="138"/>
        <v>6</v>
      </c>
      <c r="AI362" s="224">
        <f t="shared" si="139"/>
        <v>0.73473688260024661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16">
        <v>22.727</v>
      </c>
      <c r="C363" s="389"/>
      <c r="D363" s="392">
        <f t="shared" si="122"/>
        <v>23.352032289331</v>
      </c>
      <c r="E363" s="384">
        <f t="shared" si="144"/>
        <v>23.880501846121398</v>
      </c>
      <c r="F363" s="384">
        <f t="shared" si="123"/>
        <v>23.890006466500562</v>
      </c>
      <c r="G363" s="110">
        <f t="shared" si="145"/>
        <v>0.94720552370117428</v>
      </c>
      <c r="H363" s="413" t="b">
        <f>Wh_hp&gt;='2020'!Maxi_hp</f>
        <v>0</v>
      </c>
      <c r="I363" s="379">
        <f>IF(H363,Wh_hp,'2020'!Maxi_hp)</f>
        <v>25.480565606345994</v>
      </c>
      <c r="J363" s="85">
        <f>IF(H363,An,'2020'!An_max)</f>
        <v>2019</v>
      </c>
      <c r="K363" s="196">
        <f t="shared" si="124"/>
        <v>44545</v>
      </c>
      <c r="L363" s="147">
        <f>IF(t&lt;Tvie,1-EXP((T0-t)*PertePVj)+'2020'!Pspv,1-EXP((T0-t)*PertePVj)+Pspv)</f>
        <v>2.6765648556274148E-2</v>
      </c>
      <c r="M363" s="847"/>
      <c r="N363" s="847"/>
      <c r="O363" s="48">
        <f>IF(t&lt;Tnet,'2020'!Resal+('2020'!Salim-'2020'!Resal)*(1-EXP(('2020'!Tnet-t)/('2020'!Tau_j))),Resal+(Salim-Resal)*(1-EXP((Tnet-t)/(Tau_j))))*Salcycl</f>
        <v>2.2129750881940996E-2</v>
      </c>
      <c r="P363" s="168">
        <f>(INDEX(Models!$BJ363:$BT363,,T363)*(1-R363)+INDEX(Models!$BJ363:$BT363,,T363+1)*R363-ERP_i)*Q363*Ramure*Pc/MaxiM</f>
        <v>4.3028252643040462E-4</v>
      </c>
      <c r="Q363" s="304">
        <f t="shared" si="125"/>
        <v>0.5</v>
      </c>
      <c r="R363" s="176">
        <f t="shared" si="126"/>
        <v>0.73474243984780052</v>
      </c>
      <c r="S363" s="814">
        <f t="shared" si="127"/>
        <v>0</v>
      </c>
      <c r="T363" s="175">
        <f t="shared" si="128"/>
        <v>6</v>
      </c>
      <c r="U363" s="250">
        <f t="shared" si="129"/>
        <v>0.73474243984780052</v>
      </c>
      <c r="V363" s="382">
        <f t="shared" si="130"/>
        <v>23.992958261064732</v>
      </c>
      <c r="W363" s="401"/>
      <c r="X363" s="157">
        <f t="shared" si="131"/>
        <v>44545</v>
      </c>
      <c r="Y363" s="384">
        <f t="shared" si="132"/>
        <v>21.975846065361669</v>
      </c>
      <c r="Z363" s="384">
        <f t="shared" si="133"/>
        <v>22.580220306406183</v>
      </c>
      <c r="AA363" s="385">
        <f t="shared" si="134"/>
        <v>23.880501846121398</v>
      </c>
      <c r="AB363" s="196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5.444950646740282E-2</v>
      </c>
      <c r="AD363" s="230">
        <f>(INDEX(Models!$BJ363:$BT363,,AH363)*(1-AF363)+INDEX(Models!$BJ363:$BT363,,AH363+1)*AF363-ERP_i)*AE363*Ramure*Pc/MaxiM</f>
        <v>4.3028252643040462E-4</v>
      </c>
      <c r="AE363" s="304">
        <f t="shared" si="136"/>
        <v>0.5</v>
      </c>
      <c r="AF363" s="176">
        <f t="shared" si="137"/>
        <v>0.73474243984780052</v>
      </c>
      <c r="AG363" s="814">
        <f t="shared" si="143"/>
        <v>0</v>
      </c>
      <c r="AH363" s="175">
        <f t="shared" si="138"/>
        <v>6</v>
      </c>
      <c r="AI363" s="224">
        <f t="shared" si="139"/>
        <v>0.73474243984780052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44546</v>
      </c>
      <c r="B364" s="616">
        <v>24.138999999999999</v>
      </c>
      <c r="C364" s="389"/>
      <c r="D364" s="392">
        <f t="shared" si="122"/>
        <v>24.803407349830849</v>
      </c>
      <c r="E364" s="384">
        <f t="shared" si="144"/>
        <v>25.366225682918881</v>
      </c>
      <c r="F364" s="384">
        <f t="shared" si="123"/>
        <v>25.377084616872267</v>
      </c>
      <c r="G364" s="110">
        <f t="shared" si="145"/>
        <v>1.0083536729347424</v>
      </c>
      <c r="H364" s="413" t="b">
        <f>Wh_hp&gt;='2020'!Maxi_hp</f>
        <v>1</v>
      </c>
      <c r="I364" s="379">
        <f>IF(H364,Wh_hp,'2020'!Maxi_hp)</f>
        <v>25.377084616872267</v>
      </c>
      <c r="J364" s="85">
        <f>IF(H364,An,'2020'!An_max)</f>
        <v>2021</v>
      </c>
      <c r="K364" s="196">
        <f t="shared" si="124"/>
        <v>44546</v>
      </c>
      <c r="L364" s="147">
        <f>IF(t&lt;Tvie,1-EXP((T0-t)*PertePVj)+'2020'!Pspv,1-EXP((T0-t)*PertePVj)+Pspv)</f>
        <v>2.6786938603231093E-2</v>
      </c>
      <c r="M364" s="847"/>
      <c r="N364" s="847"/>
      <c r="O364" s="48">
        <f>IF(t&lt;Tnet,'2020'!Resal+('2020'!Salim-'2020'!Resal)*(1-EXP(('2020'!Tnet-t)/('2020'!Tau_j))),Resal+(Salim-Resal)*(1-EXP((Tnet-t)/(Tau_j))))*Salcycl</f>
        <v>2.2187705026492005E-2</v>
      </c>
      <c r="P364" s="168">
        <f>(INDEX(Models!$BJ364:$BT364,,T364)*(1-R364)+INDEX(Models!$BJ364:$BT364,,T364+1)*R364-ERP_i)*Q364*Ramure*Pc/MaxiM</f>
        <v>4.2790313061284605E-4</v>
      </c>
      <c r="Q364" s="304">
        <f t="shared" si="125"/>
        <v>0.5</v>
      </c>
      <c r="R364" s="176">
        <f t="shared" si="126"/>
        <v>0.73474777353780762</v>
      </c>
      <c r="S364" s="814">
        <f t="shared" si="127"/>
        <v>0</v>
      </c>
      <c r="T364" s="175">
        <f t="shared" si="128"/>
        <v>6</v>
      </c>
      <c r="U364" s="250">
        <f t="shared" si="129"/>
        <v>0.73474777353780762</v>
      </c>
      <c r="V364" s="382">
        <f t="shared" si="130"/>
        <v>23.939021246131965</v>
      </c>
      <c r="W364" s="401"/>
      <c r="X364" s="157">
        <f t="shared" si="131"/>
        <v>44546</v>
      </c>
      <c r="Y364" s="384">
        <f t="shared" si="132"/>
        <v>23.342084329231056</v>
      </c>
      <c r="Z364" s="384">
        <f t="shared" si="133"/>
        <v>23.98455719010817</v>
      </c>
      <c r="AA364" s="385">
        <f t="shared" si="134"/>
        <v>25.366225682918881</v>
      </c>
      <c r="AB364" s="196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5.4468824415652019E-2</v>
      </c>
      <c r="AD364" s="230">
        <f>(INDEX(Models!$BJ364:$BT364,,AH364)*(1-AF364)+INDEX(Models!$BJ364:$BT364,,AH364+1)*AF364-ERP_i)*AE364*Ramure*Pc/MaxiM</f>
        <v>4.2790313061284605E-4</v>
      </c>
      <c r="AE364" s="304">
        <f t="shared" si="136"/>
        <v>0.5</v>
      </c>
      <c r="AF364" s="176">
        <f t="shared" si="137"/>
        <v>0.73474777353780762</v>
      </c>
      <c r="AG364" s="814">
        <f t="shared" si="143"/>
        <v>0</v>
      </c>
      <c r="AH364" s="175">
        <f t="shared" si="138"/>
        <v>6</v>
      </c>
      <c r="AI364" s="224">
        <f t="shared" si="139"/>
        <v>0.73474777353780762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44547</v>
      </c>
      <c r="B365" s="616">
        <v>24.265000000000001</v>
      </c>
      <c r="C365" s="389"/>
      <c r="D365" s="392">
        <f t="shared" si="122"/>
        <v>24.933420835153541</v>
      </c>
      <c r="E365" s="384">
        <f t="shared" si="144"/>
        <v>25.50070467879026</v>
      </c>
      <c r="F365" s="384">
        <f t="shared" si="123"/>
        <v>25.511567876955379</v>
      </c>
      <c r="G365" s="110">
        <f t="shared" si="145"/>
        <v>1.0154262005701966</v>
      </c>
      <c r="H365" s="413" t="b">
        <f>Wh_hp&gt;='2020'!Maxi_hp</f>
        <v>1</v>
      </c>
      <c r="I365" s="379">
        <f>IF(H365,Wh_hp,'2020'!Maxi_hp)</f>
        <v>25.511567876955379</v>
      </c>
      <c r="J365" s="85">
        <f>IF(H365,An,'2020'!An_max)</f>
        <v>2021</v>
      </c>
      <c r="K365" s="196">
        <f t="shared" si="124"/>
        <v>44547</v>
      </c>
      <c r="L365" s="147">
        <f>IF(t&lt;Tvie,1-EXP((T0-t)*PertePVj)+'2020'!Pspv,1-EXP((T0-t)*PertePVj)+Pspv)</f>
        <v>2.680822818388149E-2</v>
      </c>
      <c r="M365" s="847"/>
      <c r="N365" s="847"/>
      <c r="O365" s="48">
        <f>IF(t&lt;Tnet,'2020'!Resal+('2020'!Salim-'2020'!Resal)*(1-EXP(('2020'!Tnet-t)/('2020'!Tau_j))),Resal+(Salim-Resal)*(1-EXP((Tnet-t)/(Tau_j))))*Salcycl</f>
        <v>2.2245810489642921E-2</v>
      </c>
      <c r="P365" s="168">
        <f>(INDEX(Models!$BJ365:$BT365,,T365)*(1-R365)+INDEX(Models!$BJ365:$BT365,,T365+1)*R365-ERP_i)*Q365*Ramure*Pc/MaxiM</f>
        <v>4.2581460369330937E-4</v>
      </c>
      <c r="Q365" s="304">
        <f t="shared" si="125"/>
        <v>0.5</v>
      </c>
      <c r="R365" s="176">
        <f t="shared" si="126"/>
        <v>0.73475289265609511</v>
      </c>
      <c r="S365" s="814">
        <f t="shared" si="127"/>
        <v>0</v>
      </c>
      <c r="T365" s="175">
        <f t="shared" si="128"/>
        <v>6</v>
      </c>
      <c r="U365" s="250">
        <f t="shared" si="129"/>
        <v>0.73475289265609511</v>
      </c>
      <c r="V365" s="382">
        <f t="shared" si="130"/>
        <v>23.896369806465867</v>
      </c>
      <c r="W365" s="401"/>
      <c r="X365" s="157">
        <f t="shared" si="131"/>
        <v>44547</v>
      </c>
      <c r="Y365" s="384">
        <f t="shared" si="132"/>
        <v>23.464826331731324</v>
      </c>
      <c r="Z365" s="384">
        <f t="shared" si="133"/>
        <v>24.111205017632361</v>
      </c>
      <c r="AA365" s="385">
        <f t="shared" si="134"/>
        <v>25.50070467879026</v>
      </c>
      <c r="AB365" s="196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5.4488677025211318E-2</v>
      </c>
      <c r="AD365" s="230">
        <f>(INDEX(Models!$BJ365:$BT365,,AH365)*(1-AF365)+INDEX(Models!$BJ365:$BT365,,AH365+1)*AF365-ERP_i)*AE365*Ramure*Pc/MaxiM</f>
        <v>4.2581460369330937E-4</v>
      </c>
      <c r="AE365" s="304">
        <f t="shared" si="136"/>
        <v>0.5</v>
      </c>
      <c r="AF365" s="176">
        <f t="shared" si="137"/>
        <v>0.73475289265609511</v>
      </c>
      <c r="AG365" s="814">
        <f t="shared" si="143"/>
        <v>0</v>
      </c>
      <c r="AH365" s="175">
        <f t="shared" si="138"/>
        <v>6</v>
      </c>
      <c r="AI365" s="224">
        <f t="shared" si="139"/>
        <v>0.73475289265609511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44548</v>
      </c>
      <c r="B366" s="616">
        <v>24.471</v>
      </c>
      <c r="C366" s="389"/>
      <c r="D366" s="392">
        <f t="shared" si="122"/>
        <v>25.145645531769919</v>
      </c>
      <c r="E366" s="384">
        <f t="shared" si="144"/>
        <v>25.719289995071613</v>
      </c>
      <c r="F366" s="384">
        <f t="shared" si="123"/>
        <v>25.730204802155043</v>
      </c>
      <c r="G366" s="110">
        <f t="shared" si="145"/>
        <v>1.0253856374950641</v>
      </c>
      <c r="H366" s="413" t="b">
        <f>Wh_hp&gt;='2020'!Maxi_hp</f>
        <v>1</v>
      </c>
      <c r="I366" s="379">
        <f>IF(H366,Wh_hp,'2020'!Maxi_hp)</f>
        <v>25.730204802155043</v>
      </c>
      <c r="J366" s="85">
        <f>IF(H366,An,'2020'!An_max)</f>
        <v>2021</v>
      </c>
      <c r="K366" s="196">
        <f t="shared" si="124"/>
        <v>44548</v>
      </c>
      <c r="L366" s="147">
        <f>IF(t&lt;Tvie,1-EXP((T0-t)*PertePVj)+'2020'!Pspv,1-EXP((T0-t)*PertePVj)+Pspv)</f>
        <v>2.682951729823544E-2</v>
      </c>
      <c r="M366" s="847"/>
      <c r="N366" s="847"/>
      <c r="O366" s="48">
        <f>IF(t&lt;Tnet,'2020'!Resal+('2020'!Salim-'2020'!Resal)*(1-EXP(('2020'!Tnet-t)/('2020'!Tau_j))),Resal+(Salim-Resal)*(1-EXP((Tnet-t)/(Tau_j))))*Salcycl</f>
        <v>2.2304055182379375E-2</v>
      </c>
      <c r="P366" s="168">
        <f>(INDEX(Models!$BJ366:$BT366,,T366)*(1-R366)+INDEX(Models!$BJ366:$BT366,,T366+1)*R366-ERP_i)*Q366*Ramure*Pc/MaxiM</f>
        <v>4.2420210672083577E-4</v>
      </c>
      <c r="Q366" s="304">
        <f t="shared" si="125"/>
        <v>0.5</v>
      </c>
      <c r="R366" s="176">
        <f t="shared" si="126"/>
        <v>0.73475780582789674</v>
      </c>
      <c r="S366" s="814">
        <f t="shared" si="127"/>
        <v>0</v>
      </c>
      <c r="T366" s="175">
        <f t="shared" si="128"/>
        <v>6</v>
      </c>
      <c r="U366" s="250">
        <f t="shared" si="129"/>
        <v>0.73475780582789674</v>
      </c>
      <c r="V366" s="382">
        <f t="shared" si="130"/>
        <v>23.865167508861074</v>
      </c>
      <c r="W366" s="401"/>
      <c r="X366" s="157">
        <f t="shared" si="131"/>
        <v>44548</v>
      </c>
      <c r="Y366" s="384">
        <f t="shared" si="132"/>
        <v>23.664933491568881</v>
      </c>
      <c r="Z366" s="384">
        <f t="shared" si="133"/>
        <v>24.317356426459945</v>
      </c>
      <c r="AA366" s="385">
        <f t="shared" si="134"/>
        <v>25.719289995071613</v>
      </c>
      <c r="AB366" s="196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5.4509030726754525E-2</v>
      </c>
      <c r="AD366" s="230">
        <f>(INDEX(Models!$BJ366:$BT366,,AH366)*(1-AF366)+INDEX(Models!$BJ366:$BT366,,AH366+1)*AF366-ERP_i)*AE366*Ramure*Pc/MaxiM</f>
        <v>4.2420210672083577E-4</v>
      </c>
      <c r="AE366" s="304">
        <f t="shared" si="136"/>
        <v>0.5</v>
      </c>
      <c r="AF366" s="176">
        <f t="shared" si="137"/>
        <v>0.73475780582789674</v>
      </c>
      <c r="AG366" s="814">
        <f t="shared" si="143"/>
        <v>0</v>
      </c>
      <c r="AH366" s="175">
        <f t="shared" si="138"/>
        <v>6</v>
      </c>
      <c r="AI366" s="224">
        <f t="shared" si="139"/>
        <v>0.73475780582789674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44549</v>
      </c>
      <c r="B367" s="616">
        <v>24.028000000000002</v>
      </c>
      <c r="C367" s="389"/>
      <c r="D367" s="392">
        <f t="shared" si="122"/>
        <v>24.690972511532671</v>
      </c>
      <c r="E367" s="384">
        <f t="shared" si="144"/>
        <v>25.255752430752327</v>
      </c>
      <c r="F367" s="384">
        <f t="shared" si="123"/>
        <v>25.266435662050515</v>
      </c>
      <c r="G367" s="110">
        <f t="shared" si="145"/>
        <v>1.0076497147343264</v>
      </c>
      <c r="H367" s="413" t="b">
        <f>Wh_hp&gt;='2020'!Maxi_hp</f>
        <v>1</v>
      </c>
      <c r="I367" s="379">
        <f>IF(H367,Wh_hp,'2020'!Maxi_hp)</f>
        <v>25.266435662050515</v>
      </c>
      <c r="J367" s="85">
        <f>IF(H367,An,'2020'!An_max)</f>
        <v>2021</v>
      </c>
      <c r="K367" s="196">
        <f t="shared" si="124"/>
        <v>44549</v>
      </c>
      <c r="L367" s="147">
        <f>IF(t&lt;Tvie,1-EXP((T0-t)*PertePVj)+'2020'!Pspv,1-EXP((T0-t)*PertePVj)+Pspv)</f>
        <v>2.6850805946303048E-2</v>
      </c>
      <c r="M367" s="847"/>
      <c r="N367" s="847"/>
      <c r="O367" s="48">
        <f>IF(t&lt;Tnet,'2020'!Resal+('2020'!Salim-'2020'!Resal)*(1-EXP(('2020'!Tnet-t)/('2020'!Tau_j))),Resal+(Salim-Resal)*(1-EXP((Tnet-t)/(Tau_j))))*Salcycl</f>
        <v>2.2362426966616965E-2</v>
      </c>
      <c r="P367" s="168">
        <f>(INDEX(Models!$BJ367:$BT367,,T367)*(1-R367)+INDEX(Models!$BJ367:$BT367,,T367+1)*R367-ERP_i)*Q367*Ramure*Pc/MaxiM</f>
        <v>4.2282304639558341E-4</v>
      </c>
      <c r="Q367" s="304">
        <f t="shared" si="125"/>
        <v>0.5</v>
      </c>
      <c r="R367" s="176">
        <f t="shared" si="126"/>
        <v>0.73476252133227637</v>
      </c>
      <c r="S367" s="814">
        <f t="shared" si="127"/>
        <v>0</v>
      </c>
      <c r="T367" s="175">
        <f t="shared" si="128"/>
        <v>6</v>
      </c>
      <c r="U367" s="250">
        <f t="shared" si="129"/>
        <v>0.73476252133227637</v>
      </c>
      <c r="V367" s="382">
        <f t="shared" si="130"/>
        <v>23.84558805371681</v>
      </c>
      <c r="W367" s="401"/>
      <c r="X367" s="157">
        <f t="shared" si="131"/>
        <v>44549</v>
      </c>
      <c r="Y367" s="384">
        <f t="shared" si="132"/>
        <v>23.237401404415397</v>
      </c>
      <c r="Z367" s="384">
        <f t="shared" si="133"/>
        <v>23.878559984845644</v>
      </c>
      <c r="AA367" s="385">
        <f t="shared" si="134"/>
        <v>25.255752430752327</v>
      </c>
      <c r="AB367" s="196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5.4529852146862332E-2</v>
      </c>
      <c r="AD367" s="230">
        <f>(INDEX(Models!$BJ367:$BT367,,AH367)*(1-AF367)+INDEX(Models!$BJ367:$BT367,,AH367+1)*AF367-ERP_i)*AE367*Ramure*Pc/MaxiM</f>
        <v>4.2282304639558341E-4</v>
      </c>
      <c r="AE367" s="304">
        <f t="shared" si="136"/>
        <v>0.5</v>
      </c>
      <c r="AF367" s="176">
        <f t="shared" si="137"/>
        <v>0.73476252133227637</v>
      </c>
      <c r="AG367" s="814">
        <f t="shared" si="143"/>
        <v>0</v>
      </c>
      <c r="AH367" s="175">
        <f t="shared" si="138"/>
        <v>6</v>
      </c>
      <c r="AI367" s="224">
        <f t="shared" si="139"/>
        <v>0.73476252133227637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44550</v>
      </c>
      <c r="B368" s="616">
        <v>24.557000000000002</v>
      </c>
      <c r="C368" s="389"/>
      <c r="D368" s="392">
        <f t="shared" si="122"/>
        <v>25.235120534332395</v>
      </c>
      <c r="E368" s="384">
        <f t="shared" si="144"/>
        <v>25.813891570446177</v>
      </c>
      <c r="F368" s="384">
        <f t="shared" si="123"/>
        <v>25.824781167990668</v>
      </c>
      <c r="G368" s="110">
        <f t="shared" si="145"/>
        <v>1.030170596826395</v>
      </c>
      <c r="H368" s="413" t="b">
        <f>Wh_hp&gt;='2020'!Maxi_hp</f>
        <v>1</v>
      </c>
      <c r="I368" s="379">
        <f>IF(H368,Wh_hp,'2020'!Maxi_hp)</f>
        <v>25.824781167990668</v>
      </c>
      <c r="J368" s="85">
        <f>IF(H368,An,'2020'!An_max)</f>
        <v>2021</v>
      </c>
      <c r="K368" s="196">
        <f t="shared" si="124"/>
        <v>44550</v>
      </c>
      <c r="L368" s="147">
        <f>IF(t&lt;Tvie,1-EXP((T0-t)*PertePVj)+'2020'!Pspv,1-EXP((T0-t)*PertePVj)+Pspv)</f>
        <v>2.6872094128094638E-2</v>
      </c>
      <c r="M368" s="847"/>
      <c r="N368" s="847"/>
      <c r="O368" s="48">
        <f>IF(t&lt;Tnet,'2020'!Resal+('2020'!Salim-'2020'!Resal)*(1-EXP(('2020'!Tnet-t)/('2020'!Tau_j))),Resal+(Salim-Resal)*(1-EXP((Tnet-t)/(Tau_j))))*Salcycl</f>
        <v>2.2420913736865802E-2</v>
      </c>
      <c r="P368" s="168">
        <f>(INDEX(Models!$BJ368:$BT368,,T368)*(1-R368)+INDEX(Models!$BJ368:$BT368,,T368+1)*R368-ERP_i)*Q368*Ramure*Pc/MaxiM</f>
        <v>4.2167240348153383E-4</v>
      </c>
      <c r="Q368" s="304">
        <f t="shared" si="125"/>
        <v>0.5</v>
      </c>
      <c r="R368" s="176">
        <f t="shared" si="126"/>
        <v>0.7347670471159794</v>
      </c>
      <c r="S368" s="814">
        <f t="shared" si="127"/>
        <v>0</v>
      </c>
      <c r="T368" s="175">
        <f t="shared" si="128"/>
        <v>6</v>
      </c>
      <c r="U368" s="250">
        <f t="shared" si="129"/>
        <v>0.7347670471159794</v>
      </c>
      <c r="V368" s="382">
        <f t="shared" si="130"/>
        <v>23.837799366096998</v>
      </c>
      <c r="W368" s="401"/>
      <c r="X368" s="157">
        <f t="shared" si="131"/>
        <v>44550</v>
      </c>
      <c r="Y368" s="384">
        <f t="shared" si="132"/>
        <v>23.749882500202379</v>
      </c>
      <c r="Z368" s="384">
        <f t="shared" si="133"/>
        <v>24.405715175666352</v>
      </c>
      <c r="AA368" s="385">
        <f t="shared" si="134"/>
        <v>25.813891570446177</v>
      </c>
      <c r="AB368" s="196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5.4551108302942637E-2</v>
      </c>
      <c r="AD368" s="230">
        <f>(INDEX(Models!$BJ368:$BT368,,AH368)*(1-AF368)+INDEX(Models!$BJ368:$BT368,,AH368+1)*AF368-ERP_i)*AE368*Ramure*Pc/MaxiM</f>
        <v>4.2167240348153383E-4</v>
      </c>
      <c r="AE368" s="304">
        <f t="shared" si="136"/>
        <v>0.5</v>
      </c>
      <c r="AF368" s="176">
        <f t="shared" si="137"/>
        <v>0.7347670471159794</v>
      </c>
      <c r="AG368" s="814">
        <f t="shared" si="143"/>
        <v>0</v>
      </c>
      <c r="AH368" s="175">
        <f t="shared" si="138"/>
        <v>6</v>
      </c>
      <c r="AI368" s="224">
        <f t="shared" si="139"/>
        <v>0.7347670471159794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44551</v>
      </c>
      <c r="B369" s="616">
        <v>19.010000000000002</v>
      </c>
      <c r="C369" s="389"/>
      <c r="D369" s="392">
        <f t="shared" si="122"/>
        <v>19.535372224696008</v>
      </c>
      <c r="E369" s="384">
        <f t="shared" si="144"/>
        <v>19.98461648079892</v>
      </c>
      <c r="F369" s="384">
        <f t="shared" si="123"/>
        <v>19.990592254889275</v>
      </c>
      <c r="G369" s="110">
        <f t="shared" si="145"/>
        <v>0.79723630857620864</v>
      </c>
      <c r="H369" s="413" t="b">
        <f>Wh_hp&gt;='2020'!Maxi_hp</f>
        <v>0</v>
      </c>
      <c r="I369" s="379">
        <f>IF(H369,Wh_hp,'2020'!Maxi_hp)</f>
        <v>21.664106207485137</v>
      </c>
      <c r="J369" s="85">
        <f>IF(H369,An,'2020'!An_max)</f>
        <v>2019</v>
      </c>
      <c r="K369" s="196">
        <f t="shared" si="124"/>
        <v>44551</v>
      </c>
      <c r="L369" s="147">
        <f>IF(t&lt;Tvie,1-EXP((T0-t)*PertePVj)+'2020'!Pspv,1-EXP((T0-t)*PertePVj)+Pspv)</f>
        <v>2.6893381843620424E-2</v>
      </c>
      <c r="M369" s="847"/>
      <c r="N369" s="847"/>
      <c r="O369" s="48">
        <f>IF(t&lt;Tnet,'2020'!Resal+('2020'!Salim-'2020'!Resal)*(1-EXP(('2020'!Tnet-t)/('2020'!Tau_j))),Resal+(Salim-Resal)*(1-EXP((Tnet-t)/(Tau_j))))*Salcycl</f>
        <v>2.247950349883086E-2</v>
      </c>
      <c r="P369" s="168">
        <f>(INDEX(Models!$BJ369:$BT369,,T369)*(1-R369)+INDEX(Models!$BJ369:$BT369,,T369+1)*R369-ERP_i)*Q369*Ramure*Pc/MaxiM</f>
        <v>4.2074490569395323E-4</v>
      </c>
      <c r="Q369" s="304">
        <f t="shared" si="125"/>
        <v>0.5</v>
      </c>
      <c r="R369" s="176">
        <f t="shared" si="126"/>
        <v>0.73477139080673148</v>
      </c>
      <c r="S369" s="814">
        <f t="shared" si="127"/>
        <v>0</v>
      </c>
      <c r="T369" s="175">
        <f t="shared" si="128"/>
        <v>6</v>
      </c>
      <c r="U369" s="250">
        <f t="shared" si="129"/>
        <v>0.73477139080673148</v>
      </c>
      <c r="V369" s="382">
        <f t="shared" si="130"/>
        <v>23.841969299120532</v>
      </c>
      <c r="W369" s="401"/>
      <c r="X369" s="157">
        <f t="shared" si="131"/>
        <v>44551</v>
      </c>
      <c r="Y369" s="384">
        <f t="shared" si="132"/>
        <v>18.385877091770819</v>
      </c>
      <c r="Z369" s="384">
        <f t="shared" si="133"/>
        <v>18.894000666241677</v>
      </c>
      <c r="AA369" s="385">
        <f t="shared" si="134"/>
        <v>19.98461648079892</v>
      </c>
      <c r="AB369" s="196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5.4572766788149207E-2</v>
      </c>
      <c r="AD369" s="230">
        <f>(INDEX(Models!$BJ369:$BT369,,AH369)*(1-AF369)+INDEX(Models!$BJ369:$BT369,,AH369+1)*AF369-ERP_i)*AE369*Ramure*Pc/MaxiM</f>
        <v>4.2074490569395323E-4</v>
      </c>
      <c r="AE369" s="304">
        <f t="shared" si="136"/>
        <v>0.5</v>
      </c>
      <c r="AF369" s="176">
        <f t="shared" si="137"/>
        <v>0.73477139080673148</v>
      </c>
      <c r="AG369" s="814">
        <f t="shared" si="143"/>
        <v>0</v>
      </c>
      <c r="AH369" s="175">
        <f t="shared" si="138"/>
        <v>6</v>
      </c>
      <c r="AI369" s="224">
        <f t="shared" si="139"/>
        <v>0.73477139080673148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44552</v>
      </c>
      <c r="B370" s="616">
        <v>23.795999999999999</v>
      </c>
      <c r="C370" s="389"/>
      <c r="D370" s="392">
        <f t="shared" si="122"/>
        <v>24.454176056499989</v>
      </c>
      <c r="E370" s="384">
        <f t="shared" si="144"/>
        <v>25.018037193196399</v>
      </c>
      <c r="F370" s="384">
        <f t="shared" si="123"/>
        <v>25.028510849440355</v>
      </c>
      <c r="G370" s="110">
        <f t="shared" si="145"/>
        <v>0.99738862383358073</v>
      </c>
      <c r="H370" s="413" t="b">
        <f>Wh_hp&gt;='2020'!Maxi_hp</f>
        <v>1</v>
      </c>
      <c r="I370" s="379">
        <f>IF(H370,Wh_hp,'2020'!Maxi_hp)</f>
        <v>25.028510849440355</v>
      </c>
      <c r="J370" s="85">
        <f>IF(H370,An,'2020'!An_max)</f>
        <v>2021</v>
      </c>
      <c r="K370" s="196">
        <f t="shared" si="124"/>
        <v>44552</v>
      </c>
      <c r="L370" s="147">
        <f>IF(t&lt;Tvie,1-EXP((T0-t)*PertePVj)+'2020'!Pspv,1-EXP((T0-t)*PertePVj)+Pspv)</f>
        <v>2.6914669092890732E-2</v>
      </c>
      <c r="M370" s="847"/>
      <c r="N370" s="847"/>
      <c r="O370" s="48">
        <f>IF(t&lt;Tnet,'2020'!Resal+('2020'!Salim-'2020'!Resal)*(1-EXP(('2020'!Tnet-t)/('2020'!Tau_j))),Resal+(Salim-Resal)*(1-EXP((Tnet-t)/(Tau_j))))*Salcycl</f>
        <v>2.2538184444371619E-2</v>
      </c>
      <c r="P370" s="168">
        <f>(INDEX(Models!$BJ370:$BT370,,T370)*(1-R370)+INDEX(Models!$BJ370:$BT370,,T370+1)*R370-ERP_i)*Q370*Ramure*Pc/MaxiM</f>
        <v>4.2003503223595677E-4</v>
      </c>
      <c r="Q370" s="304">
        <f t="shared" si="125"/>
        <v>0.5</v>
      </c>
      <c r="R370" s="176">
        <f t="shared" si="126"/>
        <v>0.73477555972600994</v>
      </c>
      <c r="S370" s="814">
        <f t="shared" si="127"/>
        <v>0</v>
      </c>
      <c r="T370" s="175">
        <f t="shared" si="128"/>
        <v>6</v>
      </c>
      <c r="U370" s="250">
        <f t="shared" si="129"/>
        <v>0.73477555972600994</v>
      </c>
      <c r="V370" s="382">
        <f t="shared" si="130"/>
        <v>23.858265625643746</v>
      </c>
      <c r="W370" s="401"/>
      <c r="X370" s="157">
        <f t="shared" si="131"/>
        <v>44552</v>
      </c>
      <c r="Y370" s="384">
        <f t="shared" si="132"/>
        <v>23.015591890822758</v>
      </c>
      <c r="Z370" s="384">
        <f t="shared" si="133"/>
        <v>23.65218255768756</v>
      </c>
      <c r="AA370" s="385">
        <f t="shared" si="134"/>
        <v>25.018037193196399</v>
      </c>
      <c r="AB370" s="196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5.4594795945074277E-2</v>
      </c>
      <c r="AD370" s="230">
        <f>(INDEX(Models!$BJ370:$BT370,,AH370)*(1-AF370)+INDEX(Models!$BJ370:$BT370,,AH370+1)*AF370-ERP_i)*AE370*Ramure*Pc/MaxiM</f>
        <v>4.2003503223595677E-4</v>
      </c>
      <c r="AE370" s="304">
        <f t="shared" si="136"/>
        <v>0.5</v>
      </c>
      <c r="AF370" s="176">
        <f t="shared" si="137"/>
        <v>0.73477555972600994</v>
      </c>
      <c r="AG370" s="814">
        <f t="shared" si="143"/>
        <v>0</v>
      </c>
      <c r="AH370" s="175">
        <f t="shared" si="138"/>
        <v>6</v>
      </c>
      <c r="AI370" s="224">
        <f t="shared" si="139"/>
        <v>0.73477555972600994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44553</v>
      </c>
      <c r="B371" s="616">
        <v>5.4830000000000005</v>
      </c>
      <c r="C371" s="389"/>
      <c r="D371" s="392">
        <f t="shared" si="122"/>
        <v>5.6347781352208841</v>
      </c>
      <c r="E371" s="384">
        <f t="shared" si="144"/>
        <v>5.7650506682213685</v>
      </c>
      <c r="F371" s="384">
        <f t="shared" si="123"/>
        <v>5.7650506682213685</v>
      </c>
      <c r="G371" s="110">
        <f t="shared" si="145"/>
        <v>0.22944416244221874</v>
      </c>
      <c r="H371" s="413" t="b">
        <f>Wh_hp&gt;='2020'!Maxi_hp</f>
        <v>0</v>
      </c>
      <c r="I371" s="379">
        <f>IF(H371,Wh_hp,'2020'!Maxi_hp)</f>
        <v>21.278593952413768</v>
      </c>
      <c r="J371" s="85">
        <f>IF(H371,An,'2020'!An_max)</f>
        <v>2020</v>
      </c>
      <c r="K371" s="196">
        <f t="shared" si="124"/>
        <v>44553</v>
      </c>
      <c r="L371" s="147">
        <f>IF(t&lt;Tvie,1-EXP((T0-t)*PertePVj)+'2020'!Pspv,1-EXP((T0-t)*PertePVj)+Pspv)</f>
        <v>2.6935955875915553E-2</v>
      </c>
      <c r="M371" s="847"/>
      <c r="N371" s="847"/>
      <c r="O371" s="48">
        <f>IF(t&lt;Tnet,'2020'!Resal+('2020'!Salim-'2020'!Resal)*(1-EXP(('2020'!Tnet-t)/('2020'!Tau_j))),Resal+(Salim-Resal)*(1-EXP((Tnet-t)/(Tau_j))))*Salcycl</f>
        <v>2.2596945022284806E-2</v>
      </c>
      <c r="P371" s="168">
        <f>(INDEX(Models!$BJ371:$BT371,,T371)*(1-R371)+INDEX(Models!$BJ371:$BT371,,T371+1)*R371-ERP_i)*Q371*Ramure*Pc/MaxiM</f>
        <v>4.1953579400423049E-4</v>
      </c>
      <c r="Q371" s="304">
        <f t="shared" si="125"/>
        <v>0.5</v>
      </c>
      <c r="R371" s="176">
        <f t="shared" si="126"/>
        <v>0.73477555972600994</v>
      </c>
      <c r="S371" s="814">
        <f t="shared" si="127"/>
        <v>0</v>
      </c>
      <c r="T371" s="175">
        <f t="shared" si="128"/>
        <v>6</v>
      </c>
      <c r="U371" s="250">
        <f t="shared" si="129"/>
        <v>0.73477555972600994</v>
      </c>
      <c r="V371" s="382">
        <f t="shared" si="130"/>
        <v>23.886856073846236</v>
      </c>
      <c r="W371" s="401"/>
      <c r="X371" s="157">
        <f t="shared" si="131"/>
        <v>44553</v>
      </c>
      <c r="Y371" s="384">
        <f t="shared" si="132"/>
        <v>5.3033741379850179</v>
      </c>
      <c r="Z371" s="384">
        <f t="shared" si="133"/>
        <v>5.4501799444854786</v>
      </c>
      <c r="AA371" s="385">
        <f t="shared" si="134"/>
        <v>5.7650506682213685</v>
      </c>
      <c r="AB371" s="196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5.4617165027108769E-2</v>
      </c>
      <c r="AD371" s="230">
        <f>(INDEX(Models!$BJ371:$BT371,,AH371)*(1-AF371)+INDEX(Models!$BJ371:$BT371,,AH371+1)*AF371-ERP_i)*AE371*Ramure*Pc/MaxiM</f>
        <v>4.1953579400423049E-4</v>
      </c>
      <c r="AE371" s="304">
        <f t="shared" si="136"/>
        <v>0.5</v>
      </c>
      <c r="AF371" s="176">
        <f t="shared" si="137"/>
        <v>0.73477555972600994</v>
      </c>
      <c r="AG371" s="814">
        <f t="shared" si="143"/>
        <v>0</v>
      </c>
      <c r="AH371" s="175">
        <f t="shared" si="138"/>
        <v>6</v>
      </c>
      <c r="AI371" s="224">
        <f t="shared" si="139"/>
        <v>0.73477555972600994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44554</v>
      </c>
      <c r="B372" s="616">
        <v>10.665000000000001</v>
      </c>
      <c r="C372" s="389"/>
      <c r="D372" s="392">
        <f t="shared" si="122"/>
        <v>10.960463879339759</v>
      </c>
      <c r="E372" s="384">
        <f t="shared" si="144"/>
        <v>11.214537915926993</v>
      </c>
      <c r="F372" s="384">
        <f t="shared" si="123"/>
        <v>11.215516699529529</v>
      </c>
      <c r="G372" s="110">
        <f t="shared" si="145"/>
        <v>0.44556586833201922</v>
      </c>
      <c r="H372" s="413" t="b">
        <f>Wh_hp&gt;='2020'!Maxi_hp</f>
        <v>0</v>
      </c>
      <c r="I372" s="379">
        <f>IF(H372,Wh_hp,'2020'!Maxi_hp)</f>
        <v>16.469496575417363</v>
      </c>
      <c r="J372" s="85">
        <f>IF(H372,An,'2020'!An_max)</f>
        <v>2019</v>
      </c>
      <c r="K372" s="196">
        <f t="shared" si="124"/>
        <v>44554</v>
      </c>
      <c r="L372" s="147">
        <f>IF(t&lt;Tvie,1-EXP((T0-t)*PertePVj)+'2020'!Pspv,1-EXP((T0-t)*PertePVj)+Pspv)</f>
        <v>2.6957242192705101E-2</v>
      </c>
      <c r="M372" s="847"/>
      <c r="N372" s="847"/>
      <c r="O372" s="48">
        <f>IF(t&lt;Tnet,'2020'!Resal+('2020'!Salim-'2020'!Resal)*(1-EXP(('2020'!Tnet-t)/('2020'!Tau_j))),Resal+(Salim-Resal)*(1-EXP((Tnet-t)/(Tau_j))))*Salcycl</f>
        <v>2.2655774004419354E-2</v>
      </c>
      <c r="P372" s="168">
        <f>(INDEX(Models!$BJ372:$BT372,,T372)*(1-R372)+INDEX(Models!$BJ372:$BT372,,T372+1)*R372-ERP_i)*Q372*Ramure*Pc/MaxiM</f>
        <v>4.1924184067301139E-4</v>
      </c>
      <c r="Q372" s="304">
        <f t="shared" si="125"/>
        <v>0.5</v>
      </c>
      <c r="R372" s="176">
        <f t="shared" si="126"/>
        <v>0.73477555972600994</v>
      </c>
      <c r="S372" s="814">
        <f t="shared" si="127"/>
        <v>0</v>
      </c>
      <c r="T372" s="175">
        <f t="shared" si="128"/>
        <v>6</v>
      </c>
      <c r="U372" s="250">
        <f t="shared" si="129"/>
        <v>0.73477555972600994</v>
      </c>
      <c r="V372" s="382">
        <f t="shared" si="130"/>
        <v>23.927908249383577</v>
      </c>
      <c r="W372" s="401"/>
      <c r="X372" s="157">
        <f t="shared" si="131"/>
        <v>44554</v>
      </c>
      <c r="Y372" s="384">
        <f t="shared" si="132"/>
        <v>10.315982631169984</v>
      </c>
      <c r="Z372" s="384">
        <f t="shared" si="133"/>
        <v>10.601777309782928</v>
      </c>
      <c r="AA372" s="385">
        <f t="shared" si="134"/>
        <v>11.214537915926993</v>
      </c>
      <c r="AB372" s="196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5.4639844346490322E-2</v>
      </c>
      <c r="AD372" s="230">
        <f>(INDEX(Models!$BJ372:$BT372,,AH372)*(1-AF372)+INDEX(Models!$BJ372:$BT372,,AH372+1)*AF372-ERP_i)*AE372*Ramure*Pc/MaxiM</f>
        <v>4.1924184067301139E-4</v>
      </c>
      <c r="AE372" s="304">
        <f t="shared" si="136"/>
        <v>0.5</v>
      </c>
      <c r="AF372" s="176">
        <f t="shared" si="137"/>
        <v>0.73477555972600994</v>
      </c>
      <c r="AG372" s="814">
        <f t="shared" si="143"/>
        <v>0</v>
      </c>
      <c r="AH372" s="175">
        <f t="shared" si="138"/>
        <v>6</v>
      </c>
      <c r="AI372" s="224">
        <f t="shared" si="139"/>
        <v>0.73477555972600994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44555</v>
      </c>
      <c r="B373" s="616">
        <v>9.0129999999999999</v>
      </c>
      <c r="C373" s="389"/>
      <c r="D373" s="392">
        <f t="shared" si="122"/>
        <v>9.262899390981584</v>
      </c>
      <c r="E373" s="384">
        <f t="shared" si="144"/>
        <v>9.4781933351861571</v>
      </c>
      <c r="F373" s="384">
        <f t="shared" si="123"/>
        <v>9.4786236205265073</v>
      </c>
      <c r="G373" s="110">
        <f t="shared" si="145"/>
        <v>0.37567557801046714</v>
      </c>
      <c r="H373" s="413" t="b">
        <f>Wh_hp&gt;='2020'!Maxi_hp</f>
        <v>0</v>
      </c>
      <c r="I373" s="379">
        <f>IF(H373,Wh_hp,'2020'!Maxi_hp)</f>
        <v>16.698245889929026</v>
      </c>
      <c r="J373" s="85">
        <f>IF(H373,An,'2020'!An_max)</f>
        <v>2018</v>
      </c>
      <c r="K373" s="196">
        <f t="shared" si="124"/>
        <v>44555</v>
      </c>
      <c r="L373" s="147">
        <f>IF(t&lt;Tvie,1-EXP((T0-t)*PertePVj)+'2020'!Pspv,1-EXP((T0-t)*PertePVj)+Pspv)</f>
        <v>2.6978528043269813E-2</v>
      </c>
      <c r="M373" s="847"/>
      <c r="N373" s="847"/>
      <c r="O373" s="48">
        <f>IF(t&lt;Tnet,'2020'!Resal+('2020'!Salim-'2020'!Resal)*(1-EXP(('2020'!Tnet-t)/('2020'!Tau_j))),Resal+(Salim-Resal)*(1-EXP((Tnet-t)/(Tau_j))))*Salcycl</f>
        <v>2.271466054668143E-2</v>
      </c>
      <c r="P373" s="168">
        <f>(INDEX(Models!$BJ373:$BT373,,T373)*(1-R373)+INDEX(Models!$BJ373:$BT373,,T373+1)*R373-ERP_i)*Q373*Ramure*Pc/MaxiM</f>
        <v>4.1912948784668679E-4</v>
      </c>
      <c r="Q373" s="304">
        <f t="shared" si="125"/>
        <v>0.5</v>
      </c>
      <c r="R373" s="176">
        <f t="shared" si="126"/>
        <v>0.73477555972600994</v>
      </c>
      <c r="S373" s="814">
        <f t="shared" si="127"/>
        <v>0</v>
      </c>
      <c r="T373" s="175">
        <f t="shared" si="128"/>
        <v>6</v>
      </c>
      <c r="U373" s="250">
        <f t="shared" si="129"/>
        <v>0.73477555972600994</v>
      </c>
      <c r="V373" s="382">
        <f t="shared" si="130"/>
        <v>23.982478256686893</v>
      </c>
      <c r="W373" s="401"/>
      <c r="X373" s="157">
        <f t="shared" si="131"/>
        <v>44555</v>
      </c>
      <c r="Y373" s="384">
        <f t="shared" si="132"/>
        <v>8.7183586930937977</v>
      </c>
      <c r="Z373" s="384">
        <f t="shared" si="133"/>
        <v>8.9600886972836502</v>
      </c>
      <c r="AA373" s="385">
        <f t="shared" si="134"/>
        <v>9.4781933351861571</v>
      </c>
      <c r="AB373" s="196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5.4662805408192454E-2</v>
      </c>
      <c r="AD373" s="230">
        <f>(INDEX(Models!$BJ373:$BT373,,AH373)*(1-AF373)+INDEX(Models!$BJ373:$BT373,,AH373+1)*AF373-ERP_i)*AE373*Ramure*Pc/MaxiM</f>
        <v>4.1912948784668679E-4</v>
      </c>
      <c r="AE373" s="304">
        <f t="shared" si="136"/>
        <v>0.5</v>
      </c>
      <c r="AF373" s="176">
        <f t="shared" si="137"/>
        <v>0.73477555972600994</v>
      </c>
      <c r="AG373" s="814">
        <f t="shared" si="143"/>
        <v>0</v>
      </c>
      <c r="AH373" s="175">
        <f t="shared" si="138"/>
        <v>6</v>
      </c>
      <c r="AI373" s="224">
        <f t="shared" si="139"/>
        <v>0.73477555972600994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44556</v>
      </c>
      <c r="B374" s="616">
        <v>11.58</v>
      </c>
      <c r="C374" s="389"/>
      <c r="D374" s="392">
        <f t="shared" si="122"/>
        <v>11.901333791921711</v>
      </c>
      <c r="E374" s="384">
        <f t="shared" si="144"/>
        <v>12.178686251034328</v>
      </c>
      <c r="F374" s="384">
        <f t="shared" si="123"/>
        <v>12.180009887458798</v>
      </c>
      <c r="G374" s="110">
        <f t="shared" si="145"/>
        <v>0.48132468298128034</v>
      </c>
      <c r="H374" s="413" t="b">
        <f>Wh_hp&gt;='2020'!Maxi_hp</f>
        <v>0</v>
      </c>
      <c r="I374" s="379">
        <f>IF(H374,Wh_hp,'2020'!Maxi_hp)</f>
        <v>24.848198087219174</v>
      </c>
      <c r="J374" s="85">
        <f>IF(H374,An,'2020'!An_max)</f>
        <v>2018</v>
      </c>
      <c r="K374" s="196">
        <f t="shared" si="124"/>
        <v>44556</v>
      </c>
      <c r="L374" s="147">
        <f>IF(t&lt;Tvie,1-EXP((T0-t)*PertePVj)+'2020'!Pspv,1-EXP((T0-t)*PertePVj)+Pspv)</f>
        <v>2.699981342761968E-2</v>
      </c>
      <c r="M374" s="847"/>
      <c r="N374" s="847"/>
      <c r="O374" s="48">
        <f>IF(t&lt;Tnet,'2020'!Resal+('2020'!Salim-'2020'!Resal)*(1-EXP(('2020'!Tnet-t)/('2020'!Tau_j))),Resal+(Salim-Resal)*(1-EXP((Tnet-t)/(Tau_j))))*Salcycl</f>
        <v>2.277359424454025E-2</v>
      </c>
      <c r="P374" s="168">
        <f>(INDEX(Models!$BJ374:$BT374,,T374)*(1-R374)+INDEX(Models!$BJ374:$BT374,,T374+1)*R374-ERP_i)*Q374*Ramure*Pc/MaxiM</f>
        <v>4.1918353264315414E-4</v>
      </c>
      <c r="Q374" s="304">
        <f t="shared" si="125"/>
        <v>0.5</v>
      </c>
      <c r="R374" s="176">
        <f t="shared" si="126"/>
        <v>0.73477555972600994</v>
      </c>
      <c r="S374" s="814">
        <f t="shared" si="127"/>
        <v>0</v>
      </c>
      <c r="T374" s="175">
        <f t="shared" si="128"/>
        <v>6</v>
      </c>
      <c r="U374" s="250">
        <f t="shared" si="129"/>
        <v>0.73477555972600994</v>
      </c>
      <c r="V374" s="382">
        <f t="shared" si="130"/>
        <v>24.051132852418956</v>
      </c>
      <c r="W374" s="401"/>
      <c r="X374" s="157">
        <f t="shared" si="131"/>
        <v>44556</v>
      </c>
      <c r="Y374" s="384">
        <f t="shared" si="132"/>
        <v>11.201842082871519</v>
      </c>
      <c r="Z374" s="384">
        <f t="shared" si="133"/>
        <v>11.512682358605311</v>
      </c>
      <c r="AA374" s="385">
        <f t="shared" si="134"/>
        <v>12.178686251034328</v>
      </c>
      <c r="AB374" s="196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5.4686021028947568E-2</v>
      </c>
      <c r="AD374" s="230">
        <f>(INDEX(Models!$BJ374:$BT374,,AH374)*(1-AF374)+INDEX(Models!$BJ374:$BT374,,AH374+1)*AF374-ERP_i)*AE374*Ramure*Pc/MaxiM</f>
        <v>4.1918353264315414E-4</v>
      </c>
      <c r="AE374" s="304">
        <f t="shared" si="136"/>
        <v>0.5</v>
      </c>
      <c r="AF374" s="176">
        <f t="shared" si="137"/>
        <v>0.73477555972600994</v>
      </c>
      <c r="AG374" s="814">
        <f t="shared" si="143"/>
        <v>0</v>
      </c>
      <c r="AH374" s="175">
        <f t="shared" si="138"/>
        <v>6</v>
      </c>
      <c r="AI374" s="224">
        <f t="shared" si="139"/>
        <v>0.73477555972600994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44557</v>
      </c>
      <c r="B375" s="616">
        <v>12.75</v>
      </c>
      <c r="C375" s="389"/>
      <c r="D375" s="392">
        <f t="shared" si="122"/>
        <v>13.104086818658415</v>
      </c>
      <c r="E375" s="384">
        <f t="shared" si="144"/>
        <v>13.410277862062078</v>
      </c>
      <c r="F375" s="384">
        <f t="shared" si="123"/>
        <v>13.412113611372103</v>
      </c>
      <c r="G375" s="110">
        <f t="shared" si="145"/>
        <v>0.52816623287581765</v>
      </c>
      <c r="H375" s="413" t="b">
        <f>Wh_hp&gt;='2020'!Maxi_hp</f>
        <v>0</v>
      </c>
      <c r="I375" s="379">
        <f>IF(H375,Wh_hp,'2020'!Maxi_hp)</f>
        <v>25.062175747198527</v>
      </c>
      <c r="J375" s="85">
        <f>IF(H375,An,'2020'!An_max)</f>
        <v>2018</v>
      </c>
      <c r="K375" s="196">
        <f t="shared" si="124"/>
        <v>44557</v>
      </c>
      <c r="L375" s="147">
        <f>IF(t&lt;Tvie,1-EXP((T0-t)*PertePVj)+'2020'!Pspv,1-EXP((T0-t)*PertePVj)+Pspv)</f>
        <v>2.7021098345765139E-2</v>
      </c>
      <c r="M375" s="847"/>
      <c r="N375" s="847"/>
      <c r="O375" s="48">
        <f>IF(t&lt;Tnet,'2020'!Resal+('2020'!Salim-'2020'!Resal)*(1-EXP(('2020'!Tnet-t)/('2020'!Tau_j))),Resal+(Salim-Resal)*(1-EXP((Tnet-t)/(Tau_j))))*Salcycl</f>
        <v>2.2832565182700867E-2</v>
      </c>
      <c r="P375" s="168">
        <f>(INDEX(Models!$BJ375:$BT375,,T375)*(1-R375)+INDEX(Models!$BJ375:$BT375,,T375+1)*R375-ERP_i)*Q375*Ramure*Pc/MaxiM</f>
        <v>4.1964158508282925E-4</v>
      </c>
      <c r="Q375" s="304">
        <f t="shared" si="125"/>
        <v>0.5</v>
      </c>
      <c r="R375" s="176">
        <f t="shared" si="126"/>
        <v>0.73477555972600994</v>
      </c>
      <c r="S375" s="814">
        <f t="shared" si="127"/>
        <v>0</v>
      </c>
      <c r="T375" s="175">
        <f t="shared" si="128"/>
        <v>6</v>
      </c>
      <c r="U375" s="250">
        <f t="shared" si="129"/>
        <v>0.73477555972600994</v>
      </c>
      <c r="V375" s="382">
        <f t="shared" si="130"/>
        <v>24.13330009953043</v>
      </c>
      <c r="W375" s="401"/>
      <c r="X375" s="157">
        <f t="shared" si="131"/>
        <v>44557</v>
      </c>
      <c r="Y375" s="384">
        <f t="shared" si="132"/>
        <v>12.334072837663417</v>
      </c>
      <c r="Z375" s="384">
        <f t="shared" si="133"/>
        <v>12.676608728815527</v>
      </c>
      <c r="AA375" s="385">
        <f t="shared" si="134"/>
        <v>13.410277862062078</v>
      </c>
      <c r="AB375" s="196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5.4709465440840356E-2</v>
      </c>
      <c r="AD375" s="230">
        <f>(INDEX(Models!$BJ375:$BT375,,AH375)*(1-AF375)+INDEX(Models!$BJ375:$BT375,,AH375+1)*AF375-ERP_i)*AE375*Ramure*Pc/MaxiM</f>
        <v>4.1964158508282925E-4</v>
      </c>
      <c r="AE375" s="304">
        <f t="shared" si="136"/>
        <v>0.5</v>
      </c>
      <c r="AF375" s="176">
        <f t="shared" si="137"/>
        <v>0.73477555972600994</v>
      </c>
      <c r="AG375" s="814">
        <f t="shared" si="143"/>
        <v>0</v>
      </c>
      <c r="AH375" s="175">
        <f t="shared" si="138"/>
        <v>6</v>
      </c>
      <c r="AI375" s="224">
        <f t="shared" si="139"/>
        <v>0.73477555972600994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44558</v>
      </c>
      <c r="B376" s="616">
        <v>5.0149999999999997</v>
      </c>
      <c r="C376" s="389"/>
      <c r="D376" s="392">
        <f t="shared" si="122"/>
        <v>5.1543869037384287</v>
      </c>
      <c r="E376" s="384">
        <f t="shared" si="144"/>
        <v>5.275143181371428</v>
      </c>
      <c r="F376" s="384">
        <f t="shared" si="123"/>
        <v>5.275143181371428</v>
      </c>
      <c r="G376" s="110">
        <f t="shared" si="145"/>
        <v>0.2069013348059966</v>
      </c>
      <c r="H376" s="413" t="b">
        <f>Wh_hp&gt;='2020'!Maxi_hp</f>
        <v>0</v>
      </c>
      <c r="I376" s="379">
        <f>IF(H376,Wh_hp,'2020'!Maxi_hp)</f>
        <v>6.4449776547907529</v>
      </c>
      <c r="J376" s="85">
        <f>IF(H376,An,'2020'!An_max)</f>
        <v>2020</v>
      </c>
      <c r="K376" s="196">
        <f t="shared" si="124"/>
        <v>44558</v>
      </c>
      <c r="L376" s="147">
        <f>IF(t&lt;Tvie,1-EXP((T0-t)*PertePVj)+'2020'!Pspv,1-EXP((T0-t)*PertePVj)+Pspv)</f>
        <v>2.7042382797716071E-2</v>
      </c>
      <c r="M376" s="847"/>
      <c r="N376" s="847"/>
      <c r="O376" s="48">
        <f>IF(t&lt;Tnet,'2020'!Resal+('2020'!Salim-'2020'!Resal)*(1-EXP(('2020'!Tnet-t)/('2020'!Tau_j))),Resal+(Salim-Resal)*(1-EXP((Tnet-t)/(Tau_j))))*Salcycl</f>
        <v>2.2891563978668237E-2</v>
      </c>
      <c r="P376" s="168">
        <f>(INDEX(Models!$BJ376:$BT376,,T376)*(1-R376)+INDEX(Models!$BJ376:$BT376,,T376+1)*R376-ERP_i)*Q376*Ramure*Pc/MaxiM</f>
        <v>4.2031967490073599E-4</v>
      </c>
      <c r="Q376" s="304">
        <f t="shared" si="125"/>
        <v>0.5</v>
      </c>
      <c r="R376" s="176">
        <f t="shared" si="126"/>
        <v>0.73477555972600994</v>
      </c>
      <c r="S376" s="814">
        <f t="shared" si="127"/>
        <v>0</v>
      </c>
      <c r="T376" s="175">
        <f t="shared" si="128"/>
        <v>6</v>
      </c>
      <c r="U376" s="250">
        <f t="shared" si="129"/>
        <v>0.73477555972600994</v>
      </c>
      <c r="V376" s="382">
        <f t="shared" si="130"/>
        <v>24.228418349890145</v>
      </c>
      <c r="W376" s="401"/>
      <c r="X376" s="157">
        <f t="shared" si="131"/>
        <v>44558</v>
      </c>
      <c r="Y376" s="384">
        <f t="shared" si="132"/>
        <v>4.8515735374180604</v>
      </c>
      <c r="Z376" s="384">
        <f t="shared" si="133"/>
        <v>4.9864181662595364</v>
      </c>
      <c r="AA376" s="385">
        <f t="shared" si="134"/>
        <v>5.275143181371428</v>
      </c>
      <c r="AB376" s="196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5.4733114379054496E-2</v>
      </c>
      <c r="AD376" s="230">
        <f>(INDEX(Models!$BJ376:$BT376,,AH376)*(1-AF376)+INDEX(Models!$BJ376:$BT376,,AH376+1)*AF376-ERP_i)*AE376*Ramure*Pc/MaxiM</f>
        <v>4.2031967490073599E-4</v>
      </c>
      <c r="AE376" s="304">
        <f t="shared" si="136"/>
        <v>0.5</v>
      </c>
      <c r="AF376" s="176">
        <f t="shared" si="137"/>
        <v>0.73477555972600994</v>
      </c>
      <c r="AG376" s="814">
        <f t="shared" si="143"/>
        <v>0</v>
      </c>
      <c r="AH376" s="175">
        <f t="shared" si="138"/>
        <v>6</v>
      </c>
      <c r="AI376" s="224">
        <f t="shared" si="139"/>
        <v>0.73477555972600994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44559</v>
      </c>
      <c r="B377" s="616">
        <v>5.46</v>
      </c>
      <c r="C377" s="389"/>
      <c r="D377" s="392">
        <f t="shared" si="122"/>
        <v>5.6118779961164567</v>
      </c>
      <c r="E377" s="384">
        <f t="shared" si="144"/>
        <v>5.7436992353671474</v>
      </c>
      <c r="F377" s="384">
        <f t="shared" si="123"/>
        <v>5.7436992353671474</v>
      </c>
      <c r="G377" s="110">
        <f t="shared" si="145"/>
        <v>0.2242651919328591</v>
      </c>
      <c r="H377" s="413" t="b">
        <f>Wh_hp&gt;='2020'!Maxi_hp</f>
        <v>0</v>
      </c>
      <c r="I377" s="379">
        <f>IF(H377,Wh_hp,'2020'!Maxi_hp)</f>
        <v>24.833306177671162</v>
      </c>
      <c r="J377" s="85">
        <f>IF(H377,An,'2020'!An_max)</f>
        <v>2019</v>
      </c>
      <c r="K377" s="196">
        <f t="shared" si="124"/>
        <v>44559</v>
      </c>
      <c r="L377" s="147">
        <f>IF(t&lt;Tvie,1-EXP((T0-t)*PertePVj)+'2020'!Pspv,1-EXP((T0-t)*PertePVj)+Pspv)</f>
        <v>2.7063666783483022E-2</v>
      </c>
      <c r="M377" s="847"/>
      <c r="N377" s="847"/>
      <c r="O377" s="48">
        <f>IF(t&lt;Tnet,'2020'!Resal+('2020'!Salim-'2020'!Resal)*(1-EXP(('2020'!Tnet-t)/('2020'!Tau_j))),Resal+(Salim-Resal)*(1-EXP((Tnet-t)/(Tau_j))))*Salcycl</f>
        <v>2.2950581819987114E-2</v>
      </c>
      <c r="P377" s="168">
        <f>(INDEX(Models!$BJ377:$BT377,,T377)*(1-R377)+INDEX(Models!$BJ377:$BT377,,T377+1)*R377-ERP_i)*Q377*Ramure*Pc/MaxiM</f>
        <v>4.2122057704432404E-4</v>
      </c>
      <c r="Q377" s="304">
        <f t="shared" si="125"/>
        <v>0.5</v>
      </c>
      <c r="R377" s="176">
        <f t="shared" si="126"/>
        <v>0.73477555972600994</v>
      </c>
      <c r="S377" s="814">
        <f t="shared" si="127"/>
        <v>0</v>
      </c>
      <c r="T377" s="175">
        <f t="shared" si="128"/>
        <v>6</v>
      </c>
      <c r="U377" s="250">
        <f t="shared" si="129"/>
        <v>0.73477555972600994</v>
      </c>
      <c r="V377" s="382">
        <f t="shared" si="130"/>
        <v>24.335921631936863</v>
      </c>
      <c r="W377" s="401"/>
      <c r="X377" s="157">
        <f t="shared" si="131"/>
        <v>44559</v>
      </c>
      <c r="Y377" s="384">
        <f t="shared" si="132"/>
        <v>5.2822579732717205</v>
      </c>
      <c r="Z377" s="384">
        <f t="shared" si="133"/>
        <v>5.4291918113579261</v>
      </c>
      <c r="AA377" s="385">
        <f t="shared" si="134"/>
        <v>5.7436992353671474</v>
      </c>
      <c r="AB377" s="196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5.4756945153503954E-2</v>
      </c>
      <c r="AD377" s="230">
        <f>(INDEX(Models!$BJ377:$BT377,,AH377)*(1-AF377)+INDEX(Models!$BJ377:$BT377,,AH377+1)*AF377-ERP_i)*AE377*Ramure*Pc/MaxiM</f>
        <v>4.2122057704432404E-4</v>
      </c>
      <c r="AE377" s="304">
        <f t="shared" si="136"/>
        <v>0.5</v>
      </c>
      <c r="AF377" s="176">
        <f t="shared" si="137"/>
        <v>0.73477555972600994</v>
      </c>
      <c r="AG377" s="814">
        <f t="shared" si="143"/>
        <v>0</v>
      </c>
      <c r="AH377" s="175">
        <f t="shared" si="138"/>
        <v>6</v>
      </c>
      <c r="AI377" s="224">
        <f t="shared" si="139"/>
        <v>0.73477555972600994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44560</v>
      </c>
      <c r="B378" s="616">
        <v>18.02</v>
      </c>
      <c r="C378" s="389"/>
      <c r="D378" s="392">
        <f t="shared" si="122"/>
        <v>18.52165819165144</v>
      </c>
      <c r="E378" s="384">
        <f t="shared" si="144"/>
        <v>18.957871429048186</v>
      </c>
      <c r="F378" s="384">
        <f t="shared" si="123"/>
        <v>18.962869629510955</v>
      </c>
      <c r="G378" s="110">
        <f t="shared" si="145"/>
        <v>0.73673925066321266</v>
      </c>
      <c r="H378" s="413" t="b">
        <f>Wh_hp&gt;='2020'!Maxi_hp</f>
        <v>0</v>
      </c>
      <c r="I378" s="379">
        <f>IF(H378,Wh_hp,'2020'!Maxi_hp)</f>
        <v>25.966265464195352</v>
      </c>
      <c r="J378" s="85">
        <f>IF(H378,An,'2020'!An_max)</f>
        <v>2019</v>
      </c>
      <c r="K378" s="196">
        <f t="shared" si="124"/>
        <v>44560</v>
      </c>
      <c r="L378" s="147">
        <f>IF(t&lt;Tvie,1-EXP((T0-t)*PertePVj)+'2020'!Pspv,1-EXP((T0-t)*PertePVj)+Pspv)</f>
        <v>2.7084950303075984E-2</v>
      </c>
      <c r="M378" s="847"/>
      <c r="N378" s="847"/>
      <c r="O378" s="48">
        <f>IF(t&lt;Tnet,'2020'!Resal+('2020'!Salim-'2020'!Resal)*(1-EXP(('2020'!Tnet-t)/('2020'!Tau_j))),Resal+(Salim-Resal)*(1-EXP((Tnet-t)/(Tau_j))))*Salcycl</f>
        <v>2.3009610495003087E-2</v>
      </c>
      <c r="P378" s="168">
        <f>(INDEX(Models!$BJ378:$BT378,,T378)*(1-R378)+INDEX(Models!$BJ378:$BT378,,T378+1)*R378-ERP_i)*Q378*Ramure*Pc/MaxiM</f>
        <v>4.2234667241891508E-4</v>
      </c>
      <c r="Q378" s="304">
        <f t="shared" si="125"/>
        <v>0.5</v>
      </c>
      <c r="R378" s="176">
        <f t="shared" si="126"/>
        <v>0.73477555972600994</v>
      </c>
      <c r="S378" s="814">
        <f t="shared" si="127"/>
        <v>0</v>
      </c>
      <c r="T378" s="175">
        <f t="shared" si="128"/>
        <v>6</v>
      </c>
      <c r="U378" s="250">
        <f t="shared" si="129"/>
        <v>0.73477555972600994</v>
      </c>
      <c r="V378" s="382">
        <f t="shared" si="130"/>
        <v>24.455244135504437</v>
      </c>
      <c r="W378" s="401"/>
      <c r="X378" s="157">
        <f t="shared" si="131"/>
        <v>44560</v>
      </c>
      <c r="Y378" s="384">
        <f t="shared" si="132"/>
        <v>17.433997000952761</v>
      </c>
      <c r="Z378" s="384">
        <f t="shared" si="133"/>
        <v>17.919341474246579</v>
      </c>
      <c r="AA378" s="385">
        <f t="shared" si="134"/>
        <v>18.957871429048186</v>
      </c>
      <c r="AB378" s="196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5.4780936704229372E-2</v>
      </c>
      <c r="AD378" s="230">
        <f>(INDEX(Models!$BJ378:$BT378,,AH378)*(1-AF378)+INDEX(Models!$BJ378:$BT378,,AH378+1)*AF378-ERP_i)*AE378*Ramure*Pc/MaxiM</f>
        <v>4.2234667241891508E-4</v>
      </c>
      <c r="AE378" s="304">
        <f t="shared" si="136"/>
        <v>0.5</v>
      </c>
      <c r="AF378" s="176">
        <f t="shared" si="137"/>
        <v>0.73477555972600994</v>
      </c>
      <c r="AG378" s="814">
        <f t="shared" si="143"/>
        <v>0</v>
      </c>
      <c r="AH378" s="175">
        <f t="shared" si="138"/>
        <v>6</v>
      </c>
      <c r="AI378" s="224">
        <f t="shared" si="139"/>
        <v>0.73477555972600994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16">
        <v>24.346</v>
      </c>
      <c r="C379" s="389"/>
      <c r="D379" s="392">
        <f t="shared" si="122"/>
        <v>25.024314919802855</v>
      </c>
      <c r="E379" s="384">
        <f t="shared" si="144"/>
        <v>25.615223347642566</v>
      </c>
      <c r="F379" s="384">
        <f t="shared" si="123"/>
        <v>25.625929752628863</v>
      </c>
      <c r="G379" s="110">
        <f t="shared" si="145"/>
        <v>0.99023973890367734</v>
      </c>
      <c r="H379" s="413" t="b">
        <f>Wh_hp&gt;='2020'!Maxi_hp</f>
        <v>1</v>
      </c>
      <c r="I379" s="379">
        <f>IF(H379,Wh_hp,'2020'!Maxi_hp)</f>
        <v>25.625929752628863</v>
      </c>
      <c r="J379" s="85">
        <f>IF(H379,An,'2020'!An_max)</f>
        <v>2021</v>
      </c>
      <c r="K379" s="196">
        <f t="shared" si="124"/>
        <v>44561</v>
      </c>
      <c r="L379" s="147">
        <f>IF(t&lt;Tvie,1-EXP((T0-t)*PertePVj)+'2020'!Pspv,1-EXP((T0-t)*PertePVj)+Pspv)</f>
        <v>2.7106233356505284E-2</v>
      </c>
      <c r="M379" s="847"/>
      <c r="N379" s="847"/>
      <c r="O379" s="48">
        <f>IF(t&lt;Tnet,'2020'!Resal+('2020'!Salim-'2020'!Resal)*(1-EXP(('2020'!Tnet-t)/('2020'!Tau_j))),Resal+(Salim-Resal)*(1-EXP((Tnet-t)/(Tau_j))))*Salcycl</f>
        <v>2.306864241705291E-2</v>
      </c>
      <c r="P379" s="168">
        <f>(INDEX(Models!$BJ379:$BT379,,T379)*(1-R379)+INDEX(Models!$BJ379:$BT379,,T379+1)*R379-ERP_i)*Q379*Ramure*Pc/MaxiM</f>
        <v>4.2369997328448522E-4</v>
      </c>
      <c r="Q379" s="305">
        <f t="shared" si="125"/>
        <v>0.5</v>
      </c>
      <c r="R379" s="176">
        <f t="shared" si="126"/>
        <v>0.73477555972600994</v>
      </c>
      <c r="S379" s="814">
        <f t="shared" si="127"/>
        <v>0</v>
      </c>
      <c r="T379" s="175">
        <f t="shared" si="128"/>
        <v>6</v>
      </c>
      <c r="U379" s="306">
        <f t="shared" si="129"/>
        <v>0.73477555972600994</v>
      </c>
      <c r="V379" s="382">
        <f t="shared" si="130"/>
        <v>24.585820220744566</v>
      </c>
      <c r="W379" s="401"/>
      <c r="X379" s="157">
        <f t="shared" si="131"/>
        <v>44561</v>
      </c>
      <c r="Y379" s="384">
        <f t="shared" si="132"/>
        <v>23.555099952430854</v>
      </c>
      <c r="Z379" s="384">
        <f t="shared" si="133"/>
        <v>24.211379248215842</v>
      </c>
      <c r="AA379" s="385">
        <f t="shared" si="134"/>
        <v>25.615223347642566</v>
      </c>
      <c r="AB379" s="196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5.480506964058636E-2</v>
      </c>
      <c r="AD379" s="230">
        <f>(INDEX(Models!$BJ379:$BT379,,AH379)*(1-AF379)+INDEX(Models!$BJ379:$BT379,,AH379+1)*AF379-ERP_i)*AE379*Ramure*Pc/MaxiM</f>
        <v>4.2369997328448522E-4</v>
      </c>
      <c r="AE379" s="305">
        <f t="shared" si="136"/>
        <v>0.5</v>
      </c>
      <c r="AF379" s="176">
        <f t="shared" si="137"/>
        <v>0.73477555972600994</v>
      </c>
      <c r="AG379" s="814">
        <f t="shared" si="143"/>
        <v>0</v>
      </c>
      <c r="AH379" s="175">
        <f t="shared" si="138"/>
        <v>6</v>
      </c>
      <c r="AI379" s="221">
        <f t="shared" si="139"/>
        <v>0.73477555972600994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717"/>
      <c r="C380" s="393"/>
      <c r="D380" s="400"/>
      <c r="E380" s="386"/>
      <c r="F380" s="386"/>
      <c r="G380" s="122"/>
      <c r="H380" s="413" t="b">
        <f>Wh_hp&gt;='2020'!Maxi_hp</f>
        <v>0</v>
      </c>
      <c r="I380" s="379">
        <f>IF(H380,Wh_hp,'2020'!Maxi_hp)</f>
        <v>16.672977949317147</v>
      </c>
      <c r="J380" s="85">
        <f>IF(H380,An,'2020'!An_max)</f>
        <v>2020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0.97399999999999998</v>
      </c>
      <c r="C381" s="374"/>
      <c r="D381" s="372">
        <f>MIN(D15:D380)</f>
        <v>1.0003270574811574</v>
      </c>
      <c r="E381" s="372">
        <f>MIN(E15:E380)</f>
        <v>1.0217470604026857</v>
      </c>
      <c r="F381" s="373">
        <f>MIN(F15:F380)</f>
        <v>1.0217470604026857</v>
      </c>
      <c r="G381" s="125">
        <f>+MIN(G15:G380)</f>
        <v>3.5326049854358728E-2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2.0528322778980646E-2</v>
      </c>
      <c r="M381" s="849"/>
      <c r="N381" s="849"/>
      <c r="O381" s="47">
        <f t="shared" si="146"/>
        <v>5.5365136748804439E-3</v>
      </c>
      <c r="P381" s="167">
        <f t="shared" si="146"/>
        <v>9.284833783323692E-5</v>
      </c>
      <c r="Q381" s="309">
        <f t="shared" si="146"/>
        <v>0.5</v>
      </c>
      <c r="R381" s="310">
        <f t="shared" si="146"/>
        <v>0.43477632354771256</v>
      </c>
      <c r="S381" s="814">
        <f t="shared" si="146"/>
        <v>0</v>
      </c>
      <c r="T381" s="175">
        <f t="shared" si="146"/>
        <v>6</v>
      </c>
      <c r="U381" s="251">
        <f>+MIN(U15:U380)</f>
        <v>0.43477632354771256</v>
      </c>
      <c r="V381" s="57">
        <f>MIN(V15:V380)</f>
        <v>23.837799366096998</v>
      </c>
      <c r="W381" s="58"/>
      <c r="X381" s="112" t="s">
        <v>7</v>
      </c>
      <c r="Y381" s="372">
        <f>MIN(Y15:Y380)</f>
        <v>0.94091759217242077</v>
      </c>
      <c r="Z381" s="372">
        <f>MIN(Z15:Z380)</f>
        <v>0.96635043769003426</v>
      </c>
      <c r="AA381" s="372">
        <f>MIN(AA15:AA380)</f>
        <v>1.0217470604026857</v>
      </c>
      <c r="AB381" s="199" t="s">
        <v>7</v>
      </c>
      <c r="AC381" s="47">
        <f t="shared" ref="AC381:AH381" si="147">MIN(AC15:AC380)</f>
        <v>4.4219402684727759E-2</v>
      </c>
      <c r="AD381" s="167">
        <f t="shared" si="147"/>
        <v>9.284833783323692E-5</v>
      </c>
      <c r="AE381" s="309">
        <f t="shared" si="147"/>
        <v>0.5</v>
      </c>
      <c r="AF381" s="310">
        <f t="shared" si="147"/>
        <v>0.43477632354771256</v>
      </c>
      <c r="AG381" s="814">
        <f t="shared" si="147"/>
        <v>0</v>
      </c>
      <c r="AH381" s="175">
        <f t="shared" si="147"/>
        <v>6</v>
      </c>
      <c r="AI381" s="225">
        <f>MIN(AI15:AI380)</f>
        <v>0.43477632354771256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30.026564383561627</v>
      </c>
      <c r="C382" s="374"/>
      <c r="D382" s="374">
        <f>AVERAGE(D15:D380)</f>
        <v>30.756373559931742</v>
      </c>
      <c r="E382" s="374">
        <f>AVERAGE(E15:E380)</f>
        <v>31.457051922361231</v>
      </c>
      <c r="F382" s="375">
        <f>AVERAGE(F15:F380)</f>
        <v>31.463421396772855</v>
      </c>
      <c r="G382" s="126">
        <f>AVERAGE(G15:G380)</f>
        <v>0.65667776294066738</v>
      </c>
      <c r="H382" s="94"/>
      <c r="I382" s="375">
        <f>AVERAGE(I15:I380)</f>
        <v>42.343054911663863</v>
      </c>
      <c r="J382" s="59">
        <f>AVERAGE(J15:J380)</f>
        <v>2019.704918032787</v>
      </c>
      <c r="K382" s="199" t="s">
        <v>8</v>
      </c>
      <c r="L382" s="147">
        <f t="shared" ref="L382:V382" si="148">AVERAGE(L15:L380)</f>
        <v>2.3807636873316138E-2</v>
      </c>
      <c r="M382" s="847"/>
      <c r="N382" s="847"/>
      <c r="O382" s="48">
        <f t="shared" si="148"/>
        <v>2.4218961819342671E-2</v>
      </c>
      <c r="P382" s="168">
        <f t="shared" si="148"/>
        <v>3.1483232405479339E-4</v>
      </c>
      <c r="Q382" s="311">
        <f t="shared" si="148"/>
        <v>0.5</v>
      </c>
      <c r="R382" s="176">
        <f t="shared" si="148"/>
        <v>0.60270648174719899</v>
      </c>
      <c r="S382" s="814">
        <f t="shared" si="148"/>
        <v>0</v>
      </c>
      <c r="T382" s="175">
        <f t="shared" si="148"/>
        <v>6</v>
      </c>
      <c r="U382" s="250">
        <f t="shared" si="148"/>
        <v>0.60270648174719899</v>
      </c>
      <c r="V382" s="59">
        <f t="shared" si="148"/>
        <v>44.268367305318812</v>
      </c>
      <c r="X382" s="112" t="s">
        <v>8</v>
      </c>
      <c r="Y382" s="374">
        <f>AVERAGE(Y15:Y380)</f>
        <v>29.158132317820446</v>
      </c>
      <c r="Z382" s="374">
        <f>AVERAGE(Z15:Z380)</f>
        <v>29.866337421138965</v>
      </c>
      <c r="AA382" s="374">
        <f>AVERAGE(AA15:AA380)</f>
        <v>31.457051922361231</v>
      </c>
      <c r="AB382" s="199" t="s">
        <v>8</v>
      </c>
      <c r="AC382" s="48">
        <f t="shared" ref="AC382:AH382" si="149">AVERAGE(AC15:AC380)</f>
        <v>5.0539845887002187E-2</v>
      </c>
      <c r="AD382" s="168">
        <f t="shared" si="149"/>
        <v>3.1483232405479339E-4</v>
      </c>
      <c r="AE382" s="311">
        <f t="shared" si="149"/>
        <v>0.5</v>
      </c>
      <c r="AF382" s="176">
        <f t="shared" si="149"/>
        <v>0.60270648174719899</v>
      </c>
      <c r="AG382" s="814">
        <f t="shared" si="149"/>
        <v>0</v>
      </c>
      <c r="AH382" s="175">
        <f t="shared" si="149"/>
        <v>6</v>
      </c>
      <c r="AI382" s="224">
        <f>AVERAGE(AI15:AI380)</f>
        <v>0.60270648174719899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59.761000000000003</v>
      </c>
      <c r="C383" s="376"/>
      <c r="D383" s="376">
        <f>MAX(D15:D380)</f>
        <v>61.162022122903934</v>
      </c>
      <c r="E383" s="376">
        <f>MAX(E15:E380)</f>
        <v>61.512567689376844</v>
      </c>
      <c r="F383" s="377">
        <f>MAX(F15:F380)</f>
        <v>61.518685977469168</v>
      </c>
      <c r="G383" s="127">
        <f>+MAX(G15:G380)</f>
        <v>1.0461194665036058</v>
      </c>
      <c r="H383" s="94"/>
      <c r="I383" s="377">
        <f>MAX(I15:I380)</f>
        <v>62.888390720107274</v>
      </c>
      <c r="J383" s="60">
        <f>MAX(J15:J380)</f>
        <v>2021</v>
      </c>
      <c r="K383" s="199" t="s">
        <v>9</v>
      </c>
      <c r="L383" s="148">
        <f t="shared" ref="L383:T383" si="150">MAX(L15:L380)</f>
        <v>2.7106233356505284E-2</v>
      </c>
      <c r="M383" s="850"/>
      <c r="N383" s="850"/>
      <c r="O383" s="49">
        <f t="shared" si="150"/>
        <v>4.7264666997425354E-2</v>
      </c>
      <c r="P383" s="169">
        <f t="shared" si="150"/>
        <v>5.7563468815801332E-4</v>
      </c>
      <c r="Q383" s="312">
        <f t="shared" si="150"/>
        <v>0.5</v>
      </c>
      <c r="R383" s="313">
        <f t="shared" si="150"/>
        <v>0.73477555972600994</v>
      </c>
      <c r="S383" s="815">
        <f t="shared" si="150"/>
        <v>0</v>
      </c>
      <c r="T383" s="232">
        <f t="shared" si="150"/>
        <v>6</v>
      </c>
      <c r="U383" s="252">
        <f>+MAX(U15:U380)</f>
        <v>0.73477555972600994</v>
      </c>
      <c r="V383" s="60">
        <f>MAX(V15:V380)</f>
        <v>58.616685351870622</v>
      </c>
      <c r="X383" s="112" t="s">
        <v>9</v>
      </c>
      <c r="Y383" s="376">
        <f>MAX(Y15:Y380)</f>
        <v>57.253858144017379</v>
      </c>
      <c r="Z383" s="376">
        <f>MAX(Z15:Z380)</f>
        <v>58.59610345251911</v>
      </c>
      <c r="AA383" s="376">
        <f>MAX(AA15:AA380)</f>
        <v>61.512567689376844</v>
      </c>
      <c r="AB383" s="199" t="s">
        <v>9</v>
      </c>
      <c r="AC383" s="49">
        <f t="shared" ref="AC383:AH383" si="151">MAX(AC15:AC380)</f>
        <v>5.480506964058636E-2</v>
      </c>
      <c r="AD383" s="169">
        <f t="shared" si="151"/>
        <v>5.7563468815801332E-4</v>
      </c>
      <c r="AE383" s="312">
        <f t="shared" si="151"/>
        <v>0.5</v>
      </c>
      <c r="AF383" s="313">
        <f t="shared" si="151"/>
        <v>0.73477555972600994</v>
      </c>
      <c r="AG383" s="815">
        <f t="shared" si="151"/>
        <v>0</v>
      </c>
      <c r="AH383" s="232">
        <f t="shared" si="151"/>
        <v>6</v>
      </c>
      <c r="AI383" s="226">
        <f>MAX(AI15:AI380)</f>
        <v>0.73477555972600994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74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'2021'!An+1</f>
        <v>2022</v>
      </c>
      <c r="K1" s="1295"/>
      <c r="L1" s="113" t="str">
        <f>"Calcul pertes et enveloppes en "&amp;TEXT(An,0)</f>
        <v>Calcul pertes et enveloppes en 2022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310.86714697088564</v>
      </c>
      <c r="AK4" s="836">
        <f>AM12-AK12</f>
        <v>-8.9393106680328849E-2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310.77354477397688</v>
      </c>
      <c r="AA5" s="236">
        <f>Wh_Pvg_s-Wh_Pvg</f>
        <v>-9.003125290007441E-2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2.2195</v>
      </c>
      <c r="AK5" s="515">
        <f>SUMIF(AK15:AK380,"VRAI",Wh)</f>
        <v>2.2195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11013.206500000011</v>
      </c>
      <c r="AK6" s="515">
        <f>SUMIF(AK15:AK380,"FAUX",Wh)</f>
        <v>11013.206500000011</v>
      </c>
      <c r="AL6" s="515">
        <f>SUMIF(AJ15:AJ380,"FAUX",Wh_s)</f>
        <v>10702.293430020551</v>
      </c>
      <c r="AM6" s="515">
        <f>SUMIF(AK15:AK380,"FAUX",Wh_s)</f>
        <v>10702.293430020551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AND(YEAR(Tnet)=An,Resal_2022="I")</f>
        <v>1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AND(YEAR(Tnet)=An,Resal_2022&lt;&gt;"I")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11364.15097652427</v>
      </c>
      <c r="AK8" s="515">
        <f>SUMIF(AK15:AK380,"FAUX",Wh_sa)</f>
        <v>11843.407339401658</v>
      </c>
      <c r="AL8" s="515">
        <f>SUMIF(AJ15:AJ380,"FAUX",Wh_pvt_s)</f>
        <v>11043.374602721755</v>
      </c>
      <c r="AM8" s="515">
        <f>SUMIF(AK15:AK380,"FAUX",Wh_sa_s)</f>
        <v>11843.407339401658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11364.15097652427</v>
      </c>
      <c r="E9" s="183">
        <f>SUM(E$15:E$380)</f>
        <v>11843.407339401658</v>
      </c>
      <c r="F9" s="183">
        <f>SUM(F$15:F$380)</f>
        <v>11846.812532293097</v>
      </c>
      <c r="H9" s="1296">
        <f>+SUM(Wh)</f>
        <v>11015.42600000001</v>
      </c>
      <c r="I9" s="1297"/>
      <c r="J9" s="1298"/>
      <c r="K9" s="190"/>
      <c r="L9" s="231"/>
      <c r="M9" s="231"/>
      <c r="N9" s="231"/>
      <c r="O9" s="222">
        <f>Tnet_2022</f>
        <v>44562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10702.293430020551</v>
      </c>
      <c r="Y9" s="1291"/>
      <c r="Z9" s="515">
        <f>SUM(Z$15:Z$380)</f>
        <v>11043.374602721755</v>
      </c>
      <c r="AA9" s="515">
        <f>SUM(AA$15:AA$380)</f>
        <v>11843.407339401658</v>
      </c>
      <c r="AB9" s="515">
        <f>F9</f>
        <v>11846.812532293097</v>
      </c>
      <c r="AC9" s="324">
        <f>IF(An_Tnet,Tnet,'2021'!Tnet_s)</f>
        <v>44562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IF(Inflex,'2021'!Resal+('2021'!Salim-'2021'!Resal)*(1-EXP(-(Tnet-'2021'!Tnet)/('2021'!Tau_j))),IF(An_Tnet,Resal_2022,'2021'!Resal))</f>
        <v>2.3114442537171119E-2</v>
      </c>
      <c r="P10" s="420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IF(OR(Inflex,GainD),'2021'!Resal_s+('2021'!Salim-'2021'!Resal_s)*(1-EXP(('2021'!Tnet_s-Tnet)/('2021'!Tau_j))),IF(Acti_net,'2021'!Resal+('2021'!Salim-'2021'!Resal)*(1-EXP(('2021'!Tnet-Tnet)/'2021'!Tau_j)),'2021'!Resal_s))</f>
        <v>5.4797966077300982E-2</v>
      </c>
      <c r="AD10" s="427"/>
      <c r="AE10" s="427"/>
      <c r="AF10" s="259"/>
      <c r="AG10" s="260"/>
      <c r="AH10" s="261"/>
      <c r="AI10" s="472"/>
      <c r="AJ10" s="515">
        <f>SUMIF(AJ15:AJ380,"FAUX",Wh_sa)</f>
        <v>11843.407339401658</v>
      </c>
      <c r="AK10" s="515">
        <f>SUMIF(AK15:AK380,"FAUX",Wh_hp)</f>
        <v>11846.812532293097</v>
      </c>
      <c r="AL10" s="515">
        <f>SUMIF(AJ15:AJ380,"FAUX",Wh_sa_s)</f>
        <v>11843.407339401658</v>
      </c>
      <c r="AM10" s="515">
        <f>SUMIF(AK15:AK380,"FAUX",Wh_hp)</f>
        <v>11846.812532293097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348.72497652425955</v>
      </c>
      <c r="E11" s="51">
        <f>(E$9-D$9)*Prod_an/D$9</f>
        <v>464.549706459432</v>
      </c>
      <c r="F11" s="185">
        <f>(F$9-E$9)*Prod_an/E$9</f>
        <v>3.1671333457043644</v>
      </c>
      <c r="G11" s="184" t="s">
        <v>6</v>
      </c>
      <c r="K11" s="193"/>
      <c r="L11" s="210">
        <f>Tvie_2022</f>
        <v>44375</v>
      </c>
      <c r="M11" s="846"/>
      <c r="N11" s="846"/>
      <c r="O11" s="201">
        <f>IF(An_Tnet,Salim_2022,'2021'!Salim)</f>
        <v>0.12</v>
      </c>
      <c r="P11" s="255">
        <f>Ttai_2022</f>
        <v>43101</v>
      </c>
      <c r="Q11" s="271">
        <f>Dens_2022</f>
        <v>0.5</v>
      </c>
      <c r="R11" s="276"/>
      <c r="S11" s="229"/>
      <c r="T11" s="229"/>
      <c r="U11" s="265">
        <f>Htf_2022</f>
        <v>1.03477555972601</v>
      </c>
      <c r="V11" s="19"/>
      <c r="W11" s="838"/>
      <c r="X11" s="234" t="s">
        <v>43</v>
      </c>
      <c r="Y11" s="50">
        <f>Z$9-Prod_an_s</f>
        <v>341.0811727012042</v>
      </c>
      <c r="Z11" s="51">
        <f>(AA$9-Z$9)*Prod_an_s/Z$9</f>
        <v>775.32325123340888</v>
      </c>
      <c r="AA11" s="185">
        <f>(AB$9-AA$9)*Prod_an_s/AA$9</f>
        <v>3.07710209280429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Pspv_2022</f>
        <v>-1.1999999999999999E-3</v>
      </c>
      <c r="M12" s="211"/>
      <c r="N12" s="211"/>
      <c r="O12" s="204">
        <f>IF(An_Tnet,Tau_2022*365,'2021'!Tau_j)</f>
        <v>949</v>
      </c>
      <c r="P12" s="280">
        <f>INDEX(Croivg,MIN(MAX(Ttai-$A$15,0)+1,366))</f>
        <v>2.3909964587625958E-6</v>
      </c>
      <c r="Q12" s="279">
        <f>'2021'!Df</f>
        <v>0.5</v>
      </c>
      <c r="R12" s="277"/>
      <c r="S12" s="278"/>
      <c r="T12" s="278"/>
      <c r="U12" s="266">
        <f>'2021'!Hdf</f>
        <v>0.73477555972600994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0.5</v>
      </c>
      <c r="AF12" s="202"/>
      <c r="AG12" s="202"/>
      <c r="AH12" s="202"/>
      <c r="AI12" s="296">
        <f>'2021'!Hdf_s</f>
        <v>0.73477555972600994</v>
      </c>
      <c r="AJ12" s="835">
        <f>IF($AJ8=0,0,($AJ10-$AJ8)*$AJ6/$AJ8)</f>
        <v>464.45610426252324</v>
      </c>
      <c r="AK12" s="836">
        <f>IF($AK8=0,0,($AK10-$AK8)*$AK6/$AK8)</f>
        <v>3.1664951994846189</v>
      </c>
      <c r="AL12" s="835">
        <f>IF($AL8=0,0,($AL10-$AL8)*$AL6/$AL8)</f>
        <v>775.32325123340888</v>
      </c>
      <c r="AM12" s="836">
        <f>IF($AM8=0,0,($AM10-$AM8)*$AM6/$AM8)</f>
        <v>3.07710209280429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464.45610426252324</v>
      </c>
      <c r="AK13" s="73">
        <f>+AK11+AK12</f>
        <v>3.1664951994846189</v>
      </c>
      <c r="AL13" s="73">
        <f>+AL11+AL12</f>
        <v>775.32325123340888</v>
      </c>
      <c r="AM13" s="73">
        <f>+AM11+AM12</f>
        <v>3.07710209280429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2022</v>
      </c>
      <c r="W14" s="840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7">
        <v>24.528000000000002</v>
      </c>
      <c r="C15" s="843"/>
      <c r="D15" s="392">
        <f t="shared" ref="D15:D78" si="0">Wh/(1-Ppv)</f>
        <v>25.211937229157584</v>
      </c>
      <c r="E15" s="399">
        <f t="shared" ref="E15:E79" si="1">Wh_pvt/(1-Psa)</f>
        <v>25.808835475694394</v>
      </c>
      <c r="F15" s="399">
        <f t="shared" ref="F15:F78" si="2">Wh_sa/(1-Pvg*MEDIAN((-Sdif+Wh/Env_an)/Csdif,0,1))</f>
        <v>25.81968983853487</v>
      </c>
      <c r="G15" s="123">
        <f>+Wh_hp/MaxiM</f>
        <v>0.99194387674551199</v>
      </c>
      <c r="H15" s="413" t="b">
        <f>Wh_hp&gt;='2021'!Maxi_hp</f>
        <v>1</v>
      </c>
      <c r="I15" s="378">
        <f>IF(H15,Wh_hp,'2021'!Maxi_hp)</f>
        <v>25.81968983853487</v>
      </c>
      <c r="J15" s="84">
        <f>IF(H15,An,'2021'!An_max)</f>
        <v>2022</v>
      </c>
      <c r="K15" s="196">
        <f t="shared" ref="K15:K78" si="3">t</f>
        <v>44562</v>
      </c>
      <c r="L15" s="146">
        <f>IF(t&lt;Tvie,1-EXP((T0-t)*PertePVj)+'2021'!Pspv,1-EXP((T0-t)*PertePVj)+Pspv)</f>
        <v>2.7127515943781134E-2</v>
      </c>
      <c r="M15" s="847"/>
      <c r="N15" s="847"/>
      <c r="O15" s="48">
        <f>IF(t&lt;Tnet,'2021'!Resal+('2021'!Salim-'2021'!Resal)*(1-EXP(('2021'!Tnet-t)/('2021'!Tau_j))),Resal+(Salim-Resal)*(1-EXP((Tnet-t)/(Tau_j))))*Salcycl</f>
        <v>2.3127670642053701E-2</v>
      </c>
      <c r="P15" s="337">
        <f>(INDEX(Models!$BJ15:$BT15,,T15)*(1-R15)+INDEX(Models!$BJ15:$BT15,,T15+1)*R15-ERP_i)*Q15*Ramure*Pc/MaxiM</f>
        <v>4.2528242634466777E-4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0.73477627702494752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0.73477627702494752</v>
      </c>
      <c r="V15" s="381">
        <f t="shared" ref="V15:V78" si="8">MaxiM*(1-Ppv)*(1-Pvg)*(1-Psa)</f>
        <v>24.727084410096271</v>
      </c>
      <c r="W15" s="401">
        <f t="shared" ref="W15:W78" si="9">Wh*(A15&gt;Tmaj)</f>
        <v>0</v>
      </c>
      <c r="X15" s="156">
        <f t="shared" ref="X15:X78" si="10">t</f>
        <v>44562</v>
      </c>
      <c r="Y15" s="384">
        <f t="shared" ref="Y15:Y78" si="11">Wh_pvt_s*(1-Ppv)</f>
        <v>23.73201245307466</v>
      </c>
      <c r="Z15" s="384">
        <f>Wh_sa_s*(1-Psa_s)</f>
        <v>24.393754414893362</v>
      </c>
      <c r="AA15" s="385">
        <f t="shared" ref="AA15:AA78" si="12">Wh_hp*(1-Pvg_s*MEDIAN((-Sdif+Wh/Env_an)/Csdif,0,1))</f>
        <v>25.808835475694394</v>
      </c>
      <c r="AB15" s="196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5.4829326264398598E-2</v>
      </c>
      <c r="AD15" s="230">
        <f>(INDEX(Models!$BJ15:$BT15,,AH15)*(1-AF15)+INDEX(Models!$BJ15:$BT15,,AH15+1)*AF15-ERP_i)*AE15*Ramure*Pc/MaxiM</f>
        <v>4.2528242634466777E-4</v>
      </c>
      <c r="AE15" s="302">
        <f t="shared" ref="AE15:AE78" si="14">IF(OR(t&lt;Ttai,Notai),Dd_s+PousD*Croivg,Dens_s+PousD*(Croivg-Croi_tai))</f>
        <v>0.5</v>
      </c>
      <c r="AF15" s="303">
        <f>(Hp_vg_s-AG15)/(INDEX(Echel_vg,AH15+1)-AG15)</f>
        <v>0.73477627702494752</v>
      </c>
      <c r="AG15" s="813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0.73477627702494752</v>
      </c>
      <c r="AJ15" s="264" t="b">
        <f t="shared" ref="AJ15:AJ78" si="16">t&lt;Tnet</f>
        <v>0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44563</v>
      </c>
      <c r="B16" s="1158">
        <v>17.365000000000002</v>
      </c>
      <c r="C16" s="843"/>
      <c r="D16" s="392">
        <f t="shared" si="0"/>
        <v>17.849595051596271</v>
      </c>
      <c r="E16" s="384">
        <f t="shared" si="1"/>
        <v>18.274080725802186</v>
      </c>
      <c r="F16" s="384">
        <f t="shared" si="2"/>
        <v>18.278523071587834</v>
      </c>
      <c r="G16" s="110">
        <f t="shared" ref="G16:G79" si="19">+Wh_hp/MaxiM</f>
        <v>0.69789465600995892</v>
      </c>
      <c r="H16" s="413" t="b">
        <f>Wh_hp&gt;='2021'!Maxi_hp</f>
        <v>0</v>
      </c>
      <c r="I16" s="379">
        <f>IF(H16,Wh_hp,'2021'!Maxi_hp)</f>
        <v>25.015272489823854</v>
      </c>
      <c r="J16" s="85">
        <f>IF(H16,An,'2021'!An_max)</f>
        <v>2020</v>
      </c>
      <c r="K16" s="196">
        <f t="shared" si="3"/>
        <v>44563</v>
      </c>
      <c r="L16" s="147">
        <f>IF(t&lt;Tvie,1-EXP((T0-t)*PertePVj)+'2021'!Pspv,1-EXP((T0-t)*PertePVj)+Pspv)</f>
        <v>2.7148798064913639E-2</v>
      </c>
      <c r="M16" s="847"/>
      <c r="N16" s="847"/>
      <c r="O16" s="48">
        <f>IF(t&lt;Tnet,'2021'!Resal+('2021'!Salim-'2021'!Resal)*(1-EXP(('2021'!Tnet-t)/('2021'!Tau_j))),Resal+(Salim-Resal)*(1-EXP((Tnet-t)/(Tau_j))))*Salcycl</f>
        <v>2.3228838734774798E-2</v>
      </c>
      <c r="P16" s="338">
        <f>(INDEX(Models!$BJ16:$BT16,,T16)*(1-R16)+INDEX(Models!$BJ16:$BT16,,T16+1)*R16-ERP_i)*Q16*Ramure*Pc/MaxiM</f>
        <v>4.2742576623116065E-4</v>
      </c>
      <c r="Q16" s="304">
        <f t="shared" si="4"/>
        <v>0.5</v>
      </c>
      <c r="R16" s="176">
        <f t="shared" si="5"/>
        <v>0.73479380579334408</v>
      </c>
      <c r="S16" s="814">
        <f t="shared" si="6"/>
        <v>0</v>
      </c>
      <c r="T16" s="175">
        <f t="shared" si="7"/>
        <v>6</v>
      </c>
      <c r="U16" s="250">
        <f t="shared" ref="U16:U78" si="20">IF(OR(t&lt;Ttai,Notai),Hdd+PousH*Croivg,Hdtf+PousH*(Croivg-Croi_tai))</f>
        <v>0.73479380579334408</v>
      </c>
      <c r="V16" s="382">
        <f t="shared" si="8"/>
        <v>24.877389660666704</v>
      </c>
      <c r="W16" s="401">
        <f t="shared" si="9"/>
        <v>0</v>
      </c>
      <c r="X16" s="157">
        <f t="shared" si="10"/>
        <v>44563</v>
      </c>
      <c r="Y16" s="384">
        <f t="shared" si="11"/>
        <v>16.802025266213683</v>
      </c>
      <c r="Z16" s="384">
        <f t="shared" ref="Z16:Z78" si="21">Wh_sa_s*(1-Psa_s)</f>
        <v>17.270909706225353</v>
      </c>
      <c r="AA16" s="385">
        <f t="shared" si="12"/>
        <v>18.274080725802186</v>
      </c>
      <c r="AB16" s="196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5.4895840432640855E-2</v>
      </c>
      <c r="AD16" s="230">
        <f>(INDEX(Models!$BJ16:$BT16,,AH16)*(1-AF16)+INDEX(Models!$BJ16:$BT16,,AH16+1)*AF16-ERP_i)*AE16*Ramure*Pc/MaxiM</f>
        <v>4.2742576623116065E-4</v>
      </c>
      <c r="AE16" s="304">
        <f>IF(OR(t&lt;Ttai,Notai),Dd_s+PousD*Croivg,Dens_s+PousD*(Croivg-Croi_tai))</f>
        <v>0.5</v>
      </c>
      <c r="AF16" s="176">
        <f t="shared" ref="AF16:AF78" si="22">(Hp_vg_s-AG16)/(INDEX(Echel_vg,AH16+1)-AG16)</f>
        <v>0.73479380579334408</v>
      </c>
      <c r="AG16" s="814">
        <f t="shared" ref="AG16:AG79" si="23">INDEX(Echel_vg,AH16)</f>
        <v>0</v>
      </c>
      <c r="AH16" s="175">
        <f t="shared" si="15"/>
        <v>6</v>
      </c>
      <c r="AI16" s="224">
        <f t="shared" ref="AI16:AI78" si="24">IF(OR(t&lt;Ttai,Notai),Hdd_s+PousH*Croivg,Hdtai_s+PousH*(Croivg-Croi_tai))</f>
        <v>0.73479380579334408</v>
      </c>
      <c r="AJ16" s="264" t="b">
        <f t="shared" si="16"/>
        <v>0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44564</v>
      </c>
      <c r="B17" s="1158">
        <v>18.626999999999999</v>
      </c>
      <c r="C17" s="843"/>
      <c r="D17" s="392">
        <f t="shared" si="0"/>
        <v>19.147231814824437</v>
      </c>
      <c r="E17" s="384">
        <f t="shared" si="1"/>
        <v>19.604606171831957</v>
      </c>
      <c r="F17" s="384">
        <f t="shared" si="2"/>
        <v>19.609955786088271</v>
      </c>
      <c r="G17" s="110">
        <f t="shared" si="19"/>
        <v>0.74385495415366532</v>
      </c>
      <c r="H17" s="413" t="b">
        <f>Wh_hp&gt;='2021'!Maxi_hp</f>
        <v>0</v>
      </c>
      <c r="I17" s="379">
        <f>IF(H17,Wh_hp,'2021'!Maxi_hp)</f>
        <v>27.472426453662738</v>
      </c>
      <c r="J17" s="85">
        <f>IF(H17,An,'2021'!An_max)</f>
        <v>2019</v>
      </c>
      <c r="K17" s="196">
        <f t="shared" si="3"/>
        <v>44564</v>
      </c>
      <c r="L17" s="147">
        <f>IF(t&lt;Tvie,1-EXP((T0-t)*PertePVj)+'2021'!Pspv,1-EXP((T0-t)*PertePVj)+Pspv)</f>
        <v>2.7170079719913122E-2</v>
      </c>
      <c r="M17" s="847"/>
      <c r="N17" s="847"/>
      <c r="O17" s="48">
        <f>IF(t&lt;Tnet,'2021'!Resal+('2021'!Salim-'2021'!Resal)*(1-EXP(('2021'!Tnet-t)/('2021'!Tau_j))),Resal+(Salim-Resal)*(1-EXP((Tnet-t)/(Tau_j))))*Salcycl</f>
        <v>2.332994363664783E-2</v>
      </c>
      <c r="P17" s="338">
        <f>(INDEX(Models!$BJ17:$BT17,,T17)*(1-R17)+INDEX(Models!$BJ17:$BT17,,T17+1)*R17-ERP_i)*Q17*Ramure*Pc/MaxiM</f>
        <v>4.3011866212280017E-4</v>
      </c>
      <c r="Q17" s="304">
        <f t="shared" si="4"/>
        <v>0.5</v>
      </c>
      <c r="R17" s="176">
        <f t="shared" si="5"/>
        <v>0.7348120677506379</v>
      </c>
      <c r="S17" s="814">
        <f t="shared" si="6"/>
        <v>0</v>
      </c>
      <c r="T17" s="175">
        <f t="shared" si="7"/>
        <v>6</v>
      </c>
      <c r="U17" s="250">
        <f t="shared" si="20"/>
        <v>0.7348120677506379</v>
      </c>
      <c r="V17" s="382">
        <f t="shared" si="8"/>
        <v>25.037231706345015</v>
      </c>
      <c r="W17" s="401">
        <f t="shared" si="9"/>
        <v>0</v>
      </c>
      <c r="X17" s="157">
        <f t="shared" si="10"/>
        <v>44564</v>
      </c>
      <c r="Y17" s="384">
        <f t="shared" si="11"/>
        <v>18.023707446356497</v>
      </c>
      <c r="Z17" s="384">
        <f t="shared" si="21"/>
        <v>18.527089957479209</v>
      </c>
      <c r="AA17" s="385">
        <f t="shared" si="12"/>
        <v>19.604606171831957</v>
      </c>
      <c r="AB17" s="196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5.4962400412864744E-2</v>
      </c>
      <c r="AD17" s="230">
        <f>(INDEX(Models!$BJ17:$BT17,,AH17)*(1-AF17)+INDEX(Models!$BJ17:$BT17,,AH17+1)*AF17-ERP_i)*AE17*Ramure*Pc/MaxiM</f>
        <v>4.3011866212280017E-4</v>
      </c>
      <c r="AE17" s="304">
        <f t="shared" si="14"/>
        <v>0.5</v>
      </c>
      <c r="AF17" s="176">
        <f>(Hp_vg_s-AG17)/(INDEX(Echel_vg,AH17+1)-AG17)</f>
        <v>0.7348120677506379</v>
      </c>
      <c r="AG17" s="814">
        <f>INDEX(Echel_vg,AH17)</f>
        <v>0</v>
      </c>
      <c r="AH17" s="175">
        <f t="shared" si="15"/>
        <v>6</v>
      </c>
      <c r="AI17" s="224">
        <f t="shared" si="24"/>
        <v>0.7348120677506379</v>
      </c>
      <c r="AJ17" s="264" t="b">
        <f t="shared" si="16"/>
        <v>0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44565</v>
      </c>
      <c r="B18" s="1158">
        <v>20.071000000000002</v>
      </c>
      <c r="C18" s="843"/>
      <c r="D18" s="392">
        <f t="shared" si="0"/>
        <v>20.632012498110793</v>
      </c>
      <c r="E18" s="384">
        <f t="shared" si="1"/>
        <v>21.127039758477217</v>
      </c>
      <c r="F18" s="384">
        <f t="shared" si="2"/>
        <v>21.133532714507599</v>
      </c>
      <c r="G18" s="110">
        <f t="shared" si="19"/>
        <v>0.79617680254247269</v>
      </c>
      <c r="H18" s="413" t="b">
        <f>Wh_hp&gt;='2021'!Maxi_hp</f>
        <v>0</v>
      </c>
      <c r="I18" s="379">
        <f>IF(H18,Wh_hp,'2021'!Maxi_hp)</f>
        <v>24.427777295299801</v>
      </c>
      <c r="J18" s="85">
        <f>IF(H18,An,'2021'!An_max)</f>
        <v>2019</v>
      </c>
      <c r="K18" s="196">
        <f t="shared" si="3"/>
        <v>44565</v>
      </c>
      <c r="L18" s="147">
        <f>IF(t&lt;Tvie,1-EXP((T0-t)*PertePVj)+'2021'!Pspv,1-EXP((T0-t)*PertePVj)+Pspv)</f>
        <v>2.7191360908789687E-2</v>
      </c>
      <c r="M18" s="847"/>
      <c r="N18" s="847"/>
      <c r="O18" s="48">
        <f>IF(t&lt;Tnet,'2021'!Resal+('2021'!Salim-'2021'!Resal)*(1-EXP(('2021'!Tnet-t)/('2021'!Tau_j))),Resal+(Salim-Resal)*(1-EXP((Tnet-t)/(Tau_j))))*Salcycl</f>
        <v>2.3430980678104438E-2</v>
      </c>
      <c r="P18" s="338">
        <f>(INDEX(Models!$BJ18:$BT18,,T18)*(1-R18)+INDEX(Models!$BJ18:$BT18,,T18+1)*R18-ERP_i)*Q18*Ramure*Pc/MaxiM</f>
        <v>4.3335521320788604E-4</v>
      </c>
      <c r="Q18" s="304">
        <f t="shared" si="4"/>
        <v>0.5</v>
      </c>
      <c r="R18" s="176">
        <f t="shared" si="5"/>
        <v>0.73483109346941489</v>
      </c>
      <c r="S18" s="814">
        <f t="shared" si="6"/>
        <v>0</v>
      </c>
      <c r="T18" s="175">
        <f t="shared" si="7"/>
        <v>6</v>
      </c>
      <c r="U18" s="250">
        <f t="shared" si="20"/>
        <v>0.73483109346941489</v>
      </c>
      <c r="V18" s="382">
        <f t="shared" si="8"/>
        <v>25.206044429460899</v>
      </c>
      <c r="W18" s="401">
        <f t="shared" si="9"/>
        <v>0</v>
      </c>
      <c r="X18" s="157">
        <f t="shared" si="10"/>
        <v>44565</v>
      </c>
      <c r="Y18" s="384">
        <f t="shared" si="11"/>
        <v>19.421579723171096</v>
      </c>
      <c r="Z18" s="384">
        <f>Wh_sa_s*(1-Psa_s)</f>
        <v>19.964440017015651</v>
      </c>
      <c r="AA18" s="385">
        <f t="shared" si="12"/>
        <v>21.127039758477217</v>
      </c>
      <c r="AB18" s="196">
        <f>t</f>
        <v>44565</v>
      </c>
      <c r="AC18" s="119">
        <f>IF(OR(t&lt;Tnet,NoTnet),'2021'!Resal_s+('2021'!Salim-'2021'!Resal_s)*(1-EXP(('2021'!Tnet_s-t)/'2021'!Tau_j)),Resal_s+(Salim-Resal_s)*(1-EXP((Tnet_s-t)/Tau_j)))*Salcycl</f>
        <v>5.5028993874784271E-2</v>
      </c>
      <c r="AD18" s="230">
        <f>(INDEX(Models!$BJ18:$BT18,,AH18)*(1-AF18)+INDEX(Models!$BJ18:$BT18,,AH18+1)*AF18-ERP_i)*AE18*Ramure*Pc/MaxiM</f>
        <v>4.3335521320788604E-4</v>
      </c>
      <c r="AE18" s="304">
        <f t="shared" si="14"/>
        <v>0.5</v>
      </c>
      <c r="AF18" s="176">
        <f t="shared" si="22"/>
        <v>0.73483109346941489</v>
      </c>
      <c r="AG18" s="814">
        <f t="shared" si="23"/>
        <v>0</v>
      </c>
      <c r="AH18" s="175">
        <f t="shared" si="15"/>
        <v>6</v>
      </c>
      <c r="AI18" s="224">
        <f t="shared" si="24"/>
        <v>0.73483109346941489</v>
      </c>
      <c r="AJ18" s="264" t="b">
        <f t="shared" si="16"/>
        <v>0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44566</v>
      </c>
      <c r="B19" s="1158">
        <v>14.673</v>
      </c>
      <c r="C19" s="843"/>
      <c r="D19" s="392">
        <f t="shared" si="0"/>
        <v>15.083460813686433</v>
      </c>
      <c r="E19" s="384">
        <f t="shared" si="1"/>
        <v>15.446957787157046</v>
      </c>
      <c r="F19" s="384">
        <f t="shared" si="2"/>
        <v>15.449640446024226</v>
      </c>
      <c r="G19" s="110">
        <f t="shared" si="19"/>
        <v>0.57790575331223093</v>
      </c>
      <c r="H19" s="413" t="b">
        <f>Wh_hp&gt;='2021'!Maxi_hp</f>
        <v>0</v>
      </c>
      <c r="I19" s="379">
        <f>IF(H19,Wh_hp,'2021'!Maxi_hp)</f>
        <v>27.076162439381022</v>
      </c>
      <c r="J19" s="85">
        <f>IF(H19,An,'2021'!An_max)</f>
        <v>2019</v>
      </c>
      <c r="K19" s="196">
        <f t="shared" si="3"/>
        <v>44566</v>
      </c>
      <c r="L19" s="147">
        <f>IF(t&lt;Tvie,1-EXP((T0-t)*PertePVj)+'2021'!Pspv,1-EXP((T0-t)*PertePVj)+Pspv)</f>
        <v>2.7212641631553659E-2</v>
      </c>
      <c r="M19" s="847"/>
      <c r="N19" s="847"/>
      <c r="O19" s="48">
        <f>IF(t&lt;Tnet,'2021'!Resal+('2021'!Salim-'2021'!Resal)*(1-EXP(('2021'!Tnet-t)/('2021'!Tau_j))),Resal+(Salim-Resal)*(1-EXP((Tnet-t)/(Tau_j))))*Salcycl</f>
        <v>2.3531945803129797E-2</v>
      </c>
      <c r="P19" s="338">
        <f>(INDEX(Models!$BJ19:$BT19,,T19)*(1-R19)+INDEX(Models!$BJ19:$BT19,,T19+1)*R19-ERP_i)*Q19*Ramure*Pc/MaxiM</f>
        <v>4.3712895511669798E-4</v>
      </c>
      <c r="Q19" s="304">
        <f t="shared" si="4"/>
        <v>0.5</v>
      </c>
      <c r="R19" s="176">
        <f t="shared" si="5"/>
        <v>0.73485091478895193</v>
      </c>
      <c r="S19" s="814">
        <f t="shared" si="6"/>
        <v>0</v>
      </c>
      <c r="T19" s="175">
        <f t="shared" si="7"/>
        <v>6</v>
      </c>
      <c r="U19" s="250">
        <f t="shared" si="20"/>
        <v>0.73485091478895193</v>
      </c>
      <c r="V19" s="382">
        <f t="shared" si="8"/>
        <v>25.383261985520043</v>
      </c>
      <c r="W19" s="401">
        <f t="shared" si="9"/>
        <v>0</v>
      </c>
      <c r="X19" s="157">
        <f t="shared" si="10"/>
        <v>44566</v>
      </c>
      <c r="Y19" s="384">
        <f t="shared" si="11"/>
        <v>14.198705276240256</v>
      </c>
      <c r="Z19" s="384">
        <f t="shared" si="21"/>
        <v>14.595898223897818</v>
      </c>
      <c r="AA19" s="385">
        <f t="shared" si="12"/>
        <v>15.446957787157046</v>
      </c>
      <c r="AB19" s="196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5.5095610086202076E-2</v>
      </c>
      <c r="AD19" s="230">
        <f>(INDEX(Models!$BJ19:$BT19,,AH19)*(1-AF19)+INDEX(Models!$BJ19:$BT19,,AH19+1)*AF19-ERP_i)*AE19*Ramure*Pc/MaxiM</f>
        <v>4.3712895511669798E-4</v>
      </c>
      <c r="AE19" s="304">
        <f t="shared" si="14"/>
        <v>0.5</v>
      </c>
      <c r="AF19" s="176">
        <f t="shared" si="22"/>
        <v>0.73485091478895193</v>
      </c>
      <c r="AG19" s="814">
        <f t="shared" si="23"/>
        <v>0</v>
      </c>
      <c r="AH19" s="175">
        <f t="shared" si="15"/>
        <v>6</v>
      </c>
      <c r="AI19" s="224">
        <f t="shared" si="24"/>
        <v>0.73485091478895193</v>
      </c>
      <c r="AJ19" s="264" t="b">
        <f t="shared" si="16"/>
        <v>0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44567</v>
      </c>
      <c r="B20" s="1158">
        <v>26.547000000000001</v>
      </c>
      <c r="C20" s="843"/>
      <c r="D20" s="392">
        <f t="shared" si="0"/>
        <v>27.290219711947405</v>
      </c>
      <c r="E20" s="384">
        <f t="shared" si="1"/>
        <v>27.950775800257869</v>
      </c>
      <c r="F20" s="384">
        <f t="shared" si="2"/>
        <v>27.963119643763427</v>
      </c>
      <c r="G20" s="110">
        <f t="shared" si="19"/>
        <v>1.0382771042356751</v>
      </c>
      <c r="H20" s="413" t="b">
        <f>Wh_hp&gt;='2021'!Maxi_hp</f>
        <v>1</v>
      </c>
      <c r="I20" s="379">
        <f>IF(H20,Wh_hp,'2021'!Maxi_hp)</f>
        <v>27.963119643763427</v>
      </c>
      <c r="J20" s="85">
        <f>IF(H20,An,'2021'!An_max)</f>
        <v>2022</v>
      </c>
      <c r="K20" s="196">
        <f t="shared" si="3"/>
        <v>44567</v>
      </c>
      <c r="L20" s="147">
        <f>IF(t&lt;Tvie,1-EXP((T0-t)*PertePVj)+'2021'!Pspv,1-EXP((T0-t)*PertePVj)+Pspv)</f>
        <v>2.7233921888215142E-2</v>
      </c>
      <c r="M20" s="847"/>
      <c r="N20" s="847"/>
      <c r="O20" s="48">
        <f>IF(t&lt;Tnet,'2021'!Resal+('2021'!Salim-'2021'!Resal)*(1-EXP(('2021'!Tnet-t)/('2021'!Tau_j))),Resal+(Salim-Resal)*(1-EXP((Tnet-t)/(Tau_j))))*Salcycl</f>
        <v>2.3632835561736686E-2</v>
      </c>
      <c r="P20" s="338">
        <f>(INDEX(Models!$BJ20:$BT20,,T20)*(1-R20)+INDEX(Models!$BJ20:$BT20,,T20+1)*R20-ERP_i)*Q20*Ramure*Pc/MaxiM</f>
        <v>4.4143298969545277E-4</v>
      </c>
      <c r="Q20" s="304">
        <f t="shared" si="4"/>
        <v>0.5</v>
      </c>
      <c r="R20" s="176">
        <f t="shared" si="5"/>
        <v>0.73487156486700234</v>
      </c>
      <c r="S20" s="814">
        <f t="shared" si="6"/>
        <v>0</v>
      </c>
      <c r="T20" s="175">
        <f t="shared" si="7"/>
        <v>6</v>
      </c>
      <c r="U20" s="250">
        <f t="shared" si="20"/>
        <v>0.73487156486700234</v>
      </c>
      <c r="V20" s="382">
        <f t="shared" si="8"/>
        <v>25.568318796302947</v>
      </c>
      <c r="W20" s="401">
        <f t="shared" si="9"/>
        <v>0</v>
      </c>
      <c r="X20" s="157">
        <f t="shared" si="10"/>
        <v>44567</v>
      </c>
      <c r="Y20" s="384">
        <f t="shared" si="11"/>
        <v>25.689729163121086</v>
      </c>
      <c r="Z20" s="384">
        <f t="shared" si="21"/>
        <v>26.408948401024492</v>
      </c>
      <c r="AA20" s="385">
        <f t="shared" si="12"/>
        <v>27.950775800257869</v>
      </c>
      <c r="AB20" s="196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5.5162239869533454E-2</v>
      </c>
      <c r="AD20" s="230">
        <f>(INDEX(Models!$BJ20:$BT20,,AH20)*(1-AF20)+INDEX(Models!$BJ20:$BT20,,AH20+1)*AF20-ERP_i)*AE20*Ramure*Pc/MaxiM</f>
        <v>4.4143298969545277E-4</v>
      </c>
      <c r="AE20" s="304">
        <f t="shared" si="14"/>
        <v>0.5</v>
      </c>
      <c r="AF20" s="176">
        <f t="shared" si="22"/>
        <v>0.73487156486700234</v>
      </c>
      <c r="AG20" s="814">
        <f t="shared" si="23"/>
        <v>0</v>
      </c>
      <c r="AH20" s="175">
        <f t="shared" si="15"/>
        <v>6</v>
      </c>
      <c r="AI20" s="224">
        <f t="shared" si="24"/>
        <v>0.73487156486700234</v>
      </c>
      <c r="AJ20" s="264" t="b">
        <f t="shared" si="16"/>
        <v>0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44568</v>
      </c>
      <c r="B21" s="1158">
        <v>10.067</v>
      </c>
      <c r="C21" s="843"/>
      <c r="D21" s="392">
        <f t="shared" si="0"/>
        <v>10.349065877683284</v>
      </c>
      <c r="E21" s="384">
        <f t="shared" si="1"/>
        <v>10.600658157382</v>
      </c>
      <c r="F21" s="384">
        <f t="shared" si="2"/>
        <v>10.601271757204351</v>
      </c>
      <c r="G21" s="110">
        <f t="shared" si="19"/>
        <v>0.39063805154808806</v>
      </c>
      <c r="H21" s="413" t="b">
        <f>Wh_hp&gt;='2021'!Maxi_hp</f>
        <v>0</v>
      </c>
      <c r="I21" s="379">
        <f>IF(H21,Wh_hp,'2021'!Maxi_hp)</f>
        <v>14.031962129731935</v>
      </c>
      <c r="J21" s="85">
        <f>IF(H21,An,'2021'!An_max)</f>
        <v>2021</v>
      </c>
      <c r="K21" s="196">
        <f t="shared" si="3"/>
        <v>44568</v>
      </c>
      <c r="L21" s="147">
        <f>IF(t&lt;Tvie,1-EXP((T0-t)*PertePVj)+'2021'!Pspv,1-EXP((T0-t)*PertePVj)+Pspv)</f>
        <v>2.7255201678784348E-2</v>
      </c>
      <c r="M21" s="847"/>
      <c r="N21" s="847"/>
      <c r="O21" s="48">
        <f>IF(t&lt;Tnet,'2021'!Resal+('2021'!Salim-'2021'!Resal)*(1-EXP(('2021'!Tnet-t)/('2021'!Tau_j))),Resal+(Salim-Resal)*(1-EXP((Tnet-t)/(Tau_j))))*Salcycl</f>
        <v>2.3733647096573371E-2</v>
      </c>
      <c r="P21" s="338">
        <f>(INDEX(Models!$BJ21:$BT21,,T21)*(1-R21)+INDEX(Models!$BJ21:$BT21,,T21+1)*R21-ERP_i)*Q21*Ramure*Pc/MaxiM</f>
        <v>4.4626011083449352E-4</v>
      </c>
      <c r="Q21" s="304">
        <f t="shared" si="4"/>
        <v>0.5</v>
      </c>
      <c r="R21" s="176">
        <f t="shared" si="5"/>
        <v>0.73489307823364025</v>
      </c>
      <c r="S21" s="814">
        <f t="shared" si="6"/>
        <v>0</v>
      </c>
      <c r="T21" s="175">
        <f t="shared" si="7"/>
        <v>6</v>
      </c>
      <c r="U21" s="250">
        <f t="shared" si="20"/>
        <v>0.73489307823364025</v>
      </c>
      <c r="V21" s="382">
        <f t="shared" si="8"/>
        <v>25.760649556627953</v>
      </c>
      <c r="W21" s="401">
        <f t="shared" si="9"/>
        <v>0</v>
      </c>
      <c r="X21" s="157">
        <f t="shared" si="10"/>
        <v>44568</v>
      </c>
      <c r="Y21" s="384">
        <f t="shared" si="11"/>
        <v>9.7422295479047492</v>
      </c>
      <c r="Z21" s="384">
        <f t="shared" si="21"/>
        <v>10.015195727304945</v>
      </c>
      <c r="AA21" s="385">
        <f t="shared" si="12"/>
        <v>10.600658157382</v>
      </c>
      <c r="AB21" s="196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5.5228875545746632E-2</v>
      </c>
      <c r="AD21" s="230">
        <f>(INDEX(Models!$BJ21:$BT21,,AH21)*(1-AF21)+INDEX(Models!$BJ21:$BT21,,AH21+1)*AF21-ERP_i)*AE21*Ramure*Pc/MaxiM</f>
        <v>4.4626011083449352E-4</v>
      </c>
      <c r="AE21" s="304">
        <f t="shared" si="14"/>
        <v>0.5</v>
      </c>
      <c r="AF21" s="176">
        <f t="shared" si="22"/>
        <v>0.73489307823364025</v>
      </c>
      <c r="AG21" s="814">
        <f t="shared" si="23"/>
        <v>0</v>
      </c>
      <c r="AH21" s="175">
        <f t="shared" si="15"/>
        <v>6</v>
      </c>
      <c r="AI21" s="224">
        <f t="shared" si="24"/>
        <v>0.73489307823364025</v>
      </c>
      <c r="AJ21" s="264" t="b">
        <f t="shared" si="16"/>
        <v>0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44569</v>
      </c>
      <c r="B22" s="1158">
        <v>6.8620000000000001</v>
      </c>
      <c r="C22" s="843"/>
      <c r="D22" s="392">
        <f t="shared" si="0"/>
        <v>7.0544197461962259</v>
      </c>
      <c r="E22" s="384">
        <f t="shared" si="1"/>
        <v>7.2266627589678558</v>
      </c>
      <c r="F22" s="384">
        <f t="shared" si="2"/>
        <v>7.2266627589678558</v>
      </c>
      <c r="G22" s="110">
        <f t="shared" si="19"/>
        <v>0.26421352895277989</v>
      </c>
      <c r="H22" s="413" t="b">
        <f>Wh_hp&gt;='2021'!Maxi_hp</f>
        <v>0</v>
      </c>
      <c r="I22" s="379">
        <f>IF(H22,Wh_hp,'2021'!Maxi_hp)</f>
        <v>20.064125599545072</v>
      </c>
      <c r="J22" s="85">
        <f>IF(H22,An,'2021'!An_max)</f>
        <v>2021</v>
      </c>
      <c r="K22" s="196">
        <f t="shared" si="3"/>
        <v>44569</v>
      </c>
      <c r="L22" s="147">
        <f>IF(t&lt;Tvie,1-EXP((T0-t)*PertePVj)+'2021'!Pspv,1-EXP((T0-t)*PertePVj)+Pspv)</f>
        <v>2.7276481003271603E-2</v>
      </c>
      <c r="M22" s="847"/>
      <c r="N22" s="847"/>
      <c r="O22" s="48">
        <f>IF(t&lt;Tnet,'2021'!Resal+('2021'!Salim-'2021'!Resal)*(1-EXP(('2021'!Tnet-t)/('2021'!Tau_j))),Resal+(Salim-Resal)*(1-EXP((Tnet-t)/(Tau_j))))*Salcycl</f>
        <v>2.3834378123966941E-2</v>
      </c>
      <c r="P22" s="338">
        <f>(INDEX(Models!$BJ22:$BT22,,T22)*(1-R22)+INDEX(Models!$BJ22:$BT22,,T22+1)*R22-ERP_i)*Q22*Ramure*Pc/MaxiM</f>
        <v>4.5160292564523354E-4</v>
      </c>
      <c r="Q22" s="304">
        <f t="shared" si="4"/>
        <v>0.5</v>
      </c>
      <c r="R22" s="176">
        <f t="shared" si="5"/>
        <v>0.73491549084723862</v>
      </c>
      <c r="S22" s="814">
        <f t="shared" si="6"/>
        <v>0</v>
      </c>
      <c r="T22" s="175">
        <f t="shared" si="7"/>
        <v>6</v>
      </c>
      <c r="U22" s="250">
        <f t="shared" si="20"/>
        <v>0.73491549084723862</v>
      </c>
      <c r="V22" s="382">
        <f t="shared" si="8"/>
        <v>25.959689225263112</v>
      </c>
      <c r="W22" s="401">
        <f t="shared" si="9"/>
        <v>0</v>
      </c>
      <c r="X22" s="157">
        <f t="shared" si="10"/>
        <v>44569</v>
      </c>
      <c r="Y22" s="384">
        <f t="shared" si="11"/>
        <v>6.640842556998118</v>
      </c>
      <c r="Z22" s="384">
        <f t="shared" si="21"/>
        <v>6.8270607498495712</v>
      </c>
      <c r="AA22" s="385">
        <f t="shared" si="12"/>
        <v>7.2266627589678558</v>
      </c>
      <c r="AB22" s="196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5.5295510866672476E-2</v>
      </c>
      <c r="AD22" s="230">
        <f>(INDEX(Models!$BJ22:$BT22,,AH22)*(1-AF22)+INDEX(Models!$BJ22:$BT22,,AH22+1)*AF22-ERP_i)*AE22*Ramure*Pc/MaxiM</f>
        <v>4.5160292564523354E-4</v>
      </c>
      <c r="AE22" s="304">
        <f t="shared" si="14"/>
        <v>0.5</v>
      </c>
      <c r="AF22" s="176">
        <f t="shared" si="22"/>
        <v>0.73491549084723862</v>
      </c>
      <c r="AG22" s="814">
        <f t="shared" si="23"/>
        <v>0</v>
      </c>
      <c r="AH22" s="175">
        <f t="shared" si="15"/>
        <v>6</v>
      </c>
      <c r="AI22" s="224">
        <f t="shared" si="24"/>
        <v>0.73491549084723862</v>
      </c>
      <c r="AJ22" s="264" t="b">
        <f t="shared" si="16"/>
        <v>0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44570</v>
      </c>
      <c r="B23" s="1158">
        <v>1.9040000000000001</v>
      </c>
      <c r="C23" s="843"/>
      <c r="D23" s="392">
        <f t="shared" si="0"/>
        <v>1.9574335510209802</v>
      </c>
      <c r="E23" s="384">
        <f t="shared" si="1"/>
        <v>2.0054336596299489</v>
      </c>
      <c r="F23" s="384">
        <f t="shared" si="2"/>
        <v>2.0054336596299489</v>
      </c>
      <c r="G23" s="110">
        <f t="shared" si="19"/>
        <v>7.2725798970855418E-2</v>
      </c>
      <c r="H23" s="413" t="b">
        <f>Wh_hp&gt;='2021'!Maxi_hp</f>
        <v>0</v>
      </c>
      <c r="I23" s="379">
        <f>IF(H23,Wh_hp,'2021'!Maxi_hp)</f>
        <v>26.291265960705861</v>
      </c>
      <c r="J23" s="85">
        <f>IF(H23,An,'2021'!An_max)</f>
        <v>2020</v>
      </c>
      <c r="K23" s="196">
        <f t="shared" si="3"/>
        <v>44570</v>
      </c>
      <c r="L23" s="147">
        <f>IF(t&lt;Tvie,1-EXP((T0-t)*PertePVj)+'2021'!Pspv,1-EXP((T0-t)*PertePVj)+Pspv)</f>
        <v>2.7297759861687011E-2</v>
      </c>
      <c r="M23" s="847"/>
      <c r="N23" s="847"/>
      <c r="O23" s="48">
        <f>IF(t&lt;Tnet,'2021'!Resal+('2021'!Salim-'2021'!Resal)*(1-EXP(('2021'!Tnet-t)/('2021'!Tau_j))),Resal+(Salim-Resal)*(1-EXP((Tnet-t)/(Tau_j))))*Salcycl</f>
        <v>2.3935026909753663E-2</v>
      </c>
      <c r="P23" s="338">
        <f>(INDEX(Models!$BJ23:$BT23,,T23)*(1-R23)+INDEX(Models!$BJ23:$BT23,,T23+1)*R23-ERP_i)*Q23*Ramure*Pc/MaxiM</f>
        <v>4.5738961984784102E-4</v>
      </c>
      <c r="Q23" s="304">
        <f t="shared" si="4"/>
        <v>0.5</v>
      </c>
      <c r="R23" s="176">
        <f t="shared" si="5"/>
        <v>0.73493884015265964</v>
      </c>
      <c r="S23" s="814">
        <f t="shared" si="6"/>
        <v>0</v>
      </c>
      <c r="T23" s="175">
        <f t="shared" si="7"/>
        <v>6</v>
      </c>
      <c r="U23" s="250">
        <f t="shared" si="20"/>
        <v>0.73493884015265964</v>
      </c>
      <c r="V23" s="382">
        <f t="shared" si="8"/>
        <v>26.168555823312186</v>
      </c>
      <c r="W23" s="401">
        <f t="shared" si="9"/>
        <v>0</v>
      </c>
      <c r="X23" s="157">
        <f t="shared" si="10"/>
        <v>44570</v>
      </c>
      <c r="Y23" s="384">
        <f t="shared" si="11"/>
        <v>1.8426954488102272</v>
      </c>
      <c r="Z23" s="384">
        <f t="shared" si="21"/>
        <v>1.8944085587262613</v>
      </c>
      <c r="AA23" s="385">
        <f t="shared" si="12"/>
        <v>2.0054336596299489</v>
      </c>
      <c r="AB23" s="196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5.5362140936726124E-2</v>
      </c>
      <c r="AD23" s="230">
        <f>(INDEX(Models!$BJ23:$BT23,,AH23)*(1-AF23)+INDEX(Models!$BJ23:$BT23,,AH23+1)*AF23-ERP_i)*AE23*Ramure*Pc/MaxiM</f>
        <v>4.5738961984784102E-4</v>
      </c>
      <c r="AE23" s="304">
        <f t="shared" si="14"/>
        <v>0.5</v>
      </c>
      <c r="AF23" s="176">
        <f t="shared" si="22"/>
        <v>0.73493884015265964</v>
      </c>
      <c r="AG23" s="814">
        <f t="shared" si="23"/>
        <v>0</v>
      </c>
      <c r="AH23" s="175">
        <f t="shared" si="15"/>
        <v>6</v>
      </c>
      <c r="AI23" s="224">
        <f t="shared" si="24"/>
        <v>0.73493884015265964</v>
      </c>
      <c r="AJ23" s="264" t="b">
        <f t="shared" si="16"/>
        <v>0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44571</v>
      </c>
      <c r="B24" s="1158">
        <v>1.528</v>
      </c>
      <c r="C24" s="843"/>
      <c r="D24" s="392">
        <f t="shared" si="0"/>
        <v>1.5709159118908269</v>
      </c>
      <c r="E24" s="384">
        <f t="shared" si="1"/>
        <v>1.6096036898484984</v>
      </c>
      <c r="F24" s="384">
        <f t="shared" si="2"/>
        <v>1.6096036898484984</v>
      </c>
      <c r="G24" s="110">
        <f t="shared" si="19"/>
        <v>5.7873728632410484E-2</v>
      </c>
      <c r="H24" s="413" t="b">
        <f>Wh_hp&gt;='2021'!Maxi_hp</f>
        <v>0</v>
      </c>
      <c r="I24" s="379">
        <f>IF(H24,Wh_hp,'2021'!Maxi_hp)</f>
        <v>14.840705904124258</v>
      </c>
      <c r="J24" s="85">
        <f>IF(H24,An,'2021'!An_max)</f>
        <v>2019</v>
      </c>
      <c r="K24" s="196">
        <f t="shared" si="3"/>
        <v>44571</v>
      </c>
      <c r="L24" s="147">
        <f>IF(t&lt;Tvie,1-EXP((T0-t)*PertePVj)+'2021'!Pspv,1-EXP((T0-t)*PertePVj)+Pspv)</f>
        <v>2.7319038254040785E-2</v>
      </c>
      <c r="M24" s="847"/>
      <c r="N24" s="847"/>
      <c r="O24" s="48">
        <f>IF(t&lt;Tnet,'2021'!Resal+('2021'!Salim-'2021'!Resal)*(1-EXP(('2021'!Tnet-t)/('2021'!Tau_j))),Resal+(Salim-Resal)*(1-EXP((Tnet-t)/(Tau_j))))*Salcycl</f>
        <v>2.4035592240294196E-2</v>
      </c>
      <c r="P24" s="338">
        <f>(INDEX(Models!$BJ24:$BT24,,T24)*(1-R24)+INDEX(Models!$BJ24:$BT24,,T24+1)*R24-ERP_i)*Q24*Ramure*Pc/MaxiM</f>
        <v>4.6336033925964344E-4</v>
      </c>
      <c r="Q24" s="304">
        <f t="shared" si="4"/>
        <v>0.5</v>
      </c>
      <c r="R24" s="176">
        <f t="shared" si="5"/>
        <v>0.73496316514174131</v>
      </c>
      <c r="S24" s="814">
        <f t="shared" si="6"/>
        <v>0</v>
      </c>
      <c r="T24" s="175">
        <f t="shared" si="7"/>
        <v>6</v>
      </c>
      <c r="U24" s="250">
        <f t="shared" si="20"/>
        <v>0.73496316514174131</v>
      </c>
      <c r="V24" s="382">
        <f t="shared" si="8"/>
        <v>26.390074071472494</v>
      </c>
      <c r="W24" s="401">
        <f t="shared" si="9"/>
        <v>0</v>
      </c>
      <c r="X24" s="157">
        <f t="shared" si="10"/>
        <v>44571</v>
      </c>
      <c r="Y24" s="384">
        <f t="shared" si="11"/>
        <v>1.4788498842758138</v>
      </c>
      <c r="Z24" s="384">
        <f t="shared" si="21"/>
        <v>1.5203853498081046</v>
      </c>
      <c r="AA24" s="385">
        <f t="shared" si="12"/>
        <v>1.6096036898484984</v>
      </c>
      <c r="AB24" s="196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5.5428762125161055E-2</v>
      </c>
      <c r="AD24" s="230">
        <f>(INDEX(Models!$BJ24:$BT24,,AH24)*(1-AF24)+INDEX(Models!$BJ24:$BT24,,AH24+1)*AF24-ERP_i)*AE24*Ramure*Pc/MaxiM</f>
        <v>4.6336033925964344E-4</v>
      </c>
      <c r="AE24" s="304">
        <f t="shared" si="14"/>
        <v>0.5</v>
      </c>
      <c r="AF24" s="176">
        <f t="shared" si="22"/>
        <v>0.73496316514174131</v>
      </c>
      <c r="AG24" s="814">
        <f t="shared" si="23"/>
        <v>0</v>
      </c>
      <c r="AH24" s="175">
        <f t="shared" si="15"/>
        <v>6</v>
      </c>
      <c r="AI24" s="224">
        <f t="shared" si="24"/>
        <v>0.73496316514174131</v>
      </c>
      <c r="AJ24" s="264" t="b">
        <f t="shared" si="16"/>
        <v>0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44572</v>
      </c>
      <c r="B25" s="1158">
        <v>27.298999999999999</v>
      </c>
      <c r="C25" s="843"/>
      <c r="D25" s="392">
        <f t="shared" si="0"/>
        <v>28.066342682978494</v>
      </c>
      <c r="E25" s="384">
        <f t="shared" si="1"/>
        <v>28.760508425033294</v>
      </c>
      <c r="F25" s="384">
        <f t="shared" si="2"/>
        <v>28.774012285280158</v>
      </c>
      <c r="G25" s="110">
        <f t="shared" si="19"/>
        <v>1.0253824281395252</v>
      </c>
      <c r="H25" s="413" t="b">
        <f>Wh_hp&gt;='2021'!Maxi_hp</f>
        <v>1</v>
      </c>
      <c r="I25" s="379">
        <f>IF(H25,Wh_hp,'2021'!Maxi_hp)</f>
        <v>28.774012285280158</v>
      </c>
      <c r="J25" s="85">
        <f>IF(H25,An,'2021'!An_max)</f>
        <v>2022</v>
      </c>
      <c r="K25" s="196">
        <f t="shared" si="3"/>
        <v>44572</v>
      </c>
      <c r="L25" s="147">
        <f>IF(t&lt;Tvie,1-EXP((T0-t)*PertePVj)+'2021'!Pspv,1-EXP((T0-t)*PertePVj)+Pspv)</f>
        <v>2.7340316180343251E-2</v>
      </c>
      <c r="M25" s="847"/>
      <c r="N25" s="847"/>
      <c r="O25" s="48">
        <f>IF(t&lt;Tnet,'2021'!Resal+('2021'!Salim-'2021'!Resal)*(1-EXP(('2021'!Tnet-t)/('2021'!Tau_j))),Resal+(Salim-Resal)*(1-EXP((Tnet-t)/(Tau_j))))*Salcycl</f>
        <v>2.4136073389112687E-2</v>
      </c>
      <c r="P25" s="338">
        <f>(INDEX(Models!$BJ25:$BT25,,T25)*(1-R25)+INDEX(Models!$BJ25:$BT25,,T25+1)*R25-ERP_i)*Q25*Ramure*Pc/MaxiM</f>
        <v>4.6930751655269517E-4</v>
      </c>
      <c r="Q25" s="304">
        <f t="shared" si="4"/>
        <v>0.5</v>
      </c>
      <c r="R25" s="176">
        <f t="shared" si="5"/>
        <v>0.73498850641616098</v>
      </c>
      <c r="S25" s="814">
        <f t="shared" si="6"/>
        <v>0</v>
      </c>
      <c r="T25" s="175">
        <f t="shared" si="7"/>
        <v>6</v>
      </c>
      <c r="U25" s="250">
        <f t="shared" si="20"/>
        <v>0.73498850641616098</v>
      </c>
      <c r="V25" s="382">
        <f t="shared" si="8"/>
        <v>26.623237585153344</v>
      </c>
      <c r="W25" s="401">
        <f t="shared" si="9"/>
        <v>0</v>
      </c>
      <c r="X25" s="157">
        <f t="shared" si="10"/>
        <v>44572</v>
      </c>
      <c r="Y25" s="384">
        <f t="shared" si="11"/>
        <v>26.421749116330293</v>
      </c>
      <c r="Z25" s="384">
        <f t="shared" si="21"/>
        <v>27.164433311938541</v>
      </c>
      <c r="AA25" s="385">
        <f t="shared" si="12"/>
        <v>28.760508425033294</v>
      </c>
      <c r="AB25" s="196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5.5495371970042048E-2</v>
      </c>
      <c r="AD25" s="230">
        <f>(INDEX(Models!$BJ25:$BT25,,AH25)*(1-AF25)+INDEX(Models!$BJ25:$BT25,,AH25+1)*AF25-ERP_i)*AE25*Ramure*Pc/MaxiM</f>
        <v>4.6930751655269517E-4</v>
      </c>
      <c r="AE25" s="304">
        <f t="shared" si="14"/>
        <v>0.5</v>
      </c>
      <c r="AF25" s="176">
        <f t="shared" si="22"/>
        <v>0.73498850641616098</v>
      </c>
      <c r="AG25" s="814">
        <f t="shared" si="23"/>
        <v>0</v>
      </c>
      <c r="AH25" s="175">
        <f t="shared" si="15"/>
        <v>6</v>
      </c>
      <c r="AI25" s="224">
        <f t="shared" si="24"/>
        <v>0.73498850641616098</v>
      </c>
      <c r="AJ25" s="264" t="b">
        <f t="shared" si="16"/>
        <v>0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44573</v>
      </c>
      <c r="B26" s="1158">
        <v>24.997</v>
      </c>
      <c r="C26" s="843"/>
      <c r="D26" s="392">
        <f t="shared" si="0"/>
        <v>25.700198384684661</v>
      </c>
      <c r="E26" s="384">
        <f t="shared" si="1"/>
        <v>26.338551909992113</v>
      </c>
      <c r="F26" s="384">
        <f t="shared" si="2"/>
        <v>26.349829264471197</v>
      </c>
      <c r="G26" s="110">
        <f t="shared" si="19"/>
        <v>0.93035269439723367</v>
      </c>
      <c r="H26" s="413" t="b">
        <f>Wh_hp&gt;='2021'!Maxi_hp</f>
        <v>0</v>
      </c>
      <c r="I26" s="379">
        <f>IF(H26,Wh_hp,'2021'!Maxi_hp)</f>
        <v>28.636326712021056</v>
      </c>
      <c r="J26" s="85">
        <f>IF(H26,An,'2021'!An_max)</f>
        <v>2020</v>
      </c>
      <c r="K26" s="196">
        <f t="shared" si="3"/>
        <v>44573</v>
      </c>
      <c r="L26" s="147">
        <f>IF(t&lt;Tvie,1-EXP((T0-t)*PertePVj)+'2021'!Pspv,1-EXP((T0-t)*PertePVj)+Pspv)</f>
        <v>2.7361593640604399E-2</v>
      </c>
      <c r="M26" s="847"/>
      <c r="N26" s="847"/>
      <c r="O26" s="48">
        <f>IF(t&lt;Tnet,'2021'!Resal+('2021'!Salim-'2021'!Resal)*(1-EXP(('2021'!Tnet-t)/('2021'!Tau_j))),Resal+(Salim-Resal)*(1-EXP((Tnet-t)/(Tau_j))))*Salcycl</f>
        <v>2.423647007963553E-2</v>
      </c>
      <c r="P26" s="338">
        <f>(INDEX(Models!$BJ26:$BT26,,T26)*(1-R26)+INDEX(Models!$BJ26:$BT26,,T26+1)*R26-ERP_i)*Q26*Ramure*Pc/MaxiM</f>
        <v>4.7524061557865547E-4</v>
      </c>
      <c r="Q26" s="304">
        <f t="shared" si="4"/>
        <v>0.5</v>
      </c>
      <c r="R26" s="176">
        <f t="shared" si="5"/>
        <v>0.73501490625276367</v>
      </c>
      <c r="S26" s="814">
        <f t="shared" si="6"/>
        <v>0</v>
      </c>
      <c r="T26" s="175">
        <f t="shared" si="7"/>
        <v>6</v>
      </c>
      <c r="U26" s="250">
        <f t="shared" si="20"/>
        <v>0.73501490625276367</v>
      </c>
      <c r="V26" s="382">
        <f t="shared" si="8"/>
        <v>26.867034854386798</v>
      </c>
      <c r="W26" s="401">
        <f t="shared" si="9"/>
        <v>0</v>
      </c>
      <c r="X26" s="157">
        <f t="shared" si="10"/>
        <v>44573</v>
      </c>
      <c r="Y26" s="384">
        <f t="shared" si="11"/>
        <v>24.194506901640967</v>
      </c>
      <c r="Z26" s="384">
        <f t="shared" si="21"/>
        <v>24.875130103284196</v>
      </c>
      <c r="AA26" s="385">
        <f t="shared" si="12"/>
        <v>26.338551909992113</v>
      </c>
      <c r="AB26" s="196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5.5561969075176638E-2</v>
      </c>
      <c r="AD26" s="230">
        <f>(INDEX(Models!$BJ26:$BT26,,AH26)*(1-AF26)+INDEX(Models!$BJ26:$BT26,,AH26+1)*AF26-ERP_i)*AE26*Ramure*Pc/MaxiM</f>
        <v>4.7524061557865547E-4</v>
      </c>
      <c r="AE26" s="304">
        <f t="shared" si="14"/>
        <v>0.5</v>
      </c>
      <c r="AF26" s="176">
        <f t="shared" si="22"/>
        <v>0.73501490625276367</v>
      </c>
      <c r="AG26" s="814">
        <f t="shared" si="23"/>
        <v>0</v>
      </c>
      <c r="AH26" s="175">
        <f t="shared" si="15"/>
        <v>6</v>
      </c>
      <c r="AI26" s="224">
        <f t="shared" si="24"/>
        <v>0.73501490625276367</v>
      </c>
      <c r="AJ26" s="264" t="b">
        <f t="shared" si="16"/>
        <v>0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44574</v>
      </c>
      <c r="B27" s="1158">
        <v>5.41</v>
      </c>
      <c r="C27" s="843"/>
      <c r="D27" s="392">
        <f t="shared" si="0"/>
        <v>5.5623120718952883</v>
      </c>
      <c r="E27" s="384">
        <f t="shared" si="1"/>
        <v>5.7010574671777974</v>
      </c>
      <c r="F27" s="384">
        <f t="shared" si="2"/>
        <v>5.7010574671777974</v>
      </c>
      <c r="G27" s="110">
        <f t="shared" si="19"/>
        <v>0.1993844460942728</v>
      </c>
      <c r="H27" s="413" t="b">
        <f>Wh_hp&gt;='2021'!Maxi_hp</f>
        <v>0</v>
      </c>
      <c r="I27" s="379">
        <f>IF(H27,Wh_hp,'2021'!Maxi_hp)</f>
        <v>16.901313212419812</v>
      </c>
      <c r="J27" s="85">
        <f>IF(H27,An,'2021'!An_max)</f>
        <v>2020</v>
      </c>
      <c r="K27" s="196">
        <f t="shared" si="3"/>
        <v>44574</v>
      </c>
      <c r="L27" s="147">
        <f>IF(t&lt;Tvie,1-EXP((T0-t)*PertePVj)+'2021'!Pspv,1-EXP((T0-t)*PertePVj)+Pspv)</f>
        <v>2.7382870634834668E-2</v>
      </c>
      <c r="M27" s="847"/>
      <c r="N27" s="847"/>
      <c r="O27" s="48">
        <f>IF(t&lt;Tnet,'2021'!Resal+('2021'!Salim-'2021'!Resal)*(1-EXP(('2021'!Tnet-t)/('2021'!Tau_j))),Resal+(Salim-Resal)*(1-EXP((Tnet-t)/(Tau_j))))*Salcycl</f>
        <v>2.4336782444536968E-2</v>
      </c>
      <c r="P27" s="338">
        <f>(INDEX(Models!$BJ27:$BT27,,T27)*(1-R27)+INDEX(Models!$BJ27:$BT27,,T27+1)*R27-ERP_i)*Q27*Ramure*Pc/MaxiM</f>
        <v>4.8116967624328564E-4</v>
      </c>
      <c r="Q27" s="304">
        <f t="shared" si="4"/>
        <v>0.5</v>
      </c>
      <c r="R27" s="176">
        <f t="shared" si="5"/>
        <v>0.7350424086714451</v>
      </c>
      <c r="S27" s="814">
        <f t="shared" si="6"/>
        <v>0</v>
      </c>
      <c r="T27" s="175">
        <f t="shared" si="7"/>
        <v>6</v>
      </c>
      <c r="U27" s="250">
        <f t="shared" si="20"/>
        <v>0.7350424086714451</v>
      </c>
      <c r="V27" s="382">
        <f t="shared" si="8"/>
        <v>27.120454869858818</v>
      </c>
      <c r="W27" s="401">
        <f t="shared" si="9"/>
        <v>0</v>
      </c>
      <c r="X27" s="157">
        <f t="shared" si="10"/>
        <v>44574</v>
      </c>
      <c r="Y27" s="384">
        <f t="shared" si="11"/>
        <v>5.2364888173849931</v>
      </c>
      <c r="Z27" s="384">
        <f t="shared" si="21"/>
        <v>5.3839158897015205</v>
      </c>
      <c r="AA27" s="385">
        <f t="shared" si="12"/>
        <v>5.7010574671777974</v>
      </c>
      <c r="AB27" s="196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5.5628553001285899E-2</v>
      </c>
      <c r="AD27" s="230">
        <f>(INDEX(Models!$BJ27:$BT27,,AH27)*(1-AF27)+INDEX(Models!$BJ27:$BT27,,AH27+1)*AF27-ERP_i)*AE27*Ramure*Pc/MaxiM</f>
        <v>4.8116967624328564E-4</v>
      </c>
      <c r="AE27" s="304">
        <f t="shared" si="14"/>
        <v>0.5</v>
      </c>
      <c r="AF27" s="176">
        <f t="shared" si="22"/>
        <v>0.7350424086714451</v>
      </c>
      <c r="AG27" s="814">
        <f t="shared" si="23"/>
        <v>0</v>
      </c>
      <c r="AH27" s="175">
        <f t="shared" si="15"/>
        <v>6</v>
      </c>
      <c r="AI27" s="224">
        <f t="shared" si="24"/>
        <v>0.7350424086714451</v>
      </c>
      <c r="AJ27" s="264" t="b">
        <f t="shared" si="16"/>
        <v>0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44575</v>
      </c>
      <c r="B28" s="1158">
        <v>28.306000000000001</v>
      </c>
      <c r="C28" s="843"/>
      <c r="D28" s="392">
        <f t="shared" si="0"/>
        <v>29.103558191652255</v>
      </c>
      <c r="E28" s="384">
        <f t="shared" si="1"/>
        <v>29.832577208525041</v>
      </c>
      <c r="F28" s="384">
        <f t="shared" si="2"/>
        <v>29.847115895042656</v>
      </c>
      <c r="G28" s="110">
        <f t="shared" si="19"/>
        <v>1.0337264061663218</v>
      </c>
      <c r="H28" s="413" t="b">
        <f>Wh_hp&gt;='2021'!Maxi_hp</f>
        <v>1</v>
      </c>
      <c r="I28" s="379">
        <f>IF(H28,Wh_hp,'2021'!Maxi_hp)</f>
        <v>29.847115895042656</v>
      </c>
      <c r="J28" s="85">
        <f>IF(H28,An,'2021'!An_max)</f>
        <v>2022</v>
      </c>
      <c r="K28" s="196">
        <f t="shared" si="3"/>
        <v>44575</v>
      </c>
      <c r="L28" s="147">
        <f>IF(t&lt;Tvie,1-EXP((T0-t)*PertePVj)+'2021'!Pspv,1-EXP((T0-t)*PertePVj)+Pspv)</f>
        <v>2.7404147163044047E-2</v>
      </c>
      <c r="M28" s="847"/>
      <c r="N28" s="847"/>
      <c r="O28" s="48">
        <f>IF(t&lt;Tnet,'2021'!Resal+('2021'!Salim-'2021'!Resal)*(1-EXP(('2021'!Tnet-t)/('2021'!Tau_j))),Resal+(Salim-Resal)*(1-EXP((Tnet-t)/(Tau_j))))*Salcycl</f>
        <v>2.4437010982224526E-2</v>
      </c>
      <c r="P28" s="338">
        <f>(INDEX(Models!$BJ28:$BT28,,T28)*(1-R28)+INDEX(Models!$BJ28:$BT28,,T28+1)*R28-ERP_i)*Q28*Ramure*Pc/MaxiM</f>
        <v>4.8710523886933728E-4</v>
      </c>
      <c r="Q28" s="304">
        <f t="shared" si="4"/>
        <v>0.5</v>
      </c>
      <c r="R28" s="176">
        <f t="shared" si="5"/>
        <v>0.73507105950567886</v>
      </c>
      <c r="S28" s="814">
        <f t="shared" si="6"/>
        <v>0</v>
      </c>
      <c r="T28" s="175">
        <f t="shared" si="7"/>
        <v>6</v>
      </c>
      <c r="U28" s="250">
        <f t="shared" si="20"/>
        <v>0.73507105950567886</v>
      </c>
      <c r="V28" s="382">
        <f t="shared" si="8"/>
        <v>27.382487117626841</v>
      </c>
      <c r="W28" s="401">
        <f t="shared" si="9"/>
        <v>0</v>
      </c>
      <c r="X28" s="157">
        <f t="shared" si="10"/>
        <v>44575</v>
      </c>
      <c r="Y28" s="384">
        <f t="shared" si="11"/>
        <v>27.399044568762353</v>
      </c>
      <c r="Z28" s="384">
        <f t="shared" si="21"/>
        <v>28.171048117100572</v>
      </c>
      <c r="AA28" s="385">
        <f t="shared" si="12"/>
        <v>29.832577208525041</v>
      </c>
      <c r="AB28" s="196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5.5695124152722077E-2</v>
      </c>
      <c r="AD28" s="230">
        <f>(INDEX(Models!$BJ28:$BT28,,AH28)*(1-AF28)+INDEX(Models!$BJ28:$BT28,,AH28+1)*AF28-ERP_i)*AE28*Ramure*Pc/MaxiM</f>
        <v>4.8710523886933728E-4</v>
      </c>
      <c r="AE28" s="304">
        <f t="shared" si="14"/>
        <v>0.5</v>
      </c>
      <c r="AF28" s="176">
        <f t="shared" si="22"/>
        <v>0.73507105950567886</v>
      </c>
      <c r="AG28" s="814">
        <f t="shared" si="23"/>
        <v>0</v>
      </c>
      <c r="AH28" s="175">
        <f t="shared" si="15"/>
        <v>6</v>
      </c>
      <c r="AI28" s="224">
        <f t="shared" si="24"/>
        <v>0.73507105950567886</v>
      </c>
      <c r="AJ28" s="264" t="b">
        <f t="shared" si="16"/>
        <v>0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44576</v>
      </c>
      <c r="B29" s="1158">
        <v>28.664000000000001</v>
      </c>
      <c r="C29" s="843"/>
      <c r="D29" s="392">
        <f t="shared" si="0"/>
        <v>29.472290027419078</v>
      </c>
      <c r="E29" s="384">
        <f t="shared" si="1"/>
        <v>30.213647012944325</v>
      </c>
      <c r="F29" s="384">
        <f t="shared" si="2"/>
        <v>30.228551450413256</v>
      </c>
      <c r="G29" s="110">
        <f t="shared" si="19"/>
        <v>1.0365931566084636</v>
      </c>
      <c r="H29" s="413" t="b">
        <f>Wh_hp&gt;='2021'!Maxi_hp</f>
        <v>1</v>
      </c>
      <c r="I29" s="379">
        <f>IF(H29,Wh_hp,'2021'!Maxi_hp)</f>
        <v>30.228551450413256</v>
      </c>
      <c r="J29" s="85">
        <f>IF(H29,An,'2021'!An_max)</f>
        <v>2022</v>
      </c>
      <c r="K29" s="196">
        <f t="shared" si="3"/>
        <v>44576</v>
      </c>
      <c r="L29" s="147">
        <f>IF(t&lt;Tvie,1-EXP((T0-t)*PertePVj)+'2021'!Pspv,1-EXP((T0-t)*PertePVj)+Pspv)</f>
        <v>2.7425423225242974E-2</v>
      </c>
      <c r="M29" s="847"/>
      <c r="N29" s="847"/>
      <c r="O29" s="48">
        <f>IF(t&lt;Tnet,'2021'!Resal+('2021'!Salim-'2021'!Resal)*(1-EXP(('2021'!Tnet-t)/('2021'!Tau_j))),Resal+(Salim-Resal)*(1-EXP((Tnet-t)/(Tau_j))))*Salcycl</f>
        <v>2.453715651101741E-2</v>
      </c>
      <c r="P29" s="338">
        <f>(INDEX(Models!$BJ29:$BT29,,T29)*(1-R29)+INDEX(Models!$BJ29:$BT29,,T29+1)*R29-ERP_i)*Q29*Ramure*Pc/MaxiM</f>
        <v>4.9305827615918796E-4</v>
      </c>
      <c r="Q29" s="304">
        <f t="shared" si="4"/>
        <v>0.5</v>
      </c>
      <c r="R29" s="176">
        <f t="shared" si="5"/>
        <v>0.73510090647578219</v>
      </c>
      <c r="S29" s="814">
        <f t="shared" si="6"/>
        <v>0</v>
      </c>
      <c r="T29" s="175">
        <f t="shared" si="7"/>
        <v>6</v>
      </c>
      <c r="U29" s="250">
        <f t="shared" si="20"/>
        <v>0.73510090647578219</v>
      </c>
      <c r="V29" s="382">
        <f t="shared" si="8"/>
        <v>27.652121584309103</v>
      </c>
      <c r="W29" s="401">
        <f t="shared" si="9"/>
        <v>0</v>
      </c>
      <c r="X29" s="157">
        <f t="shared" si="10"/>
        <v>44576</v>
      </c>
      <c r="Y29" s="384">
        <f t="shared" si="11"/>
        <v>27.746466490443204</v>
      </c>
      <c r="Z29" s="384">
        <f t="shared" si="21"/>
        <v>28.528883185961725</v>
      </c>
      <c r="AA29" s="385">
        <f t="shared" si="12"/>
        <v>30.213647012944325</v>
      </c>
      <c r="AB29" s="196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5.5761683661055626E-2</v>
      </c>
      <c r="AD29" s="230">
        <f>(INDEX(Models!$BJ29:$BT29,,AH29)*(1-AF29)+INDEX(Models!$BJ29:$BT29,,AH29+1)*AF29-ERP_i)*AE29*Ramure*Pc/MaxiM</f>
        <v>4.9305827615918796E-4</v>
      </c>
      <c r="AE29" s="304">
        <f t="shared" si="14"/>
        <v>0.5</v>
      </c>
      <c r="AF29" s="176">
        <f t="shared" si="22"/>
        <v>0.73510090647578219</v>
      </c>
      <c r="AG29" s="814">
        <f t="shared" si="23"/>
        <v>0</v>
      </c>
      <c r="AH29" s="175">
        <f t="shared" si="15"/>
        <v>6</v>
      </c>
      <c r="AI29" s="224">
        <f t="shared" si="24"/>
        <v>0.73510090647578219</v>
      </c>
      <c r="AJ29" s="264" t="b">
        <f t="shared" si="16"/>
        <v>0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44577</v>
      </c>
      <c r="B30" s="1158">
        <v>28.214000000000002</v>
      </c>
      <c r="C30" s="843"/>
      <c r="D30" s="392">
        <f t="shared" si="0"/>
        <v>29.010235187942648</v>
      </c>
      <c r="E30" s="384">
        <f t="shared" si="1"/>
        <v>29.743020531867099</v>
      </c>
      <c r="F30" s="384">
        <f t="shared" si="2"/>
        <v>29.757828642764942</v>
      </c>
      <c r="G30" s="110">
        <f t="shared" si="19"/>
        <v>1.0102265688655998</v>
      </c>
      <c r="H30" s="413" t="b">
        <f>Wh_hp&gt;='2021'!Maxi_hp</f>
        <v>1</v>
      </c>
      <c r="I30" s="379">
        <f>IF(H30,Wh_hp,'2021'!Maxi_hp)</f>
        <v>29.757828642764942</v>
      </c>
      <c r="J30" s="85">
        <f>IF(H30,An,'2021'!An_max)</f>
        <v>2022</v>
      </c>
      <c r="K30" s="196">
        <f t="shared" si="3"/>
        <v>44577</v>
      </c>
      <c r="L30" s="147">
        <f>IF(t&lt;Tvie,1-EXP((T0-t)*PertePVj)+'2021'!Pspv,1-EXP((T0-t)*PertePVj)+Pspv)</f>
        <v>2.7446698821441441E-2</v>
      </c>
      <c r="M30" s="847"/>
      <c r="N30" s="847"/>
      <c r="O30" s="48">
        <f>IF(t&lt;Tnet,'2021'!Resal+('2021'!Salim-'2021'!Resal)*(1-EXP(('2021'!Tnet-t)/('2021'!Tau_j))),Resal+(Salim-Resal)*(1-EXP((Tnet-t)/(Tau_j))))*Salcycl</f>
        <v>2.4637220121585691E-2</v>
      </c>
      <c r="P30" s="338">
        <f>(INDEX(Models!$BJ30:$BT30,,T30)*(1-R30)+INDEX(Models!$BJ30:$BT30,,T30+1)*R30-ERP_i)*Q30*Ramure*Pc/MaxiM</f>
        <v>4.9762067910300966E-4</v>
      </c>
      <c r="Q30" s="304">
        <f t="shared" si="4"/>
        <v>0.5</v>
      </c>
      <c r="R30" s="176">
        <f t="shared" si="5"/>
        <v>0.73513199926501815</v>
      </c>
      <c r="S30" s="814">
        <f t="shared" si="6"/>
        <v>0</v>
      </c>
      <c r="T30" s="175">
        <f t="shared" si="7"/>
        <v>6</v>
      </c>
      <c r="U30" s="250">
        <f t="shared" si="20"/>
        <v>0.73513199926501815</v>
      </c>
      <c r="V30" s="382">
        <f t="shared" si="8"/>
        <v>27.928388412593399</v>
      </c>
      <c r="W30" s="401">
        <f t="shared" si="9"/>
        <v>0</v>
      </c>
      <c r="X30" s="157">
        <f t="shared" si="10"/>
        <v>44577</v>
      </c>
      <c r="Y30" s="384">
        <f t="shared" si="11"/>
        <v>27.311747768281322</v>
      </c>
      <c r="Z30" s="384">
        <f t="shared" si="21"/>
        <v>28.082520243553159</v>
      </c>
      <c r="AA30" s="385">
        <f t="shared" si="12"/>
        <v>29.743020531867099</v>
      </c>
      <c r="AB30" s="196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5.5828233266855279E-2</v>
      </c>
      <c r="AD30" s="230">
        <f>(INDEX(Models!$BJ30:$BT30,,AH30)*(1-AF30)+INDEX(Models!$BJ30:$BT30,,AH30+1)*AF30-ERP_i)*AE30*Ramure*Pc/MaxiM</f>
        <v>4.9762067910300966E-4</v>
      </c>
      <c r="AE30" s="304">
        <f t="shared" si="14"/>
        <v>0.5</v>
      </c>
      <c r="AF30" s="176">
        <f t="shared" si="22"/>
        <v>0.73513199926501815</v>
      </c>
      <c r="AG30" s="814">
        <f t="shared" si="23"/>
        <v>0</v>
      </c>
      <c r="AH30" s="175">
        <f t="shared" si="15"/>
        <v>6</v>
      </c>
      <c r="AI30" s="224">
        <f t="shared" si="24"/>
        <v>0.73513199926501815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44578</v>
      </c>
      <c r="B31" s="1158">
        <v>18.257999999999999</v>
      </c>
      <c r="C31" s="843"/>
      <c r="D31" s="392">
        <f t="shared" si="0"/>
        <v>18.773674810676404</v>
      </c>
      <c r="E31" s="384">
        <f t="shared" si="1"/>
        <v>19.249862571292912</v>
      </c>
      <c r="F31" s="384">
        <f t="shared" si="2"/>
        <v>19.2546417129969</v>
      </c>
      <c r="G31" s="110">
        <f t="shared" si="19"/>
        <v>0.64704735573570882</v>
      </c>
      <c r="H31" s="413" t="b">
        <f>Wh_hp&gt;='2021'!Maxi_hp</f>
        <v>1</v>
      </c>
      <c r="I31" s="379">
        <f>IF(H31,Wh_hp,'2021'!Maxi_hp)</f>
        <v>19.2546417129969</v>
      </c>
      <c r="J31" s="85">
        <f>IF(H31,An,'2021'!An_max)</f>
        <v>2022</v>
      </c>
      <c r="K31" s="196">
        <f t="shared" si="3"/>
        <v>44578</v>
      </c>
      <c r="L31" s="147">
        <f>IF(t&lt;Tvie,1-EXP((T0-t)*PertePVj)+'2021'!Pspv,1-EXP((T0-t)*PertePVj)+Pspv)</f>
        <v>2.7467973951649773E-2</v>
      </c>
      <c r="M31" s="847"/>
      <c r="N31" s="847"/>
      <c r="O31" s="48">
        <f>IF(t&lt;Tnet,'2021'!Resal+('2021'!Salim-'2021'!Resal)*(1-EXP(('2021'!Tnet-t)/('2021'!Tau_j))),Resal+(Salim-Resal)*(1-EXP((Tnet-t)/(Tau_j))))*Salcycl</f>
        <v>2.4737203128226054E-2</v>
      </c>
      <c r="P31" s="338">
        <f>(INDEX(Models!$BJ31:$BT31,,T31)*(1-R31)+INDEX(Models!$BJ31:$BT31,,T31+1)*R31-ERP_i)*Q31*Ramure*Pc/MaxiM</f>
        <v>5.0040254067243168E-4</v>
      </c>
      <c r="Q31" s="304">
        <f t="shared" si="4"/>
        <v>0.5</v>
      </c>
      <c r="R31" s="176">
        <f t="shared" si="5"/>
        <v>0.73516438959863062</v>
      </c>
      <c r="S31" s="814">
        <f t="shared" si="6"/>
        <v>0</v>
      </c>
      <c r="T31" s="175">
        <f t="shared" si="7"/>
        <v>6</v>
      </c>
      <c r="U31" s="250">
        <f t="shared" si="20"/>
        <v>0.73516438959863062</v>
      </c>
      <c r="V31" s="382">
        <f t="shared" si="8"/>
        <v>28.210291122335143</v>
      </c>
      <c r="W31" s="401">
        <f t="shared" si="9"/>
        <v>0</v>
      </c>
      <c r="X31" s="157">
        <f t="shared" si="10"/>
        <v>44578</v>
      </c>
      <c r="Y31" s="384">
        <f t="shared" si="11"/>
        <v>17.674695732956369</v>
      </c>
      <c r="Z31" s="384">
        <f t="shared" si="21"/>
        <v>18.173895830220872</v>
      </c>
      <c r="AA31" s="385">
        <f t="shared" si="12"/>
        <v>19.249862571292912</v>
      </c>
      <c r="AB31" s="196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5.5894775200972802E-2</v>
      </c>
      <c r="AD31" s="230">
        <f>(INDEX(Models!$BJ31:$BT31,,AH31)*(1-AF31)+INDEX(Models!$BJ31:$BT31,,AH31+1)*AF31-ERP_i)*AE31*Ramure*Pc/MaxiM</f>
        <v>5.0040254067243168E-4</v>
      </c>
      <c r="AE31" s="304">
        <f t="shared" si="14"/>
        <v>0.5</v>
      </c>
      <c r="AF31" s="176">
        <f t="shared" si="22"/>
        <v>0.73516438959863062</v>
      </c>
      <c r="AG31" s="814">
        <f t="shared" si="23"/>
        <v>0</v>
      </c>
      <c r="AH31" s="175">
        <f t="shared" si="15"/>
        <v>6</v>
      </c>
      <c r="AI31" s="224">
        <f t="shared" si="24"/>
        <v>0.73516438959863062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44579</v>
      </c>
      <c r="B32" s="1158">
        <v>3.863</v>
      </c>
      <c r="C32" s="843"/>
      <c r="D32" s="392">
        <f t="shared" si="0"/>
        <v>3.9721925896469541</v>
      </c>
      <c r="E32" s="384">
        <f t="shared" si="1"/>
        <v>4.0733631460345157</v>
      </c>
      <c r="F32" s="384">
        <f t="shared" si="2"/>
        <v>4.0733631460345157</v>
      </c>
      <c r="G32" s="110">
        <f t="shared" si="19"/>
        <v>0.13549100054778881</v>
      </c>
      <c r="H32" s="413" t="b">
        <f>Wh_hp&gt;='2021'!Maxi_hp</f>
        <v>0</v>
      </c>
      <c r="I32" s="379">
        <f>IF(H32,Wh_hp,'2021'!Maxi_hp)</f>
        <v>29.889326692258766</v>
      </c>
      <c r="J32" s="85">
        <f>IF(H32,An,'2021'!An_max)</f>
        <v>2021</v>
      </c>
      <c r="K32" s="196">
        <f t="shared" si="3"/>
        <v>44579</v>
      </c>
      <c r="L32" s="147">
        <f>IF(t&lt;Tvie,1-EXP((T0-t)*PertePVj)+'2021'!Pspv,1-EXP((T0-t)*PertePVj)+Pspv)</f>
        <v>2.7489248615878183E-2</v>
      </c>
      <c r="M32" s="847"/>
      <c r="N32" s="847"/>
      <c r="O32" s="48">
        <f>IF(t&lt;Tnet,'2021'!Resal+('2021'!Salim-'2021'!Resal)*(1-EXP(('2021'!Tnet-t)/('2021'!Tau_j))),Resal+(Salim-Resal)*(1-EXP((Tnet-t)/(Tau_j))))*Salcycl</f>
        <v>2.4837107019552742E-2</v>
      </c>
      <c r="P32" s="338">
        <f>(INDEX(Models!$BJ32:$BT32,,T32)*(1-R32)+INDEX(Models!$BJ32:$BT32,,T32+1)*R32-ERP_i)*Q32*Ramure*Pc/MaxiM</f>
        <v>5.0147182074538645E-4</v>
      </c>
      <c r="Q32" s="304">
        <f t="shared" si="4"/>
        <v>0.5</v>
      </c>
      <c r="R32" s="176">
        <f t="shared" si="5"/>
        <v>0.7351981313259156</v>
      </c>
      <c r="S32" s="814">
        <f t="shared" si="6"/>
        <v>0</v>
      </c>
      <c r="T32" s="175">
        <f t="shared" si="7"/>
        <v>6</v>
      </c>
      <c r="U32" s="250">
        <f t="shared" si="20"/>
        <v>0.7351981313259156</v>
      </c>
      <c r="V32" s="382">
        <f t="shared" si="8"/>
        <v>28.496821181821826</v>
      </c>
      <c r="W32" s="401">
        <f t="shared" si="9"/>
        <v>0</v>
      </c>
      <c r="X32" s="157">
        <f t="shared" si="10"/>
        <v>44579</v>
      </c>
      <c r="Y32" s="384">
        <f t="shared" si="11"/>
        <v>3.7397049023683149</v>
      </c>
      <c r="Z32" s="384">
        <f t="shared" si="21"/>
        <v>3.8454123998586089</v>
      </c>
      <c r="AA32" s="385">
        <f t="shared" si="12"/>
        <v>4.0733631460345157</v>
      </c>
      <c r="AB32" s="196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5.596131206662E-2</v>
      </c>
      <c r="AD32" s="230">
        <f>(INDEX(Models!$BJ32:$BT32,,AH32)*(1-AF32)+INDEX(Models!$BJ32:$BT32,,AH32+1)*AF32-ERP_i)*AE32*Ramure*Pc/MaxiM</f>
        <v>5.0147182074538645E-4</v>
      </c>
      <c r="AE32" s="304">
        <f t="shared" si="14"/>
        <v>0.5</v>
      </c>
      <c r="AF32" s="176">
        <f t="shared" si="22"/>
        <v>0.7351981313259156</v>
      </c>
      <c r="AG32" s="814">
        <f t="shared" si="23"/>
        <v>0</v>
      </c>
      <c r="AH32" s="175">
        <f t="shared" si="15"/>
        <v>6</v>
      </c>
      <c r="AI32" s="224">
        <f t="shared" si="24"/>
        <v>0.7351981313259156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44580</v>
      </c>
      <c r="B33" s="1158">
        <v>12.076000000000001</v>
      </c>
      <c r="C33" s="843"/>
      <c r="D33" s="392">
        <f t="shared" si="0"/>
        <v>12.417615083039118</v>
      </c>
      <c r="E33" s="384">
        <f t="shared" si="1"/>
        <v>12.735191710681507</v>
      </c>
      <c r="F33" s="384">
        <f t="shared" si="2"/>
        <v>12.736280748471817</v>
      </c>
      <c r="G33" s="110">
        <f t="shared" si="19"/>
        <v>0.41932107129676727</v>
      </c>
      <c r="H33" s="413" t="b">
        <f>Wh_hp&gt;='2021'!Maxi_hp</f>
        <v>0</v>
      </c>
      <c r="I33" s="379">
        <f>IF(H33,Wh_hp,'2021'!Maxi_hp)</f>
        <v>31.224540909778487</v>
      </c>
      <c r="J33" s="85">
        <f>IF(H33,An,'2021'!An_max)</f>
        <v>2021</v>
      </c>
      <c r="K33" s="196">
        <f t="shared" si="3"/>
        <v>44580</v>
      </c>
      <c r="L33" s="147">
        <f>IF(t&lt;Tvie,1-EXP((T0-t)*PertePVj)+'2021'!Pspv,1-EXP((T0-t)*PertePVj)+Pspv)</f>
        <v>2.7510522814136885E-2</v>
      </c>
      <c r="M33" s="847"/>
      <c r="N33" s="847"/>
      <c r="O33" s="48">
        <f>IF(t&lt;Tnet,'2021'!Resal+('2021'!Salim-'2021'!Resal)*(1-EXP(('2021'!Tnet-t)/('2021'!Tau_j))),Resal+(Salim-Resal)*(1-EXP((Tnet-t)/(Tau_j))))*Salcycl</f>
        <v>2.493693340917871E-2</v>
      </c>
      <c r="P33" s="338">
        <f>(INDEX(Models!$BJ33:$BT33,,T33)*(1-R33)+INDEX(Models!$BJ33:$BT33,,T33+1)*R33-ERP_i)*Q33*Ramure*Pc/MaxiM</f>
        <v>5.0089580833221866E-4</v>
      </c>
      <c r="Q33" s="304">
        <f t="shared" si="4"/>
        <v>0.5</v>
      </c>
      <c r="R33" s="176">
        <f t="shared" si="5"/>
        <v>0.73523328050543213</v>
      </c>
      <c r="S33" s="814">
        <f t="shared" si="6"/>
        <v>0</v>
      </c>
      <c r="T33" s="175">
        <f t="shared" si="7"/>
        <v>6</v>
      </c>
      <c r="U33" s="250">
        <f t="shared" si="20"/>
        <v>0.73523328050543213</v>
      </c>
      <c r="V33" s="382">
        <f t="shared" si="8"/>
        <v>28.786970555208836</v>
      </c>
      <c r="W33" s="401">
        <f t="shared" si="9"/>
        <v>0</v>
      </c>
      <c r="X33" s="157">
        <f t="shared" si="10"/>
        <v>44580</v>
      </c>
      <c r="Y33" s="384">
        <f t="shared" si="11"/>
        <v>11.690944015368837</v>
      </c>
      <c r="Z33" s="384">
        <f t="shared" si="21"/>
        <v>12.021666341521197</v>
      </c>
      <c r="AA33" s="385">
        <f t="shared" si="12"/>
        <v>12.735191710681507</v>
      </c>
      <c r="AB33" s="196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5.6027846723488949E-2</v>
      </c>
      <c r="AD33" s="230">
        <f>(INDEX(Models!$BJ33:$BT33,,AH33)*(1-AF33)+INDEX(Models!$BJ33:$BT33,,AH33+1)*AF33-ERP_i)*AE33*Ramure*Pc/MaxiM</f>
        <v>5.0089580833221866E-4</v>
      </c>
      <c r="AE33" s="304">
        <f t="shared" si="14"/>
        <v>0.5</v>
      </c>
      <c r="AF33" s="176">
        <f t="shared" si="22"/>
        <v>0.73523328050543213</v>
      </c>
      <c r="AG33" s="814">
        <f t="shared" si="23"/>
        <v>0</v>
      </c>
      <c r="AH33" s="175">
        <f t="shared" si="15"/>
        <v>6</v>
      </c>
      <c r="AI33" s="224">
        <f t="shared" si="24"/>
        <v>0.73523328050543213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44581</v>
      </c>
      <c r="B34" s="1158">
        <v>5.6240000000000006</v>
      </c>
      <c r="C34" s="843"/>
      <c r="D34" s="392">
        <f t="shared" si="0"/>
        <v>5.7832225054014845</v>
      </c>
      <c r="E34" s="384">
        <f t="shared" si="1"/>
        <v>5.931733441060147</v>
      </c>
      <c r="F34" s="384">
        <f t="shared" si="2"/>
        <v>5.931733441060147</v>
      </c>
      <c r="G34" s="110">
        <f t="shared" si="19"/>
        <v>0.1933028523613623</v>
      </c>
      <c r="H34" s="413" t="b">
        <f>Wh_hp&gt;='2021'!Maxi_hp</f>
        <v>0</v>
      </c>
      <c r="I34" s="379">
        <f>IF(H34,Wh_hp,'2021'!Maxi_hp)</f>
        <v>10.158617938876899</v>
      </c>
      <c r="J34" s="85">
        <f>IF(H34,An,'2021'!An_max)</f>
        <v>2020</v>
      </c>
      <c r="K34" s="196">
        <f t="shared" si="3"/>
        <v>44581</v>
      </c>
      <c r="L34" s="147">
        <f>IF(t&lt;Tvie,1-EXP((T0-t)*PertePVj)+'2021'!Pspv,1-EXP((T0-t)*PertePVj)+Pspv)</f>
        <v>2.7531796546435984E-2</v>
      </c>
      <c r="M34" s="847"/>
      <c r="N34" s="847"/>
      <c r="O34" s="48">
        <f>IF(t&lt;Tnet,'2021'!Resal+('2021'!Salim-'2021'!Resal)*(1-EXP(('2021'!Tnet-t)/('2021'!Tau_j))),Resal+(Salim-Resal)*(1-EXP((Tnet-t)/(Tau_j))))*Salcycl</f>
        <v>2.503668398695269E-2</v>
      </c>
      <c r="P34" s="338">
        <f>(INDEX(Models!$BJ34:$BT34,,T34)*(1-R34)+INDEX(Models!$BJ34:$BT34,,T34+1)*R34-ERP_i)*Q34*Ramure*Pc/MaxiM</f>
        <v>4.9874327667714089E-4</v>
      </c>
      <c r="Q34" s="304">
        <f t="shared" si="4"/>
        <v>0.5</v>
      </c>
      <c r="R34" s="176">
        <f t="shared" si="5"/>
        <v>0.73526989549345778</v>
      </c>
      <c r="S34" s="814">
        <f t="shared" si="6"/>
        <v>0</v>
      </c>
      <c r="T34" s="175">
        <f t="shared" si="7"/>
        <v>6</v>
      </c>
      <c r="U34" s="250">
        <f t="shared" si="20"/>
        <v>0.73526989549345778</v>
      </c>
      <c r="V34" s="382">
        <f t="shared" si="8"/>
        <v>29.079731618774307</v>
      </c>
      <c r="W34" s="401">
        <f t="shared" si="9"/>
        <v>0</v>
      </c>
      <c r="X34" s="157">
        <f t="shared" si="10"/>
        <v>44581</v>
      </c>
      <c r="Y34" s="384">
        <f t="shared" si="11"/>
        <v>5.4448460854460468</v>
      </c>
      <c r="Z34" s="384">
        <f t="shared" si="21"/>
        <v>5.5989965184563912</v>
      </c>
      <c r="AA34" s="385">
        <f t="shared" si="12"/>
        <v>5.931733441060147</v>
      </c>
      <c r="AB34" s="196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5.6094382175117939E-2</v>
      </c>
      <c r="AD34" s="230">
        <f>(INDEX(Models!$BJ34:$BT34,,AH34)*(1-AF34)+INDEX(Models!$BJ34:$BT34,,AH34+1)*AF34-ERP_i)*AE34*Ramure*Pc/MaxiM</f>
        <v>4.9874327667714089E-4</v>
      </c>
      <c r="AE34" s="304">
        <f t="shared" si="14"/>
        <v>0.5</v>
      </c>
      <c r="AF34" s="176">
        <f t="shared" si="22"/>
        <v>0.73526989549345778</v>
      </c>
      <c r="AG34" s="814">
        <f t="shared" si="23"/>
        <v>0</v>
      </c>
      <c r="AH34" s="175">
        <f t="shared" si="15"/>
        <v>6</v>
      </c>
      <c r="AI34" s="224">
        <f t="shared" si="24"/>
        <v>0.73526989549345778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44582</v>
      </c>
      <c r="B35" s="1158">
        <v>19.282</v>
      </c>
      <c r="C35" s="843"/>
      <c r="D35" s="392">
        <f t="shared" si="0"/>
        <v>19.828331399316415</v>
      </c>
      <c r="E35" s="384">
        <f t="shared" si="1"/>
        <v>20.339594785689748</v>
      </c>
      <c r="F35" s="384">
        <f t="shared" si="2"/>
        <v>20.344723444640852</v>
      </c>
      <c r="G35" s="110">
        <f t="shared" si="19"/>
        <v>0.65626913618370653</v>
      </c>
      <c r="H35" s="413" t="b">
        <f>Wh_hp&gt;='2021'!Maxi_hp</f>
        <v>1</v>
      </c>
      <c r="I35" s="379">
        <f>IF(H35,Wh_hp,'2021'!Maxi_hp)</f>
        <v>20.344723444640852</v>
      </c>
      <c r="J35" s="85">
        <f>IF(H35,An,'2021'!An_max)</f>
        <v>2022</v>
      </c>
      <c r="K35" s="196">
        <f t="shared" si="3"/>
        <v>44582</v>
      </c>
      <c r="L35" s="147">
        <f>IF(t&lt;Tvie,1-EXP((T0-t)*PertePVj)+'2021'!Pspv,1-EXP((T0-t)*PertePVj)+Pspv)</f>
        <v>2.7553069812785692E-2</v>
      </c>
      <c r="M35" s="847"/>
      <c r="N35" s="847"/>
      <c r="O35" s="48">
        <f>IF(t&lt;Tnet,'2021'!Resal+('2021'!Salim-'2021'!Resal)*(1-EXP(('2021'!Tnet-t)/('2021'!Tau_j))),Resal+(Salim-Resal)*(1-EXP((Tnet-t)/(Tau_j))))*Salcycl</f>
        <v>2.5136360471302972E-2</v>
      </c>
      <c r="P35" s="338">
        <f>(INDEX(Models!$BJ35:$BT35,,T35)*(1-R35)+INDEX(Models!$BJ35:$BT35,,T35+1)*R35-ERP_i)*Q35*Ramure*Pc/MaxiM</f>
        <v>4.9508232428157684E-4</v>
      </c>
      <c r="Q35" s="304">
        <f t="shared" si="4"/>
        <v>0.5</v>
      </c>
      <c r="R35" s="176">
        <f t="shared" si="5"/>
        <v>0.7353080370357995</v>
      </c>
      <c r="S35" s="814">
        <f t="shared" si="6"/>
        <v>0</v>
      </c>
      <c r="T35" s="175">
        <f t="shared" si="7"/>
        <v>6</v>
      </c>
      <c r="U35" s="250">
        <f t="shared" si="20"/>
        <v>0.7353080370357995</v>
      </c>
      <c r="V35" s="382">
        <f t="shared" si="8"/>
        <v>29.374097207283057</v>
      </c>
      <c r="W35" s="401">
        <f t="shared" si="9"/>
        <v>0</v>
      </c>
      <c r="X35" s="157">
        <f t="shared" si="10"/>
        <v>44582</v>
      </c>
      <c r="Y35" s="384">
        <f t="shared" si="11"/>
        <v>18.66835973202803</v>
      </c>
      <c r="Z35" s="384">
        <f t="shared" si="21"/>
        <v>19.197304400389253</v>
      </c>
      <c r="AA35" s="385">
        <f t="shared" si="12"/>
        <v>20.339594785689748</v>
      </c>
      <c r="AB35" s="196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5.6160921460646496E-2</v>
      </c>
      <c r="AD35" s="230">
        <f>(INDEX(Models!$BJ35:$BT35,,AH35)*(1-AF35)+INDEX(Models!$BJ35:$BT35,,AH35+1)*AF35-ERP_i)*AE35*Ramure*Pc/MaxiM</f>
        <v>4.9508232428157684E-4</v>
      </c>
      <c r="AE35" s="304">
        <f t="shared" si="14"/>
        <v>0.5</v>
      </c>
      <c r="AF35" s="176">
        <f t="shared" si="22"/>
        <v>0.7353080370357995</v>
      </c>
      <c r="AG35" s="814">
        <f t="shared" si="23"/>
        <v>0</v>
      </c>
      <c r="AH35" s="175">
        <f t="shared" si="15"/>
        <v>6</v>
      </c>
      <c r="AI35" s="224">
        <f t="shared" si="24"/>
        <v>0.7353080370357995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44583</v>
      </c>
      <c r="B36" s="1158">
        <v>29.79</v>
      </c>
      <c r="C36" s="843"/>
      <c r="D36" s="392">
        <f t="shared" si="0"/>
        <v>30.634732612932666</v>
      </c>
      <c r="E36" s="384">
        <f t="shared" si="1"/>
        <v>31.427844585182669</v>
      </c>
      <c r="F36" s="384">
        <f t="shared" si="2"/>
        <v>31.443251036621696</v>
      </c>
      <c r="G36" s="110">
        <f t="shared" si="19"/>
        <v>1.0040762762424644</v>
      </c>
      <c r="H36" s="413" t="b">
        <f>Wh_hp&gt;='2021'!Maxi_hp</f>
        <v>1</v>
      </c>
      <c r="I36" s="379">
        <f>IF(H36,Wh_hp,'2021'!Maxi_hp)</f>
        <v>31.443251036621696</v>
      </c>
      <c r="J36" s="85">
        <f>IF(H36,An,'2021'!An_max)</f>
        <v>2022</v>
      </c>
      <c r="K36" s="196">
        <f t="shared" si="3"/>
        <v>44583</v>
      </c>
      <c r="L36" s="147">
        <f>IF(t&lt;Tvie,1-EXP((T0-t)*PertePVj)+'2021'!Pspv,1-EXP((T0-t)*PertePVj)+Pspv)</f>
        <v>2.7574342613196336E-2</v>
      </c>
      <c r="M36" s="847"/>
      <c r="N36" s="847"/>
      <c r="O36" s="48">
        <f>IF(t&lt;Tnet,'2021'!Resal+('2021'!Salim-'2021'!Resal)*(1-EXP(('2021'!Tnet-t)/('2021'!Tau_j))),Resal+(Salim-Resal)*(1-EXP((Tnet-t)/(Tau_j))))*Salcycl</f>
        <v>2.523596456321836E-2</v>
      </c>
      <c r="P36" s="338">
        <f>(INDEX(Models!$BJ36:$BT36,,T36)*(1-R36)+INDEX(Models!$BJ36:$BT36,,T36+1)*R36-ERP_i)*Q36*Ramure*Pc/MaxiM</f>
        <v>4.8997641564113114E-4</v>
      </c>
      <c r="Q36" s="304">
        <f t="shared" si="4"/>
        <v>0.5</v>
      </c>
      <c r="R36" s="176">
        <f t="shared" si="5"/>
        <v>0.7353477683630687</v>
      </c>
      <c r="S36" s="814">
        <f t="shared" si="6"/>
        <v>0</v>
      </c>
      <c r="T36" s="175">
        <f t="shared" si="7"/>
        <v>6</v>
      </c>
      <c r="U36" s="250">
        <f t="shared" si="20"/>
        <v>0.7353477683630687</v>
      </c>
      <c r="V36" s="382">
        <f t="shared" si="8"/>
        <v>29.669060712680665</v>
      </c>
      <c r="W36" s="401">
        <f t="shared" si="9"/>
        <v>0</v>
      </c>
      <c r="X36" s="157">
        <f t="shared" si="10"/>
        <v>44583</v>
      </c>
      <c r="Y36" s="384">
        <f t="shared" si="11"/>
        <v>28.842861163857876</v>
      </c>
      <c r="Z36" s="384">
        <f t="shared" si="21"/>
        <v>29.660736473538968</v>
      </c>
      <c r="AA36" s="385">
        <f t="shared" si="12"/>
        <v>31.427844585182669</v>
      </c>
      <c r="AB36" s="196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5.6227467552033179E-2</v>
      </c>
      <c r="AD36" s="230">
        <f>(INDEX(Models!$BJ36:$BT36,,AH36)*(1-AF36)+INDEX(Models!$BJ36:$BT36,,AH36+1)*AF36-ERP_i)*AE36*Ramure*Pc/MaxiM</f>
        <v>4.8997641564113114E-4</v>
      </c>
      <c r="AE36" s="304">
        <f t="shared" si="14"/>
        <v>0.5</v>
      </c>
      <c r="AF36" s="176">
        <f t="shared" si="22"/>
        <v>0.7353477683630687</v>
      </c>
      <c r="AG36" s="814">
        <f t="shared" si="23"/>
        <v>0</v>
      </c>
      <c r="AH36" s="175">
        <f t="shared" si="15"/>
        <v>6</v>
      </c>
      <c r="AI36" s="224">
        <f t="shared" si="24"/>
        <v>0.7353477683630687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44584</v>
      </c>
      <c r="B37" s="1158">
        <v>29.584</v>
      </c>
      <c r="C37" s="843"/>
      <c r="D37" s="392">
        <f t="shared" si="0"/>
        <v>30.423556757622169</v>
      </c>
      <c r="E37" s="384">
        <f t="shared" si="1"/>
        <v>31.214388840617421</v>
      </c>
      <c r="F37" s="384">
        <f t="shared" si="2"/>
        <v>31.229210353885971</v>
      </c>
      <c r="G37" s="110">
        <f t="shared" si="19"/>
        <v>0.98720987719639997</v>
      </c>
      <c r="H37" s="413" t="b">
        <f>Wh_hp&gt;='2021'!Maxi_hp</f>
        <v>1</v>
      </c>
      <c r="I37" s="379">
        <f>IF(H37,Wh_hp,'2021'!Maxi_hp)</f>
        <v>31.229210353885971</v>
      </c>
      <c r="J37" s="85">
        <f>IF(H37,An,'2021'!An_max)</f>
        <v>2022</v>
      </c>
      <c r="K37" s="196">
        <f t="shared" si="3"/>
        <v>44584</v>
      </c>
      <c r="L37" s="147">
        <f>IF(t&lt;Tvie,1-EXP((T0-t)*PertePVj)+'2021'!Pspv,1-EXP((T0-t)*PertePVj)+Pspv)</f>
        <v>2.7595614947678017E-2</v>
      </c>
      <c r="M37" s="847"/>
      <c r="N37" s="847"/>
      <c r="O37" s="48">
        <f>IF(t&lt;Tnet,'2021'!Resal+('2021'!Salim-'2021'!Resal)*(1-EXP(('2021'!Tnet-t)/('2021'!Tau_j))),Resal+(Salim-Resal)*(1-EXP((Tnet-t)/(Tau_j))))*Salcycl</f>
        <v>2.5335497902370867E-2</v>
      </c>
      <c r="P37" s="338">
        <f>(INDEX(Models!$BJ37:$BT37,,T37)*(1-R37)+INDEX(Models!$BJ37:$BT37,,T37+1)*R37-ERP_i)*Q37*Ramure*Pc/MaxiM</f>
        <v>4.8343120640659878E-4</v>
      </c>
      <c r="Q37" s="304">
        <f t="shared" si="4"/>
        <v>0.5</v>
      </c>
      <c r="R37" s="176">
        <f t="shared" si="5"/>
        <v>0.73538915528953508</v>
      </c>
      <c r="S37" s="814">
        <f t="shared" si="6"/>
        <v>0</v>
      </c>
      <c r="T37" s="175">
        <f t="shared" si="7"/>
        <v>6</v>
      </c>
      <c r="U37" s="250">
        <f t="shared" si="20"/>
        <v>0.73538915528953508</v>
      </c>
      <c r="V37" s="382">
        <f t="shared" si="8"/>
        <v>29.96702061044277</v>
      </c>
      <c r="W37" s="401">
        <f t="shared" si="9"/>
        <v>0</v>
      </c>
      <c r="X37" s="157">
        <f t="shared" si="10"/>
        <v>44584</v>
      </c>
      <c r="Y37" s="384">
        <f t="shared" si="11"/>
        <v>28.644315614099156</v>
      </c>
      <c r="Z37" s="384">
        <f t="shared" si="21"/>
        <v>29.457205309247858</v>
      </c>
      <c r="AA37" s="385">
        <f t="shared" si="12"/>
        <v>31.214388840617421</v>
      </c>
      <c r="AB37" s="196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5.6294023257730627E-2</v>
      </c>
      <c r="AD37" s="230">
        <f>(INDEX(Models!$BJ37:$BT37,,AH37)*(1-AF37)+INDEX(Models!$BJ37:$BT37,,AH37+1)*AF37-ERP_i)*AE37*Ramure*Pc/MaxiM</f>
        <v>4.8343120640659878E-4</v>
      </c>
      <c r="AE37" s="304">
        <f t="shared" si="14"/>
        <v>0.5</v>
      </c>
      <c r="AF37" s="176">
        <f t="shared" si="22"/>
        <v>0.73538915528953508</v>
      </c>
      <c r="AG37" s="814">
        <f t="shared" si="23"/>
        <v>0</v>
      </c>
      <c r="AH37" s="175">
        <f t="shared" si="15"/>
        <v>6</v>
      </c>
      <c r="AI37" s="224">
        <f t="shared" si="24"/>
        <v>0.73538915528953508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44585</v>
      </c>
      <c r="B38" s="1158">
        <v>30.265000000000001</v>
      </c>
      <c r="C38" s="843"/>
      <c r="D38" s="392">
        <f t="shared" si="0"/>
        <v>31.124563548730183</v>
      </c>
      <c r="E38" s="384">
        <f t="shared" si="1"/>
        <v>31.936876797293749</v>
      </c>
      <c r="F38" s="384">
        <f t="shared" si="2"/>
        <v>31.952049540874114</v>
      </c>
      <c r="G38" s="110">
        <f t="shared" si="19"/>
        <v>0.99980876898369342</v>
      </c>
      <c r="H38" s="413" t="b">
        <f>Wh_hp&gt;='2021'!Maxi_hp</f>
        <v>1</v>
      </c>
      <c r="I38" s="379">
        <f>IF(H38,Wh_hp,'2021'!Maxi_hp)</f>
        <v>31.952049540874114</v>
      </c>
      <c r="J38" s="85">
        <f>IF(H38,An,'2021'!An_max)</f>
        <v>2022</v>
      </c>
      <c r="K38" s="196">
        <f t="shared" si="3"/>
        <v>44585</v>
      </c>
      <c r="L38" s="147">
        <f>IF(t&lt;Tvie,1-EXP((T0-t)*PertePVj)+'2021'!Pspv,1-EXP((T0-t)*PertePVj)+Pspv)</f>
        <v>2.7616886816241061E-2</v>
      </c>
      <c r="M38" s="847"/>
      <c r="N38" s="847"/>
      <c r="O38" s="48">
        <f>IF(t&lt;Tnet,'2021'!Resal+('2021'!Salim-'2021'!Resal)*(1-EXP(('2021'!Tnet-t)/('2021'!Tau_j))),Resal+(Salim-Resal)*(1-EXP((Tnet-t)/(Tau_j))))*Salcycl</f>
        <v>2.5434962025854713E-2</v>
      </c>
      <c r="P38" s="338">
        <f>(INDEX(Models!$BJ38:$BT38,,T38)*(1-R38)+INDEX(Models!$BJ38:$BT38,,T38+1)*R38-ERP_i)*Q38*Ramure*Pc/MaxiM</f>
        <v>4.7498946442859578E-4</v>
      </c>
      <c r="Q38" s="304">
        <f t="shared" si="4"/>
        <v>0.5</v>
      </c>
      <c r="R38" s="176">
        <f t="shared" si="5"/>
        <v>0.73543226631567282</v>
      </c>
      <c r="S38" s="814">
        <f t="shared" si="6"/>
        <v>0</v>
      </c>
      <c r="T38" s="175">
        <f t="shared" si="7"/>
        <v>6</v>
      </c>
      <c r="U38" s="250">
        <f t="shared" si="20"/>
        <v>0.73543226631567282</v>
      </c>
      <c r="V38" s="382">
        <f t="shared" si="8"/>
        <v>30.270784786520966</v>
      </c>
      <c r="W38" s="401">
        <f t="shared" si="9"/>
        <v>0</v>
      </c>
      <c r="X38" s="157">
        <f t="shared" si="10"/>
        <v>44585</v>
      </c>
      <c r="Y38" s="384">
        <f t="shared" si="11"/>
        <v>29.304608308856103</v>
      </c>
      <c r="Z38" s="384">
        <f t="shared" si="21"/>
        <v>30.136895542033319</v>
      </c>
      <c r="AA38" s="385">
        <f t="shared" si="12"/>
        <v>31.936876797293749</v>
      </c>
      <c r="AB38" s="196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5.6360591133725282E-2</v>
      </c>
      <c r="AD38" s="230">
        <f>(INDEX(Models!$BJ38:$BT38,,AH38)*(1-AF38)+INDEX(Models!$BJ38:$BT38,,AH38+1)*AF38-ERP_i)*AE38*Ramure*Pc/MaxiM</f>
        <v>4.7498946442859578E-4</v>
      </c>
      <c r="AE38" s="304">
        <f t="shared" si="14"/>
        <v>0.5</v>
      </c>
      <c r="AF38" s="176">
        <f t="shared" si="22"/>
        <v>0.73543226631567282</v>
      </c>
      <c r="AG38" s="814">
        <f t="shared" si="23"/>
        <v>0</v>
      </c>
      <c r="AH38" s="175">
        <f t="shared" si="15"/>
        <v>6</v>
      </c>
      <c r="AI38" s="224">
        <f t="shared" si="24"/>
        <v>0.73543226631567282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44586</v>
      </c>
      <c r="B39" s="1158">
        <v>29.375</v>
      </c>
      <c r="C39" s="843"/>
      <c r="D39" s="392">
        <f t="shared" si="0"/>
        <v>30.209947303354614</v>
      </c>
      <c r="E39" s="384">
        <f t="shared" si="1"/>
        <v>31.00155204198008</v>
      </c>
      <c r="F39" s="384">
        <f t="shared" si="2"/>
        <v>31.015158927984054</v>
      </c>
      <c r="G39" s="110">
        <f t="shared" si="19"/>
        <v>0.96057204274167651</v>
      </c>
      <c r="H39" s="413" t="b">
        <f>Wh_hp&gt;='2021'!Maxi_hp</f>
        <v>1</v>
      </c>
      <c r="I39" s="379">
        <f>IF(H39,Wh_hp,'2021'!Maxi_hp)</f>
        <v>31.015158927984054</v>
      </c>
      <c r="J39" s="85">
        <f>IF(H39,An,'2021'!An_max)</f>
        <v>2022</v>
      </c>
      <c r="K39" s="196">
        <f t="shared" si="3"/>
        <v>44586</v>
      </c>
      <c r="L39" s="147">
        <f>IF(t&lt;Tvie,1-EXP((T0-t)*PertePVj)+'2021'!Pspv,1-EXP((T0-t)*PertePVj)+Pspv)</f>
        <v>2.7638158218895571E-2</v>
      </c>
      <c r="M39" s="847"/>
      <c r="N39" s="847"/>
      <c r="O39" s="48">
        <f>IF(t&lt;Tnet,'2021'!Resal+('2021'!Salim-'2021'!Resal)*(1-EXP(('2021'!Tnet-t)/('2021'!Tau_j))),Resal+(Salim-Resal)*(1-EXP((Tnet-t)/(Tau_j))))*Salcycl</f>
        <v>2.5534358329980692E-2</v>
      </c>
      <c r="P39" s="338">
        <f>(INDEX(Models!$BJ39:$BT39,,T39)*(1-R39)+INDEX(Models!$BJ39:$BT39,,T39+1)*R39-ERP_i)*Q39*Ramure*Pc/MaxiM</f>
        <v>4.6488555598241078E-4</v>
      </c>
      <c r="Q39" s="304">
        <f t="shared" si="4"/>
        <v>0.5</v>
      </c>
      <c r="R39" s="176">
        <f t="shared" si="5"/>
        <v>0.73547717273451774</v>
      </c>
      <c r="S39" s="814">
        <f t="shared" si="6"/>
        <v>0</v>
      </c>
      <c r="T39" s="175">
        <f t="shared" si="7"/>
        <v>6</v>
      </c>
      <c r="U39" s="250">
        <f t="shared" si="20"/>
        <v>0.73547717273451774</v>
      </c>
      <c r="V39" s="382">
        <f t="shared" si="8"/>
        <v>30.57993535343217</v>
      </c>
      <c r="W39" s="401">
        <f t="shared" si="9"/>
        <v>0</v>
      </c>
      <c r="X39" s="157">
        <f t="shared" si="10"/>
        <v>44586</v>
      </c>
      <c r="Y39" s="384">
        <f t="shared" si="11"/>
        <v>28.443744546798502</v>
      </c>
      <c r="Z39" s="384">
        <f t="shared" si="21"/>
        <v>29.252222089152781</v>
      </c>
      <c r="AA39" s="385">
        <f t="shared" si="12"/>
        <v>31.00155204198008</v>
      </c>
      <c r="AB39" s="196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5.6427173402753557E-2</v>
      </c>
      <c r="AD39" s="230">
        <f>(INDEX(Models!$BJ39:$BT39,,AH39)*(1-AF39)+INDEX(Models!$BJ39:$BT39,,AH39+1)*AF39-ERP_i)*AE39*Ramure*Pc/MaxiM</f>
        <v>4.6488555598241078E-4</v>
      </c>
      <c r="AE39" s="304">
        <f t="shared" si="14"/>
        <v>0.5</v>
      </c>
      <c r="AF39" s="176">
        <f t="shared" si="22"/>
        <v>0.73547717273451774</v>
      </c>
      <c r="AG39" s="814">
        <f t="shared" si="23"/>
        <v>0</v>
      </c>
      <c r="AH39" s="175">
        <f t="shared" si="15"/>
        <v>6</v>
      </c>
      <c r="AI39" s="224">
        <f t="shared" si="24"/>
        <v>0.73547717273451774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44587</v>
      </c>
      <c r="B40" s="1158">
        <v>30.269000000000002</v>
      </c>
      <c r="C40" s="843"/>
      <c r="D40" s="392">
        <f t="shared" si="0"/>
        <v>31.130039111414849</v>
      </c>
      <c r="E40" s="384">
        <f t="shared" si="1"/>
        <v>31.94901006855611</v>
      </c>
      <c r="F40" s="384">
        <f t="shared" si="2"/>
        <v>31.963076487742448</v>
      </c>
      <c r="G40" s="110">
        <f t="shared" si="19"/>
        <v>0.97975480206151944</v>
      </c>
      <c r="H40" s="413" t="b">
        <f>Wh_hp&gt;='2021'!Maxi_hp</f>
        <v>1</v>
      </c>
      <c r="I40" s="379">
        <f>IF(H40,Wh_hp,'2021'!Maxi_hp)</f>
        <v>31.963076487742448</v>
      </c>
      <c r="J40" s="85">
        <f>IF(H40,An,'2021'!An_max)</f>
        <v>2022</v>
      </c>
      <c r="K40" s="196">
        <f t="shared" si="3"/>
        <v>44587</v>
      </c>
      <c r="L40" s="147">
        <f>IF(t&lt;Tvie,1-EXP((T0-t)*PertePVj)+'2021'!Pspv,1-EXP((T0-t)*PertePVj)+Pspv)</f>
        <v>2.7659429155651762E-2</v>
      </c>
      <c r="M40" s="847"/>
      <c r="N40" s="847"/>
      <c r="O40" s="48">
        <f>IF(t&lt;Tnet,'2021'!Resal+('2021'!Salim-'2021'!Resal)*(1-EXP(('2021'!Tnet-t)/('2021'!Tau_j))),Resal+(Salim-Resal)*(1-EXP((Tnet-t)/(Tau_j))))*Salcycl</f>
        <v>2.5633688035526438E-2</v>
      </c>
      <c r="P40" s="338">
        <f>(INDEX(Models!$BJ40:$BT40,,T40)*(1-R40)+INDEX(Models!$BJ40:$BT40,,T40+1)*R40-ERP_i)*Q40*Ramure*Pc/MaxiM</f>
        <v>4.5318187745534182E-4</v>
      </c>
      <c r="Q40" s="304">
        <f t="shared" si="4"/>
        <v>0.5</v>
      </c>
      <c r="R40" s="176">
        <f t="shared" si="5"/>
        <v>0.73552394874195337</v>
      </c>
      <c r="S40" s="814">
        <f t="shared" si="6"/>
        <v>0</v>
      </c>
      <c r="T40" s="175">
        <f t="shared" si="7"/>
        <v>6</v>
      </c>
      <c r="U40" s="250">
        <f t="shared" si="20"/>
        <v>0.73552394874195337</v>
      </c>
      <c r="V40" s="382">
        <f t="shared" si="8"/>
        <v>30.894059701221327</v>
      </c>
      <c r="W40" s="401">
        <f t="shared" si="9"/>
        <v>0</v>
      </c>
      <c r="X40" s="157">
        <f t="shared" si="10"/>
        <v>44587</v>
      </c>
      <c r="Y40" s="384">
        <f t="shared" si="11"/>
        <v>29.310321660559183</v>
      </c>
      <c r="Z40" s="384">
        <f t="shared" si="21"/>
        <v>30.14408998187443</v>
      </c>
      <c r="AA40" s="385">
        <f t="shared" si="12"/>
        <v>31.94901006855611</v>
      </c>
      <c r="AB40" s="196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5.6493771882405348E-2</v>
      </c>
      <c r="AD40" s="230">
        <f>(INDEX(Models!$BJ40:$BT40,,AH40)*(1-AF40)+INDEX(Models!$BJ40:$BT40,,AH40+1)*AF40-ERP_i)*AE40*Ramure*Pc/MaxiM</f>
        <v>4.5318187745534182E-4</v>
      </c>
      <c r="AE40" s="304">
        <f t="shared" si="14"/>
        <v>0.5</v>
      </c>
      <c r="AF40" s="176">
        <f t="shared" si="22"/>
        <v>0.73552394874195337</v>
      </c>
      <c r="AG40" s="814">
        <f t="shared" si="23"/>
        <v>0</v>
      </c>
      <c r="AH40" s="175">
        <f t="shared" si="15"/>
        <v>6</v>
      </c>
      <c r="AI40" s="224">
        <f t="shared" si="24"/>
        <v>0.73552394874195337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44588</v>
      </c>
      <c r="B41" s="1158">
        <v>26.536000000000001</v>
      </c>
      <c r="C41" s="843"/>
      <c r="D41" s="392">
        <f t="shared" si="0"/>
        <v>27.291446328183742</v>
      </c>
      <c r="E41" s="384">
        <f t="shared" si="1"/>
        <v>28.012285121005206</v>
      </c>
      <c r="F41" s="384">
        <f t="shared" si="2"/>
        <v>28.021974293111494</v>
      </c>
      <c r="G41" s="110">
        <f t="shared" si="19"/>
        <v>0.85008543491382982</v>
      </c>
      <c r="H41" s="413" t="b">
        <f>Wh_hp&gt;='2021'!Maxi_hp</f>
        <v>1</v>
      </c>
      <c r="I41" s="379">
        <f>IF(H41,Wh_hp,'2021'!Maxi_hp)</f>
        <v>28.021974293111494</v>
      </c>
      <c r="J41" s="85">
        <f>IF(H41,An,'2021'!An_max)</f>
        <v>2022</v>
      </c>
      <c r="K41" s="196">
        <f t="shared" si="3"/>
        <v>44588</v>
      </c>
      <c r="L41" s="147">
        <f>IF(t&lt;Tvie,1-EXP((T0-t)*PertePVj)+'2021'!Pspv,1-EXP((T0-t)*PertePVj)+Pspv)</f>
        <v>2.7680699626519735E-2</v>
      </c>
      <c r="M41" s="847"/>
      <c r="N41" s="847"/>
      <c r="O41" s="48">
        <f>IF(t&lt;Tnet,'2021'!Resal+('2021'!Salim-'2021'!Resal)*(1-EXP(('2021'!Tnet-t)/('2021'!Tau_j))),Resal+(Salim-Resal)*(1-EXP((Tnet-t)/(Tau_j))))*Salcycl</f>
        <v>2.5732952156799986E-2</v>
      </c>
      <c r="P41" s="338">
        <f>(INDEX(Models!$BJ41:$BT41,,T41)*(1-R41)+INDEX(Models!$BJ41:$BT41,,T41+1)*R41-ERP_i)*Q41*Ramure*Pc/MaxiM</f>
        <v>4.3993914853089459E-4</v>
      </c>
      <c r="Q41" s="304">
        <f t="shared" si="4"/>
        <v>0.5</v>
      </c>
      <c r="R41" s="176">
        <f t="shared" si="5"/>
        <v>0.73557267155104633</v>
      </c>
      <c r="S41" s="814">
        <f t="shared" si="6"/>
        <v>0</v>
      </c>
      <c r="T41" s="175">
        <f t="shared" si="7"/>
        <v>6</v>
      </c>
      <c r="U41" s="250">
        <f t="shared" si="20"/>
        <v>0.73557267155104633</v>
      </c>
      <c r="V41" s="382">
        <f t="shared" si="8"/>
        <v>31.212745433220093</v>
      </c>
      <c r="W41" s="401">
        <f t="shared" si="9"/>
        <v>0</v>
      </c>
      <c r="X41" s="157">
        <f t="shared" si="10"/>
        <v>44588</v>
      </c>
      <c r="Y41" s="384">
        <f t="shared" si="11"/>
        <v>25.696356662687748</v>
      </c>
      <c r="Z41" s="384">
        <f t="shared" si="21"/>
        <v>26.427899407959352</v>
      </c>
      <c r="AA41" s="385">
        <f t="shared" si="12"/>
        <v>28.012285121005206</v>
      </c>
      <c r="AB41" s="196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5.6560387922718718E-2</v>
      </c>
      <c r="AD41" s="230">
        <f>(INDEX(Models!$BJ41:$BT41,,AH41)*(1-AF41)+INDEX(Models!$BJ41:$BT41,,AH41+1)*AF41-ERP_i)*AE41*Ramure*Pc/MaxiM</f>
        <v>4.3993914853089459E-4</v>
      </c>
      <c r="AE41" s="304">
        <f t="shared" si="14"/>
        <v>0.5</v>
      </c>
      <c r="AF41" s="176">
        <f t="shared" si="22"/>
        <v>0.73557267155104633</v>
      </c>
      <c r="AG41" s="814">
        <f t="shared" si="23"/>
        <v>0</v>
      </c>
      <c r="AH41" s="175">
        <f t="shared" si="15"/>
        <v>6</v>
      </c>
      <c r="AI41" s="224">
        <f t="shared" si="24"/>
        <v>0.73557267155104633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44589</v>
      </c>
      <c r="B42" s="1158">
        <v>3.9239999999999999</v>
      </c>
      <c r="C42" s="843"/>
      <c r="D42" s="392">
        <f t="shared" si="0"/>
        <v>4.0357995978998824</v>
      </c>
      <c r="E42" s="384">
        <f t="shared" si="1"/>
        <v>4.1428174867501824</v>
      </c>
      <c r="F42" s="384">
        <f t="shared" si="2"/>
        <v>4.1428174867501824</v>
      </c>
      <c r="G42" s="110">
        <f t="shared" si="19"/>
        <v>0.12437796944570571</v>
      </c>
      <c r="H42" s="413" t="b">
        <f>Wh_hp&gt;='2021'!Maxi_hp</f>
        <v>0</v>
      </c>
      <c r="I42" s="379">
        <f>IF(H42,Wh_hp,'2021'!Maxi_hp)</f>
        <v>19.765771987607742</v>
      </c>
      <c r="J42" s="85">
        <f>IF(H42,An,'2021'!An_max)</f>
        <v>2020</v>
      </c>
      <c r="K42" s="196">
        <f t="shared" si="3"/>
        <v>44589</v>
      </c>
      <c r="L42" s="147">
        <f>IF(t&lt;Tvie,1-EXP((T0-t)*PertePVj)+'2021'!Pspv,1-EXP((T0-t)*PertePVj)+Pspv)</f>
        <v>2.7701969631509928E-2</v>
      </c>
      <c r="M42" s="847"/>
      <c r="N42" s="847"/>
      <c r="O42" s="48">
        <f>IF(t&lt;Tnet,'2021'!Resal+('2021'!Salim-'2021'!Resal)*(1-EXP(('2021'!Tnet-t)/('2021'!Tau_j))),Resal+(Salim-Resal)*(1-EXP((Tnet-t)/(Tau_j))))*Salcycl</f>
        <v>2.5832151474828615E-2</v>
      </c>
      <c r="P42" s="338">
        <f>(INDEX(Models!$BJ42:$BT42,,T42)*(1-R42)+INDEX(Models!$BJ42:$BT42,,T42+1)*R42-ERP_i)*Q42*Ramure*Pc/MaxiM</f>
        <v>4.2521617231713437E-4</v>
      </c>
      <c r="Q42" s="304">
        <f t="shared" si="4"/>
        <v>0.5</v>
      </c>
      <c r="R42" s="176">
        <f t="shared" si="5"/>
        <v>0.73562342151055393</v>
      </c>
      <c r="S42" s="814">
        <f t="shared" si="6"/>
        <v>0</v>
      </c>
      <c r="T42" s="175">
        <f t="shared" si="7"/>
        <v>6</v>
      </c>
      <c r="U42" s="250">
        <f t="shared" si="20"/>
        <v>0.73562342151055393</v>
      </c>
      <c r="V42" s="382">
        <f t="shared" si="8"/>
        <v>31.535580370220064</v>
      </c>
      <c r="W42" s="401">
        <f t="shared" si="9"/>
        <v>0</v>
      </c>
      <c r="X42" s="157">
        <f t="shared" si="10"/>
        <v>44589</v>
      </c>
      <c r="Y42" s="384">
        <f t="shared" si="11"/>
        <v>3.7999566192706267</v>
      </c>
      <c r="Z42" s="384">
        <f t="shared" si="21"/>
        <v>3.9082220683204363</v>
      </c>
      <c r="AA42" s="385">
        <f t="shared" si="12"/>
        <v>4.1428174867501824</v>
      </c>
      <c r="AB42" s="196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5.6627022353758896E-2</v>
      </c>
      <c r="AD42" s="230">
        <f>(INDEX(Models!$BJ42:$BT42,,AH42)*(1-AF42)+INDEX(Models!$BJ42:$BT42,,AH42+1)*AF42-ERP_i)*AE42*Ramure*Pc/MaxiM</f>
        <v>4.2521617231713437E-4</v>
      </c>
      <c r="AE42" s="304">
        <f t="shared" si="14"/>
        <v>0.5</v>
      </c>
      <c r="AF42" s="176">
        <f t="shared" si="22"/>
        <v>0.73562342151055393</v>
      </c>
      <c r="AG42" s="814">
        <f t="shared" si="23"/>
        <v>0</v>
      </c>
      <c r="AH42" s="175">
        <f t="shared" si="15"/>
        <v>6</v>
      </c>
      <c r="AI42" s="224">
        <f t="shared" si="24"/>
        <v>0.73562342151055393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44590</v>
      </c>
      <c r="B43" s="1158">
        <v>6.3079999999999998</v>
      </c>
      <c r="C43" s="843"/>
      <c r="D43" s="392">
        <f t="shared" si="0"/>
        <v>6.4878646226401377</v>
      </c>
      <c r="E43" s="384">
        <f t="shared" si="1"/>
        <v>6.6605820850436555</v>
      </c>
      <c r="F43" s="384">
        <f t="shared" si="2"/>
        <v>6.6605820850436555</v>
      </c>
      <c r="G43" s="110">
        <f t="shared" si="19"/>
        <v>0.19789684889633696</v>
      </c>
      <c r="H43" s="413" t="b">
        <f>Wh_hp&gt;='2021'!Maxi_hp</f>
        <v>0</v>
      </c>
      <c r="I43" s="379">
        <f>IF(H43,Wh_hp,'2021'!Maxi_hp)</f>
        <v>24.438772504901799</v>
      </c>
      <c r="J43" s="85">
        <f>IF(H43,An,'2021'!An_max)</f>
        <v>2020</v>
      </c>
      <c r="K43" s="196">
        <f t="shared" si="3"/>
        <v>44590</v>
      </c>
      <c r="L43" s="147">
        <f>IF(t&lt;Tvie,1-EXP((T0-t)*PertePVj)+'2021'!Pspv,1-EXP((T0-t)*PertePVj)+Pspv)</f>
        <v>2.7723239170632442E-2</v>
      </c>
      <c r="M43" s="847"/>
      <c r="N43" s="847"/>
      <c r="O43" s="48">
        <f>IF(t&lt;Tnet,'2021'!Resal+('2021'!Salim-'2021'!Resal)*(1-EXP(('2021'!Tnet-t)/('2021'!Tau_j))),Resal+(Salim-Resal)*(1-EXP((Tnet-t)/(Tau_j))))*Salcycl</f>
        <v>2.5931286514936175E-2</v>
      </c>
      <c r="P43" s="338">
        <f>(INDEX(Models!$BJ43:$BT43,,T43)*(1-R43)+INDEX(Models!$BJ43:$BT43,,T43+1)*R43-ERP_i)*Q43*Ramure*Pc/MaxiM</f>
        <v>4.0906963412022597E-4</v>
      </c>
      <c r="Q43" s="304">
        <f t="shared" si="4"/>
        <v>0.5</v>
      </c>
      <c r="R43" s="176">
        <f t="shared" si="5"/>
        <v>0.73567628222772508</v>
      </c>
      <c r="S43" s="814">
        <f t="shared" si="6"/>
        <v>0</v>
      </c>
      <c r="T43" s="175">
        <f t="shared" si="7"/>
        <v>6</v>
      </c>
      <c r="U43" s="250">
        <f t="shared" si="20"/>
        <v>0.73567628222772508</v>
      </c>
      <c r="V43" s="382">
        <f t="shared" si="8"/>
        <v>31.86215255024549</v>
      </c>
      <c r="W43" s="401">
        <f t="shared" si="9"/>
        <v>0</v>
      </c>
      <c r="X43" s="157">
        <f t="shared" si="10"/>
        <v>44590</v>
      </c>
      <c r="Y43" s="384">
        <f t="shared" si="11"/>
        <v>6.1087849480479788</v>
      </c>
      <c r="Z43" s="384">
        <f t="shared" si="21"/>
        <v>6.2829692060489934</v>
      </c>
      <c r="AA43" s="385">
        <f t="shared" si="12"/>
        <v>6.6605820850436555</v>
      </c>
      <c r="AB43" s="196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5.6693675443560958E-2</v>
      </c>
      <c r="AD43" s="230">
        <f>(INDEX(Models!$BJ43:$BT43,,AH43)*(1-AF43)+INDEX(Models!$BJ43:$BT43,,AH43+1)*AF43-ERP_i)*AE43*Ramure*Pc/MaxiM</f>
        <v>4.0906963412022597E-4</v>
      </c>
      <c r="AE43" s="304">
        <f t="shared" si="14"/>
        <v>0.5</v>
      </c>
      <c r="AF43" s="176">
        <f t="shared" si="22"/>
        <v>0.73567628222772508</v>
      </c>
      <c r="AG43" s="814">
        <f t="shared" si="23"/>
        <v>0</v>
      </c>
      <c r="AH43" s="175">
        <f t="shared" si="15"/>
        <v>6</v>
      </c>
      <c r="AI43" s="224">
        <f t="shared" si="24"/>
        <v>0.73567628222772508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44591</v>
      </c>
      <c r="B44" s="1158">
        <v>4.4889999999999999</v>
      </c>
      <c r="C44" s="843"/>
      <c r="D44" s="392">
        <f t="shared" si="0"/>
        <v>4.6170991452996581</v>
      </c>
      <c r="E44" s="384">
        <f t="shared" si="1"/>
        <v>4.740495949735684</v>
      </c>
      <c r="F44" s="384">
        <f t="shared" si="2"/>
        <v>4.740495949735684</v>
      </c>
      <c r="G44" s="110">
        <f t="shared" si="19"/>
        <v>0.13938976493685931</v>
      </c>
      <c r="H44" s="413" t="b">
        <f>Wh_hp&gt;='2021'!Maxi_hp</f>
        <v>0</v>
      </c>
      <c r="I44" s="379">
        <f>IF(H44,Wh_hp,'2021'!Maxi_hp)</f>
        <v>10.973075209769302</v>
      </c>
      <c r="J44" s="85">
        <f>IF(H44,An,'2021'!An_max)</f>
        <v>2020</v>
      </c>
      <c r="K44" s="196">
        <f t="shared" si="3"/>
        <v>44591</v>
      </c>
      <c r="L44" s="147">
        <f>IF(t&lt;Tvie,1-EXP((T0-t)*PertePVj)+'2021'!Pspv,1-EXP((T0-t)*PertePVj)+Pspv)</f>
        <v>2.7744508243897383E-2</v>
      </c>
      <c r="M44" s="847"/>
      <c r="N44" s="847"/>
      <c r="O44" s="48">
        <f>IF(t&lt;Tnet,'2021'!Resal+('2021'!Salim-'2021'!Resal)*(1-EXP(('2021'!Tnet-t)/('2021'!Tau_j))),Resal+(Salim-Resal)*(1-EXP((Tnet-t)/(Tau_j))))*Salcycl</f>
        <v>2.6030357528921889E-2</v>
      </c>
      <c r="P44" s="338">
        <f>(INDEX(Models!$BJ44:$BT44,,T44)*(1-R44)+INDEX(Models!$BJ44:$BT44,,T44+1)*R44-ERP_i)*Q44*Ramure*Pc/MaxiM</f>
        <v>3.9240924813413268E-4</v>
      </c>
      <c r="Q44" s="304">
        <f t="shared" si="4"/>
        <v>0.5</v>
      </c>
      <c r="R44" s="176">
        <f t="shared" si="5"/>
        <v>0.73573134069552115</v>
      </c>
      <c r="S44" s="814">
        <f t="shared" si="6"/>
        <v>0</v>
      </c>
      <c r="T44" s="175">
        <f t="shared" si="7"/>
        <v>6</v>
      </c>
      <c r="U44" s="250">
        <f t="shared" si="20"/>
        <v>0.73573134069552115</v>
      </c>
      <c r="V44" s="382">
        <f t="shared" si="8"/>
        <v>32.192022684863211</v>
      </c>
      <c r="W44" s="401">
        <f t="shared" si="9"/>
        <v>0</v>
      </c>
      <c r="X44" s="157">
        <f t="shared" si="10"/>
        <v>44591</v>
      </c>
      <c r="Y44" s="384">
        <f t="shared" si="11"/>
        <v>4.3473663020673854</v>
      </c>
      <c r="Z44" s="384">
        <f t="shared" si="21"/>
        <v>4.4714237553085008</v>
      </c>
      <c r="AA44" s="385">
        <f t="shared" si="12"/>
        <v>4.740495949735684</v>
      </c>
      <c r="AB44" s="196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5.6760346866699965E-2</v>
      </c>
      <c r="AD44" s="230">
        <f>(INDEX(Models!$BJ44:$BT44,,AH44)*(1-AF44)+INDEX(Models!$BJ44:$BT44,,AH44+1)*AF44-ERP_i)*AE44*Ramure*Pc/MaxiM</f>
        <v>3.9240924813413268E-4</v>
      </c>
      <c r="AE44" s="304">
        <f t="shared" si="14"/>
        <v>0.5</v>
      </c>
      <c r="AF44" s="176">
        <f t="shared" si="22"/>
        <v>0.73573134069552115</v>
      </c>
      <c r="AG44" s="814">
        <f t="shared" si="23"/>
        <v>0</v>
      </c>
      <c r="AH44" s="175">
        <f t="shared" si="15"/>
        <v>6</v>
      </c>
      <c r="AI44" s="224">
        <f t="shared" si="24"/>
        <v>0.73573134069552115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44592</v>
      </c>
      <c r="B45" s="1158">
        <v>11.168000000000001</v>
      </c>
      <c r="C45" s="843"/>
      <c r="D45" s="392">
        <f t="shared" si="0"/>
        <v>11.486943921631594</v>
      </c>
      <c r="E45" s="384">
        <f t="shared" si="1"/>
        <v>11.795143525938357</v>
      </c>
      <c r="F45" s="384">
        <f t="shared" si="2"/>
        <v>11.795418656157024</v>
      </c>
      <c r="G45" s="110">
        <f t="shared" si="19"/>
        <v>0.34324812491816353</v>
      </c>
      <c r="H45" s="413" t="b">
        <f>Wh_hp&gt;='2021'!Maxi_hp</f>
        <v>0</v>
      </c>
      <c r="I45" s="379">
        <f>IF(H45,Wh_hp,'2021'!Maxi_hp)</f>
        <v>22.393686095850722</v>
      </c>
      <c r="J45" s="85">
        <f>IF(H45,An,'2021'!An_max)</f>
        <v>2020</v>
      </c>
      <c r="K45" s="196">
        <f t="shared" si="3"/>
        <v>44592</v>
      </c>
      <c r="L45" s="147">
        <f>IF(t&lt;Tvie,1-EXP((T0-t)*PertePVj)+'2021'!Pspv,1-EXP((T0-t)*PertePVj)+Pspv)</f>
        <v>2.7765776851315073E-2</v>
      </c>
      <c r="M45" s="847"/>
      <c r="N45" s="847"/>
      <c r="O45" s="48">
        <f>IF(t&lt;Tnet,'2021'!Resal+('2021'!Salim-'2021'!Resal)*(1-EXP(('2021'!Tnet-t)/('2021'!Tau_j))),Resal+(Salim-Resal)*(1-EXP((Tnet-t)/(Tau_j))))*Salcycl</f>
        <v>2.6129364482001417E-2</v>
      </c>
      <c r="P45" s="338">
        <f>(INDEX(Models!$BJ45:$BT45,,T45)*(1-R45)+INDEX(Models!$BJ45:$BT45,,T45+1)*R45-ERP_i)*Q45*Ramure*Pc/MaxiM</f>
        <v>3.7647805254286169E-4</v>
      </c>
      <c r="Q45" s="304">
        <f t="shared" si="4"/>
        <v>0.5</v>
      </c>
      <c r="R45" s="176">
        <f t="shared" si="5"/>
        <v>0.7357886874243792</v>
      </c>
      <c r="S45" s="814">
        <f t="shared" si="6"/>
        <v>0</v>
      </c>
      <c r="T45" s="175">
        <f t="shared" si="7"/>
        <v>6</v>
      </c>
      <c r="U45" s="250">
        <f t="shared" si="20"/>
        <v>0.7357886874243792</v>
      </c>
      <c r="V45" s="382">
        <f t="shared" si="8"/>
        <v>32.52473964524048</v>
      </c>
      <c r="W45" s="401">
        <f t="shared" si="9"/>
        <v>0</v>
      </c>
      <c r="X45" s="157">
        <f t="shared" si="10"/>
        <v>44592</v>
      </c>
      <c r="Y45" s="384">
        <f t="shared" si="11"/>
        <v>10.815970090198366</v>
      </c>
      <c r="Z45" s="384">
        <f t="shared" si="21"/>
        <v>11.124860483896242</v>
      </c>
      <c r="AA45" s="385">
        <f t="shared" si="12"/>
        <v>11.795143525938357</v>
      </c>
      <c r="AB45" s="196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5.6827035683636652E-2</v>
      </c>
      <c r="AD45" s="230">
        <f>(INDEX(Models!$BJ45:$BT45,,AH45)*(1-AF45)+INDEX(Models!$BJ45:$BT45,,AH45+1)*AF45-ERP_i)*AE45*Ramure*Pc/MaxiM</f>
        <v>3.7647805254286169E-4</v>
      </c>
      <c r="AE45" s="304">
        <f t="shared" si="14"/>
        <v>0.5</v>
      </c>
      <c r="AF45" s="176">
        <f t="shared" si="22"/>
        <v>0.7357886874243792</v>
      </c>
      <c r="AG45" s="814">
        <f t="shared" si="23"/>
        <v>0</v>
      </c>
      <c r="AH45" s="175">
        <f t="shared" si="15"/>
        <v>6</v>
      </c>
      <c r="AI45" s="224">
        <f t="shared" si="24"/>
        <v>0.7357886874243792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44593</v>
      </c>
      <c r="B46" s="1158">
        <v>14.166</v>
      </c>
      <c r="C46" s="843"/>
      <c r="D46" s="392">
        <f t="shared" si="0"/>
        <v>14.570881746681193</v>
      </c>
      <c r="E46" s="384">
        <f t="shared" si="1"/>
        <v>14.963344952510162</v>
      </c>
      <c r="F46" s="384">
        <f t="shared" si="2"/>
        <v>14.964357454119552</v>
      </c>
      <c r="G46" s="110">
        <f t="shared" si="19"/>
        <v>0.43097647728069993</v>
      </c>
      <c r="H46" s="413" t="b">
        <f>Wh_hp&gt;='2021'!Maxi_hp</f>
        <v>0</v>
      </c>
      <c r="I46" s="379">
        <f>IF(H46,Wh_hp,'2021'!Maxi_hp)</f>
        <v>27.773324166847818</v>
      </c>
      <c r="J46" s="85">
        <f>IF(H46,An,'2021'!An_max)</f>
        <v>2019</v>
      </c>
      <c r="K46" s="196">
        <f t="shared" si="3"/>
        <v>44593</v>
      </c>
      <c r="L46" s="147">
        <f>IF(t&lt;Tvie,1-EXP((T0-t)*PertePVj)+'2021'!Pspv,1-EXP((T0-t)*PertePVj)+Pspv)</f>
        <v>2.7787044992895617E-2</v>
      </c>
      <c r="M46" s="847"/>
      <c r="N46" s="847"/>
      <c r="O46" s="48">
        <f>IF(t&lt;Tnet,'2021'!Resal+('2021'!Salim-'2021'!Resal)*(1-EXP(('2021'!Tnet-t)/('2021'!Tau_j))),Resal+(Salim-Resal)*(1-EXP((Tnet-t)/(Tau_j))))*Salcycl</f>
        <v>2.6228307044617854E-2</v>
      </c>
      <c r="P46" s="338">
        <f>(INDEX(Models!$BJ46:$BT46,,T46)*(1-R46)+INDEX(Models!$BJ46:$BT46,,T46+1)*R46-ERP_i)*Q46*Ramure*Pc/MaxiM</f>
        <v>3.6126248541167727E-4</v>
      </c>
      <c r="Q46" s="304">
        <f t="shared" si="4"/>
        <v>0.5</v>
      </c>
      <c r="R46" s="176">
        <f t="shared" si="5"/>
        <v>0.73584841657864353</v>
      </c>
      <c r="S46" s="814">
        <f t="shared" si="6"/>
        <v>0</v>
      </c>
      <c r="T46" s="175">
        <f t="shared" si="7"/>
        <v>6</v>
      </c>
      <c r="U46" s="250">
        <f t="shared" si="20"/>
        <v>0.73584841657864353</v>
      </c>
      <c r="V46" s="382">
        <f t="shared" si="8"/>
        <v>32.859892139814079</v>
      </c>
      <c r="W46" s="401">
        <f t="shared" si="9"/>
        <v>0</v>
      </c>
      <c r="X46" s="157">
        <f t="shared" si="10"/>
        <v>44593</v>
      </c>
      <c r="Y46" s="384">
        <f t="shared" si="11"/>
        <v>13.719892836405378</v>
      </c>
      <c r="Z46" s="384">
        <f t="shared" si="21"/>
        <v>14.112024290300804</v>
      </c>
      <c r="AA46" s="385">
        <f t="shared" si="12"/>
        <v>14.963344952510162</v>
      </c>
      <c r="AB46" s="196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5.6893740330870829E-2</v>
      </c>
      <c r="AD46" s="230">
        <f>(INDEX(Models!$BJ46:$BT46,,AH46)*(1-AF46)+INDEX(Models!$BJ46:$BT46,,AH46+1)*AF46-ERP_i)*AE46*Ramure*Pc/MaxiM</f>
        <v>3.6126248541167727E-4</v>
      </c>
      <c r="AE46" s="304">
        <f t="shared" si="14"/>
        <v>0.5</v>
      </c>
      <c r="AF46" s="176">
        <f t="shared" si="22"/>
        <v>0.73584841657864353</v>
      </c>
      <c r="AG46" s="814">
        <f t="shared" si="23"/>
        <v>0</v>
      </c>
      <c r="AH46" s="175">
        <f t="shared" si="15"/>
        <v>6</v>
      </c>
      <c r="AI46" s="224">
        <f t="shared" si="24"/>
        <v>0.73584841657864353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44594</v>
      </c>
      <c r="B47" s="1158">
        <v>5.2350000000000003</v>
      </c>
      <c r="C47" s="843"/>
      <c r="D47" s="392">
        <f t="shared" si="0"/>
        <v>5.3847405488211741</v>
      </c>
      <c r="E47" s="384">
        <f t="shared" si="1"/>
        <v>5.5303387992291695</v>
      </c>
      <c r="F47" s="384">
        <f t="shared" si="2"/>
        <v>5.5303387992291695</v>
      </c>
      <c r="G47" s="110">
        <f t="shared" si="19"/>
        <v>0.1576399638707594</v>
      </c>
      <c r="H47" s="413" t="b">
        <f>Wh_hp&gt;='2021'!Maxi_hp</f>
        <v>0</v>
      </c>
      <c r="I47" s="379">
        <f>IF(H47,Wh_hp,'2021'!Maxi_hp)</f>
        <v>31.04236433925411</v>
      </c>
      <c r="J47" s="85">
        <f>IF(H47,An,'2021'!An_max)</f>
        <v>2021</v>
      </c>
      <c r="K47" s="196">
        <f t="shared" si="3"/>
        <v>44594</v>
      </c>
      <c r="L47" s="147">
        <f>IF(t&lt;Tvie,1-EXP((T0-t)*PertePVj)+'2021'!Pspv,1-EXP((T0-t)*PertePVj)+Pspv)</f>
        <v>2.7808312668649339E-2</v>
      </c>
      <c r="M47" s="847"/>
      <c r="N47" s="847"/>
      <c r="O47" s="48">
        <f>IF(t&lt;Tnet,'2021'!Resal+('2021'!Salim-'2021'!Resal)*(1-EXP(('2021'!Tnet-t)/('2021'!Tau_j))),Resal+(Salim-Resal)*(1-EXP((Tnet-t)/(Tau_j))))*Salcycl</f>
        <v>2.6327184589177263E-2</v>
      </c>
      <c r="P47" s="338">
        <f>(INDEX(Models!$BJ47:$BT47,,T47)*(1-R47)+INDEX(Models!$BJ47:$BT47,,T47+1)*R47-ERP_i)*Q47*Ramure*Pc/MaxiM</f>
        <v>3.4674837316370742E-4</v>
      </c>
      <c r="Q47" s="304">
        <f t="shared" si="4"/>
        <v>0.5</v>
      </c>
      <c r="R47" s="176">
        <f t="shared" si="5"/>
        <v>0.73591062611779046</v>
      </c>
      <c r="S47" s="814">
        <f t="shared" si="6"/>
        <v>0</v>
      </c>
      <c r="T47" s="175">
        <f t="shared" si="7"/>
        <v>6</v>
      </c>
      <c r="U47" s="250">
        <f t="shared" si="20"/>
        <v>0.73591062611779046</v>
      </c>
      <c r="V47" s="382">
        <f t="shared" si="8"/>
        <v>33.197069091927077</v>
      </c>
      <c r="W47" s="401">
        <f t="shared" si="9"/>
        <v>0</v>
      </c>
      <c r="X47" s="157">
        <f t="shared" si="10"/>
        <v>44594</v>
      </c>
      <c r="Y47" s="384">
        <f t="shared" si="11"/>
        <v>5.0702986886121169</v>
      </c>
      <c r="Z47" s="384">
        <f t="shared" si="21"/>
        <v>5.2153281648910195</v>
      </c>
      <c r="AA47" s="385">
        <f t="shared" si="12"/>
        <v>5.5303387992291695</v>
      </c>
      <c r="AB47" s="196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5.6960458621821988E-2</v>
      </c>
      <c r="AD47" s="230">
        <f>(INDEX(Models!$BJ47:$BT47,,AH47)*(1-AF47)+INDEX(Models!$BJ47:$BT47,,AH47+1)*AF47-ERP_i)*AE47*Ramure*Pc/MaxiM</f>
        <v>3.4674837316370742E-4</v>
      </c>
      <c r="AE47" s="304">
        <f t="shared" si="14"/>
        <v>0.5</v>
      </c>
      <c r="AF47" s="176">
        <f t="shared" si="22"/>
        <v>0.73591062611779046</v>
      </c>
      <c r="AG47" s="814">
        <f t="shared" si="23"/>
        <v>0</v>
      </c>
      <c r="AH47" s="175">
        <f t="shared" si="15"/>
        <v>6</v>
      </c>
      <c r="AI47" s="224">
        <f t="shared" si="24"/>
        <v>0.73591062611779046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44595</v>
      </c>
      <c r="B48" s="1158">
        <v>14.628</v>
      </c>
      <c r="C48" s="843"/>
      <c r="D48" s="392">
        <f t="shared" si="0"/>
        <v>15.046744580207575</v>
      </c>
      <c r="E48" s="384">
        <f t="shared" si="1"/>
        <v>15.455162649526212</v>
      </c>
      <c r="F48" s="384">
        <f t="shared" si="2"/>
        <v>15.456163777376622</v>
      </c>
      <c r="G48" s="110">
        <f t="shared" si="19"/>
        <v>0.43607283122839086</v>
      </c>
      <c r="H48" s="413" t="b">
        <f>Wh_hp&gt;='2021'!Maxi_hp</f>
        <v>0</v>
      </c>
      <c r="I48" s="379">
        <f>IF(H48,Wh_hp,'2021'!Maxi_hp)</f>
        <v>27.850010824525498</v>
      </c>
      <c r="J48" s="85">
        <f>IF(H48,An,'2021'!An_max)</f>
        <v>2020</v>
      </c>
      <c r="K48" s="196">
        <f t="shared" si="3"/>
        <v>44595</v>
      </c>
      <c r="L48" s="147">
        <f>IF(t&lt;Tvie,1-EXP((T0-t)*PertePVj)+'2021'!Pspv,1-EXP((T0-t)*PertePVj)+Pspv)</f>
        <v>2.7829579878586454E-2</v>
      </c>
      <c r="M48" s="847"/>
      <c r="N48" s="847"/>
      <c r="O48" s="48">
        <f>IF(t&lt;Tnet,'2021'!Resal+('2021'!Salim-'2021'!Resal)*(1-EXP(('2021'!Tnet-t)/('2021'!Tau_j))),Resal+(Salim-Resal)*(1-EXP((Tnet-t)/(Tau_j))))*Salcycl</f>
        <v>2.6425996191709961E-2</v>
      </c>
      <c r="P48" s="338">
        <f>(INDEX(Models!$BJ48:$BT48,,T48)*(1-R48)+INDEX(Models!$BJ48:$BT48,,T48+1)*R48-ERP_i)*Q48*Ramure*Pc/MaxiM</f>
        <v>3.3292106989225569E-4</v>
      </c>
      <c r="Q48" s="304">
        <f t="shared" si="4"/>
        <v>0.5</v>
      </c>
      <c r="R48" s="176">
        <f t="shared" si="5"/>
        <v>0.73597541794257026</v>
      </c>
      <c r="S48" s="814">
        <f t="shared" si="6"/>
        <v>0</v>
      </c>
      <c r="T48" s="175">
        <f t="shared" si="7"/>
        <v>6</v>
      </c>
      <c r="U48" s="250">
        <f t="shared" si="20"/>
        <v>0.73597541794257026</v>
      </c>
      <c r="V48" s="382">
        <f t="shared" si="8"/>
        <v>33.535859643610422</v>
      </c>
      <c r="W48" s="401">
        <f t="shared" si="9"/>
        <v>0</v>
      </c>
      <c r="X48" s="157">
        <f t="shared" si="10"/>
        <v>44595</v>
      </c>
      <c r="Y48" s="384">
        <f t="shared" si="11"/>
        <v>14.16821550649022</v>
      </c>
      <c r="Z48" s="384">
        <f t="shared" si="21"/>
        <v>14.573798187277458</v>
      </c>
      <c r="AA48" s="385">
        <f t="shared" si="12"/>
        <v>15.455162649526212</v>
      </c>
      <c r="AB48" s="196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5.7027187758245529E-2</v>
      </c>
      <c r="AD48" s="230">
        <f>(INDEX(Models!$BJ48:$BT48,,AH48)*(1-AF48)+INDEX(Models!$BJ48:$BT48,,AH48+1)*AF48-ERP_i)*AE48*Ramure*Pc/MaxiM</f>
        <v>3.3292106989225569E-4</v>
      </c>
      <c r="AE48" s="304">
        <f t="shared" si="14"/>
        <v>0.5</v>
      </c>
      <c r="AF48" s="176">
        <f t="shared" si="22"/>
        <v>0.73597541794257026</v>
      </c>
      <c r="AG48" s="814">
        <f t="shared" si="23"/>
        <v>0</v>
      </c>
      <c r="AH48" s="175">
        <f t="shared" si="15"/>
        <v>6</v>
      </c>
      <c r="AI48" s="224">
        <f t="shared" si="24"/>
        <v>0.73597541794257026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44596</v>
      </c>
      <c r="B49" s="1158">
        <v>12.170999999999999</v>
      </c>
      <c r="C49" s="843"/>
      <c r="D49" s="392">
        <f t="shared" si="0"/>
        <v>12.519683793086157</v>
      </c>
      <c r="E49" s="384">
        <f t="shared" si="1"/>
        <v>12.860813536541833</v>
      </c>
      <c r="F49" s="384">
        <f t="shared" si="2"/>
        <v>12.861161825841268</v>
      </c>
      <c r="G49" s="110">
        <f t="shared" si="19"/>
        <v>0.35917730488583166</v>
      </c>
      <c r="H49" s="413" t="b">
        <f>Wh_hp&gt;='2021'!Maxi_hp</f>
        <v>0</v>
      </c>
      <c r="I49" s="379">
        <f>IF(H49,Wh_hp,'2021'!Maxi_hp)</f>
        <v>29.1914143774355</v>
      </c>
      <c r="J49" s="85">
        <f>IF(H49,An,'2021'!An_max)</f>
        <v>2019</v>
      </c>
      <c r="K49" s="196">
        <f t="shared" si="3"/>
        <v>44596</v>
      </c>
      <c r="L49" s="147">
        <f>IF(t&lt;Tvie,1-EXP((T0-t)*PertePVj)+'2021'!Pspv,1-EXP((T0-t)*PertePVj)+Pspv)</f>
        <v>2.7850846622716953E-2</v>
      </c>
      <c r="M49" s="847"/>
      <c r="N49" s="847"/>
      <c r="O49" s="48">
        <f>IF(t&lt;Tnet,'2021'!Resal+('2021'!Salim-'2021'!Resal)*(1-EXP(('2021'!Tnet-t)/('2021'!Tau_j))),Resal+(Salim-Resal)*(1-EXP((Tnet-t)/(Tau_j))))*Salcycl</f>
        <v>2.6524740638406215E-2</v>
      </c>
      <c r="P49" s="338">
        <f>(INDEX(Models!$BJ49:$BT49,,T49)*(1-R49)+INDEX(Models!$BJ49:$BT49,,T49+1)*R49-ERP_i)*Q49*Ramure*Pc/MaxiM</f>
        <v>3.1976558500909917E-4</v>
      </c>
      <c r="Q49" s="304">
        <f t="shared" si="4"/>
        <v>0.5</v>
      </c>
      <c r="R49" s="176">
        <f t="shared" si="5"/>
        <v>0.73604289804618983</v>
      </c>
      <c r="S49" s="814">
        <f t="shared" si="6"/>
        <v>0</v>
      </c>
      <c r="T49" s="175">
        <f t="shared" si="7"/>
        <v>6</v>
      </c>
      <c r="U49" s="250">
        <f t="shared" si="20"/>
        <v>0.73604289804618983</v>
      </c>
      <c r="V49" s="382">
        <f t="shared" si="8"/>
        <v>33.87585315195043</v>
      </c>
      <c r="W49" s="401">
        <f t="shared" si="9"/>
        <v>0</v>
      </c>
      <c r="X49" s="157">
        <f t="shared" si="10"/>
        <v>44596</v>
      </c>
      <c r="Y49" s="384">
        <f t="shared" si="11"/>
        <v>11.788804837463697</v>
      </c>
      <c r="Z49" s="384">
        <f t="shared" si="21"/>
        <v>12.126539221382791</v>
      </c>
      <c r="AA49" s="385">
        <f t="shared" si="12"/>
        <v>12.860813536541833</v>
      </c>
      <c r="AB49" s="196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5.7093924351886843E-2</v>
      </c>
      <c r="AD49" s="230">
        <f>(INDEX(Models!$BJ49:$BT49,,AH49)*(1-AF49)+INDEX(Models!$BJ49:$BT49,,AH49+1)*AF49-ERP_i)*AE49*Ramure*Pc/MaxiM</f>
        <v>3.1976558500909917E-4</v>
      </c>
      <c r="AE49" s="304">
        <f t="shared" si="14"/>
        <v>0.5</v>
      </c>
      <c r="AF49" s="176">
        <f t="shared" si="22"/>
        <v>0.73604289804618983</v>
      </c>
      <c r="AG49" s="814">
        <f t="shared" si="23"/>
        <v>0</v>
      </c>
      <c r="AH49" s="175">
        <f t="shared" si="15"/>
        <v>6</v>
      </c>
      <c r="AI49" s="224">
        <f t="shared" si="24"/>
        <v>0.73604289804618983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44597</v>
      </c>
      <c r="B50" s="1158">
        <v>10.085000000000001</v>
      </c>
      <c r="C50" s="843"/>
      <c r="D50" s="392">
        <f t="shared" si="0"/>
        <v>10.3741494651449</v>
      </c>
      <c r="E50" s="384">
        <f t="shared" si="1"/>
        <v>10.657899152628056</v>
      </c>
      <c r="F50" s="384">
        <f t="shared" si="2"/>
        <v>10.657899152628056</v>
      </c>
      <c r="G50" s="110">
        <f t="shared" si="19"/>
        <v>0.29464907876126001</v>
      </c>
      <c r="H50" s="413" t="b">
        <f>Wh_hp&gt;='2021'!Maxi_hp</f>
        <v>0</v>
      </c>
      <c r="I50" s="379">
        <f>IF(H50,Wh_hp,'2021'!Maxi_hp)</f>
        <v>36.34952786245141</v>
      </c>
      <c r="J50" s="85">
        <f>IF(H50,An,'2021'!An_max)</f>
        <v>2020</v>
      </c>
      <c r="K50" s="196">
        <f t="shared" si="3"/>
        <v>44597</v>
      </c>
      <c r="L50" s="147">
        <f>IF(t&lt;Tvie,1-EXP((T0-t)*PertePVj)+'2021'!Pspv,1-EXP((T0-t)*PertePVj)+Pspv)</f>
        <v>2.7872112901051273E-2</v>
      </c>
      <c r="M50" s="847"/>
      <c r="N50" s="847"/>
      <c r="O50" s="48">
        <f>IF(t&lt;Tnet,'2021'!Resal+('2021'!Salim-'2021'!Resal)*(1-EXP(('2021'!Tnet-t)/('2021'!Tau_j))),Resal+(Salim-Resal)*(1-EXP((Tnet-t)/(Tau_j))))*Salcycl</f>
        <v>2.6623416436923963E-2</v>
      </c>
      <c r="P50" s="338">
        <f>(INDEX(Models!$BJ50:$BT50,,T50)*(1-R50)+INDEX(Models!$BJ50:$BT50,,T50+1)*R50-ERP_i)*Q50*Ramure*Pc/MaxiM</f>
        <v>3.0726669943994037E-4</v>
      </c>
      <c r="Q50" s="304">
        <f t="shared" si="4"/>
        <v>0.5</v>
      </c>
      <c r="R50" s="176">
        <f t="shared" si="5"/>
        <v>0.73611317667065834</v>
      </c>
      <c r="S50" s="814">
        <f t="shared" si="6"/>
        <v>0</v>
      </c>
      <c r="T50" s="175">
        <f t="shared" si="7"/>
        <v>6</v>
      </c>
      <c r="U50" s="250">
        <f t="shared" si="20"/>
        <v>0.73611317667065834</v>
      </c>
      <c r="V50" s="382">
        <f t="shared" si="8"/>
        <v>34.216639188969026</v>
      </c>
      <c r="W50" s="401">
        <f t="shared" si="9"/>
        <v>0</v>
      </c>
      <c r="X50" s="157">
        <f t="shared" si="10"/>
        <v>44597</v>
      </c>
      <c r="Y50" s="384">
        <f t="shared" si="11"/>
        <v>9.7686084291808264</v>
      </c>
      <c r="Z50" s="384">
        <f t="shared" si="21"/>
        <v>10.048686555359071</v>
      </c>
      <c r="AA50" s="385">
        <f t="shared" si="12"/>
        <v>10.657899152628056</v>
      </c>
      <c r="AB50" s="196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5.7160664455974293E-2</v>
      </c>
      <c r="AD50" s="230">
        <f>(INDEX(Models!$BJ50:$BT50,,AH50)*(1-AF50)+INDEX(Models!$BJ50:$BT50,,AH50+1)*AF50-ERP_i)*AE50*Ramure*Pc/MaxiM</f>
        <v>3.0726669943994037E-4</v>
      </c>
      <c r="AE50" s="304">
        <f t="shared" si="14"/>
        <v>0.5</v>
      </c>
      <c r="AF50" s="176">
        <f t="shared" si="22"/>
        <v>0.73611317667065834</v>
      </c>
      <c r="AG50" s="814">
        <f t="shared" si="23"/>
        <v>0</v>
      </c>
      <c r="AH50" s="175">
        <f t="shared" si="15"/>
        <v>6</v>
      </c>
      <c r="AI50" s="224">
        <f t="shared" si="24"/>
        <v>0.73611317667065834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44598</v>
      </c>
      <c r="B51" s="1158">
        <v>22.835000000000001</v>
      </c>
      <c r="C51" s="843"/>
      <c r="D51" s="392">
        <f t="shared" si="0"/>
        <v>23.490221648508232</v>
      </c>
      <c r="E51" s="384">
        <f t="shared" si="1"/>
        <v>24.13516197369584</v>
      </c>
      <c r="F51" s="384">
        <f t="shared" si="2"/>
        <v>24.138836194969276</v>
      </c>
      <c r="G51" s="110">
        <f t="shared" si="19"/>
        <v>0.6606202015193765</v>
      </c>
      <c r="H51" s="413" t="b">
        <f>Wh_hp&gt;='2021'!Maxi_hp</f>
        <v>0</v>
      </c>
      <c r="I51" s="379">
        <f>IF(H51,Wh_hp,'2021'!Maxi_hp)</f>
        <v>37.913350711029565</v>
      </c>
      <c r="J51" s="85">
        <f>IF(H51,An,'2021'!An_max)</f>
        <v>2020</v>
      </c>
      <c r="K51" s="196">
        <f t="shared" si="3"/>
        <v>44598</v>
      </c>
      <c r="L51" s="147">
        <f>IF(t&lt;Tvie,1-EXP((T0-t)*PertePVj)+'2021'!Pspv,1-EXP((T0-t)*PertePVj)+Pspv)</f>
        <v>2.7893378713599405E-2</v>
      </c>
      <c r="M51" s="847"/>
      <c r="N51" s="847"/>
      <c r="O51" s="48">
        <f>IF(t&lt;Tnet,'2021'!Resal+('2021'!Salim-'2021'!Resal)*(1-EXP(('2021'!Tnet-t)/('2021'!Tau_j))),Resal+(Salim-Resal)*(1-EXP((Tnet-t)/(Tau_j))))*Salcycl</f>
        <v>2.6722021832317047E-2</v>
      </c>
      <c r="P51" s="338">
        <f>(INDEX(Models!$BJ51:$BT51,,T51)*(1-R51)+INDEX(Models!$BJ51:$BT51,,T51+1)*R51-ERP_i)*Q51*Ramure*Pc/MaxiM</f>
        <v>2.9538133301747378E-4</v>
      </c>
      <c r="Q51" s="304">
        <f t="shared" si="4"/>
        <v>0.5</v>
      </c>
      <c r="R51" s="176">
        <f t="shared" si="5"/>
        <v>0.73618636846841479</v>
      </c>
      <c r="S51" s="814">
        <f t="shared" si="6"/>
        <v>0</v>
      </c>
      <c r="T51" s="175">
        <f t="shared" si="7"/>
        <v>6</v>
      </c>
      <c r="U51" s="250">
        <f t="shared" si="20"/>
        <v>0.73618636846841479</v>
      </c>
      <c r="V51" s="382">
        <f t="shared" si="8"/>
        <v>34.561053656503077</v>
      </c>
      <c r="W51" s="401">
        <f t="shared" si="9"/>
        <v>0</v>
      </c>
      <c r="X51" s="157">
        <f t="shared" si="10"/>
        <v>44598</v>
      </c>
      <c r="Y51" s="384">
        <f t="shared" si="11"/>
        <v>22.119284234895801</v>
      </c>
      <c r="Z51" s="384">
        <f t="shared" si="21"/>
        <v>22.753969318329592</v>
      </c>
      <c r="AA51" s="385">
        <f t="shared" si="12"/>
        <v>24.13516197369584</v>
      </c>
      <c r="AB51" s="196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5.7227403606056958E-2</v>
      </c>
      <c r="AD51" s="230">
        <f>(INDEX(Models!$BJ51:$BT51,,AH51)*(1-AF51)+INDEX(Models!$BJ51:$BT51,,AH51+1)*AF51-ERP_i)*AE51*Ramure*Pc/MaxiM</f>
        <v>2.9538133301747378E-4</v>
      </c>
      <c r="AE51" s="304">
        <f t="shared" si="14"/>
        <v>0.5</v>
      </c>
      <c r="AF51" s="176">
        <f t="shared" si="22"/>
        <v>0.73618636846841479</v>
      </c>
      <c r="AG51" s="814">
        <f t="shared" si="23"/>
        <v>0</v>
      </c>
      <c r="AH51" s="175">
        <f t="shared" si="15"/>
        <v>6</v>
      </c>
      <c r="AI51" s="224">
        <f t="shared" si="24"/>
        <v>0.73618636846841479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44599</v>
      </c>
      <c r="B52" s="1158">
        <v>14.132</v>
      </c>
      <c r="C52" s="843"/>
      <c r="D52" s="392">
        <f t="shared" si="0"/>
        <v>14.537818015311892</v>
      </c>
      <c r="E52" s="384">
        <f t="shared" si="1"/>
        <v>14.938476236243654</v>
      </c>
      <c r="F52" s="384">
        <f t="shared" si="2"/>
        <v>14.939112746644939</v>
      </c>
      <c r="G52" s="110">
        <f t="shared" si="19"/>
        <v>0.40469698792214331</v>
      </c>
      <c r="H52" s="413" t="b">
        <f>Wh_hp&gt;='2021'!Maxi_hp</f>
        <v>0</v>
      </c>
      <c r="I52" s="379">
        <f>IF(H52,Wh_hp,'2021'!Maxi_hp)</f>
        <v>24.755005366085477</v>
      </c>
      <c r="J52" s="85">
        <f>IF(H52,An,'2021'!An_max)</f>
        <v>2021</v>
      </c>
      <c r="K52" s="196">
        <f t="shared" si="3"/>
        <v>44599</v>
      </c>
      <c r="L52" s="147">
        <f>IF(t&lt;Tvie,1-EXP((T0-t)*PertePVj)+'2021'!Pspv,1-EXP((T0-t)*PertePVj)+Pspv)</f>
        <v>2.7914644060371786E-2</v>
      </c>
      <c r="M52" s="847"/>
      <c r="N52" s="847"/>
      <c r="O52" s="48">
        <f>IF(t&lt;Tnet,'2021'!Resal+('2021'!Salim-'2021'!Resal)*(1-EXP(('2021'!Tnet-t)/('2021'!Tau_j))),Resal+(Salim-Resal)*(1-EXP((Tnet-t)/(Tau_j))))*Salcycl</f>
        <v>2.6820554827385084E-2</v>
      </c>
      <c r="P52" s="338">
        <f>(INDEX(Models!$BJ52:$BT52,,T52)*(1-R52)+INDEX(Models!$BJ52:$BT52,,T52+1)*R52-ERP_i)*Q52*Ramure*Pc/MaxiM</f>
        <v>2.8460228513771212E-4</v>
      </c>
      <c r="Q52" s="304">
        <f t="shared" si="4"/>
        <v>0.5</v>
      </c>
      <c r="R52" s="176">
        <f t="shared" si="5"/>
        <v>0.73626259266935568</v>
      </c>
      <c r="S52" s="814">
        <f t="shared" si="6"/>
        <v>0</v>
      </c>
      <c r="T52" s="175">
        <f t="shared" si="7"/>
        <v>6</v>
      </c>
      <c r="U52" s="250">
        <f t="shared" si="20"/>
        <v>0.73626259266935568</v>
      </c>
      <c r="V52" s="382">
        <f t="shared" si="8"/>
        <v>34.91150267537067</v>
      </c>
      <c r="W52" s="401">
        <f t="shared" si="9"/>
        <v>0</v>
      </c>
      <c r="X52" s="157">
        <f t="shared" si="10"/>
        <v>44599</v>
      </c>
      <c r="Y52" s="384">
        <f t="shared" si="11"/>
        <v>13.689478671012967</v>
      </c>
      <c r="Z52" s="384">
        <f t="shared" si="21"/>
        <v>14.082589134140973</v>
      </c>
      <c r="AA52" s="385">
        <f t="shared" si="12"/>
        <v>14.938476236243654</v>
      </c>
      <c r="AB52" s="196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5.7294136869604703E-2</v>
      </c>
      <c r="AD52" s="230">
        <f>(INDEX(Models!$BJ52:$BT52,,AH52)*(1-AF52)+INDEX(Models!$BJ52:$BT52,,AH52+1)*AF52-ERP_i)*AE52*Ramure*Pc/MaxiM</f>
        <v>2.8460228513771212E-4</v>
      </c>
      <c r="AE52" s="304">
        <f t="shared" si="14"/>
        <v>0.5</v>
      </c>
      <c r="AF52" s="176">
        <f t="shared" si="22"/>
        <v>0.73626259266935568</v>
      </c>
      <c r="AG52" s="814">
        <f t="shared" si="23"/>
        <v>0</v>
      </c>
      <c r="AH52" s="175">
        <f t="shared" si="15"/>
        <v>6</v>
      </c>
      <c r="AI52" s="224">
        <f t="shared" si="24"/>
        <v>0.73626259266935568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44600</v>
      </c>
      <c r="B53" s="1158">
        <v>35.658999999999999</v>
      </c>
      <c r="C53" s="843"/>
      <c r="D53" s="392">
        <f t="shared" si="0"/>
        <v>36.683795161248824</v>
      </c>
      <c r="E53" s="384">
        <f t="shared" si="1"/>
        <v>37.698604390736129</v>
      </c>
      <c r="F53" s="384">
        <f t="shared" si="2"/>
        <v>37.708985818537435</v>
      </c>
      <c r="G53" s="110">
        <f t="shared" si="19"/>
        <v>1.0111167718204532</v>
      </c>
      <c r="H53" s="413" t="b">
        <f>Wh_hp&gt;='2021'!Maxi_hp</f>
        <v>1</v>
      </c>
      <c r="I53" s="379">
        <f>IF(H53,Wh_hp,'2021'!Maxi_hp)</f>
        <v>37.708985818537435</v>
      </c>
      <c r="J53" s="85">
        <f>IF(H53,An,'2021'!An_max)</f>
        <v>2022</v>
      </c>
      <c r="K53" s="196">
        <f t="shared" si="3"/>
        <v>44600</v>
      </c>
      <c r="L53" s="147">
        <f>IF(t&lt;Tvie,1-EXP((T0-t)*PertePVj)+'2021'!Pspv,1-EXP((T0-t)*PertePVj)+Pspv)</f>
        <v>2.7935908941378408E-2</v>
      </c>
      <c r="M53" s="847"/>
      <c r="N53" s="847"/>
      <c r="O53" s="48">
        <f>IF(t&lt;Tnet,'2021'!Resal+('2021'!Salim-'2021'!Resal)*(1-EXP(('2021'!Tnet-t)/('2021'!Tau_j))),Resal+(Salim-Resal)*(1-EXP((Tnet-t)/(Tau_j))))*Salcycl</f>
        <v>2.6919013207201865E-2</v>
      </c>
      <c r="P53" s="338">
        <f>(INDEX(Models!$BJ53:$BT53,,T53)*(1-R53)+INDEX(Models!$BJ53:$BT53,,T53+1)*R53-ERP_i)*Q53*Ramure*Pc/MaxiM</f>
        <v>2.753038188633406E-4</v>
      </c>
      <c r="Q53" s="304">
        <f t="shared" si="4"/>
        <v>0.5</v>
      </c>
      <c r="R53" s="176">
        <f t="shared" si="5"/>
        <v>0.73634197325337547</v>
      </c>
      <c r="S53" s="814">
        <f t="shared" si="6"/>
        <v>0</v>
      </c>
      <c r="T53" s="175">
        <f t="shared" si="7"/>
        <v>6</v>
      </c>
      <c r="U53" s="250">
        <f t="shared" si="20"/>
        <v>0.73634197325337547</v>
      </c>
      <c r="V53" s="382">
        <f t="shared" si="8"/>
        <v>35.266945415016878</v>
      </c>
      <c r="W53" s="401">
        <f t="shared" si="9"/>
        <v>0</v>
      </c>
      <c r="X53" s="157">
        <f t="shared" si="10"/>
        <v>44600</v>
      </c>
      <c r="Y53" s="384">
        <f t="shared" si="11"/>
        <v>34.54344457303651</v>
      </c>
      <c r="Z53" s="384">
        <f t="shared" si="21"/>
        <v>35.536180063412424</v>
      </c>
      <c r="AA53" s="385">
        <f t="shared" si="12"/>
        <v>37.698604390736129</v>
      </c>
      <c r="AB53" s="196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5.7360858903707547E-2</v>
      </c>
      <c r="AD53" s="230">
        <f>(INDEX(Models!$BJ53:$BT53,,AH53)*(1-AF53)+INDEX(Models!$BJ53:$BT53,,AH53+1)*AF53-ERP_i)*AE53*Ramure*Pc/MaxiM</f>
        <v>2.753038188633406E-4</v>
      </c>
      <c r="AE53" s="304">
        <f t="shared" si="14"/>
        <v>0.5</v>
      </c>
      <c r="AF53" s="176">
        <f t="shared" si="22"/>
        <v>0.73634197325337547</v>
      </c>
      <c r="AG53" s="814">
        <f t="shared" si="23"/>
        <v>0</v>
      </c>
      <c r="AH53" s="175">
        <f t="shared" si="15"/>
        <v>6</v>
      </c>
      <c r="AI53" s="224">
        <f t="shared" si="24"/>
        <v>0.73634197325337547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44601</v>
      </c>
      <c r="B54" s="1158">
        <v>35.752000000000002</v>
      </c>
      <c r="C54" s="843"/>
      <c r="D54" s="392">
        <f t="shared" si="0"/>
        <v>36.78027245307468</v>
      </c>
      <c r="E54" s="384">
        <f t="shared" si="1"/>
        <v>37.80157245126388</v>
      </c>
      <c r="F54" s="384">
        <f t="shared" si="2"/>
        <v>37.811685305334407</v>
      </c>
      <c r="G54" s="110">
        <f t="shared" si="19"/>
        <v>1.0035267302787512</v>
      </c>
      <c r="H54" s="413" t="b">
        <f>Wh_hp&gt;='2021'!Maxi_hp</f>
        <v>1</v>
      </c>
      <c r="I54" s="379">
        <f>IF(H54,Wh_hp,'2021'!Maxi_hp)</f>
        <v>37.811685305334407</v>
      </c>
      <c r="J54" s="85">
        <f>IF(H54,An,'2021'!An_max)</f>
        <v>2022</v>
      </c>
      <c r="K54" s="196">
        <f t="shared" si="3"/>
        <v>44601</v>
      </c>
      <c r="L54" s="147">
        <f>IF(t&lt;Tvie,1-EXP((T0-t)*PertePVj)+'2021'!Pspv,1-EXP((T0-t)*PertePVj)+Pspv)</f>
        <v>2.7957173356629596E-2</v>
      </c>
      <c r="M54" s="847"/>
      <c r="N54" s="847"/>
      <c r="O54" s="48">
        <f>IF(t&lt;Tnet,'2021'!Resal+('2021'!Salim-'2021'!Resal)*(1-EXP(('2021'!Tnet-t)/('2021'!Tau_j))),Resal+(Salim-Resal)*(1-EXP((Tnet-t)/(Tau_j))))*Salcycl</f>
        <v>2.7017394567538804E-2</v>
      </c>
      <c r="P54" s="338">
        <f>(INDEX(Models!$BJ54:$BT54,,T54)*(1-R54)+INDEX(Models!$BJ54:$BT54,,T54+1)*R54-ERP_i)*Q54*Ramure*Pc/MaxiM</f>
        <v>2.6745314282780965E-4</v>
      </c>
      <c r="Q54" s="304">
        <f t="shared" si="4"/>
        <v>0.5</v>
      </c>
      <c r="R54" s="176">
        <f t="shared" si="5"/>
        <v>0.73642463912853018</v>
      </c>
      <c r="S54" s="814">
        <f t="shared" si="6"/>
        <v>0</v>
      </c>
      <c r="T54" s="175">
        <f t="shared" si="7"/>
        <v>6</v>
      </c>
      <c r="U54" s="250">
        <f t="shared" si="20"/>
        <v>0.73642463912853018</v>
      </c>
      <c r="V54" s="382">
        <f t="shared" si="8"/>
        <v>35.626355453500587</v>
      </c>
      <c r="W54" s="401">
        <f t="shared" si="9"/>
        <v>0</v>
      </c>
      <c r="X54" s="157">
        <f t="shared" si="10"/>
        <v>44601</v>
      </c>
      <c r="Y54" s="384">
        <f t="shared" si="11"/>
        <v>34.634586006986069</v>
      </c>
      <c r="Z54" s="384">
        <f t="shared" si="21"/>
        <v>35.630720229256973</v>
      </c>
      <c r="AA54" s="385">
        <f t="shared" si="12"/>
        <v>37.80157245126388</v>
      </c>
      <c r="AB54" s="196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5.7427564020139772E-2</v>
      </c>
      <c r="AD54" s="230">
        <f>(INDEX(Models!$BJ54:$BT54,,AH54)*(1-AF54)+INDEX(Models!$BJ54:$BT54,,AH54+1)*AF54-ERP_i)*AE54*Ramure*Pc/MaxiM</f>
        <v>2.6745314282780965E-4</v>
      </c>
      <c r="AE54" s="304">
        <f t="shared" si="14"/>
        <v>0.5</v>
      </c>
      <c r="AF54" s="176">
        <f t="shared" si="22"/>
        <v>0.73642463912853018</v>
      </c>
      <c r="AG54" s="814">
        <f t="shared" si="23"/>
        <v>0</v>
      </c>
      <c r="AH54" s="175">
        <f t="shared" si="15"/>
        <v>6</v>
      </c>
      <c r="AI54" s="224">
        <f t="shared" si="24"/>
        <v>0.73642463912853018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44602</v>
      </c>
      <c r="B55" s="1158">
        <v>33.46</v>
      </c>
      <c r="C55" s="843"/>
      <c r="D55" s="392">
        <f t="shared" si="0"/>
        <v>34.42310467606174</v>
      </c>
      <c r="E55" s="384">
        <f t="shared" si="1"/>
        <v>35.38252652119526</v>
      </c>
      <c r="F55" s="384">
        <f t="shared" si="2"/>
        <v>35.390836884509106</v>
      </c>
      <c r="G55" s="110">
        <f t="shared" si="19"/>
        <v>0.92971173557719888</v>
      </c>
      <c r="H55" s="413" t="b">
        <f>Wh_hp&gt;='2021'!Maxi_hp</f>
        <v>1</v>
      </c>
      <c r="I55" s="379">
        <f>IF(H55,Wh_hp,'2021'!Maxi_hp)</f>
        <v>35.390836884509106</v>
      </c>
      <c r="J55" s="85">
        <f>IF(H55,An,'2021'!An_max)</f>
        <v>2022</v>
      </c>
      <c r="K55" s="196">
        <f t="shared" si="3"/>
        <v>44602</v>
      </c>
      <c r="L55" s="147">
        <f>IF(t&lt;Tvie,1-EXP((T0-t)*PertePVj)+'2021'!Pspv,1-EXP((T0-t)*PertePVj)+Pspv)</f>
        <v>2.7978437306135563E-2</v>
      </c>
      <c r="M55" s="847"/>
      <c r="N55" s="847"/>
      <c r="O55" s="48">
        <f>IF(t&lt;Tnet,'2021'!Resal+('2021'!Salim-'2021'!Resal)*(1-EXP(('2021'!Tnet-t)/('2021'!Tau_j))),Resal+(Salim-Resal)*(1-EXP((Tnet-t)/(Tau_j))))*Salcycl</f>
        <v>2.7115696346861798E-2</v>
      </c>
      <c r="P55" s="338">
        <f>(INDEX(Models!$BJ55:$BT55,,T55)*(1-R55)+INDEX(Models!$BJ55:$BT55,,T55+1)*R55-ERP_i)*Q55*Ramure*Pc/MaxiM</f>
        <v>2.6101690020409175E-4</v>
      </c>
      <c r="Q55" s="304">
        <f t="shared" si="4"/>
        <v>0.5</v>
      </c>
      <c r="R55" s="176">
        <f t="shared" si="5"/>
        <v>0.73651072431492759</v>
      </c>
      <c r="S55" s="814">
        <f t="shared" si="6"/>
        <v>0</v>
      </c>
      <c r="T55" s="175">
        <f t="shared" si="7"/>
        <v>6</v>
      </c>
      <c r="U55" s="250">
        <f t="shared" si="20"/>
        <v>0.73651072431492759</v>
      </c>
      <c r="V55" s="382">
        <f t="shared" si="8"/>
        <v>35.988706884727705</v>
      </c>
      <c r="W55" s="401">
        <f t="shared" si="9"/>
        <v>0</v>
      </c>
      <c r="X55" s="157">
        <f t="shared" si="10"/>
        <v>44602</v>
      </c>
      <c r="Y55" s="384">
        <f t="shared" si="11"/>
        <v>32.415203330780322</v>
      </c>
      <c r="Z55" s="384">
        <f t="shared" si="21"/>
        <v>33.348234828191153</v>
      </c>
      <c r="AA55" s="385">
        <f t="shared" si="12"/>
        <v>35.38252652119526</v>
      </c>
      <c r="AB55" s="196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5.7494246256990886E-2</v>
      </c>
      <c r="AD55" s="230">
        <f>(INDEX(Models!$BJ55:$BT55,,AH55)*(1-AF55)+INDEX(Models!$BJ55:$BT55,,AH55+1)*AF55-ERP_i)*AE55*Ramure*Pc/MaxiM</f>
        <v>2.6101690020409175E-4</v>
      </c>
      <c r="AE55" s="304">
        <f t="shared" si="14"/>
        <v>0.5</v>
      </c>
      <c r="AF55" s="176">
        <f t="shared" si="22"/>
        <v>0.73651072431492759</v>
      </c>
      <c r="AG55" s="814">
        <f t="shared" si="23"/>
        <v>0</v>
      </c>
      <c r="AH55" s="175">
        <f t="shared" si="15"/>
        <v>6</v>
      </c>
      <c r="AI55" s="224">
        <f t="shared" si="24"/>
        <v>0.73651072431492759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44603</v>
      </c>
      <c r="B56" s="1158">
        <v>15.57</v>
      </c>
      <c r="C56" s="843"/>
      <c r="D56" s="392">
        <f t="shared" si="0"/>
        <v>16.018513587550466</v>
      </c>
      <c r="E56" s="384">
        <f t="shared" si="1"/>
        <v>16.466635212753118</v>
      </c>
      <c r="F56" s="384">
        <f t="shared" si="2"/>
        <v>16.467407770056141</v>
      </c>
      <c r="G56" s="110">
        <f t="shared" si="19"/>
        <v>0.42821104121417541</v>
      </c>
      <c r="H56" s="413" t="b">
        <f>Wh_hp&gt;='2021'!Maxi_hp</f>
        <v>0</v>
      </c>
      <c r="I56" s="379">
        <f>IF(H56,Wh_hp,'2021'!Maxi_hp)</f>
        <v>33.522126825040729</v>
      </c>
      <c r="J56" s="85">
        <f>IF(H56,An,'2021'!An_max)</f>
        <v>2021</v>
      </c>
      <c r="K56" s="196">
        <f t="shared" si="3"/>
        <v>44603</v>
      </c>
      <c r="L56" s="147">
        <f>IF(t&lt;Tvie,1-EXP((T0-t)*PertePVj)+'2021'!Pspv,1-EXP((T0-t)*PertePVj)+Pspv)</f>
        <v>2.7999700789906413E-2</v>
      </c>
      <c r="M56" s="847"/>
      <c r="N56" s="847"/>
      <c r="O56" s="48">
        <f>IF(t&lt;Tnet,'2021'!Resal+('2021'!Salim-'2021'!Resal)*(1-EXP(('2021'!Tnet-t)/('2021'!Tau_j))),Resal+(Salim-Resal)*(1-EXP((Tnet-t)/(Tau_j))))*Salcycl</f>
        <v>2.7213915861547099E-2</v>
      </c>
      <c r="P56" s="338">
        <f>(INDEX(Models!$BJ56:$BT56,,T56)*(1-R56)+INDEX(Models!$BJ56:$BT56,,T56+1)*R56-ERP_i)*Q56*Ramure*Pc/MaxiM</f>
        <v>2.5596163827735417E-4</v>
      </c>
      <c r="Q56" s="304">
        <f t="shared" si="4"/>
        <v>0.5</v>
      </c>
      <c r="R56" s="176">
        <f t="shared" si="5"/>
        <v>0.73660036813444441</v>
      </c>
      <c r="S56" s="814">
        <f t="shared" si="6"/>
        <v>0</v>
      </c>
      <c r="T56" s="175">
        <f t="shared" si="7"/>
        <v>6</v>
      </c>
      <c r="U56" s="250">
        <f t="shared" si="20"/>
        <v>0.73660036813444441</v>
      </c>
      <c r="V56" s="382">
        <f t="shared" si="8"/>
        <v>36.352974310214584</v>
      </c>
      <c r="W56" s="401">
        <f t="shared" si="9"/>
        <v>0</v>
      </c>
      <c r="X56" s="157">
        <f t="shared" si="10"/>
        <v>44603</v>
      </c>
      <c r="Y56" s="384">
        <f t="shared" si="11"/>
        <v>15.084279097665863</v>
      </c>
      <c r="Z56" s="384">
        <f t="shared" si="21"/>
        <v>15.518800878893005</v>
      </c>
      <c r="AA56" s="385">
        <f t="shared" si="12"/>
        <v>16.466635212753118</v>
      </c>
      <c r="AB56" s="196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5.7560899456012275E-2</v>
      </c>
      <c r="AD56" s="230">
        <f>(INDEX(Models!$BJ56:$BT56,,AH56)*(1-AF56)+INDEX(Models!$BJ56:$BT56,,AH56+1)*AF56-ERP_i)*AE56*Ramure*Pc/MaxiM</f>
        <v>2.5596163827735417E-4</v>
      </c>
      <c r="AE56" s="304">
        <f t="shared" si="14"/>
        <v>0.5</v>
      </c>
      <c r="AF56" s="176">
        <f t="shared" si="22"/>
        <v>0.73660036813444441</v>
      </c>
      <c r="AG56" s="814">
        <f t="shared" si="23"/>
        <v>0</v>
      </c>
      <c r="AH56" s="175">
        <f t="shared" si="15"/>
        <v>6</v>
      </c>
      <c r="AI56" s="224">
        <f t="shared" si="24"/>
        <v>0.73660036813444441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44604</v>
      </c>
      <c r="B57" s="1158">
        <v>27.475000000000001</v>
      </c>
      <c r="C57" s="843"/>
      <c r="D57" s="392">
        <f t="shared" si="0"/>
        <v>28.267070561150845</v>
      </c>
      <c r="E57" s="384">
        <f t="shared" si="1"/>
        <v>29.060780048879796</v>
      </c>
      <c r="F57" s="384">
        <f t="shared" si="2"/>
        <v>29.065475263880423</v>
      </c>
      <c r="G57" s="110">
        <f t="shared" si="19"/>
        <v>0.74820000576118029</v>
      </c>
      <c r="H57" s="413" t="b">
        <f>Wh_hp&gt;='2021'!Maxi_hp</f>
        <v>0</v>
      </c>
      <c r="I57" s="379">
        <f>IF(H57,Wh_hp,'2021'!Maxi_hp)</f>
        <v>38.964390120778035</v>
      </c>
      <c r="J57" s="85">
        <f>IF(H57,An,'2021'!An_max)</f>
        <v>2019</v>
      </c>
      <c r="K57" s="196">
        <f t="shared" si="3"/>
        <v>44604</v>
      </c>
      <c r="L57" s="147">
        <f>IF(t&lt;Tvie,1-EXP((T0-t)*PertePVj)+'2021'!Pspv,1-EXP((T0-t)*PertePVj)+Pspv)</f>
        <v>2.8020963807952361E-2</v>
      </c>
      <c r="M57" s="847"/>
      <c r="N57" s="847"/>
      <c r="O57" s="48">
        <f>IF(t&lt;Tnet,'2021'!Resal+('2021'!Salim-'2021'!Resal)*(1-EXP(('2021'!Tnet-t)/('2021'!Tau_j))),Resal+(Salim-Resal)*(1-EXP((Tnet-t)/(Tau_j))))*Salcycl</f>
        <v>2.7312050343932318E-2</v>
      </c>
      <c r="P57" s="338">
        <f>(INDEX(Models!$BJ57:$BT57,,T57)*(1-R57)+INDEX(Models!$BJ57:$BT57,,T57+1)*R57-ERP_i)*Q57*Ramure*Pc/MaxiM</f>
        <v>2.5225423069173588E-4</v>
      </c>
      <c r="Q57" s="304">
        <f t="shared" si="4"/>
        <v>0.5</v>
      </c>
      <c r="R57" s="176">
        <f t="shared" si="5"/>
        <v>0.73669371540635809</v>
      </c>
      <c r="S57" s="814">
        <f t="shared" si="6"/>
        <v>0</v>
      </c>
      <c r="T57" s="175">
        <f t="shared" si="7"/>
        <v>6</v>
      </c>
      <c r="U57" s="250">
        <f t="shared" si="20"/>
        <v>0.73669371540635809</v>
      </c>
      <c r="V57" s="382">
        <f t="shared" si="8"/>
        <v>36.718132840966142</v>
      </c>
      <c r="W57" s="401">
        <f t="shared" si="9"/>
        <v>0</v>
      </c>
      <c r="X57" s="157">
        <f t="shared" si="10"/>
        <v>44604</v>
      </c>
      <c r="Y57" s="384">
        <f t="shared" si="11"/>
        <v>26.618695101658307</v>
      </c>
      <c r="Z57" s="384">
        <f t="shared" si="21"/>
        <v>27.386079442559989</v>
      </c>
      <c r="AA57" s="385">
        <f t="shared" si="12"/>
        <v>29.060780048879796</v>
      </c>
      <c r="AB57" s="196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5.7627517344785079E-2</v>
      </c>
      <c r="AD57" s="230">
        <f>(INDEX(Models!$BJ57:$BT57,,AH57)*(1-AF57)+INDEX(Models!$BJ57:$BT57,,AH57+1)*AF57-ERP_i)*AE57*Ramure*Pc/MaxiM</f>
        <v>2.5225423069173588E-4</v>
      </c>
      <c r="AE57" s="304">
        <f t="shared" si="14"/>
        <v>0.5</v>
      </c>
      <c r="AF57" s="176">
        <f t="shared" si="22"/>
        <v>0.73669371540635809</v>
      </c>
      <c r="AG57" s="814">
        <f t="shared" si="23"/>
        <v>0</v>
      </c>
      <c r="AH57" s="175">
        <f t="shared" si="15"/>
        <v>6</v>
      </c>
      <c r="AI57" s="224">
        <f t="shared" si="24"/>
        <v>0.73669371540635809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44605</v>
      </c>
      <c r="B58" s="1158">
        <v>33.073</v>
      </c>
      <c r="C58" s="843"/>
      <c r="D58" s="392">
        <f t="shared" si="0"/>
        <v>34.027198399937326</v>
      </c>
      <c r="E58" s="384">
        <f t="shared" si="1"/>
        <v>34.98617278914459</v>
      </c>
      <c r="F58" s="384">
        <f t="shared" si="2"/>
        <v>34.993562112245606</v>
      </c>
      <c r="G58" s="110">
        <f t="shared" si="19"/>
        <v>0.89182587209334874</v>
      </c>
      <c r="H58" s="413" t="b">
        <f>Wh_hp&gt;='2021'!Maxi_hp</f>
        <v>0</v>
      </c>
      <c r="I58" s="379">
        <f>IF(H58,Wh_hp,'2021'!Maxi_hp)</f>
        <v>40.487434831791077</v>
      </c>
      <c r="J58" s="85">
        <f>IF(H58,An,'2021'!An_max)</f>
        <v>2019</v>
      </c>
      <c r="K58" s="196">
        <f t="shared" si="3"/>
        <v>44605</v>
      </c>
      <c r="L58" s="147">
        <f>IF(t&lt;Tvie,1-EXP((T0-t)*PertePVj)+'2021'!Pspv,1-EXP((T0-t)*PertePVj)+Pspv)</f>
        <v>2.804222636028373E-2</v>
      </c>
      <c r="M58" s="847"/>
      <c r="N58" s="847"/>
      <c r="O58" s="48">
        <f>IF(t&lt;Tnet,'2021'!Resal+('2021'!Salim-'2021'!Resal)*(1-EXP(('2021'!Tnet-t)/('2021'!Tau_j))),Resal+(Salim-Resal)*(1-EXP((Tnet-t)/(Tau_j))))*Salcycl</f>
        <v>2.7410096982794653E-2</v>
      </c>
      <c r="P58" s="338">
        <f>(INDEX(Models!$BJ58:$BT58,,T58)*(1-R58)+INDEX(Models!$BJ58:$BT58,,T58+1)*R58-ERP_i)*Q58*Ramure*Pc/MaxiM</f>
        <v>2.4974416019161219E-4</v>
      </c>
      <c r="Q58" s="304">
        <f t="shared" si="4"/>
        <v>0.5</v>
      </c>
      <c r="R58" s="176">
        <f t="shared" si="5"/>
        <v>0.73679091664898155</v>
      </c>
      <c r="S58" s="814">
        <f t="shared" si="6"/>
        <v>0</v>
      </c>
      <c r="T58" s="175">
        <f t="shared" si="7"/>
        <v>6</v>
      </c>
      <c r="U58" s="250">
        <f t="shared" si="20"/>
        <v>0.73679091664898155</v>
      </c>
      <c r="V58" s="382">
        <f t="shared" si="8"/>
        <v>37.083162475354825</v>
      </c>
      <c r="W58" s="401">
        <f t="shared" si="9"/>
        <v>0</v>
      </c>
      <c r="X58" s="157">
        <f t="shared" si="10"/>
        <v>44605</v>
      </c>
      <c r="Y58" s="384">
        <f t="shared" si="11"/>
        <v>32.043190192426273</v>
      </c>
      <c r="Z58" s="384">
        <f t="shared" si="21"/>
        <v>32.967677260744857</v>
      </c>
      <c r="AA58" s="385">
        <f t="shared" si="12"/>
        <v>34.98617278914459</v>
      </c>
      <c r="AB58" s="196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5.769409362278187E-2</v>
      </c>
      <c r="AD58" s="230">
        <f>(INDEX(Models!$BJ58:$BT58,,AH58)*(1-AF58)+INDEX(Models!$BJ58:$BT58,,AH58+1)*AF58-ERP_i)*AE58*Ramure*Pc/MaxiM</f>
        <v>2.4974416019161219E-4</v>
      </c>
      <c r="AE58" s="304">
        <f t="shared" si="14"/>
        <v>0.5</v>
      </c>
      <c r="AF58" s="176">
        <f t="shared" si="22"/>
        <v>0.73679091664898155</v>
      </c>
      <c r="AG58" s="814">
        <f t="shared" si="23"/>
        <v>0</v>
      </c>
      <c r="AH58" s="175">
        <f t="shared" si="15"/>
        <v>6</v>
      </c>
      <c r="AI58" s="224">
        <f t="shared" si="24"/>
        <v>0.73679091664898155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44606</v>
      </c>
      <c r="B59" s="1158">
        <v>18.192</v>
      </c>
      <c r="C59" s="843"/>
      <c r="D59" s="392">
        <f t="shared" si="0"/>
        <v>18.717271944985793</v>
      </c>
      <c r="E59" s="384">
        <f t="shared" si="1"/>
        <v>19.246711504468728</v>
      </c>
      <c r="F59" s="384">
        <f t="shared" si="2"/>
        <v>19.247976869975208</v>
      </c>
      <c r="G59" s="110">
        <f t="shared" si="19"/>
        <v>0.48571735160492241</v>
      </c>
      <c r="H59" s="413" t="b">
        <f>Wh_hp&gt;='2021'!Maxi_hp</f>
        <v>0</v>
      </c>
      <c r="I59" s="379">
        <f>IF(H59,Wh_hp,'2021'!Maxi_hp)</f>
        <v>40.730011197654498</v>
      </c>
      <c r="J59" s="85">
        <f>IF(H59,An,'2021'!An_max)</f>
        <v>2019</v>
      </c>
      <c r="K59" s="196">
        <f t="shared" si="3"/>
        <v>44606</v>
      </c>
      <c r="L59" s="147">
        <f>IF(t&lt;Tvie,1-EXP((T0-t)*PertePVj)+'2021'!Pspv,1-EXP((T0-t)*PertePVj)+Pspv)</f>
        <v>2.8063488446910513E-2</v>
      </c>
      <c r="M59" s="847"/>
      <c r="N59" s="847"/>
      <c r="O59" s="48">
        <f>IF(t&lt;Tnet,'2021'!Resal+('2021'!Salim-'2021'!Resal)*(1-EXP(('2021'!Tnet-t)/('2021'!Tau_j))),Resal+(Salim-Resal)*(1-EXP((Tnet-t)/(Tau_j))))*Salcycl</f>
        <v>2.7508052965827916E-2</v>
      </c>
      <c r="P59" s="338">
        <f>(INDEX(Models!$BJ59:$BT59,,T59)*(1-R59)+INDEX(Models!$BJ59:$BT59,,T59+1)*R59-ERP_i)*Q59*Ramure*Pc/MaxiM</f>
        <v>2.4766795577453035E-4</v>
      </c>
      <c r="Q59" s="304">
        <f t="shared" si="4"/>
        <v>0.5</v>
      </c>
      <c r="R59" s="176">
        <f t="shared" si="5"/>
        <v>0.73689212828737061</v>
      </c>
      <c r="S59" s="814">
        <f t="shared" si="6"/>
        <v>0</v>
      </c>
      <c r="T59" s="175">
        <f t="shared" si="7"/>
        <v>6</v>
      </c>
      <c r="U59" s="250">
        <f t="shared" si="20"/>
        <v>0.73689212828737061</v>
      </c>
      <c r="V59" s="382">
        <f t="shared" si="8"/>
        <v>37.447066884173623</v>
      </c>
      <c r="W59" s="401">
        <f t="shared" si="9"/>
        <v>0</v>
      </c>
      <c r="X59" s="157">
        <f t="shared" si="10"/>
        <v>44606</v>
      </c>
      <c r="Y59" s="384">
        <f t="shared" si="11"/>
        <v>17.626077846644961</v>
      </c>
      <c r="Z59" s="384">
        <f t="shared" si="21"/>
        <v>18.135009475546575</v>
      </c>
      <c r="AA59" s="385">
        <f t="shared" si="12"/>
        <v>19.246711504468728</v>
      </c>
      <c r="AB59" s="196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5.7760622050371323E-2</v>
      </c>
      <c r="AD59" s="230">
        <f>(INDEX(Models!$BJ59:$BT59,,AH59)*(1-AF59)+INDEX(Models!$BJ59:$BT59,,AH59+1)*AF59-ERP_i)*AE59*Ramure*Pc/MaxiM</f>
        <v>2.4766795577453035E-4</v>
      </c>
      <c r="AE59" s="304">
        <f t="shared" si="14"/>
        <v>0.5</v>
      </c>
      <c r="AF59" s="176">
        <f t="shared" si="22"/>
        <v>0.73689212828737061</v>
      </c>
      <c r="AG59" s="814">
        <f t="shared" si="23"/>
        <v>0</v>
      </c>
      <c r="AH59" s="175">
        <f t="shared" si="15"/>
        <v>6</v>
      </c>
      <c r="AI59" s="224">
        <f t="shared" si="24"/>
        <v>0.73689212828737061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44607</v>
      </c>
      <c r="B60" s="1158">
        <v>21.61</v>
      </c>
      <c r="C60" s="843"/>
      <c r="D60" s="392">
        <f t="shared" si="0"/>
        <v>22.234448941415884</v>
      </c>
      <c r="E60" s="384">
        <f t="shared" si="1"/>
        <v>22.865676885920266</v>
      </c>
      <c r="F60" s="384">
        <f t="shared" si="2"/>
        <v>22.867859428411002</v>
      </c>
      <c r="G60" s="110">
        <f t="shared" si="19"/>
        <v>0.57147364431240599</v>
      </c>
      <c r="H60" s="413" t="b">
        <f>Wh_hp&gt;='2021'!Maxi_hp</f>
        <v>0</v>
      </c>
      <c r="I60" s="379">
        <f>IF(H60,Wh_hp,'2021'!Maxi_hp)</f>
        <v>40.824287994702445</v>
      </c>
      <c r="J60" s="85">
        <f>IF(H60,An,'2021'!An_max)</f>
        <v>2019</v>
      </c>
      <c r="K60" s="196">
        <f t="shared" si="3"/>
        <v>44607</v>
      </c>
      <c r="L60" s="147">
        <f>IF(t&lt;Tvie,1-EXP((T0-t)*PertePVj)+'2021'!Pspv,1-EXP((T0-t)*PertePVj)+Pspv)</f>
        <v>2.8084750067843146E-2</v>
      </c>
      <c r="M60" s="847"/>
      <c r="N60" s="847"/>
      <c r="O60" s="48">
        <f>IF(t&lt;Tnet,'2021'!Resal+('2021'!Salim-'2021'!Resal)*(1-EXP(('2021'!Tnet-t)/('2021'!Tau_j))),Resal+(Salim-Resal)*(1-EXP((Tnet-t)/(Tau_j))))*Salcycl</f>
        <v>2.7605915523675709E-2</v>
      </c>
      <c r="P60" s="338">
        <f>(INDEX(Models!$BJ60:$BT60,,T60)*(1-R60)+INDEX(Models!$BJ60:$BT60,,T60+1)*R60-ERP_i)*Q60*Ramure*Pc/MaxiM</f>
        <v>2.4601970095697079E-4</v>
      </c>
      <c r="Q60" s="304">
        <f t="shared" si="4"/>
        <v>0.5</v>
      </c>
      <c r="R60" s="176">
        <f t="shared" si="5"/>
        <v>0.73699751286716886</v>
      </c>
      <c r="S60" s="814">
        <f t="shared" si="6"/>
        <v>0</v>
      </c>
      <c r="T60" s="175">
        <f t="shared" si="7"/>
        <v>6</v>
      </c>
      <c r="U60" s="250">
        <f t="shared" si="20"/>
        <v>0.73699751286716886</v>
      </c>
      <c r="V60" s="382">
        <f t="shared" si="8"/>
        <v>37.808822697643521</v>
      </c>
      <c r="W60" s="401">
        <f t="shared" si="9"/>
        <v>0</v>
      </c>
      <c r="X60" s="157">
        <f t="shared" si="10"/>
        <v>44607</v>
      </c>
      <c r="Y60" s="384">
        <f t="shared" si="11"/>
        <v>20.938379581710194</v>
      </c>
      <c r="Z60" s="384">
        <f t="shared" si="21"/>
        <v>21.543421181190201</v>
      </c>
      <c r="AA60" s="385">
        <f t="shared" si="12"/>
        <v>22.865676885920266</v>
      </c>
      <c r="AB60" s="196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5.782709653980353E-2</v>
      </c>
      <c r="AD60" s="230">
        <f>(INDEX(Models!$BJ60:$BT60,,AH60)*(1-AF60)+INDEX(Models!$BJ60:$BT60,,AH60+1)*AF60-ERP_i)*AE60*Ramure*Pc/MaxiM</f>
        <v>2.4601970095697079E-4</v>
      </c>
      <c r="AE60" s="304">
        <f t="shared" si="14"/>
        <v>0.5</v>
      </c>
      <c r="AF60" s="176">
        <f t="shared" si="22"/>
        <v>0.73699751286716886</v>
      </c>
      <c r="AG60" s="814">
        <f t="shared" si="23"/>
        <v>0</v>
      </c>
      <c r="AH60" s="175">
        <f t="shared" si="15"/>
        <v>6</v>
      </c>
      <c r="AI60" s="224">
        <f t="shared" si="24"/>
        <v>0.73699751286716886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44608</v>
      </c>
      <c r="B61" s="1158">
        <v>9.4450000000000003</v>
      </c>
      <c r="C61" s="843"/>
      <c r="D61" s="392">
        <f t="shared" si="0"/>
        <v>9.7181380984629548</v>
      </c>
      <c r="E61" s="384">
        <f t="shared" si="1"/>
        <v>9.9950374369449744</v>
      </c>
      <c r="F61" s="384">
        <f t="shared" si="2"/>
        <v>9.9950374369449744</v>
      </c>
      <c r="G61" s="110">
        <f t="shared" si="19"/>
        <v>0.24740187122985877</v>
      </c>
      <c r="H61" s="413" t="b">
        <f>Wh_hp&gt;='2021'!Maxi_hp</f>
        <v>0</v>
      </c>
      <c r="I61" s="379">
        <f>IF(H61,Wh_hp,'2021'!Maxi_hp)</f>
        <v>41.302237931814616</v>
      </c>
      <c r="J61" s="85">
        <f>IF(H61,An,'2021'!An_max)</f>
        <v>2019</v>
      </c>
      <c r="K61" s="196">
        <f t="shared" si="3"/>
        <v>44608</v>
      </c>
      <c r="L61" s="147">
        <f>IF(t&lt;Tvie,1-EXP((T0-t)*PertePVj)+'2021'!Pspv,1-EXP((T0-t)*PertePVj)+Pspv)</f>
        <v>2.8106011223091733E-2</v>
      </c>
      <c r="M61" s="847"/>
      <c r="N61" s="847"/>
      <c r="O61" s="48">
        <f>IF(t&lt;Tnet,'2021'!Resal+('2021'!Salim-'2021'!Resal)*(1-EXP(('2021'!Tnet-t)/('2021'!Tau_j))),Resal+(Salim-Resal)*(1-EXP((Tnet-t)/(Tau_j))))*Salcycl</f>
        <v>2.7703681975067708E-2</v>
      </c>
      <c r="P61" s="338">
        <f>(INDEX(Models!$BJ61:$BT61,,T61)*(1-R61)+INDEX(Models!$BJ61:$BT61,,T61+1)*R61-ERP_i)*Q61*Ramure*Pc/MaxiM</f>
        <v>2.4479369087271075E-4</v>
      </c>
      <c r="Q61" s="304">
        <f t="shared" si="4"/>
        <v>0.5</v>
      </c>
      <c r="R61" s="176">
        <f t="shared" si="5"/>
        <v>0.73710723927464172</v>
      </c>
      <c r="S61" s="814">
        <f t="shared" si="6"/>
        <v>0</v>
      </c>
      <c r="T61" s="175">
        <f t="shared" si="7"/>
        <v>6</v>
      </c>
      <c r="U61" s="250">
        <f t="shared" si="20"/>
        <v>0.73710723927464172</v>
      </c>
      <c r="V61" s="382">
        <f t="shared" si="8"/>
        <v>38.167407047687988</v>
      </c>
      <c r="W61" s="401">
        <f t="shared" si="9"/>
        <v>0</v>
      </c>
      <c r="X61" s="157">
        <f t="shared" si="10"/>
        <v>44608</v>
      </c>
      <c r="Y61" s="384">
        <f t="shared" si="11"/>
        <v>9.1517324722008446</v>
      </c>
      <c r="Z61" s="384">
        <f t="shared" si="21"/>
        <v>9.416389624672906</v>
      </c>
      <c r="AA61" s="385">
        <f t="shared" si="12"/>
        <v>9.9950374369449744</v>
      </c>
      <c r="AB61" s="196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5.7893511247210989E-2</v>
      </c>
      <c r="AD61" s="230">
        <f>(INDEX(Models!$BJ61:$BT61,,AH61)*(1-AF61)+INDEX(Models!$BJ61:$BT61,,AH61+1)*AF61-ERP_i)*AE61*Ramure*Pc/MaxiM</f>
        <v>2.4479369087271075E-4</v>
      </c>
      <c r="AE61" s="304">
        <f t="shared" si="14"/>
        <v>0.5</v>
      </c>
      <c r="AF61" s="176">
        <f t="shared" si="22"/>
        <v>0.73710723927464172</v>
      </c>
      <c r="AG61" s="814">
        <f t="shared" si="23"/>
        <v>0</v>
      </c>
      <c r="AH61" s="175">
        <f t="shared" si="15"/>
        <v>6</v>
      </c>
      <c r="AI61" s="224">
        <f t="shared" si="24"/>
        <v>0.73710723927464172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44609</v>
      </c>
      <c r="B62" s="1158">
        <v>11.459</v>
      </c>
      <c r="C62" s="843"/>
      <c r="D62" s="392">
        <f t="shared" si="0"/>
        <v>11.790638494972029</v>
      </c>
      <c r="E62" s="384">
        <f t="shared" si="1"/>
        <v>12.127807925071878</v>
      </c>
      <c r="F62" s="384">
        <f t="shared" si="2"/>
        <v>12.127807925071878</v>
      </c>
      <c r="G62" s="110">
        <f t="shared" si="19"/>
        <v>0.29739536850642062</v>
      </c>
      <c r="H62" s="413" t="b">
        <f>Wh_hp&gt;='2021'!Maxi_hp</f>
        <v>0</v>
      </c>
      <c r="I62" s="379">
        <f>IF(H62,Wh_hp,'2021'!Maxi_hp)</f>
        <v>41.977734594143215</v>
      </c>
      <c r="J62" s="85">
        <f>IF(H62,An,'2021'!An_max)</f>
        <v>2019</v>
      </c>
      <c r="K62" s="196">
        <f t="shared" si="3"/>
        <v>44609</v>
      </c>
      <c r="L62" s="147">
        <f>IF(t&lt;Tvie,1-EXP((T0-t)*PertePVj)+'2021'!Pspv,1-EXP((T0-t)*PertePVj)+Pspv)</f>
        <v>2.8127271912666375E-2</v>
      </c>
      <c r="M62" s="847"/>
      <c r="N62" s="847"/>
      <c r="O62" s="48">
        <f>IF(t&lt;Tnet,'2021'!Resal+('2021'!Salim-'2021'!Resal)*(1-EXP(('2021'!Tnet-t)/('2021'!Tau_j))),Resal+(Salim-Resal)*(1-EXP((Tnet-t)/(Tau_j))))*Salcycl</f>
        <v>2.7801349772601184E-2</v>
      </c>
      <c r="P62" s="338">
        <f>(INDEX(Models!$BJ62:$BT62,,T62)*(1-R62)+INDEX(Models!$BJ62:$BT62,,T62+1)*R62-ERP_i)*Q62*Ramure*Pc/MaxiM</f>
        <v>2.4398453710163033E-4</v>
      </c>
      <c r="Q62" s="304">
        <f t="shared" si="4"/>
        <v>0.5</v>
      </c>
      <c r="R62" s="176">
        <f t="shared" si="5"/>
        <v>0.73722148296293555</v>
      </c>
      <c r="S62" s="814">
        <f t="shared" si="6"/>
        <v>0</v>
      </c>
      <c r="T62" s="175">
        <f t="shared" si="7"/>
        <v>6</v>
      </c>
      <c r="U62" s="250">
        <f t="shared" si="20"/>
        <v>0.73722148296293555</v>
      </c>
      <c r="V62" s="382">
        <f t="shared" si="8"/>
        <v>38.52179756102025</v>
      </c>
      <c r="W62" s="401">
        <f t="shared" si="9"/>
        <v>0</v>
      </c>
      <c r="X62" s="157">
        <f t="shared" si="10"/>
        <v>44609</v>
      </c>
      <c r="Y62" s="384">
        <f t="shared" si="11"/>
        <v>11.103531108707699</v>
      </c>
      <c r="Z62" s="384">
        <f t="shared" si="21"/>
        <v>11.424881867566844</v>
      </c>
      <c r="AA62" s="385">
        <f t="shared" si="12"/>
        <v>12.127807925071878</v>
      </c>
      <c r="AB62" s="196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5.7959860664668815E-2</v>
      </c>
      <c r="AD62" s="230">
        <f>(INDEX(Models!$BJ62:$BT62,,AH62)*(1-AF62)+INDEX(Models!$BJ62:$BT62,,AH62+1)*AF62-ERP_i)*AE62*Ramure*Pc/MaxiM</f>
        <v>2.4398453710163033E-4</v>
      </c>
      <c r="AE62" s="304">
        <f t="shared" si="14"/>
        <v>0.5</v>
      </c>
      <c r="AF62" s="176">
        <f t="shared" si="22"/>
        <v>0.73722148296293555</v>
      </c>
      <c r="AG62" s="814">
        <f t="shared" si="23"/>
        <v>0</v>
      </c>
      <c r="AH62" s="175">
        <f t="shared" si="15"/>
        <v>6</v>
      </c>
      <c r="AI62" s="224">
        <f t="shared" si="24"/>
        <v>0.73722148296293555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44610</v>
      </c>
      <c r="B63" s="1158">
        <v>32.085999999999999</v>
      </c>
      <c r="C63" s="843"/>
      <c r="D63" s="392">
        <f t="shared" si="0"/>
        <v>33.015333166641</v>
      </c>
      <c r="E63" s="384">
        <f t="shared" si="1"/>
        <v>33.962860168229952</v>
      </c>
      <c r="F63" s="384">
        <f t="shared" si="2"/>
        <v>33.969071298955853</v>
      </c>
      <c r="G63" s="110">
        <f t="shared" si="19"/>
        <v>0.82539871719535884</v>
      </c>
      <c r="H63" s="413" t="b">
        <f>Wh_hp&gt;='2021'!Maxi_hp</f>
        <v>0</v>
      </c>
      <c r="I63" s="379">
        <f>IF(H63,Wh_hp,'2021'!Maxi_hp)</f>
        <v>41.235106126634335</v>
      </c>
      <c r="J63" s="85">
        <f>IF(H63,An,'2021'!An_max)</f>
        <v>2019</v>
      </c>
      <c r="K63" s="196">
        <f t="shared" si="3"/>
        <v>44610</v>
      </c>
      <c r="L63" s="147">
        <f>IF(t&lt;Tvie,1-EXP((T0-t)*PertePVj)+'2021'!Pspv,1-EXP((T0-t)*PertePVj)+Pspv)</f>
        <v>2.8148532136577399E-2</v>
      </c>
      <c r="M63" s="847"/>
      <c r="N63" s="847"/>
      <c r="O63" s="48">
        <f>IF(t&lt;Tnet,'2021'!Resal+('2021'!Salim-'2021'!Resal)*(1-EXP(('2021'!Tnet-t)/('2021'!Tau_j))),Resal+(Salim-Resal)*(1-EXP((Tnet-t)/(Tau_j))))*Salcycl</f>
        <v>2.7898916548709966E-2</v>
      </c>
      <c r="P63" s="338">
        <f>(INDEX(Models!$BJ63:$BT63,,T63)*(1-R63)+INDEX(Models!$BJ63:$BT63,,T63+1)*R63-ERP_i)*Q63*Ramure*Pc/MaxiM</f>
        <v>2.4358726456336993E-4</v>
      </c>
      <c r="Q63" s="304">
        <f t="shared" si="4"/>
        <v>0.5</v>
      </c>
      <c r="R63" s="176">
        <f t="shared" si="5"/>
        <v>0.73734042618458451</v>
      </c>
      <c r="S63" s="814">
        <f t="shared" si="6"/>
        <v>0</v>
      </c>
      <c r="T63" s="175">
        <f t="shared" si="7"/>
        <v>6</v>
      </c>
      <c r="U63" s="250">
        <f t="shared" si="20"/>
        <v>0.73734042618458451</v>
      </c>
      <c r="V63" s="382">
        <f t="shared" si="8"/>
        <v>38.870972357559928</v>
      </c>
      <c r="W63" s="401">
        <f t="shared" si="9"/>
        <v>0</v>
      </c>
      <c r="X63" s="157">
        <f t="shared" si="10"/>
        <v>44610</v>
      </c>
      <c r="Y63" s="384">
        <f t="shared" si="11"/>
        <v>31.091595098232659</v>
      </c>
      <c r="Z63" s="384">
        <f t="shared" si="21"/>
        <v>31.992126499110316</v>
      </c>
      <c r="AA63" s="385">
        <f t="shared" si="12"/>
        <v>33.962860168229952</v>
      </c>
      <c r="AB63" s="196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5.8026139711375921E-2</v>
      </c>
      <c r="AD63" s="230">
        <f>(INDEX(Models!$BJ63:$BT63,,AH63)*(1-AF63)+INDEX(Models!$BJ63:$BT63,,AH63+1)*AF63-ERP_i)*AE63*Ramure*Pc/MaxiM</f>
        <v>2.4358726456336993E-4</v>
      </c>
      <c r="AE63" s="304">
        <f t="shared" si="14"/>
        <v>0.5</v>
      </c>
      <c r="AF63" s="176">
        <f t="shared" si="22"/>
        <v>0.73734042618458451</v>
      </c>
      <c r="AG63" s="814">
        <f t="shared" si="23"/>
        <v>0</v>
      </c>
      <c r="AH63" s="175">
        <f t="shared" si="15"/>
        <v>6</v>
      </c>
      <c r="AI63" s="224">
        <f t="shared" si="24"/>
        <v>0.73734042618458451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44611</v>
      </c>
      <c r="B64" s="1158">
        <v>17.446000000000002</v>
      </c>
      <c r="C64" s="843"/>
      <c r="D64" s="392">
        <f t="shared" si="0"/>
        <v>17.951695527159526</v>
      </c>
      <c r="E64" s="384">
        <f t="shared" si="1"/>
        <v>18.468753779064929</v>
      </c>
      <c r="F64" s="384">
        <f t="shared" si="2"/>
        <v>18.469685062672355</v>
      </c>
      <c r="G64" s="110">
        <f t="shared" si="19"/>
        <v>0.44480720427949177</v>
      </c>
      <c r="H64" s="413" t="b">
        <f>Wh_hp&gt;='2021'!Maxi_hp</f>
        <v>0</v>
      </c>
      <c r="I64" s="379">
        <f>IF(H64,Wh_hp,'2021'!Maxi_hp)</f>
        <v>39.639407492619156</v>
      </c>
      <c r="J64" s="85">
        <f>IF(H64,An,'2021'!An_max)</f>
        <v>2021</v>
      </c>
      <c r="K64" s="196">
        <f t="shared" si="3"/>
        <v>44611</v>
      </c>
      <c r="L64" s="147">
        <f>IF(t&lt;Tvie,1-EXP((T0-t)*PertePVj)+'2021'!Pspv,1-EXP((T0-t)*PertePVj)+Pspv)</f>
        <v>2.8169791894834907E-2</v>
      </c>
      <c r="M64" s="847"/>
      <c r="N64" s="847"/>
      <c r="O64" s="48">
        <f>IF(t&lt;Tnet,'2021'!Resal+('2021'!Salim-'2021'!Resal)*(1-EXP(('2021'!Tnet-t)/('2021'!Tau_j))),Resal+(Salim-Resal)*(1-EXP((Tnet-t)/(Tau_j))))*Salcycl</f>
        <v>2.7996380161367924E-2</v>
      </c>
      <c r="P64" s="338">
        <f>(INDEX(Models!$BJ64:$BT64,,T64)*(1-R64)+INDEX(Models!$BJ64:$BT64,,T64+1)*R64-ERP_i)*Q64*Ramure*Pc/MaxiM</f>
        <v>2.435974016621541E-4</v>
      </c>
      <c r="Q64" s="304">
        <f t="shared" si="4"/>
        <v>0.5</v>
      </c>
      <c r="R64" s="176">
        <f t="shared" si="5"/>
        <v>0.73746425823026984</v>
      </c>
      <c r="S64" s="814">
        <f t="shared" si="6"/>
        <v>0</v>
      </c>
      <c r="T64" s="175">
        <f t="shared" si="7"/>
        <v>6</v>
      </c>
      <c r="U64" s="250">
        <f t="shared" si="20"/>
        <v>0.73746425823026984</v>
      </c>
      <c r="V64" s="382">
        <f t="shared" si="8"/>
        <v>39.213910046983386</v>
      </c>
      <c r="W64" s="401">
        <f t="shared" si="9"/>
        <v>0</v>
      </c>
      <c r="X64" s="157">
        <f t="shared" si="10"/>
        <v>44611</v>
      </c>
      <c r="Y64" s="384">
        <f t="shared" si="11"/>
        <v>16.905822812050019</v>
      </c>
      <c r="Z64" s="384">
        <f t="shared" si="21"/>
        <v>17.395860584548306</v>
      </c>
      <c r="AA64" s="385">
        <f t="shared" si="12"/>
        <v>18.468753779064929</v>
      </c>
      <c r="AB64" s="196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5.8092343823046191E-2</v>
      </c>
      <c r="AD64" s="230">
        <f>(INDEX(Models!$BJ64:$BT64,,AH64)*(1-AF64)+INDEX(Models!$BJ64:$BT64,,AH64+1)*AF64-ERP_i)*AE64*Ramure*Pc/MaxiM</f>
        <v>2.435974016621541E-4</v>
      </c>
      <c r="AE64" s="304">
        <f t="shared" si="14"/>
        <v>0.5</v>
      </c>
      <c r="AF64" s="176">
        <f t="shared" si="22"/>
        <v>0.73746425823026984</v>
      </c>
      <c r="AG64" s="814">
        <f t="shared" si="23"/>
        <v>0</v>
      </c>
      <c r="AH64" s="175">
        <f t="shared" si="15"/>
        <v>6</v>
      </c>
      <c r="AI64" s="224">
        <f t="shared" si="24"/>
        <v>0.73746425823026984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44612</v>
      </c>
      <c r="B65" s="1158">
        <v>21.696999999999999</v>
      </c>
      <c r="C65" s="843"/>
      <c r="D65" s="392">
        <f t="shared" si="0"/>
        <v>22.326404821144596</v>
      </c>
      <c r="E65" s="384">
        <f t="shared" si="1"/>
        <v>22.971767660164179</v>
      </c>
      <c r="F65" s="384">
        <f t="shared" si="2"/>
        <v>22.973758251877197</v>
      </c>
      <c r="G65" s="110">
        <f t="shared" si="19"/>
        <v>0.54848981712250189</v>
      </c>
      <c r="H65" s="413" t="b">
        <f>Wh_hp&gt;='2021'!Maxi_hp</f>
        <v>0</v>
      </c>
      <c r="I65" s="379">
        <f>IF(H65,Wh_hp,'2021'!Maxi_hp)</f>
        <v>41.874871627810187</v>
      </c>
      <c r="J65" s="85">
        <f>IF(H65,An,'2021'!An_max)</f>
        <v>2020</v>
      </c>
      <c r="K65" s="196">
        <f t="shared" si="3"/>
        <v>44612</v>
      </c>
      <c r="L65" s="147">
        <f>IF(t&lt;Tvie,1-EXP((T0-t)*PertePVj)+'2021'!Pspv,1-EXP((T0-t)*PertePVj)+Pspv)</f>
        <v>2.8191051187449113E-2</v>
      </c>
      <c r="M65" s="847"/>
      <c r="N65" s="847"/>
      <c r="O65" s="48">
        <f>IF(t&lt;Tnet,'2021'!Resal+('2021'!Salim-'2021'!Resal)*(1-EXP(('2021'!Tnet-t)/('2021'!Tau_j))),Resal+(Salim-Resal)*(1-EXP((Tnet-t)/(Tau_j))))*Salcycl</f>
        <v>2.8093738739083652E-2</v>
      </c>
      <c r="P65" s="338">
        <f>(INDEX(Models!$BJ65:$BT65,,T65)*(1-R65)+INDEX(Models!$BJ65:$BT65,,T65+1)*R65-ERP_i)*Q65*Ramure*Pc/MaxiM</f>
        <v>2.4399938791401789E-4</v>
      </c>
      <c r="Q65" s="304">
        <f t="shared" si="4"/>
        <v>0.5</v>
      </c>
      <c r="R65" s="176">
        <f t="shared" si="5"/>
        <v>0.73759317567381599</v>
      </c>
      <c r="S65" s="814">
        <f t="shared" si="6"/>
        <v>0</v>
      </c>
      <c r="T65" s="175">
        <f t="shared" si="7"/>
        <v>6</v>
      </c>
      <c r="U65" s="250">
        <f t="shared" si="20"/>
        <v>0.73759317567381599</v>
      </c>
      <c r="V65" s="382">
        <f t="shared" si="8"/>
        <v>39.551482885405242</v>
      </c>
      <c r="W65" s="401">
        <f t="shared" si="9"/>
        <v>0</v>
      </c>
      <c r="X65" s="157">
        <f t="shared" si="10"/>
        <v>44612</v>
      </c>
      <c r="Y65" s="384">
        <f t="shared" si="11"/>
        <v>21.025829868362926</v>
      </c>
      <c r="Z65" s="384">
        <f t="shared" si="21"/>
        <v>21.635764821937787</v>
      </c>
      <c r="AA65" s="385">
        <f t="shared" si="12"/>
        <v>22.971767660164179</v>
      </c>
      <c r="AB65" s="196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5.8158469038635724E-2</v>
      </c>
      <c r="AD65" s="230">
        <f>(INDEX(Models!$BJ65:$BT65,,AH65)*(1-AF65)+INDEX(Models!$BJ65:$BT65,,AH65+1)*AF65-ERP_i)*AE65*Ramure*Pc/MaxiM</f>
        <v>2.4399938791401789E-4</v>
      </c>
      <c r="AE65" s="304">
        <f t="shared" si="14"/>
        <v>0.5</v>
      </c>
      <c r="AF65" s="176">
        <f t="shared" si="22"/>
        <v>0.73759317567381599</v>
      </c>
      <c r="AG65" s="814">
        <f t="shared" si="23"/>
        <v>0</v>
      </c>
      <c r="AH65" s="175">
        <f t="shared" si="15"/>
        <v>6</v>
      </c>
      <c r="AI65" s="224">
        <f t="shared" si="24"/>
        <v>0.73759317567381599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44613</v>
      </c>
      <c r="B66" s="1158">
        <v>21.998000000000001</v>
      </c>
      <c r="C66" s="843"/>
      <c r="D66" s="392">
        <f t="shared" si="0"/>
        <v>22.636631670366864</v>
      </c>
      <c r="E66" s="384">
        <f t="shared" si="1"/>
        <v>23.293292667917175</v>
      </c>
      <c r="F66" s="384">
        <f t="shared" si="2"/>
        <v>23.29533986187252</v>
      </c>
      <c r="G66" s="110">
        <f t="shared" si="19"/>
        <v>0.55144291100832665</v>
      </c>
      <c r="H66" s="413" t="b">
        <f>Wh_hp&gt;='2021'!Maxi_hp</f>
        <v>0</v>
      </c>
      <c r="I66" s="379">
        <f>IF(H66,Wh_hp,'2021'!Maxi_hp)</f>
        <v>39.365531433595841</v>
      </c>
      <c r="J66" s="85">
        <f>IF(H66,An,'2021'!An_max)</f>
        <v>2019</v>
      </c>
      <c r="K66" s="196">
        <f t="shared" si="3"/>
        <v>44613</v>
      </c>
      <c r="L66" s="147">
        <f>IF(t&lt;Tvie,1-EXP((T0-t)*PertePVj)+'2021'!Pspv,1-EXP((T0-t)*PertePVj)+Pspv)</f>
        <v>2.8212310014430343E-2</v>
      </c>
      <c r="M66" s="847"/>
      <c r="N66" s="847"/>
      <c r="O66" s="48">
        <f>IF(t&lt;Tnet,'2021'!Resal+('2021'!Salim-'2021'!Resal)*(1-EXP(('2021'!Tnet-t)/('2021'!Tau_j))),Resal+(Salim-Resal)*(1-EXP((Tnet-t)/(Tau_j))))*Salcycl</f>
        <v>2.8190990724757278E-2</v>
      </c>
      <c r="P66" s="338">
        <f>(INDEX(Models!$BJ66:$BT66,,T66)*(1-R66)+INDEX(Models!$BJ66:$BT66,,T66+1)*R66-ERP_i)*Q66*Ramure*Pc/MaxiM</f>
        <v>2.445678323919838E-4</v>
      </c>
      <c r="Q66" s="304">
        <f t="shared" si="4"/>
        <v>0.5</v>
      </c>
      <c r="R66" s="176">
        <f t="shared" si="5"/>
        <v>0.73772738262338799</v>
      </c>
      <c r="S66" s="814">
        <f t="shared" si="6"/>
        <v>0</v>
      </c>
      <c r="T66" s="175">
        <f t="shared" si="7"/>
        <v>6</v>
      </c>
      <c r="U66" s="250">
        <f t="shared" si="20"/>
        <v>0.73772738262338799</v>
      </c>
      <c r="V66" s="382">
        <f t="shared" si="8"/>
        <v>39.88545765767342</v>
      </c>
      <c r="W66" s="401">
        <f t="shared" si="9"/>
        <v>0</v>
      </c>
      <c r="X66" s="157">
        <f t="shared" si="10"/>
        <v>44613</v>
      </c>
      <c r="Y66" s="384">
        <f t="shared" si="11"/>
        <v>21.318157153776514</v>
      </c>
      <c r="Z66" s="384">
        <f t="shared" si="21"/>
        <v>21.937052067507743</v>
      </c>
      <c r="AA66" s="385">
        <f t="shared" si="12"/>
        <v>23.293292667917175</v>
      </c>
      <c r="AB66" s="196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5.8224512083576749E-2</v>
      </c>
      <c r="AD66" s="230">
        <f>(INDEX(Models!$BJ66:$BT66,,AH66)*(1-AF66)+INDEX(Models!$BJ66:$BT66,,AH66+1)*AF66-ERP_i)*AE66*Ramure*Pc/MaxiM</f>
        <v>2.445678323919838E-4</v>
      </c>
      <c r="AE66" s="304">
        <f t="shared" si="14"/>
        <v>0.5</v>
      </c>
      <c r="AF66" s="176">
        <f t="shared" si="22"/>
        <v>0.73772738262338799</v>
      </c>
      <c r="AG66" s="814">
        <f t="shared" si="23"/>
        <v>0</v>
      </c>
      <c r="AH66" s="175">
        <f t="shared" si="15"/>
        <v>6</v>
      </c>
      <c r="AI66" s="224">
        <f t="shared" si="24"/>
        <v>0.73772738262338799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44614</v>
      </c>
      <c r="B67" s="1158">
        <v>36.411999999999999</v>
      </c>
      <c r="C67" s="843"/>
      <c r="D67" s="392">
        <f t="shared" si="0"/>
        <v>37.469909244694684</v>
      </c>
      <c r="E67" s="384">
        <f t="shared" si="1"/>
        <v>38.560720097343143</v>
      </c>
      <c r="F67" s="384">
        <f t="shared" si="2"/>
        <v>38.568887132211124</v>
      </c>
      <c r="G67" s="110">
        <f t="shared" si="19"/>
        <v>0.90537718990296989</v>
      </c>
      <c r="H67" s="413" t="b">
        <f>Wh_hp&gt;='2021'!Maxi_hp</f>
        <v>0</v>
      </c>
      <c r="I67" s="379">
        <f>IF(H67,Wh_hp,'2021'!Maxi_hp)</f>
        <v>40.864561185039193</v>
      </c>
      <c r="J67" s="85">
        <f>IF(H67,An,'2021'!An_max)</f>
        <v>2020</v>
      </c>
      <c r="K67" s="196">
        <f t="shared" si="3"/>
        <v>44614</v>
      </c>
      <c r="L67" s="147">
        <f>IF(t&lt;Tvie,1-EXP((T0-t)*PertePVj)+'2021'!Pspv,1-EXP((T0-t)*PertePVj)+Pspv)</f>
        <v>2.8233568375788699E-2</v>
      </c>
      <c r="M67" s="847"/>
      <c r="N67" s="847"/>
      <c r="O67" s="48">
        <f>IF(t&lt;Tnet,'2021'!Resal+('2021'!Salim-'2021'!Resal)*(1-EXP(('2021'!Tnet-t)/('2021'!Tau_j))),Resal+(Salim-Resal)*(1-EXP((Tnet-t)/(Tau_j))))*Salcycl</f>
        <v>2.828813491798908E-2</v>
      </c>
      <c r="P67" s="338">
        <f>(INDEX(Models!$BJ67:$BT67,,T67)*(1-R67)+INDEX(Models!$BJ67:$BT67,,T67+1)*R67-ERP_i)*Q67*Ramure*Pc/MaxiM</f>
        <v>2.4483742008144221E-4</v>
      </c>
      <c r="Q67" s="304">
        <f t="shared" si="4"/>
        <v>0.5</v>
      </c>
      <c r="R67" s="176">
        <f t="shared" si="5"/>
        <v>0.73786709097882952</v>
      </c>
      <c r="S67" s="814">
        <f t="shared" si="6"/>
        <v>0</v>
      </c>
      <c r="T67" s="175">
        <f t="shared" si="7"/>
        <v>6</v>
      </c>
      <c r="U67" s="250">
        <f t="shared" si="20"/>
        <v>0.73786709097882952</v>
      </c>
      <c r="V67" s="382">
        <f t="shared" si="8"/>
        <v>40.216161220654165</v>
      </c>
      <c r="W67" s="401">
        <f t="shared" si="9"/>
        <v>0</v>
      </c>
      <c r="X67" s="157">
        <f t="shared" si="10"/>
        <v>44614</v>
      </c>
      <c r="Y67" s="384">
        <f t="shared" si="11"/>
        <v>35.287752081864745</v>
      </c>
      <c r="Z67" s="384">
        <f t="shared" si="21"/>
        <v>36.312997582026746</v>
      </c>
      <c r="AA67" s="385">
        <f t="shared" si="12"/>
        <v>38.560720097343143</v>
      </c>
      <c r="AB67" s="196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5.8290470448742179E-2</v>
      </c>
      <c r="AD67" s="230">
        <f>(INDEX(Models!$BJ67:$BT67,,AH67)*(1-AF67)+INDEX(Models!$BJ67:$BT67,,AH67+1)*AF67-ERP_i)*AE67*Ramure*Pc/MaxiM</f>
        <v>2.4483742008144221E-4</v>
      </c>
      <c r="AE67" s="304">
        <f t="shared" si="14"/>
        <v>0.5</v>
      </c>
      <c r="AF67" s="176">
        <f t="shared" si="22"/>
        <v>0.73786709097882952</v>
      </c>
      <c r="AG67" s="814">
        <f t="shared" si="23"/>
        <v>0</v>
      </c>
      <c r="AH67" s="175">
        <f t="shared" si="15"/>
        <v>6</v>
      </c>
      <c r="AI67" s="224">
        <f t="shared" si="24"/>
        <v>0.73786709097882952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44615</v>
      </c>
      <c r="B68" s="1158">
        <v>37.44</v>
      </c>
      <c r="C68" s="843"/>
      <c r="D68" s="392">
        <f t="shared" si="0"/>
        <v>38.528619449013945</v>
      </c>
      <c r="E68" s="384">
        <f t="shared" si="1"/>
        <v>39.654210989609723</v>
      </c>
      <c r="F68" s="384">
        <f t="shared" si="2"/>
        <v>39.662858999159958</v>
      </c>
      <c r="G68" s="110">
        <f t="shared" si="19"/>
        <v>0.92341870548025096</v>
      </c>
      <c r="H68" s="413" t="b">
        <f>Wh_hp&gt;='2021'!Maxi_hp</f>
        <v>0</v>
      </c>
      <c r="I68" s="379">
        <f>IF(H68,Wh_hp,'2021'!Maxi_hp)</f>
        <v>41.700793464247006</v>
      </c>
      <c r="J68" s="85">
        <f>IF(H68,An,'2021'!An_max)</f>
        <v>2020</v>
      </c>
      <c r="K68" s="196">
        <f t="shared" si="3"/>
        <v>44615</v>
      </c>
      <c r="L68" s="147">
        <f>IF(t&lt;Tvie,1-EXP((T0-t)*PertePVj)+'2021'!Pspv,1-EXP((T0-t)*PertePVj)+Pspv)</f>
        <v>2.8254826271534285E-2</v>
      </c>
      <c r="M68" s="847"/>
      <c r="N68" s="847"/>
      <c r="O68" s="48">
        <f>IF(t&lt;Tnet,'2021'!Resal+('2021'!Salim-'2021'!Resal)*(1-EXP(('2021'!Tnet-t)/('2021'!Tau_j))),Resal+(Salim-Resal)*(1-EXP((Tnet-t)/(Tau_j))))*Salcycl</f>
        <v>2.8385170515451905E-2</v>
      </c>
      <c r="P68" s="338">
        <f>(INDEX(Models!$BJ68:$BT68,,T68)*(1-R68)+INDEX(Models!$BJ68:$BT68,,T68+1)*R68-ERP_i)*Q68*Ramure*Pc/MaxiM</f>
        <v>2.4481224029054821E-4</v>
      </c>
      <c r="Q68" s="304">
        <f t="shared" si="4"/>
        <v>0.5</v>
      </c>
      <c r="R68" s="176">
        <f t="shared" si="5"/>
        <v>0.7380125206950563</v>
      </c>
      <c r="S68" s="814">
        <f t="shared" si="6"/>
        <v>0</v>
      </c>
      <c r="T68" s="175">
        <f t="shared" si="7"/>
        <v>6</v>
      </c>
      <c r="U68" s="250">
        <f t="shared" si="20"/>
        <v>0.7380125206950563</v>
      </c>
      <c r="V68" s="382">
        <f t="shared" si="8"/>
        <v>40.543901840831111</v>
      </c>
      <c r="W68" s="401">
        <f t="shared" si="9"/>
        <v>0</v>
      </c>
      <c r="X68" s="157">
        <f t="shared" si="10"/>
        <v>44615</v>
      </c>
      <c r="Y68" s="384">
        <f t="shared" si="11"/>
        <v>36.285097209596088</v>
      </c>
      <c r="Z68" s="384">
        <f t="shared" si="21"/>
        <v>37.340136272943525</v>
      </c>
      <c r="AA68" s="385">
        <f t="shared" si="12"/>
        <v>39.654210989609723</v>
      </c>
      <c r="AB68" s="196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5.835634246442413E-2</v>
      </c>
      <c r="AD68" s="230">
        <f>(INDEX(Models!$BJ68:$BT68,,AH68)*(1-AF68)+INDEX(Models!$BJ68:$BT68,,AH68+1)*AF68-ERP_i)*AE68*Ramure*Pc/MaxiM</f>
        <v>2.4481224029054821E-4</v>
      </c>
      <c r="AE68" s="304">
        <f t="shared" si="14"/>
        <v>0.5</v>
      </c>
      <c r="AF68" s="176">
        <f t="shared" si="22"/>
        <v>0.7380125206950563</v>
      </c>
      <c r="AG68" s="814">
        <f t="shared" si="23"/>
        <v>0</v>
      </c>
      <c r="AH68" s="175">
        <f t="shared" si="15"/>
        <v>6</v>
      </c>
      <c r="AI68" s="224">
        <f t="shared" si="24"/>
        <v>0.7380125206950563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44616</v>
      </c>
      <c r="B69" s="1158">
        <v>22.341999999999999</v>
      </c>
      <c r="C69" s="843"/>
      <c r="D69" s="392">
        <f t="shared" si="0"/>
        <v>22.992127316480428</v>
      </c>
      <c r="E69" s="384">
        <f t="shared" si="1"/>
        <v>23.66619004035573</v>
      </c>
      <c r="F69" s="384">
        <f t="shared" si="2"/>
        <v>23.668229263135206</v>
      </c>
      <c r="G69" s="110">
        <f t="shared" si="19"/>
        <v>0.54658711710433894</v>
      </c>
      <c r="H69" s="413" t="b">
        <f>Wh_hp&gt;='2021'!Maxi_hp</f>
        <v>0</v>
      </c>
      <c r="I69" s="379">
        <f>IF(H69,Wh_hp,'2021'!Maxi_hp)</f>
        <v>41.717998173912889</v>
      </c>
      <c r="J69" s="85">
        <f>IF(H69,An,'2021'!An_max)</f>
        <v>2020</v>
      </c>
      <c r="K69" s="196">
        <f t="shared" si="3"/>
        <v>44616</v>
      </c>
      <c r="L69" s="147">
        <f>IF(t&lt;Tvie,1-EXP((T0-t)*PertePVj)+'2021'!Pspv,1-EXP((T0-t)*PertePVj)+Pspv)</f>
        <v>2.8276083701677536E-2</v>
      </c>
      <c r="M69" s="847"/>
      <c r="N69" s="847"/>
      <c r="O69" s="48">
        <f>IF(t&lt;Tnet,'2021'!Resal+('2021'!Salim-'2021'!Resal)*(1-EXP(('2021'!Tnet-t)/('2021'!Tau_j))),Resal+(Salim-Resal)*(1-EXP((Tnet-t)/(Tau_j))))*Salcycl</f>
        <v>2.8482097148965865E-2</v>
      </c>
      <c r="P69" s="338">
        <f>(INDEX(Models!$BJ69:$BT69,,T69)*(1-R69)+INDEX(Models!$BJ69:$BT69,,T69+1)*R69-ERP_i)*Q69*Ramure*Pc/MaxiM</f>
        <v>2.4449733304119032E-4</v>
      </c>
      <c r="Q69" s="304">
        <f t="shared" si="4"/>
        <v>0.5</v>
      </c>
      <c r="R69" s="176">
        <f t="shared" si="5"/>
        <v>0.73816390005138721</v>
      </c>
      <c r="S69" s="814">
        <f t="shared" si="6"/>
        <v>0</v>
      </c>
      <c r="T69" s="175">
        <f t="shared" si="7"/>
        <v>6</v>
      </c>
      <c r="U69" s="250">
        <f t="shared" si="20"/>
        <v>0.73816390005138721</v>
      </c>
      <c r="V69" s="382">
        <f t="shared" si="8"/>
        <v>40.868987565527782</v>
      </c>
      <c r="W69" s="401">
        <f t="shared" si="9"/>
        <v>0</v>
      </c>
      <c r="X69" s="157">
        <f t="shared" si="10"/>
        <v>44616</v>
      </c>
      <c r="Y69" s="384">
        <f t="shared" si="11"/>
        <v>21.65346903911319</v>
      </c>
      <c r="Z69" s="384">
        <f t="shared" si="21"/>
        <v>22.283560871486777</v>
      </c>
      <c r="AA69" s="385">
        <f t="shared" si="12"/>
        <v>23.66619004035573</v>
      </c>
      <c r="AB69" s="196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5.8422127368675948E-2</v>
      </c>
      <c r="AD69" s="230">
        <f>(INDEX(Models!$BJ69:$BT69,,AH69)*(1-AF69)+INDEX(Models!$BJ69:$BT69,,AH69+1)*AF69-ERP_i)*AE69*Ramure*Pc/MaxiM</f>
        <v>2.4449733304119032E-4</v>
      </c>
      <c r="AE69" s="304">
        <f t="shared" si="14"/>
        <v>0.5</v>
      </c>
      <c r="AF69" s="176">
        <f t="shared" si="22"/>
        <v>0.73816390005138721</v>
      </c>
      <c r="AG69" s="814">
        <f t="shared" si="23"/>
        <v>0</v>
      </c>
      <c r="AH69" s="175">
        <f t="shared" si="15"/>
        <v>6</v>
      </c>
      <c r="AI69" s="224">
        <f t="shared" si="24"/>
        <v>0.73816390005138721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44617</v>
      </c>
      <c r="B70" s="1158">
        <v>31.766000000000002</v>
      </c>
      <c r="C70" s="843"/>
      <c r="D70" s="392">
        <f t="shared" si="0"/>
        <v>32.691070354566818</v>
      </c>
      <c r="E70" s="384">
        <f t="shared" si="1"/>
        <v>33.652831770587255</v>
      </c>
      <c r="F70" s="384">
        <f t="shared" si="2"/>
        <v>33.658357426587166</v>
      </c>
      <c r="G70" s="110">
        <f t="shared" si="19"/>
        <v>0.77111278889359802</v>
      </c>
      <c r="H70" s="413" t="b">
        <f>Wh_hp&gt;='2021'!Maxi_hp</f>
        <v>0</v>
      </c>
      <c r="I70" s="379">
        <f>IF(H70,Wh_hp,'2021'!Maxi_hp)</f>
        <v>42.62355723611401</v>
      </c>
      <c r="J70" s="85">
        <f>IF(H70,An,'2021'!An_max)</f>
        <v>2019</v>
      </c>
      <c r="K70" s="196">
        <f t="shared" si="3"/>
        <v>44617</v>
      </c>
      <c r="L70" s="147">
        <f>IF(t&lt;Tvie,1-EXP((T0-t)*PertePVj)+'2021'!Pspv,1-EXP((T0-t)*PertePVj)+Pspv)</f>
        <v>2.8297340666228445E-2</v>
      </c>
      <c r="M70" s="847"/>
      <c r="N70" s="847"/>
      <c r="O70" s="48">
        <f>IF(t&lt;Tnet,'2021'!Resal+('2021'!Salim-'2021'!Resal)*(1-EXP(('2021'!Tnet-t)/('2021'!Tau_j))),Resal+(Salim-Resal)*(1-EXP((Tnet-t)/(Tau_j))))*Salcycl</f>
        <v>2.8578914920943478E-2</v>
      </c>
      <c r="P70" s="338">
        <f>(INDEX(Models!$BJ70:$BT70,,T70)*(1-R70)+INDEX(Models!$BJ70:$BT70,,T70+1)*R70-ERP_i)*Q70*Ramure*Pc/MaxiM</f>
        <v>2.438975217547323E-4</v>
      </c>
      <c r="Q70" s="304">
        <f t="shared" si="4"/>
        <v>0.5</v>
      </c>
      <c r="R70" s="176">
        <f t="shared" si="5"/>
        <v>0.73832146592666892</v>
      </c>
      <c r="S70" s="814">
        <f t="shared" si="6"/>
        <v>0</v>
      </c>
      <c r="T70" s="175">
        <f t="shared" si="7"/>
        <v>6</v>
      </c>
      <c r="U70" s="250">
        <f t="shared" si="20"/>
        <v>0.73832146592666892</v>
      </c>
      <c r="V70" s="382">
        <f t="shared" si="8"/>
        <v>41.191726272341946</v>
      </c>
      <c r="W70" s="401">
        <f t="shared" si="9"/>
        <v>0</v>
      </c>
      <c r="X70" s="157">
        <f t="shared" si="10"/>
        <v>44617</v>
      </c>
      <c r="Y70" s="384">
        <f t="shared" si="11"/>
        <v>30.787962294312795</v>
      </c>
      <c r="Z70" s="384">
        <f t="shared" si="21"/>
        <v>31.684550822802056</v>
      </c>
      <c r="AA70" s="385">
        <f t="shared" si="12"/>
        <v>33.652831770587255</v>
      </c>
      <c r="AB70" s="196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5.8487825369438556E-2</v>
      </c>
      <c r="AD70" s="230">
        <f>(INDEX(Models!$BJ70:$BT70,,AH70)*(1-AF70)+INDEX(Models!$BJ70:$BT70,,AH70+1)*AF70-ERP_i)*AE70*Ramure*Pc/MaxiM</f>
        <v>2.438975217547323E-4</v>
      </c>
      <c r="AE70" s="304">
        <f t="shared" si="14"/>
        <v>0.5</v>
      </c>
      <c r="AF70" s="176">
        <f t="shared" si="22"/>
        <v>0.73832146592666892</v>
      </c>
      <c r="AG70" s="814">
        <f t="shared" si="23"/>
        <v>0</v>
      </c>
      <c r="AH70" s="175">
        <f t="shared" si="15"/>
        <v>6</v>
      </c>
      <c r="AI70" s="224">
        <f t="shared" si="24"/>
        <v>0.73832146592666892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44618</v>
      </c>
      <c r="B71" s="1159">
        <f>44.39*0.95</f>
        <v>42.170499999999997</v>
      </c>
      <c r="C71" s="843"/>
      <c r="D71" s="392">
        <f t="shared" si="0"/>
        <v>43.399513335308193</v>
      </c>
      <c r="E71" s="384">
        <f t="shared" si="1"/>
        <v>44.680762088513141</v>
      </c>
      <c r="F71" s="384">
        <f t="shared" si="2"/>
        <v>44.691622932804918</v>
      </c>
      <c r="G71" s="110">
        <f t="shared" si="19"/>
        <v>1.0158524665485094</v>
      </c>
      <c r="H71" s="413" t="b">
        <f>Wh_hp&gt;='2021'!Maxi_hp</f>
        <v>1</v>
      </c>
      <c r="I71" s="379">
        <f>IF(H71,Wh_hp,'2021'!Maxi_hp)</f>
        <v>44.691622932804918</v>
      </c>
      <c r="J71" s="85">
        <f>IF(H71,An,'2021'!An_max)</f>
        <v>2022</v>
      </c>
      <c r="K71" s="196">
        <f t="shared" si="3"/>
        <v>44618</v>
      </c>
      <c r="L71" s="147">
        <f>IF(t&lt;Tvie,1-EXP((T0-t)*PertePVj)+'2021'!Pspv,1-EXP((T0-t)*PertePVj)+Pspv)</f>
        <v>2.8318597165197225E-2</v>
      </c>
      <c r="M71" s="847"/>
      <c r="N71" s="847"/>
      <c r="O71" s="48">
        <f>IF(t&lt;Tnet,'2021'!Resal+('2021'!Salim-'2021'!Resal)*(1-EXP(('2021'!Tnet-t)/('2021'!Tau_j))),Resal+(Salim-Resal)*(1-EXP((Tnet-t)/(Tau_j))))*Salcycl</f>
        <v>2.8675624436905994E-2</v>
      </c>
      <c r="P71" s="338">
        <f>(INDEX(Models!$BJ71:$BT71,,T71)*(1-R71)+INDEX(Models!$BJ71:$BT71,,T71+1)*R71-ERP_i)*Q71*Ramure*Pc/MaxiM</f>
        <v>2.4301745112523054E-4</v>
      </c>
      <c r="Q71" s="304">
        <f t="shared" si="4"/>
        <v>0.5</v>
      </c>
      <c r="R71" s="176">
        <f t="shared" si="5"/>
        <v>0.73848546408000804</v>
      </c>
      <c r="S71" s="814">
        <f t="shared" si="6"/>
        <v>0</v>
      </c>
      <c r="T71" s="175">
        <f t="shared" si="7"/>
        <v>6</v>
      </c>
      <c r="U71" s="250">
        <f t="shared" si="20"/>
        <v>0.73848546408000804</v>
      </c>
      <c r="V71" s="382">
        <f t="shared" si="8"/>
        <v>41.512425660863677</v>
      </c>
      <c r="W71" s="401">
        <f t="shared" si="9"/>
        <v>0</v>
      </c>
      <c r="X71" s="157">
        <f t="shared" si="10"/>
        <v>44618</v>
      </c>
      <c r="Y71" s="384">
        <f t="shared" si="11"/>
        <v>40.873340826496623</v>
      </c>
      <c r="Z71" s="384">
        <f t="shared" si="21"/>
        <v>42.064549869177199</v>
      </c>
      <c r="AA71" s="385">
        <f t="shared" si="12"/>
        <v>44.680762088513141</v>
      </c>
      <c r="AB71" s="196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5.8553437699947808E-2</v>
      </c>
      <c r="AD71" s="230">
        <f>(INDEX(Models!$BJ71:$BT71,,AH71)*(1-AF71)+INDEX(Models!$BJ71:$BT71,,AH71+1)*AF71-ERP_i)*AE71*Ramure*Pc/MaxiM</f>
        <v>2.4301745112523054E-4</v>
      </c>
      <c r="AE71" s="304">
        <f t="shared" si="14"/>
        <v>0.5</v>
      </c>
      <c r="AF71" s="176">
        <f t="shared" si="22"/>
        <v>0.73848546408000804</v>
      </c>
      <c r="AG71" s="814">
        <f t="shared" si="23"/>
        <v>0</v>
      </c>
      <c r="AH71" s="175">
        <f t="shared" si="15"/>
        <v>6</v>
      </c>
      <c r="AI71" s="224">
        <f t="shared" si="24"/>
        <v>0.73848546408000804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44619</v>
      </c>
      <c r="B72" s="1158">
        <v>27.762</v>
      </c>
      <c r="C72" s="843"/>
      <c r="D72" s="392">
        <f t="shared" si="0"/>
        <v>28.571718302319319</v>
      </c>
      <c r="E72" s="384">
        <f t="shared" si="1"/>
        <v>29.418143809052342</v>
      </c>
      <c r="F72" s="384">
        <f t="shared" si="2"/>
        <v>29.42184145893901</v>
      </c>
      <c r="G72" s="110">
        <f t="shared" si="19"/>
        <v>0.66358712722707114</v>
      </c>
      <c r="H72" s="413" t="b">
        <f>Wh_hp&gt;='2021'!Maxi_hp</f>
        <v>0</v>
      </c>
      <c r="I72" s="379">
        <f>IF(H72,Wh_hp,'2021'!Maxi_hp)</f>
        <v>43.393091127418728</v>
      </c>
      <c r="J72" s="85">
        <f>IF(H72,An,'2021'!An_max)</f>
        <v>2019</v>
      </c>
      <c r="K72" s="196">
        <f t="shared" si="3"/>
        <v>44619</v>
      </c>
      <c r="L72" s="147">
        <f>IF(t&lt;Tvie,1-EXP((T0-t)*PertePVj)+'2021'!Pspv,1-EXP((T0-t)*PertePVj)+Pspv)</f>
        <v>2.8339853198594202E-2</v>
      </c>
      <c r="M72" s="847"/>
      <c r="N72" s="847"/>
      <c r="O72" s="48">
        <f>IF(t&lt;Tnet,'2021'!Resal+('2021'!Salim-'2021'!Resal)*(1-EXP(('2021'!Tnet-t)/('2021'!Tau_j))),Resal+(Salim-Resal)*(1-EXP((Tnet-t)/(Tau_j))))*Salcycl</f>
        <v>2.8772226834806802E-2</v>
      </c>
      <c r="P72" s="338">
        <f>(INDEX(Models!$BJ72:$BT72,,T72)*(1-R72)+INDEX(Models!$BJ72:$BT72,,T72+1)*R72-ERP_i)*Q72*Ramure*Pc/MaxiM</f>
        <v>2.4190972910379828E-4</v>
      </c>
      <c r="Q72" s="304">
        <f t="shared" si="4"/>
        <v>0.5</v>
      </c>
      <c r="R72" s="176">
        <f t="shared" si="5"/>
        <v>0.73865614943689417</v>
      </c>
      <c r="S72" s="814">
        <f t="shared" si="6"/>
        <v>0</v>
      </c>
      <c r="T72" s="175">
        <f t="shared" si="7"/>
        <v>6</v>
      </c>
      <c r="U72" s="250">
        <f t="shared" si="20"/>
        <v>0.73865614943689417</v>
      </c>
      <c r="V72" s="382">
        <f t="shared" si="8"/>
        <v>41.831391242371609</v>
      </c>
      <c r="W72" s="401">
        <f t="shared" si="9"/>
        <v>0</v>
      </c>
      <c r="X72" s="157">
        <f t="shared" si="10"/>
        <v>44619</v>
      </c>
      <c r="Y72" s="384">
        <f t="shared" si="11"/>
        <v>26.908847717790326</v>
      </c>
      <c r="Z72" s="384">
        <f t="shared" si="21"/>
        <v>27.693682617704532</v>
      </c>
      <c r="AA72" s="385">
        <f t="shared" si="12"/>
        <v>29.418143809052342</v>
      </c>
      <c r="AB72" s="196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5.8618966666998583E-2</v>
      </c>
      <c r="AD72" s="230">
        <f>(INDEX(Models!$BJ72:$BT72,,AH72)*(1-AF72)+INDEX(Models!$BJ72:$BT72,,AH72+1)*AF72-ERP_i)*AE72*Ramure*Pc/MaxiM</f>
        <v>2.4190972910379828E-4</v>
      </c>
      <c r="AE72" s="304">
        <f t="shared" si="14"/>
        <v>0.5</v>
      </c>
      <c r="AF72" s="176">
        <f t="shared" si="22"/>
        <v>0.73865614943689417</v>
      </c>
      <c r="AG72" s="814">
        <f t="shared" si="23"/>
        <v>0</v>
      </c>
      <c r="AH72" s="175">
        <f t="shared" si="15"/>
        <v>6</v>
      </c>
      <c r="AI72" s="224">
        <f t="shared" si="24"/>
        <v>0.73865614943689417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44620</v>
      </c>
      <c r="B73" s="1158">
        <v>37.231999999999999</v>
      </c>
      <c r="C73" s="843"/>
      <c r="D73" s="392">
        <f t="shared" si="0"/>
        <v>38.318762593715348</v>
      </c>
      <c r="E73" s="384">
        <f t="shared" si="1"/>
        <v>39.45786067573345</v>
      </c>
      <c r="F73" s="384">
        <f t="shared" si="2"/>
        <v>39.465776394788492</v>
      </c>
      <c r="G73" s="110">
        <f t="shared" si="19"/>
        <v>0.88330854140975246</v>
      </c>
      <c r="H73" s="413" t="b">
        <f>Wh_hp&gt;='2021'!Maxi_hp</f>
        <v>1</v>
      </c>
      <c r="I73" s="379">
        <f>IF(H73,Wh_hp,'2021'!Maxi_hp)</f>
        <v>39.465776394788492</v>
      </c>
      <c r="J73" s="85">
        <f>IF(H73,An,'2021'!An_max)</f>
        <v>2022</v>
      </c>
      <c r="K73" s="196">
        <f t="shared" si="3"/>
        <v>44620</v>
      </c>
      <c r="L73" s="147">
        <f>IF(t&lt;Tvie,1-EXP((T0-t)*PertePVj)+'2021'!Pspv,1-EXP((T0-t)*PertePVj)+Pspv)</f>
        <v>2.8361108766429478E-2</v>
      </c>
      <c r="M73" s="847"/>
      <c r="N73" s="847"/>
      <c r="O73" s="48">
        <f>IF(t&lt;Tnet,'2021'!Resal+('2021'!Salim-'2021'!Resal)*(1-EXP(('2021'!Tnet-t)/('2021'!Tau_j))),Resal+(Salim-Resal)*(1-EXP((Tnet-t)/(Tau_j))))*Salcycl</f>
        <v>2.8868723810934978E-2</v>
      </c>
      <c r="P73" s="338">
        <f>(INDEX(Models!$BJ73:$BT73,,T73)*(1-R73)+INDEX(Models!$BJ73:$BT73,,T73+1)*R73-ERP_i)*Q73*Ramure*Pc/MaxiM</f>
        <v>2.4068168369708261E-4</v>
      </c>
      <c r="Q73" s="304">
        <f t="shared" si="4"/>
        <v>0.5</v>
      </c>
      <c r="R73" s="176">
        <f t="shared" si="5"/>
        <v>0.73883378638044672</v>
      </c>
      <c r="S73" s="814">
        <f t="shared" si="6"/>
        <v>0</v>
      </c>
      <c r="T73" s="175">
        <f t="shared" si="7"/>
        <v>6</v>
      </c>
      <c r="U73" s="250">
        <f t="shared" si="20"/>
        <v>0.73883378638044672</v>
      </c>
      <c r="V73" s="382">
        <f t="shared" si="8"/>
        <v>42.148925976876725</v>
      </c>
      <c r="W73" s="401">
        <f t="shared" si="9"/>
        <v>0</v>
      </c>
      <c r="X73" s="157">
        <f t="shared" si="10"/>
        <v>44620</v>
      </c>
      <c r="Y73" s="384">
        <f t="shared" si="11"/>
        <v>36.088902390723341</v>
      </c>
      <c r="Z73" s="384">
        <f t="shared" si="21"/>
        <v>37.142299177532607</v>
      </c>
      <c r="AA73" s="385">
        <f t="shared" si="12"/>
        <v>39.45786067573345</v>
      </c>
      <c r="AB73" s="196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5.8684415691723293E-2</v>
      </c>
      <c r="AD73" s="230">
        <f>(INDEX(Models!$BJ73:$BT73,,AH73)*(1-AF73)+INDEX(Models!$BJ73:$BT73,,AH73+1)*AF73-ERP_i)*AE73*Ramure*Pc/MaxiM</f>
        <v>2.4068168369708261E-4</v>
      </c>
      <c r="AE73" s="304">
        <f t="shared" si="14"/>
        <v>0.5</v>
      </c>
      <c r="AF73" s="176">
        <f t="shared" si="22"/>
        <v>0.73883378638044672</v>
      </c>
      <c r="AG73" s="814">
        <f t="shared" si="23"/>
        <v>0</v>
      </c>
      <c r="AH73" s="175">
        <f t="shared" si="15"/>
        <v>6</v>
      </c>
      <c r="AI73" s="224">
        <f t="shared" si="24"/>
        <v>0.73883378638044672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44621</v>
      </c>
      <c r="B74" s="1158">
        <v>40.840000000000003</v>
      </c>
      <c r="C74" s="843"/>
      <c r="D74" s="392">
        <f t="shared" si="0"/>
        <v>42.032995780741089</v>
      </c>
      <c r="E74" s="384">
        <f t="shared" si="1"/>
        <v>43.286803125630193</v>
      </c>
      <c r="F74" s="384">
        <f t="shared" si="2"/>
        <v>43.296598895095009</v>
      </c>
      <c r="G74" s="110">
        <f t="shared" si="19"/>
        <v>0.96171297094062502</v>
      </c>
      <c r="H74" s="413" t="b">
        <f>Wh_hp&gt;='2021'!Maxi_hp</f>
        <v>1</v>
      </c>
      <c r="I74" s="379">
        <f>IF(H74,Wh_hp,'2021'!Maxi_hp)</f>
        <v>43.296598895095009</v>
      </c>
      <c r="J74" s="85">
        <f>IF(H74,An,'2021'!An_max)</f>
        <v>2022</v>
      </c>
      <c r="K74" s="196">
        <f t="shared" si="3"/>
        <v>44621</v>
      </c>
      <c r="L74" s="147">
        <f>IF(t&lt;Tvie,1-EXP((T0-t)*PertePVj)+'2021'!Pspv,1-EXP((T0-t)*PertePVj)+Pspv)</f>
        <v>2.8382363868713269E-2</v>
      </c>
      <c r="M74" s="847"/>
      <c r="N74" s="847"/>
      <c r="O74" s="48">
        <f>IF(t&lt;Tnet,'2021'!Resal+('2021'!Salim-'2021'!Resal)*(1-EXP(('2021'!Tnet-t)/('2021'!Tau_j))),Resal+(Salim-Resal)*(1-EXP((Tnet-t)/(Tau_j))))*Salcycl</f>
        <v>2.8965117642211002E-2</v>
      </c>
      <c r="P74" s="338">
        <f>(INDEX(Models!$BJ74:$BT74,,T74)*(1-R74)+INDEX(Models!$BJ74:$BT74,,T74+1)*R74-ERP_i)*Q74*Ramure*Pc/MaxiM</f>
        <v>2.3933427812068543E-4</v>
      </c>
      <c r="Q74" s="304">
        <f t="shared" si="4"/>
        <v>0.5</v>
      </c>
      <c r="R74" s="176">
        <f t="shared" si="5"/>
        <v>0.73901864904748205</v>
      </c>
      <c r="S74" s="814">
        <f t="shared" si="6"/>
        <v>0</v>
      </c>
      <c r="T74" s="175">
        <f t="shared" si="7"/>
        <v>6</v>
      </c>
      <c r="U74" s="250">
        <f t="shared" si="20"/>
        <v>0.73901864904748205</v>
      </c>
      <c r="V74" s="382">
        <f t="shared" si="8"/>
        <v>42.465337028822525</v>
      </c>
      <c r="W74" s="401">
        <f t="shared" si="9"/>
        <v>0</v>
      </c>
      <c r="X74" s="157">
        <f t="shared" si="10"/>
        <v>44621</v>
      </c>
      <c r="Y74" s="384">
        <f t="shared" si="11"/>
        <v>39.587309685424131</v>
      </c>
      <c r="Z74" s="384">
        <f t="shared" si="21"/>
        <v>40.743712560683718</v>
      </c>
      <c r="AA74" s="385">
        <f t="shared" si="12"/>
        <v>43.286803125630193</v>
      </c>
      <c r="AB74" s="196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5.8749789342625466E-2</v>
      </c>
      <c r="AD74" s="230">
        <f>(INDEX(Models!$BJ74:$BT74,,AH74)*(1-AF74)+INDEX(Models!$BJ74:$BT74,,AH74+1)*AF74-ERP_i)*AE74*Ramure*Pc/MaxiM</f>
        <v>2.3933427812068543E-4</v>
      </c>
      <c r="AE74" s="304">
        <f t="shared" si="14"/>
        <v>0.5</v>
      </c>
      <c r="AF74" s="176">
        <f t="shared" si="22"/>
        <v>0.73901864904748205</v>
      </c>
      <c r="AG74" s="814">
        <f t="shared" si="23"/>
        <v>0</v>
      </c>
      <c r="AH74" s="175">
        <f t="shared" si="15"/>
        <v>6</v>
      </c>
      <c r="AI74" s="224">
        <f t="shared" si="24"/>
        <v>0.73901864904748205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44622</v>
      </c>
      <c r="B75" s="1158">
        <v>16.161999999999999</v>
      </c>
      <c r="C75" s="843"/>
      <c r="D75" s="392">
        <f t="shared" si="0"/>
        <v>16.634479407116597</v>
      </c>
      <c r="E75" s="384">
        <f t="shared" si="1"/>
        <v>17.132370264278418</v>
      </c>
      <c r="F75" s="384">
        <f t="shared" si="2"/>
        <v>17.13282312482924</v>
      </c>
      <c r="G75" s="110">
        <f t="shared" si="19"/>
        <v>0.37770525690807311</v>
      </c>
      <c r="H75" s="413" t="b">
        <f>Wh_hp&gt;='2021'!Maxi_hp</f>
        <v>0</v>
      </c>
      <c r="I75" s="379">
        <f>IF(H75,Wh_hp,'2021'!Maxi_hp)</f>
        <v>29.944510502068969</v>
      </c>
      <c r="J75" s="85">
        <f>IF(H75,An,'2021'!An_max)</f>
        <v>2020</v>
      </c>
      <c r="K75" s="196">
        <f t="shared" si="3"/>
        <v>44622</v>
      </c>
      <c r="L75" s="147">
        <f>IF(t&lt;Tvie,1-EXP((T0-t)*PertePVj)+'2021'!Pspv,1-EXP((T0-t)*PertePVj)+Pspv)</f>
        <v>2.8403618505455676E-2</v>
      </c>
      <c r="M75" s="847"/>
      <c r="N75" s="847"/>
      <c r="O75" s="48">
        <f>IF(t&lt;Tnet,'2021'!Resal+('2021'!Salim-'2021'!Resal)*(1-EXP(('2021'!Tnet-t)/('2021'!Tau_j))),Resal+(Salim-Resal)*(1-EXP((Tnet-t)/(Tau_j))))*Salcycl</f>
        <v>2.906141120472637E-2</v>
      </c>
      <c r="P75" s="338">
        <f>(INDEX(Models!$BJ75:$BT75,,T75)*(1-R75)+INDEX(Models!$BJ75:$BT75,,T75+1)*R75-ERP_i)*Q75*Ramure*Pc/MaxiM</f>
        <v>2.378685258622854E-4</v>
      </c>
      <c r="Q75" s="304">
        <f t="shared" si="4"/>
        <v>0.5</v>
      </c>
      <c r="R75" s="176">
        <f t="shared" si="5"/>
        <v>0.73921102162903896</v>
      </c>
      <c r="S75" s="814">
        <f t="shared" si="6"/>
        <v>0</v>
      </c>
      <c r="T75" s="175">
        <f t="shared" si="7"/>
        <v>6</v>
      </c>
      <c r="U75" s="250">
        <f t="shared" si="20"/>
        <v>0.73921102162903896</v>
      </c>
      <c r="V75" s="382">
        <f t="shared" si="8"/>
        <v>42.780931380886116</v>
      </c>
      <c r="W75" s="401">
        <f t="shared" si="9"/>
        <v>0</v>
      </c>
      <c r="X75" s="157">
        <f t="shared" si="10"/>
        <v>44622</v>
      </c>
      <c r="Y75" s="384">
        <f t="shared" si="11"/>
        <v>15.666727676339027</v>
      </c>
      <c r="Z75" s="384">
        <f t="shared" si="21"/>
        <v>16.124728307694916</v>
      </c>
      <c r="AA75" s="385">
        <f t="shared" si="12"/>
        <v>17.132370264278418</v>
      </c>
      <c r="AB75" s="196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5.8815093360693307E-2</v>
      </c>
      <c r="AD75" s="230">
        <f>(INDEX(Models!$BJ75:$BT75,,AH75)*(1-AF75)+INDEX(Models!$BJ75:$BT75,,AH75+1)*AF75-ERP_i)*AE75*Ramure*Pc/MaxiM</f>
        <v>2.378685258622854E-4</v>
      </c>
      <c r="AE75" s="304">
        <f t="shared" si="14"/>
        <v>0.5</v>
      </c>
      <c r="AF75" s="176">
        <f t="shared" si="22"/>
        <v>0.73921102162903896</v>
      </c>
      <c r="AG75" s="814">
        <f t="shared" si="23"/>
        <v>0</v>
      </c>
      <c r="AH75" s="175">
        <f t="shared" si="15"/>
        <v>6</v>
      </c>
      <c r="AI75" s="224">
        <f t="shared" si="24"/>
        <v>0.73921102162903896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44623</v>
      </c>
      <c r="B76" s="1158">
        <v>37.651000000000003</v>
      </c>
      <c r="C76" s="843"/>
      <c r="D76" s="392">
        <f t="shared" si="0"/>
        <v>38.752535898821989</v>
      </c>
      <c r="E76" s="384">
        <f t="shared" si="1"/>
        <v>39.916402721688875</v>
      </c>
      <c r="F76" s="384">
        <f t="shared" si="2"/>
        <v>39.924133521636918</v>
      </c>
      <c r="G76" s="110">
        <f t="shared" si="19"/>
        <v>0.8736165794579196</v>
      </c>
      <c r="H76" s="413" t="b">
        <f>Wh_hp&gt;='2021'!Maxi_hp</f>
        <v>1</v>
      </c>
      <c r="I76" s="379">
        <f>IF(H76,Wh_hp,'2021'!Maxi_hp)</f>
        <v>39.924133521636918</v>
      </c>
      <c r="J76" s="85">
        <f>IF(H76,An,'2021'!An_max)</f>
        <v>2022</v>
      </c>
      <c r="K76" s="196">
        <f t="shared" si="3"/>
        <v>44623</v>
      </c>
      <c r="L76" s="147">
        <f>IF(t&lt;Tvie,1-EXP((T0-t)*PertePVj)+'2021'!Pspv,1-EXP((T0-t)*PertePVj)+Pspv)</f>
        <v>2.8424872676667136E-2</v>
      </c>
      <c r="M76" s="847"/>
      <c r="N76" s="847"/>
      <c r="O76" s="48">
        <f>IF(t&lt;Tnet,'2021'!Resal+('2021'!Salim-'2021'!Resal)*(1-EXP(('2021'!Tnet-t)/('2021'!Tau_j))),Resal+(Salim-Resal)*(1-EXP((Tnet-t)/(Tau_j))))*Salcycl</f>
        <v>2.9157607988419522E-2</v>
      </c>
      <c r="P76" s="338">
        <f>(INDEX(Models!$BJ76:$BT76,,T76)*(1-R76)+INDEX(Models!$BJ76:$BT76,,T76+1)*R76-ERP_i)*Q76*Ramure*Pc/MaxiM</f>
        <v>2.3628549695420704E-4</v>
      </c>
      <c r="Q76" s="304">
        <f t="shared" si="4"/>
        <v>0.5</v>
      </c>
      <c r="R76" s="176">
        <f t="shared" si="5"/>
        <v>0.73941119867495364</v>
      </c>
      <c r="S76" s="814">
        <f t="shared" si="6"/>
        <v>0</v>
      </c>
      <c r="T76" s="175">
        <f t="shared" si="7"/>
        <v>6</v>
      </c>
      <c r="U76" s="250">
        <f t="shared" si="20"/>
        <v>0.73941119867495364</v>
      </c>
      <c r="V76" s="382">
        <f t="shared" si="8"/>
        <v>43.096015833075043</v>
      </c>
      <c r="W76" s="401">
        <f t="shared" si="9"/>
        <v>0</v>
      </c>
      <c r="X76" s="157">
        <f t="shared" si="10"/>
        <v>44623</v>
      </c>
      <c r="Y76" s="384">
        <f t="shared" si="11"/>
        <v>36.498299632009065</v>
      </c>
      <c r="Z76" s="384">
        <f t="shared" si="21"/>
        <v>37.566111570353847</v>
      </c>
      <c r="AA76" s="385">
        <f t="shared" si="12"/>
        <v>39.916402721688875</v>
      </c>
      <c r="AB76" s="196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5.8880334676500751E-2</v>
      </c>
      <c r="AD76" s="230">
        <f>(INDEX(Models!$BJ76:$BT76,,AH76)*(1-AF76)+INDEX(Models!$BJ76:$BT76,,AH76+1)*AF76-ERP_i)*AE76*Ramure*Pc/MaxiM</f>
        <v>2.3628549695420704E-4</v>
      </c>
      <c r="AE76" s="304">
        <f t="shared" si="14"/>
        <v>0.5</v>
      </c>
      <c r="AF76" s="176">
        <f t="shared" si="22"/>
        <v>0.73941119867495364</v>
      </c>
      <c r="AG76" s="814">
        <f t="shared" si="23"/>
        <v>0</v>
      </c>
      <c r="AH76" s="175">
        <f t="shared" si="15"/>
        <v>6</v>
      </c>
      <c r="AI76" s="224">
        <f t="shared" si="24"/>
        <v>0.73941119867495364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44624</v>
      </c>
      <c r="B77" s="1158">
        <v>5.6139999999999999</v>
      </c>
      <c r="C77" s="843"/>
      <c r="D77" s="392">
        <f t="shared" si="0"/>
        <v>5.7783723089857233</v>
      </c>
      <c r="E77" s="384">
        <f t="shared" si="1"/>
        <v>5.9525051818972594</v>
      </c>
      <c r="F77" s="384">
        <f t="shared" si="2"/>
        <v>5.9525051818972594</v>
      </c>
      <c r="G77" s="110">
        <f t="shared" si="19"/>
        <v>0.12929203080282275</v>
      </c>
      <c r="H77" s="413" t="b">
        <f>Wh_hp&gt;='2021'!Maxi_hp</f>
        <v>0</v>
      </c>
      <c r="I77" s="379">
        <f>IF(H77,Wh_hp,'2021'!Maxi_hp)</f>
        <v>32.295079329869516</v>
      </c>
      <c r="J77" s="85">
        <f>IF(H77,An,'2021'!An_max)</f>
        <v>2021</v>
      </c>
      <c r="K77" s="196">
        <f t="shared" si="3"/>
        <v>44624</v>
      </c>
      <c r="L77" s="147">
        <f>IF(t&lt;Tvie,1-EXP((T0-t)*PertePVj)+'2021'!Pspv,1-EXP((T0-t)*PertePVj)+Pspv)</f>
        <v>2.8446126382357641E-2</v>
      </c>
      <c r="M77" s="847"/>
      <c r="N77" s="847"/>
      <c r="O77" s="48">
        <f>IF(t&lt;Tnet,'2021'!Resal+('2021'!Salim-'2021'!Resal)*(1-EXP(('2021'!Tnet-t)/('2021'!Tau_j))),Resal+(Salim-Resal)*(1-EXP((Tnet-t)/(Tau_j))))*Salcycl</f>
        <v>2.9253712107821097E-2</v>
      </c>
      <c r="P77" s="338">
        <f>(INDEX(Models!$BJ77:$BT77,,T77)*(1-R77)+INDEX(Models!$BJ77:$BT77,,T77+1)*R77-ERP_i)*Q77*Ramure*Pc/MaxiM</f>
        <v>2.3458632283394532E-4</v>
      </c>
      <c r="Q77" s="304">
        <f t="shared" si="4"/>
        <v>0.5</v>
      </c>
      <c r="R77" s="176">
        <f t="shared" si="5"/>
        <v>0.73961948540201261</v>
      </c>
      <c r="S77" s="814">
        <f t="shared" si="6"/>
        <v>0</v>
      </c>
      <c r="T77" s="175">
        <f t="shared" si="7"/>
        <v>6</v>
      </c>
      <c r="U77" s="250">
        <f t="shared" si="20"/>
        <v>0.73961948540201261</v>
      </c>
      <c r="V77" s="382">
        <f t="shared" si="8"/>
        <v>43.41089700217681</v>
      </c>
      <c r="W77" s="401">
        <f t="shared" si="9"/>
        <v>0</v>
      </c>
      <c r="X77" s="157">
        <f t="shared" si="10"/>
        <v>44624</v>
      </c>
      <c r="Y77" s="384">
        <f t="shared" si="11"/>
        <v>5.4422869380458758</v>
      </c>
      <c r="Z77" s="384">
        <f t="shared" si="21"/>
        <v>5.6016316601993221</v>
      </c>
      <c r="AA77" s="385">
        <f t="shared" si="12"/>
        <v>5.9525051818972594</v>
      </c>
      <c r="AB77" s="196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5.8945521419286211E-2</v>
      </c>
      <c r="AD77" s="230">
        <f>(INDEX(Models!$BJ77:$BT77,,AH77)*(1-AF77)+INDEX(Models!$BJ77:$BT77,,AH77+1)*AF77-ERP_i)*AE77*Ramure*Pc/MaxiM</f>
        <v>2.3458632283394532E-4</v>
      </c>
      <c r="AE77" s="304">
        <f t="shared" si="14"/>
        <v>0.5</v>
      </c>
      <c r="AF77" s="176">
        <f t="shared" si="22"/>
        <v>0.73961948540201261</v>
      </c>
      <c r="AG77" s="814">
        <f t="shared" si="23"/>
        <v>0</v>
      </c>
      <c r="AH77" s="175">
        <f t="shared" si="15"/>
        <v>6</v>
      </c>
      <c r="AI77" s="224">
        <f t="shared" si="24"/>
        <v>0.73961948540201261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44625</v>
      </c>
      <c r="B78" s="1158">
        <v>13.116</v>
      </c>
      <c r="C78" s="843"/>
      <c r="D78" s="392">
        <f t="shared" si="0"/>
        <v>13.50031869738366</v>
      </c>
      <c r="E78" s="384">
        <f t="shared" si="1"/>
        <v>13.90853028234581</v>
      </c>
      <c r="F78" s="384">
        <f t="shared" si="2"/>
        <v>13.90853028234581</v>
      </c>
      <c r="G78" s="110">
        <f t="shared" si="19"/>
        <v>0.29988982643756312</v>
      </c>
      <c r="H78" s="413" t="b">
        <f>Wh_hp&gt;='2021'!Maxi_hp</f>
        <v>0</v>
      </c>
      <c r="I78" s="379">
        <f>IF(H78,Wh_hp,'2021'!Maxi_hp)</f>
        <v>45.312703719886137</v>
      </c>
      <c r="J78" s="85">
        <f>IF(H78,An,'2021'!An_max)</f>
        <v>2019</v>
      </c>
      <c r="K78" s="196">
        <f t="shared" si="3"/>
        <v>44625</v>
      </c>
      <c r="L78" s="147">
        <f>IF(t&lt;Tvie,1-EXP((T0-t)*PertePVj)+'2021'!Pspv,1-EXP((T0-t)*PertePVj)+Pspv)</f>
        <v>2.8467379622537405E-2</v>
      </c>
      <c r="M78" s="847"/>
      <c r="N78" s="847"/>
      <c r="O78" s="48">
        <f>IF(t&lt;Tnet,'2021'!Resal+('2021'!Salim-'2021'!Resal)*(1-EXP(('2021'!Tnet-t)/('2021'!Tau_j))),Resal+(Salim-Resal)*(1-EXP((Tnet-t)/(Tau_j))))*Salcycl</f>
        <v>2.9349728308841874E-2</v>
      </c>
      <c r="P78" s="338">
        <f>(INDEX(Models!$BJ78:$BT78,,T78)*(1-R78)+INDEX(Models!$BJ78:$BT78,,T78+1)*R78-ERP_i)*Q78*Ramure*Pc/MaxiM</f>
        <v>2.3277219986179011E-4</v>
      </c>
      <c r="Q78" s="304">
        <f t="shared" si="4"/>
        <v>0.5</v>
      </c>
      <c r="R78" s="176">
        <f t="shared" si="5"/>
        <v>0.73983619800514999</v>
      </c>
      <c r="S78" s="814">
        <f t="shared" si="6"/>
        <v>0</v>
      </c>
      <c r="T78" s="175">
        <f t="shared" si="7"/>
        <v>6</v>
      </c>
      <c r="U78" s="250">
        <f t="shared" si="20"/>
        <v>0.73983619800514999</v>
      </c>
      <c r="V78" s="382">
        <f t="shared" si="8"/>
        <v>43.725881319807691</v>
      </c>
      <c r="W78" s="401">
        <f t="shared" si="9"/>
        <v>0</v>
      </c>
      <c r="X78" s="157">
        <f t="shared" si="10"/>
        <v>44625</v>
      </c>
      <c r="Y78" s="384">
        <f t="shared" si="11"/>
        <v>12.715203925779637</v>
      </c>
      <c r="Z78" s="384">
        <f t="shared" si="21"/>
        <v>13.087778690168417</v>
      </c>
      <c r="AA78" s="385">
        <f t="shared" si="12"/>
        <v>13.90853028234581</v>
      </c>
      <c r="AB78" s="196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5.9010662918078306E-2</v>
      </c>
      <c r="AD78" s="230">
        <f>(INDEX(Models!$BJ78:$BT78,,AH78)*(1-AF78)+INDEX(Models!$BJ78:$BT78,,AH78+1)*AF78-ERP_i)*AE78*Ramure*Pc/MaxiM</f>
        <v>2.3277219986179011E-4</v>
      </c>
      <c r="AE78" s="304">
        <f t="shared" si="14"/>
        <v>0.5</v>
      </c>
      <c r="AF78" s="176">
        <f t="shared" si="22"/>
        <v>0.73983619800514999</v>
      </c>
      <c r="AG78" s="814">
        <f t="shared" si="23"/>
        <v>0</v>
      </c>
      <c r="AH78" s="175">
        <f t="shared" si="15"/>
        <v>6</v>
      </c>
      <c r="AI78" s="224">
        <f t="shared" si="24"/>
        <v>0.73983619800514999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44626</v>
      </c>
      <c r="B79" s="1158">
        <v>20.72</v>
      </c>
      <c r="C79" s="843"/>
      <c r="D79" s="392">
        <f t="shared" ref="D79:D142" si="25">Wh/(1-Ppv)</f>
        <v>21.327593984954454</v>
      </c>
      <c r="E79" s="384">
        <f t="shared" si="1"/>
        <v>21.974652164535204</v>
      </c>
      <c r="F79" s="384">
        <f t="shared" ref="F79:F142" si="26">Wh_sa/(1-Pvg*MEDIAN((-Sdif+Wh/Env_an)/Csdif,0,1))</f>
        <v>21.975887605393641</v>
      </c>
      <c r="G79" s="110">
        <f t="shared" si="19"/>
        <v>0.47038905346588994</v>
      </c>
      <c r="H79" s="413" t="b">
        <f>Wh_hp&gt;='2021'!Maxi_hp</f>
        <v>0</v>
      </c>
      <c r="I79" s="379">
        <f>IF(H79,Wh_hp,'2021'!Maxi_hp)</f>
        <v>24.720173237036324</v>
      </c>
      <c r="J79" s="85">
        <f>IF(H79,An,'2021'!An_max)</f>
        <v>2019</v>
      </c>
      <c r="K79" s="196">
        <f t="shared" ref="K79:K142" si="27">t</f>
        <v>44626</v>
      </c>
      <c r="L79" s="147">
        <f>IF(t&lt;Tvie,1-EXP((T0-t)*PertePVj)+'2021'!Pspv,1-EXP((T0-t)*PertePVj)+Pspv)</f>
        <v>2.8488632397216641E-2</v>
      </c>
      <c r="M79" s="847"/>
      <c r="N79" s="847"/>
      <c r="O79" s="48">
        <f>IF(t&lt;Tnet,'2021'!Resal+('2021'!Salim-'2021'!Resal)*(1-EXP(('2021'!Tnet-t)/('2021'!Tau_j))),Resal+(Salim-Resal)*(1-EXP((Tnet-t)/(Tau_j))))*Salcycl</f>
        <v>2.9445661971616268E-2</v>
      </c>
      <c r="P79" s="338">
        <f>(INDEX(Models!$BJ79:$BT79,,T79)*(1-R79)+INDEX(Models!$BJ79:$BT79,,T79+1)*R79-ERP_i)*Q79*Ramure*Pc/MaxiM</f>
        <v>2.3084608682375174E-4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0.74006166397108897</v>
      </c>
      <c r="S79" s="814">
        <f t="shared" ref="S79:S142" si="30">INDEX(Echel_vg,T79)</f>
        <v>0</v>
      </c>
      <c r="T79" s="175">
        <f t="shared" ref="T79:T142" si="31">MIN(MATCH(Hp_vg,Echel_vg),10)</f>
        <v>6</v>
      </c>
      <c r="U79" s="250">
        <f t="shared" ref="U79:U142" si="32">IF(OR(t&lt;Ttai,Notai),Hdd+PousH*Croivg,Hdtf+PousH*(Croivg-Croi_tai))</f>
        <v>0.74006166397108897</v>
      </c>
      <c r="V79" s="382">
        <f t="shared" ref="V79:V142" si="33">MaxiM*(1-Ppv)*(1-Pvg)*(1-Psa)</f>
        <v>44.04095152801888</v>
      </c>
      <c r="W79" s="401">
        <f t="shared" ref="W79:W142" si="34">Wh*(A79&gt;Tmaj)</f>
        <v>0</v>
      </c>
      <c r="X79" s="157">
        <f t="shared" ref="X79:X142" si="35">t</f>
        <v>44626</v>
      </c>
      <c r="Y79" s="384">
        <f t="shared" ref="Y79:Y142" si="36">Wh_pvt_s*(1-Ppv)</f>
        <v>20.087437959964216</v>
      </c>
      <c r="Z79" s="384">
        <f t="shared" ref="Z79:Z142" si="37">Wh_sa_s*(1-Psa_s)</f>
        <v>20.67648267413507</v>
      </c>
      <c r="AA79" s="385">
        <f t="shared" ref="AA79:AA142" si="38">Wh_hp*(1-Pvg_s*MEDIAN((-Sdif+Wh/Env_an)/Csdif,0,1))</f>
        <v>21.974652164535204</v>
      </c>
      <c r="AB79" s="196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5.9075769695014525E-2</v>
      </c>
      <c r="AD79" s="230">
        <f>(INDEX(Models!$BJ79:$BT79,,AH79)*(1-AF79)+INDEX(Models!$BJ79:$BT79,,AH79+1)*AF79-ERP_i)*AE79*Ramure*Pc/MaxiM</f>
        <v>2.3084608682375174E-4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0.74006166397108897</v>
      </c>
      <c r="AG79" s="814">
        <f t="shared" si="23"/>
        <v>0</v>
      </c>
      <c r="AH79" s="175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0.74006166397108897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8">
        <v>40.277000000000001</v>
      </c>
      <c r="C80" s="843"/>
      <c r="D80" s="392">
        <f t="shared" si="25"/>
        <v>41.458991055022601</v>
      </c>
      <c r="E80" s="384">
        <f t="shared" ref="E80:E143" si="47">Wh_pvt/(1-Psa)</f>
        <v>42.72103533680027</v>
      </c>
      <c r="F80" s="384">
        <f t="shared" si="26"/>
        <v>42.729535510180014</v>
      </c>
      <c r="G80" s="110">
        <f t="shared" ref="G80:G143" si="48">+Wh_hp/MaxiM</f>
        <v>0.9080174791880059</v>
      </c>
      <c r="H80" s="413" t="b">
        <f>Wh_hp&gt;='2021'!Maxi_hp</f>
        <v>1</v>
      </c>
      <c r="I80" s="379">
        <f>IF(H80,Wh_hp,'2021'!Maxi_hp)</f>
        <v>42.729535510180014</v>
      </c>
      <c r="J80" s="85">
        <f>IF(H80,An,'2021'!An_max)</f>
        <v>2022</v>
      </c>
      <c r="K80" s="196">
        <f t="shared" si="27"/>
        <v>44627</v>
      </c>
      <c r="L80" s="147">
        <f>IF(t&lt;Tvie,1-EXP((T0-t)*PertePVj)+'2021'!Pspv,1-EXP((T0-t)*PertePVj)+Pspv)</f>
        <v>2.8509884706405676E-2</v>
      </c>
      <c r="M80" s="847"/>
      <c r="N80" s="847"/>
      <c r="O80" s="48">
        <f>IF(t&lt;Tnet,'2021'!Resal+('2021'!Salim-'2021'!Resal)*(1-EXP(('2021'!Tnet-t)/('2021'!Tau_j))),Resal+(Salim-Resal)*(1-EXP((Tnet-t)/(Tau_j))))*Salcycl</f>
        <v>2.9541519109452241E-2</v>
      </c>
      <c r="P80" s="338">
        <f>(INDEX(Models!$BJ80:$BT80,,T80)*(1-R80)+INDEX(Models!$BJ80:$BT80,,T80+1)*R80-ERP_i)*Q80*Ramure*Pc/MaxiM</f>
        <v>2.2901402083573308E-4</v>
      </c>
      <c r="Q80" s="304">
        <f t="shared" si="28"/>
        <v>0.5</v>
      </c>
      <c r="R80" s="176">
        <f t="shared" si="29"/>
        <v>0.74029622239375026</v>
      </c>
      <c r="S80" s="814">
        <f t="shared" si="30"/>
        <v>0</v>
      </c>
      <c r="T80" s="175">
        <f t="shared" si="31"/>
        <v>6</v>
      </c>
      <c r="U80" s="250">
        <f t="shared" si="32"/>
        <v>0.74029622239375026</v>
      </c>
      <c r="V80" s="382">
        <f t="shared" si="33"/>
        <v>44.355740914206571</v>
      </c>
      <c r="W80" s="401">
        <f t="shared" si="34"/>
        <v>0</v>
      </c>
      <c r="X80" s="157">
        <f t="shared" si="35"/>
        <v>44627</v>
      </c>
      <c r="Y80" s="384">
        <f t="shared" si="36"/>
        <v>39.048536945935723</v>
      </c>
      <c r="Z80" s="384">
        <f t="shared" si="37"/>
        <v>40.194476846668536</v>
      </c>
      <c r="AA80" s="385">
        <f t="shared" si="38"/>
        <v>42.72103533680027</v>
      </c>
      <c r="AB80" s="196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5.9140853451070979E-2</v>
      </c>
      <c r="AD80" s="230">
        <f>(INDEX(Models!$BJ80:$BT80,,AH80)*(1-AF80)+INDEX(Models!$BJ80:$BT80,,AH80+1)*AF80-ERP_i)*AE80*Ramure*Pc/MaxiM</f>
        <v>2.2901402083573308E-4</v>
      </c>
      <c r="AE80" s="304">
        <f t="shared" si="40"/>
        <v>0.5</v>
      </c>
      <c r="AF80" s="176">
        <f t="shared" si="41"/>
        <v>0.74029622239375026</v>
      </c>
      <c r="AG80" s="814">
        <f t="shared" ref="AG80:AG143" si="49">INDEX(Echel_vg,AH80)</f>
        <v>0</v>
      </c>
      <c r="AH80" s="175">
        <f t="shared" si="42"/>
        <v>6</v>
      </c>
      <c r="AI80" s="224">
        <f t="shared" si="43"/>
        <v>0.74029622239375026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8">
        <v>31.704000000000001</v>
      </c>
      <c r="C81" s="843"/>
      <c r="D81" s="392">
        <f t="shared" si="25"/>
        <v>32.635116978852608</v>
      </c>
      <c r="E81" s="384">
        <f t="shared" si="47"/>
        <v>33.631875166764985</v>
      </c>
      <c r="F81" s="384">
        <f t="shared" si="26"/>
        <v>33.636353545695187</v>
      </c>
      <c r="G81" s="110">
        <f t="shared" si="48"/>
        <v>0.70967054405156427</v>
      </c>
      <c r="H81" s="413" t="b">
        <f>Wh_hp&gt;='2021'!Maxi_hp</f>
        <v>1</v>
      </c>
      <c r="I81" s="379">
        <f>IF(H81,Wh_hp,'2021'!Maxi_hp)</f>
        <v>33.636353545695187</v>
      </c>
      <c r="J81" s="85">
        <f>IF(H81,An,'2021'!An_max)</f>
        <v>2022</v>
      </c>
      <c r="K81" s="196">
        <f t="shared" si="27"/>
        <v>44628</v>
      </c>
      <c r="L81" s="147">
        <f>IF(t&lt;Tvie,1-EXP((T0-t)*PertePVj)+'2021'!Pspv,1-EXP((T0-t)*PertePVj)+Pspv)</f>
        <v>2.8531136550114501E-2</v>
      </c>
      <c r="M81" s="847"/>
      <c r="N81" s="847"/>
      <c r="O81" s="48">
        <f>IF(t&lt;Tnet,'2021'!Resal+('2021'!Salim-'2021'!Resal)*(1-EXP(('2021'!Tnet-t)/('2021'!Tau_j))),Resal+(Salim-Resal)*(1-EXP((Tnet-t)/(Tau_j))))*Salcycl</f>
        <v>2.9637306363975144E-2</v>
      </c>
      <c r="P81" s="338">
        <f>(INDEX(Models!$BJ81:$BT81,,T81)*(1-R81)+INDEX(Models!$BJ81:$BT81,,T81+1)*R81-ERP_i)*Q81*Ramure*Pc/MaxiM</f>
        <v>2.2745959520888135E-4</v>
      </c>
      <c r="Q81" s="304">
        <f t="shared" si="28"/>
        <v>0.5</v>
      </c>
      <c r="R81" s="176">
        <f t="shared" si="29"/>
        <v>0.74054022429067634</v>
      </c>
      <c r="S81" s="814">
        <f t="shared" si="30"/>
        <v>0</v>
      </c>
      <c r="T81" s="175">
        <f t="shared" si="31"/>
        <v>6</v>
      </c>
      <c r="U81" s="250">
        <f t="shared" si="32"/>
        <v>0.74054022429067634</v>
      </c>
      <c r="V81" s="382">
        <f t="shared" si="33"/>
        <v>44.6700368106127</v>
      </c>
      <c r="W81" s="401">
        <f t="shared" si="34"/>
        <v>0</v>
      </c>
      <c r="X81" s="157">
        <f t="shared" si="35"/>
        <v>44628</v>
      </c>
      <c r="Y81" s="384">
        <f t="shared" si="36"/>
        <v>30.737924576652528</v>
      </c>
      <c r="Z81" s="384">
        <f t="shared" si="37"/>
        <v>31.640668819272133</v>
      </c>
      <c r="AA81" s="385">
        <f t="shared" si="38"/>
        <v>33.631875166764985</v>
      </c>
      <c r="AB81" s="196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5.9205927044489161E-2</v>
      </c>
      <c r="AD81" s="230">
        <f>(INDEX(Models!$BJ81:$BT81,,AH81)*(1-AF81)+INDEX(Models!$BJ81:$BT81,,AH81+1)*AF81-ERP_i)*AE81*Ramure*Pc/MaxiM</f>
        <v>2.2745959520888135E-4</v>
      </c>
      <c r="AE81" s="304">
        <f t="shared" si="40"/>
        <v>0.5</v>
      </c>
      <c r="AF81" s="176">
        <f t="shared" si="41"/>
        <v>0.74054022429067634</v>
      </c>
      <c r="AG81" s="814">
        <f t="shared" si="49"/>
        <v>0</v>
      </c>
      <c r="AH81" s="175">
        <f t="shared" si="42"/>
        <v>6</v>
      </c>
      <c r="AI81" s="224">
        <f t="shared" si="43"/>
        <v>0.74054022429067634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8">
        <v>30.11</v>
      </c>
      <c r="C82" s="843"/>
      <c r="D82" s="392">
        <f t="shared" si="25"/>
        <v>30.994980713153801</v>
      </c>
      <c r="E82" s="384">
        <f t="shared" si="47"/>
        <v>31.944796332693443</v>
      </c>
      <c r="F82" s="384">
        <f t="shared" si="26"/>
        <v>31.948609179489321</v>
      </c>
      <c r="G82" s="110">
        <f t="shared" si="48"/>
        <v>0.66928301625288089</v>
      </c>
      <c r="H82" s="413" t="b">
        <f>Wh_hp&gt;='2021'!Maxi_hp</f>
        <v>0</v>
      </c>
      <c r="I82" s="379">
        <f>IF(H82,Wh_hp,'2021'!Maxi_hp)</f>
        <v>44.764426477667158</v>
      </c>
      <c r="J82" s="85">
        <f>IF(H82,An,'2021'!An_max)</f>
        <v>2021</v>
      </c>
      <c r="K82" s="196">
        <f t="shared" si="27"/>
        <v>44629</v>
      </c>
      <c r="L82" s="147">
        <f>IF(t&lt;Tvie,1-EXP((T0-t)*PertePVj)+'2021'!Pspv,1-EXP((T0-t)*PertePVj)+Pspv)</f>
        <v>2.8552387928353441E-2</v>
      </c>
      <c r="M82" s="847"/>
      <c r="N82" s="847"/>
      <c r="O82" s="48">
        <f>IF(t&lt;Tnet,'2021'!Resal+('2021'!Salim-'2021'!Resal)*(1-EXP(('2021'!Tnet-t)/('2021'!Tau_j))),Resal+(Salim-Resal)*(1-EXP((Tnet-t)/(Tau_j))))*Salcycl</f>
        <v>2.9733030996587289E-2</v>
      </c>
      <c r="P82" s="338">
        <f>(INDEX(Models!$BJ82:$BT82,,T82)*(1-R82)+INDEX(Models!$BJ82:$BT82,,T82+1)*R82-ERP_i)*Q82*Ramure*Pc/MaxiM</f>
        <v>2.2617885535182442E-4</v>
      </c>
      <c r="Q82" s="304">
        <f t="shared" si="28"/>
        <v>0.5</v>
      </c>
      <c r="R82" s="176">
        <f t="shared" si="29"/>
        <v>0.74079403291962842</v>
      </c>
      <c r="S82" s="814">
        <f t="shared" si="30"/>
        <v>0</v>
      </c>
      <c r="T82" s="175">
        <f t="shared" si="31"/>
        <v>6</v>
      </c>
      <c r="U82" s="250">
        <f t="shared" si="32"/>
        <v>0.74079403291962842</v>
      </c>
      <c r="V82" s="382">
        <f t="shared" si="33"/>
        <v>44.983634816713455</v>
      </c>
      <c r="W82" s="401">
        <f t="shared" si="34"/>
        <v>0</v>
      </c>
      <c r="X82" s="157">
        <f t="shared" si="35"/>
        <v>44629</v>
      </c>
      <c r="Y82" s="384">
        <f t="shared" si="36"/>
        <v>29.19335704557216</v>
      </c>
      <c r="Z82" s="384">
        <f t="shared" si="37"/>
        <v>30.051396166712777</v>
      </c>
      <c r="AA82" s="385">
        <f t="shared" si="38"/>
        <v>31.944796332693443</v>
      </c>
      <c r="AB82" s="196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5.9271004462247597E-2</v>
      </c>
      <c r="AD82" s="230">
        <f>(INDEX(Models!$BJ82:$BT82,,AH82)*(1-AF82)+INDEX(Models!$BJ82:$BT82,,AH82+1)*AF82-ERP_i)*AE82*Ramure*Pc/MaxiM</f>
        <v>2.2617885535182442E-4</v>
      </c>
      <c r="AE82" s="304">
        <f t="shared" si="40"/>
        <v>0.5</v>
      </c>
      <c r="AF82" s="176">
        <f t="shared" si="41"/>
        <v>0.74079403291962842</v>
      </c>
      <c r="AG82" s="814">
        <f t="shared" si="49"/>
        <v>0</v>
      </c>
      <c r="AH82" s="175">
        <f t="shared" si="42"/>
        <v>6</v>
      </c>
      <c r="AI82" s="224">
        <f t="shared" si="43"/>
        <v>0.74079403291962842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8">
        <v>23.623999999999999</v>
      </c>
      <c r="C83" s="843"/>
      <c r="D83" s="392">
        <f t="shared" si="25"/>
        <v>24.318878861612987</v>
      </c>
      <c r="E83" s="384">
        <f t="shared" si="47"/>
        <v>25.06658245155392</v>
      </c>
      <c r="F83" s="384">
        <f t="shared" si="26"/>
        <v>25.068368912421153</v>
      </c>
      <c r="G83" s="110">
        <f t="shared" si="48"/>
        <v>0.52146307646029522</v>
      </c>
      <c r="H83" s="413" t="b">
        <f>Wh_hp&gt;='2021'!Maxi_hp</f>
        <v>0</v>
      </c>
      <c r="I83" s="379">
        <f>IF(H83,Wh_hp,'2021'!Maxi_hp)</f>
        <v>45.253306652586467</v>
      </c>
      <c r="J83" s="85">
        <f>IF(H83,An,'2021'!An_max)</f>
        <v>2021</v>
      </c>
      <c r="K83" s="196">
        <f t="shared" si="27"/>
        <v>44630</v>
      </c>
      <c r="L83" s="147">
        <f>IF(t&lt;Tvie,1-EXP((T0-t)*PertePVj)+'2021'!Pspv,1-EXP((T0-t)*PertePVj)+Pspv)</f>
        <v>2.8573638841132711E-2</v>
      </c>
      <c r="M83" s="847"/>
      <c r="N83" s="847"/>
      <c r="O83" s="48">
        <f>IF(t&lt;Tnet,'2021'!Resal+('2021'!Salim-'2021'!Resal)*(1-EXP(('2021'!Tnet-t)/('2021'!Tau_j))),Resal+(Salim-Resal)*(1-EXP((Tnet-t)/(Tau_j))))*Salcycl</f>
        <v>2.982870087639657E-2</v>
      </c>
      <c r="P83" s="338">
        <f>(INDEX(Models!$BJ83:$BT83,,T83)*(1-R83)+INDEX(Models!$BJ83:$BT83,,T83+1)*R83-ERP_i)*Q83*Ramure*Pc/MaxiM</f>
        <v>2.2516804209943175E-4</v>
      </c>
      <c r="Q83" s="304">
        <f t="shared" si="28"/>
        <v>0.5</v>
      </c>
      <c r="R83" s="176">
        <f t="shared" si="29"/>
        <v>0.74105802409443056</v>
      </c>
      <c r="S83" s="814">
        <f t="shared" si="30"/>
        <v>0</v>
      </c>
      <c r="T83" s="175">
        <f t="shared" si="31"/>
        <v>6</v>
      </c>
      <c r="U83" s="250">
        <f t="shared" si="32"/>
        <v>0.74105802409443056</v>
      </c>
      <c r="V83" s="382">
        <f t="shared" si="33"/>
        <v>45.296330588551413</v>
      </c>
      <c r="W83" s="401">
        <f t="shared" si="34"/>
        <v>0</v>
      </c>
      <c r="X83" s="157">
        <f t="shared" si="35"/>
        <v>44630</v>
      </c>
      <c r="Y83" s="384">
        <f t="shared" si="36"/>
        <v>22.905484809878288</v>
      </c>
      <c r="Z83" s="384">
        <f t="shared" si="37"/>
        <v>23.579229188873452</v>
      </c>
      <c r="AA83" s="385">
        <f t="shared" si="38"/>
        <v>25.06658245155392</v>
      </c>
      <c r="AB83" s="196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5.9336100784982131E-2</v>
      </c>
      <c r="AD83" s="230">
        <f>(INDEX(Models!$BJ83:$BT83,,AH83)*(1-AF83)+INDEX(Models!$BJ83:$BT83,,AH83+1)*AF83-ERP_i)*AE83*Ramure*Pc/MaxiM</f>
        <v>2.2516804209943175E-4</v>
      </c>
      <c r="AE83" s="304">
        <f t="shared" si="40"/>
        <v>0.5</v>
      </c>
      <c r="AF83" s="176">
        <f t="shared" si="41"/>
        <v>0.74105802409443056</v>
      </c>
      <c r="AG83" s="814">
        <f t="shared" si="49"/>
        <v>0</v>
      </c>
      <c r="AH83" s="175">
        <f t="shared" si="42"/>
        <v>6</v>
      </c>
      <c r="AI83" s="224">
        <f t="shared" si="43"/>
        <v>0.74105802409443056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8">
        <v>14.994</v>
      </c>
      <c r="C84" s="843"/>
      <c r="D84" s="392">
        <f t="shared" si="25"/>
        <v>15.435372775645737</v>
      </c>
      <c r="E84" s="384">
        <f t="shared" si="47"/>
        <v>15.911514085877725</v>
      </c>
      <c r="F84" s="384">
        <f t="shared" si="26"/>
        <v>15.911660794320486</v>
      </c>
      <c r="G84" s="110">
        <f t="shared" si="48"/>
        <v>0.3286879398041968</v>
      </c>
      <c r="H84" s="413" t="b">
        <f>Wh_hp&gt;='2021'!Maxi_hp</f>
        <v>0</v>
      </c>
      <c r="I84" s="379">
        <f>IF(H84,Wh_hp,'2021'!Maxi_hp)</f>
        <v>35.768760137724279</v>
      </c>
      <c r="J84" s="85">
        <f>IF(H84,An,'2021'!An_max)</f>
        <v>2021</v>
      </c>
      <c r="K84" s="196">
        <f t="shared" si="27"/>
        <v>44631</v>
      </c>
      <c r="L84" s="147">
        <f>IF(t&lt;Tvie,1-EXP((T0-t)*PertePVj)+'2021'!Pspv,1-EXP((T0-t)*PertePVj)+Pspv)</f>
        <v>2.8594889288462412E-2</v>
      </c>
      <c r="M84" s="847"/>
      <c r="N84" s="847"/>
      <c r="O84" s="48">
        <f>IF(t&lt;Tnet,'2021'!Resal+('2021'!Salim-'2021'!Resal)*(1-EXP(('2021'!Tnet-t)/('2021'!Tau_j))),Resal+(Salim-Resal)*(1-EXP((Tnet-t)/(Tau_j))))*Salcycl</f>
        <v>2.9924324464796644E-2</v>
      </c>
      <c r="P84" s="338">
        <f>(INDEX(Models!$BJ84:$BT84,,T84)*(1-R84)+INDEX(Models!$BJ84:$BT84,,T84+1)*R84-ERP_i)*Q84*Ramure*Pc/MaxiM</f>
        <v>2.2442360234409961E-4</v>
      </c>
      <c r="Q84" s="304">
        <f t="shared" si="28"/>
        <v>0.5</v>
      </c>
      <c r="R84" s="176">
        <f t="shared" si="29"/>
        <v>0.74133258649902944</v>
      </c>
      <c r="S84" s="814">
        <f t="shared" si="30"/>
        <v>0</v>
      </c>
      <c r="T84" s="175">
        <f t="shared" si="31"/>
        <v>6</v>
      </c>
      <c r="U84" s="250">
        <f t="shared" si="32"/>
        <v>0.74133258649902944</v>
      </c>
      <c r="V84" s="382">
        <f t="shared" si="33"/>
        <v>45.60791983766206</v>
      </c>
      <c r="W84" s="401">
        <f t="shared" si="34"/>
        <v>0</v>
      </c>
      <c r="X84" s="157">
        <f t="shared" si="35"/>
        <v>44631</v>
      </c>
      <c r="Y84" s="384">
        <f t="shared" si="36"/>
        <v>14.538389407016888</v>
      </c>
      <c r="Z84" s="384">
        <f t="shared" si="37"/>
        <v>14.966350543871204</v>
      </c>
      <c r="AA84" s="385">
        <f t="shared" si="38"/>
        <v>15.911514085877725</v>
      </c>
      <c r="AB84" s="196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5.9401232145808301E-2</v>
      </c>
      <c r="AD84" s="230">
        <f>(INDEX(Models!$BJ84:$BT84,,AH84)*(1-AF84)+INDEX(Models!$BJ84:$BT84,,AH84+1)*AF84-ERP_i)*AE84*Ramure*Pc/MaxiM</f>
        <v>2.2442360234409961E-4</v>
      </c>
      <c r="AE84" s="304">
        <f t="shared" si="40"/>
        <v>0.5</v>
      </c>
      <c r="AF84" s="176">
        <f t="shared" si="41"/>
        <v>0.74133258649902944</v>
      </c>
      <c r="AG84" s="814">
        <f t="shared" si="49"/>
        <v>0</v>
      </c>
      <c r="AH84" s="175">
        <f t="shared" si="42"/>
        <v>6</v>
      </c>
      <c r="AI84" s="224">
        <f t="shared" si="43"/>
        <v>0.74133258649902944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8">
        <v>14.343999999999999</v>
      </c>
      <c r="C85" s="843"/>
      <c r="D85" s="392">
        <f t="shared" si="25"/>
        <v>14.766561994581235</v>
      </c>
      <c r="E85" s="384">
        <f t="shared" si="47"/>
        <v>15.223572276326831</v>
      </c>
      <c r="F85" s="384">
        <f t="shared" si="26"/>
        <v>15.223632578471896</v>
      </c>
      <c r="G85" s="110">
        <f t="shared" si="48"/>
        <v>0.31231287592965057</v>
      </c>
      <c r="H85" s="413" t="b">
        <f>Wh_hp&gt;='2021'!Maxi_hp</f>
        <v>0</v>
      </c>
      <c r="I85" s="379">
        <f>IF(H85,Wh_hp,'2021'!Maxi_hp)</f>
        <v>43.865300261572678</v>
      </c>
      <c r="J85" s="85">
        <f>IF(H85,An,'2021'!An_max)</f>
        <v>2020</v>
      </c>
      <c r="K85" s="196">
        <f t="shared" si="27"/>
        <v>44632</v>
      </c>
      <c r="L85" s="147">
        <f>IF(t&lt;Tvie,1-EXP((T0-t)*PertePVj)+'2021'!Pspv,1-EXP((T0-t)*PertePVj)+Pspv)</f>
        <v>2.861613927035276E-2</v>
      </c>
      <c r="M85" s="847"/>
      <c r="N85" s="847"/>
      <c r="O85" s="48">
        <f>IF(t&lt;Tnet,'2021'!Resal+('2021'!Salim-'2021'!Resal)*(1-EXP(('2021'!Tnet-t)/('2021'!Tau_j))),Resal+(Salim-Resal)*(1-EXP((Tnet-t)/(Tau_j))))*Salcycl</f>
        <v>3.0019910796906874E-2</v>
      </c>
      <c r="P85" s="338">
        <f>(INDEX(Models!$BJ85:$BT85,,T85)*(1-R85)+INDEX(Models!$BJ85:$BT85,,T85+1)*R85-ERP_i)*Q85*Ramure*Pc/MaxiM</f>
        <v>2.2394219950184815E-4</v>
      </c>
      <c r="Q85" s="304">
        <f t="shared" si="28"/>
        <v>0.5</v>
      </c>
      <c r="R85" s="176">
        <f t="shared" si="29"/>
        <v>0.74161812199864252</v>
      </c>
      <c r="S85" s="814">
        <f t="shared" si="30"/>
        <v>0</v>
      </c>
      <c r="T85" s="175">
        <f t="shared" si="31"/>
        <v>6</v>
      </c>
      <c r="U85" s="250">
        <f t="shared" si="32"/>
        <v>0.74161812199864252</v>
      </c>
      <c r="V85" s="382">
        <f t="shared" si="33"/>
        <v>45.918198331550592</v>
      </c>
      <c r="W85" s="401">
        <f t="shared" si="34"/>
        <v>0</v>
      </c>
      <c r="X85" s="157">
        <f t="shared" si="35"/>
        <v>44632</v>
      </c>
      <c r="Y85" s="384">
        <f t="shared" si="36"/>
        <v>13.908547075970503</v>
      </c>
      <c r="Z85" s="384">
        <f t="shared" si="37"/>
        <v>14.31828099915435</v>
      </c>
      <c r="AA85" s="385">
        <f t="shared" si="38"/>
        <v>15.223572276326831</v>
      </c>
      <c r="AB85" s="196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5.9466415683540962E-2</v>
      </c>
      <c r="AD85" s="230">
        <f>(INDEX(Models!$BJ85:$BT85,,AH85)*(1-AF85)+INDEX(Models!$BJ85:$BT85,,AH85+1)*AF85-ERP_i)*AE85*Ramure*Pc/MaxiM</f>
        <v>2.2394219950184815E-4</v>
      </c>
      <c r="AE85" s="304">
        <f t="shared" si="40"/>
        <v>0.5</v>
      </c>
      <c r="AF85" s="176">
        <f t="shared" si="41"/>
        <v>0.74161812199864252</v>
      </c>
      <c r="AG85" s="814">
        <f t="shared" si="49"/>
        <v>0</v>
      </c>
      <c r="AH85" s="175">
        <f t="shared" si="42"/>
        <v>6</v>
      </c>
      <c r="AI85" s="224">
        <f t="shared" si="43"/>
        <v>0.74161812199864252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8">
        <v>8.7219999999999995</v>
      </c>
      <c r="C86" s="843"/>
      <c r="D86" s="392">
        <f t="shared" si="25"/>
        <v>8.9791390973002692</v>
      </c>
      <c r="E86" s="384">
        <f t="shared" si="47"/>
        <v>9.2579465024583136</v>
      </c>
      <c r="F86" s="384">
        <f t="shared" si="26"/>
        <v>9.2579465024583136</v>
      </c>
      <c r="G86" s="110">
        <f t="shared" si="48"/>
        <v>0.18863555706071927</v>
      </c>
      <c r="H86" s="413" t="b">
        <f>Wh_hp&gt;='2021'!Maxi_hp</f>
        <v>0</v>
      </c>
      <c r="I86" s="379">
        <f>IF(H86,Wh_hp,'2021'!Maxi_hp)</f>
        <v>45.683346556341533</v>
      </c>
      <c r="J86" s="85">
        <f>IF(H86,An,'2021'!An_max)</f>
        <v>2021</v>
      </c>
      <c r="K86" s="196">
        <f t="shared" si="27"/>
        <v>44633</v>
      </c>
      <c r="L86" s="147">
        <f>IF(t&lt;Tvie,1-EXP((T0-t)*PertePVj)+'2021'!Pspv,1-EXP((T0-t)*PertePVj)+Pspv)</f>
        <v>2.8637388786813968E-2</v>
      </c>
      <c r="M86" s="847"/>
      <c r="N86" s="847"/>
      <c r="O86" s="48">
        <f>IF(t&lt;Tnet,'2021'!Resal+('2021'!Salim-'2021'!Resal)*(1-EXP(('2021'!Tnet-t)/('2021'!Tau_j))),Resal+(Salim-Resal)*(1-EXP((Tnet-t)/(Tau_j))))*Salcycl</f>
        <v>3.0115469460102361E-2</v>
      </c>
      <c r="P86" s="338">
        <f>(INDEX(Models!$BJ86:$BT86,,T86)*(1-R86)+INDEX(Models!$BJ86:$BT86,,T86+1)*R86-ERP_i)*Q86*Ramure*Pc/MaxiM</f>
        <v>2.2365642704490069E-4</v>
      </c>
      <c r="Q86" s="304">
        <f t="shared" si="28"/>
        <v>0.5</v>
      </c>
      <c r="R86" s="176">
        <f t="shared" si="29"/>
        <v>0.74191504594675006</v>
      </c>
      <c r="S86" s="814">
        <f t="shared" si="30"/>
        <v>0</v>
      </c>
      <c r="T86" s="175">
        <f t="shared" si="31"/>
        <v>6</v>
      </c>
      <c r="U86" s="250">
        <f t="shared" si="32"/>
        <v>0.74191504594675006</v>
      </c>
      <c r="V86" s="382">
        <f t="shared" si="33"/>
        <v>46.226964865571155</v>
      </c>
      <c r="W86" s="401">
        <f t="shared" si="34"/>
        <v>0</v>
      </c>
      <c r="X86" s="157">
        <f t="shared" si="35"/>
        <v>44633</v>
      </c>
      <c r="Y86" s="384">
        <f t="shared" si="36"/>
        <v>8.4574653171699854</v>
      </c>
      <c r="Z86" s="384">
        <f t="shared" si="37"/>
        <v>8.706805491110071</v>
      </c>
      <c r="AA86" s="385">
        <f t="shared" si="38"/>
        <v>9.2579465024583136</v>
      </c>
      <c r="AB86" s="196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5.9531669490841661E-2</v>
      </c>
      <c r="AD86" s="230">
        <f>(INDEX(Models!$BJ86:$BT86,,AH86)*(1-AF86)+INDEX(Models!$BJ86:$BT86,,AH86+1)*AF86-ERP_i)*AE86*Ramure*Pc/MaxiM</f>
        <v>2.2365642704490069E-4</v>
      </c>
      <c r="AE86" s="304">
        <f t="shared" si="40"/>
        <v>0.5</v>
      </c>
      <c r="AF86" s="176">
        <f t="shared" si="41"/>
        <v>0.74191504594675006</v>
      </c>
      <c r="AG86" s="814">
        <f t="shared" si="49"/>
        <v>0</v>
      </c>
      <c r="AH86" s="175">
        <f t="shared" si="42"/>
        <v>6</v>
      </c>
      <c r="AI86" s="224">
        <f t="shared" si="43"/>
        <v>0.74191504594675006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8">
        <v>11.691000000000001</v>
      </c>
      <c r="C87" s="843"/>
      <c r="D87" s="392">
        <f t="shared" si="25"/>
        <v>12.035933458013753</v>
      </c>
      <c r="E87" s="384">
        <f t="shared" si="47"/>
        <v>12.410878643906345</v>
      </c>
      <c r="F87" s="384">
        <f t="shared" si="26"/>
        <v>12.410878643906345</v>
      </c>
      <c r="G87" s="110">
        <f t="shared" si="48"/>
        <v>0.25117940555143464</v>
      </c>
      <c r="H87" s="413" t="b">
        <f>Wh_hp&gt;='2021'!Maxi_hp</f>
        <v>0</v>
      </c>
      <c r="I87" s="379">
        <f>IF(H87,Wh_hp,'2021'!Maxi_hp)</f>
        <v>40.234319557946243</v>
      </c>
      <c r="J87" s="85">
        <f>IF(H87,An,'2021'!An_max)</f>
        <v>2020</v>
      </c>
      <c r="K87" s="196">
        <f t="shared" si="27"/>
        <v>44634</v>
      </c>
      <c r="L87" s="147">
        <f>IF(t&lt;Tvie,1-EXP((T0-t)*PertePVj)+'2021'!Pspv,1-EXP((T0-t)*PertePVj)+Pspv)</f>
        <v>2.865863783785625E-2</v>
      </c>
      <c r="M87" s="847"/>
      <c r="N87" s="847"/>
      <c r="O87" s="48">
        <f>IF(t&lt;Tnet,'2021'!Resal+('2021'!Salim-'2021'!Resal)*(1-EXP(('2021'!Tnet-t)/('2021'!Tau_j))),Resal+(Salim-Resal)*(1-EXP((Tnet-t)/(Tau_j))))*Salcycl</f>
        <v>3.0211010569883196E-2</v>
      </c>
      <c r="P87" s="338">
        <f>(INDEX(Models!$BJ87:$BT87,,T87)*(1-R87)+INDEX(Models!$BJ87:$BT87,,T87+1)*R87-ERP_i)*Q87*Ramure*Pc/MaxiM</f>
        <v>2.2352130964916196E-4</v>
      </c>
      <c r="Q87" s="304">
        <f t="shared" si="28"/>
        <v>0.5</v>
      </c>
      <c r="R87" s="176">
        <f t="shared" si="29"/>
        <v>0.74222378748657258</v>
      </c>
      <c r="S87" s="814">
        <f t="shared" si="30"/>
        <v>0</v>
      </c>
      <c r="T87" s="175">
        <f t="shared" si="31"/>
        <v>6</v>
      </c>
      <c r="U87" s="250">
        <f t="shared" si="32"/>
        <v>0.74222378748657258</v>
      </c>
      <c r="V87" s="382">
        <f t="shared" si="33"/>
        <v>46.534017335969175</v>
      </c>
      <c r="W87" s="401">
        <f t="shared" si="34"/>
        <v>0</v>
      </c>
      <c r="X87" s="157">
        <f t="shared" si="35"/>
        <v>44634</v>
      </c>
      <c r="Y87" s="384">
        <f t="shared" si="36"/>
        <v>11.336745875663929</v>
      </c>
      <c r="Z87" s="384">
        <f t="shared" si="37"/>
        <v>11.671227353511497</v>
      </c>
      <c r="AA87" s="385">
        <f t="shared" si="38"/>
        <v>12.410878643906345</v>
      </c>
      <c r="AB87" s="196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5.9597012557850784E-2</v>
      </c>
      <c r="AD87" s="230">
        <f>(INDEX(Models!$BJ87:$BT87,,AH87)*(1-AF87)+INDEX(Models!$BJ87:$BT87,,AH87+1)*AF87-ERP_i)*AE87*Ramure*Pc/MaxiM</f>
        <v>2.2352130964916196E-4</v>
      </c>
      <c r="AE87" s="304">
        <f t="shared" si="40"/>
        <v>0.5</v>
      </c>
      <c r="AF87" s="176">
        <f t="shared" si="41"/>
        <v>0.74222378748657258</v>
      </c>
      <c r="AG87" s="814">
        <f t="shared" si="49"/>
        <v>0</v>
      </c>
      <c r="AH87" s="175">
        <f t="shared" si="42"/>
        <v>6</v>
      </c>
      <c r="AI87" s="224">
        <f t="shared" si="43"/>
        <v>0.74222378748657258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8">
        <v>13.9</v>
      </c>
      <c r="C88" s="843"/>
      <c r="D88" s="392">
        <f t="shared" si="25"/>
        <v>14.310421256303067</v>
      </c>
      <c r="E88" s="384">
        <f t="shared" si="47"/>
        <v>14.757675406312261</v>
      </c>
      <c r="F88" s="384">
        <f t="shared" si="26"/>
        <v>14.757675406312261</v>
      </c>
      <c r="G88" s="110">
        <f t="shared" si="48"/>
        <v>0.29669394829696705</v>
      </c>
      <c r="H88" s="413" t="b">
        <f>Wh_hp&gt;='2021'!Maxi_hp</f>
        <v>0</v>
      </c>
      <c r="I88" s="379">
        <f>IF(H88,Wh_hp,'2021'!Maxi_hp)</f>
        <v>34.275990691254492</v>
      </c>
      <c r="J88" s="85">
        <f>IF(H88,An,'2021'!An_max)</f>
        <v>2020</v>
      </c>
      <c r="K88" s="196">
        <f t="shared" si="27"/>
        <v>44635</v>
      </c>
      <c r="L88" s="147">
        <f>IF(t&lt;Tvie,1-EXP((T0-t)*PertePVj)+'2021'!Pspv,1-EXP((T0-t)*PertePVj)+Pspv)</f>
        <v>2.8679886423489821E-2</v>
      </c>
      <c r="M88" s="847"/>
      <c r="N88" s="847"/>
      <c r="O88" s="48">
        <f>IF(t&lt;Tnet,'2021'!Resal+('2021'!Salim-'2021'!Resal)*(1-EXP(('2021'!Tnet-t)/('2021'!Tau_j))),Resal+(Salim-Resal)*(1-EXP((Tnet-t)/(Tau_j))))*Salcycl</f>
        <v>3.0306544743346927E-2</v>
      </c>
      <c r="P88" s="338">
        <f>(INDEX(Models!$BJ88:$BT88,,T88)*(1-R88)+INDEX(Models!$BJ88:$BT88,,T88+1)*R88-ERP_i)*Q88*Ramure*Pc/MaxiM</f>
        <v>2.2353618967506554E-4</v>
      </c>
      <c r="Q88" s="304">
        <f t="shared" si="28"/>
        <v>0.5</v>
      </c>
      <c r="R88" s="176">
        <f t="shared" si="29"/>
        <v>0.74254478984555161</v>
      </c>
      <c r="S88" s="814">
        <f t="shared" si="30"/>
        <v>0</v>
      </c>
      <c r="T88" s="175">
        <f t="shared" si="31"/>
        <v>6</v>
      </c>
      <c r="U88" s="250">
        <f t="shared" si="32"/>
        <v>0.74254478984555161</v>
      </c>
      <c r="V88" s="382">
        <f t="shared" si="33"/>
        <v>46.839151680484669</v>
      </c>
      <c r="W88" s="401">
        <f t="shared" si="34"/>
        <v>0</v>
      </c>
      <c r="X88" s="157">
        <f t="shared" si="35"/>
        <v>44635</v>
      </c>
      <c r="Y88" s="384">
        <f t="shared" si="36"/>
        <v>13.479199709608615</v>
      </c>
      <c r="Z88" s="384">
        <f t="shared" si="37"/>
        <v>13.877196118153758</v>
      </c>
      <c r="AA88" s="385">
        <f t="shared" si="38"/>
        <v>14.757675406312261</v>
      </c>
      <c r="AB88" s="196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5.9662464711881233E-2</v>
      </c>
      <c r="AD88" s="230">
        <f>(INDEX(Models!$BJ88:$BT88,,AH88)*(1-AF88)+INDEX(Models!$BJ88:$BT88,,AH88+1)*AF88-ERP_i)*AE88*Ramure*Pc/MaxiM</f>
        <v>2.2353618967506554E-4</v>
      </c>
      <c r="AE88" s="304">
        <f t="shared" si="40"/>
        <v>0.5</v>
      </c>
      <c r="AF88" s="176">
        <f t="shared" si="41"/>
        <v>0.74254478984555161</v>
      </c>
      <c r="AG88" s="814">
        <f t="shared" si="49"/>
        <v>0</v>
      </c>
      <c r="AH88" s="175">
        <f t="shared" si="42"/>
        <v>6</v>
      </c>
      <c r="AI88" s="224">
        <f t="shared" si="43"/>
        <v>0.74254478984555161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8">
        <v>11.653</v>
      </c>
      <c r="C89" s="843"/>
      <c r="D89" s="392">
        <f t="shared" si="25"/>
        <v>11.997337188822838</v>
      </c>
      <c r="E89" s="384">
        <f t="shared" si="47"/>
        <v>12.373517908140943</v>
      </c>
      <c r="F89" s="384">
        <f t="shared" si="26"/>
        <v>12.373517908140943</v>
      </c>
      <c r="G89" s="110">
        <f t="shared" si="48"/>
        <v>0.24713318725877742</v>
      </c>
      <c r="H89" s="413" t="b">
        <f>Wh_hp&gt;='2021'!Maxi_hp</f>
        <v>0</v>
      </c>
      <c r="I89" s="379">
        <f>IF(H89,Wh_hp,'2021'!Maxi_hp)</f>
        <v>51.528895224299958</v>
      </c>
      <c r="J89" s="85">
        <f>IF(H89,An,'2021'!An_max)</f>
        <v>2020</v>
      </c>
      <c r="K89" s="196">
        <f t="shared" si="27"/>
        <v>44636</v>
      </c>
      <c r="L89" s="147">
        <f>IF(t&lt;Tvie,1-EXP((T0-t)*PertePVj)+'2021'!Pspv,1-EXP((T0-t)*PertePVj)+Pspv)</f>
        <v>2.8701134543724784E-2</v>
      </c>
      <c r="M89" s="847"/>
      <c r="N89" s="847"/>
      <c r="O89" s="48">
        <f>IF(t&lt;Tnet,'2021'!Resal+('2021'!Salim-'2021'!Resal)*(1-EXP(('2021'!Tnet-t)/('2021'!Tau_j))),Resal+(Salim-Resal)*(1-EXP((Tnet-t)/(Tau_j))))*Salcycl</f>
        <v>3.0402083070539185E-2</v>
      </c>
      <c r="P89" s="338">
        <f>(INDEX(Models!$BJ89:$BT89,,T89)*(1-R89)+INDEX(Models!$BJ89:$BT89,,T89+1)*R89-ERP_i)*Q89*Ramure*Pc/MaxiM</f>
        <v>2.2370055963774049E-4</v>
      </c>
      <c r="Q89" s="304">
        <f t="shared" si="28"/>
        <v>0.5</v>
      </c>
      <c r="R89" s="176">
        <f t="shared" si="29"/>
        <v>0.74287851062121468</v>
      </c>
      <c r="S89" s="814">
        <f t="shared" si="30"/>
        <v>0</v>
      </c>
      <c r="T89" s="175">
        <f t="shared" si="31"/>
        <v>6</v>
      </c>
      <c r="U89" s="250">
        <f t="shared" si="32"/>
        <v>0.74287851062121468</v>
      </c>
      <c r="V89" s="382">
        <f t="shared" si="33"/>
        <v>47.142163893913668</v>
      </c>
      <c r="W89" s="401">
        <f t="shared" si="34"/>
        <v>0</v>
      </c>
      <c r="X89" s="157">
        <f t="shared" si="35"/>
        <v>44636</v>
      </c>
      <c r="Y89" s="384">
        <f t="shared" si="36"/>
        <v>11.300549312448812</v>
      </c>
      <c r="Z89" s="384">
        <f t="shared" si="37"/>
        <v>11.6344718544897</v>
      </c>
      <c r="AA89" s="385">
        <f t="shared" si="38"/>
        <v>12.373517908140943</v>
      </c>
      <c r="AB89" s="196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5.9728046553761398E-2</v>
      </c>
      <c r="AD89" s="230">
        <f>(INDEX(Models!$BJ89:$BT89,,AH89)*(1-AF89)+INDEX(Models!$BJ89:$BT89,,AH89+1)*AF89-ERP_i)*AE89*Ramure*Pc/MaxiM</f>
        <v>2.2370055963774049E-4</v>
      </c>
      <c r="AE89" s="304">
        <f t="shared" si="40"/>
        <v>0.5</v>
      </c>
      <c r="AF89" s="176">
        <f t="shared" si="41"/>
        <v>0.74287851062121468</v>
      </c>
      <c r="AG89" s="814">
        <f t="shared" si="49"/>
        <v>0</v>
      </c>
      <c r="AH89" s="175">
        <f t="shared" si="42"/>
        <v>6</v>
      </c>
      <c r="AI89" s="224">
        <f t="shared" si="43"/>
        <v>0.74287851062121468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8">
        <v>10.284000000000001</v>
      </c>
      <c r="C90" s="843"/>
      <c r="D90" s="392">
        <f t="shared" si="25"/>
        <v>10.588115911986863</v>
      </c>
      <c r="E90" s="384">
        <f t="shared" si="47"/>
        <v>10.92118628792228</v>
      </c>
      <c r="F90" s="384">
        <f t="shared" si="26"/>
        <v>10.92118628792228</v>
      </c>
      <c r="G90" s="110">
        <f t="shared" si="48"/>
        <v>0.21671750818443677</v>
      </c>
      <c r="H90" s="413" t="b">
        <f>Wh_hp&gt;='2021'!Maxi_hp</f>
        <v>0</v>
      </c>
      <c r="I90" s="379">
        <f>IF(H90,Wh_hp,'2021'!Maxi_hp)</f>
        <v>25.74376126702278</v>
      </c>
      <c r="J90" s="85">
        <f>IF(H90,An,'2021'!An_max)</f>
        <v>2021</v>
      </c>
      <c r="K90" s="196">
        <f t="shared" si="27"/>
        <v>44637</v>
      </c>
      <c r="L90" s="147">
        <f>IF(t&lt;Tvie,1-EXP((T0-t)*PertePVj)+'2021'!Pspv,1-EXP((T0-t)*PertePVj)+Pspv)</f>
        <v>2.8722382198571351E-2</v>
      </c>
      <c r="M90" s="847"/>
      <c r="N90" s="847"/>
      <c r="O90" s="48">
        <f>IF(t&lt;Tnet,'2021'!Resal+('2021'!Salim-'2021'!Resal)*(1-EXP(('2021'!Tnet-t)/('2021'!Tau_j))),Resal+(Salim-Resal)*(1-EXP((Tnet-t)/(Tau_j))))*Salcycl</f>
        <v>3.0497637083963986E-2</v>
      </c>
      <c r="P90" s="338">
        <f>(INDEX(Models!$BJ90:$BT90,,T90)*(1-R90)+INDEX(Models!$BJ90:$BT90,,T90+1)*R90-ERP_i)*Q90*Ramure*Pc/MaxiM</f>
        <v>2.2401406730638448E-4</v>
      </c>
      <c r="Q90" s="304">
        <f t="shared" si="28"/>
        <v>0.5</v>
      </c>
      <c r="R90" s="176">
        <f t="shared" si="29"/>
        <v>0.7432254220566733</v>
      </c>
      <c r="S90" s="814">
        <f t="shared" si="30"/>
        <v>0</v>
      </c>
      <c r="T90" s="175">
        <f t="shared" si="31"/>
        <v>6</v>
      </c>
      <c r="U90" s="250">
        <f t="shared" si="32"/>
        <v>0.7432254220566733</v>
      </c>
      <c r="V90" s="382">
        <f t="shared" si="33"/>
        <v>47.442850028441704</v>
      </c>
      <c r="W90" s="401">
        <f t="shared" si="34"/>
        <v>0</v>
      </c>
      <c r="X90" s="157">
        <f t="shared" si="35"/>
        <v>44637</v>
      </c>
      <c r="Y90" s="384">
        <f t="shared" si="36"/>
        <v>9.973241059110288</v>
      </c>
      <c r="Z90" s="384">
        <f t="shared" si="37"/>
        <v>10.268167284329671</v>
      </c>
      <c r="AA90" s="385">
        <f t="shared" si="38"/>
        <v>10.92118628792228</v>
      </c>
      <c r="AB90" s="196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5.9793779391418451E-2</v>
      </c>
      <c r="AD90" s="230">
        <f>(INDEX(Models!$BJ90:$BT90,,AH90)*(1-AF90)+INDEX(Models!$BJ90:$BT90,,AH90+1)*AF90-ERP_i)*AE90*Ramure*Pc/MaxiM</f>
        <v>2.2401406730638448E-4</v>
      </c>
      <c r="AE90" s="304">
        <f t="shared" si="40"/>
        <v>0.5</v>
      </c>
      <c r="AF90" s="176">
        <f t="shared" si="41"/>
        <v>0.7432254220566733</v>
      </c>
      <c r="AG90" s="814">
        <f t="shared" si="49"/>
        <v>0</v>
      </c>
      <c r="AH90" s="175">
        <f t="shared" si="42"/>
        <v>6</v>
      </c>
      <c r="AI90" s="224">
        <f t="shared" si="43"/>
        <v>0.7432254220566733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8">
        <v>13.164</v>
      </c>
      <c r="C91" s="843"/>
      <c r="D91" s="392">
        <f t="shared" si="25"/>
        <v>13.553579053186285</v>
      </c>
      <c r="E91" s="384">
        <f t="shared" si="47"/>
        <v>13.981312401571639</v>
      </c>
      <c r="F91" s="384">
        <f t="shared" si="26"/>
        <v>13.981312401571639</v>
      </c>
      <c r="G91" s="110">
        <f t="shared" si="48"/>
        <v>0.27567590295987354</v>
      </c>
      <c r="H91" s="413" t="b">
        <f>Wh_hp&gt;='2021'!Maxi_hp</f>
        <v>0</v>
      </c>
      <c r="I91" s="379">
        <f>IF(H91,Wh_hp,'2021'!Maxi_hp)</f>
        <v>31.959695723000372</v>
      </c>
      <c r="J91" s="85">
        <f>IF(H91,An,'2021'!An_max)</f>
        <v>2019</v>
      </c>
      <c r="K91" s="196">
        <f t="shared" si="27"/>
        <v>44638</v>
      </c>
      <c r="L91" s="147">
        <f>IF(t&lt;Tvie,1-EXP((T0-t)*PertePVj)+'2021'!Pspv,1-EXP((T0-t)*PertePVj)+Pspv)</f>
        <v>2.8743629388039739E-2</v>
      </c>
      <c r="M91" s="847"/>
      <c r="N91" s="847"/>
      <c r="O91" s="48">
        <f>IF(t&lt;Tnet,'2021'!Resal+('2021'!Salim-'2021'!Resal)*(1-EXP(('2021'!Tnet-t)/('2021'!Tau_j))),Resal+(Salim-Resal)*(1-EXP((Tnet-t)/(Tau_j))))*Salcycl</f>
        <v>3.059321872653905E-2</v>
      </c>
      <c r="P91" s="338">
        <f>(INDEX(Models!$BJ91:$BT91,,T91)*(1-R91)+INDEX(Models!$BJ91:$BT91,,T91+1)*R91-ERP_i)*Q91*Ramure*Pc/MaxiM</f>
        <v>2.244765207644227E-4</v>
      </c>
      <c r="Q91" s="304">
        <f t="shared" si="28"/>
        <v>0.5</v>
      </c>
      <c r="R91" s="176">
        <f t="shared" si="29"/>
        <v>0.74358601130384849</v>
      </c>
      <c r="S91" s="814">
        <f t="shared" si="30"/>
        <v>0</v>
      </c>
      <c r="T91" s="175">
        <f t="shared" si="31"/>
        <v>6</v>
      </c>
      <c r="U91" s="250">
        <f t="shared" si="32"/>
        <v>0.74358601130384849</v>
      </c>
      <c r="V91" s="382">
        <f t="shared" si="33"/>
        <v>47.741006195221694</v>
      </c>
      <c r="W91" s="401">
        <f t="shared" si="34"/>
        <v>0</v>
      </c>
      <c r="X91" s="157">
        <f t="shared" si="35"/>
        <v>44638</v>
      </c>
      <c r="Y91" s="384">
        <f t="shared" si="36"/>
        <v>12.766577811790635</v>
      </c>
      <c r="Z91" s="384">
        <f t="shared" si="37"/>
        <v>13.144395442932113</v>
      </c>
      <c r="AA91" s="385">
        <f t="shared" si="38"/>
        <v>13.981312401571639</v>
      </c>
      <c r="AB91" s="196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5.9859685171289534E-2</v>
      </c>
      <c r="AD91" s="230">
        <f>(INDEX(Models!$BJ91:$BT91,,AH91)*(1-AF91)+INDEX(Models!$BJ91:$BT91,,AH91+1)*AF91-ERP_i)*AE91*Ramure*Pc/MaxiM</f>
        <v>2.244765207644227E-4</v>
      </c>
      <c r="AE91" s="304">
        <f t="shared" si="40"/>
        <v>0.5</v>
      </c>
      <c r="AF91" s="176">
        <f t="shared" si="41"/>
        <v>0.74358601130384849</v>
      </c>
      <c r="AG91" s="814">
        <f t="shared" si="49"/>
        <v>0</v>
      </c>
      <c r="AH91" s="175">
        <f t="shared" si="42"/>
        <v>6</v>
      </c>
      <c r="AI91" s="224">
        <f t="shared" si="43"/>
        <v>0.74358601130384849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8">
        <v>29.574999999999999</v>
      </c>
      <c r="C92" s="843"/>
      <c r="D92" s="392">
        <f t="shared" si="25"/>
        <v>30.45091685071181</v>
      </c>
      <c r="E92" s="384">
        <f t="shared" si="47"/>
        <v>31.415006983630068</v>
      </c>
      <c r="F92" s="384">
        <f t="shared" si="26"/>
        <v>31.418196174077071</v>
      </c>
      <c r="G92" s="110">
        <f t="shared" si="48"/>
        <v>0.6156024839859443</v>
      </c>
      <c r="H92" s="413" t="b">
        <f>Wh_hp&gt;='2021'!Maxi_hp</f>
        <v>0</v>
      </c>
      <c r="I92" s="379">
        <f>IF(H92,Wh_hp,'2021'!Maxi_hp)</f>
        <v>46.728461228850939</v>
      </c>
      <c r="J92" s="85">
        <f>IF(H92,An,'2021'!An_max)</f>
        <v>2020</v>
      </c>
      <c r="K92" s="196">
        <f t="shared" si="27"/>
        <v>44639</v>
      </c>
      <c r="L92" s="147">
        <f>IF(t&lt;Tvie,1-EXP((T0-t)*PertePVj)+'2021'!Pspv,1-EXP((T0-t)*PertePVj)+Pspv)</f>
        <v>2.8764876112140271E-2</v>
      </c>
      <c r="M92" s="847"/>
      <c r="N92" s="847"/>
      <c r="O92" s="48">
        <f>IF(t&lt;Tnet,'2021'!Resal+('2021'!Salim-'2021'!Resal)*(1-EXP(('2021'!Tnet-t)/('2021'!Tau_j))),Resal+(Salim-Resal)*(1-EXP((Tnet-t)/(Tau_j))))*Salcycl</f>
        <v>3.0688840318279398E-2</v>
      </c>
      <c r="P92" s="338">
        <f>(INDEX(Models!$BJ92:$BT92,,T92)*(1-R92)+INDEX(Models!$BJ92:$BT92,,T92+1)*R92-ERP_i)*Q92*Ramure*Pc/MaxiM</f>
        <v>2.2508789345939258E-4</v>
      </c>
      <c r="Q92" s="304">
        <f t="shared" si="28"/>
        <v>0.5</v>
      </c>
      <c r="R92" s="176">
        <f t="shared" si="29"/>
        <v>0.74396078067237248</v>
      </c>
      <c r="S92" s="814">
        <f t="shared" si="30"/>
        <v>0</v>
      </c>
      <c r="T92" s="175">
        <f t="shared" si="31"/>
        <v>6</v>
      </c>
      <c r="U92" s="250">
        <f t="shared" si="32"/>
        <v>0.74396078067237248</v>
      </c>
      <c r="V92" s="382">
        <f t="shared" si="33"/>
        <v>48.036428564731885</v>
      </c>
      <c r="W92" s="401">
        <f t="shared" si="34"/>
        <v>0</v>
      </c>
      <c r="X92" s="157">
        <f t="shared" si="35"/>
        <v>44639</v>
      </c>
      <c r="Y92" s="384">
        <f t="shared" si="36"/>
        <v>28.68294106518756</v>
      </c>
      <c r="Z92" s="384">
        <f t="shared" si="37"/>
        <v>29.532437985118975</v>
      </c>
      <c r="AA92" s="385">
        <f t="shared" si="38"/>
        <v>31.415006983630068</v>
      </c>
      <c r="AB92" s="196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5.992578640813534E-2</v>
      </c>
      <c r="AD92" s="230">
        <f>(INDEX(Models!$BJ92:$BT92,,AH92)*(1-AF92)+INDEX(Models!$BJ92:$BT92,,AH92+1)*AF92-ERP_i)*AE92*Ramure*Pc/MaxiM</f>
        <v>2.2508789345939258E-4</v>
      </c>
      <c r="AE92" s="304">
        <f t="shared" si="40"/>
        <v>0.5</v>
      </c>
      <c r="AF92" s="176">
        <f t="shared" si="41"/>
        <v>0.74396078067237248</v>
      </c>
      <c r="AG92" s="814">
        <f t="shared" si="49"/>
        <v>0</v>
      </c>
      <c r="AH92" s="175">
        <f t="shared" si="42"/>
        <v>6</v>
      </c>
      <c r="AI92" s="224">
        <f t="shared" si="43"/>
        <v>0.74396078067237248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8">
        <v>32.852000000000004</v>
      </c>
      <c r="C93" s="843"/>
      <c r="D93" s="392">
        <f t="shared" si="25"/>
        <v>33.825711057791729</v>
      </c>
      <c r="E93" s="384">
        <f t="shared" si="47"/>
        <v>34.90009349273766</v>
      </c>
      <c r="F93" s="384">
        <f t="shared" si="26"/>
        <v>34.904369552468353</v>
      </c>
      <c r="G93" s="110">
        <f t="shared" si="48"/>
        <v>0.67965332748135898</v>
      </c>
      <c r="H93" s="413" t="b">
        <f>Wh_hp&gt;='2021'!Maxi_hp</f>
        <v>0</v>
      </c>
      <c r="I93" s="379">
        <f>IF(H93,Wh_hp,'2021'!Maxi_hp)</f>
        <v>52.177110378201441</v>
      </c>
      <c r="J93" s="85">
        <f>IF(H93,An,'2021'!An_max)</f>
        <v>2019</v>
      </c>
      <c r="K93" s="196">
        <f t="shared" si="27"/>
        <v>44640</v>
      </c>
      <c r="L93" s="147">
        <f>IF(t&lt;Tvie,1-EXP((T0-t)*PertePVj)+'2021'!Pspv,1-EXP((T0-t)*PertePVj)+Pspv)</f>
        <v>2.878612237088294E-2</v>
      </c>
      <c r="M93" s="847"/>
      <c r="N93" s="847"/>
      <c r="O93" s="48">
        <f>IF(t&lt;Tnet,'2021'!Resal+('2021'!Salim-'2021'!Resal)*(1-EXP(('2021'!Tnet-t)/('2021'!Tau_j))),Resal+(Salim-Resal)*(1-EXP((Tnet-t)/(Tau_j))))*Salcycl</f>
        <v>3.0784514521988347E-2</v>
      </c>
      <c r="P93" s="338">
        <f>(INDEX(Models!$BJ93:$BT93,,T93)*(1-R93)+INDEX(Models!$BJ93:$BT93,,T93+1)*R93-ERP_i)*Q93*Ramure*Pc/MaxiM</f>
        <v>2.2583666323212879E-4</v>
      </c>
      <c r="Q93" s="304">
        <f t="shared" si="28"/>
        <v>0.5</v>
      </c>
      <c r="R93" s="176">
        <f t="shared" si="29"/>
        <v>0.74435024786194537</v>
      </c>
      <c r="S93" s="814">
        <f t="shared" si="30"/>
        <v>0</v>
      </c>
      <c r="T93" s="175">
        <f t="shared" si="31"/>
        <v>6</v>
      </c>
      <c r="U93" s="250">
        <f t="shared" si="32"/>
        <v>0.74435024786194537</v>
      </c>
      <c r="V93" s="382">
        <f t="shared" si="33"/>
        <v>48.331412056908931</v>
      </c>
      <c r="W93" s="401">
        <f t="shared" si="34"/>
        <v>0</v>
      </c>
      <c r="X93" s="157">
        <f t="shared" si="35"/>
        <v>44640</v>
      </c>
      <c r="Y93" s="384">
        <f t="shared" si="36"/>
        <v>31.8619953897235</v>
      </c>
      <c r="Z93" s="384">
        <f t="shared" si="37"/>
        <v>32.806363380539359</v>
      </c>
      <c r="AA93" s="385">
        <f t="shared" si="38"/>
        <v>34.90009349273766</v>
      </c>
      <c r="AB93" s="196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5.9992106113812643E-2</v>
      </c>
      <c r="AD93" s="230">
        <f>(INDEX(Models!$BJ93:$BT93,,AH93)*(1-AF93)+INDEX(Models!$BJ93:$BT93,,AH93+1)*AF93-ERP_i)*AE93*Ramure*Pc/MaxiM</f>
        <v>2.2583666323212879E-4</v>
      </c>
      <c r="AE93" s="304">
        <f t="shared" si="40"/>
        <v>0.5</v>
      </c>
      <c r="AF93" s="176">
        <f t="shared" si="41"/>
        <v>0.74435024786194537</v>
      </c>
      <c r="AG93" s="814">
        <f t="shared" si="49"/>
        <v>0</v>
      </c>
      <c r="AH93" s="175">
        <f t="shared" si="42"/>
        <v>6</v>
      </c>
      <c r="AI93" s="224">
        <f t="shared" si="43"/>
        <v>0.74435024786194537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8">
        <v>47.271000000000001</v>
      </c>
      <c r="C94" s="843"/>
      <c r="D94" s="392">
        <f t="shared" si="25"/>
        <v>48.673145213889889</v>
      </c>
      <c r="E94" s="384">
        <f t="shared" si="47"/>
        <v>50.224077499469587</v>
      </c>
      <c r="F94" s="384">
        <f t="shared" si="26"/>
        <v>50.234997575447132</v>
      </c>
      <c r="G94" s="110">
        <f t="shared" si="48"/>
        <v>0.9720896977108674</v>
      </c>
      <c r="H94" s="413" t="b">
        <f>Wh_hp&gt;='2021'!Maxi_hp</f>
        <v>0</v>
      </c>
      <c r="I94" s="379">
        <f>IF(H94,Wh_hp,'2021'!Maxi_hp)</f>
        <v>51.739394586450686</v>
      </c>
      <c r="J94" s="85">
        <f>IF(H94,An,'2021'!An_max)</f>
        <v>2020</v>
      </c>
      <c r="K94" s="196">
        <f t="shared" si="27"/>
        <v>44641</v>
      </c>
      <c r="L94" s="147">
        <f>IF(t&lt;Tvie,1-EXP((T0-t)*PertePVj)+'2021'!Pspv,1-EXP((T0-t)*PertePVj)+Pspv)</f>
        <v>2.8807368164277959E-2</v>
      </c>
      <c r="M94" s="847"/>
      <c r="N94" s="847"/>
      <c r="O94" s="48">
        <f>IF(t&lt;Tnet,'2021'!Resal+('2021'!Salim-'2021'!Resal)*(1-EXP(('2021'!Tnet-t)/('2021'!Tau_j))),Resal+(Salim-Resal)*(1-EXP((Tnet-t)/(Tau_j))))*Salcycl</f>
        <v>3.0880254308226482E-2</v>
      </c>
      <c r="P94" s="338">
        <f>(INDEX(Models!$BJ94:$BT94,,T94)*(1-R94)+INDEX(Models!$BJ94:$BT94,,T94+1)*R94-ERP_i)*Q94*Ramure*Pc/MaxiM</f>
        <v>2.2640416201148822E-4</v>
      </c>
      <c r="Q94" s="304">
        <f t="shared" si="28"/>
        <v>0.5</v>
      </c>
      <c r="R94" s="176">
        <f t="shared" si="29"/>
        <v>0.74475494617576554</v>
      </c>
      <c r="S94" s="814">
        <f t="shared" si="30"/>
        <v>0</v>
      </c>
      <c r="T94" s="175">
        <f t="shared" si="31"/>
        <v>6</v>
      </c>
      <c r="U94" s="250">
        <f t="shared" si="32"/>
        <v>0.74475494617576554</v>
      </c>
      <c r="V94" s="382">
        <f t="shared" si="33"/>
        <v>48.627789626889012</v>
      </c>
      <c r="W94" s="401">
        <f t="shared" si="34"/>
        <v>0</v>
      </c>
      <c r="X94" s="157">
        <f t="shared" si="35"/>
        <v>44641</v>
      </c>
      <c r="Y94" s="384">
        <f t="shared" si="36"/>
        <v>45.847757117186696</v>
      </c>
      <c r="Z94" s="384">
        <f t="shared" si="37"/>
        <v>47.207686317107353</v>
      </c>
      <c r="AA94" s="385">
        <f t="shared" si="38"/>
        <v>50.224077499469587</v>
      </c>
      <c r="AB94" s="196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6.0058667725536447E-2</v>
      </c>
      <c r="AD94" s="230">
        <f>(INDEX(Models!$BJ94:$BT94,,AH94)*(1-AF94)+INDEX(Models!$BJ94:$BT94,,AH94+1)*AF94-ERP_i)*AE94*Ramure*Pc/MaxiM</f>
        <v>2.2640416201148822E-4</v>
      </c>
      <c r="AE94" s="304">
        <f t="shared" si="40"/>
        <v>0.5</v>
      </c>
      <c r="AF94" s="176">
        <f t="shared" si="41"/>
        <v>0.74475494617576554</v>
      </c>
      <c r="AG94" s="814">
        <f t="shared" si="49"/>
        <v>0</v>
      </c>
      <c r="AH94" s="175">
        <f t="shared" si="42"/>
        <v>6</v>
      </c>
      <c r="AI94" s="224">
        <f t="shared" si="43"/>
        <v>0.74475494617576554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8">
        <v>44.353999999999999</v>
      </c>
      <c r="C95" s="843"/>
      <c r="D95" s="392">
        <f t="shared" si="25"/>
        <v>45.670620671287629</v>
      </c>
      <c r="E95" s="384">
        <f t="shared" si="47"/>
        <v>47.130539705970058</v>
      </c>
      <c r="F95" s="384">
        <f t="shared" si="26"/>
        <v>47.139796606521649</v>
      </c>
      <c r="G95" s="110">
        <f t="shared" si="48"/>
        <v>0.90655032016618287</v>
      </c>
      <c r="H95" s="413" t="b">
        <f>Wh_hp&gt;='2021'!Maxi_hp</f>
        <v>0</v>
      </c>
      <c r="I95" s="379">
        <f>IF(H95,Wh_hp,'2021'!Maxi_hp)</f>
        <v>50.590016829396532</v>
      </c>
      <c r="J95" s="85">
        <f>IF(H95,An,'2021'!An_max)</f>
        <v>2019</v>
      </c>
      <c r="K95" s="196">
        <f t="shared" si="27"/>
        <v>44642</v>
      </c>
      <c r="L95" s="147">
        <f>IF(t&lt;Tvie,1-EXP((T0-t)*PertePVj)+'2021'!Pspv,1-EXP((T0-t)*PertePVj)+Pspv)</f>
        <v>2.8828613492335654E-2</v>
      </c>
      <c r="M95" s="847"/>
      <c r="N95" s="847"/>
      <c r="O95" s="48">
        <f>IF(t&lt;Tnet,'2021'!Resal+('2021'!Salim-'2021'!Resal)*(1-EXP(('2021'!Tnet-t)/('2021'!Tau_j))),Resal+(Salim-Resal)*(1-EXP((Tnet-t)/(Tau_j))))*Salcycl</f>
        <v>3.0976072919816453E-2</v>
      </c>
      <c r="P95" s="338">
        <f>(INDEX(Models!$BJ95:$BT95,,T95)*(1-R95)+INDEX(Models!$BJ95:$BT95,,T95+1)*R95-ERP_i)*Q95*Ramure*Pc/MaxiM</f>
        <v>2.2661542208996939E-4</v>
      </c>
      <c r="Q95" s="304">
        <f t="shared" si="28"/>
        <v>0.5</v>
      </c>
      <c r="R95" s="176">
        <f t="shared" si="29"/>
        <v>0.74517542471247034</v>
      </c>
      <c r="S95" s="814">
        <f t="shared" si="30"/>
        <v>0</v>
      </c>
      <c r="T95" s="175">
        <f t="shared" si="31"/>
        <v>6</v>
      </c>
      <c r="U95" s="250">
        <f t="shared" si="32"/>
        <v>0.74517542471247034</v>
      </c>
      <c r="V95" s="382">
        <f t="shared" si="33"/>
        <v>48.924651284848338</v>
      </c>
      <c r="W95" s="401">
        <f t="shared" si="34"/>
        <v>0</v>
      </c>
      <c r="X95" s="157">
        <f t="shared" si="35"/>
        <v>44642</v>
      </c>
      <c r="Y95" s="384">
        <f t="shared" si="36"/>
        <v>43.019777559947414</v>
      </c>
      <c r="Z95" s="384">
        <f t="shared" si="37"/>
        <v>44.296792674922891</v>
      </c>
      <c r="AA95" s="385">
        <f t="shared" si="38"/>
        <v>47.130539705970058</v>
      </c>
      <c r="AB95" s="196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6.0125495034129936E-2</v>
      </c>
      <c r="AD95" s="230">
        <f>(INDEX(Models!$BJ95:$BT95,,AH95)*(1-AF95)+INDEX(Models!$BJ95:$BT95,,AH95+1)*AF95-ERP_i)*AE95*Ramure*Pc/MaxiM</f>
        <v>2.2661542208996939E-4</v>
      </c>
      <c r="AE95" s="304">
        <f t="shared" si="40"/>
        <v>0.5</v>
      </c>
      <c r="AF95" s="176">
        <f t="shared" si="41"/>
        <v>0.74517542471247034</v>
      </c>
      <c r="AG95" s="814">
        <f t="shared" si="49"/>
        <v>0</v>
      </c>
      <c r="AH95" s="175">
        <f t="shared" si="42"/>
        <v>6</v>
      </c>
      <c r="AI95" s="224">
        <f t="shared" si="43"/>
        <v>0.74517542471247034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8">
        <v>49.323999999999998</v>
      </c>
      <c r="C96" s="843"/>
      <c r="D96" s="392">
        <f t="shared" si="25"/>
        <v>50.789263044800691</v>
      </c>
      <c r="E96" s="384">
        <f t="shared" si="47"/>
        <v>52.417994110525122</v>
      </c>
      <c r="F96" s="384">
        <f t="shared" si="26"/>
        <v>52.429868509754343</v>
      </c>
      <c r="G96" s="110">
        <f t="shared" si="48"/>
        <v>1.0020910044790494</v>
      </c>
      <c r="H96" s="413" t="b">
        <f>Wh_hp&gt;='2021'!Maxi_hp</f>
        <v>1</v>
      </c>
      <c r="I96" s="379">
        <f>IF(H96,Wh_hp,'2021'!Maxi_hp)</f>
        <v>52.429868509754343</v>
      </c>
      <c r="J96" s="85">
        <f>IF(H96,An,'2021'!An_max)</f>
        <v>2022</v>
      </c>
      <c r="K96" s="196">
        <f t="shared" si="27"/>
        <v>44643</v>
      </c>
      <c r="L96" s="147">
        <f>IF(t&lt;Tvie,1-EXP((T0-t)*PertePVj)+'2021'!Pspv,1-EXP((T0-t)*PertePVj)+Pspv)</f>
        <v>2.8849858355066128E-2</v>
      </c>
      <c r="M96" s="847"/>
      <c r="N96" s="847"/>
      <c r="O96" s="48">
        <f>IF(t&lt;Tnet,'2021'!Resal+('2021'!Salim-'2021'!Resal)*(1-EXP(('2021'!Tnet-t)/('2021'!Tau_j))),Resal+(Salim-Resal)*(1-EXP((Tnet-t)/(Tau_j))))*Salcycl</f>
        <v>3.1071983836126828E-2</v>
      </c>
      <c r="P96" s="338">
        <f>(INDEX(Models!$BJ96:$BT96,,T96)*(1-R96)+INDEX(Models!$BJ96:$BT96,,T96+1)*R96-ERP_i)*Q96*Ramure*Pc/MaxiM</f>
        <v>2.2648157561204753E-4</v>
      </c>
      <c r="Q96" s="304">
        <f t="shared" si="28"/>
        <v>0.5</v>
      </c>
      <c r="R96" s="176">
        <f t="shared" si="29"/>
        <v>0.74561224853384711</v>
      </c>
      <c r="S96" s="814">
        <f t="shared" si="30"/>
        <v>0</v>
      </c>
      <c r="T96" s="175">
        <f t="shared" si="31"/>
        <v>6</v>
      </c>
      <c r="U96" s="250">
        <f t="shared" si="32"/>
        <v>0.74561224853384711</v>
      </c>
      <c r="V96" s="382">
        <f t="shared" si="33"/>
        <v>49.221078504383691</v>
      </c>
      <c r="W96" s="401">
        <f t="shared" si="34"/>
        <v>0</v>
      </c>
      <c r="X96" s="157">
        <f t="shared" si="35"/>
        <v>44643</v>
      </c>
      <c r="Y96" s="384">
        <f t="shared" si="36"/>
        <v>47.841592798274576</v>
      </c>
      <c r="Z96" s="384">
        <f t="shared" si="37"/>
        <v>49.262818123303262</v>
      </c>
      <c r="AA96" s="385">
        <f t="shared" si="38"/>
        <v>52.417994110525122</v>
      </c>
      <c r="AB96" s="196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6.0192612112723393E-2</v>
      </c>
      <c r="AD96" s="230">
        <f>(INDEX(Models!$BJ96:$BT96,,AH96)*(1-AF96)+INDEX(Models!$BJ96:$BT96,,AH96+1)*AF96-ERP_i)*AE96*Ramure*Pc/MaxiM</f>
        <v>2.2648157561204753E-4</v>
      </c>
      <c r="AE96" s="304">
        <f t="shared" si="40"/>
        <v>0.5</v>
      </c>
      <c r="AF96" s="176">
        <f t="shared" si="41"/>
        <v>0.74561224853384711</v>
      </c>
      <c r="AG96" s="814">
        <f t="shared" si="49"/>
        <v>0</v>
      </c>
      <c r="AH96" s="175">
        <f t="shared" si="42"/>
        <v>6</v>
      </c>
      <c r="AI96" s="224">
        <f t="shared" si="43"/>
        <v>0.74561224853384711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8">
        <v>48.42</v>
      </c>
      <c r="C97" s="843"/>
      <c r="D97" s="392">
        <f t="shared" si="25"/>
        <v>49.85949871045672</v>
      </c>
      <c r="E97" s="384">
        <f t="shared" si="47"/>
        <v>51.463513538367671</v>
      </c>
      <c r="F97" s="384">
        <f t="shared" si="26"/>
        <v>51.474779602422245</v>
      </c>
      <c r="G97" s="110">
        <f t="shared" si="48"/>
        <v>0.97785572437941348</v>
      </c>
      <c r="H97" s="413" t="b">
        <f>Wh_hp&gt;='2021'!Maxi_hp</f>
        <v>0</v>
      </c>
      <c r="I97" s="379">
        <f>IF(H97,Wh_hp,'2021'!Maxi_hp)</f>
        <v>51.706853506641295</v>
      </c>
      <c r="J97" s="85">
        <f>IF(H97,An,'2021'!An_max)</f>
        <v>2021</v>
      </c>
      <c r="K97" s="196">
        <f t="shared" si="27"/>
        <v>44644</v>
      </c>
      <c r="L97" s="147">
        <f>IF(t&lt;Tvie,1-EXP((T0-t)*PertePVj)+'2021'!Pspv,1-EXP((T0-t)*PertePVj)+Pspv)</f>
        <v>2.8871102752479484E-2</v>
      </c>
      <c r="M97" s="847"/>
      <c r="N97" s="847"/>
      <c r="O97" s="48">
        <f>IF(t&lt;Tnet,'2021'!Resal+('2021'!Salim-'2021'!Resal)*(1-EXP(('2021'!Tnet-t)/('2021'!Tau_j))),Resal+(Salim-Resal)*(1-EXP((Tnet-t)/(Tau_j))))*Salcycl</f>
        <v>3.1168000737359442E-2</v>
      </c>
      <c r="P97" s="338">
        <f>(INDEX(Models!$BJ97:$BT97,,T97)*(1-R97)+INDEX(Models!$BJ97:$BT97,,T97+1)*R97-ERP_i)*Q97*Ramure*Pc/MaxiM</f>
        <v>2.2601330885346749E-4</v>
      </c>
      <c r="Q97" s="304">
        <f t="shared" si="28"/>
        <v>0.5</v>
      </c>
      <c r="R97" s="176">
        <f t="shared" si="29"/>
        <v>0.74606599880538305</v>
      </c>
      <c r="S97" s="814">
        <f t="shared" si="30"/>
        <v>0</v>
      </c>
      <c r="T97" s="175">
        <f t="shared" si="31"/>
        <v>6</v>
      </c>
      <c r="U97" s="250">
        <f t="shared" si="32"/>
        <v>0.74606599880538305</v>
      </c>
      <c r="V97" s="382">
        <f t="shared" si="33"/>
        <v>49.516153181091177</v>
      </c>
      <c r="W97" s="401">
        <f t="shared" si="34"/>
        <v>0</v>
      </c>
      <c r="X97" s="157">
        <f t="shared" si="35"/>
        <v>44644</v>
      </c>
      <c r="Y97" s="384">
        <f t="shared" si="36"/>
        <v>46.966046477246856</v>
      </c>
      <c r="Z97" s="384">
        <f t="shared" si="37"/>
        <v>48.36231998693804</v>
      </c>
      <c r="AA97" s="385">
        <f t="shared" si="38"/>
        <v>51.463513538367671</v>
      </c>
      <c r="AB97" s="196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6.0260043246320394E-2</v>
      </c>
      <c r="AD97" s="230">
        <f>(INDEX(Models!$BJ97:$BT97,,AH97)*(1-AF97)+INDEX(Models!$BJ97:$BT97,,AH97+1)*AF97-ERP_i)*AE97*Ramure*Pc/MaxiM</f>
        <v>2.2601330885346749E-4</v>
      </c>
      <c r="AE97" s="304">
        <f t="shared" si="40"/>
        <v>0.5</v>
      </c>
      <c r="AF97" s="176">
        <f t="shared" si="41"/>
        <v>0.74606599880538305</v>
      </c>
      <c r="AG97" s="814">
        <f t="shared" si="49"/>
        <v>0</v>
      </c>
      <c r="AH97" s="175">
        <f t="shared" si="42"/>
        <v>6</v>
      </c>
      <c r="AI97" s="224">
        <f t="shared" si="43"/>
        <v>0.74606599880538305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8">
        <v>41.558</v>
      </c>
      <c r="C98" s="843"/>
      <c r="D98" s="392">
        <f t="shared" si="25"/>
        <v>42.794431552587142</v>
      </c>
      <c r="E98" s="384">
        <f t="shared" si="47"/>
        <v>44.175541763036172</v>
      </c>
      <c r="F98" s="384">
        <f t="shared" si="26"/>
        <v>44.183137870817539</v>
      </c>
      <c r="G98" s="110">
        <f t="shared" si="48"/>
        <v>0.83430343950589414</v>
      </c>
      <c r="H98" s="413" t="b">
        <f>Wh_hp&gt;='2021'!Maxi_hp</f>
        <v>0</v>
      </c>
      <c r="I98" s="379">
        <f>IF(H98,Wh_hp,'2021'!Maxi_hp)</f>
        <v>50.650647588143606</v>
      </c>
      <c r="J98" s="85">
        <f>IF(H98,An,'2021'!An_max)</f>
        <v>2020</v>
      </c>
      <c r="K98" s="196">
        <f t="shared" si="27"/>
        <v>44645</v>
      </c>
      <c r="L98" s="147">
        <f>IF(t&lt;Tvie,1-EXP((T0-t)*PertePVj)+'2021'!Pspv,1-EXP((T0-t)*PertePVj)+Pspv)</f>
        <v>2.8892346684586158E-2</v>
      </c>
      <c r="M98" s="847"/>
      <c r="N98" s="847"/>
      <c r="O98" s="48">
        <f>IF(t&lt;Tnet,'2021'!Resal+('2021'!Salim-'2021'!Resal)*(1-EXP(('2021'!Tnet-t)/('2021'!Tau_j))),Resal+(Salim-Resal)*(1-EXP((Tnet-t)/(Tau_j))))*Salcycl</f>
        <v>3.1264137469043426E-2</v>
      </c>
      <c r="P98" s="338">
        <f>(INDEX(Models!$BJ98:$BT98,,T98)*(1-R98)+INDEX(Models!$BJ98:$BT98,,T98+1)*R98-ERP_i)*Q98*Ramure*Pc/MaxiM</f>
        <v>2.2522079255778263E-4</v>
      </c>
      <c r="Q98" s="304">
        <f t="shared" si="28"/>
        <v>0.5</v>
      </c>
      <c r="R98" s="176">
        <f t="shared" si="29"/>
        <v>0.74653727290653138</v>
      </c>
      <c r="S98" s="814">
        <f t="shared" si="30"/>
        <v>0</v>
      </c>
      <c r="T98" s="175">
        <f t="shared" si="31"/>
        <v>6</v>
      </c>
      <c r="U98" s="250">
        <f t="shared" si="32"/>
        <v>0.74653727290653138</v>
      </c>
      <c r="V98" s="382">
        <f t="shared" si="33"/>
        <v>49.808957642135148</v>
      </c>
      <c r="W98" s="401">
        <f t="shared" si="34"/>
        <v>0</v>
      </c>
      <c r="X98" s="157">
        <f t="shared" si="35"/>
        <v>44645</v>
      </c>
      <c r="Y98" s="384">
        <f t="shared" si="36"/>
        <v>40.311191381962566</v>
      </c>
      <c r="Z98" s="384">
        <f t="shared" si="37"/>
        <v>41.510527946451653</v>
      </c>
      <c r="AA98" s="385">
        <f t="shared" si="38"/>
        <v>44.175541763036172</v>
      </c>
      <c r="AB98" s="196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6.0327812862602248E-2</v>
      </c>
      <c r="AD98" s="230">
        <f>(INDEX(Models!$BJ98:$BT98,,AH98)*(1-AF98)+INDEX(Models!$BJ98:$BT98,,AH98+1)*AF98-ERP_i)*AE98*Ramure*Pc/MaxiM</f>
        <v>2.2522079255778263E-4</v>
      </c>
      <c r="AE98" s="304">
        <f t="shared" si="40"/>
        <v>0.5</v>
      </c>
      <c r="AF98" s="176">
        <f t="shared" si="41"/>
        <v>0.74653727290653138</v>
      </c>
      <c r="AG98" s="814">
        <f t="shared" si="49"/>
        <v>0</v>
      </c>
      <c r="AH98" s="175">
        <f t="shared" si="42"/>
        <v>6</v>
      </c>
      <c r="AI98" s="224">
        <f t="shared" si="43"/>
        <v>0.74653727290653138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8">
        <v>46.109000000000002</v>
      </c>
      <c r="C99" s="843"/>
      <c r="D99" s="392">
        <f t="shared" si="25"/>
        <v>47.481871368366257</v>
      </c>
      <c r="E99" s="384">
        <f t="shared" si="47"/>
        <v>49.019131326923187</v>
      </c>
      <c r="F99" s="384">
        <f t="shared" si="26"/>
        <v>49.028869325953984</v>
      </c>
      <c r="G99" s="110">
        <f t="shared" si="48"/>
        <v>0.9203420356767531</v>
      </c>
      <c r="H99" s="413" t="b">
        <f>Wh_hp&gt;='2021'!Maxi_hp</f>
        <v>0</v>
      </c>
      <c r="I99" s="379">
        <f>IF(H99,Wh_hp,'2021'!Maxi_hp)</f>
        <v>54.179948097742042</v>
      </c>
      <c r="J99" s="85">
        <f>IF(H99,An,'2021'!An_max)</f>
        <v>2019</v>
      </c>
      <c r="K99" s="196">
        <f t="shared" si="27"/>
        <v>44646</v>
      </c>
      <c r="L99" s="147">
        <f>IF(t&lt;Tvie,1-EXP((T0-t)*PertePVj)+'2021'!Pspv,1-EXP((T0-t)*PertePVj)+Pspv)</f>
        <v>2.8913590151396142E-2</v>
      </c>
      <c r="M99" s="847"/>
      <c r="N99" s="847"/>
      <c r="O99" s="48">
        <f>IF(t&lt;Tnet,'2021'!Resal+('2021'!Salim-'2021'!Resal)*(1-EXP(('2021'!Tnet-t)/('2021'!Tau_j))),Resal+(Salim-Resal)*(1-EXP((Tnet-t)/(Tau_j))))*Salcycl</f>
        <v>3.1360408006916411E-2</v>
      </c>
      <c r="P99" s="338">
        <f>(INDEX(Models!$BJ99:$BT99,,T99)*(1-R99)+INDEX(Models!$BJ99:$BT99,,T99+1)*R99-ERP_i)*Q99*Ramure*Pc/MaxiM</f>
        <v>2.2411361826764556E-4</v>
      </c>
      <c r="Q99" s="304">
        <f t="shared" si="28"/>
        <v>0.5</v>
      </c>
      <c r="R99" s="176">
        <f t="shared" si="29"/>
        <v>0.74702668450737353</v>
      </c>
      <c r="S99" s="814">
        <f t="shared" si="30"/>
        <v>0</v>
      </c>
      <c r="T99" s="175">
        <f t="shared" si="31"/>
        <v>6</v>
      </c>
      <c r="U99" s="250">
        <f t="shared" si="32"/>
        <v>0.74702668450737353</v>
      </c>
      <c r="V99" s="382">
        <f t="shared" si="33"/>
        <v>50.098574644767396</v>
      </c>
      <c r="W99" s="401">
        <f t="shared" si="34"/>
        <v>0</v>
      </c>
      <c r="X99" s="157">
        <f t="shared" si="35"/>
        <v>44646</v>
      </c>
      <c r="Y99" s="384">
        <f t="shared" si="36"/>
        <v>44.726855797255425</v>
      </c>
      <c r="Z99" s="384">
        <f t="shared" si="37"/>
        <v>46.05857454459538</v>
      </c>
      <c r="AA99" s="385">
        <f t="shared" si="38"/>
        <v>49.019131326923187</v>
      </c>
      <c r="AB99" s="196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6.0395945464291716E-2</v>
      </c>
      <c r="AD99" s="230">
        <f>(INDEX(Models!$BJ99:$BT99,,AH99)*(1-AF99)+INDEX(Models!$BJ99:$BT99,,AH99+1)*AF99-ERP_i)*AE99*Ramure*Pc/MaxiM</f>
        <v>2.2411361826764556E-4</v>
      </c>
      <c r="AE99" s="304">
        <f t="shared" si="40"/>
        <v>0.5</v>
      </c>
      <c r="AF99" s="176">
        <f t="shared" si="41"/>
        <v>0.74702668450737353</v>
      </c>
      <c r="AG99" s="814">
        <f t="shared" si="49"/>
        <v>0</v>
      </c>
      <c r="AH99" s="175">
        <f t="shared" si="42"/>
        <v>6</v>
      </c>
      <c r="AI99" s="224">
        <f t="shared" si="43"/>
        <v>0.74702668450737353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8">
        <v>46.070999999999998</v>
      </c>
      <c r="C100" s="843"/>
      <c r="D100" s="392">
        <f t="shared" si="25"/>
        <v>47.443777794631863</v>
      </c>
      <c r="E100" s="384">
        <f t="shared" si="47"/>
        <v>48.98468038278736</v>
      </c>
      <c r="F100" s="384">
        <f t="shared" si="26"/>
        <v>48.994260077929241</v>
      </c>
      <c r="G100" s="110">
        <f t="shared" si="48"/>
        <v>0.91437098935780736</v>
      </c>
      <c r="H100" s="413" t="b">
        <f>Wh_hp&gt;='2021'!Maxi_hp</f>
        <v>0</v>
      </c>
      <c r="I100" s="379">
        <f>IF(H100,Wh_hp,'2021'!Maxi_hp)</f>
        <v>53.631049698889107</v>
      </c>
      <c r="J100" s="85">
        <f>IF(H100,An,'2021'!An_max)</f>
        <v>2019</v>
      </c>
      <c r="K100" s="196">
        <f t="shared" si="27"/>
        <v>44647</v>
      </c>
      <c r="L100" s="147">
        <f>IF(t&lt;Tvie,1-EXP((T0-t)*PertePVj)+'2021'!Pspv,1-EXP((T0-t)*PertePVj)+Pspv)</f>
        <v>2.8934833152919649E-2</v>
      </c>
      <c r="M100" s="847"/>
      <c r="N100" s="847"/>
      <c r="O100" s="48">
        <f>IF(t&lt;Tnet,'2021'!Resal+('2021'!Salim-'2021'!Resal)*(1-EXP(('2021'!Tnet-t)/('2021'!Tau_j))),Resal+(Salim-Resal)*(1-EXP((Tnet-t)/(Tau_j))))*Salcycl</f>
        <v>3.1456826422347109E-2</v>
      </c>
      <c r="P100" s="338">
        <f>(INDEX(Models!$BJ100:$BT100,,T100)*(1-R100)+INDEX(Models!$BJ100:$BT100,,T100+1)*R100-ERP_i)*Q100*Ramure*Pc/MaxiM</f>
        <v>2.2276974767679515E-4</v>
      </c>
      <c r="Q100" s="304">
        <f t="shared" si="28"/>
        <v>0.5</v>
      </c>
      <c r="R100" s="176">
        <f t="shared" si="29"/>
        <v>0.74753486360815224</v>
      </c>
      <c r="S100" s="814">
        <f t="shared" si="30"/>
        <v>0</v>
      </c>
      <c r="T100" s="175">
        <f t="shared" si="31"/>
        <v>6</v>
      </c>
      <c r="U100" s="250">
        <f t="shared" si="32"/>
        <v>0.74753486360815224</v>
      </c>
      <c r="V100" s="382">
        <f t="shared" si="33"/>
        <v>50.384083905653881</v>
      </c>
      <c r="W100" s="401">
        <f t="shared" si="34"/>
        <v>0</v>
      </c>
      <c r="X100" s="157">
        <f t="shared" si="35"/>
        <v>44647</v>
      </c>
      <c r="Y100" s="384">
        <f t="shared" si="36"/>
        <v>44.691184438522939</v>
      </c>
      <c r="Z100" s="384">
        <f t="shared" si="37"/>
        <v>46.022847862650949</v>
      </c>
      <c r="AA100" s="385">
        <f t="shared" si="38"/>
        <v>48.98468038278736</v>
      </c>
      <c r="AB100" s="196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6.0464465563343013E-2</v>
      </c>
      <c r="AD100" s="230">
        <f>(INDEX(Models!$BJ100:$BT100,,AH100)*(1-AF100)+INDEX(Models!$BJ100:$BT100,,AH100+1)*AF100-ERP_i)*AE100*Ramure*Pc/MaxiM</f>
        <v>2.2276974767679515E-4</v>
      </c>
      <c r="AE100" s="304">
        <f t="shared" si="40"/>
        <v>0.5</v>
      </c>
      <c r="AF100" s="176">
        <f t="shared" si="41"/>
        <v>0.74753486360815224</v>
      </c>
      <c r="AG100" s="814">
        <f t="shared" si="49"/>
        <v>0</v>
      </c>
      <c r="AH100" s="175">
        <f t="shared" si="42"/>
        <v>6</v>
      </c>
      <c r="AI100" s="224">
        <f t="shared" si="43"/>
        <v>0.74753486360815224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8">
        <v>35.575000000000003</v>
      </c>
      <c r="C101" s="843"/>
      <c r="D101" s="392">
        <f t="shared" si="25"/>
        <v>36.635829862432026</v>
      </c>
      <c r="E101" s="384">
        <f t="shared" si="47"/>
        <v>37.829478797803056</v>
      </c>
      <c r="F101" s="384">
        <f t="shared" si="26"/>
        <v>37.834288179977094</v>
      </c>
      <c r="G101" s="110">
        <f t="shared" si="48"/>
        <v>0.70210115994031874</v>
      </c>
      <c r="H101" s="413" t="b">
        <f>Wh_hp&gt;='2021'!Maxi_hp</f>
        <v>0</v>
      </c>
      <c r="I101" s="379">
        <f>IF(H101,Wh_hp,'2021'!Maxi_hp)</f>
        <v>52.658123194281352</v>
      </c>
      <c r="J101" s="85">
        <f>IF(H101,An,'2021'!An_max)</f>
        <v>2019</v>
      </c>
      <c r="K101" s="196">
        <f t="shared" si="27"/>
        <v>44648</v>
      </c>
      <c r="L101" s="147">
        <f>IF(t&lt;Tvie,1-EXP((T0-t)*PertePVj)+'2021'!Pspv,1-EXP((T0-t)*PertePVj)+Pspv)</f>
        <v>2.8956075689166895E-2</v>
      </c>
      <c r="M101" s="847"/>
      <c r="N101" s="847"/>
      <c r="O101" s="48">
        <f>IF(t&lt;Tnet,'2021'!Resal+('2021'!Salim-'2021'!Resal)*(1-EXP(('2021'!Tnet-t)/('2021'!Tau_j))),Resal+(Salim-Resal)*(1-EXP((Tnet-t)/(Tau_j))))*Salcycl</f>
        <v>3.1553406848427265E-2</v>
      </c>
      <c r="P101" s="338">
        <f>(INDEX(Models!$BJ101:$BT101,,T101)*(1-R101)+INDEX(Models!$BJ101:$BT101,,T101+1)*R101-ERP_i)*Q101*Ramure*Pc/MaxiM</f>
        <v>2.2125599108160167E-4</v>
      </c>
      <c r="Q101" s="304">
        <f t="shared" si="28"/>
        <v>0.5</v>
      </c>
      <c r="R101" s="176">
        <f t="shared" si="29"/>
        <v>0.74806245653795078</v>
      </c>
      <c r="S101" s="814">
        <f t="shared" si="30"/>
        <v>0</v>
      </c>
      <c r="T101" s="175">
        <f t="shared" si="31"/>
        <v>6</v>
      </c>
      <c r="U101" s="250">
        <f t="shared" si="32"/>
        <v>0.74806245653795078</v>
      </c>
      <c r="V101" s="382">
        <f t="shared" si="33"/>
        <v>50.664566034264475</v>
      </c>
      <c r="W101" s="401">
        <f t="shared" si="34"/>
        <v>0</v>
      </c>
      <c r="X101" s="157">
        <f t="shared" si="35"/>
        <v>44648</v>
      </c>
      <c r="Y101" s="384">
        <f t="shared" si="36"/>
        <v>34.510446539965606</v>
      </c>
      <c r="Z101" s="384">
        <f t="shared" si="37"/>
        <v>35.539531916085338</v>
      </c>
      <c r="AA101" s="385">
        <f t="shared" si="38"/>
        <v>37.829478797803056</v>
      </c>
      <c r="AB101" s="196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6.0533397617170054E-2</v>
      </c>
      <c r="AD101" s="230">
        <f>(INDEX(Models!$BJ101:$BT101,,AH101)*(1-AF101)+INDEX(Models!$BJ101:$BT101,,AH101+1)*AF101-ERP_i)*AE101*Ramure*Pc/MaxiM</f>
        <v>2.2125599108160167E-4</v>
      </c>
      <c r="AE101" s="304">
        <f t="shared" si="40"/>
        <v>0.5</v>
      </c>
      <c r="AF101" s="176">
        <f t="shared" si="41"/>
        <v>0.74806245653795078</v>
      </c>
      <c r="AG101" s="814">
        <f t="shared" si="49"/>
        <v>0</v>
      </c>
      <c r="AH101" s="175">
        <f t="shared" si="42"/>
        <v>6</v>
      </c>
      <c r="AI101" s="224">
        <f t="shared" si="43"/>
        <v>0.74806245653795078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8">
        <v>27.459</v>
      </c>
      <c r="C102" s="843"/>
      <c r="D102" s="392">
        <f t="shared" si="25"/>
        <v>28.278433142942141</v>
      </c>
      <c r="E102" s="384">
        <f t="shared" si="47"/>
        <v>29.202703481211891</v>
      </c>
      <c r="F102" s="384">
        <f t="shared" si="26"/>
        <v>29.204893491010175</v>
      </c>
      <c r="G102" s="110">
        <f t="shared" si="48"/>
        <v>0.53897745833450594</v>
      </c>
      <c r="H102" s="413" t="b">
        <f>Wh_hp&gt;='2021'!Maxi_hp</f>
        <v>0</v>
      </c>
      <c r="I102" s="379">
        <f>IF(H102,Wh_hp,'2021'!Maxi_hp)</f>
        <v>54.496222253055954</v>
      </c>
      <c r="J102" s="85">
        <f>IF(H102,An,'2021'!An_max)</f>
        <v>2021</v>
      </c>
      <c r="K102" s="196">
        <f t="shared" si="27"/>
        <v>44649</v>
      </c>
      <c r="L102" s="147">
        <f>IF(t&lt;Tvie,1-EXP((T0-t)*PertePVj)+'2021'!Pspv,1-EXP((T0-t)*PertePVj)+Pspv)</f>
        <v>2.8977317760148204E-2</v>
      </c>
      <c r="M102" s="847"/>
      <c r="N102" s="847"/>
      <c r="O102" s="48">
        <f>IF(t&lt;Tnet,'2021'!Resal+('2021'!Salim-'2021'!Resal)*(1-EXP(('2021'!Tnet-t)/('2021'!Tau_j))),Resal+(Salim-Resal)*(1-EXP((Tnet-t)/(Tau_j))))*Salcycl</f>
        <v>3.1650163446832802E-2</v>
      </c>
      <c r="P102" s="338">
        <f>(INDEX(Models!$BJ102:$BT102,,T102)*(1-R102)+INDEX(Models!$BJ102:$BT102,,T102+1)*R102-ERP_i)*Q102*Ramure*Pc/MaxiM</f>
        <v>2.1957854389895889E-4</v>
      </c>
      <c r="Q102" s="304">
        <f t="shared" si="28"/>
        <v>0.5</v>
      </c>
      <c r="R102" s="176">
        <f t="shared" si="29"/>
        <v>0.74861012590858267</v>
      </c>
      <c r="S102" s="814">
        <f t="shared" si="30"/>
        <v>0</v>
      </c>
      <c r="T102" s="175">
        <f t="shared" si="31"/>
        <v>6</v>
      </c>
      <c r="U102" s="250">
        <f t="shared" si="32"/>
        <v>0.74861012590858267</v>
      </c>
      <c r="V102" s="382">
        <f t="shared" si="33"/>
        <v>50.939105076852783</v>
      </c>
      <c r="W102" s="401">
        <f t="shared" si="34"/>
        <v>0</v>
      </c>
      <c r="X102" s="157">
        <f t="shared" si="35"/>
        <v>44649</v>
      </c>
      <c r="Y102" s="384">
        <f t="shared" si="36"/>
        <v>26.638005889614252</v>
      </c>
      <c r="Z102" s="384">
        <f t="shared" si="37"/>
        <v>27.432938876534312</v>
      </c>
      <c r="AA102" s="385">
        <f t="shared" si="38"/>
        <v>29.202703481211891</v>
      </c>
      <c r="AB102" s="196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6.0602765967068477E-2</v>
      </c>
      <c r="AD102" s="230">
        <f>(INDEX(Models!$BJ102:$BT102,,AH102)*(1-AF102)+INDEX(Models!$BJ102:$BT102,,AH102+1)*AF102-ERP_i)*AE102*Ramure*Pc/MaxiM</f>
        <v>2.1957854389895889E-4</v>
      </c>
      <c r="AE102" s="304">
        <f t="shared" si="40"/>
        <v>0.5</v>
      </c>
      <c r="AF102" s="176">
        <f t="shared" si="41"/>
        <v>0.74861012590858267</v>
      </c>
      <c r="AG102" s="814">
        <f t="shared" si="49"/>
        <v>0</v>
      </c>
      <c r="AH102" s="175">
        <f t="shared" si="42"/>
        <v>6</v>
      </c>
      <c r="AI102" s="224">
        <f t="shared" si="43"/>
        <v>0.74861012590858267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8">
        <v>6.97</v>
      </c>
      <c r="C103" s="843"/>
      <c r="D103" s="392">
        <f t="shared" si="25"/>
        <v>7.1781561883658398</v>
      </c>
      <c r="E103" s="384">
        <f t="shared" si="47"/>
        <v>7.4135138302037999</v>
      </c>
      <c r="F103" s="384">
        <f t="shared" si="26"/>
        <v>7.4135138302037999</v>
      </c>
      <c r="G103" s="110">
        <f t="shared" si="48"/>
        <v>0.13608513519389259</v>
      </c>
      <c r="H103" s="413" t="b">
        <f>Wh_hp&gt;='2021'!Maxi_hp</f>
        <v>0</v>
      </c>
      <c r="I103" s="379">
        <f>IF(H103,Wh_hp,'2021'!Maxi_hp)</f>
        <v>54.590031723801168</v>
      </c>
      <c r="J103" s="85">
        <f>IF(H103,An,'2021'!An_max)</f>
        <v>2019</v>
      </c>
      <c r="K103" s="196">
        <f t="shared" si="27"/>
        <v>44650</v>
      </c>
      <c r="L103" s="147">
        <f>IF(t&lt;Tvie,1-EXP((T0-t)*PertePVj)+'2021'!Pspv,1-EXP((T0-t)*PertePVj)+Pspv)</f>
        <v>2.8998559365873568E-2</v>
      </c>
      <c r="M103" s="847"/>
      <c r="N103" s="847"/>
      <c r="O103" s="48">
        <f>IF(t&lt;Tnet,'2021'!Resal+('2021'!Salim-'2021'!Resal)*(1-EXP(('2021'!Tnet-t)/('2021'!Tau_j))),Resal+(Salim-Resal)*(1-EXP((Tnet-t)/(Tau_j))))*Salcycl</f>
        <v>3.1747110375524946E-2</v>
      </c>
      <c r="P103" s="338">
        <f>(INDEX(Models!$BJ103:$BT103,,T103)*(1-R103)+INDEX(Models!$BJ103:$BT103,,T103+1)*R103-ERP_i)*Q103*Ramure*Pc/MaxiM</f>
        <v>2.1774305142523148E-4</v>
      </c>
      <c r="Q103" s="304">
        <f t="shared" si="28"/>
        <v>0.5</v>
      </c>
      <c r="R103" s="176">
        <f t="shared" si="29"/>
        <v>0.74917855051955362</v>
      </c>
      <c r="S103" s="814">
        <f t="shared" si="30"/>
        <v>0</v>
      </c>
      <c r="T103" s="175">
        <f t="shared" si="31"/>
        <v>6</v>
      </c>
      <c r="U103" s="250">
        <f t="shared" si="32"/>
        <v>0.74917855051955362</v>
      </c>
      <c r="V103" s="382">
        <f t="shared" si="33"/>
        <v>51.206785524392139</v>
      </c>
      <c r="W103" s="401">
        <f t="shared" si="34"/>
        <v>0</v>
      </c>
      <c r="X103" s="157">
        <f t="shared" si="35"/>
        <v>44650</v>
      </c>
      <c r="Y103" s="384">
        <f t="shared" si="36"/>
        <v>6.7617789572826101</v>
      </c>
      <c r="Z103" s="384">
        <f t="shared" si="37"/>
        <v>6.9637167096958512</v>
      </c>
      <c r="AA103" s="385">
        <f t="shared" si="38"/>
        <v>7.4135138302037999</v>
      </c>
      <c r="AB103" s="196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6.0672594778930049E-2</v>
      </c>
      <c r="AD103" s="230">
        <f>(INDEX(Models!$BJ103:$BT103,,AH103)*(1-AF103)+INDEX(Models!$BJ103:$BT103,,AH103+1)*AF103-ERP_i)*AE103*Ramure*Pc/MaxiM</f>
        <v>2.1774305142523148E-4</v>
      </c>
      <c r="AE103" s="304">
        <f t="shared" si="40"/>
        <v>0.5</v>
      </c>
      <c r="AF103" s="176">
        <f t="shared" si="41"/>
        <v>0.74917855051955362</v>
      </c>
      <c r="AG103" s="814">
        <f t="shared" si="49"/>
        <v>0</v>
      </c>
      <c r="AH103" s="175">
        <f t="shared" si="42"/>
        <v>6</v>
      </c>
      <c r="AI103" s="224">
        <f t="shared" si="43"/>
        <v>0.74917855051955362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8">
        <v>27.733000000000001</v>
      </c>
      <c r="C104" s="843"/>
      <c r="D104" s="392">
        <f t="shared" si="25"/>
        <v>28.561859463727881</v>
      </c>
      <c r="E104" s="384">
        <f t="shared" si="47"/>
        <v>29.501306799638993</v>
      </c>
      <c r="F104" s="384">
        <f t="shared" si="26"/>
        <v>29.503478833438599</v>
      </c>
      <c r="G104" s="110">
        <f t="shared" si="48"/>
        <v>0.53877676280718645</v>
      </c>
      <c r="H104" s="413" t="b">
        <f>Wh_hp&gt;='2021'!Maxi_hp</f>
        <v>0</v>
      </c>
      <c r="I104" s="379">
        <f>IF(H104,Wh_hp,'2021'!Maxi_hp)</f>
        <v>49.035449054954384</v>
      </c>
      <c r="J104" s="85">
        <f>IF(H104,An,'2021'!An_max)</f>
        <v>2021</v>
      </c>
      <c r="K104" s="196">
        <f t="shared" si="27"/>
        <v>44651</v>
      </c>
      <c r="L104" s="147">
        <f>IF(t&lt;Tvie,1-EXP((T0-t)*PertePVj)+'2021'!Pspv,1-EXP((T0-t)*PertePVj)+Pspv)</f>
        <v>2.9019800506353201E-2</v>
      </c>
      <c r="M104" s="847"/>
      <c r="N104" s="847"/>
      <c r="O104" s="48">
        <f>IF(t&lt;Tnet,'2021'!Resal+('2021'!Salim-'2021'!Resal)*(1-EXP(('2021'!Tnet-t)/('2021'!Tau_j))),Resal+(Salim-Resal)*(1-EXP((Tnet-t)/(Tau_j))))*Salcycl</f>
        <v>3.1844261757333639E-2</v>
      </c>
      <c r="P104" s="338">
        <f>(INDEX(Models!$BJ104:$BT104,,T104)*(1-R104)+INDEX(Models!$BJ104:$BT104,,T104+1)*R104-ERP_i)*Q104*Ramure*Pc/MaxiM</f>
        <v>2.157545878110375E-4</v>
      </c>
      <c r="Q104" s="304">
        <f t="shared" si="28"/>
        <v>0.5</v>
      </c>
      <c r="R104" s="176">
        <f t="shared" si="29"/>
        <v>0.74976842520975218</v>
      </c>
      <c r="S104" s="814">
        <f t="shared" si="30"/>
        <v>0</v>
      </c>
      <c r="T104" s="175">
        <f t="shared" si="31"/>
        <v>6</v>
      </c>
      <c r="U104" s="250">
        <f t="shared" si="32"/>
        <v>0.74976842520975218</v>
      </c>
      <c r="V104" s="382">
        <f t="shared" si="33"/>
        <v>51.46669231837155</v>
      </c>
      <c r="W104" s="401">
        <f t="shared" si="34"/>
        <v>0</v>
      </c>
      <c r="X104" s="157">
        <f t="shared" si="35"/>
        <v>44651</v>
      </c>
      <c r="Y104" s="384">
        <f t="shared" si="36"/>
        <v>26.905192939410316</v>
      </c>
      <c r="Z104" s="384">
        <f t="shared" si="37"/>
        <v>27.709311635233156</v>
      </c>
      <c r="AA104" s="385">
        <f t="shared" si="38"/>
        <v>29.501306799638993</v>
      </c>
      <c r="AB104" s="196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6.0742907986291818E-2</v>
      </c>
      <c r="AD104" s="230">
        <f>(INDEX(Models!$BJ104:$BT104,,AH104)*(1-AF104)+INDEX(Models!$BJ104:$BT104,,AH104+1)*AF104-ERP_i)*AE104*Ramure*Pc/MaxiM</f>
        <v>2.157545878110375E-4</v>
      </c>
      <c r="AE104" s="304">
        <f t="shared" si="40"/>
        <v>0.5</v>
      </c>
      <c r="AF104" s="176">
        <f t="shared" si="41"/>
        <v>0.74976842520975218</v>
      </c>
      <c r="AG104" s="814">
        <f t="shared" si="49"/>
        <v>0</v>
      </c>
      <c r="AH104" s="175">
        <f t="shared" si="42"/>
        <v>6</v>
      </c>
      <c r="AI104" s="224">
        <f t="shared" si="43"/>
        <v>0.74976842520975218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8">
        <v>30.245000000000001</v>
      </c>
      <c r="C105" s="843"/>
      <c r="D105" s="392">
        <f t="shared" si="25"/>
        <v>31.149617319362612</v>
      </c>
      <c r="E105" s="384">
        <f t="shared" si="47"/>
        <v>32.177416504789086</v>
      </c>
      <c r="F105" s="384">
        <f t="shared" si="26"/>
        <v>32.18021341648307</v>
      </c>
      <c r="G105" s="110">
        <f t="shared" si="48"/>
        <v>0.58473296806641351</v>
      </c>
      <c r="H105" s="413" t="b">
        <f>Wh_hp&gt;='2021'!Maxi_hp</f>
        <v>0</v>
      </c>
      <c r="I105" s="379">
        <f>IF(H105,Wh_hp,'2021'!Maxi_hp)</f>
        <v>50.125309607744178</v>
      </c>
      <c r="J105" s="85">
        <f>IF(H105,An,'2021'!An_max)</f>
        <v>2021</v>
      </c>
      <c r="K105" s="196">
        <f t="shared" si="27"/>
        <v>44652</v>
      </c>
      <c r="L105" s="147">
        <f>IF(t&lt;Tvie,1-EXP((T0-t)*PertePVj)+'2021'!Pspv,1-EXP((T0-t)*PertePVj)+Pspv)</f>
        <v>2.9041041181597428E-2</v>
      </c>
      <c r="M105" s="847"/>
      <c r="N105" s="847"/>
      <c r="O105" s="48">
        <f>IF(t&lt;Tnet,'2021'!Resal+('2021'!Salim-'2021'!Resal)*(1-EXP(('2021'!Tnet-t)/('2021'!Tau_j))),Resal+(Salim-Resal)*(1-EXP((Tnet-t)/(Tau_j))))*Salcycl</f>
        <v>3.1941631649436683E-2</v>
      </c>
      <c r="P105" s="338">
        <f>(INDEX(Models!$BJ105:$BT105,,T105)*(1-R105)+INDEX(Models!$BJ105:$BT105,,T105+1)*R105-ERP_i)*Q105*Ramure*Pc/MaxiM</f>
        <v>2.1361763680609371E-4</v>
      </c>
      <c r="Q105" s="304">
        <f t="shared" si="28"/>
        <v>0.5</v>
      </c>
      <c r="R105" s="176">
        <f t="shared" si="29"/>
        <v>0.75038046065132336</v>
      </c>
      <c r="S105" s="814">
        <f t="shared" si="30"/>
        <v>0</v>
      </c>
      <c r="T105" s="175">
        <f t="shared" si="31"/>
        <v>6</v>
      </c>
      <c r="U105" s="250">
        <f t="shared" si="32"/>
        <v>0.75038046065132336</v>
      </c>
      <c r="V105" s="382">
        <f t="shared" si="33"/>
        <v>51.717910854243051</v>
      </c>
      <c r="W105" s="401">
        <f t="shared" si="34"/>
        <v>0</v>
      </c>
      <c r="X105" s="157">
        <f t="shared" si="35"/>
        <v>44652</v>
      </c>
      <c r="Y105" s="384">
        <f t="shared" si="36"/>
        <v>29.342950474841054</v>
      </c>
      <c r="Z105" s="384">
        <f t="shared" si="37"/>
        <v>30.22058780996225</v>
      </c>
      <c r="AA105" s="385">
        <f t="shared" si="38"/>
        <v>32.177416504789086</v>
      </c>
      <c r="AB105" s="196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6.0813729235707673E-2</v>
      </c>
      <c r="AD105" s="230">
        <f>(INDEX(Models!$BJ105:$BT105,,AH105)*(1-AF105)+INDEX(Models!$BJ105:$BT105,,AH105+1)*AF105-ERP_i)*AE105*Ramure*Pc/MaxiM</f>
        <v>2.1361763680609371E-4</v>
      </c>
      <c r="AE105" s="304">
        <f t="shared" si="40"/>
        <v>0.5</v>
      </c>
      <c r="AF105" s="176">
        <f t="shared" si="41"/>
        <v>0.75038046065132336</v>
      </c>
      <c r="AG105" s="814">
        <f t="shared" si="49"/>
        <v>0</v>
      </c>
      <c r="AH105" s="175">
        <f t="shared" si="42"/>
        <v>6</v>
      </c>
      <c r="AI105" s="224">
        <f t="shared" si="43"/>
        <v>0.75038046065132336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8">
        <v>19.936</v>
      </c>
      <c r="C106" s="843"/>
      <c r="D106" s="392">
        <f t="shared" si="25"/>
        <v>20.532727916445225</v>
      </c>
      <c r="E106" s="384">
        <f t="shared" si="47"/>
        <v>21.212355539559393</v>
      </c>
      <c r="F106" s="384">
        <f t="shared" si="26"/>
        <v>21.212891476860474</v>
      </c>
      <c r="G106" s="110">
        <f t="shared" si="48"/>
        <v>0.38361185214289767</v>
      </c>
      <c r="H106" s="413" t="b">
        <f>Wh_hp&gt;='2021'!Maxi_hp</f>
        <v>0</v>
      </c>
      <c r="I106" s="379">
        <f>IF(H106,Wh_hp,'2021'!Maxi_hp)</f>
        <v>43.183256148076218</v>
      </c>
      <c r="J106" s="85">
        <f>IF(H106,An,'2021'!An_max)</f>
        <v>2020</v>
      </c>
      <c r="K106" s="196">
        <f t="shared" si="27"/>
        <v>44653</v>
      </c>
      <c r="L106" s="147">
        <f>IF(t&lt;Tvie,1-EXP((T0-t)*PertePVj)+'2021'!Pspv,1-EXP((T0-t)*PertePVj)+Pspv)</f>
        <v>2.9062281391616242E-2</v>
      </c>
      <c r="M106" s="847"/>
      <c r="N106" s="847"/>
      <c r="O106" s="48">
        <f>IF(t&lt;Tnet,'2021'!Resal+('2021'!Salim-'2021'!Resal)*(1-EXP(('2021'!Tnet-t)/('2021'!Tau_j))),Resal+(Salim-Resal)*(1-EXP((Tnet-t)/(Tau_j))))*Salcycl</f>
        <v>3.2039234013719796E-2</v>
      </c>
      <c r="P106" s="338">
        <f>(INDEX(Models!$BJ106:$BT106,,T106)*(1-R106)+INDEX(Models!$BJ106:$BT106,,T106+1)*R106-ERP_i)*Q106*Ramure*Pc/MaxiM</f>
        <v>2.1133607378263876E-4</v>
      </c>
      <c r="Q106" s="304">
        <f t="shared" si="28"/>
        <v>0.5</v>
      </c>
      <c r="R106" s="176">
        <f t="shared" si="29"/>
        <v>0.75101538308098692</v>
      </c>
      <c r="S106" s="814">
        <f t="shared" si="30"/>
        <v>0</v>
      </c>
      <c r="T106" s="175">
        <f t="shared" si="31"/>
        <v>6</v>
      </c>
      <c r="U106" s="250">
        <f t="shared" si="32"/>
        <v>0.75101538308098692</v>
      </c>
      <c r="V106" s="382">
        <f t="shared" si="33"/>
        <v>51.959526995816631</v>
      </c>
      <c r="W106" s="401">
        <f t="shared" si="34"/>
        <v>0</v>
      </c>
      <c r="X106" s="157">
        <f t="shared" si="35"/>
        <v>44653</v>
      </c>
      <c r="Y106" s="384">
        <f t="shared" si="36"/>
        <v>19.341894492462533</v>
      </c>
      <c r="Z106" s="384">
        <f t="shared" si="37"/>
        <v>19.920839536633409</v>
      </c>
      <c r="AA106" s="385">
        <f t="shared" si="38"/>
        <v>21.212355539559393</v>
      </c>
      <c r="AB106" s="196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6.0885081834377443E-2</v>
      </c>
      <c r="AD106" s="230">
        <f>(INDEX(Models!$BJ106:$BT106,,AH106)*(1-AF106)+INDEX(Models!$BJ106:$BT106,,AH106+1)*AF106-ERP_i)*AE106*Ramure*Pc/MaxiM</f>
        <v>2.1133607378263876E-4</v>
      </c>
      <c r="AE106" s="304">
        <f t="shared" si="40"/>
        <v>0.5</v>
      </c>
      <c r="AF106" s="176">
        <f t="shared" si="41"/>
        <v>0.75101538308098692</v>
      </c>
      <c r="AG106" s="814">
        <f t="shared" si="49"/>
        <v>0</v>
      </c>
      <c r="AH106" s="175">
        <f t="shared" si="42"/>
        <v>6</v>
      </c>
      <c r="AI106" s="224">
        <f t="shared" si="43"/>
        <v>0.75101538308098692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8">
        <v>25.087</v>
      </c>
      <c r="C107" s="843"/>
      <c r="D107" s="392">
        <f t="shared" si="25"/>
        <v>25.83847379886204</v>
      </c>
      <c r="E107" s="384">
        <f t="shared" si="47"/>
        <v>26.696418817885267</v>
      </c>
      <c r="F107" s="384">
        <f t="shared" si="26"/>
        <v>26.697858206884817</v>
      </c>
      <c r="G107" s="110">
        <f t="shared" si="48"/>
        <v>0.48058254998330829</v>
      </c>
      <c r="H107" s="413" t="b">
        <f>Wh_hp&gt;='2021'!Maxi_hp</f>
        <v>0</v>
      </c>
      <c r="I107" s="379">
        <f>IF(H107,Wh_hp,'2021'!Maxi_hp)</f>
        <v>51.063430423468454</v>
      </c>
      <c r="J107" s="85">
        <f>IF(H107,An,'2021'!An_max)</f>
        <v>2021</v>
      </c>
      <c r="K107" s="196">
        <f t="shared" si="27"/>
        <v>44654</v>
      </c>
      <c r="L107" s="147">
        <f>IF(t&lt;Tvie,1-EXP((T0-t)*PertePVj)+'2021'!Pspv,1-EXP((T0-t)*PertePVj)+Pspv)</f>
        <v>2.9083521136420078E-2</v>
      </c>
      <c r="M107" s="847"/>
      <c r="N107" s="847"/>
      <c r="O107" s="48">
        <f>IF(t&lt;Tnet,'2021'!Resal+('2021'!Salim-'2021'!Resal)*(1-EXP(('2021'!Tnet-t)/('2021'!Tau_j))),Resal+(Salim-Resal)*(1-EXP((Tnet-t)/(Tau_j))))*Salcycl</f>
        <v>3.2137082687976333E-2</v>
      </c>
      <c r="P107" s="338">
        <f>(INDEX(Models!$BJ107:$BT107,,T107)*(1-R107)+INDEX(Models!$BJ107:$BT107,,T107+1)*R107-ERP_i)*Q107*Ramure*Pc/MaxiM</f>
        <v>2.0890309844442262E-4</v>
      </c>
      <c r="Q107" s="304">
        <f t="shared" si="28"/>
        <v>0.5</v>
      </c>
      <c r="R107" s="176">
        <f t="shared" si="29"/>
        <v>0.75167393396387505</v>
      </c>
      <c r="S107" s="814">
        <f t="shared" si="30"/>
        <v>0</v>
      </c>
      <c r="T107" s="175">
        <f t="shared" si="31"/>
        <v>6</v>
      </c>
      <c r="U107" s="250">
        <f t="shared" si="32"/>
        <v>0.75167393396387505</v>
      </c>
      <c r="V107" s="382">
        <f t="shared" si="33"/>
        <v>52.193138474024373</v>
      </c>
      <c r="W107" s="401">
        <f t="shared" si="34"/>
        <v>0</v>
      </c>
      <c r="X107" s="157">
        <f t="shared" si="35"/>
        <v>44654</v>
      </c>
      <c r="Y107" s="384">
        <f t="shared" si="36"/>
        <v>24.339988239151108</v>
      </c>
      <c r="Z107" s="384">
        <f t="shared" si="37"/>
        <v>25.069085517675134</v>
      </c>
      <c r="AA107" s="385">
        <f t="shared" si="38"/>
        <v>26.696418817885267</v>
      </c>
      <c r="AB107" s="196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6.0956988699918835E-2</v>
      </c>
      <c r="AD107" s="230">
        <f>(INDEX(Models!$BJ107:$BT107,,AH107)*(1-AF107)+INDEX(Models!$BJ107:$BT107,,AH107+1)*AF107-ERP_i)*AE107*Ramure*Pc/MaxiM</f>
        <v>2.0890309844442262E-4</v>
      </c>
      <c r="AE107" s="304">
        <f t="shared" si="40"/>
        <v>0.5</v>
      </c>
      <c r="AF107" s="176">
        <f t="shared" si="41"/>
        <v>0.75167393396387505</v>
      </c>
      <c r="AG107" s="814">
        <f t="shared" si="49"/>
        <v>0</v>
      </c>
      <c r="AH107" s="175">
        <f t="shared" si="42"/>
        <v>6</v>
      </c>
      <c r="AI107" s="224">
        <f t="shared" si="43"/>
        <v>0.75167393396387505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8">
        <v>44.477000000000004</v>
      </c>
      <c r="C108" s="843"/>
      <c r="D108" s="392">
        <f t="shared" si="25"/>
        <v>45.810297740318468</v>
      </c>
      <c r="E108" s="384">
        <f t="shared" si="47"/>
        <v>47.336188845919409</v>
      </c>
      <c r="F108" s="384">
        <f t="shared" si="26"/>
        <v>47.343837738987432</v>
      </c>
      <c r="G108" s="110">
        <f t="shared" si="48"/>
        <v>0.84842156318822737</v>
      </c>
      <c r="H108" s="413" t="b">
        <f>Wh_hp&gt;='2021'!Maxi_hp</f>
        <v>0</v>
      </c>
      <c r="I108" s="379">
        <f>IF(H108,Wh_hp,'2021'!Maxi_hp)</f>
        <v>56.358160230802568</v>
      </c>
      <c r="J108" s="85">
        <f>IF(H108,An,'2021'!An_max)</f>
        <v>2020</v>
      </c>
      <c r="K108" s="196">
        <f t="shared" si="27"/>
        <v>44655</v>
      </c>
      <c r="L108" s="147">
        <f>IF(t&lt;Tvie,1-EXP((T0-t)*PertePVj)+'2021'!Pspv,1-EXP((T0-t)*PertePVj)+Pspv)</f>
        <v>2.9104760416018928E-2</v>
      </c>
      <c r="M108" s="847"/>
      <c r="N108" s="847"/>
      <c r="O108" s="48">
        <f>IF(t&lt;Tnet,'2021'!Resal+('2021'!Salim-'2021'!Resal)*(1-EXP(('2021'!Tnet-t)/('2021'!Tau_j))),Resal+(Salim-Resal)*(1-EXP((Tnet-t)/(Tau_j))))*Salcycl</f>
        <v>3.2235191357879667E-2</v>
      </c>
      <c r="P108" s="338">
        <f>(INDEX(Models!$BJ108:$BT108,,T108)*(1-R108)+INDEX(Models!$BJ108:$BT108,,T108+1)*R108-ERP_i)*Q108*Ramure*Pc/MaxiM</f>
        <v>2.0619999527115801E-4</v>
      </c>
      <c r="Q108" s="304">
        <f t="shared" si="28"/>
        <v>0.5</v>
      </c>
      <c r="R108" s="176">
        <f t="shared" si="29"/>
        <v>0.75235686958478665</v>
      </c>
      <c r="S108" s="814">
        <f t="shared" si="30"/>
        <v>0</v>
      </c>
      <c r="T108" s="175">
        <f t="shared" si="31"/>
        <v>6</v>
      </c>
      <c r="U108" s="250">
        <f t="shared" si="32"/>
        <v>0.75235686958478665</v>
      </c>
      <c r="V108" s="382">
        <f t="shared" si="33"/>
        <v>52.420890954554793</v>
      </c>
      <c r="W108" s="401">
        <f t="shared" si="34"/>
        <v>0</v>
      </c>
      <c r="X108" s="157">
        <f t="shared" si="35"/>
        <v>44655</v>
      </c>
      <c r="Y108" s="384">
        <f t="shared" si="36"/>
        <v>43.15365860282855</v>
      </c>
      <c r="Z108" s="384">
        <f t="shared" si="37"/>
        <v>44.447286219386001</v>
      </c>
      <c r="AA108" s="385">
        <f t="shared" si="38"/>
        <v>47.336188845919409</v>
      </c>
      <c r="AB108" s="196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6.1029472312121837E-2</v>
      </c>
      <c r="AD108" s="230">
        <f>(INDEX(Models!$BJ108:$BT108,,AH108)*(1-AF108)+INDEX(Models!$BJ108:$BT108,,AH108+1)*AF108-ERP_i)*AE108*Ramure*Pc/MaxiM</f>
        <v>2.0619999527115801E-4</v>
      </c>
      <c r="AE108" s="304">
        <f t="shared" si="40"/>
        <v>0.5</v>
      </c>
      <c r="AF108" s="176">
        <f t="shared" si="41"/>
        <v>0.75235686958478665</v>
      </c>
      <c r="AG108" s="814">
        <f t="shared" si="49"/>
        <v>0</v>
      </c>
      <c r="AH108" s="175">
        <f t="shared" si="42"/>
        <v>6</v>
      </c>
      <c r="AI108" s="224">
        <f t="shared" si="43"/>
        <v>0.75235686958478665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8">
        <v>52.743000000000002</v>
      </c>
      <c r="C109" s="843"/>
      <c r="D109" s="392">
        <f t="shared" si="25"/>
        <v>54.325278005377136</v>
      </c>
      <c r="E109" s="384">
        <f t="shared" si="47"/>
        <v>56.140501023201544</v>
      </c>
      <c r="F109" s="384">
        <f t="shared" si="26"/>
        <v>56.151929184528953</v>
      </c>
      <c r="G109" s="110">
        <f t="shared" si="48"/>
        <v>1.0019058973129336</v>
      </c>
      <c r="H109" s="413" t="b">
        <f>Wh_hp&gt;='2021'!Maxi_hp</f>
        <v>0</v>
      </c>
      <c r="I109" s="379">
        <f>IF(H109,Wh_hp,'2021'!Maxi_hp)</f>
        <v>58.338550286510831</v>
      </c>
      <c r="J109" s="85">
        <f>IF(H109,An,'2021'!An_max)</f>
        <v>2020</v>
      </c>
      <c r="K109" s="196">
        <f t="shared" si="27"/>
        <v>44656</v>
      </c>
      <c r="L109" s="147">
        <f>IF(t&lt;Tvie,1-EXP((T0-t)*PertePVj)+'2021'!Pspv,1-EXP((T0-t)*PertePVj)+Pspv)</f>
        <v>2.9125999230423007E-2</v>
      </c>
      <c r="M109" s="847"/>
      <c r="N109" s="847"/>
      <c r="O109" s="48">
        <f>IF(t&lt;Tnet,'2021'!Resal+('2021'!Salim-'2021'!Resal)*(1-EXP(('2021'!Tnet-t)/('2021'!Tau_j))),Resal+(Salim-Resal)*(1-EXP((Tnet-t)/(Tau_j))))*Salcycl</f>
        <v>3.2333573529638039E-2</v>
      </c>
      <c r="P109" s="338">
        <f>(INDEX(Models!$BJ109:$BT109,,T109)*(1-R109)+INDEX(Models!$BJ109:$BT109,,T109+1)*R109-ERP_i)*Q109*Ramure*Pc/MaxiM</f>
        <v>2.0352214952144981E-4</v>
      </c>
      <c r="Q109" s="304">
        <f t="shared" si="28"/>
        <v>0.5</v>
      </c>
      <c r="R109" s="176">
        <f t="shared" si="29"/>
        <v>0.753064960561598</v>
      </c>
      <c r="S109" s="814">
        <f t="shared" si="30"/>
        <v>0</v>
      </c>
      <c r="T109" s="175">
        <f t="shared" si="31"/>
        <v>6</v>
      </c>
      <c r="U109" s="250">
        <f t="shared" si="32"/>
        <v>0.753064960561598</v>
      </c>
      <c r="V109" s="382">
        <f t="shared" si="33"/>
        <v>52.642668479599074</v>
      </c>
      <c r="W109" s="401">
        <f t="shared" si="34"/>
        <v>0</v>
      </c>
      <c r="X109" s="157">
        <f t="shared" si="35"/>
        <v>44656</v>
      </c>
      <c r="Y109" s="384">
        <f t="shared" si="36"/>
        <v>51.17493653247292</v>
      </c>
      <c r="Z109" s="384">
        <f t="shared" si="37"/>
        <v>52.71017299042758</v>
      </c>
      <c r="AA109" s="385">
        <f t="shared" si="38"/>
        <v>56.140501023201544</v>
      </c>
      <c r="AB109" s="196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6.1102554666483892E-2</v>
      </c>
      <c r="AD109" s="230">
        <f>(INDEX(Models!$BJ109:$BT109,,AH109)*(1-AF109)+INDEX(Models!$BJ109:$BT109,,AH109+1)*AF109-ERP_i)*AE109*Ramure*Pc/MaxiM</f>
        <v>2.0352214952144981E-4</v>
      </c>
      <c r="AE109" s="304">
        <f t="shared" si="40"/>
        <v>0.5</v>
      </c>
      <c r="AF109" s="176">
        <f t="shared" si="41"/>
        <v>0.753064960561598</v>
      </c>
      <c r="AG109" s="814">
        <f t="shared" si="49"/>
        <v>0</v>
      </c>
      <c r="AH109" s="175">
        <f t="shared" si="42"/>
        <v>6</v>
      </c>
      <c r="AI109" s="224">
        <f t="shared" si="43"/>
        <v>0.753064960561598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8">
        <v>11.785</v>
      </c>
      <c r="C110" s="843"/>
      <c r="D110" s="392">
        <f t="shared" si="25"/>
        <v>12.138812862436252</v>
      </c>
      <c r="E110" s="384">
        <f t="shared" si="47"/>
        <v>12.545697981752618</v>
      </c>
      <c r="F110" s="384">
        <f t="shared" si="26"/>
        <v>12.545697981752618</v>
      </c>
      <c r="G110" s="110">
        <f t="shared" si="48"/>
        <v>0.22290949646018751</v>
      </c>
      <c r="H110" s="413" t="b">
        <f>Wh_hp&gt;='2021'!Maxi_hp</f>
        <v>0</v>
      </c>
      <c r="I110" s="379">
        <f>IF(H110,Wh_hp,'2021'!Maxi_hp)</f>
        <v>58.925500878405153</v>
      </c>
      <c r="J110" s="85">
        <f>IF(H110,An,'2021'!An_max)</f>
        <v>2020</v>
      </c>
      <c r="K110" s="196">
        <f t="shared" si="27"/>
        <v>44657</v>
      </c>
      <c r="L110" s="147">
        <f>IF(t&lt;Tvie,1-EXP((T0-t)*PertePVj)+'2021'!Pspv,1-EXP((T0-t)*PertePVj)+Pspv)</f>
        <v>2.9147237579642639E-2</v>
      </c>
      <c r="M110" s="847"/>
      <c r="N110" s="847"/>
      <c r="O110" s="48">
        <f>IF(t&lt;Tnet,'2021'!Resal+('2021'!Salim-'2021'!Resal)*(1-EXP(('2021'!Tnet-t)/('2021'!Tau_j))),Resal+(Salim-Resal)*(1-EXP((Tnet-t)/(Tau_j))))*Salcycl</f>
        <v>3.2432242503220535E-2</v>
      </c>
      <c r="P110" s="338">
        <f>(INDEX(Models!$BJ110:$BT110,,T110)*(1-R110)+INDEX(Models!$BJ110:$BT110,,T110+1)*R110-ERP_i)*Q110*Ramure*Pc/MaxiM</f>
        <v>2.0086849748601705E-4</v>
      </c>
      <c r="Q110" s="304">
        <f t="shared" si="28"/>
        <v>0.5</v>
      </c>
      <c r="R110" s="176">
        <f t="shared" si="29"/>
        <v>0.75379899127542205</v>
      </c>
      <c r="S110" s="814">
        <f t="shared" si="30"/>
        <v>0</v>
      </c>
      <c r="T110" s="175">
        <f t="shared" si="31"/>
        <v>6</v>
      </c>
      <c r="U110" s="250">
        <f t="shared" si="32"/>
        <v>0.75379899127542205</v>
      </c>
      <c r="V110" s="382">
        <f t="shared" si="33"/>
        <v>52.858370557853519</v>
      </c>
      <c r="W110" s="401">
        <f t="shared" si="34"/>
        <v>0</v>
      </c>
      <c r="X110" s="157">
        <f t="shared" si="35"/>
        <v>44657</v>
      </c>
      <c r="Y110" s="384">
        <f t="shared" si="36"/>
        <v>11.434897166454698</v>
      </c>
      <c r="Z110" s="384">
        <f t="shared" si="37"/>
        <v>11.778199134899969</v>
      </c>
      <c r="AA110" s="385">
        <f t="shared" si="38"/>
        <v>12.545697981752618</v>
      </c>
      <c r="AB110" s="196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6.1176257229287247E-2</v>
      </c>
      <c r="AD110" s="230">
        <f>(INDEX(Models!$BJ110:$BT110,,AH110)*(1-AF110)+INDEX(Models!$BJ110:$BT110,,AH110+1)*AF110-ERP_i)*AE110*Ramure*Pc/MaxiM</f>
        <v>2.0086849748601705E-4</v>
      </c>
      <c r="AE110" s="304">
        <f t="shared" si="40"/>
        <v>0.5</v>
      </c>
      <c r="AF110" s="176">
        <f t="shared" si="41"/>
        <v>0.75379899127542205</v>
      </c>
      <c r="AG110" s="814">
        <f t="shared" si="49"/>
        <v>0</v>
      </c>
      <c r="AH110" s="175">
        <f t="shared" si="42"/>
        <v>6</v>
      </c>
      <c r="AI110" s="224">
        <f t="shared" si="43"/>
        <v>0.75379899127542205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8">
        <v>40.295000000000002</v>
      </c>
      <c r="C111" s="843"/>
      <c r="D111" s="392">
        <f t="shared" si="25"/>
        <v>41.505656729931253</v>
      </c>
      <c r="E111" s="384">
        <f t="shared" si="47"/>
        <v>42.901287583320837</v>
      </c>
      <c r="F111" s="384">
        <f t="shared" si="26"/>
        <v>42.906868707081934</v>
      </c>
      <c r="G111" s="110">
        <f t="shared" si="48"/>
        <v>0.75925852518006387</v>
      </c>
      <c r="H111" s="413" t="b">
        <f>Wh_hp&gt;='2021'!Maxi_hp</f>
        <v>0</v>
      </c>
      <c r="I111" s="379">
        <f>IF(H111,Wh_hp,'2021'!Maxi_hp)</f>
        <v>56.811227959193118</v>
      </c>
      <c r="J111" s="85">
        <f>IF(H111,An,'2021'!An_max)</f>
        <v>2021</v>
      </c>
      <c r="K111" s="196">
        <f t="shared" si="27"/>
        <v>44658</v>
      </c>
      <c r="L111" s="147">
        <f>IF(t&lt;Tvie,1-EXP((T0-t)*PertePVj)+'2021'!Pspv,1-EXP((T0-t)*PertePVj)+Pspv)</f>
        <v>2.9168475463687817E-2</v>
      </c>
      <c r="M111" s="847"/>
      <c r="N111" s="847"/>
      <c r="O111" s="48">
        <f>IF(t&lt;Tnet,'2021'!Resal+('2021'!Salim-'2021'!Resal)*(1-EXP(('2021'!Tnet-t)/('2021'!Tau_j))),Resal+(Salim-Resal)*(1-EXP((Tnet-t)/(Tau_j))))*Salcycl</f>
        <v>3.2531211346024477E-2</v>
      </c>
      <c r="P111" s="338">
        <f>(INDEX(Models!$BJ111:$BT111,,T111)*(1-R111)+INDEX(Models!$BJ111:$BT111,,T111+1)*R111-ERP_i)*Q111*Ramure*Pc/MaxiM</f>
        <v>1.9823790438963141E-4</v>
      </c>
      <c r="Q111" s="304">
        <f t="shared" si="28"/>
        <v>0.5</v>
      </c>
      <c r="R111" s="176">
        <f t="shared" si="29"/>
        <v>0.75455975921199148</v>
      </c>
      <c r="S111" s="814">
        <f t="shared" si="30"/>
        <v>0</v>
      </c>
      <c r="T111" s="175">
        <f t="shared" si="31"/>
        <v>6</v>
      </c>
      <c r="U111" s="250">
        <f t="shared" si="32"/>
        <v>0.75455975921199148</v>
      </c>
      <c r="V111" s="382">
        <f t="shared" si="33"/>
        <v>53.067896762743793</v>
      </c>
      <c r="W111" s="401">
        <f t="shared" si="34"/>
        <v>0</v>
      </c>
      <c r="X111" s="157">
        <f t="shared" si="35"/>
        <v>44658</v>
      </c>
      <c r="Y111" s="384">
        <f t="shared" si="36"/>
        <v>39.098839653118198</v>
      </c>
      <c r="Z111" s="384">
        <f t="shared" si="37"/>
        <v>40.27355793971828</v>
      </c>
      <c r="AA111" s="385">
        <f t="shared" si="38"/>
        <v>42.901287583320837</v>
      </c>
      <c r="AB111" s="196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6.1250600893949951E-2</v>
      </c>
      <c r="AD111" s="230">
        <f>(INDEX(Models!$BJ111:$BT111,,AH111)*(1-AF111)+INDEX(Models!$BJ111:$BT111,,AH111+1)*AF111-ERP_i)*AE111*Ramure*Pc/MaxiM</f>
        <v>1.9823790438963141E-4</v>
      </c>
      <c r="AE111" s="304">
        <f t="shared" si="40"/>
        <v>0.5</v>
      </c>
      <c r="AF111" s="176">
        <f t="shared" si="41"/>
        <v>0.75455975921199148</v>
      </c>
      <c r="AG111" s="814">
        <f t="shared" si="49"/>
        <v>0</v>
      </c>
      <c r="AH111" s="175">
        <f t="shared" si="42"/>
        <v>6</v>
      </c>
      <c r="AI111" s="224">
        <f t="shared" si="43"/>
        <v>0.75455975921199148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8">
        <v>31.975000000000001</v>
      </c>
      <c r="C112" s="843"/>
      <c r="D112" s="392">
        <f t="shared" si="25"/>
        <v>32.936404181440487</v>
      </c>
      <c r="E112" s="384">
        <f t="shared" si="47"/>
        <v>34.047387206827374</v>
      </c>
      <c r="F112" s="384">
        <f t="shared" si="26"/>
        <v>34.050244215079729</v>
      </c>
      <c r="G112" s="110">
        <f t="shared" si="48"/>
        <v>0.60016405315721344</v>
      </c>
      <c r="H112" s="413" t="b">
        <f>Wh_hp&gt;='2021'!Maxi_hp</f>
        <v>0</v>
      </c>
      <c r="I112" s="379">
        <f>IF(H112,Wh_hp,'2021'!Maxi_hp)</f>
        <v>54.816109955651925</v>
      </c>
      <c r="J112" s="85">
        <f>IF(H112,An,'2021'!An_max)</f>
        <v>2021</v>
      </c>
      <c r="K112" s="196">
        <f t="shared" si="27"/>
        <v>44659</v>
      </c>
      <c r="L112" s="147">
        <f>IF(t&lt;Tvie,1-EXP((T0-t)*PertePVj)+'2021'!Pspv,1-EXP((T0-t)*PertePVj)+Pspv)</f>
        <v>2.9189712882568865E-2</v>
      </c>
      <c r="M112" s="847"/>
      <c r="N112" s="847"/>
      <c r="O112" s="48">
        <f>IF(t&lt;Tnet,'2021'!Resal+('2021'!Salim-'2021'!Resal)*(1-EXP(('2021'!Tnet-t)/('2021'!Tau_j))),Resal+(Salim-Resal)*(1-EXP((Tnet-t)/(Tau_j))))*Salcycl</f>
        <v>3.2630492866839104E-2</v>
      </c>
      <c r="P112" s="338">
        <f>(INDEX(Models!$BJ112:$BT112,,T112)*(1-R112)+INDEX(Models!$BJ112:$BT112,,T112+1)*R112-ERP_i)*Q112*Ramure*Pc/MaxiM</f>
        <v>1.9562916409460304E-4</v>
      </c>
      <c r="Q112" s="304">
        <f t="shared" si="28"/>
        <v>0.5</v>
      </c>
      <c r="R112" s="176">
        <f t="shared" si="29"/>
        <v>0.75534807420863759</v>
      </c>
      <c r="S112" s="814">
        <f t="shared" si="30"/>
        <v>0</v>
      </c>
      <c r="T112" s="175">
        <f t="shared" si="31"/>
        <v>6</v>
      </c>
      <c r="U112" s="250">
        <f t="shared" si="32"/>
        <v>0.75534807420863759</v>
      </c>
      <c r="V112" s="382">
        <f t="shared" si="33"/>
        <v>53.271146735693158</v>
      </c>
      <c r="W112" s="401">
        <f t="shared" si="34"/>
        <v>0</v>
      </c>
      <c r="X112" s="157">
        <f t="shared" si="35"/>
        <v>44659</v>
      </c>
      <c r="Y112" s="384">
        <f t="shared" si="36"/>
        <v>31.026524537732339</v>
      </c>
      <c r="Z112" s="384">
        <f t="shared" si="37"/>
        <v>31.959410555750846</v>
      </c>
      <c r="AA112" s="385">
        <f t="shared" si="38"/>
        <v>34.047387206827374</v>
      </c>
      <c r="AB112" s="196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6.1325605938356252E-2</v>
      </c>
      <c r="AD112" s="230">
        <f>(INDEX(Models!$BJ112:$BT112,,AH112)*(1-AF112)+INDEX(Models!$BJ112:$BT112,,AH112+1)*AF112-ERP_i)*AE112*Ramure*Pc/MaxiM</f>
        <v>1.9562916409460304E-4</v>
      </c>
      <c r="AE112" s="304">
        <f t="shared" si="40"/>
        <v>0.5</v>
      </c>
      <c r="AF112" s="176">
        <f t="shared" si="41"/>
        <v>0.75534807420863759</v>
      </c>
      <c r="AG112" s="814">
        <f t="shared" si="49"/>
        <v>0</v>
      </c>
      <c r="AH112" s="175">
        <f t="shared" si="42"/>
        <v>6</v>
      </c>
      <c r="AI112" s="224">
        <f t="shared" si="43"/>
        <v>0.75534807420863759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8">
        <v>36.224000000000004</v>
      </c>
      <c r="C113" s="843"/>
      <c r="D113" s="392">
        <f t="shared" si="25"/>
        <v>37.313976701623851</v>
      </c>
      <c r="E113" s="384">
        <f t="shared" si="47"/>
        <v>38.576592413147004</v>
      </c>
      <c r="F113" s="384">
        <f t="shared" si="26"/>
        <v>38.580608702450547</v>
      </c>
      <c r="G113" s="110">
        <f t="shared" si="48"/>
        <v>0.67742882159437501</v>
      </c>
      <c r="H113" s="413" t="b">
        <f>Wh_hp&gt;='2021'!Maxi_hp</f>
        <v>0</v>
      </c>
      <c r="I113" s="379">
        <f>IF(H113,Wh_hp,'2021'!Maxi_hp)</f>
        <v>51.284257833174017</v>
      </c>
      <c r="J113" s="85">
        <f>IF(H113,An,'2021'!An_max)</f>
        <v>2020</v>
      </c>
      <c r="K113" s="196">
        <f t="shared" si="27"/>
        <v>44660</v>
      </c>
      <c r="L113" s="147">
        <f>IF(t&lt;Tvie,1-EXP((T0-t)*PertePVj)+'2021'!Pspv,1-EXP((T0-t)*PertePVj)+Pspv)</f>
        <v>2.9210949836295887E-2</v>
      </c>
      <c r="M113" s="847"/>
      <c r="N113" s="847"/>
      <c r="O113" s="48">
        <f>IF(t&lt;Tnet,'2021'!Resal+('2021'!Salim-'2021'!Resal)*(1-EXP(('2021'!Tnet-t)/('2021'!Tau_j))),Resal+(Salim-Resal)*(1-EXP((Tnet-t)/(Tau_j))))*Salcycl</f>
        <v>3.2730099589948491E-2</v>
      </c>
      <c r="P113" s="338">
        <f>(INDEX(Models!$BJ113:$BT113,,T113)*(1-R113)+INDEX(Models!$BJ113:$BT113,,T113+1)*R113-ERP_i)*Q113*Ramure*Pc/MaxiM</f>
        <v>1.9304099890941965E-4</v>
      </c>
      <c r="Q113" s="304">
        <f t="shared" si="28"/>
        <v>0.5</v>
      </c>
      <c r="R113" s="176">
        <f t="shared" si="29"/>
        <v>0.75616475760117718</v>
      </c>
      <c r="S113" s="814">
        <f t="shared" si="30"/>
        <v>0</v>
      </c>
      <c r="T113" s="175">
        <f t="shared" si="31"/>
        <v>6</v>
      </c>
      <c r="U113" s="250">
        <f t="shared" si="32"/>
        <v>0.75616475760117718</v>
      </c>
      <c r="V113" s="382">
        <f t="shared" si="33"/>
        <v>53.468020190805305</v>
      </c>
      <c r="W113" s="401">
        <f t="shared" si="34"/>
        <v>0</v>
      </c>
      <c r="X113" s="157">
        <f t="shared" si="35"/>
        <v>44660</v>
      </c>
      <c r="Y113" s="384">
        <f t="shared" si="36"/>
        <v>35.150271485548799</v>
      </c>
      <c r="Z113" s="384">
        <f t="shared" si="37"/>
        <v>36.207939798683775</v>
      </c>
      <c r="AA113" s="385">
        <f t="shared" si="38"/>
        <v>38.576592413147004</v>
      </c>
      <c r="AB113" s="196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6.1401291982854996E-2</v>
      </c>
      <c r="AD113" s="230">
        <f>(INDEX(Models!$BJ113:$BT113,,AH113)*(1-AF113)+INDEX(Models!$BJ113:$BT113,,AH113+1)*AF113-ERP_i)*AE113*Ramure*Pc/MaxiM</f>
        <v>1.9304099890941965E-4</v>
      </c>
      <c r="AE113" s="304">
        <f t="shared" si="40"/>
        <v>0.5</v>
      </c>
      <c r="AF113" s="176">
        <f t="shared" si="41"/>
        <v>0.75616475760117718</v>
      </c>
      <c r="AG113" s="814">
        <f t="shared" si="49"/>
        <v>0</v>
      </c>
      <c r="AH113" s="175">
        <f t="shared" si="42"/>
        <v>6</v>
      </c>
      <c r="AI113" s="224">
        <f t="shared" si="43"/>
        <v>0.75616475760117718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8">
        <v>53.911999999999999</v>
      </c>
      <c r="C114" s="843"/>
      <c r="D114" s="392">
        <f t="shared" si="25"/>
        <v>55.535421797618753</v>
      </c>
      <c r="E114" s="384">
        <f t="shared" si="47"/>
        <v>57.420540658388397</v>
      </c>
      <c r="F114" s="384">
        <f t="shared" si="26"/>
        <v>57.431465085598646</v>
      </c>
      <c r="G114" s="110">
        <f t="shared" si="48"/>
        <v>1.0047256205209432</v>
      </c>
      <c r="H114" s="413" t="b">
        <f>Wh_hp&gt;='2021'!Maxi_hp</f>
        <v>1</v>
      </c>
      <c r="I114" s="379">
        <f>IF(H114,Wh_hp,'2021'!Maxi_hp)</f>
        <v>57.431465085598646</v>
      </c>
      <c r="J114" s="85">
        <f>IF(H114,An,'2021'!An_max)</f>
        <v>2022</v>
      </c>
      <c r="K114" s="196">
        <f t="shared" si="27"/>
        <v>44661</v>
      </c>
      <c r="L114" s="147">
        <f>IF(t&lt;Tvie,1-EXP((T0-t)*PertePVj)+'2021'!Pspv,1-EXP((T0-t)*PertePVj)+Pspv)</f>
        <v>2.9232186324879207E-2</v>
      </c>
      <c r="M114" s="847"/>
      <c r="N114" s="847"/>
      <c r="O114" s="48">
        <f>IF(t&lt;Tnet,'2021'!Resal+('2021'!Salim-'2021'!Resal)*(1-EXP(('2021'!Tnet-t)/('2021'!Tau_j))),Resal+(Salim-Resal)*(1-EXP((Tnet-t)/(Tau_j))))*Salcycl</f>
        <v>3.2830043729207677E-2</v>
      </c>
      <c r="P114" s="338">
        <f>(INDEX(Models!$BJ114:$BT114,,T114)*(1-R114)+INDEX(Models!$BJ114:$BT114,,T114+1)*R114-ERP_i)*Q114*Ramure*Pc/MaxiM</f>
        <v>1.9021675999316142E-4</v>
      </c>
      <c r="Q114" s="304">
        <f t="shared" si="28"/>
        <v>0.5</v>
      </c>
      <c r="R114" s="176">
        <f t="shared" si="29"/>
        <v>0.75701064126498274</v>
      </c>
      <c r="S114" s="814">
        <f t="shared" si="30"/>
        <v>0</v>
      </c>
      <c r="T114" s="175">
        <f t="shared" si="31"/>
        <v>6</v>
      </c>
      <c r="U114" s="250">
        <f t="shared" si="32"/>
        <v>0.75701064126498274</v>
      </c>
      <c r="V114" s="382">
        <f t="shared" si="33"/>
        <v>53.658430619144575</v>
      </c>
      <c r="W114" s="401">
        <f t="shared" si="34"/>
        <v>0</v>
      </c>
      <c r="X114" s="157">
        <f t="shared" si="35"/>
        <v>44661</v>
      </c>
      <c r="Y114" s="384">
        <f t="shared" si="36"/>
        <v>52.315123209088213</v>
      </c>
      <c r="Z114" s="384">
        <f t="shared" si="37"/>
        <v>53.890459152157369</v>
      </c>
      <c r="AA114" s="385">
        <f t="shared" si="38"/>
        <v>57.420540658388397</v>
      </c>
      <c r="AB114" s="196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6.1477677948602379E-2</v>
      </c>
      <c r="AD114" s="230">
        <f>(INDEX(Models!$BJ114:$BT114,,AH114)*(1-AF114)+INDEX(Models!$BJ114:$BT114,,AH114+1)*AF114-ERP_i)*AE114*Ramure*Pc/MaxiM</f>
        <v>1.9021675999316142E-4</v>
      </c>
      <c r="AE114" s="304">
        <f t="shared" si="40"/>
        <v>0.5</v>
      </c>
      <c r="AF114" s="176">
        <f t="shared" si="41"/>
        <v>0.75701064126498274</v>
      </c>
      <c r="AG114" s="814">
        <f t="shared" si="49"/>
        <v>0</v>
      </c>
      <c r="AH114" s="175">
        <f t="shared" si="42"/>
        <v>6</v>
      </c>
      <c r="AI114" s="224">
        <f t="shared" si="43"/>
        <v>0.75701064126498274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8">
        <v>40.913000000000004</v>
      </c>
      <c r="C115" s="843"/>
      <c r="D115" s="392">
        <f t="shared" si="25"/>
        <v>42.145912168933386</v>
      </c>
      <c r="E115" s="384">
        <f t="shared" si="47"/>
        <v>43.581050867883647</v>
      </c>
      <c r="F115" s="384">
        <f t="shared" si="26"/>
        <v>43.586407956996283</v>
      </c>
      <c r="G115" s="110">
        <f t="shared" si="48"/>
        <v>0.75981872628369673</v>
      </c>
      <c r="H115" s="413" t="b">
        <f>Wh_hp&gt;='2021'!Maxi_hp</f>
        <v>0</v>
      </c>
      <c r="I115" s="379">
        <f>IF(H115,Wh_hp,'2021'!Maxi_hp)</f>
        <v>57.80661489847374</v>
      </c>
      <c r="J115" s="85">
        <f>IF(H115,An,'2021'!An_max)</f>
        <v>2020</v>
      </c>
      <c r="K115" s="196">
        <f t="shared" si="27"/>
        <v>44662</v>
      </c>
      <c r="L115" s="147">
        <f>IF(t&lt;Tvie,1-EXP((T0-t)*PertePVj)+'2021'!Pspv,1-EXP((T0-t)*PertePVj)+Pspv)</f>
        <v>2.9253422348328929E-2</v>
      </c>
      <c r="M115" s="847"/>
      <c r="N115" s="847"/>
      <c r="O115" s="48">
        <f>IF(t&lt;Tnet,'2021'!Resal+('2021'!Salim-'2021'!Resal)*(1-EXP(('2021'!Tnet-t)/('2021'!Tau_j))),Resal+(Salim-Resal)*(1-EXP((Tnet-t)/(Tau_j))))*Salcycl</f>
        <v>3.2930337161921494E-2</v>
      </c>
      <c r="P115" s="338">
        <f>(INDEX(Models!$BJ115:$BT115,,T115)*(1-R115)+INDEX(Models!$BJ115:$BT115,,T115+1)*R115-ERP_i)*Q115*Ramure*Pc/MaxiM</f>
        <v>1.8708678555652843E-4</v>
      </c>
      <c r="Q115" s="304">
        <f t="shared" si="28"/>
        <v>0.5</v>
      </c>
      <c r="R115" s="176">
        <f t="shared" si="29"/>
        <v>0.75788656654452102</v>
      </c>
      <c r="S115" s="814">
        <f t="shared" si="30"/>
        <v>0</v>
      </c>
      <c r="T115" s="175">
        <f t="shared" si="31"/>
        <v>6</v>
      </c>
      <c r="U115" s="250">
        <f t="shared" si="32"/>
        <v>0.75788656654452102</v>
      </c>
      <c r="V115" s="382">
        <f t="shared" si="33"/>
        <v>53.842281702299672</v>
      </c>
      <c r="W115" s="401">
        <f t="shared" si="34"/>
        <v>0</v>
      </c>
      <c r="X115" s="157">
        <f t="shared" si="35"/>
        <v>44662</v>
      </c>
      <c r="Y115" s="384">
        <f t="shared" si="36"/>
        <v>39.702009771152561</v>
      </c>
      <c r="Z115" s="384">
        <f t="shared" si="37"/>
        <v>40.898428781686285</v>
      </c>
      <c r="AA115" s="385">
        <f t="shared" si="38"/>
        <v>43.581050867883647</v>
      </c>
      <c r="AB115" s="196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6.155478201592144E-2</v>
      </c>
      <c r="AD115" s="230">
        <f>(INDEX(Models!$BJ115:$BT115,,AH115)*(1-AF115)+INDEX(Models!$BJ115:$BT115,,AH115+1)*AF115-ERP_i)*AE115*Ramure*Pc/MaxiM</f>
        <v>1.8708678555652843E-4</v>
      </c>
      <c r="AE115" s="304">
        <f t="shared" si="40"/>
        <v>0.5</v>
      </c>
      <c r="AF115" s="176">
        <f t="shared" si="41"/>
        <v>0.75788656654452102</v>
      </c>
      <c r="AG115" s="814">
        <f t="shared" si="49"/>
        <v>0</v>
      </c>
      <c r="AH115" s="175">
        <f t="shared" si="42"/>
        <v>6</v>
      </c>
      <c r="AI115" s="224">
        <f t="shared" si="43"/>
        <v>0.75788656654452102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8">
        <v>36.474000000000004</v>
      </c>
      <c r="C116" s="843"/>
      <c r="D116" s="392">
        <f t="shared" si="25"/>
        <v>37.573964970714307</v>
      </c>
      <c r="E116" s="384">
        <f t="shared" si="47"/>
        <v>38.857465582279865</v>
      </c>
      <c r="F116" s="384">
        <f t="shared" si="26"/>
        <v>38.86129092095922</v>
      </c>
      <c r="G116" s="110">
        <f t="shared" si="48"/>
        <v>0.67514341041250492</v>
      </c>
      <c r="H116" s="413" t="b">
        <f>Wh_hp&gt;='2021'!Maxi_hp</f>
        <v>0</v>
      </c>
      <c r="I116" s="379">
        <f>IF(H116,Wh_hp,'2021'!Maxi_hp)</f>
        <v>57.16977965777064</v>
      </c>
      <c r="J116" s="85">
        <f>IF(H116,An,'2021'!An_max)</f>
        <v>2019</v>
      </c>
      <c r="K116" s="196">
        <f t="shared" si="27"/>
        <v>44663</v>
      </c>
      <c r="L116" s="147">
        <f>IF(t&lt;Tvie,1-EXP((T0-t)*PertePVj)+'2021'!Pspv,1-EXP((T0-t)*PertePVj)+Pspv)</f>
        <v>2.9274657906655156E-2</v>
      </c>
      <c r="M116" s="847"/>
      <c r="N116" s="847"/>
      <c r="O116" s="48">
        <f>IF(t&lt;Tnet,'2021'!Resal+('2021'!Salim-'2021'!Resal)*(1-EXP(('2021'!Tnet-t)/('2021'!Tau_j))),Resal+(Salim-Resal)*(1-EXP((Tnet-t)/(Tau_j))))*Salcycl</f>
        <v>3.3030991402354118E-2</v>
      </c>
      <c r="P116" s="338">
        <f>(INDEX(Models!$BJ116:$BT116,,T116)*(1-R116)+INDEX(Models!$BJ116:$BT116,,T116+1)*R116-ERP_i)*Q116*Ramure*Pc/MaxiM</f>
        <v>1.8364824284830675E-4</v>
      </c>
      <c r="Q116" s="304">
        <f t="shared" si="28"/>
        <v>0.5</v>
      </c>
      <c r="R116" s="176">
        <f t="shared" si="29"/>
        <v>0.75879338306569799</v>
      </c>
      <c r="S116" s="814">
        <f t="shared" si="30"/>
        <v>0</v>
      </c>
      <c r="T116" s="175">
        <f t="shared" si="31"/>
        <v>6</v>
      </c>
      <c r="U116" s="250">
        <f t="shared" si="32"/>
        <v>0.75879338306569799</v>
      </c>
      <c r="V116" s="382">
        <f t="shared" si="33"/>
        <v>54.019473625229267</v>
      </c>
      <c r="W116" s="401">
        <f t="shared" si="34"/>
        <v>0</v>
      </c>
      <c r="X116" s="157">
        <f t="shared" si="35"/>
        <v>44663</v>
      </c>
      <c r="Y116" s="384">
        <f t="shared" si="36"/>
        <v>35.395148609821298</v>
      </c>
      <c r="Z116" s="384">
        <f t="shared" si="37"/>
        <v>36.462578110397892</v>
      </c>
      <c r="AA116" s="385">
        <f t="shared" si="38"/>
        <v>38.857465582279865</v>
      </c>
      <c r="AB116" s="196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6.16326215823534E-2</v>
      </c>
      <c r="AD116" s="230">
        <f>(INDEX(Models!$BJ116:$BT116,,AH116)*(1-AF116)+INDEX(Models!$BJ116:$BT116,,AH116+1)*AF116-ERP_i)*AE116*Ramure*Pc/MaxiM</f>
        <v>1.8364824284830675E-4</v>
      </c>
      <c r="AE116" s="304">
        <f t="shared" si="40"/>
        <v>0.5</v>
      </c>
      <c r="AF116" s="176">
        <f t="shared" si="41"/>
        <v>0.75879338306569799</v>
      </c>
      <c r="AG116" s="814">
        <f t="shared" si="49"/>
        <v>0</v>
      </c>
      <c r="AH116" s="175">
        <f t="shared" si="42"/>
        <v>6</v>
      </c>
      <c r="AI116" s="224">
        <f t="shared" si="43"/>
        <v>0.75879338306569799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8">
        <v>7.1790000000000003</v>
      </c>
      <c r="C117" s="843"/>
      <c r="D117" s="392">
        <f t="shared" si="25"/>
        <v>7.3956625383877412</v>
      </c>
      <c r="E117" s="384">
        <f t="shared" si="47"/>
        <v>7.649092402290953</v>
      </c>
      <c r="F117" s="384">
        <f t="shared" si="26"/>
        <v>7.649092402290953</v>
      </c>
      <c r="G117" s="110">
        <f t="shared" si="48"/>
        <v>0.13245471260546626</v>
      </c>
      <c r="H117" s="413" t="b">
        <f>Wh_hp&gt;='2021'!Maxi_hp</f>
        <v>0</v>
      </c>
      <c r="I117" s="379">
        <f>IF(H117,Wh_hp,'2021'!Maxi_hp)</f>
        <v>58.311942637393507</v>
      </c>
      <c r="J117" s="85">
        <f>IF(H117,An,'2021'!An_max)</f>
        <v>2019</v>
      </c>
      <c r="K117" s="196">
        <f t="shared" si="27"/>
        <v>44664</v>
      </c>
      <c r="L117" s="147">
        <f>IF(t&lt;Tvie,1-EXP((T0-t)*PertePVj)+'2021'!Pspv,1-EXP((T0-t)*PertePVj)+Pspv)</f>
        <v>2.9295892999868213E-2</v>
      </c>
      <c r="M117" s="847"/>
      <c r="N117" s="847"/>
      <c r="O117" s="48">
        <f>IF(t&lt;Tnet,'2021'!Resal+('2021'!Salim-'2021'!Resal)*(1-EXP(('2021'!Tnet-t)/('2021'!Tau_j))),Resal+(Salim-Resal)*(1-EXP((Tnet-t)/(Tau_j))))*Salcycl</f>
        <v>3.313201757470053E-2</v>
      </c>
      <c r="P117" s="338">
        <f>(INDEX(Models!$BJ117:$BT117,,T117)*(1-R117)+INDEX(Models!$BJ117:$BT117,,T117+1)*R117-ERP_i)*Q117*Ramure*Pc/MaxiM</f>
        <v>1.7989758833774483E-4</v>
      </c>
      <c r="Q117" s="304">
        <f t="shared" si="28"/>
        <v>0.5</v>
      </c>
      <c r="R117" s="176">
        <f t="shared" si="29"/>
        <v>0.75973194742545092</v>
      </c>
      <c r="S117" s="814">
        <f t="shared" si="30"/>
        <v>0</v>
      </c>
      <c r="T117" s="175">
        <f t="shared" si="31"/>
        <v>6</v>
      </c>
      <c r="U117" s="250">
        <f t="shared" si="32"/>
        <v>0.75973194742545092</v>
      </c>
      <c r="V117" s="382">
        <f t="shared" si="33"/>
        <v>54.189906678466549</v>
      </c>
      <c r="W117" s="401">
        <f t="shared" si="34"/>
        <v>0</v>
      </c>
      <c r="X117" s="157">
        <f t="shared" si="35"/>
        <v>44664</v>
      </c>
      <c r="Y117" s="384">
        <f t="shared" si="36"/>
        <v>6.9667993177273573</v>
      </c>
      <c r="Z117" s="384">
        <f t="shared" si="37"/>
        <v>7.1770576301130369</v>
      </c>
      <c r="AA117" s="385">
        <f t="shared" si="38"/>
        <v>7.649092402290953</v>
      </c>
      <c r="AB117" s="196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6.171121322008593E-2</v>
      </c>
      <c r="AD117" s="230">
        <f>(INDEX(Models!$BJ117:$BT117,,AH117)*(1-AF117)+INDEX(Models!$BJ117:$BT117,,AH117+1)*AF117-ERP_i)*AE117*Ramure*Pc/MaxiM</f>
        <v>1.7989758833774483E-4</v>
      </c>
      <c r="AE117" s="304">
        <f t="shared" si="40"/>
        <v>0.5</v>
      </c>
      <c r="AF117" s="176">
        <f t="shared" si="41"/>
        <v>0.75973194742545092</v>
      </c>
      <c r="AG117" s="814">
        <f t="shared" si="49"/>
        <v>0</v>
      </c>
      <c r="AH117" s="175">
        <f t="shared" si="42"/>
        <v>6</v>
      </c>
      <c r="AI117" s="224">
        <f t="shared" si="43"/>
        <v>0.75973194742545092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8">
        <v>40.011000000000003</v>
      </c>
      <c r="C118" s="843"/>
      <c r="D118" s="392">
        <f t="shared" si="25"/>
        <v>41.219435449836055</v>
      </c>
      <c r="E118" s="384">
        <f t="shared" si="47"/>
        <v>42.636388736239354</v>
      </c>
      <c r="F118" s="384">
        <f t="shared" si="26"/>
        <v>42.641060018180362</v>
      </c>
      <c r="G118" s="110">
        <f t="shared" si="48"/>
        <v>0.73607700527087339</v>
      </c>
      <c r="H118" s="413" t="b">
        <f>Wh_hp&gt;='2021'!Maxi_hp</f>
        <v>0</v>
      </c>
      <c r="I118" s="379">
        <f>IF(H118,Wh_hp,'2021'!Maxi_hp)</f>
        <v>57.317133350603086</v>
      </c>
      <c r="J118" s="85">
        <f>IF(H118,An,'2021'!An_max)</f>
        <v>2021</v>
      </c>
      <c r="K118" s="196">
        <f t="shared" si="27"/>
        <v>44665</v>
      </c>
      <c r="L118" s="147">
        <f>IF(t&lt;Tvie,1-EXP((T0-t)*PertePVj)+'2021'!Pspv,1-EXP((T0-t)*PertePVj)+Pspv)</f>
        <v>2.9317127627978203E-2</v>
      </c>
      <c r="M118" s="847"/>
      <c r="N118" s="847"/>
      <c r="O118" s="48">
        <f>IF(t&lt;Tnet,'2021'!Resal+('2021'!Salim-'2021'!Resal)*(1-EXP(('2021'!Tnet-t)/('2021'!Tau_j))),Resal+(Salim-Resal)*(1-EXP((Tnet-t)/(Tau_j))))*Salcycl</f>
        <v>3.3233426385357534E-2</v>
      </c>
      <c r="P118" s="338">
        <f>(INDEX(Models!$BJ118:$BT118,,T118)*(1-R118)+INDEX(Models!$BJ118:$BT118,,T118+1)*R118-ERP_i)*Q118*Ramure*Pc/MaxiM</f>
        <v>1.758305549570038E-4</v>
      </c>
      <c r="Q118" s="304">
        <f t="shared" si="28"/>
        <v>0.5</v>
      </c>
      <c r="R118" s="176">
        <f t="shared" si="29"/>
        <v>0.7607031217531891</v>
      </c>
      <c r="S118" s="814">
        <f t="shared" si="30"/>
        <v>0</v>
      </c>
      <c r="T118" s="175">
        <f t="shared" si="31"/>
        <v>6</v>
      </c>
      <c r="U118" s="250">
        <f t="shared" si="32"/>
        <v>0.7607031217531891</v>
      </c>
      <c r="V118" s="382">
        <f t="shared" si="33"/>
        <v>54.353481263964142</v>
      </c>
      <c r="W118" s="401">
        <f t="shared" si="34"/>
        <v>0</v>
      </c>
      <c r="X118" s="157">
        <f t="shared" si="35"/>
        <v>44665</v>
      </c>
      <c r="Y118" s="384">
        <f t="shared" si="36"/>
        <v>38.829122171704029</v>
      </c>
      <c r="Z118" s="384">
        <f t="shared" si="37"/>
        <v>40.001861861246958</v>
      </c>
      <c r="AA118" s="385">
        <f t="shared" si="38"/>
        <v>42.636388736239354</v>
      </c>
      <c r="AB118" s="196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6.1790572632460024E-2</v>
      </c>
      <c r="AD118" s="230">
        <f>(INDEX(Models!$BJ118:$BT118,,AH118)*(1-AF118)+INDEX(Models!$BJ118:$BT118,,AH118+1)*AF118-ERP_i)*AE118*Ramure*Pc/MaxiM</f>
        <v>1.758305549570038E-4</v>
      </c>
      <c r="AE118" s="304">
        <f t="shared" si="40"/>
        <v>0.5</v>
      </c>
      <c r="AF118" s="176">
        <f t="shared" si="41"/>
        <v>0.7607031217531891</v>
      </c>
      <c r="AG118" s="814">
        <f t="shared" si="49"/>
        <v>0</v>
      </c>
      <c r="AH118" s="175">
        <f t="shared" si="42"/>
        <v>6</v>
      </c>
      <c r="AI118" s="224">
        <f t="shared" si="43"/>
        <v>0.7607031217531891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8">
        <v>44.067999999999998</v>
      </c>
      <c r="C119" s="843"/>
      <c r="D119" s="392">
        <f t="shared" si="25"/>
        <v>45.399960465431718</v>
      </c>
      <c r="E119" s="384">
        <f t="shared" si="47"/>
        <v>46.965568400647776</v>
      </c>
      <c r="F119" s="384">
        <f t="shared" si="26"/>
        <v>46.97141752243315</v>
      </c>
      <c r="G119" s="110">
        <f t="shared" si="48"/>
        <v>0.80839943249762747</v>
      </c>
      <c r="H119" s="413" t="b">
        <f>Wh_hp&gt;='2021'!Maxi_hp</f>
        <v>0</v>
      </c>
      <c r="I119" s="379">
        <f>IF(H119,Wh_hp,'2021'!Maxi_hp)</f>
        <v>57.589029120758397</v>
      </c>
      <c r="J119" s="85">
        <f>IF(H119,An,'2021'!An_max)</f>
        <v>2021</v>
      </c>
      <c r="K119" s="196">
        <f t="shared" si="27"/>
        <v>44666</v>
      </c>
      <c r="L119" s="147">
        <f>IF(t&lt;Tvie,1-EXP((T0-t)*PertePVj)+'2021'!Pspv,1-EXP((T0-t)*PertePVj)+Pspv)</f>
        <v>2.9338361790995339E-2</v>
      </c>
      <c r="M119" s="847"/>
      <c r="N119" s="847"/>
      <c r="O119" s="48">
        <f>IF(t&lt;Tnet,'2021'!Resal+('2021'!Salim-'2021'!Resal)*(1-EXP(('2021'!Tnet-t)/('2021'!Tau_j))),Resal+(Salim-Resal)*(1-EXP((Tnet-t)/(Tau_j))))*Salcycl</f>
        <v>3.3335228094342841E-2</v>
      </c>
      <c r="P119" s="338">
        <f>(INDEX(Models!$BJ119:$BT119,,T119)*(1-R119)+INDEX(Models!$BJ119:$BT119,,T119+1)*R119-ERP_i)*Q119*Ramure*Pc/MaxiM</f>
        <v>1.7144213899589054E-4</v>
      </c>
      <c r="Q119" s="304">
        <f t="shared" si="28"/>
        <v>0.5</v>
      </c>
      <c r="R119" s="176">
        <f t="shared" si="29"/>
        <v>0.76170777213890795</v>
      </c>
      <c r="S119" s="814">
        <f t="shared" si="30"/>
        <v>0</v>
      </c>
      <c r="T119" s="175">
        <f t="shared" si="31"/>
        <v>6</v>
      </c>
      <c r="U119" s="250">
        <f t="shared" si="32"/>
        <v>0.76170777213890795</v>
      </c>
      <c r="V119" s="382">
        <f t="shared" si="33"/>
        <v>54.510097894955948</v>
      </c>
      <c r="W119" s="401">
        <f t="shared" si="34"/>
        <v>0</v>
      </c>
      <c r="X119" s="157">
        <f t="shared" si="35"/>
        <v>44666</v>
      </c>
      <c r="Y119" s="384">
        <f t="shared" si="36"/>
        <v>42.767133498719168</v>
      </c>
      <c r="Z119" s="384">
        <f t="shared" si="37"/>
        <v>44.059775121668579</v>
      </c>
      <c r="AA119" s="385">
        <f t="shared" si="38"/>
        <v>46.965568400647776</v>
      </c>
      <c r="AB119" s="196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6.1870714609282028E-2</v>
      </c>
      <c r="AD119" s="230">
        <f>(INDEX(Models!$BJ119:$BT119,,AH119)*(1-AF119)+INDEX(Models!$BJ119:$BT119,,AH119+1)*AF119-ERP_i)*AE119*Ramure*Pc/MaxiM</f>
        <v>1.7144213899589054E-4</v>
      </c>
      <c r="AE119" s="304">
        <f t="shared" si="40"/>
        <v>0.5</v>
      </c>
      <c r="AF119" s="176">
        <f t="shared" si="41"/>
        <v>0.76170777213890795</v>
      </c>
      <c r="AG119" s="814">
        <f t="shared" si="49"/>
        <v>0</v>
      </c>
      <c r="AH119" s="175">
        <f t="shared" si="42"/>
        <v>6</v>
      </c>
      <c r="AI119" s="224">
        <f t="shared" si="43"/>
        <v>0.76170777213890795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8">
        <v>45.304000000000002</v>
      </c>
      <c r="C120" s="843"/>
      <c r="D120" s="392">
        <f t="shared" si="25"/>
        <v>46.674339734312298</v>
      </c>
      <c r="E120" s="384">
        <f t="shared" si="47"/>
        <v>48.288999908557898</v>
      </c>
      <c r="F120" s="384">
        <f t="shared" si="26"/>
        <v>48.295083112497515</v>
      </c>
      <c r="G120" s="110">
        <f t="shared" si="48"/>
        <v>0.82880418858402205</v>
      </c>
      <c r="H120" s="413" t="b">
        <f>Wh_hp&gt;='2021'!Maxi_hp</f>
        <v>0</v>
      </c>
      <c r="I120" s="379">
        <f>IF(H120,Wh_hp,'2021'!Maxi_hp)</f>
        <v>51.189407245873092</v>
      </c>
      <c r="J120" s="85">
        <f>IF(H120,An,'2021'!An_max)</f>
        <v>2020</v>
      </c>
      <c r="K120" s="196">
        <f t="shared" si="27"/>
        <v>44667</v>
      </c>
      <c r="L120" s="147">
        <f>IF(t&lt;Tvie,1-EXP((T0-t)*PertePVj)+'2021'!Pspv,1-EXP((T0-t)*PertePVj)+Pspv)</f>
        <v>2.9359595488929836E-2</v>
      </c>
      <c r="M120" s="847"/>
      <c r="N120" s="847"/>
      <c r="O120" s="48">
        <f>IF(t&lt;Tnet,'2021'!Resal+('2021'!Salim-'2021'!Resal)*(1-EXP(('2021'!Tnet-t)/('2021'!Tau_j))),Resal+(Salim-Resal)*(1-EXP((Tnet-t)/(Tau_j))))*Salcycl</f>
        <v>3.3437432485725317E-2</v>
      </c>
      <c r="P120" s="338">
        <f>(INDEX(Models!$BJ120:$BT120,,T120)*(1-R120)+INDEX(Models!$BJ120:$BT120,,T120+1)*R120-ERP_i)*Q120*Ramure*Pc/MaxiM</f>
        <v>1.6672658659425807E-4</v>
      </c>
      <c r="Q120" s="304">
        <f t="shared" si="28"/>
        <v>0.5</v>
      </c>
      <c r="R120" s="176">
        <f t="shared" si="29"/>
        <v>0.7627467669230934</v>
      </c>
      <c r="S120" s="814">
        <f t="shared" si="30"/>
        <v>0</v>
      </c>
      <c r="T120" s="175">
        <f t="shared" si="31"/>
        <v>6</v>
      </c>
      <c r="U120" s="250">
        <f t="shared" si="32"/>
        <v>0.7627467669230934</v>
      </c>
      <c r="V120" s="382">
        <f t="shared" si="33"/>
        <v>54.659657202422856</v>
      </c>
      <c r="W120" s="401">
        <f t="shared" si="34"/>
        <v>0</v>
      </c>
      <c r="X120" s="157">
        <f t="shared" si="35"/>
        <v>44667</v>
      </c>
      <c r="Y120" s="384">
        <f t="shared" si="36"/>
        <v>43.967502717029106</v>
      </c>
      <c r="Z120" s="384">
        <f t="shared" si="37"/>
        <v>45.297416543438004</v>
      </c>
      <c r="AA120" s="385">
        <f t="shared" si="38"/>
        <v>48.288999908557898</v>
      </c>
      <c r="AB120" s="196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6.1951652980697061E-2</v>
      </c>
      <c r="AD120" s="230">
        <f>(INDEX(Models!$BJ120:$BT120,,AH120)*(1-AF120)+INDEX(Models!$BJ120:$BT120,,AH120+1)*AF120-ERP_i)*AE120*Ramure*Pc/MaxiM</f>
        <v>1.6672658659425807E-4</v>
      </c>
      <c r="AE120" s="304">
        <f t="shared" si="40"/>
        <v>0.5</v>
      </c>
      <c r="AF120" s="176">
        <f t="shared" si="41"/>
        <v>0.7627467669230934</v>
      </c>
      <c r="AG120" s="814">
        <f t="shared" si="49"/>
        <v>0</v>
      </c>
      <c r="AH120" s="175">
        <f t="shared" si="42"/>
        <v>6</v>
      </c>
      <c r="AI120" s="224">
        <f t="shared" si="43"/>
        <v>0.7627467669230934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8">
        <v>53.634999999999998</v>
      </c>
      <c r="C121" s="843"/>
      <c r="D121" s="392">
        <f t="shared" si="25"/>
        <v>55.258541750590076</v>
      </c>
      <c r="E121" s="384">
        <f t="shared" si="47"/>
        <v>57.176235480933386</v>
      </c>
      <c r="F121" s="384">
        <f t="shared" si="26"/>
        <v>57.185200009577123</v>
      </c>
      <c r="G121" s="110">
        <f t="shared" si="48"/>
        <v>0.97871046724153399</v>
      </c>
      <c r="H121" s="413" t="b">
        <f>Wh_hp&gt;='2021'!Maxi_hp</f>
        <v>1</v>
      </c>
      <c r="I121" s="379">
        <f>IF(H121,Wh_hp,'2021'!Maxi_hp)</f>
        <v>57.185200009577123</v>
      </c>
      <c r="J121" s="85">
        <f>IF(H121,An,'2021'!An_max)</f>
        <v>2022</v>
      </c>
      <c r="K121" s="196">
        <f t="shared" si="27"/>
        <v>44668</v>
      </c>
      <c r="L121" s="147">
        <f>IF(t&lt;Tvie,1-EXP((T0-t)*PertePVj)+'2021'!Pspv,1-EXP((T0-t)*PertePVj)+Pspv)</f>
        <v>2.9380828721791909E-2</v>
      </c>
      <c r="M121" s="847"/>
      <c r="N121" s="847"/>
      <c r="O121" s="48">
        <f>IF(t&lt;Tnet,'2021'!Resal+('2021'!Salim-'2021'!Resal)*(1-EXP(('2021'!Tnet-t)/('2021'!Tau_j))),Resal+(Salim-Resal)*(1-EXP((Tnet-t)/(Tau_j))))*Salcycl</f>
        <v>3.3540048836947431E-2</v>
      </c>
      <c r="P121" s="338">
        <f>(INDEX(Models!$BJ121:$BT121,,T121)*(1-R121)+INDEX(Models!$BJ121:$BT121,,T121+1)*R121-ERP_i)*Q121*Ramure*Pc/MaxiM</f>
        <v>1.6167922863653464E-4</v>
      </c>
      <c r="Q121" s="304">
        <f t="shared" si="28"/>
        <v>0.5</v>
      </c>
      <c r="R121" s="176">
        <f t="shared" si="29"/>
        <v>0.76382097484389955</v>
      </c>
      <c r="S121" s="814">
        <f t="shared" si="30"/>
        <v>0</v>
      </c>
      <c r="T121" s="175">
        <f t="shared" si="31"/>
        <v>6</v>
      </c>
      <c r="U121" s="250">
        <f t="shared" si="32"/>
        <v>0.76382097484389955</v>
      </c>
      <c r="V121" s="382">
        <f t="shared" si="33"/>
        <v>54.801433188631897</v>
      </c>
      <c r="W121" s="401">
        <f t="shared" si="34"/>
        <v>0</v>
      </c>
      <c r="X121" s="157">
        <f t="shared" si="35"/>
        <v>44668</v>
      </c>
      <c r="Y121" s="384">
        <f t="shared" si="36"/>
        <v>52.053722971053347</v>
      </c>
      <c r="Z121" s="384">
        <f t="shared" si="37"/>
        <v>53.629399162293296</v>
      </c>
      <c r="AA121" s="385">
        <f t="shared" si="38"/>
        <v>57.176235480933386</v>
      </c>
      <c r="AB121" s="196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6.2033400569417585E-2</v>
      </c>
      <c r="AD121" s="230">
        <f>(INDEX(Models!$BJ121:$BT121,,AH121)*(1-AF121)+INDEX(Models!$BJ121:$BT121,,AH121+1)*AF121-ERP_i)*AE121*Ramure*Pc/MaxiM</f>
        <v>1.6167922863653464E-4</v>
      </c>
      <c r="AE121" s="304">
        <f t="shared" si="40"/>
        <v>0.5</v>
      </c>
      <c r="AF121" s="176">
        <f t="shared" si="41"/>
        <v>0.76382097484389955</v>
      </c>
      <c r="AG121" s="814">
        <f t="shared" si="49"/>
        <v>0</v>
      </c>
      <c r="AH121" s="175">
        <f t="shared" si="42"/>
        <v>6</v>
      </c>
      <c r="AI121" s="224">
        <f t="shared" si="43"/>
        <v>0.76382097484389955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8">
        <v>40.340000000000003</v>
      </c>
      <c r="C122" s="843"/>
      <c r="D122" s="392">
        <f t="shared" si="25"/>
        <v>41.562008736501568</v>
      </c>
      <c r="E122" s="384">
        <f t="shared" si="47"/>
        <v>43.008962971665667</v>
      </c>
      <c r="F122" s="384">
        <f t="shared" si="26"/>
        <v>43.013146001877296</v>
      </c>
      <c r="G122" s="110">
        <f t="shared" si="48"/>
        <v>0.73427849803865897</v>
      </c>
      <c r="H122" s="413" t="b">
        <f>Wh_hp&gt;='2021'!Maxi_hp</f>
        <v>1</v>
      </c>
      <c r="I122" s="379">
        <f>IF(H122,Wh_hp,'2021'!Maxi_hp)</f>
        <v>43.013146001877296</v>
      </c>
      <c r="J122" s="85">
        <f>IF(H122,An,'2021'!An_max)</f>
        <v>2022</v>
      </c>
      <c r="K122" s="196">
        <f t="shared" si="27"/>
        <v>44669</v>
      </c>
      <c r="L122" s="147">
        <f>IF(t&lt;Tvie,1-EXP((T0-t)*PertePVj)+'2021'!Pspv,1-EXP((T0-t)*PertePVj)+Pspv)</f>
        <v>2.9402061489591548E-2</v>
      </c>
      <c r="M122" s="847"/>
      <c r="N122" s="847"/>
      <c r="O122" s="48">
        <f>IF(t&lt;Tnet,'2021'!Resal+('2021'!Salim-'2021'!Resal)*(1-EXP(('2021'!Tnet-t)/('2021'!Tau_j))),Resal+(Salim-Resal)*(1-EXP((Tnet-t)/(Tau_j))))*Salcycl</f>
        <v>3.3643085886942932E-2</v>
      </c>
      <c r="P122" s="338">
        <f>(INDEX(Models!$BJ122:$BT122,,T122)*(1-R122)+INDEX(Models!$BJ122:$BT122,,T122+1)*R122-ERP_i)*Q122*Ramure*Pc/MaxiM</f>
        <v>1.5673854774633247E-4</v>
      </c>
      <c r="Q122" s="304">
        <f t="shared" si="28"/>
        <v>0.5</v>
      </c>
      <c r="R122" s="176">
        <f t="shared" si="29"/>
        <v>0.76493126303753323</v>
      </c>
      <c r="S122" s="814">
        <f t="shared" si="30"/>
        <v>0</v>
      </c>
      <c r="T122" s="175">
        <f t="shared" si="31"/>
        <v>6</v>
      </c>
      <c r="U122" s="250">
        <f t="shared" si="32"/>
        <v>0.76493126303753323</v>
      </c>
      <c r="V122" s="382">
        <f t="shared" si="33"/>
        <v>54.935014586404932</v>
      </c>
      <c r="W122" s="401">
        <f t="shared" si="34"/>
        <v>0</v>
      </c>
      <c r="X122" s="157">
        <f t="shared" si="35"/>
        <v>44669</v>
      </c>
      <c r="Y122" s="384">
        <f t="shared" si="36"/>
        <v>39.151416264839725</v>
      </c>
      <c r="Z122" s="384">
        <f t="shared" si="37"/>
        <v>40.337419554925084</v>
      </c>
      <c r="AA122" s="385">
        <f t="shared" si="38"/>
        <v>43.008962971665667</v>
      </c>
      <c r="AB122" s="196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6.2115969141143763E-2</v>
      </c>
      <c r="AD122" s="230">
        <f>(INDEX(Models!$BJ122:$BT122,,AH122)*(1-AF122)+INDEX(Models!$BJ122:$BT122,,AH122+1)*AF122-ERP_i)*AE122*Ramure*Pc/MaxiM</f>
        <v>1.5673854774633247E-4</v>
      </c>
      <c r="AE122" s="304">
        <f t="shared" si="40"/>
        <v>0.5</v>
      </c>
      <c r="AF122" s="176">
        <f t="shared" si="41"/>
        <v>0.76493126303753323</v>
      </c>
      <c r="AG122" s="814">
        <f t="shared" si="49"/>
        <v>0</v>
      </c>
      <c r="AH122" s="175">
        <f t="shared" si="42"/>
        <v>6</v>
      </c>
      <c r="AI122" s="224">
        <f t="shared" si="43"/>
        <v>0.76493126303753323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8">
        <v>10.736000000000001</v>
      </c>
      <c r="C123" s="843"/>
      <c r="D123" s="392">
        <f t="shared" si="25"/>
        <v>11.061464726419025</v>
      </c>
      <c r="E123" s="384">
        <f t="shared" si="47"/>
        <v>11.447788100584928</v>
      </c>
      <c r="F123" s="384">
        <f t="shared" si="26"/>
        <v>11.447788100584928</v>
      </c>
      <c r="G123" s="110">
        <f t="shared" si="48"/>
        <v>0.19495479878128663</v>
      </c>
      <c r="H123" s="413" t="b">
        <f>Wh_hp&gt;='2021'!Maxi_hp</f>
        <v>0</v>
      </c>
      <c r="I123" s="379">
        <f>IF(H123,Wh_hp,'2021'!Maxi_hp)</f>
        <v>57.532999013855843</v>
      </c>
      <c r="J123" s="85">
        <f>IF(H123,An,'2021'!An_max)</f>
        <v>2021</v>
      </c>
      <c r="K123" s="196">
        <f t="shared" si="27"/>
        <v>44670</v>
      </c>
      <c r="L123" s="147">
        <f>IF(t&lt;Tvie,1-EXP((T0-t)*PertePVj)+'2021'!Pspv,1-EXP((T0-t)*PertePVj)+Pspv)</f>
        <v>2.942329379233919E-2</v>
      </c>
      <c r="M123" s="847"/>
      <c r="N123" s="847"/>
      <c r="O123" s="48">
        <f>IF(t&lt;Tnet,'2021'!Resal+('2021'!Salim-'2021'!Resal)*(1-EXP(('2021'!Tnet-t)/('2021'!Tau_j))),Resal+(Salim-Resal)*(1-EXP((Tnet-t)/(Tau_j))))*Salcycl</f>
        <v>3.3746551802977885E-2</v>
      </c>
      <c r="P123" s="338">
        <f>(INDEX(Models!$BJ123:$BT123,,T123)*(1-R123)+INDEX(Models!$BJ123:$BT123,,T123+1)*R123-ERP_i)*Q123*Ramure*Pc/MaxiM</f>
        <v>1.5200842817963975E-4</v>
      </c>
      <c r="Q123" s="304">
        <f t="shared" si="28"/>
        <v>0.5</v>
      </c>
      <c r="R123" s="176">
        <f t="shared" si="29"/>
        <v>0.76607849488831536</v>
      </c>
      <c r="S123" s="814">
        <f t="shared" si="30"/>
        <v>0</v>
      </c>
      <c r="T123" s="175">
        <f t="shared" si="31"/>
        <v>6</v>
      </c>
      <c r="U123" s="250">
        <f t="shared" si="32"/>
        <v>0.76607849488831536</v>
      </c>
      <c r="V123" s="382">
        <f t="shared" si="33"/>
        <v>55.060804374236504</v>
      </c>
      <c r="W123" s="401">
        <f t="shared" si="34"/>
        <v>0</v>
      </c>
      <c r="X123" s="157">
        <f t="shared" si="35"/>
        <v>44670</v>
      </c>
      <c r="Y123" s="384">
        <f t="shared" si="36"/>
        <v>10.419861982808268</v>
      </c>
      <c r="Z123" s="384">
        <f t="shared" si="37"/>
        <v>10.73574290024108</v>
      </c>
      <c r="AA123" s="385">
        <f t="shared" si="38"/>
        <v>11.447788100584928</v>
      </c>
      <c r="AB123" s="196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6.2199369353060127E-2</v>
      </c>
      <c r="AD123" s="230">
        <f>(INDEX(Models!$BJ123:$BT123,,AH123)*(1-AF123)+INDEX(Models!$BJ123:$BT123,,AH123+1)*AF123-ERP_i)*AE123*Ramure*Pc/MaxiM</f>
        <v>1.5200842817963975E-4</v>
      </c>
      <c r="AE123" s="304">
        <f t="shared" si="40"/>
        <v>0.5</v>
      </c>
      <c r="AF123" s="176">
        <f t="shared" si="41"/>
        <v>0.76607849488831536</v>
      </c>
      <c r="AG123" s="814">
        <f t="shared" si="49"/>
        <v>0</v>
      </c>
      <c r="AH123" s="175">
        <f t="shared" si="42"/>
        <v>6</v>
      </c>
      <c r="AI123" s="224">
        <f t="shared" si="43"/>
        <v>0.76607849488831536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8">
        <v>10.097</v>
      </c>
      <c r="C124" s="843"/>
      <c r="D124" s="392">
        <f t="shared" si="25"/>
        <v>10.40332084732669</v>
      </c>
      <c r="E124" s="384">
        <f t="shared" si="47"/>
        <v>10.767816319918481</v>
      </c>
      <c r="F124" s="384">
        <f t="shared" si="26"/>
        <v>10.767816319918481</v>
      </c>
      <c r="G124" s="110">
        <f t="shared" si="48"/>
        <v>0.18295859273860615</v>
      </c>
      <c r="H124" s="413" t="b">
        <f>Wh_hp&gt;='2021'!Maxi_hp</f>
        <v>0</v>
      </c>
      <c r="I124" s="379">
        <f>IF(H124,Wh_hp,'2021'!Maxi_hp)</f>
        <v>50.447436278195291</v>
      </c>
      <c r="J124" s="85">
        <f>IF(H124,An,'2021'!An_max)</f>
        <v>2019</v>
      </c>
      <c r="K124" s="196">
        <f t="shared" si="27"/>
        <v>44671</v>
      </c>
      <c r="L124" s="147">
        <f>IF(t&lt;Tvie,1-EXP((T0-t)*PertePVj)+'2021'!Pspv,1-EXP((T0-t)*PertePVj)+Pspv)</f>
        <v>2.9444525630044828E-2</v>
      </c>
      <c r="M124" s="847"/>
      <c r="N124" s="847"/>
      <c r="O124" s="48">
        <f>IF(t&lt;Tnet,'2021'!Resal+('2021'!Salim-'2021'!Resal)*(1-EXP(('2021'!Tnet-t)/('2021'!Tau_j))),Resal+(Salim-Resal)*(1-EXP((Tnet-t)/(Tau_j))))*Salcycl</f>
        <v>3.3850454146170869E-2</v>
      </c>
      <c r="P124" s="338">
        <f>(INDEX(Models!$BJ124:$BT124,,T124)*(1-R124)+INDEX(Models!$BJ124:$BT124,,T124+1)*R124-ERP_i)*Q124*Ramure*Pc/MaxiM</f>
        <v>1.4748373794354539E-4</v>
      </c>
      <c r="Q124" s="304">
        <f t="shared" si="28"/>
        <v>0.5</v>
      </c>
      <c r="R124" s="176">
        <f t="shared" si="29"/>
        <v>0.76726352772551687</v>
      </c>
      <c r="S124" s="814">
        <f t="shared" si="30"/>
        <v>0</v>
      </c>
      <c r="T124" s="175">
        <f t="shared" si="31"/>
        <v>6</v>
      </c>
      <c r="U124" s="250">
        <f t="shared" si="32"/>
        <v>0.76726352772551687</v>
      </c>
      <c r="V124" s="382">
        <f t="shared" si="33"/>
        <v>55.179211348228343</v>
      </c>
      <c r="W124" s="401">
        <f t="shared" si="34"/>
        <v>0</v>
      </c>
      <c r="X124" s="157">
        <f t="shared" si="35"/>
        <v>44671</v>
      </c>
      <c r="Y124" s="384">
        <f t="shared" si="36"/>
        <v>9.799851817340766</v>
      </c>
      <c r="Z124" s="384">
        <f t="shared" si="37"/>
        <v>10.097157840155843</v>
      </c>
      <c r="AA124" s="385">
        <f t="shared" si="38"/>
        <v>10.767816319918481</v>
      </c>
      <c r="AB124" s="196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6.2283610700346298E-2</v>
      </c>
      <c r="AD124" s="230">
        <f>(INDEX(Models!$BJ124:$BT124,,AH124)*(1-AF124)+INDEX(Models!$BJ124:$BT124,,AH124+1)*AF124-ERP_i)*AE124*Ramure*Pc/MaxiM</f>
        <v>1.4748373794354539E-4</v>
      </c>
      <c r="AE124" s="304">
        <f t="shared" si="40"/>
        <v>0.5</v>
      </c>
      <c r="AF124" s="176">
        <f t="shared" si="41"/>
        <v>0.76726352772551687</v>
      </c>
      <c r="AG124" s="814">
        <f t="shared" si="49"/>
        <v>0</v>
      </c>
      <c r="AH124" s="175">
        <f t="shared" si="42"/>
        <v>6</v>
      </c>
      <c r="AI124" s="224">
        <f t="shared" si="43"/>
        <v>0.76726352772551687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8">
        <v>9.5329999999999995</v>
      </c>
      <c r="C125" s="843"/>
      <c r="D125" s="392">
        <f t="shared" si="25"/>
        <v>9.8224251939420792</v>
      </c>
      <c r="E125" s="384">
        <f t="shared" si="47"/>
        <v>10.167666266828219</v>
      </c>
      <c r="F125" s="384">
        <f t="shared" si="26"/>
        <v>10.167666266828219</v>
      </c>
      <c r="G125" s="110">
        <f t="shared" si="48"/>
        <v>0.17239146703901312</v>
      </c>
      <c r="H125" s="413" t="b">
        <f>Wh_hp&gt;='2021'!Maxi_hp</f>
        <v>0</v>
      </c>
      <c r="I125" s="379">
        <f>IF(H125,Wh_hp,'2021'!Maxi_hp)</f>
        <v>56.950308189704678</v>
      </c>
      <c r="J125" s="85">
        <f>IF(H125,An,'2021'!An_max)</f>
        <v>2021</v>
      </c>
      <c r="K125" s="196">
        <f t="shared" si="27"/>
        <v>44672</v>
      </c>
      <c r="L125" s="147">
        <f>IF(t&lt;Tvie,1-EXP((T0-t)*PertePVj)+'2021'!Pspv,1-EXP((T0-t)*PertePVj)+Pspv)</f>
        <v>2.9465757002718786E-2</v>
      </c>
      <c r="M125" s="847"/>
      <c r="N125" s="847"/>
      <c r="O125" s="48">
        <f>IF(t&lt;Tnet,'2021'!Resal+('2021'!Salim-'2021'!Resal)*(1-EXP(('2021'!Tnet-t)/('2021'!Tau_j))),Resal+(Salim-Resal)*(1-EXP((Tnet-t)/(Tau_j))))*Salcycl</f>
        <v>3.3954799835679131E-2</v>
      </c>
      <c r="P125" s="338">
        <f>(INDEX(Models!$BJ125:$BT125,,T125)*(1-R125)+INDEX(Models!$BJ125:$BT125,,T125+1)*R125-ERP_i)*Q125*Ramure*Pc/MaxiM</f>
        <v>1.4316018547230454E-4</v>
      </c>
      <c r="Q125" s="304">
        <f t="shared" si="28"/>
        <v>0.5</v>
      </c>
      <c r="R125" s="176">
        <f t="shared" si="29"/>
        <v>0.76848721036480072</v>
      </c>
      <c r="S125" s="814">
        <f t="shared" si="30"/>
        <v>0</v>
      </c>
      <c r="T125" s="175">
        <f t="shared" si="31"/>
        <v>6</v>
      </c>
      <c r="U125" s="250">
        <f t="shared" si="32"/>
        <v>0.76848721036480072</v>
      </c>
      <c r="V125" s="382">
        <f t="shared" si="33"/>
        <v>55.290644123324455</v>
      </c>
      <c r="W125" s="401">
        <f t="shared" si="34"/>
        <v>0</v>
      </c>
      <c r="X125" s="157">
        <f t="shared" si="35"/>
        <v>44672</v>
      </c>
      <c r="Y125" s="384">
        <f t="shared" si="36"/>
        <v>9.2526096785686462</v>
      </c>
      <c r="Z125" s="384">
        <f t="shared" si="37"/>
        <v>9.5335221248804167</v>
      </c>
      <c r="AA125" s="385">
        <f t="shared" si="38"/>
        <v>10.167666266828219</v>
      </c>
      <c r="AB125" s="196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6.2368701460696292E-2</v>
      </c>
      <c r="AD125" s="230">
        <f>(INDEX(Models!$BJ125:$BT125,,AH125)*(1-AF125)+INDEX(Models!$BJ125:$BT125,,AH125+1)*AF125-ERP_i)*AE125*Ramure*Pc/MaxiM</f>
        <v>1.4316018547230454E-4</v>
      </c>
      <c r="AE125" s="304">
        <f t="shared" si="40"/>
        <v>0.5</v>
      </c>
      <c r="AF125" s="176">
        <f t="shared" si="41"/>
        <v>0.76848721036480072</v>
      </c>
      <c r="AG125" s="814">
        <f t="shared" si="49"/>
        <v>0</v>
      </c>
      <c r="AH125" s="175">
        <f t="shared" si="42"/>
        <v>6</v>
      </c>
      <c r="AI125" s="224">
        <f t="shared" si="43"/>
        <v>0.76848721036480072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8">
        <v>30.269000000000002</v>
      </c>
      <c r="C126" s="843"/>
      <c r="D126" s="392">
        <f t="shared" si="25"/>
        <v>31.188659629433797</v>
      </c>
      <c r="E126" s="384">
        <f t="shared" si="47"/>
        <v>32.288389088596233</v>
      </c>
      <c r="F126" s="384">
        <f t="shared" si="26"/>
        <v>32.289969460350619</v>
      </c>
      <c r="G126" s="110">
        <f t="shared" si="48"/>
        <v>0.54636688567875002</v>
      </c>
      <c r="H126" s="413" t="b">
        <f>Wh_hp&gt;='2021'!Maxi_hp</f>
        <v>0</v>
      </c>
      <c r="I126" s="379">
        <f>IF(H126,Wh_hp,'2021'!Maxi_hp)</f>
        <v>61.518685977469168</v>
      </c>
      <c r="J126" s="85">
        <f>IF(H126,An,'2021'!An_max)</f>
        <v>2021</v>
      </c>
      <c r="K126" s="196">
        <f t="shared" si="27"/>
        <v>44673</v>
      </c>
      <c r="L126" s="147">
        <f>IF(t&lt;Tvie,1-EXP((T0-t)*PertePVj)+'2021'!Pspv,1-EXP((T0-t)*PertePVj)+Pspv)</f>
        <v>2.9486987910371167E-2</v>
      </c>
      <c r="M126" s="847"/>
      <c r="N126" s="847"/>
      <c r="O126" s="48">
        <f>IF(t&lt;Tnet,'2021'!Resal+('2021'!Salim-'2021'!Resal)*(1-EXP(('2021'!Tnet-t)/('2021'!Tau_j))),Resal+(Salim-Resal)*(1-EXP((Tnet-t)/(Tau_j))))*Salcycl</f>
        <v>3.4059595111570522E-2</v>
      </c>
      <c r="P126" s="338">
        <f>(INDEX(Models!$BJ126:$BT126,,T126)*(1-R126)+INDEX(Models!$BJ126:$BT126,,T126+1)*R126-ERP_i)*Q126*Ramure*Pc/MaxiM</f>
        <v>1.3903385299604483E-4</v>
      </c>
      <c r="Q126" s="304">
        <f t="shared" si="28"/>
        <v>0.5</v>
      </c>
      <c r="R126" s="176">
        <f t="shared" si="29"/>
        <v>0.76975038049293021</v>
      </c>
      <c r="S126" s="814">
        <f t="shared" si="30"/>
        <v>0</v>
      </c>
      <c r="T126" s="175">
        <f t="shared" si="31"/>
        <v>6</v>
      </c>
      <c r="U126" s="250">
        <f t="shared" si="32"/>
        <v>0.76975038049293021</v>
      </c>
      <c r="V126" s="382">
        <f t="shared" si="33"/>
        <v>55.395511154452983</v>
      </c>
      <c r="W126" s="401">
        <f t="shared" si="34"/>
        <v>0</v>
      </c>
      <c r="X126" s="157">
        <f t="shared" si="35"/>
        <v>44673</v>
      </c>
      <c r="Y126" s="384">
        <f t="shared" si="36"/>
        <v>29.379204034525792</v>
      </c>
      <c r="Z126" s="384">
        <f t="shared" si="37"/>
        <v>30.27182909301639</v>
      </c>
      <c r="AA126" s="385">
        <f t="shared" si="38"/>
        <v>32.288389088596233</v>
      </c>
      <c r="AB126" s="196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6.2454648636901589E-2</v>
      </c>
      <c r="AD126" s="230">
        <f>(INDEX(Models!$BJ126:$BT126,,AH126)*(1-AF126)+INDEX(Models!$BJ126:$BT126,,AH126+1)*AF126-ERP_i)*AE126*Ramure*Pc/MaxiM</f>
        <v>1.3903385299604483E-4</v>
      </c>
      <c r="AE126" s="304">
        <f t="shared" si="40"/>
        <v>0.5</v>
      </c>
      <c r="AF126" s="176">
        <f t="shared" si="41"/>
        <v>0.76975038049293021</v>
      </c>
      <c r="AG126" s="814">
        <f t="shared" si="49"/>
        <v>0</v>
      </c>
      <c r="AH126" s="175">
        <f t="shared" si="42"/>
        <v>6</v>
      </c>
      <c r="AI126" s="224">
        <f t="shared" si="43"/>
        <v>0.76975038049293021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8">
        <v>8.4039999999999999</v>
      </c>
      <c r="C127" s="843"/>
      <c r="D127" s="392">
        <f t="shared" si="25"/>
        <v>8.6595272200428788</v>
      </c>
      <c r="E127" s="384">
        <f t="shared" si="47"/>
        <v>8.965843891335517</v>
      </c>
      <c r="F127" s="384">
        <f t="shared" si="26"/>
        <v>8.965843891335517</v>
      </c>
      <c r="G127" s="110">
        <f t="shared" si="48"/>
        <v>0.15141873330485148</v>
      </c>
      <c r="H127" s="413" t="b">
        <f>Wh_hp&gt;='2021'!Maxi_hp</f>
        <v>0</v>
      </c>
      <c r="I127" s="379">
        <f>IF(H127,Wh_hp,'2021'!Maxi_hp)</f>
        <v>60.576716442775776</v>
      </c>
      <c r="J127" s="85">
        <f>IF(H127,An,'2021'!An_max)</f>
        <v>2021</v>
      </c>
      <c r="K127" s="196">
        <f t="shared" si="27"/>
        <v>44674</v>
      </c>
      <c r="L127" s="147">
        <f>IF(t&lt;Tvie,1-EXP((T0-t)*PertePVj)+'2021'!Pspv,1-EXP((T0-t)*PertePVj)+Pspv)</f>
        <v>2.9508218353012185E-2</v>
      </c>
      <c r="M127" s="847"/>
      <c r="N127" s="847"/>
      <c r="O127" s="48">
        <f>IF(t&lt;Tnet,'2021'!Resal+('2021'!Salim-'2021'!Resal)*(1-EXP(('2021'!Tnet-t)/('2021'!Tau_j))),Resal+(Salim-Resal)*(1-EXP((Tnet-t)/(Tau_j))))*Salcycl</f>
        <v>3.4164845496435628E-2</v>
      </c>
      <c r="P127" s="338">
        <f>(INDEX(Models!$BJ127:$BT127,,T127)*(1-R127)+INDEX(Models!$BJ127:$BT127,,T127+1)*R127-ERP_i)*Q127*Ramure*Pc/MaxiM</f>
        <v>1.3510079059183511E-4</v>
      </c>
      <c r="Q127" s="304">
        <f t="shared" si="28"/>
        <v>0.5</v>
      </c>
      <c r="R127" s="176">
        <f t="shared" si="29"/>
        <v>0.77105386189535019</v>
      </c>
      <c r="S127" s="814">
        <f t="shared" si="30"/>
        <v>0</v>
      </c>
      <c r="T127" s="175">
        <f t="shared" si="31"/>
        <v>6</v>
      </c>
      <c r="U127" s="250">
        <f t="shared" si="32"/>
        <v>0.77105386189535019</v>
      </c>
      <c r="V127" s="382">
        <f t="shared" si="33"/>
        <v>55.494220758262252</v>
      </c>
      <c r="W127" s="401">
        <f t="shared" si="34"/>
        <v>0</v>
      </c>
      <c r="X127" s="157">
        <f t="shared" si="35"/>
        <v>44674</v>
      </c>
      <c r="Y127" s="384">
        <f t="shared" si="36"/>
        <v>8.1570872121318754</v>
      </c>
      <c r="Z127" s="384">
        <f t="shared" si="37"/>
        <v>8.4051069430889633</v>
      </c>
      <c r="AA127" s="385">
        <f t="shared" si="38"/>
        <v>8.965843891335517</v>
      </c>
      <c r="AB127" s="196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6.2541457897615546E-2</v>
      </c>
      <c r="AD127" s="230">
        <f>(INDEX(Models!$BJ127:$BT127,,AH127)*(1-AF127)+INDEX(Models!$BJ127:$BT127,,AH127+1)*AF127-ERP_i)*AE127*Ramure*Pc/MaxiM</f>
        <v>1.3510079059183511E-4</v>
      </c>
      <c r="AE127" s="304">
        <f t="shared" si="40"/>
        <v>0.5</v>
      </c>
      <c r="AF127" s="176">
        <f t="shared" si="41"/>
        <v>0.77105386189535019</v>
      </c>
      <c r="AG127" s="814">
        <f t="shared" si="49"/>
        <v>0</v>
      </c>
      <c r="AH127" s="175">
        <f t="shared" si="42"/>
        <v>6</v>
      </c>
      <c r="AI127" s="224">
        <f t="shared" si="43"/>
        <v>0.77105386189535019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8">
        <v>37.872999999999998</v>
      </c>
      <c r="C128" s="843"/>
      <c r="D128" s="392">
        <f t="shared" si="25"/>
        <v>39.025398488241635</v>
      </c>
      <c r="E128" s="384">
        <f t="shared" si="47"/>
        <v>40.410281286168072</v>
      </c>
      <c r="F128" s="384">
        <f t="shared" si="26"/>
        <v>40.413183902580123</v>
      </c>
      <c r="G128" s="110">
        <f t="shared" si="48"/>
        <v>0.68128558357789515</v>
      </c>
      <c r="H128" s="413" t="b">
        <f>Wh_hp&gt;='2021'!Maxi_hp</f>
        <v>0</v>
      </c>
      <c r="I128" s="379">
        <f>IF(H128,Wh_hp,'2021'!Maxi_hp)</f>
        <v>57.276493751473431</v>
      </c>
      <c r="J128" s="85">
        <f>IF(H128,An,'2021'!An_max)</f>
        <v>2021</v>
      </c>
      <c r="K128" s="196">
        <f t="shared" si="27"/>
        <v>44675</v>
      </c>
      <c r="L128" s="147">
        <f>IF(t&lt;Tvie,1-EXP((T0-t)*PertePVj)+'2021'!Pspv,1-EXP((T0-t)*PertePVj)+Pspv)</f>
        <v>2.9529448330652054E-2</v>
      </c>
      <c r="M128" s="847"/>
      <c r="N128" s="847"/>
      <c r="O128" s="48">
        <f>IF(t&lt;Tnet,'2021'!Resal+('2021'!Salim-'2021'!Resal)*(1-EXP(('2021'!Tnet-t)/('2021'!Tau_j))),Resal+(Salim-Resal)*(1-EXP((Tnet-t)/(Tau_j))))*Salcycl</f>
        <v>3.4270555755830948E-2</v>
      </c>
      <c r="P128" s="338">
        <f>(INDEX(Models!$BJ128:$BT128,,T128)*(1-R128)+INDEX(Models!$BJ128:$BT128,,T128+1)*R128-ERP_i)*Q128*Ramure*Pc/MaxiM</f>
        <v>1.3184621086391018E-4</v>
      </c>
      <c r="Q128" s="304">
        <f t="shared" si="28"/>
        <v>0.5</v>
      </c>
      <c r="R128" s="176">
        <f t="shared" si="29"/>
        <v>0.77239846152729918</v>
      </c>
      <c r="S128" s="814">
        <f t="shared" si="30"/>
        <v>0</v>
      </c>
      <c r="T128" s="175">
        <f t="shared" si="31"/>
        <v>6</v>
      </c>
      <c r="U128" s="250">
        <f t="shared" si="32"/>
        <v>0.77239846152729918</v>
      </c>
      <c r="V128" s="382">
        <f t="shared" si="33"/>
        <v>55.587153918323821</v>
      </c>
      <c r="W128" s="401">
        <f t="shared" si="34"/>
        <v>0</v>
      </c>
      <c r="X128" s="157">
        <f t="shared" si="35"/>
        <v>44675</v>
      </c>
      <c r="Y128" s="384">
        <f t="shared" si="36"/>
        <v>36.760861997031981</v>
      </c>
      <c r="Z128" s="384">
        <f t="shared" si="37"/>
        <v>37.879420384058072</v>
      </c>
      <c r="AA128" s="385">
        <f t="shared" si="38"/>
        <v>40.410281286168072</v>
      </c>
      <c r="AB128" s="196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6.2629133516481694E-2</v>
      </c>
      <c r="AD128" s="230">
        <f>(INDEX(Models!$BJ128:$BT128,,AH128)*(1-AF128)+INDEX(Models!$BJ128:$BT128,,AH128+1)*AF128-ERP_i)*AE128*Ramure*Pc/MaxiM</f>
        <v>1.3184621086391018E-4</v>
      </c>
      <c r="AE128" s="304">
        <f t="shared" si="40"/>
        <v>0.5</v>
      </c>
      <c r="AF128" s="176">
        <f t="shared" si="41"/>
        <v>0.77239846152729918</v>
      </c>
      <c r="AG128" s="814">
        <f t="shared" si="49"/>
        <v>0</v>
      </c>
      <c r="AH128" s="175">
        <f t="shared" si="42"/>
        <v>6</v>
      </c>
      <c r="AI128" s="224">
        <f t="shared" si="43"/>
        <v>0.77239846152729918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8">
        <v>47.640999999999998</v>
      </c>
      <c r="C129" s="843"/>
      <c r="D129" s="392">
        <f t="shared" si="25"/>
        <v>49.091692798675972</v>
      </c>
      <c r="E129" s="384">
        <f t="shared" si="47"/>
        <v>50.839384588816486</v>
      </c>
      <c r="F129" s="384">
        <f t="shared" si="26"/>
        <v>50.844613338252024</v>
      </c>
      <c r="G129" s="110">
        <f t="shared" si="48"/>
        <v>0.85567995746313141</v>
      </c>
      <c r="H129" s="413" t="b">
        <f>Wh_hp&gt;='2021'!Maxi_hp</f>
        <v>0</v>
      </c>
      <c r="I129" s="379">
        <f>IF(H129,Wh_hp,'2021'!Maxi_hp)</f>
        <v>55.011025243549312</v>
      </c>
      <c r="J129" s="85">
        <f>IF(H129,An,'2021'!An_max)</f>
        <v>2020</v>
      </c>
      <c r="K129" s="196">
        <f t="shared" si="27"/>
        <v>44676</v>
      </c>
      <c r="L129" s="147">
        <f>IF(t&lt;Tvie,1-EXP((T0-t)*PertePVj)+'2021'!Pspv,1-EXP((T0-t)*PertePVj)+Pspv)</f>
        <v>2.9550677843300989E-2</v>
      </c>
      <c r="M129" s="847"/>
      <c r="N129" s="847"/>
      <c r="O129" s="48">
        <f>IF(t&lt;Tnet,'2021'!Resal+('2021'!Salim-'2021'!Resal)*(1-EXP(('2021'!Tnet-t)/('2021'!Tau_j))),Resal+(Salim-Resal)*(1-EXP((Tnet-t)/(Tau_j))))*Salcycl</f>
        <v>3.4376729857681414E-2</v>
      </c>
      <c r="P129" s="338">
        <f>(INDEX(Models!$BJ129:$BT129,,T129)*(1-R129)+INDEX(Models!$BJ129:$BT129,,T129+1)*R129-ERP_i)*Q129*Ramure*Pc/MaxiM</f>
        <v>1.2954132319362266E-4</v>
      </c>
      <c r="Q129" s="304">
        <f t="shared" si="28"/>
        <v>0.5</v>
      </c>
      <c r="R129" s="176">
        <f t="shared" si="29"/>
        <v>0.77378496643027861</v>
      </c>
      <c r="S129" s="814">
        <f t="shared" si="30"/>
        <v>0</v>
      </c>
      <c r="T129" s="175">
        <f t="shared" si="31"/>
        <v>6</v>
      </c>
      <c r="U129" s="250">
        <f t="shared" si="32"/>
        <v>0.77378496643027861</v>
      </c>
      <c r="V129" s="382">
        <f t="shared" si="33"/>
        <v>55.674703225523515</v>
      </c>
      <c r="W129" s="401">
        <f t="shared" si="34"/>
        <v>0</v>
      </c>
      <c r="X129" s="157">
        <f t="shared" si="35"/>
        <v>44676</v>
      </c>
      <c r="Y129" s="384">
        <f t="shared" si="36"/>
        <v>46.242741313657561</v>
      </c>
      <c r="Z129" s="384">
        <f t="shared" si="37"/>
        <v>47.65085642070315</v>
      </c>
      <c r="AA129" s="385">
        <f t="shared" si="38"/>
        <v>50.839384588816486</v>
      </c>
      <c r="AB129" s="196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6.271767830987357E-2</v>
      </c>
      <c r="AD129" s="230">
        <f>(INDEX(Models!$BJ129:$BT129,,AH129)*(1-AF129)+INDEX(Models!$BJ129:$BT129,,AH129+1)*AF129-ERP_i)*AE129*Ramure*Pc/MaxiM</f>
        <v>1.2954132319362266E-4</v>
      </c>
      <c r="AE129" s="304">
        <f t="shared" si="40"/>
        <v>0.5</v>
      </c>
      <c r="AF129" s="176">
        <f t="shared" si="41"/>
        <v>0.77378496643027861</v>
      </c>
      <c r="AG129" s="814">
        <f t="shared" si="49"/>
        <v>0</v>
      </c>
      <c r="AH129" s="175">
        <f t="shared" si="42"/>
        <v>6</v>
      </c>
      <c r="AI129" s="224">
        <f t="shared" si="43"/>
        <v>0.77378496643027861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8">
        <v>53.923999999999999</v>
      </c>
      <c r="C130" s="843"/>
      <c r="D130" s="392">
        <f t="shared" si="25"/>
        <v>55.56722891980565</v>
      </c>
      <c r="E130" s="384">
        <f t="shared" si="47"/>
        <v>57.551809307909416</v>
      </c>
      <c r="F130" s="384">
        <f t="shared" si="26"/>
        <v>57.558841512192636</v>
      </c>
      <c r="G130" s="110">
        <f t="shared" si="48"/>
        <v>0.96711459861520932</v>
      </c>
      <c r="H130" s="413" t="b">
        <f>Wh_hp&gt;='2021'!Maxi_hp</f>
        <v>1</v>
      </c>
      <c r="I130" s="379">
        <f>IF(H130,Wh_hp,'2021'!Maxi_hp)</f>
        <v>57.558841512192636</v>
      </c>
      <c r="J130" s="85">
        <f>IF(H130,An,'2021'!An_max)</f>
        <v>2022</v>
      </c>
      <c r="K130" s="196">
        <f t="shared" si="27"/>
        <v>44677</v>
      </c>
      <c r="L130" s="147">
        <f>IF(t&lt;Tvie,1-EXP((T0-t)*PertePVj)+'2021'!Pspv,1-EXP((T0-t)*PertePVj)+Pspv)</f>
        <v>2.9571906890968981E-2</v>
      </c>
      <c r="M130" s="847"/>
      <c r="N130" s="847"/>
      <c r="O130" s="48">
        <f>IF(t&lt;Tnet,'2021'!Resal+('2021'!Salim-'2021'!Resal)*(1-EXP(('2021'!Tnet-t)/('2021'!Tau_j))),Resal+(Salim-Resal)*(1-EXP((Tnet-t)/(Tau_j))))*Salcycl</f>
        <v>3.4483370930807916E-2</v>
      </c>
      <c r="P130" s="338">
        <f>(INDEX(Models!$BJ130:$BT130,,T130)*(1-R130)+INDEX(Models!$BJ130:$BT130,,T130+1)*R130-ERP_i)*Q130*Ramure*Pc/MaxiM</f>
        <v>1.2819563502645289E-4</v>
      </c>
      <c r="Q130" s="304">
        <f t="shared" si="28"/>
        <v>0.5</v>
      </c>
      <c r="R130" s="176">
        <f t="shared" si="29"/>
        <v>0.775214140496994</v>
      </c>
      <c r="S130" s="814">
        <f t="shared" si="30"/>
        <v>0</v>
      </c>
      <c r="T130" s="175">
        <f t="shared" si="31"/>
        <v>6</v>
      </c>
      <c r="U130" s="250">
        <f t="shared" si="32"/>
        <v>0.775214140496994</v>
      </c>
      <c r="V130" s="382">
        <f t="shared" si="33"/>
        <v>55.75727564925073</v>
      </c>
      <c r="W130" s="401">
        <f t="shared" si="34"/>
        <v>0</v>
      </c>
      <c r="X130" s="157">
        <f t="shared" si="35"/>
        <v>44677</v>
      </c>
      <c r="Y130" s="384">
        <f t="shared" si="36"/>
        <v>52.342123133456411</v>
      </c>
      <c r="Z130" s="384">
        <f t="shared" si="37"/>
        <v>53.937147435379934</v>
      </c>
      <c r="AA130" s="385">
        <f t="shared" si="38"/>
        <v>57.551809307909416</v>
      </c>
      <c r="AB130" s="196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6.2807093573558806E-2</v>
      </c>
      <c r="AD130" s="230">
        <f>(INDEX(Models!$BJ130:$BT130,,AH130)*(1-AF130)+INDEX(Models!$BJ130:$BT130,,AH130+1)*AF130-ERP_i)*AE130*Ramure*Pc/MaxiM</f>
        <v>1.2819563502645289E-4</v>
      </c>
      <c r="AE130" s="304">
        <f t="shared" si="40"/>
        <v>0.5</v>
      </c>
      <c r="AF130" s="176">
        <f t="shared" si="41"/>
        <v>0.775214140496994</v>
      </c>
      <c r="AG130" s="814">
        <f t="shared" si="49"/>
        <v>0</v>
      </c>
      <c r="AH130" s="175">
        <f t="shared" si="42"/>
        <v>6</v>
      </c>
      <c r="AI130" s="224">
        <f t="shared" si="43"/>
        <v>0.775214140496994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8">
        <v>38.724000000000004</v>
      </c>
      <c r="C131" s="843"/>
      <c r="D131" s="392">
        <f t="shared" si="25"/>
        <v>39.904911450622947</v>
      </c>
      <c r="E131" s="384">
        <f t="shared" si="47"/>
        <v>41.33469856519163</v>
      </c>
      <c r="F131" s="384">
        <f t="shared" si="26"/>
        <v>41.337669114089941</v>
      </c>
      <c r="G131" s="110">
        <f t="shared" si="48"/>
        <v>0.69350121080577865</v>
      </c>
      <c r="H131" s="413" t="b">
        <f>Wh_hp&gt;='2021'!Maxi_hp</f>
        <v>1</v>
      </c>
      <c r="I131" s="379">
        <f>IF(H131,Wh_hp,'2021'!Maxi_hp)</f>
        <v>41.337669114089941</v>
      </c>
      <c r="J131" s="85">
        <f>IF(H131,An,'2021'!An_max)</f>
        <v>2022</v>
      </c>
      <c r="K131" s="196">
        <f t="shared" si="27"/>
        <v>44678</v>
      </c>
      <c r="L131" s="147">
        <f>IF(t&lt;Tvie,1-EXP((T0-t)*PertePVj)+'2021'!Pspv,1-EXP((T0-t)*PertePVj)+Pspv)</f>
        <v>2.9593135473666356E-2</v>
      </c>
      <c r="M131" s="847"/>
      <c r="N131" s="847"/>
      <c r="O131" s="48">
        <f>IF(t&lt;Tnet,'2021'!Resal+('2021'!Salim-'2021'!Resal)*(1-EXP(('2021'!Tnet-t)/('2021'!Tau_j))),Resal+(Salim-Resal)*(1-EXP((Tnet-t)/(Tau_j))))*Salcycl</f>
        <v>3.4590481222783589E-2</v>
      </c>
      <c r="P131" s="338">
        <f>(INDEX(Models!$BJ131:$BT131,,T131)*(1-R131)+INDEX(Models!$BJ131:$BT131,,T131+1)*R131-ERP_i)*Q131*Ramure*Pc/MaxiM</f>
        <v>1.2782030614918782E-4</v>
      </c>
      <c r="Q131" s="304">
        <f t="shared" si="28"/>
        <v>0.5</v>
      </c>
      <c r="R131" s="176">
        <f t="shared" si="29"/>
        <v>0.77668672108927495</v>
      </c>
      <c r="S131" s="814">
        <f t="shared" si="30"/>
        <v>0</v>
      </c>
      <c r="T131" s="175">
        <f t="shared" si="31"/>
        <v>6</v>
      </c>
      <c r="U131" s="250">
        <f t="shared" si="32"/>
        <v>0.77668672108927495</v>
      </c>
      <c r="V131" s="382">
        <f t="shared" si="33"/>
        <v>55.835277944014599</v>
      </c>
      <c r="W131" s="401">
        <f t="shared" si="34"/>
        <v>0</v>
      </c>
      <c r="X131" s="157">
        <f t="shared" si="35"/>
        <v>44678</v>
      </c>
      <c r="Y131" s="384">
        <f t="shared" si="36"/>
        <v>37.588568570200032</v>
      </c>
      <c r="Z131" s="384">
        <f t="shared" si="37"/>
        <v>38.734854362914497</v>
      </c>
      <c r="AA131" s="385">
        <f t="shared" si="38"/>
        <v>41.33469856519163</v>
      </c>
      <c r="AB131" s="196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6.2897379018665087E-2</v>
      </c>
      <c r="AD131" s="230">
        <f>(INDEX(Models!$BJ131:$BT131,,AH131)*(1-AF131)+INDEX(Models!$BJ131:$BT131,,AH131+1)*AF131-ERP_i)*AE131*Ramure*Pc/MaxiM</f>
        <v>1.2782030614918782E-4</v>
      </c>
      <c r="AE131" s="304">
        <f t="shared" si="40"/>
        <v>0.5</v>
      </c>
      <c r="AF131" s="176">
        <f t="shared" si="41"/>
        <v>0.77668672108927495</v>
      </c>
      <c r="AG131" s="814">
        <f t="shared" si="49"/>
        <v>0</v>
      </c>
      <c r="AH131" s="175">
        <f t="shared" si="42"/>
        <v>6</v>
      </c>
      <c r="AI131" s="224">
        <f t="shared" si="43"/>
        <v>0.77668672108927495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8">
        <v>23.064</v>
      </c>
      <c r="C132" s="843"/>
      <c r="D132" s="392">
        <f t="shared" si="25"/>
        <v>23.767870354470631</v>
      </c>
      <c r="E132" s="384">
        <f t="shared" si="47"/>
        <v>24.622213444559502</v>
      </c>
      <c r="F132" s="384">
        <f t="shared" si="26"/>
        <v>24.622721783491027</v>
      </c>
      <c r="G132" s="110">
        <f t="shared" si="48"/>
        <v>0.41248217508887258</v>
      </c>
      <c r="H132" s="413" t="b">
        <f>Wh_hp&gt;='2021'!Maxi_hp</f>
        <v>0</v>
      </c>
      <c r="I132" s="379">
        <f>IF(H132,Wh_hp,'2021'!Maxi_hp)</f>
        <v>46.272317689396395</v>
      </c>
      <c r="J132" s="85">
        <f>IF(H132,An,'2021'!An_max)</f>
        <v>2019</v>
      </c>
      <c r="K132" s="196">
        <f t="shared" si="27"/>
        <v>44679</v>
      </c>
      <c r="L132" s="147">
        <f>IF(t&lt;Tvie,1-EXP((T0-t)*PertePVj)+'2021'!Pspv,1-EXP((T0-t)*PertePVj)+Pspv)</f>
        <v>2.9614363591403327E-2</v>
      </c>
      <c r="M132" s="847"/>
      <c r="N132" s="847"/>
      <c r="O132" s="48">
        <f>IF(t&lt;Tnet,'2021'!Resal+('2021'!Salim-'2021'!Resal)*(1-EXP(('2021'!Tnet-t)/('2021'!Tau_j))),Resal+(Salim-Resal)*(1-EXP((Tnet-t)/(Tau_j))))*Salcycl</f>
        <v>3.4698062057359265E-2</v>
      </c>
      <c r="P132" s="338">
        <f>(INDEX(Models!$BJ132:$BT132,,T132)*(1-R132)+INDEX(Models!$BJ132:$BT132,,T132+1)*R132-ERP_i)*Q132*Ramure*Pc/MaxiM</f>
        <v>1.2842808449750246E-4</v>
      </c>
      <c r="Q132" s="304">
        <f t="shared" si="28"/>
        <v>0.5</v>
      </c>
      <c r="R132" s="176">
        <f t="shared" si="29"/>
        <v>0.77820341551500138</v>
      </c>
      <c r="S132" s="814">
        <f t="shared" si="30"/>
        <v>0</v>
      </c>
      <c r="T132" s="175">
        <f t="shared" si="31"/>
        <v>6</v>
      </c>
      <c r="U132" s="250">
        <f t="shared" si="32"/>
        <v>0.77820341551500138</v>
      </c>
      <c r="V132" s="382">
        <f t="shared" si="33"/>
        <v>55.909116648029652</v>
      </c>
      <c r="W132" s="401">
        <f t="shared" si="34"/>
        <v>0</v>
      </c>
      <c r="X132" s="157">
        <f t="shared" si="35"/>
        <v>44679</v>
      </c>
      <c r="Y132" s="384">
        <f t="shared" si="36"/>
        <v>22.388054589113437</v>
      </c>
      <c r="Z132" s="384">
        <f t="shared" si="37"/>
        <v>23.071296347678608</v>
      </c>
      <c r="AA132" s="385">
        <f t="shared" si="38"/>
        <v>24.622213444559502</v>
      </c>
      <c r="AB132" s="196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6.2988532707386788E-2</v>
      </c>
      <c r="AD132" s="230">
        <f>(INDEX(Models!$BJ132:$BT132,,AH132)*(1-AF132)+INDEX(Models!$BJ132:$BT132,,AH132+1)*AF132-ERP_i)*AE132*Ramure*Pc/MaxiM</f>
        <v>1.2842808449750246E-4</v>
      </c>
      <c r="AE132" s="304">
        <f t="shared" si="40"/>
        <v>0.5</v>
      </c>
      <c r="AF132" s="176">
        <f t="shared" si="41"/>
        <v>0.77820341551500138</v>
      </c>
      <c r="AG132" s="814">
        <f t="shared" si="49"/>
        <v>0</v>
      </c>
      <c r="AH132" s="175">
        <f t="shared" si="42"/>
        <v>6</v>
      </c>
      <c r="AI132" s="224">
        <f t="shared" si="43"/>
        <v>0.77820341551500138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8">
        <v>43.448</v>
      </c>
      <c r="C133" s="843"/>
      <c r="D133" s="392">
        <f t="shared" si="25"/>
        <v>44.774931569994955</v>
      </c>
      <c r="E133" s="384">
        <f t="shared" si="47"/>
        <v>46.389572302298674</v>
      </c>
      <c r="F133" s="384">
        <f t="shared" si="26"/>
        <v>46.39367580536959</v>
      </c>
      <c r="G133" s="110">
        <f t="shared" si="48"/>
        <v>0.77611317417475412</v>
      </c>
      <c r="H133" s="413" t="b">
        <f>Wh_hp&gt;='2021'!Maxi_hp</f>
        <v>0</v>
      </c>
      <c r="I133" s="379">
        <f>IF(H133,Wh_hp,'2021'!Maxi_hp)</f>
        <v>53.368157207245993</v>
      </c>
      <c r="J133" s="85">
        <f>IF(H133,An,'2021'!An_max)</f>
        <v>2019</v>
      </c>
      <c r="K133" s="196">
        <f t="shared" si="27"/>
        <v>44680</v>
      </c>
      <c r="L133" s="147">
        <f>IF(t&lt;Tvie,1-EXP((T0-t)*PertePVj)+'2021'!Pspv,1-EXP((T0-t)*PertePVj)+Pspv)</f>
        <v>2.9635591244190108E-2</v>
      </c>
      <c r="M133" s="847"/>
      <c r="N133" s="847"/>
      <c r="O133" s="48">
        <f>IF(t&lt;Tnet,'2021'!Resal+('2021'!Salim-'2021'!Resal)*(1-EXP(('2021'!Tnet-t)/('2021'!Tau_j))),Resal+(Salim-Resal)*(1-EXP((Tnet-t)/(Tau_j))))*Salcycl</f>
        <v>3.4806113791734795E-2</v>
      </c>
      <c r="P133" s="338">
        <f>(INDEX(Models!$BJ133:$BT133,,T133)*(1-R133)+INDEX(Models!$BJ133:$BT133,,T133+1)*R133-ERP_i)*Q133*Ramure*Pc/MaxiM</f>
        <v>1.3003323854949046E-4</v>
      </c>
      <c r="Q133" s="304">
        <f t="shared" si="28"/>
        <v>0.5</v>
      </c>
      <c r="R133" s="176">
        <f t="shared" si="29"/>
        <v>0.77976489737168064</v>
      </c>
      <c r="S133" s="814">
        <f t="shared" si="30"/>
        <v>0</v>
      </c>
      <c r="T133" s="175">
        <f t="shared" si="31"/>
        <v>6</v>
      </c>
      <c r="U133" s="250">
        <f t="shared" si="32"/>
        <v>0.77976489737168064</v>
      </c>
      <c r="V133" s="382">
        <f t="shared" si="33"/>
        <v>55.979198087173721</v>
      </c>
      <c r="W133" s="401">
        <f t="shared" si="34"/>
        <v>0</v>
      </c>
      <c r="X133" s="157">
        <f t="shared" si="35"/>
        <v>44680</v>
      </c>
      <c r="Y133" s="384">
        <f t="shared" si="36"/>
        <v>42.175232150040031</v>
      </c>
      <c r="Z133" s="384">
        <f t="shared" si="37"/>
        <v>43.463292521328796</v>
      </c>
      <c r="AA133" s="385">
        <f t="shared" si="38"/>
        <v>46.389572302298674</v>
      </c>
      <c r="AB133" s="196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6.3080550988931491E-2</v>
      </c>
      <c r="AD133" s="230">
        <f>(INDEX(Models!$BJ133:$BT133,,AH133)*(1-AF133)+INDEX(Models!$BJ133:$BT133,,AH133+1)*AF133-ERP_i)*AE133*Ramure*Pc/MaxiM</f>
        <v>1.3003323854949046E-4</v>
      </c>
      <c r="AE133" s="304">
        <f t="shared" si="40"/>
        <v>0.5</v>
      </c>
      <c r="AF133" s="176">
        <f t="shared" si="41"/>
        <v>0.77976489737168064</v>
      </c>
      <c r="AG133" s="814">
        <f t="shared" si="49"/>
        <v>0</v>
      </c>
      <c r="AH133" s="175">
        <f t="shared" si="42"/>
        <v>6</v>
      </c>
      <c r="AI133" s="224">
        <f t="shared" si="43"/>
        <v>0.77976489737168064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8">
        <v>44.06</v>
      </c>
      <c r="C134" s="843"/>
      <c r="D134" s="392">
        <f t="shared" si="25"/>
        <v>45.40661575918336</v>
      </c>
      <c r="E134" s="384">
        <f t="shared" si="47"/>
        <v>47.04932583409235</v>
      </c>
      <c r="F134" s="384">
        <f t="shared" si="26"/>
        <v>47.053660640524839</v>
      </c>
      <c r="G134" s="110">
        <f t="shared" si="48"/>
        <v>0.78610909843726284</v>
      </c>
      <c r="H134" s="413" t="b">
        <f>Wh_hp&gt;='2021'!Maxi_hp</f>
        <v>0</v>
      </c>
      <c r="I134" s="379">
        <f>IF(H134,Wh_hp,'2021'!Maxi_hp)</f>
        <v>60.260535835391735</v>
      </c>
      <c r="J134" s="85">
        <f>IF(H134,An,'2021'!An_max)</f>
        <v>2019</v>
      </c>
      <c r="K134" s="196">
        <f t="shared" si="27"/>
        <v>44681</v>
      </c>
      <c r="L134" s="147">
        <f>IF(t&lt;Tvie,1-EXP((T0-t)*PertePVj)+'2021'!Pspv,1-EXP((T0-t)*PertePVj)+Pspv)</f>
        <v>2.9656818432036693E-2</v>
      </c>
      <c r="M134" s="847"/>
      <c r="N134" s="847"/>
      <c r="O134" s="48">
        <f>IF(t&lt;Tnet,'2021'!Resal+('2021'!Salim-'2021'!Resal)*(1-EXP(('2021'!Tnet-t)/('2021'!Tau_j))),Resal+(Salim-Resal)*(1-EXP((Tnet-t)/(Tau_j))))*Salcycl</f>
        <v>3.4914635773987387E-2</v>
      </c>
      <c r="P134" s="338">
        <f>(INDEX(Models!$BJ134:$BT134,,T134)*(1-R134)+INDEX(Models!$BJ134:$BT134,,T134+1)*R134-ERP_i)*Q134*Ramure*Pc/MaxiM</f>
        <v>1.3265148554912317E-4</v>
      </c>
      <c r="Q134" s="304">
        <f t="shared" si="28"/>
        <v>0.5</v>
      </c>
      <c r="R134" s="176">
        <f t="shared" si="29"/>
        <v>0.78137180276604812</v>
      </c>
      <c r="S134" s="814">
        <f t="shared" si="30"/>
        <v>0</v>
      </c>
      <c r="T134" s="175">
        <f t="shared" si="31"/>
        <v>6</v>
      </c>
      <c r="U134" s="250">
        <f t="shared" si="32"/>
        <v>0.78137180276604812</v>
      </c>
      <c r="V134" s="382">
        <f t="shared" si="33"/>
        <v>56.045928376647453</v>
      </c>
      <c r="W134" s="401">
        <f t="shared" si="34"/>
        <v>0</v>
      </c>
      <c r="X134" s="157">
        <f t="shared" si="35"/>
        <v>44681</v>
      </c>
      <c r="Y134" s="384">
        <f t="shared" si="36"/>
        <v>42.769873291158753</v>
      </c>
      <c r="Z134" s="384">
        <f t="shared" si="37"/>
        <v>44.077058615538</v>
      </c>
      <c r="AA134" s="385">
        <f t="shared" si="38"/>
        <v>47.04932583409235</v>
      </c>
      <c r="AB134" s="196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6.3173428436260823E-2</v>
      </c>
      <c r="AD134" s="230">
        <f>(INDEX(Models!$BJ134:$BT134,,AH134)*(1-AF134)+INDEX(Models!$BJ134:$BT134,,AH134+1)*AF134-ERP_i)*AE134*Ramure*Pc/MaxiM</f>
        <v>1.3265148554912317E-4</v>
      </c>
      <c r="AE134" s="304">
        <f t="shared" si="40"/>
        <v>0.5</v>
      </c>
      <c r="AF134" s="176">
        <f t="shared" si="41"/>
        <v>0.78137180276604812</v>
      </c>
      <c r="AG134" s="814">
        <f t="shared" si="49"/>
        <v>0</v>
      </c>
      <c r="AH134" s="175">
        <f t="shared" si="42"/>
        <v>6</v>
      </c>
      <c r="AI134" s="224">
        <f t="shared" si="43"/>
        <v>0.78137180276604812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8">
        <v>44.853999999999999</v>
      </c>
      <c r="C135" s="843"/>
      <c r="D135" s="392">
        <f t="shared" si="25"/>
        <v>46.225894174643166</v>
      </c>
      <c r="E135" s="384">
        <f t="shared" si="47"/>
        <v>47.903653845376077</v>
      </c>
      <c r="F135" s="384">
        <f t="shared" si="26"/>
        <v>47.908312853327253</v>
      </c>
      <c r="G135" s="110">
        <f t="shared" si="48"/>
        <v>0.79939388538024958</v>
      </c>
      <c r="H135" s="413" t="b">
        <f>Wh_hp&gt;='2021'!Maxi_hp</f>
        <v>0</v>
      </c>
      <c r="I135" s="379">
        <f>IF(H135,Wh_hp,'2021'!Maxi_hp)</f>
        <v>56.919945297038041</v>
      </c>
      <c r="J135" s="85">
        <f>IF(H135,An,'2021'!An_max)</f>
        <v>2019</v>
      </c>
      <c r="K135" s="196">
        <f t="shared" si="27"/>
        <v>44682</v>
      </c>
      <c r="L135" s="147">
        <f>IF(t&lt;Tvie,1-EXP((T0-t)*PertePVj)+'2021'!Pspv,1-EXP((T0-t)*PertePVj)+Pspv)</f>
        <v>2.9678045154953515E-2</v>
      </c>
      <c r="M135" s="847"/>
      <c r="N135" s="847"/>
      <c r="O135" s="48">
        <f>IF(t&lt;Tnet,'2021'!Resal+('2021'!Salim-'2021'!Resal)*(1-EXP(('2021'!Tnet-t)/('2021'!Tau_j))),Resal+(Salim-Resal)*(1-EXP((Tnet-t)/(Tau_j))))*Salcycl</f>
        <v>3.5023626300999991E-2</v>
      </c>
      <c r="P135" s="338">
        <f>(INDEX(Models!$BJ135:$BT135,,T135)*(1-R135)+INDEX(Models!$BJ135:$BT135,,T135+1)*R135-ERP_i)*Q135*Ramure*Pc/MaxiM</f>
        <v>1.363045144445153E-4</v>
      </c>
      <c r="Q135" s="304">
        <f t="shared" si="28"/>
        <v>0.5</v>
      </c>
      <c r="R135" s="176">
        <f t="shared" si="29"/>
        <v>0.78302472642088405</v>
      </c>
      <c r="S135" s="814">
        <f t="shared" si="30"/>
        <v>0</v>
      </c>
      <c r="T135" s="175">
        <f t="shared" si="31"/>
        <v>6</v>
      </c>
      <c r="U135" s="250">
        <f t="shared" si="32"/>
        <v>0.78302472642088405</v>
      </c>
      <c r="V135" s="382">
        <f t="shared" si="33"/>
        <v>56.10781972198042</v>
      </c>
      <c r="W135" s="401">
        <f t="shared" si="34"/>
        <v>0</v>
      </c>
      <c r="X135" s="157">
        <f t="shared" si="35"/>
        <v>44682</v>
      </c>
      <c r="Y135" s="384">
        <f t="shared" si="36"/>
        <v>43.541185100405364</v>
      </c>
      <c r="Z135" s="384">
        <f t="shared" si="37"/>
        <v>44.872925819099478</v>
      </c>
      <c r="AA135" s="385">
        <f t="shared" si="38"/>
        <v>47.903653845376077</v>
      </c>
      <c r="AB135" s="196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6.3267157784231046E-2</v>
      </c>
      <c r="AD135" s="230">
        <f>(INDEX(Models!$BJ135:$BT135,,AH135)*(1-AF135)+INDEX(Models!$BJ135:$BT135,,AH135+1)*AF135-ERP_i)*AE135*Ramure*Pc/MaxiM</f>
        <v>1.363045144445153E-4</v>
      </c>
      <c r="AE135" s="304">
        <f t="shared" si="40"/>
        <v>0.5</v>
      </c>
      <c r="AF135" s="176">
        <f t="shared" si="41"/>
        <v>0.78302472642088405</v>
      </c>
      <c r="AG135" s="814">
        <f t="shared" si="49"/>
        <v>0</v>
      </c>
      <c r="AH135" s="175">
        <f t="shared" si="42"/>
        <v>6</v>
      </c>
      <c r="AI135" s="224">
        <f t="shared" si="43"/>
        <v>0.78302472642088405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8">
        <v>27.17</v>
      </c>
      <c r="C136" s="843"/>
      <c r="D136" s="392">
        <f t="shared" si="25"/>
        <v>28.001627948445339</v>
      </c>
      <c r="E136" s="384">
        <f t="shared" si="47"/>
        <v>29.021233335723313</v>
      </c>
      <c r="F136" s="384">
        <f t="shared" si="26"/>
        <v>29.022308398905604</v>
      </c>
      <c r="G136" s="110">
        <f t="shared" si="48"/>
        <v>0.48371683566912854</v>
      </c>
      <c r="H136" s="413" t="b">
        <f>Wh_hp&gt;='2021'!Maxi_hp</f>
        <v>0</v>
      </c>
      <c r="I136" s="379">
        <f>IF(H136,Wh_hp,'2021'!Maxi_hp)</f>
        <v>40.444664400159141</v>
      </c>
      <c r="J136" s="85">
        <f>IF(H136,An,'2021'!An_max)</f>
        <v>2021</v>
      </c>
      <c r="K136" s="196">
        <f t="shared" si="27"/>
        <v>44683</v>
      </c>
      <c r="L136" s="147">
        <f>IF(t&lt;Tvie,1-EXP((T0-t)*PertePVj)+'2021'!Pspv,1-EXP((T0-t)*PertePVj)+Pspv)</f>
        <v>2.9699271412950458E-2</v>
      </c>
      <c r="M136" s="847"/>
      <c r="N136" s="847"/>
      <c r="O136" s="48">
        <f>IF(t&lt;Tnet,'2021'!Resal+('2021'!Salim-'2021'!Resal)*(1-EXP(('2021'!Tnet-t)/('2021'!Tau_j))),Resal+(Salim-Resal)*(1-EXP((Tnet-t)/(Tau_j))))*Salcycl</f>
        <v>3.5133082577262532E-2</v>
      </c>
      <c r="P136" s="338">
        <f>(INDEX(Models!$BJ136:$BT136,,T136)*(1-R136)+INDEX(Models!$BJ136:$BT136,,T136+1)*R136-ERP_i)*Q136*Ramure*Pc/MaxiM</f>
        <v>1.4110166232617961E-4</v>
      </c>
      <c r="Q136" s="304">
        <f t="shared" si="28"/>
        <v>0.5</v>
      </c>
      <c r="R136" s="176">
        <f t="shared" si="29"/>
        <v>0.78472421768214518</v>
      </c>
      <c r="S136" s="814">
        <f t="shared" si="30"/>
        <v>0</v>
      </c>
      <c r="T136" s="175">
        <f t="shared" si="31"/>
        <v>6</v>
      </c>
      <c r="U136" s="250">
        <f t="shared" si="32"/>
        <v>0.78472421768214518</v>
      </c>
      <c r="V136" s="382">
        <f t="shared" si="33"/>
        <v>56.163380326203907</v>
      </c>
      <c r="W136" s="401">
        <f t="shared" si="34"/>
        <v>0</v>
      </c>
      <c r="X136" s="157">
        <f t="shared" si="35"/>
        <v>44683</v>
      </c>
      <c r="Y136" s="384">
        <f t="shared" si="36"/>
        <v>26.375100379038301</v>
      </c>
      <c r="Z136" s="384">
        <f t="shared" si="37"/>
        <v>27.18239778861723</v>
      </c>
      <c r="AA136" s="385">
        <f t="shared" si="38"/>
        <v>29.021233335723313</v>
      </c>
      <c r="AB136" s="196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6.3361729869784403E-2</v>
      </c>
      <c r="AD136" s="230">
        <f>(INDEX(Models!$BJ136:$BT136,,AH136)*(1-AF136)+INDEX(Models!$BJ136:$BT136,,AH136+1)*AF136-ERP_i)*AE136*Ramure*Pc/MaxiM</f>
        <v>1.4110166232617961E-4</v>
      </c>
      <c r="AE136" s="304">
        <f t="shared" si="40"/>
        <v>0.5</v>
      </c>
      <c r="AF136" s="176">
        <f t="shared" si="41"/>
        <v>0.78472421768214518</v>
      </c>
      <c r="AG136" s="814">
        <f t="shared" si="49"/>
        <v>0</v>
      </c>
      <c r="AH136" s="175">
        <f t="shared" si="42"/>
        <v>6</v>
      </c>
      <c r="AI136" s="224">
        <f t="shared" si="43"/>
        <v>0.78472421768214518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8">
        <v>10.997</v>
      </c>
      <c r="C137" s="843"/>
      <c r="D137" s="392">
        <f t="shared" si="25"/>
        <v>11.333847585498468</v>
      </c>
      <c r="E137" s="384">
        <f t="shared" si="47"/>
        <v>11.747878059892431</v>
      </c>
      <c r="F137" s="384">
        <f t="shared" si="26"/>
        <v>11.747878059892431</v>
      </c>
      <c r="G137" s="110">
        <f t="shared" si="48"/>
        <v>0.19560207380190114</v>
      </c>
      <c r="H137" s="413" t="b">
        <f>Wh_hp&gt;='2021'!Maxi_hp</f>
        <v>0</v>
      </c>
      <c r="I137" s="379">
        <f>IF(H137,Wh_hp,'2021'!Maxi_hp)</f>
        <v>59.833471224448644</v>
      </c>
      <c r="J137" s="85">
        <f>IF(H137,An,'2021'!An_max)</f>
        <v>2021</v>
      </c>
      <c r="K137" s="196">
        <f t="shared" si="27"/>
        <v>44684</v>
      </c>
      <c r="L137" s="147">
        <f>IF(t&lt;Tvie,1-EXP((T0-t)*PertePVj)+'2021'!Pspv,1-EXP((T0-t)*PertePVj)+Pspv)</f>
        <v>2.9720497206038067E-2</v>
      </c>
      <c r="M137" s="847"/>
      <c r="N137" s="847"/>
      <c r="O137" s="48">
        <f>IF(t&lt;Tnet,'2021'!Resal+('2021'!Salim-'2021'!Resal)*(1-EXP(('2021'!Tnet-t)/('2021'!Tau_j))),Resal+(Salim-Resal)*(1-EXP((Tnet-t)/(Tau_j))))*Salcycl</f>
        <v>3.5243000674945256E-2</v>
      </c>
      <c r="P137" s="338">
        <f>(INDEX(Models!$BJ137:$BT137,,T137)*(1-R137)+INDEX(Models!$BJ137:$BT137,,T137+1)*R137-ERP_i)*Q137*Ramure*Pc/MaxiM</f>
        <v>1.4658851357361209E-4</v>
      </c>
      <c r="Q137" s="304">
        <f t="shared" si="28"/>
        <v>0.5</v>
      </c>
      <c r="R137" s="176">
        <f t="shared" si="29"/>
        <v>0.78647077644148344</v>
      </c>
      <c r="S137" s="814">
        <f t="shared" si="30"/>
        <v>0</v>
      </c>
      <c r="T137" s="175">
        <f t="shared" si="31"/>
        <v>6</v>
      </c>
      <c r="U137" s="250">
        <f t="shared" si="32"/>
        <v>0.78647077644148344</v>
      </c>
      <c r="V137" s="382">
        <f t="shared" si="33"/>
        <v>56.213043923307119</v>
      </c>
      <c r="W137" s="401">
        <f t="shared" si="34"/>
        <v>0</v>
      </c>
      <c r="X137" s="157">
        <f t="shared" si="35"/>
        <v>44684</v>
      </c>
      <c r="Y137" s="384">
        <f t="shared" si="36"/>
        <v>10.675394849980178</v>
      </c>
      <c r="Z137" s="384">
        <f t="shared" si="37"/>
        <v>11.002391392624409</v>
      </c>
      <c r="AA137" s="385">
        <f t="shared" si="38"/>
        <v>11.747878059892431</v>
      </c>
      <c r="AB137" s="196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6.3457133574882169E-2</v>
      </c>
      <c r="AD137" s="230">
        <f>(INDEX(Models!$BJ137:$BT137,,AH137)*(1-AF137)+INDEX(Models!$BJ137:$BT137,,AH137+1)*AF137-ERP_i)*AE137*Ramure*Pc/MaxiM</f>
        <v>1.4658851357361209E-4</v>
      </c>
      <c r="AE137" s="304">
        <f t="shared" si="40"/>
        <v>0.5</v>
      </c>
      <c r="AF137" s="176">
        <f t="shared" si="41"/>
        <v>0.78647077644148344</v>
      </c>
      <c r="AG137" s="814">
        <f t="shared" si="49"/>
        <v>0</v>
      </c>
      <c r="AH137" s="175">
        <f t="shared" si="42"/>
        <v>6</v>
      </c>
      <c r="AI137" s="224">
        <f t="shared" si="43"/>
        <v>0.78647077644148344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8">
        <v>17.260000000000002</v>
      </c>
      <c r="C138" s="843"/>
      <c r="D138" s="392">
        <f t="shared" si="25"/>
        <v>17.789077816559885</v>
      </c>
      <c r="E138" s="384">
        <f t="shared" si="47"/>
        <v>18.441030492073178</v>
      </c>
      <c r="F138" s="384">
        <f t="shared" si="26"/>
        <v>18.441057881737198</v>
      </c>
      <c r="G138" s="110">
        <f t="shared" si="48"/>
        <v>0.30675865814201236</v>
      </c>
      <c r="H138" s="413" t="b">
        <f>Wh_hp&gt;='2021'!Maxi_hp</f>
        <v>0</v>
      </c>
      <c r="I138" s="379">
        <f>IF(H138,Wh_hp,'2021'!Maxi_hp)</f>
        <v>55.569460873367788</v>
      </c>
      <c r="J138" s="85">
        <f>IF(H138,An,'2021'!An_max)</f>
        <v>2020</v>
      </c>
      <c r="K138" s="196">
        <f t="shared" si="27"/>
        <v>44685</v>
      </c>
      <c r="L138" s="147">
        <f>IF(t&lt;Tvie,1-EXP((T0-t)*PertePVj)+'2021'!Pspv,1-EXP((T0-t)*PertePVj)+Pspv)</f>
        <v>2.9741722534226224E-2</v>
      </c>
      <c r="M138" s="847"/>
      <c r="N138" s="847"/>
      <c r="O138" s="48">
        <f>IF(t&lt;Tnet,'2021'!Resal+('2021'!Salim-'2021'!Resal)*(1-EXP(('2021'!Tnet-t)/('2021'!Tau_j))),Resal+(Salim-Resal)*(1-EXP((Tnet-t)/(Tau_j))))*Salcycl</f>
        <v>3.5353375495666216E-2</v>
      </c>
      <c r="P138" s="338">
        <f>(INDEX(Models!$BJ138:$BT138,,T138)*(1-R138)+INDEX(Models!$BJ138:$BT138,,T138+1)*R138-ERP_i)*Q138*Ramure*Pc/MaxiM</f>
        <v>1.5277979569501896E-4</v>
      </c>
      <c r="Q138" s="304">
        <f t="shared" si="28"/>
        <v>0.5</v>
      </c>
      <c r="R138" s="176">
        <f t="shared" si="29"/>
        <v>0.78826484899125759</v>
      </c>
      <c r="S138" s="814">
        <f t="shared" si="30"/>
        <v>0</v>
      </c>
      <c r="T138" s="175">
        <f t="shared" si="31"/>
        <v>6</v>
      </c>
      <c r="U138" s="250">
        <f t="shared" si="32"/>
        <v>0.78826484899125759</v>
      </c>
      <c r="V138" s="382">
        <f t="shared" si="33"/>
        <v>56.257217830021503</v>
      </c>
      <c r="W138" s="401">
        <f t="shared" si="34"/>
        <v>0</v>
      </c>
      <c r="X138" s="157">
        <f t="shared" si="35"/>
        <v>44685</v>
      </c>
      <c r="Y138" s="384">
        <f t="shared" si="36"/>
        <v>16.755430090956693</v>
      </c>
      <c r="Z138" s="384">
        <f t="shared" si="37"/>
        <v>17.26904112039152</v>
      </c>
      <c r="AA138" s="385">
        <f t="shared" si="38"/>
        <v>18.441030492073178</v>
      </c>
      <c r="AB138" s="196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6.3553355772901887E-2</v>
      </c>
      <c r="AD138" s="230">
        <f>(INDEX(Models!$BJ138:$BT138,,AH138)*(1-AF138)+INDEX(Models!$BJ138:$BT138,,AH138+1)*AF138-ERP_i)*AE138*Ramure*Pc/MaxiM</f>
        <v>1.5277979569501896E-4</v>
      </c>
      <c r="AE138" s="304">
        <f t="shared" si="40"/>
        <v>0.5</v>
      </c>
      <c r="AF138" s="176">
        <f t="shared" si="41"/>
        <v>0.78826484899125759</v>
      </c>
      <c r="AG138" s="814">
        <f t="shared" si="49"/>
        <v>0</v>
      </c>
      <c r="AH138" s="175">
        <f t="shared" si="42"/>
        <v>6</v>
      </c>
      <c r="AI138" s="224">
        <f t="shared" si="43"/>
        <v>0.78826484899125759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8">
        <v>37.228999999999999</v>
      </c>
      <c r="C139" s="843"/>
      <c r="D139" s="392">
        <f t="shared" si="25"/>
        <v>38.3710350992475</v>
      </c>
      <c r="E139" s="384">
        <f t="shared" si="47"/>
        <v>39.781867224070943</v>
      </c>
      <c r="F139" s="384">
        <f t="shared" si="26"/>
        <v>39.785146491631558</v>
      </c>
      <c r="G139" s="110">
        <f t="shared" si="48"/>
        <v>0.66125335281192843</v>
      </c>
      <c r="H139" s="413" t="b">
        <f>Wh_hp&gt;='2021'!Maxi_hp</f>
        <v>0</v>
      </c>
      <c r="I139" s="379">
        <f>IF(H139,Wh_hp,'2021'!Maxi_hp)</f>
        <v>58.993355519975921</v>
      </c>
      <c r="J139" s="85">
        <f>IF(H139,An,'2021'!An_max)</f>
        <v>2020</v>
      </c>
      <c r="K139" s="196">
        <f t="shared" si="27"/>
        <v>44686</v>
      </c>
      <c r="L139" s="147">
        <f>IF(t&lt;Tvie,1-EXP((T0-t)*PertePVj)+'2021'!Pspv,1-EXP((T0-t)*PertePVj)+Pspv)</f>
        <v>2.9762947397525254E-2</v>
      </c>
      <c r="M139" s="847"/>
      <c r="N139" s="847"/>
      <c r="O139" s="48">
        <f>IF(t&lt;Tnet,'2021'!Resal+('2021'!Salim-'2021'!Resal)*(1-EXP(('2021'!Tnet-t)/('2021'!Tau_j))),Resal+(Salim-Resal)*(1-EXP((Tnet-t)/(Tau_j))))*Salcycl</f>
        <v>3.5464200734393554E-2</v>
      </c>
      <c r="P139" s="338">
        <f>(INDEX(Models!$BJ139:$BT139,,T139)*(1-R139)+INDEX(Models!$BJ139:$BT139,,T139+1)*R139-ERP_i)*Q139*Ramure*Pc/MaxiM</f>
        <v>1.5969106462529416E-4</v>
      </c>
      <c r="Q139" s="304">
        <f t="shared" si="28"/>
        <v>0.5</v>
      </c>
      <c r="R139" s="176">
        <f t="shared" si="29"/>
        <v>0.79010682383120345</v>
      </c>
      <c r="S139" s="814">
        <f t="shared" si="30"/>
        <v>0</v>
      </c>
      <c r="T139" s="175">
        <f t="shared" si="31"/>
        <v>6</v>
      </c>
      <c r="U139" s="250">
        <f t="shared" si="32"/>
        <v>0.79010682383120345</v>
      </c>
      <c r="V139" s="382">
        <f t="shared" si="33"/>
        <v>56.296309190128476</v>
      </c>
      <c r="W139" s="401">
        <f t="shared" si="34"/>
        <v>0</v>
      </c>
      <c r="X139" s="157">
        <f t="shared" si="35"/>
        <v>44686</v>
      </c>
      <c r="Y139" s="384">
        <f t="shared" si="36"/>
        <v>36.141074267950117</v>
      </c>
      <c r="Z139" s="384">
        <f t="shared" si="37"/>
        <v>37.249736207258444</v>
      </c>
      <c r="AA139" s="385">
        <f t="shared" si="38"/>
        <v>39.781867224070943</v>
      </c>
      <c r="AB139" s="196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6.3650381279247104E-2</v>
      </c>
      <c r="AD139" s="230">
        <f>(INDEX(Models!$BJ139:$BT139,,AH139)*(1-AF139)+INDEX(Models!$BJ139:$BT139,,AH139+1)*AF139-ERP_i)*AE139*Ramure*Pc/MaxiM</f>
        <v>1.5969106462529416E-4</v>
      </c>
      <c r="AE139" s="304">
        <f t="shared" si="40"/>
        <v>0.5</v>
      </c>
      <c r="AF139" s="176">
        <f t="shared" si="41"/>
        <v>0.79010682383120345</v>
      </c>
      <c r="AG139" s="814">
        <f t="shared" si="49"/>
        <v>0</v>
      </c>
      <c r="AH139" s="175">
        <f t="shared" si="42"/>
        <v>6</v>
      </c>
      <c r="AI139" s="224">
        <f t="shared" si="43"/>
        <v>0.79010682383120345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8">
        <v>36.256999999999998</v>
      </c>
      <c r="C140" s="843"/>
      <c r="D140" s="392">
        <f t="shared" si="25"/>
        <v>37.370035559113212</v>
      </c>
      <c r="E140" s="384">
        <f t="shared" si="47"/>
        <v>38.748532779848524</v>
      </c>
      <c r="F140" s="384">
        <f t="shared" si="26"/>
        <v>38.751716239906216</v>
      </c>
      <c r="G140" s="110">
        <f t="shared" si="48"/>
        <v>0.6435903510835721</v>
      </c>
      <c r="H140" s="413" t="b">
        <f>Wh_hp&gt;='2021'!Maxi_hp</f>
        <v>0</v>
      </c>
      <c r="I140" s="379">
        <f>IF(H140,Wh_hp,'2021'!Maxi_hp)</f>
        <v>62.888390720107274</v>
      </c>
      <c r="J140" s="85">
        <f>IF(H140,An,'2021'!An_max)</f>
        <v>2019</v>
      </c>
      <c r="K140" s="196">
        <f t="shared" si="27"/>
        <v>44687</v>
      </c>
      <c r="L140" s="147">
        <f>IF(t&lt;Tvie,1-EXP((T0-t)*PertePVj)+'2021'!Pspv,1-EXP((T0-t)*PertePVj)+Pspv)</f>
        <v>2.9784171795945259E-2</v>
      </c>
      <c r="M140" s="847"/>
      <c r="N140" s="847"/>
      <c r="O140" s="48">
        <f>IF(t&lt;Tnet,'2021'!Resal+('2021'!Salim-'2021'!Resal)*(1-EXP(('2021'!Tnet-t)/('2021'!Tau_j))),Resal+(Salim-Resal)*(1-EXP((Tnet-t)/(Tau_j))))*Salcycl</f>
        <v>3.5575468845938096E-2</v>
      </c>
      <c r="P140" s="338">
        <f>(INDEX(Models!$BJ140:$BT140,,T140)*(1-R140)+INDEX(Models!$BJ140:$BT140,,T140+1)*R140-ERP_i)*Q140*Ramure*Pc/MaxiM</f>
        <v>1.6733864134353723E-4</v>
      </c>
      <c r="Q140" s="304">
        <f t="shared" si="28"/>
        <v>0.5</v>
      </c>
      <c r="R140" s="176">
        <f t="shared" si="29"/>
        <v>0.79199702744800837</v>
      </c>
      <c r="S140" s="814">
        <f t="shared" si="30"/>
        <v>0</v>
      </c>
      <c r="T140" s="175">
        <f t="shared" si="31"/>
        <v>6</v>
      </c>
      <c r="U140" s="250">
        <f t="shared" si="32"/>
        <v>0.79199702744800837</v>
      </c>
      <c r="V140" s="382">
        <f t="shared" si="33"/>
        <v>56.330724981786659</v>
      </c>
      <c r="W140" s="401">
        <f t="shared" si="34"/>
        <v>0</v>
      </c>
      <c r="X140" s="157">
        <f t="shared" si="35"/>
        <v>44687</v>
      </c>
      <c r="Y140" s="384">
        <f t="shared" si="36"/>
        <v>35.197862224407004</v>
      </c>
      <c r="Z140" s="384">
        <f t="shared" si="37"/>
        <v>36.278383841212936</v>
      </c>
      <c r="AA140" s="385">
        <f t="shared" si="38"/>
        <v>38.748532779848524</v>
      </c>
      <c r="AB140" s="196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6.3748192806933959E-2</v>
      </c>
      <c r="AD140" s="230">
        <f>(INDEX(Models!$BJ140:$BT140,,AH140)*(1-AF140)+INDEX(Models!$BJ140:$BT140,,AH140+1)*AF140-ERP_i)*AE140*Ramure*Pc/MaxiM</f>
        <v>1.6733864134353723E-4</v>
      </c>
      <c r="AE140" s="304">
        <f t="shared" si="40"/>
        <v>0.5</v>
      </c>
      <c r="AF140" s="176">
        <f t="shared" si="41"/>
        <v>0.79199702744800837</v>
      </c>
      <c r="AG140" s="814">
        <f t="shared" si="49"/>
        <v>0</v>
      </c>
      <c r="AH140" s="175">
        <f t="shared" si="42"/>
        <v>6</v>
      </c>
      <c r="AI140" s="224">
        <f t="shared" si="43"/>
        <v>0.79199702744800837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8">
        <v>47.865000000000002</v>
      </c>
      <c r="C141" s="843"/>
      <c r="D141" s="392">
        <f t="shared" si="25"/>
        <v>49.335462998158036</v>
      </c>
      <c r="E141" s="384">
        <f t="shared" si="47"/>
        <v>51.161263767548526</v>
      </c>
      <c r="F141" s="384">
        <f t="shared" si="26"/>
        <v>51.168319629936128</v>
      </c>
      <c r="G141" s="110">
        <f t="shared" si="48"/>
        <v>0.84922724967782726</v>
      </c>
      <c r="H141" s="413" t="b">
        <f>Wh_hp&gt;='2021'!Maxi_hp</f>
        <v>0</v>
      </c>
      <c r="I141" s="379">
        <f>IF(H141,Wh_hp,'2021'!Maxi_hp)</f>
        <v>58.152952169417603</v>
      </c>
      <c r="J141" s="85">
        <f>IF(H141,An,'2021'!An_max)</f>
        <v>2020</v>
      </c>
      <c r="K141" s="196">
        <f t="shared" si="27"/>
        <v>44688</v>
      </c>
      <c r="L141" s="147">
        <f>IF(t&lt;Tvie,1-EXP((T0-t)*PertePVj)+'2021'!Pspv,1-EXP((T0-t)*PertePVj)+Pspv)</f>
        <v>2.9805395729496455E-2</v>
      </c>
      <c r="M141" s="847"/>
      <c r="N141" s="847"/>
      <c r="O141" s="48">
        <f>IF(t&lt;Tnet,'2021'!Resal+('2021'!Salim-'2021'!Resal)*(1-EXP(('2021'!Tnet-t)/('2021'!Tau_j))),Resal+(Salim-Resal)*(1-EXP((Tnet-t)/(Tau_j))))*Salcycl</f>
        <v>3.5687171014500835E-2</v>
      </c>
      <c r="P141" s="338">
        <f>(INDEX(Models!$BJ141:$BT141,,T141)*(1-R141)+INDEX(Models!$BJ141:$BT141,,T141+1)*R141-ERP_i)*Q141*Ramure*Pc/MaxiM</f>
        <v>1.7573954345328591E-4</v>
      </c>
      <c r="Q141" s="304">
        <f t="shared" si="28"/>
        <v>0.5</v>
      </c>
      <c r="R141" s="176">
        <f t="shared" si="29"/>
        <v>0.79393572009109969</v>
      </c>
      <c r="S141" s="814">
        <f t="shared" si="30"/>
        <v>0</v>
      </c>
      <c r="T141" s="175">
        <f t="shared" si="31"/>
        <v>6</v>
      </c>
      <c r="U141" s="250">
        <f t="shared" si="32"/>
        <v>0.79393572009109969</v>
      </c>
      <c r="V141" s="382">
        <f t="shared" si="33"/>
        <v>56.360872011311635</v>
      </c>
      <c r="W141" s="401">
        <f t="shared" si="34"/>
        <v>0</v>
      </c>
      <c r="X141" s="157">
        <f t="shared" si="35"/>
        <v>44688</v>
      </c>
      <c r="Y141" s="384">
        <f t="shared" si="36"/>
        <v>46.467259340183013</v>
      </c>
      <c r="Z141" s="384">
        <f t="shared" si="37"/>
        <v>47.894782279398562</v>
      </c>
      <c r="AA141" s="385">
        <f t="shared" si="38"/>
        <v>51.161263767548526</v>
      </c>
      <c r="AB141" s="196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6.384677092792776E-2</v>
      </c>
      <c r="AD141" s="230">
        <f>(INDEX(Models!$BJ141:$BT141,,AH141)*(1-AF141)+INDEX(Models!$BJ141:$BT141,,AH141+1)*AF141-ERP_i)*AE141*Ramure*Pc/MaxiM</f>
        <v>1.7573954345328591E-4</v>
      </c>
      <c r="AE141" s="304">
        <f t="shared" si="40"/>
        <v>0.5</v>
      </c>
      <c r="AF141" s="176">
        <f t="shared" si="41"/>
        <v>0.79393572009109969</v>
      </c>
      <c r="AG141" s="814">
        <f t="shared" si="49"/>
        <v>0</v>
      </c>
      <c r="AH141" s="175">
        <f t="shared" si="42"/>
        <v>6</v>
      </c>
      <c r="AI141" s="224">
        <f t="shared" si="43"/>
        <v>0.79393572009109969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8">
        <v>49.323999999999998</v>
      </c>
      <c r="C142" s="843"/>
      <c r="D142" s="392">
        <f t="shared" si="25"/>
        <v>50.840397166159732</v>
      </c>
      <c r="E142" s="384">
        <f t="shared" si="47"/>
        <v>52.728023340637158</v>
      </c>
      <c r="F142" s="384">
        <f t="shared" si="26"/>
        <v>52.736028845901252</v>
      </c>
      <c r="G142" s="110">
        <f t="shared" si="48"/>
        <v>0.8747092320157791</v>
      </c>
      <c r="H142" s="413" t="b">
        <f>Wh_hp&gt;='2021'!Maxi_hp</f>
        <v>0</v>
      </c>
      <c r="I142" s="379">
        <f>IF(H142,Wh_hp,'2021'!Maxi_hp)</f>
        <v>57.718187862260137</v>
      </c>
      <c r="J142" s="85">
        <f>IF(H142,An,'2021'!An_max)</f>
        <v>2021</v>
      </c>
      <c r="K142" s="196">
        <f t="shared" si="27"/>
        <v>44689</v>
      </c>
      <c r="L142" s="147">
        <f>IF(t&lt;Tvie,1-EXP((T0-t)*PertePVj)+'2021'!Pspv,1-EXP((T0-t)*PertePVj)+Pspv)</f>
        <v>2.9826619198189054E-2</v>
      </c>
      <c r="M142" s="847"/>
      <c r="N142" s="847"/>
      <c r="O142" s="48">
        <f>IF(t&lt;Tnet,'2021'!Resal+('2021'!Salim-'2021'!Resal)*(1-EXP(('2021'!Tnet-t)/('2021'!Tau_j))),Resal+(Salim-Resal)*(1-EXP((Tnet-t)/(Tau_j))))*Salcycl</f>
        <v>3.5799297126745254E-2</v>
      </c>
      <c r="P142" s="338">
        <f>(INDEX(Models!$BJ142:$BT142,,T142)*(1-R142)+INDEX(Models!$BJ142:$BT142,,T142+1)*R142-ERP_i)*Q142*Ramure*Pc/MaxiM</f>
        <v>1.8488825266821138E-4</v>
      </c>
      <c r="Q142" s="304">
        <f t="shared" si="28"/>
        <v>0.5</v>
      </c>
      <c r="R142" s="176">
        <f t="shared" si="29"/>
        <v>0.79592309156997954</v>
      </c>
      <c r="S142" s="814">
        <f t="shared" si="30"/>
        <v>0</v>
      </c>
      <c r="T142" s="175">
        <f t="shared" si="31"/>
        <v>6</v>
      </c>
      <c r="U142" s="250">
        <f t="shared" si="32"/>
        <v>0.79592309156997954</v>
      </c>
      <c r="V142" s="382">
        <f t="shared" si="33"/>
        <v>56.387158231188884</v>
      </c>
      <c r="W142" s="401">
        <f t="shared" si="34"/>
        <v>0</v>
      </c>
      <c r="X142" s="157">
        <f t="shared" si="35"/>
        <v>44689</v>
      </c>
      <c r="Y142" s="384">
        <f t="shared" si="36"/>
        <v>47.884141465504328</v>
      </c>
      <c r="Z142" s="384">
        <f t="shared" si="37"/>
        <v>49.356272201500651</v>
      </c>
      <c r="AA142" s="385">
        <f t="shared" si="38"/>
        <v>52.728023340637158</v>
      </c>
      <c r="AB142" s="196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6.3946094041001489E-2</v>
      </c>
      <c r="AD142" s="230">
        <f>(INDEX(Models!$BJ142:$BT142,,AH142)*(1-AF142)+INDEX(Models!$BJ142:$BT142,,AH142+1)*AF142-ERP_i)*AE142*Ramure*Pc/MaxiM</f>
        <v>1.8488825266821138E-4</v>
      </c>
      <c r="AE142" s="304">
        <f t="shared" si="40"/>
        <v>0.5</v>
      </c>
      <c r="AF142" s="176">
        <f t="shared" si="41"/>
        <v>0.79592309156997954</v>
      </c>
      <c r="AG142" s="814">
        <f t="shared" si="49"/>
        <v>0</v>
      </c>
      <c r="AH142" s="175">
        <f t="shared" si="42"/>
        <v>6</v>
      </c>
      <c r="AI142" s="224">
        <f t="shared" si="43"/>
        <v>0.79592309156997954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8">
        <v>54.188000000000002</v>
      </c>
      <c r="C143" s="843"/>
      <c r="D143" s="392">
        <f t="shared" ref="D143:D206" si="50">Wh/(1-Ppv)</f>
        <v>55.855155878841643</v>
      </c>
      <c r="E143" s="384">
        <f t="shared" si="47"/>
        <v>57.935734458712666</v>
      </c>
      <c r="F143" s="384">
        <f t="shared" ref="F143:F206" si="51">Wh_sa/(1-Pvg*MEDIAN((-Sdif+Wh/Env_an)/Csdif,0,1))</f>
        <v>57.946357888755081</v>
      </c>
      <c r="G143" s="110">
        <f t="shared" si="48"/>
        <v>0.96059896818357005</v>
      </c>
      <c r="H143" s="413" t="b">
        <f>Wh_hp&gt;='2021'!Maxi_hp</f>
        <v>1</v>
      </c>
      <c r="I143" s="379">
        <f>IF(H143,Wh_hp,'2021'!Maxi_hp)</f>
        <v>57.946357888755081</v>
      </c>
      <c r="J143" s="85">
        <f>IF(H143,An,'2021'!An_max)</f>
        <v>2022</v>
      </c>
      <c r="K143" s="196">
        <f t="shared" ref="K143:K206" si="52">t</f>
        <v>44690</v>
      </c>
      <c r="L143" s="147">
        <f>IF(t&lt;Tvie,1-EXP((T0-t)*PertePVj)+'2021'!Pspv,1-EXP((T0-t)*PertePVj)+Pspv)</f>
        <v>2.9847842202033271E-2</v>
      </c>
      <c r="M143" s="847"/>
      <c r="N143" s="847"/>
      <c r="O143" s="48">
        <f>IF(t&lt;Tnet,'2021'!Resal+('2021'!Salim-'2021'!Resal)*(1-EXP(('2021'!Tnet-t)/('2021'!Tau_j))),Resal+(Salim-Resal)*(1-EXP((Tnet-t)/(Tau_j))))*Salcycl</f>
        <v>3.5911835748862787E-2</v>
      </c>
      <c r="P143" s="338">
        <f>(INDEX(Models!$BJ143:$BT143,,T143)*(1-R143)+INDEX(Models!$BJ143:$BT143,,T143+1)*R143-ERP_i)*Q143*Ramure*Pc/MaxiM</f>
        <v>1.9426379210263182E-4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0.79795925710038673</v>
      </c>
      <c r="S143" s="814">
        <f t="shared" ref="S143:S206" si="55">INDEX(Echel_vg,T143)</f>
        <v>0</v>
      </c>
      <c r="T143" s="175">
        <f t="shared" ref="T143:T206" si="56">MIN(MATCH(Hp_vg,Echel_vg),10)</f>
        <v>6</v>
      </c>
      <c r="U143" s="250">
        <f t="shared" ref="U143:U206" si="57">IF(OR(t&lt;Ttai,Notai),Hdd+PousH*Croivg,Hdtf+PousH*(Croivg-Croi_tai))</f>
        <v>0.79795925710038673</v>
      </c>
      <c r="V143" s="382">
        <f t="shared" ref="V143:V206" si="58">MaxiM*(1-Ppv)*(1-Pvg)*(1-Psa)</f>
        <v>56.410020541361774</v>
      </c>
      <c r="W143" s="401">
        <f t="shared" ref="W143:W206" si="59">Wh*(A143&gt;Tmaj)</f>
        <v>0</v>
      </c>
      <c r="X143" s="157">
        <f t="shared" ref="X143:X206" si="60">t</f>
        <v>44690</v>
      </c>
      <c r="Y143" s="384">
        <f t="shared" ref="Y143:Y206" si="61">Wh_pvt_s*(1-Ppv)</f>
        <v>52.606669945641904</v>
      </c>
      <c r="Z143" s="384">
        <f t="shared" ref="Z143:Z206" si="62">Wh_sa_s*(1-Psa_s)</f>
        <v>54.225174394341963</v>
      </c>
      <c r="AA143" s="385">
        <f t="shared" ref="AA143:AA206" si="63">Wh_hp*(1-Pvg_s*MEDIAN((-Sdif+Wh/Env_an)/Csdif,0,1))</f>
        <v>57.935734458712666</v>
      </c>
      <c r="AB143" s="196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6.404613834687807E-2</v>
      </c>
      <c r="AD143" s="230">
        <f>(INDEX(Models!$BJ143:$BT143,,AH143)*(1-AF143)+INDEX(Models!$BJ143:$BT143,,AH143+1)*AF143-ERP_i)*AE143*Ramure*Pc/MaxiM</f>
        <v>1.9426379210263182E-4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0.79795925710038673</v>
      </c>
      <c r="AG143" s="814">
        <f t="shared" si="49"/>
        <v>0</v>
      </c>
      <c r="AH143" s="175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0.79795925710038673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8">
        <v>50.064</v>
      </c>
      <c r="C144" s="843"/>
      <c r="D144" s="392">
        <f t="shared" si="50"/>
        <v>51.605405188564802</v>
      </c>
      <c r="E144" s="384">
        <f t="shared" ref="E144:E169" si="72">Wh_pvt/(1-Psa)</f>
        <v>53.533953780625019</v>
      </c>
      <c r="F144" s="384">
        <f t="shared" si="51"/>
        <v>53.543110487793705</v>
      </c>
      <c r="G144" s="110">
        <f t="shared" ref="G144:G169" si="73">+Wh_hp/MaxiM</f>
        <v>0.88716061780025912</v>
      </c>
      <c r="H144" s="413" t="b">
        <f>Wh_hp&gt;='2021'!Maxi_hp</f>
        <v>1</v>
      </c>
      <c r="I144" s="379">
        <f>IF(H144,Wh_hp,'2021'!Maxi_hp)</f>
        <v>53.543110487793705</v>
      </c>
      <c r="J144" s="85">
        <f>IF(H144,An,'2021'!An_max)</f>
        <v>2022</v>
      </c>
      <c r="K144" s="196">
        <f t="shared" si="52"/>
        <v>44691</v>
      </c>
      <c r="L144" s="147">
        <f>IF(t&lt;Tvie,1-EXP((T0-t)*PertePVj)+'2021'!Pspv,1-EXP((T0-t)*PertePVj)+Pspv)</f>
        <v>2.986906474103921E-2</v>
      </c>
      <c r="M144" s="847"/>
      <c r="N144" s="847"/>
      <c r="O144" s="48">
        <f>IF(t&lt;Tnet,'2021'!Resal+('2021'!Salim-'2021'!Resal)*(1-EXP(('2021'!Tnet-t)/('2021'!Tau_j))),Resal+(Salim-Resal)*(1-EXP((Tnet-t)/(Tau_j))))*Salcycl</f>
        <v>3.602477410809507E-2</v>
      </c>
      <c r="P144" s="338">
        <f>(INDEX(Models!$BJ144:$BT144,,T144)*(1-R144)+INDEX(Models!$BJ144:$BT144,,T144+1)*R144-ERP_i)*Q144*Ramure*Pc/MaxiM</f>
        <v>2.0387092181644057E-4</v>
      </c>
      <c r="Q144" s="304">
        <f t="shared" si="53"/>
        <v>0.5</v>
      </c>
      <c r="R144" s="176">
        <f t="shared" si="54"/>
        <v>0.80004425322841766</v>
      </c>
      <c r="S144" s="814">
        <f t="shared" si="55"/>
        <v>0</v>
      </c>
      <c r="T144" s="175">
        <f t="shared" si="56"/>
        <v>6</v>
      </c>
      <c r="U144" s="250">
        <f t="shared" si="57"/>
        <v>0.80004425322841766</v>
      </c>
      <c r="V144" s="382">
        <f t="shared" si="58"/>
        <v>56.429866075385426</v>
      </c>
      <c r="W144" s="401">
        <f t="shared" si="59"/>
        <v>0</v>
      </c>
      <c r="X144" s="157">
        <f t="shared" si="60"/>
        <v>44691</v>
      </c>
      <c r="Y144" s="384">
        <f t="shared" si="61"/>
        <v>48.603480099708094</v>
      </c>
      <c r="Z144" s="384">
        <f t="shared" si="62"/>
        <v>50.099917787627483</v>
      </c>
      <c r="AA144" s="385">
        <f t="shared" si="63"/>
        <v>53.533953780625019</v>
      </c>
      <c r="AB144" s="196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6.4146877831399426E-2</v>
      </c>
      <c r="AD144" s="230">
        <f>(INDEX(Models!$BJ144:$BT144,,AH144)*(1-AF144)+INDEX(Models!$BJ144:$BT144,,AH144+1)*AF144-ERP_i)*AE144*Ramure*Pc/MaxiM</f>
        <v>2.0387092181644057E-4</v>
      </c>
      <c r="AE144" s="304">
        <f t="shared" si="65"/>
        <v>0.5</v>
      </c>
      <c r="AF144" s="176">
        <f t="shared" si="66"/>
        <v>0.80004425322841766</v>
      </c>
      <c r="AG144" s="814">
        <f t="shared" ref="AG144:AG207" si="74">INDEX(Echel_vg,AH144)</f>
        <v>0</v>
      </c>
      <c r="AH144" s="175">
        <f t="shared" si="67"/>
        <v>6</v>
      </c>
      <c r="AI144" s="224">
        <f t="shared" si="68"/>
        <v>0.80004425322841766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8">
        <v>54.475000000000001</v>
      </c>
      <c r="C145" s="843"/>
      <c r="D145" s="392">
        <f t="shared" si="50"/>
        <v>56.153442502048016</v>
      </c>
      <c r="E145" s="384">
        <f t="shared" si="72"/>
        <v>58.258804907780224</v>
      </c>
      <c r="F145" s="384">
        <f t="shared" si="51"/>
        <v>58.27063661578876</v>
      </c>
      <c r="G145" s="110">
        <f t="shared" si="73"/>
        <v>0.96505253676218716</v>
      </c>
      <c r="H145" s="413" t="b">
        <f>Wh_hp&gt;='2021'!Maxi_hp</f>
        <v>1</v>
      </c>
      <c r="I145" s="379">
        <f>IF(H145,Wh_hp,'2021'!Maxi_hp)</f>
        <v>58.27063661578876</v>
      </c>
      <c r="J145" s="85">
        <f>IF(H145,An,'2021'!An_max)</f>
        <v>2022</v>
      </c>
      <c r="K145" s="196">
        <f t="shared" si="52"/>
        <v>44692</v>
      </c>
      <c r="L145" s="147">
        <f>IF(t&lt;Tvie,1-EXP((T0-t)*PertePVj)+'2021'!Pspv,1-EXP((T0-t)*PertePVj)+Pspv)</f>
        <v>2.9890286815217083E-2</v>
      </c>
      <c r="M145" s="847"/>
      <c r="N145" s="847"/>
      <c r="O145" s="48">
        <f>IF(t&lt;Tnet,'2021'!Resal+('2021'!Salim-'2021'!Resal)*(1-EXP(('2021'!Tnet-t)/('2021'!Tau_j))),Resal+(Salim-Resal)*(1-EXP((Tnet-t)/(Tau_j))))*Salcycl</f>
        <v>3.6138098079163392E-2</v>
      </c>
      <c r="P145" s="338">
        <f>(INDEX(Models!$BJ145:$BT145,,T145)*(1-R145)+INDEX(Models!$BJ145:$BT145,,T145+1)*R145-ERP_i)*Q145*Ramure*Pc/MaxiM</f>
        <v>2.1371403431987533E-4</v>
      </c>
      <c r="Q145" s="304">
        <f t="shared" si="53"/>
        <v>0.5</v>
      </c>
      <c r="R145" s="176">
        <f t="shared" si="54"/>
        <v>0.80217803386343622</v>
      </c>
      <c r="S145" s="814">
        <f t="shared" si="55"/>
        <v>0</v>
      </c>
      <c r="T145" s="175">
        <f t="shared" si="56"/>
        <v>6</v>
      </c>
      <c r="U145" s="250">
        <f t="shared" si="57"/>
        <v>0.80217803386343622</v>
      </c>
      <c r="V145" s="382">
        <f t="shared" si="58"/>
        <v>56.447101839825166</v>
      </c>
      <c r="W145" s="401">
        <f t="shared" si="59"/>
        <v>0</v>
      </c>
      <c r="X145" s="157">
        <f t="shared" si="60"/>
        <v>44692</v>
      </c>
      <c r="Y145" s="384">
        <f t="shared" si="61"/>
        <v>52.886284449556847</v>
      </c>
      <c r="Z145" s="384">
        <f t="shared" si="62"/>
        <v>54.51577664956671</v>
      </c>
      <c r="AA145" s="385">
        <f t="shared" si="63"/>
        <v>58.258804907780224</v>
      </c>
      <c r="AB145" s="196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6.424828425743502E-2</v>
      </c>
      <c r="AD145" s="230">
        <f>(INDEX(Models!$BJ145:$BT145,,AH145)*(1-AF145)+INDEX(Models!$BJ145:$BT145,,AH145+1)*AF145-ERP_i)*AE145*Ramure*Pc/MaxiM</f>
        <v>2.1371403431987533E-4</v>
      </c>
      <c r="AE145" s="304">
        <f t="shared" si="65"/>
        <v>0.5</v>
      </c>
      <c r="AF145" s="176">
        <f t="shared" si="66"/>
        <v>0.80217803386343622</v>
      </c>
      <c r="AG145" s="814">
        <f t="shared" si="74"/>
        <v>0</v>
      </c>
      <c r="AH145" s="175">
        <f t="shared" si="67"/>
        <v>6</v>
      </c>
      <c r="AI145" s="224">
        <f t="shared" si="68"/>
        <v>0.80217803386343622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8">
        <v>42.704999999999998</v>
      </c>
      <c r="C146" s="843"/>
      <c r="D146" s="392">
        <f t="shared" si="50"/>
        <v>44.021757160160831</v>
      </c>
      <c r="E146" s="384">
        <f t="shared" si="72"/>
        <v>45.677653979307749</v>
      </c>
      <c r="F146" s="384">
        <f t="shared" si="51"/>
        <v>45.684319274324466</v>
      </c>
      <c r="G146" s="110">
        <f t="shared" si="73"/>
        <v>0.75628867190132343</v>
      </c>
      <c r="H146" s="413" t="b">
        <f>Wh_hp&gt;='2021'!Maxi_hp</f>
        <v>0</v>
      </c>
      <c r="I146" s="379">
        <f>IF(H146,Wh_hp,'2021'!Maxi_hp)</f>
        <v>55.50428873596136</v>
      </c>
      <c r="J146" s="85">
        <f>IF(H146,An,'2021'!An_max)</f>
        <v>2019</v>
      </c>
      <c r="K146" s="196">
        <f t="shared" si="52"/>
        <v>44693</v>
      </c>
      <c r="L146" s="147">
        <f>IF(t&lt;Tvie,1-EXP((T0-t)*PertePVj)+'2021'!Pspv,1-EXP((T0-t)*PertePVj)+Pspv)</f>
        <v>2.9911508424576995E-2</v>
      </c>
      <c r="M146" s="847"/>
      <c r="N146" s="847"/>
      <c r="O146" s="48">
        <f>IF(t&lt;Tnet,'2021'!Resal+('2021'!Salim-'2021'!Resal)*(1-EXP(('2021'!Tnet-t)/('2021'!Tau_j))),Resal+(Salim-Resal)*(1-EXP((Tnet-t)/(Tau_j))))*Salcycl</f>
        <v>3.6251792176039681E-2</v>
      </c>
      <c r="P146" s="338">
        <f>(INDEX(Models!$BJ146:$BT146,,T146)*(1-R146)+INDEX(Models!$BJ146:$BT146,,T146+1)*R146-ERP_i)*Q146*Ramure*Pc/MaxiM</f>
        <v>2.2379711786446219E-4</v>
      </c>
      <c r="Q146" s="304">
        <f t="shared" si="53"/>
        <v>0.5</v>
      </c>
      <c r="R146" s="176">
        <f t="shared" si="54"/>
        <v>0.80436046645213344</v>
      </c>
      <c r="S146" s="814">
        <f t="shared" si="55"/>
        <v>0</v>
      </c>
      <c r="T146" s="175">
        <f t="shared" si="56"/>
        <v>6</v>
      </c>
      <c r="U146" s="250">
        <f t="shared" si="57"/>
        <v>0.80436046645213344</v>
      </c>
      <c r="V146" s="382">
        <f t="shared" si="58"/>
        <v>56.462134712020848</v>
      </c>
      <c r="W146" s="401">
        <f t="shared" si="59"/>
        <v>0</v>
      </c>
      <c r="X146" s="157">
        <f t="shared" si="60"/>
        <v>44693</v>
      </c>
      <c r="Y146" s="384">
        <f t="shared" si="61"/>
        <v>41.459915519413101</v>
      </c>
      <c r="Z146" s="384">
        <f t="shared" si="62"/>
        <v>42.738282001554552</v>
      </c>
      <c r="AA146" s="385">
        <f t="shared" si="63"/>
        <v>45.677653979307749</v>
      </c>
      <c r="AB146" s="196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6.435032716620577E-2</v>
      </c>
      <c r="AD146" s="230">
        <f>(INDEX(Models!$BJ146:$BT146,,AH146)*(1-AF146)+INDEX(Models!$BJ146:$BT146,,AH146+1)*AF146-ERP_i)*AE146*Ramure*Pc/MaxiM</f>
        <v>2.2379711786446219E-4</v>
      </c>
      <c r="AE146" s="304">
        <f t="shared" si="65"/>
        <v>0.5</v>
      </c>
      <c r="AF146" s="176">
        <f t="shared" si="66"/>
        <v>0.80436046645213344</v>
      </c>
      <c r="AG146" s="814">
        <f t="shared" si="74"/>
        <v>0</v>
      </c>
      <c r="AH146" s="175">
        <f t="shared" si="67"/>
        <v>6</v>
      </c>
      <c r="AI146" s="224">
        <f t="shared" si="68"/>
        <v>0.80436046645213344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8">
        <v>44.795000000000002</v>
      </c>
      <c r="C147" s="843"/>
      <c r="D147" s="392">
        <f t="shared" si="50"/>
        <v>46.177209937310423</v>
      </c>
      <c r="E147" s="384">
        <f t="shared" si="72"/>
        <v>47.919855721720253</v>
      </c>
      <c r="F147" s="384">
        <f t="shared" si="51"/>
        <v>47.927761376881968</v>
      </c>
      <c r="G147" s="110">
        <f t="shared" si="73"/>
        <v>0.79312273088479646</v>
      </c>
      <c r="H147" s="413" t="b">
        <f>Wh_hp&gt;='2021'!Maxi_hp</f>
        <v>0</v>
      </c>
      <c r="I147" s="379">
        <f>IF(H147,Wh_hp,'2021'!Maxi_hp)</f>
        <v>62.466176005743364</v>
      </c>
      <c r="J147" s="85">
        <f>IF(H147,An,'2021'!An_max)</f>
        <v>2019</v>
      </c>
      <c r="K147" s="196">
        <f t="shared" si="52"/>
        <v>44694</v>
      </c>
      <c r="L147" s="147">
        <f>IF(t&lt;Tvie,1-EXP((T0-t)*PertePVj)+'2021'!Pspv,1-EXP((T0-t)*PertePVj)+Pspv)</f>
        <v>2.993272956912927E-2</v>
      </c>
      <c r="M147" s="847"/>
      <c r="N147" s="847"/>
      <c r="O147" s="48">
        <f>IF(t&lt;Tnet,'2021'!Resal+('2021'!Salim-'2021'!Resal)*(1-EXP(('2021'!Tnet-t)/('2021'!Tau_j))),Resal+(Salim-Resal)*(1-EXP((Tnet-t)/(Tau_j))))*Salcycl</f>
        <v>3.6365839549470057E-2</v>
      </c>
      <c r="P147" s="338">
        <f>(INDEX(Models!$BJ147:$BT147,,T147)*(1-R147)+INDEX(Models!$BJ147:$BT147,,T147+1)*R147-ERP_i)*Q147*Ramure*Pc/MaxiM</f>
        <v>2.3412371845009652E-4</v>
      </c>
      <c r="Q147" s="304">
        <f t="shared" si="53"/>
        <v>0.5</v>
      </c>
      <c r="R147" s="176">
        <f t="shared" si="54"/>
        <v>0.80659132832740477</v>
      </c>
      <c r="S147" s="814">
        <f t="shared" si="55"/>
        <v>0</v>
      </c>
      <c r="T147" s="175">
        <f t="shared" si="56"/>
        <v>6</v>
      </c>
      <c r="U147" s="250">
        <f t="shared" si="57"/>
        <v>0.80659132832740477</v>
      </c>
      <c r="V147" s="382">
        <f t="shared" si="58"/>
        <v>56.475371440847482</v>
      </c>
      <c r="W147" s="401">
        <f t="shared" si="59"/>
        <v>0</v>
      </c>
      <c r="X147" s="157">
        <f t="shared" si="60"/>
        <v>44694</v>
      </c>
      <c r="Y147" s="384">
        <f t="shared" si="61"/>
        <v>43.489355976198134</v>
      </c>
      <c r="Z147" s="384">
        <f t="shared" si="62"/>
        <v>44.831278512140351</v>
      </c>
      <c r="AA147" s="385">
        <f t="shared" si="63"/>
        <v>47.919855721720253</v>
      </c>
      <c r="AB147" s="196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6.4452973888649845E-2</v>
      </c>
      <c r="AD147" s="230">
        <f>(INDEX(Models!$BJ147:$BT147,,AH147)*(1-AF147)+INDEX(Models!$BJ147:$BT147,,AH147+1)*AF147-ERP_i)*AE147*Ramure*Pc/MaxiM</f>
        <v>2.3412371845009652E-4</v>
      </c>
      <c r="AE147" s="304">
        <f t="shared" si="65"/>
        <v>0.5</v>
      </c>
      <c r="AF147" s="176">
        <f t="shared" si="66"/>
        <v>0.80659132832740477</v>
      </c>
      <c r="AG147" s="814">
        <f t="shared" si="74"/>
        <v>0</v>
      </c>
      <c r="AH147" s="175">
        <f t="shared" si="67"/>
        <v>6</v>
      </c>
      <c r="AI147" s="224">
        <f t="shared" si="68"/>
        <v>0.80659132832740477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8">
        <v>47.300000000000004</v>
      </c>
      <c r="C148" s="843"/>
      <c r="D148" s="392">
        <f t="shared" si="50"/>
        <v>48.760571740007322</v>
      </c>
      <c r="E148" s="384">
        <f t="shared" si="72"/>
        <v>50.606715972916241</v>
      </c>
      <c r="F148" s="384">
        <f t="shared" si="51"/>
        <v>50.616223849595862</v>
      </c>
      <c r="G148" s="110">
        <f t="shared" si="73"/>
        <v>0.83730995102060668</v>
      </c>
      <c r="H148" s="413" t="b">
        <f>Wh_hp&gt;='2021'!Maxi_hp</f>
        <v>0</v>
      </c>
      <c r="I148" s="379">
        <f>IF(H148,Wh_hp,'2021'!Maxi_hp)</f>
        <v>61.499322120098213</v>
      </c>
      <c r="J148" s="85">
        <f>IF(H148,An,'2021'!An_max)</f>
        <v>2019</v>
      </c>
      <c r="K148" s="196">
        <f t="shared" si="52"/>
        <v>44695</v>
      </c>
      <c r="L148" s="147">
        <f>IF(t&lt;Tvie,1-EXP((T0-t)*PertePVj)+'2021'!Pspv,1-EXP((T0-t)*PertePVj)+Pspv)</f>
        <v>2.9953950248884011E-2</v>
      </c>
      <c r="M148" s="847"/>
      <c r="N148" s="847"/>
      <c r="O148" s="48">
        <f>IF(t&lt;Tnet,'2021'!Resal+('2021'!Salim-'2021'!Resal)*(1-EXP(('2021'!Tnet-t)/('2021'!Tau_j))),Resal+(Salim-Resal)*(1-EXP((Tnet-t)/(Tau_j))))*Salcycl</f>
        <v>3.648022199063336E-2</v>
      </c>
      <c r="P148" s="338">
        <f>(INDEX(Models!$BJ148:$BT148,,T148)*(1-R148)+INDEX(Models!$BJ148:$BT148,,T148+1)*R148-ERP_i)*Q148*Ramure*Pc/MaxiM</f>
        <v>2.4469690074338605E-4</v>
      </c>
      <c r="Q148" s="304">
        <f t="shared" si="53"/>
        <v>0.5</v>
      </c>
      <c r="R148" s="176">
        <f t="shared" si="54"/>
        <v>0.80887030326676612</v>
      </c>
      <c r="S148" s="814">
        <f t="shared" si="55"/>
        <v>0</v>
      </c>
      <c r="T148" s="175">
        <f t="shared" si="56"/>
        <v>6</v>
      </c>
      <c r="U148" s="250">
        <f t="shared" si="57"/>
        <v>0.80887030326676612</v>
      </c>
      <c r="V148" s="382">
        <f t="shared" si="58"/>
        <v>56.487218649067223</v>
      </c>
      <c r="W148" s="401">
        <f t="shared" si="59"/>
        <v>0</v>
      </c>
      <c r="X148" s="157">
        <f t="shared" si="60"/>
        <v>44695</v>
      </c>
      <c r="Y148" s="384">
        <f t="shared" si="61"/>
        <v>45.921727029698602</v>
      </c>
      <c r="Z148" s="384">
        <f t="shared" si="62"/>
        <v>47.339739223185028</v>
      </c>
      <c r="AA148" s="385">
        <f t="shared" si="63"/>
        <v>50.606715972916241</v>
      </c>
      <c r="AB148" s="196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6.4556189567401265E-2</v>
      </c>
      <c r="AD148" s="230">
        <f>(INDEX(Models!$BJ148:$BT148,,AH148)*(1-AF148)+INDEX(Models!$BJ148:$BT148,,AH148+1)*AF148-ERP_i)*AE148*Ramure*Pc/MaxiM</f>
        <v>2.4469690074338605E-4</v>
      </c>
      <c r="AE148" s="304">
        <f t="shared" si="65"/>
        <v>0.5</v>
      </c>
      <c r="AF148" s="176">
        <f t="shared" si="66"/>
        <v>0.80887030326676612</v>
      </c>
      <c r="AG148" s="814">
        <f t="shared" si="74"/>
        <v>0</v>
      </c>
      <c r="AH148" s="175">
        <f t="shared" si="67"/>
        <v>6</v>
      </c>
      <c r="AI148" s="224">
        <f t="shared" si="68"/>
        <v>0.80887030326676612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8">
        <v>51.140999999999998</v>
      </c>
      <c r="C149" s="843"/>
      <c r="D149" s="392">
        <f t="shared" si="50"/>
        <v>52.721330880215575</v>
      </c>
      <c r="E149" s="384">
        <f t="shared" si="72"/>
        <v>54.723949428419438</v>
      </c>
      <c r="F149" s="384">
        <f t="shared" si="51"/>
        <v>54.736041583822292</v>
      </c>
      <c r="G149" s="110">
        <f t="shared" si="73"/>
        <v>0.90516604730187544</v>
      </c>
      <c r="H149" s="413" t="b">
        <f>Wh_hp&gt;='2021'!Maxi_hp</f>
        <v>0</v>
      </c>
      <c r="I149" s="379">
        <f>IF(H149,Wh_hp,'2021'!Maxi_hp)</f>
        <v>61.883239006526935</v>
      </c>
      <c r="J149" s="85">
        <f>IF(H149,An,'2021'!An_max)</f>
        <v>2019</v>
      </c>
      <c r="K149" s="196">
        <f t="shared" si="52"/>
        <v>44696</v>
      </c>
      <c r="L149" s="147">
        <f>IF(t&lt;Tvie,1-EXP((T0-t)*PertePVj)+'2021'!Pspv,1-EXP((T0-t)*PertePVj)+Pspv)</f>
        <v>2.9975170463851432E-2</v>
      </c>
      <c r="M149" s="847"/>
      <c r="N149" s="847"/>
      <c r="O149" s="48">
        <f>IF(t&lt;Tnet,'2021'!Resal+('2021'!Salim-'2021'!Resal)*(1-EXP(('2021'!Tnet-t)/('2021'!Tau_j))),Resal+(Salim-Resal)*(1-EXP((Tnet-t)/(Tau_j))))*Salcycl</f>
        <v>3.6594919941283603E-2</v>
      </c>
      <c r="P149" s="338">
        <f>(INDEX(Models!$BJ149:$BT149,,T149)*(1-R149)+INDEX(Models!$BJ149:$BT149,,T149+1)*R149-ERP_i)*Q149*Ramure*Pc/MaxiM</f>
        <v>2.5552378631816175E-4</v>
      </c>
      <c r="Q149" s="304">
        <f t="shared" si="53"/>
        <v>0.5</v>
      </c>
      <c r="R149" s="176">
        <f t="shared" si="54"/>
        <v>0.81119697829578996</v>
      </c>
      <c r="S149" s="814">
        <f t="shared" si="55"/>
        <v>0</v>
      </c>
      <c r="T149" s="175">
        <f t="shared" si="56"/>
        <v>6</v>
      </c>
      <c r="U149" s="250">
        <f t="shared" si="57"/>
        <v>0.81119697829578996</v>
      </c>
      <c r="V149" s="382">
        <f t="shared" si="58"/>
        <v>56.497070307518413</v>
      </c>
      <c r="W149" s="401">
        <f t="shared" si="59"/>
        <v>0</v>
      </c>
      <c r="X149" s="157">
        <f t="shared" si="60"/>
        <v>44696</v>
      </c>
      <c r="Y149" s="384">
        <f t="shared" si="61"/>
        <v>49.651208139007032</v>
      </c>
      <c r="Z149" s="384">
        <f t="shared" si="62"/>
        <v>51.185502295595363</v>
      </c>
      <c r="AA149" s="385">
        <f t="shared" si="63"/>
        <v>54.723949428419438</v>
      </c>
      <c r="AB149" s="196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6.465993718988565E-2</v>
      </c>
      <c r="AD149" s="230">
        <f>(INDEX(Models!$BJ149:$BT149,,AH149)*(1-AF149)+INDEX(Models!$BJ149:$BT149,,AH149+1)*AF149-ERP_i)*AE149*Ramure*Pc/MaxiM</f>
        <v>2.5552378631816175E-4</v>
      </c>
      <c r="AE149" s="304">
        <f t="shared" si="65"/>
        <v>0.5</v>
      </c>
      <c r="AF149" s="176">
        <f t="shared" si="66"/>
        <v>0.81119697829578996</v>
      </c>
      <c r="AG149" s="814">
        <f t="shared" si="74"/>
        <v>0</v>
      </c>
      <c r="AH149" s="175">
        <f t="shared" si="67"/>
        <v>6</v>
      </c>
      <c r="AI149" s="224">
        <f t="shared" si="68"/>
        <v>0.81119697829578996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8">
        <v>49.170999999999999</v>
      </c>
      <c r="C150" s="843"/>
      <c r="D150" s="392">
        <f t="shared" si="50"/>
        <v>50.691563932272487</v>
      </c>
      <c r="E150" s="384">
        <f t="shared" si="72"/>
        <v>52.623362983411596</v>
      </c>
      <c r="F150" s="384">
        <f t="shared" si="51"/>
        <v>52.634793539297888</v>
      </c>
      <c r="G150" s="110">
        <f t="shared" si="73"/>
        <v>0.87017775582170098</v>
      </c>
      <c r="H150" s="413" t="b">
        <f>Wh_hp&gt;='2021'!Maxi_hp</f>
        <v>0</v>
      </c>
      <c r="I150" s="379">
        <f>IF(H150,Wh_hp,'2021'!Maxi_hp)</f>
        <v>52.836978218882514</v>
      </c>
      <c r="J150" s="85">
        <f>IF(H150,An,'2021'!An_max)</f>
        <v>2019</v>
      </c>
      <c r="K150" s="196">
        <f t="shared" si="52"/>
        <v>44697</v>
      </c>
      <c r="L150" s="147">
        <f>IF(t&lt;Tvie,1-EXP((T0-t)*PertePVj)+'2021'!Pspv,1-EXP((T0-t)*PertePVj)+Pspv)</f>
        <v>2.9996390214041636E-2</v>
      </c>
      <c r="M150" s="847"/>
      <c r="N150" s="847"/>
      <c r="O150" s="48">
        <f>IF(t&lt;Tnet,'2021'!Resal+('2021'!Salim-'2021'!Resal)*(1-EXP(('2021'!Tnet-t)/('2021'!Tau_j))),Resal+(Salim-Resal)*(1-EXP((Tnet-t)/(Tau_j))))*Salcycl</f>
        <v>3.6709912510685991E-2</v>
      </c>
      <c r="P150" s="338">
        <f>(INDEX(Models!$BJ150:$BT150,,T150)*(1-R150)+INDEX(Models!$BJ150:$BT150,,T150+1)*R150-ERP_i)*Q150*Ramure*Pc/MaxiM</f>
        <v>2.6659342255638092E-4</v>
      </c>
      <c r="Q150" s="304">
        <f t="shared" si="53"/>
        <v>0.5</v>
      </c>
      <c r="R150" s="176">
        <f t="shared" si="54"/>
        <v>0.81357084077246555</v>
      </c>
      <c r="S150" s="814">
        <f t="shared" si="55"/>
        <v>0</v>
      </c>
      <c r="T150" s="175">
        <f t="shared" si="56"/>
        <v>6</v>
      </c>
      <c r="U150" s="250">
        <f t="shared" si="57"/>
        <v>0.81357084077246555</v>
      </c>
      <c r="V150" s="382">
        <f t="shared" si="58"/>
        <v>56.504051972335006</v>
      </c>
      <c r="W150" s="401">
        <f t="shared" si="59"/>
        <v>0</v>
      </c>
      <c r="X150" s="157">
        <f t="shared" si="60"/>
        <v>44697</v>
      </c>
      <c r="Y150" s="384">
        <f t="shared" si="61"/>
        <v>47.738974187378027</v>
      </c>
      <c r="Z150" s="384">
        <f t="shared" si="62"/>
        <v>49.215254155509939</v>
      </c>
      <c r="AA150" s="385">
        <f t="shared" si="63"/>
        <v>52.623362983411596</v>
      </c>
      <c r="AB150" s="196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6.4764177632964853E-2</v>
      </c>
      <c r="AD150" s="230">
        <f>(INDEX(Models!$BJ150:$BT150,,AH150)*(1-AF150)+INDEX(Models!$BJ150:$BT150,,AH150+1)*AF150-ERP_i)*AE150*Ramure*Pc/MaxiM</f>
        <v>2.6659342255638092E-4</v>
      </c>
      <c r="AE150" s="304">
        <f t="shared" si="65"/>
        <v>0.5</v>
      </c>
      <c r="AF150" s="176">
        <f t="shared" si="66"/>
        <v>0.81357084077246555</v>
      </c>
      <c r="AG150" s="814">
        <f t="shared" si="74"/>
        <v>0</v>
      </c>
      <c r="AH150" s="175">
        <f t="shared" si="67"/>
        <v>6</v>
      </c>
      <c r="AI150" s="224">
        <f t="shared" si="68"/>
        <v>0.81357084077246555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8">
        <v>52.825000000000003</v>
      </c>
      <c r="C151" s="843"/>
      <c r="D151" s="392">
        <f t="shared" si="50"/>
        <v>54.459751555634931</v>
      </c>
      <c r="E151" s="384">
        <f t="shared" si="72"/>
        <v>56.541917711530502</v>
      </c>
      <c r="F151" s="384">
        <f t="shared" si="51"/>
        <v>56.556166793207801</v>
      </c>
      <c r="G151" s="110">
        <f t="shared" si="73"/>
        <v>0.93479636380392961</v>
      </c>
      <c r="H151" s="413" t="b">
        <f>Wh_hp&gt;='2021'!Maxi_hp</f>
        <v>0</v>
      </c>
      <c r="I151" s="379">
        <f>IF(H151,Wh_hp,'2021'!Maxi_hp)</f>
        <v>56.920827652240035</v>
      </c>
      <c r="J151" s="85">
        <f>IF(H151,An,'2021'!An_max)</f>
        <v>2021</v>
      </c>
      <c r="K151" s="196">
        <f t="shared" si="52"/>
        <v>44698</v>
      </c>
      <c r="L151" s="147">
        <f>IF(t&lt;Tvie,1-EXP((T0-t)*PertePVj)+'2021'!Pspv,1-EXP((T0-t)*PertePVj)+Pspv)</f>
        <v>3.0017609499464949E-2</v>
      </c>
      <c r="M151" s="847"/>
      <c r="N151" s="847"/>
      <c r="O151" s="48">
        <f>IF(t&lt;Tnet,'2021'!Resal+('2021'!Salim-'2021'!Resal)*(1-EXP(('2021'!Tnet-t)/('2021'!Tau_j))),Resal+(Salim-Resal)*(1-EXP((Tnet-t)/(Tau_j))))*Salcycl</f>
        <v>3.6825177499612165E-2</v>
      </c>
      <c r="P151" s="338">
        <f>(INDEX(Models!$BJ151:$BT151,,T151)*(1-R151)+INDEX(Models!$BJ151:$BT151,,T151+1)*R151-ERP_i)*Q151*Ramure*Pc/MaxiM</f>
        <v>2.7781389979295761E-4</v>
      </c>
      <c r="Q151" s="304">
        <f t="shared" si="53"/>
        <v>0.5</v>
      </c>
      <c r="R151" s="176">
        <f t="shared" si="54"/>
        <v>0.81599127578844988</v>
      </c>
      <c r="S151" s="814">
        <f t="shared" si="55"/>
        <v>0</v>
      </c>
      <c r="T151" s="175">
        <f t="shared" si="56"/>
        <v>6</v>
      </c>
      <c r="U151" s="250">
        <f t="shared" si="57"/>
        <v>0.81599127578844988</v>
      </c>
      <c r="V151" s="382">
        <f t="shared" si="58"/>
        <v>56.508171417954316</v>
      </c>
      <c r="W151" s="401">
        <f t="shared" si="59"/>
        <v>0</v>
      </c>
      <c r="X151" s="157">
        <f t="shared" si="60"/>
        <v>44698</v>
      </c>
      <c r="Y151" s="384">
        <f t="shared" si="61"/>
        <v>51.286953108711053</v>
      </c>
      <c r="Z151" s="384">
        <f t="shared" si="62"/>
        <v>52.874107417811686</v>
      </c>
      <c r="AA151" s="385">
        <f t="shared" si="63"/>
        <v>56.541917711530502</v>
      </c>
      <c r="AB151" s="196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6.4868869719479652E-2</v>
      </c>
      <c r="AD151" s="230">
        <f>(INDEX(Models!$BJ151:$BT151,,AH151)*(1-AF151)+INDEX(Models!$BJ151:$BT151,,AH151+1)*AF151-ERP_i)*AE151*Ramure*Pc/MaxiM</f>
        <v>2.7781389979295761E-4</v>
      </c>
      <c r="AE151" s="304">
        <f t="shared" si="65"/>
        <v>0.5</v>
      </c>
      <c r="AF151" s="176">
        <f t="shared" si="66"/>
        <v>0.81599127578844988</v>
      </c>
      <c r="AG151" s="814">
        <f t="shared" si="74"/>
        <v>0</v>
      </c>
      <c r="AH151" s="175">
        <f t="shared" si="67"/>
        <v>6</v>
      </c>
      <c r="AI151" s="224">
        <f t="shared" si="68"/>
        <v>0.81599127578844988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8">
        <v>51.370000000000005</v>
      </c>
      <c r="C152" s="843"/>
      <c r="D152" s="392">
        <f t="shared" si="50"/>
        <v>52.960882868159224</v>
      </c>
      <c r="E152" s="384">
        <f t="shared" si="72"/>
        <v>54.992337851847282</v>
      </c>
      <c r="F152" s="384">
        <f t="shared" si="51"/>
        <v>55.006178167101751</v>
      </c>
      <c r="G152" s="110">
        <f t="shared" si="73"/>
        <v>0.90901763268467961</v>
      </c>
      <c r="H152" s="413" t="b">
        <f>Wh_hp&gt;='2021'!Maxi_hp</f>
        <v>0</v>
      </c>
      <c r="I152" s="379">
        <f>IF(H152,Wh_hp,'2021'!Maxi_hp)</f>
        <v>62.196197916934416</v>
      </c>
      <c r="J152" s="85">
        <f>IF(H152,An,'2021'!An_max)</f>
        <v>2020</v>
      </c>
      <c r="K152" s="196">
        <f t="shared" si="52"/>
        <v>44699</v>
      </c>
      <c r="L152" s="147">
        <f>IF(t&lt;Tvie,1-EXP((T0-t)*PertePVj)+'2021'!Pspv,1-EXP((T0-t)*PertePVj)+Pspv)</f>
        <v>3.0038828320131362E-2</v>
      </c>
      <c r="M152" s="847"/>
      <c r="N152" s="847"/>
      <c r="O152" s="48">
        <f>IF(t&lt;Tnet,'2021'!Resal+('2021'!Salim-'2021'!Resal)*(1-EXP(('2021'!Tnet-t)/('2021'!Tau_j))),Resal+(Salim-Resal)*(1-EXP((Tnet-t)/(Tau_j))))*Salcycl</f>
        <v>3.694069143161216E-2</v>
      </c>
      <c r="P152" s="338">
        <f>(INDEX(Models!$BJ152:$BT152,,T152)*(1-R152)+INDEX(Models!$BJ152:$BT152,,T152+1)*R152-ERP_i)*Q152*Ramure*Pc/MaxiM</f>
        <v>2.8918670472639256E-4</v>
      </c>
      <c r="Q152" s="304">
        <f t="shared" si="53"/>
        <v>0.5</v>
      </c>
      <c r="R152" s="176">
        <f t="shared" si="54"/>
        <v>0.81845756392282409</v>
      </c>
      <c r="S152" s="814">
        <f t="shared" si="55"/>
        <v>0</v>
      </c>
      <c r="T152" s="175">
        <f t="shared" si="56"/>
        <v>6</v>
      </c>
      <c r="U152" s="250">
        <f t="shared" si="57"/>
        <v>0.81845756392282409</v>
      </c>
      <c r="V152" s="382">
        <f t="shared" si="58"/>
        <v>56.509431224161119</v>
      </c>
      <c r="W152" s="401">
        <f t="shared" si="59"/>
        <v>0</v>
      </c>
      <c r="X152" s="157">
        <f t="shared" si="60"/>
        <v>44699</v>
      </c>
      <c r="Y152" s="384">
        <f t="shared" si="61"/>
        <v>49.874692782691106</v>
      </c>
      <c r="Z152" s="384">
        <f t="shared" si="62"/>
        <v>51.419267326251308</v>
      </c>
      <c r="AA152" s="385">
        <f t="shared" si="63"/>
        <v>54.992337851847282</v>
      </c>
      <c r="AB152" s="196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6.4973970286952398E-2</v>
      </c>
      <c r="AD152" s="230">
        <f>(INDEX(Models!$BJ152:$BT152,,AH152)*(1-AF152)+INDEX(Models!$BJ152:$BT152,,AH152+1)*AF152-ERP_i)*AE152*Ramure*Pc/MaxiM</f>
        <v>2.8918670472639256E-4</v>
      </c>
      <c r="AE152" s="304">
        <f t="shared" si="65"/>
        <v>0.5</v>
      </c>
      <c r="AF152" s="176">
        <f t="shared" si="66"/>
        <v>0.81845756392282409</v>
      </c>
      <c r="AG152" s="814">
        <f t="shared" si="74"/>
        <v>0</v>
      </c>
      <c r="AH152" s="175">
        <f t="shared" si="67"/>
        <v>6</v>
      </c>
      <c r="AI152" s="224">
        <f t="shared" si="68"/>
        <v>0.81845756392282409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8">
        <v>52.864000000000004</v>
      </c>
      <c r="C153" s="843"/>
      <c r="D153" s="392">
        <f t="shared" si="50"/>
        <v>54.502342973744923</v>
      </c>
      <c r="E153" s="384">
        <f t="shared" si="72"/>
        <v>56.5997267634663</v>
      </c>
      <c r="F153" s="384">
        <f t="shared" si="51"/>
        <v>56.61518335402711</v>
      </c>
      <c r="G153" s="110">
        <f t="shared" si="73"/>
        <v>0.93549038024011766</v>
      </c>
      <c r="H153" s="413" t="b">
        <f>Wh_hp&gt;='2021'!Maxi_hp</f>
        <v>0</v>
      </c>
      <c r="I153" s="379">
        <f>IF(H153,Wh_hp,'2021'!Maxi_hp)</f>
        <v>60.966167385308943</v>
      </c>
      <c r="J153" s="85">
        <f>IF(H153,An,'2021'!An_max)</f>
        <v>2020</v>
      </c>
      <c r="K153" s="196">
        <f t="shared" si="52"/>
        <v>44700</v>
      </c>
      <c r="L153" s="147">
        <f>IF(t&lt;Tvie,1-EXP((T0-t)*PertePVj)+'2021'!Pspv,1-EXP((T0-t)*PertePVj)+Pspv)</f>
        <v>3.006004667605109E-2</v>
      </c>
      <c r="M153" s="847"/>
      <c r="N153" s="847"/>
      <c r="O153" s="48">
        <f>IF(t&lt;Tnet,'2021'!Resal+('2021'!Salim-'2021'!Resal)*(1-EXP(('2021'!Tnet-t)/('2021'!Tau_j))),Resal+(Salim-Resal)*(1-EXP((Tnet-t)/(Tau_j))))*Salcycl</f>
        <v>3.7056429591727044E-2</v>
      </c>
      <c r="P153" s="338">
        <f>(INDEX(Models!$BJ153:$BT153,,T153)*(1-R153)+INDEX(Models!$BJ153:$BT153,,T153+1)*R153-ERP_i)*Q153*Ramure*Pc/MaxiM</f>
        <v>3.0071294845911801E-4</v>
      </c>
      <c r="Q153" s="304">
        <f t="shared" si="53"/>
        <v>0.5</v>
      </c>
      <c r="R153" s="176">
        <f t="shared" si="54"/>
        <v>0.82096887938320207</v>
      </c>
      <c r="S153" s="814">
        <f t="shared" si="55"/>
        <v>0</v>
      </c>
      <c r="T153" s="175">
        <f t="shared" si="56"/>
        <v>6</v>
      </c>
      <c r="U153" s="250">
        <f t="shared" si="57"/>
        <v>0.82096887938320207</v>
      </c>
      <c r="V153" s="382">
        <f t="shared" si="58"/>
        <v>56.507834075160289</v>
      </c>
      <c r="W153" s="401">
        <f t="shared" si="59"/>
        <v>0</v>
      </c>
      <c r="X153" s="157">
        <f t="shared" si="60"/>
        <v>44700</v>
      </c>
      <c r="Y153" s="384">
        <f t="shared" si="61"/>
        <v>51.325583664127912</v>
      </c>
      <c r="Z153" s="384">
        <f t="shared" si="62"/>
        <v>52.916248565941643</v>
      </c>
      <c r="AA153" s="385">
        <f t="shared" si="63"/>
        <v>56.5997267634663</v>
      </c>
      <c r="AB153" s="196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6.5079434268616551E-2</v>
      </c>
      <c r="AD153" s="230">
        <f>(INDEX(Models!$BJ153:$BT153,,AH153)*(1-AF153)+INDEX(Models!$BJ153:$BT153,,AH153+1)*AF153-ERP_i)*AE153*Ramure*Pc/MaxiM</f>
        <v>3.0071294845911801E-4</v>
      </c>
      <c r="AE153" s="304">
        <f t="shared" si="65"/>
        <v>0.5</v>
      </c>
      <c r="AF153" s="176">
        <f t="shared" si="66"/>
        <v>0.82096887938320207</v>
      </c>
      <c r="AG153" s="814">
        <f t="shared" si="74"/>
        <v>0</v>
      </c>
      <c r="AH153" s="175">
        <f t="shared" si="67"/>
        <v>6</v>
      </c>
      <c r="AI153" s="224">
        <f t="shared" si="68"/>
        <v>0.82096887938320207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8">
        <v>47.09</v>
      </c>
      <c r="C154" s="843"/>
      <c r="D154" s="392">
        <f t="shared" si="50"/>
        <v>48.550459208305774</v>
      </c>
      <c r="E154" s="384">
        <f t="shared" si="72"/>
        <v>50.424870971219136</v>
      </c>
      <c r="F154" s="384">
        <f t="shared" si="51"/>
        <v>50.436877186067662</v>
      </c>
      <c r="G154" s="110">
        <f t="shared" si="73"/>
        <v>0.83333945295392586</v>
      </c>
      <c r="H154" s="413" t="b">
        <f>Wh_hp&gt;='2021'!Maxi_hp</f>
        <v>0</v>
      </c>
      <c r="I154" s="379">
        <f>IF(H154,Wh_hp,'2021'!Maxi_hp)</f>
        <v>61.160542885736888</v>
      </c>
      <c r="J154" s="85">
        <f>IF(H154,An,'2021'!An_max)</f>
        <v>2021</v>
      </c>
      <c r="K154" s="196">
        <f t="shared" si="52"/>
        <v>44701</v>
      </c>
      <c r="L154" s="147">
        <f>IF(t&lt;Tvie,1-EXP((T0-t)*PertePVj)+'2021'!Pspv,1-EXP((T0-t)*PertePVj)+Pspv)</f>
        <v>3.0081264567234457E-2</v>
      </c>
      <c r="M154" s="847"/>
      <c r="N154" s="847"/>
      <c r="O154" s="48">
        <f>IF(t&lt;Tnet,'2021'!Resal+('2021'!Salim-'2021'!Resal)*(1-EXP(('2021'!Tnet-t)/('2021'!Tau_j))),Resal+(Salim-Resal)*(1-EXP((Tnet-t)/(Tau_j))))*Salcycl</f>
        <v>3.7172366072750429E-2</v>
      </c>
      <c r="P154" s="338">
        <f>(INDEX(Models!$BJ154:$BT154,,T154)*(1-R154)+INDEX(Models!$BJ154:$BT154,,T154+1)*R154-ERP_i)*Q154*Ramure*Pc/MaxiM</f>
        <v>3.1239335375107656E-4</v>
      </c>
      <c r="Q154" s="304">
        <f t="shared" si="53"/>
        <v>0.5</v>
      </c>
      <c r="R154" s="176">
        <f t="shared" si="54"/>
        <v>0.82352428856779847</v>
      </c>
      <c r="S154" s="814">
        <f t="shared" si="55"/>
        <v>0</v>
      </c>
      <c r="T154" s="175">
        <f t="shared" si="56"/>
        <v>6</v>
      </c>
      <c r="U154" s="250">
        <f t="shared" si="57"/>
        <v>0.82352428856779847</v>
      </c>
      <c r="V154" s="382">
        <f t="shared" si="58"/>
        <v>56.503382752389136</v>
      </c>
      <c r="W154" s="401">
        <f t="shared" si="59"/>
        <v>0</v>
      </c>
      <c r="X154" s="157">
        <f t="shared" si="60"/>
        <v>44701</v>
      </c>
      <c r="Y154" s="384">
        <f t="shared" si="61"/>
        <v>45.719946836313838</v>
      </c>
      <c r="Z154" s="384">
        <f t="shared" si="62"/>
        <v>47.13791492636151</v>
      </c>
      <c r="AA154" s="385">
        <f t="shared" si="63"/>
        <v>50.424870971219136</v>
      </c>
      <c r="AB154" s="196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6.5185214786840265E-2</v>
      </c>
      <c r="AD154" s="230">
        <f>(INDEX(Models!$BJ154:$BT154,,AH154)*(1-AF154)+INDEX(Models!$BJ154:$BT154,,AH154+1)*AF154-ERP_i)*AE154*Ramure*Pc/MaxiM</f>
        <v>3.1239335375107656E-4</v>
      </c>
      <c r="AE154" s="304">
        <f t="shared" si="65"/>
        <v>0.5</v>
      </c>
      <c r="AF154" s="176">
        <f t="shared" si="66"/>
        <v>0.82352428856779847</v>
      </c>
      <c r="AG154" s="814">
        <f t="shared" si="74"/>
        <v>0</v>
      </c>
      <c r="AH154" s="175">
        <f t="shared" si="67"/>
        <v>6</v>
      </c>
      <c r="AI154" s="224">
        <f t="shared" si="68"/>
        <v>0.82352428856779847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8">
        <v>48.192</v>
      </c>
      <c r="C155" s="843"/>
      <c r="D155" s="392">
        <f t="shared" si="50"/>
        <v>49.68772381133833</v>
      </c>
      <c r="E155" s="384">
        <f t="shared" si="72"/>
        <v>51.612266458433467</v>
      </c>
      <c r="F155" s="384">
        <f t="shared" si="51"/>
        <v>51.625490184686939</v>
      </c>
      <c r="G155" s="110">
        <f t="shared" si="73"/>
        <v>0.8529568438382451</v>
      </c>
      <c r="H155" s="413" t="b">
        <f>Wh_hp&gt;='2021'!Maxi_hp</f>
        <v>0</v>
      </c>
      <c r="I155" s="379">
        <f>IF(H155,Wh_hp,'2021'!Maxi_hp)</f>
        <v>59.215074303893267</v>
      </c>
      <c r="J155" s="85">
        <f>IF(H155,An,'2021'!An_max)</f>
        <v>2020</v>
      </c>
      <c r="K155" s="196">
        <f t="shared" si="52"/>
        <v>44702</v>
      </c>
      <c r="L155" s="147">
        <f>IF(t&lt;Tvie,1-EXP((T0-t)*PertePVj)+'2021'!Pspv,1-EXP((T0-t)*PertePVj)+Pspv)</f>
        <v>3.0102481993691567E-2</v>
      </c>
      <c r="M155" s="847"/>
      <c r="N155" s="847"/>
      <c r="O155" s="48">
        <f>IF(t&lt;Tnet,'2021'!Resal+('2021'!Salim-'2021'!Resal)*(1-EXP(('2021'!Tnet-t)/('2021'!Tau_j))),Resal+(Salim-Resal)*(1-EXP((Tnet-t)/(Tau_j))))*Salcycl</f>
        <v>3.7288473829086524E-2</v>
      </c>
      <c r="P155" s="338">
        <f>(INDEX(Models!$BJ155:$BT155,,T155)*(1-R155)+INDEX(Models!$BJ155:$BT155,,T155+1)*R155-ERP_i)*Q155*Ramure*Pc/MaxiM</f>
        <v>3.2422824341704393E-4</v>
      </c>
      <c r="Q155" s="304">
        <f t="shared" si="53"/>
        <v>0.5</v>
      </c>
      <c r="R155" s="176">
        <f t="shared" si="54"/>
        <v>0.8261227490803642</v>
      </c>
      <c r="S155" s="814">
        <f t="shared" si="55"/>
        <v>0</v>
      </c>
      <c r="T155" s="175">
        <f t="shared" si="56"/>
        <v>6</v>
      </c>
      <c r="U155" s="250">
        <f t="shared" si="57"/>
        <v>0.8261227490803642</v>
      </c>
      <c r="V155" s="382">
        <f t="shared" si="58"/>
        <v>56.496080132589491</v>
      </c>
      <c r="W155" s="401">
        <f t="shared" si="59"/>
        <v>0</v>
      </c>
      <c r="X155" s="157">
        <f t="shared" si="60"/>
        <v>44702</v>
      </c>
      <c r="Y155" s="384">
        <f t="shared" si="61"/>
        <v>46.790219309194867</v>
      </c>
      <c r="Z155" s="384">
        <f t="shared" si="62"/>
        <v>48.242436381707016</v>
      </c>
      <c r="AA155" s="385">
        <f t="shared" si="63"/>
        <v>51.612266458433467</v>
      </c>
      <c r="AB155" s="196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6.5291263258907273E-2</v>
      </c>
      <c r="AD155" s="230">
        <f>(INDEX(Models!$BJ155:$BT155,,AH155)*(1-AF155)+INDEX(Models!$BJ155:$BT155,,AH155+1)*AF155-ERP_i)*AE155*Ramure*Pc/MaxiM</f>
        <v>3.2422824341704393E-4</v>
      </c>
      <c r="AE155" s="304">
        <f t="shared" si="65"/>
        <v>0.5</v>
      </c>
      <c r="AF155" s="176">
        <f t="shared" si="66"/>
        <v>0.8261227490803642</v>
      </c>
      <c r="AG155" s="814">
        <f t="shared" si="74"/>
        <v>0</v>
      </c>
      <c r="AH155" s="175">
        <f t="shared" si="67"/>
        <v>6</v>
      </c>
      <c r="AI155" s="224">
        <f t="shared" si="68"/>
        <v>0.8261227490803642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8">
        <v>34.86</v>
      </c>
      <c r="C156" s="843"/>
      <c r="D156" s="392">
        <f t="shared" si="50"/>
        <v>35.942727915359306</v>
      </c>
      <c r="E156" s="384">
        <f t="shared" si="72"/>
        <v>37.339397812422767</v>
      </c>
      <c r="F156" s="384">
        <f t="shared" si="51"/>
        <v>37.345084800727079</v>
      </c>
      <c r="G156" s="110">
        <f t="shared" si="73"/>
        <v>0.61703131269283062</v>
      </c>
      <c r="H156" s="413" t="b">
        <f>Wh_hp&gt;='2021'!Maxi_hp</f>
        <v>0</v>
      </c>
      <c r="I156" s="379">
        <f>IF(H156,Wh_hp,'2021'!Maxi_hp)</f>
        <v>59.915343833320051</v>
      </c>
      <c r="J156" s="85">
        <f>IF(H156,An,'2021'!An_max)</f>
        <v>2019</v>
      </c>
      <c r="K156" s="196">
        <f t="shared" si="52"/>
        <v>44703</v>
      </c>
      <c r="L156" s="147">
        <f>IF(t&lt;Tvie,1-EXP((T0-t)*PertePVj)+'2021'!Pspv,1-EXP((T0-t)*PertePVj)+Pspv)</f>
        <v>3.0123698955432522E-2</v>
      </c>
      <c r="M156" s="847"/>
      <c r="N156" s="847"/>
      <c r="O156" s="48">
        <f>IF(t&lt;Tnet,'2021'!Resal+('2021'!Salim-'2021'!Resal)*(1-EXP(('2021'!Tnet-t)/('2021'!Tau_j))),Resal+(Salim-Resal)*(1-EXP((Tnet-t)/(Tau_j))))*Salcycl</f>
        <v>3.7404724738190405E-2</v>
      </c>
      <c r="P156" s="338">
        <f>(INDEX(Models!$BJ156:$BT156,,T156)*(1-R156)+INDEX(Models!$BJ156:$BT156,,T156+1)*R156-ERP_i)*Q156*Ramure*Pc/MaxiM</f>
        <v>3.3611613008890413E-4</v>
      </c>
      <c r="Q156" s="304">
        <f t="shared" si="53"/>
        <v>0.5</v>
      </c>
      <c r="R156" s="176">
        <f t="shared" si="54"/>
        <v>0.82876310922769747</v>
      </c>
      <c r="S156" s="814">
        <f t="shared" si="55"/>
        <v>0</v>
      </c>
      <c r="T156" s="175">
        <f t="shared" si="56"/>
        <v>6</v>
      </c>
      <c r="U156" s="250">
        <f t="shared" si="57"/>
        <v>0.82876310922769747</v>
      </c>
      <c r="V156" s="382">
        <f t="shared" si="58"/>
        <v>56.485934916178451</v>
      </c>
      <c r="W156" s="401">
        <f t="shared" si="59"/>
        <v>0</v>
      </c>
      <c r="X156" s="157">
        <f t="shared" si="60"/>
        <v>44703</v>
      </c>
      <c r="Y156" s="384">
        <f t="shared" si="61"/>
        <v>33.846251855168788</v>
      </c>
      <c r="Z156" s="384">
        <f t="shared" si="62"/>
        <v>34.897493441912133</v>
      </c>
      <c r="AA156" s="385">
        <f t="shared" si="63"/>
        <v>37.339397812422767</v>
      </c>
      <c r="AB156" s="196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6.5397529515010544E-2</v>
      </c>
      <c r="AD156" s="230">
        <f>(INDEX(Models!$BJ156:$BT156,,AH156)*(1-AF156)+INDEX(Models!$BJ156:$BT156,,AH156+1)*AF156-ERP_i)*AE156*Ramure*Pc/MaxiM</f>
        <v>3.3611613008890413E-4</v>
      </c>
      <c r="AE156" s="304">
        <f t="shared" si="65"/>
        <v>0.5</v>
      </c>
      <c r="AF156" s="176">
        <f t="shared" si="66"/>
        <v>0.82876310922769747</v>
      </c>
      <c r="AG156" s="814">
        <f t="shared" si="74"/>
        <v>0</v>
      </c>
      <c r="AH156" s="175">
        <f t="shared" si="67"/>
        <v>6</v>
      </c>
      <c r="AI156" s="224">
        <f t="shared" si="68"/>
        <v>0.82876310922769747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8">
        <v>16.866</v>
      </c>
      <c r="C157" s="843"/>
      <c r="D157" s="392">
        <f t="shared" si="50"/>
        <v>17.390226920208924</v>
      </c>
      <c r="E157" s="384">
        <f t="shared" si="72"/>
        <v>18.068164126565222</v>
      </c>
      <c r="F157" s="384">
        <f t="shared" si="51"/>
        <v>18.068164126565222</v>
      </c>
      <c r="G157" s="110">
        <f t="shared" si="73"/>
        <v>0.29855230925091553</v>
      </c>
      <c r="H157" s="413" t="b">
        <f>Wh_hp&gt;='2021'!Maxi_hp</f>
        <v>0</v>
      </c>
      <c r="I157" s="379">
        <f>IF(H157,Wh_hp,'2021'!Maxi_hp)</f>
        <v>55.585260349029333</v>
      </c>
      <c r="J157" s="85">
        <f>IF(H157,An,'2021'!An_max)</f>
        <v>2020</v>
      </c>
      <c r="K157" s="196">
        <f t="shared" si="52"/>
        <v>44704</v>
      </c>
      <c r="L157" s="147">
        <f>IF(t&lt;Tvie,1-EXP((T0-t)*PertePVj)+'2021'!Pspv,1-EXP((T0-t)*PertePVj)+Pspv)</f>
        <v>3.0144915452467537E-2</v>
      </c>
      <c r="M157" s="847"/>
      <c r="N157" s="847"/>
      <c r="O157" s="48">
        <f>IF(t&lt;Tnet,'2021'!Resal+('2021'!Salim-'2021'!Resal)*(1-EXP(('2021'!Tnet-t)/('2021'!Tau_j))),Resal+(Salim-Resal)*(1-EXP((Tnet-t)/(Tau_j))))*Salcycl</f>
        <v>3.7521089669511044E-2</v>
      </c>
      <c r="P157" s="338">
        <f>(INDEX(Models!$BJ157:$BT157,,T157)*(1-R157)+INDEX(Models!$BJ157:$BT157,,T157+1)*R157-ERP_i)*Q157*Ramure*Pc/MaxiM</f>
        <v>3.4807826383263297E-4</v>
      </c>
      <c r="Q157" s="304">
        <f t="shared" si="53"/>
        <v>0.5</v>
      </c>
      <c r="R157" s="176">
        <f t="shared" si="54"/>
        <v>0.83144410802676094</v>
      </c>
      <c r="S157" s="814">
        <f t="shared" si="55"/>
        <v>0</v>
      </c>
      <c r="T157" s="175">
        <f t="shared" si="56"/>
        <v>6</v>
      </c>
      <c r="U157" s="250">
        <f t="shared" si="57"/>
        <v>0.83144410802676094</v>
      </c>
      <c r="V157" s="382">
        <f t="shared" si="58"/>
        <v>56.472948925785275</v>
      </c>
      <c r="W157" s="401">
        <f t="shared" si="59"/>
        <v>0</v>
      </c>
      <c r="X157" s="157">
        <f t="shared" si="60"/>
        <v>44704</v>
      </c>
      <c r="Y157" s="384">
        <f t="shared" si="61"/>
        <v>16.375642114284808</v>
      </c>
      <c r="Z157" s="384">
        <f t="shared" si="62"/>
        <v>16.884627791506144</v>
      </c>
      <c r="AA157" s="385">
        <f t="shared" si="63"/>
        <v>18.068164126565222</v>
      </c>
      <c r="AB157" s="196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6.5503961928204388E-2</v>
      </c>
      <c r="AD157" s="230">
        <f>(INDEX(Models!$BJ157:$BT157,,AH157)*(1-AF157)+INDEX(Models!$BJ157:$BT157,,AH157+1)*AF157-ERP_i)*AE157*Ramure*Pc/MaxiM</f>
        <v>3.4807826383263297E-4</v>
      </c>
      <c r="AE157" s="304">
        <f t="shared" si="65"/>
        <v>0.5</v>
      </c>
      <c r="AF157" s="176">
        <f t="shared" si="66"/>
        <v>0.83144410802676094</v>
      </c>
      <c r="AG157" s="814">
        <f t="shared" si="74"/>
        <v>0</v>
      </c>
      <c r="AH157" s="175">
        <f t="shared" si="67"/>
        <v>6</v>
      </c>
      <c r="AI157" s="224">
        <f t="shared" si="68"/>
        <v>0.83144410802676094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8">
        <v>13.815</v>
      </c>
      <c r="C158" s="843"/>
      <c r="D158" s="392">
        <f t="shared" si="50"/>
        <v>14.244707726232164</v>
      </c>
      <c r="E158" s="384">
        <f t="shared" si="72"/>
        <v>14.801811476446485</v>
      </c>
      <c r="F158" s="384">
        <f t="shared" si="51"/>
        <v>14.801811476446485</v>
      </c>
      <c r="G158" s="110">
        <f t="shared" si="73"/>
        <v>0.24461084329056768</v>
      </c>
      <c r="H158" s="413" t="b">
        <f>Wh_hp&gt;='2021'!Maxi_hp</f>
        <v>0</v>
      </c>
      <c r="I158" s="379">
        <f>IF(H158,Wh_hp,'2021'!Maxi_hp)</f>
        <v>26.001334753599281</v>
      </c>
      <c r="J158" s="85">
        <f>IF(H158,An,'2021'!An_max)</f>
        <v>2021</v>
      </c>
      <c r="K158" s="196">
        <f t="shared" si="52"/>
        <v>44705</v>
      </c>
      <c r="L158" s="147">
        <f>IF(t&lt;Tvie,1-EXP((T0-t)*PertePVj)+'2021'!Pspv,1-EXP((T0-t)*PertePVj)+Pspv)</f>
        <v>3.0166131484806936E-2</v>
      </c>
      <c r="M158" s="847"/>
      <c r="N158" s="847"/>
      <c r="O158" s="48">
        <f>IF(t&lt;Tnet,'2021'!Resal+('2021'!Salim-'2021'!Resal)*(1-EXP(('2021'!Tnet-t)/('2021'!Tau_j))),Resal+(Salim-Resal)*(1-EXP((Tnet-t)/(Tau_j))))*Salcycl</f>
        <v>3.7637538560791495E-2</v>
      </c>
      <c r="P158" s="338">
        <f>(INDEX(Models!$BJ158:$BT158,,T158)*(1-R158)+INDEX(Models!$BJ158:$BT158,,T158+1)*R158-ERP_i)*Q158*Ramure*Pc/MaxiM</f>
        <v>3.6010981194197698E-4</v>
      </c>
      <c r="Q158" s="304">
        <f t="shared" si="53"/>
        <v>0.5</v>
      </c>
      <c r="R158" s="176">
        <f t="shared" si="54"/>
        <v>0.83416437574525859</v>
      </c>
      <c r="S158" s="814">
        <f t="shared" si="55"/>
        <v>0</v>
      </c>
      <c r="T158" s="175">
        <f t="shared" si="56"/>
        <v>6</v>
      </c>
      <c r="U158" s="250">
        <f t="shared" si="57"/>
        <v>0.83416437574525859</v>
      </c>
      <c r="V158" s="382">
        <f t="shared" si="58"/>
        <v>56.457125518934603</v>
      </c>
      <c r="W158" s="401">
        <f t="shared" si="59"/>
        <v>0</v>
      </c>
      <c r="X158" s="157">
        <f t="shared" si="60"/>
        <v>44705</v>
      </c>
      <c r="Y158" s="384">
        <f t="shared" si="61"/>
        <v>13.413439691745475</v>
      </c>
      <c r="Z158" s="384">
        <f t="shared" si="62"/>
        <v>13.83065711272935</v>
      </c>
      <c r="AA158" s="385">
        <f t="shared" si="63"/>
        <v>14.801811476446485</v>
      </c>
      <c r="AB158" s="196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6.5610507555949632E-2</v>
      </c>
      <c r="AD158" s="230">
        <f>(INDEX(Models!$BJ158:$BT158,,AH158)*(1-AF158)+INDEX(Models!$BJ158:$BT158,,AH158+1)*AF158-ERP_i)*AE158*Ramure*Pc/MaxiM</f>
        <v>3.6010981194197698E-4</v>
      </c>
      <c r="AE158" s="304">
        <f t="shared" si="65"/>
        <v>0.5</v>
      </c>
      <c r="AF158" s="176">
        <f t="shared" si="66"/>
        <v>0.83416437574525859</v>
      </c>
      <c r="AG158" s="814">
        <f t="shared" si="74"/>
        <v>0</v>
      </c>
      <c r="AH158" s="175">
        <f t="shared" si="67"/>
        <v>6</v>
      </c>
      <c r="AI158" s="224">
        <f t="shared" si="68"/>
        <v>0.83416437574525859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8">
        <v>39.436</v>
      </c>
      <c r="C159" s="843"/>
      <c r="D159" s="392">
        <f t="shared" si="50"/>
        <v>40.663523908605093</v>
      </c>
      <c r="E159" s="384">
        <f t="shared" si="72"/>
        <v>42.258970803887351</v>
      </c>
      <c r="F159" s="384">
        <f t="shared" si="51"/>
        <v>42.267932525446327</v>
      </c>
      <c r="G159" s="110">
        <f t="shared" si="73"/>
        <v>0.69863132299649511</v>
      </c>
      <c r="H159" s="413" t="b">
        <f>Wh_hp&gt;='2021'!Maxi_hp</f>
        <v>0</v>
      </c>
      <c r="I159" s="379">
        <f>IF(H159,Wh_hp,'2021'!Maxi_hp)</f>
        <v>56.074384360716962</v>
      </c>
      <c r="J159" s="85">
        <f>IF(H159,An,'2021'!An_max)</f>
        <v>2020</v>
      </c>
      <c r="K159" s="196">
        <f t="shared" si="52"/>
        <v>44706</v>
      </c>
      <c r="L159" s="147">
        <f>IF(t&lt;Tvie,1-EXP((T0-t)*PertePVj)+'2021'!Pspv,1-EXP((T0-t)*PertePVj)+Pspv)</f>
        <v>3.0187347052460713E-2</v>
      </c>
      <c r="M159" s="847"/>
      <c r="N159" s="847"/>
      <c r="O159" s="48">
        <f>IF(t&lt;Tnet,'2021'!Resal+('2021'!Salim-'2021'!Resal)*(1-EXP(('2021'!Tnet-t)/('2021'!Tau_j))),Resal+(Salim-Resal)*(1-EXP((Tnet-t)/(Tau_j))))*Salcycl</f>
        <v>3.7754040501513958E-2</v>
      </c>
      <c r="P159" s="338">
        <f>(INDEX(Models!$BJ159:$BT159,,T159)*(1-R159)+INDEX(Models!$BJ159:$BT159,,T159+1)*R159-ERP_i)*Q159*Ramure*Pc/MaxiM</f>
        <v>3.7220749043710287E-4</v>
      </c>
      <c r="Q159" s="304">
        <f t="shared" si="53"/>
        <v>0.5</v>
      </c>
      <c r="R159" s="176">
        <f t="shared" si="54"/>
        <v>0.83692243499588881</v>
      </c>
      <c r="S159" s="814">
        <f t="shared" si="55"/>
        <v>0</v>
      </c>
      <c r="T159" s="175">
        <f t="shared" si="56"/>
        <v>6</v>
      </c>
      <c r="U159" s="250">
        <f t="shared" si="57"/>
        <v>0.83692243499588881</v>
      </c>
      <c r="V159" s="382">
        <f t="shared" si="58"/>
        <v>56.438468013256639</v>
      </c>
      <c r="W159" s="401">
        <f t="shared" si="59"/>
        <v>0</v>
      </c>
      <c r="X159" s="157">
        <f t="shared" si="60"/>
        <v>44706</v>
      </c>
      <c r="Y159" s="384">
        <f t="shared" si="61"/>
        <v>38.289981470875773</v>
      </c>
      <c r="Z159" s="384">
        <f t="shared" si="62"/>
        <v>39.481833274191175</v>
      </c>
      <c r="AA159" s="385">
        <f t="shared" si="63"/>
        <v>42.258970803887351</v>
      </c>
      <c r="AB159" s="196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6.5717112292775173E-2</v>
      </c>
      <c r="AD159" s="230">
        <f>(INDEX(Models!$BJ159:$BT159,,AH159)*(1-AF159)+INDEX(Models!$BJ159:$BT159,,AH159+1)*AF159-ERP_i)*AE159*Ramure*Pc/MaxiM</f>
        <v>3.7220749043710287E-4</v>
      </c>
      <c r="AE159" s="304">
        <f t="shared" si="65"/>
        <v>0.5</v>
      </c>
      <c r="AF159" s="176">
        <f t="shared" si="66"/>
        <v>0.83692243499588881</v>
      </c>
      <c r="AG159" s="814">
        <f t="shared" si="74"/>
        <v>0</v>
      </c>
      <c r="AH159" s="175">
        <f t="shared" si="67"/>
        <v>6</v>
      </c>
      <c r="AI159" s="224">
        <f t="shared" si="68"/>
        <v>0.83692243499588881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8">
        <v>21.177</v>
      </c>
      <c r="C160" s="843"/>
      <c r="D160" s="392">
        <f t="shared" si="50"/>
        <v>21.836653917122199</v>
      </c>
      <c r="E160" s="384">
        <f t="shared" si="72"/>
        <v>22.696170698086537</v>
      </c>
      <c r="F160" s="384">
        <f t="shared" si="51"/>
        <v>22.697109973902517</v>
      </c>
      <c r="G160" s="110">
        <f t="shared" si="73"/>
        <v>0.37523696574983317</v>
      </c>
      <c r="H160" s="413" t="b">
        <f>Wh_hp&gt;='2021'!Maxi_hp</f>
        <v>0</v>
      </c>
      <c r="I160" s="379">
        <f>IF(H160,Wh_hp,'2021'!Maxi_hp)</f>
        <v>59.949871504131856</v>
      </c>
      <c r="J160" s="85">
        <f>IF(H160,An,'2021'!An_max)</f>
        <v>2020</v>
      </c>
      <c r="K160" s="196">
        <f t="shared" si="52"/>
        <v>44707</v>
      </c>
      <c r="L160" s="147">
        <f>IF(t&lt;Tvie,1-EXP((T0-t)*PertePVj)+'2021'!Pspv,1-EXP((T0-t)*PertePVj)+Pspv)</f>
        <v>3.020856215543908E-2</v>
      </c>
      <c r="M160" s="847"/>
      <c r="N160" s="847"/>
      <c r="O160" s="48">
        <f>IF(t&lt;Tnet,'2021'!Resal+('2021'!Salim-'2021'!Resal)*(1-EXP(('2021'!Tnet-t)/('2021'!Tau_j))),Resal+(Salim-Resal)*(1-EXP((Tnet-t)/(Tau_j))))*Salcycl</f>
        <v>3.7870563823209316E-2</v>
      </c>
      <c r="P160" s="338">
        <f>(INDEX(Models!$BJ160:$BT160,,T160)*(1-R160)+INDEX(Models!$BJ160:$BT160,,T160+1)*R160-ERP_i)*Q160*Ramure*Pc/MaxiM</f>
        <v>3.84367616563838E-4</v>
      </c>
      <c r="Q160" s="304">
        <f t="shared" si="53"/>
        <v>0.5</v>
      </c>
      <c r="R160" s="176">
        <f t="shared" si="54"/>
        <v>0.8397167024003882</v>
      </c>
      <c r="S160" s="814">
        <f t="shared" si="55"/>
        <v>0</v>
      </c>
      <c r="T160" s="175">
        <f t="shared" si="56"/>
        <v>6</v>
      </c>
      <c r="U160" s="250">
        <f t="shared" si="57"/>
        <v>0.8397167024003882</v>
      </c>
      <c r="V160" s="382">
        <f t="shared" si="58"/>
        <v>56.416979795964806</v>
      </c>
      <c r="W160" s="401">
        <f t="shared" si="59"/>
        <v>0</v>
      </c>
      <c r="X160" s="157">
        <f t="shared" si="60"/>
        <v>44707</v>
      </c>
      <c r="Y160" s="384">
        <f t="shared" si="61"/>
        <v>20.56173557924393</v>
      </c>
      <c r="Z160" s="384">
        <f t="shared" si="62"/>
        <v>21.202224289527688</v>
      </c>
      <c r="AA160" s="385">
        <f t="shared" si="63"/>
        <v>22.696170698086537</v>
      </c>
      <c r="AB160" s="196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6.5823721033469243E-2</v>
      </c>
      <c r="AD160" s="230">
        <f>(INDEX(Models!$BJ160:$BT160,,AH160)*(1-AF160)+INDEX(Models!$BJ160:$BT160,,AH160+1)*AF160-ERP_i)*AE160*Ramure*Pc/MaxiM</f>
        <v>3.84367616563838E-4</v>
      </c>
      <c r="AE160" s="304">
        <f t="shared" si="65"/>
        <v>0.5</v>
      </c>
      <c r="AF160" s="176">
        <f t="shared" si="66"/>
        <v>0.8397167024003882</v>
      </c>
      <c r="AG160" s="814">
        <f t="shared" si="74"/>
        <v>0</v>
      </c>
      <c r="AH160" s="175">
        <f t="shared" si="67"/>
        <v>6</v>
      </c>
      <c r="AI160" s="224">
        <f t="shared" si="68"/>
        <v>0.8397167024003882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8">
        <v>39.599000000000004</v>
      </c>
      <c r="C161" s="843"/>
      <c r="D161" s="392">
        <f t="shared" si="50"/>
        <v>40.833384086673703</v>
      </c>
      <c r="E161" s="384">
        <f t="shared" si="72"/>
        <v>42.445774974853833</v>
      </c>
      <c r="F161" s="384">
        <f t="shared" si="51"/>
        <v>42.455449203203713</v>
      </c>
      <c r="G161" s="110">
        <f t="shared" si="73"/>
        <v>0.70208275989773006</v>
      </c>
      <c r="H161" s="413" t="b">
        <f>Wh_hp&gt;='2021'!Maxi_hp</f>
        <v>0</v>
      </c>
      <c r="I161" s="379">
        <f>IF(H161,Wh_hp,'2021'!Maxi_hp)</f>
        <v>59.872524660282878</v>
      </c>
      <c r="J161" s="85">
        <f>IF(H161,An,'2021'!An_max)</f>
        <v>2021</v>
      </c>
      <c r="K161" s="196">
        <f t="shared" si="52"/>
        <v>44708</v>
      </c>
      <c r="L161" s="147">
        <f>IF(t&lt;Tvie,1-EXP((T0-t)*PertePVj)+'2021'!Pspv,1-EXP((T0-t)*PertePVj)+Pspv)</f>
        <v>3.0229776793752251E-2</v>
      </c>
      <c r="M161" s="847"/>
      <c r="N161" s="847"/>
      <c r="O161" s="48">
        <f>IF(t&lt;Tnet,'2021'!Resal+('2021'!Salim-'2021'!Resal)*(1-EXP(('2021'!Tnet-t)/('2021'!Tau_j))),Resal+(Salim-Resal)*(1-EXP((Tnet-t)/(Tau_j))))*Salcycl</f>
        <v>3.7987076196284747E-2</v>
      </c>
      <c r="P161" s="338">
        <f>(INDEX(Models!$BJ161:$BT161,,T161)*(1-R161)+INDEX(Models!$BJ161:$BT161,,T161+1)*R161-ERP_i)*Q161*Ramure*Pc/MaxiM</f>
        <v>3.9658611588661258E-4</v>
      </c>
      <c r="Q161" s="304">
        <f t="shared" si="53"/>
        <v>0.5</v>
      </c>
      <c r="R161" s="176">
        <f t="shared" si="54"/>
        <v>0.84254549083497376</v>
      </c>
      <c r="S161" s="814">
        <f t="shared" si="55"/>
        <v>0</v>
      </c>
      <c r="T161" s="175">
        <f t="shared" si="56"/>
        <v>6</v>
      </c>
      <c r="U161" s="250">
        <f t="shared" si="57"/>
        <v>0.84254549083497376</v>
      </c>
      <c r="V161" s="382">
        <f t="shared" si="58"/>
        <v>56.392664313630526</v>
      </c>
      <c r="W161" s="401">
        <f t="shared" si="59"/>
        <v>0</v>
      </c>
      <c r="X161" s="157">
        <f t="shared" si="60"/>
        <v>44708</v>
      </c>
      <c r="Y161" s="384">
        <f t="shared" si="61"/>
        <v>38.44878380773082</v>
      </c>
      <c r="Z161" s="384">
        <f t="shared" si="62"/>
        <v>39.647313237368451</v>
      </c>
      <c r="AA161" s="385">
        <f t="shared" si="63"/>
        <v>42.445774974853833</v>
      </c>
      <c r="AB161" s="196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6.5930277846105376E-2</v>
      </c>
      <c r="AD161" s="230">
        <f>(INDEX(Models!$BJ161:$BT161,,AH161)*(1-AF161)+INDEX(Models!$BJ161:$BT161,,AH161+1)*AF161-ERP_i)*AE161*Ramure*Pc/MaxiM</f>
        <v>3.9658611588661258E-4</v>
      </c>
      <c r="AE161" s="304">
        <f t="shared" si="65"/>
        <v>0.5</v>
      </c>
      <c r="AF161" s="176">
        <f t="shared" si="66"/>
        <v>0.84254549083497376</v>
      </c>
      <c r="AG161" s="814">
        <f t="shared" si="74"/>
        <v>0</v>
      </c>
      <c r="AH161" s="175">
        <f t="shared" si="67"/>
        <v>6</v>
      </c>
      <c r="AI161" s="224">
        <f t="shared" si="68"/>
        <v>0.84254549083497376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8">
        <v>51.249000000000002</v>
      </c>
      <c r="C162" s="843"/>
      <c r="D162" s="392">
        <f t="shared" si="50"/>
        <v>52.847695148588414</v>
      </c>
      <c r="E162" s="384">
        <f t="shared" si="72"/>
        <v>54.941147624789579</v>
      </c>
      <c r="F162" s="384">
        <f t="shared" si="51"/>
        <v>54.960704782415895</v>
      </c>
      <c r="G162" s="110">
        <f t="shared" si="73"/>
        <v>0.90917776020128993</v>
      </c>
      <c r="H162" s="413" t="b">
        <f>Wh_hp&gt;='2021'!Maxi_hp</f>
        <v>0</v>
      </c>
      <c r="I162" s="379">
        <f>IF(H162,Wh_hp,'2021'!Maxi_hp)</f>
        <v>58.893102499621982</v>
      </c>
      <c r="J162" s="85">
        <f>IF(H162,An,'2021'!An_max)</f>
        <v>2020</v>
      </c>
      <c r="K162" s="196">
        <f t="shared" si="52"/>
        <v>44709</v>
      </c>
      <c r="L162" s="147">
        <f>IF(t&lt;Tvie,1-EXP((T0-t)*PertePVj)+'2021'!Pspv,1-EXP((T0-t)*PertePVj)+Pspv)</f>
        <v>3.0250990967410442E-2</v>
      </c>
      <c r="M162" s="847"/>
      <c r="N162" s="847"/>
      <c r="O162" s="48">
        <f>IF(t&lt;Tnet,'2021'!Resal+('2021'!Salim-'2021'!Resal)*(1-EXP(('2021'!Tnet-t)/('2021'!Tau_j))),Resal+(Salim-Resal)*(1-EXP((Tnet-t)/(Tau_j))))*Salcycl</f>
        <v>3.8103544732957059E-2</v>
      </c>
      <c r="P162" s="338">
        <f>(INDEX(Models!$BJ162:$BT162,,T162)*(1-R162)+INDEX(Models!$BJ162:$BT162,,T162+1)*R162-ERP_i)*Q162*Ramure*Pc/MaxiM</f>
        <v>4.0885853172473164E-4</v>
      </c>
      <c r="Q162" s="304">
        <f t="shared" si="53"/>
        <v>0.5</v>
      </c>
      <c r="R162" s="176">
        <f t="shared" si="54"/>
        <v>0.84540701226389925</v>
      </c>
      <c r="S162" s="814">
        <f t="shared" si="55"/>
        <v>0</v>
      </c>
      <c r="T162" s="175">
        <f t="shared" si="56"/>
        <v>6</v>
      </c>
      <c r="U162" s="250">
        <f t="shared" si="57"/>
        <v>0.84540701226389925</v>
      </c>
      <c r="V162" s="382">
        <f t="shared" si="58"/>
        <v>56.365525064262926</v>
      </c>
      <c r="W162" s="401">
        <f t="shared" si="59"/>
        <v>0</v>
      </c>
      <c r="X162" s="157">
        <f t="shared" si="60"/>
        <v>44709</v>
      </c>
      <c r="Y162" s="384">
        <f t="shared" si="61"/>
        <v>49.760744578313343</v>
      </c>
      <c r="Z162" s="384">
        <f t="shared" si="62"/>
        <v>51.313014104499153</v>
      </c>
      <c r="AA162" s="385">
        <f t="shared" si="63"/>
        <v>54.941147624789579</v>
      </c>
      <c r="AB162" s="196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6.6036726154103914E-2</v>
      </c>
      <c r="AD162" s="230">
        <f>(INDEX(Models!$BJ162:$BT162,,AH162)*(1-AF162)+INDEX(Models!$BJ162:$BT162,,AH162+1)*AF162-ERP_i)*AE162*Ramure*Pc/MaxiM</f>
        <v>4.0885853172473164E-4</v>
      </c>
      <c r="AE162" s="304">
        <f t="shared" si="65"/>
        <v>0.5</v>
      </c>
      <c r="AF162" s="176">
        <f t="shared" si="66"/>
        <v>0.84540701226389925</v>
      </c>
      <c r="AG162" s="814">
        <f t="shared" si="74"/>
        <v>0</v>
      </c>
      <c r="AH162" s="175">
        <f t="shared" si="67"/>
        <v>6</v>
      </c>
      <c r="AI162" s="224">
        <f t="shared" si="68"/>
        <v>0.84540701226389925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8">
        <v>55.942</v>
      </c>
      <c r="C163" s="843"/>
      <c r="D163" s="392">
        <f t="shared" si="50"/>
        <v>57.688353649111832</v>
      </c>
      <c r="E163" s="384">
        <f t="shared" si="72"/>
        <v>59.980816627593278</v>
      </c>
      <c r="F163" s="384">
        <f t="shared" si="51"/>
        <v>60.005838604518864</v>
      </c>
      <c r="G163" s="110">
        <f t="shared" si="73"/>
        <v>0.9930251758361015</v>
      </c>
      <c r="H163" s="413" t="b">
        <f>Wh_hp&gt;='2021'!Maxi_hp</f>
        <v>1</v>
      </c>
      <c r="I163" s="379">
        <f>IF(H163,Wh_hp,'2021'!Maxi_hp)</f>
        <v>60.005838604518864</v>
      </c>
      <c r="J163" s="85">
        <f>IF(H163,An,'2021'!An_max)</f>
        <v>2022</v>
      </c>
      <c r="K163" s="196">
        <f t="shared" si="52"/>
        <v>44710</v>
      </c>
      <c r="L163" s="147">
        <f>IF(t&lt;Tvie,1-EXP((T0-t)*PertePVj)+'2021'!Pspv,1-EXP((T0-t)*PertePVj)+Pspv)</f>
        <v>3.0272204676423754E-2</v>
      </c>
      <c r="M163" s="847"/>
      <c r="N163" s="847"/>
      <c r="O163" s="48">
        <f>IF(t&lt;Tnet,'2021'!Resal+('2021'!Salim-'2021'!Resal)*(1-EXP(('2021'!Tnet-t)/('2021'!Tau_j))),Resal+(Salim-Resal)*(1-EXP((Tnet-t)/(Tau_j))))*Salcycl</f>
        <v>3.8219936095815525E-2</v>
      </c>
      <c r="P163" s="338">
        <f>(INDEX(Models!$BJ163:$BT163,,T163)*(1-R163)+INDEX(Models!$BJ163:$BT163,,T163+1)*R163-ERP_i)*Q163*Ramure*Pc/MaxiM</f>
        <v>4.211865817505705E-4</v>
      </c>
      <c r="Q163" s="304">
        <f t="shared" si="53"/>
        <v>0.5</v>
      </c>
      <c r="R163" s="176">
        <f t="shared" si="54"/>
        <v>0.84829938116263237</v>
      </c>
      <c r="S163" s="814">
        <f t="shared" si="55"/>
        <v>0</v>
      </c>
      <c r="T163" s="175">
        <f t="shared" si="56"/>
        <v>6</v>
      </c>
      <c r="U163" s="250">
        <f t="shared" si="57"/>
        <v>0.84829938116263237</v>
      </c>
      <c r="V163" s="382">
        <f t="shared" si="58"/>
        <v>56.334689825452926</v>
      </c>
      <c r="W163" s="401">
        <f t="shared" si="59"/>
        <v>0</v>
      </c>
      <c r="X163" s="157">
        <f t="shared" si="60"/>
        <v>44710</v>
      </c>
      <c r="Y163" s="384">
        <f t="shared" si="61"/>
        <v>54.317852651853435</v>
      </c>
      <c r="Z163" s="384">
        <f t="shared" si="62"/>
        <v>56.013504937979832</v>
      </c>
      <c r="AA163" s="385">
        <f t="shared" si="63"/>
        <v>59.980816627593278</v>
      </c>
      <c r="AB163" s="196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6.6143008926429769E-2</v>
      </c>
      <c r="AD163" s="230">
        <f>(INDEX(Models!$BJ163:$BT163,,AH163)*(1-AF163)+INDEX(Models!$BJ163:$BT163,,AH163+1)*AF163-ERP_i)*AE163*Ramure*Pc/MaxiM</f>
        <v>4.211865817505705E-4</v>
      </c>
      <c r="AE163" s="304">
        <f t="shared" si="65"/>
        <v>0.5</v>
      </c>
      <c r="AF163" s="176">
        <f t="shared" si="66"/>
        <v>0.84829938116263237</v>
      </c>
      <c r="AG163" s="814">
        <f t="shared" si="74"/>
        <v>0</v>
      </c>
      <c r="AH163" s="175">
        <f t="shared" si="67"/>
        <v>6</v>
      </c>
      <c r="AI163" s="224">
        <f t="shared" si="68"/>
        <v>0.84829938116263237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8">
        <v>47.747</v>
      </c>
      <c r="C164" s="843"/>
      <c r="D164" s="392">
        <f t="shared" si="50"/>
        <v>49.238605659067723</v>
      </c>
      <c r="E164" s="384">
        <f t="shared" si="72"/>
        <v>51.201476555111967</v>
      </c>
      <c r="F164" s="384">
        <f t="shared" si="51"/>
        <v>51.218857910302901</v>
      </c>
      <c r="G164" s="110">
        <f t="shared" si="73"/>
        <v>0.8480084580002899</v>
      </c>
      <c r="H164" s="413" t="b">
        <f>Wh_hp&gt;='2021'!Maxi_hp</f>
        <v>0</v>
      </c>
      <c r="I164" s="379">
        <f>IF(H164,Wh_hp,'2021'!Maxi_hp)</f>
        <v>59.235447555070827</v>
      </c>
      <c r="J164" s="85">
        <f>IF(H164,An,'2021'!An_max)</f>
        <v>2019</v>
      </c>
      <c r="K164" s="196">
        <f t="shared" si="52"/>
        <v>44711</v>
      </c>
      <c r="L164" s="147">
        <f>IF(t&lt;Tvie,1-EXP((T0-t)*PertePVj)+'2021'!Pspv,1-EXP((T0-t)*PertePVj)+Pspv)</f>
        <v>3.0293417920802403E-2</v>
      </c>
      <c r="M164" s="847"/>
      <c r="N164" s="847"/>
      <c r="O164" s="48">
        <f>IF(t&lt;Tnet,'2021'!Resal+('2021'!Salim-'2021'!Resal)*(1-EXP(('2021'!Tnet-t)/('2021'!Tau_j))),Resal+(Salim-Resal)*(1-EXP((Tnet-t)/(Tau_j))))*Salcycl</f>
        <v>3.8336216611477236E-2</v>
      </c>
      <c r="P164" s="338">
        <f>(INDEX(Models!$BJ164:$BT164,,T164)*(1-R164)+INDEX(Models!$BJ164:$BT164,,T164+1)*R164-ERP_i)*Q164*Ramure*Pc/MaxiM</f>
        <v>4.3341235684947471E-4</v>
      </c>
      <c r="Q164" s="304">
        <f t="shared" si="53"/>
        <v>0.5</v>
      </c>
      <c r="R164" s="176">
        <f t="shared" si="54"/>
        <v>0.85122061852668496</v>
      </c>
      <c r="S164" s="814">
        <f t="shared" si="55"/>
        <v>0</v>
      </c>
      <c r="T164" s="175">
        <f t="shared" si="56"/>
        <v>6</v>
      </c>
      <c r="U164" s="250">
        <f t="shared" si="57"/>
        <v>0.85122061852668496</v>
      </c>
      <c r="V164" s="382">
        <f t="shared" si="58"/>
        <v>56.299565233650995</v>
      </c>
      <c r="W164" s="401">
        <f t="shared" si="59"/>
        <v>0</v>
      </c>
      <c r="X164" s="157">
        <f t="shared" si="60"/>
        <v>44711</v>
      </c>
      <c r="Y164" s="384">
        <f t="shared" si="61"/>
        <v>46.361115473573214</v>
      </c>
      <c r="Z164" s="384">
        <f t="shared" si="62"/>
        <v>47.809426408314124</v>
      </c>
      <c r="AA164" s="385">
        <f t="shared" si="63"/>
        <v>51.201476555111967</v>
      </c>
      <c r="AB164" s="196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6.6249068874932343E-2</v>
      </c>
      <c r="AD164" s="230">
        <f>(INDEX(Models!$BJ164:$BT164,,AH164)*(1-AF164)+INDEX(Models!$BJ164:$BT164,,AH164+1)*AF164-ERP_i)*AE164*Ramure*Pc/MaxiM</f>
        <v>4.3341235684947471E-4</v>
      </c>
      <c r="AE164" s="304">
        <f t="shared" si="65"/>
        <v>0.5</v>
      </c>
      <c r="AF164" s="176">
        <f t="shared" si="66"/>
        <v>0.85122061852668496</v>
      </c>
      <c r="AG164" s="814">
        <f t="shared" si="74"/>
        <v>0</v>
      </c>
      <c r="AH164" s="175">
        <f t="shared" si="67"/>
        <v>6</v>
      </c>
      <c r="AI164" s="224">
        <f t="shared" si="68"/>
        <v>0.85122061852668496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8">
        <v>53.170999999999999</v>
      </c>
      <c r="C165" s="843"/>
      <c r="D165" s="392">
        <f t="shared" si="50"/>
        <v>54.833249715228554</v>
      </c>
      <c r="E165" s="384">
        <f t="shared" si="72"/>
        <v>57.026034904717328</v>
      </c>
      <c r="F165" s="384">
        <f t="shared" si="51"/>
        <v>57.04945901755724</v>
      </c>
      <c r="G165" s="110">
        <f t="shared" si="73"/>
        <v>0.94505177493334225</v>
      </c>
      <c r="H165" s="413" t="b">
        <f>Wh_hp&gt;='2021'!Maxi_hp</f>
        <v>0</v>
      </c>
      <c r="I165" s="379">
        <f>IF(H165,Wh_hp,'2021'!Maxi_hp)</f>
        <v>60.201047487090179</v>
      </c>
      <c r="J165" s="85">
        <f>IF(H165,An,'2021'!An_max)</f>
        <v>2019</v>
      </c>
      <c r="K165" s="196">
        <f t="shared" si="52"/>
        <v>44712</v>
      </c>
      <c r="L165" s="147">
        <f>IF(t&lt;Tvie,1-EXP((T0-t)*PertePVj)+'2021'!Pspv,1-EXP((T0-t)*PertePVj)+Pspv)</f>
        <v>3.0314630700556601E-2</v>
      </c>
      <c r="M165" s="847"/>
      <c r="N165" s="847"/>
      <c r="O165" s="48">
        <f>IF(t&lt;Tnet,'2021'!Resal+('2021'!Salim-'2021'!Resal)*(1-EXP(('2021'!Tnet-t)/('2021'!Tau_j))),Resal+(Salim-Resal)*(1-EXP((Tnet-t)/(Tau_j))))*Salcycl</f>
        <v>3.8452352388739938E-2</v>
      </c>
      <c r="P165" s="338">
        <f>(INDEX(Models!$BJ165:$BT165,,T165)*(1-R165)+INDEX(Models!$BJ165:$BT165,,T165+1)*R165-ERP_i)*Q165*Ramure*Pc/MaxiM</f>
        <v>4.455462956329946E-4</v>
      </c>
      <c r="Q165" s="304">
        <f t="shared" si="53"/>
        <v>0.5</v>
      </c>
      <c r="R165" s="176">
        <f t="shared" si="54"/>
        <v>0.8541686564564609</v>
      </c>
      <c r="S165" s="814">
        <f t="shared" si="55"/>
        <v>0</v>
      </c>
      <c r="T165" s="175">
        <f t="shared" si="56"/>
        <v>6</v>
      </c>
      <c r="U165" s="250">
        <f t="shared" si="57"/>
        <v>0.8541686564564609</v>
      </c>
      <c r="V165" s="382">
        <f t="shared" si="58"/>
        <v>56.260558573829087</v>
      </c>
      <c r="W165" s="401">
        <f t="shared" si="59"/>
        <v>0</v>
      </c>
      <c r="X165" s="157">
        <f t="shared" si="60"/>
        <v>44712</v>
      </c>
      <c r="Y165" s="384">
        <f t="shared" si="61"/>
        <v>51.628066966150868</v>
      </c>
      <c r="Z165" s="384">
        <f t="shared" si="62"/>
        <v>53.242080989063453</v>
      </c>
      <c r="AA165" s="385">
        <f t="shared" si="63"/>
        <v>57.026034904717328</v>
      </c>
      <c r="AB165" s="196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6.635484865774631E-2</v>
      </c>
      <c r="AD165" s="230">
        <f>(INDEX(Models!$BJ165:$BT165,,AH165)*(1-AF165)+INDEX(Models!$BJ165:$BT165,,AH165+1)*AF165-ERP_i)*AE165*Ramure*Pc/MaxiM</f>
        <v>4.455462956329946E-4</v>
      </c>
      <c r="AE165" s="304">
        <f t="shared" si="65"/>
        <v>0.5</v>
      </c>
      <c r="AF165" s="176">
        <f t="shared" si="66"/>
        <v>0.8541686564564609</v>
      </c>
      <c r="AG165" s="814">
        <f t="shared" si="74"/>
        <v>0</v>
      </c>
      <c r="AH165" s="175">
        <f t="shared" si="67"/>
        <v>6</v>
      </c>
      <c r="AI165" s="224">
        <f t="shared" si="68"/>
        <v>0.8541686564564609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8">
        <v>53.576999999999998</v>
      </c>
      <c r="C166" s="843"/>
      <c r="D166" s="392">
        <f t="shared" si="50"/>
        <v>55.253150912194933</v>
      </c>
      <c r="E166" s="384">
        <f t="shared" si="72"/>
        <v>57.469658484052509</v>
      </c>
      <c r="F166" s="384">
        <f t="shared" si="51"/>
        <v>57.494200860365737</v>
      </c>
      <c r="G166" s="110">
        <f t="shared" si="73"/>
        <v>0.95299155992452489</v>
      </c>
      <c r="H166" s="413" t="b">
        <f>Wh_hp&gt;='2021'!Maxi_hp</f>
        <v>0</v>
      </c>
      <c r="I166" s="379">
        <f>IF(H166,Wh_hp,'2021'!Maxi_hp)</f>
        <v>61.029409506694016</v>
      </c>
      <c r="J166" s="85">
        <f>IF(H166,An,'2021'!An_max)</f>
        <v>2019</v>
      </c>
      <c r="K166" s="196">
        <f t="shared" si="52"/>
        <v>44713</v>
      </c>
      <c r="L166" s="147">
        <f>IF(t&lt;Tvie,1-EXP((T0-t)*PertePVj)+'2021'!Pspv,1-EXP((T0-t)*PertePVj)+Pspv)</f>
        <v>3.0335843015696452E-2</v>
      </c>
      <c r="M166" s="847"/>
      <c r="N166" s="847"/>
      <c r="O166" s="48">
        <f>IF(t&lt;Tnet,'2021'!Resal+('2021'!Salim-'2021'!Resal)*(1-EXP(('2021'!Tnet-t)/('2021'!Tau_j))),Resal+(Salim-Resal)*(1-EXP((Tnet-t)/(Tau_j))))*Salcycl</f>
        <v>3.8568309440583232E-2</v>
      </c>
      <c r="P166" s="338">
        <f>(INDEX(Models!$BJ166:$BT166,,T166)*(1-R166)+INDEX(Models!$BJ166:$BT166,,T166+1)*R166-ERP_i)*Q166*Ramure*Pc/MaxiM</f>
        <v>4.5757634869173511E-4</v>
      </c>
      <c r="Q166" s="304">
        <f t="shared" si="53"/>
        <v>0.5</v>
      </c>
      <c r="R166" s="176">
        <f t="shared" si="54"/>
        <v>0.8571413433027103</v>
      </c>
      <c r="S166" s="814">
        <f t="shared" si="55"/>
        <v>0</v>
      </c>
      <c r="T166" s="175">
        <f t="shared" si="56"/>
        <v>6</v>
      </c>
      <c r="U166" s="250">
        <f t="shared" si="57"/>
        <v>0.8571413433027103</v>
      </c>
      <c r="V166" s="382">
        <f t="shared" si="58"/>
        <v>56.218078139287428</v>
      </c>
      <c r="W166" s="401">
        <f t="shared" si="59"/>
        <v>0</v>
      </c>
      <c r="X166" s="157">
        <f t="shared" si="60"/>
        <v>44713</v>
      </c>
      <c r="Y166" s="384">
        <f t="shared" si="61"/>
        <v>52.022683957190701</v>
      </c>
      <c r="Z166" s="384">
        <f t="shared" si="62"/>
        <v>53.650208252497897</v>
      </c>
      <c r="AA166" s="385">
        <f t="shared" si="63"/>
        <v>57.469658484052509</v>
      </c>
      <c r="AB166" s="196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6.6460291087591689E-2</v>
      </c>
      <c r="AD166" s="230">
        <f>(INDEX(Models!$BJ166:$BT166,,AH166)*(1-AF166)+INDEX(Models!$BJ166:$BT166,,AH166+1)*AF166-ERP_i)*AE166*Ramure*Pc/MaxiM</f>
        <v>4.5757634869173511E-4</v>
      </c>
      <c r="AE166" s="304">
        <f t="shared" si="65"/>
        <v>0.5</v>
      </c>
      <c r="AF166" s="176">
        <f t="shared" si="66"/>
        <v>0.8571413433027103</v>
      </c>
      <c r="AG166" s="814">
        <f t="shared" si="74"/>
        <v>0</v>
      </c>
      <c r="AH166" s="175">
        <f t="shared" si="67"/>
        <v>6</v>
      </c>
      <c r="AI166" s="224">
        <f t="shared" si="68"/>
        <v>0.8571413433027103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8">
        <v>42.133000000000003</v>
      </c>
      <c r="C167" s="843"/>
      <c r="D167" s="392">
        <f t="shared" si="50"/>
        <v>43.452077088218807</v>
      </c>
      <c r="E167" s="384">
        <f t="shared" si="72"/>
        <v>45.200620316767285</v>
      </c>
      <c r="F167" s="384">
        <f t="shared" si="51"/>
        <v>45.214268599133042</v>
      </c>
      <c r="G167" s="110">
        <f t="shared" si="73"/>
        <v>0.7499383334369436</v>
      </c>
      <c r="H167" s="413" t="b">
        <f>Wh_hp&gt;='2021'!Maxi_hp</f>
        <v>0</v>
      </c>
      <c r="I167" s="379">
        <f>IF(H167,Wh_hp,'2021'!Maxi_hp)</f>
        <v>60.469553797129123</v>
      </c>
      <c r="J167" s="85">
        <f>IF(H167,An,'2021'!An_max)</f>
        <v>2019</v>
      </c>
      <c r="K167" s="196">
        <f t="shared" si="52"/>
        <v>44714</v>
      </c>
      <c r="L167" s="147">
        <f>IF(t&lt;Tvie,1-EXP((T0-t)*PertePVj)+'2021'!Pspv,1-EXP((T0-t)*PertePVj)+Pspv)</f>
        <v>3.035705486623206E-2</v>
      </c>
      <c r="M167" s="847"/>
      <c r="N167" s="847"/>
      <c r="O167" s="48">
        <f>IF(t&lt;Tnet,'2021'!Resal+('2021'!Salim-'2021'!Resal)*(1-EXP(('2021'!Tnet-t)/('2021'!Tau_j))),Resal+(Salim-Resal)*(1-EXP((Tnet-t)/(Tau_j))))*Salcycl</f>
        <v>3.8684053809320169E-2</v>
      </c>
      <c r="P167" s="338">
        <f>(INDEX(Models!$BJ167:$BT167,,T167)*(1-R167)+INDEX(Models!$BJ167:$BT167,,T167+1)*R167-ERP_i)*Q167*Ramure*Pc/MaxiM</f>
        <v>4.6948978871050572E-4</v>
      </c>
      <c r="Q167" s="304">
        <f t="shared" si="53"/>
        <v>0.5</v>
      </c>
      <c r="R167" s="176">
        <f t="shared" si="54"/>
        <v>0.86013644935135791</v>
      </c>
      <c r="S167" s="814">
        <f t="shared" si="55"/>
        <v>0</v>
      </c>
      <c r="T167" s="175">
        <f t="shared" si="56"/>
        <v>6</v>
      </c>
      <c r="U167" s="250">
        <f t="shared" si="57"/>
        <v>0.86013644935135791</v>
      </c>
      <c r="V167" s="382">
        <f t="shared" si="58"/>
        <v>56.172531997763222</v>
      </c>
      <c r="W167" s="401">
        <f t="shared" si="59"/>
        <v>0</v>
      </c>
      <c r="X167" s="157">
        <f t="shared" si="60"/>
        <v>44714</v>
      </c>
      <c r="Y167" s="384">
        <f t="shared" si="61"/>
        <v>40.911006119552376</v>
      </c>
      <c r="Z167" s="384">
        <f t="shared" si="62"/>
        <v>42.1918256868341</v>
      </c>
      <c r="AA167" s="385">
        <f t="shared" si="63"/>
        <v>45.200620316767285</v>
      </c>
      <c r="AB167" s="196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6.6565339343740371E-2</v>
      </c>
      <c r="AD167" s="230">
        <f>(INDEX(Models!$BJ167:$BT167,,AH167)*(1-AF167)+INDEX(Models!$BJ167:$BT167,,AH167+1)*AF167-ERP_i)*AE167*Ramure*Pc/MaxiM</f>
        <v>4.6948978871050572E-4</v>
      </c>
      <c r="AE167" s="304">
        <f t="shared" si="65"/>
        <v>0.5</v>
      </c>
      <c r="AF167" s="176">
        <f t="shared" si="66"/>
        <v>0.86013644935135791</v>
      </c>
      <c r="AG167" s="814">
        <f t="shared" si="74"/>
        <v>0</v>
      </c>
      <c r="AH167" s="175">
        <f t="shared" si="67"/>
        <v>6</v>
      </c>
      <c r="AI167" s="224">
        <f t="shared" si="68"/>
        <v>0.86013644935135791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8">
        <v>52.326999999999998</v>
      </c>
      <c r="C168" s="843"/>
      <c r="D168" s="392">
        <f t="shared" si="50"/>
        <v>53.966405845445827</v>
      </c>
      <c r="E168" s="384">
        <f t="shared" si="72"/>
        <v>56.144798871623387</v>
      </c>
      <c r="F168" s="384">
        <f t="shared" si="51"/>
        <v>56.169218736647579</v>
      </c>
      <c r="G168" s="110">
        <f t="shared" si="73"/>
        <v>0.93229739538925893</v>
      </c>
      <c r="H168" s="413" t="b">
        <f>Wh_hp&gt;='2021'!Maxi_hp</f>
        <v>0</v>
      </c>
      <c r="I168" s="379">
        <f>IF(H168,Wh_hp,'2021'!Maxi_hp)</f>
        <v>57.408695514870161</v>
      </c>
      <c r="J168" s="85">
        <f>IF(H168,An,'2021'!An_max)</f>
        <v>2020</v>
      </c>
      <c r="K168" s="196">
        <f t="shared" si="52"/>
        <v>44715</v>
      </c>
      <c r="L168" s="147">
        <f>IF(t&lt;Tvie,1-EXP((T0-t)*PertePVj)+'2021'!Pspv,1-EXP((T0-t)*PertePVj)+Pspv)</f>
        <v>3.0378266252173859E-2</v>
      </c>
      <c r="M168" s="847"/>
      <c r="N168" s="847"/>
      <c r="O168" s="48">
        <f>IF(t&lt;Tnet,'2021'!Resal+('2021'!Salim-'2021'!Resal)*(1-EXP(('2021'!Tnet-t)/('2021'!Tau_j))),Resal+(Salim-Resal)*(1-EXP((Tnet-t)/(Tau_j))))*Salcycl</f>
        <v>3.879955169415629E-2</v>
      </c>
      <c r="P168" s="338">
        <f>(INDEX(Models!$BJ168:$BT168,,T168)*(1-R168)+INDEX(Models!$BJ168:$BT168,,T168+1)*R168-ERP_i)*Q168*Ramure*Pc/MaxiM</f>
        <v>4.8127324827738026E-4</v>
      </c>
      <c r="Q168" s="304">
        <f t="shared" si="53"/>
        <v>0.5</v>
      </c>
      <c r="R168" s="176">
        <f t="shared" si="54"/>
        <v>0.86315167302072104</v>
      </c>
      <c r="S168" s="814">
        <f t="shared" si="55"/>
        <v>0</v>
      </c>
      <c r="T168" s="175">
        <f t="shared" si="56"/>
        <v>6</v>
      </c>
      <c r="U168" s="250">
        <f t="shared" si="57"/>
        <v>0.86315167302072104</v>
      </c>
      <c r="V168" s="382">
        <f t="shared" si="58"/>
        <v>56.124327982567046</v>
      </c>
      <c r="W168" s="401">
        <f t="shared" si="59"/>
        <v>0</v>
      </c>
      <c r="X168" s="157">
        <f t="shared" si="60"/>
        <v>44715</v>
      </c>
      <c r="Y168" s="384">
        <f t="shared" si="61"/>
        <v>50.809758030106323</v>
      </c>
      <c r="Z168" s="384">
        <f t="shared" si="62"/>
        <v>52.401628657511758</v>
      </c>
      <c r="AA168" s="385">
        <f t="shared" si="63"/>
        <v>56.144798871623387</v>
      </c>
      <c r="AB168" s="196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6.6669937186354444E-2</v>
      </c>
      <c r="AD168" s="230">
        <f>(INDEX(Models!$BJ168:$BT168,,AH168)*(1-AF168)+INDEX(Models!$BJ168:$BT168,,AH168+1)*AF168-ERP_i)*AE168*Ramure*Pc/MaxiM</f>
        <v>4.8127324827738026E-4</v>
      </c>
      <c r="AE168" s="304">
        <f t="shared" si="65"/>
        <v>0.5</v>
      </c>
      <c r="AF168" s="176">
        <f t="shared" si="66"/>
        <v>0.86315167302072104</v>
      </c>
      <c r="AG168" s="814">
        <f t="shared" si="74"/>
        <v>0</v>
      </c>
      <c r="AH168" s="175">
        <f t="shared" si="67"/>
        <v>6</v>
      </c>
      <c r="AI168" s="224">
        <f t="shared" si="68"/>
        <v>0.86315167302072104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8">
        <v>28.859000000000002</v>
      </c>
      <c r="C169" s="843"/>
      <c r="D169" s="392">
        <f t="shared" si="50"/>
        <v>29.763804082812946</v>
      </c>
      <c r="E169" s="384">
        <f t="shared" si="72"/>
        <v>30.968953783440838</v>
      </c>
      <c r="F169" s="384">
        <f t="shared" si="51"/>
        <v>30.973635617965055</v>
      </c>
      <c r="G169" s="110">
        <f t="shared" si="73"/>
        <v>0.51448444424157846</v>
      </c>
      <c r="H169" s="413" t="b">
        <f>Wh_hp&gt;='2021'!Maxi_hp</f>
        <v>0</v>
      </c>
      <c r="I169" s="379">
        <f>IF(H169,Wh_hp,'2021'!Maxi_hp)</f>
        <v>56.649023658356676</v>
      </c>
      <c r="J169" s="85">
        <f>IF(H169,An,'2021'!An_max)</f>
        <v>2019</v>
      </c>
      <c r="K169" s="196">
        <f t="shared" si="52"/>
        <v>44716</v>
      </c>
      <c r="L169" s="147">
        <f>IF(t&lt;Tvie,1-EXP((T0-t)*PertePVj)+'2021'!Pspv,1-EXP((T0-t)*PertePVj)+Pspv)</f>
        <v>3.0399477173531732E-2</v>
      </c>
      <c r="M169" s="847"/>
      <c r="N169" s="847"/>
      <c r="O169" s="48">
        <f>IF(t&lt;Tnet,'2021'!Resal+('2021'!Salim-'2021'!Resal)*(1-EXP(('2021'!Tnet-t)/('2021'!Tau_j))),Resal+(Salim-Resal)*(1-EXP((Tnet-t)/(Tau_j))))*Salcycl</f>
        <v>3.8914769580375319E-2</v>
      </c>
      <c r="P169" s="338">
        <f>(INDEX(Models!$BJ169:$BT169,,T169)*(1-R169)+INDEX(Models!$BJ169:$BT169,,T169+1)*R169-ERP_i)*Q169*Ramure*Pc/MaxiM</f>
        <v>4.9291276138493955E-4</v>
      </c>
      <c r="Q169" s="304">
        <f t="shared" si="53"/>
        <v>0.5</v>
      </c>
      <c r="R169" s="176">
        <f t="shared" si="54"/>
        <v>0.86618464753851687</v>
      </c>
      <c r="S169" s="814">
        <f t="shared" si="55"/>
        <v>0</v>
      </c>
      <c r="T169" s="175">
        <f t="shared" si="56"/>
        <v>6</v>
      </c>
      <c r="U169" s="250">
        <f t="shared" si="57"/>
        <v>0.86618464753851687</v>
      </c>
      <c r="V169" s="382">
        <f t="shared" si="58"/>
        <v>56.073873677342455</v>
      </c>
      <c r="W169" s="401">
        <f t="shared" si="59"/>
        <v>0</v>
      </c>
      <c r="X169" s="157">
        <f t="shared" si="60"/>
        <v>44716</v>
      </c>
      <c r="Y169" s="384">
        <f t="shared" si="61"/>
        <v>28.022455698721586</v>
      </c>
      <c r="Z169" s="384">
        <f t="shared" si="62"/>
        <v>28.90103196008366</v>
      </c>
      <c r="AA169" s="385">
        <f t="shared" si="63"/>
        <v>30.968953783440838</v>
      </c>
      <c r="AB169" s="196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6.6774029171850782E-2</v>
      </c>
      <c r="AD169" s="230">
        <f>(INDEX(Models!$BJ169:$BT169,,AH169)*(1-AF169)+INDEX(Models!$BJ169:$BT169,,AH169+1)*AF169-ERP_i)*AE169*Ramure*Pc/MaxiM</f>
        <v>4.9291276138493955E-4</v>
      </c>
      <c r="AE169" s="304">
        <f t="shared" si="65"/>
        <v>0.5</v>
      </c>
      <c r="AF169" s="176">
        <f t="shared" si="66"/>
        <v>0.86618464753851687</v>
      </c>
      <c r="AG169" s="814">
        <f t="shared" si="74"/>
        <v>0</v>
      </c>
      <c r="AH169" s="175">
        <f t="shared" si="67"/>
        <v>6</v>
      </c>
      <c r="AI169" s="224">
        <f t="shared" si="68"/>
        <v>0.86618464753851687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8">
        <v>29.760999999999999</v>
      </c>
      <c r="C170" s="843"/>
      <c r="D170" s="392">
        <f t="shared" si="50"/>
        <v>30.694755571117881</v>
      </c>
      <c r="E170" s="384">
        <f t="shared" ref="E170:E232" si="75">Wh_pvt/(1-Psa)</f>
        <v>31.941418743574246</v>
      </c>
      <c r="F170" s="384">
        <f t="shared" si="51"/>
        <v>31.946739858272853</v>
      </c>
      <c r="G170" s="110">
        <f t="shared" ref="G170:G232" si="76">+Wh_hp/MaxiM</f>
        <v>0.53106224457430251</v>
      </c>
      <c r="H170" s="413" t="b">
        <f>Wh_hp&gt;='2021'!Maxi_hp</f>
        <v>0</v>
      </c>
      <c r="I170" s="379">
        <f>IF(H170,Wh_hp,'2021'!Maxi_hp)</f>
        <v>43.624994616930465</v>
      </c>
      <c r="J170" s="85">
        <f>IF(H170,An,'2021'!An_max)</f>
        <v>2021</v>
      </c>
      <c r="K170" s="196">
        <f t="shared" si="52"/>
        <v>44717</v>
      </c>
      <c r="L170" s="147">
        <f>IF(t&lt;Tvie,1-EXP((T0-t)*PertePVj)+'2021'!Pspv,1-EXP((T0-t)*PertePVj)+Pspv)</f>
        <v>3.0420687630316114E-2</v>
      </c>
      <c r="M170" s="847"/>
      <c r="N170" s="847"/>
      <c r="O170" s="48">
        <f>IF(t&lt;Tnet,'2021'!Resal+('2021'!Salim-'2021'!Resal)*(1-EXP(('2021'!Tnet-t)/('2021'!Tau_j))),Resal+(Salim-Resal)*(1-EXP((Tnet-t)/(Tau_j))))*Salcycl</f>
        <v>3.9029674369337825E-2</v>
      </c>
      <c r="P170" s="338">
        <f>(INDEX(Models!$BJ170:$BT170,,T170)*(1-R170)+INDEX(Models!$BJ170:$BT170,,T170+1)*R170-ERP_i)*Q170*Ramure*Pc/MaxiM</f>
        <v>5.0420606438703421E-4</v>
      </c>
      <c r="Q170" s="304">
        <f t="shared" si="53"/>
        <v>0.5</v>
      </c>
      <c r="R170" s="176">
        <f t="shared" si="54"/>
        <v>0.86923294806068008</v>
      </c>
      <c r="S170" s="814">
        <f t="shared" si="55"/>
        <v>0</v>
      </c>
      <c r="T170" s="175">
        <f t="shared" si="56"/>
        <v>6</v>
      </c>
      <c r="U170" s="250">
        <f t="shared" si="57"/>
        <v>0.86923294806068008</v>
      </c>
      <c r="V170" s="382">
        <f t="shared" si="58"/>
        <v>56.021586935708513</v>
      </c>
      <c r="W170" s="401">
        <f t="shared" si="59"/>
        <v>0</v>
      </c>
      <c r="X170" s="157">
        <f t="shared" si="60"/>
        <v>44717</v>
      </c>
      <c r="Y170" s="384">
        <f t="shared" si="61"/>
        <v>28.898558228408408</v>
      </c>
      <c r="Z170" s="384">
        <f t="shared" si="62"/>
        <v>29.805254567343621</v>
      </c>
      <c r="AA170" s="385">
        <f t="shared" si="63"/>
        <v>31.941418743574246</v>
      </c>
      <c r="AB170" s="196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6.6877560867904862E-2</v>
      </c>
      <c r="AD170" s="230">
        <f>(INDEX(Models!$BJ170:$BT170,,AH170)*(1-AF170)+INDEX(Models!$BJ170:$BT170,,AH170+1)*AF170-ERP_i)*AE170*Ramure*Pc/MaxiM</f>
        <v>5.0420606438703421E-4</v>
      </c>
      <c r="AE170" s="304">
        <f t="shared" si="65"/>
        <v>0.5</v>
      </c>
      <c r="AF170" s="176">
        <f t="shared" si="66"/>
        <v>0.86923294806068008</v>
      </c>
      <c r="AG170" s="814">
        <f t="shared" si="74"/>
        <v>0</v>
      </c>
      <c r="AH170" s="175">
        <f t="shared" si="67"/>
        <v>6</v>
      </c>
      <c r="AI170" s="224">
        <f t="shared" si="68"/>
        <v>0.86923294806068008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8">
        <v>42.210999999999999</v>
      </c>
      <c r="C171" s="843"/>
      <c r="D171" s="392">
        <f t="shared" si="50"/>
        <v>43.536328453647066</v>
      </c>
      <c r="E171" s="384">
        <f t="shared" si="75"/>
        <v>45.309951786640084</v>
      </c>
      <c r="F171" s="384">
        <f t="shared" si="51"/>
        <v>45.325105045218677</v>
      </c>
      <c r="G171" s="110">
        <f t="shared" si="76"/>
        <v>0.75406409924041973</v>
      </c>
      <c r="H171" s="413" t="b">
        <f>Wh_hp&gt;='2021'!Maxi_hp</f>
        <v>0</v>
      </c>
      <c r="I171" s="379">
        <f>IF(H171,Wh_hp,'2021'!Maxi_hp)</f>
        <v>58.308075737012821</v>
      </c>
      <c r="J171" s="85">
        <f>IF(H171,An,'2021'!An_max)</f>
        <v>2019</v>
      </c>
      <c r="K171" s="196">
        <f t="shared" si="52"/>
        <v>44718</v>
      </c>
      <c r="L171" s="147">
        <f>IF(t&lt;Tvie,1-EXP((T0-t)*PertePVj)+'2021'!Pspv,1-EXP((T0-t)*PertePVj)+Pspv)</f>
        <v>3.0441897622536997E-2</v>
      </c>
      <c r="M171" s="847"/>
      <c r="N171" s="847"/>
      <c r="O171" s="48">
        <f>IF(t&lt;Tnet,'2021'!Resal+('2021'!Salim-'2021'!Resal)*(1-EXP(('2021'!Tnet-t)/('2021'!Tau_j))),Resal+(Salim-Resal)*(1-EXP((Tnet-t)/(Tau_j))))*Salcycl</f>
        <v>3.9144233508453787E-2</v>
      </c>
      <c r="P171" s="338">
        <f>(INDEX(Models!$BJ171:$BT171,,T171)*(1-R171)+INDEX(Models!$BJ171:$BT171,,T171+1)*R171-ERP_i)*Q171*Ramure*Pc/MaxiM</f>
        <v>5.1524946810512081E-4</v>
      </c>
      <c r="Q171" s="304">
        <f t="shared" si="53"/>
        <v>0.5</v>
      </c>
      <c r="R171" s="176">
        <f t="shared" si="54"/>
        <v>0.87229409918896406</v>
      </c>
      <c r="S171" s="814">
        <f t="shared" si="55"/>
        <v>0</v>
      </c>
      <c r="T171" s="175">
        <f t="shared" si="56"/>
        <v>6</v>
      </c>
      <c r="U171" s="250">
        <f t="shared" si="57"/>
        <v>0.87229409918896406</v>
      </c>
      <c r="V171" s="382">
        <f t="shared" si="58"/>
        <v>55.967868557126472</v>
      </c>
      <c r="W171" s="401">
        <f t="shared" si="59"/>
        <v>0</v>
      </c>
      <c r="X171" s="157">
        <f t="shared" si="60"/>
        <v>44718</v>
      </c>
      <c r="Y171" s="384">
        <f t="shared" si="61"/>
        <v>40.988136171489451</v>
      </c>
      <c r="Z171" s="384">
        <f t="shared" si="62"/>
        <v>42.275069509482762</v>
      </c>
      <c r="AA171" s="385">
        <f t="shared" si="63"/>
        <v>45.309951786640084</v>
      </c>
      <c r="AB171" s="196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6.6980479066679866E-2</v>
      </c>
      <c r="AD171" s="230">
        <f>(INDEX(Models!$BJ171:$BT171,,AH171)*(1-AF171)+INDEX(Models!$BJ171:$BT171,,AH171+1)*AF171-ERP_i)*AE171*Ramure*Pc/MaxiM</f>
        <v>5.1524946810512081E-4</v>
      </c>
      <c r="AE171" s="304">
        <f t="shared" si="65"/>
        <v>0.5</v>
      </c>
      <c r="AF171" s="176">
        <f t="shared" si="66"/>
        <v>0.87229409918896406</v>
      </c>
      <c r="AG171" s="814">
        <f t="shared" si="74"/>
        <v>0</v>
      </c>
      <c r="AH171" s="175">
        <f t="shared" si="67"/>
        <v>6</v>
      </c>
      <c r="AI171" s="224">
        <f t="shared" si="68"/>
        <v>0.87229409918896406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8">
        <v>28.344000000000001</v>
      </c>
      <c r="C172" s="843"/>
      <c r="D172" s="392">
        <f t="shared" si="50"/>
        <v>29.234576021844244</v>
      </c>
      <c r="E172" s="384">
        <f t="shared" si="75"/>
        <v>30.429177295894814</v>
      </c>
      <c r="F172" s="384">
        <f t="shared" si="51"/>
        <v>30.433909774704386</v>
      </c>
      <c r="G172" s="110">
        <f t="shared" si="76"/>
        <v>0.50674141321476185</v>
      </c>
      <c r="H172" s="413" t="b">
        <f>Wh_hp&gt;='2021'!Maxi_hp</f>
        <v>0</v>
      </c>
      <c r="I172" s="379">
        <f>IF(H172,Wh_hp,'2021'!Maxi_hp)</f>
        <v>53.888415995131361</v>
      </c>
      <c r="J172" s="85">
        <f>IF(H172,An,'2021'!An_max)</f>
        <v>2021</v>
      </c>
      <c r="K172" s="196">
        <f t="shared" si="52"/>
        <v>44719</v>
      </c>
      <c r="L172" s="147">
        <f>IF(t&lt;Tvie,1-EXP((T0-t)*PertePVj)+'2021'!Pspv,1-EXP((T0-t)*PertePVj)+Pspv)</f>
        <v>3.0463107150204595E-2</v>
      </c>
      <c r="M172" s="847"/>
      <c r="N172" s="847"/>
      <c r="O172" s="48">
        <f>IF(t&lt;Tnet,'2021'!Resal+('2021'!Salim-'2021'!Resal)*(1-EXP(('2021'!Tnet-t)/('2021'!Tau_j))),Resal+(Salim-Resal)*(1-EXP((Tnet-t)/(Tau_j))))*Salcycl</f>
        <v>3.9258415120271131E-2</v>
      </c>
      <c r="P172" s="338">
        <f>(INDEX(Models!$BJ172:$BT172,,T172)*(1-R172)+INDEX(Models!$BJ172:$BT172,,T172+1)*R172-ERP_i)*Q172*Ramure*Pc/MaxiM</f>
        <v>5.2602579081659424E-4</v>
      </c>
      <c r="Q172" s="304">
        <f t="shared" si="53"/>
        <v>0.5</v>
      </c>
      <c r="R172" s="176">
        <f t="shared" si="54"/>
        <v>0.8753655828396596</v>
      </c>
      <c r="S172" s="814">
        <f t="shared" si="55"/>
        <v>0</v>
      </c>
      <c r="T172" s="175">
        <f t="shared" si="56"/>
        <v>6</v>
      </c>
      <c r="U172" s="250">
        <f t="shared" si="57"/>
        <v>0.8753655828396596</v>
      </c>
      <c r="V172" s="382">
        <f t="shared" si="58"/>
        <v>55.913125413081389</v>
      </c>
      <c r="W172" s="401">
        <f t="shared" si="59"/>
        <v>0</v>
      </c>
      <c r="X172" s="157">
        <f t="shared" si="60"/>
        <v>44719</v>
      </c>
      <c r="Y172" s="384">
        <f t="shared" si="61"/>
        <v>27.523121160252732</v>
      </c>
      <c r="Z172" s="384">
        <f t="shared" si="62"/>
        <v>28.387904950530569</v>
      </c>
      <c r="AA172" s="385">
        <f t="shared" si="63"/>
        <v>30.429177295894814</v>
      </c>
      <c r="AB172" s="196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6.7082731994848613E-2</v>
      </c>
      <c r="AD172" s="230">
        <f>(INDEX(Models!$BJ172:$BT172,,AH172)*(1-AF172)+INDEX(Models!$BJ172:$BT172,,AH172+1)*AF172-ERP_i)*AE172*Ramure*Pc/MaxiM</f>
        <v>5.2602579081659424E-4</v>
      </c>
      <c r="AE172" s="304">
        <f t="shared" si="65"/>
        <v>0.5</v>
      </c>
      <c r="AF172" s="176">
        <f t="shared" si="66"/>
        <v>0.8753655828396596</v>
      </c>
      <c r="AG172" s="814">
        <f t="shared" si="74"/>
        <v>0</v>
      </c>
      <c r="AH172" s="175">
        <f t="shared" si="67"/>
        <v>6</v>
      </c>
      <c r="AI172" s="224">
        <f t="shared" si="68"/>
        <v>0.8753655828396596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8">
        <v>21.298000000000002</v>
      </c>
      <c r="C173" s="843"/>
      <c r="D173" s="392">
        <f t="shared" si="50"/>
        <v>21.967669379845066</v>
      </c>
      <c r="E173" s="384">
        <f t="shared" si="75"/>
        <v>22.86803391323588</v>
      </c>
      <c r="F173" s="384">
        <f t="shared" si="51"/>
        <v>22.869458792934246</v>
      </c>
      <c r="G173" s="110">
        <f t="shared" si="76"/>
        <v>0.38110905329123385</v>
      </c>
      <c r="H173" s="413" t="b">
        <f>Wh_hp&gt;='2021'!Maxi_hp</f>
        <v>0</v>
      </c>
      <c r="I173" s="379">
        <f>IF(H173,Wh_hp,'2021'!Maxi_hp)</f>
        <v>61.825772248847073</v>
      </c>
      <c r="J173" s="85">
        <f>IF(H173,An,'2021'!An_max)</f>
        <v>2019</v>
      </c>
      <c r="K173" s="196">
        <f t="shared" si="52"/>
        <v>44720</v>
      </c>
      <c r="L173" s="147">
        <f>IF(t&lt;Tvie,1-EXP((T0-t)*PertePVj)+'2021'!Pspv,1-EXP((T0-t)*PertePVj)+Pspv)</f>
        <v>3.0484316213329123E-2</v>
      </c>
      <c r="M173" s="847"/>
      <c r="N173" s="847"/>
      <c r="O173" s="48">
        <f>IF(t&lt;Tnet,'2021'!Resal+('2021'!Salim-'2021'!Resal)*(1-EXP(('2021'!Tnet-t)/('2021'!Tau_j))),Resal+(Salim-Resal)*(1-EXP((Tnet-t)/(Tau_j))))*Salcycl</f>
        <v>3.9372188129810734E-2</v>
      </c>
      <c r="P173" s="338">
        <f>(INDEX(Models!$BJ173:$BT173,,T173)*(1-R173)+INDEX(Models!$BJ173:$BT173,,T173+1)*R173-ERP_i)*Q173*Ramure*Pc/MaxiM</f>
        <v>5.3651749117773794E-4</v>
      </c>
      <c r="Q173" s="304">
        <f t="shared" si="53"/>
        <v>0.5</v>
      </c>
      <c r="R173" s="176">
        <f t="shared" si="54"/>
        <v>0.87844484641161946</v>
      </c>
      <c r="S173" s="814">
        <f t="shared" si="55"/>
        <v>0</v>
      </c>
      <c r="T173" s="175">
        <f t="shared" si="56"/>
        <v>6</v>
      </c>
      <c r="U173" s="250">
        <f t="shared" si="57"/>
        <v>0.87844484641161946</v>
      </c>
      <c r="V173" s="382">
        <f t="shared" si="58"/>
        <v>55.857764089878813</v>
      </c>
      <c r="W173" s="401">
        <f t="shared" si="59"/>
        <v>0</v>
      </c>
      <c r="X173" s="157">
        <f t="shared" si="60"/>
        <v>44720</v>
      </c>
      <c r="Y173" s="384">
        <f t="shared" si="61"/>
        <v>20.681380637009465</v>
      </c>
      <c r="Z173" s="384">
        <f t="shared" si="62"/>
        <v>21.331661759440014</v>
      </c>
      <c r="AA173" s="385">
        <f t="shared" si="63"/>
        <v>22.86803391323588</v>
      </c>
      <c r="AB173" s="196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6.7184269518973563E-2</v>
      </c>
      <c r="AD173" s="230">
        <f>(INDEX(Models!$BJ173:$BT173,,AH173)*(1-AF173)+INDEX(Models!$BJ173:$BT173,,AH173+1)*AF173-ERP_i)*AE173*Ramure*Pc/MaxiM</f>
        <v>5.3651749117773794E-4</v>
      </c>
      <c r="AE173" s="304">
        <f t="shared" si="65"/>
        <v>0.5</v>
      </c>
      <c r="AF173" s="176">
        <f t="shared" si="66"/>
        <v>0.87844484641161946</v>
      </c>
      <c r="AG173" s="814">
        <f t="shared" si="74"/>
        <v>0</v>
      </c>
      <c r="AH173" s="175">
        <f t="shared" si="67"/>
        <v>6</v>
      </c>
      <c r="AI173" s="224">
        <f t="shared" si="68"/>
        <v>0.87844484641161946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8">
        <v>43.048000000000002</v>
      </c>
      <c r="C174" s="843"/>
      <c r="D174" s="392">
        <f t="shared" si="50"/>
        <v>44.402522244027033</v>
      </c>
      <c r="E174" s="384">
        <f t="shared" si="75"/>
        <v>46.227853175600316</v>
      </c>
      <c r="F174" s="384">
        <f t="shared" si="51"/>
        <v>46.24488047527133</v>
      </c>
      <c r="G174" s="110">
        <f t="shared" si="76"/>
        <v>0.77130148606888471</v>
      </c>
      <c r="H174" s="413" t="b">
        <f>Wh_hp&gt;='2021'!Maxi_hp</f>
        <v>0</v>
      </c>
      <c r="I174" s="379">
        <f>IF(H174,Wh_hp,'2021'!Maxi_hp)</f>
        <v>57.898701564439953</v>
      </c>
      <c r="J174" s="85">
        <f>IF(H174,An,'2021'!An_max)</f>
        <v>2021</v>
      </c>
      <c r="K174" s="196">
        <f t="shared" si="52"/>
        <v>44721</v>
      </c>
      <c r="L174" s="147">
        <f>IF(t&lt;Tvie,1-EXP((T0-t)*PertePVj)+'2021'!Pspv,1-EXP((T0-t)*PertePVj)+Pspv)</f>
        <v>3.0505524811920794E-2</v>
      </c>
      <c r="M174" s="847"/>
      <c r="N174" s="847"/>
      <c r="O174" s="48">
        <f>IF(t&lt;Tnet,'2021'!Resal+('2021'!Salim-'2021'!Resal)*(1-EXP(('2021'!Tnet-t)/('2021'!Tau_j))),Resal+(Salim-Resal)*(1-EXP((Tnet-t)/(Tau_j))))*Salcycl</f>
        <v>3.9485522389274941E-2</v>
      </c>
      <c r="P174" s="338">
        <f>(INDEX(Models!$BJ174:$BT174,,T174)*(1-R174)+INDEX(Models!$BJ174:$BT174,,T174+1)*R174-ERP_i)*Q174*Ramure*Pc/MaxiM</f>
        <v>5.4670673688375681E-4</v>
      </c>
      <c r="Q174" s="304">
        <f t="shared" si="53"/>
        <v>0.5</v>
      </c>
      <c r="R174" s="176">
        <f t="shared" si="54"/>
        <v>0.88152931119820299</v>
      </c>
      <c r="S174" s="814">
        <f t="shared" si="55"/>
        <v>0</v>
      </c>
      <c r="T174" s="175">
        <f t="shared" si="56"/>
        <v>6</v>
      </c>
      <c r="U174" s="250">
        <f t="shared" si="57"/>
        <v>0.88152931119820299</v>
      </c>
      <c r="V174" s="382">
        <f t="shared" si="58"/>
        <v>55.802190878843902</v>
      </c>
      <c r="W174" s="401">
        <f t="shared" si="59"/>
        <v>0</v>
      </c>
      <c r="X174" s="157">
        <f t="shared" si="60"/>
        <v>44721</v>
      </c>
      <c r="Y174" s="384">
        <f t="shared" si="61"/>
        <v>41.802090848197295</v>
      </c>
      <c r="Z174" s="384">
        <f t="shared" si="62"/>
        <v>43.117410070942185</v>
      </c>
      <c r="AA174" s="385">
        <f t="shared" si="63"/>
        <v>46.227853175600316</v>
      </c>
      <c r="AB174" s="196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6.7285043344817566E-2</v>
      </c>
      <c r="AD174" s="230">
        <f>(INDEX(Models!$BJ174:$BT174,,AH174)*(1-AF174)+INDEX(Models!$BJ174:$BT174,,AH174+1)*AF174-ERP_i)*AE174*Ramure*Pc/MaxiM</f>
        <v>5.4670673688375681E-4</v>
      </c>
      <c r="AE174" s="304">
        <f t="shared" si="65"/>
        <v>0.5</v>
      </c>
      <c r="AF174" s="176">
        <f t="shared" si="66"/>
        <v>0.88152931119820299</v>
      </c>
      <c r="AG174" s="814">
        <f t="shared" si="74"/>
        <v>0</v>
      </c>
      <c r="AH174" s="175">
        <f t="shared" si="67"/>
        <v>6</v>
      </c>
      <c r="AI174" s="224">
        <f t="shared" si="68"/>
        <v>0.88152931119820299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8">
        <v>54.536999999999999</v>
      </c>
      <c r="C175" s="843"/>
      <c r="D175" s="392">
        <f t="shared" si="50"/>
        <v>56.254258733430021</v>
      </c>
      <c r="E175" s="384">
        <f t="shared" si="75"/>
        <v>58.573682173542224</v>
      </c>
      <c r="F175" s="384">
        <f t="shared" si="51"/>
        <v>58.605289185436213</v>
      </c>
      <c r="G175" s="110">
        <f t="shared" si="76"/>
        <v>0.97828120939613317</v>
      </c>
      <c r="H175" s="413" t="b">
        <f>Wh_hp&gt;='2021'!Maxi_hp</f>
        <v>1</v>
      </c>
      <c r="I175" s="379">
        <f>IF(H175,Wh_hp,'2021'!Maxi_hp)</f>
        <v>58.605289185436213</v>
      </c>
      <c r="J175" s="85">
        <f>IF(H175,An,'2021'!An_max)</f>
        <v>2022</v>
      </c>
      <c r="K175" s="196">
        <f t="shared" si="52"/>
        <v>44722</v>
      </c>
      <c r="L175" s="147">
        <f>IF(t&lt;Tvie,1-EXP((T0-t)*PertePVj)+'2021'!Pspv,1-EXP((T0-t)*PertePVj)+Pspv)</f>
        <v>3.05267329459896E-2</v>
      </c>
      <c r="M175" s="847"/>
      <c r="N175" s="847"/>
      <c r="O175" s="48">
        <f>IF(t&lt;Tnet,'2021'!Resal+('2021'!Salim-'2021'!Resal)*(1-EXP(('2021'!Tnet-t)/('2021'!Tau_j))),Resal+(Salim-Resal)*(1-EXP((Tnet-t)/(Tau_j))))*Salcycl</f>
        <v>3.959838879925992E-2</v>
      </c>
      <c r="P175" s="338">
        <f>(INDEX(Models!$BJ175:$BT175,,T175)*(1-R175)+INDEX(Models!$BJ175:$BT175,,T175+1)*R175-ERP_i)*Q175*Ramure*Pc/MaxiM</f>
        <v>5.5657547603558336E-4</v>
      </c>
      <c r="Q175" s="304">
        <f t="shared" si="53"/>
        <v>0.5</v>
      </c>
      <c r="R175" s="176">
        <f t="shared" si="54"/>
        <v>0.88461638098480999</v>
      </c>
      <c r="S175" s="814">
        <f t="shared" si="55"/>
        <v>0</v>
      </c>
      <c r="T175" s="175">
        <f t="shared" si="56"/>
        <v>6</v>
      </c>
      <c r="U175" s="250">
        <f t="shared" si="57"/>
        <v>0.88461638098480999</v>
      </c>
      <c r="V175" s="382">
        <f t="shared" si="58"/>
        <v>55.746811768760146</v>
      </c>
      <c r="W175" s="401">
        <f t="shared" si="59"/>
        <v>0</v>
      </c>
      <c r="X175" s="157">
        <f t="shared" si="60"/>
        <v>44722</v>
      </c>
      <c r="Y175" s="384">
        <f t="shared" si="61"/>
        <v>52.959119673115509</v>
      </c>
      <c r="Z175" s="384">
        <f t="shared" si="62"/>
        <v>54.626694178009863</v>
      </c>
      <c r="AA175" s="385">
        <f t="shared" si="63"/>
        <v>58.573682173542224</v>
      </c>
      <c r="AB175" s="196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6.738500720917999E-2</v>
      </c>
      <c r="AD175" s="230">
        <f>(INDEX(Models!$BJ175:$BT175,,AH175)*(1-AF175)+INDEX(Models!$BJ175:$BT175,,AH175+1)*AF175-ERP_i)*AE175*Ramure*Pc/MaxiM</f>
        <v>5.5657547603558336E-4</v>
      </c>
      <c r="AE175" s="304">
        <f t="shared" si="65"/>
        <v>0.5</v>
      </c>
      <c r="AF175" s="176">
        <f t="shared" si="66"/>
        <v>0.88461638098480999</v>
      </c>
      <c r="AG175" s="814">
        <f t="shared" si="74"/>
        <v>0</v>
      </c>
      <c r="AH175" s="175">
        <f t="shared" si="67"/>
        <v>6</v>
      </c>
      <c r="AI175" s="224">
        <f t="shared" si="68"/>
        <v>0.88461638098480999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8">
        <v>52.072000000000003</v>
      </c>
      <c r="C176" s="843"/>
      <c r="D176" s="392">
        <f t="shared" si="50"/>
        <v>53.712815910734889</v>
      </c>
      <c r="E176" s="384">
        <f t="shared" si="75"/>
        <v>55.933997426241305</v>
      </c>
      <c r="F176" s="384">
        <f t="shared" si="51"/>
        <v>55.962736409001373</v>
      </c>
      <c r="G176" s="110">
        <f t="shared" si="76"/>
        <v>0.93494992029366053</v>
      </c>
      <c r="H176" s="413" t="b">
        <f>Wh_hp&gt;='2021'!Maxi_hp</f>
        <v>1</v>
      </c>
      <c r="I176" s="379">
        <f>IF(H176,Wh_hp,'2021'!Maxi_hp)</f>
        <v>55.962736409001373</v>
      </c>
      <c r="J176" s="85">
        <f>IF(H176,An,'2021'!An_max)</f>
        <v>2022</v>
      </c>
      <c r="K176" s="196">
        <f t="shared" si="52"/>
        <v>44723</v>
      </c>
      <c r="L176" s="147">
        <f>IF(t&lt;Tvie,1-EXP((T0-t)*PertePVj)+'2021'!Pspv,1-EXP((T0-t)*PertePVj)+Pspv)</f>
        <v>3.0547940615545978E-2</v>
      </c>
      <c r="M176" s="847"/>
      <c r="N176" s="847"/>
      <c r="O176" s="48">
        <f>IF(t&lt;Tnet,'2021'!Resal+('2021'!Salim-'2021'!Resal)*(1-EXP(('2021'!Tnet-t)/('2021'!Tau_j))),Resal+(Salim-Resal)*(1-EXP((Tnet-t)/(Tau_j))))*Salcycl</f>
        <v>3.9710759425614653E-2</v>
      </c>
      <c r="P176" s="338">
        <f>(INDEX(Models!$BJ176:$BT176,,T176)*(1-R176)+INDEX(Models!$BJ176:$BT176,,T176+1)*R176-ERP_i)*Q176*Ramure*Pc/MaxiM</f>
        <v>5.6610551087598433E-4</v>
      </c>
      <c r="Q176" s="304">
        <f t="shared" si="53"/>
        <v>0.5</v>
      </c>
      <c r="R176" s="176">
        <f t="shared" si="54"/>
        <v>0.88770345077141688</v>
      </c>
      <c r="S176" s="814">
        <f t="shared" si="55"/>
        <v>0</v>
      </c>
      <c r="T176" s="175">
        <f t="shared" si="56"/>
        <v>6</v>
      </c>
      <c r="U176" s="250">
        <f t="shared" si="57"/>
        <v>0.88770345077141688</v>
      </c>
      <c r="V176" s="382">
        <f t="shared" si="58"/>
        <v>55.692032438958321</v>
      </c>
      <c r="W176" s="401">
        <f t="shared" si="59"/>
        <v>0</v>
      </c>
      <c r="X176" s="157">
        <f t="shared" si="60"/>
        <v>44723</v>
      </c>
      <c r="Y176" s="384">
        <f t="shared" si="61"/>
        <v>50.565980544837672</v>
      </c>
      <c r="Z176" s="384">
        <f t="shared" si="62"/>
        <v>52.159340996133572</v>
      </c>
      <c r="AA176" s="385">
        <f t="shared" si="63"/>
        <v>55.933997426241305</v>
      </c>
      <c r="AB176" s="196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6.7484117062887802E-2</v>
      </c>
      <c r="AD176" s="230">
        <f>(INDEX(Models!$BJ176:$BT176,,AH176)*(1-AF176)+INDEX(Models!$BJ176:$BT176,,AH176+1)*AF176-ERP_i)*AE176*Ramure*Pc/MaxiM</f>
        <v>5.6610551087598433E-4</v>
      </c>
      <c r="AE176" s="304">
        <f t="shared" si="65"/>
        <v>0.5</v>
      </c>
      <c r="AF176" s="176">
        <f t="shared" si="66"/>
        <v>0.88770345077141688</v>
      </c>
      <c r="AG176" s="814">
        <f t="shared" si="74"/>
        <v>0</v>
      </c>
      <c r="AH176" s="175">
        <f t="shared" si="67"/>
        <v>6</v>
      </c>
      <c r="AI176" s="224">
        <f t="shared" si="68"/>
        <v>0.88770345077141688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8">
        <v>41.462000000000003</v>
      </c>
      <c r="C177" s="843"/>
      <c r="D177" s="392">
        <f t="shared" si="50"/>
        <v>42.769424871086287</v>
      </c>
      <c r="E177" s="384">
        <f t="shared" si="75"/>
        <v>44.543253371835029</v>
      </c>
      <c r="F177" s="384">
        <f t="shared" si="51"/>
        <v>44.559557730363608</v>
      </c>
      <c r="G177" s="110">
        <f t="shared" si="76"/>
        <v>0.74506405944791032</v>
      </c>
      <c r="H177" s="413" t="b">
        <f>Wh_hp&gt;='2021'!Maxi_hp</f>
        <v>0</v>
      </c>
      <c r="I177" s="379">
        <f>IF(H177,Wh_hp,'2021'!Maxi_hp)</f>
        <v>57.291729611874956</v>
      </c>
      <c r="J177" s="85">
        <f>IF(H177,An,'2021'!An_max)</f>
        <v>2019</v>
      </c>
      <c r="K177" s="196">
        <f t="shared" si="52"/>
        <v>44724</v>
      </c>
      <c r="L177" s="147">
        <f>IF(t&lt;Tvie,1-EXP((T0-t)*PertePVj)+'2021'!Pspv,1-EXP((T0-t)*PertePVj)+Pspv)</f>
        <v>3.0569147820599919E-2</v>
      </c>
      <c r="M177" s="847"/>
      <c r="N177" s="847"/>
      <c r="O177" s="48">
        <f>IF(t&lt;Tnet,'2021'!Resal+('2021'!Salim-'2021'!Resal)*(1-EXP(('2021'!Tnet-t)/('2021'!Tau_j))),Resal+(Salim-Resal)*(1-EXP((Tnet-t)/(Tau_j))))*Salcycl</f>
        <v>3.9822607611107938E-2</v>
      </c>
      <c r="P177" s="338">
        <f>(INDEX(Models!$BJ177:$BT177,,T177)*(1-R177)+INDEX(Models!$BJ177:$BT177,,T177+1)*R177-ERP_i)*Q177*Ramure*Pc/MaxiM</f>
        <v>5.7528899532003133E-4</v>
      </c>
      <c r="Q177" s="304">
        <f t="shared" si="53"/>
        <v>0.5</v>
      </c>
      <c r="R177" s="176">
        <f t="shared" si="54"/>
        <v>0.89078791555800041</v>
      </c>
      <c r="S177" s="814">
        <f t="shared" si="55"/>
        <v>0</v>
      </c>
      <c r="T177" s="175">
        <f t="shared" si="56"/>
        <v>6</v>
      </c>
      <c r="U177" s="250">
        <f t="shared" si="57"/>
        <v>0.89078791555800041</v>
      </c>
      <c r="V177" s="382">
        <f t="shared" si="58"/>
        <v>55.637249744164876</v>
      </c>
      <c r="W177" s="401">
        <f t="shared" si="59"/>
        <v>0</v>
      </c>
      <c r="X177" s="157">
        <f t="shared" si="60"/>
        <v>44724</v>
      </c>
      <c r="Y177" s="384">
        <f t="shared" si="61"/>
        <v>40.263290604866768</v>
      </c>
      <c r="Z177" s="384">
        <f t="shared" si="62"/>
        <v>41.53291646779131</v>
      </c>
      <c r="AA177" s="385">
        <f t="shared" si="63"/>
        <v>44.543253371835029</v>
      </c>
      <c r="AB177" s="196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6.7582331243616955E-2</v>
      </c>
      <c r="AD177" s="230">
        <f>(INDEX(Models!$BJ177:$BT177,,AH177)*(1-AF177)+INDEX(Models!$BJ177:$BT177,,AH177+1)*AF177-ERP_i)*AE177*Ramure*Pc/MaxiM</f>
        <v>5.7528899532003133E-4</v>
      </c>
      <c r="AE177" s="304">
        <f t="shared" si="65"/>
        <v>0.5</v>
      </c>
      <c r="AF177" s="176">
        <f t="shared" si="66"/>
        <v>0.89078791555800041</v>
      </c>
      <c r="AG177" s="814">
        <f t="shared" si="74"/>
        <v>0</v>
      </c>
      <c r="AH177" s="175">
        <f t="shared" si="67"/>
        <v>6</v>
      </c>
      <c r="AI177" s="224">
        <f t="shared" si="68"/>
        <v>0.89078791555800041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8">
        <v>49.82</v>
      </c>
      <c r="C178" s="843"/>
      <c r="D178" s="392">
        <f t="shared" si="50"/>
        <v>51.392102641445426</v>
      </c>
      <c r="E178" s="384">
        <f t="shared" si="75"/>
        <v>53.529754955439365</v>
      </c>
      <c r="F178" s="384">
        <f t="shared" si="51"/>
        <v>53.556395839006143</v>
      </c>
      <c r="G178" s="110">
        <f t="shared" si="76"/>
        <v>0.8962621886110127</v>
      </c>
      <c r="H178" s="413" t="b">
        <f>Wh_hp&gt;='2021'!Maxi_hp</f>
        <v>0</v>
      </c>
      <c r="I178" s="379">
        <f>IF(H178,Wh_hp,'2021'!Maxi_hp)</f>
        <v>61.075275136442549</v>
      </c>
      <c r="J178" s="85">
        <f>IF(H178,An,'2021'!An_max)</f>
        <v>2019</v>
      </c>
      <c r="K178" s="196">
        <f t="shared" si="52"/>
        <v>44725</v>
      </c>
      <c r="L178" s="147">
        <f>IF(t&lt;Tvie,1-EXP((T0-t)*PertePVj)+'2021'!Pspv,1-EXP((T0-t)*PertePVj)+Pspv)</f>
        <v>3.0590354561161638E-2</v>
      </c>
      <c r="M178" s="847"/>
      <c r="N178" s="847"/>
      <c r="O178" s="48">
        <f>IF(t&lt;Tnet,'2021'!Resal+('2021'!Salim-'2021'!Resal)*(1-EXP(('2021'!Tnet-t)/('2021'!Tau_j))),Resal+(Salim-Resal)*(1-EXP((Tnet-t)/(Tau_j))))*Salcycl</f>
        <v>3.9933908081092907E-2</v>
      </c>
      <c r="P178" s="338">
        <f>(INDEX(Models!$BJ178:$BT178,,T178)*(1-R178)+INDEX(Models!$BJ178:$BT178,,T178+1)*R178-ERP_i)*Q178*Ramure*Pc/MaxiM</f>
        <v>5.8390416876997336E-4</v>
      </c>
      <c r="Q178" s="304">
        <f t="shared" si="53"/>
        <v>0.5</v>
      </c>
      <c r="R178" s="176">
        <f t="shared" si="54"/>
        <v>0.89386717912996039</v>
      </c>
      <c r="S178" s="814">
        <f t="shared" si="55"/>
        <v>0</v>
      </c>
      <c r="T178" s="175">
        <f t="shared" si="56"/>
        <v>6</v>
      </c>
      <c r="U178" s="250">
        <f t="shared" si="57"/>
        <v>0.89386717912996039</v>
      </c>
      <c r="V178" s="382">
        <f t="shared" si="58"/>
        <v>55.581603964619276</v>
      </c>
      <c r="W178" s="401">
        <f t="shared" si="59"/>
        <v>0</v>
      </c>
      <c r="X178" s="157">
        <f t="shared" si="60"/>
        <v>44725</v>
      </c>
      <c r="Y178" s="384">
        <f t="shared" si="61"/>
        <v>48.380212767658094</v>
      </c>
      <c r="Z178" s="384">
        <f t="shared" si="62"/>
        <v>49.906881982546231</v>
      </c>
      <c r="AA178" s="385">
        <f t="shared" si="63"/>
        <v>53.529754955439365</v>
      </c>
      <c r="AB178" s="196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6.7679610637279827E-2</v>
      </c>
      <c r="AD178" s="230">
        <f>(INDEX(Models!$BJ178:$BT178,,AH178)*(1-AF178)+INDEX(Models!$BJ178:$BT178,,AH178+1)*AF178-ERP_i)*AE178*Ramure*Pc/MaxiM</f>
        <v>5.8390416876997336E-4</v>
      </c>
      <c r="AE178" s="304">
        <f t="shared" si="65"/>
        <v>0.5</v>
      </c>
      <c r="AF178" s="176">
        <f t="shared" si="66"/>
        <v>0.89386717912996039</v>
      </c>
      <c r="AG178" s="814">
        <f t="shared" si="74"/>
        <v>0</v>
      </c>
      <c r="AH178" s="175">
        <f t="shared" si="67"/>
        <v>6</v>
      </c>
      <c r="AI178" s="224">
        <f t="shared" si="68"/>
        <v>0.89386717912996039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8">
        <v>45.555</v>
      </c>
      <c r="C179" s="843"/>
      <c r="D179" s="392">
        <f t="shared" si="50"/>
        <v>46.993545785779055</v>
      </c>
      <c r="E179" s="384">
        <f t="shared" si="75"/>
        <v>48.953886398418248</v>
      </c>
      <c r="F179" s="384">
        <f t="shared" si="51"/>
        <v>48.975446707056449</v>
      </c>
      <c r="G179" s="110">
        <f t="shared" si="76"/>
        <v>0.82031527833523954</v>
      </c>
      <c r="H179" s="413" t="b">
        <f>Wh_hp&gt;='2021'!Maxi_hp</f>
        <v>0</v>
      </c>
      <c r="I179" s="379">
        <f>IF(H179,Wh_hp,'2021'!Maxi_hp)</f>
        <v>52.838885669161783</v>
      </c>
      <c r="J179" s="85">
        <f>IF(H179,An,'2021'!An_max)</f>
        <v>2021</v>
      </c>
      <c r="K179" s="196">
        <f t="shared" si="52"/>
        <v>44726</v>
      </c>
      <c r="L179" s="147">
        <f>IF(t&lt;Tvie,1-EXP((T0-t)*PertePVj)+'2021'!Pspv,1-EXP((T0-t)*PertePVj)+Pspv)</f>
        <v>3.0611560837241238E-2</v>
      </c>
      <c r="M179" s="847"/>
      <c r="N179" s="847"/>
      <c r="O179" s="48">
        <f>IF(t&lt;Tnet,'2021'!Resal+('2021'!Salim-'2021'!Resal)*(1-EXP(('2021'!Tnet-t)/('2021'!Tau_j))),Resal+(Salim-Resal)*(1-EXP((Tnet-t)/(Tau_j))))*Salcycl</f>
        <v>4.0044637042392951E-2</v>
      </c>
      <c r="P179" s="338">
        <f>(INDEX(Models!$BJ179:$BT179,,T179)*(1-R179)+INDEX(Models!$BJ179:$BT179,,T179+1)*R179-ERP_i)*Q179*Ramure*Pc/MaxiM</f>
        <v>5.9211216601575984E-4</v>
      </c>
      <c r="Q179" s="304">
        <f t="shared" si="53"/>
        <v>0.5</v>
      </c>
      <c r="R179" s="176">
        <f t="shared" si="54"/>
        <v>0.89693866278065593</v>
      </c>
      <c r="S179" s="814">
        <f t="shared" si="55"/>
        <v>0</v>
      </c>
      <c r="T179" s="175">
        <f t="shared" si="56"/>
        <v>6</v>
      </c>
      <c r="U179" s="250">
        <f t="shared" si="57"/>
        <v>0.89693866278065593</v>
      </c>
      <c r="V179" s="382">
        <f t="shared" si="58"/>
        <v>55.525087758211058</v>
      </c>
      <c r="W179" s="401">
        <f t="shared" si="59"/>
        <v>0</v>
      </c>
      <c r="X179" s="157">
        <f t="shared" si="60"/>
        <v>44726</v>
      </c>
      <c r="Y179" s="384">
        <f t="shared" si="61"/>
        <v>44.239002829260912</v>
      </c>
      <c r="Z179" s="384">
        <f t="shared" si="62"/>
        <v>45.635991767623352</v>
      </c>
      <c r="AA179" s="385">
        <f t="shared" si="63"/>
        <v>48.953886398418248</v>
      </c>
      <c r="AB179" s="196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6.7775918826785894E-2</v>
      </c>
      <c r="AD179" s="230">
        <f>(INDEX(Models!$BJ179:$BT179,,AH179)*(1-AF179)+INDEX(Models!$BJ179:$BT179,,AH179+1)*AF179-ERP_i)*AE179*Ramure*Pc/MaxiM</f>
        <v>5.9211216601575984E-4</v>
      </c>
      <c r="AE179" s="304">
        <f t="shared" si="65"/>
        <v>0.5</v>
      </c>
      <c r="AF179" s="176">
        <f t="shared" si="66"/>
        <v>0.89693866278065593</v>
      </c>
      <c r="AG179" s="814">
        <f t="shared" si="74"/>
        <v>0</v>
      </c>
      <c r="AH179" s="175">
        <f t="shared" si="67"/>
        <v>6</v>
      </c>
      <c r="AI179" s="224">
        <f t="shared" si="68"/>
        <v>0.89693866278065593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8">
        <v>51.195</v>
      </c>
      <c r="C180" s="843"/>
      <c r="D180" s="392">
        <f t="shared" si="50"/>
        <v>52.812802247313776</v>
      </c>
      <c r="E180" s="384">
        <f t="shared" si="75"/>
        <v>55.022206415998362</v>
      </c>
      <c r="F180" s="384">
        <f t="shared" si="51"/>
        <v>55.051597615589515</v>
      </c>
      <c r="G180" s="110">
        <f t="shared" si="76"/>
        <v>0.92290856508653485</v>
      </c>
      <c r="H180" s="413" t="b">
        <f>Wh_hp&gt;='2021'!Maxi_hp</f>
        <v>1</v>
      </c>
      <c r="I180" s="379">
        <f>IF(H180,Wh_hp,'2021'!Maxi_hp)</f>
        <v>55.051597615589515</v>
      </c>
      <c r="J180" s="85">
        <f>IF(H180,An,'2021'!An_max)</f>
        <v>2022</v>
      </c>
      <c r="K180" s="196">
        <f t="shared" si="52"/>
        <v>44727</v>
      </c>
      <c r="L180" s="147">
        <f>IF(t&lt;Tvie,1-EXP((T0-t)*PertePVj)+'2021'!Pspv,1-EXP((T0-t)*PertePVj)+Pspv)</f>
        <v>3.0632766648849043E-2</v>
      </c>
      <c r="M180" s="847"/>
      <c r="N180" s="847"/>
      <c r="O180" s="48">
        <f>IF(t&lt;Tnet,'2021'!Resal+('2021'!Salim-'2021'!Resal)*(1-EXP(('2021'!Tnet-t)/('2021'!Tau_j))),Resal+(Salim-Resal)*(1-EXP((Tnet-t)/(Tau_j))))*Salcycl</f>
        <v>4.0154772274675184E-2</v>
      </c>
      <c r="P180" s="338">
        <f>(INDEX(Models!$BJ180:$BT180,,T180)*(1-R180)+INDEX(Models!$BJ180:$BT180,,T180+1)*R180-ERP_i)*Q180*Ramure*Pc/MaxiM</f>
        <v>5.9989966778317618E-4</v>
      </c>
      <c r="Q180" s="304">
        <f t="shared" si="53"/>
        <v>0.5</v>
      </c>
      <c r="R180" s="176">
        <f t="shared" si="54"/>
        <v>0.89999981390893991</v>
      </c>
      <c r="S180" s="814">
        <f t="shared" si="55"/>
        <v>0</v>
      </c>
      <c r="T180" s="175">
        <f t="shared" si="56"/>
        <v>6</v>
      </c>
      <c r="U180" s="250">
        <f t="shared" si="57"/>
        <v>0.89999981390893991</v>
      </c>
      <c r="V180" s="382">
        <f t="shared" si="58"/>
        <v>55.467703399157301</v>
      </c>
      <c r="W180" s="401">
        <f t="shared" si="59"/>
        <v>0</v>
      </c>
      <c r="X180" s="157">
        <f t="shared" si="60"/>
        <v>44727</v>
      </c>
      <c r="Y180" s="384">
        <f t="shared" si="61"/>
        <v>49.716695358453514</v>
      </c>
      <c r="Z180" s="384">
        <f t="shared" si="62"/>
        <v>51.287782016914697</v>
      </c>
      <c r="AA180" s="385">
        <f t="shared" si="63"/>
        <v>55.022206415998362</v>
      </c>
      <c r="AB180" s="196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6.7871222227065028E-2</v>
      </c>
      <c r="AD180" s="230">
        <f>(INDEX(Models!$BJ180:$BT180,,AH180)*(1-AF180)+INDEX(Models!$BJ180:$BT180,,AH180+1)*AF180-ERP_i)*AE180*Ramure*Pc/MaxiM</f>
        <v>5.9989966778317618E-4</v>
      </c>
      <c r="AE180" s="304">
        <f t="shared" si="65"/>
        <v>0.5</v>
      </c>
      <c r="AF180" s="176">
        <f t="shared" si="66"/>
        <v>0.89999981390893991</v>
      </c>
      <c r="AG180" s="814">
        <f t="shared" si="74"/>
        <v>0</v>
      </c>
      <c r="AH180" s="175">
        <f t="shared" si="67"/>
        <v>6</v>
      </c>
      <c r="AI180" s="224">
        <f t="shared" si="68"/>
        <v>0.89999981390893991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8">
        <v>48.594000000000001</v>
      </c>
      <c r="C181" s="843"/>
      <c r="D181" s="392">
        <f t="shared" si="50"/>
        <v>50.130705234394625</v>
      </c>
      <c r="E181" s="384">
        <f t="shared" si="75"/>
        <v>52.233864885839033</v>
      </c>
      <c r="F181" s="384">
        <f t="shared" si="51"/>
        <v>52.260023597220375</v>
      </c>
      <c r="G181" s="110">
        <f t="shared" si="76"/>
        <v>0.87690474355047665</v>
      </c>
      <c r="H181" s="413" t="b">
        <f>Wh_hp&gt;='2021'!Maxi_hp</f>
        <v>0</v>
      </c>
      <c r="I181" s="379">
        <f>IF(H181,Wh_hp,'2021'!Maxi_hp)</f>
        <v>60.496565061953568</v>
      </c>
      <c r="J181" s="85">
        <f>IF(H181,An,'2021'!An_max)</f>
        <v>2019</v>
      </c>
      <c r="K181" s="196">
        <f t="shared" si="52"/>
        <v>44728</v>
      </c>
      <c r="L181" s="147">
        <f>IF(t&lt;Tvie,1-EXP((T0-t)*PertePVj)+'2021'!Pspv,1-EXP((T0-t)*PertePVj)+Pspv)</f>
        <v>3.0653971995995156E-2</v>
      </c>
      <c r="M181" s="847"/>
      <c r="N181" s="847"/>
      <c r="O181" s="48">
        <f>IF(t&lt;Tnet,'2021'!Resal+('2021'!Salim-'2021'!Resal)*(1-EXP(('2021'!Tnet-t)/('2021'!Tau_j))),Resal+(Salim-Resal)*(1-EXP((Tnet-t)/(Tau_j))))*Salcycl</f>
        <v>4.0264293213627261E-2</v>
      </c>
      <c r="P181" s="338">
        <f>(INDEX(Models!$BJ181:$BT181,,T181)*(1-R181)+INDEX(Models!$BJ181:$BT181,,T181+1)*R181-ERP_i)*Q181*Ramure*Pc/MaxiM</f>
        <v>6.0725374004068626E-4</v>
      </c>
      <c r="Q181" s="304">
        <f t="shared" si="53"/>
        <v>0.5</v>
      </c>
      <c r="R181" s="176">
        <f t="shared" si="54"/>
        <v>0.90304811443110311</v>
      </c>
      <c r="S181" s="814">
        <f t="shared" si="55"/>
        <v>0</v>
      </c>
      <c r="T181" s="175">
        <f t="shared" si="56"/>
        <v>6</v>
      </c>
      <c r="U181" s="250">
        <f t="shared" si="57"/>
        <v>0.90304811443110311</v>
      </c>
      <c r="V181" s="382">
        <f t="shared" si="58"/>
        <v>55.409453032030086</v>
      </c>
      <c r="W181" s="401">
        <f t="shared" si="59"/>
        <v>0</v>
      </c>
      <c r="X181" s="157">
        <f t="shared" si="60"/>
        <v>44728</v>
      </c>
      <c r="Y181" s="384">
        <f t="shared" si="61"/>
        <v>47.191413895204001</v>
      </c>
      <c r="Z181" s="384">
        <f t="shared" si="62"/>
        <v>48.683764653553652</v>
      </c>
      <c r="AA181" s="385">
        <f t="shared" si="63"/>
        <v>52.233864885839033</v>
      </c>
      <c r="AB181" s="196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6.7965490205336793E-2</v>
      </c>
      <c r="AD181" s="230">
        <f>(INDEX(Models!$BJ181:$BT181,,AH181)*(1-AF181)+INDEX(Models!$BJ181:$BT181,,AH181+1)*AF181-ERP_i)*AE181*Ramure*Pc/MaxiM</f>
        <v>6.0725374004068626E-4</v>
      </c>
      <c r="AE181" s="304">
        <f t="shared" si="65"/>
        <v>0.5</v>
      </c>
      <c r="AF181" s="176">
        <f t="shared" si="66"/>
        <v>0.90304811443110311</v>
      </c>
      <c r="AG181" s="814">
        <f t="shared" si="74"/>
        <v>0</v>
      </c>
      <c r="AH181" s="175">
        <f t="shared" si="67"/>
        <v>6</v>
      </c>
      <c r="AI181" s="224">
        <f t="shared" si="68"/>
        <v>0.90304811443110311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8">
        <v>49.133000000000003</v>
      </c>
      <c r="C182" s="843"/>
      <c r="D182" s="392">
        <f t="shared" si="50"/>
        <v>50.687859041706439</v>
      </c>
      <c r="E182" s="384">
        <f t="shared" si="75"/>
        <v>52.820386049510013</v>
      </c>
      <c r="F182" s="384">
        <f t="shared" si="51"/>
        <v>52.847634768541397</v>
      </c>
      <c r="G182" s="110">
        <f t="shared" si="76"/>
        <v>0.88758545100680031</v>
      </c>
      <c r="H182" s="413" t="b">
        <f>Wh_hp&gt;='2021'!Maxi_hp</f>
        <v>0</v>
      </c>
      <c r="I182" s="379">
        <f>IF(H182,Wh_hp,'2021'!Maxi_hp)</f>
        <v>59.643028752560177</v>
      </c>
      <c r="J182" s="85">
        <f>IF(H182,An,'2021'!An_max)</f>
        <v>2019</v>
      </c>
      <c r="K182" s="196">
        <f t="shared" si="52"/>
        <v>44729</v>
      </c>
      <c r="L182" s="147">
        <f>IF(t&lt;Tvie,1-EXP((T0-t)*PertePVj)+'2021'!Pspv,1-EXP((T0-t)*PertePVj)+Pspv)</f>
        <v>3.0675176878689682E-2</v>
      </c>
      <c r="M182" s="847"/>
      <c r="N182" s="847"/>
      <c r="O182" s="48">
        <f>IF(t&lt;Tnet,'2021'!Resal+('2021'!Salim-'2021'!Resal)*(1-EXP(('2021'!Tnet-t)/('2021'!Tau_j))),Resal+(Salim-Resal)*(1-EXP((Tnet-t)/(Tau_j))))*Salcycl</f>
        <v>4.0373181025309096E-2</v>
      </c>
      <c r="P182" s="338">
        <f>(INDEX(Models!$BJ182:$BT182,,T182)*(1-R182)+INDEX(Models!$BJ182:$BT182,,T182+1)*R182-ERP_i)*Q182*Ramure*Pc/MaxiM</f>
        <v>6.1416187511955961E-4</v>
      </c>
      <c r="Q182" s="304">
        <f t="shared" si="53"/>
        <v>0.5</v>
      </c>
      <c r="R182" s="176">
        <f t="shared" si="54"/>
        <v>0.90608108894889894</v>
      </c>
      <c r="S182" s="814">
        <f t="shared" si="55"/>
        <v>0</v>
      </c>
      <c r="T182" s="175">
        <f t="shared" si="56"/>
        <v>6</v>
      </c>
      <c r="U182" s="250">
        <f t="shared" si="57"/>
        <v>0.90608108894889894</v>
      </c>
      <c r="V182" s="382">
        <f t="shared" si="58"/>
        <v>55.350338663847104</v>
      </c>
      <c r="W182" s="401">
        <f t="shared" si="59"/>
        <v>0</v>
      </c>
      <c r="X182" s="157">
        <f t="shared" si="60"/>
        <v>44729</v>
      </c>
      <c r="Y182" s="384">
        <f t="shared" si="61"/>
        <v>47.715498591799964</v>
      </c>
      <c r="Z182" s="384">
        <f t="shared" si="62"/>
        <v>49.225499495774706</v>
      </c>
      <c r="AA182" s="385">
        <f t="shared" si="63"/>
        <v>52.820386049510013</v>
      </c>
      <c r="AB182" s="196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6.8058695185713336E-2</v>
      </c>
      <c r="AD182" s="230">
        <f>(INDEX(Models!$BJ182:$BT182,,AH182)*(1-AF182)+INDEX(Models!$BJ182:$BT182,,AH182+1)*AF182-ERP_i)*AE182*Ramure*Pc/MaxiM</f>
        <v>6.1416187511955961E-4</v>
      </c>
      <c r="AE182" s="304">
        <f t="shared" si="65"/>
        <v>0.5</v>
      </c>
      <c r="AF182" s="176">
        <f t="shared" si="66"/>
        <v>0.90608108894889894</v>
      </c>
      <c r="AG182" s="814">
        <f t="shared" si="74"/>
        <v>0</v>
      </c>
      <c r="AH182" s="175">
        <f t="shared" si="67"/>
        <v>6</v>
      </c>
      <c r="AI182" s="224">
        <f t="shared" si="68"/>
        <v>0.90608108894889894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8">
        <v>51.68</v>
      </c>
      <c r="C183" s="843"/>
      <c r="D183" s="392">
        <f t="shared" si="50"/>
        <v>53.316627528068679</v>
      </c>
      <c r="E183" s="384">
        <f t="shared" si="75"/>
        <v>55.566018798956179</v>
      </c>
      <c r="F183" s="384">
        <f t="shared" si="51"/>
        <v>55.597304479230928</v>
      </c>
      <c r="G183" s="110">
        <f t="shared" si="76"/>
        <v>0.93464763847987486</v>
      </c>
      <c r="H183" s="413" t="b">
        <f>Wh_hp&gt;='2021'!Maxi_hp</f>
        <v>0</v>
      </c>
      <c r="I183" s="379">
        <f>IF(H183,Wh_hp,'2021'!Maxi_hp)</f>
        <v>57.817123290426146</v>
      </c>
      <c r="J183" s="85">
        <f>IF(H183,An,'2021'!An_max)</f>
        <v>2019</v>
      </c>
      <c r="K183" s="196">
        <f t="shared" si="52"/>
        <v>44730</v>
      </c>
      <c r="L183" s="147">
        <f>IF(t&lt;Tvie,1-EXP((T0-t)*PertePVj)+'2021'!Pspv,1-EXP((T0-t)*PertePVj)+Pspv)</f>
        <v>3.0696381296942944E-2</v>
      </c>
      <c r="M183" s="847"/>
      <c r="N183" s="847"/>
      <c r="O183" s="48">
        <f>IF(t&lt;Tnet,'2021'!Resal+('2021'!Salim-'2021'!Resal)*(1-EXP(('2021'!Tnet-t)/('2021'!Tau_j))),Resal+(Salim-Resal)*(1-EXP((Tnet-t)/(Tau_j))))*Salcycl</f>
        <v>4.0481418671113288E-2</v>
      </c>
      <c r="P183" s="338">
        <f>(INDEX(Models!$BJ183:$BT183,,T183)*(1-R183)+INDEX(Models!$BJ183:$BT183,,T183+1)*R183-ERP_i)*Q183*Ramure*Pc/MaxiM</f>
        <v>6.2061202940099063E-4</v>
      </c>
      <c r="Q183" s="304">
        <f t="shared" si="53"/>
        <v>0.5</v>
      </c>
      <c r="R183" s="176">
        <f t="shared" si="54"/>
        <v>0.90909631261826207</v>
      </c>
      <c r="S183" s="814">
        <f t="shared" si="55"/>
        <v>0</v>
      </c>
      <c r="T183" s="175">
        <f t="shared" si="56"/>
        <v>6</v>
      </c>
      <c r="U183" s="250">
        <f t="shared" si="57"/>
        <v>0.90909631261826207</v>
      </c>
      <c r="V183" s="382">
        <f t="shared" si="58"/>
        <v>55.2903621593506</v>
      </c>
      <c r="W183" s="401">
        <f t="shared" si="59"/>
        <v>0</v>
      </c>
      <c r="X183" s="157">
        <f t="shared" si="60"/>
        <v>44730</v>
      </c>
      <c r="Y183" s="384">
        <f t="shared" si="61"/>
        <v>50.189716942258755</v>
      </c>
      <c r="Z183" s="384">
        <f t="shared" si="62"/>
        <v>51.779149457229259</v>
      </c>
      <c r="AA183" s="385">
        <f t="shared" si="63"/>
        <v>55.566018798956179</v>
      </c>
      <c r="AB183" s="196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6.8150812737335378E-2</v>
      </c>
      <c r="AD183" s="230">
        <f>(INDEX(Models!$BJ183:$BT183,,AH183)*(1-AF183)+INDEX(Models!$BJ183:$BT183,,AH183+1)*AF183-ERP_i)*AE183*Ramure*Pc/MaxiM</f>
        <v>6.2061202940099063E-4</v>
      </c>
      <c r="AE183" s="304">
        <f t="shared" si="65"/>
        <v>0.5</v>
      </c>
      <c r="AF183" s="176">
        <f t="shared" si="66"/>
        <v>0.90909631261826207</v>
      </c>
      <c r="AG183" s="814">
        <f t="shared" si="74"/>
        <v>0</v>
      </c>
      <c r="AH183" s="175">
        <f t="shared" si="67"/>
        <v>6</v>
      </c>
      <c r="AI183" s="224">
        <f t="shared" si="68"/>
        <v>0.90909631261826207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8">
        <v>52.965000000000003</v>
      </c>
      <c r="C184" s="843"/>
      <c r="D184" s="392">
        <f t="shared" si="50"/>
        <v>54.643516888421715</v>
      </c>
      <c r="E184" s="384">
        <f t="shared" si="75"/>
        <v>56.955273989674481</v>
      </c>
      <c r="F184" s="384">
        <f t="shared" si="51"/>
        <v>56.988879002316459</v>
      </c>
      <c r="G184" s="110">
        <f t="shared" si="76"/>
        <v>0.95896249993332705</v>
      </c>
      <c r="H184" s="413" t="b">
        <f>Wh_hp&gt;='2021'!Maxi_hp</f>
        <v>1</v>
      </c>
      <c r="I184" s="379">
        <f>IF(H184,Wh_hp,'2021'!Maxi_hp)</f>
        <v>56.988879002316459</v>
      </c>
      <c r="J184" s="85">
        <f>IF(H184,An,'2021'!An_max)</f>
        <v>2022</v>
      </c>
      <c r="K184" s="196">
        <f t="shared" si="52"/>
        <v>44731</v>
      </c>
      <c r="L184" s="147">
        <f>IF(t&lt;Tvie,1-EXP((T0-t)*PertePVj)+'2021'!Pspv,1-EXP((T0-t)*PertePVj)+Pspv)</f>
        <v>3.0717585250764935E-2</v>
      </c>
      <c r="M184" s="847"/>
      <c r="N184" s="847"/>
      <c r="O184" s="48">
        <f>IF(t&lt;Tnet,'2021'!Resal+('2021'!Salim-'2021'!Resal)*(1-EXP(('2021'!Tnet-t)/('2021'!Tau_j))),Resal+(Salim-Resal)*(1-EXP((Tnet-t)/(Tau_j))))*Salcycl</f>
        <v>4.0588990962836247E-2</v>
      </c>
      <c r="P184" s="338">
        <f>(INDEX(Models!$BJ184:$BT184,,T184)*(1-R184)+INDEX(Models!$BJ184:$BT184,,T184+1)*R184-ERP_i)*Q184*Ramure*Pc/MaxiM</f>
        <v>6.2636587127989831E-4</v>
      </c>
      <c r="Q184" s="304">
        <f t="shared" si="53"/>
        <v>0.5</v>
      </c>
      <c r="R184" s="176">
        <f t="shared" si="54"/>
        <v>0.91209141866690957</v>
      </c>
      <c r="S184" s="814">
        <f t="shared" si="55"/>
        <v>0</v>
      </c>
      <c r="T184" s="175">
        <f t="shared" si="56"/>
        <v>6</v>
      </c>
      <c r="U184" s="250">
        <f t="shared" si="57"/>
        <v>0.91209141866690957</v>
      </c>
      <c r="V184" s="382">
        <f t="shared" si="58"/>
        <v>55.2295377700408</v>
      </c>
      <c r="W184" s="401">
        <f t="shared" si="59"/>
        <v>0</v>
      </c>
      <c r="X184" s="157">
        <f t="shared" si="60"/>
        <v>44731</v>
      </c>
      <c r="Y184" s="384">
        <f t="shared" si="61"/>
        <v>51.438404866836109</v>
      </c>
      <c r="Z184" s="384">
        <f t="shared" si="62"/>
        <v>53.068542340308362</v>
      </c>
      <c r="AA184" s="385">
        <f t="shared" si="63"/>
        <v>56.955273989674481</v>
      </c>
      <c r="AB184" s="196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6.8241821645362563E-2</v>
      </c>
      <c r="AD184" s="230">
        <f>(INDEX(Models!$BJ184:$BT184,,AH184)*(1-AF184)+INDEX(Models!$BJ184:$BT184,,AH184+1)*AF184-ERP_i)*AE184*Ramure*Pc/MaxiM</f>
        <v>6.2636587127989831E-4</v>
      </c>
      <c r="AE184" s="304">
        <f t="shared" si="65"/>
        <v>0.5</v>
      </c>
      <c r="AF184" s="176">
        <f t="shared" si="66"/>
        <v>0.91209141866690957</v>
      </c>
      <c r="AG184" s="814">
        <f t="shared" si="74"/>
        <v>0</v>
      </c>
      <c r="AH184" s="175">
        <f t="shared" si="67"/>
        <v>6</v>
      </c>
      <c r="AI184" s="224">
        <f t="shared" si="68"/>
        <v>0.91209141866690957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8">
        <v>30.426000000000002</v>
      </c>
      <c r="C185" s="843"/>
      <c r="D185" s="392">
        <f t="shared" si="50"/>
        <v>31.390918822030084</v>
      </c>
      <c r="E185" s="384">
        <f t="shared" si="75"/>
        <v>32.722593720120059</v>
      </c>
      <c r="F185" s="384">
        <f t="shared" si="51"/>
        <v>32.730021682200295</v>
      </c>
      <c r="G185" s="110">
        <f t="shared" si="76"/>
        <v>0.55129358026785569</v>
      </c>
      <c r="H185" s="413" t="b">
        <f>Wh_hp&gt;='2021'!Maxi_hp</f>
        <v>0</v>
      </c>
      <c r="I185" s="379">
        <f>IF(H185,Wh_hp,'2021'!Maxi_hp)</f>
        <v>58.21085404536079</v>
      </c>
      <c r="J185" s="85">
        <f>IF(H185,An,'2021'!An_max)</f>
        <v>2020</v>
      </c>
      <c r="K185" s="196">
        <f t="shared" si="52"/>
        <v>44732</v>
      </c>
      <c r="L185" s="147">
        <f>IF(t&lt;Tvie,1-EXP((T0-t)*PertePVj)+'2021'!Pspv,1-EXP((T0-t)*PertePVj)+Pspv)</f>
        <v>3.073878874016598E-2</v>
      </c>
      <c r="M185" s="847"/>
      <c r="N185" s="847"/>
      <c r="O185" s="48">
        <f>IF(t&lt;Tnet,'2021'!Resal+('2021'!Salim-'2021'!Resal)*(1-EXP(('2021'!Tnet-t)/('2021'!Tau_j))),Resal+(Salim-Resal)*(1-EXP((Tnet-t)/(Tau_j))))*Salcycl</f>
        <v>4.0695884607434778E-2</v>
      </c>
      <c r="P185" s="338">
        <f>(INDEX(Models!$BJ185:$BT185,,T185)*(1-R185)+INDEX(Models!$BJ185:$BT185,,T185+1)*R185-ERP_i)*Q185*Ramure*Pc/MaxiM</f>
        <v>6.3161785995758627E-4</v>
      </c>
      <c r="Q185" s="304">
        <f t="shared" si="53"/>
        <v>0.5</v>
      </c>
      <c r="R185" s="176">
        <f t="shared" si="54"/>
        <v>0.91506410551315898</v>
      </c>
      <c r="S185" s="814">
        <f t="shared" si="55"/>
        <v>0</v>
      </c>
      <c r="T185" s="175">
        <f t="shared" si="56"/>
        <v>6</v>
      </c>
      <c r="U185" s="250">
        <f t="shared" si="57"/>
        <v>0.91506410551315898</v>
      </c>
      <c r="V185" s="382">
        <f t="shared" si="58"/>
        <v>55.167855678358094</v>
      </c>
      <c r="W185" s="401">
        <f t="shared" si="59"/>
        <v>0</v>
      </c>
      <c r="X185" s="157">
        <f t="shared" si="60"/>
        <v>44732</v>
      </c>
      <c r="Y185" s="384">
        <f t="shared" si="61"/>
        <v>29.549481879980384</v>
      </c>
      <c r="Z185" s="384">
        <f t="shared" si="62"/>
        <v>30.486603133093837</v>
      </c>
      <c r="AA185" s="385">
        <f t="shared" si="63"/>
        <v>32.722593720120059</v>
      </c>
      <c r="AB185" s="196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6.833170396426691E-2</v>
      </c>
      <c r="AD185" s="230">
        <f>(INDEX(Models!$BJ185:$BT185,,AH185)*(1-AF185)+INDEX(Models!$BJ185:$BT185,,AH185+1)*AF185-ERP_i)*AE185*Ramure*Pc/MaxiM</f>
        <v>6.3161785995758627E-4</v>
      </c>
      <c r="AE185" s="304">
        <f t="shared" si="65"/>
        <v>0.5</v>
      </c>
      <c r="AF185" s="176">
        <f t="shared" si="66"/>
        <v>0.91506410551315898</v>
      </c>
      <c r="AG185" s="814">
        <f t="shared" si="74"/>
        <v>0</v>
      </c>
      <c r="AH185" s="175">
        <f t="shared" si="67"/>
        <v>6</v>
      </c>
      <c r="AI185" s="224">
        <f t="shared" si="68"/>
        <v>0.91506410551315898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8">
        <v>18.620999999999999</v>
      </c>
      <c r="C186" s="843"/>
      <c r="D186" s="392">
        <f t="shared" si="50"/>
        <v>19.211959722867928</v>
      </c>
      <c r="E186" s="384">
        <f t="shared" si="75"/>
        <v>20.029192607017876</v>
      </c>
      <c r="F186" s="384">
        <f t="shared" si="51"/>
        <v>20.029883022334907</v>
      </c>
      <c r="G186" s="110">
        <f t="shared" si="76"/>
        <v>0.3377131784413927</v>
      </c>
      <c r="H186" s="413" t="b">
        <f>Wh_hp&gt;='2021'!Maxi_hp</f>
        <v>0</v>
      </c>
      <c r="I186" s="379">
        <f>IF(H186,Wh_hp,'2021'!Maxi_hp)</f>
        <v>52.532940622341521</v>
      </c>
      <c r="J186" s="85">
        <f>IF(H186,An,'2021'!An_max)</f>
        <v>2020</v>
      </c>
      <c r="K186" s="196">
        <f t="shared" si="52"/>
        <v>44733</v>
      </c>
      <c r="L186" s="147">
        <f>IF(t&lt;Tvie,1-EXP((T0-t)*PertePVj)+'2021'!Pspv,1-EXP((T0-t)*PertePVj)+Pspv)</f>
        <v>3.0759991765156182E-2</v>
      </c>
      <c r="M186" s="847"/>
      <c r="N186" s="847"/>
      <c r="O186" s="48">
        <f>IF(t&lt;Tnet,'2021'!Resal+('2021'!Salim-'2021'!Resal)*(1-EXP(('2021'!Tnet-t)/('2021'!Tau_j))),Resal+(Salim-Resal)*(1-EXP((Tnet-t)/(Tau_j))))*Salcycl</f>
        <v>4.0802088241120804E-2</v>
      </c>
      <c r="P186" s="338">
        <f>(INDEX(Models!$BJ186:$BT186,,T186)*(1-R186)+INDEX(Models!$BJ186:$BT186,,T186+1)*R186-ERP_i)*Q186*Ramure*Pc/MaxiM</f>
        <v>6.3635720094899209E-4</v>
      </c>
      <c r="Q186" s="304">
        <f t="shared" si="53"/>
        <v>0.5</v>
      </c>
      <c r="R186" s="176">
        <f t="shared" si="54"/>
        <v>0.91801214344293502</v>
      </c>
      <c r="S186" s="814">
        <f t="shared" si="55"/>
        <v>0</v>
      </c>
      <c r="T186" s="175">
        <f t="shared" si="56"/>
        <v>6</v>
      </c>
      <c r="U186" s="250">
        <f t="shared" si="57"/>
        <v>0.91801214344293502</v>
      </c>
      <c r="V186" s="382">
        <f t="shared" si="58"/>
        <v>55.105317311776496</v>
      </c>
      <c r="W186" s="401">
        <f t="shared" si="59"/>
        <v>0</v>
      </c>
      <c r="X186" s="157">
        <f t="shared" si="60"/>
        <v>44733</v>
      </c>
      <c r="Y186" s="384">
        <f t="shared" si="61"/>
        <v>18.084842220787149</v>
      </c>
      <c r="Z186" s="384">
        <f t="shared" si="62"/>
        <v>18.658786334793195</v>
      </c>
      <c r="AA186" s="385">
        <f t="shared" si="63"/>
        <v>20.029192607017876</v>
      </c>
      <c r="AB186" s="196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6.8420445053012896E-2</v>
      </c>
      <c r="AD186" s="230">
        <f>(INDEX(Models!$BJ186:$BT186,,AH186)*(1-AF186)+INDEX(Models!$BJ186:$BT186,,AH186+1)*AF186-ERP_i)*AE186*Ramure*Pc/MaxiM</f>
        <v>6.3635720094899209E-4</v>
      </c>
      <c r="AE186" s="304">
        <f t="shared" si="65"/>
        <v>0.5</v>
      </c>
      <c r="AF186" s="176">
        <f t="shared" si="66"/>
        <v>0.91801214344293502</v>
      </c>
      <c r="AG186" s="814">
        <f t="shared" si="74"/>
        <v>0</v>
      </c>
      <c r="AH186" s="175">
        <f t="shared" si="67"/>
        <v>6</v>
      </c>
      <c r="AI186" s="224">
        <f t="shared" si="68"/>
        <v>0.91801214344293502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8">
        <v>44.463000000000001</v>
      </c>
      <c r="C187" s="843"/>
      <c r="D187" s="392">
        <f t="shared" si="50"/>
        <v>45.87509006190664</v>
      </c>
      <c r="E187" s="384">
        <f t="shared" si="75"/>
        <v>47.831772726900638</v>
      </c>
      <c r="F187" s="384">
        <f t="shared" si="51"/>
        <v>47.854010135138665</v>
      </c>
      <c r="G187" s="110">
        <f t="shared" si="76"/>
        <v>0.8076602884564088</v>
      </c>
      <c r="H187" s="413" t="b">
        <f>Wh_hp&gt;='2021'!Maxi_hp</f>
        <v>0</v>
      </c>
      <c r="I187" s="379">
        <f>IF(H187,Wh_hp,'2021'!Maxi_hp)</f>
        <v>59.462179190219061</v>
      </c>
      <c r="J187" s="85">
        <f>IF(H187,An,'2021'!An_max)</f>
        <v>2020</v>
      </c>
      <c r="K187" s="196">
        <f t="shared" si="52"/>
        <v>44734</v>
      </c>
      <c r="L187" s="147">
        <f>IF(t&lt;Tvie,1-EXP((T0-t)*PertePVj)+'2021'!Pspv,1-EXP((T0-t)*PertePVj)+Pspv)</f>
        <v>3.0781194325745755E-2</v>
      </c>
      <c r="M187" s="847"/>
      <c r="N187" s="847"/>
      <c r="O187" s="48">
        <f>IF(t&lt;Tnet,'2021'!Resal+('2021'!Salim-'2021'!Resal)*(1-EXP(('2021'!Tnet-t)/('2021'!Tau_j))),Resal+(Salim-Resal)*(1-EXP((Tnet-t)/(Tau_j))))*Salcycl</f>
        <v>4.090759245252807E-2</v>
      </c>
      <c r="P187" s="338">
        <f>(INDEX(Models!$BJ187:$BT187,,T187)*(1-R187)+INDEX(Models!$BJ187:$BT187,,T187+1)*R187-ERP_i)*Q187*Ramure*Pc/MaxiM</f>
        <v>6.4057368778658503E-4</v>
      </c>
      <c r="Q187" s="304">
        <f t="shared" si="53"/>
        <v>0.5</v>
      </c>
      <c r="R187" s="176">
        <f t="shared" si="54"/>
        <v>0.92093338080698761</v>
      </c>
      <c r="S187" s="814">
        <f t="shared" si="55"/>
        <v>0</v>
      </c>
      <c r="T187" s="175">
        <f t="shared" si="56"/>
        <v>6</v>
      </c>
      <c r="U187" s="250">
        <f t="shared" si="57"/>
        <v>0.92093338080698761</v>
      </c>
      <c r="V187" s="382">
        <f t="shared" si="58"/>
        <v>55.041923940637624</v>
      </c>
      <c r="W187" s="401">
        <f t="shared" si="59"/>
        <v>0</v>
      </c>
      <c r="X187" s="157">
        <f t="shared" si="60"/>
        <v>44734</v>
      </c>
      <c r="Y187" s="384">
        <f t="shared" si="61"/>
        <v>43.183458628678366</v>
      </c>
      <c r="Z187" s="384">
        <f t="shared" si="62"/>
        <v>44.554912034168616</v>
      </c>
      <c r="AA187" s="385">
        <f t="shared" si="63"/>
        <v>47.831772726900638</v>
      </c>
      <c r="AB187" s="196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6.8508033591845471E-2</v>
      </c>
      <c r="AD187" s="230">
        <f>(INDEX(Models!$BJ187:$BT187,,AH187)*(1-AF187)+INDEX(Models!$BJ187:$BT187,,AH187+1)*AF187-ERP_i)*AE187*Ramure*Pc/MaxiM</f>
        <v>6.4057368778658503E-4</v>
      </c>
      <c r="AE187" s="304">
        <f t="shared" si="65"/>
        <v>0.5</v>
      </c>
      <c r="AF187" s="176">
        <f t="shared" si="66"/>
        <v>0.92093338080698761</v>
      </c>
      <c r="AG187" s="814">
        <f t="shared" si="74"/>
        <v>0</v>
      </c>
      <c r="AH187" s="175">
        <f t="shared" si="67"/>
        <v>6</v>
      </c>
      <c r="AI187" s="224">
        <f t="shared" si="68"/>
        <v>0.92093338080698761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8">
        <v>39.917000000000002</v>
      </c>
      <c r="C188" s="843"/>
      <c r="D188" s="392">
        <f t="shared" si="50"/>
        <v>41.185615660455198</v>
      </c>
      <c r="E188" s="384">
        <f t="shared" si="75"/>
        <v>42.946973685761321</v>
      </c>
      <c r="F188" s="384">
        <f t="shared" si="51"/>
        <v>42.963820938862277</v>
      </c>
      <c r="G188" s="110">
        <f t="shared" si="76"/>
        <v>0.72587519411411028</v>
      </c>
      <c r="H188" s="413" t="b">
        <f>Wh_hp&gt;='2021'!Maxi_hp</f>
        <v>0</v>
      </c>
      <c r="I188" s="379">
        <f>IF(H188,Wh_hp,'2021'!Maxi_hp)</f>
        <v>53.377678678761548</v>
      </c>
      <c r="J188" s="85">
        <f>IF(H188,An,'2021'!An_max)</f>
        <v>2019</v>
      </c>
      <c r="K188" s="196">
        <f t="shared" si="52"/>
        <v>44735</v>
      </c>
      <c r="L188" s="147">
        <f>IF(t&lt;Tvie,1-EXP((T0-t)*PertePVj)+'2021'!Pspv,1-EXP((T0-t)*PertePVj)+Pspv)</f>
        <v>3.0802396421944801E-2</v>
      </c>
      <c r="M188" s="847"/>
      <c r="N188" s="847"/>
      <c r="O188" s="48">
        <f>IF(t&lt;Tnet,'2021'!Resal+('2021'!Salim-'2021'!Resal)*(1-EXP(('2021'!Tnet-t)/('2021'!Tau_j))),Resal+(Salim-Resal)*(1-EXP((Tnet-t)/(Tau_j))))*Salcycl</f>
        <v>4.1012389794768872E-2</v>
      </c>
      <c r="P188" s="338">
        <f>(INDEX(Models!$BJ188:$BT188,,T188)*(1-R188)+INDEX(Models!$BJ188:$BT188,,T188+1)*R188-ERP_i)*Q188*Ramure*Pc/MaxiM</f>
        <v>6.4425112980281789E-4</v>
      </c>
      <c r="Q188" s="304">
        <f t="shared" si="53"/>
        <v>0.5</v>
      </c>
      <c r="R188" s="176">
        <f t="shared" si="54"/>
        <v>0.92382574970572073</v>
      </c>
      <c r="S188" s="814">
        <f t="shared" si="55"/>
        <v>0</v>
      </c>
      <c r="T188" s="175">
        <f t="shared" si="56"/>
        <v>6</v>
      </c>
      <c r="U188" s="250">
        <f t="shared" si="57"/>
        <v>0.92382574970572073</v>
      </c>
      <c r="V188" s="382">
        <f t="shared" si="58"/>
        <v>54.977677040289926</v>
      </c>
      <c r="W188" s="401">
        <f t="shared" si="59"/>
        <v>0</v>
      </c>
      <c r="X188" s="157">
        <f t="shared" si="60"/>
        <v>44735</v>
      </c>
      <c r="Y188" s="384">
        <f t="shared" si="61"/>
        <v>38.768920976082875</v>
      </c>
      <c r="Z188" s="384">
        <f t="shared" si="62"/>
        <v>40.001049149272461</v>
      </c>
      <c r="AA188" s="385">
        <f t="shared" si="63"/>
        <v>42.946973685761321</v>
      </c>
      <c r="AB188" s="196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6.8594461580550242E-2</v>
      </c>
      <c r="AD188" s="230">
        <f>(INDEX(Models!$BJ188:$BT188,,AH188)*(1-AF188)+INDEX(Models!$BJ188:$BT188,,AH188+1)*AF188-ERP_i)*AE188*Ramure*Pc/MaxiM</f>
        <v>6.4425112980281789E-4</v>
      </c>
      <c r="AE188" s="304">
        <f t="shared" si="65"/>
        <v>0.5</v>
      </c>
      <c r="AF188" s="176">
        <f t="shared" si="66"/>
        <v>0.92382574970572073</v>
      </c>
      <c r="AG188" s="814">
        <f t="shared" si="74"/>
        <v>0</v>
      </c>
      <c r="AH188" s="175">
        <f t="shared" si="67"/>
        <v>6</v>
      </c>
      <c r="AI188" s="224">
        <f t="shared" si="68"/>
        <v>0.92382574970572073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8">
        <v>43.300000000000004</v>
      </c>
      <c r="C189" s="843"/>
      <c r="D189" s="392">
        <f t="shared" si="50"/>
        <v>44.677109257971807</v>
      </c>
      <c r="E189" s="384">
        <f t="shared" si="75"/>
        <v>46.592842700070655</v>
      </c>
      <c r="F189" s="384">
        <f t="shared" si="51"/>
        <v>46.613902783213994</v>
      </c>
      <c r="G189" s="110">
        <f t="shared" si="76"/>
        <v>0.78837179716530503</v>
      </c>
      <c r="H189" s="413" t="b">
        <f>Wh_hp&gt;='2021'!Maxi_hp</f>
        <v>0</v>
      </c>
      <c r="I189" s="379">
        <f>IF(H189,Wh_hp,'2021'!Maxi_hp)</f>
        <v>58.686977834802818</v>
      </c>
      <c r="J189" s="85">
        <f>IF(H189,An,'2021'!An_max)</f>
        <v>2020</v>
      </c>
      <c r="K189" s="196">
        <f t="shared" si="52"/>
        <v>44736</v>
      </c>
      <c r="L189" s="147">
        <f>IF(t&lt;Tvie,1-EXP((T0-t)*PertePVj)+'2021'!Pspv,1-EXP((T0-t)*PertePVj)+Pspv)</f>
        <v>3.0823598053763536E-2</v>
      </c>
      <c r="M189" s="847"/>
      <c r="N189" s="847"/>
      <c r="O189" s="48">
        <f>IF(t&lt;Tnet,'2021'!Resal+('2021'!Salim-'2021'!Resal)*(1-EXP(('2021'!Tnet-t)/('2021'!Tau_j))),Resal+(Salim-Resal)*(1-EXP((Tnet-t)/(Tau_j))))*Salcycl</f>
        <v>4.1116474786285946E-2</v>
      </c>
      <c r="P189" s="338">
        <f>(INDEX(Models!$BJ189:$BT189,,T189)*(1-R189)+INDEX(Models!$BJ189:$BT189,,T189+1)*R189-ERP_i)*Q189*Ramure*Pc/MaxiM</f>
        <v>6.4737347233182103E-4</v>
      </c>
      <c r="Q189" s="304">
        <f t="shared" si="53"/>
        <v>0.5</v>
      </c>
      <c r="R189" s="176">
        <f t="shared" si="54"/>
        <v>0.92668727113464611</v>
      </c>
      <c r="S189" s="814">
        <f t="shared" si="55"/>
        <v>0</v>
      </c>
      <c r="T189" s="175">
        <f t="shared" si="56"/>
        <v>6</v>
      </c>
      <c r="U189" s="250">
        <f t="shared" si="57"/>
        <v>0.92668727113464611</v>
      </c>
      <c r="V189" s="382">
        <f t="shared" si="58"/>
        <v>54.912577953687617</v>
      </c>
      <c r="W189" s="401">
        <f t="shared" si="59"/>
        <v>0</v>
      </c>
      <c r="X189" s="157">
        <f t="shared" si="60"/>
        <v>44736</v>
      </c>
      <c r="Y189" s="384">
        <f t="shared" si="61"/>
        <v>42.055335060673187</v>
      </c>
      <c r="Z189" s="384">
        <f t="shared" si="62"/>
        <v>43.392859108228826</v>
      </c>
      <c r="AA189" s="385">
        <f t="shared" si="63"/>
        <v>46.592842700070655</v>
      </c>
      <c r="AB189" s="196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6.8679724318193899E-2</v>
      </c>
      <c r="AD189" s="230">
        <f>(INDEX(Models!$BJ189:$BT189,,AH189)*(1-AF189)+INDEX(Models!$BJ189:$BT189,,AH189+1)*AF189-ERP_i)*AE189*Ramure*Pc/MaxiM</f>
        <v>6.4737347233182103E-4</v>
      </c>
      <c r="AE189" s="304">
        <f t="shared" si="65"/>
        <v>0.5</v>
      </c>
      <c r="AF189" s="176">
        <f t="shared" si="66"/>
        <v>0.92668727113464611</v>
      </c>
      <c r="AG189" s="814">
        <f t="shared" si="74"/>
        <v>0</v>
      </c>
      <c r="AH189" s="175">
        <f t="shared" si="67"/>
        <v>6</v>
      </c>
      <c r="AI189" s="224">
        <f t="shared" si="68"/>
        <v>0.92668727113464611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8">
        <v>30.439</v>
      </c>
      <c r="C190" s="843"/>
      <c r="D190" s="392">
        <f t="shared" si="50"/>
        <v>31.407766243776035</v>
      </c>
      <c r="E190" s="384">
        <f t="shared" si="75"/>
        <v>32.758047863181218</v>
      </c>
      <c r="F190" s="384">
        <f t="shared" si="51"/>
        <v>32.765805035038589</v>
      </c>
      <c r="G190" s="110">
        <f t="shared" si="76"/>
        <v>0.55475462103633877</v>
      </c>
      <c r="H190" s="413" t="b">
        <f>Wh_hp&gt;='2021'!Maxi_hp</f>
        <v>0</v>
      </c>
      <c r="I190" s="379">
        <f>IF(H190,Wh_hp,'2021'!Maxi_hp)</f>
        <v>55.730397600386027</v>
      </c>
      <c r="J190" s="85">
        <f>IF(H190,An,'2021'!An_max)</f>
        <v>2020</v>
      </c>
      <c r="K190" s="196">
        <f t="shared" si="52"/>
        <v>44737</v>
      </c>
      <c r="L190" s="147">
        <f>IF(t&lt;Tvie,1-EXP((T0-t)*PertePVj)+'2021'!Pspv,1-EXP((T0-t)*PertePVj)+Pspv)</f>
        <v>3.0844799221212062E-2</v>
      </c>
      <c r="M190" s="847"/>
      <c r="N190" s="847"/>
      <c r="O190" s="48">
        <f>IF(t&lt;Tnet,'2021'!Resal+('2021'!Salim-'2021'!Resal)*(1-EXP(('2021'!Tnet-t)/('2021'!Tau_j))),Resal+(Salim-Resal)*(1-EXP((Tnet-t)/(Tau_j))))*Salcycl</f>
        <v>4.1219843900492291E-2</v>
      </c>
      <c r="P190" s="338">
        <f>(INDEX(Models!$BJ190:$BT190,,T190)*(1-R190)+INDEX(Models!$BJ190:$BT190,,T190+1)*R190-ERP_i)*Q190*Ramure*Pc/MaxiM</f>
        <v>6.4993167498625837E-4</v>
      </c>
      <c r="Q190" s="304">
        <f t="shared" si="53"/>
        <v>0.5</v>
      </c>
      <c r="R190" s="176">
        <f t="shared" si="54"/>
        <v>0.92951605956923167</v>
      </c>
      <c r="S190" s="814">
        <f t="shared" si="55"/>
        <v>0</v>
      </c>
      <c r="T190" s="175">
        <f t="shared" si="56"/>
        <v>6</v>
      </c>
      <c r="U190" s="250">
        <f t="shared" si="57"/>
        <v>0.92951605956923167</v>
      </c>
      <c r="V190" s="382">
        <f t="shared" si="58"/>
        <v>54.846627514033791</v>
      </c>
      <c r="W190" s="401">
        <f t="shared" si="59"/>
        <v>0</v>
      </c>
      <c r="X190" s="157">
        <f t="shared" si="60"/>
        <v>44737</v>
      </c>
      <c r="Y190" s="384">
        <f t="shared" si="61"/>
        <v>29.564543958900149</v>
      </c>
      <c r="Z190" s="384">
        <f t="shared" si="62"/>
        <v>30.505479344425794</v>
      </c>
      <c r="AA190" s="385">
        <f t="shared" si="63"/>
        <v>32.758047863181218</v>
      </c>
      <c r="AB190" s="196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6.8763820364498129E-2</v>
      </c>
      <c r="AD190" s="230">
        <f>(INDEX(Models!$BJ190:$BT190,,AH190)*(1-AF190)+INDEX(Models!$BJ190:$BT190,,AH190+1)*AF190-ERP_i)*AE190*Ramure*Pc/MaxiM</f>
        <v>6.4993167498625837E-4</v>
      </c>
      <c r="AE190" s="304">
        <f t="shared" si="65"/>
        <v>0.5</v>
      </c>
      <c r="AF190" s="176">
        <f t="shared" si="66"/>
        <v>0.92951605956923167</v>
      </c>
      <c r="AG190" s="814">
        <f t="shared" si="74"/>
        <v>0</v>
      </c>
      <c r="AH190" s="175">
        <f t="shared" si="67"/>
        <v>6</v>
      </c>
      <c r="AI190" s="224">
        <f t="shared" si="68"/>
        <v>0.92951605956923167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8">
        <v>11.038</v>
      </c>
      <c r="C191" s="843"/>
      <c r="D191" s="392">
        <f t="shared" si="50"/>
        <v>11.389549844642557</v>
      </c>
      <c r="E191" s="384">
        <f t="shared" si="75"/>
        <v>11.880480966442279</v>
      </c>
      <c r="F191" s="384">
        <f t="shared" si="51"/>
        <v>11.880480966442279</v>
      </c>
      <c r="G191" s="110">
        <f t="shared" si="76"/>
        <v>0.20136697670606346</v>
      </c>
      <c r="H191" s="413" t="b">
        <f>Wh_hp&gt;='2021'!Maxi_hp</f>
        <v>0</v>
      </c>
      <c r="I191" s="379">
        <f>IF(H191,Wh_hp,'2021'!Maxi_hp)</f>
        <v>57.645147266339038</v>
      </c>
      <c r="J191" s="85">
        <f>IF(H191,An,'2021'!An_max)</f>
        <v>2019</v>
      </c>
      <c r="K191" s="196">
        <f t="shared" si="52"/>
        <v>44738</v>
      </c>
      <c r="L191" s="147">
        <f>IF(t&lt;Tvie,1-EXP((T0-t)*PertePVj)+'2021'!Pspv,1-EXP((T0-t)*PertePVj)+Pspv)</f>
        <v>3.0865999924300704E-2</v>
      </c>
      <c r="M191" s="847"/>
      <c r="N191" s="847"/>
      <c r="O191" s="48">
        <f>IF(t&lt;Tnet,'2021'!Resal+('2021'!Salim-'2021'!Resal)*(1-EXP(('2021'!Tnet-t)/('2021'!Tau_j))),Resal+(Salim-Resal)*(1-EXP((Tnet-t)/(Tau_j))))*Salcycl</f>
        <v>4.1322495544280559E-2</v>
      </c>
      <c r="P191" s="338">
        <f>(INDEX(Models!$BJ191:$BT191,,T191)*(1-R191)+INDEX(Models!$BJ191:$BT191,,T191+1)*R191-ERP_i)*Q191*Ramure*Pc/MaxiM</f>
        <v>6.5191997746200244E-4</v>
      </c>
      <c r="Q191" s="304">
        <f t="shared" si="53"/>
        <v>0.5</v>
      </c>
      <c r="R191" s="176">
        <f t="shared" si="54"/>
        <v>0.93231032697373106</v>
      </c>
      <c r="S191" s="814">
        <f t="shared" si="55"/>
        <v>0</v>
      </c>
      <c r="T191" s="175">
        <f t="shared" si="56"/>
        <v>6</v>
      </c>
      <c r="U191" s="250">
        <f t="shared" si="57"/>
        <v>0.93231032697373106</v>
      </c>
      <c r="V191" s="382">
        <f t="shared" si="58"/>
        <v>54.779608293918535</v>
      </c>
      <c r="W191" s="401">
        <f t="shared" si="59"/>
        <v>0</v>
      </c>
      <c r="X191" s="157">
        <f t="shared" si="60"/>
        <v>44738</v>
      </c>
      <c r="Y191" s="384">
        <f t="shared" si="61"/>
        <v>10.721091826353364</v>
      </c>
      <c r="Z191" s="384">
        <f t="shared" si="62"/>
        <v>11.062548445845401</v>
      </c>
      <c r="AA191" s="385">
        <f t="shared" si="63"/>
        <v>11.880480966442279</v>
      </c>
      <c r="AB191" s="196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6.8846751483144286E-2</v>
      </c>
      <c r="AD191" s="230">
        <f>(INDEX(Models!$BJ191:$BT191,,AH191)*(1-AF191)+INDEX(Models!$BJ191:$BT191,,AH191+1)*AF191-ERP_i)*AE191*Ramure*Pc/MaxiM</f>
        <v>6.5191997746200244E-4</v>
      </c>
      <c r="AE191" s="304">
        <f t="shared" si="65"/>
        <v>0.5</v>
      </c>
      <c r="AF191" s="176">
        <f t="shared" si="66"/>
        <v>0.93231032697373106</v>
      </c>
      <c r="AG191" s="814">
        <f t="shared" si="74"/>
        <v>0</v>
      </c>
      <c r="AH191" s="175">
        <f t="shared" si="67"/>
        <v>6</v>
      </c>
      <c r="AI191" s="224">
        <f t="shared" si="68"/>
        <v>0.93231032697373106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8">
        <v>16.463999999999999</v>
      </c>
      <c r="C192" s="843"/>
      <c r="D192" s="392">
        <f t="shared" si="50"/>
        <v>16.98873444120213</v>
      </c>
      <c r="E192" s="384">
        <f t="shared" si="75"/>
        <v>17.722895276431199</v>
      </c>
      <c r="F192" s="384">
        <f t="shared" si="51"/>
        <v>17.72291056524255</v>
      </c>
      <c r="G192" s="110">
        <f t="shared" si="76"/>
        <v>0.30072830839962322</v>
      </c>
      <c r="H192" s="413" t="b">
        <f>Wh_hp&gt;='2021'!Maxi_hp</f>
        <v>0</v>
      </c>
      <c r="I192" s="379">
        <f>IF(H192,Wh_hp,'2021'!Maxi_hp)</f>
        <v>57.559954834573851</v>
      </c>
      <c r="J192" s="85">
        <f>IF(H192,An,'2021'!An_max)</f>
        <v>2019</v>
      </c>
      <c r="K192" s="196">
        <f t="shared" si="52"/>
        <v>44739</v>
      </c>
      <c r="L192" s="147">
        <f>IF(t&lt;Tvie,1-EXP((T0-t)*PertePVj)+'2021'!Pspv,1-EXP((T0-t)*PertePVj)+Pspv)</f>
        <v>3.0887200163039454E-2</v>
      </c>
      <c r="M192" s="847"/>
      <c r="N192" s="847"/>
      <c r="O192" s="48">
        <f>IF(t&lt;Tnet,'2021'!Resal+('2021'!Salim-'2021'!Resal)*(1-EXP(('2021'!Tnet-t)/('2021'!Tau_j))),Resal+(Salim-Resal)*(1-EXP((Tnet-t)/(Tau_j))))*Salcycl</f>
        <v>4.142443002557223E-2</v>
      </c>
      <c r="P192" s="338">
        <f>(INDEX(Models!$BJ192:$BT192,,T192)*(1-R192)+INDEX(Models!$BJ192:$BT192,,T192+1)*R192-ERP_i)*Q192*Ramure*Pc/MaxiM</f>
        <v>6.5311390533998167E-4</v>
      </c>
      <c r="Q192" s="304">
        <f t="shared" si="53"/>
        <v>0.5</v>
      </c>
      <c r="R192" s="176">
        <f t="shared" si="54"/>
        <v>0.93506838622436139</v>
      </c>
      <c r="S192" s="814">
        <f t="shared" si="55"/>
        <v>0</v>
      </c>
      <c r="T192" s="175">
        <f t="shared" si="56"/>
        <v>6</v>
      </c>
      <c r="U192" s="250">
        <f t="shared" si="57"/>
        <v>0.93506838622436139</v>
      </c>
      <c r="V192" s="382">
        <f t="shared" si="58"/>
        <v>54.711381890715664</v>
      </c>
      <c r="W192" s="401">
        <f t="shared" si="59"/>
        <v>0</v>
      </c>
      <c r="X192" s="157">
        <f t="shared" si="60"/>
        <v>44739</v>
      </c>
      <c r="Y192" s="384">
        <f t="shared" si="61"/>
        <v>15.991603880389375</v>
      </c>
      <c r="Z192" s="384">
        <f t="shared" si="62"/>
        <v>16.501282289409176</v>
      </c>
      <c r="AA192" s="385">
        <f t="shared" si="63"/>
        <v>17.722895276431199</v>
      </c>
      <c r="AB192" s="196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6.8928522567449094E-2</v>
      </c>
      <c r="AD192" s="230">
        <f>(INDEX(Models!$BJ192:$BT192,,AH192)*(1-AF192)+INDEX(Models!$BJ192:$BT192,,AH192+1)*AF192-ERP_i)*AE192*Ramure*Pc/MaxiM</f>
        <v>6.5311390533998167E-4</v>
      </c>
      <c r="AE192" s="304">
        <f t="shared" si="65"/>
        <v>0.5</v>
      </c>
      <c r="AF192" s="176">
        <f t="shared" si="66"/>
        <v>0.93506838622436139</v>
      </c>
      <c r="AG192" s="814">
        <f t="shared" si="74"/>
        <v>0</v>
      </c>
      <c r="AH192" s="175">
        <f t="shared" si="67"/>
        <v>6</v>
      </c>
      <c r="AI192" s="224">
        <f t="shared" si="68"/>
        <v>0.93506838622436139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8">
        <v>54.465000000000003</v>
      </c>
      <c r="C193" s="843"/>
      <c r="D193" s="392">
        <f t="shared" si="50"/>
        <v>56.202117525818942</v>
      </c>
      <c r="E193" s="384">
        <f t="shared" si="75"/>
        <v>58.637059507222482</v>
      </c>
      <c r="F193" s="384">
        <f t="shared" si="51"/>
        <v>58.675240377645331</v>
      </c>
      <c r="G193" s="110">
        <f t="shared" si="76"/>
        <v>0.99675704943742305</v>
      </c>
      <c r="H193" s="413" t="b">
        <f>Wh_hp&gt;='2021'!Maxi_hp</f>
        <v>1</v>
      </c>
      <c r="I193" s="379">
        <f>IF(H193,Wh_hp,'2021'!Maxi_hp)</f>
        <v>58.675240377645331</v>
      </c>
      <c r="J193" s="85">
        <f>IF(H193,An,'2021'!An_max)</f>
        <v>2022</v>
      </c>
      <c r="K193" s="196">
        <f t="shared" si="52"/>
        <v>44740</v>
      </c>
      <c r="L193" s="147">
        <f>IF(t&lt;Tvie,1-EXP((T0-t)*PertePVj)+'2021'!Pspv,1-EXP((T0-t)*PertePVj)+Pspv)</f>
        <v>3.0908399937438526E-2</v>
      </c>
      <c r="M193" s="847"/>
      <c r="N193" s="847"/>
      <c r="O193" s="48">
        <f>IF(t&lt;Tnet,'2021'!Resal+('2021'!Salim-'2021'!Resal)*(1-EXP(('2021'!Tnet-t)/('2021'!Tau_j))),Resal+(Salim-Resal)*(1-EXP((Tnet-t)/(Tau_j))))*Salcycl</f>
        <v>4.1525649510163819E-2</v>
      </c>
      <c r="P193" s="338">
        <f>(INDEX(Models!$BJ193:$BT193,,T193)*(1-R193)+INDEX(Models!$BJ193:$BT193,,T193+1)*R193-ERP_i)*Q193*Ramure*Pc/MaxiM</f>
        <v>6.5374101798890507E-4</v>
      </c>
      <c r="Q193" s="304">
        <f t="shared" si="53"/>
        <v>0.5</v>
      </c>
      <c r="R193" s="176">
        <f t="shared" si="54"/>
        <v>0.93778865394285904</v>
      </c>
      <c r="S193" s="814">
        <f t="shared" si="55"/>
        <v>0</v>
      </c>
      <c r="T193" s="175">
        <f t="shared" si="56"/>
        <v>6</v>
      </c>
      <c r="U193" s="250">
        <f t="shared" si="57"/>
        <v>0.93778865394285904</v>
      </c>
      <c r="V193" s="382">
        <f t="shared" si="58"/>
        <v>54.64203651423967</v>
      </c>
      <c r="W193" s="401">
        <f t="shared" si="59"/>
        <v>0</v>
      </c>
      <c r="X193" s="157">
        <f t="shared" si="60"/>
        <v>44740</v>
      </c>
      <c r="Y193" s="384">
        <f t="shared" si="61"/>
        <v>52.903259309568753</v>
      </c>
      <c r="Z193" s="384">
        <f t="shared" si="62"/>
        <v>54.590566367672039</v>
      </c>
      <c r="AA193" s="385">
        <f t="shared" si="63"/>
        <v>58.637059507222482</v>
      </c>
      <c r="AB193" s="196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6.9009141548989655E-2</v>
      </c>
      <c r="AD193" s="230">
        <f>(INDEX(Models!$BJ193:$BT193,,AH193)*(1-AF193)+INDEX(Models!$BJ193:$BT193,,AH193+1)*AF193-ERP_i)*AE193*Ramure*Pc/MaxiM</f>
        <v>6.5374101798890507E-4</v>
      </c>
      <c r="AE193" s="304">
        <f t="shared" si="65"/>
        <v>0.5</v>
      </c>
      <c r="AF193" s="176">
        <f t="shared" si="66"/>
        <v>0.93778865394285904</v>
      </c>
      <c r="AG193" s="814">
        <f t="shared" si="74"/>
        <v>0</v>
      </c>
      <c r="AH193" s="175">
        <f t="shared" si="67"/>
        <v>6</v>
      </c>
      <c r="AI193" s="224">
        <f t="shared" si="68"/>
        <v>0.93778865394285904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8">
        <v>52.268000000000001</v>
      </c>
      <c r="C194" s="843"/>
      <c r="D194" s="392">
        <f t="shared" si="50"/>
        <v>53.936225850478394</v>
      </c>
      <c r="E194" s="384">
        <f t="shared" si="75"/>
        <v>56.278900242239146</v>
      </c>
      <c r="F194" s="384">
        <f t="shared" si="51"/>
        <v>56.313497394774842</v>
      </c>
      <c r="G194" s="110">
        <f t="shared" si="76"/>
        <v>0.95774849832364317</v>
      </c>
      <c r="H194" s="413" t="b">
        <f>Wh_hp&gt;='2021'!Maxi_hp</f>
        <v>1</v>
      </c>
      <c r="I194" s="379">
        <f>IF(H194,Wh_hp,'2021'!Maxi_hp)</f>
        <v>56.313497394774842</v>
      </c>
      <c r="J194" s="85">
        <f>IF(H194,An,'2021'!An_max)</f>
        <v>2022</v>
      </c>
      <c r="K194" s="196">
        <f t="shared" si="52"/>
        <v>44741</v>
      </c>
      <c r="L194" s="147">
        <f>IF(t&lt;Tvie,1-EXP((T0-t)*PertePVj)+'2021'!Pspv,1-EXP((T0-t)*PertePVj)+Pspv)</f>
        <v>3.0929599247508245E-2</v>
      </c>
      <c r="M194" s="847"/>
      <c r="N194" s="847"/>
      <c r="O194" s="48">
        <f>IF(t&lt;Tnet,'2021'!Resal+('2021'!Salim-'2021'!Resal)*(1-EXP(('2021'!Tnet-t)/('2021'!Tau_j))),Resal+(Salim-Resal)*(1-EXP((Tnet-t)/(Tau_j))))*Salcycl</f>
        <v>4.1626157968213104E-2</v>
      </c>
      <c r="P194" s="338">
        <f>(INDEX(Models!$BJ194:$BT194,,T194)*(1-R194)+INDEX(Models!$BJ194:$BT194,,T194+1)*R194-ERP_i)*Q194*Ramure*Pc/MaxiM</f>
        <v>6.5379422820994386E-4</v>
      </c>
      <c r="Q194" s="304">
        <f t="shared" si="53"/>
        <v>0.5</v>
      </c>
      <c r="R194" s="176">
        <f t="shared" si="54"/>
        <v>0.9404696527419224</v>
      </c>
      <c r="S194" s="814">
        <f t="shared" si="55"/>
        <v>0</v>
      </c>
      <c r="T194" s="175">
        <f t="shared" si="56"/>
        <v>6</v>
      </c>
      <c r="U194" s="250">
        <f t="shared" si="57"/>
        <v>0.9404696527419224</v>
      </c>
      <c r="V194" s="382">
        <f t="shared" si="58"/>
        <v>54.571673085868646</v>
      </c>
      <c r="W194" s="401">
        <f t="shared" si="59"/>
        <v>0</v>
      </c>
      <c r="X194" s="157">
        <f t="shared" si="60"/>
        <v>44741</v>
      </c>
      <c r="Y194" s="384">
        <f t="shared" si="61"/>
        <v>50.770246341241581</v>
      </c>
      <c r="Z194" s="384">
        <f t="shared" si="62"/>
        <v>52.390668729349322</v>
      </c>
      <c r="AA194" s="385">
        <f t="shared" si="63"/>
        <v>56.278900242239146</v>
      </c>
      <c r="AB194" s="196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6.9088619289891198E-2</v>
      </c>
      <c r="AD194" s="230">
        <f>(INDEX(Models!$BJ194:$BT194,,AH194)*(1-AF194)+INDEX(Models!$BJ194:$BT194,,AH194+1)*AF194-ERP_i)*AE194*Ramure*Pc/MaxiM</f>
        <v>6.5379422820994386E-4</v>
      </c>
      <c r="AE194" s="304">
        <f t="shared" si="65"/>
        <v>0.5</v>
      </c>
      <c r="AF194" s="176">
        <f t="shared" si="66"/>
        <v>0.9404696527419224</v>
      </c>
      <c r="AG194" s="814">
        <f t="shared" si="74"/>
        <v>0</v>
      </c>
      <c r="AH194" s="175">
        <f t="shared" si="67"/>
        <v>6</v>
      </c>
      <c r="AI194" s="224">
        <f t="shared" si="68"/>
        <v>0.9404696527419224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8">
        <v>12.622</v>
      </c>
      <c r="C195" s="843"/>
      <c r="D195" s="392">
        <f t="shared" si="50"/>
        <v>13.02513842967357</v>
      </c>
      <c r="E195" s="384">
        <f t="shared" si="75"/>
        <v>13.592289784633799</v>
      </c>
      <c r="F195" s="384">
        <f t="shared" si="51"/>
        <v>13.592289784633799</v>
      </c>
      <c r="G195" s="110">
        <f t="shared" si="76"/>
        <v>0.2314433699089764</v>
      </c>
      <c r="H195" s="413" t="b">
        <f>Wh_hp&gt;='2021'!Maxi_hp</f>
        <v>0</v>
      </c>
      <c r="I195" s="379">
        <f>IF(H195,Wh_hp,'2021'!Maxi_hp)</f>
        <v>52.079984666293029</v>
      </c>
      <c r="J195" s="85">
        <f>IF(H195,An,'2021'!An_max)</f>
        <v>2019</v>
      </c>
      <c r="K195" s="196">
        <f t="shared" si="52"/>
        <v>44742</v>
      </c>
      <c r="L195" s="147">
        <f>IF(t&lt;Tvie,1-EXP((T0-t)*PertePVj)+'2021'!Pspv,1-EXP((T0-t)*PertePVj)+Pspv)</f>
        <v>3.0950798093258604E-2</v>
      </c>
      <c r="M195" s="847"/>
      <c r="N195" s="847"/>
      <c r="O195" s="48">
        <f>IF(t&lt;Tnet,'2021'!Resal+('2021'!Salim-'2021'!Resal)*(1-EXP(('2021'!Tnet-t)/('2021'!Tau_j))),Resal+(Salim-Resal)*(1-EXP((Tnet-t)/(Tau_j))))*Salcycl</f>
        <v>4.1725961110790806E-2</v>
      </c>
      <c r="P195" s="338">
        <f>(INDEX(Models!$BJ195:$BT195,,T195)*(1-R195)+INDEX(Models!$BJ195:$BT195,,T195+1)*R195-ERP_i)*Q195*Ramure*Pc/MaxiM</f>
        <v>6.5326707583019609E-4</v>
      </c>
      <c r="Q195" s="304">
        <f t="shared" si="53"/>
        <v>0.5</v>
      </c>
      <c r="R195" s="176">
        <f t="shared" si="54"/>
        <v>0.94311001288925578</v>
      </c>
      <c r="S195" s="814">
        <f t="shared" si="55"/>
        <v>0</v>
      </c>
      <c r="T195" s="175">
        <f t="shared" si="56"/>
        <v>6</v>
      </c>
      <c r="U195" s="250">
        <f t="shared" si="57"/>
        <v>0.94311001288925578</v>
      </c>
      <c r="V195" s="382">
        <f t="shared" si="58"/>
        <v>54.500392333250645</v>
      </c>
      <c r="W195" s="401">
        <f t="shared" si="59"/>
        <v>0</v>
      </c>
      <c r="X195" s="157">
        <f t="shared" si="60"/>
        <v>44742</v>
      </c>
      <c r="Y195" s="384">
        <f t="shared" si="61"/>
        <v>12.260558081172279</v>
      </c>
      <c r="Z195" s="384">
        <f t="shared" si="62"/>
        <v>12.652152292213746</v>
      </c>
      <c r="AA195" s="385">
        <f t="shared" si="63"/>
        <v>13.592289784633799</v>
      </c>
      <c r="AB195" s="196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6.9166969459618685E-2</v>
      </c>
      <c r="AD195" s="230">
        <f>(INDEX(Models!$BJ195:$BT195,,AH195)*(1-AF195)+INDEX(Models!$BJ195:$BT195,,AH195+1)*AF195-ERP_i)*AE195*Ramure*Pc/MaxiM</f>
        <v>6.5326707583019609E-4</v>
      </c>
      <c r="AE195" s="304">
        <f t="shared" si="65"/>
        <v>0.5</v>
      </c>
      <c r="AF195" s="176">
        <f t="shared" si="66"/>
        <v>0.94311001288925578</v>
      </c>
      <c r="AG195" s="814">
        <f t="shared" si="74"/>
        <v>0</v>
      </c>
      <c r="AH195" s="175">
        <f t="shared" si="67"/>
        <v>6</v>
      </c>
      <c r="AI195" s="224">
        <f t="shared" si="68"/>
        <v>0.94311001288925578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8">
        <v>49.521000000000001</v>
      </c>
      <c r="C196" s="843"/>
      <c r="D196" s="392">
        <f t="shared" si="50"/>
        <v>51.103786288779915</v>
      </c>
      <c r="E196" s="384">
        <f t="shared" si="75"/>
        <v>53.33450551910083</v>
      </c>
      <c r="F196" s="384">
        <f t="shared" si="51"/>
        <v>53.364825045434749</v>
      </c>
      <c r="G196" s="110">
        <f t="shared" si="76"/>
        <v>0.90976280170381363</v>
      </c>
      <c r="H196" s="413" t="b">
        <f>Wh_hp&gt;='2021'!Maxi_hp</f>
        <v>0</v>
      </c>
      <c r="I196" s="379">
        <f>IF(H196,Wh_hp,'2021'!Maxi_hp)</f>
        <v>57.002748716265671</v>
      </c>
      <c r="J196" s="85">
        <f>IF(H196,An,'2021'!An_max)</f>
        <v>2020</v>
      </c>
      <c r="K196" s="196">
        <f t="shared" si="52"/>
        <v>44743</v>
      </c>
      <c r="L196" s="147">
        <f>IF(t&lt;Tvie,1-EXP((T0-t)*PertePVj)+'2021'!Pspv,1-EXP((T0-t)*PertePVj)+Pspv)</f>
        <v>3.0971996474699927E-2</v>
      </c>
      <c r="M196" s="847"/>
      <c r="N196" s="847"/>
      <c r="O196" s="48">
        <f>IF(t&lt;Tnet,'2021'!Resal+('2021'!Salim-'2021'!Resal)*(1-EXP(('2021'!Tnet-t)/('2021'!Tau_j))),Resal+(Salim-Resal)*(1-EXP((Tnet-t)/(Tau_j))))*Salcycl</f>
        <v>4.1825066317002245E-2</v>
      </c>
      <c r="P196" s="338">
        <f>(INDEX(Models!$BJ196:$BT196,,T196)*(1-R196)+INDEX(Models!$BJ196:$BT196,,T196+1)*R196-ERP_i)*Q196*Ramure*Pc/MaxiM</f>
        <v>6.521537193779082E-4</v>
      </c>
      <c r="Q196" s="304">
        <f t="shared" si="53"/>
        <v>0.5</v>
      </c>
      <c r="R196" s="176">
        <f t="shared" si="54"/>
        <v>0.94570847340182151</v>
      </c>
      <c r="S196" s="814">
        <f t="shared" si="55"/>
        <v>0</v>
      </c>
      <c r="T196" s="175">
        <f t="shared" si="56"/>
        <v>6</v>
      </c>
      <c r="U196" s="250">
        <f t="shared" si="57"/>
        <v>0.94570847340182151</v>
      </c>
      <c r="V196" s="382">
        <f t="shared" si="58"/>
        <v>54.428294796950233</v>
      </c>
      <c r="W196" s="401">
        <f t="shared" si="59"/>
        <v>0</v>
      </c>
      <c r="X196" s="157">
        <f t="shared" si="60"/>
        <v>44743</v>
      </c>
      <c r="Y196" s="384">
        <f t="shared" si="61"/>
        <v>48.103906641341553</v>
      </c>
      <c r="Z196" s="384">
        <f t="shared" si="62"/>
        <v>49.641399904172765</v>
      </c>
      <c r="AA196" s="385">
        <f t="shared" si="63"/>
        <v>53.33450551910083</v>
      </c>
      <c r="AB196" s="196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6.9244208397234372E-2</v>
      </c>
      <c r="AD196" s="230">
        <f>(INDEX(Models!$BJ196:$BT196,,AH196)*(1-AF196)+INDEX(Models!$BJ196:$BT196,,AH196+1)*AF196-ERP_i)*AE196*Ramure*Pc/MaxiM</f>
        <v>6.521537193779082E-4</v>
      </c>
      <c r="AE196" s="304">
        <f t="shared" si="65"/>
        <v>0.5</v>
      </c>
      <c r="AF196" s="176">
        <f t="shared" si="66"/>
        <v>0.94570847340182151</v>
      </c>
      <c r="AG196" s="814">
        <f t="shared" si="74"/>
        <v>0</v>
      </c>
      <c r="AH196" s="175">
        <f t="shared" si="67"/>
        <v>6</v>
      </c>
      <c r="AI196" s="224">
        <f t="shared" si="68"/>
        <v>0.94570847340182151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8">
        <v>47.465000000000003</v>
      </c>
      <c r="C197" s="843"/>
      <c r="D197" s="392">
        <f t="shared" si="50"/>
        <v>48.983144107239291</v>
      </c>
      <c r="E197" s="384">
        <f t="shared" si="75"/>
        <v>51.126547008716429</v>
      </c>
      <c r="F197" s="384">
        <f t="shared" si="51"/>
        <v>51.153794354440024</v>
      </c>
      <c r="G197" s="110">
        <f t="shared" si="76"/>
        <v>0.87313009139849573</v>
      </c>
      <c r="H197" s="413" t="b">
        <f>Wh_hp&gt;='2021'!Maxi_hp</f>
        <v>0</v>
      </c>
      <c r="I197" s="379">
        <f>IF(H197,Wh_hp,'2021'!Maxi_hp)</f>
        <v>53.87379302070552</v>
      </c>
      <c r="J197" s="85">
        <f>IF(H197,An,'2021'!An_max)</f>
        <v>2021</v>
      </c>
      <c r="K197" s="196">
        <f t="shared" si="52"/>
        <v>44744</v>
      </c>
      <c r="L197" s="147">
        <f>IF(t&lt;Tvie,1-EXP((T0-t)*PertePVj)+'2021'!Pspv,1-EXP((T0-t)*PertePVj)+Pspv)</f>
        <v>3.0993194391842206E-2</v>
      </c>
      <c r="M197" s="847"/>
      <c r="N197" s="847"/>
      <c r="O197" s="48">
        <f>IF(t&lt;Tnet,'2021'!Resal+('2021'!Salim-'2021'!Resal)*(1-EXP(('2021'!Tnet-t)/('2021'!Tau_j))),Resal+(Salim-Resal)*(1-EXP((Tnet-t)/(Tau_j))))*Salcycl</f>
        <v>4.1923482552258272E-2</v>
      </c>
      <c r="P197" s="338">
        <f>(INDEX(Models!$BJ197:$BT197,,T197)*(1-R197)+INDEX(Models!$BJ197:$BT197,,T197+1)*R197-ERP_i)*Q197*Ramure*Pc/MaxiM</f>
        <v>6.5044892377011843E-4</v>
      </c>
      <c r="Q197" s="304">
        <f t="shared" si="53"/>
        <v>0.5</v>
      </c>
      <c r="R197" s="176">
        <f t="shared" si="54"/>
        <v>0.94826388258641792</v>
      </c>
      <c r="S197" s="814">
        <f t="shared" si="55"/>
        <v>0</v>
      </c>
      <c r="T197" s="175">
        <f t="shared" si="56"/>
        <v>6</v>
      </c>
      <c r="U197" s="250">
        <f t="shared" si="57"/>
        <v>0.94826388258641792</v>
      </c>
      <c r="V197" s="382">
        <f t="shared" si="58"/>
        <v>54.355480837387326</v>
      </c>
      <c r="W197" s="401">
        <f t="shared" si="59"/>
        <v>0</v>
      </c>
      <c r="X197" s="157">
        <f t="shared" si="60"/>
        <v>44744</v>
      </c>
      <c r="Y197" s="384">
        <f t="shared" si="61"/>
        <v>46.107704914314233</v>
      </c>
      <c r="Z197" s="384">
        <f t="shared" si="62"/>
        <v>47.582436622183067</v>
      </c>
      <c r="AA197" s="385">
        <f t="shared" si="63"/>
        <v>51.126547008716429</v>
      </c>
      <c r="AB197" s="196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6.9320354960195826E-2</v>
      </c>
      <c r="AD197" s="230">
        <f>(INDEX(Models!$BJ197:$BT197,,AH197)*(1-AF197)+INDEX(Models!$BJ197:$BT197,,AH197+1)*AF197-ERP_i)*AE197*Ramure*Pc/MaxiM</f>
        <v>6.5044892377011843E-4</v>
      </c>
      <c r="AE197" s="304">
        <f t="shared" si="65"/>
        <v>0.5</v>
      </c>
      <c r="AF197" s="176">
        <f t="shared" si="66"/>
        <v>0.94826388258641792</v>
      </c>
      <c r="AG197" s="814">
        <f t="shared" si="74"/>
        <v>0</v>
      </c>
      <c r="AH197" s="175">
        <f t="shared" si="67"/>
        <v>6</v>
      </c>
      <c r="AI197" s="224">
        <f t="shared" si="68"/>
        <v>0.94826388258641792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8">
        <v>43.1</v>
      </c>
      <c r="C198" s="843"/>
      <c r="D198" s="392">
        <f t="shared" si="50"/>
        <v>44.479504790634763</v>
      </c>
      <c r="E198" s="384">
        <f t="shared" si="75"/>
        <v>46.430574175722818</v>
      </c>
      <c r="F198" s="384">
        <f t="shared" si="51"/>
        <v>46.45181506185299</v>
      </c>
      <c r="G198" s="110">
        <f t="shared" si="76"/>
        <v>0.79384932506871642</v>
      </c>
      <c r="H198" s="413" t="b">
        <f>Wh_hp&gt;='2021'!Maxi_hp</f>
        <v>0</v>
      </c>
      <c r="I198" s="379">
        <f>IF(H198,Wh_hp,'2021'!Maxi_hp)</f>
        <v>50.483737643611768</v>
      </c>
      <c r="J198" s="85">
        <f>IF(H198,An,'2021'!An_max)</f>
        <v>2019</v>
      </c>
      <c r="K198" s="196">
        <f t="shared" si="52"/>
        <v>44745</v>
      </c>
      <c r="L198" s="147">
        <f>IF(t&lt;Tvie,1-EXP((T0-t)*PertePVj)+'2021'!Pspv,1-EXP((T0-t)*PertePVj)+Pspv)</f>
        <v>3.1014391844695656E-2</v>
      </c>
      <c r="M198" s="847"/>
      <c r="N198" s="847"/>
      <c r="O198" s="48">
        <f>IF(t&lt;Tnet,'2021'!Resal+('2021'!Salim-'2021'!Resal)*(1-EXP(('2021'!Tnet-t)/('2021'!Tau_j))),Resal+(Salim-Resal)*(1-EXP((Tnet-t)/(Tau_j))))*Salcycl</f>
        <v>4.2021220278344283E-2</v>
      </c>
      <c r="P198" s="338">
        <f>(INDEX(Models!$BJ198:$BT198,,T198)*(1-R198)+INDEX(Models!$BJ198:$BT198,,T198+1)*R198-ERP_i)*Q198*Ramure*Pc/MaxiM</f>
        <v>6.4794826947792269E-4</v>
      </c>
      <c r="Q198" s="304">
        <f t="shared" si="53"/>
        <v>0.5</v>
      </c>
      <c r="R198" s="176">
        <f t="shared" si="54"/>
        <v>0.95077519804679578</v>
      </c>
      <c r="S198" s="814">
        <f t="shared" si="55"/>
        <v>0</v>
      </c>
      <c r="T198" s="175">
        <f t="shared" si="56"/>
        <v>6</v>
      </c>
      <c r="U198" s="250">
        <f t="shared" si="57"/>
        <v>0.95077519804679578</v>
      </c>
      <c r="V198" s="382">
        <f t="shared" si="58"/>
        <v>54.282061495201177</v>
      </c>
      <c r="W198" s="401">
        <f t="shared" si="59"/>
        <v>0</v>
      </c>
      <c r="X198" s="157">
        <f t="shared" si="60"/>
        <v>44745</v>
      </c>
      <c r="Y198" s="384">
        <f t="shared" si="61"/>
        <v>41.868419009344059</v>
      </c>
      <c r="Z198" s="384">
        <f t="shared" si="62"/>
        <v>43.208504498896119</v>
      </c>
      <c r="AA198" s="385">
        <f t="shared" si="63"/>
        <v>46.430574175722818</v>
      </c>
      <c r="AB198" s="196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6.9395430360872506E-2</v>
      </c>
      <c r="AD198" s="230">
        <f>(INDEX(Models!$BJ198:$BT198,,AH198)*(1-AF198)+INDEX(Models!$BJ198:$BT198,,AH198+1)*AF198-ERP_i)*AE198*Ramure*Pc/MaxiM</f>
        <v>6.4794826947792269E-4</v>
      </c>
      <c r="AE198" s="304">
        <f t="shared" si="65"/>
        <v>0.5</v>
      </c>
      <c r="AF198" s="176">
        <f t="shared" si="66"/>
        <v>0.95077519804679578</v>
      </c>
      <c r="AG198" s="814">
        <f t="shared" si="74"/>
        <v>0</v>
      </c>
      <c r="AH198" s="175">
        <f t="shared" si="67"/>
        <v>6</v>
      </c>
      <c r="AI198" s="224">
        <f t="shared" si="68"/>
        <v>0.95077519804679578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8">
        <v>44.157000000000004</v>
      </c>
      <c r="C199" s="843"/>
      <c r="D199" s="392">
        <f t="shared" si="50"/>
        <v>45.571333158490923</v>
      </c>
      <c r="E199" s="384">
        <f t="shared" si="75"/>
        <v>47.575115744722567</v>
      </c>
      <c r="F199" s="384">
        <f t="shared" si="51"/>
        <v>47.597680431516388</v>
      </c>
      <c r="G199" s="110">
        <f t="shared" si="76"/>
        <v>0.81444349362875557</v>
      </c>
      <c r="H199" s="413" t="b">
        <f>Wh_hp&gt;='2021'!Maxi_hp</f>
        <v>0</v>
      </c>
      <c r="I199" s="379">
        <f>IF(H199,Wh_hp,'2021'!Maxi_hp)</f>
        <v>48.796596745729502</v>
      </c>
      <c r="J199" s="85">
        <f>IF(H199,An,'2021'!An_max)</f>
        <v>2020</v>
      </c>
      <c r="K199" s="196">
        <f t="shared" si="52"/>
        <v>44746</v>
      </c>
      <c r="L199" s="147">
        <f>IF(t&lt;Tvie,1-EXP((T0-t)*PertePVj)+'2021'!Pspv,1-EXP((T0-t)*PertePVj)+Pspv)</f>
        <v>3.1035588833270601E-2</v>
      </c>
      <c r="M199" s="847"/>
      <c r="N199" s="847"/>
      <c r="O199" s="48">
        <f>IF(t&lt;Tnet,'2021'!Resal+('2021'!Salim-'2021'!Resal)*(1-EXP(('2021'!Tnet-t)/('2021'!Tau_j))),Resal+(Salim-Resal)*(1-EXP((Tnet-t)/(Tau_j))))*Salcycl</f>
        <v>4.2118291356000009E-2</v>
      </c>
      <c r="P199" s="338">
        <f>(INDEX(Models!$BJ199:$BT199,,T199)*(1-R199)+INDEX(Models!$BJ199:$BT199,,T199+1)*R199-ERP_i)*Q199*Ramure*Pc/MaxiM</f>
        <v>6.4489108602034891E-4</v>
      </c>
      <c r="Q199" s="304">
        <f t="shared" si="53"/>
        <v>0.5</v>
      </c>
      <c r="R199" s="176">
        <f t="shared" si="54"/>
        <v>0.95324148618116999</v>
      </c>
      <c r="S199" s="814">
        <f t="shared" si="55"/>
        <v>0</v>
      </c>
      <c r="T199" s="175">
        <f t="shared" si="56"/>
        <v>6</v>
      </c>
      <c r="U199" s="250">
        <f t="shared" si="57"/>
        <v>0.95324148618116999</v>
      </c>
      <c r="V199" s="382">
        <f t="shared" si="58"/>
        <v>54.208123548913242</v>
      </c>
      <c r="W199" s="401">
        <f t="shared" si="59"/>
        <v>0</v>
      </c>
      <c r="X199" s="157">
        <f t="shared" si="60"/>
        <v>44746</v>
      </c>
      <c r="Y199" s="384">
        <f t="shared" si="61"/>
        <v>42.896149673441649</v>
      </c>
      <c r="Z199" s="384">
        <f t="shared" si="62"/>
        <v>44.270098240027643</v>
      </c>
      <c r="AA199" s="385">
        <f t="shared" si="63"/>
        <v>47.575115744722567</v>
      </c>
      <c r="AB199" s="196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6.9469457992050038E-2</v>
      </c>
      <c r="AD199" s="230">
        <f>(INDEX(Models!$BJ199:$BT199,,AH199)*(1-AF199)+INDEX(Models!$BJ199:$BT199,,AH199+1)*AF199-ERP_i)*AE199*Ramure*Pc/MaxiM</f>
        <v>6.4489108602034891E-4</v>
      </c>
      <c r="AE199" s="304">
        <f t="shared" si="65"/>
        <v>0.5</v>
      </c>
      <c r="AF199" s="176">
        <f t="shared" si="66"/>
        <v>0.95324148618116999</v>
      </c>
      <c r="AG199" s="814">
        <f t="shared" si="74"/>
        <v>0</v>
      </c>
      <c r="AH199" s="175">
        <f t="shared" si="67"/>
        <v>6</v>
      </c>
      <c r="AI199" s="224">
        <f t="shared" si="68"/>
        <v>0.95324148618116999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8">
        <v>51.917999999999999</v>
      </c>
      <c r="C200" s="843"/>
      <c r="D200" s="392">
        <f t="shared" si="50"/>
        <v>53.58208738698864</v>
      </c>
      <c r="E200" s="384">
        <f t="shared" si="75"/>
        <v>55.943735915731075</v>
      </c>
      <c r="F200" s="384">
        <f t="shared" si="51"/>
        <v>55.977533866686564</v>
      </c>
      <c r="G200" s="110">
        <f t="shared" si="76"/>
        <v>0.95903268990657553</v>
      </c>
      <c r="H200" s="413" t="b">
        <f>Wh_hp&gt;='2021'!Maxi_hp</f>
        <v>0</v>
      </c>
      <c r="I200" s="379">
        <f>IF(H200,Wh_hp,'2021'!Maxi_hp)</f>
        <v>57.87508432107736</v>
      </c>
      <c r="J200" s="85">
        <f>IF(H200,An,'2021'!An_max)</f>
        <v>2021</v>
      </c>
      <c r="K200" s="196">
        <f t="shared" si="52"/>
        <v>44747</v>
      </c>
      <c r="L200" s="147">
        <f>IF(t&lt;Tvie,1-EXP((T0-t)*PertePVj)+'2021'!Pspv,1-EXP((T0-t)*PertePVj)+Pspv)</f>
        <v>3.1056785357577034E-2</v>
      </c>
      <c r="M200" s="847"/>
      <c r="N200" s="847"/>
      <c r="O200" s="48">
        <f>IF(t&lt;Tnet,'2021'!Resal+('2021'!Salim-'2021'!Resal)*(1-EXP(('2021'!Tnet-t)/('2021'!Tau_j))),Resal+(Salim-Resal)*(1-EXP((Tnet-t)/(Tau_j))))*Salcycl</f>
        <v>4.2214708940779777E-2</v>
      </c>
      <c r="P200" s="338">
        <f>(INDEX(Models!$BJ200:$BT200,,T200)*(1-R200)+INDEX(Models!$BJ200:$BT200,,T200+1)*R200-ERP_i)*Q200*Ramure*Pc/MaxiM</f>
        <v>6.4127451379056158E-4</v>
      </c>
      <c r="Q200" s="304">
        <f t="shared" si="53"/>
        <v>0.5</v>
      </c>
      <c r="R200" s="176">
        <f t="shared" si="54"/>
        <v>0.95566192119715432</v>
      </c>
      <c r="S200" s="814">
        <f t="shared" si="55"/>
        <v>0</v>
      </c>
      <c r="T200" s="175">
        <f t="shared" si="56"/>
        <v>6</v>
      </c>
      <c r="U200" s="250">
        <f t="shared" si="57"/>
        <v>0.95566192119715432</v>
      </c>
      <c r="V200" s="382">
        <f t="shared" si="58"/>
        <v>54.133766844000391</v>
      </c>
      <c r="W200" s="401">
        <f t="shared" si="59"/>
        <v>0</v>
      </c>
      <c r="X200" s="157">
        <f t="shared" si="60"/>
        <v>44747</v>
      </c>
      <c r="Y200" s="384">
        <f t="shared" si="61"/>
        <v>50.436663461325594</v>
      </c>
      <c r="Z200" s="384">
        <f t="shared" si="62"/>
        <v>52.05327071714791</v>
      </c>
      <c r="AA200" s="385">
        <f t="shared" si="63"/>
        <v>55.943735915731075</v>
      </c>
      <c r="AB200" s="196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6.9542463242773633E-2</v>
      </c>
      <c r="AD200" s="230">
        <f>(INDEX(Models!$BJ200:$BT200,,AH200)*(1-AF200)+INDEX(Models!$BJ200:$BT200,,AH200+1)*AF200-ERP_i)*AE200*Ramure*Pc/MaxiM</f>
        <v>6.4127451379056158E-4</v>
      </c>
      <c r="AE200" s="304">
        <f t="shared" si="65"/>
        <v>0.5</v>
      </c>
      <c r="AF200" s="176">
        <f t="shared" si="66"/>
        <v>0.95566192119715432</v>
      </c>
      <c r="AG200" s="814">
        <f t="shared" si="74"/>
        <v>0</v>
      </c>
      <c r="AH200" s="175">
        <f t="shared" si="67"/>
        <v>6</v>
      </c>
      <c r="AI200" s="224">
        <f t="shared" si="68"/>
        <v>0.95566192119715432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8">
        <v>40.017000000000003</v>
      </c>
      <c r="C201" s="843"/>
      <c r="D201" s="392">
        <f t="shared" si="50"/>
        <v>41.300537331733551</v>
      </c>
      <c r="E201" s="384">
        <f t="shared" si="75"/>
        <v>43.125184923915782</v>
      </c>
      <c r="F201" s="384">
        <f t="shared" si="51"/>
        <v>43.142471418214612</v>
      </c>
      <c r="G201" s="110">
        <f t="shared" si="76"/>
        <v>0.74007044690817092</v>
      </c>
      <c r="H201" s="413" t="b">
        <f>Wh_hp&gt;='2021'!Maxi_hp</f>
        <v>0</v>
      </c>
      <c r="I201" s="379">
        <f>IF(H201,Wh_hp,'2021'!Maxi_hp)</f>
        <v>56.501784231476087</v>
      </c>
      <c r="J201" s="85">
        <f>IF(H201,An,'2021'!An_max)</f>
        <v>2020</v>
      </c>
      <c r="K201" s="196">
        <f t="shared" si="52"/>
        <v>44748</v>
      </c>
      <c r="L201" s="147">
        <f>IF(t&lt;Tvie,1-EXP((T0-t)*PertePVj)+'2021'!Pspv,1-EXP((T0-t)*PertePVj)+Pspv)</f>
        <v>3.1077981417625168E-2</v>
      </c>
      <c r="M201" s="847"/>
      <c r="N201" s="847"/>
      <c r="O201" s="48">
        <f>IF(t&lt;Tnet,'2021'!Resal+('2021'!Salim-'2021'!Resal)*(1-EXP(('2021'!Tnet-t)/('2021'!Tau_j))),Resal+(Salim-Resal)*(1-EXP((Tnet-t)/(Tau_j))))*Salcycl</f>
        <v>4.2310487373013891E-2</v>
      </c>
      <c r="P201" s="338">
        <f>(INDEX(Models!$BJ201:$BT201,,T201)*(1-R201)+INDEX(Models!$BJ201:$BT201,,T201+1)*R201-ERP_i)*Q201*Ramure*Pc/MaxiM</f>
        <v>6.370961811162203E-4</v>
      </c>
      <c r="Q201" s="304">
        <f t="shared" si="53"/>
        <v>0.5</v>
      </c>
      <c r="R201" s="176">
        <f t="shared" si="54"/>
        <v>0.95803578367383002</v>
      </c>
      <c r="S201" s="814">
        <f t="shared" si="55"/>
        <v>0</v>
      </c>
      <c r="T201" s="175">
        <f t="shared" si="56"/>
        <v>6</v>
      </c>
      <c r="U201" s="250">
        <f t="shared" si="57"/>
        <v>0.95803578367383002</v>
      </c>
      <c r="V201" s="382">
        <f t="shared" si="58"/>
        <v>54.05909108416197</v>
      </c>
      <c r="W201" s="401">
        <f t="shared" si="59"/>
        <v>0</v>
      </c>
      <c r="X201" s="157">
        <f t="shared" si="60"/>
        <v>44748</v>
      </c>
      <c r="Y201" s="384">
        <f t="shared" si="61"/>
        <v>38.876104552496187</v>
      </c>
      <c r="Z201" s="384">
        <f t="shared" si="62"/>
        <v>40.123047889215719</v>
      </c>
      <c r="AA201" s="385">
        <f t="shared" si="63"/>
        <v>43.125184923915782</v>
      </c>
      <c r="AB201" s="196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6.9614473305949345E-2</v>
      </c>
      <c r="AD201" s="230">
        <f>(INDEX(Models!$BJ201:$BT201,,AH201)*(1-AF201)+INDEX(Models!$BJ201:$BT201,,AH201+1)*AF201-ERP_i)*AE201*Ramure*Pc/MaxiM</f>
        <v>6.370961811162203E-4</v>
      </c>
      <c r="AE201" s="304">
        <f t="shared" si="65"/>
        <v>0.5</v>
      </c>
      <c r="AF201" s="176">
        <f t="shared" si="66"/>
        <v>0.95803578367383002</v>
      </c>
      <c r="AG201" s="814">
        <f t="shared" si="74"/>
        <v>0</v>
      </c>
      <c r="AH201" s="175">
        <f t="shared" si="67"/>
        <v>6</v>
      </c>
      <c r="AI201" s="224">
        <f t="shared" si="68"/>
        <v>0.95803578367383002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8">
        <v>49.244</v>
      </c>
      <c r="C202" s="843"/>
      <c r="D202" s="392">
        <f t="shared" si="50"/>
        <v>50.82460333577643</v>
      </c>
      <c r="E202" s="384">
        <f t="shared" si="75"/>
        <v>53.0752953111134</v>
      </c>
      <c r="F202" s="384">
        <f t="shared" si="51"/>
        <v>53.104663915061565</v>
      </c>
      <c r="G202" s="110">
        <f t="shared" si="76"/>
        <v>0.91212050034366765</v>
      </c>
      <c r="H202" s="413" t="b">
        <f>Wh_hp&gt;='2021'!Maxi_hp</f>
        <v>1</v>
      </c>
      <c r="I202" s="379">
        <f>IF(H202,Wh_hp,'2021'!Maxi_hp)</f>
        <v>53.104663915061565</v>
      </c>
      <c r="J202" s="85">
        <f>IF(H202,An,'2021'!An_max)</f>
        <v>2022</v>
      </c>
      <c r="K202" s="196">
        <f t="shared" si="52"/>
        <v>44749</v>
      </c>
      <c r="L202" s="147">
        <f>IF(t&lt;Tvie,1-EXP((T0-t)*PertePVj)+'2021'!Pspv,1-EXP((T0-t)*PertePVj)+Pspv)</f>
        <v>3.1099177013425218E-2</v>
      </c>
      <c r="M202" s="847"/>
      <c r="N202" s="847"/>
      <c r="O202" s="48">
        <f>IF(t&lt;Tnet,'2021'!Resal+('2021'!Salim-'2021'!Resal)*(1-EXP(('2021'!Tnet-t)/('2021'!Tau_j))),Resal+(Salim-Resal)*(1-EXP((Tnet-t)/(Tau_j))))*Salcycl</f>
        <v>4.2405642062733846E-2</v>
      </c>
      <c r="P202" s="338">
        <f>(INDEX(Models!$BJ202:$BT202,,T202)*(1-R202)+INDEX(Models!$BJ202:$BT202,,T202+1)*R202-ERP_i)*Q202*Ramure*Pc/MaxiM</f>
        <v>6.3235417688333503E-4</v>
      </c>
      <c r="Q202" s="304">
        <f t="shared" si="53"/>
        <v>0.5</v>
      </c>
      <c r="R202" s="176">
        <f t="shared" si="54"/>
        <v>0.96036245870285375</v>
      </c>
      <c r="S202" s="814">
        <f t="shared" si="55"/>
        <v>0</v>
      </c>
      <c r="T202" s="175">
        <f t="shared" si="56"/>
        <v>6</v>
      </c>
      <c r="U202" s="250">
        <f t="shared" si="57"/>
        <v>0.96036245870285375</v>
      </c>
      <c r="V202" s="382">
        <f t="shared" si="58"/>
        <v>53.984195840754673</v>
      </c>
      <c r="W202" s="401">
        <f t="shared" si="59"/>
        <v>0</v>
      </c>
      <c r="X202" s="157">
        <f t="shared" si="60"/>
        <v>44749</v>
      </c>
      <c r="Y202" s="384">
        <f t="shared" si="61"/>
        <v>47.841140689843726</v>
      </c>
      <c r="Z202" s="384">
        <f t="shared" si="62"/>
        <v>49.376715918535886</v>
      </c>
      <c r="AA202" s="385">
        <f t="shared" si="63"/>
        <v>53.0752953111134</v>
      </c>
      <c r="AB202" s="196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6.9685516979178699E-2</v>
      </c>
      <c r="AD202" s="230">
        <f>(INDEX(Models!$BJ202:$BT202,,AH202)*(1-AF202)+INDEX(Models!$BJ202:$BT202,,AH202+1)*AF202-ERP_i)*AE202*Ramure*Pc/MaxiM</f>
        <v>6.3235417688333503E-4</v>
      </c>
      <c r="AE202" s="304">
        <f t="shared" si="65"/>
        <v>0.5</v>
      </c>
      <c r="AF202" s="176">
        <f t="shared" si="66"/>
        <v>0.96036245870285375</v>
      </c>
      <c r="AG202" s="814">
        <f t="shared" si="74"/>
        <v>0</v>
      </c>
      <c r="AH202" s="175">
        <f t="shared" si="67"/>
        <v>6</v>
      </c>
      <c r="AI202" s="224">
        <f t="shared" si="68"/>
        <v>0.96036245870285375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8">
        <v>53.661000000000001</v>
      </c>
      <c r="C203" s="843"/>
      <c r="D203" s="392">
        <f t="shared" si="50"/>
        <v>55.384589021444533</v>
      </c>
      <c r="E203" s="384">
        <f t="shared" si="75"/>
        <v>57.842924256068585</v>
      </c>
      <c r="F203" s="384">
        <f t="shared" si="51"/>
        <v>57.878978410526365</v>
      </c>
      <c r="G203" s="110">
        <f t="shared" si="76"/>
        <v>0.99539221351577611</v>
      </c>
      <c r="H203" s="413" t="b">
        <f>Wh_hp&gt;='2021'!Maxi_hp</f>
        <v>0</v>
      </c>
      <c r="I203" s="379">
        <f>IF(H203,Wh_hp,'2021'!Maxi_hp)</f>
        <v>58.837681305863043</v>
      </c>
      <c r="J203" s="85">
        <f>IF(H203,An,'2021'!An_max)</f>
        <v>2020</v>
      </c>
      <c r="K203" s="196">
        <f t="shared" si="52"/>
        <v>44750</v>
      </c>
      <c r="L203" s="147">
        <f>IF(t&lt;Tvie,1-EXP((T0-t)*PertePVj)+'2021'!Pspv,1-EXP((T0-t)*PertePVj)+Pspv)</f>
        <v>3.1120372144987286E-2</v>
      </c>
      <c r="M203" s="847"/>
      <c r="N203" s="847"/>
      <c r="O203" s="48">
        <f>IF(t&lt;Tnet,'2021'!Resal+('2021'!Salim-'2021'!Resal)*(1-EXP(('2021'!Tnet-t)/('2021'!Tau_j))),Resal+(Salim-Resal)*(1-EXP((Tnet-t)/(Tau_j))))*Salcycl</f>
        <v>4.2500189370459455E-2</v>
      </c>
      <c r="P203" s="338">
        <f>(INDEX(Models!$BJ203:$BT203,,T203)*(1-R203)+INDEX(Models!$BJ203:$BT203,,T203+1)*R203-ERP_i)*Q203*Ramure*Pc/MaxiM</f>
        <v>6.2704702143519643E-4</v>
      </c>
      <c r="Q203" s="304">
        <f t="shared" si="53"/>
        <v>0.5</v>
      </c>
      <c r="R203" s="176">
        <f t="shared" si="54"/>
        <v>0.96264143364221522</v>
      </c>
      <c r="S203" s="814">
        <f t="shared" si="55"/>
        <v>0</v>
      </c>
      <c r="T203" s="175">
        <f t="shared" si="56"/>
        <v>6</v>
      </c>
      <c r="U203" s="250">
        <f t="shared" si="57"/>
        <v>0.96264143364221522</v>
      </c>
      <c r="V203" s="382">
        <f t="shared" si="58"/>
        <v>53.90918056356454</v>
      </c>
      <c r="W203" s="401">
        <f t="shared" si="59"/>
        <v>0</v>
      </c>
      <c r="X203" s="157">
        <f t="shared" si="60"/>
        <v>44750</v>
      </c>
      <c r="Y203" s="384">
        <f t="shared" si="61"/>
        <v>52.133528259408571</v>
      </c>
      <c r="Z203" s="384">
        <f t="shared" si="62"/>
        <v>53.808054953974178</v>
      </c>
      <c r="AA203" s="385">
        <f t="shared" si="63"/>
        <v>57.842924256068585</v>
      </c>
      <c r="AB203" s="196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6.9755624460343293E-2</v>
      </c>
      <c r="AD203" s="230">
        <f>(INDEX(Models!$BJ203:$BT203,,AH203)*(1-AF203)+INDEX(Models!$BJ203:$BT203,,AH203+1)*AF203-ERP_i)*AE203*Ramure*Pc/MaxiM</f>
        <v>6.2704702143519643E-4</v>
      </c>
      <c r="AE203" s="304">
        <f t="shared" si="65"/>
        <v>0.5</v>
      </c>
      <c r="AF203" s="176">
        <f t="shared" si="66"/>
        <v>0.96264143364221522</v>
      </c>
      <c r="AG203" s="814">
        <f t="shared" si="74"/>
        <v>0</v>
      </c>
      <c r="AH203" s="175">
        <f t="shared" si="67"/>
        <v>6</v>
      </c>
      <c r="AI203" s="224">
        <f t="shared" si="68"/>
        <v>0.96264143364221522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8">
        <v>52.849000000000004</v>
      </c>
      <c r="C204" s="843"/>
      <c r="D204" s="392">
        <f t="shared" si="50"/>
        <v>54.54770087113706</v>
      </c>
      <c r="E204" s="384">
        <f t="shared" si="75"/>
        <v>56.974480227856112</v>
      </c>
      <c r="F204" s="384">
        <f t="shared" si="51"/>
        <v>57.008966931100225</v>
      </c>
      <c r="G204" s="110">
        <f t="shared" si="76"/>
        <v>0.9816844248615032</v>
      </c>
      <c r="H204" s="413" t="b">
        <f>Wh_hp&gt;='2021'!Maxi_hp</f>
        <v>0</v>
      </c>
      <c r="I204" s="379">
        <f>IF(H204,Wh_hp,'2021'!Maxi_hp)</f>
        <v>58.42671028153908</v>
      </c>
      <c r="J204" s="85">
        <f>IF(H204,An,'2021'!An_max)</f>
        <v>2021</v>
      </c>
      <c r="K204" s="196">
        <f t="shared" si="52"/>
        <v>44751</v>
      </c>
      <c r="L204" s="147">
        <f>IF(t&lt;Tvie,1-EXP((T0-t)*PertePVj)+'2021'!Pspv,1-EXP((T0-t)*PertePVj)+Pspv)</f>
        <v>3.1141566812321698E-2</v>
      </c>
      <c r="M204" s="847"/>
      <c r="N204" s="847"/>
      <c r="O204" s="48">
        <f>IF(t&lt;Tnet,'2021'!Resal+('2021'!Salim-'2021'!Resal)*(1-EXP(('2021'!Tnet-t)/('2021'!Tau_j))),Resal+(Salim-Resal)*(1-EXP((Tnet-t)/(Tau_j))))*Salcycl</f>
        <v>4.2594146484772062E-2</v>
      </c>
      <c r="P204" s="338">
        <f>(INDEX(Models!$BJ204:$BT204,,T204)*(1-R204)+INDEX(Models!$BJ204:$BT204,,T204+1)*R204-ERP_i)*Q204*Ramure*Pc/MaxiM</f>
        <v>6.2117363616160715E-4</v>
      </c>
      <c r="Q204" s="304">
        <f t="shared" si="53"/>
        <v>0.5</v>
      </c>
      <c r="R204" s="176">
        <f t="shared" si="54"/>
        <v>0.96487229551748643</v>
      </c>
      <c r="S204" s="814">
        <f t="shared" si="55"/>
        <v>0</v>
      </c>
      <c r="T204" s="175">
        <f t="shared" si="56"/>
        <v>6</v>
      </c>
      <c r="U204" s="250">
        <f t="shared" si="57"/>
        <v>0.96487229551748643</v>
      </c>
      <c r="V204" s="382">
        <f t="shared" si="58"/>
        <v>53.834144590112032</v>
      </c>
      <c r="W204" s="401">
        <f t="shared" si="59"/>
        <v>0</v>
      </c>
      <c r="X204" s="157">
        <f t="shared" si="60"/>
        <v>44751</v>
      </c>
      <c r="Y204" s="384">
        <f t="shared" si="61"/>
        <v>51.345860827999928</v>
      </c>
      <c r="Z204" s="384">
        <f t="shared" si="62"/>
        <v>52.99624699458407</v>
      </c>
      <c r="AA204" s="385">
        <f t="shared" si="63"/>
        <v>56.974480227856112</v>
      </c>
      <c r="AB204" s="196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6.9824827139484694E-2</v>
      </c>
      <c r="AD204" s="230">
        <f>(INDEX(Models!$BJ204:$BT204,,AH204)*(1-AF204)+INDEX(Models!$BJ204:$BT204,,AH204+1)*AF204-ERP_i)*AE204*Ramure*Pc/MaxiM</f>
        <v>6.2117363616160715E-4</v>
      </c>
      <c r="AE204" s="304">
        <f t="shared" si="65"/>
        <v>0.5</v>
      </c>
      <c r="AF204" s="176">
        <f t="shared" si="66"/>
        <v>0.96487229551748643</v>
      </c>
      <c r="AG204" s="814">
        <f t="shared" si="74"/>
        <v>0</v>
      </c>
      <c r="AH204" s="175">
        <f t="shared" si="67"/>
        <v>6</v>
      </c>
      <c r="AI204" s="224">
        <f t="shared" si="68"/>
        <v>0.96487229551748643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8">
        <v>52.643999999999998</v>
      </c>
      <c r="C205" s="843"/>
      <c r="D205" s="392">
        <f t="shared" si="50"/>
        <v>54.337300303584712</v>
      </c>
      <c r="E205" s="384">
        <f t="shared" si="75"/>
        <v>56.760255486108662</v>
      </c>
      <c r="F205" s="384">
        <f t="shared" si="51"/>
        <v>56.794134483752543</v>
      </c>
      <c r="G205" s="110">
        <f t="shared" si="76"/>
        <v>0.97924260751412939</v>
      </c>
      <c r="H205" s="413" t="b">
        <f>Wh_hp&gt;='2021'!Maxi_hp</f>
        <v>0</v>
      </c>
      <c r="I205" s="379">
        <f>IF(H205,Wh_hp,'2021'!Maxi_hp)</f>
        <v>57.577022545392943</v>
      </c>
      <c r="J205" s="85">
        <f>IF(H205,An,'2021'!An_max)</f>
        <v>2019</v>
      </c>
      <c r="K205" s="196">
        <f t="shared" si="52"/>
        <v>44752</v>
      </c>
      <c r="L205" s="147">
        <f>IF(t&lt;Tvie,1-EXP((T0-t)*PertePVj)+'2021'!Pspv,1-EXP((T0-t)*PertePVj)+Pspv)</f>
        <v>3.1162761015438335E-2</v>
      </c>
      <c r="M205" s="847"/>
      <c r="N205" s="847"/>
      <c r="O205" s="48">
        <f>IF(t&lt;Tnet,'2021'!Resal+('2021'!Salim-'2021'!Resal)*(1-EXP(('2021'!Tnet-t)/('2021'!Tau_j))),Resal+(Salim-Resal)*(1-EXP((Tnet-t)/(Tau_j))))*Salcycl</f>
        <v>4.268753129761612E-2</v>
      </c>
      <c r="P205" s="338">
        <f>(INDEX(Models!$BJ205:$BT205,,T205)*(1-R205)+INDEX(Models!$BJ205:$BT205,,T205+1)*R205-ERP_i)*Q205*Ramure*Pc/MaxiM</f>
        <v>6.1473618313411405E-4</v>
      </c>
      <c r="Q205" s="304">
        <f t="shared" si="53"/>
        <v>0.5</v>
      </c>
      <c r="R205" s="176">
        <f t="shared" si="54"/>
        <v>0.96705472810618365</v>
      </c>
      <c r="S205" s="814">
        <f t="shared" si="55"/>
        <v>0</v>
      </c>
      <c r="T205" s="175">
        <f t="shared" si="56"/>
        <v>6</v>
      </c>
      <c r="U205" s="250">
        <f t="shared" si="57"/>
        <v>0.96705472810618365</v>
      </c>
      <c r="V205" s="382">
        <f t="shared" si="58"/>
        <v>53.758935936622905</v>
      </c>
      <c r="W205" s="401">
        <f t="shared" si="59"/>
        <v>0</v>
      </c>
      <c r="X205" s="157">
        <f t="shared" si="60"/>
        <v>44752</v>
      </c>
      <c r="Y205" s="384">
        <f t="shared" si="61"/>
        <v>51.147923194615991</v>
      </c>
      <c r="Z205" s="384">
        <f t="shared" si="62"/>
        <v>52.79310201600439</v>
      </c>
      <c r="AA205" s="385">
        <f t="shared" si="63"/>
        <v>56.760255486108662</v>
      </c>
      <c r="AB205" s="196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6.9893157388538935E-2</v>
      </c>
      <c r="AD205" s="230">
        <f>(INDEX(Models!$BJ205:$BT205,,AH205)*(1-AF205)+INDEX(Models!$BJ205:$BT205,,AH205+1)*AF205-ERP_i)*AE205*Ramure*Pc/MaxiM</f>
        <v>6.1473618313411405E-4</v>
      </c>
      <c r="AE205" s="304">
        <f t="shared" si="65"/>
        <v>0.5</v>
      </c>
      <c r="AF205" s="176">
        <f t="shared" si="66"/>
        <v>0.96705472810618365</v>
      </c>
      <c r="AG205" s="814">
        <f t="shared" si="74"/>
        <v>0</v>
      </c>
      <c r="AH205" s="175">
        <f t="shared" si="67"/>
        <v>6</v>
      </c>
      <c r="AI205" s="224">
        <f t="shared" si="68"/>
        <v>0.96705472810618365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8">
        <v>51.410000000000004</v>
      </c>
      <c r="C206" s="843"/>
      <c r="D206" s="392">
        <f t="shared" si="50"/>
        <v>53.06476936699012</v>
      </c>
      <c r="E206" s="384">
        <f t="shared" si="75"/>
        <v>55.436356794026608</v>
      </c>
      <c r="F206" s="384">
        <f t="shared" si="51"/>
        <v>55.468020004712891</v>
      </c>
      <c r="G206" s="110">
        <f t="shared" si="76"/>
        <v>0.95761750314048766</v>
      </c>
      <c r="H206" s="413" t="b">
        <f>Wh_hp&gt;='2021'!Maxi_hp</f>
        <v>0</v>
      </c>
      <c r="I206" s="379">
        <f>IF(H206,Wh_hp,'2021'!Maxi_hp)</f>
        <v>58.243264696264866</v>
      </c>
      <c r="J206" s="85">
        <f>IF(H206,An,'2021'!An_max)</f>
        <v>2019</v>
      </c>
      <c r="K206" s="196">
        <f t="shared" si="52"/>
        <v>44753</v>
      </c>
      <c r="L206" s="147">
        <f>IF(t&lt;Tvie,1-EXP((T0-t)*PertePVj)+'2021'!Pspv,1-EXP((T0-t)*PertePVj)+Pspv)</f>
        <v>3.1183954754347633E-2</v>
      </c>
      <c r="M206" s="847"/>
      <c r="N206" s="847"/>
      <c r="O206" s="48">
        <f>IF(t&lt;Tnet,'2021'!Resal+('2021'!Salim-'2021'!Resal)*(1-EXP(('2021'!Tnet-t)/('2021'!Tau_j))),Resal+(Salim-Resal)*(1-EXP((Tnet-t)/(Tau_j))))*Salcycl</f>
        <v>4.2780362278280741E-2</v>
      </c>
      <c r="P206" s="338">
        <f>(INDEX(Models!$BJ206:$BT206,,T206)*(1-R206)+INDEX(Models!$BJ206:$BT206,,T206+1)*R206-ERP_i)*Q206*Ramure*Pc/MaxiM</f>
        <v>6.0759431831527337E-4</v>
      </c>
      <c r="Q206" s="304">
        <f t="shared" si="53"/>
        <v>0.5</v>
      </c>
      <c r="R206" s="176">
        <f t="shared" si="54"/>
        <v>0.96918850874120221</v>
      </c>
      <c r="S206" s="814">
        <f t="shared" si="55"/>
        <v>0</v>
      </c>
      <c r="T206" s="175">
        <f t="shared" si="56"/>
        <v>6</v>
      </c>
      <c r="U206" s="250">
        <f t="shared" si="57"/>
        <v>0.96918850874120221</v>
      </c>
      <c r="V206" s="382">
        <f t="shared" si="58"/>
        <v>53.683343370384492</v>
      </c>
      <c r="W206" s="401">
        <f t="shared" si="59"/>
        <v>0</v>
      </c>
      <c r="X206" s="157">
        <f t="shared" si="60"/>
        <v>44753</v>
      </c>
      <c r="Y206" s="384">
        <f t="shared" si="61"/>
        <v>49.950211199283594</v>
      </c>
      <c r="Z206" s="384">
        <f t="shared" si="62"/>
        <v>51.557993330527729</v>
      </c>
      <c r="AA206" s="385">
        <f t="shared" si="63"/>
        <v>55.436356794026608</v>
      </c>
      <c r="AB206" s="196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6.9960648350484364E-2</v>
      </c>
      <c r="AD206" s="230">
        <f>(INDEX(Models!$BJ206:$BT206,,AH206)*(1-AF206)+INDEX(Models!$BJ206:$BT206,,AH206+1)*AF206-ERP_i)*AE206*Ramure*Pc/MaxiM</f>
        <v>6.0759431831527337E-4</v>
      </c>
      <c r="AE206" s="304">
        <f t="shared" si="65"/>
        <v>0.5</v>
      </c>
      <c r="AF206" s="176">
        <f t="shared" si="66"/>
        <v>0.96918850874120221</v>
      </c>
      <c r="AG206" s="814">
        <f t="shared" si="74"/>
        <v>0</v>
      </c>
      <c r="AH206" s="175">
        <f t="shared" si="67"/>
        <v>6</v>
      </c>
      <c r="AI206" s="224">
        <f t="shared" si="68"/>
        <v>0.96918850874120221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8">
        <v>51.011000000000003</v>
      </c>
      <c r="C207" s="843"/>
      <c r="D207" s="392">
        <f t="shared" ref="D207:D270" si="77">Wh/(1-Ppv)</f>
        <v>52.65407830793275</v>
      </c>
      <c r="E207" s="384">
        <f t="shared" si="75"/>
        <v>55.012615371532021</v>
      </c>
      <c r="F207" s="384">
        <f t="shared" ref="F207:F270" si="78">Wh_sa/(1-Pvg*MEDIAN((-Sdif+Wh/Env_an)/Csdif,0,1))</f>
        <v>55.043355308161978</v>
      </c>
      <c r="G207" s="110">
        <f t="shared" si="76"/>
        <v>0.9515276940242493</v>
      </c>
      <c r="H207" s="413" t="b">
        <f>Wh_hp&gt;='2021'!Maxi_hp</f>
        <v>0</v>
      </c>
      <c r="I207" s="379">
        <f>IF(H207,Wh_hp,'2021'!Maxi_hp)</f>
        <v>59.300969895752004</v>
      </c>
      <c r="J207" s="85">
        <f>IF(H207,An,'2021'!An_max)</f>
        <v>2019</v>
      </c>
      <c r="K207" s="196">
        <f t="shared" ref="K207:K270" si="79">t</f>
        <v>44754</v>
      </c>
      <c r="L207" s="147">
        <f>IF(t&lt;Tvie,1-EXP((T0-t)*PertePVj)+'2021'!Pspv,1-EXP((T0-t)*PertePVj)+Pspv)</f>
        <v>3.1205148029059694E-2</v>
      </c>
      <c r="M207" s="847"/>
      <c r="N207" s="847"/>
      <c r="O207" s="48">
        <f>IF(t&lt;Tnet,'2021'!Resal+('2021'!Salim-'2021'!Resal)*(1-EXP(('2021'!Tnet-t)/('2021'!Tau_j))),Resal+(Salim-Resal)*(1-EXP((Tnet-t)/(Tau_j))))*Salcycl</f>
        <v>4.287265834701208E-2</v>
      </c>
      <c r="P207" s="338">
        <f>(INDEX(Models!$BJ207:$BT207,,T207)*(1-R207)+INDEX(Models!$BJ207:$BT207,,T207+1)*R207-ERP_i)*Q207*Ramure*Pc/MaxiM</f>
        <v>5.9998015051764637E-4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0.97127350486923314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0.97127350486923314</v>
      </c>
      <c r="V207" s="382">
        <f t="shared" ref="V207:V270" si="85">MaxiM*(1-Ppv)*(1-Pvg)*(1-Psa)</f>
        <v>53.607353255203421</v>
      </c>
      <c r="W207" s="401">
        <f t="shared" ref="W207:W270" si="86">Wh*(A207&gt;Tmaj)</f>
        <v>0</v>
      </c>
      <c r="X207" s="157">
        <f t="shared" ref="X207:X270" si="87">t</f>
        <v>44754</v>
      </c>
      <c r="Y207" s="384">
        <f t="shared" ref="Y207:Y270" si="88">Wh_pvt_s*(1-Ppv)</f>
        <v>49.56376608905444</v>
      </c>
      <c r="Z207" s="384">
        <f t="shared" ref="Z207:Z270" si="89">Wh_sa_s*(1-Psa_s)</f>
        <v>51.160228595580051</v>
      </c>
      <c r="AA207" s="385">
        <f t="shared" ref="AA207:AA270" si="90">Wh_hp*(1-Pvg_s*MEDIAN((-Sdif+Wh/Env_an)/Csdif,0,1))</f>
        <v>55.012615371532021</v>
      </c>
      <c r="AB207" s="196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7.0027333729446861E-2</v>
      </c>
      <c r="AD207" s="230">
        <f>(INDEX(Models!$BJ207:$BT207,,AH207)*(1-AF207)+INDEX(Models!$BJ207:$BT207,,AH207+1)*AF207-ERP_i)*AE207*Ramure*Pc/MaxiM</f>
        <v>5.9998015051764637E-4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0.97127350486923314</v>
      </c>
      <c r="AG207" s="814">
        <f t="shared" si="74"/>
        <v>0</v>
      </c>
      <c r="AH207" s="175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0.97127350486923314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8">
        <v>51.015000000000001</v>
      </c>
      <c r="C208" s="843"/>
      <c r="D208" s="392">
        <f t="shared" si="77"/>
        <v>52.659359095510489</v>
      </c>
      <c r="E208" s="384">
        <f t="shared" si="75"/>
        <v>55.023408980422026</v>
      </c>
      <c r="F208" s="384">
        <f t="shared" si="78"/>
        <v>55.053807149848517</v>
      </c>
      <c r="G208" s="110">
        <f t="shared" si="76"/>
        <v>0.95296193673936258</v>
      </c>
      <c r="H208" s="413" t="b">
        <f>Wh_hp&gt;='2021'!Maxi_hp</f>
        <v>1</v>
      </c>
      <c r="I208" s="379">
        <f>IF(H208,Wh_hp,'2021'!Maxi_hp)</f>
        <v>55.053807149848517</v>
      </c>
      <c r="J208" s="85">
        <f>IF(H208,An,'2021'!An_max)</f>
        <v>2022</v>
      </c>
      <c r="K208" s="196">
        <f t="shared" si="79"/>
        <v>44755</v>
      </c>
      <c r="L208" s="147">
        <f>IF(t&lt;Tvie,1-EXP((T0-t)*PertePVj)+'2021'!Pspv,1-EXP((T0-t)*PertePVj)+Pspv)</f>
        <v>3.1226340839584511E-2</v>
      </c>
      <c r="M208" s="847"/>
      <c r="N208" s="847"/>
      <c r="O208" s="48">
        <f>IF(t&lt;Tnet,'2021'!Resal+('2021'!Salim-'2021'!Resal)*(1-EXP(('2021'!Tnet-t)/('2021'!Tau_j))),Resal+(Salim-Resal)*(1-EXP((Tnet-t)/(Tau_j))))*Salcycl</f>
        <v>4.2964438749200175E-2</v>
      </c>
      <c r="P208" s="338">
        <f>(INDEX(Models!$BJ208:$BT208,,T208)*(1-R208)+INDEX(Models!$BJ208:$BT208,,T208+1)*R208-ERP_i)*Q208*Ramure*Pc/MaxiM</f>
        <v>5.9189550906619214E-4</v>
      </c>
      <c r="Q208" s="304">
        <f t="shared" si="80"/>
        <v>0.5</v>
      </c>
      <c r="R208" s="176">
        <f t="shared" si="81"/>
        <v>0.97330967039964045</v>
      </c>
      <c r="S208" s="814">
        <f t="shared" si="82"/>
        <v>0</v>
      </c>
      <c r="T208" s="175">
        <f t="shared" si="83"/>
        <v>6</v>
      </c>
      <c r="U208" s="250">
        <f t="shared" si="84"/>
        <v>0.97330967039964045</v>
      </c>
      <c r="V208" s="382">
        <f t="shared" si="85"/>
        <v>53.530964344441003</v>
      </c>
      <c r="W208" s="401">
        <f t="shared" si="86"/>
        <v>0</v>
      </c>
      <c r="X208" s="157">
        <f t="shared" si="87"/>
        <v>44755</v>
      </c>
      <c r="Y208" s="384">
        <f t="shared" si="88"/>
        <v>49.56889262561814</v>
      </c>
      <c r="Z208" s="384">
        <f t="shared" si="89"/>
        <v>51.166639551881353</v>
      </c>
      <c r="AA208" s="385">
        <f t="shared" si="90"/>
        <v>55.023408980422026</v>
      </c>
      <c r="AB208" s="196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7.0093247583277854E-2</v>
      </c>
      <c r="AD208" s="230">
        <f>(INDEX(Models!$BJ208:$BT208,,AH208)*(1-AF208)+INDEX(Models!$BJ208:$BT208,,AH208+1)*AF208-ERP_i)*AE208*Ramure*Pc/MaxiM</f>
        <v>5.9189550906619214E-4</v>
      </c>
      <c r="AE208" s="304">
        <f t="shared" si="92"/>
        <v>0.5</v>
      </c>
      <c r="AF208" s="176">
        <f t="shared" si="93"/>
        <v>0.97330967039964045</v>
      </c>
      <c r="AG208" s="814">
        <f t="shared" ref="AG208:AG271" si="99">INDEX(Echel_vg,AH208)</f>
        <v>0</v>
      </c>
      <c r="AH208" s="175">
        <f t="shared" si="94"/>
        <v>6</v>
      </c>
      <c r="AI208" s="224">
        <f t="shared" si="95"/>
        <v>0.97330967039964045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8">
        <v>50.419000000000004</v>
      </c>
      <c r="C209" s="843"/>
      <c r="D209" s="392">
        <f t="shared" si="77"/>
        <v>52.045286827307677</v>
      </c>
      <c r="E209" s="384">
        <f t="shared" si="75"/>
        <v>54.386956560019769</v>
      </c>
      <c r="F209" s="384">
        <f t="shared" si="78"/>
        <v>54.41612491902108</v>
      </c>
      <c r="G209" s="110">
        <f t="shared" si="76"/>
        <v>0.94317445980826897</v>
      </c>
      <c r="H209" s="413" t="b">
        <f>Wh_hp&gt;='2021'!Maxi_hp</f>
        <v>0</v>
      </c>
      <c r="I209" s="379">
        <f>IF(H209,Wh_hp,'2021'!Maxi_hp)</f>
        <v>58.425013192463943</v>
      </c>
      <c r="J209" s="85">
        <f>IF(H209,An,'2021'!An_max)</f>
        <v>2019</v>
      </c>
      <c r="K209" s="196">
        <f t="shared" si="79"/>
        <v>44756</v>
      </c>
      <c r="L209" s="147">
        <f>IF(t&lt;Tvie,1-EXP((T0-t)*PertePVj)+'2021'!Pspv,1-EXP((T0-t)*PertePVj)+Pspv)</f>
        <v>3.124753318593252E-2</v>
      </c>
      <c r="M209" s="847"/>
      <c r="N209" s="847"/>
      <c r="O209" s="48">
        <f>IF(t&lt;Tnet,'2021'!Resal+('2021'!Salim-'2021'!Resal)*(1-EXP(('2021'!Tnet-t)/('2021'!Tau_j))),Resal+(Salim-Resal)*(1-EXP((Tnet-t)/(Tau_j))))*Salcycl</f>
        <v>4.3055722931065223E-2</v>
      </c>
      <c r="P209" s="338">
        <f>(INDEX(Models!$BJ209:$BT209,,T209)*(1-R209)+INDEX(Models!$BJ209:$BT209,,T209+1)*R209-ERP_i)*Q209*Ramure*Pc/MaxiM</f>
        <v>5.8334231767278157E-4</v>
      </c>
      <c r="Q209" s="304">
        <f t="shared" si="80"/>
        <v>0.5</v>
      </c>
      <c r="R209" s="176">
        <f t="shared" si="81"/>
        <v>0.97529704187852029</v>
      </c>
      <c r="S209" s="814">
        <f t="shared" si="82"/>
        <v>0</v>
      </c>
      <c r="T209" s="175">
        <f t="shared" si="83"/>
        <v>6</v>
      </c>
      <c r="U209" s="250">
        <f t="shared" si="84"/>
        <v>0.97529704187852029</v>
      </c>
      <c r="V209" s="382">
        <f t="shared" si="85"/>
        <v>53.454175378977737</v>
      </c>
      <c r="W209" s="401">
        <f t="shared" si="86"/>
        <v>0</v>
      </c>
      <c r="X209" s="157">
        <f t="shared" si="87"/>
        <v>44756</v>
      </c>
      <c r="Y209" s="384">
        <f t="shared" si="88"/>
        <v>48.991026476364631</v>
      </c>
      <c r="Z209" s="384">
        <f t="shared" si="89"/>
        <v>50.571253395081648</v>
      </c>
      <c r="AA209" s="385">
        <f t="shared" si="90"/>
        <v>54.386956560019769</v>
      </c>
      <c r="AB209" s="196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7.0158424120077903E-2</v>
      </c>
      <c r="AD209" s="230">
        <f>(INDEX(Models!$BJ209:$BT209,,AH209)*(1-AF209)+INDEX(Models!$BJ209:$BT209,,AH209+1)*AF209-ERP_i)*AE209*Ramure*Pc/MaxiM</f>
        <v>5.8334231767278157E-4</v>
      </c>
      <c r="AE209" s="304">
        <f t="shared" si="92"/>
        <v>0.5</v>
      </c>
      <c r="AF209" s="176">
        <f t="shared" si="93"/>
        <v>0.97529704187852029</v>
      </c>
      <c r="AG209" s="814">
        <f t="shared" si="99"/>
        <v>0</v>
      </c>
      <c r="AH209" s="175">
        <f t="shared" si="94"/>
        <v>6</v>
      </c>
      <c r="AI209" s="224">
        <f t="shared" si="95"/>
        <v>0.97529704187852029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8">
        <v>48.858000000000004</v>
      </c>
      <c r="C210" s="843"/>
      <c r="D210" s="392">
        <f t="shared" si="77"/>
        <v>50.435039380178289</v>
      </c>
      <c r="E210" s="384">
        <f t="shared" si="75"/>
        <v>52.709261118316448</v>
      </c>
      <c r="F210" s="384">
        <f t="shared" si="78"/>
        <v>52.735885408591649</v>
      </c>
      <c r="G210" s="110">
        <f t="shared" si="76"/>
        <v>0.91527470957509738</v>
      </c>
      <c r="H210" s="413" t="b">
        <f>Wh_hp&gt;='2021'!Maxi_hp</f>
        <v>0</v>
      </c>
      <c r="I210" s="379">
        <f>IF(H210,Wh_hp,'2021'!Maxi_hp)</f>
        <v>59.682824722317406</v>
      </c>
      <c r="J210" s="85">
        <f>IF(H210,An,'2021'!An_max)</f>
        <v>2019</v>
      </c>
      <c r="K210" s="196">
        <f t="shared" si="79"/>
        <v>44757</v>
      </c>
      <c r="L210" s="147">
        <f>IF(t&lt;Tvie,1-EXP((T0-t)*PertePVj)+'2021'!Pspv,1-EXP((T0-t)*PertePVj)+Pspv)</f>
        <v>3.1268725068113713E-2</v>
      </c>
      <c r="M210" s="847"/>
      <c r="N210" s="847"/>
      <c r="O210" s="48">
        <f>IF(t&lt;Tnet,'2021'!Resal+('2021'!Salim-'2021'!Resal)*(1-EXP(('2021'!Tnet-t)/('2021'!Tau_j))),Resal+(Salim-Resal)*(1-EXP((Tnet-t)/(Tau_j))))*Salcycl</f>
        <v>4.3146530417742357E-2</v>
      </c>
      <c r="P210" s="338">
        <f>(INDEX(Models!$BJ210:$BT210,,T210)*(1-R210)+INDEX(Models!$BJ210:$BT210,,T210+1)*R210-ERP_i)*Q210*Ramure*Pc/MaxiM</f>
        <v>5.7432255758933998E-4</v>
      </c>
      <c r="Q210" s="304">
        <f t="shared" si="80"/>
        <v>0.5</v>
      </c>
      <c r="R210" s="176">
        <f t="shared" si="81"/>
        <v>0.97723573452161161</v>
      </c>
      <c r="S210" s="814">
        <f t="shared" si="82"/>
        <v>0</v>
      </c>
      <c r="T210" s="175">
        <f t="shared" si="83"/>
        <v>6</v>
      </c>
      <c r="U210" s="250">
        <f t="shared" si="84"/>
        <v>0.97723573452161161</v>
      </c>
      <c r="V210" s="382">
        <f t="shared" si="85"/>
        <v>53.376985095772021</v>
      </c>
      <c r="W210" s="401">
        <f t="shared" si="86"/>
        <v>0</v>
      </c>
      <c r="X210" s="157">
        <f t="shared" si="87"/>
        <v>44757</v>
      </c>
      <c r="Y210" s="384">
        <f t="shared" si="88"/>
        <v>47.475450649485033</v>
      </c>
      <c r="Z210" s="384">
        <f t="shared" si="89"/>
        <v>49.00786407749986</v>
      </c>
      <c r="AA210" s="385">
        <f t="shared" si="90"/>
        <v>52.709261118316448</v>
      </c>
      <c r="AB210" s="196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7.0222897500081954E-2</v>
      </c>
      <c r="AD210" s="230">
        <f>(INDEX(Models!$BJ210:$BT210,,AH210)*(1-AF210)+INDEX(Models!$BJ210:$BT210,,AH210+1)*AF210-ERP_i)*AE210*Ramure*Pc/MaxiM</f>
        <v>5.7432255758933998E-4</v>
      </c>
      <c r="AE210" s="304">
        <f t="shared" si="92"/>
        <v>0.5</v>
      </c>
      <c r="AF210" s="176">
        <f t="shared" si="93"/>
        <v>0.97723573452161161</v>
      </c>
      <c r="AG210" s="814">
        <f t="shared" si="99"/>
        <v>0</v>
      </c>
      <c r="AH210" s="175">
        <f t="shared" si="94"/>
        <v>6</v>
      </c>
      <c r="AI210" s="224">
        <f t="shared" si="95"/>
        <v>0.97723573452161161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8">
        <v>50.367000000000004</v>
      </c>
      <c r="C211" s="843"/>
      <c r="D211" s="392">
        <f t="shared" si="77"/>
        <v>51.993884297457377</v>
      </c>
      <c r="E211" s="384">
        <f t="shared" si="75"/>
        <v>54.343528976332237</v>
      </c>
      <c r="F211" s="384">
        <f t="shared" si="78"/>
        <v>54.371826471078215</v>
      </c>
      <c r="G211" s="110">
        <f t="shared" si="76"/>
        <v>0.94494065919280323</v>
      </c>
      <c r="H211" s="413" t="b">
        <f>Wh_hp&gt;='2021'!Maxi_hp</f>
        <v>0</v>
      </c>
      <c r="I211" s="379">
        <f>IF(H211,Wh_hp,'2021'!Maxi_hp)</f>
        <v>58.694583788185525</v>
      </c>
      <c r="J211" s="85">
        <f>IF(H211,An,'2021'!An_max)</f>
        <v>2019</v>
      </c>
      <c r="K211" s="196">
        <f t="shared" si="79"/>
        <v>44758</v>
      </c>
      <c r="L211" s="147">
        <f>IF(t&lt;Tvie,1-EXP((T0-t)*PertePVj)+'2021'!Pspv,1-EXP((T0-t)*PertePVj)+Pspv)</f>
        <v>3.1289916486138193E-2</v>
      </c>
      <c r="M211" s="847"/>
      <c r="N211" s="847"/>
      <c r="O211" s="48">
        <f>IF(t&lt;Tnet,'2021'!Resal+('2021'!Salim-'2021'!Resal)*(1-EXP(('2021'!Tnet-t)/('2021'!Tau_j))),Resal+(Salim-Resal)*(1-EXP((Tnet-t)/(Tau_j))))*Salcycl</f>
        <v>4.3236880694630296E-2</v>
      </c>
      <c r="P211" s="338">
        <f>(INDEX(Models!$BJ211:$BT211,,T211)*(1-R211)+INDEX(Models!$BJ211:$BT211,,T211+1)*R211-ERP_i)*Q211*Ramure*Pc/MaxiM</f>
        <v>5.6483823220087562E-4</v>
      </c>
      <c r="Q211" s="304">
        <f t="shared" si="80"/>
        <v>0.5</v>
      </c>
      <c r="R211" s="176">
        <f t="shared" si="81"/>
        <v>0.97912593813841653</v>
      </c>
      <c r="S211" s="814">
        <f t="shared" si="82"/>
        <v>0</v>
      </c>
      <c r="T211" s="175">
        <f t="shared" si="83"/>
        <v>6</v>
      </c>
      <c r="U211" s="250">
        <f t="shared" si="84"/>
        <v>0.97912593813841653</v>
      </c>
      <c r="V211" s="382">
        <f t="shared" si="85"/>
        <v>53.299392236983536</v>
      </c>
      <c r="W211" s="401">
        <f t="shared" si="86"/>
        <v>0</v>
      </c>
      <c r="X211" s="157">
        <f t="shared" si="87"/>
        <v>44758</v>
      </c>
      <c r="Y211" s="384">
        <f t="shared" si="88"/>
        <v>48.943012908232866</v>
      </c>
      <c r="Z211" s="384">
        <f t="shared" si="89"/>
        <v>50.523901568876894</v>
      </c>
      <c r="AA211" s="385">
        <f t="shared" si="90"/>
        <v>54.343528976332237</v>
      </c>
      <c r="AB211" s="196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7.0286701644254088E-2</v>
      </c>
      <c r="AD211" s="230">
        <f>(INDEX(Models!$BJ211:$BT211,,AH211)*(1-AF211)+INDEX(Models!$BJ211:$BT211,,AH211+1)*AF211-ERP_i)*AE211*Ramure*Pc/MaxiM</f>
        <v>5.6483823220087562E-4</v>
      </c>
      <c r="AE211" s="304">
        <f t="shared" si="92"/>
        <v>0.5</v>
      </c>
      <c r="AF211" s="176">
        <f t="shared" si="93"/>
        <v>0.97912593813841653</v>
      </c>
      <c r="AG211" s="814">
        <f t="shared" si="99"/>
        <v>0</v>
      </c>
      <c r="AH211" s="175">
        <f t="shared" si="94"/>
        <v>6</v>
      </c>
      <c r="AI211" s="224">
        <f t="shared" si="95"/>
        <v>0.97912593813841653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8">
        <v>50.032000000000004</v>
      </c>
      <c r="C212" s="843"/>
      <c r="D212" s="392">
        <f t="shared" si="77"/>
        <v>51.649193445151326</v>
      </c>
      <c r="E212" s="384">
        <f t="shared" si="75"/>
        <v>53.98833485901401</v>
      </c>
      <c r="F212" s="384">
        <f t="shared" si="78"/>
        <v>54.015740287741643</v>
      </c>
      <c r="G212" s="110">
        <f t="shared" si="76"/>
        <v>0.94002835107077332</v>
      </c>
      <c r="H212" s="413" t="b">
        <f>Wh_hp&gt;='2021'!Maxi_hp</f>
        <v>0</v>
      </c>
      <c r="I212" s="379">
        <f>IF(H212,Wh_hp,'2021'!Maxi_hp)</f>
        <v>57.888056189789317</v>
      </c>
      <c r="J212" s="85">
        <f>IF(H212,An,'2021'!An_max)</f>
        <v>2021</v>
      </c>
      <c r="K212" s="196">
        <f t="shared" si="79"/>
        <v>44759</v>
      </c>
      <c r="L212" s="147">
        <f>IF(t&lt;Tvie,1-EXP((T0-t)*PertePVj)+'2021'!Pspv,1-EXP((T0-t)*PertePVj)+Pspv)</f>
        <v>3.1311107440016396E-2</v>
      </c>
      <c r="M212" s="847"/>
      <c r="N212" s="847"/>
      <c r="O212" s="48">
        <f>IF(t&lt;Tnet,'2021'!Resal+('2021'!Salim-'2021'!Resal)*(1-EXP(('2021'!Tnet-t)/('2021'!Tau_j))),Resal+(Salim-Resal)*(1-EXP((Tnet-t)/(Tau_j))))*Salcycl</f>
        <v>4.3326793092825659E-2</v>
      </c>
      <c r="P212" s="338">
        <f>(INDEX(Models!$BJ212:$BT212,,T212)*(1-R212)+INDEX(Models!$BJ212:$BT212,,T212+1)*R212-ERP_i)*Q212*Ramure*Pc/MaxiM</f>
        <v>5.5486174150169828E-4</v>
      </c>
      <c r="Q212" s="304">
        <f t="shared" si="80"/>
        <v>0.5</v>
      </c>
      <c r="R212" s="176">
        <f t="shared" si="81"/>
        <v>0.98096791297836228</v>
      </c>
      <c r="S212" s="814">
        <f t="shared" si="82"/>
        <v>0</v>
      </c>
      <c r="T212" s="175">
        <f t="shared" si="83"/>
        <v>6</v>
      </c>
      <c r="U212" s="250">
        <f t="shared" si="84"/>
        <v>0.98096791297836228</v>
      </c>
      <c r="V212" s="382">
        <f t="shared" si="85"/>
        <v>53.221397133403848</v>
      </c>
      <c r="W212" s="401">
        <f t="shared" si="86"/>
        <v>0</v>
      </c>
      <c r="X212" s="157">
        <f t="shared" si="87"/>
        <v>44759</v>
      </c>
      <c r="Y212" s="384">
        <f t="shared" si="88"/>
        <v>48.618749815294578</v>
      </c>
      <c r="Z212" s="384">
        <f t="shared" si="89"/>
        <v>50.190262517420152</v>
      </c>
      <c r="AA212" s="385">
        <f t="shared" si="90"/>
        <v>53.98833485901401</v>
      </c>
      <c r="AB212" s="196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7.0349870050858188E-2</v>
      </c>
      <c r="AD212" s="230">
        <f>(INDEX(Models!$BJ212:$BT212,,AH212)*(1-AF212)+INDEX(Models!$BJ212:$BT212,,AH212+1)*AF212-ERP_i)*AE212*Ramure*Pc/MaxiM</f>
        <v>5.5486174150169828E-4</v>
      </c>
      <c r="AE212" s="304">
        <f t="shared" si="92"/>
        <v>0.5</v>
      </c>
      <c r="AF212" s="176">
        <f t="shared" si="93"/>
        <v>0.98096791297836228</v>
      </c>
      <c r="AG212" s="814">
        <f t="shared" si="99"/>
        <v>0</v>
      </c>
      <c r="AH212" s="175">
        <f t="shared" si="94"/>
        <v>6</v>
      </c>
      <c r="AI212" s="224">
        <f t="shared" si="95"/>
        <v>0.98096791297836228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8">
        <v>50.783999999999999</v>
      </c>
      <c r="C213" s="843"/>
      <c r="D213" s="392">
        <f t="shared" si="77"/>
        <v>52.426647333718428</v>
      </c>
      <c r="E213" s="384">
        <f t="shared" si="75"/>
        <v>54.806125803386351</v>
      </c>
      <c r="F213" s="384">
        <f t="shared" si="78"/>
        <v>54.83409502353642</v>
      </c>
      <c r="G213" s="110">
        <f t="shared" si="76"/>
        <v>0.95557754216380442</v>
      </c>
      <c r="H213" s="413" t="b">
        <f>Wh_hp&gt;='2021'!Maxi_hp</f>
        <v>1</v>
      </c>
      <c r="I213" s="379">
        <f>IF(H213,Wh_hp,'2021'!Maxi_hp)</f>
        <v>54.83409502353642</v>
      </c>
      <c r="J213" s="85">
        <f>IF(H213,An,'2021'!An_max)</f>
        <v>2022</v>
      </c>
      <c r="K213" s="196">
        <f t="shared" si="79"/>
        <v>44760</v>
      </c>
      <c r="L213" s="147">
        <f>IF(t&lt;Tvie,1-EXP((T0-t)*PertePVj)+'2021'!Pspv,1-EXP((T0-t)*PertePVj)+Pspv)</f>
        <v>3.1332297929758203E-2</v>
      </c>
      <c r="M213" s="847"/>
      <c r="N213" s="847"/>
      <c r="O213" s="48">
        <f>IF(t&lt;Tnet,'2021'!Resal+('2021'!Salim-'2021'!Resal)*(1-EXP(('2021'!Tnet-t)/('2021'!Tau_j))),Resal+(Salim-Resal)*(1-EXP((Tnet-t)/(Tau_j))))*Salcycl</f>
        <v>4.3416286679415377E-2</v>
      </c>
      <c r="P213" s="338">
        <f>(INDEX(Models!$BJ213:$BT213,,T213)*(1-R213)+INDEX(Models!$BJ213:$BT213,,T213+1)*R213-ERP_i)*Q213*Ramure*Pc/MaxiM</f>
        <v>5.4460519026891193E-4</v>
      </c>
      <c r="Q213" s="304">
        <f t="shared" si="80"/>
        <v>0.5</v>
      </c>
      <c r="R213" s="176">
        <f t="shared" si="81"/>
        <v>0.98276198552813654</v>
      </c>
      <c r="S213" s="814">
        <f t="shared" si="82"/>
        <v>0</v>
      </c>
      <c r="T213" s="175">
        <f t="shared" si="83"/>
        <v>6</v>
      </c>
      <c r="U213" s="250">
        <f t="shared" si="84"/>
        <v>0.98276198552813654</v>
      </c>
      <c r="V213" s="382">
        <f t="shared" si="85"/>
        <v>53.142987379825158</v>
      </c>
      <c r="W213" s="401">
        <f t="shared" si="86"/>
        <v>0</v>
      </c>
      <c r="X213" s="157">
        <f t="shared" si="87"/>
        <v>44760</v>
      </c>
      <c r="Y213" s="384">
        <f t="shared" si="88"/>
        <v>49.350803502121657</v>
      </c>
      <c r="Z213" s="384">
        <f t="shared" si="89"/>
        <v>50.947092998609179</v>
      </c>
      <c r="AA213" s="385">
        <f t="shared" si="90"/>
        <v>54.806125803386351</v>
      </c>
      <c r="AB213" s="196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7.0412435621178798E-2</v>
      </c>
      <c r="AD213" s="230">
        <f>(INDEX(Models!$BJ213:$BT213,,AH213)*(1-AF213)+INDEX(Models!$BJ213:$BT213,,AH213+1)*AF213-ERP_i)*AE213*Ramure*Pc/MaxiM</f>
        <v>5.4460519026891193E-4</v>
      </c>
      <c r="AE213" s="304">
        <f t="shared" si="92"/>
        <v>0.5</v>
      </c>
      <c r="AF213" s="176">
        <f t="shared" si="93"/>
        <v>0.98276198552813654</v>
      </c>
      <c r="AG213" s="814">
        <f t="shared" si="99"/>
        <v>0</v>
      </c>
      <c r="AH213" s="175">
        <f t="shared" si="94"/>
        <v>6</v>
      </c>
      <c r="AI213" s="224">
        <f t="shared" si="95"/>
        <v>0.98276198552813654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8">
        <v>40.14</v>
      </c>
      <c r="C214" s="843"/>
      <c r="D214" s="392">
        <f t="shared" si="77"/>
        <v>41.4392655121136</v>
      </c>
      <c r="E214" s="384">
        <f t="shared" si="75"/>
        <v>43.324096813798093</v>
      </c>
      <c r="F214" s="384">
        <f t="shared" si="78"/>
        <v>43.339189578106165</v>
      </c>
      <c r="G214" s="110">
        <f t="shared" si="76"/>
        <v>0.7563021272511673</v>
      </c>
      <c r="H214" s="413" t="b">
        <f>Wh_hp&gt;='2021'!Maxi_hp</f>
        <v>0</v>
      </c>
      <c r="I214" s="379">
        <f>IF(H214,Wh_hp,'2021'!Maxi_hp)</f>
        <v>57.925852793246442</v>
      </c>
      <c r="J214" s="85">
        <f>IF(H214,An,'2021'!An_max)</f>
        <v>2020</v>
      </c>
      <c r="K214" s="196">
        <f t="shared" si="79"/>
        <v>44761</v>
      </c>
      <c r="L214" s="147">
        <f>IF(t&lt;Tvie,1-EXP((T0-t)*PertePVj)+'2021'!Pspv,1-EXP((T0-t)*PertePVj)+Pspv)</f>
        <v>3.1353487955373939E-2</v>
      </c>
      <c r="M214" s="847"/>
      <c r="N214" s="847"/>
      <c r="O214" s="48">
        <f>IF(t&lt;Tnet,'2021'!Resal+('2021'!Salim-'2021'!Resal)*(1-EXP(('2021'!Tnet-t)/('2021'!Tau_j))),Resal+(Salim-Resal)*(1-EXP((Tnet-t)/(Tau_j))))*Salcycl</f>
        <v>4.3505380153342363E-2</v>
      </c>
      <c r="P214" s="338">
        <f>(INDEX(Models!$BJ214:$BT214,,T214)*(1-R214)+INDEX(Models!$BJ214:$BT214,,T214+1)*R214-ERP_i)*Q214*Ramure*Pc/MaxiM</f>
        <v>5.3407191275601064E-4</v>
      </c>
      <c r="Q214" s="304">
        <f t="shared" si="80"/>
        <v>0.5</v>
      </c>
      <c r="R214" s="176">
        <f t="shared" si="81"/>
        <v>0.98450854428747481</v>
      </c>
      <c r="S214" s="814">
        <f t="shared" si="82"/>
        <v>0</v>
      </c>
      <c r="T214" s="175">
        <f t="shared" si="83"/>
        <v>6</v>
      </c>
      <c r="U214" s="250">
        <f t="shared" si="84"/>
        <v>0.98450854428747481</v>
      </c>
      <c r="V214" s="382">
        <f t="shared" si="85"/>
        <v>53.064161746245752</v>
      </c>
      <c r="W214" s="401">
        <f t="shared" si="86"/>
        <v>0</v>
      </c>
      <c r="X214" s="157">
        <f t="shared" si="87"/>
        <v>44761</v>
      </c>
      <c r="Y214" s="384">
        <f t="shared" si="88"/>
        <v>39.008223972962561</v>
      </c>
      <c r="Z214" s="384">
        <f t="shared" si="89"/>
        <v>40.270855764115353</v>
      </c>
      <c r="AA214" s="385">
        <f t="shared" si="90"/>
        <v>43.324096813798093</v>
      </c>
      <c r="AB214" s="196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7.0474430495463286E-2</v>
      </c>
      <c r="AD214" s="230">
        <f>(INDEX(Models!$BJ214:$BT214,,AH214)*(1-AF214)+INDEX(Models!$BJ214:$BT214,,AH214+1)*AF214-ERP_i)*AE214*Ramure*Pc/MaxiM</f>
        <v>5.3407191275601064E-4</v>
      </c>
      <c r="AE214" s="304">
        <f t="shared" si="92"/>
        <v>0.5</v>
      </c>
      <c r="AF214" s="176">
        <f t="shared" si="93"/>
        <v>0.98450854428747481</v>
      </c>
      <c r="AG214" s="814">
        <f t="shared" si="99"/>
        <v>0</v>
      </c>
      <c r="AH214" s="175">
        <f t="shared" si="94"/>
        <v>6</v>
      </c>
      <c r="AI214" s="224">
        <f t="shared" si="95"/>
        <v>0.98450854428747481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8">
        <v>39.128</v>
      </c>
      <c r="C215" s="843"/>
      <c r="D215" s="392">
        <f t="shared" si="77"/>
        <v>40.395392410032336</v>
      </c>
      <c r="E215" s="384">
        <f t="shared" si="75"/>
        <v>42.236661297754573</v>
      </c>
      <c r="F215" s="384">
        <f t="shared" si="78"/>
        <v>42.25050970382113</v>
      </c>
      <c r="G215" s="110">
        <f t="shared" si="76"/>
        <v>0.7383298649418667</v>
      </c>
      <c r="H215" s="413" t="b">
        <f>Wh_hp&gt;='2021'!Maxi_hp</f>
        <v>0</v>
      </c>
      <c r="I215" s="379">
        <f>IF(H215,Wh_hp,'2021'!Maxi_hp)</f>
        <v>57.010821173837634</v>
      </c>
      <c r="J215" s="85">
        <f>IF(H215,An,'2021'!An_max)</f>
        <v>2020</v>
      </c>
      <c r="K215" s="196">
        <f t="shared" si="79"/>
        <v>44762</v>
      </c>
      <c r="L215" s="147">
        <f>IF(t&lt;Tvie,1-EXP((T0-t)*PertePVj)+'2021'!Pspv,1-EXP((T0-t)*PertePVj)+Pspv)</f>
        <v>3.1374677516873707E-2</v>
      </c>
      <c r="M215" s="847"/>
      <c r="N215" s="847"/>
      <c r="O215" s="48">
        <f>IF(t&lt;Tnet,'2021'!Resal+('2021'!Salim-'2021'!Resal)*(1-EXP(('2021'!Tnet-t)/('2021'!Tau_j))),Resal+(Salim-Resal)*(1-EXP((Tnet-t)/(Tau_j))))*Salcycl</f>
        <v>4.3594091747496136E-2</v>
      </c>
      <c r="P215" s="338">
        <f>(INDEX(Models!$BJ215:$BT215,,T215)*(1-R215)+INDEX(Models!$BJ215:$BT215,,T215+1)*R215-ERP_i)*Q215*Ramure*Pc/MaxiM</f>
        <v>5.2326507891254487E-4</v>
      </c>
      <c r="Q215" s="304">
        <f t="shared" si="80"/>
        <v>0.5</v>
      </c>
      <c r="R215" s="176">
        <f t="shared" si="81"/>
        <v>0.98620803554873593</v>
      </c>
      <c r="S215" s="814">
        <f t="shared" si="82"/>
        <v>0</v>
      </c>
      <c r="T215" s="175">
        <f t="shared" si="83"/>
        <v>6</v>
      </c>
      <c r="U215" s="250">
        <f t="shared" si="84"/>
        <v>0.98620803554873593</v>
      </c>
      <c r="V215" s="382">
        <f t="shared" si="85"/>
        <v>52.984919041977896</v>
      </c>
      <c r="W215" s="401">
        <f t="shared" si="86"/>
        <v>0</v>
      </c>
      <c r="X215" s="157">
        <f t="shared" si="87"/>
        <v>44762</v>
      </c>
      <c r="Y215" s="384">
        <f t="shared" si="88"/>
        <v>38.025770797414786</v>
      </c>
      <c r="Z215" s="384">
        <f t="shared" si="89"/>
        <v>39.257460975657288</v>
      </c>
      <c r="AA215" s="385">
        <f t="shared" si="90"/>
        <v>42.236661297754573</v>
      </c>
      <c r="AB215" s="196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7.0535885900045461E-2</v>
      </c>
      <c r="AD215" s="230">
        <f>(INDEX(Models!$BJ215:$BT215,,AH215)*(1-AF215)+INDEX(Models!$BJ215:$BT215,,AH215+1)*AF215-ERP_i)*AE215*Ramure*Pc/MaxiM</f>
        <v>5.2326507891254487E-4</v>
      </c>
      <c r="AE215" s="304">
        <f t="shared" si="92"/>
        <v>0.5</v>
      </c>
      <c r="AF215" s="176">
        <f t="shared" si="93"/>
        <v>0.98620803554873593</v>
      </c>
      <c r="AG215" s="814">
        <f t="shared" si="99"/>
        <v>0</v>
      </c>
      <c r="AH215" s="175">
        <f t="shared" si="94"/>
        <v>6</v>
      </c>
      <c r="AI215" s="224">
        <f t="shared" si="95"/>
        <v>0.98620803554873593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8">
        <v>49.606000000000002</v>
      </c>
      <c r="C216" s="843"/>
      <c r="D216" s="392">
        <f t="shared" si="77"/>
        <v>51.21390492791253</v>
      </c>
      <c r="E216" s="384">
        <f t="shared" si="75"/>
        <v>53.553241123930384</v>
      </c>
      <c r="F216" s="384">
        <f t="shared" si="78"/>
        <v>53.578238473295933</v>
      </c>
      <c r="G216" s="110">
        <f t="shared" si="76"/>
        <v>0.93759556596833593</v>
      </c>
      <c r="H216" s="413" t="b">
        <f>Wh_hp&gt;='2021'!Maxi_hp</f>
        <v>1</v>
      </c>
      <c r="I216" s="379">
        <f>IF(H216,Wh_hp,'2021'!Maxi_hp)</f>
        <v>53.578238473295933</v>
      </c>
      <c r="J216" s="85">
        <f>IF(H216,An,'2021'!An_max)</f>
        <v>2022</v>
      </c>
      <c r="K216" s="196">
        <f t="shared" si="79"/>
        <v>44763</v>
      </c>
      <c r="L216" s="147">
        <f>IF(t&lt;Tvie,1-EXP((T0-t)*PertePVj)+'2021'!Pspv,1-EXP((T0-t)*PertePVj)+Pspv)</f>
        <v>3.1395866614267721E-2</v>
      </c>
      <c r="M216" s="847"/>
      <c r="N216" s="847"/>
      <c r="O216" s="48">
        <f>IF(t&lt;Tnet,'2021'!Resal+('2021'!Salim-'2021'!Resal)*(1-EXP(('2021'!Tnet-t)/('2021'!Tau_j))),Resal+(Salim-Resal)*(1-EXP((Tnet-t)/(Tau_j))))*Salcycl</f>
        <v>4.3682439137610184E-2</v>
      </c>
      <c r="P216" s="338">
        <f>(INDEX(Models!$BJ216:$BT216,,T216)*(1-R216)+INDEX(Models!$BJ216:$BT216,,T216+1)*R216-ERP_i)*Q216*Ramure*Pc/MaxiM</f>
        <v>5.1218767782952308E-4</v>
      </c>
      <c r="Q216" s="304">
        <f t="shared" si="80"/>
        <v>0.5</v>
      </c>
      <c r="R216" s="176">
        <f t="shared" si="81"/>
        <v>0.98786095920357186</v>
      </c>
      <c r="S216" s="814">
        <f t="shared" si="82"/>
        <v>0</v>
      </c>
      <c r="T216" s="175">
        <f t="shared" si="83"/>
        <v>6</v>
      </c>
      <c r="U216" s="250">
        <f t="shared" si="84"/>
        <v>0.98786095920357186</v>
      </c>
      <c r="V216" s="382">
        <f t="shared" si="85"/>
        <v>52.905258122114994</v>
      </c>
      <c r="W216" s="401">
        <f t="shared" si="86"/>
        <v>0</v>
      </c>
      <c r="X216" s="157">
        <f t="shared" si="87"/>
        <v>44763</v>
      </c>
      <c r="Y216" s="384">
        <f t="shared" si="88"/>
        <v>48.209899554610644</v>
      </c>
      <c r="Z216" s="384">
        <f t="shared" si="89"/>
        <v>49.772551956901225</v>
      </c>
      <c r="AA216" s="385">
        <f t="shared" si="90"/>
        <v>53.553241123930384</v>
      </c>
      <c r="AB216" s="196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7.0596832006489918E-2</v>
      </c>
      <c r="AD216" s="230">
        <f>(INDEX(Models!$BJ216:$BT216,,AH216)*(1-AF216)+INDEX(Models!$BJ216:$BT216,,AH216+1)*AF216-ERP_i)*AE216*Ramure*Pc/MaxiM</f>
        <v>5.1218767782952308E-4</v>
      </c>
      <c r="AE216" s="304">
        <f t="shared" si="92"/>
        <v>0.5</v>
      </c>
      <c r="AF216" s="176">
        <f t="shared" si="93"/>
        <v>0.98786095920357186</v>
      </c>
      <c r="AG216" s="814">
        <f t="shared" si="99"/>
        <v>0</v>
      </c>
      <c r="AH216" s="175">
        <f t="shared" si="94"/>
        <v>6</v>
      </c>
      <c r="AI216" s="224">
        <f t="shared" si="95"/>
        <v>0.98786095920357186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8">
        <v>38.738</v>
      </c>
      <c r="C217" s="843"/>
      <c r="D217" s="392">
        <f t="shared" si="77"/>
        <v>39.99450972152033</v>
      </c>
      <c r="E217" s="384">
        <f t="shared" si="75"/>
        <v>41.825217884592888</v>
      </c>
      <c r="F217" s="384">
        <f t="shared" si="78"/>
        <v>41.838189358231013</v>
      </c>
      <c r="G217" s="110">
        <f t="shared" si="76"/>
        <v>0.73318458944021725</v>
      </c>
      <c r="H217" s="413" t="b">
        <f>Wh_hp&gt;='2021'!Maxi_hp</f>
        <v>0</v>
      </c>
      <c r="I217" s="379">
        <f>IF(H217,Wh_hp,'2021'!Maxi_hp)</f>
        <v>54.375496718092663</v>
      </c>
      <c r="J217" s="85">
        <f>IF(H217,An,'2021'!An_max)</f>
        <v>2021</v>
      </c>
      <c r="K217" s="196">
        <f t="shared" si="79"/>
        <v>44764</v>
      </c>
      <c r="L217" s="147">
        <f>IF(t&lt;Tvie,1-EXP((T0-t)*PertePVj)+'2021'!Pspv,1-EXP((T0-t)*PertePVj)+Pspv)</f>
        <v>3.1417055247566196E-2</v>
      </c>
      <c r="M217" s="847"/>
      <c r="N217" s="847"/>
      <c r="O217" s="48">
        <f>IF(t&lt;Tnet,'2021'!Resal+('2021'!Salim-'2021'!Resal)*(1-EXP(('2021'!Tnet-t)/('2021'!Tau_j))),Resal+(Salim-Resal)*(1-EXP((Tnet-t)/(Tau_j))))*Salcycl</f>
        <v>4.3770439358474467E-2</v>
      </c>
      <c r="P217" s="338">
        <f>(INDEX(Models!$BJ217:$BT217,,T217)*(1-R217)+INDEX(Models!$BJ217:$BT217,,T217+1)*R217-ERP_i)*Q217*Ramure*Pc/MaxiM</f>
        <v>5.0084250361184508E-4</v>
      </c>
      <c r="Q217" s="304">
        <f t="shared" si="80"/>
        <v>0.5</v>
      </c>
      <c r="R217" s="176">
        <f t="shared" si="81"/>
        <v>0.98946786459793934</v>
      </c>
      <c r="S217" s="814">
        <f t="shared" si="82"/>
        <v>0</v>
      </c>
      <c r="T217" s="175">
        <f t="shared" si="83"/>
        <v>6</v>
      </c>
      <c r="U217" s="250">
        <f t="shared" si="84"/>
        <v>0.98946786459793934</v>
      </c>
      <c r="V217" s="382">
        <f t="shared" si="85"/>
        <v>52.825177891612313</v>
      </c>
      <c r="W217" s="401">
        <f t="shared" si="86"/>
        <v>0</v>
      </c>
      <c r="X217" s="157">
        <f t="shared" si="87"/>
        <v>44764</v>
      </c>
      <c r="Y217" s="384">
        <f t="shared" si="88"/>
        <v>37.648781296341156</v>
      </c>
      <c r="Z217" s="384">
        <f t="shared" si="89"/>
        <v>38.869961008826195</v>
      </c>
      <c r="AA217" s="385">
        <f t="shared" si="90"/>
        <v>41.825217884592888</v>
      </c>
      <c r="AB217" s="196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7.0657297803469812E-2</v>
      </c>
      <c r="AD217" s="230">
        <f>(INDEX(Models!$BJ217:$BT217,,AH217)*(1-AF217)+INDEX(Models!$BJ217:$BT217,,AH217+1)*AF217-ERP_i)*AE217*Ramure*Pc/MaxiM</f>
        <v>5.0084250361184508E-4</v>
      </c>
      <c r="AE217" s="304">
        <f t="shared" si="92"/>
        <v>0.5</v>
      </c>
      <c r="AF217" s="176">
        <f t="shared" si="93"/>
        <v>0.98946786459793934</v>
      </c>
      <c r="AG217" s="814">
        <f t="shared" si="99"/>
        <v>0</v>
      </c>
      <c r="AH217" s="175">
        <f t="shared" si="94"/>
        <v>6</v>
      </c>
      <c r="AI217" s="224">
        <f t="shared" si="95"/>
        <v>0.98946786459793934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8">
        <v>45.533999999999999</v>
      </c>
      <c r="C218" s="843"/>
      <c r="D218" s="392">
        <f t="shared" si="77"/>
        <v>47.011973878288906</v>
      </c>
      <c r="E218" s="384">
        <f t="shared" si="75"/>
        <v>49.168407228493415</v>
      </c>
      <c r="F218" s="384">
        <f t="shared" si="78"/>
        <v>49.187771752604625</v>
      </c>
      <c r="G218" s="110">
        <f t="shared" si="76"/>
        <v>0.86320838419986734</v>
      </c>
      <c r="H218" s="413" t="b">
        <f>Wh_hp&gt;='2021'!Maxi_hp</f>
        <v>0</v>
      </c>
      <c r="I218" s="379">
        <f>IF(H218,Wh_hp,'2021'!Maxi_hp)</f>
        <v>55.212338097424414</v>
      </c>
      <c r="J218" s="85">
        <f>IF(H218,An,'2021'!An_max)</f>
        <v>2019</v>
      </c>
      <c r="K218" s="196">
        <f t="shared" si="79"/>
        <v>44765</v>
      </c>
      <c r="L218" s="147">
        <f>IF(t&lt;Tvie,1-EXP((T0-t)*PertePVj)+'2021'!Pspv,1-EXP((T0-t)*PertePVj)+Pspv)</f>
        <v>3.1438243416779123E-2</v>
      </c>
      <c r="M218" s="847"/>
      <c r="N218" s="847"/>
      <c r="O218" s="48">
        <f>IF(t&lt;Tnet,'2021'!Resal+('2021'!Salim-'2021'!Resal)*(1-EXP(('2021'!Tnet-t)/('2021'!Tau_j))),Resal+(Salim-Resal)*(1-EXP((Tnet-t)/(Tau_j))))*Salcycl</f>
        <v>4.3858108727891462E-2</v>
      </c>
      <c r="P218" s="338">
        <f>(INDEX(Models!$BJ218:$BT218,,T218)*(1-R218)+INDEX(Models!$BJ218:$BT218,,T218+1)*R218-ERP_i)*Q218*Ramure*Pc/MaxiM</f>
        <v>4.8923214364928326E-4</v>
      </c>
      <c r="Q218" s="304">
        <f t="shared" si="80"/>
        <v>0.5</v>
      </c>
      <c r="R218" s="176">
        <f t="shared" si="81"/>
        <v>0.9910293464546186</v>
      </c>
      <c r="S218" s="814">
        <f t="shared" si="82"/>
        <v>0</v>
      </c>
      <c r="T218" s="175">
        <f t="shared" si="83"/>
        <v>6</v>
      </c>
      <c r="U218" s="250">
        <f t="shared" si="84"/>
        <v>0.9910293464546186</v>
      </c>
      <c r="V218" s="382">
        <f t="shared" si="85"/>
        <v>52.744677310585566</v>
      </c>
      <c r="W218" s="401">
        <f t="shared" si="86"/>
        <v>0</v>
      </c>
      <c r="X218" s="157">
        <f t="shared" si="87"/>
        <v>44765</v>
      </c>
      <c r="Y218" s="384">
        <f t="shared" si="88"/>
        <v>44.254893910620794</v>
      </c>
      <c r="Z218" s="384">
        <f t="shared" si="89"/>
        <v>45.691349684028452</v>
      </c>
      <c r="AA218" s="385">
        <f t="shared" si="90"/>
        <v>49.168407228493415</v>
      </c>
      <c r="AB218" s="196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7.0717310981958867E-2</v>
      </c>
      <c r="AD218" s="230">
        <f>(INDEX(Models!$BJ218:$BT218,,AH218)*(1-AF218)+INDEX(Models!$BJ218:$BT218,,AH218+1)*AF218-ERP_i)*AE218*Ramure*Pc/MaxiM</f>
        <v>4.8923214364928326E-4</v>
      </c>
      <c r="AE218" s="304">
        <f t="shared" si="92"/>
        <v>0.5</v>
      </c>
      <c r="AF218" s="176">
        <f t="shared" si="93"/>
        <v>0.9910293464546186</v>
      </c>
      <c r="AG218" s="814">
        <f t="shared" si="99"/>
        <v>0</v>
      </c>
      <c r="AH218" s="175">
        <f t="shared" si="94"/>
        <v>6</v>
      </c>
      <c r="AI218" s="224">
        <f t="shared" si="95"/>
        <v>0.9910293464546186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8">
        <v>49.931000000000004</v>
      </c>
      <c r="C219" s="843"/>
      <c r="D219" s="392">
        <f t="shared" si="77"/>
        <v>51.55282246755857</v>
      </c>
      <c r="E219" s="384">
        <f t="shared" si="75"/>
        <v>53.922470382698236</v>
      </c>
      <c r="F219" s="384">
        <f t="shared" si="78"/>
        <v>53.946312409245607</v>
      </c>
      <c r="G219" s="110">
        <f t="shared" si="76"/>
        <v>0.94806405854522546</v>
      </c>
      <c r="H219" s="413" t="b">
        <f>Wh_hp&gt;='2021'!Maxi_hp</f>
        <v>0</v>
      </c>
      <c r="I219" s="379">
        <f>IF(H219,Wh_hp,'2021'!Maxi_hp)</f>
        <v>55.317819769739138</v>
      </c>
      <c r="J219" s="85">
        <f>IF(H219,An,'2021'!An_max)</f>
        <v>2019</v>
      </c>
      <c r="K219" s="196">
        <f t="shared" si="79"/>
        <v>44766</v>
      </c>
      <c r="L219" s="147">
        <f>IF(t&lt;Tvie,1-EXP((T0-t)*PertePVj)+'2021'!Pspv,1-EXP((T0-t)*PertePVj)+Pspv)</f>
        <v>3.1459431121916827E-2</v>
      </c>
      <c r="M219" s="847"/>
      <c r="N219" s="847"/>
      <c r="O219" s="48">
        <f>IF(t&lt;Tnet,'2021'!Resal+('2021'!Salim-'2021'!Resal)*(1-EXP(('2021'!Tnet-t)/('2021'!Tau_j))),Resal+(Salim-Resal)*(1-EXP((Tnet-t)/(Tau_j))))*Salcycl</f>
        <v>4.3945462778723084E-2</v>
      </c>
      <c r="P219" s="338">
        <f>(INDEX(Models!$BJ219:$BT219,,T219)*(1-R219)+INDEX(Models!$BJ219:$BT219,,T219+1)*R219-ERP_i)*Q219*Ramure*Pc/MaxiM</f>
        <v>4.7735229034965741E-4</v>
      </c>
      <c r="Q219" s="304">
        <f t="shared" si="80"/>
        <v>0.5</v>
      </c>
      <c r="R219" s="176">
        <f t="shared" si="81"/>
        <v>0.99254604088034493</v>
      </c>
      <c r="S219" s="814">
        <f t="shared" si="82"/>
        <v>0</v>
      </c>
      <c r="T219" s="175">
        <f t="shared" si="83"/>
        <v>6</v>
      </c>
      <c r="U219" s="250">
        <f t="shared" si="84"/>
        <v>0.99254604088034493</v>
      </c>
      <c r="V219" s="382">
        <f t="shared" si="85"/>
        <v>52.664407554338602</v>
      </c>
      <c r="W219" s="401">
        <f t="shared" si="86"/>
        <v>0</v>
      </c>
      <c r="X219" s="157">
        <f t="shared" si="87"/>
        <v>44766</v>
      </c>
      <c r="Y219" s="384">
        <f t="shared" si="88"/>
        <v>48.529698785899924</v>
      </c>
      <c r="Z219" s="384">
        <f t="shared" si="89"/>
        <v>50.106005205455354</v>
      </c>
      <c r="AA219" s="385">
        <f t="shared" si="90"/>
        <v>53.922470382698236</v>
      </c>
      <c r="AB219" s="196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7.0776897834180896E-2</v>
      </c>
      <c r="AD219" s="230">
        <f>(INDEX(Models!$BJ219:$BT219,,AH219)*(1-AF219)+INDEX(Models!$BJ219:$BT219,,AH219+1)*AF219-ERP_i)*AE219*Ramure*Pc/MaxiM</f>
        <v>4.7735229034965741E-4</v>
      </c>
      <c r="AE219" s="304">
        <f t="shared" si="92"/>
        <v>0.5</v>
      </c>
      <c r="AF219" s="176">
        <f t="shared" si="93"/>
        <v>0.99254604088034493</v>
      </c>
      <c r="AG219" s="814">
        <f t="shared" si="99"/>
        <v>0</v>
      </c>
      <c r="AH219" s="175">
        <f t="shared" si="94"/>
        <v>6</v>
      </c>
      <c r="AI219" s="224">
        <f t="shared" si="95"/>
        <v>0.99254604088034493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8">
        <v>28.917999999999999</v>
      </c>
      <c r="C220" s="843"/>
      <c r="D220" s="392">
        <f t="shared" si="77"/>
        <v>29.857946622732758</v>
      </c>
      <c r="E220" s="384">
        <f t="shared" si="75"/>
        <v>31.233224067438297</v>
      </c>
      <c r="F220" s="384">
        <f t="shared" si="78"/>
        <v>31.238412232576479</v>
      </c>
      <c r="G220" s="110">
        <f t="shared" si="76"/>
        <v>0.54976605903129583</v>
      </c>
      <c r="H220" s="413" t="b">
        <f>Wh_hp&gt;='2021'!Maxi_hp</f>
        <v>0</v>
      </c>
      <c r="I220" s="379">
        <f>IF(H220,Wh_hp,'2021'!Maxi_hp)</f>
        <v>56.522396659484173</v>
      </c>
      <c r="J220" s="85">
        <f>IF(H220,An,'2021'!An_max)</f>
        <v>2020</v>
      </c>
      <c r="K220" s="196">
        <f t="shared" si="79"/>
        <v>44767</v>
      </c>
      <c r="L220" s="147">
        <f>IF(t&lt;Tvie,1-EXP((T0-t)*PertePVj)+'2021'!Pspv,1-EXP((T0-t)*PertePVj)+Pspv)</f>
        <v>3.1480618362989411E-2</v>
      </c>
      <c r="M220" s="847"/>
      <c r="N220" s="847"/>
      <c r="O220" s="48">
        <f>IF(t&lt;Tnet,'2021'!Resal+('2021'!Salim-'2021'!Resal)*(1-EXP(('2021'!Tnet-t)/('2021'!Tau_j))),Resal+(Salim-Resal)*(1-EXP((Tnet-t)/(Tau_j))))*Salcycl</f>
        <v>4.4032516199290245E-2</v>
      </c>
      <c r="P220" s="338">
        <f>(INDEX(Models!$BJ220:$BT220,,T220)*(1-R220)+INDEX(Models!$BJ220:$BT220,,T220+1)*R220-ERP_i)*Q220*Ramure*Pc/MaxiM</f>
        <v>4.6516123986758067E-4</v>
      </c>
      <c r="Q220" s="304">
        <f t="shared" si="80"/>
        <v>0.5</v>
      </c>
      <c r="R220" s="176">
        <f t="shared" si="81"/>
        <v>0.99401862147262587</v>
      </c>
      <c r="S220" s="814">
        <f t="shared" si="82"/>
        <v>0</v>
      </c>
      <c r="T220" s="175">
        <f t="shared" si="83"/>
        <v>6</v>
      </c>
      <c r="U220" s="250">
        <f t="shared" si="84"/>
        <v>0.99401862147262587</v>
      </c>
      <c r="V220" s="382">
        <f t="shared" si="85"/>
        <v>52.584821016367528</v>
      </c>
      <c r="W220" s="401">
        <f t="shared" si="86"/>
        <v>0</v>
      </c>
      <c r="X220" s="157">
        <f t="shared" si="87"/>
        <v>44767</v>
      </c>
      <c r="Y220" s="384">
        <f t="shared" si="88"/>
        <v>28.10719255864262</v>
      </c>
      <c r="Z220" s="384">
        <f t="shared" si="89"/>
        <v>29.02078480983549</v>
      </c>
      <c r="AA220" s="385">
        <f t="shared" si="90"/>
        <v>31.233224067438297</v>
      </c>
      <c r="AB220" s="196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7.083608316662228E-2</v>
      </c>
      <c r="AD220" s="230">
        <f>(INDEX(Models!$BJ220:$BT220,,AH220)*(1-AF220)+INDEX(Models!$BJ220:$BT220,,AH220+1)*AF220-ERP_i)*AE220*Ramure*Pc/MaxiM</f>
        <v>4.6516123986758067E-4</v>
      </c>
      <c r="AE220" s="304">
        <f t="shared" si="92"/>
        <v>0.5</v>
      </c>
      <c r="AF220" s="176">
        <f t="shared" si="93"/>
        <v>0.99401862147262587</v>
      </c>
      <c r="AG220" s="814">
        <f t="shared" si="99"/>
        <v>0</v>
      </c>
      <c r="AH220" s="175">
        <f t="shared" si="94"/>
        <v>6</v>
      </c>
      <c r="AI220" s="224">
        <f t="shared" si="95"/>
        <v>0.99401862147262587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8">
        <v>50.17</v>
      </c>
      <c r="C221" s="843"/>
      <c r="D221" s="392">
        <f t="shared" si="77"/>
        <v>51.801851842638307</v>
      </c>
      <c r="E221" s="384">
        <f t="shared" si="75"/>
        <v>54.192799278783411</v>
      </c>
      <c r="F221" s="384">
        <f t="shared" si="78"/>
        <v>54.215788856289556</v>
      </c>
      <c r="G221" s="110">
        <f t="shared" si="76"/>
        <v>0.95548947869620315</v>
      </c>
      <c r="H221" s="413" t="b">
        <f>Wh_hp&gt;='2021'!Maxi_hp</f>
        <v>0</v>
      </c>
      <c r="I221" s="379">
        <f>IF(H221,Wh_hp,'2021'!Maxi_hp)</f>
        <v>56.237487014663813</v>
      </c>
      <c r="J221" s="85">
        <f>IF(H221,An,'2021'!An_max)</f>
        <v>2020</v>
      </c>
      <c r="K221" s="196">
        <f t="shared" si="79"/>
        <v>44768</v>
      </c>
      <c r="L221" s="147">
        <f>IF(t&lt;Tvie,1-EXP((T0-t)*PertePVj)+'2021'!Pspv,1-EXP((T0-t)*PertePVj)+Pspv)</f>
        <v>3.1501805140006979E-2</v>
      </c>
      <c r="M221" s="847"/>
      <c r="N221" s="847"/>
      <c r="O221" s="48">
        <f>IF(t&lt;Tnet,'2021'!Resal+('2021'!Salim-'2021'!Resal)*(1-EXP(('2021'!Tnet-t)/('2021'!Tau_j))),Resal+(Salim-Resal)*(1-EXP((Tnet-t)/(Tau_j))))*Salcycl</f>
        <v>4.4119282782300713E-2</v>
      </c>
      <c r="P221" s="338">
        <f>(INDEX(Models!$BJ221:$BT221,,T221)*(1-R221)+INDEX(Models!$BJ221:$BT221,,T221+1)*R221-ERP_i)*Q221*Ramure*Pc/MaxiM</f>
        <v>4.5281343032343264E-4</v>
      </c>
      <c r="Q221" s="304">
        <f t="shared" si="80"/>
        <v>0.5</v>
      </c>
      <c r="R221" s="176">
        <f t="shared" si="81"/>
        <v>0.99544779553934126</v>
      </c>
      <c r="S221" s="814">
        <f t="shared" si="82"/>
        <v>0</v>
      </c>
      <c r="T221" s="175">
        <f t="shared" si="83"/>
        <v>6</v>
      </c>
      <c r="U221" s="250">
        <f t="shared" si="84"/>
        <v>0.99544779553934126</v>
      </c>
      <c r="V221" s="382">
        <f t="shared" si="85"/>
        <v>52.505607716188798</v>
      </c>
      <c r="W221" s="401">
        <f t="shared" si="86"/>
        <v>0</v>
      </c>
      <c r="X221" s="157">
        <f t="shared" si="87"/>
        <v>44768</v>
      </c>
      <c r="Y221" s="384">
        <f t="shared" si="88"/>
        <v>48.764665420781569</v>
      </c>
      <c r="Z221" s="384">
        <f t="shared" si="89"/>
        <v>50.350806722805544</v>
      </c>
      <c r="AA221" s="385">
        <f t="shared" si="90"/>
        <v>54.192799278783411</v>
      </c>
      <c r="AB221" s="196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7.0894890227270677E-2</v>
      </c>
      <c r="AD221" s="230">
        <f>(INDEX(Models!$BJ221:$BT221,,AH221)*(1-AF221)+INDEX(Models!$BJ221:$BT221,,AH221+1)*AF221-ERP_i)*AE221*Ramure*Pc/MaxiM</f>
        <v>4.5281343032343264E-4</v>
      </c>
      <c r="AE221" s="304">
        <f t="shared" si="92"/>
        <v>0.5</v>
      </c>
      <c r="AF221" s="176">
        <f t="shared" si="93"/>
        <v>0.99544779553934126</v>
      </c>
      <c r="AG221" s="814">
        <f t="shared" si="99"/>
        <v>0</v>
      </c>
      <c r="AH221" s="175">
        <f t="shared" si="94"/>
        <v>6</v>
      </c>
      <c r="AI221" s="224">
        <f t="shared" si="95"/>
        <v>0.99544779553934126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8">
        <v>53.006</v>
      </c>
      <c r="C222" s="843"/>
      <c r="D222" s="392">
        <f t="shared" si="77"/>
        <v>54.731294116649671</v>
      </c>
      <c r="E222" s="384">
        <f t="shared" si="75"/>
        <v>57.262633218511567</v>
      </c>
      <c r="F222" s="384">
        <f t="shared" si="78"/>
        <v>57.287857875556988</v>
      </c>
      <c r="G222" s="110">
        <f t="shared" si="76"/>
        <v>1.0110542313078026</v>
      </c>
      <c r="H222" s="413" t="b">
        <f>Wh_hp&gt;='2021'!Maxi_hp</f>
        <v>1</v>
      </c>
      <c r="I222" s="379">
        <f>IF(H222,Wh_hp,'2021'!Maxi_hp)</f>
        <v>57.287857875556988</v>
      </c>
      <c r="J222" s="85">
        <f>IF(H222,An,'2021'!An_max)</f>
        <v>2022</v>
      </c>
      <c r="K222" s="196">
        <f t="shared" si="79"/>
        <v>44769</v>
      </c>
      <c r="L222" s="147">
        <f>IF(t&lt;Tvie,1-EXP((T0-t)*PertePVj)+'2021'!Pspv,1-EXP((T0-t)*PertePVj)+Pspv)</f>
        <v>3.1522991452979744E-2</v>
      </c>
      <c r="M222" s="847"/>
      <c r="N222" s="847"/>
      <c r="O222" s="48">
        <f>IF(t&lt;Tnet,'2021'!Resal+('2021'!Salim-'2021'!Resal)*(1-EXP(('2021'!Tnet-t)/('2021'!Tau_j))),Resal+(Salim-Resal)*(1-EXP((Tnet-t)/(Tau_j))))*Salcycl</f>
        <v>4.4205775382393328E-2</v>
      </c>
      <c r="P222" s="338">
        <f>(INDEX(Models!$BJ222:$BT222,,T222)*(1-R222)+INDEX(Models!$BJ222:$BT222,,T222+1)*R222-ERP_i)*Q222*Ramure*Pc/MaxiM</f>
        <v>4.4031419537831962E-4</v>
      </c>
      <c r="Q222" s="304">
        <f t="shared" si="80"/>
        <v>0.5</v>
      </c>
      <c r="R222" s="176">
        <f t="shared" si="81"/>
        <v>0.9968343004423208</v>
      </c>
      <c r="S222" s="814">
        <f t="shared" si="82"/>
        <v>0</v>
      </c>
      <c r="T222" s="175">
        <f t="shared" si="83"/>
        <v>6</v>
      </c>
      <c r="U222" s="250">
        <f t="shared" si="84"/>
        <v>0.9968343004423208</v>
      </c>
      <c r="V222" s="382">
        <f t="shared" si="85"/>
        <v>52.426465721266531</v>
      </c>
      <c r="W222" s="401">
        <f t="shared" si="86"/>
        <v>0</v>
      </c>
      <c r="X222" s="157">
        <f t="shared" si="87"/>
        <v>44769</v>
      </c>
      <c r="Y222" s="384">
        <f t="shared" si="88"/>
        <v>51.522645729902273</v>
      </c>
      <c r="Z222" s="384">
        <f t="shared" si="89"/>
        <v>53.199658097408324</v>
      </c>
      <c r="AA222" s="385">
        <f t="shared" si="90"/>
        <v>57.262633218511567</v>
      </c>
      <c r="AB222" s="196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7.0953340647104346E-2</v>
      </c>
      <c r="AD222" s="230">
        <f>(INDEX(Models!$BJ222:$BT222,,AH222)*(1-AF222)+INDEX(Models!$BJ222:$BT222,,AH222+1)*AF222-ERP_i)*AE222*Ramure*Pc/MaxiM</f>
        <v>4.4031419537831962E-4</v>
      </c>
      <c r="AE222" s="304">
        <f t="shared" si="92"/>
        <v>0.5</v>
      </c>
      <c r="AF222" s="176">
        <f t="shared" si="93"/>
        <v>0.9968343004423208</v>
      </c>
      <c r="AG222" s="814">
        <f t="shared" si="99"/>
        <v>0</v>
      </c>
      <c r="AH222" s="175">
        <f t="shared" si="94"/>
        <v>6</v>
      </c>
      <c r="AI222" s="224">
        <f t="shared" si="95"/>
        <v>0.9968343004423208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8">
        <v>44.62</v>
      </c>
      <c r="C223" s="843"/>
      <c r="D223" s="392">
        <f t="shared" si="77"/>
        <v>46.073345788443227</v>
      </c>
      <c r="E223" s="384">
        <f t="shared" si="75"/>
        <v>48.20860144732562</v>
      </c>
      <c r="F223" s="384">
        <f t="shared" si="78"/>
        <v>48.224876559014</v>
      </c>
      <c r="G223" s="110">
        <f t="shared" si="76"/>
        <v>0.85231044909541021</v>
      </c>
      <c r="H223" s="413" t="b">
        <f>Wh_hp&gt;='2021'!Maxi_hp</f>
        <v>0</v>
      </c>
      <c r="I223" s="379">
        <f>IF(H223,Wh_hp,'2021'!Maxi_hp)</f>
        <v>58.386184765777948</v>
      </c>
      <c r="J223" s="85">
        <f>IF(H223,An,'2021'!An_max)</f>
        <v>2019</v>
      </c>
      <c r="K223" s="196">
        <f t="shared" si="79"/>
        <v>44770</v>
      </c>
      <c r="L223" s="147">
        <f>IF(t&lt;Tvie,1-EXP((T0-t)*PertePVj)+'2021'!Pspv,1-EXP((T0-t)*PertePVj)+Pspv)</f>
        <v>3.1544177301917921E-2</v>
      </c>
      <c r="M223" s="847"/>
      <c r="N223" s="847"/>
      <c r="O223" s="48">
        <f>IF(t&lt;Tnet,'2021'!Resal+('2021'!Salim-'2021'!Resal)*(1-EXP(('2021'!Tnet-t)/('2021'!Tau_j))),Resal+(Salim-Resal)*(1-EXP((Tnet-t)/(Tau_j))))*Salcycl</f>
        <v>4.4292005882299874E-2</v>
      </c>
      <c r="P223" s="338">
        <f>(INDEX(Models!$BJ223:$BT223,,T223)*(1-R223)+INDEX(Models!$BJ223:$BT223,,T223+1)*R223-ERP_i)*Q223*Ramure*Pc/MaxiM</f>
        <v>4.2766840867509498E-4</v>
      </c>
      <c r="Q223" s="304">
        <f t="shared" si="80"/>
        <v>0.5</v>
      </c>
      <c r="R223" s="176">
        <f t="shared" si="81"/>
        <v>0.99817890007426979</v>
      </c>
      <c r="S223" s="814">
        <f t="shared" si="82"/>
        <v>0</v>
      </c>
      <c r="T223" s="175">
        <f t="shared" si="83"/>
        <v>6</v>
      </c>
      <c r="U223" s="250">
        <f t="shared" si="84"/>
        <v>0.99817890007426979</v>
      </c>
      <c r="V223" s="382">
        <f t="shared" si="85"/>
        <v>52.347093302583673</v>
      </c>
      <c r="W223" s="401">
        <f t="shared" si="86"/>
        <v>0</v>
      </c>
      <c r="X223" s="157">
        <f t="shared" si="87"/>
        <v>44770</v>
      </c>
      <c r="Y223" s="384">
        <f t="shared" si="88"/>
        <v>43.372525039021667</v>
      </c>
      <c r="Z223" s="384">
        <f t="shared" si="89"/>
        <v>44.785238544167576</v>
      </c>
      <c r="AA223" s="385">
        <f t="shared" si="90"/>
        <v>48.20860144732562</v>
      </c>
      <c r="AB223" s="196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7.1011454395716628E-2</v>
      </c>
      <c r="AD223" s="230">
        <f>(INDEX(Models!$BJ223:$BT223,,AH223)*(1-AF223)+INDEX(Models!$BJ223:$BT223,,AH223+1)*AF223-ERP_i)*AE223*Ramure*Pc/MaxiM</f>
        <v>4.2766840867509498E-4</v>
      </c>
      <c r="AE223" s="304">
        <f t="shared" si="92"/>
        <v>0.5</v>
      </c>
      <c r="AF223" s="176">
        <f t="shared" si="93"/>
        <v>0.99817890007426979</v>
      </c>
      <c r="AG223" s="814">
        <f t="shared" si="99"/>
        <v>0</v>
      </c>
      <c r="AH223" s="175">
        <f t="shared" si="94"/>
        <v>6</v>
      </c>
      <c r="AI223" s="224">
        <f t="shared" si="95"/>
        <v>0.99817890007426979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8">
        <v>26.119</v>
      </c>
      <c r="C224" s="843"/>
      <c r="D224" s="392">
        <f t="shared" si="77"/>
        <v>26.970328191136094</v>
      </c>
      <c r="E224" s="384">
        <f t="shared" si="75"/>
        <v>28.222799153349897</v>
      </c>
      <c r="F224" s="384">
        <f t="shared" si="78"/>
        <v>28.226140331971251</v>
      </c>
      <c r="G224" s="110">
        <f t="shared" si="76"/>
        <v>0.49957258282110811</v>
      </c>
      <c r="H224" s="413" t="b">
        <f>Wh_hp&gt;='2021'!Maxi_hp</f>
        <v>0</v>
      </c>
      <c r="I224" s="379">
        <f>IF(H224,Wh_hp,'2021'!Maxi_hp)</f>
        <v>57.892402465153239</v>
      </c>
      <c r="J224" s="85">
        <f>IF(H224,An,'2021'!An_max)</f>
        <v>2019</v>
      </c>
      <c r="K224" s="196">
        <f t="shared" si="79"/>
        <v>44771</v>
      </c>
      <c r="L224" s="147">
        <f>IF(t&lt;Tvie,1-EXP((T0-t)*PertePVj)+'2021'!Pspv,1-EXP((T0-t)*PertePVj)+Pspv)</f>
        <v>3.1565362686831723E-2</v>
      </c>
      <c r="M224" s="847"/>
      <c r="N224" s="847"/>
      <c r="O224" s="48">
        <f>IF(t&lt;Tnet,'2021'!Resal+('2021'!Salim-'2021'!Resal)*(1-EXP(('2021'!Tnet-t)/('2021'!Tau_j))),Resal+(Salim-Resal)*(1-EXP((Tnet-t)/(Tau_j))))*Salcycl</f>
        <v>4.4377985167539317E-2</v>
      </c>
      <c r="P224" s="338">
        <f>(INDEX(Models!$BJ224:$BT224,,T224)*(1-R224)+INDEX(Models!$BJ224:$BT224,,T224+1)*R224-ERP_i)*Q224*Ramure*Pc/MaxiM</f>
        <v>4.1488047972504431E-4</v>
      </c>
      <c r="Q224" s="304">
        <f t="shared" si="80"/>
        <v>0.5</v>
      </c>
      <c r="R224" s="176">
        <f t="shared" si="81"/>
        <v>0.99948238147668977</v>
      </c>
      <c r="S224" s="814">
        <f t="shared" si="82"/>
        <v>0</v>
      </c>
      <c r="T224" s="175">
        <f t="shared" si="83"/>
        <v>6</v>
      </c>
      <c r="U224" s="250">
        <f t="shared" si="84"/>
        <v>0.99948238147668977</v>
      </c>
      <c r="V224" s="382">
        <f t="shared" si="85"/>
        <v>52.267188934022599</v>
      </c>
      <c r="W224" s="401">
        <f t="shared" si="86"/>
        <v>0</v>
      </c>
      <c r="X224" s="157">
        <f t="shared" si="87"/>
        <v>44771</v>
      </c>
      <c r="Y224" s="384">
        <f t="shared" si="88"/>
        <v>25.389476057656456</v>
      </c>
      <c r="Z224" s="384">
        <f t="shared" si="89"/>
        <v>26.217025991653081</v>
      </c>
      <c r="AA224" s="385">
        <f t="shared" si="90"/>
        <v>28.222799153349897</v>
      </c>
      <c r="AB224" s="196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7.1069249750825625E-2</v>
      </c>
      <c r="AD224" s="230">
        <f>(INDEX(Models!$BJ224:$BT224,,AH224)*(1-AF224)+INDEX(Models!$BJ224:$BT224,,AH224+1)*AF224-ERP_i)*AE224*Ramure*Pc/MaxiM</f>
        <v>4.1488047972504431E-4</v>
      </c>
      <c r="AE224" s="304">
        <f t="shared" si="92"/>
        <v>0.5</v>
      </c>
      <c r="AF224" s="176">
        <f t="shared" si="93"/>
        <v>0.99948238147668977</v>
      </c>
      <c r="AG224" s="814">
        <f t="shared" si="99"/>
        <v>0</v>
      </c>
      <c r="AH224" s="175">
        <f t="shared" si="94"/>
        <v>6</v>
      </c>
      <c r="AI224" s="224">
        <f t="shared" si="95"/>
        <v>0.99948238147668977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8">
        <v>45.072000000000003</v>
      </c>
      <c r="C225" s="843"/>
      <c r="D225" s="392">
        <f t="shared" si="77"/>
        <v>46.542104396276997</v>
      </c>
      <c r="E225" s="384">
        <f t="shared" si="75"/>
        <v>48.70783613546606</v>
      </c>
      <c r="F225" s="384">
        <f t="shared" si="78"/>
        <v>48.723607643157962</v>
      </c>
      <c r="G225" s="110">
        <f t="shared" si="76"/>
        <v>0.8636048315504552</v>
      </c>
      <c r="H225" s="413" t="b">
        <f>Wh_hp&gt;='2021'!Maxi_hp</f>
        <v>0</v>
      </c>
      <c r="I225" s="379">
        <f>IF(H225,Wh_hp,'2021'!Maxi_hp)</f>
        <v>50.981621896708326</v>
      </c>
      <c r="J225" s="85">
        <f>IF(H225,An,'2021'!An_max)</f>
        <v>2020</v>
      </c>
      <c r="K225" s="196">
        <f t="shared" si="79"/>
        <v>44772</v>
      </c>
      <c r="L225" s="147">
        <f>IF(t&lt;Tvie,1-EXP((T0-t)*PertePVj)+'2021'!Pspv,1-EXP((T0-t)*PertePVj)+Pspv)</f>
        <v>3.1586547607731143E-2</v>
      </c>
      <c r="M225" s="847"/>
      <c r="N225" s="847"/>
      <c r="O225" s="48">
        <f>IF(t&lt;Tnet,'2021'!Resal+('2021'!Salim-'2021'!Resal)*(1-EXP(('2021'!Tnet-t)/('2021'!Tau_j))),Resal+(Salim-Resal)*(1-EXP((Tnet-t)/(Tau_j))))*Salcycl</f>
        <v>4.4463723109475328E-2</v>
      </c>
      <c r="P225" s="338">
        <f>(INDEX(Models!$BJ225:$BT225,,T225)*(1-R225)+INDEX(Models!$BJ225:$BT225,,T225+1)*R225-ERP_i)*Q225*Ramure*Pc/MaxiM</f>
        <v>4.0198050571053098E-4</v>
      </c>
      <c r="Q225" s="304">
        <f t="shared" si="80"/>
        <v>0.5</v>
      </c>
      <c r="R225" s="176">
        <f t="shared" si="81"/>
        <v>7.4555160481915017E-4</v>
      </c>
      <c r="S225" s="814">
        <f t="shared" si="82"/>
        <v>1</v>
      </c>
      <c r="T225" s="175">
        <f t="shared" si="83"/>
        <v>7</v>
      </c>
      <c r="U225" s="250">
        <f t="shared" si="84"/>
        <v>1.0007455516048192</v>
      </c>
      <c r="V225" s="382">
        <f t="shared" si="85"/>
        <v>52.186449927313156</v>
      </c>
      <c r="W225" s="401">
        <f t="shared" si="86"/>
        <v>0</v>
      </c>
      <c r="X225" s="157">
        <f t="shared" si="87"/>
        <v>44772</v>
      </c>
      <c r="Y225" s="384">
        <f t="shared" si="88"/>
        <v>43.814323369349637</v>
      </c>
      <c r="Z225" s="384">
        <f t="shared" si="89"/>
        <v>45.243406378871796</v>
      </c>
      <c r="AA225" s="385">
        <f t="shared" si="90"/>
        <v>48.70783613546606</v>
      </c>
      <c r="AB225" s="196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7.1126743281286542E-2</v>
      </c>
      <c r="AD225" s="230">
        <f>(INDEX(Models!$BJ225:$BT225,,AH225)*(1-AF225)+INDEX(Models!$BJ225:$BT225,,AH225+1)*AF225-ERP_i)*AE225*Ramure*Pc/MaxiM</f>
        <v>4.0198050571053098E-4</v>
      </c>
      <c r="AE225" s="304">
        <f t="shared" si="92"/>
        <v>0.5</v>
      </c>
      <c r="AF225" s="176">
        <f t="shared" si="93"/>
        <v>7.4555160481915017E-4</v>
      </c>
      <c r="AG225" s="814">
        <f t="shared" si="99"/>
        <v>1</v>
      </c>
      <c r="AH225" s="175">
        <f t="shared" si="94"/>
        <v>7</v>
      </c>
      <c r="AI225" s="224">
        <f t="shared" si="95"/>
        <v>1.0007455516048192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8">
        <v>51.550000000000004</v>
      </c>
      <c r="C226" s="843"/>
      <c r="D226" s="392">
        <f t="shared" si="77"/>
        <v>53.232560509704768</v>
      </c>
      <c r="E226" s="384">
        <f t="shared" si="75"/>
        <v>55.714603097007277</v>
      </c>
      <c r="F226" s="384">
        <f t="shared" si="78"/>
        <v>55.735960733869604</v>
      </c>
      <c r="G226" s="110">
        <f t="shared" si="76"/>
        <v>0.98935077814252559</v>
      </c>
      <c r="H226" s="413" t="b">
        <f>Wh_hp&gt;='2021'!Maxi_hp</f>
        <v>1</v>
      </c>
      <c r="I226" s="379">
        <f>IF(H226,Wh_hp,'2021'!Maxi_hp)</f>
        <v>55.735960733869604</v>
      </c>
      <c r="J226" s="85">
        <f>IF(H226,An,'2021'!An_max)</f>
        <v>2022</v>
      </c>
      <c r="K226" s="196">
        <f t="shared" si="79"/>
        <v>44773</v>
      </c>
      <c r="L226" s="147">
        <f>IF(t&lt;Tvie,1-EXP((T0-t)*PertePVj)+'2021'!Pspv,1-EXP((T0-t)*PertePVj)+Pspv)</f>
        <v>3.1607732064626394E-2</v>
      </c>
      <c r="M226" s="847"/>
      <c r="N226" s="847"/>
      <c r="O226" s="48">
        <f>IF(t&lt;Tnet,'2021'!Resal+('2021'!Salim-'2021'!Resal)*(1-EXP(('2021'!Tnet-t)/('2021'!Tau_j))),Resal+(Salim-Resal)*(1-EXP((Tnet-t)/(Tau_j))))*Salcycl</f>
        <v>4.4549228556486416E-2</v>
      </c>
      <c r="P226" s="338">
        <f>(INDEX(Models!$BJ226:$BT226,,T226)*(1-R226)+INDEX(Models!$BJ226:$BT226,,T226+1)*R226-ERP_i)*Q226*Ramure*Pc/MaxiM</f>
        <v>3.89109458056447E-4</v>
      </c>
      <c r="Q226" s="304">
        <f t="shared" si="80"/>
        <v>0.5</v>
      </c>
      <c r="R226" s="176">
        <f t="shared" si="81"/>
        <v>1.969234244103113E-3</v>
      </c>
      <c r="S226" s="814">
        <f t="shared" si="82"/>
        <v>1</v>
      </c>
      <c r="T226" s="175">
        <f t="shared" si="83"/>
        <v>7</v>
      </c>
      <c r="U226" s="250">
        <f t="shared" si="84"/>
        <v>1.0019692342441031</v>
      </c>
      <c r="V226" s="382">
        <f t="shared" si="85"/>
        <v>52.104568000443592</v>
      </c>
      <c r="W226" s="401">
        <f t="shared" si="86"/>
        <v>0</v>
      </c>
      <c r="X226" s="157">
        <f t="shared" si="87"/>
        <v>44773</v>
      </c>
      <c r="Y226" s="384">
        <f t="shared" si="88"/>
        <v>50.112961145292125</v>
      </c>
      <c r="Z226" s="384">
        <f t="shared" si="89"/>
        <v>51.748617584621663</v>
      </c>
      <c r="AA226" s="385">
        <f t="shared" si="90"/>
        <v>55.714603097007277</v>
      </c>
      <c r="AB226" s="196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7.1183949843100419E-2</v>
      </c>
      <c r="AD226" s="230">
        <f>(INDEX(Models!$BJ226:$BT226,,AH226)*(1-AF226)+INDEX(Models!$BJ226:$BT226,,AH226+1)*AF226-ERP_i)*AE226*Ramure*Pc/MaxiM</f>
        <v>3.89109458056447E-4</v>
      </c>
      <c r="AE226" s="304">
        <f t="shared" si="92"/>
        <v>0.5</v>
      </c>
      <c r="AF226" s="176">
        <f t="shared" si="93"/>
        <v>1.969234244103113E-3</v>
      </c>
      <c r="AG226" s="814">
        <f t="shared" si="99"/>
        <v>1</v>
      </c>
      <c r="AH226" s="175">
        <f t="shared" si="94"/>
        <v>7</v>
      </c>
      <c r="AI226" s="224">
        <f t="shared" si="95"/>
        <v>1.0019692342441031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8">
        <v>51.338999999999999</v>
      </c>
      <c r="C227" s="843"/>
      <c r="D227" s="392">
        <f t="shared" si="77"/>
        <v>53.015833342510128</v>
      </c>
      <c r="E227" s="384">
        <f t="shared" si="75"/>
        <v>55.492723842779903</v>
      </c>
      <c r="F227" s="384">
        <f t="shared" si="78"/>
        <v>55.513221214938589</v>
      </c>
      <c r="G227" s="110">
        <f t="shared" si="76"/>
        <v>0.98687836715537613</v>
      </c>
      <c r="H227" s="413" t="b">
        <f>Wh_hp&gt;='2021'!Maxi_hp</f>
        <v>1</v>
      </c>
      <c r="I227" s="379">
        <f>IF(H227,Wh_hp,'2021'!Maxi_hp)</f>
        <v>55.513221214938589</v>
      </c>
      <c r="J227" s="85">
        <f>IF(H227,An,'2021'!An_max)</f>
        <v>2022</v>
      </c>
      <c r="K227" s="196">
        <f t="shared" si="79"/>
        <v>44774</v>
      </c>
      <c r="L227" s="147">
        <f>IF(t&lt;Tvie,1-EXP((T0-t)*PertePVj)+'2021'!Pspv,1-EXP((T0-t)*PertePVj)+Pspv)</f>
        <v>3.1628916057527691E-2</v>
      </c>
      <c r="M227" s="847"/>
      <c r="N227" s="847"/>
      <c r="O227" s="48">
        <f>IF(t&lt;Tnet,'2021'!Resal+('2021'!Salim-'2021'!Resal)*(1-EXP(('2021'!Tnet-t)/('2021'!Tau_j))),Resal+(Salim-Resal)*(1-EXP((Tnet-t)/(Tau_j))))*Salcycl</f>
        <v>4.4634509332921075E-2</v>
      </c>
      <c r="P227" s="338">
        <f>(INDEX(Models!$BJ227:$BT227,,T227)*(1-R227)+INDEX(Models!$BJ227:$BT227,,T227+1)*R227-ERP_i)*Q227*Ramure*Pc/MaxiM</f>
        <v>3.7628383248181622E-4</v>
      </c>
      <c r="Q227" s="304">
        <f t="shared" si="80"/>
        <v>0.5</v>
      </c>
      <c r="R227" s="176">
        <f t="shared" si="81"/>
        <v>3.1542670813045071E-3</v>
      </c>
      <c r="S227" s="814">
        <f t="shared" si="82"/>
        <v>1</v>
      </c>
      <c r="T227" s="175">
        <f t="shared" si="83"/>
        <v>7</v>
      </c>
      <c r="U227" s="250">
        <f t="shared" si="84"/>
        <v>1.0031542670813045</v>
      </c>
      <c r="V227" s="382">
        <f t="shared" si="85"/>
        <v>52.021241570147808</v>
      </c>
      <c r="W227" s="401">
        <f t="shared" si="86"/>
        <v>0</v>
      </c>
      <c r="X227" s="157">
        <f t="shared" si="87"/>
        <v>44774</v>
      </c>
      <c r="Y227" s="384">
        <f t="shared" si="88"/>
        <v>49.9092387098176</v>
      </c>
      <c r="Z227" s="384">
        <f t="shared" si="89"/>
        <v>51.539373219019559</v>
      </c>
      <c r="AA227" s="385">
        <f t="shared" si="90"/>
        <v>55.492723842779903</v>
      </c>
      <c r="AB227" s="196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7.124088258779375E-2</v>
      </c>
      <c r="AD227" s="230">
        <f>(INDEX(Models!$BJ227:$BT227,,AH227)*(1-AF227)+INDEX(Models!$BJ227:$BT227,,AH227+1)*AF227-ERP_i)*AE227*Ramure*Pc/MaxiM</f>
        <v>3.7628383248181622E-4</v>
      </c>
      <c r="AE227" s="304">
        <f t="shared" si="92"/>
        <v>0.5</v>
      </c>
      <c r="AF227" s="176">
        <f t="shared" si="93"/>
        <v>3.1542670813045071E-3</v>
      </c>
      <c r="AG227" s="814">
        <f t="shared" si="99"/>
        <v>1</v>
      </c>
      <c r="AH227" s="175">
        <f t="shared" si="94"/>
        <v>7</v>
      </c>
      <c r="AI227" s="224">
        <f t="shared" si="95"/>
        <v>1.0031542670813045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8">
        <v>51.542999999999999</v>
      </c>
      <c r="C228" s="843"/>
      <c r="D228" s="392">
        <f t="shared" si="77"/>
        <v>53.227660763931965</v>
      </c>
      <c r="E228" s="384">
        <f t="shared" si="75"/>
        <v>55.71940889550762</v>
      </c>
      <c r="F228" s="384">
        <f t="shared" si="78"/>
        <v>55.739451495445259</v>
      </c>
      <c r="G228" s="110">
        <f t="shared" si="76"/>
        <v>0.99242584546181889</v>
      </c>
      <c r="H228" s="413" t="b">
        <f>Wh_hp&gt;='2021'!Maxi_hp</f>
        <v>1</v>
      </c>
      <c r="I228" s="379">
        <f>IF(H228,Wh_hp,'2021'!Maxi_hp)</f>
        <v>55.739451495445259</v>
      </c>
      <c r="J228" s="85">
        <f>IF(H228,An,'2021'!An_max)</f>
        <v>2022</v>
      </c>
      <c r="K228" s="196">
        <f t="shared" si="79"/>
        <v>44775</v>
      </c>
      <c r="L228" s="147">
        <f>IF(t&lt;Tvie,1-EXP((T0-t)*PertePVj)+'2021'!Pspv,1-EXP((T0-t)*PertePVj)+Pspv)</f>
        <v>3.1650099586445136E-2</v>
      </c>
      <c r="M228" s="847"/>
      <c r="N228" s="847"/>
      <c r="O228" s="48">
        <f>IF(t&lt;Tnet,'2021'!Resal+('2021'!Salim-'2021'!Resal)*(1-EXP(('2021'!Tnet-t)/('2021'!Tau_j))),Resal+(Salim-Resal)*(1-EXP((Tnet-t)/(Tau_j))))*Salcycl</f>
        <v>4.4719572245436198E-2</v>
      </c>
      <c r="P228" s="338">
        <f>(INDEX(Models!$BJ228:$BT228,,T228)*(1-R228)+INDEX(Models!$BJ228:$BT228,,T228+1)*R228-ERP_i)*Q228*Ramure*Pc/MaxiM</f>
        <v>3.6350776234614617E-4</v>
      </c>
      <c r="Q228" s="304">
        <f t="shared" si="80"/>
        <v>0.5</v>
      </c>
      <c r="R228" s="176">
        <f t="shared" si="81"/>
        <v>4.3014989320866448E-3</v>
      </c>
      <c r="S228" s="814">
        <f t="shared" si="82"/>
        <v>1</v>
      </c>
      <c r="T228" s="175">
        <f t="shared" si="83"/>
        <v>7</v>
      </c>
      <c r="U228" s="250">
        <f t="shared" si="84"/>
        <v>1.0043014989320866</v>
      </c>
      <c r="V228" s="382">
        <f t="shared" si="85"/>
        <v>51.936169877660504</v>
      </c>
      <c r="W228" s="401">
        <f t="shared" si="86"/>
        <v>0</v>
      </c>
      <c r="X228" s="157">
        <f t="shared" si="87"/>
        <v>44775</v>
      </c>
      <c r="Y228" s="384">
        <f t="shared" si="88"/>
        <v>50.108961552936741</v>
      </c>
      <c r="Z228" s="384">
        <f t="shared" si="89"/>
        <v>51.746751387630255</v>
      </c>
      <c r="AA228" s="385">
        <f t="shared" si="90"/>
        <v>55.71940889550762</v>
      </c>
      <c r="AB228" s="196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7.1297552982434093E-2</v>
      </c>
      <c r="AD228" s="230">
        <f>(INDEX(Models!$BJ228:$BT228,,AH228)*(1-AF228)+INDEX(Models!$BJ228:$BT228,,AH228+1)*AF228-ERP_i)*AE228*Ramure*Pc/MaxiM</f>
        <v>3.6350776234614617E-4</v>
      </c>
      <c r="AE228" s="304">
        <f t="shared" si="92"/>
        <v>0.5</v>
      </c>
      <c r="AF228" s="176">
        <f t="shared" si="93"/>
        <v>4.3014989320866448E-3</v>
      </c>
      <c r="AG228" s="814">
        <f t="shared" si="99"/>
        <v>1</v>
      </c>
      <c r="AH228" s="175">
        <f t="shared" si="94"/>
        <v>7</v>
      </c>
      <c r="AI228" s="224">
        <f t="shared" si="95"/>
        <v>1.0043014989320866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8">
        <v>49.386000000000003</v>
      </c>
      <c r="C229" s="843"/>
      <c r="D229" s="392">
        <f t="shared" si="77"/>
        <v>51.001275822144599</v>
      </c>
      <c r="E229" s="384">
        <f t="shared" si="75"/>
        <v>53.393542699877663</v>
      </c>
      <c r="F229" s="384">
        <f t="shared" si="78"/>
        <v>53.411007004295008</v>
      </c>
      <c r="G229" s="110">
        <f t="shared" si="76"/>
        <v>0.95247302916544641</v>
      </c>
      <c r="H229" s="413" t="b">
        <f>Wh_hp&gt;='2021'!Maxi_hp</f>
        <v>0</v>
      </c>
      <c r="I229" s="379">
        <f>IF(H229,Wh_hp,'2021'!Maxi_hp)</f>
        <v>56.092480847378184</v>
      </c>
      <c r="J229" s="85">
        <f>IF(H229,An,'2021'!An_max)</f>
        <v>2019</v>
      </c>
      <c r="K229" s="196">
        <f t="shared" si="79"/>
        <v>44776</v>
      </c>
      <c r="L229" s="147">
        <f>IF(t&lt;Tvie,1-EXP((T0-t)*PertePVj)+'2021'!Pspv,1-EXP((T0-t)*PertePVj)+Pspv)</f>
        <v>3.1671282651389056E-2</v>
      </c>
      <c r="M229" s="847"/>
      <c r="N229" s="847"/>
      <c r="O229" s="48">
        <f>IF(t&lt;Tnet,'2021'!Resal+('2021'!Salim-'2021'!Resal)*(1-EXP(('2021'!Tnet-t)/('2021'!Tau_j))),Resal+(Salim-Resal)*(1-EXP((Tnet-t)/(Tau_j))))*Salcycl</f>
        <v>4.4804423096250962E-2</v>
      </c>
      <c r="P229" s="338">
        <f>(INDEX(Models!$BJ229:$BT229,,T229)*(1-R229)+INDEX(Models!$BJ229:$BT229,,T229+1)*R229-ERP_i)*Q229*Ramure*Pc/MaxiM</f>
        <v>3.507849121205008E-4</v>
      </c>
      <c r="Q229" s="304">
        <f t="shared" si="80"/>
        <v>0.5</v>
      </c>
      <c r="R229" s="176">
        <f t="shared" si="81"/>
        <v>5.4117871257204353E-3</v>
      </c>
      <c r="S229" s="814">
        <f t="shared" si="82"/>
        <v>1</v>
      </c>
      <c r="T229" s="175">
        <f t="shared" si="83"/>
        <v>7</v>
      </c>
      <c r="U229" s="250">
        <f t="shared" si="84"/>
        <v>1.0054117871257204</v>
      </c>
      <c r="V229" s="382">
        <f t="shared" si="85"/>
        <v>51.849052360774927</v>
      </c>
      <c r="W229" s="401">
        <f t="shared" si="86"/>
        <v>0</v>
      </c>
      <c r="X229" s="157">
        <f t="shared" si="87"/>
        <v>44776</v>
      </c>
      <c r="Y229" s="384">
        <f t="shared" si="88"/>
        <v>48.013321988712491</v>
      </c>
      <c r="Z229" s="384">
        <f t="shared" si="89"/>
        <v>49.58370141100243</v>
      </c>
      <c r="AA229" s="385">
        <f t="shared" si="90"/>
        <v>53.393542699877663</v>
      </c>
      <c r="AB229" s="196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7.1353970840447006E-2</v>
      </c>
      <c r="AD229" s="230">
        <f>(INDEX(Models!$BJ229:$BT229,,AH229)*(1-AF229)+INDEX(Models!$BJ229:$BT229,,AH229+1)*AF229-ERP_i)*AE229*Ramure*Pc/MaxiM</f>
        <v>3.507849121205008E-4</v>
      </c>
      <c r="AE229" s="304">
        <f t="shared" si="92"/>
        <v>0.5</v>
      </c>
      <c r="AF229" s="176">
        <f t="shared" si="93"/>
        <v>5.4117871257204353E-3</v>
      </c>
      <c r="AG229" s="814">
        <f t="shared" si="99"/>
        <v>1</v>
      </c>
      <c r="AH229" s="175">
        <f t="shared" si="94"/>
        <v>7</v>
      </c>
      <c r="AI229" s="224">
        <f t="shared" si="95"/>
        <v>1.0054117871257204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8">
        <v>46.343000000000004</v>
      </c>
      <c r="C230" s="843"/>
      <c r="D230" s="392">
        <f t="shared" si="77"/>
        <v>47.859794886423508</v>
      </c>
      <c r="E230" s="384">
        <f t="shared" si="75"/>
        <v>50.109147762766035</v>
      </c>
      <c r="F230" s="384">
        <f t="shared" si="78"/>
        <v>50.123561808845096</v>
      </c>
      <c r="G230" s="110">
        <f t="shared" si="76"/>
        <v>0.89530573898864041</v>
      </c>
      <c r="H230" s="413" t="b">
        <f>Wh_hp&gt;='2021'!Maxi_hp</f>
        <v>0</v>
      </c>
      <c r="I230" s="379">
        <f>IF(H230,Wh_hp,'2021'!Maxi_hp)</f>
        <v>52.936123470546605</v>
      </c>
      <c r="J230" s="85">
        <f>IF(H230,An,'2021'!An_max)</f>
        <v>2018</v>
      </c>
      <c r="K230" s="196">
        <f t="shared" si="79"/>
        <v>44777</v>
      </c>
      <c r="L230" s="147">
        <f>IF(t&lt;Tvie,1-EXP((T0-t)*PertePVj)+'2021'!Pspv,1-EXP((T0-t)*PertePVj)+Pspv)</f>
        <v>3.169246525236933E-2</v>
      </c>
      <c r="M230" s="847"/>
      <c r="N230" s="847"/>
      <c r="O230" s="48">
        <f>IF(t&lt;Tnet,'2021'!Resal+('2021'!Salim-'2021'!Resal)*(1-EXP(('2021'!Tnet-t)/('2021'!Tau_j))),Resal+(Salim-Resal)*(1-EXP((Tnet-t)/(Tau_j))))*Salcycl</f>
        <v>4.4889066702785273E-2</v>
      </c>
      <c r="P230" s="338">
        <f>(INDEX(Models!$BJ230:$BT230,,T230)*(1-R230)+INDEX(Models!$BJ230:$BT230,,T230+1)*R230-ERP_i)*Q230*Ramure*Pc/MaxiM</f>
        <v>3.3811849438727525E-4</v>
      </c>
      <c r="Q230" s="304">
        <f t="shared" si="80"/>
        <v>0.5</v>
      </c>
      <c r="R230" s="176">
        <f t="shared" si="81"/>
        <v>6.4859950465265825E-3</v>
      </c>
      <c r="S230" s="814">
        <f t="shared" si="82"/>
        <v>1</v>
      </c>
      <c r="T230" s="175">
        <f t="shared" si="83"/>
        <v>7</v>
      </c>
      <c r="U230" s="250">
        <f t="shared" si="84"/>
        <v>1.0064859950465266</v>
      </c>
      <c r="V230" s="382">
        <f t="shared" si="85"/>
        <v>51.759588654069248</v>
      </c>
      <c r="W230" s="401">
        <f t="shared" si="86"/>
        <v>0</v>
      </c>
      <c r="X230" s="157">
        <f t="shared" si="87"/>
        <v>44777</v>
      </c>
      <c r="Y230" s="384">
        <f t="shared" si="88"/>
        <v>45.056169058035643</v>
      </c>
      <c r="Z230" s="384">
        <f t="shared" si="89"/>
        <v>46.530846287154631</v>
      </c>
      <c r="AA230" s="385">
        <f t="shared" si="90"/>
        <v>50.109147762766035</v>
      </c>
      <c r="AB230" s="196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7.1410144362309191E-2</v>
      </c>
      <c r="AD230" s="230">
        <f>(INDEX(Models!$BJ230:$BT230,,AH230)*(1-AF230)+INDEX(Models!$BJ230:$BT230,,AH230+1)*AF230-ERP_i)*AE230*Ramure*Pc/MaxiM</f>
        <v>3.3811849438727525E-4</v>
      </c>
      <c r="AE230" s="304">
        <f t="shared" si="92"/>
        <v>0.5</v>
      </c>
      <c r="AF230" s="176">
        <f t="shared" si="93"/>
        <v>6.4859950465265825E-3</v>
      </c>
      <c r="AG230" s="814">
        <f t="shared" si="99"/>
        <v>1</v>
      </c>
      <c r="AH230" s="175">
        <f t="shared" si="94"/>
        <v>7</v>
      </c>
      <c r="AI230" s="224">
        <f t="shared" si="95"/>
        <v>1.0064859950465266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8">
        <v>43.117000000000004</v>
      </c>
      <c r="C231" s="843"/>
      <c r="D231" s="392">
        <f t="shared" si="77"/>
        <v>44.529182801918004</v>
      </c>
      <c r="E231" s="384">
        <f t="shared" si="75"/>
        <v>46.626123070632303</v>
      </c>
      <c r="F231" s="384">
        <f t="shared" si="78"/>
        <v>46.637715132198046</v>
      </c>
      <c r="G231" s="110">
        <f t="shared" si="76"/>
        <v>0.83444523044014296</v>
      </c>
      <c r="H231" s="413" t="b">
        <f>Wh_hp&gt;='2021'!Maxi_hp</f>
        <v>0</v>
      </c>
      <c r="I231" s="379">
        <f>IF(H231,Wh_hp,'2021'!Maxi_hp)</f>
        <v>56.311096677498618</v>
      </c>
      <c r="J231" s="85">
        <f>IF(H231,An,'2021'!An_max)</f>
        <v>2020</v>
      </c>
      <c r="K231" s="196">
        <f t="shared" si="79"/>
        <v>44778</v>
      </c>
      <c r="L231" s="147">
        <f>IF(t&lt;Tvie,1-EXP((T0-t)*PertePVj)+'2021'!Pspv,1-EXP((T0-t)*PertePVj)+Pspv)</f>
        <v>3.1713647389396395E-2</v>
      </c>
      <c r="M231" s="847"/>
      <c r="N231" s="847"/>
      <c r="O231" s="48">
        <f>IF(t&lt;Tnet,'2021'!Resal+('2021'!Salim-'2021'!Resal)*(1-EXP(('2021'!Tnet-t)/('2021'!Tau_j))),Resal+(Salim-Resal)*(1-EXP((Tnet-t)/(Tau_j))))*Salcycl</f>
        <v>4.497350692309799E-2</v>
      </c>
      <c r="P231" s="338">
        <f>(INDEX(Models!$BJ231:$BT231,,T231)*(1-R231)+INDEX(Models!$BJ231:$BT231,,T231+1)*R231-ERP_i)*Q231*Ramure*Pc/MaxiM</f>
        <v>3.2551128702917246E-4</v>
      </c>
      <c r="Q231" s="304">
        <f t="shared" si="80"/>
        <v>0.5</v>
      </c>
      <c r="R231" s="176">
        <f t="shared" si="81"/>
        <v>7.5249898307119256E-3</v>
      </c>
      <c r="S231" s="814">
        <f t="shared" si="82"/>
        <v>1</v>
      </c>
      <c r="T231" s="175">
        <f t="shared" si="83"/>
        <v>7</v>
      </c>
      <c r="U231" s="250">
        <f t="shared" si="84"/>
        <v>1.0075249898307119</v>
      </c>
      <c r="V231" s="382">
        <f t="shared" si="85"/>
        <v>51.667478583994779</v>
      </c>
      <c r="W231" s="401">
        <f t="shared" si="86"/>
        <v>0</v>
      </c>
      <c r="X231" s="157">
        <f t="shared" si="87"/>
        <v>44778</v>
      </c>
      <c r="Y231" s="384">
        <f t="shared" si="88"/>
        <v>41.920928174119872</v>
      </c>
      <c r="Z231" s="384">
        <f t="shared" si="89"/>
        <v>43.293936820545454</v>
      </c>
      <c r="AA231" s="385">
        <f t="shared" si="90"/>
        <v>46.626123070632303</v>
      </c>
      <c r="AB231" s="196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7.1466080185115008E-2</v>
      </c>
      <c r="AD231" s="230">
        <f>(INDEX(Models!$BJ231:$BT231,,AH231)*(1-AF231)+INDEX(Models!$BJ231:$BT231,,AH231+1)*AF231-ERP_i)*AE231*Ramure*Pc/MaxiM</f>
        <v>3.2551128702917246E-4</v>
      </c>
      <c r="AE231" s="304">
        <f t="shared" si="92"/>
        <v>0.5</v>
      </c>
      <c r="AF231" s="176">
        <f t="shared" si="93"/>
        <v>7.5249898307119256E-3</v>
      </c>
      <c r="AG231" s="814">
        <f t="shared" si="99"/>
        <v>1</v>
      </c>
      <c r="AH231" s="175">
        <f t="shared" si="94"/>
        <v>7</v>
      </c>
      <c r="AI231" s="224">
        <f t="shared" si="95"/>
        <v>1.0075249898307119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8">
        <v>47.247</v>
      </c>
      <c r="C232" s="843"/>
      <c r="D232" s="392">
        <f t="shared" si="77"/>
        <v>48.795517403825691</v>
      </c>
      <c r="E232" s="384">
        <f t="shared" si="75"/>
        <v>51.097872394390883</v>
      </c>
      <c r="F232" s="384">
        <f t="shared" si="78"/>
        <v>51.111952077105194</v>
      </c>
      <c r="G232" s="110">
        <f t="shared" si="76"/>
        <v>0.9160948012857375</v>
      </c>
      <c r="H232" s="413" t="b">
        <f>Wh_hp&gt;='2021'!Maxi_hp</f>
        <v>0</v>
      </c>
      <c r="I232" s="379">
        <f>IF(H232,Wh_hp,'2021'!Maxi_hp)</f>
        <v>56.389246381378285</v>
      </c>
      <c r="J232" s="85">
        <f>IF(H232,An,'2021'!An_max)</f>
        <v>2020</v>
      </c>
      <c r="K232" s="196">
        <f t="shared" si="79"/>
        <v>44779</v>
      </c>
      <c r="L232" s="147">
        <f>IF(t&lt;Tvie,1-EXP((T0-t)*PertePVj)+'2021'!Pspv,1-EXP((T0-t)*PertePVj)+Pspv)</f>
        <v>3.1734829062480242E-2</v>
      </c>
      <c r="M232" s="847"/>
      <c r="N232" s="847"/>
      <c r="O232" s="48">
        <f>IF(t&lt;Tnet,'2021'!Resal+('2021'!Salim-'2021'!Resal)*(1-EXP(('2021'!Tnet-t)/('2021'!Tau_j))),Resal+(Salim-Resal)*(1-EXP((Tnet-t)/(Tau_j))))*Salcycl</f>
        <v>4.5057746686492629E-2</v>
      </c>
      <c r="P232" s="338">
        <f>(INDEX(Models!$BJ232:$BT232,,T232)*(1-R232)+INDEX(Models!$BJ232:$BT232,,T232+1)*R232-ERP_i)*Q232*Ramure*Pc/MaxiM</f>
        <v>3.1296565032053143E-4</v>
      </c>
      <c r="Q232" s="304">
        <f t="shared" si="80"/>
        <v>0.5</v>
      </c>
      <c r="R232" s="176">
        <f t="shared" si="81"/>
        <v>8.5296402164307672E-3</v>
      </c>
      <c r="S232" s="814">
        <f t="shared" si="82"/>
        <v>1</v>
      </c>
      <c r="T232" s="175">
        <f t="shared" si="83"/>
        <v>7</v>
      </c>
      <c r="U232" s="250">
        <f t="shared" si="84"/>
        <v>1.0085296402164308</v>
      </c>
      <c r="V232" s="382">
        <f t="shared" si="85"/>
        <v>51.572422167864879</v>
      </c>
      <c r="W232" s="401">
        <f t="shared" si="86"/>
        <v>0</v>
      </c>
      <c r="X232" s="157">
        <f t="shared" si="87"/>
        <v>44779</v>
      </c>
      <c r="Y232" s="384">
        <f t="shared" si="88"/>
        <v>45.937657639085515</v>
      </c>
      <c r="Z232" s="384">
        <f t="shared" si="89"/>
        <v>47.443261430757154</v>
      </c>
      <c r="AA232" s="385">
        <f t="shared" si="90"/>
        <v>51.097872394390883</v>
      </c>
      <c r="AB232" s="196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7.1521783439948208E-2</v>
      </c>
      <c r="AD232" s="230">
        <f>(INDEX(Models!$BJ232:$BT232,,AH232)*(1-AF232)+INDEX(Models!$BJ232:$BT232,,AH232+1)*AF232-ERP_i)*AE232*Ramure*Pc/MaxiM</f>
        <v>3.1296565032053143E-4</v>
      </c>
      <c r="AE232" s="304">
        <f t="shared" si="92"/>
        <v>0.5</v>
      </c>
      <c r="AF232" s="176">
        <f t="shared" si="93"/>
        <v>8.5296402164307672E-3</v>
      </c>
      <c r="AG232" s="814">
        <f t="shared" si="99"/>
        <v>1</v>
      </c>
      <c r="AH232" s="175">
        <f t="shared" si="94"/>
        <v>7</v>
      </c>
      <c r="AI232" s="224">
        <f t="shared" si="95"/>
        <v>1.0085296402164308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8">
        <v>50.218000000000004</v>
      </c>
      <c r="C233" s="843"/>
      <c r="D233" s="392">
        <f t="shared" si="77"/>
        <v>51.865026308181022</v>
      </c>
      <c r="E233" s="384">
        <f t="shared" ref="E233:E296" si="100">Wh_pvt/(1-Psa)</f>
        <v>54.316992468548257</v>
      </c>
      <c r="F233" s="384">
        <f t="shared" si="78"/>
        <v>54.332748853929772</v>
      </c>
      <c r="G233" s="110">
        <f t="shared" ref="G233:G296" si="101">+Wh_hp/MaxiM</f>
        <v>0.97557259779332195</v>
      </c>
      <c r="H233" s="413" t="b">
        <f>Wh_hp&gt;='2021'!Maxi_hp</f>
        <v>0</v>
      </c>
      <c r="I233" s="379">
        <f>IF(H233,Wh_hp,'2021'!Maxi_hp)</f>
        <v>54.87487901548878</v>
      </c>
      <c r="J233" s="85">
        <f>IF(H233,An,'2021'!An_max)</f>
        <v>2020</v>
      </c>
      <c r="K233" s="196">
        <f t="shared" si="79"/>
        <v>44780</v>
      </c>
      <c r="L233" s="147">
        <f>IF(t&lt;Tvie,1-EXP((T0-t)*PertePVj)+'2021'!Pspv,1-EXP((T0-t)*PertePVj)+Pspv)</f>
        <v>3.1756010271631198E-2</v>
      </c>
      <c r="M233" s="847"/>
      <c r="N233" s="847"/>
      <c r="O233" s="48">
        <f>IF(t&lt;Tnet,'2021'!Resal+('2021'!Salim-'2021'!Resal)*(1-EXP(('2021'!Tnet-t)/('2021'!Tau_j))),Resal+(Salim-Resal)*(1-EXP((Tnet-t)/(Tau_j))))*Salcycl</f>
        <v>4.5141788028617742E-2</v>
      </c>
      <c r="P233" s="338">
        <f>(INDEX(Models!$BJ233:$BT233,,T233)*(1-R233)+INDEX(Models!$BJ233:$BT233,,T233+1)*R233-ERP_i)*Q233*Ramure*Pc/MaxiM</f>
        <v>3.0047915957344114E-4</v>
      </c>
      <c r="Q233" s="304">
        <f t="shared" si="80"/>
        <v>0.5</v>
      </c>
      <c r="R233" s="176">
        <f t="shared" si="81"/>
        <v>9.5008145441690672E-3</v>
      </c>
      <c r="S233" s="814">
        <f t="shared" si="82"/>
        <v>1</v>
      </c>
      <c r="T233" s="175">
        <f t="shared" si="83"/>
        <v>7</v>
      </c>
      <c r="U233" s="250">
        <f t="shared" si="84"/>
        <v>1.0095008145441691</v>
      </c>
      <c r="V233" s="382">
        <f t="shared" si="85"/>
        <v>51.474870875985303</v>
      </c>
      <c r="W233" s="401">
        <f t="shared" si="86"/>
        <v>0</v>
      </c>
      <c r="X233" s="157">
        <f t="shared" si="87"/>
        <v>44780</v>
      </c>
      <c r="Y233" s="384">
        <f t="shared" si="88"/>
        <v>48.827703089803514</v>
      </c>
      <c r="Z233" s="384">
        <f t="shared" si="89"/>
        <v>50.429131094840713</v>
      </c>
      <c r="AA233" s="385">
        <f t="shared" si="90"/>
        <v>54.316992468548257</v>
      </c>
      <c r="AB233" s="196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7.1577257815936268E-2</v>
      </c>
      <c r="AD233" s="230">
        <f>(INDEX(Models!$BJ233:$BT233,,AH233)*(1-AF233)+INDEX(Models!$BJ233:$BT233,,AH233+1)*AF233-ERP_i)*AE233*Ramure*Pc/MaxiM</f>
        <v>3.0047915957344114E-4</v>
      </c>
      <c r="AE233" s="304">
        <f t="shared" si="92"/>
        <v>0.5</v>
      </c>
      <c r="AF233" s="176">
        <f t="shared" si="93"/>
        <v>9.5008145441690672E-3</v>
      </c>
      <c r="AG233" s="814">
        <f t="shared" si="99"/>
        <v>1</v>
      </c>
      <c r="AH233" s="175">
        <f t="shared" si="94"/>
        <v>7</v>
      </c>
      <c r="AI233" s="224">
        <f t="shared" si="95"/>
        <v>1.0095008145441691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8">
        <v>51.024000000000001</v>
      </c>
      <c r="C234" s="843"/>
      <c r="D234" s="392">
        <f t="shared" si="77"/>
        <v>52.698613920887766</v>
      </c>
      <c r="E234" s="384">
        <f t="shared" si="100"/>
        <v>55.194835234708457</v>
      </c>
      <c r="F234" s="384">
        <f t="shared" si="78"/>
        <v>55.210634376515713</v>
      </c>
      <c r="G234" s="110">
        <f t="shared" si="101"/>
        <v>0.99315679968742232</v>
      </c>
      <c r="H234" s="413" t="b">
        <f>Wh_hp&gt;='2021'!Maxi_hp</f>
        <v>1</v>
      </c>
      <c r="I234" s="379">
        <f>IF(H234,Wh_hp,'2021'!Maxi_hp)</f>
        <v>55.210634376515713</v>
      </c>
      <c r="J234" s="85">
        <f>IF(H234,An,'2021'!An_max)</f>
        <v>2022</v>
      </c>
      <c r="K234" s="196">
        <f t="shared" si="79"/>
        <v>44781</v>
      </c>
      <c r="L234" s="147">
        <f>IF(t&lt;Tvie,1-EXP((T0-t)*PertePVj)+'2021'!Pspv,1-EXP((T0-t)*PertePVj)+Pspv)</f>
        <v>3.1777191016859142E-2</v>
      </c>
      <c r="M234" s="847"/>
      <c r="N234" s="847"/>
      <c r="O234" s="48">
        <f>IF(t&lt;Tnet,'2021'!Resal+('2021'!Salim-'2021'!Resal)*(1-EXP(('2021'!Tnet-t)/('2021'!Tau_j))),Resal+(Salim-Resal)*(1-EXP((Tnet-t)/(Tau_j))))*Salcycl</f>
        <v>4.5225632130358809E-2</v>
      </c>
      <c r="P234" s="338">
        <f>(INDEX(Models!$BJ234:$BT234,,T234)*(1-R234)+INDEX(Models!$BJ234:$BT234,,T234+1)*R234-ERP_i)*Q234*Ramure*Pc/MaxiM</f>
        <v>2.8898516857878392E-4</v>
      </c>
      <c r="Q234" s="304">
        <f t="shared" si="80"/>
        <v>0.5</v>
      </c>
      <c r="R234" s="176">
        <f t="shared" si="81"/>
        <v>1.0439378903921881E-2</v>
      </c>
      <c r="S234" s="814">
        <f t="shared" si="82"/>
        <v>1</v>
      </c>
      <c r="T234" s="175">
        <f t="shared" si="83"/>
        <v>7</v>
      </c>
      <c r="U234" s="250">
        <f t="shared" si="84"/>
        <v>1.0104393789039219</v>
      </c>
      <c r="V234" s="382">
        <f t="shared" si="85"/>
        <v>51.375428215394287</v>
      </c>
      <c r="W234" s="401">
        <f t="shared" si="86"/>
        <v>0</v>
      </c>
      <c r="X234" s="157">
        <f t="shared" si="87"/>
        <v>44781</v>
      </c>
      <c r="Y234" s="384">
        <f t="shared" si="88"/>
        <v>49.612792955928171</v>
      </c>
      <c r="Z234" s="384">
        <f t="shared" si="89"/>
        <v>51.241090889020825</v>
      </c>
      <c r="AA234" s="385">
        <f t="shared" si="90"/>
        <v>55.194835234708457</v>
      </c>
      <c r="AB234" s="196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7.1632505629827065E-2</v>
      </c>
      <c r="AD234" s="230">
        <f>(INDEX(Models!$BJ234:$BT234,,AH234)*(1-AF234)+INDEX(Models!$BJ234:$BT234,,AH234+1)*AF234-ERP_i)*AE234*Ramure*Pc/MaxiM</f>
        <v>2.8898516857878392E-4</v>
      </c>
      <c r="AE234" s="304">
        <f t="shared" si="92"/>
        <v>0.5</v>
      </c>
      <c r="AF234" s="176">
        <f t="shared" si="93"/>
        <v>1.0439378903921881E-2</v>
      </c>
      <c r="AG234" s="814">
        <f t="shared" si="99"/>
        <v>1</v>
      </c>
      <c r="AH234" s="175">
        <f t="shared" si="94"/>
        <v>7</v>
      </c>
      <c r="AI234" s="224">
        <f t="shared" si="95"/>
        <v>1.0104393789039219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8">
        <v>49.317</v>
      </c>
      <c r="C235" s="843"/>
      <c r="D235" s="392">
        <f t="shared" si="77"/>
        <v>50.936704233935998</v>
      </c>
      <c r="E235" s="384">
        <f t="shared" si="100"/>
        <v>53.354141956861582</v>
      </c>
      <c r="F235" s="384">
        <f t="shared" si="78"/>
        <v>53.368196158968736</v>
      </c>
      <c r="G235" s="110">
        <f t="shared" si="101"/>
        <v>0.96181616093626521</v>
      </c>
      <c r="H235" s="413" t="b">
        <f>Wh_hp&gt;='2021'!Maxi_hp</f>
        <v>0</v>
      </c>
      <c r="I235" s="379">
        <f>IF(H235,Wh_hp,'2021'!Maxi_hp)</f>
        <v>55.479223820400136</v>
      </c>
      <c r="J235" s="85">
        <f>IF(H235,An,'2021'!An_max)</f>
        <v>2021</v>
      </c>
      <c r="K235" s="196">
        <f t="shared" si="79"/>
        <v>44782</v>
      </c>
      <c r="L235" s="147">
        <f>IF(t&lt;Tvie,1-EXP((T0-t)*PertePVj)+'2021'!Pspv,1-EXP((T0-t)*PertePVj)+Pspv)</f>
        <v>3.1798371298174512E-2</v>
      </c>
      <c r="M235" s="847"/>
      <c r="N235" s="847"/>
      <c r="O235" s="48">
        <f>IF(t&lt;Tnet,'2021'!Resal+('2021'!Salim-'2021'!Resal)*(1-EXP(('2021'!Tnet-t)/('2021'!Tau_j))),Resal+(Salim-Resal)*(1-EXP((Tnet-t)/(Tau_j))))*Salcycl</f>
        <v>4.5309279359794667E-2</v>
      </c>
      <c r="P235" s="338">
        <f>(INDEX(Models!$BJ235:$BT235,,T235)*(1-R235)+INDEX(Models!$BJ235:$BT235,,T235+1)*R235-ERP_i)*Q235*Ramure*Pc/MaxiM</f>
        <v>2.7853177982413695E-4</v>
      </c>
      <c r="Q235" s="304">
        <f t="shared" si="80"/>
        <v>0.5</v>
      </c>
      <c r="R235" s="176">
        <f t="shared" si="81"/>
        <v>1.1346195425098848E-2</v>
      </c>
      <c r="S235" s="814">
        <f t="shared" si="82"/>
        <v>1</v>
      </c>
      <c r="T235" s="175">
        <f t="shared" si="83"/>
        <v>7</v>
      </c>
      <c r="U235" s="250">
        <f t="shared" si="84"/>
        <v>1.0113461954250988</v>
      </c>
      <c r="V235" s="382">
        <f t="shared" si="85"/>
        <v>51.274092490002126</v>
      </c>
      <c r="W235" s="401">
        <f t="shared" si="86"/>
        <v>0</v>
      </c>
      <c r="X235" s="157">
        <f t="shared" si="87"/>
        <v>44782</v>
      </c>
      <c r="Y235" s="384">
        <f t="shared" si="88"/>
        <v>47.954363854987484</v>
      </c>
      <c r="Z235" s="384">
        <f t="shared" si="89"/>
        <v>49.529315416753825</v>
      </c>
      <c r="AA235" s="385">
        <f t="shared" si="90"/>
        <v>53.354141956861582</v>
      </c>
      <c r="AB235" s="196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7.168752789990028E-2</v>
      </c>
      <c r="AD235" s="230">
        <f>(INDEX(Models!$BJ235:$BT235,,AH235)*(1-AF235)+INDEX(Models!$BJ235:$BT235,,AH235+1)*AF235-ERP_i)*AE235*Ramure*Pc/MaxiM</f>
        <v>2.7853177982413695E-4</v>
      </c>
      <c r="AE235" s="304">
        <f t="shared" si="92"/>
        <v>0.5</v>
      </c>
      <c r="AF235" s="176">
        <f t="shared" si="93"/>
        <v>1.1346195425098848E-2</v>
      </c>
      <c r="AG235" s="814">
        <f t="shared" si="99"/>
        <v>1</v>
      </c>
      <c r="AH235" s="175">
        <f t="shared" si="94"/>
        <v>7</v>
      </c>
      <c r="AI235" s="224">
        <f t="shared" si="95"/>
        <v>1.0113461954250988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8">
        <v>47.286000000000001</v>
      </c>
      <c r="C236" s="843"/>
      <c r="D236" s="392">
        <f t="shared" si="77"/>
        <v>48.84006907440174</v>
      </c>
      <c r="E236" s="384">
        <f t="shared" si="100"/>
        <v>51.162473379687427</v>
      </c>
      <c r="F236" s="384">
        <f t="shared" si="78"/>
        <v>51.174752157074352</v>
      </c>
      <c r="G236" s="110">
        <f t="shared" si="101"/>
        <v>0.92405356556530138</v>
      </c>
      <c r="H236" s="413" t="b">
        <f>Wh_hp&gt;='2021'!Maxi_hp</f>
        <v>0</v>
      </c>
      <c r="I236" s="379">
        <f>IF(H236,Wh_hp,'2021'!Maxi_hp)</f>
        <v>51.455396116933656</v>
      </c>
      <c r="J236" s="85">
        <f>IF(H236,An,'2021'!An_max)</f>
        <v>2021</v>
      </c>
      <c r="K236" s="196">
        <f t="shared" si="79"/>
        <v>44783</v>
      </c>
      <c r="L236" s="147">
        <f>IF(t&lt;Tvie,1-EXP((T0-t)*PertePVj)+'2021'!Pspv,1-EXP((T0-t)*PertePVj)+Pspv)</f>
        <v>3.1819551115587298E-2</v>
      </c>
      <c r="M236" s="847"/>
      <c r="N236" s="847"/>
      <c r="O236" s="48">
        <f>IF(t&lt;Tnet,'2021'!Resal+('2021'!Salim-'2021'!Resal)*(1-EXP(('2021'!Tnet-t)/('2021'!Tau_j))),Resal+(Salim-Resal)*(1-EXP((Tnet-t)/(Tau_j))))*Salcycl</f>
        <v>4.5392729316478572E-2</v>
      </c>
      <c r="P236" s="338">
        <f>(INDEX(Models!$BJ236:$BT236,,T236)*(1-R236)+INDEX(Models!$BJ236:$BT236,,T236+1)*R236-ERP_i)*Q236*Ramure*Pc/MaxiM</f>
        <v>2.6912669237617252E-4</v>
      </c>
      <c r="Q236" s="304">
        <f t="shared" si="80"/>
        <v>0.5</v>
      </c>
      <c r="R236" s="176">
        <f t="shared" si="81"/>
        <v>1.2222120704637129E-2</v>
      </c>
      <c r="S236" s="814">
        <f t="shared" si="82"/>
        <v>1</v>
      </c>
      <c r="T236" s="175">
        <f t="shared" si="83"/>
        <v>7</v>
      </c>
      <c r="U236" s="250">
        <f t="shared" si="84"/>
        <v>1.0122221207046371</v>
      </c>
      <c r="V236" s="382">
        <f t="shared" si="85"/>
        <v>51.170864139556485</v>
      </c>
      <c r="W236" s="401">
        <f t="shared" si="86"/>
        <v>0</v>
      </c>
      <c r="X236" s="157">
        <f t="shared" si="87"/>
        <v>44783</v>
      </c>
      <c r="Y236" s="384">
        <f t="shared" si="88"/>
        <v>45.980785811430493</v>
      </c>
      <c r="Z236" s="384">
        <f t="shared" si="89"/>
        <v>47.491958616197962</v>
      </c>
      <c r="AA236" s="385">
        <f t="shared" si="90"/>
        <v>51.162473379687427</v>
      </c>
      <c r="AB236" s="196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7.1742324423016174E-2</v>
      </c>
      <c r="AD236" s="230">
        <f>(INDEX(Models!$BJ236:$BT236,,AH236)*(1-AF236)+INDEX(Models!$BJ236:$BT236,,AH236+1)*AF236-ERP_i)*AE236*Ramure*Pc/MaxiM</f>
        <v>2.6912669237617252E-4</v>
      </c>
      <c r="AE236" s="304">
        <f t="shared" si="92"/>
        <v>0.5</v>
      </c>
      <c r="AF236" s="176">
        <f t="shared" si="93"/>
        <v>1.2222120704637129E-2</v>
      </c>
      <c r="AG236" s="814">
        <f t="shared" si="99"/>
        <v>1</v>
      </c>
      <c r="AH236" s="175">
        <f t="shared" si="94"/>
        <v>7</v>
      </c>
      <c r="AI236" s="224">
        <f t="shared" si="95"/>
        <v>1.0122221207046371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8">
        <v>43.514000000000003</v>
      </c>
      <c r="C237" s="843"/>
      <c r="D237" s="392">
        <f t="shared" si="77"/>
        <v>44.94508431560449</v>
      </c>
      <c r="E237" s="384">
        <f t="shared" si="100"/>
        <v>47.086383805106614</v>
      </c>
      <c r="F237" s="384">
        <f t="shared" si="78"/>
        <v>47.096070780429145</v>
      </c>
      <c r="G237" s="110">
        <f t="shared" si="101"/>
        <v>0.85207027474770169</v>
      </c>
      <c r="H237" s="413" t="b">
        <f>Wh_hp&gt;='2021'!Maxi_hp</f>
        <v>0</v>
      </c>
      <c r="I237" s="379">
        <f>IF(H237,Wh_hp,'2021'!Maxi_hp)</f>
        <v>54.32605328693775</v>
      </c>
      <c r="J237" s="85">
        <f>IF(H237,An,'2021'!An_max)</f>
        <v>2018</v>
      </c>
      <c r="K237" s="196">
        <f t="shared" si="79"/>
        <v>44784</v>
      </c>
      <c r="L237" s="147">
        <f>IF(t&lt;Tvie,1-EXP((T0-t)*PertePVj)+'2021'!Pspv,1-EXP((T0-t)*PertePVj)+Pspv)</f>
        <v>3.1840730469107827E-2</v>
      </c>
      <c r="M237" s="847"/>
      <c r="N237" s="847"/>
      <c r="O237" s="48">
        <f>IF(t&lt;Tnet,'2021'!Resal+('2021'!Salim-'2021'!Resal)*(1-EXP(('2021'!Tnet-t)/('2021'!Tau_j))),Resal+(Salim-Resal)*(1-EXP((Tnet-t)/(Tau_j))))*Salcycl</f>
        <v>4.5475980877297553E-2</v>
      </c>
      <c r="P237" s="338">
        <f>(INDEX(Models!$BJ237:$BT237,,T237)*(1-R237)+INDEX(Models!$BJ237:$BT237,,T237+1)*R237-ERP_i)*Q237*Ramure*Pc/MaxiM</f>
        <v>2.6077758429255961E-4</v>
      </c>
      <c r="Q237" s="304">
        <f t="shared" si="80"/>
        <v>0.5</v>
      </c>
      <c r="R237" s="176">
        <f t="shared" si="81"/>
        <v>1.3068004368442576E-2</v>
      </c>
      <c r="S237" s="814">
        <f t="shared" si="82"/>
        <v>1</v>
      </c>
      <c r="T237" s="175">
        <f t="shared" si="83"/>
        <v>7</v>
      </c>
      <c r="U237" s="250">
        <f t="shared" si="84"/>
        <v>1.0130680043684426</v>
      </c>
      <c r="V237" s="382">
        <f t="shared" si="85"/>
        <v>51.06574365531813</v>
      </c>
      <c r="W237" s="401">
        <f t="shared" si="86"/>
        <v>0</v>
      </c>
      <c r="X237" s="157">
        <f t="shared" si="87"/>
        <v>44784</v>
      </c>
      <c r="Y237" s="384">
        <f t="shared" si="88"/>
        <v>42.31410540928691</v>
      </c>
      <c r="Z237" s="384">
        <f t="shared" si="89"/>
        <v>43.70572770510126</v>
      </c>
      <c r="AA237" s="385">
        <f t="shared" si="90"/>
        <v>47.086383805106614</v>
      </c>
      <c r="AB237" s="196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7.1796893853605145E-2</v>
      </c>
      <c r="AD237" s="230">
        <f>(INDEX(Models!$BJ237:$BT237,,AH237)*(1-AF237)+INDEX(Models!$BJ237:$BT237,,AH237+1)*AF237-ERP_i)*AE237*Ramure*Pc/MaxiM</f>
        <v>2.6077758429255961E-4</v>
      </c>
      <c r="AE237" s="304">
        <f t="shared" si="92"/>
        <v>0.5</v>
      </c>
      <c r="AF237" s="176">
        <f t="shared" si="93"/>
        <v>1.3068004368442576E-2</v>
      </c>
      <c r="AG237" s="814">
        <f t="shared" si="99"/>
        <v>1</v>
      </c>
      <c r="AH237" s="175">
        <f t="shared" si="94"/>
        <v>7</v>
      </c>
      <c r="AI237" s="224">
        <f t="shared" si="95"/>
        <v>1.0130680043684426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8">
        <v>45.667000000000002</v>
      </c>
      <c r="C238" s="843"/>
      <c r="D238" s="392">
        <f t="shared" si="77"/>
        <v>47.169923837778249</v>
      </c>
      <c r="E238" s="384">
        <f t="shared" si="100"/>
        <v>49.421520482968248</v>
      </c>
      <c r="F238" s="384">
        <f t="shared" si="78"/>
        <v>49.432192256833318</v>
      </c>
      <c r="G238" s="110">
        <f t="shared" si="101"/>
        <v>0.89612282146355193</v>
      </c>
      <c r="H238" s="413" t="b">
        <f>Wh_hp&gt;='2021'!Maxi_hp</f>
        <v>0</v>
      </c>
      <c r="I238" s="379">
        <f>IF(H238,Wh_hp,'2021'!Maxi_hp)</f>
        <v>51.451294762618211</v>
      </c>
      <c r="J238" s="85">
        <f>IF(H238,An,'2021'!An_max)</f>
        <v>2018</v>
      </c>
      <c r="K238" s="196">
        <f t="shared" si="79"/>
        <v>44785</v>
      </c>
      <c r="L238" s="147">
        <f>IF(t&lt;Tvie,1-EXP((T0-t)*PertePVj)+'2021'!Pspv,1-EXP((T0-t)*PertePVj)+Pspv)</f>
        <v>3.1861909358746089E-2</v>
      </c>
      <c r="M238" s="847"/>
      <c r="N238" s="847"/>
      <c r="O238" s="48">
        <f>IF(t&lt;Tnet,'2021'!Resal+('2021'!Salim-'2021'!Resal)*(1-EXP(('2021'!Tnet-t)/('2021'!Tau_j))),Resal+(Salim-Resal)*(1-EXP((Tnet-t)/(Tau_j))))*Salcycl</f>
        <v>4.5559032243169213E-2</v>
      </c>
      <c r="P238" s="338">
        <f>(INDEX(Models!$BJ238:$BT238,,T238)*(1-R238)+INDEX(Models!$BJ238:$BT238,,T238+1)*R238-ERP_i)*Q238*Ramure*Pc/MaxiM</f>
        <v>2.5349212861004998E-4</v>
      </c>
      <c r="Q238" s="304">
        <f t="shared" si="80"/>
        <v>0.5</v>
      </c>
      <c r="R238" s="176">
        <f t="shared" si="81"/>
        <v>1.3884687760982395E-2</v>
      </c>
      <c r="S238" s="814">
        <f t="shared" si="82"/>
        <v>1</v>
      </c>
      <c r="T238" s="175">
        <f t="shared" si="83"/>
        <v>7</v>
      </c>
      <c r="U238" s="250">
        <f t="shared" si="84"/>
        <v>1.0138846877609824</v>
      </c>
      <c r="V238" s="382">
        <f t="shared" si="85"/>
        <v>50.958731579775289</v>
      </c>
      <c r="W238" s="401">
        <f t="shared" si="86"/>
        <v>0</v>
      </c>
      <c r="X238" s="157">
        <f t="shared" si="87"/>
        <v>44785</v>
      </c>
      <c r="Y238" s="384">
        <f t="shared" si="88"/>
        <v>44.409000806440098</v>
      </c>
      <c r="Z238" s="384">
        <f t="shared" si="89"/>
        <v>45.870523260814423</v>
      </c>
      <c r="AA238" s="385">
        <f t="shared" si="90"/>
        <v>49.421520482968248</v>
      </c>
      <c r="AB238" s="196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7.1851233783419802E-2</v>
      </c>
      <c r="AD238" s="230">
        <f>(INDEX(Models!$BJ238:$BT238,,AH238)*(1-AF238)+INDEX(Models!$BJ238:$BT238,,AH238+1)*AF238-ERP_i)*AE238*Ramure*Pc/MaxiM</f>
        <v>2.5349212861004998E-4</v>
      </c>
      <c r="AE238" s="304">
        <f t="shared" si="92"/>
        <v>0.5</v>
      </c>
      <c r="AF238" s="176">
        <f t="shared" si="93"/>
        <v>1.3884687760982395E-2</v>
      </c>
      <c r="AG238" s="814">
        <f t="shared" si="99"/>
        <v>1</v>
      </c>
      <c r="AH238" s="175">
        <f t="shared" si="94"/>
        <v>7</v>
      </c>
      <c r="AI238" s="224">
        <f t="shared" si="95"/>
        <v>1.0138846877609824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8">
        <v>31.811</v>
      </c>
      <c r="C239" s="843"/>
      <c r="D239" s="392">
        <f t="shared" si="77"/>
        <v>32.858634735759445</v>
      </c>
      <c r="E239" s="384">
        <f t="shared" si="100"/>
        <v>34.430088748762614</v>
      </c>
      <c r="F239" s="384">
        <f t="shared" si="78"/>
        <v>34.434049183141909</v>
      </c>
      <c r="G239" s="110">
        <f t="shared" si="101"/>
        <v>0.6255044124951481</v>
      </c>
      <c r="H239" s="413" t="b">
        <f>Wh_hp&gt;='2021'!Maxi_hp</f>
        <v>0</v>
      </c>
      <c r="I239" s="379">
        <f>IF(H239,Wh_hp,'2021'!Maxi_hp)</f>
        <v>51.299776685989691</v>
      </c>
      <c r="J239" s="85">
        <f>IF(H239,An,'2021'!An_max)</f>
        <v>2019</v>
      </c>
      <c r="K239" s="196">
        <f t="shared" si="79"/>
        <v>44786</v>
      </c>
      <c r="L239" s="147">
        <f>IF(t&lt;Tvie,1-EXP((T0-t)*PertePVj)+'2021'!Pspv,1-EXP((T0-t)*PertePVj)+Pspv)</f>
        <v>3.18830877845123E-2</v>
      </c>
      <c r="M239" s="847"/>
      <c r="N239" s="847"/>
      <c r="O239" s="48">
        <f>IF(t&lt;Tnet,'2021'!Resal+('2021'!Salim-'2021'!Resal)*(1-EXP(('2021'!Tnet-t)/('2021'!Tau_j))),Resal+(Salim-Resal)*(1-EXP((Tnet-t)/(Tau_j))))*Salcycl</f>
        <v>4.5641880985847004E-2</v>
      </c>
      <c r="P239" s="338">
        <f>(INDEX(Models!$BJ239:$BT239,,T239)*(1-R239)+INDEX(Models!$BJ239:$BT239,,T239+1)*R239-ERP_i)*Q239*Ramure*Pc/MaxiM</f>
        <v>2.4727800686329994E-4</v>
      </c>
      <c r="Q239" s="304">
        <f t="shared" si="80"/>
        <v>0.5</v>
      </c>
      <c r="R239" s="176">
        <f t="shared" si="81"/>
        <v>1.4673002757628506E-2</v>
      </c>
      <c r="S239" s="814">
        <f t="shared" si="82"/>
        <v>1</v>
      </c>
      <c r="T239" s="175">
        <f t="shared" si="83"/>
        <v>7</v>
      </c>
      <c r="U239" s="250">
        <f t="shared" si="84"/>
        <v>1.0146730027576285</v>
      </c>
      <c r="V239" s="382">
        <f t="shared" si="85"/>
        <v>50.84982849710498</v>
      </c>
      <c r="W239" s="401">
        <f t="shared" si="86"/>
        <v>0</v>
      </c>
      <c r="X239" s="157">
        <f t="shared" si="87"/>
        <v>44786</v>
      </c>
      <c r="Y239" s="384">
        <f t="shared" si="88"/>
        <v>30.935577132873416</v>
      </c>
      <c r="Z239" s="384">
        <f t="shared" si="89"/>
        <v>31.954381482788971</v>
      </c>
      <c r="AA239" s="385">
        <f t="shared" si="90"/>
        <v>34.430088748762614</v>
      </c>
      <c r="AB239" s="196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7.1905340820900915E-2</v>
      </c>
      <c r="AD239" s="230">
        <f>(INDEX(Models!$BJ239:$BT239,,AH239)*(1-AF239)+INDEX(Models!$BJ239:$BT239,,AH239+1)*AF239-ERP_i)*AE239*Ramure*Pc/MaxiM</f>
        <v>2.4727800686329994E-4</v>
      </c>
      <c r="AE239" s="304">
        <f t="shared" si="92"/>
        <v>0.5</v>
      </c>
      <c r="AF239" s="176">
        <f t="shared" si="93"/>
        <v>1.4673002757628506E-2</v>
      </c>
      <c r="AG239" s="814">
        <f t="shared" si="99"/>
        <v>1</v>
      </c>
      <c r="AH239" s="175">
        <f t="shared" si="94"/>
        <v>7</v>
      </c>
      <c r="AI239" s="224">
        <f t="shared" si="95"/>
        <v>1.0146730027576285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8">
        <v>33.073</v>
      </c>
      <c r="C240" s="843"/>
      <c r="D240" s="392">
        <f t="shared" si="77"/>
        <v>34.162943632325572</v>
      </c>
      <c r="E240" s="384">
        <f t="shared" si="100"/>
        <v>35.79987592146329</v>
      </c>
      <c r="F240" s="384">
        <f t="shared" si="78"/>
        <v>35.80424854569857</v>
      </c>
      <c r="G240" s="110">
        <f t="shared" si="101"/>
        <v>0.65174732171815297</v>
      </c>
      <c r="H240" s="413" t="b">
        <f>Wh_hp&gt;='2021'!Maxi_hp</f>
        <v>0</v>
      </c>
      <c r="I240" s="379">
        <f>IF(H240,Wh_hp,'2021'!Maxi_hp)</f>
        <v>56.168421438709679</v>
      </c>
      <c r="J240" s="85">
        <f>IF(H240,An,'2021'!An_max)</f>
        <v>2019</v>
      </c>
      <c r="K240" s="196">
        <f t="shared" si="79"/>
        <v>44787</v>
      </c>
      <c r="L240" s="147">
        <f>IF(t&lt;Tvie,1-EXP((T0-t)*PertePVj)+'2021'!Pspv,1-EXP((T0-t)*PertePVj)+Pspv)</f>
        <v>3.1904265746416673E-2</v>
      </c>
      <c r="M240" s="847"/>
      <c r="N240" s="847"/>
      <c r="O240" s="48">
        <f>IF(t&lt;Tnet,'2021'!Resal+('2021'!Salim-'2021'!Resal)*(1-EXP(('2021'!Tnet-t)/('2021'!Tau_j))),Resal+(Salim-Resal)*(1-EXP((Tnet-t)/(Tau_j))))*Salcycl</f>
        <v>4.5724524094127403E-2</v>
      </c>
      <c r="P240" s="338">
        <f>(INDEX(Models!$BJ240:$BT240,,T240)*(1-R240)+INDEX(Models!$BJ240:$BT240,,T240+1)*R240-ERP_i)*Q240*Ramure*Pc/MaxiM</f>
        <v>2.4298393894824701E-4</v>
      </c>
      <c r="Q240" s="304">
        <f t="shared" si="80"/>
        <v>0.5</v>
      </c>
      <c r="R240" s="176">
        <f t="shared" si="81"/>
        <v>1.5433770694197824E-2</v>
      </c>
      <c r="S240" s="814">
        <f t="shared" si="82"/>
        <v>1</v>
      </c>
      <c r="T240" s="175">
        <f t="shared" si="83"/>
        <v>7</v>
      </c>
      <c r="U240" s="250">
        <f t="shared" si="84"/>
        <v>1.0154337706941978</v>
      </c>
      <c r="V240" s="382">
        <f t="shared" si="85"/>
        <v>50.738992352105356</v>
      </c>
      <c r="W240" s="401">
        <f t="shared" si="86"/>
        <v>0</v>
      </c>
      <c r="X240" s="157">
        <f t="shared" si="87"/>
        <v>44787</v>
      </c>
      <c r="Y240" s="384">
        <f t="shared" si="88"/>
        <v>32.163765915084575</v>
      </c>
      <c r="Z240" s="384">
        <f t="shared" si="89"/>
        <v>33.223745108104758</v>
      </c>
      <c r="AA240" s="385">
        <f t="shared" si="90"/>
        <v>35.79987592146329</v>
      </c>
      <c r="AB240" s="196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7.1959210669053017E-2</v>
      </c>
      <c r="AD240" s="230">
        <f>(INDEX(Models!$BJ240:$BT240,,AH240)*(1-AF240)+INDEX(Models!$BJ240:$BT240,,AH240+1)*AF240-ERP_i)*AE240*Ramure*Pc/MaxiM</f>
        <v>2.4298393894824701E-4</v>
      </c>
      <c r="AE240" s="304">
        <f t="shared" si="92"/>
        <v>0.5</v>
      </c>
      <c r="AF240" s="176">
        <f t="shared" si="93"/>
        <v>1.5433770694197824E-2</v>
      </c>
      <c r="AG240" s="814">
        <f t="shared" si="99"/>
        <v>1</v>
      </c>
      <c r="AH240" s="175">
        <f t="shared" si="94"/>
        <v>7</v>
      </c>
      <c r="AI240" s="224">
        <f t="shared" si="95"/>
        <v>1.0154337706941978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8">
        <v>37.922000000000004</v>
      </c>
      <c r="C241" s="843"/>
      <c r="D241" s="392">
        <f t="shared" si="77"/>
        <v>39.172602704376729</v>
      </c>
      <c r="E241" s="384">
        <f t="shared" si="100"/>
        <v>41.05312130870454</v>
      </c>
      <c r="F241" s="384">
        <f t="shared" si="78"/>
        <v>41.059455281918638</v>
      </c>
      <c r="G241" s="110">
        <f t="shared" si="101"/>
        <v>0.74899373691629012</v>
      </c>
      <c r="H241" s="413" t="b">
        <f>Wh_hp&gt;='2021'!Maxi_hp</f>
        <v>0</v>
      </c>
      <c r="I241" s="379">
        <f>IF(H241,Wh_hp,'2021'!Maxi_hp)</f>
        <v>54.459997130630313</v>
      </c>
      <c r="J241" s="85">
        <f>IF(H241,An,'2021'!An_max)</f>
        <v>2018</v>
      </c>
      <c r="K241" s="196">
        <f t="shared" si="79"/>
        <v>44788</v>
      </c>
      <c r="L241" s="147">
        <f>IF(t&lt;Tvie,1-EXP((T0-t)*PertePVj)+'2021'!Pspv,1-EXP((T0-t)*PertePVj)+Pspv)</f>
        <v>3.1925443244469311E-2</v>
      </c>
      <c r="M241" s="847"/>
      <c r="N241" s="847"/>
      <c r="O241" s="48">
        <f>IF(t&lt;Tnet,'2021'!Resal+('2021'!Salim-'2021'!Resal)*(1-EXP(('2021'!Tnet-t)/('2021'!Tau_j))),Resal+(Salim-Resal)*(1-EXP((Tnet-t)/(Tau_j))))*Salcycl</f>
        <v>4.5806958018782422E-2</v>
      </c>
      <c r="P241" s="338">
        <f>(INDEX(Models!$BJ241:$BT241,,T241)*(1-R241)+INDEX(Models!$BJ241:$BT241,,T241+1)*R241-ERP_i)*Q241*Ramure*Pc/MaxiM</f>
        <v>2.4046857631025245E-4</v>
      </c>
      <c r="Q241" s="304">
        <f t="shared" si="80"/>
        <v>0.5</v>
      </c>
      <c r="R241" s="176">
        <f t="shared" si="81"/>
        <v>1.6167801408021987E-2</v>
      </c>
      <c r="S241" s="814">
        <f t="shared" si="82"/>
        <v>1</v>
      </c>
      <c r="T241" s="175">
        <f t="shared" si="83"/>
        <v>7</v>
      </c>
      <c r="U241" s="250">
        <f t="shared" si="84"/>
        <v>1.016167801408022</v>
      </c>
      <c r="V241" s="382">
        <f t="shared" si="85"/>
        <v>50.626231643710263</v>
      </c>
      <c r="W241" s="401">
        <f t="shared" si="86"/>
        <v>0</v>
      </c>
      <c r="X241" s="157">
        <f t="shared" si="87"/>
        <v>44788</v>
      </c>
      <c r="Y241" s="384">
        <f t="shared" si="88"/>
        <v>36.880513272955362</v>
      </c>
      <c r="Z241" s="384">
        <f t="shared" si="89"/>
        <v>38.096769526263721</v>
      </c>
      <c r="AA241" s="385">
        <f t="shared" si="90"/>
        <v>41.05312130870454</v>
      </c>
      <c r="AB241" s="196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7.2012838200782137E-2</v>
      </c>
      <c r="AD241" s="230">
        <f>(INDEX(Models!$BJ241:$BT241,,AH241)*(1-AF241)+INDEX(Models!$BJ241:$BT241,,AH241+1)*AF241-ERP_i)*AE241*Ramure*Pc/MaxiM</f>
        <v>2.4046857631025245E-4</v>
      </c>
      <c r="AE241" s="304">
        <f t="shared" si="92"/>
        <v>0.5</v>
      </c>
      <c r="AF241" s="176">
        <f t="shared" si="93"/>
        <v>1.6167801408021987E-2</v>
      </c>
      <c r="AG241" s="814">
        <f t="shared" si="99"/>
        <v>1</v>
      </c>
      <c r="AH241" s="175">
        <f t="shared" si="94"/>
        <v>7</v>
      </c>
      <c r="AI241" s="224">
        <f t="shared" si="95"/>
        <v>1.016167801408022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8">
        <v>31.855</v>
      </c>
      <c r="C242" s="843"/>
      <c r="D242" s="392">
        <f t="shared" si="77"/>
        <v>32.906243258166533</v>
      </c>
      <c r="E242" s="384">
        <f t="shared" si="100"/>
        <v>34.488911061576985</v>
      </c>
      <c r="F242" s="384">
        <f t="shared" si="78"/>
        <v>34.492817172505404</v>
      </c>
      <c r="G242" s="110">
        <f t="shared" si="101"/>
        <v>0.63056809225858301</v>
      </c>
      <c r="H242" s="413" t="b">
        <f>Wh_hp&gt;='2021'!Maxi_hp</f>
        <v>0</v>
      </c>
      <c r="I242" s="379">
        <f>IF(H242,Wh_hp,'2021'!Maxi_hp)</f>
        <v>55.604090749056766</v>
      </c>
      <c r="J242" s="85">
        <f>IF(H242,An,'2021'!An_max)</f>
        <v>2019</v>
      </c>
      <c r="K242" s="196">
        <f t="shared" si="79"/>
        <v>44789</v>
      </c>
      <c r="L242" s="147">
        <f>IF(t&lt;Tvie,1-EXP((T0-t)*PertePVj)+'2021'!Pspv,1-EXP((T0-t)*PertePVj)+Pspv)</f>
        <v>3.1946620278680428E-2</v>
      </c>
      <c r="M242" s="847"/>
      <c r="N242" s="847"/>
      <c r="O242" s="48">
        <f>IF(t&lt;Tnet,'2021'!Resal+('2021'!Salim-'2021'!Resal)*(1-EXP(('2021'!Tnet-t)/('2021'!Tau_j))),Resal+(Salim-Resal)*(1-EXP((Tnet-t)/(Tau_j))))*Salcycl</f>
        <v>4.5889178715579938E-2</v>
      </c>
      <c r="P242" s="338">
        <f>(INDEX(Models!$BJ242:$BT242,,T242)*(1-R242)+INDEX(Models!$BJ242:$BT242,,T242+1)*R242-ERP_i)*Q242*Ramure*Pc/MaxiM</f>
        <v>2.3974425326497999E-4</v>
      </c>
      <c r="Q242" s="304">
        <f t="shared" si="80"/>
        <v>0.5</v>
      </c>
      <c r="R242" s="176">
        <f t="shared" si="81"/>
        <v>1.6875892384833335E-2</v>
      </c>
      <c r="S242" s="814">
        <f t="shared" si="82"/>
        <v>1</v>
      </c>
      <c r="T242" s="175">
        <f t="shared" si="83"/>
        <v>7</v>
      </c>
      <c r="U242" s="250">
        <f t="shared" si="84"/>
        <v>1.0168758923848333</v>
      </c>
      <c r="V242" s="382">
        <f t="shared" si="85"/>
        <v>50.511547087351282</v>
      </c>
      <c r="W242" s="401">
        <f t="shared" si="86"/>
        <v>0</v>
      </c>
      <c r="X242" s="157">
        <f t="shared" si="87"/>
        <v>44789</v>
      </c>
      <c r="Y242" s="384">
        <f t="shared" si="88"/>
        <v>30.981024406332935</v>
      </c>
      <c r="Z242" s="384">
        <f t="shared" si="89"/>
        <v>32.003425694615792</v>
      </c>
      <c r="AA242" s="385">
        <f t="shared" si="90"/>
        <v>34.488911061576985</v>
      </c>
      <c r="AB242" s="196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7.2066217530718096E-2</v>
      </c>
      <c r="AD242" s="230">
        <f>(INDEX(Models!$BJ242:$BT242,,AH242)*(1-AF242)+INDEX(Models!$BJ242:$BT242,,AH242+1)*AF242-ERP_i)*AE242*Ramure*Pc/MaxiM</f>
        <v>2.3974425326497999E-4</v>
      </c>
      <c r="AE242" s="304">
        <f t="shared" si="92"/>
        <v>0.5</v>
      </c>
      <c r="AF242" s="176">
        <f t="shared" si="93"/>
        <v>1.6875892384833335E-2</v>
      </c>
      <c r="AG242" s="814">
        <f t="shared" si="99"/>
        <v>1</v>
      </c>
      <c r="AH242" s="175">
        <f t="shared" si="94"/>
        <v>7</v>
      </c>
      <c r="AI242" s="224">
        <f t="shared" si="95"/>
        <v>1.0168758923848333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8">
        <v>21.897000000000002</v>
      </c>
      <c r="C243" s="843"/>
      <c r="D243" s="392">
        <f t="shared" si="77"/>
        <v>22.620115248981779</v>
      </c>
      <c r="E243" s="384">
        <f t="shared" si="100"/>
        <v>23.710096398295661</v>
      </c>
      <c r="F243" s="384">
        <f t="shared" si="78"/>
        <v>23.7111936390138</v>
      </c>
      <c r="G243" s="110">
        <f t="shared" si="101"/>
        <v>0.43442337716245588</v>
      </c>
      <c r="H243" s="413" t="b">
        <f>Wh_hp&gt;='2021'!Maxi_hp</f>
        <v>0</v>
      </c>
      <c r="I243" s="379">
        <f>IF(H243,Wh_hp,'2021'!Maxi_hp)</f>
        <v>54.149035020517147</v>
      </c>
      <c r="J243" s="85">
        <f>IF(H243,An,'2021'!An_max)</f>
        <v>2019</v>
      </c>
      <c r="K243" s="196">
        <f t="shared" si="79"/>
        <v>44790</v>
      </c>
      <c r="L243" s="147">
        <f>IF(t&lt;Tvie,1-EXP((T0-t)*PertePVj)+'2021'!Pspv,1-EXP((T0-t)*PertePVj)+Pspv)</f>
        <v>3.1967796849060127E-2</v>
      </c>
      <c r="M243" s="847"/>
      <c r="N243" s="847"/>
      <c r="O243" s="48">
        <f>IF(t&lt;Tnet,'2021'!Resal+('2021'!Salim-'2021'!Resal)*(1-EXP(('2021'!Tnet-t)/('2021'!Tau_j))),Resal+(Salim-Resal)*(1-EXP((Tnet-t)/(Tau_j))))*Salcycl</f>
        <v>4.5971181685799958E-2</v>
      </c>
      <c r="P243" s="338">
        <f>(INDEX(Models!$BJ243:$BT243,,T243)*(1-R243)+INDEX(Models!$BJ243:$BT243,,T243+1)*R243-ERP_i)*Q243*Ramure*Pc/MaxiM</f>
        <v>2.4082340999549034E-4</v>
      </c>
      <c r="Q243" s="304">
        <f t="shared" si="80"/>
        <v>0.5</v>
      </c>
      <c r="R243" s="176">
        <f t="shared" si="81"/>
        <v>1.755882800574482E-2</v>
      </c>
      <c r="S243" s="814">
        <f t="shared" si="82"/>
        <v>1</v>
      </c>
      <c r="T243" s="175">
        <f t="shared" si="83"/>
        <v>7</v>
      </c>
      <c r="U243" s="250">
        <f t="shared" si="84"/>
        <v>1.0175588280057448</v>
      </c>
      <c r="V243" s="382">
        <f t="shared" si="85"/>
        <v>50.394939434783119</v>
      </c>
      <c r="W243" s="401">
        <f t="shared" si="86"/>
        <v>0</v>
      </c>
      <c r="X243" s="157">
        <f t="shared" si="87"/>
        <v>44790</v>
      </c>
      <c r="Y243" s="384">
        <f t="shared" si="88"/>
        <v>21.296843844108416</v>
      </c>
      <c r="Z243" s="384">
        <f t="shared" si="89"/>
        <v>22.000139845334999</v>
      </c>
      <c r="AA243" s="385">
        <f t="shared" si="90"/>
        <v>23.710096398295661</v>
      </c>
      <c r="AB243" s="196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7.2119342082623369E-2</v>
      </c>
      <c r="AD243" s="230">
        <f>(INDEX(Models!$BJ243:$BT243,,AH243)*(1-AF243)+INDEX(Models!$BJ243:$BT243,,AH243+1)*AF243-ERP_i)*AE243*Ramure*Pc/MaxiM</f>
        <v>2.4082340999549034E-4</v>
      </c>
      <c r="AE243" s="304">
        <f t="shared" si="92"/>
        <v>0.5</v>
      </c>
      <c r="AF243" s="176">
        <f t="shared" si="93"/>
        <v>1.755882800574482E-2</v>
      </c>
      <c r="AG243" s="814">
        <f t="shared" si="99"/>
        <v>1</v>
      </c>
      <c r="AH243" s="175">
        <f t="shared" si="94"/>
        <v>7</v>
      </c>
      <c r="AI243" s="224">
        <f t="shared" si="95"/>
        <v>1.0175588280057448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8">
        <v>38.102000000000004</v>
      </c>
      <c r="C244" s="843"/>
      <c r="D244" s="392">
        <f t="shared" si="77"/>
        <v>39.361121862770993</v>
      </c>
      <c r="E244" s="384">
        <f t="shared" si="100"/>
        <v>41.261328245076719</v>
      </c>
      <c r="F244" s="384">
        <f t="shared" si="78"/>
        <v>41.267906742620291</v>
      </c>
      <c r="G244" s="110">
        <f t="shared" si="101"/>
        <v>0.7577865551707138</v>
      </c>
      <c r="H244" s="413" t="b">
        <f>Wh_hp&gt;='2021'!Maxi_hp</f>
        <v>0</v>
      </c>
      <c r="I244" s="379">
        <f>IF(H244,Wh_hp,'2021'!Maxi_hp)</f>
        <v>52.532669315171944</v>
      </c>
      <c r="J244" s="85">
        <f>IF(H244,An,'2021'!An_max)</f>
        <v>2021</v>
      </c>
      <c r="K244" s="196">
        <f t="shared" si="79"/>
        <v>44791</v>
      </c>
      <c r="L244" s="147">
        <f>IF(t&lt;Tvie,1-EXP((T0-t)*PertePVj)+'2021'!Pspv,1-EXP((T0-t)*PertePVj)+Pspv)</f>
        <v>3.1988972955618512E-2</v>
      </c>
      <c r="M244" s="847"/>
      <c r="N244" s="847"/>
      <c r="O244" s="48">
        <f>IF(t&lt;Tnet,'2021'!Resal+('2021'!Salim-'2021'!Resal)*(1-EXP(('2021'!Tnet-t)/('2021'!Tau_j))),Resal+(Salim-Resal)*(1-EXP((Tnet-t)/(Tau_j))))*Salcycl</f>
        <v>4.6052962013709696E-2</v>
      </c>
      <c r="P244" s="338">
        <f>(INDEX(Models!$BJ244:$BT244,,T244)*(1-R244)+INDEX(Models!$BJ244:$BT244,,T244+1)*R244-ERP_i)*Q244*Ramure*Pc/MaxiM</f>
        <v>2.4371859313487737E-4</v>
      </c>
      <c r="Q244" s="304">
        <f t="shared" si="80"/>
        <v>0.5</v>
      </c>
      <c r="R244" s="176">
        <f t="shared" si="81"/>
        <v>1.8217378888633062E-2</v>
      </c>
      <c r="S244" s="814">
        <f t="shared" si="82"/>
        <v>1</v>
      </c>
      <c r="T244" s="175">
        <f t="shared" si="83"/>
        <v>7</v>
      </c>
      <c r="U244" s="250">
        <f t="shared" si="84"/>
        <v>1.0182173788886331</v>
      </c>
      <c r="V244" s="382">
        <f t="shared" si="85"/>
        <v>50.276409476894237</v>
      </c>
      <c r="W244" s="401">
        <f t="shared" si="86"/>
        <v>0</v>
      </c>
      <c r="X244" s="157">
        <f t="shared" si="87"/>
        <v>44791</v>
      </c>
      <c r="Y244" s="384">
        <f t="shared" si="88"/>
        <v>37.058760340606511</v>
      </c>
      <c r="Z244" s="384">
        <f t="shared" si="89"/>
        <v>38.283407218776894</v>
      </c>
      <c r="AA244" s="385">
        <f t="shared" si="90"/>
        <v>41.261328245076719</v>
      </c>
      <c r="AB244" s="196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7.2172204651583083E-2</v>
      </c>
      <c r="AD244" s="230">
        <f>(INDEX(Models!$BJ244:$BT244,,AH244)*(1-AF244)+INDEX(Models!$BJ244:$BT244,,AH244+1)*AF244-ERP_i)*AE244*Ramure*Pc/MaxiM</f>
        <v>2.4371859313487737E-4</v>
      </c>
      <c r="AE244" s="304">
        <f t="shared" si="92"/>
        <v>0.5</v>
      </c>
      <c r="AF244" s="176">
        <f t="shared" si="93"/>
        <v>1.8217378888633062E-2</v>
      </c>
      <c r="AG244" s="814">
        <f t="shared" si="99"/>
        <v>1</v>
      </c>
      <c r="AH244" s="175">
        <f t="shared" si="94"/>
        <v>7</v>
      </c>
      <c r="AI244" s="224">
        <f t="shared" si="95"/>
        <v>1.0182173788886331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8">
        <v>39.451000000000001</v>
      </c>
      <c r="C245" s="843"/>
      <c r="D245" s="392">
        <f t="shared" si="77"/>
        <v>40.755592574525004</v>
      </c>
      <c r="E245" s="384">
        <f t="shared" si="100"/>
        <v>42.726771426173499</v>
      </c>
      <c r="F245" s="384">
        <f t="shared" si="78"/>
        <v>42.734151235178174</v>
      </c>
      <c r="G245" s="110">
        <f t="shared" si="101"/>
        <v>0.78650697863772434</v>
      </c>
      <c r="H245" s="413" t="b">
        <f>Wh_hp&gt;='2021'!Maxi_hp</f>
        <v>0</v>
      </c>
      <c r="I245" s="379">
        <f>IF(H245,Wh_hp,'2021'!Maxi_hp)</f>
        <v>51.308352268844715</v>
      </c>
      <c r="J245" s="85">
        <f>IF(H245,An,'2021'!An_max)</f>
        <v>2018</v>
      </c>
      <c r="K245" s="196">
        <f t="shared" si="79"/>
        <v>44792</v>
      </c>
      <c r="L245" s="147">
        <f>IF(t&lt;Tvie,1-EXP((T0-t)*PertePVj)+'2021'!Pspv,1-EXP((T0-t)*PertePVj)+Pspv)</f>
        <v>3.2010148598365908E-2</v>
      </c>
      <c r="M245" s="847"/>
      <c r="N245" s="847"/>
      <c r="O245" s="48">
        <f>IF(t&lt;Tnet,'2021'!Resal+('2021'!Salim-'2021'!Resal)*(1-EXP(('2021'!Tnet-t)/('2021'!Tau_j))),Resal+(Salim-Resal)*(1-EXP((Tnet-t)/(Tau_j))))*Salcycl</f>
        <v>4.6134514400519216E-2</v>
      </c>
      <c r="P245" s="338">
        <f>(INDEX(Models!$BJ245:$BT245,,T245)*(1-R245)+INDEX(Models!$BJ245:$BT245,,T245+1)*R245-ERP_i)*Q245*Ramure*Pc/MaxiM</f>
        <v>2.4844245397359231E-4</v>
      </c>
      <c r="Q245" s="304">
        <f t="shared" si="80"/>
        <v>0.5</v>
      </c>
      <c r="R245" s="176">
        <f t="shared" si="81"/>
        <v>1.8852301318296627E-2</v>
      </c>
      <c r="S245" s="814">
        <f t="shared" si="82"/>
        <v>1</v>
      </c>
      <c r="T245" s="175">
        <f t="shared" si="83"/>
        <v>7</v>
      </c>
      <c r="U245" s="250">
        <f t="shared" si="84"/>
        <v>1.0188523013182966</v>
      </c>
      <c r="V245" s="382">
        <f t="shared" si="85"/>
        <v>50.155958039687341</v>
      </c>
      <c r="W245" s="401">
        <f t="shared" si="86"/>
        <v>0</v>
      </c>
      <c r="X245" s="157">
        <f t="shared" si="87"/>
        <v>44792</v>
      </c>
      <c r="Y245" s="384">
        <f t="shared" si="88"/>
        <v>38.371929866391639</v>
      </c>
      <c r="Z245" s="384">
        <f t="shared" si="89"/>
        <v>39.640839013786859</v>
      </c>
      <c r="AA245" s="385">
        <f t="shared" si="90"/>
        <v>42.726771426173499</v>
      </c>
      <c r="AB245" s="196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7.2224797460270204E-2</v>
      </c>
      <c r="AD245" s="230">
        <f>(INDEX(Models!$BJ245:$BT245,,AH245)*(1-AF245)+INDEX(Models!$BJ245:$BT245,,AH245+1)*AF245-ERP_i)*AE245*Ramure*Pc/MaxiM</f>
        <v>2.4844245397359231E-4</v>
      </c>
      <c r="AE245" s="304">
        <f t="shared" si="92"/>
        <v>0.5</v>
      </c>
      <c r="AF245" s="176">
        <f t="shared" si="93"/>
        <v>1.8852301318296627E-2</v>
      </c>
      <c r="AG245" s="814">
        <f t="shared" si="99"/>
        <v>1</v>
      </c>
      <c r="AH245" s="175">
        <f t="shared" si="94"/>
        <v>7</v>
      </c>
      <c r="AI245" s="224">
        <f t="shared" si="95"/>
        <v>1.0188523013182966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8">
        <v>46.983000000000004</v>
      </c>
      <c r="C246" s="843"/>
      <c r="D246" s="392">
        <f t="shared" si="77"/>
        <v>48.537727670426442</v>
      </c>
      <c r="E246" s="384">
        <f t="shared" si="100"/>
        <v>50.889634531246877</v>
      </c>
      <c r="F246" s="384">
        <f t="shared" si="78"/>
        <v>50.901484207997285</v>
      </c>
      <c r="G246" s="110">
        <f t="shared" si="101"/>
        <v>0.93900837351033306</v>
      </c>
      <c r="H246" s="413" t="b">
        <f>Wh_hp&gt;='2021'!Maxi_hp</f>
        <v>0</v>
      </c>
      <c r="I246" s="379">
        <f>IF(H246,Wh_hp,'2021'!Maxi_hp)</f>
        <v>52.975167716922265</v>
      </c>
      <c r="J246" s="85">
        <f>IF(H246,An,'2021'!An_max)</f>
        <v>2021</v>
      </c>
      <c r="K246" s="196">
        <f t="shared" si="79"/>
        <v>44793</v>
      </c>
      <c r="L246" s="147">
        <f>IF(t&lt;Tvie,1-EXP((T0-t)*PertePVj)+'2021'!Pspv,1-EXP((T0-t)*PertePVj)+Pspv)</f>
        <v>3.2031323777312305E-2</v>
      </c>
      <c r="M246" s="847"/>
      <c r="N246" s="847"/>
      <c r="O246" s="48">
        <f>IF(t&lt;Tnet,'2021'!Resal+('2021'!Salim-'2021'!Resal)*(1-EXP(('2021'!Tnet-t)/('2021'!Tau_j))),Resal+(Salim-Resal)*(1-EXP((Tnet-t)/(Tau_j))))*Salcycl</f>
        <v>4.6215833194406933E-2</v>
      </c>
      <c r="P246" s="338">
        <f>(INDEX(Models!$BJ246:$BT246,,T246)*(1-R246)+INDEX(Models!$BJ246:$BT246,,T246+1)*R246-ERP_i)*Q246*Ramure*Pc/MaxiM</f>
        <v>2.5500774441860181E-4</v>
      </c>
      <c r="Q246" s="304">
        <f t="shared" si="80"/>
        <v>0.5</v>
      </c>
      <c r="R246" s="176">
        <f t="shared" si="81"/>
        <v>1.9464336759867695E-2</v>
      </c>
      <c r="S246" s="814">
        <f t="shared" si="82"/>
        <v>1</v>
      </c>
      <c r="T246" s="175">
        <f t="shared" si="83"/>
        <v>7</v>
      </c>
      <c r="U246" s="250">
        <f t="shared" si="84"/>
        <v>1.0194643367598677</v>
      </c>
      <c r="V246" s="382">
        <f t="shared" si="85"/>
        <v>50.033585984621929</v>
      </c>
      <c r="W246" s="401">
        <f t="shared" si="86"/>
        <v>0</v>
      </c>
      <c r="X246" s="157">
        <f t="shared" si="87"/>
        <v>44793</v>
      </c>
      <c r="Y246" s="384">
        <f t="shared" si="88"/>
        <v>45.699232545536042</v>
      </c>
      <c r="Z246" s="384">
        <f t="shared" si="89"/>
        <v>47.211478705972738</v>
      </c>
      <c r="AA246" s="385">
        <f t="shared" si="90"/>
        <v>50.889634531246877</v>
      </c>
      <c r="AB246" s="196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7.2277112208689667E-2</v>
      </c>
      <c r="AD246" s="230">
        <f>(INDEX(Models!$BJ246:$BT246,,AH246)*(1-AF246)+INDEX(Models!$BJ246:$BT246,,AH246+1)*AF246-ERP_i)*AE246*Ramure*Pc/MaxiM</f>
        <v>2.5500774441860181E-4</v>
      </c>
      <c r="AE246" s="304">
        <f t="shared" si="92"/>
        <v>0.5</v>
      </c>
      <c r="AF246" s="176">
        <f t="shared" si="93"/>
        <v>1.9464336759867695E-2</v>
      </c>
      <c r="AG246" s="814">
        <f t="shared" si="99"/>
        <v>1</v>
      </c>
      <c r="AH246" s="175">
        <f t="shared" si="94"/>
        <v>7</v>
      </c>
      <c r="AI246" s="224">
        <f t="shared" si="95"/>
        <v>1.0194643367598677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8">
        <v>31.673000000000002</v>
      </c>
      <c r="C247" s="843"/>
      <c r="D247" s="392">
        <f t="shared" si="77"/>
        <v>32.721815956620397</v>
      </c>
      <c r="E247" s="384">
        <f t="shared" si="100"/>
        <v>34.310275789840894</v>
      </c>
      <c r="F247" s="384">
        <f t="shared" si="78"/>
        <v>34.314596443296274</v>
      </c>
      <c r="G247" s="110">
        <f t="shared" si="101"/>
        <v>0.63450745353252846</v>
      </c>
      <c r="H247" s="413" t="b">
        <f>Wh_hp&gt;='2021'!Maxi_hp</f>
        <v>0</v>
      </c>
      <c r="I247" s="379">
        <f>IF(H247,Wh_hp,'2021'!Maxi_hp)</f>
        <v>53.054891406226311</v>
      </c>
      <c r="J247" s="85">
        <f>IF(H247,An,'2021'!An_max)</f>
        <v>2020</v>
      </c>
      <c r="K247" s="196">
        <f t="shared" si="79"/>
        <v>44794</v>
      </c>
      <c r="L247" s="147">
        <f>IF(t&lt;Tvie,1-EXP((T0-t)*PertePVj)+'2021'!Pspv,1-EXP((T0-t)*PertePVj)+Pspv)</f>
        <v>3.205249849246803E-2</v>
      </c>
      <c r="M247" s="847"/>
      <c r="N247" s="847"/>
      <c r="O247" s="48">
        <f>IF(t&lt;Tnet,'2021'!Resal+('2021'!Salim-'2021'!Resal)*(1-EXP(('2021'!Tnet-t)/('2021'!Tau_j))),Resal+(Salim-Resal)*(1-EXP((Tnet-t)/(Tau_j))))*Salcycl</f>
        <v>4.6296912416274746E-2</v>
      </c>
      <c r="P247" s="338">
        <f>(INDEX(Models!$BJ247:$BT247,,T247)*(1-R247)+INDEX(Models!$BJ247:$BT247,,T247+1)*R247-ERP_i)*Q247*Ramure*Pc/MaxiM</f>
        <v>2.6342045011761402E-4</v>
      </c>
      <c r="Q247" s="304">
        <f t="shared" si="80"/>
        <v>0.5</v>
      </c>
      <c r="R247" s="176">
        <f t="shared" si="81"/>
        <v>2.0054211450066362E-2</v>
      </c>
      <c r="S247" s="814">
        <f t="shared" si="82"/>
        <v>1</v>
      </c>
      <c r="T247" s="175">
        <f t="shared" si="83"/>
        <v>7</v>
      </c>
      <c r="U247" s="250">
        <f t="shared" si="84"/>
        <v>1.0200542114500664</v>
      </c>
      <c r="V247" s="382">
        <f t="shared" si="85"/>
        <v>49.910594432682842</v>
      </c>
      <c r="W247" s="401">
        <f t="shared" si="86"/>
        <v>0</v>
      </c>
      <c r="X247" s="157">
        <f t="shared" si="87"/>
        <v>44794</v>
      </c>
      <c r="Y247" s="384">
        <f t="shared" si="88"/>
        <v>30.808455511576941</v>
      </c>
      <c r="Z247" s="384">
        <f t="shared" si="89"/>
        <v>31.828643044787288</v>
      </c>
      <c r="AA247" s="385">
        <f t="shared" si="90"/>
        <v>34.310275789840894</v>
      </c>
      <c r="AB247" s="196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7.2329140116921084E-2</v>
      </c>
      <c r="AD247" s="230">
        <f>(INDEX(Models!$BJ247:$BT247,,AH247)*(1-AF247)+INDEX(Models!$BJ247:$BT247,,AH247+1)*AF247-ERP_i)*AE247*Ramure*Pc/MaxiM</f>
        <v>2.6342045011761402E-4</v>
      </c>
      <c r="AE247" s="304">
        <f t="shared" si="92"/>
        <v>0.5</v>
      </c>
      <c r="AF247" s="176">
        <f t="shared" si="93"/>
        <v>2.0054211450066362E-2</v>
      </c>
      <c r="AG247" s="814">
        <f t="shared" si="99"/>
        <v>1</v>
      </c>
      <c r="AH247" s="175">
        <f t="shared" si="94"/>
        <v>7</v>
      </c>
      <c r="AI247" s="224">
        <f t="shared" si="95"/>
        <v>1.0200542114500664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8">
        <v>24.677</v>
      </c>
      <c r="C248" s="843"/>
      <c r="D248" s="392">
        <f t="shared" si="77"/>
        <v>25.494708951613582</v>
      </c>
      <c r="E248" s="384">
        <f t="shared" si="100"/>
        <v>26.734599406441571</v>
      </c>
      <c r="F248" s="384">
        <f t="shared" si="78"/>
        <v>26.736640305397735</v>
      </c>
      <c r="G248" s="110">
        <f t="shared" si="101"/>
        <v>0.49554485060286363</v>
      </c>
      <c r="H248" s="413" t="b">
        <f>Wh_hp&gt;='2021'!Maxi_hp</f>
        <v>0</v>
      </c>
      <c r="I248" s="379">
        <f>IF(H248,Wh_hp,'2021'!Maxi_hp)</f>
        <v>55.9528605164124</v>
      </c>
      <c r="J248" s="85">
        <f>IF(H248,An,'2021'!An_max)</f>
        <v>2019</v>
      </c>
      <c r="K248" s="196">
        <f t="shared" si="79"/>
        <v>44795</v>
      </c>
      <c r="L248" s="147">
        <f>IF(t&lt;Tvie,1-EXP((T0-t)*PertePVj)+'2021'!Pspv,1-EXP((T0-t)*PertePVj)+Pspv)</f>
        <v>3.2073672743843075E-2</v>
      </c>
      <c r="M248" s="847"/>
      <c r="N248" s="847"/>
      <c r="O248" s="48">
        <f>IF(t&lt;Tnet,'2021'!Resal+('2021'!Salim-'2021'!Resal)*(1-EXP(('2021'!Tnet-t)/('2021'!Tau_j))),Resal+(Salim-Resal)*(1-EXP((Tnet-t)/(Tau_j))))*Salcycl</f>
        <v>4.6377745780968913E-2</v>
      </c>
      <c r="P248" s="338">
        <f>(INDEX(Models!$BJ248:$BT248,,T248)*(1-R248)+INDEX(Models!$BJ248:$BT248,,T248+1)*R248-ERP_i)*Q248*Ramure*Pc/MaxiM</f>
        <v>2.7311763597513651E-4</v>
      </c>
      <c r="Q248" s="304">
        <f t="shared" si="80"/>
        <v>0.5</v>
      </c>
      <c r="R248" s="176">
        <f t="shared" si="81"/>
        <v>2.0622636061037314E-2</v>
      </c>
      <c r="S248" s="814">
        <f t="shared" si="82"/>
        <v>1</v>
      </c>
      <c r="T248" s="175">
        <f t="shared" si="83"/>
        <v>7</v>
      </c>
      <c r="U248" s="250">
        <f t="shared" si="84"/>
        <v>1.0206226360610373</v>
      </c>
      <c r="V248" s="382">
        <f t="shared" si="85"/>
        <v>49.787912345292227</v>
      </c>
      <c r="W248" s="401">
        <f t="shared" si="86"/>
        <v>0</v>
      </c>
      <c r="X248" s="157">
        <f t="shared" si="87"/>
        <v>44795</v>
      </c>
      <c r="Y248" s="384">
        <f t="shared" si="88"/>
        <v>24.00411391550125</v>
      </c>
      <c r="Z248" s="384">
        <f t="shared" si="89"/>
        <v>24.799525789888634</v>
      </c>
      <c r="AA248" s="385">
        <f t="shared" si="90"/>
        <v>26.734599406441571</v>
      </c>
      <c r="AB248" s="196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7.2380871960501178E-2</v>
      </c>
      <c r="AD248" s="230">
        <f>(INDEX(Models!$BJ248:$BT248,,AH248)*(1-AF248)+INDEX(Models!$BJ248:$BT248,,AH248+1)*AF248-ERP_i)*AE248*Ramure*Pc/MaxiM</f>
        <v>2.7311763597513651E-4</v>
      </c>
      <c r="AE248" s="304">
        <f t="shared" si="92"/>
        <v>0.5</v>
      </c>
      <c r="AF248" s="176">
        <f t="shared" si="93"/>
        <v>2.0622636061037314E-2</v>
      </c>
      <c r="AG248" s="814">
        <f t="shared" si="99"/>
        <v>1</v>
      </c>
      <c r="AH248" s="175">
        <f t="shared" si="94"/>
        <v>7</v>
      </c>
      <c r="AI248" s="224">
        <f t="shared" si="95"/>
        <v>1.0206226360610373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8">
        <v>44.140999999999998</v>
      </c>
      <c r="C249" s="843"/>
      <c r="D249" s="392">
        <f t="shared" si="77"/>
        <v>45.604675046741718</v>
      </c>
      <c r="E249" s="384">
        <f t="shared" si="100"/>
        <v>47.826619773809149</v>
      </c>
      <c r="F249" s="384">
        <f t="shared" si="78"/>
        <v>47.838012413011192</v>
      </c>
      <c r="G249" s="110">
        <f t="shared" si="101"/>
        <v>0.88873500748974821</v>
      </c>
      <c r="H249" s="413" t="b">
        <f>Wh_hp&gt;='2021'!Maxi_hp</f>
        <v>0</v>
      </c>
      <c r="I249" s="379">
        <f>IF(H249,Wh_hp,'2021'!Maxi_hp)</f>
        <v>53.332836013800012</v>
      </c>
      <c r="J249" s="85">
        <f>IF(H249,An,'2021'!An_max)</f>
        <v>2019</v>
      </c>
      <c r="K249" s="196">
        <f t="shared" si="79"/>
        <v>44796</v>
      </c>
      <c r="L249" s="147">
        <f>IF(t&lt;Tvie,1-EXP((T0-t)*PertePVj)+'2021'!Pspv,1-EXP((T0-t)*PertePVj)+Pspv)</f>
        <v>3.2094846531447764E-2</v>
      </c>
      <c r="M249" s="847"/>
      <c r="N249" s="847"/>
      <c r="O249" s="48">
        <f>IF(t&lt;Tnet,'2021'!Resal+('2021'!Salim-'2021'!Resal)*(1-EXP(('2021'!Tnet-t)/('2021'!Tau_j))),Resal+(Salim-Resal)*(1-EXP((Tnet-t)/(Tau_j))))*Salcycl</f>
        <v>4.6458326713781625E-2</v>
      </c>
      <c r="P249" s="338">
        <f>(INDEX(Models!$BJ249:$BT249,,T249)*(1-R249)+INDEX(Models!$BJ249:$BT249,,T249+1)*R249-ERP_i)*Q249*Ramure*Pc/MaxiM</f>
        <v>2.8313913051189395E-4</v>
      </c>
      <c r="Q249" s="304">
        <f t="shared" si="80"/>
        <v>0.5</v>
      </c>
      <c r="R249" s="176">
        <f t="shared" si="81"/>
        <v>2.1170305431668979E-2</v>
      </c>
      <c r="S249" s="814">
        <f t="shared" si="82"/>
        <v>1</v>
      </c>
      <c r="T249" s="175">
        <f t="shared" si="83"/>
        <v>7</v>
      </c>
      <c r="U249" s="250">
        <f t="shared" si="84"/>
        <v>1.021170305431669</v>
      </c>
      <c r="V249" s="382">
        <f t="shared" si="85"/>
        <v>49.66498821925039</v>
      </c>
      <c r="W249" s="401">
        <f t="shared" si="86"/>
        <v>0</v>
      </c>
      <c r="X249" s="157">
        <f t="shared" si="87"/>
        <v>44796</v>
      </c>
      <c r="Y249" s="384">
        <f t="shared" si="88"/>
        <v>42.938622481533585</v>
      </c>
      <c r="Z249" s="384">
        <f t="shared" si="89"/>
        <v>44.362427793322709</v>
      </c>
      <c r="AA249" s="385">
        <f t="shared" si="90"/>
        <v>47.826619773809149</v>
      </c>
      <c r="AB249" s="196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7.2432298098213124E-2</v>
      </c>
      <c r="AD249" s="230">
        <f>(INDEX(Models!$BJ249:$BT249,,AH249)*(1-AF249)+INDEX(Models!$BJ249:$BT249,,AH249+1)*AF249-ERP_i)*AE249*Ramure*Pc/MaxiM</f>
        <v>2.8313913051189395E-4</v>
      </c>
      <c r="AE249" s="304">
        <f t="shared" si="92"/>
        <v>0.5</v>
      </c>
      <c r="AF249" s="176">
        <f t="shared" si="93"/>
        <v>2.1170305431668979E-2</v>
      </c>
      <c r="AG249" s="814">
        <f t="shared" si="99"/>
        <v>1</v>
      </c>
      <c r="AH249" s="175">
        <f t="shared" si="94"/>
        <v>7</v>
      </c>
      <c r="AI249" s="224">
        <f t="shared" si="95"/>
        <v>1.021170305431669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8">
        <v>45.606000000000002</v>
      </c>
      <c r="C250" s="843"/>
      <c r="D250" s="392">
        <f t="shared" si="77"/>
        <v>47.119283855882678</v>
      </c>
      <c r="E250" s="384">
        <f t="shared" si="100"/>
        <v>49.419185974282534</v>
      </c>
      <c r="F250" s="384">
        <f t="shared" si="78"/>
        <v>49.432047469032206</v>
      </c>
      <c r="G250" s="110">
        <f t="shared" si="101"/>
        <v>0.92053603799432415</v>
      </c>
      <c r="H250" s="413" t="b">
        <f>Wh_hp&gt;='2021'!Maxi_hp</f>
        <v>0</v>
      </c>
      <c r="I250" s="379">
        <f>IF(H250,Wh_hp,'2021'!Maxi_hp)</f>
        <v>53.598539486969429</v>
      </c>
      <c r="J250" s="85">
        <f>IF(H250,An,'2021'!An_max)</f>
        <v>2019</v>
      </c>
      <c r="K250" s="196">
        <f t="shared" si="79"/>
        <v>44797</v>
      </c>
      <c r="L250" s="147">
        <f>IF(t&lt;Tvie,1-EXP((T0-t)*PertePVj)+'2021'!Pspv,1-EXP((T0-t)*PertePVj)+Pspv)</f>
        <v>3.211601985529209E-2</v>
      </c>
      <c r="M250" s="847"/>
      <c r="N250" s="847"/>
      <c r="O250" s="48">
        <f>IF(t&lt;Tnet,'2021'!Resal+('2021'!Salim-'2021'!Resal)*(1-EXP(('2021'!Tnet-t)/('2021'!Tau_j))),Resal+(Salim-Resal)*(1-EXP((Tnet-t)/(Tau_j))))*Salcycl</f>
        <v>4.6538648362130279E-2</v>
      </c>
      <c r="P250" s="338">
        <f>(INDEX(Models!$BJ250:$BT250,,T250)*(1-R250)+INDEX(Models!$BJ250:$BT250,,T250+1)*R250-ERP_i)*Q250*Ramure*Pc/MaxiM</f>
        <v>2.9348939634787555E-4</v>
      </c>
      <c r="Q250" s="304">
        <f t="shared" si="80"/>
        <v>0.5</v>
      </c>
      <c r="R250" s="176">
        <f t="shared" si="81"/>
        <v>2.1697898361467516E-2</v>
      </c>
      <c r="S250" s="814">
        <f t="shared" si="82"/>
        <v>1</v>
      </c>
      <c r="T250" s="175">
        <f t="shared" si="83"/>
        <v>7</v>
      </c>
      <c r="U250" s="250">
        <f t="shared" si="84"/>
        <v>1.0216978983614675</v>
      </c>
      <c r="V250" s="382">
        <f t="shared" si="85"/>
        <v>49.541222568429596</v>
      </c>
      <c r="W250" s="401">
        <f t="shared" si="86"/>
        <v>0</v>
      </c>
      <c r="X250" s="157">
        <f t="shared" si="87"/>
        <v>44797</v>
      </c>
      <c r="Y250" s="384">
        <f t="shared" si="88"/>
        <v>44.365009236757842</v>
      </c>
      <c r="Z250" s="384">
        <f t="shared" si="89"/>
        <v>45.837114929957671</v>
      </c>
      <c r="AA250" s="385">
        <f t="shared" si="90"/>
        <v>49.419185974282534</v>
      </c>
      <c r="AB250" s="196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7.2483408492178658E-2</v>
      </c>
      <c r="AD250" s="230">
        <f>(INDEX(Models!$BJ250:$BT250,,AH250)*(1-AF250)+INDEX(Models!$BJ250:$BT250,,AH250+1)*AF250-ERP_i)*AE250*Ramure*Pc/MaxiM</f>
        <v>2.9348939634787555E-4</v>
      </c>
      <c r="AE250" s="304">
        <f t="shared" si="92"/>
        <v>0.5</v>
      </c>
      <c r="AF250" s="176">
        <f t="shared" si="93"/>
        <v>2.1697898361467516E-2</v>
      </c>
      <c r="AG250" s="814">
        <f t="shared" si="99"/>
        <v>1</v>
      </c>
      <c r="AH250" s="175">
        <f t="shared" si="94"/>
        <v>7</v>
      </c>
      <c r="AI250" s="224">
        <f t="shared" si="95"/>
        <v>1.0216978983614675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8">
        <v>32.542000000000002</v>
      </c>
      <c r="C251" s="843"/>
      <c r="D251" s="392">
        <f t="shared" si="77"/>
        <v>33.622533849914298</v>
      </c>
      <c r="E251" s="384">
        <f t="shared" si="100"/>
        <v>35.266617854743522</v>
      </c>
      <c r="F251" s="384">
        <f t="shared" si="78"/>
        <v>35.272113036318324</v>
      </c>
      <c r="G251" s="110">
        <f t="shared" si="101"/>
        <v>0.65843370637106302</v>
      </c>
      <c r="H251" s="413" t="b">
        <f>Wh_hp&gt;='2021'!Maxi_hp</f>
        <v>0</v>
      </c>
      <c r="I251" s="379">
        <f>IF(H251,Wh_hp,'2021'!Maxi_hp)</f>
        <v>49.950195766823477</v>
      </c>
      <c r="J251" s="85">
        <f>IF(H251,An,'2021'!An_max)</f>
        <v>2020</v>
      </c>
      <c r="K251" s="196">
        <f t="shared" si="79"/>
        <v>44798</v>
      </c>
      <c r="L251" s="147">
        <f>IF(t&lt;Tvie,1-EXP((T0-t)*PertePVj)+'2021'!Pspv,1-EXP((T0-t)*PertePVj)+Pspv)</f>
        <v>3.2137192715386266E-2</v>
      </c>
      <c r="M251" s="847"/>
      <c r="N251" s="847"/>
      <c r="O251" s="48">
        <f>IF(t&lt;Tnet,'2021'!Resal+('2021'!Salim-'2021'!Resal)*(1-EXP(('2021'!Tnet-t)/('2021'!Tau_j))),Resal+(Salim-Resal)*(1-EXP((Tnet-t)/(Tau_j))))*Salcycl</f>
        <v>4.6618703602395069E-2</v>
      </c>
      <c r="P251" s="338">
        <f>(INDEX(Models!$BJ251:$BT251,,T251)*(1-R251)+INDEX(Models!$BJ251:$BT251,,T251+1)*R251-ERP_i)*Q251*Ramure*Pc/MaxiM</f>
        <v>3.0417349731634775E-4</v>
      </c>
      <c r="Q251" s="304">
        <f t="shared" si="80"/>
        <v>0.5</v>
      </c>
      <c r="R251" s="176">
        <f t="shared" si="81"/>
        <v>2.2206077462246343E-2</v>
      </c>
      <c r="S251" s="814">
        <f t="shared" si="82"/>
        <v>1</v>
      </c>
      <c r="T251" s="175">
        <f t="shared" si="83"/>
        <v>7</v>
      </c>
      <c r="U251" s="250">
        <f t="shared" si="84"/>
        <v>1.0222060774622463</v>
      </c>
      <c r="V251" s="382">
        <f t="shared" si="85"/>
        <v>49.416016168884596</v>
      </c>
      <c r="W251" s="401">
        <f t="shared" si="86"/>
        <v>0</v>
      </c>
      <c r="X251" s="157">
        <f t="shared" si="87"/>
        <v>44798</v>
      </c>
      <c r="Y251" s="384">
        <f t="shared" si="88"/>
        <v>31.657420189109235</v>
      </c>
      <c r="Z251" s="384">
        <f t="shared" si="89"/>
        <v>32.70858219867511</v>
      </c>
      <c r="AA251" s="385">
        <f t="shared" si="90"/>
        <v>35.266617854743522</v>
      </c>
      <c r="AB251" s="196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7.2534192720279306E-2</v>
      </c>
      <c r="AD251" s="230">
        <f>(INDEX(Models!$BJ251:$BT251,,AH251)*(1-AF251)+INDEX(Models!$BJ251:$BT251,,AH251+1)*AF251-ERP_i)*AE251*Ramure*Pc/MaxiM</f>
        <v>3.0417349731634775E-4</v>
      </c>
      <c r="AE251" s="304">
        <f t="shared" si="92"/>
        <v>0.5</v>
      </c>
      <c r="AF251" s="176">
        <f t="shared" si="93"/>
        <v>2.2206077462246343E-2</v>
      </c>
      <c r="AG251" s="814">
        <f t="shared" si="99"/>
        <v>1</v>
      </c>
      <c r="AH251" s="175">
        <f t="shared" si="94"/>
        <v>7</v>
      </c>
      <c r="AI251" s="224">
        <f t="shared" si="95"/>
        <v>1.0222060774622463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8">
        <v>40.881999999999998</v>
      </c>
      <c r="C252" s="843"/>
      <c r="D252" s="392">
        <f t="shared" si="77"/>
        <v>42.240381614415625</v>
      </c>
      <c r="E252" s="384">
        <f t="shared" si="100"/>
        <v>44.309571475165122</v>
      </c>
      <c r="F252" s="384">
        <f t="shared" si="78"/>
        <v>44.320137226655227</v>
      </c>
      <c r="G252" s="110">
        <f t="shared" si="101"/>
        <v>0.82937471204581792</v>
      </c>
      <c r="H252" s="413" t="b">
        <f>Wh_hp&gt;='2021'!Maxi_hp</f>
        <v>0</v>
      </c>
      <c r="I252" s="379">
        <f>IF(H252,Wh_hp,'2021'!Maxi_hp)</f>
        <v>53.423762617483668</v>
      </c>
      <c r="J252" s="85">
        <f>IF(H252,An,'2021'!An_max)</f>
        <v>2018</v>
      </c>
      <c r="K252" s="196">
        <f t="shared" si="79"/>
        <v>44799</v>
      </c>
      <c r="L252" s="147">
        <f>IF(t&lt;Tvie,1-EXP((T0-t)*PertePVj)+'2021'!Pspv,1-EXP((T0-t)*PertePVj)+Pspv)</f>
        <v>3.2158365111740507E-2</v>
      </c>
      <c r="M252" s="847"/>
      <c r="N252" s="847"/>
      <c r="O252" s="48">
        <f>IF(t&lt;Tnet,'2021'!Resal+('2021'!Salim-'2021'!Resal)*(1-EXP(('2021'!Tnet-t)/('2021'!Tau_j))),Resal+(Salim-Resal)*(1-EXP((Tnet-t)/(Tau_j))))*Salcycl</f>
        <v>4.6698485041978897E-2</v>
      </c>
      <c r="P252" s="338">
        <f>(INDEX(Models!$BJ252:$BT252,,T252)*(1-R252)+INDEX(Models!$BJ252:$BT252,,T252+1)*R252-ERP_i)*Q252*Ramure*Pc/MaxiM</f>
        <v>3.1519685425158132E-4</v>
      </c>
      <c r="Q252" s="304">
        <f t="shared" si="80"/>
        <v>0.5</v>
      </c>
      <c r="R252" s="176">
        <f t="shared" si="81"/>
        <v>2.2695489063088603E-2</v>
      </c>
      <c r="S252" s="814">
        <f t="shared" si="82"/>
        <v>1</v>
      </c>
      <c r="T252" s="175">
        <f t="shared" si="83"/>
        <v>7</v>
      </c>
      <c r="U252" s="250">
        <f t="shared" si="84"/>
        <v>1.0226954890630886</v>
      </c>
      <c r="V252" s="382">
        <f t="shared" si="85"/>
        <v>49.288770072799814</v>
      </c>
      <c r="W252" s="401">
        <f t="shared" si="86"/>
        <v>0</v>
      </c>
      <c r="X252" s="157">
        <f t="shared" si="87"/>
        <v>44799</v>
      </c>
      <c r="Y252" s="384">
        <f t="shared" si="88"/>
        <v>39.771881354834306</v>
      </c>
      <c r="Z252" s="384">
        <f t="shared" si="89"/>
        <v>41.093377181925121</v>
      </c>
      <c r="AA252" s="385">
        <f t="shared" si="90"/>
        <v>44.309571475165122</v>
      </c>
      <c r="AB252" s="196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7.2584639981062127E-2</v>
      </c>
      <c r="AD252" s="230">
        <f>(INDEX(Models!$BJ252:$BT252,,AH252)*(1-AF252)+INDEX(Models!$BJ252:$BT252,,AH252+1)*AF252-ERP_i)*AE252*Ramure*Pc/MaxiM</f>
        <v>3.1519685425158132E-4</v>
      </c>
      <c r="AE252" s="304">
        <f t="shared" si="92"/>
        <v>0.5</v>
      </c>
      <c r="AF252" s="176">
        <f t="shared" si="93"/>
        <v>2.2695489063088603E-2</v>
      </c>
      <c r="AG252" s="814">
        <f t="shared" si="99"/>
        <v>1</v>
      </c>
      <c r="AH252" s="175">
        <f t="shared" si="94"/>
        <v>7</v>
      </c>
      <c r="AI252" s="224">
        <f t="shared" si="95"/>
        <v>1.0226954890630886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8">
        <v>48.167000000000002</v>
      </c>
      <c r="C253" s="843"/>
      <c r="D253" s="392">
        <f t="shared" si="77"/>
        <v>49.768528196750864</v>
      </c>
      <c r="E253" s="384">
        <f t="shared" si="100"/>
        <v>52.210846386741053</v>
      </c>
      <c r="F253" s="384">
        <f t="shared" si="78"/>
        <v>52.22741043450786</v>
      </c>
      <c r="G253" s="110">
        <f t="shared" si="101"/>
        <v>0.97981363641304398</v>
      </c>
      <c r="H253" s="413" t="b">
        <f>Wh_hp&gt;='2021'!Maxi_hp</f>
        <v>0</v>
      </c>
      <c r="I253" s="379">
        <f>IF(H253,Wh_hp,'2021'!Maxi_hp)</f>
        <v>52.471560857407106</v>
      </c>
      <c r="J253" s="85">
        <f>IF(H253,An,'2021'!An_max)</f>
        <v>2018</v>
      </c>
      <c r="K253" s="196">
        <f t="shared" si="79"/>
        <v>44800</v>
      </c>
      <c r="L253" s="147">
        <f>IF(t&lt;Tvie,1-EXP((T0-t)*PertePVj)+'2021'!Pspv,1-EXP((T0-t)*PertePVj)+Pspv)</f>
        <v>3.2179537044364916E-2</v>
      </c>
      <c r="M253" s="847"/>
      <c r="N253" s="847"/>
      <c r="O253" s="48">
        <f>IF(t&lt;Tnet,'2021'!Resal+('2021'!Salim-'2021'!Resal)*(1-EXP(('2021'!Tnet-t)/('2021'!Tau_j))),Resal+(Salim-Resal)*(1-EXP((Tnet-t)/(Tau_j))))*Salcycl</f>
        <v>4.6777985016738168E-2</v>
      </c>
      <c r="P253" s="338">
        <f>(INDEX(Models!$BJ253:$BT253,,T253)*(1-R253)+INDEX(Models!$BJ253:$BT253,,T253+1)*R253-ERP_i)*Q253*Ramure*Pc/MaxiM</f>
        <v>3.265654651379174E-4</v>
      </c>
      <c r="Q253" s="304">
        <f t="shared" si="80"/>
        <v>0.5</v>
      </c>
      <c r="R253" s="176">
        <f t="shared" si="81"/>
        <v>2.3166763164236936E-2</v>
      </c>
      <c r="S253" s="814">
        <f t="shared" si="82"/>
        <v>1</v>
      </c>
      <c r="T253" s="175">
        <f t="shared" si="83"/>
        <v>7</v>
      </c>
      <c r="U253" s="250">
        <f t="shared" si="84"/>
        <v>1.0231667631642369</v>
      </c>
      <c r="V253" s="382">
        <f t="shared" si="85"/>
        <v>49.158885594452002</v>
      </c>
      <c r="W253" s="401">
        <f t="shared" si="86"/>
        <v>0</v>
      </c>
      <c r="X253" s="157">
        <f t="shared" si="87"/>
        <v>44800</v>
      </c>
      <c r="Y253" s="384">
        <f t="shared" si="88"/>
        <v>46.860439456980224</v>
      </c>
      <c r="Z253" s="384">
        <f t="shared" si="89"/>
        <v>48.4185251816982</v>
      </c>
      <c r="AA253" s="385">
        <f t="shared" si="90"/>
        <v>52.210846386741053</v>
      </c>
      <c r="AB253" s="196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7.2634739091414352E-2</v>
      </c>
      <c r="AD253" s="230">
        <f>(INDEX(Models!$BJ253:$BT253,,AH253)*(1-AF253)+INDEX(Models!$BJ253:$BT253,,AH253+1)*AF253-ERP_i)*AE253*Ramure*Pc/MaxiM</f>
        <v>3.265654651379174E-4</v>
      </c>
      <c r="AE253" s="304">
        <f t="shared" si="92"/>
        <v>0.5</v>
      </c>
      <c r="AF253" s="176">
        <f t="shared" si="93"/>
        <v>2.3166763164236936E-2</v>
      </c>
      <c r="AG253" s="814">
        <f t="shared" si="99"/>
        <v>1</v>
      </c>
      <c r="AH253" s="175">
        <f t="shared" si="94"/>
        <v>7</v>
      </c>
      <c r="AI253" s="224">
        <f t="shared" si="95"/>
        <v>1.0231667631642369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8">
        <v>47.271000000000001</v>
      </c>
      <c r="C254" s="843"/>
      <c r="D254" s="392">
        <f t="shared" si="77"/>
        <v>48.843805131725645</v>
      </c>
      <c r="E254" s="384">
        <f t="shared" si="100"/>
        <v>51.245002223621114</v>
      </c>
      <c r="F254" s="384">
        <f t="shared" si="78"/>
        <v>51.261446441089191</v>
      </c>
      <c r="G254" s="110">
        <f t="shared" si="101"/>
        <v>0.96419042925770082</v>
      </c>
      <c r="H254" s="413" t="b">
        <f>Wh_hp&gt;='2021'!Maxi_hp</f>
        <v>0</v>
      </c>
      <c r="I254" s="379">
        <f>IF(H254,Wh_hp,'2021'!Maxi_hp)</f>
        <v>53.825007614477727</v>
      </c>
      <c r="J254" s="85">
        <f>IF(H254,An,'2021'!An_max)</f>
        <v>2021</v>
      </c>
      <c r="K254" s="196">
        <f t="shared" si="79"/>
        <v>44801</v>
      </c>
      <c r="L254" s="147">
        <f>IF(t&lt;Tvie,1-EXP((T0-t)*PertePVj)+'2021'!Pspv,1-EXP((T0-t)*PertePVj)+Pspv)</f>
        <v>3.2200708513269706E-2</v>
      </c>
      <c r="M254" s="847"/>
      <c r="N254" s="847"/>
      <c r="O254" s="48">
        <f>IF(t&lt;Tnet,'2021'!Resal+('2021'!Salim-'2021'!Resal)*(1-EXP(('2021'!Tnet-t)/('2021'!Tau_j))),Resal+(Salim-Resal)*(1-EXP((Tnet-t)/(Tau_j))))*Salcycl</f>
        <v>4.6857195584014473E-2</v>
      </c>
      <c r="P254" s="338">
        <f>(INDEX(Models!$BJ254:$BT254,,T254)*(1-R254)+INDEX(Models!$BJ254:$BT254,,T254+1)*R254-ERP_i)*Q254*Ramure*Pc/MaxiM</f>
        <v>3.3807797595278793E-4</v>
      </c>
      <c r="Q254" s="304">
        <f t="shared" si="80"/>
        <v>0.5</v>
      </c>
      <c r="R254" s="176">
        <f t="shared" si="81"/>
        <v>2.3620513435772761E-2</v>
      </c>
      <c r="S254" s="814">
        <f t="shared" si="82"/>
        <v>1</v>
      </c>
      <c r="T254" s="175">
        <f t="shared" si="83"/>
        <v>7</v>
      </c>
      <c r="U254" s="250">
        <f t="shared" si="84"/>
        <v>1.0236205134357728</v>
      </c>
      <c r="V254" s="382">
        <f t="shared" si="85"/>
        <v>49.025774511992317</v>
      </c>
      <c r="W254" s="401">
        <f t="shared" si="86"/>
        <v>0</v>
      </c>
      <c r="X254" s="157">
        <f t="shared" si="87"/>
        <v>44801</v>
      </c>
      <c r="Y254" s="384">
        <f t="shared" si="88"/>
        <v>45.990099085680029</v>
      </c>
      <c r="Z254" s="384">
        <f t="shared" si="89"/>
        <v>47.520285962423245</v>
      </c>
      <c r="AA254" s="385">
        <f t="shared" si="90"/>
        <v>51.245002223621114</v>
      </c>
      <c r="AB254" s="196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7.2684478477415049E-2</v>
      </c>
      <c r="AD254" s="230">
        <f>(INDEX(Models!$BJ254:$BT254,,AH254)*(1-AF254)+INDEX(Models!$BJ254:$BT254,,AH254+1)*AF254-ERP_i)*AE254*Ramure*Pc/MaxiM</f>
        <v>3.3807797595278793E-4</v>
      </c>
      <c r="AE254" s="304">
        <f t="shared" si="92"/>
        <v>0.5</v>
      </c>
      <c r="AF254" s="176">
        <f t="shared" si="93"/>
        <v>2.3620513435772761E-2</v>
      </c>
      <c r="AG254" s="814">
        <f t="shared" si="99"/>
        <v>1</v>
      </c>
      <c r="AH254" s="175">
        <f t="shared" si="94"/>
        <v>7</v>
      </c>
      <c r="AI254" s="224">
        <f t="shared" si="95"/>
        <v>1.0236205134357728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8">
        <v>31.871000000000002</v>
      </c>
      <c r="C255" s="843"/>
      <c r="D255" s="392">
        <f t="shared" si="77"/>
        <v>32.932135295786622</v>
      </c>
      <c r="E255" s="384">
        <f t="shared" si="100"/>
        <v>34.553963894651112</v>
      </c>
      <c r="F255" s="384">
        <f t="shared" si="78"/>
        <v>34.560025212837637</v>
      </c>
      <c r="G255" s="110">
        <f t="shared" si="101"/>
        <v>0.65179380476291715</v>
      </c>
      <c r="H255" s="413" t="b">
        <f>Wh_hp&gt;='2021'!Maxi_hp</f>
        <v>0</v>
      </c>
      <c r="I255" s="379">
        <f>IF(H255,Wh_hp,'2021'!Maxi_hp)</f>
        <v>53.392910497519651</v>
      </c>
      <c r="J255" s="85">
        <f>IF(H255,An,'2021'!An_max)</f>
        <v>2021</v>
      </c>
      <c r="K255" s="196">
        <f t="shared" si="79"/>
        <v>44802</v>
      </c>
      <c r="L255" s="147">
        <f>IF(t&lt;Tvie,1-EXP((T0-t)*PertePVj)+'2021'!Pspv,1-EXP((T0-t)*PertePVj)+Pspv)</f>
        <v>3.222187951846487E-2</v>
      </c>
      <c r="M255" s="847"/>
      <c r="N255" s="847"/>
      <c r="O255" s="48">
        <f>IF(t&lt;Tnet,'2021'!Resal+('2021'!Salim-'2021'!Resal)*(1-EXP(('2021'!Tnet-t)/('2021'!Tau_j))),Resal+(Salim-Resal)*(1-EXP((Tnet-t)/(Tau_j))))*Salcycl</f>
        <v>4.6936108511577805E-2</v>
      </c>
      <c r="P255" s="338">
        <f>(INDEX(Models!$BJ255:$BT255,,T255)*(1-R255)+INDEX(Models!$BJ255:$BT255,,T255+1)*R255-ERP_i)*Q255*Ramure*Pc/MaxiM</f>
        <v>3.4886971036211854E-4</v>
      </c>
      <c r="Q255" s="304">
        <f t="shared" si="80"/>
        <v>0.5</v>
      </c>
      <c r="R255" s="176">
        <f t="shared" si="81"/>
        <v>2.4057337257149536E-2</v>
      </c>
      <c r="S255" s="814">
        <f t="shared" si="82"/>
        <v>1</v>
      </c>
      <c r="T255" s="175">
        <f t="shared" si="83"/>
        <v>7</v>
      </c>
      <c r="U255" s="250">
        <f t="shared" si="84"/>
        <v>1.0240573372571495</v>
      </c>
      <c r="V255" s="382">
        <f t="shared" si="85"/>
        <v>48.88888122834998</v>
      </c>
      <c r="W255" s="401">
        <f t="shared" si="86"/>
        <v>0</v>
      </c>
      <c r="X255" s="157">
        <f t="shared" si="87"/>
        <v>44802</v>
      </c>
      <c r="Y255" s="384">
        <f t="shared" si="88"/>
        <v>31.008308942348506</v>
      </c>
      <c r="Z255" s="384">
        <f t="shared" si="89"/>
        <v>32.040721200557599</v>
      </c>
      <c r="AA255" s="385">
        <f t="shared" si="90"/>
        <v>34.553963894651112</v>
      </c>
      <c r="AB255" s="196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7.2733846158893542E-2</v>
      </c>
      <c r="AD255" s="230">
        <f>(INDEX(Models!$BJ255:$BT255,,AH255)*(1-AF255)+INDEX(Models!$BJ255:$BT255,,AH255+1)*AF255-ERP_i)*AE255*Ramure*Pc/MaxiM</f>
        <v>3.4886971036211854E-4</v>
      </c>
      <c r="AE255" s="304">
        <f t="shared" si="92"/>
        <v>0.5</v>
      </c>
      <c r="AF255" s="176">
        <f t="shared" si="93"/>
        <v>2.4057337257149536E-2</v>
      </c>
      <c r="AG255" s="814">
        <f t="shared" si="99"/>
        <v>1</v>
      </c>
      <c r="AH255" s="175">
        <f t="shared" si="94"/>
        <v>7</v>
      </c>
      <c r="AI255" s="224">
        <f t="shared" si="95"/>
        <v>1.0240573372571495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8">
        <v>46.277000000000001</v>
      </c>
      <c r="C256" s="843"/>
      <c r="D256" s="392">
        <f t="shared" si="77"/>
        <v>47.818824760563338</v>
      </c>
      <c r="E256" s="384">
        <f t="shared" si="100"/>
        <v>50.177925647355096</v>
      </c>
      <c r="F256" s="384">
        <f t="shared" si="78"/>
        <v>50.19463807526521</v>
      </c>
      <c r="G256" s="110">
        <f t="shared" si="101"/>
        <v>0.94929369985587764</v>
      </c>
      <c r="H256" s="413" t="b">
        <f>Wh_hp&gt;='2021'!Maxi_hp</f>
        <v>0</v>
      </c>
      <c r="I256" s="379">
        <f>IF(H256,Wh_hp,'2021'!Maxi_hp)</f>
        <v>51.895427977541566</v>
      </c>
      <c r="J256" s="85">
        <f>IF(H256,An,'2021'!An_max)</f>
        <v>2021</v>
      </c>
      <c r="K256" s="196">
        <f t="shared" si="79"/>
        <v>44803</v>
      </c>
      <c r="L256" s="147">
        <f>IF(t&lt;Tvie,1-EXP((T0-t)*PertePVj)+'2021'!Pspv,1-EXP((T0-t)*PertePVj)+Pspv)</f>
        <v>3.2243050059960844E-2</v>
      </c>
      <c r="M256" s="847"/>
      <c r="N256" s="847"/>
      <c r="O256" s="48">
        <f>IF(t&lt;Tnet,'2021'!Resal+('2021'!Salim-'2021'!Resal)*(1-EXP(('2021'!Tnet-t)/('2021'!Tau_j))),Resal+(Salim-Resal)*(1-EXP((Tnet-t)/(Tau_j))))*Salcycl</f>
        <v>4.7014715262867886E-2</v>
      </c>
      <c r="P256" s="338">
        <f>(INDEX(Models!$BJ256:$BT256,,T256)*(1-R256)+INDEX(Models!$BJ256:$BT256,,T256+1)*R256-ERP_i)*Q256*Ramure*Pc/MaxiM</f>
        <v>3.5894058308476903E-4</v>
      </c>
      <c r="Q256" s="304">
        <f t="shared" si="80"/>
        <v>0.5</v>
      </c>
      <c r="R256" s="176">
        <f t="shared" si="81"/>
        <v>2.4477815793854329E-2</v>
      </c>
      <c r="S256" s="814">
        <f t="shared" si="82"/>
        <v>1</v>
      </c>
      <c r="T256" s="175">
        <f t="shared" si="83"/>
        <v>7</v>
      </c>
      <c r="U256" s="250">
        <f t="shared" si="84"/>
        <v>1.0244778157938543</v>
      </c>
      <c r="V256" s="382">
        <f t="shared" si="85"/>
        <v>48.747607778080585</v>
      </c>
      <c r="W256" s="401">
        <f t="shared" si="86"/>
        <v>0</v>
      </c>
      <c r="X256" s="157">
        <f t="shared" si="87"/>
        <v>44803</v>
      </c>
      <c r="Y256" s="384">
        <f t="shared" si="88"/>
        <v>45.025699426720529</v>
      </c>
      <c r="Z256" s="384">
        <f t="shared" si="89"/>
        <v>46.525834228842541</v>
      </c>
      <c r="AA256" s="385">
        <f t="shared" si="90"/>
        <v>50.177925647355096</v>
      </c>
      <c r="AB256" s="196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7.2782829728336065E-2</v>
      </c>
      <c r="AD256" s="230">
        <f>(INDEX(Models!$BJ256:$BT256,,AH256)*(1-AF256)+INDEX(Models!$BJ256:$BT256,,AH256+1)*AF256-ERP_i)*AE256*Ramure*Pc/MaxiM</f>
        <v>3.5894058308476903E-4</v>
      </c>
      <c r="AE256" s="304">
        <f t="shared" si="92"/>
        <v>0.5</v>
      </c>
      <c r="AF256" s="176">
        <f t="shared" si="93"/>
        <v>2.4477815793854329E-2</v>
      </c>
      <c r="AG256" s="814">
        <f t="shared" si="99"/>
        <v>1</v>
      </c>
      <c r="AH256" s="175">
        <f t="shared" si="94"/>
        <v>7</v>
      </c>
      <c r="AI256" s="224">
        <f t="shared" si="95"/>
        <v>1.0244778157938543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8">
        <v>21.78</v>
      </c>
      <c r="C257" s="843"/>
      <c r="D257" s="392">
        <f t="shared" si="77"/>
        <v>22.506143157278547</v>
      </c>
      <c r="E257" s="384">
        <f t="shared" si="100"/>
        <v>23.618404862291111</v>
      </c>
      <c r="F257" s="384">
        <f t="shared" si="78"/>
        <v>23.620245790352179</v>
      </c>
      <c r="G257" s="110">
        <f t="shared" si="101"/>
        <v>0.44800551317954163</v>
      </c>
      <c r="H257" s="413" t="b">
        <f>Wh_hp&gt;='2021'!Maxi_hp</f>
        <v>0</v>
      </c>
      <c r="I257" s="379">
        <f>IF(H257,Wh_hp,'2021'!Maxi_hp)</f>
        <v>51.83189151482037</v>
      </c>
      <c r="J257" s="85">
        <f>IF(H257,An,'2021'!An_max)</f>
        <v>2021</v>
      </c>
      <c r="K257" s="196">
        <f t="shared" si="79"/>
        <v>44804</v>
      </c>
      <c r="L257" s="147">
        <f>IF(t&lt;Tvie,1-EXP((T0-t)*PertePVj)+'2021'!Pspv,1-EXP((T0-t)*PertePVj)+Pspv)</f>
        <v>3.2264220137767509E-2</v>
      </c>
      <c r="M257" s="847"/>
      <c r="N257" s="847"/>
      <c r="O257" s="48">
        <f>IF(t&lt;Tnet,'2021'!Resal+('2021'!Salim-'2021'!Resal)*(1-EXP(('2021'!Tnet-t)/('2021'!Tau_j))),Resal+(Salim-Resal)*(1-EXP((Tnet-t)/(Tau_j))))*Salcycl</f>
        <v>4.709300697899324E-2</v>
      </c>
      <c r="P257" s="338">
        <f>(INDEX(Models!$BJ257:$BT257,,T257)*(1-R257)+INDEX(Models!$BJ257:$BT257,,T257+1)*R257-ERP_i)*Q257*Ramure*Pc/MaxiM</f>
        <v>3.6829081298926891E-4</v>
      </c>
      <c r="Q257" s="304">
        <f t="shared" si="80"/>
        <v>0.5</v>
      </c>
      <c r="R257" s="176">
        <f t="shared" si="81"/>
        <v>2.4882514107674503E-2</v>
      </c>
      <c r="S257" s="814">
        <f t="shared" si="82"/>
        <v>1</v>
      </c>
      <c r="T257" s="175">
        <f t="shared" si="83"/>
        <v>7</v>
      </c>
      <c r="U257" s="250">
        <f t="shared" si="84"/>
        <v>1.0248825141076745</v>
      </c>
      <c r="V257" s="382">
        <f t="shared" si="85"/>
        <v>48.601356444468998</v>
      </c>
      <c r="W257" s="401">
        <f t="shared" si="86"/>
        <v>0</v>
      </c>
      <c r="X257" s="157">
        <f t="shared" si="87"/>
        <v>44804</v>
      </c>
      <c r="Y257" s="384">
        <f t="shared" si="88"/>
        <v>21.191713252542705</v>
      </c>
      <c r="Z257" s="384">
        <f t="shared" si="89"/>
        <v>21.898242984835768</v>
      </c>
      <c r="AA257" s="385">
        <f t="shared" si="90"/>
        <v>23.618404862291111</v>
      </c>
      <c r="AB257" s="196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7.2831416324890541E-2</v>
      </c>
      <c r="AD257" s="230">
        <f>(INDEX(Models!$BJ257:$BT257,,AH257)*(1-AF257)+INDEX(Models!$BJ257:$BT257,,AH257+1)*AF257-ERP_i)*AE257*Ramure*Pc/MaxiM</f>
        <v>3.6829081298926891E-4</v>
      </c>
      <c r="AE257" s="304">
        <f t="shared" si="92"/>
        <v>0.5</v>
      </c>
      <c r="AF257" s="176">
        <f t="shared" si="93"/>
        <v>2.4882514107674503E-2</v>
      </c>
      <c r="AG257" s="814">
        <f t="shared" si="99"/>
        <v>1</v>
      </c>
      <c r="AH257" s="175">
        <f t="shared" si="94"/>
        <v>7</v>
      </c>
      <c r="AI257" s="224">
        <f t="shared" si="95"/>
        <v>1.0248825141076745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8">
        <v>41.984999999999999</v>
      </c>
      <c r="C258" s="843"/>
      <c r="D258" s="392">
        <f t="shared" si="77"/>
        <v>43.385725042671197</v>
      </c>
      <c r="E258" s="384">
        <f t="shared" si="100"/>
        <v>45.533588796786105</v>
      </c>
      <c r="F258" s="384">
        <f t="shared" si="78"/>
        <v>45.547484211643088</v>
      </c>
      <c r="G258" s="110">
        <f t="shared" si="101"/>
        <v>0.86650960007101974</v>
      </c>
      <c r="H258" s="413" t="b">
        <f>Wh_hp&gt;='2021'!Maxi_hp</f>
        <v>0</v>
      </c>
      <c r="I258" s="379">
        <f>IF(H258,Wh_hp,'2021'!Maxi_hp)</f>
        <v>53.126958868503813</v>
      </c>
      <c r="J258" s="85">
        <f>IF(H258,An,'2021'!An_max)</f>
        <v>2018</v>
      </c>
      <c r="K258" s="196">
        <f t="shared" si="79"/>
        <v>44805</v>
      </c>
      <c r="L258" s="147">
        <f>IF(t&lt;Tvie,1-EXP((T0-t)*PertePVj)+'2021'!Pspv,1-EXP((T0-t)*PertePVj)+Pspv)</f>
        <v>3.228538975189519E-2</v>
      </c>
      <c r="M258" s="847"/>
      <c r="N258" s="847"/>
      <c r="O258" s="48">
        <f>IF(t&lt;Tnet,'2021'!Resal+('2021'!Salim-'2021'!Resal)*(1-EXP(('2021'!Tnet-t)/('2021'!Tau_j))),Resal+(Salim-Resal)*(1-EXP((Tnet-t)/(Tau_j))))*Salcycl</f>
        <v>4.7170974458013985E-2</v>
      </c>
      <c r="P258" s="338">
        <f>(INDEX(Models!$BJ258:$BT258,,T258)*(1-R258)+INDEX(Models!$BJ258:$BT258,,T258+1)*R258-ERP_i)*Q258*Ramure*Pc/MaxiM</f>
        <v>3.7692083876065565E-4</v>
      </c>
      <c r="Q258" s="304">
        <f t="shared" si="80"/>
        <v>0.5</v>
      </c>
      <c r="R258" s="176">
        <f t="shared" si="81"/>
        <v>2.5271981297247503E-2</v>
      </c>
      <c r="S258" s="814">
        <f t="shared" si="82"/>
        <v>1</v>
      </c>
      <c r="T258" s="175">
        <f t="shared" si="83"/>
        <v>7</v>
      </c>
      <c r="U258" s="250">
        <f t="shared" si="84"/>
        <v>1.0252719812972475</v>
      </c>
      <c r="V258" s="382">
        <f t="shared" si="85"/>
        <v>48.449529749410338</v>
      </c>
      <c r="W258" s="401">
        <f t="shared" si="86"/>
        <v>0</v>
      </c>
      <c r="X258" s="157">
        <f t="shared" si="87"/>
        <v>44805</v>
      </c>
      <c r="Y258" s="384">
        <f t="shared" si="88"/>
        <v>40.852187812358579</v>
      </c>
      <c r="Z258" s="384">
        <f t="shared" si="89"/>
        <v>42.215119395463923</v>
      </c>
      <c r="AA258" s="385">
        <f t="shared" si="90"/>
        <v>45.533588796786105</v>
      </c>
      <c r="AB258" s="196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7.287959260431516E-2</v>
      </c>
      <c r="AD258" s="230">
        <f>(INDEX(Models!$BJ258:$BT258,,AH258)*(1-AF258)+INDEX(Models!$BJ258:$BT258,,AH258+1)*AF258-ERP_i)*AE258*Ramure*Pc/MaxiM</f>
        <v>3.7692083876065565E-4</v>
      </c>
      <c r="AE258" s="304">
        <f t="shared" si="92"/>
        <v>0.5</v>
      </c>
      <c r="AF258" s="176">
        <f t="shared" si="93"/>
        <v>2.5271981297247503E-2</v>
      </c>
      <c r="AG258" s="814">
        <f t="shared" si="99"/>
        <v>1</v>
      </c>
      <c r="AH258" s="175">
        <f t="shared" si="94"/>
        <v>7</v>
      </c>
      <c r="AI258" s="224">
        <f t="shared" si="95"/>
        <v>1.0252719812972475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8">
        <v>38.511000000000003</v>
      </c>
      <c r="C259" s="843"/>
      <c r="D259" s="392">
        <f t="shared" si="77"/>
        <v>39.796694246803327</v>
      </c>
      <c r="E259" s="384">
        <f t="shared" si="100"/>
        <v>41.770281929245407</v>
      </c>
      <c r="F259" s="384">
        <f t="shared" si="78"/>
        <v>41.781708726458092</v>
      </c>
      <c r="G259" s="110">
        <f t="shared" si="101"/>
        <v>0.79738021389608915</v>
      </c>
      <c r="H259" s="413" t="b">
        <f>Wh_hp&gt;='2021'!Maxi_hp</f>
        <v>0</v>
      </c>
      <c r="I259" s="379">
        <f>IF(H259,Wh_hp,'2021'!Maxi_hp)</f>
        <v>50.943890407811566</v>
      </c>
      <c r="J259" s="85">
        <f>IF(H259,An,'2021'!An_max)</f>
        <v>2018</v>
      </c>
      <c r="K259" s="196">
        <f t="shared" si="79"/>
        <v>44806</v>
      </c>
      <c r="L259" s="147">
        <f>IF(t&lt;Tvie,1-EXP((T0-t)*PertePVj)+'2021'!Pspv,1-EXP((T0-t)*PertePVj)+Pspv)</f>
        <v>3.2306558902353989E-2</v>
      </c>
      <c r="M259" s="847"/>
      <c r="N259" s="847"/>
      <c r="O259" s="48">
        <f>IF(t&lt;Tnet,'2021'!Resal+('2021'!Salim-'2021'!Resal)*(1-EXP(('2021'!Tnet-t)/('2021'!Tau_j))),Resal+(Salim-Resal)*(1-EXP((Tnet-t)/(Tau_j))))*Salcycl</f>
        <v>4.7248608132095894E-2</v>
      </c>
      <c r="P259" s="338">
        <f>(INDEX(Models!$BJ259:$BT259,,T259)*(1-R259)+INDEX(Models!$BJ259:$BT259,,T259+1)*R259-ERP_i)*Q259*Ramure*Pc/MaxiM</f>
        <v>3.8483123399289139E-4</v>
      </c>
      <c r="Q259" s="304">
        <f t="shared" si="80"/>
        <v>0.5</v>
      </c>
      <c r="R259" s="176">
        <f t="shared" si="81"/>
        <v>2.5646750665771378E-2</v>
      </c>
      <c r="S259" s="814">
        <f t="shared" si="82"/>
        <v>1</v>
      </c>
      <c r="T259" s="175">
        <f t="shared" si="83"/>
        <v>7</v>
      </c>
      <c r="U259" s="250">
        <f t="shared" si="84"/>
        <v>1.0256467506657714</v>
      </c>
      <c r="V259" s="382">
        <f t="shared" si="85"/>
        <v>48.291530461616524</v>
      </c>
      <c r="W259" s="401">
        <f t="shared" si="86"/>
        <v>0</v>
      </c>
      <c r="X259" s="157">
        <f t="shared" si="87"/>
        <v>44806</v>
      </c>
      <c r="Y259" s="384">
        <f t="shared" si="88"/>
        <v>37.473044209401486</v>
      </c>
      <c r="Z259" s="384">
        <f t="shared" si="89"/>
        <v>38.724086180532701</v>
      </c>
      <c r="AA259" s="385">
        <f t="shared" si="90"/>
        <v>41.770281929245407</v>
      </c>
      <c r="AB259" s="196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7.2927344705804267E-2</v>
      </c>
      <c r="AD259" s="230">
        <f>(INDEX(Models!$BJ259:$BT259,,AH259)*(1-AF259)+INDEX(Models!$BJ259:$BT259,,AH259+1)*AF259-ERP_i)*AE259*Ramure*Pc/MaxiM</f>
        <v>3.8483123399289139E-4</v>
      </c>
      <c r="AE259" s="304">
        <f t="shared" si="92"/>
        <v>0.5</v>
      </c>
      <c r="AF259" s="176">
        <f t="shared" si="93"/>
        <v>2.5646750665771378E-2</v>
      </c>
      <c r="AG259" s="814">
        <f t="shared" si="99"/>
        <v>1</v>
      </c>
      <c r="AH259" s="175">
        <f t="shared" si="94"/>
        <v>7</v>
      </c>
      <c r="AI259" s="224">
        <f t="shared" si="95"/>
        <v>1.0256467506657714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8">
        <v>32.155000000000001</v>
      </c>
      <c r="C260" s="843"/>
      <c r="D260" s="392">
        <f t="shared" si="77"/>
        <v>33.229225344950166</v>
      </c>
      <c r="E260" s="384">
        <f t="shared" si="100"/>
        <v>34.879950317423649</v>
      </c>
      <c r="F260" s="384">
        <f t="shared" si="78"/>
        <v>34.887142841763286</v>
      </c>
      <c r="G260" s="110">
        <f t="shared" si="101"/>
        <v>0.66800718500299783</v>
      </c>
      <c r="H260" s="413" t="b">
        <f>Wh_hp&gt;='2021'!Maxi_hp</f>
        <v>0</v>
      </c>
      <c r="I260" s="379">
        <f>IF(H260,Wh_hp,'2021'!Maxi_hp)</f>
        <v>53.385719153898613</v>
      </c>
      <c r="J260" s="85">
        <f>IF(H260,An,'2021'!An_max)</f>
        <v>2019</v>
      </c>
      <c r="K260" s="196">
        <f t="shared" si="79"/>
        <v>44807</v>
      </c>
      <c r="L260" s="147">
        <f>IF(t&lt;Tvie,1-EXP((T0-t)*PertePVj)+'2021'!Pspv,1-EXP((T0-t)*PertePVj)+Pspv)</f>
        <v>3.2327727589154011E-2</v>
      </c>
      <c r="M260" s="847"/>
      <c r="N260" s="847"/>
      <c r="O260" s="48">
        <f>IF(t&lt;Tnet,'2021'!Resal+('2021'!Salim-'2021'!Resal)*(1-EXP(('2021'!Tnet-t)/('2021'!Tau_j))),Resal+(Salim-Resal)*(1-EXP((Tnet-t)/(Tau_j))))*Salcycl</f>
        <v>4.7325898043177411E-2</v>
      </c>
      <c r="P260" s="338">
        <f>(INDEX(Models!$BJ260:$BT260,,T260)*(1-R260)+INDEX(Models!$BJ260:$BT260,,T260+1)*R260-ERP_i)*Q260*Ramure*Pc/MaxiM</f>
        <v>3.9202262193034686E-4</v>
      </c>
      <c r="Q260" s="304">
        <f t="shared" si="80"/>
        <v>0.5</v>
      </c>
      <c r="R260" s="176">
        <f t="shared" si="81"/>
        <v>2.600733991294657E-2</v>
      </c>
      <c r="S260" s="814">
        <f t="shared" si="82"/>
        <v>1</v>
      </c>
      <c r="T260" s="175">
        <f t="shared" si="83"/>
        <v>7</v>
      </c>
      <c r="U260" s="250">
        <f t="shared" si="84"/>
        <v>1.0260073399129466</v>
      </c>
      <c r="V260" s="382">
        <f t="shared" si="85"/>
        <v>48.126761587026238</v>
      </c>
      <c r="W260" s="401">
        <f t="shared" si="86"/>
        <v>0</v>
      </c>
      <c r="X260" s="157">
        <f t="shared" si="87"/>
        <v>44807</v>
      </c>
      <c r="Y260" s="384">
        <f t="shared" si="88"/>
        <v>31.289293792929158</v>
      </c>
      <c r="Z260" s="384">
        <f t="shared" si="89"/>
        <v>32.334597864394134</v>
      </c>
      <c r="AA260" s="385">
        <f t="shared" si="90"/>
        <v>34.879950317423649</v>
      </c>
      <c r="AB260" s="196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7.2974658216701307E-2</v>
      </c>
      <c r="AD260" s="230">
        <f>(INDEX(Models!$BJ260:$BT260,,AH260)*(1-AF260)+INDEX(Models!$BJ260:$BT260,,AH260+1)*AF260-ERP_i)*AE260*Ramure*Pc/MaxiM</f>
        <v>3.9202262193034686E-4</v>
      </c>
      <c r="AE260" s="304">
        <f t="shared" si="92"/>
        <v>0.5</v>
      </c>
      <c r="AF260" s="176">
        <f t="shared" si="93"/>
        <v>2.600733991294657E-2</v>
      </c>
      <c r="AG260" s="814">
        <f t="shared" si="99"/>
        <v>1</v>
      </c>
      <c r="AH260" s="175">
        <f t="shared" si="94"/>
        <v>7</v>
      </c>
      <c r="AI260" s="224">
        <f t="shared" si="95"/>
        <v>1.0260073399129466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8">
        <v>46.637</v>
      </c>
      <c r="C261" s="843"/>
      <c r="D261" s="392">
        <f t="shared" si="77"/>
        <v>48.196090303798037</v>
      </c>
      <c r="E261" s="384">
        <f t="shared" si="100"/>
        <v>50.594408649103265</v>
      </c>
      <c r="F261" s="384">
        <f t="shared" si="78"/>
        <v>50.613785061005359</v>
      </c>
      <c r="G261" s="110">
        <f t="shared" si="101"/>
        <v>0.97248225438291835</v>
      </c>
      <c r="H261" s="413" t="b">
        <f>Wh_hp&gt;='2021'!Maxi_hp</f>
        <v>0</v>
      </c>
      <c r="I261" s="379">
        <f>IF(H261,Wh_hp,'2021'!Maxi_hp)</f>
        <v>53.038083158550982</v>
      </c>
      <c r="J261" s="85">
        <f>IF(H261,An,'2021'!An_max)</f>
        <v>2019</v>
      </c>
      <c r="K261" s="196">
        <f t="shared" si="79"/>
        <v>44808</v>
      </c>
      <c r="L261" s="147">
        <f>IF(t&lt;Tvie,1-EXP((T0-t)*PertePVj)+'2021'!Pspv,1-EXP((T0-t)*PertePVj)+Pspv)</f>
        <v>3.2348895812305579E-2</v>
      </c>
      <c r="M261" s="847"/>
      <c r="N261" s="847"/>
      <c r="O261" s="48">
        <f>IF(t&lt;Tnet,'2021'!Resal+('2021'!Salim-'2021'!Resal)*(1-EXP(('2021'!Tnet-t)/('2021'!Tau_j))),Resal+(Salim-Resal)*(1-EXP((Tnet-t)/(Tau_j))))*Salcycl</f>
        <v>4.7402833817837983E-2</v>
      </c>
      <c r="P261" s="338">
        <f>(INDEX(Models!$BJ261:$BT261,,T261)*(1-R261)+INDEX(Models!$BJ261:$BT261,,T261+1)*R261-ERP_i)*Q261*Ramure*Pc/MaxiM</f>
        <v>3.9848494359915357E-4</v>
      </c>
      <c r="Q261" s="304">
        <f t="shared" si="80"/>
        <v>0.5</v>
      </c>
      <c r="R261" s="176">
        <f t="shared" si="81"/>
        <v>2.6354251348405189E-2</v>
      </c>
      <c r="S261" s="814">
        <f t="shared" si="82"/>
        <v>1</v>
      </c>
      <c r="T261" s="175">
        <f t="shared" si="83"/>
        <v>7</v>
      </c>
      <c r="U261" s="250">
        <f t="shared" si="84"/>
        <v>1.0263542513484052</v>
      </c>
      <c r="V261" s="382">
        <f t="shared" si="85"/>
        <v>47.955908040611718</v>
      </c>
      <c r="W261" s="401">
        <f t="shared" si="86"/>
        <v>0</v>
      </c>
      <c r="X261" s="157">
        <f t="shared" si="87"/>
        <v>44808</v>
      </c>
      <c r="Y261" s="384">
        <f t="shared" si="88"/>
        <v>45.382767231974263</v>
      </c>
      <c r="Z261" s="384">
        <f t="shared" si="89"/>
        <v>46.899928120343887</v>
      </c>
      <c r="AA261" s="385">
        <f t="shared" si="90"/>
        <v>50.594408649103265</v>
      </c>
      <c r="AB261" s="196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7.302151813617179E-2</v>
      </c>
      <c r="AD261" s="230">
        <f>(INDEX(Models!$BJ261:$BT261,,AH261)*(1-AF261)+INDEX(Models!$BJ261:$BT261,,AH261+1)*AF261-ERP_i)*AE261*Ramure*Pc/MaxiM</f>
        <v>3.9848494359915357E-4</v>
      </c>
      <c r="AE261" s="304">
        <f t="shared" si="92"/>
        <v>0.5</v>
      </c>
      <c r="AF261" s="176">
        <f t="shared" si="93"/>
        <v>2.6354251348405189E-2</v>
      </c>
      <c r="AG261" s="814">
        <f t="shared" si="99"/>
        <v>1</v>
      </c>
      <c r="AH261" s="175">
        <f t="shared" si="94"/>
        <v>7</v>
      </c>
      <c r="AI261" s="224">
        <f t="shared" si="95"/>
        <v>1.0263542513484052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8">
        <v>39.426000000000002</v>
      </c>
      <c r="C262" s="843"/>
      <c r="D262" s="392">
        <f t="shared" si="77"/>
        <v>40.74491550512942</v>
      </c>
      <c r="E262" s="384">
        <f t="shared" si="100"/>
        <v>42.775889260241861</v>
      </c>
      <c r="F262" s="384">
        <f t="shared" si="78"/>
        <v>42.788869503837894</v>
      </c>
      <c r="G262" s="110">
        <f t="shared" si="101"/>
        <v>0.82507164868785343</v>
      </c>
      <c r="H262" s="413" t="b">
        <f>Wh_hp&gt;='2021'!Maxi_hp</f>
        <v>0</v>
      </c>
      <c r="I262" s="379">
        <f>IF(H262,Wh_hp,'2021'!Maxi_hp)</f>
        <v>52.253818490500642</v>
      </c>
      <c r="J262" s="85">
        <f>IF(H262,An,'2021'!An_max)</f>
        <v>2020</v>
      </c>
      <c r="K262" s="196">
        <f t="shared" si="79"/>
        <v>44809</v>
      </c>
      <c r="L262" s="147">
        <f>IF(t&lt;Tvie,1-EXP((T0-t)*PertePVj)+'2021'!Pspv,1-EXP((T0-t)*PertePVj)+Pspv)</f>
        <v>3.2370063571818687E-2</v>
      </c>
      <c r="M262" s="847"/>
      <c r="N262" s="847"/>
      <c r="O262" s="48">
        <f>IF(t&lt;Tnet,'2021'!Resal+('2021'!Salim-'2021'!Resal)*(1-EXP(('2021'!Tnet-t)/('2021'!Tau_j))),Resal+(Salim-Resal)*(1-EXP((Tnet-t)/(Tau_j))))*Salcycl</f>
        <v>4.7479404642094325E-2</v>
      </c>
      <c r="P262" s="338">
        <f>(INDEX(Models!$BJ262:$BT262,,T262)*(1-R262)+INDEX(Models!$BJ262:$BT262,,T262+1)*R262-ERP_i)*Q262*Ramure*Pc/MaxiM</f>
        <v>4.0435475459050564E-4</v>
      </c>
      <c r="Q262" s="304">
        <f t="shared" si="80"/>
        <v>0.5</v>
      </c>
      <c r="R262" s="176">
        <f t="shared" si="81"/>
        <v>2.668797212406826E-2</v>
      </c>
      <c r="S262" s="814">
        <f t="shared" si="82"/>
        <v>1</v>
      </c>
      <c r="T262" s="175">
        <f t="shared" si="83"/>
        <v>7</v>
      </c>
      <c r="U262" s="250">
        <f t="shared" si="84"/>
        <v>1.0266879721240683</v>
      </c>
      <c r="V262" s="382">
        <f t="shared" si="85"/>
        <v>47.780113232688556</v>
      </c>
      <c r="W262" s="401">
        <f t="shared" si="86"/>
        <v>0</v>
      </c>
      <c r="X262" s="157">
        <f t="shared" si="87"/>
        <v>44809</v>
      </c>
      <c r="Y262" s="384">
        <f t="shared" si="88"/>
        <v>38.366860311701124</v>
      </c>
      <c r="Z262" s="384">
        <f t="shared" si="89"/>
        <v>39.650344483269052</v>
      </c>
      <c r="AA262" s="385">
        <f t="shared" si="90"/>
        <v>42.775889260241861</v>
      </c>
      <c r="AB262" s="196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7.3067908838960166E-2</v>
      </c>
      <c r="AD262" s="230">
        <f>(INDEX(Models!$BJ262:$BT262,,AH262)*(1-AF262)+INDEX(Models!$BJ262:$BT262,,AH262+1)*AF262-ERP_i)*AE262*Ramure*Pc/MaxiM</f>
        <v>4.0435475459050564E-4</v>
      </c>
      <c r="AE262" s="304">
        <f t="shared" si="92"/>
        <v>0.5</v>
      </c>
      <c r="AF262" s="176">
        <f t="shared" si="93"/>
        <v>2.668797212406826E-2</v>
      </c>
      <c r="AG262" s="814">
        <f t="shared" si="99"/>
        <v>1</v>
      </c>
      <c r="AH262" s="175">
        <f t="shared" si="94"/>
        <v>7</v>
      </c>
      <c r="AI262" s="224">
        <f t="shared" si="95"/>
        <v>1.0266879721240683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8">
        <v>44.713000000000001</v>
      </c>
      <c r="C263" s="843"/>
      <c r="D263" s="392">
        <f t="shared" si="77"/>
        <v>46.209792042393744</v>
      </c>
      <c r="E263" s="384">
        <f t="shared" si="100"/>
        <v>48.517049399806929</v>
      </c>
      <c r="F263" s="384">
        <f t="shared" si="78"/>
        <v>48.535234655731763</v>
      </c>
      <c r="G263" s="110">
        <f t="shared" si="101"/>
        <v>0.93932618459691342</v>
      </c>
      <c r="H263" s="413" t="b">
        <f>Wh_hp&gt;='2021'!Maxi_hp</f>
        <v>0</v>
      </c>
      <c r="I263" s="379">
        <f>IF(H263,Wh_hp,'2021'!Maxi_hp)</f>
        <v>54.048993300295933</v>
      </c>
      <c r="J263" s="85">
        <f>IF(H263,An,'2021'!An_max)</f>
        <v>2019</v>
      </c>
      <c r="K263" s="196">
        <f t="shared" si="79"/>
        <v>44810</v>
      </c>
      <c r="L263" s="147">
        <f>IF(t&lt;Tvie,1-EXP((T0-t)*PertePVj)+'2021'!Pspv,1-EXP((T0-t)*PertePVj)+Pspv)</f>
        <v>3.2391230867703437E-2</v>
      </c>
      <c r="M263" s="847"/>
      <c r="N263" s="847"/>
      <c r="O263" s="48">
        <f>IF(t&lt;Tnet,'2021'!Resal+('2021'!Salim-'2021'!Resal)*(1-EXP(('2021'!Tnet-t)/('2021'!Tau_j))),Resal+(Salim-Resal)*(1-EXP((Tnet-t)/(Tau_j))))*Salcycl</f>
        <v>4.7555599236881289E-2</v>
      </c>
      <c r="P263" s="338">
        <f>(INDEX(Models!$BJ263:$BT263,,T263)*(1-R263)+INDEX(Models!$BJ263:$BT263,,T263+1)*R263-ERP_i)*Q263*Ramure*Pc/MaxiM</f>
        <v>4.1021841044554296E-4</v>
      </c>
      <c r="Q263" s="304">
        <f t="shared" si="80"/>
        <v>0.5</v>
      </c>
      <c r="R263" s="176">
        <f t="shared" si="81"/>
        <v>2.7008974483047288E-2</v>
      </c>
      <c r="S263" s="814">
        <f t="shared" si="82"/>
        <v>1</v>
      </c>
      <c r="T263" s="175">
        <f t="shared" si="83"/>
        <v>7</v>
      </c>
      <c r="U263" s="250">
        <f t="shared" si="84"/>
        <v>1.0270089744830473</v>
      </c>
      <c r="V263" s="382">
        <f t="shared" si="85"/>
        <v>47.599450730763394</v>
      </c>
      <c r="W263" s="401">
        <f t="shared" si="86"/>
        <v>0</v>
      </c>
      <c r="X263" s="157">
        <f t="shared" si="87"/>
        <v>44810</v>
      </c>
      <c r="Y263" s="384">
        <f t="shared" si="88"/>
        <v>43.513156253117003</v>
      </c>
      <c r="Z263" s="384">
        <f t="shared" si="89"/>
        <v>44.969782872200959</v>
      </c>
      <c r="AA263" s="385">
        <f t="shared" si="90"/>
        <v>48.517049399806929</v>
      </c>
      <c r="AB263" s="196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7.3113814040391509E-2</v>
      </c>
      <c r="AD263" s="230">
        <f>(INDEX(Models!$BJ263:$BT263,,AH263)*(1-AF263)+INDEX(Models!$BJ263:$BT263,,AH263+1)*AF263-ERP_i)*AE263*Ramure*Pc/MaxiM</f>
        <v>4.1021841044554296E-4</v>
      </c>
      <c r="AE263" s="304">
        <f t="shared" si="92"/>
        <v>0.5</v>
      </c>
      <c r="AF263" s="176">
        <f t="shared" si="93"/>
        <v>2.7008974483047288E-2</v>
      </c>
      <c r="AG263" s="814">
        <f t="shared" si="99"/>
        <v>1</v>
      </c>
      <c r="AH263" s="175">
        <f t="shared" si="94"/>
        <v>7</v>
      </c>
      <c r="AI263" s="224">
        <f t="shared" si="95"/>
        <v>1.0270089744830473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8">
        <v>34.789000000000001</v>
      </c>
      <c r="C264" s="843"/>
      <c r="D264" s="392">
        <f t="shared" si="77"/>
        <v>35.954367250369771</v>
      </c>
      <c r="E264" s="384">
        <f t="shared" si="100"/>
        <v>37.752575495092792</v>
      </c>
      <c r="F264" s="384">
        <f t="shared" si="78"/>
        <v>37.762310807517167</v>
      </c>
      <c r="G264" s="110">
        <f t="shared" si="101"/>
        <v>0.73361193184565177</v>
      </c>
      <c r="H264" s="413" t="b">
        <f>Wh_hp&gt;='2021'!Maxi_hp</f>
        <v>0</v>
      </c>
      <c r="I264" s="379">
        <f>IF(H264,Wh_hp,'2021'!Maxi_hp)</f>
        <v>52.847504684614634</v>
      </c>
      <c r="J264" s="85">
        <f>IF(H264,An,'2021'!An_max)</f>
        <v>2019</v>
      </c>
      <c r="K264" s="196">
        <f t="shared" si="79"/>
        <v>44811</v>
      </c>
      <c r="L264" s="147">
        <f>IF(t&lt;Tvie,1-EXP((T0-t)*PertePVj)+'2021'!Pspv,1-EXP((T0-t)*PertePVj)+Pspv)</f>
        <v>3.2412397699970154E-2</v>
      </c>
      <c r="M264" s="847"/>
      <c r="N264" s="847"/>
      <c r="O264" s="48">
        <f>IF(t&lt;Tnet,'2021'!Resal+('2021'!Salim-'2021'!Resal)*(1-EXP(('2021'!Tnet-t)/('2021'!Tau_j))),Resal+(Salim-Resal)*(1-EXP((Tnet-t)/(Tau_j))))*Salcycl</f>
        <v>4.763140583499418E-2</v>
      </c>
      <c r="P264" s="338">
        <f>(INDEX(Models!$BJ264:$BT264,,T264)*(1-R264)+INDEX(Models!$BJ264:$BT264,,T264+1)*R264-ERP_i)*Q264*Ramure*Pc/MaxiM</f>
        <v>4.1607519190630266E-4</v>
      </c>
      <c r="Q264" s="304">
        <f t="shared" si="80"/>
        <v>0.5</v>
      </c>
      <c r="R264" s="176">
        <f t="shared" si="81"/>
        <v>2.731771602286992E-2</v>
      </c>
      <c r="S264" s="814">
        <f t="shared" si="82"/>
        <v>1</v>
      </c>
      <c r="T264" s="175">
        <f t="shared" si="83"/>
        <v>7</v>
      </c>
      <c r="U264" s="250">
        <f t="shared" si="84"/>
        <v>1.0273177160228699</v>
      </c>
      <c r="V264" s="382">
        <f t="shared" si="85"/>
        <v>47.41402233033925</v>
      </c>
      <c r="W264" s="401">
        <f t="shared" si="86"/>
        <v>0</v>
      </c>
      <c r="X264" s="157">
        <f t="shared" si="87"/>
        <v>44811</v>
      </c>
      <c r="Y264" s="384">
        <f t="shared" si="88"/>
        <v>33.85649653459447</v>
      </c>
      <c r="Z264" s="384">
        <f t="shared" si="89"/>
        <v>34.990626641055535</v>
      </c>
      <c r="AA264" s="385">
        <f t="shared" si="90"/>
        <v>37.752575495092792</v>
      </c>
      <c r="AB264" s="196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7.3159216763801035E-2</v>
      </c>
      <c r="AD264" s="230">
        <f>(INDEX(Models!$BJ264:$BT264,,AH264)*(1-AF264)+INDEX(Models!$BJ264:$BT264,,AH264+1)*AF264-ERP_i)*AE264*Ramure*Pc/MaxiM</f>
        <v>4.1607519190630266E-4</v>
      </c>
      <c r="AE264" s="304">
        <f t="shared" si="92"/>
        <v>0.5</v>
      </c>
      <c r="AF264" s="176">
        <f t="shared" si="93"/>
        <v>2.731771602286992E-2</v>
      </c>
      <c r="AG264" s="814">
        <f t="shared" si="99"/>
        <v>1</v>
      </c>
      <c r="AH264" s="175">
        <f t="shared" si="94"/>
        <v>7</v>
      </c>
      <c r="AI264" s="224">
        <f t="shared" si="95"/>
        <v>1.0273177160228699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8">
        <v>38.096000000000004</v>
      </c>
      <c r="C265" s="843"/>
      <c r="D265" s="392">
        <f t="shared" si="77"/>
        <v>39.373006943269097</v>
      </c>
      <c r="E265" s="384">
        <f t="shared" si="100"/>
        <v>41.345467389708936</v>
      </c>
      <c r="F265" s="384">
        <f t="shared" si="78"/>
        <v>41.358098928250357</v>
      </c>
      <c r="G265" s="110">
        <f t="shared" si="101"/>
        <v>0.80661563781600587</v>
      </c>
      <c r="H265" s="413" t="b">
        <f>Wh_hp&gt;='2021'!Maxi_hp</f>
        <v>0</v>
      </c>
      <c r="I265" s="379">
        <f>IF(H265,Wh_hp,'2021'!Maxi_hp)</f>
        <v>46.460443083143332</v>
      </c>
      <c r="J265" s="85">
        <f>IF(H265,An,'2021'!An_max)</f>
        <v>2018</v>
      </c>
      <c r="K265" s="196">
        <f t="shared" si="79"/>
        <v>44812</v>
      </c>
      <c r="L265" s="147">
        <f>IF(t&lt;Tvie,1-EXP((T0-t)*PertePVj)+'2021'!Pspv,1-EXP((T0-t)*PertePVj)+Pspv)</f>
        <v>3.2433564068628941E-2</v>
      </c>
      <c r="M265" s="847"/>
      <c r="N265" s="847"/>
      <c r="O265" s="48">
        <f>IF(t&lt;Tnet,'2021'!Resal+('2021'!Salim-'2021'!Resal)*(1-EXP(('2021'!Tnet-t)/('2021'!Tau_j))),Resal+(Salim-Resal)*(1-EXP((Tnet-t)/(Tau_j))))*Salcycl</f>
        <v>4.770681216028036E-2</v>
      </c>
      <c r="P265" s="338">
        <f>(INDEX(Models!$BJ265:$BT265,,T265)*(1-R265)+INDEX(Models!$BJ265:$BT265,,T265+1)*R265-ERP_i)*Q265*Ramure*Pc/MaxiM</f>
        <v>4.2192430750560242E-4</v>
      </c>
      <c r="Q265" s="304">
        <f t="shared" si="80"/>
        <v>0.5</v>
      </c>
      <c r="R265" s="176">
        <f t="shared" si="81"/>
        <v>2.761463997097735E-2</v>
      </c>
      <c r="S265" s="814">
        <f t="shared" si="82"/>
        <v>1</v>
      </c>
      <c r="T265" s="175">
        <f t="shared" si="83"/>
        <v>7</v>
      </c>
      <c r="U265" s="250">
        <f t="shared" si="84"/>
        <v>1.0276146399709774</v>
      </c>
      <c r="V265" s="382">
        <f t="shared" si="85"/>
        <v>47.223929790309327</v>
      </c>
      <c r="W265" s="401">
        <f t="shared" si="86"/>
        <v>0</v>
      </c>
      <c r="X265" s="157">
        <f t="shared" si="87"/>
        <v>44812</v>
      </c>
      <c r="Y265" s="384">
        <f t="shared" si="88"/>
        <v>37.075994119752657</v>
      </c>
      <c r="Z265" s="384">
        <f t="shared" si="89"/>
        <v>38.318809688828892</v>
      </c>
      <c r="AA265" s="385">
        <f t="shared" si="90"/>
        <v>41.345467389708936</v>
      </c>
      <c r="AB265" s="196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7.3204099311582282E-2</v>
      </c>
      <c r="AD265" s="230">
        <f>(INDEX(Models!$BJ265:$BT265,,AH265)*(1-AF265)+INDEX(Models!$BJ265:$BT265,,AH265+1)*AF265-ERP_i)*AE265*Ramure*Pc/MaxiM</f>
        <v>4.2192430750560242E-4</v>
      </c>
      <c r="AE265" s="304">
        <f t="shared" si="92"/>
        <v>0.5</v>
      </c>
      <c r="AF265" s="176">
        <f t="shared" si="93"/>
        <v>2.761463997097735E-2</v>
      </c>
      <c r="AG265" s="814">
        <f t="shared" si="99"/>
        <v>1</v>
      </c>
      <c r="AH265" s="175">
        <f t="shared" si="94"/>
        <v>7</v>
      </c>
      <c r="AI265" s="224">
        <f t="shared" si="95"/>
        <v>1.0276146399709774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8">
        <v>21.208000000000002</v>
      </c>
      <c r="C266" s="843"/>
      <c r="D266" s="392">
        <f t="shared" si="77"/>
        <v>21.919387812648086</v>
      </c>
      <c r="E266" s="384">
        <f t="shared" si="100"/>
        <v>23.019291100694602</v>
      </c>
      <c r="F266" s="384">
        <f t="shared" si="78"/>
        <v>23.021414742686368</v>
      </c>
      <c r="G266" s="110">
        <f t="shared" si="101"/>
        <v>0.45080184080848862</v>
      </c>
      <c r="H266" s="413" t="b">
        <f>Wh_hp&gt;='2021'!Maxi_hp</f>
        <v>0</v>
      </c>
      <c r="I266" s="379">
        <f>IF(H266,Wh_hp,'2021'!Maxi_hp)</f>
        <v>49.540166553764124</v>
      </c>
      <c r="J266" s="85">
        <f>IF(H266,An,'2021'!An_max)</f>
        <v>2020</v>
      </c>
      <c r="K266" s="196">
        <f t="shared" si="79"/>
        <v>44813</v>
      </c>
      <c r="L266" s="147">
        <f>IF(t&lt;Tvie,1-EXP((T0-t)*PertePVj)+'2021'!Pspv,1-EXP((T0-t)*PertePVj)+Pspv)</f>
        <v>3.2454729973689901E-2</v>
      </c>
      <c r="M266" s="847"/>
      <c r="N266" s="847"/>
      <c r="O266" s="48">
        <f>IF(t&lt;Tnet,'2021'!Resal+('2021'!Salim-'2021'!Resal)*(1-EXP(('2021'!Tnet-t)/('2021'!Tau_j))),Resal+(Salim-Resal)*(1-EXP((Tnet-t)/(Tau_j))))*Salcycl</f>
        <v>4.7781805409868851E-2</v>
      </c>
      <c r="P266" s="338">
        <f>(INDEX(Models!$BJ266:$BT266,,T266)*(1-R266)+INDEX(Models!$BJ266:$BT266,,T266+1)*R266-ERP_i)*Q266*Ramure*Pc/MaxiM</f>
        <v>4.2776488682156813E-4</v>
      </c>
      <c r="Q266" s="304">
        <f t="shared" si="80"/>
        <v>0.5</v>
      </c>
      <c r="R266" s="176">
        <f t="shared" si="81"/>
        <v>2.7900175470590538E-2</v>
      </c>
      <c r="S266" s="814">
        <f t="shared" si="82"/>
        <v>1</v>
      </c>
      <c r="T266" s="175">
        <f t="shared" si="83"/>
        <v>7</v>
      </c>
      <c r="U266" s="250">
        <f t="shared" si="84"/>
        <v>1.0279001754705905</v>
      </c>
      <c r="V266" s="382">
        <f t="shared" si="85"/>
        <v>47.029274833621557</v>
      </c>
      <c r="W266" s="401">
        <f t="shared" si="86"/>
        <v>0</v>
      </c>
      <c r="X266" s="157">
        <f t="shared" si="87"/>
        <v>44813</v>
      </c>
      <c r="Y266" s="384">
        <f t="shared" si="88"/>
        <v>20.640801790396491</v>
      </c>
      <c r="Z266" s="384">
        <f t="shared" si="89"/>
        <v>21.33316386305647</v>
      </c>
      <c r="AA266" s="385">
        <f t="shared" si="90"/>
        <v>23.019291100694602</v>
      </c>
      <c r="AB266" s="196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7.3248443241036812E-2</v>
      </c>
      <c r="AD266" s="230">
        <f>(INDEX(Models!$BJ266:$BT266,,AH266)*(1-AF266)+INDEX(Models!$BJ266:$BT266,,AH266+1)*AF266-ERP_i)*AE266*Ramure*Pc/MaxiM</f>
        <v>4.2776488682156813E-4</v>
      </c>
      <c r="AE266" s="304">
        <f t="shared" si="92"/>
        <v>0.5</v>
      </c>
      <c r="AF266" s="176">
        <f t="shared" si="93"/>
        <v>2.7900175470590538E-2</v>
      </c>
      <c r="AG266" s="814">
        <f t="shared" si="99"/>
        <v>1</v>
      </c>
      <c r="AH266" s="175">
        <f t="shared" si="94"/>
        <v>7</v>
      </c>
      <c r="AI266" s="224">
        <f t="shared" si="95"/>
        <v>1.0279001754705905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8">
        <v>44.803000000000004</v>
      </c>
      <c r="C267" s="843"/>
      <c r="D267" s="392">
        <f t="shared" si="77"/>
        <v>46.306856633018889</v>
      </c>
      <c r="E267" s="384">
        <f t="shared" si="100"/>
        <v>48.634318691992242</v>
      </c>
      <c r="F267" s="384">
        <f t="shared" si="78"/>
        <v>48.654110343660342</v>
      </c>
      <c r="G267" s="110">
        <f t="shared" si="101"/>
        <v>0.95668686613896425</v>
      </c>
      <c r="H267" s="413" t="b">
        <f>Wh_hp&gt;='2021'!Maxi_hp</f>
        <v>1</v>
      </c>
      <c r="I267" s="379">
        <f>IF(H267,Wh_hp,'2021'!Maxi_hp)</f>
        <v>48.654110343660342</v>
      </c>
      <c r="J267" s="85">
        <f>IF(H267,An,'2021'!An_max)</f>
        <v>2022</v>
      </c>
      <c r="K267" s="196">
        <f t="shared" si="79"/>
        <v>44814</v>
      </c>
      <c r="L267" s="147">
        <f>IF(t&lt;Tvie,1-EXP((T0-t)*PertePVj)+'2021'!Pspv,1-EXP((T0-t)*PertePVj)+Pspv)</f>
        <v>3.2475895415163249E-2</v>
      </c>
      <c r="M267" s="847"/>
      <c r="N267" s="847"/>
      <c r="O267" s="48">
        <f>IF(t&lt;Tnet,'2021'!Resal+('2021'!Salim-'2021'!Resal)*(1-EXP(('2021'!Tnet-t)/('2021'!Tau_j))),Resal+(Salim-Resal)*(1-EXP((Tnet-t)/(Tau_j))))*Salcycl</f>
        <v>4.7856372240217611E-2</v>
      </c>
      <c r="P267" s="338">
        <f>(INDEX(Models!$BJ267:$BT267,,T267)*(1-R267)+INDEX(Models!$BJ267:$BT267,,T267+1)*R267-ERP_i)*Q267*Ramure*Pc/MaxiM</f>
        <v>4.3359597390548837E-4</v>
      </c>
      <c r="Q267" s="304">
        <f t="shared" si="80"/>
        <v>0.5</v>
      </c>
      <c r="R267" s="176">
        <f t="shared" si="81"/>
        <v>2.8174737875189315E-2</v>
      </c>
      <c r="S267" s="814">
        <f t="shared" si="82"/>
        <v>1</v>
      </c>
      <c r="T267" s="175">
        <f t="shared" si="83"/>
        <v>7</v>
      </c>
      <c r="U267" s="250">
        <f t="shared" si="84"/>
        <v>1.0281747378751893</v>
      </c>
      <c r="V267" s="382">
        <f t="shared" si="85"/>
        <v>46.830159149172104</v>
      </c>
      <c r="W267" s="401">
        <f t="shared" si="86"/>
        <v>0</v>
      </c>
      <c r="X267" s="157">
        <f t="shared" si="87"/>
        <v>44814</v>
      </c>
      <c r="Y267" s="384">
        <f t="shared" si="88"/>
        <v>43.606118906965762</v>
      </c>
      <c r="Z267" s="384">
        <f t="shared" si="89"/>
        <v>45.069801052323228</v>
      </c>
      <c r="AA267" s="385">
        <f t="shared" si="90"/>
        <v>48.634318691992242</v>
      </c>
      <c r="AB267" s="196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7.3292229346186413E-2</v>
      </c>
      <c r="AD267" s="230">
        <f>(INDEX(Models!$BJ267:$BT267,,AH267)*(1-AF267)+INDEX(Models!$BJ267:$BT267,,AH267+1)*AF267-ERP_i)*AE267*Ramure*Pc/MaxiM</f>
        <v>4.3359597390548837E-4</v>
      </c>
      <c r="AE267" s="304">
        <f t="shared" si="92"/>
        <v>0.5</v>
      </c>
      <c r="AF267" s="176">
        <f t="shared" si="93"/>
        <v>2.8174737875189315E-2</v>
      </c>
      <c r="AG267" s="814">
        <f t="shared" si="99"/>
        <v>1</v>
      </c>
      <c r="AH267" s="175">
        <f t="shared" si="94"/>
        <v>7</v>
      </c>
      <c r="AI267" s="224">
        <f t="shared" si="95"/>
        <v>1.0281747378751893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8">
        <v>45.33</v>
      </c>
      <c r="C268" s="843"/>
      <c r="D268" s="392">
        <f t="shared" si="77"/>
        <v>46.852570823625435</v>
      </c>
      <c r="E268" s="384">
        <f t="shared" si="100"/>
        <v>49.211292623587006</v>
      </c>
      <c r="F268" s="384">
        <f t="shared" si="78"/>
        <v>49.232037349545898</v>
      </c>
      <c r="G268" s="110">
        <f t="shared" si="101"/>
        <v>0.97217252382554986</v>
      </c>
      <c r="H268" s="413" t="b">
        <f>Wh_hp&gt;='2021'!Maxi_hp</f>
        <v>1</v>
      </c>
      <c r="I268" s="379">
        <f>IF(H268,Wh_hp,'2021'!Maxi_hp)</f>
        <v>49.232037349545898</v>
      </c>
      <c r="J268" s="85">
        <f>IF(H268,An,'2021'!An_max)</f>
        <v>2022</v>
      </c>
      <c r="K268" s="196">
        <f t="shared" si="79"/>
        <v>44815</v>
      </c>
      <c r="L268" s="147">
        <f>IF(t&lt;Tvie,1-EXP((T0-t)*PertePVj)+'2021'!Pspv,1-EXP((T0-t)*PertePVj)+Pspv)</f>
        <v>3.2497060393059087E-2</v>
      </c>
      <c r="M268" s="847"/>
      <c r="N268" s="847"/>
      <c r="O268" s="48">
        <f>IF(t&lt;Tnet,'2021'!Resal+('2021'!Salim-'2021'!Resal)*(1-EXP(('2021'!Tnet-t)/('2021'!Tau_j))),Resal+(Salim-Resal)*(1-EXP((Tnet-t)/(Tau_j))))*Salcycl</f>
        <v>4.7930498757738992E-2</v>
      </c>
      <c r="P268" s="338">
        <f>(INDEX(Models!$BJ268:$BT268,,T268)*(1-R268)+INDEX(Models!$BJ268:$BT268,,T268+1)*R268-ERP_i)*Q268*Ramure*Pc/MaxiM</f>
        <v>4.3879959982184489E-4</v>
      </c>
      <c r="Q268" s="304">
        <f t="shared" si="80"/>
        <v>0.5</v>
      </c>
      <c r="R268" s="176">
        <f t="shared" si="81"/>
        <v>2.8438729049991451E-2</v>
      </c>
      <c r="S268" s="814">
        <f t="shared" si="82"/>
        <v>1</v>
      </c>
      <c r="T268" s="175">
        <f t="shared" si="83"/>
        <v>7</v>
      </c>
      <c r="U268" s="250">
        <f t="shared" si="84"/>
        <v>1.0284387290499915</v>
      </c>
      <c r="V268" s="382">
        <f t="shared" si="85"/>
        <v>46.626713169388808</v>
      </c>
      <c r="W268" s="401">
        <f t="shared" si="86"/>
        <v>0</v>
      </c>
      <c r="X268" s="157">
        <f t="shared" si="87"/>
        <v>44815</v>
      </c>
      <c r="Y268" s="384">
        <f t="shared" si="88"/>
        <v>44.120418264283636</v>
      </c>
      <c r="Z268" s="384">
        <f t="shared" si="89"/>
        <v>45.602360941877919</v>
      </c>
      <c r="AA268" s="385">
        <f t="shared" si="90"/>
        <v>49.211292623587006</v>
      </c>
      <c r="AB268" s="196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7.3335437646669832E-2</v>
      </c>
      <c r="AD268" s="230">
        <f>(INDEX(Models!$BJ268:$BT268,,AH268)*(1-AF268)+INDEX(Models!$BJ268:$BT268,,AH268+1)*AF268-ERP_i)*AE268*Ramure*Pc/MaxiM</f>
        <v>4.3879959982184489E-4</v>
      </c>
      <c r="AE268" s="304">
        <f t="shared" si="92"/>
        <v>0.5</v>
      </c>
      <c r="AF268" s="176">
        <f t="shared" si="93"/>
        <v>2.8438729049991451E-2</v>
      </c>
      <c r="AG268" s="814">
        <f t="shared" si="99"/>
        <v>1</v>
      </c>
      <c r="AH268" s="175">
        <f t="shared" si="94"/>
        <v>7</v>
      </c>
      <c r="AI268" s="224">
        <f t="shared" si="95"/>
        <v>1.0284387290499915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8">
        <v>31.747</v>
      </c>
      <c r="C269" s="843"/>
      <c r="D269" s="392">
        <f t="shared" si="77"/>
        <v>32.81405481458399</v>
      </c>
      <c r="E269" s="384">
        <f t="shared" si="100"/>
        <v>34.468695973517256</v>
      </c>
      <c r="F269" s="384">
        <f t="shared" si="78"/>
        <v>34.477083902677009</v>
      </c>
      <c r="G269" s="110">
        <f t="shared" si="101"/>
        <v>0.6837850944440137</v>
      </c>
      <c r="H269" s="413" t="b">
        <f>Wh_hp&gt;='2021'!Maxi_hp</f>
        <v>0</v>
      </c>
      <c r="I269" s="379">
        <f>IF(H269,Wh_hp,'2021'!Maxi_hp)</f>
        <v>50.900576803696573</v>
      </c>
      <c r="J269" s="85">
        <f>IF(H269,An,'2021'!An_max)</f>
        <v>2019</v>
      </c>
      <c r="K269" s="196">
        <f t="shared" si="79"/>
        <v>44816</v>
      </c>
      <c r="L269" s="147">
        <f>IF(t&lt;Tvie,1-EXP((T0-t)*PertePVj)+'2021'!Pspv,1-EXP((T0-t)*PertePVj)+Pspv)</f>
        <v>3.2518224907387629E-2</v>
      </c>
      <c r="M269" s="847"/>
      <c r="N269" s="847"/>
      <c r="O269" s="48">
        <f>IF(t&lt;Tnet,'2021'!Resal+('2021'!Salim-'2021'!Resal)*(1-EXP(('2021'!Tnet-t)/('2021'!Tau_j))),Resal+(Salim-Resal)*(1-EXP((Tnet-t)/(Tau_j))))*Salcycl</f>
        <v>4.8004170514734469E-2</v>
      </c>
      <c r="P269" s="338">
        <f>(INDEX(Models!$BJ269:$BT269,,T269)*(1-R269)+INDEX(Models!$BJ269:$BT269,,T269+1)*R269-ERP_i)*Q269*Ramure*Pc/MaxiM</f>
        <v>4.4358733518718785E-4</v>
      </c>
      <c r="Q269" s="304">
        <f t="shared" si="80"/>
        <v>0.5</v>
      </c>
      <c r="R269" s="176">
        <f t="shared" si="81"/>
        <v>2.869253767894353E-2</v>
      </c>
      <c r="S269" s="814">
        <f t="shared" si="82"/>
        <v>1</v>
      </c>
      <c r="T269" s="175">
        <f t="shared" si="83"/>
        <v>7</v>
      </c>
      <c r="U269" s="250">
        <f t="shared" si="84"/>
        <v>1.0286925376789435</v>
      </c>
      <c r="V269" s="382">
        <f t="shared" si="85"/>
        <v>46.419028245055308</v>
      </c>
      <c r="W269" s="401">
        <f t="shared" si="86"/>
        <v>0</v>
      </c>
      <c r="X269" s="157">
        <f t="shared" si="87"/>
        <v>44816</v>
      </c>
      <c r="Y269" s="384">
        <f t="shared" si="88"/>
        <v>30.900836136625379</v>
      </c>
      <c r="Z269" s="384">
        <f t="shared" si="89"/>
        <v>31.939450367080447</v>
      </c>
      <c r="AA269" s="385">
        <f t="shared" si="90"/>
        <v>34.468695973517256</v>
      </c>
      <c r="AB269" s="196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7.3378047384794018E-2</v>
      </c>
      <c r="AD269" s="230">
        <f>(INDEX(Models!$BJ269:$BT269,,AH269)*(1-AF269)+INDEX(Models!$BJ269:$BT269,,AH269+1)*AF269-ERP_i)*AE269*Ramure*Pc/MaxiM</f>
        <v>4.4358733518718785E-4</v>
      </c>
      <c r="AE269" s="304">
        <f t="shared" si="92"/>
        <v>0.5</v>
      </c>
      <c r="AF269" s="176">
        <f t="shared" si="93"/>
        <v>2.869253767894353E-2</v>
      </c>
      <c r="AG269" s="814">
        <f t="shared" si="99"/>
        <v>1</v>
      </c>
      <c r="AH269" s="175">
        <f t="shared" si="94"/>
        <v>7</v>
      </c>
      <c r="AI269" s="224">
        <f t="shared" si="95"/>
        <v>1.0286925376789435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8">
        <v>11.257</v>
      </c>
      <c r="C270" s="843"/>
      <c r="D270" s="392">
        <f t="shared" si="77"/>
        <v>11.635615829235196</v>
      </c>
      <c r="E270" s="384">
        <f t="shared" si="100"/>
        <v>12.223278965362864</v>
      </c>
      <c r="F270" s="384">
        <f t="shared" si="78"/>
        <v>12.223278965362864</v>
      </c>
      <c r="G270" s="110">
        <f t="shared" si="101"/>
        <v>0.24351088034614318</v>
      </c>
      <c r="H270" s="413" t="b">
        <f>Wh_hp&gt;='2021'!Maxi_hp</f>
        <v>0</v>
      </c>
      <c r="I270" s="379">
        <f>IF(H270,Wh_hp,'2021'!Maxi_hp)</f>
        <v>48.380443853441712</v>
      </c>
      <c r="J270" s="85">
        <f>IF(H270,An,'2021'!An_max)</f>
        <v>2020</v>
      </c>
      <c r="K270" s="196">
        <f t="shared" si="79"/>
        <v>44817</v>
      </c>
      <c r="L270" s="147">
        <f>IF(t&lt;Tvie,1-EXP((T0-t)*PertePVj)+'2021'!Pspv,1-EXP((T0-t)*PertePVj)+Pspv)</f>
        <v>3.2539388958158978E-2</v>
      </c>
      <c r="M270" s="847"/>
      <c r="N270" s="847"/>
      <c r="O270" s="48">
        <f>IF(t&lt;Tnet,'2021'!Resal+('2021'!Salim-'2021'!Resal)*(1-EXP(('2021'!Tnet-t)/('2021'!Tau_j))),Resal+(Salim-Resal)*(1-EXP((Tnet-t)/(Tau_j))))*Salcycl</f>
        <v>4.8077372511331061E-2</v>
      </c>
      <c r="P270" s="338">
        <f>(INDEX(Models!$BJ270:$BT270,,T270)*(1-R270)+INDEX(Models!$BJ270:$BT270,,T270+1)*R270-ERP_i)*Q270*Ramure*Pc/MaxiM</f>
        <v>4.4795422170167229E-4</v>
      </c>
      <c r="Q270" s="304">
        <f t="shared" si="80"/>
        <v>0.5</v>
      </c>
      <c r="R270" s="176">
        <f t="shared" si="81"/>
        <v>2.8936539575869613E-2</v>
      </c>
      <c r="S270" s="814">
        <f t="shared" si="82"/>
        <v>1</v>
      </c>
      <c r="T270" s="175">
        <f t="shared" si="83"/>
        <v>7</v>
      </c>
      <c r="U270" s="250">
        <f t="shared" si="84"/>
        <v>1.0289365395758696</v>
      </c>
      <c r="V270" s="382">
        <f t="shared" si="85"/>
        <v>46.207205868304513</v>
      </c>
      <c r="W270" s="401">
        <f t="shared" si="86"/>
        <v>0</v>
      </c>
      <c r="X270" s="157">
        <f t="shared" si="87"/>
        <v>44817</v>
      </c>
      <c r="Y270" s="384">
        <f t="shared" si="88"/>
        <v>10.957309283267183</v>
      </c>
      <c r="Z270" s="384">
        <f t="shared" si="89"/>
        <v>11.325845371076609</v>
      </c>
      <c r="AA270" s="385">
        <f t="shared" si="90"/>
        <v>12.223278965362864</v>
      </c>
      <c r="AB270" s="196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7.3420037031742061E-2</v>
      </c>
      <c r="AD270" s="230">
        <f>(INDEX(Models!$BJ270:$BT270,,AH270)*(1-AF270)+INDEX(Models!$BJ270:$BT270,,AH270+1)*AF270-ERP_i)*AE270*Ramure*Pc/MaxiM</f>
        <v>4.4795422170167229E-4</v>
      </c>
      <c r="AE270" s="304">
        <f t="shared" si="92"/>
        <v>0.5</v>
      </c>
      <c r="AF270" s="176">
        <f t="shared" si="93"/>
        <v>2.8936539575869613E-2</v>
      </c>
      <c r="AG270" s="814">
        <f t="shared" si="99"/>
        <v>1</v>
      </c>
      <c r="AH270" s="175">
        <f t="shared" si="94"/>
        <v>7</v>
      </c>
      <c r="AI270" s="224">
        <f t="shared" si="95"/>
        <v>1.0289365395758696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8">
        <v>37.356000000000002</v>
      </c>
      <c r="C271" s="843"/>
      <c r="D271" s="392">
        <f t="shared" ref="D271:D334" si="102">Wh/(1-Ppv)</f>
        <v>38.613269386818544</v>
      </c>
      <c r="E271" s="384">
        <f t="shared" si="100"/>
        <v>40.566552508819505</v>
      </c>
      <c r="F271" s="384">
        <f t="shared" ref="F271:F334" si="103">Wh_sa/(1-Pvg*MEDIAN((-Sdif+Wh/Env_an)/Csdif,0,1))</f>
        <v>40.579971644327586</v>
      </c>
      <c r="G271" s="110">
        <f t="shared" si="101"/>
        <v>0.81214125215649513</v>
      </c>
      <c r="H271" s="413" t="b">
        <f>Wh_hp&gt;='2021'!Maxi_hp</f>
        <v>0</v>
      </c>
      <c r="I271" s="379">
        <f>IF(H271,Wh_hp,'2021'!Maxi_hp)</f>
        <v>48.09542285224876</v>
      </c>
      <c r="J271" s="85">
        <f>IF(H271,An,'2021'!An_max)</f>
        <v>2020</v>
      </c>
      <c r="K271" s="196">
        <f t="shared" ref="K271:K334" si="104">t</f>
        <v>44818</v>
      </c>
      <c r="L271" s="147">
        <f>IF(t&lt;Tvie,1-EXP((T0-t)*PertePVj)+'2021'!Pspv,1-EXP((T0-t)*PertePVj)+Pspv)</f>
        <v>3.2560552545383238E-2</v>
      </c>
      <c r="M271" s="847"/>
      <c r="N271" s="847"/>
      <c r="O271" s="48">
        <f>IF(t&lt;Tnet,'2021'!Resal+('2021'!Salim-'2021'!Resal)*(1-EXP(('2021'!Tnet-t)/('2021'!Tau_j))),Resal+(Salim-Resal)*(1-EXP((Tnet-t)/(Tau_j))))*Salcycl</f>
        <v>4.8150089204062808E-2</v>
      </c>
      <c r="P271" s="338">
        <f>(INDEX(Models!$BJ271:$BT271,,T271)*(1-R271)+INDEX(Models!$BJ271:$BT271,,T271+1)*R271-ERP_i)*Q271*Ramure*Pc/MaxiM</f>
        <v>4.5189503849818506E-4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2.9171097998531126E-2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1.0291710979985311</v>
      </c>
      <c r="V271" s="382">
        <f t="shared" ref="V271:V334" si="110">MaxiM*(1-Ppv)*(1-Pvg)*(1-Psa)</f>
        <v>45.991347481179538</v>
      </c>
      <c r="W271" s="401">
        <f t="shared" ref="W271:W334" si="111">Wh*(A271&gt;Tmaj)</f>
        <v>0</v>
      </c>
      <c r="X271" s="157">
        <f t="shared" ref="X271:X334" si="112">t</f>
        <v>44818</v>
      </c>
      <c r="Y271" s="384">
        <f t="shared" ref="Y271:Y334" si="113">Wh_pvt_s*(1-Ppv)</f>
        <v>36.362640932542249</v>
      </c>
      <c r="Z271" s="384">
        <f t="shared" ref="Z271:Z334" si="114">Wh_sa_s*(1-Psa_s)</f>
        <v>37.586477405086427</v>
      </c>
      <c r="AA271" s="385">
        <f t="shared" ref="AA271:AA334" si="115">Wh_hp*(1-Pvg_s*MEDIAN((-Sdif+Wh/Env_an)/Csdif,0,1))</f>
        <v>40.566552508819505</v>
      </c>
      <c r="AB271" s="196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7.3461384303859317E-2</v>
      </c>
      <c r="AD271" s="230">
        <f>(INDEX(Models!$BJ271:$BT271,,AH271)*(1-AF271)+INDEX(Models!$BJ271:$BT271,,AH271+1)*AF271-ERP_i)*AE271*Ramure*Pc/MaxiM</f>
        <v>4.5189503849818506E-4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2.9171097998531126E-2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1.0291710979985311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8">
        <v>41.033000000000001</v>
      </c>
      <c r="C272" s="843"/>
      <c r="D272" s="392">
        <f t="shared" si="102"/>
        <v>42.41495190302156</v>
      </c>
      <c r="E272" s="384">
        <f t="shared" si="100"/>
        <v>44.563927169679957</v>
      </c>
      <c r="F272" s="384">
        <f t="shared" si="103"/>
        <v>44.581227026029133</v>
      </c>
      <c r="G272" s="110">
        <f t="shared" si="101"/>
        <v>0.89641341094075433</v>
      </c>
      <c r="H272" s="413" t="b">
        <f>Wh_hp&gt;='2021'!Maxi_hp</f>
        <v>0</v>
      </c>
      <c r="I272" s="379">
        <f>IF(H272,Wh_hp,'2021'!Maxi_hp)</f>
        <v>48.958278323972046</v>
      </c>
      <c r="J272" s="85">
        <f>IF(H272,An,'2021'!An_max)</f>
        <v>2020</v>
      </c>
      <c r="K272" s="196">
        <f t="shared" si="104"/>
        <v>44819</v>
      </c>
      <c r="L272" s="147">
        <f>IF(t&lt;Tvie,1-EXP((T0-t)*PertePVj)+'2021'!Pspv,1-EXP((T0-t)*PertePVj)+Pspv)</f>
        <v>3.2581715669070734E-2</v>
      </c>
      <c r="M272" s="847"/>
      <c r="N272" s="847"/>
      <c r="O272" s="48">
        <f>IF(t&lt;Tnet,'2021'!Resal+('2021'!Salim-'2021'!Resal)*(1-EXP(('2021'!Tnet-t)/('2021'!Tau_j))),Resal+(Salim-Resal)*(1-EXP((Tnet-t)/(Tau_j))))*Salcycl</f>
        <v>4.8222304521682746E-2</v>
      </c>
      <c r="P272" s="338">
        <f>(INDEX(Models!$BJ272:$BT272,,T272)*(1-R272)+INDEX(Models!$BJ272:$BT272,,T272+1)*R272-ERP_i)*Q272*Ramure*Pc/MaxiM</f>
        <v>4.5540431096286442E-4</v>
      </c>
      <c r="Q272" s="304">
        <f t="shared" si="105"/>
        <v>0.5</v>
      </c>
      <c r="R272" s="176">
        <f t="shared" si="106"/>
        <v>2.9396563964469991E-2</v>
      </c>
      <c r="S272" s="814">
        <f t="shared" si="107"/>
        <v>1</v>
      </c>
      <c r="T272" s="175">
        <f t="shared" si="108"/>
        <v>7</v>
      </c>
      <c r="U272" s="250">
        <f t="shared" si="109"/>
        <v>1.02939656396447</v>
      </c>
      <c r="V272" s="382">
        <f t="shared" si="110"/>
        <v>45.771554485104318</v>
      </c>
      <c r="W272" s="401">
        <f t="shared" si="111"/>
        <v>0</v>
      </c>
      <c r="X272" s="157">
        <f t="shared" si="112"/>
        <v>44819</v>
      </c>
      <c r="Y272" s="384">
        <f t="shared" si="113"/>
        <v>39.943139977583378</v>
      </c>
      <c r="Z272" s="384">
        <f t="shared" si="114"/>
        <v>41.28838644517478</v>
      </c>
      <c r="AA272" s="385">
        <f t="shared" si="115"/>
        <v>44.563927169679957</v>
      </c>
      <c r="AB272" s="196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7.3502066189843382E-2</v>
      </c>
      <c r="AD272" s="230">
        <f>(INDEX(Models!$BJ272:$BT272,,AH272)*(1-AF272)+INDEX(Models!$BJ272:$BT272,,AH272+1)*AF272-ERP_i)*AE272*Ramure*Pc/MaxiM</f>
        <v>4.5540431096286442E-4</v>
      </c>
      <c r="AE272" s="304">
        <f t="shared" si="117"/>
        <v>0.5</v>
      </c>
      <c r="AF272" s="176">
        <f t="shared" si="118"/>
        <v>2.9396563964469991E-2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1.02939656396447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8">
        <v>27.32</v>
      </c>
      <c r="C273" s="843"/>
      <c r="D273" s="392">
        <f t="shared" si="102"/>
        <v>28.240729053251965</v>
      </c>
      <c r="E273" s="384">
        <f t="shared" si="100"/>
        <v>29.6737953835508</v>
      </c>
      <c r="F273" s="384">
        <f t="shared" si="103"/>
        <v>29.679623391031399</v>
      </c>
      <c r="G273" s="110">
        <f t="shared" si="101"/>
        <v>0.5996504944168306</v>
      </c>
      <c r="H273" s="413" t="b">
        <f>Wh_hp&gt;='2021'!Maxi_hp</f>
        <v>0</v>
      </c>
      <c r="I273" s="379">
        <f>IF(H273,Wh_hp,'2021'!Maxi_hp)</f>
        <v>47.140487034967791</v>
      </c>
      <c r="J273" s="85">
        <f>IF(H273,An,'2021'!An_max)</f>
        <v>2018</v>
      </c>
      <c r="K273" s="196">
        <f t="shared" si="104"/>
        <v>44820</v>
      </c>
      <c r="L273" s="147">
        <f>IF(t&lt;Tvie,1-EXP((T0-t)*PertePVj)+'2021'!Pspv,1-EXP((T0-t)*PertePVj)+Pspv)</f>
        <v>3.2602878329231345E-2</v>
      </c>
      <c r="M273" s="847"/>
      <c r="N273" s="847"/>
      <c r="O273" s="48">
        <f>IF(t&lt;Tnet,'2021'!Resal+('2021'!Salim-'2021'!Resal)*(1-EXP(('2021'!Tnet-t)/('2021'!Tau_j))),Resal+(Salim-Resal)*(1-EXP((Tnet-t)/(Tau_j))))*Salcycl</f>
        <v>4.8294001888724819E-2</v>
      </c>
      <c r="P273" s="338">
        <f>(INDEX(Models!$BJ273:$BT273,,T273)*(1-R273)+INDEX(Models!$BJ273:$BT273,,T273+1)*R273-ERP_i)*Q273*Ramure*Pc/MaxiM</f>
        <v>4.5847632121661194E-4</v>
      </c>
      <c r="Q273" s="304">
        <f t="shared" si="105"/>
        <v>0.5</v>
      </c>
      <c r="R273" s="176">
        <f t="shared" si="106"/>
        <v>2.9613276567607372E-2</v>
      </c>
      <c r="S273" s="814">
        <f t="shared" si="107"/>
        <v>1</v>
      </c>
      <c r="T273" s="175">
        <f t="shared" si="108"/>
        <v>7</v>
      </c>
      <c r="U273" s="250">
        <f t="shared" si="109"/>
        <v>1.0296132765676074</v>
      </c>
      <c r="V273" s="382">
        <f t="shared" si="110"/>
        <v>45.547928230434934</v>
      </c>
      <c r="W273" s="401">
        <f t="shared" si="111"/>
        <v>0</v>
      </c>
      <c r="X273" s="157">
        <f t="shared" si="112"/>
        <v>44820</v>
      </c>
      <c r="Y273" s="384">
        <f t="shared" si="113"/>
        <v>26.595220581394162</v>
      </c>
      <c r="Z273" s="384">
        <f t="shared" si="114"/>
        <v>27.491523373009617</v>
      </c>
      <c r="AA273" s="385">
        <f t="shared" si="115"/>
        <v>29.6737953835508</v>
      </c>
      <c r="AB273" s="196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7.3542058989558526E-2</v>
      </c>
      <c r="AD273" s="230">
        <f>(INDEX(Models!$BJ273:$BT273,,AH273)*(1-AF273)+INDEX(Models!$BJ273:$BT273,,AH273+1)*AF273-ERP_i)*AE273*Ramure*Pc/MaxiM</f>
        <v>4.5847632121661194E-4</v>
      </c>
      <c r="AE273" s="304">
        <f t="shared" si="117"/>
        <v>0.5</v>
      </c>
      <c r="AF273" s="176">
        <f t="shared" si="118"/>
        <v>2.9613276567607372E-2</v>
      </c>
      <c r="AG273" s="814">
        <f t="shared" si="124"/>
        <v>1</v>
      </c>
      <c r="AH273" s="175">
        <f t="shared" si="119"/>
        <v>7</v>
      </c>
      <c r="AI273" s="224">
        <f t="shared" si="120"/>
        <v>1.0296132765676074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58">
        <v>47.246000000000002</v>
      </c>
      <c r="C274" s="843"/>
      <c r="D274" s="392">
        <f t="shared" si="102"/>
        <v>48.839336493004659</v>
      </c>
      <c r="E274" s="384">
        <f t="shared" si="100"/>
        <v>51.321509741587079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Wh_hp&gt;='2021'!Maxi_hp</f>
        <v>1</v>
      </c>
      <c r="I274" s="379">
        <f>IF(H274,Wh_hp,'2021'!Maxi_hp)</f>
        <v>51.345185269403622</v>
      </c>
      <c r="J274" s="85">
        <f>IF(H274,An,'2021'!An_max)</f>
        <v>2022</v>
      </c>
      <c r="K274" s="196">
        <f t="shared" si="104"/>
        <v>44821</v>
      </c>
      <c r="L274" s="147">
        <f>IF(t&lt;Tvie,1-EXP((T0-t)*PertePVj)+'2021'!Pspv,1-EXP((T0-t)*PertePVj)+Pspv)</f>
        <v>3.262404052587551E-2</v>
      </c>
      <c r="M274" s="847"/>
      <c r="N274" s="847"/>
      <c r="O274" s="48">
        <f>IF(t&lt;Tnet,'2021'!Resal+('2021'!Salim-'2021'!Resal)*(1-EXP(('2021'!Tnet-t)/('2021'!Tau_j))),Resal+(Salim-Resal)*(1-EXP((Tnet-t)/(Tau_j))))*Salcycl</f>
        <v>4.836516425725973E-2</v>
      </c>
      <c r="P274" s="338">
        <f>(INDEX(Models!$BJ274:$BT274,,T274)*(1-R274)+INDEX(Models!$BJ274:$BT274,,T274+1)*R274-ERP_i)*Q274*Ramure*Pc/MaxiM</f>
        <v>4.6110512002866405E-4</v>
      </c>
      <c r="Q274" s="304">
        <f t="shared" si="105"/>
        <v>0.5</v>
      </c>
      <c r="R274" s="176">
        <f t="shared" si="106"/>
        <v>2.9821563294666342E-2</v>
      </c>
      <c r="S274" s="814">
        <f t="shared" si="107"/>
        <v>1</v>
      </c>
      <c r="T274" s="175">
        <f t="shared" si="108"/>
        <v>7</v>
      </c>
      <c r="U274" s="250">
        <f t="shared" si="109"/>
        <v>1.0298215632946663</v>
      </c>
      <c r="V274" s="382">
        <f t="shared" si="110"/>
        <v>45.320570019708427</v>
      </c>
      <c r="W274" s="401">
        <f t="shared" si="111"/>
        <v>0</v>
      </c>
      <c r="X274" s="157">
        <f t="shared" si="112"/>
        <v>44821</v>
      </c>
      <c r="Y274" s="384">
        <f t="shared" si="113"/>
        <v>45.994087693775953</v>
      </c>
      <c r="Z274" s="384">
        <f t="shared" si="114"/>
        <v>47.545204367884864</v>
      </c>
      <c r="AA274" s="385">
        <f t="shared" si="115"/>
        <v>51.321509741587079</v>
      </c>
      <c r="AB274" s="196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7.3581338365075077E-2</v>
      </c>
      <c r="AD274" s="230">
        <f>(INDEX(Models!$BJ274:$BT274,,AH274)*(1-AF274)+INDEX(Models!$BJ274:$BT274,,AH274+1)*AF274-ERP_i)*AE274*Ramure*Pc/MaxiM</f>
        <v>4.6110512002866405E-4</v>
      </c>
      <c r="AE274" s="304">
        <f t="shared" si="117"/>
        <v>0.5</v>
      </c>
      <c r="AF274" s="176">
        <f t="shared" si="118"/>
        <v>2.9821563294666342E-2</v>
      </c>
      <c r="AG274" s="814">
        <f t="shared" si="124"/>
        <v>1</v>
      </c>
      <c r="AH274" s="175">
        <f t="shared" si="119"/>
        <v>7</v>
      </c>
      <c r="AI274" s="224">
        <f t="shared" si="120"/>
        <v>1.0298215632946663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8">
        <v>45.68</v>
      </c>
      <c r="C275" s="843"/>
      <c r="D275" s="392">
        <f t="shared" si="102"/>
        <v>47.221557288674354</v>
      </c>
      <c r="E275" s="384">
        <f t="shared" si="100"/>
        <v>49.625191874310268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Wh_hp&gt;='2021'!Maxi_hp</f>
        <v>1</v>
      </c>
      <c r="I275" s="379">
        <f>IF(H275,Wh_hp,'2021'!Maxi_hp)</f>
        <v>49.64819390324049</v>
      </c>
      <c r="J275" s="85">
        <f>IF(H275,An,'2021'!An_max)</f>
        <v>2022</v>
      </c>
      <c r="K275" s="196">
        <f t="shared" si="104"/>
        <v>44822</v>
      </c>
      <c r="L275" s="147">
        <f>IF(t&lt;Tvie,1-EXP((T0-t)*PertePVj)+'2021'!Pspv,1-EXP((T0-t)*PertePVj)+Pspv)</f>
        <v>3.2645202259013219E-2</v>
      </c>
      <c r="M275" s="847"/>
      <c r="N275" s="847"/>
      <c r="O275" s="48">
        <f>IF(t&lt;Tnet,'2021'!Resal+('2021'!Salim-'2021'!Resal)*(1-EXP(('2021'!Tnet-t)/('2021'!Tau_j))),Resal+(Salim-Resal)*(1-EXP((Tnet-t)/(Tau_j))))*Salcycl</f>
        <v>4.8435774147207233E-2</v>
      </c>
      <c r="P275" s="338">
        <f>(INDEX(Models!$BJ275:$BT275,,T275)*(1-R275)+INDEX(Models!$BJ275:$BT275,,T275+1)*R275-ERP_i)*Q275*Ramure*Pc/MaxiM</f>
        <v>4.6330041682988244E-4</v>
      </c>
      <c r="Q275" s="304">
        <f t="shared" si="105"/>
        <v>0.5</v>
      </c>
      <c r="R275" s="176">
        <f t="shared" si="106"/>
        <v>3.0021740340580916E-2</v>
      </c>
      <c r="S275" s="814">
        <f t="shared" si="107"/>
        <v>1</v>
      </c>
      <c r="T275" s="175">
        <f t="shared" si="108"/>
        <v>7</v>
      </c>
      <c r="U275" s="250">
        <f t="shared" si="109"/>
        <v>1.0300217403405809</v>
      </c>
      <c r="V275" s="382">
        <f t="shared" si="110"/>
        <v>45.088035254826842</v>
      </c>
      <c r="W275" s="401">
        <f t="shared" si="111"/>
        <v>0</v>
      </c>
      <c r="X275" s="157">
        <f t="shared" si="112"/>
        <v>44822</v>
      </c>
      <c r="Y275" s="384">
        <f t="shared" si="113"/>
        <v>44.471032810089213</v>
      </c>
      <c r="Z275" s="384">
        <f t="shared" si="114"/>
        <v>45.971791233102991</v>
      </c>
      <c r="AA275" s="385">
        <f t="shared" si="115"/>
        <v>49.625191874310268</v>
      </c>
      <c r="AB275" s="196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7.3619879404406979E-2</v>
      </c>
      <c r="AD275" s="230">
        <f>(INDEX(Models!$BJ275:$BT275,,AH275)*(1-AF275)+INDEX(Models!$BJ275:$BT275,,AH275+1)*AF275-ERP_i)*AE275*Ramure*Pc/MaxiM</f>
        <v>4.6330041682988244E-4</v>
      </c>
      <c r="AE275" s="304">
        <f t="shared" si="117"/>
        <v>0.5</v>
      </c>
      <c r="AF275" s="176">
        <f t="shared" si="118"/>
        <v>3.0021740340580916E-2</v>
      </c>
      <c r="AG275" s="814">
        <f t="shared" si="124"/>
        <v>1</v>
      </c>
      <c r="AH275" s="175">
        <f t="shared" si="119"/>
        <v>7</v>
      </c>
      <c r="AI275" s="224">
        <f t="shared" si="120"/>
        <v>1.0300217403405809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8">
        <v>44.503</v>
      </c>
      <c r="C276" s="843"/>
      <c r="D276" s="392">
        <f t="shared" si="102"/>
        <v>46.005843611867711</v>
      </c>
      <c r="E276" s="384">
        <f t="shared" si="100"/>
        <v>48.351155765384512</v>
      </c>
      <c r="F276" s="384">
        <f t="shared" si="103"/>
        <v>48.373399952604053</v>
      </c>
      <c r="G276" s="110">
        <f t="shared" si="101"/>
        <v>0.99227533963049186</v>
      </c>
      <c r="H276" s="413" t="b">
        <f>Wh_hp&gt;='2021'!Maxi_hp</f>
        <v>1</v>
      </c>
      <c r="I276" s="379">
        <f>IF(H276,Wh_hp,'2021'!Maxi_hp)</f>
        <v>48.373399952604053</v>
      </c>
      <c r="J276" s="85">
        <f>IF(H276,An,'2021'!An_max)</f>
        <v>2022</v>
      </c>
      <c r="K276" s="196">
        <f t="shared" si="104"/>
        <v>44823</v>
      </c>
      <c r="L276" s="147">
        <f>IF(t&lt;Tvie,1-EXP((T0-t)*PertePVj)+'2021'!Pspv,1-EXP((T0-t)*PertePVj)+Pspv)</f>
        <v>3.2666363528654686E-2</v>
      </c>
      <c r="M276" s="847"/>
      <c r="N276" s="847"/>
      <c r="O276" s="48">
        <f>IF(t&lt;Tnet,'2021'!Resal+('2021'!Salim-'2021'!Resal)*(1-EXP(('2021'!Tnet-t)/('2021'!Tau_j))),Resal+(Salim-Resal)*(1-EXP((Tnet-t)/(Tau_j))))*Salcycl</f>
        <v>4.8505813695478434E-2</v>
      </c>
      <c r="P276" s="338">
        <f>(INDEX(Models!$BJ276:$BT276,,T276)*(1-R276)+INDEX(Models!$BJ276:$BT276,,T276+1)*R276-ERP_i)*Q276*Ramure*Pc/MaxiM</f>
        <v>4.6497105008479591E-4</v>
      </c>
      <c r="Q276" s="304">
        <f t="shared" si="105"/>
        <v>0.5</v>
      </c>
      <c r="R276" s="176">
        <f t="shared" si="106"/>
        <v>3.0214112922137826E-2</v>
      </c>
      <c r="S276" s="814">
        <f t="shared" si="107"/>
        <v>1</v>
      </c>
      <c r="T276" s="175">
        <f t="shared" si="108"/>
        <v>7</v>
      </c>
      <c r="U276" s="250">
        <f t="shared" si="109"/>
        <v>1.0302141129221378</v>
      </c>
      <c r="V276" s="382">
        <f t="shared" si="110"/>
        <v>44.849216664410633</v>
      </c>
      <c r="W276" s="401">
        <f t="shared" si="111"/>
        <v>0</v>
      </c>
      <c r="X276" s="157">
        <f t="shared" si="112"/>
        <v>44823</v>
      </c>
      <c r="Y276" s="384">
        <f t="shared" si="113"/>
        <v>43.326605561373803</v>
      </c>
      <c r="Z276" s="384">
        <f t="shared" si="114"/>
        <v>44.789722933052623</v>
      </c>
      <c r="AA276" s="385">
        <f t="shared" si="115"/>
        <v>48.351155765384512</v>
      </c>
      <c r="AB276" s="196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7.3657656698282725E-2</v>
      </c>
      <c r="AD276" s="230">
        <f>(INDEX(Models!$BJ276:$BT276,,AH276)*(1-AF276)+INDEX(Models!$BJ276:$BT276,,AH276+1)*AF276-ERP_i)*AE276*Ramure*Pc/MaxiM</f>
        <v>4.6497105008479591E-4</v>
      </c>
      <c r="AE276" s="304">
        <f t="shared" si="117"/>
        <v>0.5</v>
      </c>
      <c r="AF276" s="176">
        <f t="shared" si="118"/>
        <v>3.0214112922137826E-2</v>
      </c>
      <c r="AG276" s="814">
        <f t="shared" si="124"/>
        <v>1</v>
      </c>
      <c r="AH276" s="175">
        <f t="shared" si="119"/>
        <v>7</v>
      </c>
      <c r="AI276" s="224">
        <f t="shared" si="120"/>
        <v>1.0302141129221378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8">
        <v>45.844999999999999</v>
      </c>
      <c r="C277" s="843"/>
      <c r="D277" s="392">
        <f t="shared" si="102"/>
        <v>47.394199034261241</v>
      </c>
      <c r="E277" s="384">
        <f t="shared" si="100"/>
        <v>49.813923557516922</v>
      </c>
      <c r="F277" s="384">
        <f t="shared" si="103"/>
        <v>49.837145014855793</v>
      </c>
      <c r="G277" s="110">
        <f t="shared" si="101"/>
        <v>1.0278059854196935</v>
      </c>
      <c r="H277" s="413" t="b">
        <f>Wh_hp&gt;='2021'!Maxi_hp</f>
        <v>1</v>
      </c>
      <c r="I277" s="379">
        <f>IF(H277,Wh_hp,'2021'!Maxi_hp)</f>
        <v>49.837145014855793</v>
      </c>
      <c r="J277" s="85">
        <f>IF(H277,An,'2021'!An_max)</f>
        <v>2022</v>
      </c>
      <c r="K277" s="196">
        <f t="shared" si="104"/>
        <v>44824</v>
      </c>
      <c r="L277" s="147">
        <f>IF(t&lt;Tvie,1-EXP((T0-t)*PertePVj)+'2021'!Pspv,1-EXP((T0-t)*PertePVj)+Pspv)</f>
        <v>3.2687524334810016E-2</v>
      </c>
      <c r="M277" s="847"/>
      <c r="N277" s="847"/>
      <c r="O277" s="48">
        <f>IF(t&lt;Tnet,'2021'!Resal+('2021'!Salim-'2021'!Resal)*(1-EXP(('2021'!Tnet-t)/('2021'!Tau_j))),Resal+(Salim-Resal)*(1-EXP((Tnet-t)/(Tau_j))))*Salcycl</f>
        <v>4.8575264714127195E-2</v>
      </c>
      <c r="P277" s="338">
        <f>(INDEX(Models!$BJ277:$BT277,,T277)*(1-R277)+INDEX(Models!$BJ277:$BT277,,T277+1)*R277-ERP_i)*Q277*Ramure*Pc/MaxiM</f>
        <v>4.6594678190225509E-4</v>
      </c>
      <c r="Q277" s="304">
        <f t="shared" si="105"/>
        <v>0.5</v>
      </c>
      <c r="R277" s="176">
        <f t="shared" si="106"/>
        <v>3.0398975589173149E-2</v>
      </c>
      <c r="S277" s="814">
        <f t="shared" si="107"/>
        <v>1</v>
      </c>
      <c r="T277" s="175">
        <f t="shared" si="108"/>
        <v>7</v>
      </c>
      <c r="U277" s="250">
        <f t="shared" si="109"/>
        <v>1.0303989755891731</v>
      </c>
      <c r="V277" s="382">
        <f t="shared" si="110"/>
        <v>44.604721757170623</v>
      </c>
      <c r="W277" s="401">
        <f t="shared" si="111"/>
        <v>0</v>
      </c>
      <c r="X277" s="157">
        <f t="shared" si="112"/>
        <v>44824</v>
      </c>
      <c r="Y277" s="384">
        <f t="shared" si="113"/>
        <v>44.63460687023278</v>
      </c>
      <c r="Z277" s="384">
        <f t="shared" si="114"/>
        <v>46.142904173275532</v>
      </c>
      <c r="AA277" s="385">
        <f t="shared" si="115"/>
        <v>49.813923557516922</v>
      </c>
      <c r="AB277" s="196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7.3694644430140177E-2</v>
      </c>
      <c r="AD277" s="230">
        <f>(INDEX(Models!$BJ277:$BT277,,AH277)*(1-AF277)+INDEX(Models!$BJ277:$BT277,,AH277+1)*AF277-ERP_i)*AE277*Ramure*Pc/MaxiM</f>
        <v>4.6594678190225509E-4</v>
      </c>
      <c r="AE277" s="304">
        <f t="shared" si="117"/>
        <v>0.5</v>
      </c>
      <c r="AF277" s="176">
        <f t="shared" si="118"/>
        <v>3.0398975589173149E-2</v>
      </c>
      <c r="AG277" s="814">
        <f t="shared" si="124"/>
        <v>1</v>
      </c>
      <c r="AH277" s="175">
        <f t="shared" si="119"/>
        <v>7</v>
      </c>
      <c r="AI277" s="224">
        <f t="shared" si="120"/>
        <v>1.0303989755891731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8">
        <v>44.728000000000002</v>
      </c>
      <c r="C278" s="843"/>
      <c r="D278" s="392">
        <f t="shared" si="102"/>
        <v>46.240464781891447</v>
      </c>
      <c r="E278" s="384">
        <f t="shared" si="100"/>
        <v>48.604802059410574</v>
      </c>
      <c r="F278" s="384">
        <f t="shared" si="103"/>
        <v>48.627472839036514</v>
      </c>
      <c r="G278" s="110">
        <f t="shared" si="101"/>
        <v>1.0084059985964879</v>
      </c>
      <c r="H278" s="413" t="b">
        <f>Wh_hp&gt;='2021'!Maxi_hp</f>
        <v>1</v>
      </c>
      <c r="I278" s="379">
        <f>IF(H278,Wh_hp,'2021'!Maxi_hp)</f>
        <v>48.627472839036514</v>
      </c>
      <c r="J278" s="85">
        <f>IF(H278,An,'2021'!An_max)</f>
        <v>2022</v>
      </c>
      <c r="K278" s="196">
        <f t="shared" si="104"/>
        <v>44825</v>
      </c>
      <c r="L278" s="147">
        <f>IF(t&lt;Tvie,1-EXP((T0-t)*PertePVj)+'2021'!Pspv,1-EXP((T0-t)*PertePVj)+Pspv)</f>
        <v>3.270868467748942E-2</v>
      </c>
      <c r="M278" s="847"/>
      <c r="N278" s="847"/>
      <c r="O278" s="48">
        <f>IF(t&lt;Tnet,'2021'!Resal+('2021'!Salim-'2021'!Resal)*(1-EXP(('2021'!Tnet-t)/('2021'!Tau_j))),Resal+(Salim-Resal)*(1-EXP((Tnet-t)/(Tau_j))))*Salcycl</f>
        <v>4.8644108757590461E-2</v>
      </c>
      <c r="P278" s="338">
        <f>(INDEX(Models!$BJ278:$BT278,,T278)*(1-R278)+INDEX(Models!$BJ278:$BT278,,T278+1)*R278-ERP_i)*Q278*Ramure*Pc/MaxiM</f>
        <v>4.6621340370670374E-4</v>
      </c>
      <c r="Q278" s="304">
        <f t="shared" si="105"/>
        <v>0.5</v>
      </c>
      <c r="R278" s="176">
        <f t="shared" si="106"/>
        <v>3.0576612532725811E-2</v>
      </c>
      <c r="S278" s="814">
        <f t="shared" si="107"/>
        <v>1</v>
      </c>
      <c r="T278" s="175">
        <f t="shared" si="108"/>
        <v>7</v>
      </c>
      <c r="U278" s="250">
        <f t="shared" si="109"/>
        <v>1.0305766125327258</v>
      </c>
      <c r="V278" s="382">
        <f t="shared" si="110"/>
        <v>44.355150665756646</v>
      </c>
      <c r="W278" s="401">
        <f t="shared" si="111"/>
        <v>0</v>
      </c>
      <c r="X278" s="157">
        <f t="shared" si="112"/>
        <v>44825</v>
      </c>
      <c r="Y278" s="384">
        <f t="shared" si="113"/>
        <v>43.548548363331172</v>
      </c>
      <c r="Z278" s="384">
        <f t="shared" si="114"/>
        <v>45.021130318751368</v>
      </c>
      <c r="AA278" s="385">
        <f t="shared" si="115"/>
        <v>48.604802059410574</v>
      </c>
      <c r="AB278" s="196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7.373081647938437E-2</v>
      </c>
      <c r="AD278" s="230">
        <f>(INDEX(Models!$BJ278:$BT278,,AH278)*(1-AF278)+INDEX(Models!$BJ278:$BT278,,AH278+1)*AF278-ERP_i)*AE278*Ramure*Pc/MaxiM</f>
        <v>4.6621340370670374E-4</v>
      </c>
      <c r="AE278" s="304">
        <f t="shared" si="117"/>
        <v>0.5</v>
      </c>
      <c r="AF278" s="176">
        <f t="shared" si="118"/>
        <v>3.0576612532725811E-2</v>
      </c>
      <c r="AG278" s="814">
        <f t="shared" si="124"/>
        <v>1</v>
      </c>
      <c r="AH278" s="175">
        <f t="shared" si="119"/>
        <v>7</v>
      </c>
      <c r="AI278" s="224">
        <f t="shared" si="120"/>
        <v>1.0305766125327258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8">
        <v>43.563000000000002</v>
      </c>
      <c r="C279" s="843"/>
      <c r="D279" s="392">
        <f t="shared" si="102"/>
        <v>45.037055836831037</v>
      </c>
      <c r="E279" s="384">
        <f t="shared" si="100"/>
        <v>47.343256014473845</v>
      </c>
      <c r="F279" s="384">
        <f t="shared" si="103"/>
        <v>47.364931992857663</v>
      </c>
      <c r="G279" s="110">
        <f t="shared" si="101"/>
        <v>0.98779039425186488</v>
      </c>
      <c r="H279" s="413" t="b">
        <f>Wh_hp&gt;='2021'!Maxi_hp</f>
        <v>1</v>
      </c>
      <c r="I279" s="379">
        <f>IF(H279,Wh_hp,'2021'!Maxi_hp)</f>
        <v>47.364931992857663</v>
      </c>
      <c r="J279" s="85">
        <f>IF(H279,An,'2021'!An_max)</f>
        <v>2022</v>
      </c>
      <c r="K279" s="196">
        <f t="shared" si="104"/>
        <v>44826</v>
      </c>
      <c r="L279" s="147">
        <f>IF(t&lt;Tvie,1-EXP((T0-t)*PertePVj)+'2021'!Pspv,1-EXP((T0-t)*PertePVj)+Pspv)</f>
        <v>3.2729844556703004E-2</v>
      </c>
      <c r="M279" s="847"/>
      <c r="N279" s="847"/>
      <c r="O279" s="48">
        <f>IF(t&lt;Tnet,'2021'!Resal+('2021'!Salim-'2021'!Resal)*(1-EXP(('2021'!Tnet-t)/('2021'!Tau_j))),Resal+(Salim-Resal)*(1-EXP((Tnet-t)/(Tau_j))))*Salcycl</f>
        <v>4.8712327198994272E-2</v>
      </c>
      <c r="P279" s="338">
        <f>(INDEX(Models!$BJ279:$BT279,,T279)*(1-R279)+INDEX(Models!$BJ279:$BT279,,T279+1)*R279-ERP_i)*Q279*Ramure*Pc/MaxiM</f>
        <v>4.6575621523260068E-4</v>
      </c>
      <c r="Q279" s="304">
        <f t="shared" si="105"/>
        <v>0.5</v>
      </c>
      <c r="R279" s="176">
        <f t="shared" si="106"/>
        <v>3.0747297889611946E-2</v>
      </c>
      <c r="S279" s="814">
        <f t="shared" si="107"/>
        <v>1</v>
      </c>
      <c r="T279" s="175">
        <f t="shared" si="108"/>
        <v>7</v>
      </c>
      <c r="U279" s="250">
        <f t="shared" si="109"/>
        <v>1.0307472978896119</v>
      </c>
      <c r="V279" s="382">
        <f t="shared" si="110"/>
        <v>44.101103254853335</v>
      </c>
      <c r="W279" s="401">
        <f t="shared" si="111"/>
        <v>0</v>
      </c>
      <c r="X279" s="157">
        <f t="shared" si="112"/>
        <v>44826</v>
      </c>
      <c r="Y279" s="384">
        <f t="shared" si="113"/>
        <v>42.415692447235827</v>
      </c>
      <c r="Z279" s="384">
        <f t="shared" si="114"/>
        <v>43.850926453733955</v>
      </c>
      <c r="AA279" s="385">
        <f t="shared" si="115"/>
        <v>47.343256014473845</v>
      </c>
      <c r="AB279" s="196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7.3766146537792274E-2</v>
      </c>
      <c r="AD279" s="230">
        <f>(INDEX(Models!$BJ279:$BT279,,AH279)*(1-AF279)+INDEX(Models!$BJ279:$BT279,,AH279+1)*AF279-ERP_i)*AE279*Ramure*Pc/MaxiM</f>
        <v>4.6575621523260068E-4</v>
      </c>
      <c r="AE279" s="304">
        <f t="shared" si="117"/>
        <v>0.5</v>
      </c>
      <c r="AF279" s="176">
        <f t="shared" si="118"/>
        <v>3.0747297889611946E-2</v>
      </c>
      <c r="AG279" s="814">
        <f t="shared" si="124"/>
        <v>1</v>
      </c>
      <c r="AH279" s="175">
        <f t="shared" si="119"/>
        <v>7</v>
      </c>
      <c r="AI279" s="224">
        <f t="shared" si="120"/>
        <v>1.0307472978896119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8">
        <v>27.524000000000001</v>
      </c>
      <c r="C280" s="843"/>
      <c r="D280" s="392">
        <f t="shared" si="102"/>
        <v>28.455961301629873</v>
      </c>
      <c r="E280" s="384">
        <f t="shared" si="100"/>
        <v>29.915222923674818</v>
      </c>
      <c r="F280" s="384">
        <f t="shared" si="103"/>
        <v>29.921731998627919</v>
      </c>
      <c r="G280" s="110">
        <f t="shared" si="101"/>
        <v>0.62762783182352055</v>
      </c>
      <c r="H280" s="413" t="b">
        <f>Wh_hp&gt;='2021'!Maxi_hp</f>
        <v>0</v>
      </c>
      <c r="I280" s="379">
        <f>IF(H280,Wh_hp,'2021'!Maxi_hp)</f>
        <v>44.179127561148483</v>
      </c>
      <c r="J280" s="85">
        <f>IF(H280,An,'2021'!An_max)</f>
        <v>2018</v>
      </c>
      <c r="K280" s="196">
        <f t="shared" si="104"/>
        <v>44827</v>
      </c>
      <c r="L280" s="147">
        <f>IF(t&lt;Tvie,1-EXP((T0-t)*PertePVj)+'2021'!Pspv,1-EXP((T0-t)*PertePVj)+Pspv)</f>
        <v>3.275100397246087E-2</v>
      </c>
      <c r="M280" s="847"/>
      <c r="N280" s="847"/>
      <c r="O280" s="48">
        <f>IF(t&lt;Tnet,'2021'!Resal+('2021'!Salim-'2021'!Resal)*(1-EXP(('2021'!Tnet-t)/('2021'!Tau_j))),Resal+(Salim-Resal)*(1-EXP((Tnet-t)/(Tau_j))))*Salcycl</f>
        <v>4.8779901315396591E-2</v>
      </c>
      <c r="P280" s="338">
        <f>(INDEX(Models!$BJ280:$BT280,,T280)*(1-R280)+INDEX(Models!$BJ280:$BT280,,T280+1)*R280-ERP_i)*Q280*Ramure*Pc/MaxiM</f>
        <v>4.6456258753879807E-4</v>
      </c>
      <c r="Q280" s="304">
        <f t="shared" si="105"/>
        <v>0.5</v>
      </c>
      <c r="R280" s="176">
        <f t="shared" si="106"/>
        <v>3.0911296042950953E-2</v>
      </c>
      <c r="S280" s="814">
        <f t="shared" si="107"/>
        <v>1</v>
      </c>
      <c r="T280" s="175">
        <f t="shared" si="108"/>
        <v>7</v>
      </c>
      <c r="U280" s="250">
        <f t="shared" si="109"/>
        <v>1.030911296042951</v>
      </c>
      <c r="V280" s="382">
        <f t="shared" si="110"/>
        <v>43.843179006648853</v>
      </c>
      <c r="W280" s="401">
        <f t="shared" si="111"/>
        <v>0</v>
      </c>
      <c r="X280" s="157">
        <f t="shared" si="112"/>
        <v>44827</v>
      </c>
      <c r="Y280" s="384">
        <f t="shared" si="113"/>
        <v>26.800014101981443</v>
      </c>
      <c r="Z280" s="384">
        <f t="shared" si="114"/>
        <v>27.707461276308635</v>
      </c>
      <c r="AA280" s="385">
        <f t="shared" si="115"/>
        <v>29.915222923674818</v>
      </c>
      <c r="AB280" s="196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7.3800608238789658E-2</v>
      </c>
      <c r="AD280" s="230">
        <f>(INDEX(Models!$BJ280:$BT280,,AH280)*(1-AF280)+INDEX(Models!$BJ280:$BT280,,AH280+1)*AF280-ERP_i)*AE280*Ramure*Pc/MaxiM</f>
        <v>4.6456258753879807E-4</v>
      </c>
      <c r="AE280" s="304">
        <f t="shared" si="117"/>
        <v>0.5</v>
      </c>
      <c r="AF280" s="176">
        <f t="shared" si="118"/>
        <v>3.0911296042950953E-2</v>
      </c>
      <c r="AG280" s="814">
        <f t="shared" si="124"/>
        <v>1</v>
      </c>
      <c r="AH280" s="175">
        <f t="shared" si="119"/>
        <v>7</v>
      </c>
      <c r="AI280" s="224">
        <f t="shared" si="120"/>
        <v>1.030911296042951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8">
        <v>17.254000000000001</v>
      </c>
      <c r="C281" s="843"/>
      <c r="D281" s="392">
        <f t="shared" si="102"/>
        <v>17.8386098276223</v>
      </c>
      <c r="E281" s="384">
        <f t="shared" si="100"/>
        <v>18.754718020018384</v>
      </c>
      <c r="F281" s="384">
        <f t="shared" si="103"/>
        <v>18.755906715386104</v>
      </c>
      <c r="G281" s="110">
        <f t="shared" si="101"/>
        <v>0.39573952747597652</v>
      </c>
      <c r="H281" s="413" t="b">
        <f>Wh_hp&gt;='2021'!Maxi_hp</f>
        <v>0</v>
      </c>
      <c r="I281" s="379">
        <f>IF(H281,Wh_hp,'2021'!Maxi_hp)</f>
        <v>40.512868531707113</v>
      </c>
      <c r="J281" s="85">
        <f>IF(H281,An,'2021'!An_max)</f>
        <v>2021</v>
      </c>
      <c r="K281" s="196">
        <f t="shared" si="104"/>
        <v>44828</v>
      </c>
      <c r="L281" s="147">
        <f>IF(t&lt;Tvie,1-EXP((T0-t)*PertePVj)+'2021'!Pspv,1-EXP((T0-t)*PertePVj)+Pspv)</f>
        <v>3.2772162924773231E-2</v>
      </c>
      <c r="M281" s="847"/>
      <c r="N281" s="847"/>
      <c r="O281" s="48">
        <f>IF(t&lt;Tnet,'2021'!Resal+('2021'!Salim-'2021'!Resal)*(1-EXP(('2021'!Tnet-t)/('2021'!Tau_j))),Resal+(Salim-Resal)*(1-EXP((Tnet-t)/(Tau_j))))*Salcycl</f>
        <v>4.8846812381729852E-2</v>
      </c>
      <c r="P281" s="338">
        <f>(INDEX(Models!$BJ281:$BT281,,T281)*(1-R281)+INDEX(Models!$BJ281:$BT281,,T281+1)*R281-ERP_i)*Q281*Ramure*Pc/MaxiM</f>
        <v>4.6261831820178836E-4</v>
      </c>
      <c r="Q281" s="304">
        <f t="shared" si="105"/>
        <v>0.5</v>
      </c>
      <c r="R281" s="176">
        <f t="shared" si="106"/>
        <v>3.106886191823266E-2</v>
      </c>
      <c r="S281" s="814">
        <f t="shared" si="107"/>
        <v>1</v>
      </c>
      <c r="T281" s="175">
        <f t="shared" si="108"/>
        <v>7</v>
      </c>
      <c r="U281" s="250">
        <f t="shared" si="109"/>
        <v>1.0310688619182327</v>
      </c>
      <c r="V281" s="382">
        <f t="shared" si="110"/>
        <v>43.581977180248956</v>
      </c>
      <c r="W281" s="401">
        <f t="shared" si="111"/>
        <v>0</v>
      </c>
      <c r="X281" s="157">
        <f t="shared" si="112"/>
        <v>44828</v>
      </c>
      <c r="Y281" s="384">
        <f t="shared" si="113"/>
        <v>16.80072710411978</v>
      </c>
      <c r="Z281" s="384">
        <f t="shared" si="114"/>
        <v>17.369978882041927</v>
      </c>
      <c r="AA281" s="385">
        <f t="shared" si="115"/>
        <v>18.754718020018384</v>
      </c>
      <c r="AB281" s="196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7.3834175299165514E-2</v>
      </c>
      <c r="AD281" s="230">
        <f>(INDEX(Models!$BJ281:$BT281,,AH281)*(1-AF281)+INDEX(Models!$BJ281:$BT281,,AH281+1)*AF281-ERP_i)*AE281*Ramure*Pc/MaxiM</f>
        <v>4.6261831820178836E-4</v>
      </c>
      <c r="AE281" s="304">
        <f t="shared" si="117"/>
        <v>0.5</v>
      </c>
      <c r="AF281" s="176">
        <f t="shared" si="118"/>
        <v>3.106886191823266E-2</v>
      </c>
      <c r="AG281" s="814">
        <f t="shared" si="124"/>
        <v>1</v>
      </c>
      <c r="AH281" s="175">
        <f t="shared" si="119"/>
        <v>7</v>
      </c>
      <c r="AI281" s="224">
        <f t="shared" si="120"/>
        <v>1.0310688619182327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8">
        <v>30.542999999999999</v>
      </c>
      <c r="C282" s="843"/>
      <c r="D282" s="392">
        <f t="shared" si="102"/>
        <v>31.578566066811128</v>
      </c>
      <c r="E282" s="384">
        <f t="shared" si="100"/>
        <v>33.202606547862501</v>
      </c>
      <c r="F282" s="384">
        <f t="shared" si="103"/>
        <v>33.211453043454441</v>
      </c>
      <c r="G282" s="110">
        <f t="shared" si="101"/>
        <v>0.70494988028819106</v>
      </c>
      <c r="H282" s="413" t="b">
        <f>Wh_hp&gt;='2021'!Maxi_hp</f>
        <v>0</v>
      </c>
      <c r="I282" s="379">
        <f>IF(H282,Wh_hp,'2021'!Maxi_hp)</f>
        <v>46.527927467994083</v>
      </c>
      <c r="J282" s="85">
        <f>IF(H282,An,'2021'!An_max)</f>
        <v>2018</v>
      </c>
      <c r="K282" s="196">
        <f t="shared" si="104"/>
        <v>44829</v>
      </c>
      <c r="L282" s="147">
        <f>IF(t&lt;Tvie,1-EXP((T0-t)*PertePVj)+'2021'!Pspv,1-EXP((T0-t)*PertePVj)+Pspv)</f>
        <v>3.2793321413650302E-2</v>
      </c>
      <c r="M282" s="847"/>
      <c r="N282" s="847"/>
      <c r="O282" s="48">
        <f>IF(t&lt;Tnet,'2021'!Resal+('2021'!Salim-'2021'!Resal)*(1-EXP(('2021'!Tnet-t)/('2021'!Tau_j))),Resal+(Salim-Resal)*(1-EXP((Tnet-t)/(Tau_j))))*Salcycl</f>
        <v>4.8913041773099117E-2</v>
      </c>
      <c r="P282" s="338">
        <f>(INDEX(Models!$BJ282:$BT282,,T282)*(1-R282)+INDEX(Models!$BJ282:$BT282,,T282+1)*R282-ERP_i)*Q282*Ramure*Pc/MaxiM</f>
        <v>4.6029207575871734E-4</v>
      </c>
      <c r="Q282" s="304">
        <f t="shared" si="105"/>
        <v>0.5</v>
      </c>
      <c r="R282" s="176">
        <f t="shared" si="106"/>
        <v>3.1220241274563687E-2</v>
      </c>
      <c r="S282" s="814">
        <f t="shared" si="107"/>
        <v>1</v>
      </c>
      <c r="T282" s="175">
        <f t="shared" si="108"/>
        <v>7</v>
      </c>
      <c r="U282" s="250">
        <f t="shared" si="109"/>
        <v>1.0312202412745637</v>
      </c>
      <c r="V282" s="382">
        <f t="shared" si="110"/>
        <v>43.318080161138049</v>
      </c>
      <c r="W282" s="401">
        <f t="shared" si="111"/>
        <v>0</v>
      </c>
      <c r="X282" s="157">
        <f t="shared" si="112"/>
        <v>44829</v>
      </c>
      <c r="Y282" s="384">
        <f t="shared" si="113"/>
        <v>29.74163973227823</v>
      </c>
      <c r="Z282" s="384">
        <f t="shared" si="114"/>
        <v>30.750035530925022</v>
      </c>
      <c r="AA282" s="385">
        <f t="shared" si="115"/>
        <v>33.202606547862501</v>
      </c>
      <c r="AB282" s="196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7.3866821672630714E-2</v>
      </c>
      <c r="AD282" s="230">
        <f>(INDEX(Models!$BJ282:$BT282,,AH282)*(1-AF282)+INDEX(Models!$BJ282:$BT282,,AH282+1)*AF282-ERP_i)*AE282*Ramure*Pc/MaxiM</f>
        <v>4.6029207575871734E-4</v>
      </c>
      <c r="AE282" s="304">
        <f t="shared" si="117"/>
        <v>0.5</v>
      </c>
      <c r="AF282" s="176">
        <f t="shared" si="118"/>
        <v>3.1220241274563687E-2</v>
      </c>
      <c r="AG282" s="814">
        <f t="shared" si="124"/>
        <v>1</v>
      </c>
      <c r="AH282" s="175">
        <f t="shared" si="119"/>
        <v>7</v>
      </c>
      <c r="AI282" s="224">
        <f t="shared" si="120"/>
        <v>1.0312202412745637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8">
        <v>32.939</v>
      </c>
      <c r="C283" s="843"/>
      <c r="D283" s="392">
        <f t="shared" si="102"/>
        <v>34.056547890520278</v>
      </c>
      <c r="E283" s="384">
        <f t="shared" si="100"/>
        <v>35.810494753010943</v>
      </c>
      <c r="F283" s="384">
        <f t="shared" si="103"/>
        <v>35.821400729717986</v>
      </c>
      <c r="G283" s="110">
        <f t="shared" si="101"/>
        <v>0.76497929209066295</v>
      </c>
      <c r="H283" s="413" t="b">
        <f>Wh_hp&gt;='2021'!Maxi_hp</f>
        <v>0</v>
      </c>
      <c r="I283" s="379">
        <f>IF(H283,Wh_hp,'2021'!Maxi_hp)</f>
        <v>45.350079953012298</v>
      </c>
      <c r="J283" s="85">
        <f>IF(H283,An,'2021'!An_max)</f>
        <v>2018</v>
      </c>
      <c r="K283" s="196">
        <f t="shared" si="104"/>
        <v>44830</v>
      </c>
      <c r="L283" s="147">
        <f>IF(t&lt;Tvie,1-EXP((T0-t)*PertePVj)+'2021'!Pspv,1-EXP((T0-t)*PertePVj)+Pspv)</f>
        <v>3.2814479439102186E-2</v>
      </c>
      <c r="M283" s="847"/>
      <c r="N283" s="847"/>
      <c r="O283" s="48">
        <f>IF(t&lt;Tnet,'2021'!Resal+('2021'!Salim-'2021'!Resal)*(1-EXP(('2021'!Tnet-t)/('2021'!Tau_j))),Resal+(Salim-Resal)*(1-EXP((Tnet-t)/(Tau_j))))*Salcycl</f>
        <v>4.89785710749834E-2</v>
      </c>
      <c r="P283" s="338">
        <f>(INDEX(Models!$BJ283:$BT283,,T283)*(1-R283)+INDEX(Models!$BJ283:$BT283,,T283+1)*R283-ERP_i)*Q283*Ramure*Pc/MaxiM</f>
        <v>4.5822262213076741E-4</v>
      </c>
      <c r="Q283" s="304">
        <f t="shared" si="105"/>
        <v>0.5</v>
      </c>
      <c r="R283" s="176">
        <f t="shared" si="106"/>
        <v>3.1365670990790351E-2</v>
      </c>
      <c r="S283" s="814">
        <f t="shared" si="107"/>
        <v>1</v>
      </c>
      <c r="T283" s="175">
        <f t="shared" si="108"/>
        <v>7</v>
      </c>
      <c r="U283" s="250">
        <f t="shared" si="109"/>
        <v>1.0313656709907904</v>
      </c>
      <c r="V283" s="382">
        <f t="shared" si="110"/>
        <v>43.05205882129561</v>
      </c>
      <c r="W283" s="401">
        <f t="shared" si="111"/>
        <v>0</v>
      </c>
      <c r="X283" s="157">
        <f t="shared" si="112"/>
        <v>44830</v>
      </c>
      <c r="Y283" s="384">
        <f t="shared" si="113"/>
        <v>32.075887740750616</v>
      </c>
      <c r="Z283" s="384">
        <f t="shared" si="114"/>
        <v>33.164152128899651</v>
      </c>
      <c r="AA283" s="385">
        <f t="shared" si="115"/>
        <v>35.810494753010943</v>
      </c>
      <c r="AB283" s="196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7.3898521714469853E-2</v>
      </c>
      <c r="AD283" s="230">
        <f>(INDEX(Models!$BJ283:$BT283,,AH283)*(1-AF283)+INDEX(Models!$BJ283:$BT283,,AH283+1)*AF283-ERP_i)*AE283*Ramure*Pc/MaxiM</f>
        <v>4.5822262213076741E-4</v>
      </c>
      <c r="AE283" s="304">
        <f t="shared" si="117"/>
        <v>0.5</v>
      </c>
      <c r="AF283" s="176">
        <f t="shared" si="118"/>
        <v>3.1365670990790351E-2</v>
      </c>
      <c r="AG283" s="814">
        <f t="shared" si="124"/>
        <v>1</v>
      </c>
      <c r="AH283" s="175">
        <f t="shared" si="119"/>
        <v>7</v>
      </c>
      <c r="AI283" s="224">
        <f t="shared" si="120"/>
        <v>1.0313656709907904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8">
        <v>14.888</v>
      </c>
      <c r="C284" s="843"/>
      <c r="D284" s="392">
        <f t="shared" si="102"/>
        <v>15.39345386324737</v>
      </c>
      <c r="E284" s="384">
        <f t="shared" si="100"/>
        <v>16.18733554730623</v>
      </c>
      <c r="F284" s="384">
        <f t="shared" si="103"/>
        <v>16.187841918894211</v>
      </c>
      <c r="G284" s="110">
        <f t="shared" si="101"/>
        <v>0.34782845136869134</v>
      </c>
      <c r="H284" s="413" t="b">
        <f>Wh_hp&gt;='2021'!Maxi_hp</f>
        <v>0</v>
      </c>
      <c r="I284" s="379">
        <f>IF(H284,Wh_hp,'2021'!Maxi_hp)</f>
        <v>44.445052403607114</v>
      </c>
      <c r="J284" s="85">
        <f>IF(H284,An,'2021'!An_max)</f>
        <v>2018</v>
      </c>
      <c r="K284" s="196">
        <f t="shared" si="104"/>
        <v>44831</v>
      </c>
      <c r="L284" s="147">
        <f>IF(t&lt;Tvie,1-EXP((T0-t)*PertePVj)+'2021'!Pspv,1-EXP((T0-t)*PertePVj)+Pspv)</f>
        <v>3.2835637001138875E-2</v>
      </c>
      <c r="M284" s="847"/>
      <c r="N284" s="847"/>
      <c r="O284" s="48">
        <f>IF(t&lt;Tnet,'2021'!Resal+('2021'!Salim-'2021'!Resal)*(1-EXP(('2021'!Tnet-t)/('2021'!Tau_j))),Resal+(Salim-Resal)*(1-EXP((Tnet-t)/(Tau_j))))*Salcycl</f>
        <v>4.9043382200782942E-2</v>
      </c>
      <c r="P284" s="338">
        <f>(INDEX(Models!$BJ284:$BT284,,T284)*(1-R284)+INDEX(Models!$BJ284:$BT284,,T284+1)*R284-ERP_i)*Q284*Ramure*Pc/MaxiM</f>
        <v>4.5640548540057656E-4</v>
      </c>
      <c r="Q284" s="304">
        <f t="shared" si="105"/>
        <v>0.5</v>
      </c>
      <c r="R284" s="176">
        <f t="shared" si="106"/>
        <v>3.1505379346231877E-2</v>
      </c>
      <c r="S284" s="814">
        <f t="shared" si="107"/>
        <v>1</v>
      </c>
      <c r="T284" s="175">
        <f t="shared" si="108"/>
        <v>7</v>
      </c>
      <c r="U284" s="250">
        <f t="shared" si="109"/>
        <v>1.0315053793462319</v>
      </c>
      <c r="V284" s="382">
        <f t="shared" si="110"/>
        <v>42.784511991010838</v>
      </c>
      <c r="W284" s="401">
        <f t="shared" si="111"/>
        <v>0</v>
      </c>
      <c r="X284" s="157">
        <f t="shared" si="112"/>
        <v>44831</v>
      </c>
      <c r="Y284" s="384">
        <f t="shared" si="113"/>
        <v>14.498391475104278</v>
      </c>
      <c r="Z284" s="384">
        <f t="shared" si="114"/>
        <v>14.990617965026644</v>
      </c>
      <c r="AA284" s="385">
        <f t="shared" si="115"/>
        <v>16.18733554730623</v>
      </c>
      <c r="AB284" s="196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7.3929250356383369E-2</v>
      </c>
      <c r="AD284" s="230">
        <f>(INDEX(Models!$BJ284:$BT284,,AH284)*(1-AF284)+INDEX(Models!$BJ284:$BT284,,AH284+1)*AF284-ERP_i)*AE284*Ramure*Pc/MaxiM</f>
        <v>4.5640548540057656E-4</v>
      </c>
      <c r="AE284" s="304">
        <f t="shared" si="117"/>
        <v>0.5</v>
      </c>
      <c r="AF284" s="176">
        <f t="shared" si="118"/>
        <v>3.1505379346231877E-2</v>
      </c>
      <c r="AG284" s="814">
        <f t="shared" si="124"/>
        <v>1</v>
      </c>
      <c r="AH284" s="175">
        <f t="shared" si="119"/>
        <v>7</v>
      </c>
      <c r="AI284" s="224">
        <f t="shared" si="120"/>
        <v>1.0315053793462319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8">
        <v>17.106999999999999</v>
      </c>
      <c r="C285" s="843"/>
      <c r="D285" s="392">
        <f t="shared" si="102"/>
        <v>17.688176782544407</v>
      </c>
      <c r="E285" s="384">
        <f t="shared" si="100"/>
        <v>18.601656856345574</v>
      </c>
      <c r="F285" s="384">
        <f t="shared" si="103"/>
        <v>18.602894205834854</v>
      </c>
      <c r="G285" s="110">
        <f t="shared" si="101"/>
        <v>0.40220954809985027</v>
      </c>
      <c r="H285" s="413" t="b">
        <f>Wh_hp&gt;='2021'!Maxi_hp</f>
        <v>0</v>
      </c>
      <c r="I285" s="379">
        <f>IF(H285,Wh_hp,'2021'!Maxi_hp)</f>
        <v>42.089507508036213</v>
      </c>
      <c r="J285" s="85">
        <f>IF(H285,An,'2021'!An_max)</f>
        <v>2018</v>
      </c>
      <c r="K285" s="196">
        <f t="shared" si="104"/>
        <v>44832</v>
      </c>
      <c r="L285" s="147">
        <f>IF(t&lt;Tvie,1-EXP((T0-t)*PertePVj)+'2021'!Pspv,1-EXP((T0-t)*PertePVj)+Pspv)</f>
        <v>3.2856794099770804E-2</v>
      </c>
      <c r="M285" s="847"/>
      <c r="N285" s="847"/>
      <c r="O285" s="48">
        <f>IF(t&lt;Tnet,'2021'!Resal+('2021'!Salim-'2021'!Resal)*(1-EXP(('2021'!Tnet-t)/('2021'!Tau_j))),Resal+(Salim-Resal)*(1-EXP((Tnet-t)/(Tau_j))))*Salcycl</f>
        <v>4.9107457516051889E-2</v>
      </c>
      <c r="P285" s="338">
        <f>(INDEX(Models!$BJ285:$BT285,,T285)*(1-R285)+INDEX(Models!$BJ285:$BT285,,T285+1)*R285-ERP_i)*Q285*Ramure*Pc/MaxiM</f>
        <v>4.5483617257867679E-4</v>
      </c>
      <c r="Q285" s="304">
        <f t="shared" si="105"/>
        <v>0.5</v>
      </c>
      <c r="R285" s="176">
        <f t="shared" si="106"/>
        <v>3.1639586295803879E-2</v>
      </c>
      <c r="S285" s="814">
        <f t="shared" si="107"/>
        <v>1</v>
      </c>
      <c r="T285" s="175">
        <f t="shared" si="108"/>
        <v>7</v>
      </c>
      <c r="U285" s="250">
        <f t="shared" si="109"/>
        <v>1.0316395862958039</v>
      </c>
      <c r="V285" s="382">
        <f t="shared" si="110"/>
        <v>42.516038240157606</v>
      </c>
      <c r="W285" s="401">
        <f t="shared" si="111"/>
        <v>0</v>
      </c>
      <c r="X285" s="157">
        <f t="shared" si="112"/>
        <v>44832</v>
      </c>
      <c r="Y285" s="384">
        <f t="shared" si="113"/>
        <v>16.659909469336686</v>
      </c>
      <c r="Z285" s="384">
        <f t="shared" si="114"/>
        <v>17.225897227732091</v>
      </c>
      <c r="AA285" s="385">
        <f t="shared" si="115"/>
        <v>18.601656856345574</v>
      </c>
      <c r="AB285" s="196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7.3958983290468128E-2</v>
      </c>
      <c r="AD285" s="230">
        <f>(INDEX(Models!$BJ285:$BT285,,AH285)*(1-AF285)+INDEX(Models!$BJ285:$BT285,,AH285+1)*AF285-ERP_i)*AE285*Ramure*Pc/MaxiM</f>
        <v>4.5483617257867679E-4</v>
      </c>
      <c r="AE285" s="304">
        <f t="shared" si="117"/>
        <v>0.5</v>
      </c>
      <c r="AF285" s="176">
        <f t="shared" si="118"/>
        <v>3.1639586295803879E-2</v>
      </c>
      <c r="AG285" s="814">
        <f t="shared" si="124"/>
        <v>1</v>
      </c>
      <c r="AH285" s="175">
        <f t="shared" si="119"/>
        <v>7</v>
      </c>
      <c r="AI285" s="224">
        <f t="shared" si="120"/>
        <v>1.0316395862958039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8">
        <v>23.462</v>
      </c>
      <c r="C286" s="843"/>
      <c r="D286" s="392">
        <f t="shared" si="102"/>
        <v>24.259606135369367</v>
      </c>
      <c r="E286" s="384">
        <f t="shared" si="100"/>
        <v>25.514157142299112</v>
      </c>
      <c r="F286" s="384">
        <f t="shared" si="103"/>
        <v>25.518378749246448</v>
      </c>
      <c r="G286" s="110">
        <f t="shared" si="101"/>
        <v>0.55518993261879646</v>
      </c>
      <c r="H286" s="413" t="b">
        <f>Wh_hp&gt;='2021'!Maxi_hp</f>
        <v>0</v>
      </c>
      <c r="I286" s="379">
        <f>IF(H286,Wh_hp,'2021'!Maxi_hp)</f>
        <v>45.134596389109774</v>
      </c>
      <c r="J286" s="85">
        <f>IF(H286,An,'2021'!An_max)</f>
        <v>2019</v>
      </c>
      <c r="K286" s="196">
        <f t="shared" si="104"/>
        <v>44833</v>
      </c>
      <c r="L286" s="147">
        <f>IF(t&lt;Tvie,1-EXP((T0-t)*PertePVj)+'2021'!Pspv,1-EXP((T0-t)*PertePVj)+Pspv)</f>
        <v>3.2877950735007856E-2</v>
      </c>
      <c r="M286" s="847"/>
      <c r="N286" s="847"/>
      <c r="O286" s="48">
        <f>IF(t&lt;Tnet,'2021'!Resal+('2021'!Salim-'2021'!Resal)*(1-EXP(('2021'!Tnet-t)/('2021'!Tau_j))),Resal+(Salim-Resal)*(1-EXP((Tnet-t)/(Tau_j))))*Salcycl</f>
        <v>4.9170779968657749E-2</v>
      </c>
      <c r="P286" s="338">
        <f>(INDEX(Models!$BJ286:$BT286,,T286)*(1-R286)+INDEX(Models!$BJ286:$BT286,,T286+1)*R286-ERP_i)*Q286*Ramure*Pc/MaxiM</f>
        <v>4.535101307694896E-4</v>
      </c>
      <c r="Q286" s="304">
        <f t="shared" si="105"/>
        <v>0.5</v>
      </c>
      <c r="R286" s="176">
        <f t="shared" si="106"/>
        <v>3.1768503739350029E-2</v>
      </c>
      <c r="S286" s="814">
        <f t="shared" si="107"/>
        <v>1</v>
      </c>
      <c r="T286" s="175">
        <f t="shared" si="108"/>
        <v>7</v>
      </c>
      <c r="U286" s="250">
        <f t="shared" si="109"/>
        <v>1.03176850373935</v>
      </c>
      <c r="V286" s="382">
        <f t="shared" si="110"/>
        <v>42.247235875433077</v>
      </c>
      <c r="W286" s="401">
        <f t="shared" si="111"/>
        <v>0</v>
      </c>
      <c r="X286" s="157">
        <f t="shared" si="112"/>
        <v>44833</v>
      </c>
      <c r="Y286" s="384">
        <f t="shared" si="113"/>
        <v>22.84963502540344</v>
      </c>
      <c r="Z286" s="384">
        <f t="shared" si="114"/>
        <v>23.626423410332798</v>
      </c>
      <c r="AA286" s="385">
        <f t="shared" si="115"/>
        <v>25.514157142299112</v>
      </c>
      <c r="AB286" s="196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7.3987697161145921E-2</v>
      </c>
      <c r="AD286" s="230">
        <f>(INDEX(Models!$BJ286:$BT286,,AH286)*(1-AF286)+INDEX(Models!$BJ286:$BT286,,AH286+1)*AF286-ERP_i)*AE286*Ramure*Pc/MaxiM</f>
        <v>4.535101307694896E-4</v>
      </c>
      <c r="AE286" s="304">
        <f t="shared" si="117"/>
        <v>0.5</v>
      </c>
      <c r="AF286" s="176">
        <f t="shared" si="118"/>
        <v>3.1768503739350029E-2</v>
      </c>
      <c r="AG286" s="814">
        <f t="shared" si="124"/>
        <v>1</v>
      </c>
      <c r="AH286" s="175">
        <f t="shared" si="119"/>
        <v>7</v>
      </c>
      <c r="AI286" s="224">
        <f t="shared" si="120"/>
        <v>1.03176850373935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8">
        <v>28.67</v>
      </c>
      <c r="C287" s="843"/>
      <c r="D287" s="392">
        <f t="shared" si="102"/>
        <v>29.645304026452646</v>
      </c>
      <c r="E287" s="384">
        <f t="shared" si="100"/>
        <v>31.180420036157571</v>
      </c>
      <c r="F287" s="384">
        <f t="shared" si="103"/>
        <v>31.188139645431519</v>
      </c>
      <c r="G287" s="110">
        <f t="shared" si="101"/>
        <v>0.68282538292350159</v>
      </c>
      <c r="H287" s="413" t="b">
        <f>Wh_hp&gt;='2021'!Maxi_hp</f>
        <v>0</v>
      </c>
      <c r="I287" s="379">
        <f>IF(H287,Wh_hp,'2021'!Maxi_hp)</f>
        <v>39.258046137495292</v>
      </c>
      <c r="J287" s="85">
        <f>IF(H287,An,'2021'!An_max)</f>
        <v>2018</v>
      </c>
      <c r="K287" s="196">
        <f t="shared" si="104"/>
        <v>44834</v>
      </c>
      <c r="L287" s="147">
        <f>IF(t&lt;Tvie,1-EXP((T0-t)*PertePVj)+'2021'!Pspv,1-EXP((T0-t)*PertePVj)+Pspv)</f>
        <v>3.2899106906860355E-2</v>
      </c>
      <c r="M287" s="847"/>
      <c r="N287" s="847"/>
      <c r="O287" s="48">
        <f>IF(t&lt;Tnet,'2021'!Resal+('2021'!Salim-'2021'!Resal)*(1-EXP(('2021'!Tnet-t)/('2021'!Tau_j))),Resal+(Salim-Resal)*(1-EXP((Tnet-t)/(Tau_j))))*Salcycl</f>
        <v>4.9233333224015831E-2</v>
      </c>
      <c r="P287" s="338">
        <f>(INDEX(Models!$BJ287:$BT287,,T287)*(1-R287)+INDEX(Models!$BJ287:$BT287,,T287+1)*R287-ERP_i)*Q287*Ramure*Pc/MaxiM</f>
        <v>4.5242270842040753E-4</v>
      </c>
      <c r="Q287" s="304">
        <f t="shared" si="105"/>
        <v>0.5</v>
      </c>
      <c r="R287" s="176">
        <f t="shared" si="106"/>
        <v>3.1892335785035364E-2</v>
      </c>
      <c r="S287" s="814">
        <f t="shared" si="107"/>
        <v>1</v>
      </c>
      <c r="T287" s="175">
        <f t="shared" si="108"/>
        <v>7</v>
      </c>
      <c r="U287" s="250">
        <f t="shared" si="109"/>
        <v>1.0318923357850354</v>
      </c>
      <c r="V287" s="382">
        <f t="shared" si="110"/>
        <v>41.978702943821389</v>
      </c>
      <c r="W287" s="401">
        <f t="shared" si="111"/>
        <v>0</v>
      </c>
      <c r="X287" s="157">
        <f t="shared" si="112"/>
        <v>44834</v>
      </c>
      <c r="Y287" s="384">
        <f t="shared" si="113"/>
        <v>27.922707301989735</v>
      </c>
      <c r="Z287" s="384">
        <f t="shared" si="114"/>
        <v>28.872589717793335</v>
      </c>
      <c r="AA287" s="385">
        <f t="shared" si="115"/>
        <v>31.180420036157571</v>
      </c>
      <c r="AB287" s="196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7.4015369763717725E-2</v>
      </c>
      <c r="AD287" s="230">
        <f>(INDEX(Models!$BJ287:$BT287,,AH287)*(1-AF287)+INDEX(Models!$BJ287:$BT287,,AH287+1)*AF287-ERP_i)*AE287*Ramure*Pc/MaxiM</f>
        <v>4.5242270842040753E-4</v>
      </c>
      <c r="AE287" s="304">
        <f t="shared" si="117"/>
        <v>0.5</v>
      </c>
      <c r="AF287" s="176">
        <f t="shared" si="118"/>
        <v>3.1892335785035364E-2</v>
      </c>
      <c r="AG287" s="814">
        <f t="shared" si="124"/>
        <v>1</v>
      </c>
      <c r="AH287" s="175">
        <f t="shared" si="119"/>
        <v>7</v>
      </c>
      <c r="AI287" s="224">
        <f t="shared" si="120"/>
        <v>1.0318923357850354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410">
        <v>37.063000000000002</v>
      </c>
      <c r="C288" s="843"/>
      <c r="D288" s="392">
        <f t="shared" si="102"/>
        <v>38.324657799399205</v>
      </c>
      <c r="E288" s="384">
        <f t="shared" si="100"/>
        <v>40.311833747927743</v>
      </c>
      <c r="F288" s="384">
        <f t="shared" si="103"/>
        <v>40.327145280923233</v>
      </c>
      <c r="G288" s="110">
        <f t="shared" si="101"/>
        <v>0.88850187232867728</v>
      </c>
      <c r="H288" s="413" t="b">
        <f>Wh_hp&gt;='2021'!Maxi_hp</f>
        <v>0</v>
      </c>
      <c r="I288" s="379">
        <f>IF(H288,Wh_hp,'2021'!Maxi_hp)</f>
        <v>44.088165069651787</v>
      </c>
      <c r="J288" s="85">
        <f>IF(H288,An,'2021'!An_max)</f>
        <v>2020</v>
      </c>
      <c r="K288" s="196">
        <f t="shared" si="104"/>
        <v>44835</v>
      </c>
      <c r="L288" s="147">
        <f>IF(t&lt;Tvie,1-EXP((T0-t)*PertePVj)+'2021'!Pspv,1-EXP((T0-t)*PertePVj)+Pspv)</f>
        <v>3.2920262615338404E-2</v>
      </c>
      <c r="M288" s="847"/>
      <c r="N288" s="847"/>
      <c r="O288" s="48">
        <f>IF(t&lt;Tnet,'2021'!Resal+('2021'!Salim-'2021'!Resal)*(1-EXP(('2021'!Tnet-t)/('2021'!Tau_j))),Resal+(Salim-Resal)*(1-EXP((Tnet-t)/(Tau_j))))*Salcycl</f>
        <v>4.9295101804459271E-2</v>
      </c>
      <c r="P288" s="338">
        <f>(INDEX(Models!$BJ288:$BT288,,T288)*(1-R288)+INDEX(Models!$BJ288:$BT288,,T288+1)*R288-ERP_i)*Q288*Ramure*Pc/MaxiM</f>
        <v>4.5156911687341245E-4</v>
      </c>
      <c r="Q288" s="304">
        <f t="shared" si="105"/>
        <v>0.5</v>
      </c>
      <c r="R288" s="176">
        <f t="shared" si="106"/>
        <v>3.2011279006684434E-2</v>
      </c>
      <c r="S288" s="814">
        <f t="shared" si="107"/>
        <v>1</v>
      </c>
      <c r="T288" s="175">
        <f t="shared" si="108"/>
        <v>7</v>
      </c>
      <c r="U288" s="250">
        <f t="shared" si="109"/>
        <v>1.0320112790066844</v>
      </c>
      <c r="V288" s="382">
        <f t="shared" si="110"/>
        <v>41.711037228444646</v>
      </c>
      <c r="W288" s="401">
        <f t="shared" si="111"/>
        <v>0</v>
      </c>
      <c r="X288" s="157">
        <f t="shared" si="112"/>
        <v>44835</v>
      </c>
      <c r="Y288" s="384">
        <f t="shared" si="113"/>
        <v>36.098248942655594</v>
      </c>
      <c r="Z288" s="384">
        <f t="shared" si="114"/>
        <v>37.327065749798983</v>
      </c>
      <c r="AA288" s="385">
        <f t="shared" si="115"/>
        <v>40.311833747927743</v>
      </c>
      <c r="AB288" s="196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7.4041980248100103E-2</v>
      </c>
      <c r="AD288" s="230">
        <f>(INDEX(Models!$BJ288:$BT288,,AH288)*(1-AF288)+INDEX(Models!$BJ288:$BT288,,AH288+1)*AF288-ERP_i)*AE288*Ramure*Pc/MaxiM</f>
        <v>4.5156911687341245E-4</v>
      </c>
      <c r="AE288" s="304">
        <f t="shared" si="117"/>
        <v>0.5</v>
      </c>
      <c r="AF288" s="176">
        <f t="shared" si="118"/>
        <v>3.2011279006684434E-2</v>
      </c>
      <c r="AG288" s="814">
        <f t="shared" si="124"/>
        <v>1</v>
      </c>
      <c r="AH288" s="175">
        <f t="shared" si="119"/>
        <v>7</v>
      </c>
      <c r="AI288" s="224">
        <f t="shared" si="120"/>
        <v>1.0320112790066844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410">
        <v>39.838000000000001</v>
      </c>
      <c r="C289" s="843"/>
      <c r="D289" s="392">
        <f t="shared" si="102"/>
        <v>41.19502244823812</v>
      </c>
      <c r="E289" s="384">
        <f t="shared" si="100"/>
        <v>43.333809012606352</v>
      </c>
      <c r="F289" s="384">
        <f t="shared" si="103"/>
        <v>43.352276629554488</v>
      </c>
      <c r="G289" s="110">
        <f t="shared" si="101"/>
        <v>0.9612251483208234</v>
      </c>
      <c r="H289" s="413" t="b">
        <f>Wh_hp&gt;='2021'!Maxi_hp</f>
        <v>1</v>
      </c>
      <c r="I289" s="379">
        <f>IF(H289,Wh_hp,'2021'!Maxi_hp)</f>
        <v>43.352276629554488</v>
      </c>
      <c r="J289" s="85">
        <f>IF(H289,An,'2021'!An_max)</f>
        <v>2022</v>
      </c>
      <c r="K289" s="196">
        <f t="shared" si="104"/>
        <v>44836</v>
      </c>
      <c r="L289" s="147">
        <f>IF(t&lt;Tvie,1-EXP((T0-t)*PertePVj)+'2021'!Pspv,1-EXP((T0-t)*PertePVj)+Pspv)</f>
        <v>3.2941417860452106E-2</v>
      </c>
      <c r="M289" s="847"/>
      <c r="N289" s="847"/>
      <c r="O289" s="48">
        <f>IF(t&lt;Tnet,'2021'!Resal+('2021'!Salim-'2021'!Resal)*(1-EXP(('2021'!Tnet-t)/('2021'!Tau_j))),Resal+(Salim-Resal)*(1-EXP((Tnet-t)/(Tau_j))))*Salcycl</f>
        <v>4.9356071231726549E-2</v>
      </c>
      <c r="P289" s="338">
        <f>(INDEX(Models!$BJ289:$BT289,,T289)*(1-R289)+INDEX(Models!$BJ289:$BT289,,T289+1)*R289-ERP_i)*Q289*Ramure*Pc/MaxiM</f>
        <v>4.5095360021437292E-4</v>
      </c>
      <c r="Q289" s="304">
        <f t="shared" si="105"/>
        <v>0.5</v>
      </c>
      <c r="R289" s="176">
        <f t="shared" si="106"/>
        <v>3.2125522694978148E-2</v>
      </c>
      <c r="S289" s="814">
        <f t="shared" si="107"/>
        <v>1</v>
      </c>
      <c r="T289" s="175">
        <f t="shared" si="108"/>
        <v>7</v>
      </c>
      <c r="U289" s="250">
        <f t="shared" si="109"/>
        <v>1.0321255226949781</v>
      </c>
      <c r="V289" s="382">
        <f t="shared" si="110"/>
        <v>41.443989608520873</v>
      </c>
      <c r="W289" s="401">
        <f t="shared" si="111"/>
        <v>0</v>
      </c>
      <c r="X289" s="157">
        <f t="shared" si="112"/>
        <v>44836</v>
      </c>
      <c r="Y289" s="384">
        <f t="shared" si="113"/>
        <v>38.802434273426783</v>
      </c>
      <c r="Z289" s="384">
        <f t="shared" si="114"/>
        <v>40.124181709425685</v>
      </c>
      <c r="AA289" s="385">
        <f t="shared" si="115"/>
        <v>43.333809012606352</v>
      </c>
      <c r="AB289" s="196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7.4067509326192507E-2</v>
      </c>
      <c r="AD289" s="230">
        <f>(INDEX(Models!$BJ289:$BT289,,AH289)*(1-AF289)+INDEX(Models!$BJ289:$BT289,,AH289+1)*AF289-ERP_i)*AE289*Ramure*Pc/MaxiM</f>
        <v>4.5095360021437292E-4</v>
      </c>
      <c r="AE289" s="304">
        <f t="shared" si="117"/>
        <v>0.5</v>
      </c>
      <c r="AF289" s="176">
        <f t="shared" si="118"/>
        <v>3.2125522694978148E-2</v>
      </c>
      <c r="AG289" s="814">
        <f t="shared" si="124"/>
        <v>1</v>
      </c>
      <c r="AH289" s="175">
        <f t="shared" si="119"/>
        <v>7</v>
      </c>
      <c r="AI289" s="224">
        <f t="shared" si="120"/>
        <v>1.0321255226949781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410">
        <v>36.887999999999998</v>
      </c>
      <c r="C290" s="843"/>
      <c r="D290" s="392">
        <f t="shared" si="102"/>
        <v>38.145369513554549</v>
      </c>
      <c r="E290" s="384">
        <f t="shared" si="100"/>
        <v>40.128361796224311</v>
      </c>
      <c r="F290" s="384">
        <f t="shared" si="103"/>
        <v>40.143760949327643</v>
      </c>
      <c r="G290" s="110">
        <f t="shared" si="101"/>
        <v>0.89578611282371401</v>
      </c>
      <c r="H290" s="413" t="b">
        <f>Wh_hp&gt;='2021'!Maxi_hp</f>
        <v>0</v>
      </c>
      <c r="I290" s="379">
        <f>IF(H290,Wh_hp,'2021'!Maxi_hp)</f>
        <v>41.859424132175342</v>
      </c>
      <c r="J290" s="85">
        <f>IF(H290,An,'2021'!An_max)</f>
        <v>2018</v>
      </c>
      <c r="K290" s="196">
        <f t="shared" si="104"/>
        <v>44837</v>
      </c>
      <c r="L290" s="147">
        <f>IF(t&lt;Tvie,1-EXP((T0-t)*PertePVj)+'2021'!Pspv,1-EXP((T0-t)*PertePVj)+Pspv)</f>
        <v>3.2962572642211675E-2</v>
      </c>
      <c r="M290" s="847"/>
      <c r="N290" s="847"/>
      <c r="O290" s="48">
        <f>IF(t&lt;Tnet,'2021'!Resal+('2021'!Salim-'2021'!Resal)*(1-EXP(('2021'!Tnet-t)/('2021'!Tau_j))),Resal+(Salim-Resal)*(1-EXP((Tnet-t)/(Tau_j))))*Salcycl</f>
        <v>4.9416228171476111E-2</v>
      </c>
      <c r="P290" s="338">
        <f>(INDEX(Models!$BJ290:$BT290,,T290)*(1-R290)+INDEX(Models!$BJ290:$BT290,,T290+1)*R290-ERP_i)*Q290*Ramure*Pc/MaxiM</f>
        <v>4.506533888870123E-4</v>
      </c>
      <c r="Q290" s="304">
        <f t="shared" si="105"/>
        <v>0.5</v>
      </c>
      <c r="R290" s="176">
        <f t="shared" si="106"/>
        <v>3.2235249102451125E-2</v>
      </c>
      <c r="S290" s="814">
        <f t="shared" si="107"/>
        <v>1</v>
      </c>
      <c r="T290" s="175">
        <f t="shared" si="108"/>
        <v>7</v>
      </c>
      <c r="U290" s="250">
        <f t="shared" si="109"/>
        <v>1.0322352491024511</v>
      </c>
      <c r="V290" s="382">
        <f t="shared" si="110"/>
        <v>41.176710671501439</v>
      </c>
      <c r="W290" s="401">
        <f t="shared" si="111"/>
        <v>0</v>
      </c>
      <c r="X290" s="157">
        <f t="shared" si="112"/>
        <v>44837</v>
      </c>
      <c r="Y290" s="384">
        <f t="shared" si="113"/>
        <v>35.930443532311514</v>
      </c>
      <c r="Z290" s="384">
        <f t="shared" si="114"/>
        <v>37.155173642537655</v>
      </c>
      <c r="AA290" s="385">
        <f t="shared" si="115"/>
        <v>40.128361796224311</v>
      </c>
      <c r="AB290" s="196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7.4091939481227567E-2</v>
      </c>
      <c r="AD290" s="230">
        <f>(INDEX(Models!$BJ290:$BT290,,AH290)*(1-AF290)+INDEX(Models!$BJ290:$BT290,,AH290+1)*AF290-ERP_i)*AE290*Ramure*Pc/MaxiM</f>
        <v>4.506533888870123E-4</v>
      </c>
      <c r="AE290" s="304">
        <f t="shared" si="117"/>
        <v>0.5</v>
      </c>
      <c r="AF290" s="176">
        <f t="shared" si="118"/>
        <v>3.2235249102451125E-2</v>
      </c>
      <c r="AG290" s="814">
        <f t="shared" si="124"/>
        <v>1</v>
      </c>
      <c r="AH290" s="175">
        <f t="shared" si="119"/>
        <v>7</v>
      </c>
      <c r="AI290" s="224">
        <f t="shared" si="120"/>
        <v>1.0322352491024511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410">
        <v>41.234999999999999</v>
      </c>
      <c r="C291" s="843"/>
      <c r="D291" s="392">
        <f t="shared" si="102"/>
        <v>42.641474760705592</v>
      </c>
      <c r="E291" s="384">
        <f t="shared" si="100"/>
        <v>44.860997773677013</v>
      </c>
      <c r="F291" s="384">
        <f t="shared" si="103"/>
        <v>44.881229188425152</v>
      </c>
      <c r="G291" s="110">
        <f t="shared" si="101"/>
        <v>1.0079714315717956</v>
      </c>
      <c r="H291" s="413" t="b">
        <f>Wh_hp&gt;='2021'!Maxi_hp</f>
        <v>1</v>
      </c>
      <c r="I291" s="379">
        <f>IF(H291,Wh_hp,'2021'!Maxi_hp)</f>
        <v>44.881229188425152</v>
      </c>
      <c r="J291" s="85">
        <f>IF(H291,An,'2021'!An_max)</f>
        <v>2022</v>
      </c>
      <c r="K291" s="196">
        <f t="shared" si="104"/>
        <v>44838</v>
      </c>
      <c r="L291" s="147">
        <f>IF(t&lt;Tvie,1-EXP((T0-t)*PertePVj)+'2021'!Pspv,1-EXP((T0-t)*PertePVj)+Pspv)</f>
        <v>3.2983726960627215E-2</v>
      </c>
      <c r="M291" s="847"/>
      <c r="N291" s="847"/>
      <c r="O291" s="48">
        <f>IF(t&lt;Tnet,'2021'!Resal+('2021'!Salim-'2021'!Resal)*(1-EXP(('2021'!Tnet-t)/('2021'!Tau_j))),Resal+(Salim-Resal)*(1-EXP((Tnet-t)/(Tau_j))))*Salcycl</f>
        <v>4.9475560578676338E-2</v>
      </c>
      <c r="P291" s="338">
        <f>(INDEX(Models!$BJ291:$BT291,,T291)*(1-R291)+INDEX(Models!$BJ291:$BT291,,T291+1)*R291-ERP_i)*Q291*Ramure*Pc/MaxiM</f>
        <v>4.5077675264193202E-4</v>
      </c>
      <c r="Q291" s="304">
        <f t="shared" si="105"/>
        <v>0.5</v>
      </c>
      <c r="R291" s="176">
        <f t="shared" si="106"/>
        <v>3.2340633682249376E-2</v>
      </c>
      <c r="S291" s="814">
        <f t="shared" si="107"/>
        <v>1</v>
      </c>
      <c r="T291" s="175">
        <f t="shared" si="108"/>
        <v>7</v>
      </c>
      <c r="U291" s="250">
        <f t="shared" si="109"/>
        <v>1.0323406336822494</v>
      </c>
      <c r="V291" s="382">
        <f t="shared" si="110"/>
        <v>40.908897522720046</v>
      </c>
      <c r="W291" s="401">
        <f t="shared" si="111"/>
        <v>0</v>
      </c>
      <c r="X291" s="157">
        <f t="shared" si="112"/>
        <v>44838</v>
      </c>
      <c r="Y291" s="384">
        <f t="shared" si="113"/>
        <v>40.166097650265669</v>
      </c>
      <c r="Z291" s="384">
        <f t="shared" si="114"/>
        <v>41.536113476169263</v>
      </c>
      <c r="AA291" s="385">
        <f t="shared" si="115"/>
        <v>44.860997773677013</v>
      </c>
      <c r="AB291" s="196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7.4115255177375564E-2</v>
      </c>
      <c r="AD291" s="230">
        <f>(INDEX(Models!$BJ291:$BT291,,AH291)*(1-AF291)+INDEX(Models!$BJ291:$BT291,,AH291+1)*AF291-ERP_i)*AE291*Ramure*Pc/MaxiM</f>
        <v>4.5077675264193202E-4</v>
      </c>
      <c r="AE291" s="304">
        <f t="shared" si="117"/>
        <v>0.5</v>
      </c>
      <c r="AF291" s="176">
        <f t="shared" si="118"/>
        <v>3.2340633682249376E-2</v>
      </c>
      <c r="AG291" s="814">
        <f t="shared" si="124"/>
        <v>1</v>
      </c>
      <c r="AH291" s="175">
        <f t="shared" si="119"/>
        <v>7</v>
      </c>
      <c r="AI291" s="224">
        <f t="shared" si="120"/>
        <v>1.0323406336822494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410">
        <v>41.826000000000001</v>
      </c>
      <c r="C292" s="843"/>
      <c r="D292" s="392">
        <f t="shared" si="102"/>
        <v>43.253579227248153</v>
      </c>
      <c r="E292" s="384">
        <f t="shared" si="100"/>
        <v>45.507763412408806</v>
      </c>
      <c r="F292" s="384">
        <f t="shared" si="103"/>
        <v>45.528311712611483</v>
      </c>
      <c r="G292" s="110">
        <f t="shared" si="101"/>
        <v>1.0291767006339703</v>
      </c>
      <c r="H292" s="413" t="b">
        <f>Wh_hp&gt;='2021'!Maxi_hp</f>
        <v>1</v>
      </c>
      <c r="I292" s="379">
        <f>IF(H292,Wh_hp,'2021'!Maxi_hp)</f>
        <v>45.528311712611483</v>
      </c>
      <c r="J292" s="85">
        <f>IF(H292,An,'2021'!An_max)</f>
        <v>2022</v>
      </c>
      <c r="K292" s="196">
        <f t="shared" si="104"/>
        <v>44839</v>
      </c>
      <c r="L292" s="147">
        <f>IF(t&lt;Tvie,1-EXP((T0-t)*PertePVj)+'2021'!Pspv,1-EXP((T0-t)*PertePVj)+Pspv)</f>
        <v>3.3004880815708938E-2</v>
      </c>
      <c r="M292" s="847"/>
      <c r="N292" s="847"/>
      <c r="O292" s="48">
        <f>IF(t&lt;Tnet,'2021'!Resal+('2021'!Salim-'2021'!Resal)*(1-EXP(('2021'!Tnet-t)/('2021'!Tau_j))),Resal+(Salim-Resal)*(1-EXP((Tnet-t)/(Tau_j))))*Salcycl</f>
        <v>4.9534057842666762E-2</v>
      </c>
      <c r="P292" s="338">
        <f>(INDEX(Models!$BJ292:$BT292,,T292)*(1-R292)+INDEX(Models!$BJ292:$BT292,,T292+1)*R292-ERP_i)*Q292*Ramure*Pc/MaxiM</f>
        <v>4.5133015984386823E-4</v>
      </c>
      <c r="Q292" s="304">
        <f t="shared" si="105"/>
        <v>0.5</v>
      </c>
      <c r="R292" s="176">
        <f t="shared" si="106"/>
        <v>3.2441845320638318E-2</v>
      </c>
      <c r="S292" s="814">
        <f t="shared" si="107"/>
        <v>1</v>
      </c>
      <c r="T292" s="175">
        <f t="shared" si="108"/>
        <v>7</v>
      </c>
      <c r="U292" s="250">
        <f t="shared" si="109"/>
        <v>1.0324418453206383</v>
      </c>
      <c r="V292" s="382">
        <f t="shared" si="110"/>
        <v>40.640251546926102</v>
      </c>
      <c r="W292" s="401">
        <f t="shared" si="111"/>
        <v>0</v>
      </c>
      <c r="X292" s="157">
        <f t="shared" si="112"/>
        <v>44839</v>
      </c>
      <c r="Y292" s="384">
        <f t="shared" si="113"/>
        <v>40.743308716931971</v>
      </c>
      <c r="Z292" s="384">
        <f t="shared" si="114"/>
        <v>42.133934193278037</v>
      </c>
      <c r="AA292" s="385">
        <f t="shared" si="115"/>
        <v>45.507763412408806</v>
      </c>
      <c r="AB292" s="196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7.4137443067808811E-2</v>
      </c>
      <c r="AD292" s="230">
        <f>(INDEX(Models!$BJ292:$BT292,,AH292)*(1-AF292)+INDEX(Models!$BJ292:$BT292,,AH292+1)*AF292-ERP_i)*AE292*Ramure*Pc/MaxiM</f>
        <v>4.5133015984386823E-4</v>
      </c>
      <c r="AE292" s="304">
        <f t="shared" si="117"/>
        <v>0.5</v>
      </c>
      <c r="AF292" s="176">
        <f t="shared" si="118"/>
        <v>3.2441845320638318E-2</v>
      </c>
      <c r="AG292" s="814">
        <f t="shared" si="124"/>
        <v>1</v>
      </c>
      <c r="AH292" s="175">
        <f t="shared" si="119"/>
        <v>7</v>
      </c>
      <c r="AI292" s="224">
        <f t="shared" si="120"/>
        <v>1.0324418453206383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410">
        <v>14.973000000000001</v>
      </c>
      <c r="C293" s="843"/>
      <c r="D293" s="392">
        <f t="shared" si="102"/>
        <v>15.484387925302737</v>
      </c>
      <c r="E293" s="384">
        <f t="shared" si="100"/>
        <v>16.292353616218065</v>
      </c>
      <c r="F293" s="384">
        <f t="shared" si="103"/>
        <v>16.293099954607833</v>
      </c>
      <c r="G293" s="110">
        <f t="shared" si="101"/>
        <v>0.37073909372020414</v>
      </c>
      <c r="H293" s="413" t="b">
        <f>Wh_hp&gt;='2021'!Maxi_hp</f>
        <v>0</v>
      </c>
      <c r="I293" s="379">
        <f>IF(H293,Wh_hp,'2021'!Maxi_hp)</f>
        <v>40.753647143943134</v>
      </c>
      <c r="J293" s="85">
        <f>IF(H293,An,'2021'!An_max)</f>
        <v>2018</v>
      </c>
      <c r="K293" s="196">
        <f t="shared" si="104"/>
        <v>44840</v>
      </c>
      <c r="L293" s="147">
        <f>IF(t&lt;Tvie,1-EXP((T0-t)*PertePVj)+'2021'!Pspv,1-EXP((T0-t)*PertePVj)+Pspv)</f>
        <v>3.3026034207466949E-2</v>
      </c>
      <c r="M293" s="847"/>
      <c r="N293" s="847"/>
      <c r="O293" s="48">
        <f>IF(t&lt;Tnet,'2021'!Resal+('2021'!Salim-'2021'!Resal)*(1-EXP(('2021'!Tnet-t)/('2021'!Tau_j))),Resal+(Salim-Resal)*(1-EXP((Tnet-t)/(Tau_j))))*Salcycl</f>
        <v>4.9591710930644475E-2</v>
      </c>
      <c r="P293" s="338">
        <f>(INDEX(Models!$BJ293:$BT293,,T293)*(1-R293)+INDEX(Models!$BJ293:$BT293,,T293+1)*R293-ERP_i)*Q293*Ramure*Pc/MaxiM</f>
        <v>4.5232011950161784E-4</v>
      </c>
      <c r="Q293" s="304">
        <f t="shared" si="105"/>
        <v>0.5</v>
      </c>
      <c r="R293" s="176">
        <f t="shared" si="106"/>
        <v>3.2539046563261786E-2</v>
      </c>
      <c r="S293" s="814">
        <f t="shared" si="107"/>
        <v>1</v>
      </c>
      <c r="T293" s="175">
        <f t="shared" si="108"/>
        <v>7</v>
      </c>
      <c r="U293" s="250">
        <f t="shared" si="109"/>
        <v>1.0325390465632618</v>
      </c>
      <c r="V293" s="382">
        <f t="shared" si="110"/>
        <v>40.370474153073388</v>
      </c>
      <c r="W293" s="401">
        <f t="shared" si="111"/>
        <v>0</v>
      </c>
      <c r="X293" s="157">
        <f t="shared" si="112"/>
        <v>44840</v>
      </c>
      <c r="Y293" s="384">
        <f t="shared" si="113"/>
        <v>14.585968005259106</v>
      </c>
      <c r="Z293" s="384">
        <f t="shared" si="114"/>
        <v>15.084137237660197</v>
      </c>
      <c r="AA293" s="385">
        <f t="shared" si="115"/>
        <v>16.292353616218065</v>
      </c>
      <c r="AB293" s="196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7.4158492199381199E-2</v>
      </c>
      <c r="AD293" s="230">
        <f>(INDEX(Models!$BJ293:$BT293,,AH293)*(1-AF293)+INDEX(Models!$BJ293:$BT293,,AH293+1)*AF293-ERP_i)*AE293*Ramure*Pc/MaxiM</f>
        <v>4.5232011950161784E-4</v>
      </c>
      <c r="AE293" s="304">
        <f t="shared" si="117"/>
        <v>0.5</v>
      </c>
      <c r="AF293" s="176">
        <f t="shared" si="118"/>
        <v>3.2539046563261786E-2</v>
      </c>
      <c r="AG293" s="814">
        <f t="shared" si="124"/>
        <v>1</v>
      </c>
      <c r="AH293" s="175">
        <f t="shared" si="119"/>
        <v>7</v>
      </c>
      <c r="AI293" s="224">
        <f t="shared" si="120"/>
        <v>1.0325390465632618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410">
        <v>28.817</v>
      </c>
      <c r="C294" s="843"/>
      <c r="D294" s="392">
        <f t="shared" si="102"/>
        <v>29.80186790567867</v>
      </c>
      <c r="E294" s="384">
        <f t="shared" si="100"/>
        <v>31.358784932260289</v>
      </c>
      <c r="F294" s="384">
        <f t="shared" si="103"/>
        <v>31.367297118616886</v>
      </c>
      <c r="G294" s="110">
        <f t="shared" si="101"/>
        <v>0.7185104665834402</v>
      </c>
      <c r="H294" s="413" t="b">
        <f>Wh_hp&gt;='2021'!Maxi_hp</f>
        <v>0</v>
      </c>
      <c r="I294" s="379">
        <f>IF(H294,Wh_hp,'2021'!Maxi_hp)</f>
        <v>44.062156348589909</v>
      </c>
      <c r="J294" s="85">
        <f>IF(H294,An,'2021'!An_max)</f>
        <v>2021</v>
      </c>
      <c r="K294" s="196">
        <f t="shared" si="104"/>
        <v>44841</v>
      </c>
      <c r="L294" s="147">
        <f>IF(t&lt;Tvie,1-EXP((T0-t)*PertePVj)+'2021'!Pspv,1-EXP((T0-t)*PertePVj)+Pspv)</f>
        <v>3.3047187135911239E-2</v>
      </c>
      <c r="M294" s="847"/>
      <c r="N294" s="847"/>
      <c r="O294" s="48">
        <f>IF(t&lt;Tnet,'2021'!Resal+('2021'!Salim-'2021'!Resal)*(1-EXP(('2021'!Tnet-t)/('2021'!Tau_j))),Resal+(Salim-Resal)*(1-EXP((Tnet-t)/(Tau_j))))*Salcycl</f>
        <v>4.9648512528300916E-2</v>
      </c>
      <c r="P294" s="338">
        <f>(INDEX(Models!$BJ294:$BT294,,T294)*(1-R294)+INDEX(Models!$BJ294:$BT294,,T294+1)*R294-ERP_i)*Q294*Ramure*Pc/MaxiM</f>
        <v>4.5375321544022007E-4</v>
      </c>
      <c r="Q294" s="304">
        <f t="shared" si="105"/>
        <v>0.5</v>
      </c>
      <c r="R294" s="176">
        <f t="shared" si="106"/>
        <v>3.2632393835175577E-2</v>
      </c>
      <c r="S294" s="814">
        <f t="shared" si="107"/>
        <v>1</v>
      </c>
      <c r="T294" s="175">
        <f t="shared" si="108"/>
        <v>7</v>
      </c>
      <c r="U294" s="250">
        <f t="shared" si="109"/>
        <v>1.0326323938351756</v>
      </c>
      <c r="V294" s="382">
        <f t="shared" si="110"/>
        <v>40.099266768785839</v>
      </c>
      <c r="W294" s="401">
        <f t="shared" si="111"/>
        <v>0</v>
      </c>
      <c r="X294" s="157">
        <f t="shared" si="112"/>
        <v>44841</v>
      </c>
      <c r="Y294" s="384">
        <f t="shared" si="113"/>
        <v>28.073193513874422</v>
      </c>
      <c r="Z294" s="384">
        <f t="shared" si="114"/>
        <v>29.032640621544253</v>
      </c>
      <c r="AA294" s="385">
        <f t="shared" si="115"/>
        <v>31.358784932260289</v>
      </c>
      <c r="AB294" s="196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7.4178394212047957E-2</v>
      </c>
      <c r="AD294" s="230">
        <f>(INDEX(Models!$BJ294:$BT294,,AH294)*(1-AF294)+INDEX(Models!$BJ294:$BT294,,AH294+1)*AF294-ERP_i)*AE294*Ramure*Pc/MaxiM</f>
        <v>4.5375321544022007E-4</v>
      </c>
      <c r="AE294" s="304">
        <f t="shared" si="117"/>
        <v>0.5</v>
      </c>
      <c r="AF294" s="176">
        <f t="shared" si="118"/>
        <v>3.2632393835175577E-2</v>
      </c>
      <c r="AG294" s="814">
        <f t="shared" si="124"/>
        <v>1</v>
      </c>
      <c r="AH294" s="175">
        <f t="shared" si="119"/>
        <v>7</v>
      </c>
      <c r="AI294" s="224">
        <f t="shared" si="120"/>
        <v>1.0326323938351756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410">
        <v>16.123999999999999</v>
      </c>
      <c r="C295" s="843"/>
      <c r="D295" s="392">
        <f t="shared" si="102"/>
        <v>16.675428740586874</v>
      </c>
      <c r="E295" s="384">
        <f t="shared" si="100"/>
        <v>17.547623859244776</v>
      </c>
      <c r="F295" s="384">
        <f t="shared" si="103"/>
        <v>17.548821616357319</v>
      </c>
      <c r="G295" s="110">
        <f t="shared" si="101"/>
        <v>0.4047009370012819</v>
      </c>
      <c r="H295" s="413" t="b">
        <f>Wh_hp&gt;='2021'!Maxi_hp</f>
        <v>0</v>
      </c>
      <c r="I295" s="379">
        <f>IF(H295,Wh_hp,'2021'!Maxi_hp)</f>
        <v>43.274258019273653</v>
      </c>
      <c r="J295" s="85">
        <f>IF(H295,An,'2021'!An_max)</f>
        <v>2021</v>
      </c>
      <c r="K295" s="196">
        <f t="shared" si="104"/>
        <v>44842</v>
      </c>
      <c r="L295" s="147">
        <f>IF(t&lt;Tvie,1-EXP((T0-t)*PertePVj)+'2021'!Pspv,1-EXP((T0-t)*PertePVj)+Pspv)</f>
        <v>3.3068339601052245E-2</v>
      </c>
      <c r="M295" s="847"/>
      <c r="N295" s="847"/>
      <c r="O295" s="48">
        <f>IF(t&lt;Tnet,'2021'!Resal+('2021'!Salim-'2021'!Resal)*(1-EXP(('2021'!Tnet-t)/('2021'!Tau_j))),Resal+(Salim-Resal)*(1-EXP((Tnet-t)/(Tau_j))))*Salcycl</f>
        <v>4.9704457176314276E-2</v>
      </c>
      <c r="P295" s="338">
        <f>(INDEX(Models!$BJ295:$BT295,,T295)*(1-R295)+INDEX(Models!$BJ295:$BT295,,T295+1)*R295-ERP_i)*Q295*Ramure*Pc/MaxiM</f>
        <v>4.5563614472166373E-4</v>
      </c>
      <c r="Q295" s="304">
        <f t="shared" si="105"/>
        <v>0.5</v>
      </c>
      <c r="R295" s="176">
        <f t="shared" si="106"/>
        <v>3.2722037654692393E-2</v>
      </c>
      <c r="S295" s="814">
        <f t="shared" si="107"/>
        <v>1</v>
      </c>
      <c r="T295" s="175">
        <f t="shared" si="108"/>
        <v>7</v>
      </c>
      <c r="U295" s="250">
        <f t="shared" si="109"/>
        <v>1.0327220376546924</v>
      </c>
      <c r="V295" s="382">
        <f t="shared" si="110"/>
        <v>39.826330832977966</v>
      </c>
      <c r="W295" s="401">
        <f t="shared" si="111"/>
        <v>0</v>
      </c>
      <c r="X295" s="157">
        <f t="shared" si="112"/>
        <v>44842</v>
      </c>
      <c r="Y295" s="384">
        <f t="shared" si="113"/>
        <v>15.708423942880279</v>
      </c>
      <c r="Z295" s="384">
        <f t="shared" si="114"/>
        <v>16.245640293130041</v>
      </c>
      <c r="AA295" s="385">
        <f t="shared" si="115"/>
        <v>17.547623859244776</v>
      </c>
      <c r="AB295" s="196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7.4197143531134047E-2</v>
      </c>
      <c r="AD295" s="230">
        <f>(INDEX(Models!$BJ295:$BT295,,AH295)*(1-AF295)+INDEX(Models!$BJ295:$BT295,,AH295+1)*AF295-ERP_i)*AE295*Ramure*Pc/MaxiM</f>
        <v>4.5563614472166373E-4</v>
      </c>
      <c r="AE295" s="304">
        <f t="shared" si="117"/>
        <v>0.5</v>
      </c>
      <c r="AF295" s="176">
        <f t="shared" si="118"/>
        <v>3.2722037654692393E-2</v>
      </c>
      <c r="AG295" s="814">
        <f t="shared" si="124"/>
        <v>1</v>
      </c>
      <c r="AH295" s="175">
        <f t="shared" si="119"/>
        <v>7</v>
      </c>
      <c r="AI295" s="224">
        <f t="shared" si="120"/>
        <v>1.0327220376546924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410">
        <v>38.625</v>
      </c>
      <c r="C296" s="843"/>
      <c r="D296" s="392">
        <f t="shared" si="102"/>
        <v>39.946819963753171</v>
      </c>
      <c r="E296" s="384">
        <f t="shared" si="100"/>
        <v>42.038643589924675</v>
      </c>
      <c r="F296" s="384">
        <f t="shared" si="103"/>
        <v>42.057245355193125</v>
      </c>
      <c r="G296" s="110">
        <f t="shared" si="101"/>
        <v>0.97656279092620457</v>
      </c>
      <c r="H296" s="413" t="b">
        <f>Wh_hp&gt;='2021'!Maxi_hp</f>
        <v>1</v>
      </c>
      <c r="I296" s="379">
        <f>IF(H296,Wh_hp,'2021'!Maxi_hp)</f>
        <v>42.057245355193125</v>
      </c>
      <c r="J296" s="85">
        <f>IF(H296,An,'2021'!An_max)</f>
        <v>2022</v>
      </c>
      <c r="K296" s="196">
        <f t="shared" si="104"/>
        <v>44843</v>
      </c>
      <c r="L296" s="147">
        <f>IF(t&lt;Tvie,1-EXP((T0-t)*PertePVj)+'2021'!Pspv,1-EXP((T0-t)*PertePVj)+Pspv)</f>
        <v>3.3089491602899958E-2</v>
      </c>
      <c r="M296" s="847"/>
      <c r="N296" s="847"/>
      <c r="O296" s="48">
        <f>IF(t&lt;Tnet,'2021'!Resal+('2021'!Salim-'2021'!Resal)*(1-EXP(('2021'!Tnet-t)/('2021'!Tau_j))),Resal+(Salim-Resal)*(1-EXP((Tnet-t)/(Tau_j))))*Salcycl</f>
        <v>4.9759541401398703E-2</v>
      </c>
      <c r="P296" s="338">
        <f>(INDEX(Models!$BJ296:$BT296,,T296)*(1-R296)+INDEX(Models!$BJ296:$BT296,,T296+1)*R296-ERP_i)*Q296*Ramure*Pc/MaxiM</f>
        <v>4.5760805860747047E-4</v>
      </c>
      <c r="Q296" s="304">
        <f t="shared" si="105"/>
        <v>0.5</v>
      </c>
      <c r="R296" s="176">
        <f t="shared" si="106"/>
        <v>3.2808122841089915E-2</v>
      </c>
      <c r="S296" s="814">
        <f t="shared" si="107"/>
        <v>1</v>
      </c>
      <c r="T296" s="175">
        <f t="shared" si="108"/>
        <v>7</v>
      </c>
      <c r="U296" s="250">
        <f t="shared" si="109"/>
        <v>1.0328081228410899</v>
      </c>
      <c r="V296" s="382">
        <f t="shared" si="110"/>
        <v>39.551382339840451</v>
      </c>
      <c r="W296" s="401">
        <f t="shared" si="111"/>
        <v>0</v>
      </c>
      <c r="X296" s="157">
        <f t="shared" si="112"/>
        <v>44843</v>
      </c>
      <c r="Y296" s="384">
        <f t="shared" si="113"/>
        <v>37.630954816263454</v>
      </c>
      <c r="Z296" s="384">
        <f t="shared" si="114"/>
        <v>38.918756688916666</v>
      </c>
      <c r="AA296" s="385">
        <f t="shared" si="115"/>
        <v>42.038643589924675</v>
      </c>
      <c r="AB296" s="196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7.4214737550565221E-2</v>
      </c>
      <c r="AD296" s="230">
        <f>(INDEX(Models!$BJ296:$BT296,,AH296)*(1-AF296)+INDEX(Models!$BJ296:$BT296,,AH296+1)*AF296-ERP_i)*AE296*Ramure*Pc/MaxiM</f>
        <v>4.5760805860747047E-4</v>
      </c>
      <c r="AE296" s="304">
        <f t="shared" si="117"/>
        <v>0.5</v>
      </c>
      <c r="AF296" s="176">
        <f t="shared" si="118"/>
        <v>3.2808122841089915E-2</v>
      </c>
      <c r="AG296" s="814">
        <f t="shared" si="124"/>
        <v>1</v>
      </c>
      <c r="AH296" s="175">
        <f t="shared" si="119"/>
        <v>7</v>
      </c>
      <c r="AI296" s="224">
        <f t="shared" si="120"/>
        <v>1.0328081228410899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410">
        <v>31.173999999999999</v>
      </c>
      <c r="C297" s="843"/>
      <c r="D297" s="392">
        <f t="shared" si="102"/>
        <v>32.241538061072106</v>
      </c>
      <c r="E297" s="384">
        <f t="shared" ref="E297:E360" si="125">Wh_pvt/(1-Psa)</f>
        <v>33.931809190786808</v>
      </c>
      <c r="F297" s="384">
        <f t="shared" si="103"/>
        <v>33.942804963522448</v>
      </c>
      <c r="G297" s="110">
        <f t="shared" ref="G297:G360" si="126">+Wh_hp/MaxiM</f>
        <v>0.79364644142846175</v>
      </c>
      <c r="H297" s="413" t="b">
        <f>Wh_hp&gt;='2021'!Maxi_hp</f>
        <v>1</v>
      </c>
      <c r="I297" s="379">
        <f>IF(H297,Wh_hp,'2021'!Maxi_hp)</f>
        <v>33.942804963522448</v>
      </c>
      <c r="J297" s="85">
        <f>IF(H297,An,'2021'!An_max)</f>
        <v>2022</v>
      </c>
      <c r="K297" s="196">
        <f t="shared" si="104"/>
        <v>44844</v>
      </c>
      <c r="L297" s="147">
        <f>IF(t&lt;Tvie,1-EXP((T0-t)*PertePVj)+'2021'!Pspv,1-EXP((T0-t)*PertePVj)+Pspv)</f>
        <v>3.3110643141464592E-2</v>
      </c>
      <c r="M297" s="847"/>
      <c r="N297" s="847"/>
      <c r="O297" s="48">
        <f>IF(t&lt;Tnet,'2021'!Resal+('2021'!Salim-'2021'!Resal)*(1-EXP(('2021'!Tnet-t)/('2021'!Tau_j))),Resal+(Salim-Resal)*(1-EXP((Tnet-t)/(Tau_j))))*Salcycl</f>
        <v>4.9813763840616164E-2</v>
      </c>
      <c r="P297" s="338">
        <f>(INDEX(Models!$BJ297:$BT297,,T297)*(1-R297)+INDEX(Models!$BJ297:$BT297,,T297+1)*R297-ERP_i)*Q297*Ramure*Pc/MaxiM</f>
        <v>4.5926731712781714E-4</v>
      </c>
      <c r="Q297" s="304">
        <f t="shared" si="105"/>
        <v>0.5</v>
      </c>
      <c r="R297" s="176">
        <f t="shared" si="106"/>
        <v>3.2890788716244401E-2</v>
      </c>
      <c r="S297" s="814">
        <f t="shared" si="107"/>
        <v>1</v>
      </c>
      <c r="T297" s="175">
        <f t="shared" si="108"/>
        <v>7</v>
      </c>
      <c r="U297" s="250">
        <f t="shared" si="109"/>
        <v>1.0328907887162444</v>
      </c>
      <c r="V297" s="382">
        <f t="shared" si="110"/>
        <v>39.274138488981748</v>
      </c>
      <c r="W297" s="401">
        <f t="shared" si="111"/>
        <v>0</v>
      </c>
      <c r="X297" s="157">
        <f t="shared" si="112"/>
        <v>44844</v>
      </c>
      <c r="Y297" s="384">
        <f t="shared" si="113"/>
        <v>30.372906064105344</v>
      </c>
      <c r="Z297" s="384">
        <f t="shared" si="114"/>
        <v>31.413011063425298</v>
      </c>
      <c r="AA297" s="385">
        <f t="shared" si="115"/>
        <v>33.931809190786808</v>
      </c>
      <c r="AB297" s="196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7.4231176805197183E-2</v>
      </c>
      <c r="AD297" s="230">
        <f>(INDEX(Models!$BJ297:$BT297,,AH297)*(1-AF297)+INDEX(Models!$BJ297:$BT297,,AH297+1)*AF297-ERP_i)*AE297*Ramure*Pc/MaxiM</f>
        <v>4.5926731712781714E-4</v>
      </c>
      <c r="AE297" s="304">
        <f t="shared" si="117"/>
        <v>0.5</v>
      </c>
      <c r="AF297" s="176">
        <f t="shared" si="118"/>
        <v>3.2890788716244401E-2</v>
      </c>
      <c r="AG297" s="814">
        <f t="shared" si="124"/>
        <v>1</v>
      </c>
      <c r="AH297" s="175">
        <f t="shared" si="119"/>
        <v>7</v>
      </c>
      <c r="AI297" s="224">
        <f t="shared" si="120"/>
        <v>1.0328907887162444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410">
        <v>24.600999999999999</v>
      </c>
      <c r="C298" s="843"/>
      <c r="D298" s="392">
        <f t="shared" si="102"/>
        <v>25.444005556135895</v>
      </c>
      <c r="E298" s="384">
        <f t="shared" si="125"/>
        <v>26.779418158448937</v>
      </c>
      <c r="F298" s="384">
        <f t="shared" si="103"/>
        <v>26.785250123811227</v>
      </c>
      <c r="G298" s="110">
        <f t="shared" si="126"/>
        <v>0.63073380726331152</v>
      </c>
      <c r="H298" s="413" t="b">
        <f>Wh_hp&gt;='2021'!Maxi_hp</f>
        <v>0</v>
      </c>
      <c r="I298" s="379">
        <f>IF(H298,Wh_hp,'2021'!Maxi_hp)</f>
        <v>43.136286710165194</v>
      </c>
      <c r="J298" s="85">
        <f>IF(H298,An,'2021'!An_max)</f>
        <v>2019</v>
      </c>
      <c r="K298" s="196">
        <f t="shared" si="104"/>
        <v>44845</v>
      </c>
      <c r="L298" s="147">
        <f>IF(t&lt;Tvie,1-EXP((T0-t)*PertePVj)+'2021'!Pspv,1-EXP((T0-t)*PertePVj)+Pspv)</f>
        <v>3.313179421675614E-2</v>
      </c>
      <c r="M298" s="847"/>
      <c r="N298" s="847"/>
      <c r="O298" s="48">
        <f>IF(t&lt;Tnet,'2021'!Resal+('2021'!Salim-'2021'!Resal)*(1-EXP(('2021'!Tnet-t)/('2021'!Tau_j))),Resal+(Salim-Resal)*(1-EXP((Tnet-t)/(Tau_j))))*Salcycl</f>
        <v>4.9867125357677664E-2</v>
      </c>
      <c r="P298" s="338">
        <f>(INDEX(Models!$BJ298:$BT298,,T298)*(1-R298)+INDEX(Models!$BJ298:$BT298,,T298+1)*R298-ERP_i)*Q298*Ramure*Pc/MaxiM</f>
        <v>4.6061435565599731E-4</v>
      </c>
      <c r="Q298" s="304">
        <f t="shared" si="105"/>
        <v>0.5</v>
      </c>
      <c r="R298" s="176">
        <f t="shared" si="106"/>
        <v>3.2970169300264196E-2</v>
      </c>
      <c r="S298" s="814">
        <f t="shared" si="107"/>
        <v>1</v>
      </c>
      <c r="T298" s="175">
        <f t="shared" si="108"/>
        <v>7</v>
      </c>
      <c r="U298" s="250">
        <f t="shared" si="109"/>
        <v>1.0329701693002642</v>
      </c>
      <c r="V298" s="382">
        <f t="shared" si="110"/>
        <v>38.994300336021304</v>
      </c>
      <c r="W298" s="401">
        <f t="shared" si="111"/>
        <v>0</v>
      </c>
      <c r="X298" s="157">
        <f t="shared" si="112"/>
        <v>44845</v>
      </c>
      <c r="Y298" s="384">
        <f t="shared" si="113"/>
        <v>23.969766039197403</v>
      </c>
      <c r="Z298" s="384">
        <f t="shared" si="114"/>
        <v>24.791141021934727</v>
      </c>
      <c r="AA298" s="385">
        <f t="shared" si="115"/>
        <v>26.779418158448937</v>
      </c>
      <c r="AB298" s="196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7.4246465130419825E-2</v>
      </c>
      <c r="AD298" s="230">
        <f>(INDEX(Models!$BJ298:$BT298,,AH298)*(1-AF298)+INDEX(Models!$BJ298:$BT298,,AH298+1)*AF298-ERP_i)*AE298*Ramure*Pc/MaxiM</f>
        <v>4.6061435565599731E-4</v>
      </c>
      <c r="AE298" s="304">
        <f t="shared" si="117"/>
        <v>0.5</v>
      </c>
      <c r="AF298" s="176">
        <f t="shared" si="118"/>
        <v>3.2970169300264196E-2</v>
      </c>
      <c r="AG298" s="814">
        <f t="shared" si="124"/>
        <v>1</v>
      </c>
      <c r="AH298" s="175">
        <f t="shared" si="119"/>
        <v>7</v>
      </c>
      <c r="AI298" s="224">
        <f t="shared" si="120"/>
        <v>1.0329701693002642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410">
        <v>27.645</v>
      </c>
      <c r="C299" s="843"/>
      <c r="D299" s="392">
        <f t="shared" si="102"/>
        <v>28.592940167878421</v>
      </c>
      <c r="E299" s="384">
        <f t="shared" si="125"/>
        <v>30.095285667566383</v>
      </c>
      <c r="F299" s="384">
        <f t="shared" si="103"/>
        <v>30.103507451905998</v>
      </c>
      <c r="G299" s="110">
        <f t="shared" si="126"/>
        <v>0.7139929320435775</v>
      </c>
      <c r="H299" s="413" t="b">
        <f>Wh_hp&gt;='2021'!Maxi_hp</f>
        <v>0</v>
      </c>
      <c r="I299" s="379">
        <f>IF(H299,Wh_hp,'2021'!Maxi_hp)</f>
        <v>41.118712487030926</v>
      </c>
      <c r="J299" s="85">
        <f>IF(H299,An,'2021'!An_max)</f>
        <v>2021</v>
      </c>
      <c r="K299" s="196">
        <f t="shared" si="104"/>
        <v>44846</v>
      </c>
      <c r="L299" s="147">
        <f>IF(t&lt;Tvie,1-EXP((T0-t)*PertePVj)+'2021'!Pspv,1-EXP((T0-t)*PertePVj)+Pspv)</f>
        <v>3.3152944828784926E-2</v>
      </c>
      <c r="M299" s="847"/>
      <c r="N299" s="847"/>
      <c r="O299" s="48">
        <f>IF(t&lt;Tnet,'2021'!Resal+('2021'!Salim-'2021'!Resal)*(1-EXP(('2021'!Tnet-t)/('2021'!Tau_j))),Resal+(Salim-Resal)*(1-EXP((Tnet-t)/(Tau_j))))*Salcycl</f>
        <v>4.9919629149991297E-2</v>
      </c>
      <c r="P299" s="338">
        <f>(INDEX(Models!$BJ299:$BT299,,T299)*(1-R299)+INDEX(Models!$BJ299:$BT299,,T299+1)*R299-ERP_i)*Q299*Ramure*Pc/MaxiM</f>
        <v>4.6165000040569075E-4</v>
      </c>
      <c r="Q299" s="304">
        <f t="shared" si="105"/>
        <v>0.5</v>
      </c>
      <c r="R299" s="176">
        <f t="shared" si="106"/>
        <v>3.3046393501205085E-2</v>
      </c>
      <c r="S299" s="814">
        <f t="shared" si="107"/>
        <v>1</v>
      </c>
      <c r="T299" s="175">
        <f t="shared" si="108"/>
        <v>7</v>
      </c>
      <c r="U299" s="250">
        <f t="shared" si="109"/>
        <v>1.0330463935012051</v>
      </c>
      <c r="V299" s="382">
        <f t="shared" si="110"/>
        <v>38.711568903815675</v>
      </c>
      <c r="W299" s="401">
        <f t="shared" si="111"/>
        <v>0</v>
      </c>
      <c r="X299" s="157">
        <f t="shared" si="112"/>
        <v>44846</v>
      </c>
      <c r="Y299" s="384">
        <f t="shared" si="113"/>
        <v>26.936737382524289</v>
      </c>
      <c r="Z299" s="384">
        <f t="shared" si="114"/>
        <v>27.860391401568855</v>
      </c>
      <c r="AA299" s="385">
        <f t="shared" si="115"/>
        <v>30.095285667566383</v>
      </c>
      <c r="AB299" s="196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7.426060980727188E-2</v>
      </c>
      <c r="AD299" s="230">
        <f>(INDEX(Models!$BJ299:$BT299,,AH299)*(1-AF299)+INDEX(Models!$BJ299:$BT299,,AH299+1)*AF299-ERP_i)*AE299*Ramure*Pc/MaxiM</f>
        <v>4.6165000040569075E-4</v>
      </c>
      <c r="AE299" s="304">
        <f t="shared" si="117"/>
        <v>0.5</v>
      </c>
      <c r="AF299" s="176">
        <f t="shared" si="118"/>
        <v>3.3046393501205085E-2</v>
      </c>
      <c r="AG299" s="814">
        <f t="shared" si="124"/>
        <v>1</v>
      </c>
      <c r="AH299" s="175">
        <f t="shared" si="119"/>
        <v>7</v>
      </c>
      <c r="AI299" s="224">
        <f t="shared" si="120"/>
        <v>1.0330463935012051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410">
        <v>22.38</v>
      </c>
      <c r="C300" s="843"/>
      <c r="D300" s="392">
        <f t="shared" si="102"/>
        <v>23.147910997979089</v>
      </c>
      <c r="E300" s="384">
        <f t="shared" si="125"/>
        <v>24.365485517715982</v>
      </c>
      <c r="F300" s="384">
        <f t="shared" si="103"/>
        <v>24.370031771951442</v>
      </c>
      <c r="G300" s="110">
        <f t="shared" si="126"/>
        <v>0.58226285577068893</v>
      </c>
      <c r="H300" s="413" t="b">
        <f>Wh_hp&gt;='2021'!Maxi_hp</f>
        <v>0</v>
      </c>
      <c r="I300" s="379">
        <f>IF(H300,Wh_hp,'2021'!Maxi_hp)</f>
        <v>39.212191078905711</v>
      </c>
      <c r="J300" s="85">
        <f>IF(H300,An,'2021'!An_max)</f>
        <v>2021</v>
      </c>
      <c r="K300" s="196">
        <f t="shared" si="104"/>
        <v>44847</v>
      </c>
      <c r="L300" s="147">
        <f>IF(t&lt;Tvie,1-EXP((T0-t)*PertePVj)+'2021'!Pspv,1-EXP((T0-t)*PertePVj)+Pspv)</f>
        <v>3.3174094977561054E-2</v>
      </c>
      <c r="M300" s="847"/>
      <c r="N300" s="847"/>
      <c r="O300" s="48">
        <f>IF(t&lt;Tnet,'2021'!Resal+('2021'!Salim-'2021'!Resal)*(1-EXP(('2021'!Tnet-t)/('2021'!Tau_j))),Resal+(Salim-Resal)*(1-EXP((Tnet-t)/(Tau_j))))*Salcycl</f>
        <v>4.9971280845259709E-2</v>
      </c>
      <c r="P300" s="338">
        <f>(INDEX(Models!$BJ300:$BT300,,T300)*(1-R300)+INDEX(Models!$BJ300:$BT300,,T300+1)*R300-ERP_i)*Q300*Ramure*Pc/MaxiM</f>
        <v>4.6237546667729761E-4</v>
      </c>
      <c r="Q300" s="304">
        <f t="shared" si="105"/>
        <v>0.5</v>
      </c>
      <c r="R300" s="176">
        <f t="shared" si="106"/>
        <v>3.311958529896164E-2</v>
      </c>
      <c r="S300" s="814">
        <f t="shared" si="107"/>
        <v>1</v>
      </c>
      <c r="T300" s="175">
        <f t="shared" si="108"/>
        <v>7</v>
      </c>
      <c r="U300" s="250">
        <f t="shared" si="109"/>
        <v>1.0331195852989616</v>
      </c>
      <c r="V300" s="382">
        <f t="shared" si="110"/>
        <v>38.425645179510767</v>
      </c>
      <c r="W300" s="401">
        <f t="shared" si="111"/>
        <v>0</v>
      </c>
      <c r="X300" s="157">
        <f t="shared" si="112"/>
        <v>44847</v>
      </c>
      <c r="Y300" s="384">
        <f t="shared" si="113"/>
        <v>21.807505319396995</v>
      </c>
      <c r="Z300" s="384">
        <f t="shared" si="114"/>
        <v>22.555772664046344</v>
      </c>
      <c r="AA300" s="385">
        <f t="shared" si="115"/>
        <v>24.365485517715982</v>
      </c>
      <c r="AB300" s="196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7.4273621691380048E-2</v>
      </c>
      <c r="AD300" s="230">
        <f>(INDEX(Models!$BJ300:$BT300,,AH300)*(1-AF300)+INDEX(Models!$BJ300:$BT300,,AH300+1)*AF300-ERP_i)*AE300*Ramure*Pc/MaxiM</f>
        <v>4.6237546667729761E-4</v>
      </c>
      <c r="AE300" s="304">
        <f t="shared" si="117"/>
        <v>0.5</v>
      </c>
      <c r="AF300" s="176">
        <f t="shared" si="118"/>
        <v>3.311958529896164E-2</v>
      </c>
      <c r="AG300" s="814">
        <f t="shared" si="124"/>
        <v>1</v>
      </c>
      <c r="AH300" s="175">
        <f t="shared" si="119"/>
        <v>7</v>
      </c>
      <c r="AI300" s="224">
        <f t="shared" si="120"/>
        <v>1.0331195852989616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410">
        <v>17.591000000000001</v>
      </c>
      <c r="C301" s="843"/>
      <c r="D301" s="392">
        <f t="shared" si="102"/>
        <v>18.194987046655569</v>
      </c>
      <c r="E301" s="384">
        <f t="shared" si="125"/>
        <v>19.153063274473876</v>
      </c>
      <c r="F301" s="384">
        <f t="shared" si="103"/>
        <v>19.155105573311868</v>
      </c>
      <c r="G301" s="110">
        <f t="shared" si="126"/>
        <v>0.4611030989636617</v>
      </c>
      <c r="H301" s="413" t="b">
        <f>Wh_hp&gt;='2021'!Maxi_hp</f>
        <v>0</v>
      </c>
      <c r="I301" s="379">
        <f>IF(H301,Wh_hp,'2021'!Maxi_hp)</f>
        <v>43.45780557148769</v>
      </c>
      <c r="J301" s="85">
        <f>IF(H301,An,'2021'!An_max)</f>
        <v>2021</v>
      </c>
      <c r="K301" s="196">
        <f t="shared" si="104"/>
        <v>44848</v>
      </c>
      <c r="L301" s="147">
        <f>IF(t&lt;Tvie,1-EXP((T0-t)*PertePVj)+'2021'!Pspv,1-EXP((T0-t)*PertePVj)+Pspv)</f>
        <v>3.3195244663094627E-2</v>
      </c>
      <c r="M301" s="847"/>
      <c r="N301" s="847"/>
      <c r="O301" s="48">
        <f>IF(t&lt;Tnet,'2021'!Resal+('2021'!Salim-'2021'!Resal)*(1-EXP(('2021'!Tnet-t)/('2021'!Tau_j))),Resal+(Salim-Resal)*(1-EXP((Tnet-t)/(Tau_j))))*Salcycl</f>
        <v>5.0022088586486199E-2</v>
      </c>
      <c r="P301" s="338">
        <f>(INDEX(Models!$BJ301:$BT301,,T301)*(1-R301)+INDEX(Models!$BJ301:$BT301,,T301+1)*R301-ERP_i)*Q301*Ramure*Pc/MaxiM</f>
        <v>4.6279235446267548E-4</v>
      </c>
      <c r="Q301" s="304">
        <f t="shared" si="105"/>
        <v>0.5</v>
      </c>
      <c r="R301" s="176">
        <f t="shared" si="106"/>
        <v>3.3189863923430041E-2</v>
      </c>
      <c r="S301" s="814">
        <f t="shared" si="107"/>
        <v>1</v>
      </c>
      <c r="T301" s="175">
        <f t="shared" si="108"/>
        <v>7</v>
      </c>
      <c r="U301" s="250">
        <f t="shared" si="109"/>
        <v>1.03318986392343</v>
      </c>
      <c r="V301" s="382">
        <f t="shared" si="110"/>
        <v>38.13623011110019</v>
      </c>
      <c r="W301" s="401">
        <f t="shared" si="111"/>
        <v>0</v>
      </c>
      <c r="X301" s="157">
        <f t="shared" si="112"/>
        <v>44848</v>
      </c>
      <c r="Y301" s="384">
        <f t="shared" si="113"/>
        <v>17.14170751160222</v>
      </c>
      <c r="Z301" s="384">
        <f t="shared" si="114"/>
        <v>17.730268099093905</v>
      </c>
      <c r="AA301" s="385">
        <f t="shared" si="115"/>
        <v>19.153063274473876</v>
      </c>
      <c r="AB301" s="196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7.4285515324130483E-2</v>
      </c>
      <c r="AD301" s="230">
        <f>(INDEX(Models!$BJ301:$BT301,,AH301)*(1-AF301)+INDEX(Models!$BJ301:$BT301,,AH301+1)*AF301-ERP_i)*AE301*Ramure*Pc/MaxiM</f>
        <v>4.6279235446267548E-4</v>
      </c>
      <c r="AE301" s="304">
        <f t="shared" si="117"/>
        <v>0.5</v>
      </c>
      <c r="AF301" s="176">
        <f t="shared" si="118"/>
        <v>3.3189863923430041E-2</v>
      </c>
      <c r="AG301" s="814">
        <f t="shared" si="124"/>
        <v>1</v>
      </c>
      <c r="AH301" s="175">
        <f t="shared" si="119"/>
        <v>7</v>
      </c>
      <c r="AI301" s="224">
        <f t="shared" si="120"/>
        <v>1.03318986392343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410">
        <v>37.545000000000002</v>
      </c>
      <c r="C302" s="843"/>
      <c r="D302" s="392">
        <f t="shared" si="102"/>
        <v>38.834957236076001</v>
      </c>
      <c r="E302" s="384">
        <f t="shared" si="125"/>
        <v>40.882003494903756</v>
      </c>
      <c r="F302" s="384">
        <f t="shared" si="103"/>
        <v>40.90072354329984</v>
      </c>
      <c r="G302" s="110">
        <f t="shared" si="126"/>
        <v>0.9921195457267098</v>
      </c>
      <c r="H302" s="413" t="b">
        <f>Wh_hp&gt;='2021'!Maxi_hp</f>
        <v>1</v>
      </c>
      <c r="I302" s="379">
        <f>IF(H302,Wh_hp,'2021'!Maxi_hp)</f>
        <v>40.90072354329984</v>
      </c>
      <c r="J302" s="85">
        <f>IF(H302,An,'2021'!An_max)</f>
        <v>2022</v>
      </c>
      <c r="K302" s="196">
        <f t="shared" si="104"/>
        <v>44849</v>
      </c>
      <c r="L302" s="147">
        <f>IF(t&lt;Tvie,1-EXP((T0-t)*PertePVj)+'2021'!Pspv,1-EXP((T0-t)*PertePVj)+Pspv)</f>
        <v>3.3216393885395747E-2</v>
      </c>
      <c r="M302" s="847"/>
      <c r="N302" s="847"/>
      <c r="O302" s="48">
        <f>IF(t&lt;Tnet,'2021'!Resal+('2021'!Salim-'2021'!Resal)*(1-EXP(('2021'!Tnet-t)/('2021'!Tau_j))),Resal+(Salim-Resal)*(1-EXP((Tnet-t)/(Tau_j))))*Salcycl</f>
        <v>5.0072063104317693E-2</v>
      </c>
      <c r="P302" s="338">
        <f>(INDEX(Models!$BJ302:$BT302,,T302)*(1-R302)+INDEX(Models!$BJ302:$BT302,,T302+1)*R302-ERP_i)*Q302*Ramure*Pc/MaxiM</f>
        <v>4.6290264113067661E-4</v>
      </c>
      <c r="Q302" s="304">
        <f t="shared" si="105"/>
        <v>0.5</v>
      </c>
      <c r="R302" s="176">
        <f t="shared" si="106"/>
        <v>3.3257344027049829E-2</v>
      </c>
      <c r="S302" s="814">
        <f t="shared" si="107"/>
        <v>1</v>
      </c>
      <c r="T302" s="175">
        <f t="shared" si="108"/>
        <v>7</v>
      </c>
      <c r="U302" s="250">
        <f t="shared" si="109"/>
        <v>1.0332573440270498</v>
      </c>
      <c r="V302" s="382">
        <f t="shared" si="110"/>
        <v>37.843024606970765</v>
      </c>
      <c r="W302" s="401">
        <f t="shared" si="111"/>
        <v>0</v>
      </c>
      <c r="X302" s="157">
        <f t="shared" si="112"/>
        <v>44849</v>
      </c>
      <c r="Y302" s="384">
        <f t="shared" si="113"/>
        <v>36.587559674527562</v>
      </c>
      <c r="Z302" s="384">
        <f t="shared" si="114"/>
        <v>37.844621529701868</v>
      </c>
      <c r="AA302" s="385">
        <f t="shared" si="115"/>
        <v>40.882003494903756</v>
      </c>
      <c r="AB302" s="196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7.4296309024593624E-2</v>
      </c>
      <c r="AD302" s="230">
        <f>(INDEX(Models!$BJ302:$BT302,,AH302)*(1-AF302)+INDEX(Models!$BJ302:$BT302,,AH302+1)*AF302-ERP_i)*AE302*Ramure*Pc/MaxiM</f>
        <v>4.6290264113067661E-4</v>
      </c>
      <c r="AE302" s="304">
        <f t="shared" si="117"/>
        <v>0.5</v>
      </c>
      <c r="AF302" s="176">
        <f t="shared" si="118"/>
        <v>3.3257344027049829E-2</v>
      </c>
      <c r="AG302" s="814">
        <f t="shared" si="124"/>
        <v>1</v>
      </c>
      <c r="AH302" s="175">
        <f t="shared" si="119"/>
        <v>7</v>
      </c>
      <c r="AI302" s="224">
        <f t="shared" si="120"/>
        <v>1.0332573440270498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410">
        <v>33.78</v>
      </c>
      <c r="C303" s="843"/>
      <c r="D303" s="392">
        <f t="shared" si="102"/>
        <v>34.941365112999478</v>
      </c>
      <c r="E303" s="384">
        <f t="shared" si="125"/>
        <v>36.785078019302247</v>
      </c>
      <c r="F303" s="384">
        <f t="shared" si="103"/>
        <v>36.799667391262751</v>
      </c>
      <c r="G303" s="110">
        <f t="shared" si="126"/>
        <v>0.89968214279331093</v>
      </c>
      <c r="H303" s="413" t="b">
        <f>Wh_hp&gt;='2021'!Maxi_hp</f>
        <v>0</v>
      </c>
      <c r="I303" s="379">
        <f>IF(H303,Wh_hp,'2021'!Maxi_hp)</f>
        <v>39.25450354106809</v>
      </c>
      <c r="J303" s="85">
        <f>IF(H303,An,'2021'!An_max)</f>
        <v>2021</v>
      </c>
      <c r="K303" s="196">
        <f t="shared" si="104"/>
        <v>44850</v>
      </c>
      <c r="L303" s="147">
        <f>IF(t&lt;Tvie,1-EXP((T0-t)*PertePVj)+'2021'!Pspv,1-EXP((T0-t)*PertePVj)+Pspv)</f>
        <v>3.3237542644474628E-2</v>
      </c>
      <c r="M303" s="847"/>
      <c r="N303" s="847"/>
      <c r="O303" s="48">
        <f>IF(t&lt;Tnet,'2021'!Resal+('2021'!Salim-'2021'!Resal)*(1-EXP(('2021'!Tnet-t)/('2021'!Tau_j))),Resal+(Salim-Resal)*(1-EXP((Tnet-t)/(Tau_j))))*Salcycl</f>
        <v>5.0121217775732863E-2</v>
      </c>
      <c r="P303" s="338">
        <f>(INDEX(Models!$BJ303:$BT303,,T303)*(1-R303)+INDEX(Models!$BJ303:$BT303,,T303+1)*R303-ERP_i)*Q303*Ramure*Pc/MaxiM</f>
        <v>4.6272868982994792E-4</v>
      </c>
      <c r="Q303" s="304">
        <f t="shared" si="105"/>
        <v>0.5</v>
      </c>
      <c r="R303" s="176">
        <f t="shared" si="106"/>
        <v>3.3322135851829415E-2</v>
      </c>
      <c r="S303" s="814">
        <f t="shared" si="107"/>
        <v>1</v>
      </c>
      <c r="T303" s="175">
        <f t="shared" si="108"/>
        <v>7</v>
      </c>
      <c r="U303" s="250">
        <f t="shared" si="109"/>
        <v>1.0333221358518294</v>
      </c>
      <c r="V303" s="382">
        <f t="shared" si="110"/>
        <v>37.544104460147132</v>
      </c>
      <c r="W303" s="401">
        <f t="shared" si="111"/>
        <v>0</v>
      </c>
      <c r="X303" s="157">
        <f t="shared" si="112"/>
        <v>44850</v>
      </c>
      <c r="Y303" s="384">
        <f t="shared" si="113"/>
        <v>32.919929428889596</v>
      </c>
      <c r="Z303" s="384">
        <f t="shared" si="114"/>
        <v>34.05172509381314</v>
      </c>
      <c r="AA303" s="385">
        <f t="shared" si="115"/>
        <v>36.785078019302247</v>
      </c>
      <c r="AB303" s="196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7.4306024960850578E-2</v>
      </c>
      <c r="AD303" s="230">
        <f>(INDEX(Models!$BJ303:$BT303,,AH303)*(1-AF303)+INDEX(Models!$BJ303:$BT303,,AH303+1)*AF303-ERP_i)*AE303*Ramure*Pc/MaxiM</f>
        <v>4.6272868982994792E-4</v>
      </c>
      <c r="AE303" s="304">
        <f t="shared" si="117"/>
        <v>0.5</v>
      </c>
      <c r="AF303" s="176">
        <f t="shared" si="118"/>
        <v>3.3322135851829415E-2</v>
      </c>
      <c r="AG303" s="814">
        <f t="shared" si="124"/>
        <v>1</v>
      </c>
      <c r="AH303" s="175">
        <f t="shared" si="119"/>
        <v>7</v>
      </c>
      <c r="AI303" s="224">
        <f t="shared" si="120"/>
        <v>1.0333221358518294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410">
        <v>20.237000000000002</v>
      </c>
      <c r="C304" s="843"/>
      <c r="D304" s="392">
        <f t="shared" si="102"/>
        <v>20.933211201747827</v>
      </c>
      <c r="E304" s="384">
        <f t="shared" si="125"/>
        <v>22.038892955236118</v>
      </c>
      <c r="F304" s="384">
        <f t="shared" si="103"/>
        <v>22.042435631773536</v>
      </c>
      <c r="G304" s="110">
        <f t="shared" si="126"/>
        <v>0.54327940719120238</v>
      </c>
      <c r="H304" s="413" t="b">
        <f>Wh_hp&gt;='2021'!Maxi_hp</f>
        <v>0</v>
      </c>
      <c r="I304" s="379">
        <f>IF(H304,Wh_hp,'2021'!Maxi_hp)</f>
        <v>36.49082251593331</v>
      </c>
      <c r="J304" s="85">
        <f>IF(H304,An,'2021'!An_max)</f>
        <v>2021</v>
      </c>
      <c r="K304" s="196">
        <f t="shared" si="104"/>
        <v>44851</v>
      </c>
      <c r="L304" s="147">
        <f>IF(t&lt;Tvie,1-EXP((T0-t)*PertePVj)+'2021'!Pspv,1-EXP((T0-t)*PertePVj)+Pspv)</f>
        <v>3.3258690940341486E-2</v>
      </c>
      <c r="M304" s="847"/>
      <c r="N304" s="847"/>
      <c r="O304" s="48">
        <f>IF(t&lt;Tnet,'2021'!Resal+('2021'!Salim-'2021'!Resal)*(1-EXP(('2021'!Tnet-t)/('2021'!Tau_j))),Resal+(Salim-Resal)*(1-EXP((Tnet-t)/(Tau_j))))*Salcycl</f>
        <v>5.0169568668175693E-2</v>
      </c>
      <c r="P304" s="338">
        <f>(INDEX(Models!$BJ304:$BT304,,T304)*(1-R304)+INDEX(Models!$BJ304:$BT304,,T304+1)*R304-ERP_i)*Q304*Ramure*Pc/MaxiM</f>
        <v>4.6213860144346975E-4</v>
      </c>
      <c r="Q304" s="304">
        <f t="shared" si="105"/>
        <v>0.5</v>
      </c>
      <c r="R304" s="176">
        <f t="shared" si="106"/>
        <v>3.3384345390976344E-2</v>
      </c>
      <c r="S304" s="814">
        <f t="shared" si="107"/>
        <v>1</v>
      </c>
      <c r="T304" s="175">
        <f t="shared" si="108"/>
        <v>7</v>
      </c>
      <c r="U304" s="250">
        <f t="shared" si="109"/>
        <v>1.0333843453909763</v>
      </c>
      <c r="V304" s="382">
        <f t="shared" si="110"/>
        <v>37.238479792168228</v>
      </c>
      <c r="W304" s="401">
        <f t="shared" si="111"/>
        <v>0</v>
      </c>
      <c r="X304" s="157">
        <f t="shared" si="112"/>
        <v>44851</v>
      </c>
      <c r="Y304" s="384">
        <f t="shared" si="113"/>
        <v>19.722566277859144</v>
      </c>
      <c r="Z304" s="384">
        <f t="shared" si="114"/>
        <v>20.401079474966398</v>
      </c>
      <c r="AA304" s="385">
        <f t="shared" si="115"/>
        <v>22.038892955236118</v>
      </c>
      <c r="AB304" s="196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7.4314689199513395E-2</v>
      </c>
      <c r="AD304" s="230">
        <f>(INDEX(Models!$BJ304:$BT304,,AH304)*(1-AF304)+INDEX(Models!$BJ304:$BT304,,AH304+1)*AF304-ERP_i)*AE304*Ramure*Pc/MaxiM</f>
        <v>4.6213860144346975E-4</v>
      </c>
      <c r="AE304" s="304">
        <f t="shared" si="117"/>
        <v>0.5</v>
      </c>
      <c r="AF304" s="176">
        <f t="shared" si="118"/>
        <v>3.3384345390976344E-2</v>
      </c>
      <c r="AG304" s="814">
        <f t="shared" si="124"/>
        <v>1</v>
      </c>
      <c r="AH304" s="175">
        <f t="shared" si="119"/>
        <v>7</v>
      </c>
      <c r="AI304" s="224">
        <f t="shared" si="120"/>
        <v>1.0333843453909763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410">
        <v>34.276000000000003</v>
      </c>
      <c r="C305" s="843"/>
      <c r="D305" s="392">
        <f t="shared" si="102"/>
        <v>35.455968929514981</v>
      </c>
      <c r="E305" s="384">
        <f t="shared" si="125"/>
        <v>37.330604941373281</v>
      </c>
      <c r="F305" s="384">
        <f t="shared" si="103"/>
        <v>37.346057245873183</v>
      </c>
      <c r="G305" s="110">
        <f t="shared" si="126"/>
        <v>0.92815958925826747</v>
      </c>
      <c r="H305" s="413" t="b">
        <f>Wh_hp&gt;='2021'!Maxi_hp</f>
        <v>0</v>
      </c>
      <c r="I305" s="379">
        <f>IF(H305,Wh_hp,'2021'!Maxi_hp)</f>
        <v>40.595682285029085</v>
      </c>
      <c r="J305" s="85">
        <f>IF(H305,An,'2021'!An_max)</f>
        <v>2020</v>
      </c>
      <c r="K305" s="196">
        <f t="shared" si="104"/>
        <v>44852</v>
      </c>
      <c r="L305" s="147">
        <f>IF(t&lt;Tvie,1-EXP((T0-t)*PertePVj)+'2021'!Pspv,1-EXP((T0-t)*PertePVj)+Pspv)</f>
        <v>3.3279838773006311E-2</v>
      </c>
      <c r="M305" s="847"/>
      <c r="N305" s="847"/>
      <c r="O305" s="48">
        <f>IF(t&lt;Tnet,'2021'!Resal+('2021'!Salim-'2021'!Resal)*(1-EXP(('2021'!Tnet-t)/('2021'!Tau_j))),Resal+(Salim-Resal)*(1-EXP((Tnet-t)/(Tau_j))))*Salcycl</f>
        <v>5.0217134568335153E-2</v>
      </c>
      <c r="P305" s="338">
        <f>(INDEX(Models!$BJ305:$BT305,,T305)*(1-R305)+INDEX(Models!$BJ305:$BT305,,T305+1)*R305-ERP_i)*Q305*Ramure*Pc/MaxiM</f>
        <v>4.6104804747802908E-4</v>
      </c>
      <c r="Q305" s="304">
        <f t="shared" si="105"/>
        <v>0.5</v>
      </c>
      <c r="R305" s="176">
        <f t="shared" si="106"/>
        <v>3.3444074545240676E-2</v>
      </c>
      <c r="S305" s="814">
        <f t="shared" si="107"/>
        <v>1</v>
      </c>
      <c r="T305" s="175">
        <f t="shared" si="108"/>
        <v>7</v>
      </c>
      <c r="U305" s="250">
        <f t="shared" si="109"/>
        <v>1.0334440745452407</v>
      </c>
      <c r="V305" s="382">
        <f t="shared" si="110"/>
        <v>36.927247081746067</v>
      </c>
      <c r="W305" s="401">
        <f t="shared" si="111"/>
        <v>0</v>
      </c>
      <c r="X305" s="157">
        <f t="shared" si="112"/>
        <v>44852</v>
      </c>
      <c r="Y305" s="384">
        <f t="shared" si="113"/>
        <v>33.406085656346768</v>
      </c>
      <c r="Z305" s="384">
        <f t="shared" si="114"/>
        <v>34.556107337149818</v>
      </c>
      <c r="AA305" s="385">
        <f t="shared" si="115"/>
        <v>37.330604941373281</v>
      </c>
      <c r="AB305" s="196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7.4322331732387781E-2</v>
      </c>
      <c r="AD305" s="230">
        <f>(INDEX(Models!$BJ305:$BT305,,AH305)*(1-AF305)+INDEX(Models!$BJ305:$BT305,,AH305+1)*AF305-ERP_i)*AE305*Ramure*Pc/MaxiM</f>
        <v>4.6104804747802908E-4</v>
      </c>
      <c r="AE305" s="304">
        <f t="shared" si="117"/>
        <v>0.5</v>
      </c>
      <c r="AF305" s="176">
        <f t="shared" si="118"/>
        <v>3.3444074545240676E-2</v>
      </c>
      <c r="AG305" s="814">
        <f t="shared" si="124"/>
        <v>1</v>
      </c>
      <c r="AH305" s="175">
        <f t="shared" si="119"/>
        <v>7</v>
      </c>
      <c r="AI305" s="224">
        <f t="shared" si="120"/>
        <v>1.0334440745452407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410">
        <v>15.417</v>
      </c>
      <c r="C306" s="843"/>
      <c r="D306" s="392">
        <f t="shared" si="102"/>
        <v>15.94808702501922</v>
      </c>
      <c r="E306" s="384">
        <f t="shared" si="125"/>
        <v>16.792125355919346</v>
      </c>
      <c r="F306" s="384">
        <f t="shared" si="103"/>
        <v>16.793460125031597</v>
      </c>
      <c r="G306" s="110">
        <f t="shared" si="126"/>
        <v>0.42093718637273558</v>
      </c>
      <c r="H306" s="413" t="b">
        <f>Wh_hp&gt;='2021'!Maxi_hp</f>
        <v>0</v>
      </c>
      <c r="I306" s="379">
        <f>IF(H306,Wh_hp,'2021'!Maxi_hp)</f>
        <v>39.260964769799557</v>
      </c>
      <c r="J306" s="85">
        <f>IF(H306,An,'2021'!An_max)</f>
        <v>2020</v>
      </c>
      <c r="K306" s="196">
        <f t="shared" si="104"/>
        <v>44853</v>
      </c>
      <c r="L306" s="147">
        <f>IF(t&lt;Tvie,1-EXP((T0-t)*PertePVj)+'2021'!Pspv,1-EXP((T0-t)*PertePVj)+Pspv)</f>
        <v>3.3300986142479318E-2</v>
      </c>
      <c r="M306" s="847"/>
      <c r="N306" s="847"/>
      <c r="O306" s="48">
        <f>IF(t&lt;Tnet,'2021'!Resal+('2021'!Salim-'2021'!Resal)*(1-EXP(('2021'!Tnet-t)/('2021'!Tau_j))),Resal+(Salim-Resal)*(1-EXP((Tnet-t)/(Tau_j))))*Salcycl</f>
        <v>5.0263936994884052E-2</v>
      </c>
      <c r="P306" s="338">
        <f>(INDEX(Models!$BJ306:$BT306,,T306)*(1-R306)+INDEX(Models!$BJ306:$BT306,,T306+1)*R306-ERP_i)*Q306*Ramure*Pc/MaxiM</f>
        <v>4.5944116300435578E-4</v>
      </c>
      <c r="Q306" s="304">
        <f t="shared" si="105"/>
        <v>0.5</v>
      </c>
      <c r="R306" s="176">
        <f t="shared" si="106"/>
        <v>3.3501421274098719E-2</v>
      </c>
      <c r="S306" s="814">
        <f t="shared" si="107"/>
        <v>1</v>
      </c>
      <c r="T306" s="175">
        <f t="shared" si="108"/>
        <v>7</v>
      </c>
      <c r="U306" s="250">
        <f t="shared" si="109"/>
        <v>1.0335014212740987</v>
      </c>
      <c r="V306" s="382">
        <f t="shared" si="110"/>
        <v>36.611499755541558</v>
      </c>
      <c r="W306" s="401">
        <f t="shared" si="111"/>
        <v>0</v>
      </c>
      <c r="X306" s="157">
        <f t="shared" si="112"/>
        <v>44853</v>
      </c>
      <c r="Y306" s="384">
        <f t="shared" si="113"/>
        <v>15.026353711673528</v>
      </c>
      <c r="Z306" s="384">
        <f t="shared" si="114"/>
        <v>15.543983697378867</v>
      </c>
      <c r="AA306" s="385">
        <f t="shared" si="115"/>
        <v>16.792125355919346</v>
      </c>
      <c r="AB306" s="196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7.4328986479397646E-2</v>
      </c>
      <c r="AD306" s="230">
        <f>(INDEX(Models!$BJ306:$BT306,,AH306)*(1-AF306)+INDEX(Models!$BJ306:$BT306,,AH306+1)*AF306-ERP_i)*AE306*Ramure*Pc/MaxiM</f>
        <v>4.5944116300435578E-4</v>
      </c>
      <c r="AE306" s="304">
        <f t="shared" si="117"/>
        <v>0.5</v>
      </c>
      <c r="AF306" s="176">
        <f t="shared" si="118"/>
        <v>3.3501421274098719E-2</v>
      </c>
      <c r="AG306" s="814">
        <f t="shared" si="124"/>
        <v>1</v>
      </c>
      <c r="AH306" s="175">
        <f t="shared" si="119"/>
        <v>7</v>
      </c>
      <c r="AI306" s="224">
        <f t="shared" si="120"/>
        <v>1.0335014212740987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410">
        <v>9.0250000000000004</v>
      </c>
      <c r="C307" s="843"/>
      <c r="D307" s="392">
        <f t="shared" si="102"/>
        <v>9.3360987238319879</v>
      </c>
      <c r="E307" s="384">
        <f t="shared" si="125"/>
        <v>9.8306802490761367</v>
      </c>
      <c r="F307" s="384">
        <f t="shared" si="103"/>
        <v>9.8306802490761367</v>
      </c>
      <c r="G307" s="110">
        <f t="shared" si="126"/>
        <v>0.2485614081540384</v>
      </c>
      <c r="H307" s="413" t="b">
        <f>Wh_hp&gt;='2021'!Maxi_hp</f>
        <v>0</v>
      </c>
      <c r="I307" s="379">
        <f>IF(H307,Wh_hp,'2021'!Maxi_hp)</f>
        <v>33.080208038674293</v>
      </c>
      <c r="J307" s="85">
        <f>IF(H307,An,'2021'!An_max)</f>
        <v>2020</v>
      </c>
      <c r="K307" s="196">
        <f t="shared" si="104"/>
        <v>44854</v>
      </c>
      <c r="L307" s="147">
        <f>IF(t&lt;Tvie,1-EXP((T0-t)*PertePVj)+'2021'!Pspv,1-EXP((T0-t)*PertePVj)+Pspv)</f>
        <v>3.332213304877072E-2</v>
      </c>
      <c r="M307" s="847"/>
      <c r="N307" s="847"/>
      <c r="O307" s="48">
        <f>IF(t&lt;Tnet,'2021'!Resal+('2021'!Salim-'2021'!Resal)*(1-EXP(('2021'!Tnet-t)/('2021'!Tau_j))),Resal+(Salim-Resal)*(1-EXP((Tnet-t)/(Tau_j))))*Salcycl</f>
        <v>5.031000019460781E-2</v>
      </c>
      <c r="P307" s="338">
        <f>(INDEX(Models!$BJ307:$BT307,,T307)*(1-R307)+INDEX(Models!$BJ307:$BT307,,T307+1)*R307-ERP_i)*Q307*Ramure*Pc/MaxiM</f>
        <v>4.5730190498687653E-4</v>
      </c>
      <c r="Q307" s="304">
        <f t="shared" si="105"/>
        <v>0.5</v>
      </c>
      <c r="R307" s="176">
        <f t="shared" si="106"/>
        <v>3.3556479741894796E-2</v>
      </c>
      <c r="S307" s="814">
        <f t="shared" si="107"/>
        <v>1</v>
      </c>
      <c r="T307" s="175">
        <f t="shared" si="108"/>
        <v>7</v>
      </c>
      <c r="U307" s="250">
        <f t="shared" si="109"/>
        <v>1.0335564797418948</v>
      </c>
      <c r="V307" s="382">
        <f t="shared" si="110"/>
        <v>36.292330805903227</v>
      </c>
      <c r="W307" s="401">
        <f t="shared" si="111"/>
        <v>0</v>
      </c>
      <c r="X307" s="157">
        <f t="shared" si="112"/>
        <v>44854</v>
      </c>
      <c r="Y307" s="384">
        <f t="shared" si="113"/>
        <v>8.7966909339116892</v>
      </c>
      <c r="Z307" s="384">
        <f t="shared" si="114"/>
        <v>9.0999196678157723</v>
      </c>
      <c r="AA307" s="385">
        <f t="shared" si="115"/>
        <v>9.8306802490761367</v>
      </c>
      <c r="AB307" s="196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7.4334691267070693E-2</v>
      </c>
      <c r="AD307" s="230">
        <f>(INDEX(Models!$BJ307:$BT307,,AH307)*(1-AF307)+INDEX(Models!$BJ307:$BT307,,AH307+1)*AF307-ERP_i)*AE307*Ramure*Pc/MaxiM</f>
        <v>4.5730190498687653E-4</v>
      </c>
      <c r="AE307" s="304">
        <f t="shared" si="117"/>
        <v>0.5</v>
      </c>
      <c r="AF307" s="176">
        <f t="shared" si="118"/>
        <v>3.3556479741894796E-2</v>
      </c>
      <c r="AG307" s="814">
        <f t="shared" si="124"/>
        <v>1</v>
      </c>
      <c r="AH307" s="175">
        <f t="shared" si="119"/>
        <v>7</v>
      </c>
      <c r="AI307" s="224">
        <f t="shared" si="120"/>
        <v>1.0335564797418948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410">
        <v>15.315</v>
      </c>
      <c r="C308" s="843"/>
      <c r="D308" s="392">
        <f t="shared" si="102"/>
        <v>15.843266461696855</v>
      </c>
      <c r="E308" s="384">
        <f t="shared" si="125"/>
        <v>16.68336306681341</v>
      </c>
      <c r="F308" s="384">
        <f t="shared" si="103"/>
        <v>16.684725803993821</v>
      </c>
      <c r="G308" s="110">
        <f t="shared" si="126"/>
        <v>0.42560282276685907</v>
      </c>
      <c r="H308" s="413" t="b">
        <f>Wh_hp&gt;='2021'!Maxi_hp</f>
        <v>0</v>
      </c>
      <c r="I308" s="379">
        <f>IF(H308,Wh_hp,'2021'!Maxi_hp)</f>
        <v>24.658725492939233</v>
      </c>
      <c r="J308" s="85">
        <f>IF(H308,An,'2021'!An_max)</f>
        <v>2019</v>
      </c>
      <c r="K308" s="196">
        <f t="shared" si="104"/>
        <v>44855</v>
      </c>
      <c r="L308" s="147">
        <f>IF(t&lt;Tvie,1-EXP((T0-t)*PertePVj)+'2021'!Pspv,1-EXP((T0-t)*PertePVj)+Pspv)</f>
        <v>3.3343279491890622E-2</v>
      </c>
      <c r="M308" s="847"/>
      <c r="N308" s="847"/>
      <c r="O308" s="48">
        <f>IF(t&lt;Tnet,'2021'!Resal+('2021'!Salim-'2021'!Resal)*(1-EXP(('2021'!Tnet-t)/('2021'!Tau_j))),Resal+(Salim-Resal)*(1-EXP((Tnet-t)/(Tau_j))))*Salcycl</f>
        <v>5.0355351121482039E-2</v>
      </c>
      <c r="P308" s="338">
        <f>(INDEX(Models!$BJ308:$BT308,,T308)*(1-R308)+INDEX(Models!$BJ308:$BT308,,T308+1)*R308-ERP_i)*Q308*Ramure*Pc/MaxiM</f>
        <v>4.5461415411134445E-4</v>
      </c>
      <c r="Q308" s="304">
        <f t="shared" si="105"/>
        <v>0.5</v>
      </c>
      <c r="R308" s="176">
        <f t="shared" si="106"/>
        <v>3.360934045906605E-2</v>
      </c>
      <c r="S308" s="814">
        <f t="shared" si="107"/>
        <v>1</v>
      </c>
      <c r="T308" s="175">
        <f t="shared" si="108"/>
        <v>7</v>
      </c>
      <c r="U308" s="250">
        <f t="shared" si="109"/>
        <v>1.0336093404590661</v>
      </c>
      <c r="V308" s="382">
        <f t="shared" si="110"/>
        <v>35.970832810727288</v>
      </c>
      <c r="W308" s="401">
        <f t="shared" si="111"/>
        <v>0</v>
      </c>
      <c r="X308" s="157">
        <f t="shared" si="112"/>
        <v>44855</v>
      </c>
      <c r="Y308" s="384">
        <f t="shared" si="113"/>
        <v>14.928205788722371</v>
      </c>
      <c r="Z308" s="384">
        <f t="shared" si="114"/>
        <v>15.443130401944106</v>
      </c>
      <c r="AA308" s="385">
        <f t="shared" si="115"/>
        <v>16.68336306681341</v>
      </c>
      <c r="AB308" s="196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7.4339487782075414E-2</v>
      </c>
      <c r="AD308" s="230">
        <f>(INDEX(Models!$BJ308:$BT308,,AH308)*(1-AF308)+INDEX(Models!$BJ308:$BT308,,AH308+1)*AF308-ERP_i)*AE308*Ramure*Pc/MaxiM</f>
        <v>4.5461415411134445E-4</v>
      </c>
      <c r="AE308" s="304">
        <f t="shared" si="117"/>
        <v>0.5</v>
      </c>
      <c r="AF308" s="176">
        <f t="shared" si="118"/>
        <v>3.360934045906605E-2</v>
      </c>
      <c r="AG308" s="814">
        <f t="shared" si="124"/>
        <v>1</v>
      </c>
      <c r="AH308" s="175">
        <f t="shared" si="119"/>
        <v>7</v>
      </c>
      <c r="AI308" s="224">
        <f t="shared" si="120"/>
        <v>1.0336093404590661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410">
        <v>33.744999999999997</v>
      </c>
      <c r="C309" s="843"/>
      <c r="D309" s="392">
        <f t="shared" si="102"/>
        <v>34.909743536463708</v>
      </c>
      <c r="E309" s="384">
        <f t="shared" si="125"/>
        <v>36.762578190394414</v>
      </c>
      <c r="F309" s="384">
        <f t="shared" si="103"/>
        <v>36.777912321684994</v>
      </c>
      <c r="G309" s="110">
        <f t="shared" si="126"/>
        <v>0.94658172099809956</v>
      </c>
      <c r="H309" s="413" t="b">
        <f>Wh_hp&gt;='2021'!Maxi_hp</f>
        <v>1</v>
      </c>
      <c r="I309" s="379">
        <f>IF(H309,Wh_hp,'2021'!Maxi_hp)</f>
        <v>36.777912321684994</v>
      </c>
      <c r="J309" s="85">
        <f>IF(H309,An,'2021'!An_max)</f>
        <v>2022</v>
      </c>
      <c r="K309" s="196">
        <f t="shared" si="104"/>
        <v>44856</v>
      </c>
      <c r="L309" s="147">
        <f>IF(t&lt;Tvie,1-EXP((T0-t)*PertePVj)+'2021'!Pspv,1-EXP((T0-t)*PertePVj)+Pspv)</f>
        <v>3.3364425471849125E-2</v>
      </c>
      <c r="M309" s="847"/>
      <c r="N309" s="847"/>
      <c r="O309" s="48">
        <f>IF(t&lt;Tnet,'2021'!Resal+('2021'!Salim-'2021'!Resal)*(1-EXP(('2021'!Tnet-t)/('2021'!Tau_j))),Resal+(Salim-Resal)*(1-EXP((Tnet-t)/(Tau_j))))*Salcycl</f>
        <v>5.0400019398390034E-2</v>
      </c>
      <c r="P309" s="338">
        <f>(INDEX(Models!$BJ309:$BT309,,T309)*(1-R309)+INDEX(Models!$BJ309:$BT309,,T309+1)*R309-ERP_i)*Q309*Ramure*Pc/MaxiM</f>
        <v>4.5136182610457397E-4</v>
      </c>
      <c r="Q309" s="304">
        <f t="shared" si="105"/>
        <v>0.5</v>
      </c>
      <c r="R309" s="176">
        <f t="shared" si="106"/>
        <v>3.3660090418573541E-2</v>
      </c>
      <c r="S309" s="814">
        <f t="shared" si="107"/>
        <v>1</v>
      </c>
      <c r="T309" s="175">
        <f t="shared" si="108"/>
        <v>7</v>
      </c>
      <c r="U309" s="250">
        <f t="shared" si="109"/>
        <v>1.0336600904185735</v>
      </c>
      <c r="V309" s="382">
        <f t="shared" si="110"/>
        <v>35.648097945676426</v>
      </c>
      <c r="W309" s="401">
        <f t="shared" si="111"/>
        <v>0</v>
      </c>
      <c r="X309" s="157">
        <f t="shared" si="112"/>
        <v>44856</v>
      </c>
      <c r="Y309" s="384">
        <f t="shared" si="113"/>
        <v>32.894146882469379</v>
      </c>
      <c r="Z309" s="384">
        <f t="shared" si="114"/>
        <v>34.029522344577664</v>
      </c>
      <c r="AA309" s="385">
        <f t="shared" si="115"/>
        <v>36.762578190394414</v>
      </c>
      <c r="AB309" s="196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7.4343421499498213E-2</v>
      </c>
      <c r="AD309" s="230">
        <f>(INDEX(Models!$BJ309:$BT309,,AH309)*(1-AF309)+INDEX(Models!$BJ309:$BT309,,AH309+1)*AF309-ERP_i)*AE309*Ramure*Pc/MaxiM</f>
        <v>4.5136182610457397E-4</v>
      </c>
      <c r="AE309" s="304">
        <f t="shared" si="117"/>
        <v>0.5</v>
      </c>
      <c r="AF309" s="176">
        <f t="shared" si="118"/>
        <v>3.3660090418573541E-2</v>
      </c>
      <c r="AG309" s="814">
        <f t="shared" si="124"/>
        <v>1</v>
      </c>
      <c r="AH309" s="175">
        <f t="shared" si="119"/>
        <v>7</v>
      </c>
      <c r="AI309" s="224">
        <f t="shared" si="120"/>
        <v>1.0336600904185735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410">
        <v>18.881</v>
      </c>
      <c r="C310" s="843"/>
      <c r="D310" s="392">
        <f t="shared" si="102"/>
        <v>19.53312451513014</v>
      </c>
      <c r="E310" s="384">
        <f t="shared" si="125"/>
        <v>20.570798648657945</v>
      </c>
      <c r="F310" s="384">
        <f t="shared" si="103"/>
        <v>20.573889340077748</v>
      </c>
      <c r="G310" s="110">
        <f t="shared" si="126"/>
        <v>0.53433175523231879</v>
      </c>
      <c r="H310" s="413" t="b">
        <f>Wh_hp&gt;='2021'!Maxi_hp</f>
        <v>0</v>
      </c>
      <c r="I310" s="379">
        <f>IF(H310,Wh_hp,'2021'!Maxi_hp)</f>
        <v>38.121231488419959</v>
      </c>
      <c r="J310" s="85">
        <f>IF(H310,An,'2021'!An_max)</f>
        <v>2018</v>
      </c>
      <c r="K310" s="196">
        <f t="shared" si="104"/>
        <v>44857</v>
      </c>
      <c r="L310" s="147">
        <f>IF(t&lt;Tvie,1-EXP((T0-t)*PertePVj)+'2021'!Pspv,1-EXP((T0-t)*PertePVj)+Pspv)</f>
        <v>3.3385570988656334E-2</v>
      </c>
      <c r="M310" s="847"/>
      <c r="N310" s="847"/>
      <c r="O310" s="48">
        <f>IF(t&lt;Tnet,'2021'!Resal+('2021'!Salim-'2021'!Resal)*(1-EXP(('2021'!Tnet-t)/('2021'!Tau_j))),Resal+(Salim-Resal)*(1-EXP((Tnet-t)/(Tau_j))))*Salcycl</f>
        <v>5.0444037261309915E-2</v>
      </c>
      <c r="P310" s="338">
        <f>(INDEX(Models!$BJ310:$BT310,,T310)*(1-R310)+INDEX(Models!$BJ310:$BT310,,T310+1)*R310-ERP_i)*Q310*Ramure*Pc/MaxiM</f>
        <v>4.4844664700784094E-4</v>
      </c>
      <c r="Q310" s="304">
        <f t="shared" si="105"/>
        <v>0.5</v>
      </c>
      <c r="R310" s="176">
        <f t="shared" si="106"/>
        <v>3.3708813227666612E-2</v>
      </c>
      <c r="S310" s="814">
        <f t="shared" si="107"/>
        <v>1</v>
      </c>
      <c r="T310" s="175">
        <f t="shared" si="108"/>
        <v>7</v>
      </c>
      <c r="U310" s="250">
        <f t="shared" si="109"/>
        <v>1.0337088132276666</v>
      </c>
      <c r="V310" s="382">
        <f t="shared" si="110"/>
        <v>35.325185574095165</v>
      </c>
      <c r="W310" s="401">
        <f t="shared" si="111"/>
        <v>0</v>
      </c>
      <c r="X310" s="157">
        <f t="shared" si="112"/>
        <v>44857</v>
      </c>
      <c r="Y310" s="384">
        <f t="shared" si="113"/>
        <v>18.405721868052758</v>
      </c>
      <c r="Z310" s="384">
        <f t="shared" si="114"/>
        <v>19.041430911473348</v>
      </c>
      <c r="AA310" s="385">
        <f t="shared" si="115"/>
        <v>20.570798648657945</v>
      </c>
      <c r="AB310" s="196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7.4346541585752893E-2</v>
      </c>
      <c r="AD310" s="230">
        <f>(INDEX(Models!$BJ310:$BT310,,AH310)*(1-AF310)+INDEX(Models!$BJ310:$BT310,,AH310+1)*AF310-ERP_i)*AE310*Ramure*Pc/MaxiM</f>
        <v>4.4844664700784094E-4</v>
      </c>
      <c r="AE310" s="304">
        <f t="shared" si="117"/>
        <v>0.5</v>
      </c>
      <c r="AF310" s="176">
        <f t="shared" si="118"/>
        <v>3.3708813227666612E-2</v>
      </c>
      <c r="AG310" s="814">
        <f t="shared" si="124"/>
        <v>1</v>
      </c>
      <c r="AH310" s="175">
        <f t="shared" si="119"/>
        <v>7</v>
      </c>
      <c r="AI310" s="224">
        <f t="shared" si="120"/>
        <v>1.0337088132276666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410">
        <v>25.913</v>
      </c>
      <c r="C311" s="843"/>
      <c r="D311" s="392">
        <f t="shared" si="102"/>
        <v>26.808586848338383</v>
      </c>
      <c r="E311" s="384">
        <f t="shared" si="125"/>
        <v>28.234051831630815</v>
      </c>
      <c r="F311" s="384">
        <f t="shared" si="103"/>
        <v>28.2419792149011</v>
      </c>
      <c r="G311" s="110">
        <f t="shared" si="126"/>
        <v>0.74018169586547311</v>
      </c>
      <c r="H311" s="413" t="b">
        <f>Wh_hp&gt;='2021'!Maxi_hp</f>
        <v>0</v>
      </c>
      <c r="I311" s="379">
        <f>IF(H311,Wh_hp,'2021'!Maxi_hp)</f>
        <v>39.472897554741962</v>
      </c>
      <c r="J311" s="85">
        <f>IF(H311,An,'2021'!An_max)</f>
        <v>2021</v>
      </c>
      <c r="K311" s="196">
        <f t="shared" si="104"/>
        <v>44858</v>
      </c>
      <c r="L311" s="147">
        <f>IF(t&lt;Tvie,1-EXP((T0-t)*PertePVj)+'2021'!Pspv,1-EXP((T0-t)*PertePVj)+Pspv)</f>
        <v>3.3406716042322461E-2</v>
      </c>
      <c r="M311" s="847"/>
      <c r="N311" s="847"/>
      <c r="O311" s="48">
        <f>IF(t&lt;Tnet,'2021'!Resal+('2021'!Salim-'2021'!Resal)*(1-EXP(('2021'!Tnet-t)/('2021'!Tau_j))),Resal+(Salim-Resal)*(1-EXP((Tnet-t)/(Tau_j))))*Salcycl</f>
        <v>5.048743948594285E-2</v>
      </c>
      <c r="P311" s="338">
        <f>(INDEX(Models!$BJ311:$BT311,,T311)*(1-R311)+INDEX(Models!$BJ311:$BT311,,T311+1)*R311-ERP_i)*Q311*Ramure*Pc/MaxiM</f>
        <v>4.4625166274166531E-4</v>
      </c>
      <c r="Q311" s="304">
        <f t="shared" si="105"/>
        <v>0.5</v>
      </c>
      <c r="R311" s="176">
        <f t="shared" si="106"/>
        <v>3.3755589235102246E-2</v>
      </c>
      <c r="S311" s="814">
        <f t="shared" si="107"/>
        <v>1</v>
      </c>
      <c r="T311" s="175">
        <f t="shared" si="108"/>
        <v>7</v>
      </c>
      <c r="U311" s="250">
        <f t="shared" si="109"/>
        <v>1.0337555892351022</v>
      </c>
      <c r="V311" s="382">
        <f t="shared" si="110"/>
        <v>35.003174046615747</v>
      </c>
      <c r="W311" s="401">
        <f t="shared" si="111"/>
        <v>0</v>
      </c>
      <c r="X311" s="157">
        <f t="shared" si="112"/>
        <v>44858</v>
      </c>
      <c r="Y311" s="384">
        <f t="shared" si="113"/>
        <v>25.261800561331899</v>
      </c>
      <c r="Z311" s="384">
        <f t="shared" si="114"/>
        <v>26.13488111349012</v>
      </c>
      <c r="AA311" s="385">
        <f t="shared" si="115"/>
        <v>28.234051831630815</v>
      </c>
      <c r="AB311" s="196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7.4348900776224386E-2</v>
      </c>
      <c r="AD311" s="230">
        <f>(INDEX(Models!$BJ311:$BT311,,AH311)*(1-AF311)+INDEX(Models!$BJ311:$BT311,,AH311+1)*AF311-ERP_i)*AE311*Ramure*Pc/MaxiM</f>
        <v>4.4625166274166531E-4</v>
      </c>
      <c r="AE311" s="304">
        <f t="shared" si="117"/>
        <v>0.5</v>
      </c>
      <c r="AF311" s="176">
        <f t="shared" si="118"/>
        <v>3.3755589235102246E-2</v>
      </c>
      <c r="AG311" s="814">
        <f t="shared" si="124"/>
        <v>1</v>
      </c>
      <c r="AH311" s="175">
        <f t="shared" si="119"/>
        <v>7</v>
      </c>
      <c r="AI311" s="224">
        <f t="shared" si="120"/>
        <v>1.0337555892351022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410">
        <v>22.058</v>
      </c>
      <c r="C312" s="843"/>
      <c r="D312" s="392">
        <f t="shared" si="102"/>
        <v>22.820852269177088</v>
      </c>
      <c r="E312" s="384">
        <f t="shared" si="125"/>
        <v>24.035365622520278</v>
      </c>
      <c r="F312" s="384">
        <f t="shared" si="103"/>
        <v>24.040497879559585</v>
      </c>
      <c r="G312" s="110">
        <f t="shared" si="126"/>
        <v>0.63583883700428323</v>
      </c>
      <c r="H312" s="413" t="b">
        <f>Wh_hp&gt;='2021'!Maxi_hp</f>
        <v>0</v>
      </c>
      <c r="I312" s="379">
        <f>IF(H312,Wh_hp,'2021'!Maxi_hp)</f>
        <v>37.235103928768822</v>
      </c>
      <c r="J312" s="85">
        <f>IF(H312,An,'2021'!An_max)</f>
        <v>2018</v>
      </c>
      <c r="K312" s="196">
        <f t="shared" si="104"/>
        <v>44859</v>
      </c>
      <c r="L312" s="147">
        <f>IF(t&lt;Tvie,1-EXP((T0-t)*PertePVj)+'2021'!Pspv,1-EXP((T0-t)*PertePVj)+Pspv)</f>
        <v>3.3427860632857721E-2</v>
      </c>
      <c r="M312" s="847"/>
      <c r="N312" s="847"/>
      <c r="O312" s="48">
        <f>IF(t&lt;Tnet,'2021'!Resal+('2021'!Salim-'2021'!Resal)*(1-EXP(('2021'!Tnet-t)/('2021'!Tau_j))),Resal+(Salim-Resal)*(1-EXP((Tnet-t)/(Tau_j))))*Salcycl</f>
        <v>5.0530263296899212E-2</v>
      </c>
      <c r="P312" s="338">
        <f>(INDEX(Models!$BJ312:$BT312,,T312)*(1-R312)+INDEX(Models!$BJ312:$BT312,,T312+1)*R312-ERP_i)*Q312*Ramure*Pc/MaxiM</f>
        <v>4.4477650943852855E-4</v>
      </c>
      <c r="Q312" s="304">
        <f t="shared" si="105"/>
        <v>0.5</v>
      </c>
      <c r="R312" s="176">
        <f t="shared" si="106"/>
        <v>3.3800495653947049E-2</v>
      </c>
      <c r="S312" s="814">
        <f t="shared" si="107"/>
        <v>1</v>
      </c>
      <c r="T312" s="175">
        <f t="shared" si="108"/>
        <v>7</v>
      </c>
      <c r="U312" s="250">
        <f t="shared" si="109"/>
        <v>1.033800495653947</v>
      </c>
      <c r="V312" s="382">
        <f t="shared" si="110"/>
        <v>34.683155184577892</v>
      </c>
      <c r="W312" s="401">
        <f t="shared" si="111"/>
        <v>0</v>
      </c>
      <c r="X312" s="157">
        <f t="shared" si="112"/>
        <v>44859</v>
      </c>
      <c r="Y312" s="384">
        <f t="shared" si="113"/>
        <v>21.504609008055606</v>
      </c>
      <c r="Z312" s="384">
        <f t="shared" si="114"/>
        <v>22.248322843378901</v>
      </c>
      <c r="AA312" s="385">
        <f t="shared" si="115"/>
        <v>24.035365622520278</v>
      </c>
      <c r="AB312" s="196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7.435055522795872E-2</v>
      </c>
      <c r="AD312" s="230">
        <f>(INDEX(Models!$BJ312:$BT312,,AH312)*(1-AF312)+INDEX(Models!$BJ312:$BT312,,AH312+1)*AF312-ERP_i)*AE312*Ramure*Pc/MaxiM</f>
        <v>4.4477650943852855E-4</v>
      </c>
      <c r="AE312" s="304">
        <f t="shared" si="117"/>
        <v>0.5</v>
      </c>
      <c r="AF312" s="176">
        <f t="shared" si="118"/>
        <v>3.3800495653947049E-2</v>
      </c>
      <c r="AG312" s="814">
        <f t="shared" si="124"/>
        <v>1</v>
      </c>
      <c r="AH312" s="175">
        <f t="shared" si="119"/>
        <v>7</v>
      </c>
      <c r="AI312" s="224">
        <f t="shared" si="120"/>
        <v>1.033800495653947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410">
        <v>17.648</v>
      </c>
      <c r="C313" s="843"/>
      <c r="D313" s="392">
        <f t="shared" si="102"/>
        <v>18.25873656632351</v>
      </c>
      <c r="E313" s="384">
        <f t="shared" si="125"/>
        <v>19.23131307490145</v>
      </c>
      <c r="F313" s="384">
        <f t="shared" si="103"/>
        <v>19.233918165480482</v>
      </c>
      <c r="G313" s="110">
        <f t="shared" si="126"/>
        <v>0.51336903574894877</v>
      </c>
      <c r="H313" s="413" t="b">
        <f>Wh_hp&gt;='2021'!Maxi_hp</f>
        <v>0</v>
      </c>
      <c r="I313" s="379">
        <f>IF(H313,Wh_hp,'2021'!Maxi_hp)</f>
        <v>37.759644135743372</v>
      </c>
      <c r="J313" s="85">
        <f>IF(H313,An,'2021'!An_max)</f>
        <v>2019</v>
      </c>
      <c r="K313" s="196">
        <f t="shared" si="104"/>
        <v>44860</v>
      </c>
      <c r="L313" s="147">
        <f>IF(t&lt;Tvie,1-EXP((T0-t)*PertePVj)+'2021'!Pspv,1-EXP((T0-t)*PertePVj)+Pspv)</f>
        <v>3.3449004760272107E-2</v>
      </c>
      <c r="M313" s="847"/>
      <c r="N313" s="847"/>
      <c r="O313" s="48">
        <f>IF(t&lt;Tnet,'2021'!Resal+('2021'!Salim-'2021'!Resal)*(1-EXP(('2021'!Tnet-t)/('2021'!Tau_j))),Resal+(Salim-Resal)*(1-EXP((Tnet-t)/(Tau_j))))*Salcycl</f>
        <v>5.0572548259704586E-2</v>
      </c>
      <c r="P313" s="338">
        <f>(INDEX(Models!$BJ313:$BT313,,T313)*(1-R313)+INDEX(Models!$BJ313:$BT313,,T313+1)*R313-ERP_i)*Q313*Ramure*Pc/MaxiM</f>
        <v>4.4401664548100592E-4</v>
      </c>
      <c r="Q313" s="304">
        <f t="shared" si="105"/>
        <v>0.5</v>
      </c>
      <c r="R313" s="176">
        <f t="shared" si="106"/>
        <v>3.3843606680084903E-2</v>
      </c>
      <c r="S313" s="814">
        <f t="shared" si="107"/>
        <v>1</v>
      </c>
      <c r="T313" s="175">
        <f t="shared" si="108"/>
        <v>7</v>
      </c>
      <c r="U313" s="250">
        <f t="shared" si="109"/>
        <v>1.0338436066800849</v>
      </c>
      <c r="V313" s="382">
        <f t="shared" si="110"/>
        <v>34.366220628455892</v>
      </c>
      <c r="W313" s="401">
        <f t="shared" si="111"/>
        <v>0</v>
      </c>
      <c r="X313" s="157">
        <f t="shared" si="112"/>
        <v>44860</v>
      </c>
      <c r="Y313" s="384">
        <f t="shared" si="113"/>
        <v>17.205994583835071</v>
      </c>
      <c r="Z313" s="384">
        <f t="shared" si="114"/>
        <v>17.801434863317866</v>
      </c>
      <c r="AA313" s="385">
        <f t="shared" si="115"/>
        <v>19.23131307490145</v>
      </c>
      <c r="AB313" s="196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7.4351564347922783E-2</v>
      </c>
      <c r="AD313" s="230">
        <f>(INDEX(Models!$BJ313:$BT313,,AH313)*(1-AF313)+INDEX(Models!$BJ313:$BT313,,AH313+1)*AF313-ERP_i)*AE313*Ramure*Pc/MaxiM</f>
        <v>4.4401664548100592E-4</v>
      </c>
      <c r="AE313" s="304">
        <f t="shared" si="117"/>
        <v>0.5</v>
      </c>
      <c r="AF313" s="176">
        <f t="shared" si="118"/>
        <v>3.3843606680084903E-2</v>
      </c>
      <c r="AG313" s="814">
        <f t="shared" si="124"/>
        <v>1</v>
      </c>
      <c r="AH313" s="175">
        <f t="shared" si="119"/>
        <v>7</v>
      </c>
      <c r="AI313" s="224">
        <f t="shared" si="120"/>
        <v>1.0338436066800849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410">
        <v>13.825000000000001</v>
      </c>
      <c r="C314" s="843"/>
      <c r="D314" s="392">
        <f t="shared" si="102"/>
        <v>14.303748588277466</v>
      </c>
      <c r="E314" s="384">
        <f t="shared" si="125"/>
        <v>15.066320393298383</v>
      </c>
      <c r="F314" s="384">
        <f t="shared" si="103"/>
        <v>15.067333161140329</v>
      </c>
      <c r="G314" s="110">
        <f t="shared" si="126"/>
        <v>0.40582632052028289</v>
      </c>
      <c r="H314" s="413" t="b">
        <f>Wh_hp&gt;='2021'!Maxi_hp</f>
        <v>0</v>
      </c>
      <c r="I314" s="379">
        <f>IF(H314,Wh_hp,'2021'!Maxi_hp)</f>
        <v>36.161643424321802</v>
      </c>
      <c r="J314" s="85">
        <f>IF(H314,An,'2021'!An_max)</f>
        <v>2021</v>
      </c>
      <c r="K314" s="196">
        <f t="shared" si="104"/>
        <v>44861</v>
      </c>
      <c r="L314" s="147">
        <f>IF(t&lt;Tvie,1-EXP((T0-t)*PertePVj)+'2021'!Pspv,1-EXP((T0-t)*PertePVj)+Pspv)</f>
        <v>3.3470148424575942E-2</v>
      </c>
      <c r="M314" s="847"/>
      <c r="N314" s="847"/>
      <c r="O314" s="48">
        <f>IF(t&lt;Tnet,'2021'!Resal+('2021'!Salim-'2021'!Resal)*(1-EXP(('2021'!Tnet-t)/('2021'!Tau_j))),Resal+(Salim-Resal)*(1-EXP((Tnet-t)/(Tau_j))))*Salcycl</f>
        <v>5.0614336156034188E-2</v>
      </c>
      <c r="P314" s="338">
        <f>(INDEX(Models!$BJ314:$BT314,,T314)*(1-R314)+INDEX(Models!$BJ314:$BT314,,T314+1)*R314-ERP_i)*Q314*Ramure*Pc/MaxiM</f>
        <v>4.4396687845630847E-4</v>
      </c>
      <c r="Q314" s="304">
        <f t="shared" si="105"/>
        <v>0.5</v>
      </c>
      <c r="R314" s="176">
        <f t="shared" si="106"/>
        <v>3.3884993606551284E-2</v>
      </c>
      <c r="S314" s="814">
        <f t="shared" si="107"/>
        <v>1</v>
      </c>
      <c r="T314" s="175">
        <f t="shared" si="108"/>
        <v>7</v>
      </c>
      <c r="U314" s="250">
        <f t="shared" si="109"/>
        <v>1.0338849936065513</v>
      </c>
      <c r="V314" s="382">
        <f t="shared" si="110"/>
        <v>34.053461719971949</v>
      </c>
      <c r="W314" s="401">
        <f t="shared" si="111"/>
        <v>0</v>
      </c>
      <c r="X314" s="157">
        <f t="shared" si="112"/>
        <v>44861</v>
      </c>
      <c r="Y314" s="384">
        <f t="shared" si="113"/>
        <v>13.47933112679894</v>
      </c>
      <c r="Z314" s="384">
        <f t="shared" si="114"/>
        <v>13.946109481075936</v>
      </c>
      <c r="AA314" s="385">
        <f t="shared" si="115"/>
        <v>15.066320393298383</v>
      </c>
      <c r="AB314" s="196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7.4351990597566586E-2</v>
      </c>
      <c r="AD314" s="230">
        <f>(INDEX(Models!$BJ314:$BT314,,AH314)*(1-AF314)+INDEX(Models!$BJ314:$BT314,,AH314+1)*AF314-ERP_i)*AE314*Ramure*Pc/MaxiM</f>
        <v>4.4396687845630847E-4</v>
      </c>
      <c r="AE314" s="304">
        <f t="shared" si="117"/>
        <v>0.5</v>
      </c>
      <c r="AF314" s="176">
        <f t="shared" si="118"/>
        <v>3.3884993606551284E-2</v>
      </c>
      <c r="AG314" s="814">
        <f t="shared" si="124"/>
        <v>1</v>
      </c>
      <c r="AH314" s="175">
        <f t="shared" si="119"/>
        <v>7</v>
      </c>
      <c r="AI314" s="224">
        <f t="shared" si="120"/>
        <v>1.0338849936065513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410">
        <v>18.215</v>
      </c>
      <c r="C315" s="843"/>
      <c r="D315" s="392">
        <f t="shared" si="102"/>
        <v>18.846183011263015</v>
      </c>
      <c r="E315" s="384">
        <f t="shared" si="125"/>
        <v>19.851788684504687</v>
      </c>
      <c r="F315" s="384">
        <f t="shared" si="103"/>
        <v>19.854812458916342</v>
      </c>
      <c r="G315" s="110">
        <f t="shared" si="126"/>
        <v>0.53961035106534583</v>
      </c>
      <c r="H315" s="413" t="b">
        <f>Wh_hp&gt;='2021'!Maxi_hp</f>
        <v>0</v>
      </c>
      <c r="I315" s="379">
        <f>IF(H315,Wh_hp,'2021'!Maxi_hp)</f>
        <v>36.883267903412836</v>
      </c>
      <c r="J315" s="85">
        <f>IF(H315,An,'2021'!An_max)</f>
        <v>2021</v>
      </c>
      <c r="K315" s="196">
        <f t="shared" si="104"/>
        <v>44862</v>
      </c>
      <c r="L315" s="147">
        <f>IF(t&lt;Tvie,1-EXP((T0-t)*PertePVj)+'2021'!Pspv,1-EXP((T0-t)*PertePVj)+Pspv)</f>
        <v>3.349129162577922E-2</v>
      </c>
      <c r="M315" s="847"/>
      <c r="N315" s="847"/>
      <c r="O315" s="48">
        <f>IF(t&lt;Tnet,'2021'!Resal+('2021'!Salim-'2021'!Resal)*(1-EXP(('2021'!Tnet-t)/('2021'!Tau_j))),Resal+(Salim-Resal)*(1-EXP((Tnet-t)/(Tau_j))))*Salcycl</f>
        <v>5.0655670842728442E-2</v>
      </c>
      <c r="P315" s="338">
        <f>(INDEX(Models!$BJ315:$BT315,,T315)*(1-R315)+INDEX(Models!$BJ315:$BT315,,T315+1)*R315-ERP_i)*Q315*Ramure*Pc/MaxiM</f>
        <v>4.4462115334239344E-4</v>
      </c>
      <c r="Q315" s="304">
        <f t="shared" si="105"/>
        <v>0.5</v>
      </c>
      <c r="R315" s="176">
        <f t="shared" si="106"/>
        <v>3.3924724933820372E-2</v>
      </c>
      <c r="S315" s="814">
        <f t="shared" si="107"/>
        <v>1</v>
      </c>
      <c r="T315" s="175">
        <f t="shared" si="108"/>
        <v>7</v>
      </c>
      <c r="U315" s="250">
        <f t="shared" si="109"/>
        <v>1.0339247249338204</v>
      </c>
      <c r="V315" s="382">
        <f t="shared" si="110"/>
        <v>33.745969511224096</v>
      </c>
      <c r="W315" s="401">
        <f t="shared" si="111"/>
        <v>0</v>
      </c>
      <c r="X315" s="157">
        <f t="shared" si="112"/>
        <v>44862</v>
      </c>
      <c r="Y315" s="384">
        <f t="shared" si="113"/>
        <v>17.760342203423498</v>
      </c>
      <c r="Z315" s="384">
        <f t="shared" si="114"/>
        <v>18.375770491813203</v>
      </c>
      <c r="AA315" s="385">
        <f t="shared" si="115"/>
        <v>19.851788684504687</v>
      </c>
      <c r="AB315" s="196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7.4351899274627584E-2</v>
      </c>
      <c r="AD315" s="230">
        <f>(INDEX(Models!$BJ315:$BT315,,AH315)*(1-AF315)+INDEX(Models!$BJ315:$BT315,,AH315+1)*AF315-ERP_i)*AE315*Ramure*Pc/MaxiM</f>
        <v>4.4462115334239344E-4</v>
      </c>
      <c r="AE315" s="304">
        <f t="shared" si="117"/>
        <v>0.5</v>
      </c>
      <c r="AF315" s="176">
        <f t="shared" si="118"/>
        <v>3.3924724933820372E-2</v>
      </c>
      <c r="AG315" s="814">
        <f t="shared" si="124"/>
        <v>1</v>
      </c>
      <c r="AH315" s="175">
        <f t="shared" si="119"/>
        <v>7</v>
      </c>
      <c r="AI315" s="224">
        <f t="shared" si="120"/>
        <v>1.0339247249338204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410">
        <v>26.894000000000002</v>
      </c>
      <c r="C316" s="843"/>
      <c r="D316" s="392">
        <f t="shared" si="102"/>
        <v>27.826534925257235</v>
      </c>
      <c r="E316" s="384">
        <f t="shared" si="125"/>
        <v>29.312583173540812</v>
      </c>
      <c r="F316" s="384">
        <f t="shared" si="103"/>
        <v>29.3220009018155</v>
      </c>
      <c r="G316" s="110">
        <f t="shared" si="126"/>
        <v>0.80402977070081905</v>
      </c>
      <c r="H316" s="413" t="b">
        <f>Wh_hp&gt;='2021'!Maxi_hp</f>
        <v>0</v>
      </c>
      <c r="I316" s="379">
        <f>IF(H316,Wh_hp,'2021'!Maxi_hp)</f>
        <v>30.389582180422003</v>
      </c>
      <c r="J316" s="85">
        <f>IF(H316,An,'2021'!An_max)</f>
        <v>2019</v>
      </c>
      <c r="K316" s="196">
        <f t="shared" si="104"/>
        <v>44863</v>
      </c>
      <c r="L316" s="147">
        <f>IF(t&lt;Tvie,1-EXP((T0-t)*PertePVj)+'2021'!Pspv,1-EXP((T0-t)*PertePVj)+Pspv)</f>
        <v>3.3512434363892042E-2</v>
      </c>
      <c r="M316" s="847"/>
      <c r="N316" s="847"/>
      <c r="O316" s="48">
        <f>IF(t&lt;Tnet,'2021'!Resal+('2021'!Salim-'2021'!Resal)*(1-EXP(('2021'!Tnet-t)/('2021'!Tau_j))),Resal+(Salim-Resal)*(1-EXP((Tnet-t)/(Tau_j))))*Salcycl</f>
        <v>5.0696598095283867E-2</v>
      </c>
      <c r="P316" s="338">
        <f>(INDEX(Models!$BJ316:$BT316,,T316)*(1-R316)+INDEX(Models!$BJ316:$BT316,,T316+1)*R316-ERP_i)*Q316*Ramure*Pc/MaxiM</f>
        <v>4.4597233768896115E-4</v>
      </c>
      <c r="Q316" s="304">
        <f t="shared" si="105"/>
        <v>0.5</v>
      </c>
      <c r="R316" s="176">
        <f t="shared" si="106"/>
        <v>3.3962866476162201E-2</v>
      </c>
      <c r="S316" s="814">
        <f t="shared" si="107"/>
        <v>1</v>
      </c>
      <c r="T316" s="175">
        <f t="shared" si="108"/>
        <v>7</v>
      </c>
      <c r="U316" s="250">
        <f t="shared" si="109"/>
        <v>1.0339628664761622</v>
      </c>
      <c r="V316" s="382">
        <f t="shared" si="110"/>
        <v>33.444834777577938</v>
      </c>
      <c r="W316" s="401">
        <f t="shared" si="111"/>
        <v>0</v>
      </c>
      <c r="X316" s="157">
        <f t="shared" si="112"/>
        <v>44863</v>
      </c>
      <c r="Y316" s="384">
        <f t="shared" si="113"/>
        <v>26.223854797790104</v>
      </c>
      <c r="Z316" s="384">
        <f t="shared" si="114"/>
        <v>27.133152800088524</v>
      </c>
      <c r="AA316" s="385">
        <f t="shared" si="115"/>
        <v>29.312583173540812</v>
      </c>
      <c r="AB316" s="196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7.4351358273315252E-2</v>
      </c>
      <c r="AD316" s="230">
        <f>(INDEX(Models!$BJ316:$BT316,,AH316)*(1-AF316)+INDEX(Models!$BJ316:$BT316,,AH316+1)*AF316-ERP_i)*AE316*Ramure*Pc/MaxiM</f>
        <v>4.4597233768896115E-4</v>
      </c>
      <c r="AE316" s="304">
        <f t="shared" si="117"/>
        <v>0.5</v>
      </c>
      <c r="AF316" s="176">
        <f t="shared" si="118"/>
        <v>3.3962866476162201E-2</v>
      </c>
      <c r="AG316" s="814">
        <f t="shared" si="124"/>
        <v>1</v>
      </c>
      <c r="AH316" s="175">
        <f t="shared" si="119"/>
        <v>7</v>
      </c>
      <c r="AI316" s="224">
        <f t="shared" si="120"/>
        <v>1.0339628664761622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410">
        <v>22.583000000000002</v>
      </c>
      <c r="C317" s="843"/>
      <c r="D317" s="392">
        <f t="shared" si="102"/>
        <v>23.366564480805469</v>
      </c>
      <c r="E317" s="384">
        <f t="shared" si="125"/>
        <v>24.61548438431581</v>
      </c>
      <c r="F317" s="384">
        <f t="shared" si="103"/>
        <v>24.621492990289379</v>
      </c>
      <c r="G317" s="110">
        <f t="shared" si="126"/>
        <v>0.68113036577109154</v>
      </c>
      <c r="H317" s="413" t="b">
        <f>Wh_hp&gt;='2021'!Maxi_hp</f>
        <v>0</v>
      </c>
      <c r="I317" s="379">
        <f>IF(H317,Wh_hp,'2021'!Maxi_hp)</f>
        <v>32.225870251285528</v>
      </c>
      <c r="J317" s="85">
        <f>IF(H317,An,'2021'!An_max)</f>
        <v>2018</v>
      </c>
      <c r="K317" s="196">
        <f t="shared" si="104"/>
        <v>44864</v>
      </c>
      <c r="L317" s="147">
        <f>IF(t&lt;Tvie,1-EXP((T0-t)*PertePVj)+'2021'!Pspv,1-EXP((T0-t)*PertePVj)+Pspv)</f>
        <v>3.3533576638924735E-2</v>
      </c>
      <c r="M317" s="847"/>
      <c r="N317" s="847"/>
      <c r="O317" s="48">
        <f>IF(t&lt;Tnet,'2021'!Resal+('2021'!Salim-'2021'!Resal)*(1-EXP(('2021'!Tnet-t)/('2021'!Tau_j))),Resal+(Salim-Resal)*(1-EXP((Tnet-t)/(Tau_j))))*Salcycl</f>
        <v>5.0737165436651376E-2</v>
      </c>
      <c r="P317" s="338">
        <f>(INDEX(Models!$BJ317:$BT317,,T317)*(1-R317)+INDEX(Models!$BJ317:$BT317,,T317+1)*R317-ERP_i)*Q317*Ramure*Pc/MaxiM</f>
        <v>4.4804893246960288E-4</v>
      </c>
      <c r="Q317" s="304">
        <f t="shared" si="105"/>
        <v>0.5</v>
      </c>
      <c r="R317" s="176">
        <f t="shared" si="106"/>
        <v>3.3999481464187742E-2</v>
      </c>
      <c r="S317" s="814">
        <f t="shared" si="107"/>
        <v>1</v>
      </c>
      <c r="T317" s="175">
        <f t="shared" si="108"/>
        <v>7</v>
      </c>
      <c r="U317" s="250">
        <f t="shared" si="109"/>
        <v>1.0339994814641877</v>
      </c>
      <c r="V317" s="382">
        <f t="shared" si="110"/>
        <v>33.148414540086442</v>
      </c>
      <c r="W317" s="401">
        <f t="shared" si="111"/>
        <v>0</v>
      </c>
      <c r="X317" s="157">
        <f t="shared" si="112"/>
        <v>44864</v>
      </c>
      <c r="Y317" s="384">
        <f t="shared" si="113"/>
        <v>22.021239325388198</v>
      </c>
      <c r="Z317" s="384">
        <f t="shared" si="114"/>
        <v>22.785312343086943</v>
      </c>
      <c r="AA317" s="385">
        <f t="shared" si="115"/>
        <v>24.61548438431581</v>
      </c>
      <c r="AB317" s="196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7.435043782420922E-2</v>
      </c>
      <c r="AD317" s="230">
        <f>(INDEX(Models!$BJ317:$BT317,,AH317)*(1-AF317)+INDEX(Models!$BJ317:$BT317,,AH317+1)*AF317-ERP_i)*AE317*Ramure*Pc/MaxiM</f>
        <v>4.4804893246960288E-4</v>
      </c>
      <c r="AE317" s="304">
        <f t="shared" si="117"/>
        <v>0.5</v>
      </c>
      <c r="AF317" s="176">
        <f t="shared" si="118"/>
        <v>3.3999481464187742E-2</v>
      </c>
      <c r="AG317" s="814">
        <f t="shared" si="124"/>
        <v>1</v>
      </c>
      <c r="AH317" s="175">
        <f t="shared" si="119"/>
        <v>7</v>
      </c>
      <c r="AI317" s="224">
        <f t="shared" si="120"/>
        <v>1.0339994814641877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410">
        <v>21.705000000000002</v>
      </c>
      <c r="C318" s="843"/>
      <c r="D318" s="392">
        <f t="shared" si="102"/>
        <v>22.45859172203636</v>
      </c>
      <c r="E318" s="384">
        <f t="shared" si="125"/>
        <v>23.659984751129585</v>
      </c>
      <c r="F318" s="384">
        <f t="shared" si="103"/>
        <v>23.665498138332531</v>
      </c>
      <c r="G318" s="110">
        <f t="shared" si="126"/>
        <v>0.6604993648980223</v>
      </c>
      <c r="H318" s="413" t="b">
        <f>Wh_hp&gt;='2021'!Maxi_hp</f>
        <v>0</v>
      </c>
      <c r="I318" s="379">
        <f>IF(H318,Wh_hp,'2021'!Maxi_hp)</f>
        <v>35.005693815920047</v>
      </c>
      <c r="J318" s="85">
        <f>IF(H318,An,'2021'!An_max)</f>
        <v>2020</v>
      </c>
      <c r="K318" s="196">
        <f t="shared" si="104"/>
        <v>44865</v>
      </c>
      <c r="L318" s="147">
        <f>IF(t&lt;Tvie,1-EXP((T0-t)*PertePVj)+'2021'!Pspv,1-EXP((T0-t)*PertePVj)+Pspv)</f>
        <v>3.355471845088729E-2</v>
      </c>
      <c r="M318" s="847"/>
      <c r="N318" s="847"/>
      <c r="O318" s="48">
        <f>IF(t&lt;Tnet,'2021'!Resal+('2021'!Salim-'2021'!Resal)*(1-EXP(('2021'!Tnet-t)/('2021'!Tau_j))),Resal+(Salim-Resal)*(1-EXP((Tnet-t)/(Tau_j))))*Salcycl</f>
        <v>5.0777421952305654E-2</v>
      </c>
      <c r="P318" s="338">
        <f>(INDEX(Models!$BJ318:$BT318,,T318)*(1-R318)+INDEX(Models!$BJ318:$BT318,,T318+1)*R318-ERP_i)*Q318*Ramure*Pc/MaxiM</f>
        <v>4.5219098677114997E-4</v>
      </c>
      <c r="Q318" s="304">
        <f t="shared" si="105"/>
        <v>0.5</v>
      </c>
      <c r="R318" s="176">
        <f t="shared" si="106"/>
        <v>3.4034630643704267E-2</v>
      </c>
      <c r="S318" s="814">
        <f t="shared" si="107"/>
        <v>1</v>
      </c>
      <c r="T318" s="175">
        <f t="shared" si="108"/>
        <v>7</v>
      </c>
      <c r="U318" s="250">
        <f t="shared" si="109"/>
        <v>1.0340346306437043</v>
      </c>
      <c r="V318" s="382">
        <f t="shared" si="110"/>
        <v>32.854294623235148</v>
      </c>
      <c r="W318" s="401">
        <f t="shared" si="111"/>
        <v>0</v>
      </c>
      <c r="X318" s="157">
        <f t="shared" si="112"/>
        <v>44865</v>
      </c>
      <c r="Y318" s="384">
        <f t="shared" si="113"/>
        <v>21.166005589118587</v>
      </c>
      <c r="Z318" s="384">
        <f t="shared" si="114"/>
        <v>21.900883571175029</v>
      </c>
      <c r="AA318" s="385">
        <f t="shared" si="115"/>
        <v>23.659984751129585</v>
      </c>
      <c r="AB318" s="196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7.4349210215385764E-2</v>
      </c>
      <c r="AD318" s="230">
        <f>(INDEX(Models!$BJ318:$BT318,,AH318)*(1-AF318)+INDEX(Models!$BJ318:$BT318,,AH318+1)*AF318-ERP_i)*AE318*Ramure*Pc/MaxiM</f>
        <v>4.5219098677114997E-4</v>
      </c>
      <c r="AE318" s="304">
        <f t="shared" si="117"/>
        <v>0.5</v>
      </c>
      <c r="AF318" s="176">
        <f t="shared" si="118"/>
        <v>3.4034630643704267E-2</v>
      </c>
      <c r="AG318" s="814">
        <f t="shared" si="124"/>
        <v>1</v>
      </c>
      <c r="AH318" s="175">
        <f t="shared" si="119"/>
        <v>7</v>
      </c>
      <c r="AI318" s="224">
        <f t="shared" si="120"/>
        <v>1.0340346306437043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410">
        <v>20.623000000000001</v>
      </c>
      <c r="C319" s="843"/>
      <c r="D319" s="392">
        <f t="shared" si="102"/>
        <v>21.339491784350109</v>
      </c>
      <c r="E319" s="384">
        <f t="shared" si="125"/>
        <v>22.481967317046298</v>
      </c>
      <c r="F319" s="384">
        <f t="shared" si="103"/>
        <v>22.486877676037054</v>
      </c>
      <c r="G319" s="110">
        <f t="shared" si="126"/>
        <v>0.63318433653525308</v>
      </c>
      <c r="H319" s="413" t="b">
        <f>Wh_hp&gt;='2021'!Maxi_hp</f>
        <v>0</v>
      </c>
      <c r="I319" s="379">
        <f>IF(H319,Wh_hp,'2021'!Maxi_hp)</f>
        <v>32.902406059457448</v>
      </c>
      <c r="J319" s="85">
        <f>IF(H319,An,'2021'!An_max)</f>
        <v>2020</v>
      </c>
      <c r="K319" s="196">
        <f t="shared" si="104"/>
        <v>44866</v>
      </c>
      <c r="L319" s="147">
        <f>IF(t&lt;Tvie,1-EXP((T0-t)*PertePVj)+'2021'!Pspv,1-EXP((T0-t)*PertePVj)+Pspv)</f>
        <v>3.3575859799789921E-2</v>
      </c>
      <c r="M319" s="847"/>
      <c r="N319" s="847"/>
      <c r="O319" s="48">
        <f>IF(t&lt;Tnet,'2021'!Resal+('2021'!Salim-'2021'!Resal)*(1-EXP(('2021'!Tnet-t)/('2021'!Tau_j))),Resal+(Salim-Resal)*(1-EXP((Tnet-t)/(Tau_j))))*Salcycl</f>
        <v>5.0817418092674635E-2</v>
      </c>
      <c r="P319" s="338">
        <f>(INDEX(Models!$BJ319:$BT319,,T319)*(1-R319)+INDEX(Models!$BJ319:$BT319,,T319+1)*R319-ERP_i)*Q319*Ramure*Pc/MaxiM</f>
        <v>4.5856326519846458E-4</v>
      </c>
      <c r="Q319" s="304">
        <f t="shared" si="105"/>
        <v>0.5</v>
      </c>
      <c r="R319" s="176">
        <f t="shared" si="106"/>
        <v>3.4068372370989364E-2</v>
      </c>
      <c r="S319" s="814">
        <f t="shared" si="107"/>
        <v>1</v>
      </c>
      <c r="T319" s="175">
        <f t="shared" si="108"/>
        <v>7</v>
      </c>
      <c r="U319" s="250">
        <f t="shared" si="109"/>
        <v>1.0340683723709894</v>
      </c>
      <c r="V319" s="382">
        <f t="shared" si="110"/>
        <v>32.562468984976817</v>
      </c>
      <c r="W319" s="401">
        <f t="shared" si="111"/>
        <v>0</v>
      </c>
      <c r="X319" s="157">
        <f t="shared" si="112"/>
        <v>44866</v>
      </c>
      <c r="Y319" s="384">
        <f t="shared" si="113"/>
        <v>20.111753761615418</v>
      </c>
      <c r="Z319" s="384">
        <f t="shared" si="114"/>
        <v>20.810483642770915</v>
      </c>
      <c r="AA319" s="385">
        <f t="shared" si="115"/>
        <v>22.481967317046298</v>
      </c>
      <c r="AB319" s="196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7.434774949646103E-2</v>
      </c>
      <c r="AD319" s="230">
        <f>(INDEX(Models!$BJ319:$BT319,,AH319)*(1-AF319)+INDEX(Models!$BJ319:$BT319,,AH319+1)*AF319-ERP_i)*AE319*Ramure*Pc/MaxiM</f>
        <v>4.5856326519846458E-4</v>
      </c>
      <c r="AE319" s="304">
        <f t="shared" si="117"/>
        <v>0.5</v>
      </c>
      <c r="AF319" s="176">
        <f t="shared" si="118"/>
        <v>3.4068372370989364E-2</v>
      </c>
      <c r="AG319" s="814">
        <f t="shared" si="124"/>
        <v>1</v>
      </c>
      <c r="AH319" s="175">
        <f t="shared" si="119"/>
        <v>7</v>
      </c>
      <c r="AI319" s="224">
        <f t="shared" si="120"/>
        <v>1.0340683723709894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410">
        <v>29.757000000000001</v>
      </c>
      <c r="C320" s="843"/>
      <c r="D320" s="392">
        <f t="shared" si="102"/>
        <v>30.791502117762438</v>
      </c>
      <c r="E320" s="384">
        <f t="shared" si="125"/>
        <v>32.441380048425309</v>
      </c>
      <c r="F320" s="384">
        <f t="shared" si="103"/>
        <v>32.454853760099304</v>
      </c>
      <c r="G320" s="110">
        <f t="shared" si="126"/>
        <v>0.92199391434618527</v>
      </c>
      <c r="H320" s="413" t="b">
        <f>Wh_hp&gt;='2021'!Maxi_hp</f>
        <v>1</v>
      </c>
      <c r="I320" s="379">
        <f>IF(H320,Wh_hp,'2021'!Maxi_hp)</f>
        <v>32.454853760099304</v>
      </c>
      <c r="J320" s="85">
        <f>IF(H320,An,'2021'!An_max)</f>
        <v>2022</v>
      </c>
      <c r="K320" s="196">
        <f t="shared" si="104"/>
        <v>44867</v>
      </c>
      <c r="L320" s="147">
        <f>IF(t&lt;Tvie,1-EXP((T0-t)*PertePVj)+'2021'!Pspv,1-EXP((T0-t)*PertePVj)+Pspv)</f>
        <v>3.3597000685642732E-2</v>
      </c>
      <c r="M320" s="847"/>
      <c r="N320" s="847"/>
      <c r="O320" s="48">
        <f>IF(t&lt;Tnet,'2021'!Resal+('2021'!Salim-'2021'!Resal)*(1-EXP(('2021'!Tnet-t)/('2021'!Tau_j))),Resal+(Salim-Resal)*(1-EXP((Tnet-t)/(Tau_j))))*Salcycl</f>
        <v>5.0857205464135483E-2</v>
      </c>
      <c r="P320" s="338">
        <f>(INDEX(Models!$BJ320:$BT320,,T320)*(1-R320)+INDEX(Models!$BJ320:$BT320,,T320+1)*R320-ERP_i)*Q320*Ramure*Pc/MaxiM</f>
        <v>4.671818783903985E-4</v>
      </c>
      <c r="Q320" s="304">
        <f t="shared" si="105"/>
        <v>0.5</v>
      </c>
      <c r="R320" s="176">
        <f t="shared" si="106"/>
        <v>3.4100762704601717E-2</v>
      </c>
      <c r="S320" s="814">
        <f t="shared" si="107"/>
        <v>1</v>
      </c>
      <c r="T320" s="175">
        <f t="shared" si="108"/>
        <v>7</v>
      </c>
      <c r="U320" s="250">
        <f t="shared" si="109"/>
        <v>1.0341007627046017</v>
      </c>
      <c r="V320" s="382">
        <f t="shared" si="110"/>
        <v>32.272936571419699</v>
      </c>
      <c r="W320" s="401">
        <f t="shared" si="111"/>
        <v>0</v>
      </c>
      <c r="X320" s="157">
        <f t="shared" si="112"/>
        <v>44867</v>
      </c>
      <c r="Y320" s="384">
        <f t="shared" si="113"/>
        <v>29.020588191180657</v>
      </c>
      <c r="Z320" s="384">
        <f t="shared" si="114"/>
        <v>30.029488952093647</v>
      </c>
      <c r="AA320" s="385">
        <f t="shared" si="115"/>
        <v>32.441380048425309</v>
      </c>
      <c r="AB320" s="196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7.4346131167398702E-2</v>
      </c>
      <c r="AD320" s="230">
        <f>(INDEX(Models!$BJ320:$BT320,,AH320)*(1-AF320)+INDEX(Models!$BJ320:$BT320,,AH320+1)*AF320-ERP_i)*AE320*Ramure*Pc/MaxiM</f>
        <v>4.671818783903985E-4</v>
      </c>
      <c r="AE320" s="304">
        <f t="shared" si="117"/>
        <v>0.5</v>
      </c>
      <c r="AF320" s="176">
        <f t="shared" si="118"/>
        <v>3.4100762704601717E-2</v>
      </c>
      <c r="AG320" s="814">
        <f t="shared" si="124"/>
        <v>1</v>
      </c>
      <c r="AH320" s="175">
        <f t="shared" si="119"/>
        <v>7</v>
      </c>
      <c r="AI320" s="224">
        <f t="shared" si="120"/>
        <v>1.0341007627046017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410">
        <v>9.6020000000000003</v>
      </c>
      <c r="C321" s="843"/>
      <c r="D321" s="392">
        <f t="shared" si="102"/>
        <v>9.9360308884664423</v>
      </c>
      <c r="E321" s="384">
        <f t="shared" si="125"/>
        <v>10.468862892602589</v>
      </c>
      <c r="F321" s="384">
        <f t="shared" si="103"/>
        <v>10.468864298833669</v>
      </c>
      <c r="G321" s="110">
        <f t="shared" si="126"/>
        <v>0.30005321203381857</v>
      </c>
      <c r="H321" s="413" t="b">
        <f>Wh_hp&gt;='2021'!Maxi_hp</f>
        <v>0</v>
      </c>
      <c r="I321" s="379">
        <f>IF(H321,Wh_hp,'2021'!Maxi_hp)</f>
        <v>31.704368019491852</v>
      </c>
      <c r="J321" s="85">
        <f>IF(H321,An,'2021'!An_max)</f>
        <v>2020</v>
      </c>
      <c r="K321" s="196">
        <f t="shared" si="104"/>
        <v>44868</v>
      </c>
      <c r="L321" s="147">
        <f>IF(t&lt;Tvie,1-EXP((T0-t)*PertePVj)+'2021'!Pspv,1-EXP((T0-t)*PertePVj)+Pspv)</f>
        <v>3.3618141108455936E-2</v>
      </c>
      <c r="M321" s="847"/>
      <c r="N321" s="847"/>
      <c r="O321" s="48">
        <f>IF(t&lt;Tnet,'2021'!Resal+('2021'!Salim-'2021'!Resal)*(1-EXP(('2021'!Tnet-t)/('2021'!Tau_j))),Resal+(Salim-Resal)*(1-EXP((Tnet-t)/(Tau_j))))*Salcycl</f>
        <v>5.0896836609891152E-2</v>
      </c>
      <c r="P321" s="338">
        <f>(INDEX(Models!$BJ321:$BT321,,T321)*(1-R321)+INDEX(Models!$BJ321:$BT321,,T321+1)*R321-ERP_i)*Q321*Ramure*Pc/MaxiM</f>
        <v>4.7806271166905449E-4</v>
      </c>
      <c r="Q321" s="304">
        <f t="shared" si="105"/>
        <v>0.5</v>
      </c>
      <c r="R321" s="176">
        <f t="shared" si="106"/>
        <v>3.4131855493837682E-2</v>
      </c>
      <c r="S321" s="814">
        <f t="shared" si="107"/>
        <v>1</v>
      </c>
      <c r="T321" s="175">
        <f t="shared" si="108"/>
        <v>7</v>
      </c>
      <c r="U321" s="250">
        <f t="shared" si="109"/>
        <v>1.0341318554938377</v>
      </c>
      <c r="V321" s="382">
        <f t="shared" si="110"/>
        <v>31.985696356864445</v>
      </c>
      <c r="W321" s="401">
        <f t="shared" si="111"/>
        <v>0</v>
      </c>
      <c r="X321" s="157">
        <f t="shared" si="112"/>
        <v>44868</v>
      </c>
      <c r="Y321" s="384">
        <f t="shared" si="113"/>
        <v>9.3647825738874833</v>
      </c>
      <c r="Z321" s="384">
        <f t="shared" si="114"/>
        <v>9.690561228693845</v>
      </c>
      <c r="AA321" s="385">
        <f t="shared" si="115"/>
        <v>10.468862892602589</v>
      </c>
      <c r="AB321" s="196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7.4344431854074564E-2</v>
      </c>
      <c r="AD321" s="230">
        <f>(INDEX(Models!$BJ321:$BT321,,AH321)*(1-AF321)+INDEX(Models!$BJ321:$BT321,,AH321+1)*AF321-ERP_i)*AE321*Ramure*Pc/MaxiM</f>
        <v>4.7806271166905449E-4</v>
      </c>
      <c r="AE321" s="304">
        <f t="shared" si="117"/>
        <v>0.5</v>
      </c>
      <c r="AF321" s="176">
        <f t="shared" si="118"/>
        <v>3.4131855493837682E-2</v>
      </c>
      <c r="AG321" s="814">
        <f t="shared" si="124"/>
        <v>1</v>
      </c>
      <c r="AH321" s="175">
        <f t="shared" si="119"/>
        <v>7</v>
      </c>
      <c r="AI321" s="224">
        <f t="shared" si="120"/>
        <v>1.0341318554938377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410">
        <v>14.173</v>
      </c>
      <c r="C322" s="843"/>
      <c r="D322" s="392">
        <f t="shared" si="102"/>
        <v>14.666366008406461</v>
      </c>
      <c r="E322" s="384">
        <f t="shared" si="125"/>
        <v>15.453511718463178</v>
      </c>
      <c r="F322" s="384">
        <f t="shared" si="103"/>
        <v>15.455106960094916</v>
      </c>
      <c r="G322" s="110">
        <f t="shared" si="126"/>
        <v>0.44691376198628591</v>
      </c>
      <c r="H322" s="413" t="b">
        <f>Wh_hp&gt;='2021'!Maxi_hp</f>
        <v>0</v>
      </c>
      <c r="I322" s="379">
        <f>IF(H322,Wh_hp,'2021'!Maxi_hp)</f>
        <v>22.319752291324583</v>
      </c>
      <c r="J322" s="85">
        <f>IF(H322,An,'2021'!An_max)</f>
        <v>2018</v>
      </c>
      <c r="K322" s="196">
        <f t="shared" si="104"/>
        <v>44869</v>
      </c>
      <c r="L322" s="147">
        <f>IF(t&lt;Tvie,1-EXP((T0-t)*PertePVj)+'2021'!Pspv,1-EXP((T0-t)*PertePVj)+Pspv)</f>
        <v>3.3639281068239636E-2</v>
      </c>
      <c r="M322" s="847"/>
      <c r="N322" s="847"/>
      <c r="O322" s="48">
        <f>IF(t&lt;Tnet,'2021'!Resal+('2021'!Salim-'2021'!Resal)*(1-EXP(('2021'!Tnet-t)/('2021'!Tau_j))),Resal+(Salim-Resal)*(1-EXP((Tnet-t)/(Tau_j))))*Salcycl</f>
        <v>5.093636478214008E-2</v>
      </c>
      <c r="P322" s="338">
        <f>(INDEX(Models!$BJ322:$BT322,,T322)*(1-R322)+INDEX(Models!$BJ322:$BT322,,T322+1)*R322-ERP_i)*Q322*Ramure*Pc/MaxiM</f>
        <v>4.9122161367442325E-4</v>
      </c>
      <c r="Q322" s="304">
        <f t="shared" si="105"/>
        <v>0.5</v>
      </c>
      <c r="R322" s="176">
        <f t="shared" si="106"/>
        <v>3.4161702463941124E-2</v>
      </c>
      <c r="S322" s="814">
        <f t="shared" si="107"/>
        <v>1</v>
      </c>
      <c r="T322" s="175">
        <f t="shared" si="108"/>
        <v>7</v>
      </c>
      <c r="U322" s="250">
        <f t="shared" si="109"/>
        <v>1.0341617024639411</v>
      </c>
      <c r="V322" s="382">
        <f t="shared" si="110"/>
        <v>31.7007473451817</v>
      </c>
      <c r="W322" s="401">
        <f t="shared" si="111"/>
        <v>0</v>
      </c>
      <c r="X322" s="157">
        <f t="shared" si="112"/>
        <v>44869</v>
      </c>
      <c r="Y322" s="384">
        <f t="shared" si="113"/>
        <v>13.823457158653067</v>
      </c>
      <c r="Z322" s="384">
        <f t="shared" si="114"/>
        <v>14.304655485100707</v>
      </c>
      <c r="AA322" s="385">
        <f t="shared" si="115"/>
        <v>15.453511718463178</v>
      </c>
      <c r="AB322" s="196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7.4342728972720665E-2</v>
      </c>
      <c r="AD322" s="230">
        <f>(INDEX(Models!$BJ322:$BT322,,AH322)*(1-AF322)+INDEX(Models!$BJ322:$BT322,,AH322+1)*AF322-ERP_i)*AE322*Ramure*Pc/MaxiM</f>
        <v>4.9122161367442325E-4</v>
      </c>
      <c r="AE322" s="304">
        <f t="shared" si="117"/>
        <v>0.5</v>
      </c>
      <c r="AF322" s="176">
        <f t="shared" si="118"/>
        <v>3.4161702463941124E-2</v>
      </c>
      <c r="AG322" s="814">
        <f t="shared" si="124"/>
        <v>1</v>
      </c>
      <c r="AH322" s="175">
        <f t="shared" si="119"/>
        <v>7</v>
      </c>
      <c r="AI322" s="224">
        <f t="shared" si="120"/>
        <v>1.0341617024639411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410">
        <v>30.185000000000002</v>
      </c>
      <c r="C323" s="843"/>
      <c r="D323" s="392">
        <f t="shared" si="102"/>
        <v>31.236431418496498</v>
      </c>
      <c r="E323" s="384">
        <f t="shared" si="125"/>
        <v>32.914263784929247</v>
      </c>
      <c r="F323" s="384">
        <f t="shared" si="103"/>
        <v>32.930013099566573</v>
      </c>
      <c r="G323" s="110">
        <f t="shared" si="126"/>
        <v>0.96072496631164439</v>
      </c>
      <c r="H323" s="413" t="b">
        <f>Wh_hp&gt;='2021'!Maxi_hp</f>
        <v>1</v>
      </c>
      <c r="I323" s="379">
        <f>IF(H323,Wh_hp,'2021'!Maxi_hp)</f>
        <v>32.930013099566573</v>
      </c>
      <c r="J323" s="85">
        <f>IF(H323,An,'2021'!An_max)</f>
        <v>2022</v>
      </c>
      <c r="K323" s="196">
        <f t="shared" si="104"/>
        <v>44870</v>
      </c>
      <c r="L323" s="147">
        <f>IF(t&lt;Tvie,1-EXP((T0-t)*PertePVj)+'2021'!Pspv,1-EXP((T0-t)*PertePVj)+Pspv)</f>
        <v>3.3660420565003936E-2</v>
      </c>
      <c r="M323" s="847"/>
      <c r="N323" s="847"/>
      <c r="O323" s="48">
        <f>IF(t&lt;Tnet,'2021'!Resal+('2021'!Salim-'2021'!Resal)*(1-EXP(('2021'!Tnet-t)/('2021'!Tau_j))),Resal+(Salim-Resal)*(1-EXP((Tnet-t)/(Tau_j))))*Salcycl</f>
        <v>5.0975843707037193E-2</v>
      </c>
      <c r="P323" s="338">
        <f>(INDEX(Models!$BJ323:$BT323,,T323)*(1-R323)+INDEX(Models!$BJ323:$BT323,,T323+1)*R323-ERP_i)*Q323*Ramure*Pc/MaxiM</f>
        <v>5.0667459646480835E-4</v>
      </c>
      <c r="Q323" s="304">
        <f t="shared" si="105"/>
        <v>0.5</v>
      </c>
      <c r="R323" s="176">
        <f t="shared" si="106"/>
        <v>3.419035329817488E-2</v>
      </c>
      <c r="S323" s="814">
        <f t="shared" si="107"/>
        <v>1</v>
      </c>
      <c r="T323" s="175">
        <f t="shared" si="108"/>
        <v>7</v>
      </c>
      <c r="U323" s="250">
        <f t="shared" si="109"/>
        <v>1.0341903532981749</v>
      </c>
      <c r="V323" s="382">
        <f t="shared" si="110"/>
        <v>31.418088571516353</v>
      </c>
      <c r="W323" s="401">
        <f t="shared" si="111"/>
        <v>0</v>
      </c>
      <c r="X323" s="157">
        <f t="shared" si="112"/>
        <v>44870</v>
      </c>
      <c r="Y323" s="384">
        <f t="shared" si="113"/>
        <v>29.441836332181673</v>
      </c>
      <c r="Z323" s="384">
        <f t="shared" si="114"/>
        <v>30.467381196779566</v>
      </c>
      <c r="AA323" s="385">
        <f t="shared" si="115"/>
        <v>32.914263784929247</v>
      </c>
      <c r="AB323" s="196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7.4341100385482584E-2</v>
      </c>
      <c r="AD323" s="230">
        <f>(INDEX(Models!$BJ323:$BT323,,AH323)*(1-AF323)+INDEX(Models!$BJ323:$BT323,,AH323+1)*AF323-ERP_i)*AE323*Ramure*Pc/MaxiM</f>
        <v>5.0667459646480835E-4</v>
      </c>
      <c r="AE323" s="304">
        <f t="shared" si="117"/>
        <v>0.5</v>
      </c>
      <c r="AF323" s="176">
        <f t="shared" si="118"/>
        <v>3.419035329817488E-2</v>
      </c>
      <c r="AG323" s="814">
        <f t="shared" si="124"/>
        <v>1</v>
      </c>
      <c r="AH323" s="175">
        <f t="shared" si="119"/>
        <v>7</v>
      </c>
      <c r="AI323" s="224">
        <f t="shared" si="120"/>
        <v>1.0341903532981749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410">
        <v>31.074999999999999</v>
      </c>
      <c r="C324" s="843"/>
      <c r="D324" s="392">
        <f t="shared" si="102"/>
        <v>32.158136180343234</v>
      </c>
      <c r="E324" s="384">
        <f t="shared" si="125"/>
        <v>33.886886803282451</v>
      </c>
      <c r="F324" s="384">
        <f t="shared" si="103"/>
        <v>33.904590428179517</v>
      </c>
      <c r="G324" s="110">
        <f t="shared" si="126"/>
        <v>0.99798347706540957</v>
      </c>
      <c r="H324" s="413" t="b">
        <f>Wh_hp&gt;='2021'!Maxi_hp</f>
        <v>1</v>
      </c>
      <c r="I324" s="379">
        <f>IF(H324,Wh_hp,'2021'!Maxi_hp)</f>
        <v>33.904590428179517</v>
      </c>
      <c r="J324" s="85">
        <f>IF(H324,An,'2021'!An_max)</f>
        <v>2022</v>
      </c>
      <c r="K324" s="196">
        <f t="shared" si="104"/>
        <v>44871</v>
      </c>
      <c r="L324" s="147">
        <f>IF(t&lt;Tvie,1-EXP((T0-t)*PertePVj)+'2021'!Pspv,1-EXP((T0-t)*PertePVj)+Pspv)</f>
        <v>3.3681559598758938E-2</v>
      </c>
      <c r="M324" s="847"/>
      <c r="N324" s="847"/>
      <c r="O324" s="48">
        <f>IF(t&lt;Tnet,'2021'!Resal+('2021'!Salim-'2021'!Resal)*(1-EXP(('2021'!Tnet-t)/('2021'!Tau_j))),Resal+(Salim-Resal)*(1-EXP((Tnet-t)/(Tau_j))))*Salcycl</f>
        <v>5.1015327344020228E-2</v>
      </c>
      <c r="P324" s="338">
        <f>(INDEX(Models!$BJ324:$BT324,,T324)*(1-R324)+INDEX(Models!$BJ324:$BT324,,T324+1)*R324-ERP_i)*Q324*Ramure*Pc/MaxiM</f>
        <v>5.2366754448819846E-4</v>
      </c>
      <c r="Q324" s="304">
        <f t="shared" si="105"/>
        <v>0.5</v>
      </c>
      <c r="R324" s="176">
        <f t="shared" si="106"/>
        <v>3.4217855716856427E-2</v>
      </c>
      <c r="S324" s="814">
        <f t="shared" si="107"/>
        <v>1</v>
      </c>
      <c r="T324" s="175">
        <f t="shared" si="108"/>
        <v>7</v>
      </c>
      <c r="U324" s="250">
        <f t="shared" si="109"/>
        <v>1.0342178557168564</v>
      </c>
      <c r="V324" s="382">
        <f t="shared" si="110"/>
        <v>31.137743105314467</v>
      </c>
      <c r="W324" s="401">
        <f t="shared" si="111"/>
        <v>0</v>
      </c>
      <c r="X324" s="157">
        <f t="shared" si="112"/>
        <v>44871</v>
      </c>
      <c r="Y324" s="384">
        <f t="shared" si="113"/>
        <v>30.311233691644645</v>
      </c>
      <c r="Z324" s="384">
        <f t="shared" si="114"/>
        <v>31.36774837812121</v>
      </c>
      <c r="AA324" s="385">
        <f t="shared" si="115"/>
        <v>33.886886803282451</v>
      </c>
      <c r="AB324" s="196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7.4339624049419226E-2</v>
      </c>
      <c r="AD324" s="230">
        <f>(INDEX(Models!$BJ324:$BT324,,AH324)*(1-AF324)+INDEX(Models!$BJ324:$BT324,,AH324+1)*AF324-ERP_i)*AE324*Ramure*Pc/MaxiM</f>
        <v>5.2366754448819846E-4</v>
      </c>
      <c r="AE324" s="304">
        <f t="shared" si="117"/>
        <v>0.5</v>
      </c>
      <c r="AF324" s="176">
        <f t="shared" si="118"/>
        <v>3.4217855716856427E-2</v>
      </c>
      <c r="AG324" s="814">
        <f t="shared" si="124"/>
        <v>1</v>
      </c>
      <c r="AH324" s="175">
        <f t="shared" si="119"/>
        <v>7</v>
      </c>
      <c r="AI324" s="224">
        <f t="shared" si="120"/>
        <v>1.0342178557168564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410">
        <v>30.004999999999999</v>
      </c>
      <c r="C325" s="843"/>
      <c r="D325" s="392">
        <f t="shared" si="102"/>
        <v>31.051520006483155</v>
      </c>
      <c r="E325" s="384">
        <f t="shared" si="125"/>
        <v>32.722144845972643</v>
      </c>
      <c r="F325" s="384">
        <f t="shared" si="103"/>
        <v>32.739164201753397</v>
      </c>
      <c r="G325" s="110">
        <f t="shared" si="126"/>
        <v>0.97228162566839527</v>
      </c>
      <c r="H325" s="413" t="b">
        <f>Wh_hp&gt;='2021'!Maxi_hp</f>
        <v>1</v>
      </c>
      <c r="I325" s="379">
        <f>IF(H325,Wh_hp,'2021'!Maxi_hp)</f>
        <v>32.739164201753397</v>
      </c>
      <c r="J325" s="85">
        <f>IF(H325,An,'2021'!An_max)</f>
        <v>2022</v>
      </c>
      <c r="K325" s="196">
        <f t="shared" si="104"/>
        <v>44872</v>
      </c>
      <c r="L325" s="147">
        <f>IF(t&lt;Tvie,1-EXP((T0-t)*PertePVj)+'2021'!Pspv,1-EXP((T0-t)*PertePVj)+Pspv)</f>
        <v>3.3702698169514968E-2</v>
      </c>
      <c r="M325" s="847"/>
      <c r="N325" s="847"/>
      <c r="O325" s="48">
        <f>IF(t&lt;Tnet,'2021'!Resal+('2021'!Salim-'2021'!Resal)*(1-EXP(('2021'!Tnet-t)/('2021'!Tau_j))),Resal+(Salim-Resal)*(1-EXP((Tnet-t)/(Tau_j))))*Salcycl</f>
        <v>5.1054869641135606E-2</v>
      </c>
      <c r="P325" s="338">
        <f>(INDEX(Models!$BJ325:$BT325,,T325)*(1-R325)+INDEX(Models!$BJ325:$BT325,,T325+1)*R325-ERP_i)*Q325*Ramure*Pc/MaxiM</f>
        <v>5.4126365841480656E-4</v>
      </c>
      <c r="Q325" s="304">
        <f t="shared" si="105"/>
        <v>0.5</v>
      </c>
      <c r="R325" s="176">
        <f t="shared" si="106"/>
        <v>3.4244255553459002E-2</v>
      </c>
      <c r="S325" s="814">
        <f t="shared" si="107"/>
        <v>1</v>
      </c>
      <c r="T325" s="175">
        <f t="shared" si="108"/>
        <v>7</v>
      </c>
      <c r="U325" s="250">
        <f t="shared" si="109"/>
        <v>1.034244255553459</v>
      </c>
      <c r="V325" s="382">
        <f t="shared" si="110"/>
        <v>30.859738851731631</v>
      </c>
      <c r="W325" s="401">
        <f t="shared" si="111"/>
        <v>0</v>
      </c>
      <c r="X325" s="157">
        <f t="shared" si="112"/>
        <v>44872</v>
      </c>
      <c r="Y325" s="384">
        <f t="shared" si="113"/>
        <v>29.268791302788767</v>
      </c>
      <c r="Z325" s="384">
        <f t="shared" si="114"/>
        <v>30.289633684523434</v>
      </c>
      <c r="AA325" s="385">
        <f t="shared" si="115"/>
        <v>32.722144845972643</v>
      </c>
      <c r="AB325" s="196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7.4338377661346822E-2</v>
      </c>
      <c r="AD325" s="230">
        <f>(INDEX(Models!$BJ325:$BT325,,AH325)*(1-AF325)+INDEX(Models!$BJ325:$BT325,,AH325+1)*AF325-ERP_i)*AE325*Ramure*Pc/MaxiM</f>
        <v>5.4126365841480656E-4</v>
      </c>
      <c r="AE325" s="304">
        <f t="shared" si="117"/>
        <v>0.5</v>
      </c>
      <c r="AF325" s="176">
        <f t="shared" si="118"/>
        <v>3.4244255553459002E-2</v>
      </c>
      <c r="AG325" s="814">
        <f t="shared" si="124"/>
        <v>1</v>
      </c>
      <c r="AH325" s="175">
        <f t="shared" si="119"/>
        <v>7</v>
      </c>
      <c r="AI325" s="224">
        <f t="shared" si="120"/>
        <v>1.034244255553459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410">
        <v>18.190999999999999</v>
      </c>
      <c r="C326" s="843"/>
      <c r="D326" s="392">
        <f t="shared" si="102"/>
        <v>18.82588092612836</v>
      </c>
      <c r="E326" s="384">
        <f t="shared" si="125"/>
        <v>19.83957454982913</v>
      </c>
      <c r="F326" s="384">
        <f t="shared" si="103"/>
        <v>19.844249986469961</v>
      </c>
      <c r="G326" s="110">
        <f t="shared" si="126"/>
        <v>0.59459401326824945</v>
      </c>
      <c r="H326" s="413" t="b">
        <f>Wh_hp&gt;='2021'!Maxi_hp</f>
        <v>0</v>
      </c>
      <c r="I326" s="379">
        <f>IF(H326,Wh_hp,'2021'!Maxi_hp)</f>
        <v>25.868696727513875</v>
      </c>
      <c r="J326" s="85">
        <f>IF(H326,An,'2021'!An_max)</f>
        <v>2021</v>
      </c>
      <c r="K326" s="196">
        <f t="shared" si="104"/>
        <v>44873</v>
      </c>
      <c r="L326" s="147">
        <f>IF(t&lt;Tvie,1-EXP((T0-t)*PertePVj)+'2021'!Pspv,1-EXP((T0-t)*PertePVj)+Pspv)</f>
        <v>3.3723836277282017E-2</v>
      </c>
      <c r="M326" s="847"/>
      <c r="N326" s="847"/>
      <c r="O326" s="48">
        <f>IF(t&lt;Tnet,'2021'!Resal+('2021'!Salim-'2021'!Resal)*(1-EXP(('2021'!Tnet-t)/('2021'!Tau_j))),Resal+(Salim-Resal)*(1-EXP((Tnet-t)/(Tau_j))))*Salcycl</f>
        <v>5.1094524288047408E-2</v>
      </c>
      <c r="P326" s="338">
        <f>(INDEX(Models!$BJ326:$BT326,,T326)*(1-R326)+INDEX(Models!$BJ326:$BT326,,T326+1)*R326-ERP_i)*Q326*Ramure*Pc/MaxiM</f>
        <v>5.5947109996891799E-4</v>
      </c>
      <c r="Q326" s="304">
        <f t="shared" si="105"/>
        <v>0.5</v>
      </c>
      <c r="R326" s="176">
        <f t="shared" si="106"/>
        <v>3.4269596827878557E-2</v>
      </c>
      <c r="S326" s="814">
        <f t="shared" si="107"/>
        <v>1</v>
      </c>
      <c r="T326" s="175">
        <f t="shared" si="108"/>
        <v>7</v>
      </c>
      <c r="U326" s="250">
        <f t="shared" si="109"/>
        <v>1.0342695968278786</v>
      </c>
      <c r="V326" s="382">
        <f t="shared" si="110"/>
        <v>30.584073816823839</v>
      </c>
      <c r="W326" s="401">
        <f t="shared" si="111"/>
        <v>0</v>
      </c>
      <c r="X326" s="157">
        <f t="shared" si="112"/>
        <v>44873</v>
      </c>
      <c r="Y326" s="384">
        <f t="shared" si="113"/>
        <v>17.745421531299389</v>
      </c>
      <c r="Z326" s="384">
        <f t="shared" si="114"/>
        <v>18.364751400813407</v>
      </c>
      <c r="AA326" s="385">
        <f t="shared" si="115"/>
        <v>19.83957454982913</v>
      </c>
      <c r="AB326" s="196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7.4337438300985437E-2</v>
      </c>
      <c r="AD326" s="230">
        <f>(INDEX(Models!$BJ326:$BT326,,AH326)*(1-AF326)+INDEX(Models!$BJ326:$BT326,,AH326+1)*AF326-ERP_i)*AE326*Ramure*Pc/MaxiM</f>
        <v>5.5947109996891799E-4</v>
      </c>
      <c r="AE326" s="304">
        <f t="shared" si="117"/>
        <v>0.5</v>
      </c>
      <c r="AF326" s="176">
        <f t="shared" si="118"/>
        <v>3.4269596827878557E-2</v>
      </c>
      <c r="AG326" s="814">
        <f t="shared" si="124"/>
        <v>1</v>
      </c>
      <c r="AH326" s="175">
        <f t="shared" si="119"/>
        <v>7</v>
      </c>
      <c r="AI326" s="224">
        <f t="shared" si="120"/>
        <v>1.0342695968278786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410">
        <v>9.0630000000000006</v>
      </c>
      <c r="C327" s="843"/>
      <c r="D327" s="392">
        <f t="shared" si="102"/>
        <v>9.3795113664630581</v>
      </c>
      <c r="E327" s="384">
        <f t="shared" si="125"/>
        <v>9.8849729798773893</v>
      </c>
      <c r="F327" s="384">
        <f t="shared" si="103"/>
        <v>9.8849729798773893</v>
      </c>
      <c r="G327" s="110">
        <f t="shared" si="126"/>
        <v>0.29882995490163844</v>
      </c>
      <c r="H327" s="413" t="b">
        <f>Wh_hp&gt;='2021'!Maxi_hp</f>
        <v>0</v>
      </c>
      <c r="I327" s="379">
        <f>IF(H327,Wh_hp,'2021'!Maxi_hp)</f>
        <v>23.871171034928089</v>
      </c>
      <c r="J327" s="85">
        <f>IF(H327,An,'2021'!An_max)</f>
        <v>2020</v>
      </c>
      <c r="K327" s="196">
        <f t="shared" si="104"/>
        <v>44874</v>
      </c>
      <c r="L327" s="147">
        <f>IF(t&lt;Tvie,1-EXP((T0-t)*PertePVj)+'2021'!Pspv,1-EXP((T0-t)*PertePVj)+Pspv)</f>
        <v>3.3744973922070189E-2</v>
      </c>
      <c r="M327" s="847"/>
      <c r="N327" s="847"/>
      <c r="O327" s="48">
        <f>IF(t&lt;Tnet,'2021'!Resal+('2021'!Salim-'2021'!Resal)*(1-EXP(('2021'!Tnet-t)/('2021'!Tau_j))),Resal+(Salim-Resal)*(1-EXP((Tnet-t)/(Tau_j))))*Salcycl</f>
        <v>5.1134344468445961E-2</v>
      </c>
      <c r="P327" s="338">
        <f>(INDEX(Models!$BJ327:$BT327,,T327)*(1-R327)+INDEX(Models!$BJ327:$BT327,,T327+1)*R327-ERP_i)*Q327*Ramure*Pc/MaxiM</f>
        <v>5.7829887969534097E-4</v>
      </c>
      <c r="Q327" s="304">
        <f t="shared" si="105"/>
        <v>0.5</v>
      </c>
      <c r="R327" s="176">
        <f t="shared" si="106"/>
        <v>3.4293921816960227E-2</v>
      </c>
      <c r="S327" s="814">
        <f t="shared" si="107"/>
        <v>1</v>
      </c>
      <c r="T327" s="175">
        <f t="shared" si="108"/>
        <v>7</v>
      </c>
      <c r="U327" s="250">
        <f t="shared" si="109"/>
        <v>1.0342939218169602</v>
      </c>
      <c r="V327" s="382">
        <f t="shared" si="110"/>
        <v>30.310746057016726</v>
      </c>
      <c r="W327" s="401">
        <f t="shared" si="111"/>
        <v>0</v>
      </c>
      <c r="X327" s="157">
        <f t="shared" si="112"/>
        <v>44874</v>
      </c>
      <c r="Y327" s="384">
        <f t="shared" si="113"/>
        <v>8.8413831703662193</v>
      </c>
      <c r="Z327" s="384">
        <f t="shared" si="114"/>
        <v>9.1501549091586813</v>
      </c>
      <c r="AA327" s="385">
        <f t="shared" si="115"/>
        <v>9.8849729798773893</v>
      </c>
      <c r="AB327" s="196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7.4336882074899011E-2</v>
      </c>
      <c r="AD327" s="230">
        <f>(INDEX(Models!$BJ327:$BT327,,AH327)*(1-AF327)+INDEX(Models!$BJ327:$BT327,,AH327+1)*AF327-ERP_i)*AE327*Ramure*Pc/MaxiM</f>
        <v>5.7829887969534097E-4</v>
      </c>
      <c r="AE327" s="304">
        <f t="shared" si="117"/>
        <v>0.5</v>
      </c>
      <c r="AF327" s="176">
        <f t="shared" si="118"/>
        <v>3.4293921816960227E-2</v>
      </c>
      <c r="AG327" s="814">
        <f t="shared" si="124"/>
        <v>1</v>
      </c>
      <c r="AH327" s="175">
        <f t="shared" si="119"/>
        <v>7</v>
      </c>
      <c r="AI327" s="224">
        <f t="shared" si="120"/>
        <v>1.0342939218169602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410">
        <v>24.369</v>
      </c>
      <c r="C328" s="843"/>
      <c r="D328" s="392">
        <f t="shared" si="102"/>
        <v>25.22060163698125</v>
      </c>
      <c r="E328" s="384">
        <f t="shared" si="125"/>
        <v>26.58086077655955</v>
      </c>
      <c r="F328" s="384">
        <f t="shared" si="103"/>
        <v>26.592469844178034</v>
      </c>
      <c r="G328" s="110">
        <f t="shared" si="126"/>
        <v>0.81109419875169586</v>
      </c>
      <c r="H328" s="413" t="b">
        <f>Wh_hp&gt;='2021'!Maxi_hp</f>
        <v>1</v>
      </c>
      <c r="I328" s="379">
        <f>IF(H328,Wh_hp,'2021'!Maxi_hp)</f>
        <v>26.592469844178034</v>
      </c>
      <c r="J328" s="85">
        <f>IF(H328,An,'2021'!An_max)</f>
        <v>2022</v>
      </c>
      <c r="K328" s="196">
        <f t="shared" si="104"/>
        <v>44875</v>
      </c>
      <c r="L328" s="147">
        <f>IF(t&lt;Tvie,1-EXP((T0-t)*PertePVj)+'2021'!Pspv,1-EXP((T0-t)*PertePVj)+Pspv)</f>
        <v>3.3766111103889697E-2</v>
      </c>
      <c r="M328" s="847"/>
      <c r="N328" s="847"/>
      <c r="O328" s="48">
        <f>IF(t&lt;Tnet,'2021'!Resal+('2021'!Salim-'2021'!Resal)*(1-EXP(('2021'!Tnet-t)/('2021'!Tau_j))),Resal+(Salim-Resal)*(1-EXP((Tnet-t)/(Tau_j))))*Salcycl</f>
        <v>5.1174382613592778E-2</v>
      </c>
      <c r="P328" s="338">
        <f>(INDEX(Models!$BJ328:$BT328,,T328)*(1-R328)+INDEX(Models!$BJ328:$BT328,,T328+1)*R328-ERP_i)*Q328*Ramure*Pc/MaxiM</f>
        <v>5.9775690110582555E-4</v>
      </c>
      <c r="Q328" s="304">
        <f t="shared" si="105"/>
        <v>0.5</v>
      </c>
      <c r="R328" s="176">
        <f t="shared" si="106"/>
        <v>3.4317271122381365E-2</v>
      </c>
      <c r="S328" s="814">
        <f t="shared" si="107"/>
        <v>1</v>
      </c>
      <c r="T328" s="175">
        <f t="shared" si="108"/>
        <v>7</v>
      </c>
      <c r="U328" s="250">
        <f t="shared" si="109"/>
        <v>1.0343172711223814</v>
      </c>
      <c r="V328" s="382">
        <f t="shared" si="110"/>
        <v>30.039753687434896</v>
      </c>
      <c r="W328" s="401">
        <f t="shared" si="111"/>
        <v>0</v>
      </c>
      <c r="X328" s="157">
        <f t="shared" si="112"/>
        <v>44875</v>
      </c>
      <c r="Y328" s="384">
        <f t="shared" si="113"/>
        <v>23.774112442913847</v>
      </c>
      <c r="Z328" s="384">
        <f t="shared" si="114"/>
        <v>24.604925076758558</v>
      </c>
      <c r="AA328" s="385">
        <f t="shared" si="115"/>
        <v>26.58086077655955</v>
      </c>
      <c r="AB328" s="196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7.4336783763732733E-2</v>
      </c>
      <c r="AD328" s="230">
        <f>(INDEX(Models!$BJ328:$BT328,,AH328)*(1-AF328)+INDEX(Models!$BJ328:$BT328,,AH328+1)*AF328-ERP_i)*AE328*Ramure*Pc/MaxiM</f>
        <v>5.9775690110582555E-4</v>
      </c>
      <c r="AE328" s="304">
        <f t="shared" si="117"/>
        <v>0.5</v>
      </c>
      <c r="AF328" s="176">
        <f t="shared" si="118"/>
        <v>3.4317271122381365E-2</v>
      </c>
      <c r="AG328" s="814">
        <f t="shared" si="124"/>
        <v>1</v>
      </c>
      <c r="AH328" s="175">
        <f t="shared" si="119"/>
        <v>7</v>
      </c>
      <c r="AI328" s="224">
        <f t="shared" si="120"/>
        <v>1.0343172711223814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410">
        <v>28.416</v>
      </c>
      <c r="C329" s="843"/>
      <c r="D329" s="392">
        <f t="shared" si="102"/>
        <v>29.409671871922427</v>
      </c>
      <c r="E329" s="384">
        <f t="shared" si="125"/>
        <v>30.997182994794692</v>
      </c>
      <c r="F329" s="384">
        <f t="shared" si="103"/>
        <v>31.015099805009147</v>
      </c>
      <c r="G329" s="110">
        <f t="shared" si="126"/>
        <v>0.95444449783555085</v>
      </c>
      <c r="H329" s="413" t="b">
        <f>Wh_hp&gt;='2021'!Maxi_hp</f>
        <v>1</v>
      </c>
      <c r="I329" s="379">
        <f>IF(H329,Wh_hp,'2021'!Maxi_hp)</f>
        <v>31.015099805009147</v>
      </c>
      <c r="J329" s="85">
        <f>IF(H329,An,'2021'!An_max)</f>
        <v>2022</v>
      </c>
      <c r="K329" s="196">
        <f t="shared" si="104"/>
        <v>44876</v>
      </c>
      <c r="L329" s="147">
        <f>IF(t&lt;Tvie,1-EXP((T0-t)*PertePVj)+'2021'!Pspv,1-EXP((T0-t)*PertePVj)+Pspv)</f>
        <v>3.3787247822750756E-2</v>
      </c>
      <c r="M329" s="847"/>
      <c r="N329" s="847"/>
      <c r="O329" s="48">
        <f>IF(t&lt;Tnet,'2021'!Resal+('2021'!Salim-'2021'!Resal)*(1-EXP(('2021'!Tnet-t)/('2021'!Tau_j))),Resal+(Salim-Resal)*(1-EXP((Tnet-t)/(Tau_j))))*Salcycl</f>
        <v>5.1214690158742908E-2</v>
      </c>
      <c r="P329" s="338">
        <f>(INDEX(Models!$BJ329:$BT329,,T329)*(1-R329)+INDEX(Models!$BJ329:$BT329,,T329+1)*R329-ERP_i)*Q329*Ramure*Pc/MaxiM</f>
        <v>6.1785599965045817E-4</v>
      </c>
      <c r="Q329" s="304">
        <f t="shared" si="105"/>
        <v>0.5</v>
      </c>
      <c r="R329" s="176">
        <f t="shared" si="106"/>
        <v>3.4339683735979731E-2</v>
      </c>
      <c r="S329" s="814">
        <f t="shared" si="107"/>
        <v>1</v>
      </c>
      <c r="T329" s="175">
        <f t="shared" si="108"/>
        <v>7</v>
      </c>
      <c r="U329" s="250">
        <f t="shared" si="109"/>
        <v>1.0343396837359797</v>
      </c>
      <c r="V329" s="382">
        <f t="shared" si="110"/>
        <v>29.771094883037705</v>
      </c>
      <c r="W329" s="401">
        <f t="shared" si="111"/>
        <v>0</v>
      </c>
      <c r="X329" s="157">
        <f t="shared" si="112"/>
        <v>44876</v>
      </c>
      <c r="Y329" s="384">
        <f t="shared" si="113"/>
        <v>27.723483262025194</v>
      </c>
      <c r="Z329" s="384">
        <f t="shared" si="114"/>
        <v>28.692938692387898</v>
      </c>
      <c r="AA329" s="385">
        <f t="shared" si="115"/>
        <v>30.997182994794692</v>
      </c>
      <c r="AB329" s="196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7.4337216475243661E-2</v>
      </c>
      <c r="AD329" s="230">
        <f>(INDEX(Models!$BJ329:$BT329,,AH329)*(1-AF329)+INDEX(Models!$BJ329:$BT329,,AH329+1)*AF329-ERP_i)*AE329*Ramure*Pc/MaxiM</f>
        <v>6.1785599965045817E-4</v>
      </c>
      <c r="AE329" s="304">
        <f t="shared" si="117"/>
        <v>0.5</v>
      </c>
      <c r="AF329" s="176">
        <f t="shared" si="118"/>
        <v>3.4339683735979731E-2</v>
      </c>
      <c r="AG329" s="814">
        <f t="shared" si="124"/>
        <v>1</v>
      </c>
      <c r="AH329" s="175">
        <f t="shared" si="119"/>
        <v>7</v>
      </c>
      <c r="AI329" s="224">
        <f t="shared" si="120"/>
        <v>1.0343396837359797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410">
        <v>28.28</v>
      </c>
      <c r="C330" s="843"/>
      <c r="D330" s="392">
        <f t="shared" si="102"/>
        <v>29.269556404743678</v>
      </c>
      <c r="E330" s="384">
        <f t="shared" si="125"/>
        <v>30.850825241597427</v>
      </c>
      <c r="F330" s="384">
        <f t="shared" si="103"/>
        <v>30.869369637269219</v>
      </c>
      <c r="G330" s="110">
        <f t="shared" si="126"/>
        <v>0.95845283355201516</v>
      </c>
      <c r="H330" s="413" t="b">
        <f>Wh_hp&gt;='2021'!Maxi_hp</f>
        <v>1</v>
      </c>
      <c r="I330" s="379">
        <f>IF(H330,Wh_hp,'2021'!Maxi_hp)</f>
        <v>30.869369637269219</v>
      </c>
      <c r="J330" s="85">
        <f>IF(H330,An,'2021'!An_max)</f>
        <v>2022</v>
      </c>
      <c r="K330" s="196">
        <f t="shared" si="104"/>
        <v>44877</v>
      </c>
      <c r="L330" s="147">
        <f>IF(t&lt;Tvie,1-EXP((T0-t)*PertePVj)+'2021'!Pspv,1-EXP((T0-t)*PertePVj)+Pspv)</f>
        <v>3.3808384078663357E-2</v>
      </c>
      <c r="M330" s="847"/>
      <c r="N330" s="847"/>
      <c r="O330" s="48">
        <f>IF(t&lt;Tnet,'2021'!Resal+('2021'!Salim-'2021'!Resal)*(1-EXP(('2021'!Tnet-t)/('2021'!Tau_j))),Resal+(Salim-Resal)*(1-EXP((Tnet-t)/(Tau_j))))*Salcycl</f>
        <v>5.1255317304175672E-2</v>
      </c>
      <c r="P330" s="338">
        <f>(INDEX(Models!$BJ330:$BT330,,T330)*(1-R330)+INDEX(Models!$BJ330:$BT330,,T330+1)*R330-ERP_i)*Q330*Ramure*Pc/MaxiM</f>
        <v>6.3860797553205349E-4</v>
      </c>
      <c r="Q330" s="304">
        <f t="shared" si="105"/>
        <v>0.5</v>
      </c>
      <c r="R330" s="176">
        <f t="shared" si="106"/>
        <v>3.4361197102617647E-2</v>
      </c>
      <c r="S330" s="814">
        <f t="shared" si="107"/>
        <v>1</v>
      </c>
      <c r="T330" s="175">
        <f t="shared" si="108"/>
        <v>7</v>
      </c>
      <c r="U330" s="250">
        <f t="shared" si="109"/>
        <v>1.0343611971026176</v>
      </c>
      <c r="V330" s="382">
        <f t="shared" si="110"/>
        <v>29.504767888757478</v>
      </c>
      <c r="W330" s="401">
        <f t="shared" si="111"/>
        <v>0</v>
      </c>
      <c r="X330" s="157">
        <f t="shared" si="112"/>
        <v>44877</v>
      </c>
      <c r="Y330" s="384">
        <f t="shared" si="113"/>
        <v>27.591948319219973</v>
      </c>
      <c r="Z330" s="384">
        <f t="shared" si="114"/>
        <v>28.557428841802739</v>
      </c>
      <c r="AA330" s="385">
        <f t="shared" si="115"/>
        <v>30.850825241597427</v>
      </c>
      <c r="AB330" s="196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7.4338251305589395E-2</v>
      </c>
      <c r="AD330" s="230">
        <f>(INDEX(Models!$BJ330:$BT330,,AH330)*(1-AF330)+INDEX(Models!$BJ330:$BT330,,AH330+1)*AF330-ERP_i)*AE330*Ramure*Pc/MaxiM</f>
        <v>6.3860797553205349E-4</v>
      </c>
      <c r="AE330" s="304">
        <f t="shared" si="117"/>
        <v>0.5</v>
      </c>
      <c r="AF330" s="176">
        <f t="shared" si="118"/>
        <v>3.4361197102617647E-2</v>
      </c>
      <c r="AG330" s="814">
        <f t="shared" si="124"/>
        <v>1</v>
      </c>
      <c r="AH330" s="175">
        <f t="shared" si="119"/>
        <v>7</v>
      </c>
      <c r="AI330" s="224">
        <f t="shared" si="120"/>
        <v>1.0343611971026176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410">
        <v>24.795000000000002</v>
      </c>
      <c r="C331" s="843"/>
      <c r="D331" s="392">
        <f t="shared" si="102"/>
        <v>25.663172814704314</v>
      </c>
      <c r="E331" s="384">
        <f t="shared" si="125"/>
        <v>27.050777983138428</v>
      </c>
      <c r="F331" s="384">
        <f t="shared" si="103"/>
        <v>27.064762788256044</v>
      </c>
      <c r="G331" s="110">
        <f t="shared" si="126"/>
        <v>0.84786944860586844</v>
      </c>
      <c r="H331" s="413" t="b">
        <f>Wh_hp&gt;='2021'!Maxi_hp</f>
        <v>0</v>
      </c>
      <c r="I331" s="379">
        <f>IF(H331,Wh_hp,'2021'!Maxi_hp)</f>
        <v>31.04926746236552</v>
      </c>
      <c r="J331" s="85">
        <f>IF(H331,An,'2021'!An_max)</f>
        <v>2020</v>
      </c>
      <c r="K331" s="196">
        <f t="shared" si="104"/>
        <v>44878</v>
      </c>
      <c r="L331" s="147">
        <f>IF(t&lt;Tvie,1-EXP((T0-t)*PertePVj)+'2021'!Pspv,1-EXP((T0-t)*PertePVj)+Pspv)</f>
        <v>3.3829519871637716E-2</v>
      </c>
      <c r="M331" s="847"/>
      <c r="N331" s="847"/>
      <c r="O331" s="48">
        <f>IF(t&lt;Tnet,'2021'!Resal+('2021'!Salim-'2021'!Resal)*(1-EXP(('2021'!Tnet-t)/('2021'!Tau_j))),Resal+(Salim-Resal)*(1-EXP((Tnet-t)/(Tau_j))))*Salcycl</f>
        <v>5.129631278253987E-2</v>
      </c>
      <c r="P331" s="338">
        <f>(INDEX(Models!$BJ331:$BT331,,T331)*(1-R331)+INDEX(Models!$BJ331:$BT331,,T331+1)*R331-ERP_i)*Q331*Ramure*Pc/MaxiM</f>
        <v>6.6004988948766365E-4</v>
      </c>
      <c r="Q331" s="304">
        <f t="shared" si="105"/>
        <v>0.5</v>
      </c>
      <c r="R331" s="176">
        <f t="shared" si="106"/>
        <v>3.4381847180668057E-2</v>
      </c>
      <c r="S331" s="814">
        <f t="shared" si="107"/>
        <v>1</v>
      </c>
      <c r="T331" s="175">
        <f t="shared" si="108"/>
        <v>7</v>
      </c>
      <c r="U331" s="250">
        <f t="shared" si="109"/>
        <v>1.0343818471806681</v>
      </c>
      <c r="V331" s="382">
        <f t="shared" si="110"/>
        <v>29.239695153563328</v>
      </c>
      <c r="W331" s="401">
        <f t="shared" si="111"/>
        <v>0</v>
      </c>
      <c r="X331" s="157">
        <f t="shared" si="112"/>
        <v>44878</v>
      </c>
      <c r="Y331" s="384">
        <f t="shared" si="113"/>
        <v>24.19273907664715</v>
      </c>
      <c r="Z331" s="384">
        <f t="shared" si="114"/>
        <v>25.039824310749985</v>
      </c>
      <c r="AA331" s="385">
        <f t="shared" si="115"/>
        <v>27.050777983138428</v>
      </c>
      <c r="AB331" s="196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7.4339957011289412E-2</v>
      </c>
      <c r="AD331" s="230">
        <f>(INDEX(Models!$BJ331:$BT331,,AH331)*(1-AF331)+INDEX(Models!$BJ331:$BT331,,AH331+1)*AF331-ERP_i)*AE331*Ramure*Pc/MaxiM</f>
        <v>6.6004988948766365E-4</v>
      </c>
      <c r="AE331" s="304">
        <f t="shared" si="117"/>
        <v>0.5</v>
      </c>
      <c r="AF331" s="176">
        <f t="shared" si="118"/>
        <v>3.4381847180668057E-2</v>
      </c>
      <c r="AG331" s="814">
        <f t="shared" si="124"/>
        <v>1</v>
      </c>
      <c r="AH331" s="175">
        <f t="shared" si="119"/>
        <v>7</v>
      </c>
      <c r="AI331" s="224">
        <f t="shared" si="120"/>
        <v>1.0343818471806681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410">
        <v>11.641</v>
      </c>
      <c r="C332" s="843"/>
      <c r="D332" s="392">
        <f t="shared" si="102"/>
        <v>12.048861868689736</v>
      </c>
      <c r="E332" s="384">
        <f t="shared" si="125"/>
        <v>12.700897009257154</v>
      </c>
      <c r="F332" s="384">
        <f t="shared" si="103"/>
        <v>12.702152937245639</v>
      </c>
      <c r="G332" s="110">
        <f t="shared" si="126"/>
        <v>0.40152394330995383</v>
      </c>
      <c r="H332" s="413" t="b">
        <f>Wh_hp&gt;='2021'!Maxi_hp</f>
        <v>0</v>
      </c>
      <c r="I332" s="379">
        <f>IF(H332,Wh_hp,'2021'!Maxi_hp)</f>
        <v>19.84263142805246</v>
      </c>
      <c r="J332" s="85">
        <f>IF(H332,An,'2021'!An_max)</f>
        <v>2020</v>
      </c>
      <c r="K332" s="196">
        <f t="shared" si="104"/>
        <v>44879</v>
      </c>
      <c r="L332" s="147">
        <f>IF(t&lt;Tvie,1-EXP((T0-t)*PertePVj)+'2021'!Pspv,1-EXP((T0-t)*PertePVj)+Pspv)</f>
        <v>3.3850655201684045E-2</v>
      </c>
      <c r="M332" s="847"/>
      <c r="N332" s="847"/>
      <c r="O332" s="48">
        <f>IF(t&lt;Tnet,'2021'!Resal+('2021'!Salim-'2021'!Resal)*(1-EXP(('2021'!Tnet-t)/('2021'!Tau_j))),Resal+(Salim-Resal)*(1-EXP((Tnet-t)/(Tau_j))))*Salcycl</f>
        <v>5.1337723634179294E-2</v>
      </c>
      <c r="P332" s="338">
        <f>(INDEX(Models!$BJ332:$BT332,,T332)*(1-R332)+INDEX(Models!$BJ332:$BT332,,T332+1)*R332-ERP_i)*Q332*Ramure*Pc/MaxiM</f>
        <v>6.8017236582456611E-4</v>
      </c>
      <c r="Q332" s="304">
        <f t="shared" si="105"/>
        <v>0.5</v>
      </c>
      <c r="R332" s="176">
        <f t="shared" si="106"/>
        <v>3.4401668500205096E-2</v>
      </c>
      <c r="S332" s="814">
        <f t="shared" si="107"/>
        <v>1</v>
      </c>
      <c r="T332" s="175">
        <f t="shared" si="108"/>
        <v>7</v>
      </c>
      <c r="U332" s="250">
        <f t="shared" si="109"/>
        <v>1.0344016685002051</v>
      </c>
      <c r="V332" s="382">
        <f t="shared" si="110"/>
        <v>28.975189760075725</v>
      </c>
      <c r="W332" s="401">
        <f t="shared" si="111"/>
        <v>0</v>
      </c>
      <c r="X332" s="157">
        <f t="shared" si="112"/>
        <v>44879</v>
      </c>
      <c r="Y332" s="384">
        <f t="shared" si="113"/>
        <v>11.358710463790546</v>
      </c>
      <c r="Z332" s="384">
        <f t="shared" si="114"/>
        <v>11.756681847320076</v>
      </c>
      <c r="AA332" s="385">
        <f t="shared" si="115"/>
        <v>12.700897009257154</v>
      </c>
      <c r="AB332" s="196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7.4342399694201103E-2</v>
      </c>
      <c r="AD332" s="230">
        <f>(INDEX(Models!$BJ332:$BT332,,AH332)*(1-AF332)+INDEX(Models!$BJ332:$BT332,,AH332+1)*AF332-ERP_i)*AE332*Ramure*Pc/MaxiM</f>
        <v>6.8017236582456611E-4</v>
      </c>
      <c r="AE332" s="304">
        <f t="shared" si="117"/>
        <v>0.5</v>
      </c>
      <c r="AF332" s="176">
        <f t="shared" si="118"/>
        <v>3.4401668500205096E-2</v>
      </c>
      <c r="AG332" s="814">
        <f t="shared" si="124"/>
        <v>1</v>
      </c>
      <c r="AH332" s="175">
        <f t="shared" si="119"/>
        <v>7</v>
      </c>
      <c r="AI332" s="224">
        <f t="shared" si="120"/>
        <v>1.0344016685002051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410">
        <v>12.608000000000001</v>
      </c>
      <c r="C333" s="843"/>
      <c r="D333" s="392">
        <f t="shared" si="102"/>
        <v>13.050027802105069</v>
      </c>
      <c r="E333" s="384">
        <f t="shared" si="125"/>
        <v>13.756849139246285</v>
      </c>
      <c r="F333" s="384">
        <f t="shared" si="103"/>
        <v>13.758756818225411</v>
      </c>
      <c r="G333" s="110">
        <f t="shared" si="126"/>
        <v>0.43887733666012685</v>
      </c>
      <c r="H333" s="413" t="b">
        <f>Wh_hp&gt;='2021'!Maxi_hp</f>
        <v>0</v>
      </c>
      <c r="I333" s="379">
        <f>IF(H333,Wh_hp,'2021'!Maxi_hp)</f>
        <v>29.001692225643055</v>
      </c>
      <c r="J333" s="85">
        <f>IF(H333,An,'2021'!An_max)</f>
        <v>2020</v>
      </c>
      <c r="K333" s="196">
        <f t="shared" si="104"/>
        <v>44880</v>
      </c>
      <c r="L333" s="147">
        <f>IF(t&lt;Tvie,1-EXP((T0-t)*PertePVj)+'2021'!Pspv,1-EXP((T0-t)*PertePVj)+Pspv)</f>
        <v>3.3871790068812337E-2</v>
      </c>
      <c r="M333" s="847"/>
      <c r="N333" s="847"/>
      <c r="O333" s="48">
        <f>IF(t&lt;Tnet,'2021'!Resal+('2021'!Salim-'2021'!Resal)*(1-EXP(('2021'!Tnet-t)/('2021'!Tau_j))),Resal+(Salim-Resal)*(1-EXP((Tnet-t)/(Tau_j))))*Salcycl</f>
        <v>5.1379594992050789E-2</v>
      </c>
      <c r="P333" s="338">
        <f>(INDEX(Models!$BJ333:$BT333,,T333)*(1-R333)+INDEX(Models!$BJ333:$BT333,,T333+1)*R333-ERP_i)*Q333*Ramure*Pc/MaxiM</f>
        <v>6.9763093884838594E-4</v>
      </c>
      <c r="Q333" s="304">
        <f t="shared" si="105"/>
        <v>0.5</v>
      </c>
      <c r="R333" s="176">
        <f t="shared" si="106"/>
        <v>3.4420694218982195E-2</v>
      </c>
      <c r="S333" s="814">
        <f t="shared" si="107"/>
        <v>1</v>
      </c>
      <c r="T333" s="175">
        <f t="shared" si="108"/>
        <v>7</v>
      </c>
      <c r="U333" s="250">
        <f t="shared" si="109"/>
        <v>1.0344206942189822</v>
      </c>
      <c r="V333" s="382">
        <f t="shared" si="110"/>
        <v>28.711784281174406</v>
      </c>
      <c r="W333" s="401">
        <f t="shared" si="111"/>
        <v>0</v>
      </c>
      <c r="X333" s="157">
        <f t="shared" si="112"/>
        <v>44880</v>
      </c>
      <c r="Y333" s="384">
        <f t="shared" si="113"/>
        <v>12.302761017711834</v>
      </c>
      <c r="Z333" s="384">
        <f t="shared" si="114"/>
        <v>12.734087351189235</v>
      </c>
      <c r="AA333" s="385">
        <f t="shared" si="115"/>
        <v>13.756849139246285</v>
      </c>
      <c r="AB333" s="196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7.4345642501760054E-2</v>
      </c>
      <c r="AD333" s="230">
        <f>(INDEX(Models!$BJ333:$BT333,,AH333)*(1-AF333)+INDEX(Models!$BJ333:$BT333,,AH333+1)*AF333-ERP_i)*AE333*Ramure*Pc/MaxiM</f>
        <v>6.9763093884838594E-4</v>
      </c>
      <c r="AE333" s="304">
        <f t="shared" si="117"/>
        <v>0.5</v>
      </c>
      <c r="AF333" s="176">
        <f t="shared" si="118"/>
        <v>3.4420694218982195E-2</v>
      </c>
      <c r="AG333" s="814">
        <f t="shared" si="124"/>
        <v>1</v>
      </c>
      <c r="AH333" s="175">
        <f t="shared" si="119"/>
        <v>7</v>
      </c>
      <c r="AI333" s="224">
        <f t="shared" si="120"/>
        <v>1.0344206942189822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410">
        <v>28.007999999999999</v>
      </c>
      <c r="C334" s="843"/>
      <c r="D334" s="392">
        <f t="shared" si="102"/>
        <v>28.990575381846693</v>
      </c>
      <c r="E334" s="384">
        <f t="shared" si="125"/>
        <v>30.562140869013511</v>
      </c>
      <c r="F334" s="384">
        <f t="shared" si="103"/>
        <v>30.583445229560123</v>
      </c>
      <c r="G334" s="110">
        <f t="shared" si="126"/>
        <v>0.98444936346232936</v>
      </c>
      <c r="H334" s="413" t="b">
        <f>Wh_hp&gt;='2021'!Maxi_hp</f>
        <v>1</v>
      </c>
      <c r="I334" s="379">
        <f>IF(H334,Wh_hp,'2021'!Maxi_hp)</f>
        <v>30.583445229560123</v>
      </c>
      <c r="J334" s="85">
        <f>IF(H334,An,'2021'!An_max)</f>
        <v>2022</v>
      </c>
      <c r="K334" s="196">
        <f t="shared" si="104"/>
        <v>44881</v>
      </c>
      <c r="L334" s="147">
        <f>IF(t&lt;Tvie,1-EXP((T0-t)*PertePVj)+'2021'!Pspv,1-EXP((T0-t)*PertePVj)+Pspv)</f>
        <v>3.3892924473032805E-2</v>
      </c>
      <c r="M334" s="847"/>
      <c r="N334" s="847"/>
      <c r="O334" s="48">
        <f>IF(t&lt;Tnet,'2021'!Resal+('2021'!Salim-'2021'!Resal)*(1-EXP(('2021'!Tnet-t)/('2021'!Tau_j))),Resal+(Salim-Resal)*(1-EXP((Tnet-t)/(Tau_j))))*Salcycl</f>
        <v>5.1421969877777966E-2</v>
      </c>
      <c r="P334" s="338">
        <f>(INDEX(Models!$BJ334:$BT334,,T334)*(1-R334)+INDEX(Models!$BJ334:$BT334,,T334+1)*R334-ERP_i)*Q334*Ramure*Pc/MaxiM</f>
        <v>7.124082322560746E-4</v>
      </c>
      <c r="Q334" s="304">
        <f t="shared" si="105"/>
        <v>0.5</v>
      </c>
      <c r="R334" s="176">
        <f t="shared" si="106"/>
        <v>3.4438956176275903E-2</v>
      </c>
      <c r="S334" s="814">
        <f t="shared" si="107"/>
        <v>1</v>
      </c>
      <c r="T334" s="175">
        <f t="shared" si="108"/>
        <v>7</v>
      </c>
      <c r="U334" s="250">
        <f t="shared" si="109"/>
        <v>1.0344389561762759</v>
      </c>
      <c r="V334" s="382">
        <f t="shared" si="110"/>
        <v>28.44997204744158</v>
      </c>
      <c r="W334" s="401">
        <f t="shared" si="111"/>
        <v>0</v>
      </c>
      <c r="X334" s="157">
        <f t="shared" si="112"/>
        <v>44881</v>
      </c>
      <c r="Y334" s="384">
        <f t="shared" si="113"/>
        <v>27.331027610925524</v>
      </c>
      <c r="Z334" s="384">
        <f t="shared" si="114"/>
        <v>28.289853478215861</v>
      </c>
      <c r="AA334" s="385">
        <f t="shared" si="115"/>
        <v>30.562140869013511</v>
      </c>
      <c r="AB334" s="196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7.4349745344623047E-2</v>
      </c>
      <c r="AD334" s="230">
        <f>(INDEX(Models!$BJ334:$BT334,,AH334)*(1-AF334)+INDEX(Models!$BJ334:$BT334,,AH334+1)*AF334-ERP_i)*AE334*Ramure*Pc/MaxiM</f>
        <v>7.124082322560746E-4</v>
      </c>
      <c r="AE334" s="304">
        <f t="shared" si="117"/>
        <v>0.5</v>
      </c>
      <c r="AF334" s="176">
        <f t="shared" si="118"/>
        <v>3.4438956176275903E-2</v>
      </c>
      <c r="AG334" s="814">
        <f t="shared" si="124"/>
        <v>1</v>
      </c>
      <c r="AH334" s="175">
        <f t="shared" si="119"/>
        <v>7</v>
      </c>
      <c r="AI334" s="224">
        <f t="shared" si="120"/>
        <v>1.0344389561762759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410">
        <v>14.43</v>
      </c>
      <c r="C335" s="843"/>
      <c r="D335" s="392">
        <f t="shared" ref="D335:D379" si="127">Wh/(1-Ppv)</f>
        <v>14.936559346175692</v>
      </c>
      <c r="E335" s="384">
        <f t="shared" si="125"/>
        <v>15.746975702977355</v>
      </c>
      <c r="F335" s="384">
        <f t="shared" ref="F335:F379" si="128">Wh_sa/(1-Pvg*MEDIAN((-Sdif+Wh/Env_an)/Csdif,0,1))</f>
        <v>15.750429615271896</v>
      </c>
      <c r="G335" s="110">
        <f t="shared" si="126"/>
        <v>0.51162051705342226</v>
      </c>
      <c r="H335" s="413" t="b">
        <f>Wh_hp&gt;='2021'!Maxi_hp</f>
        <v>0</v>
      </c>
      <c r="I335" s="379">
        <f>IF(H335,Wh_hp,'2021'!Maxi_hp)</f>
        <v>29.428386616561589</v>
      </c>
      <c r="J335" s="85">
        <f>IF(H335,An,'2021'!An_max)</f>
        <v>2018</v>
      </c>
      <c r="K335" s="196">
        <f t="shared" ref="K335:K379" si="129">t</f>
        <v>44882</v>
      </c>
      <c r="L335" s="147">
        <f>IF(t&lt;Tvie,1-EXP((T0-t)*PertePVj)+'2021'!Pspv,1-EXP((T0-t)*PertePVj)+Pspv)</f>
        <v>3.3914058414355554E-2</v>
      </c>
      <c r="M335" s="847"/>
      <c r="N335" s="847"/>
      <c r="O335" s="48">
        <f>IF(t&lt;Tnet,'2021'!Resal+('2021'!Salim-'2021'!Resal)*(1-EXP(('2021'!Tnet-t)/('2021'!Tau_j))),Resal+(Salim-Resal)*(1-EXP((Tnet-t)/(Tau_j))))*Salcycl</f>
        <v>5.1464889010302779E-2</v>
      </c>
      <c r="P335" s="338">
        <f>(INDEX(Models!$BJ335:$BT335,,T335)*(1-R335)+INDEX(Models!$BJ335:$BT335,,T335+1)*R335-ERP_i)*Q335*Ramure*Pc/MaxiM</f>
        <v>7.244837921647375E-4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3.4456484944672461E-2</v>
      </c>
      <c r="S335" s="814">
        <f t="shared" ref="S335:S379" si="132">INDEX(Echel_vg,T335)</f>
        <v>1</v>
      </c>
      <c r="T335" s="175">
        <f t="shared" ref="T335:T379" si="133">MIN(MATCH(Hp_vg,Echel_vg),10)</f>
        <v>7</v>
      </c>
      <c r="U335" s="250">
        <f t="shared" ref="U335:U379" si="134">IF(OR(t&lt;Ttai,Notai),Hdd+PousH*Croivg,Hdtf+PousH*(Croivg-Croi_tai))</f>
        <v>1.0344564849446725</v>
      </c>
      <c r="V335" s="382">
        <f t="shared" ref="V335:V379" si="135">MaxiM*(1-Ppv)*(1-Pvg)*(1-Psa)</f>
        <v>28.190246431507294</v>
      </c>
      <c r="W335" s="401">
        <f t="shared" ref="W335:W379" si="136">Wh*(A335&gt;Tmaj)</f>
        <v>0</v>
      </c>
      <c r="X335" s="157">
        <f t="shared" ref="X335:X379" si="137">t</f>
        <v>44882</v>
      </c>
      <c r="Y335" s="384">
        <f t="shared" ref="Y335:Y379" si="138">Wh_pvt_s*(1-Ppv)</f>
        <v>14.081777882105712</v>
      </c>
      <c r="Z335" s="384">
        <f t="shared" ref="Z335:Z379" si="139">Wh_sa_s*(1-Psa_s)</f>
        <v>14.57611303088955</v>
      </c>
      <c r="AA335" s="385">
        <f t="shared" ref="AA335:AA379" si="140">Wh_hp*(1-Pvg_s*MEDIAN((-Sdif+Wh/Env_an)/Csdif,0,1))</f>
        <v>15.746975702977355</v>
      </c>
      <c r="AB335" s="196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7.435476463372101E-2</v>
      </c>
      <c r="AD335" s="230">
        <f>(INDEX(Models!$BJ335:$BT335,,AH335)*(1-AF335)+INDEX(Models!$BJ335:$BT335,,AH335+1)*AF335-ERP_i)*AE335*Ramure*Pc/MaxiM</f>
        <v>7.244837921647375E-4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3.4456484944672461E-2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1.0344564849446725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410">
        <v>12.875999999999999</v>
      </c>
      <c r="C336" s="843"/>
      <c r="D336" s="392">
        <f t="shared" si="127"/>
        <v>13.328298362537064</v>
      </c>
      <c r="E336" s="384">
        <f t="shared" si="125"/>
        <v>14.052099386908477</v>
      </c>
      <c r="F336" s="384">
        <f t="shared" si="128"/>
        <v>14.054470914940168</v>
      </c>
      <c r="G336" s="110">
        <f t="shared" si="126"/>
        <v>0.46069796068224433</v>
      </c>
      <c r="H336" s="413" t="b">
        <f>Wh_hp&gt;='2021'!Maxi_hp</f>
        <v>0</v>
      </c>
      <c r="I336" s="379">
        <f>IF(H336,Wh_hp,'2021'!Maxi_hp)</f>
        <v>28.461608184939823</v>
      </c>
      <c r="J336" s="85">
        <f>IF(H336,An,'2021'!An_max)</f>
        <v>2020</v>
      </c>
      <c r="K336" s="196">
        <f t="shared" si="129"/>
        <v>44883</v>
      </c>
      <c r="L336" s="147">
        <f>IF(t&lt;Tvie,1-EXP((T0-t)*PertePVj)+'2021'!Pspv,1-EXP((T0-t)*PertePVj)+Pspv)</f>
        <v>3.3935191892790796E-2</v>
      </c>
      <c r="M336" s="847"/>
      <c r="N336" s="847"/>
      <c r="O336" s="48">
        <f>IF(t&lt;Tnet,'2021'!Resal+('2021'!Salim-'2021'!Resal)*(1-EXP(('2021'!Tnet-t)/('2021'!Tau_j))),Resal+(Salim-Resal)*(1-EXP((Tnet-t)/(Tau_j))))*Salcycl</f>
        <v>5.1508390628501884E-2</v>
      </c>
      <c r="P336" s="338">
        <f>(INDEX(Models!$BJ336:$BT336,,T336)*(1-R336)+INDEX(Models!$BJ336:$BT336,,T336+1)*R336-ERP_i)*Q336*Ramure*Pc/MaxiM</f>
        <v>7.338341379195286E-4</v>
      </c>
      <c r="Q336" s="304">
        <f t="shared" si="130"/>
        <v>0.5</v>
      </c>
      <c r="R336" s="176">
        <f t="shared" si="131"/>
        <v>3.4473309879870406E-2</v>
      </c>
      <c r="S336" s="814">
        <f t="shared" si="132"/>
        <v>1</v>
      </c>
      <c r="T336" s="175">
        <f t="shared" si="133"/>
        <v>7</v>
      </c>
      <c r="U336" s="250">
        <f t="shared" si="134"/>
        <v>1.0344733098798704</v>
      </c>
      <c r="V336" s="382">
        <f t="shared" si="135"/>
        <v>27.933100852925698</v>
      </c>
      <c r="W336" s="401">
        <f t="shared" si="136"/>
        <v>0</v>
      </c>
      <c r="X336" s="157">
        <f t="shared" si="137"/>
        <v>44883</v>
      </c>
      <c r="Y336" s="384">
        <f t="shared" si="138"/>
        <v>12.56577372547642</v>
      </c>
      <c r="Z336" s="384">
        <f t="shared" si="139"/>
        <v>13.007174694724965</v>
      </c>
      <c r="AA336" s="385">
        <f t="shared" si="140"/>
        <v>14.052099386908477</v>
      </c>
      <c r="AB336" s="196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7.4360753038582098E-2</v>
      </c>
      <c r="AD336" s="230">
        <f>(INDEX(Models!$BJ336:$BT336,,AH336)*(1-AF336)+INDEX(Models!$BJ336:$BT336,,AH336+1)*AF336-ERP_i)*AE336*Ramure*Pc/MaxiM</f>
        <v>7.338341379195286E-4</v>
      </c>
      <c r="AE336" s="304">
        <f t="shared" si="142"/>
        <v>0.5</v>
      </c>
      <c r="AF336" s="176">
        <f t="shared" si="143"/>
        <v>3.4473309879870406E-2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1.0344733098798704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410">
        <v>8.5630000000000006</v>
      </c>
      <c r="C337" s="843"/>
      <c r="D337" s="392">
        <f t="shared" si="127"/>
        <v>8.863988472558038</v>
      </c>
      <c r="E337" s="384">
        <f t="shared" si="125"/>
        <v>9.3457872671823612</v>
      </c>
      <c r="F337" s="384">
        <f t="shared" si="128"/>
        <v>9.3458798744435434</v>
      </c>
      <c r="G337" s="110">
        <f t="shared" si="126"/>
        <v>0.30914178846096452</v>
      </c>
      <c r="H337" s="413" t="b">
        <f>Wh_hp&gt;='2021'!Maxi_hp</f>
        <v>0</v>
      </c>
      <c r="I337" s="379">
        <f>IF(H337,Wh_hp,'2021'!Maxi_hp)</f>
        <v>29.760900399703338</v>
      </c>
      <c r="J337" s="85">
        <f>IF(H337,An,'2021'!An_max)</f>
        <v>2021</v>
      </c>
      <c r="K337" s="196">
        <f t="shared" si="129"/>
        <v>44884</v>
      </c>
      <c r="L337" s="147">
        <f>IF(t&lt;Tvie,1-EXP((T0-t)*PertePVj)+'2021'!Pspv,1-EXP((T0-t)*PertePVj)+Pspv)</f>
        <v>3.3956324908348524E-2</v>
      </c>
      <c r="M337" s="847"/>
      <c r="N337" s="847"/>
      <c r="O337" s="48">
        <f>IF(t&lt;Tnet,'2021'!Resal+('2021'!Salim-'2021'!Resal)*(1-EXP(('2021'!Tnet-t)/('2021'!Tau_j))),Resal+(Salim-Resal)*(1-EXP((Tnet-t)/(Tau_j))))*Salcycl</f>
        <v>5.155251032902864E-2</v>
      </c>
      <c r="P337" s="338">
        <f>(INDEX(Models!$BJ337:$BT337,,T337)*(1-R337)+INDEX(Models!$BJ337:$BT337,,T337+1)*R337-ERP_i)*Q337*Ramure*Pc/MaxiM</f>
        <v>7.4043285209620432E-4</v>
      </c>
      <c r="Q337" s="304">
        <f t="shared" si="130"/>
        <v>0.5</v>
      </c>
      <c r="R337" s="176">
        <f t="shared" si="131"/>
        <v>3.4489459168572711E-2</v>
      </c>
      <c r="S337" s="814">
        <f t="shared" si="132"/>
        <v>1</v>
      </c>
      <c r="T337" s="175">
        <f t="shared" si="133"/>
        <v>7</v>
      </c>
      <c r="U337" s="250">
        <f t="shared" si="134"/>
        <v>1.0344894591685727</v>
      </c>
      <c r="V337" s="382">
        <f t="shared" si="135"/>
        <v>27.679028784476518</v>
      </c>
      <c r="W337" s="401">
        <f t="shared" si="136"/>
        <v>0</v>
      </c>
      <c r="X337" s="157">
        <f t="shared" si="137"/>
        <v>44884</v>
      </c>
      <c r="Y337" s="384">
        <f t="shared" si="138"/>
        <v>8.357013924020718</v>
      </c>
      <c r="Z337" s="384">
        <f t="shared" si="139"/>
        <v>8.650762009520804</v>
      </c>
      <c r="AA337" s="385">
        <f t="shared" si="140"/>
        <v>9.3457872671823612</v>
      </c>
      <c r="AB337" s="196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7.4367759268620492E-2</v>
      </c>
      <c r="AD337" s="230">
        <f>(INDEX(Models!$BJ337:$BT337,,AH337)*(1-AF337)+INDEX(Models!$BJ337:$BT337,,AH337+1)*AF337-ERP_i)*AE337*Ramure*Pc/MaxiM</f>
        <v>7.4043285209620432E-4</v>
      </c>
      <c r="AE337" s="304">
        <f t="shared" si="142"/>
        <v>0.5</v>
      </c>
      <c r="AF337" s="176">
        <f t="shared" si="143"/>
        <v>3.4489459168572711E-2</v>
      </c>
      <c r="AG337" s="814">
        <f t="shared" si="149"/>
        <v>1</v>
      </c>
      <c r="AH337" s="175">
        <f t="shared" si="144"/>
        <v>7</v>
      </c>
      <c r="AI337" s="224">
        <f t="shared" si="145"/>
        <v>1.0344894591685727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410">
        <v>17.609000000000002</v>
      </c>
      <c r="C338" s="843"/>
      <c r="D338" s="392">
        <f t="shared" si="127"/>
        <v>18.228353091760081</v>
      </c>
      <c r="E338" s="384">
        <f t="shared" si="125"/>
        <v>19.220055705294268</v>
      </c>
      <c r="F338" s="384">
        <f t="shared" si="128"/>
        <v>19.227045068109739</v>
      </c>
      <c r="G338" s="110">
        <f t="shared" si="126"/>
        <v>0.64175138940352605</v>
      </c>
      <c r="H338" s="413" t="b">
        <f>Wh_hp&gt;='2021'!Maxi_hp</f>
        <v>0</v>
      </c>
      <c r="I338" s="379">
        <f>IF(H338,Wh_hp,'2021'!Maxi_hp)</f>
        <v>30.755738511673645</v>
      </c>
      <c r="J338" s="85">
        <f>IF(H338,An,'2021'!An_max)</f>
        <v>2019</v>
      </c>
      <c r="K338" s="196">
        <f t="shared" si="129"/>
        <v>44885</v>
      </c>
      <c r="L338" s="147">
        <f>IF(t&lt;Tvie,1-EXP((T0-t)*PertePVj)+'2021'!Pspv,1-EXP((T0-t)*PertePVj)+Pspv)</f>
        <v>3.3977457461039064E-2</v>
      </c>
      <c r="M338" s="847"/>
      <c r="N338" s="847"/>
      <c r="O338" s="48">
        <f>IF(t&lt;Tnet,'2021'!Resal+('2021'!Salim-'2021'!Resal)*(1-EXP(('2021'!Tnet-t)/('2021'!Tau_j))),Resal+(Salim-Resal)*(1-EXP((Tnet-t)/(Tau_j))))*Salcycl</f>
        <v>5.1597280920523805E-2</v>
      </c>
      <c r="P338" s="338">
        <f>(INDEX(Models!$BJ338:$BT338,,T338)*(1-R338)+INDEX(Models!$BJ338:$BT338,,T338+1)*R338-ERP_i)*Q338*Ramure*Pc/MaxiM</f>
        <v>7.4405036674945514E-4</v>
      </c>
      <c r="Q338" s="304">
        <f t="shared" si="130"/>
        <v>0.5</v>
      </c>
      <c r="R338" s="176">
        <f t="shared" si="131"/>
        <v>3.4504959874536167E-2</v>
      </c>
      <c r="S338" s="814">
        <f t="shared" si="132"/>
        <v>1</v>
      </c>
      <c r="T338" s="175">
        <f t="shared" si="133"/>
        <v>7</v>
      </c>
      <c r="U338" s="250">
        <f t="shared" si="134"/>
        <v>1.0345049598745362</v>
      </c>
      <c r="V338" s="382">
        <f t="shared" si="135"/>
        <v>27.428529250566697</v>
      </c>
      <c r="W338" s="401">
        <f t="shared" si="136"/>
        <v>0</v>
      </c>
      <c r="X338" s="157">
        <f t="shared" si="137"/>
        <v>44885</v>
      </c>
      <c r="Y338" s="384">
        <f t="shared" si="138"/>
        <v>17.186070557347715</v>
      </c>
      <c r="Z338" s="384">
        <f t="shared" si="139"/>
        <v>17.790548150334267</v>
      </c>
      <c r="AA338" s="385">
        <f t="shared" si="140"/>
        <v>19.220055705294268</v>
      </c>
      <c r="AB338" s="196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7.4375827878908646E-2</v>
      </c>
      <c r="AD338" s="230">
        <f>(INDEX(Models!$BJ338:$BT338,,AH338)*(1-AF338)+INDEX(Models!$BJ338:$BT338,,AH338+1)*AF338-ERP_i)*AE338*Ramure*Pc/MaxiM</f>
        <v>7.4405036674945514E-4</v>
      </c>
      <c r="AE338" s="304">
        <f t="shared" si="142"/>
        <v>0.5</v>
      </c>
      <c r="AF338" s="176">
        <f t="shared" si="143"/>
        <v>3.4504959874536167E-2</v>
      </c>
      <c r="AG338" s="814">
        <f t="shared" si="149"/>
        <v>1</v>
      </c>
      <c r="AH338" s="175">
        <f t="shared" si="144"/>
        <v>7</v>
      </c>
      <c r="AI338" s="224">
        <f t="shared" si="145"/>
        <v>1.0345049598745362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410">
        <v>3.0140000000000002</v>
      </c>
      <c r="C339" s="843"/>
      <c r="D339" s="392">
        <f t="shared" si="127"/>
        <v>3.1200782601328574</v>
      </c>
      <c r="E339" s="384">
        <f t="shared" si="125"/>
        <v>3.2899819154484451</v>
      </c>
      <c r="F339" s="384">
        <f t="shared" si="128"/>
        <v>3.2899819154484451</v>
      </c>
      <c r="G339" s="110">
        <f t="shared" si="126"/>
        <v>0.11079924243815424</v>
      </c>
      <c r="H339" s="413" t="b">
        <f>Wh_hp&gt;='2021'!Maxi_hp</f>
        <v>0</v>
      </c>
      <c r="I339" s="379">
        <f>IF(H339,Wh_hp,'2021'!Maxi_hp)</f>
        <v>29.244111126722764</v>
      </c>
      <c r="J339" s="85">
        <f>IF(H339,An,'2021'!An_max)</f>
        <v>2019</v>
      </c>
      <c r="K339" s="196">
        <f t="shared" si="129"/>
        <v>44886</v>
      </c>
      <c r="L339" s="147">
        <f>IF(t&lt;Tvie,1-EXP((T0-t)*PertePVj)+'2021'!Pspv,1-EXP((T0-t)*PertePVj)+Pspv)</f>
        <v>3.3998589550872406E-2</v>
      </c>
      <c r="M339" s="847"/>
      <c r="N339" s="847"/>
      <c r="O339" s="48">
        <f>IF(t&lt;Tnet,'2021'!Resal+('2021'!Salim-'2021'!Resal)*(1-EXP(('2021'!Tnet-t)/('2021'!Tau_j))),Resal+(Salim-Resal)*(1-EXP((Tnet-t)/(Tau_j))))*Salcycl</f>
        <v>5.1642732295210492E-2</v>
      </c>
      <c r="P339" s="338">
        <f>(INDEX(Models!$BJ339:$BT339,,T339)*(1-R339)+INDEX(Models!$BJ339:$BT339,,T339+1)*R339-ERP_i)*Q339*Ramure*Pc/MaxiM</f>
        <v>7.4545036451326304E-4</v>
      </c>
      <c r="Q339" s="304">
        <f t="shared" si="130"/>
        <v>0.5</v>
      </c>
      <c r="R339" s="176">
        <f t="shared" si="131"/>
        <v>3.4519837982847079E-2</v>
      </c>
      <c r="S339" s="814">
        <f t="shared" si="132"/>
        <v>1</v>
      </c>
      <c r="T339" s="175">
        <f t="shared" si="133"/>
        <v>7</v>
      </c>
      <c r="U339" s="250">
        <f t="shared" si="134"/>
        <v>1.0345198379828471</v>
      </c>
      <c r="V339" s="382">
        <f t="shared" si="135"/>
        <v>27.182074049670991</v>
      </c>
      <c r="W339" s="401">
        <f t="shared" si="136"/>
        <v>0</v>
      </c>
      <c r="X339" s="157">
        <f t="shared" si="137"/>
        <v>44886</v>
      </c>
      <c r="Y339" s="384">
        <f t="shared" si="138"/>
        <v>2.9417221839393637</v>
      </c>
      <c r="Z339" s="384">
        <f t="shared" si="139"/>
        <v>3.0452566136230121</v>
      </c>
      <c r="AA339" s="385">
        <f t="shared" si="140"/>
        <v>3.2899819154484451</v>
      </c>
      <c r="AB339" s="196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7.4384999101758137E-2</v>
      </c>
      <c r="AD339" s="230">
        <f>(INDEX(Models!$BJ339:$BT339,,AH339)*(1-AF339)+INDEX(Models!$BJ339:$BT339,,AH339+1)*AF339-ERP_i)*AE339*Ramure*Pc/MaxiM</f>
        <v>7.4545036451326304E-4</v>
      </c>
      <c r="AE339" s="304">
        <f t="shared" si="142"/>
        <v>0.5</v>
      </c>
      <c r="AF339" s="176">
        <f t="shared" si="143"/>
        <v>3.4519837982847079E-2</v>
      </c>
      <c r="AG339" s="814">
        <f t="shared" si="149"/>
        <v>1</v>
      </c>
      <c r="AH339" s="175">
        <f t="shared" si="144"/>
        <v>7</v>
      </c>
      <c r="AI339" s="224">
        <f t="shared" si="145"/>
        <v>1.0345198379828471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410">
        <v>9.4150000000000009</v>
      </c>
      <c r="C340" s="843"/>
      <c r="D340" s="392">
        <f t="shared" si="127"/>
        <v>9.7465757908433623</v>
      </c>
      <c r="E340" s="384">
        <f t="shared" si="125"/>
        <v>10.277825179541837</v>
      </c>
      <c r="F340" s="384">
        <f t="shared" si="128"/>
        <v>10.278366140590718</v>
      </c>
      <c r="G340" s="110">
        <f t="shared" si="126"/>
        <v>0.34923644624327754</v>
      </c>
      <c r="H340" s="413" t="b">
        <f>Wh_hp&gt;='2021'!Maxi_hp</f>
        <v>0</v>
      </c>
      <c r="I340" s="379">
        <f>IF(H340,Wh_hp,'2021'!Maxi_hp)</f>
        <v>30.738398160711071</v>
      </c>
      <c r="J340" s="85">
        <f>IF(H340,An,'2021'!An_max)</f>
        <v>2020</v>
      </c>
      <c r="K340" s="196">
        <f t="shared" si="129"/>
        <v>44887</v>
      </c>
      <c r="L340" s="147">
        <f>IF(t&lt;Tvie,1-EXP((T0-t)*PertePVj)+'2021'!Pspv,1-EXP((T0-t)*PertePVj)+Pspv)</f>
        <v>3.4019721177858876E-2</v>
      </c>
      <c r="M340" s="847"/>
      <c r="N340" s="847"/>
      <c r="O340" s="48">
        <f>IF(t&lt;Tnet,'2021'!Resal+('2021'!Salim-'2021'!Resal)*(1-EXP(('2021'!Tnet-t)/('2021'!Tau_j))),Resal+(Salim-Resal)*(1-EXP((Tnet-t)/(Tau_j))))*Salcycl</f>
        <v>5.168889131875247E-2</v>
      </c>
      <c r="P340" s="338">
        <f>(INDEX(Models!$BJ340:$BT340,,T340)*(1-R340)+INDEX(Models!$BJ340:$BT340,,T340+1)*R340-ERP_i)*Q340*Ramure*Pc/MaxiM</f>
        <v>7.4460385975436171E-4</v>
      </c>
      <c r="Q340" s="304">
        <f t="shared" si="130"/>
        <v>0.5</v>
      </c>
      <c r="R340" s="176">
        <f t="shared" si="131"/>
        <v>3.4534118442488326E-2</v>
      </c>
      <c r="S340" s="814">
        <f t="shared" si="132"/>
        <v>1</v>
      </c>
      <c r="T340" s="175">
        <f t="shared" si="133"/>
        <v>7</v>
      </c>
      <c r="U340" s="250">
        <f t="shared" si="134"/>
        <v>1.0345341184424883</v>
      </c>
      <c r="V340" s="382">
        <f t="shared" si="135"/>
        <v>26.940157117497645</v>
      </c>
      <c r="W340" s="401">
        <f t="shared" si="136"/>
        <v>0</v>
      </c>
      <c r="X340" s="157">
        <f t="shared" si="137"/>
        <v>44887</v>
      </c>
      <c r="Y340" s="384">
        <f t="shared" si="138"/>
        <v>9.1895666820343447</v>
      </c>
      <c r="Z340" s="384">
        <f t="shared" si="139"/>
        <v>9.5132032024914164</v>
      </c>
      <c r="AA340" s="385">
        <f t="shared" si="140"/>
        <v>10.277825179541837</v>
      </c>
      <c r="AB340" s="196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7.4395308705231894E-2</v>
      </c>
      <c r="AD340" s="230">
        <f>(INDEX(Models!$BJ340:$BT340,,AH340)*(1-AF340)+INDEX(Models!$BJ340:$BT340,,AH340+1)*AF340-ERP_i)*AE340*Ramure*Pc/MaxiM</f>
        <v>7.4460385975436171E-4</v>
      </c>
      <c r="AE340" s="304">
        <f t="shared" si="142"/>
        <v>0.5</v>
      </c>
      <c r="AF340" s="176">
        <f t="shared" si="143"/>
        <v>3.4534118442488326E-2</v>
      </c>
      <c r="AG340" s="814">
        <f t="shared" si="149"/>
        <v>1</v>
      </c>
      <c r="AH340" s="175">
        <f t="shared" si="144"/>
        <v>7</v>
      </c>
      <c r="AI340" s="224">
        <f t="shared" si="145"/>
        <v>1.0345341184424883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410">
        <v>15.413</v>
      </c>
      <c r="C341" s="843"/>
      <c r="D341" s="392">
        <f t="shared" si="127"/>
        <v>15.956161331842514</v>
      </c>
      <c r="E341" s="384">
        <f t="shared" si="125"/>
        <v>16.826704018323092</v>
      </c>
      <c r="F341" s="384">
        <f t="shared" si="128"/>
        <v>16.831646111782767</v>
      </c>
      <c r="G341" s="110">
        <f t="shared" si="126"/>
        <v>0.57693659589440349</v>
      </c>
      <c r="H341" s="413" t="b">
        <f>Wh_hp&gt;='2021'!Maxi_hp</f>
        <v>0</v>
      </c>
      <c r="I341" s="379">
        <f>IF(H341,Wh_hp,'2021'!Maxi_hp)</f>
        <v>30.216505837462773</v>
      </c>
      <c r="J341" s="85">
        <f>IF(H341,An,'2021'!An_max)</f>
        <v>2020</v>
      </c>
      <c r="K341" s="196">
        <f t="shared" si="129"/>
        <v>44888</v>
      </c>
      <c r="L341" s="147">
        <f>IF(t&lt;Tvie,1-EXP((T0-t)*PertePVj)+'2021'!Pspv,1-EXP((T0-t)*PertePVj)+Pspv)</f>
        <v>3.4040852342008356E-2</v>
      </c>
      <c r="M341" s="847"/>
      <c r="N341" s="847"/>
      <c r="O341" s="48">
        <f>IF(t&lt;Tnet,'2021'!Resal+('2021'!Salim-'2021'!Resal)*(1-EXP(('2021'!Tnet-t)/('2021'!Tau_j))),Resal+(Salim-Resal)*(1-EXP((Tnet-t)/(Tau_j))))*Salcycl</f>
        <v>5.1735781739110566E-2</v>
      </c>
      <c r="P341" s="338">
        <f>(INDEX(Models!$BJ341:$BT341,,T341)*(1-R341)+INDEX(Models!$BJ341:$BT341,,T341+1)*R341-ERP_i)*Q341*Ramure*Pc/MaxiM</f>
        <v>7.4147538882292862E-4</v>
      </c>
      <c r="Q341" s="304">
        <f t="shared" si="130"/>
        <v>0.5</v>
      </c>
      <c r="R341" s="176">
        <f t="shared" si="131"/>
        <v>3.4547825207258187E-2</v>
      </c>
      <c r="S341" s="814">
        <f t="shared" si="132"/>
        <v>1</v>
      </c>
      <c r="T341" s="175">
        <f t="shared" si="133"/>
        <v>7</v>
      </c>
      <c r="U341" s="250">
        <f t="shared" si="134"/>
        <v>1.0345478252072582</v>
      </c>
      <c r="V341" s="382">
        <f t="shared" si="135"/>
        <v>26.70327255001861</v>
      </c>
      <c r="W341" s="401">
        <f t="shared" si="136"/>
        <v>0</v>
      </c>
      <c r="X341" s="157">
        <f t="shared" si="137"/>
        <v>44888</v>
      </c>
      <c r="Y341" s="384">
        <f t="shared" si="138"/>
        <v>15.044507536704662</v>
      </c>
      <c r="Z341" s="384">
        <f t="shared" si="139"/>
        <v>15.57468302172064</v>
      </c>
      <c r="AA341" s="385">
        <f t="shared" si="140"/>
        <v>16.826704018323092</v>
      </c>
      <c r="AB341" s="196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7.4406787879497352E-2</v>
      </c>
      <c r="AD341" s="230">
        <f>(INDEX(Models!$BJ341:$BT341,,AH341)*(1-AF341)+INDEX(Models!$BJ341:$BT341,,AH341+1)*AF341-ERP_i)*AE341*Ramure*Pc/MaxiM</f>
        <v>7.4147538882292862E-4</v>
      </c>
      <c r="AE341" s="304">
        <f t="shared" si="142"/>
        <v>0.5</v>
      </c>
      <c r="AF341" s="176">
        <f t="shared" si="143"/>
        <v>3.4547825207258187E-2</v>
      </c>
      <c r="AG341" s="814">
        <f t="shared" si="149"/>
        <v>1</v>
      </c>
      <c r="AH341" s="175">
        <f t="shared" si="144"/>
        <v>7</v>
      </c>
      <c r="AI341" s="224">
        <f t="shared" si="145"/>
        <v>1.0345478252072582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410">
        <v>13.790000000000001</v>
      </c>
      <c r="C342" s="843"/>
      <c r="D342" s="392">
        <f t="shared" si="127"/>
        <v>14.276278351117647</v>
      </c>
      <c r="E342" s="384">
        <f t="shared" si="125"/>
        <v>15.055925739109631</v>
      </c>
      <c r="F342" s="384">
        <f t="shared" si="128"/>
        <v>15.059424063829844</v>
      </c>
      <c r="G342" s="110">
        <f t="shared" si="126"/>
        <v>0.52066698880162909</v>
      </c>
      <c r="H342" s="413" t="b">
        <f>Wh_hp&gt;='2021'!Maxi_hp</f>
        <v>0</v>
      </c>
      <c r="I342" s="379">
        <f>IF(H342,Wh_hp,'2021'!Maxi_hp)</f>
        <v>28.331820487180057</v>
      </c>
      <c r="J342" s="85">
        <f>IF(H342,An,'2021'!An_max)</f>
        <v>2020</v>
      </c>
      <c r="K342" s="196">
        <f t="shared" si="129"/>
        <v>44889</v>
      </c>
      <c r="L342" s="147">
        <f>IF(t&lt;Tvie,1-EXP((T0-t)*PertePVj)+'2021'!Pspv,1-EXP((T0-t)*PertePVj)+Pspv)</f>
        <v>3.4061983043331169E-2</v>
      </c>
      <c r="M342" s="847"/>
      <c r="N342" s="847"/>
      <c r="O342" s="48">
        <f>IF(t&lt;Tnet,'2021'!Resal+('2021'!Salim-'2021'!Resal)*(1-EXP(('2021'!Tnet-t)/('2021'!Tau_j))),Resal+(Salim-Resal)*(1-EXP((Tnet-t)/(Tau_j))))*Salcycl</f>
        <v>5.1783424114981734E-2</v>
      </c>
      <c r="P342" s="338">
        <f>(INDEX(Models!$BJ342:$BT342,,T342)*(1-R342)+INDEX(Models!$BJ342:$BT342,,T342+1)*R342-ERP_i)*Q342*Ramure*Pc/MaxiM</f>
        <v>7.3603110808209953E-4</v>
      </c>
      <c r="Q342" s="304">
        <f t="shared" si="130"/>
        <v>0.5</v>
      </c>
      <c r="R342" s="176">
        <f t="shared" si="131"/>
        <v>3.4560981275106872E-2</v>
      </c>
      <c r="S342" s="814">
        <f t="shared" si="132"/>
        <v>1</v>
      </c>
      <c r="T342" s="175">
        <f t="shared" si="133"/>
        <v>7</v>
      </c>
      <c r="U342" s="250">
        <f t="shared" si="134"/>
        <v>1.0345609812751069</v>
      </c>
      <c r="V342" s="382">
        <f t="shared" si="135"/>
        <v>26.471914389047747</v>
      </c>
      <c r="W342" s="401">
        <f t="shared" si="136"/>
        <v>0</v>
      </c>
      <c r="X342" s="157">
        <f t="shared" si="137"/>
        <v>44889</v>
      </c>
      <c r="Y342" s="384">
        <f t="shared" si="138"/>
        <v>13.460802023234899</v>
      </c>
      <c r="Z342" s="384">
        <f t="shared" si="139"/>
        <v>13.935471828353082</v>
      </c>
      <c r="AA342" s="385">
        <f t="shared" si="140"/>
        <v>15.055925739109631</v>
      </c>
      <c r="AB342" s="196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7.4419463151709747E-2</v>
      </c>
      <c r="AD342" s="230">
        <f>(INDEX(Models!$BJ342:$BT342,,AH342)*(1-AF342)+INDEX(Models!$BJ342:$BT342,,AH342+1)*AF342-ERP_i)*AE342*Ramure*Pc/MaxiM</f>
        <v>7.3603110808209953E-4</v>
      </c>
      <c r="AE342" s="304">
        <f t="shared" si="142"/>
        <v>0.5</v>
      </c>
      <c r="AF342" s="176">
        <f t="shared" si="143"/>
        <v>3.4560981275106872E-2</v>
      </c>
      <c r="AG342" s="814">
        <f t="shared" si="149"/>
        <v>1</v>
      </c>
      <c r="AH342" s="175">
        <f t="shared" si="144"/>
        <v>7</v>
      </c>
      <c r="AI342" s="224">
        <f t="shared" si="145"/>
        <v>1.0345609812751069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410">
        <v>4.532</v>
      </c>
      <c r="C343" s="843"/>
      <c r="D343" s="392">
        <f t="shared" si="127"/>
        <v>4.6919150729397661</v>
      </c>
      <c r="E343" s="384">
        <f t="shared" si="125"/>
        <v>4.9483997142232434</v>
      </c>
      <c r="F343" s="384">
        <f t="shared" si="128"/>
        <v>4.9483997142232434</v>
      </c>
      <c r="G343" s="110">
        <f t="shared" si="126"/>
        <v>0.17254439259970791</v>
      </c>
      <c r="H343" s="413" t="b">
        <f>Wh_hp&gt;='2021'!Maxi_hp</f>
        <v>0</v>
      </c>
      <c r="I343" s="379">
        <f>IF(H343,Wh_hp,'2021'!Maxi_hp)</f>
        <v>25.716385889252038</v>
      </c>
      <c r="J343" s="85">
        <f>IF(H343,An,'2021'!An_max)</f>
        <v>2020</v>
      </c>
      <c r="K343" s="196">
        <f t="shared" si="129"/>
        <v>44890</v>
      </c>
      <c r="L343" s="147">
        <f>IF(t&lt;Tvie,1-EXP((T0-t)*PertePVj)+'2021'!Pspv,1-EXP((T0-t)*PertePVj)+Pspv)</f>
        <v>3.4083113281837309E-2</v>
      </c>
      <c r="M343" s="847"/>
      <c r="N343" s="847"/>
      <c r="O343" s="48">
        <f>IF(t&lt;Tnet,'2021'!Resal+('2021'!Salim-'2021'!Resal)*(1-EXP(('2021'!Tnet-t)/('2021'!Tau_j))),Resal+(Salim-Resal)*(1-EXP((Tnet-t)/(Tau_j))))*Salcycl</f>
        <v>5.1831835764249379E-2</v>
      </c>
      <c r="P343" s="338">
        <f>(INDEX(Models!$BJ343:$BT343,,T343)*(1-R343)+INDEX(Models!$BJ343:$BT343,,T343+1)*R343-ERP_i)*Q343*Ramure*Pc/MaxiM</f>
        <v>7.282398515496176E-4</v>
      </c>
      <c r="Q343" s="304">
        <f t="shared" si="130"/>
        <v>0.5</v>
      </c>
      <c r="R343" s="176">
        <f t="shared" si="131"/>
        <v>3.4573608725945393E-2</v>
      </c>
      <c r="S343" s="814">
        <f t="shared" si="132"/>
        <v>1</v>
      </c>
      <c r="T343" s="175">
        <f t="shared" si="133"/>
        <v>7</v>
      </c>
      <c r="U343" s="250">
        <f t="shared" si="134"/>
        <v>1.0345736087259454</v>
      </c>
      <c r="V343" s="382">
        <f t="shared" si="135"/>
        <v>26.246576598400818</v>
      </c>
      <c r="W343" s="401">
        <f t="shared" si="136"/>
        <v>0</v>
      </c>
      <c r="X343" s="157">
        <f t="shared" si="137"/>
        <v>44890</v>
      </c>
      <c r="Y343" s="384">
        <f t="shared" si="138"/>
        <v>4.4239705437631516</v>
      </c>
      <c r="Z343" s="384">
        <f t="shared" si="139"/>
        <v>4.5800737150317437</v>
      </c>
      <c r="AA343" s="385">
        <f t="shared" si="140"/>
        <v>4.9483997142232434</v>
      </c>
      <c r="AB343" s="196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7.443335632988908E-2</v>
      </c>
      <c r="AD343" s="230">
        <f>(INDEX(Models!$BJ343:$BT343,,AH343)*(1-AF343)+INDEX(Models!$BJ343:$BT343,,AH343+1)*AF343-ERP_i)*AE343*Ramure*Pc/MaxiM</f>
        <v>7.282398515496176E-4</v>
      </c>
      <c r="AE343" s="304">
        <f t="shared" si="142"/>
        <v>0.5</v>
      </c>
      <c r="AF343" s="176">
        <f t="shared" si="143"/>
        <v>3.4573608725945393E-2</v>
      </c>
      <c r="AG343" s="814">
        <f t="shared" si="149"/>
        <v>1</v>
      </c>
      <c r="AH343" s="175">
        <f t="shared" si="144"/>
        <v>7</v>
      </c>
      <c r="AI343" s="224">
        <f t="shared" si="145"/>
        <v>1.0345736087259454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410">
        <v>10.579000000000001</v>
      </c>
      <c r="C344" s="843"/>
      <c r="D344" s="392">
        <f t="shared" si="127"/>
        <v>10.952527665602094</v>
      </c>
      <c r="E344" s="384">
        <f t="shared" si="125"/>
        <v>11.55184952587364</v>
      </c>
      <c r="F344" s="384">
        <f t="shared" si="128"/>
        <v>11.553111110093653</v>
      </c>
      <c r="G344" s="110">
        <f t="shared" si="126"/>
        <v>0.40620325472687396</v>
      </c>
      <c r="H344" s="413" t="b">
        <f>Wh_hp&gt;='2021'!Maxi_hp</f>
        <v>0</v>
      </c>
      <c r="I344" s="379">
        <f>IF(H344,Wh_hp,'2021'!Maxi_hp)</f>
        <v>27.213789763808492</v>
      </c>
      <c r="J344" s="85">
        <f>IF(H344,An,'2021'!An_max)</f>
        <v>2020</v>
      </c>
      <c r="K344" s="196">
        <f t="shared" si="129"/>
        <v>44891</v>
      </c>
      <c r="L344" s="147">
        <f>IF(t&lt;Tvie,1-EXP((T0-t)*PertePVj)+'2021'!Pspv,1-EXP((T0-t)*PertePVj)+Pspv)</f>
        <v>3.4104243057537099E-2</v>
      </c>
      <c r="M344" s="847"/>
      <c r="N344" s="847"/>
      <c r="O344" s="48">
        <f>IF(t&lt;Tnet,'2021'!Resal+('2021'!Salim-'2021'!Resal)*(1-EXP(('2021'!Tnet-t)/('2021'!Tau_j))),Resal+(Salim-Resal)*(1-EXP((Tnet-t)/(Tau_j))))*Salcycl</f>
        <v>5.1881030732714696E-2</v>
      </c>
      <c r="P344" s="338">
        <f>(INDEX(Models!$BJ344:$BT344,,T344)*(1-R344)+INDEX(Models!$BJ344:$BT344,,T344+1)*R344-ERP_i)*Q344*Ramure*Pc/MaxiM</f>
        <v>7.1806966537589446E-4</v>
      </c>
      <c r="Q344" s="304">
        <f t="shared" si="130"/>
        <v>0.5</v>
      </c>
      <c r="R344" s="176">
        <f t="shared" si="131"/>
        <v>3.4585728757984491E-2</v>
      </c>
      <c r="S344" s="814">
        <f t="shared" si="132"/>
        <v>1</v>
      </c>
      <c r="T344" s="175">
        <f t="shared" si="133"/>
        <v>7</v>
      </c>
      <c r="U344" s="250">
        <f t="shared" si="134"/>
        <v>1.0345857287579845</v>
      </c>
      <c r="V344" s="382">
        <f t="shared" si="135"/>
        <v>26.027753168204853</v>
      </c>
      <c r="W344" s="401">
        <f t="shared" si="136"/>
        <v>0</v>
      </c>
      <c r="X344" s="157">
        <f t="shared" si="137"/>
        <v>44891</v>
      </c>
      <c r="Y344" s="384">
        <f t="shared" si="138"/>
        <v>10.327195004119613</v>
      </c>
      <c r="Z344" s="384">
        <f t="shared" si="139"/>
        <v>10.691831835777274</v>
      </c>
      <c r="AA344" s="385">
        <f t="shared" si="140"/>
        <v>11.55184952587364</v>
      </c>
      <c r="AB344" s="196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7.4448484476023757E-2</v>
      </c>
      <c r="AD344" s="230">
        <f>(INDEX(Models!$BJ344:$BT344,,AH344)*(1-AF344)+INDEX(Models!$BJ344:$BT344,,AH344+1)*AF344-ERP_i)*AE344*Ramure*Pc/MaxiM</f>
        <v>7.1806966537589446E-4</v>
      </c>
      <c r="AE344" s="304">
        <f t="shared" si="142"/>
        <v>0.5</v>
      </c>
      <c r="AF344" s="176">
        <f t="shared" si="143"/>
        <v>3.4585728757984491E-2</v>
      </c>
      <c r="AG344" s="814">
        <f t="shared" si="149"/>
        <v>1</v>
      </c>
      <c r="AH344" s="175">
        <f t="shared" si="144"/>
        <v>7</v>
      </c>
      <c r="AI344" s="224">
        <f t="shared" si="145"/>
        <v>1.0345857287579845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410">
        <v>14.553000000000001</v>
      </c>
      <c r="C345" s="843"/>
      <c r="D345" s="392">
        <f t="shared" si="127"/>
        <v>15.067172885279986</v>
      </c>
      <c r="E345" s="384">
        <f t="shared" si="125"/>
        <v>15.892485884133414</v>
      </c>
      <c r="F345" s="384">
        <f t="shared" si="128"/>
        <v>15.896713130581345</v>
      </c>
      <c r="G345" s="110">
        <f t="shared" si="126"/>
        <v>0.56356167998249507</v>
      </c>
      <c r="H345" s="413" t="b">
        <f>Wh_hp&gt;='2021'!Maxi_hp</f>
        <v>0</v>
      </c>
      <c r="I345" s="379">
        <f>IF(H345,Wh_hp,'2021'!Maxi_hp)</f>
        <v>25.74929122512259</v>
      </c>
      <c r="J345" s="85">
        <f>IF(H345,An,'2021'!An_max)</f>
        <v>2018</v>
      </c>
      <c r="K345" s="196">
        <f t="shared" si="129"/>
        <v>44892</v>
      </c>
      <c r="L345" s="147">
        <f>IF(t&lt;Tvie,1-EXP((T0-t)*PertePVj)+'2021'!Pspv,1-EXP((T0-t)*PertePVj)+Pspv)</f>
        <v>3.4125372370440533E-2</v>
      </c>
      <c r="M345" s="847"/>
      <c r="N345" s="847"/>
      <c r="O345" s="48">
        <f>IF(t&lt;Tnet,'2021'!Resal+('2021'!Salim-'2021'!Resal)*(1-EXP(('2021'!Tnet-t)/('2021'!Tau_j))),Resal+(Salim-Resal)*(1-EXP((Tnet-t)/(Tau_j))))*Salcycl</f>
        <v>5.1931019783217021E-2</v>
      </c>
      <c r="P345" s="338">
        <f>(INDEX(Models!$BJ345:$BT345,,T345)*(1-R345)+INDEX(Models!$BJ345:$BT345,,T345+1)*R345-ERP_i)*Q345*Ramure*Pc/MaxiM</f>
        <v>7.0559843304858472E-4</v>
      </c>
      <c r="Q345" s="304">
        <f t="shared" si="130"/>
        <v>0.5</v>
      </c>
      <c r="R345" s="176">
        <f t="shared" si="131"/>
        <v>3.4597361722660702E-2</v>
      </c>
      <c r="S345" s="814">
        <f t="shared" si="132"/>
        <v>1</v>
      </c>
      <c r="T345" s="175">
        <f t="shared" si="133"/>
        <v>7</v>
      </c>
      <c r="U345" s="250">
        <f t="shared" si="134"/>
        <v>1.0345973617226607</v>
      </c>
      <c r="V345" s="382">
        <f t="shared" si="135"/>
        <v>25.811903412887713</v>
      </c>
      <c r="W345" s="401">
        <f t="shared" si="136"/>
        <v>0</v>
      </c>
      <c r="X345" s="157">
        <f t="shared" si="137"/>
        <v>44892</v>
      </c>
      <c r="Y345" s="384">
        <f t="shared" si="138"/>
        <v>14.207102199117568</v>
      </c>
      <c r="Z345" s="384">
        <f t="shared" si="139"/>
        <v>14.709054149175143</v>
      </c>
      <c r="AA345" s="385">
        <f t="shared" si="140"/>
        <v>15.892485884133414</v>
      </c>
      <c r="AB345" s="196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7.446485990840325E-2</v>
      </c>
      <c r="AD345" s="230">
        <f>(INDEX(Models!$BJ345:$BT345,,AH345)*(1-AF345)+INDEX(Models!$BJ345:$BT345,,AH345+1)*AF345-ERP_i)*AE345*Ramure*Pc/MaxiM</f>
        <v>7.0559843304858472E-4</v>
      </c>
      <c r="AE345" s="304">
        <f t="shared" si="142"/>
        <v>0.5</v>
      </c>
      <c r="AF345" s="176">
        <f t="shared" si="143"/>
        <v>3.4597361722660702E-2</v>
      </c>
      <c r="AG345" s="814">
        <f t="shared" si="149"/>
        <v>1</v>
      </c>
      <c r="AH345" s="175">
        <f t="shared" si="144"/>
        <v>7</v>
      </c>
      <c r="AI345" s="224">
        <f t="shared" si="145"/>
        <v>1.0345973617226607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410">
        <v>10.282999999999999</v>
      </c>
      <c r="C346" s="843"/>
      <c r="D346" s="392">
        <f t="shared" si="127"/>
        <v>10.64654216503302</v>
      </c>
      <c r="E346" s="384">
        <f t="shared" si="125"/>
        <v>11.230314230133391</v>
      </c>
      <c r="F346" s="384">
        <f t="shared" si="128"/>
        <v>11.231443237143051</v>
      </c>
      <c r="G346" s="110">
        <f t="shared" si="126"/>
        <v>0.40150499614532414</v>
      </c>
      <c r="H346" s="413" t="b">
        <f>Wh_hp&gt;='2021'!Maxi_hp</f>
        <v>0</v>
      </c>
      <c r="I346" s="379">
        <f>IF(H346,Wh_hp,'2021'!Maxi_hp)</f>
        <v>19.489438693359329</v>
      </c>
      <c r="J346" s="85">
        <f>IF(H346,An,'2021'!An_max)</f>
        <v>2018</v>
      </c>
      <c r="K346" s="196">
        <f t="shared" si="129"/>
        <v>44893</v>
      </c>
      <c r="L346" s="147">
        <f>IF(t&lt;Tvie,1-EXP((T0-t)*PertePVj)+'2021'!Pspv,1-EXP((T0-t)*PertePVj)+Pspv)</f>
        <v>3.4146501220557825E-2</v>
      </c>
      <c r="M346" s="847"/>
      <c r="N346" s="847"/>
      <c r="O346" s="48">
        <f>IF(t&lt;Tnet,'2021'!Resal+('2021'!Salim-'2021'!Resal)*(1-EXP(('2021'!Tnet-t)/('2021'!Tau_j))),Resal+(Salim-Resal)*(1-EXP((Tnet-t)/(Tau_j))))*Salcycl</f>
        <v>5.1981810405089333E-2</v>
      </c>
      <c r="P346" s="338">
        <f>(INDEX(Models!$BJ346:$BT346,,T346)*(1-R346)+INDEX(Models!$BJ346:$BT346,,T346+1)*R346-ERP_i)*Q346*Ramure*Pc/MaxiM</f>
        <v>6.9160286300016572E-4</v>
      </c>
      <c r="Q346" s="304">
        <f t="shared" si="130"/>
        <v>0.5</v>
      </c>
      <c r="R346" s="176">
        <f t="shared" si="131"/>
        <v>3.4608527158201507E-2</v>
      </c>
      <c r="S346" s="814">
        <f t="shared" si="132"/>
        <v>1</v>
      </c>
      <c r="T346" s="175">
        <f t="shared" si="133"/>
        <v>7</v>
      </c>
      <c r="U346" s="250">
        <f t="shared" si="134"/>
        <v>1.0346085271582015</v>
      </c>
      <c r="V346" s="382">
        <f t="shared" si="135"/>
        <v>25.595998562884162</v>
      </c>
      <c r="W346" s="401">
        <f t="shared" si="136"/>
        <v>0</v>
      </c>
      <c r="X346" s="157">
        <f t="shared" si="137"/>
        <v>44893</v>
      </c>
      <c r="Y346" s="384">
        <f t="shared" si="138"/>
        <v>10.038938764456868</v>
      </c>
      <c r="Z346" s="384">
        <f t="shared" si="139"/>
        <v>10.393852460174514</v>
      </c>
      <c r="AA346" s="385">
        <f t="shared" si="140"/>
        <v>11.230314230133391</v>
      </c>
      <c r="AB346" s="196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7.4482490232950657E-2</v>
      </c>
      <c r="AD346" s="230">
        <f>(INDEX(Models!$BJ346:$BT346,,AH346)*(1-AF346)+INDEX(Models!$BJ346:$BT346,,AH346+1)*AF346-ERP_i)*AE346*Ramure*Pc/MaxiM</f>
        <v>6.9160286300016572E-4</v>
      </c>
      <c r="AE346" s="304">
        <f t="shared" si="142"/>
        <v>0.5</v>
      </c>
      <c r="AF346" s="176">
        <f t="shared" si="143"/>
        <v>3.4608527158201507E-2</v>
      </c>
      <c r="AG346" s="814">
        <f t="shared" si="149"/>
        <v>1</v>
      </c>
      <c r="AH346" s="175">
        <f t="shared" si="144"/>
        <v>7</v>
      </c>
      <c r="AI346" s="224">
        <f t="shared" si="145"/>
        <v>1.0346085271582015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410">
        <v>12.548999999999999</v>
      </c>
      <c r="C347" s="843"/>
      <c r="D347" s="392">
        <f t="shared" si="127"/>
        <v>12.992937889320748</v>
      </c>
      <c r="E347" s="384">
        <f t="shared" si="125"/>
        <v>13.706113678606119</v>
      </c>
      <c r="F347" s="384">
        <f t="shared" si="128"/>
        <v>13.708695759180129</v>
      </c>
      <c r="G347" s="110">
        <f t="shared" si="126"/>
        <v>0.49417740981243341</v>
      </c>
      <c r="H347" s="413" t="b">
        <f>Wh_hp&gt;='2021'!Maxi_hp</f>
        <v>0</v>
      </c>
      <c r="I347" s="379">
        <f>IF(H347,Wh_hp,'2021'!Maxi_hp)</f>
        <v>27.334557288633277</v>
      </c>
      <c r="J347" s="85">
        <f>IF(H347,An,'2021'!An_max)</f>
        <v>2018</v>
      </c>
      <c r="K347" s="196">
        <f t="shared" si="129"/>
        <v>44894</v>
      </c>
      <c r="L347" s="147">
        <f>IF(t&lt;Tvie,1-EXP((T0-t)*PertePVj)+'2021'!Pspv,1-EXP((T0-t)*PertePVj)+Pspv)</f>
        <v>3.4167629607898965E-2</v>
      </c>
      <c r="M347" s="847"/>
      <c r="N347" s="847"/>
      <c r="O347" s="48">
        <f>IF(t&lt;Tnet,'2021'!Resal+('2021'!Salim-'2021'!Resal)*(1-EXP(('2021'!Tnet-t)/('2021'!Tau_j))),Resal+(Salim-Resal)*(1-EXP((Tnet-t)/(Tau_j))))*Salcycl</f>
        <v>5.20334068437334E-2</v>
      </c>
      <c r="P347" s="338">
        <f>(INDEX(Models!$BJ347:$BT347,,T347)*(1-R347)+INDEX(Models!$BJ347:$BT347,,T347+1)*R347-ERP_i)*Q347*Ramure*Pc/MaxiM</f>
        <v>6.7815909601239379E-4</v>
      </c>
      <c r="Q347" s="304">
        <f t="shared" si="130"/>
        <v>0.5</v>
      </c>
      <c r="R347" s="176">
        <f t="shared" si="131"/>
        <v>3.4619243821879087E-2</v>
      </c>
      <c r="S347" s="814">
        <f t="shared" si="132"/>
        <v>1</v>
      </c>
      <c r="T347" s="175">
        <f t="shared" si="133"/>
        <v>7</v>
      </c>
      <c r="U347" s="250">
        <f t="shared" si="134"/>
        <v>1.0346192438218791</v>
      </c>
      <c r="V347" s="382">
        <f t="shared" si="135"/>
        <v>25.381274057344992</v>
      </c>
      <c r="W347" s="401">
        <f t="shared" si="136"/>
        <v>0</v>
      </c>
      <c r="X347" s="157">
        <f t="shared" si="137"/>
        <v>44894</v>
      </c>
      <c r="Y347" s="384">
        <f t="shared" si="138"/>
        <v>12.251573300436979</v>
      </c>
      <c r="Z347" s="384">
        <f t="shared" si="139"/>
        <v>12.684989317000404</v>
      </c>
      <c r="AA347" s="385">
        <f t="shared" si="140"/>
        <v>13.706113678606119</v>
      </c>
      <c r="AB347" s="196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7.4501378403098228E-2</v>
      </c>
      <c r="AD347" s="230">
        <f>(INDEX(Models!$BJ347:$BT347,,AH347)*(1-AF347)+INDEX(Models!$BJ347:$BT347,,AH347+1)*AF347-ERP_i)*AE347*Ramure*Pc/MaxiM</f>
        <v>6.7815909601239379E-4</v>
      </c>
      <c r="AE347" s="304">
        <f t="shared" si="142"/>
        <v>0.5</v>
      </c>
      <c r="AF347" s="176">
        <f t="shared" si="143"/>
        <v>3.4619243821879087E-2</v>
      </c>
      <c r="AG347" s="814">
        <f t="shared" si="149"/>
        <v>1</v>
      </c>
      <c r="AH347" s="175">
        <f t="shared" si="144"/>
        <v>7</v>
      </c>
      <c r="AI347" s="224">
        <f t="shared" si="145"/>
        <v>1.0346192438218791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410">
        <v>3.9130000000000003</v>
      </c>
      <c r="C348" s="843"/>
      <c r="D348" s="392">
        <f t="shared" si="127"/>
        <v>4.0515163087176118</v>
      </c>
      <c r="E348" s="384">
        <f t="shared" si="125"/>
        <v>4.2741382628299682</v>
      </c>
      <c r="F348" s="384">
        <f t="shared" si="128"/>
        <v>4.2741382628299682</v>
      </c>
      <c r="G348" s="110">
        <f t="shared" si="126"/>
        <v>0.15536548261034056</v>
      </c>
      <c r="H348" s="413" t="b">
        <f>Wh_hp&gt;='2021'!Maxi_hp</f>
        <v>0</v>
      </c>
      <c r="I348" s="379">
        <f>IF(H348,Wh_hp,'2021'!Maxi_hp)</f>
        <v>26.225428056883853</v>
      </c>
      <c r="J348" s="85">
        <f>IF(H348,An,'2021'!An_max)</f>
        <v>2020</v>
      </c>
      <c r="K348" s="196">
        <f t="shared" si="129"/>
        <v>44895</v>
      </c>
      <c r="L348" s="147">
        <f>IF(t&lt;Tvie,1-EXP((T0-t)*PertePVj)+'2021'!Pspv,1-EXP((T0-t)*PertePVj)+Pspv)</f>
        <v>3.418875753247428E-2</v>
      </c>
      <c r="M348" s="847"/>
      <c r="N348" s="847"/>
      <c r="O348" s="48">
        <f>IF(t&lt;Tnet,'2021'!Resal+('2021'!Salim-'2021'!Resal)*(1-EXP(('2021'!Tnet-t)/('2021'!Tau_j))),Resal+(Salim-Resal)*(1-EXP((Tnet-t)/(Tau_j))))*Salcycl</f>
        <v>5.2085810149940036E-2</v>
      </c>
      <c r="P348" s="338">
        <f>(INDEX(Models!$BJ348:$BT348,,T348)*(1-R348)+INDEX(Models!$BJ348:$BT348,,T348+1)*R348-ERP_i)*Q348*Ramure*Pc/MaxiM</f>
        <v>6.6523278043113137E-4</v>
      </c>
      <c r="Q348" s="304">
        <f t="shared" si="130"/>
        <v>0.5</v>
      </c>
      <c r="R348" s="176">
        <f t="shared" si="131"/>
        <v>3.4629529721004637E-2</v>
      </c>
      <c r="S348" s="814">
        <f t="shared" si="132"/>
        <v>1</v>
      </c>
      <c r="T348" s="175">
        <f t="shared" si="133"/>
        <v>7</v>
      </c>
      <c r="U348" s="250">
        <f t="shared" si="134"/>
        <v>1.0346295297210046</v>
      </c>
      <c r="V348" s="382">
        <f t="shared" si="135"/>
        <v>25.16902003218771</v>
      </c>
      <c r="W348" s="401">
        <f t="shared" si="136"/>
        <v>0</v>
      </c>
      <c r="X348" s="157">
        <f t="shared" si="137"/>
        <v>44895</v>
      </c>
      <c r="Y348" s="384">
        <f t="shared" si="138"/>
        <v>3.8203851361556111</v>
      </c>
      <c r="Z348" s="384">
        <f t="shared" si="139"/>
        <v>3.9556229707939718</v>
      </c>
      <c r="AA348" s="385">
        <f t="shared" si="140"/>
        <v>4.2741382628299682</v>
      </c>
      <c r="AB348" s="196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7.4521522807524457E-2</v>
      </c>
      <c r="AD348" s="230">
        <f>(INDEX(Models!$BJ348:$BT348,,AH348)*(1-AF348)+INDEX(Models!$BJ348:$BT348,,AH348+1)*AF348-ERP_i)*AE348*Ramure*Pc/MaxiM</f>
        <v>6.6523278043113137E-4</v>
      </c>
      <c r="AE348" s="304">
        <f t="shared" si="142"/>
        <v>0.5</v>
      </c>
      <c r="AF348" s="176">
        <f t="shared" si="143"/>
        <v>3.4629529721004637E-2</v>
      </c>
      <c r="AG348" s="814">
        <f t="shared" si="149"/>
        <v>1</v>
      </c>
      <c r="AH348" s="175">
        <f t="shared" si="144"/>
        <v>7</v>
      </c>
      <c r="AI348" s="224">
        <f t="shared" si="145"/>
        <v>1.0346295297210046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410">
        <v>3.4620000000000002</v>
      </c>
      <c r="C349" s="843"/>
      <c r="D349" s="392">
        <f t="shared" si="127"/>
        <v>3.5846297722559997</v>
      </c>
      <c r="E349" s="384">
        <f t="shared" si="125"/>
        <v>3.7818096126626846</v>
      </c>
      <c r="F349" s="384">
        <f t="shared" si="128"/>
        <v>3.7818096126626846</v>
      </c>
      <c r="G349" s="110">
        <f t="shared" si="126"/>
        <v>0.13860845707654276</v>
      </c>
      <c r="H349" s="413" t="b">
        <f>Wh_hp&gt;='2021'!Maxi_hp</f>
        <v>0</v>
      </c>
      <c r="I349" s="379">
        <f>IF(H349,Wh_hp,'2021'!Maxi_hp)</f>
        <v>26.861538170544915</v>
      </c>
      <c r="J349" s="85">
        <f>IF(H349,An,'2021'!An_max)</f>
        <v>2020</v>
      </c>
      <c r="K349" s="196">
        <f t="shared" si="129"/>
        <v>44896</v>
      </c>
      <c r="L349" s="147">
        <f>IF(t&lt;Tvie,1-EXP((T0-t)*PertePVj)+'2021'!Pspv,1-EXP((T0-t)*PertePVj)+Pspv)</f>
        <v>3.4209884994293872E-2</v>
      </c>
      <c r="M349" s="847"/>
      <c r="N349" s="847"/>
      <c r="O349" s="48">
        <f>IF(t&lt;Tnet,'2021'!Resal+('2021'!Salim-'2021'!Resal)*(1-EXP(('2021'!Tnet-t)/('2021'!Tau_j))),Resal+(Salim-Resal)*(1-EXP((Tnet-t)/(Tau_j))))*Salcycl</f>
        <v>5.2139018248423909E-2</v>
      </c>
      <c r="P349" s="338">
        <f>(INDEX(Models!$BJ349:$BT349,,T349)*(1-R349)+INDEX(Models!$BJ349:$BT349,,T349+1)*R349-ERP_i)*Q349*Ramure*Pc/MaxiM</f>
        <v>6.5279082386996356E-4</v>
      </c>
      <c r="Q349" s="304">
        <f t="shared" si="130"/>
        <v>0.5</v>
      </c>
      <c r="R349" s="176">
        <f t="shared" si="131"/>
        <v>3.4639402142709885E-2</v>
      </c>
      <c r="S349" s="814">
        <f t="shared" si="132"/>
        <v>1</v>
      </c>
      <c r="T349" s="175">
        <f t="shared" si="133"/>
        <v>7</v>
      </c>
      <c r="U349" s="250">
        <f t="shared" si="134"/>
        <v>1.0346394021427099</v>
      </c>
      <c r="V349" s="382">
        <f t="shared" si="135"/>
        <v>24.960526299323966</v>
      </c>
      <c r="W349" s="401">
        <f t="shared" si="136"/>
        <v>0</v>
      </c>
      <c r="X349" s="157">
        <f t="shared" si="137"/>
        <v>44896</v>
      </c>
      <c r="Y349" s="384">
        <f t="shared" si="138"/>
        <v>3.3801712294275532</v>
      </c>
      <c r="Z349" s="384">
        <f t="shared" si="139"/>
        <v>3.4999024911407197</v>
      </c>
      <c r="AA349" s="385">
        <f t="shared" si="140"/>
        <v>3.7818096126626846</v>
      </c>
      <c r="AB349" s="196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7.4542917384855009E-2</v>
      </c>
      <c r="AD349" s="230">
        <f>(INDEX(Models!$BJ349:$BT349,,AH349)*(1-AF349)+INDEX(Models!$BJ349:$BT349,,AH349+1)*AF349-ERP_i)*AE349*Ramure*Pc/MaxiM</f>
        <v>6.5279082386996356E-4</v>
      </c>
      <c r="AE349" s="304">
        <f t="shared" si="142"/>
        <v>0.5</v>
      </c>
      <c r="AF349" s="176">
        <f t="shared" si="143"/>
        <v>3.4639402142709885E-2</v>
      </c>
      <c r="AG349" s="814">
        <f t="shared" si="149"/>
        <v>1</v>
      </c>
      <c r="AH349" s="175">
        <f t="shared" si="144"/>
        <v>7</v>
      </c>
      <c r="AI349" s="224">
        <f t="shared" si="145"/>
        <v>1.0346394021427099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410">
        <v>5.0110000000000001</v>
      </c>
      <c r="C350" s="843"/>
      <c r="D350" s="392">
        <f t="shared" si="127"/>
        <v>5.1886114197379758</v>
      </c>
      <c r="E350" s="384">
        <f t="shared" si="125"/>
        <v>5.4743334478505794</v>
      </c>
      <c r="F350" s="384">
        <f t="shared" si="128"/>
        <v>5.4743334478505794</v>
      </c>
      <c r="G350" s="110">
        <f t="shared" si="126"/>
        <v>0.20227702433171124</v>
      </c>
      <c r="H350" s="413" t="b">
        <f>Wh_hp&gt;='2021'!Maxi_hp</f>
        <v>0</v>
      </c>
      <c r="I350" s="379">
        <f>IF(H350,Wh_hp,'2021'!Maxi_hp)</f>
        <v>9.5659847348518507</v>
      </c>
      <c r="J350" s="85">
        <f>IF(H350,An,'2021'!An_max)</f>
        <v>2021</v>
      </c>
      <c r="K350" s="196">
        <f t="shared" si="129"/>
        <v>44897</v>
      </c>
      <c r="L350" s="147">
        <f>IF(t&lt;Tvie,1-EXP((T0-t)*PertePVj)+'2021'!Pspv,1-EXP((T0-t)*PertePVj)+Pspv)</f>
        <v>3.4231011993367734E-2</v>
      </c>
      <c r="M350" s="847"/>
      <c r="N350" s="847"/>
      <c r="O350" s="48">
        <f>IF(t&lt;Tnet,'2021'!Resal+('2021'!Salim-'2021'!Resal)*(1-EXP(('2021'!Tnet-t)/('2021'!Tau_j))),Resal+(Salim-Resal)*(1-EXP((Tnet-t)/(Tau_j))))*Salcycl</f>
        <v>5.2193026024892238E-2</v>
      </c>
      <c r="P350" s="338">
        <f>(INDEX(Models!$BJ350:$BT350,,T350)*(1-R350)+INDEX(Models!$BJ350:$BT350,,T350+1)*R350-ERP_i)*Q350*Ramure*Pc/MaxiM</f>
        <v>6.4080131536249239E-4</v>
      </c>
      <c r="Q350" s="304">
        <f t="shared" si="130"/>
        <v>0.5</v>
      </c>
      <c r="R350" s="176">
        <f t="shared" si="131"/>
        <v>3.4648877682562862E-2</v>
      </c>
      <c r="S350" s="814">
        <f t="shared" si="132"/>
        <v>1</v>
      </c>
      <c r="T350" s="175">
        <f t="shared" si="133"/>
        <v>7</v>
      </c>
      <c r="U350" s="250">
        <f t="shared" si="134"/>
        <v>1.0346488776825629</v>
      </c>
      <c r="V350" s="382">
        <f t="shared" si="135"/>
        <v>24.757082328819099</v>
      </c>
      <c r="W350" s="401">
        <f t="shared" si="136"/>
        <v>0</v>
      </c>
      <c r="X350" s="157">
        <f t="shared" si="137"/>
        <v>44897</v>
      </c>
      <c r="Y350" s="384">
        <f t="shared" si="138"/>
        <v>4.8927177657919234</v>
      </c>
      <c r="Z350" s="384">
        <f t="shared" si="139"/>
        <v>5.0661367537702748</v>
      </c>
      <c r="AA350" s="385">
        <f t="shared" si="140"/>
        <v>5.4743334478505794</v>
      </c>
      <c r="AB350" s="196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7.4565551764220223E-2</v>
      </c>
      <c r="AD350" s="230">
        <f>(INDEX(Models!$BJ350:$BT350,,AH350)*(1-AF350)+INDEX(Models!$BJ350:$BT350,,AH350+1)*AF350-ERP_i)*AE350*Ramure*Pc/MaxiM</f>
        <v>6.4080131536249239E-4</v>
      </c>
      <c r="AE350" s="304">
        <f t="shared" si="142"/>
        <v>0.5</v>
      </c>
      <c r="AF350" s="176">
        <f t="shared" si="143"/>
        <v>3.4648877682562862E-2</v>
      </c>
      <c r="AG350" s="814">
        <f t="shared" si="149"/>
        <v>1</v>
      </c>
      <c r="AH350" s="175">
        <f t="shared" si="144"/>
        <v>7</v>
      </c>
      <c r="AI350" s="224">
        <f t="shared" si="145"/>
        <v>1.0346488776825629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410">
        <v>9.8759999999999994</v>
      </c>
      <c r="C351" s="843"/>
      <c r="D351" s="392">
        <f t="shared" si="127"/>
        <v>10.226271674020976</v>
      </c>
      <c r="E351" s="384">
        <f t="shared" si="125"/>
        <v>10.790027127787448</v>
      </c>
      <c r="F351" s="384">
        <f t="shared" si="128"/>
        <v>10.791017679000701</v>
      </c>
      <c r="G351" s="110">
        <f t="shared" si="126"/>
        <v>0.40190150305144279</v>
      </c>
      <c r="H351" s="413" t="b">
        <f>Wh_hp&gt;='2021'!Maxi_hp</f>
        <v>0</v>
      </c>
      <c r="I351" s="379">
        <f>IF(H351,Wh_hp,'2021'!Maxi_hp)</f>
        <v>16.831353899278419</v>
      </c>
      <c r="J351" s="85">
        <f>IF(H351,An,'2021'!An_max)</f>
        <v>2021</v>
      </c>
      <c r="K351" s="196">
        <f t="shared" si="129"/>
        <v>44898</v>
      </c>
      <c r="L351" s="147">
        <f>IF(t&lt;Tvie,1-EXP((T0-t)*PertePVj)+'2021'!Pspv,1-EXP((T0-t)*PertePVj)+Pspv)</f>
        <v>3.425213852970619E-2</v>
      </c>
      <c r="M351" s="847"/>
      <c r="N351" s="847"/>
      <c r="O351" s="48">
        <f>IF(t&lt;Tnet,'2021'!Resal+('2021'!Salim-'2021'!Resal)*(1-EXP(('2021'!Tnet-t)/('2021'!Tau_j))),Resal+(Salim-Resal)*(1-EXP((Tnet-t)/(Tau_j))))*Salcycl</f>
        <v>5.2247825430821931E-2</v>
      </c>
      <c r="P351" s="338">
        <f>(INDEX(Models!$BJ351:$BT351,,T351)*(1-R351)+INDEX(Models!$BJ351:$BT351,,T351+1)*R351-ERP_i)*Q351*Ramure*Pc/MaxiM</f>
        <v>6.2923346873091962E-4</v>
      </c>
      <c r="Q351" s="304">
        <f t="shared" si="130"/>
        <v>0.5</v>
      </c>
      <c r="R351" s="176">
        <f t="shared" si="131"/>
        <v>3.4657972272060578E-2</v>
      </c>
      <c r="S351" s="814">
        <f t="shared" si="132"/>
        <v>1</v>
      </c>
      <c r="T351" s="175">
        <f t="shared" si="133"/>
        <v>7</v>
      </c>
      <c r="U351" s="250">
        <f t="shared" si="134"/>
        <v>1.0346579722720606</v>
      </c>
      <c r="V351" s="382">
        <f t="shared" si="135"/>
        <v>24.559977223497889</v>
      </c>
      <c r="W351" s="401">
        <f t="shared" si="136"/>
        <v>0</v>
      </c>
      <c r="X351" s="157">
        <f t="shared" si="137"/>
        <v>44898</v>
      </c>
      <c r="Y351" s="384">
        <f t="shared" si="138"/>
        <v>9.6431907179408096</v>
      </c>
      <c r="Z351" s="384">
        <f t="shared" si="139"/>
        <v>9.9852053550081123</v>
      </c>
      <c r="AA351" s="385">
        <f t="shared" si="140"/>
        <v>10.790027127787448</v>
      </c>
      <c r="AB351" s="196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7.4589411430364766E-2</v>
      </c>
      <c r="AD351" s="230">
        <f>(INDEX(Models!$BJ351:$BT351,,AH351)*(1-AF351)+INDEX(Models!$BJ351:$BT351,,AH351+1)*AF351-ERP_i)*AE351*Ramure*Pc/MaxiM</f>
        <v>6.2923346873091962E-4</v>
      </c>
      <c r="AE351" s="304">
        <f t="shared" si="142"/>
        <v>0.5</v>
      </c>
      <c r="AF351" s="176">
        <f t="shared" si="143"/>
        <v>3.4657972272060578E-2</v>
      </c>
      <c r="AG351" s="814">
        <f t="shared" si="149"/>
        <v>1</v>
      </c>
      <c r="AH351" s="175">
        <f t="shared" si="144"/>
        <v>7</v>
      </c>
      <c r="AI351" s="224">
        <f t="shared" si="145"/>
        <v>1.0346579722720606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410">
        <v>17.923999999999999</v>
      </c>
      <c r="C352" s="843"/>
      <c r="D352" s="392">
        <f t="shared" si="127"/>
        <v>18.560115758457858</v>
      </c>
      <c r="E352" s="384">
        <f t="shared" si="125"/>
        <v>19.584449145674231</v>
      </c>
      <c r="F352" s="384">
        <f t="shared" si="128"/>
        <v>19.591985764484328</v>
      </c>
      <c r="G352" s="110">
        <f t="shared" si="126"/>
        <v>0.73530766798660541</v>
      </c>
      <c r="H352" s="413" t="b">
        <f>Wh_hp&gt;='2021'!Maxi_hp</f>
        <v>1</v>
      </c>
      <c r="I352" s="379">
        <f>IF(H352,Wh_hp,'2021'!Maxi_hp)</f>
        <v>19.591985764484328</v>
      </c>
      <c r="J352" s="85">
        <f>IF(H352,An,'2021'!An_max)</f>
        <v>2022</v>
      </c>
      <c r="K352" s="196">
        <f t="shared" si="129"/>
        <v>44899</v>
      </c>
      <c r="L352" s="147">
        <f>IF(t&lt;Tvie,1-EXP((T0-t)*PertePVj)+'2021'!Pspv,1-EXP((T0-t)*PertePVj)+Pspv)</f>
        <v>3.4273264603319122E-2</v>
      </c>
      <c r="M352" s="847"/>
      <c r="N352" s="847"/>
      <c r="O352" s="48">
        <f>IF(t&lt;Tnet,'2021'!Resal+('2021'!Salim-'2021'!Resal)*(1-EXP(('2021'!Tnet-t)/('2021'!Tau_j))),Resal+(Salim-Resal)*(1-EXP((Tnet-t)/(Tau_j))))*Salcycl</f>
        <v>5.2303405604983526E-2</v>
      </c>
      <c r="P352" s="338">
        <f>(INDEX(Models!$BJ352:$BT352,,T352)*(1-R352)+INDEX(Models!$BJ352:$BT352,,T352+1)*R352-ERP_i)*Q352*Ramure*Pc/MaxiM</f>
        <v>6.1834140680722019E-4</v>
      </c>
      <c r="Q352" s="304">
        <f t="shared" si="130"/>
        <v>0.5</v>
      </c>
      <c r="R352" s="176">
        <f t="shared" si="131"/>
        <v>3.466670120504145E-2</v>
      </c>
      <c r="S352" s="814">
        <f t="shared" si="132"/>
        <v>1</v>
      </c>
      <c r="T352" s="175">
        <f t="shared" si="133"/>
        <v>7</v>
      </c>
      <c r="U352" s="250">
        <f t="shared" si="134"/>
        <v>1.0346667012050415</v>
      </c>
      <c r="V352" s="382">
        <f t="shared" si="135"/>
        <v>24.370492784679964</v>
      </c>
      <c r="W352" s="401">
        <f t="shared" si="136"/>
        <v>0</v>
      </c>
      <c r="X352" s="157">
        <f t="shared" si="137"/>
        <v>44899</v>
      </c>
      <c r="Y352" s="384">
        <f t="shared" si="138"/>
        <v>17.502025644079701</v>
      </c>
      <c r="Z352" s="384">
        <f t="shared" si="139"/>
        <v>18.123165697479202</v>
      </c>
      <c r="AA352" s="385">
        <f t="shared" si="140"/>
        <v>19.584449145674231</v>
      </c>
      <c r="AB352" s="196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7.4614477911817814E-2</v>
      </c>
      <c r="AD352" s="230">
        <f>(INDEX(Models!$BJ352:$BT352,,AH352)*(1-AF352)+INDEX(Models!$BJ352:$BT352,,AH352+1)*AF352-ERP_i)*AE352*Ramure*Pc/MaxiM</f>
        <v>6.1834140680722019E-4</v>
      </c>
      <c r="AE352" s="304">
        <f t="shared" si="142"/>
        <v>0.5</v>
      </c>
      <c r="AF352" s="176">
        <f t="shared" si="143"/>
        <v>3.466670120504145E-2</v>
      </c>
      <c r="AG352" s="814">
        <f t="shared" si="149"/>
        <v>1</v>
      </c>
      <c r="AH352" s="175">
        <f t="shared" si="144"/>
        <v>7</v>
      </c>
      <c r="AI352" s="224">
        <f t="shared" si="145"/>
        <v>1.0346667012050415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410">
        <v>25.27</v>
      </c>
      <c r="C353" s="843"/>
      <c r="D353" s="392">
        <f t="shared" si="127"/>
        <v>26.167394849870966</v>
      </c>
      <c r="E353" s="384">
        <f t="shared" si="125"/>
        <v>27.613216020535145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Wh_hp&gt;='2021'!Maxi_hp</f>
        <v>1</v>
      </c>
      <c r="I353" s="379">
        <f>IF(H353,Wh_hp,'2021'!Maxi_hp)</f>
        <v>27.630023642459491</v>
      </c>
      <c r="J353" s="85">
        <f>IF(H353,An,'2021'!An_max)</f>
        <v>2022</v>
      </c>
      <c r="K353" s="196">
        <f t="shared" si="129"/>
        <v>44900</v>
      </c>
      <c r="L353" s="147">
        <f>IF(t&lt;Tvie,1-EXP((T0-t)*PertePVj)+'2021'!Pspv,1-EXP((T0-t)*PertePVj)+Pspv)</f>
        <v>3.4294390214216965E-2</v>
      </c>
      <c r="M353" s="847"/>
      <c r="N353" s="847"/>
      <c r="O353" s="48">
        <f>IF(t&lt;Tnet,'2021'!Resal+('2021'!Salim-'2021'!Resal)*(1-EXP(('2021'!Tnet-t)/('2021'!Tau_j))),Resal+(Salim-Resal)*(1-EXP((Tnet-t)/(Tau_j))))*Salcycl</f>
        <v>5.2359753010622213E-2</v>
      </c>
      <c r="P353" s="338">
        <f>(INDEX(Models!$BJ353:$BT353,,T353)*(1-R353)+INDEX(Models!$BJ353:$BT353,,T353+1)*R353-ERP_i)*Q353*Ramure*Pc/MaxiM</f>
        <v>6.0831008115809916E-4</v>
      </c>
      <c r="Q353" s="304">
        <f t="shared" si="130"/>
        <v>0.5</v>
      </c>
      <c r="R353" s="176">
        <f t="shared" si="131"/>
        <v>3.4675079163062783E-2</v>
      </c>
      <c r="S353" s="814">
        <f t="shared" si="132"/>
        <v>1</v>
      </c>
      <c r="T353" s="175">
        <f t="shared" si="133"/>
        <v>7</v>
      </c>
      <c r="U353" s="250">
        <f t="shared" si="134"/>
        <v>1.0346750791630628</v>
      </c>
      <c r="V353" s="382">
        <f t="shared" si="135"/>
        <v>24.189912324435543</v>
      </c>
      <c r="W353" s="401">
        <f t="shared" si="136"/>
        <v>0</v>
      </c>
      <c r="X353" s="157">
        <f t="shared" si="137"/>
        <v>44900</v>
      </c>
      <c r="Y353" s="384">
        <f t="shared" si="138"/>
        <v>24.675850200221788</v>
      </c>
      <c r="Z353" s="384">
        <f t="shared" si="139"/>
        <v>25.552145446991336</v>
      </c>
      <c r="AA353" s="385">
        <f t="shared" si="140"/>
        <v>27.613216020535145</v>
      </c>
      <c r="AB353" s="196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7.4640728990460564E-2</v>
      </c>
      <c r="AD353" s="230">
        <f>(INDEX(Models!$BJ353:$BT353,,AH353)*(1-AF353)+INDEX(Models!$BJ353:$BT353,,AH353+1)*AF353-ERP_i)*AE353*Ramure*Pc/MaxiM</f>
        <v>6.0831008115809916E-4</v>
      </c>
      <c r="AE353" s="304">
        <f t="shared" si="142"/>
        <v>0.5</v>
      </c>
      <c r="AF353" s="176">
        <f t="shared" si="143"/>
        <v>3.4675079163062783E-2</v>
      </c>
      <c r="AG353" s="814">
        <f t="shared" si="149"/>
        <v>1</v>
      </c>
      <c r="AH353" s="175">
        <f t="shared" si="144"/>
        <v>7</v>
      </c>
      <c r="AI353" s="224">
        <f t="shared" si="145"/>
        <v>1.0346750791630628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410">
        <v>14.125999999999999</v>
      </c>
      <c r="C354" s="843"/>
      <c r="D354" s="392">
        <f t="shared" si="127"/>
        <v>14.62796619881629</v>
      </c>
      <c r="E354" s="384">
        <f t="shared" si="125"/>
        <v>15.437132058876724</v>
      </c>
      <c r="F354" s="384">
        <f t="shared" si="128"/>
        <v>15.440939541659018</v>
      </c>
      <c r="G354" s="110">
        <f t="shared" si="126"/>
        <v>0.5878975353702145</v>
      </c>
      <c r="H354" s="413" t="b">
        <f>Wh_hp&gt;='2021'!Maxi_hp</f>
        <v>0</v>
      </c>
      <c r="I354" s="379">
        <f>IF(H354,Wh_hp,'2021'!Maxi_hp)</f>
        <v>23.185833675036029</v>
      </c>
      <c r="J354" s="85">
        <f>IF(H354,An,'2021'!An_max)</f>
        <v>2020</v>
      </c>
      <c r="K354" s="196">
        <f t="shared" si="129"/>
        <v>44901</v>
      </c>
      <c r="L354" s="147">
        <f>IF(t&lt;Tvie,1-EXP((T0-t)*PertePVj)+'2021'!Pspv,1-EXP((T0-t)*PertePVj)+Pspv)</f>
        <v>3.4315515362409711E-2</v>
      </c>
      <c r="M354" s="847"/>
      <c r="N354" s="847"/>
      <c r="O354" s="48">
        <f>IF(t&lt;Tnet,'2021'!Resal+('2021'!Salim-'2021'!Resal)*(1-EXP(('2021'!Tnet-t)/('2021'!Tau_j))),Resal+(Salim-Resal)*(1-EXP((Tnet-t)/(Tau_j))))*Salcycl</f>
        <v>5.2416851587089017E-2</v>
      </c>
      <c r="P354" s="338">
        <f>(INDEX(Models!$BJ354:$BT354,,T354)*(1-R354)+INDEX(Models!$BJ354:$BT354,,T354+1)*R354-ERP_i)*Q354*Ramure*Pc/MaxiM</f>
        <v>5.9911694244515882E-4</v>
      </c>
      <c r="Q354" s="304">
        <f t="shared" si="130"/>
        <v>0.5</v>
      </c>
      <c r="R354" s="176">
        <f t="shared" si="131"/>
        <v>3.4683120239776599E-2</v>
      </c>
      <c r="S354" s="814">
        <f t="shared" si="132"/>
        <v>1</v>
      </c>
      <c r="T354" s="175">
        <f t="shared" si="133"/>
        <v>7</v>
      </c>
      <c r="U354" s="250">
        <f t="shared" si="134"/>
        <v>1.0346831202397766</v>
      </c>
      <c r="V354" s="382">
        <f t="shared" si="135"/>
        <v>24.019523873571558</v>
      </c>
      <c r="W354" s="401">
        <f t="shared" si="136"/>
        <v>0</v>
      </c>
      <c r="X354" s="157">
        <f t="shared" si="137"/>
        <v>44901</v>
      </c>
      <c r="Y354" s="384">
        <f t="shared" si="138"/>
        <v>13.794291183162246</v>
      </c>
      <c r="Z354" s="384">
        <f t="shared" si="139"/>
        <v>14.284470137613402</v>
      </c>
      <c r="AA354" s="385">
        <f t="shared" si="140"/>
        <v>15.437132058876724</v>
      </c>
      <c r="AB354" s="196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7.4668138930670869E-2</v>
      </c>
      <c r="AD354" s="230">
        <f>(INDEX(Models!$BJ354:$BT354,,AH354)*(1-AF354)+INDEX(Models!$BJ354:$BT354,,AH354+1)*AF354-ERP_i)*AE354*Ramure*Pc/MaxiM</f>
        <v>5.9911694244515882E-4</v>
      </c>
      <c r="AE354" s="304">
        <f t="shared" si="142"/>
        <v>0.5</v>
      </c>
      <c r="AF354" s="176">
        <f t="shared" si="143"/>
        <v>3.4683120239776599E-2</v>
      </c>
      <c r="AG354" s="814">
        <f t="shared" si="149"/>
        <v>1</v>
      </c>
      <c r="AH354" s="175">
        <f t="shared" si="144"/>
        <v>7</v>
      </c>
      <c r="AI354" s="224">
        <f t="shared" si="145"/>
        <v>1.0346831202397766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410">
        <v>19.962</v>
      </c>
      <c r="C355" s="843"/>
      <c r="D355" s="392">
        <f t="shared" si="127"/>
        <v>20.671800161280149</v>
      </c>
      <c r="E355" s="384">
        <f t="shared" si="125"/>
        <v>21.816620398985265</v>
      </c>
      <c r="F355" s="384">
        <f t="shared" si="128"/>
        <v>21.826504567364843</v>
      </c>
      <c r="G355" s="110">
        <f t="shared" si="126"/>
        <v>0.83649336836531862</v>
      </c>
      <c r="H355" s="413" t="b">
        <f>Wh_hp&gt;='2021'!Maxi_hp</f>
        <v>0</v>
      </c>
      <c r="I355" s="379">
        <f>IF(H355,Wh_hp,'2021'!Maxi_hp)</f>
        <v>22.326722541325999</v>
      </c>
      <c r="J355" s="85">
        <f>IF(H355,An,'2021'!An_max)</f>
        <v>2018</v>
      </c>
      <c r="K355" s="196">
        <f t="shared" si="129"/>
        <v>44902</v>
      </c>
      <c r="L355" s="147">
        <f>IF(t&lt;Tvie,1-EXP((T0-t)*PertePVj)+'2021'!Pspv,1-EXP((T0-t)*PertePVj)+Pspv)</f>
        <v>3.4336640047907353E-2</v>
      </c>
      <c r="M355" s="847"/>
      <c r="N355" s="847"/>
      <c r="O355" s="48">
        <f>IF(t&lt;Tnet,'2021'!Resal+('2021'!Salim-'2021'!Resal)*(1-EXP(('2021'!Tnet-t)/('2021'!Tau_j))),Resal+(Salim-Resal)*(1-EXP((Tnet-t)/(Tau_j))))*Salcycl</f>
        <v>5.2474682914607773E-2</v>
      </c>
      <c r="P355" s="338">
        <f>(INDEX(Models!$BJ355:$BT355,,T355)*(1-R355)+INDEX(Models!$BJ355:$BT355,,T355+1)*R355-ERP_i)*Q355*Ramure*Pc/MaxiM</f>
        <v>5.9073977184043364E-4</v>
      </c>
      <c r="Q355" s="304">
        <f t="shared" si="130"/>
        <v>0.5</v>
      </c>
      <c r="R355" s="176">
        <f t="shared" si="131"/>
        <v>3.4690837964347576E-2</v>
      </c>
      <c r="S355" s="814">
        <f t="shared" si="132"/>
        <v>1</v>
      </c>
      <c r="T355" s="175">
        <f t="shared" si="133"/>
        <v>7</v>
      </c>
      <c r="U355" s="250">
        <f t="shared" si="134"/>
        <v>1.0346908379643476</v>
      </c>
      <c r="V355" s="382">
        <f t="shared" si="135"/>
        <v>23.86061502084474</v>
      </c>
      <c r="W355" s="401">
        <f t="shared" si="136"/>
        <v>0</v>
      </c>
      <c r="X355" s="157">
        <f t="shared" si="137"/>
        <v>44902</v>
      </c>
      <c r="Y355" s="384">
        <f t="shared" si="138"/>
        <v>19.493837859749021</v>
      </c>
      <c r="Z355" s="384">
        <f t="shared" si="139"/>
        <v>20.186991314153339</v>
      </c>
      <c r="AA355" s="385">
        <f t="shared" si="140"/>
        <v>21.816620398985265</v>
      </c>
      <c r="AB355" s="196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7.4696678726083668E-2</v>
      </c>
      <c r="AD355" s="230">
        <f>(INDEX(Models!$BJ355:$BT355,,AH355)*(1-AF355)+INDEX(Models!$BJ355:$BT355,,AH355+1)*AF355-ERP_i)*AE355*Ramure*Pc/MaxiM</f>
        <v>5.9073977184043364E-4</v>
      </c>
      <c r="AE355" s="304">
        <f t="shared" si="142"/>
        <v>0.5</v>
      </c>
      <c r="AF355" s="176">
        <f t="shared" si="143"/>
        <v>3.4690837964347576E-2</v>
      </c>
      <c r="AG355" s="814">
        <f t="shared" si="149"/>
        <v>1</v>
      </c>
      <c r="AH355" s="175">
        <f t="shared" si="144"/>
        <v>7</v>
      </c>
      <c r="AI355" s="224">
        <f t="shared" si="145"/>
        <v>1.0346908379643476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410">
        <v>3.6790000000000003</v>
      </c>
      <c r="C356" s="843"/>
      <c r="D356" s="392">
        <f t="shared" si="127"/>
        <v>3.809899633503</v>
      </c>
      <c r="E356" s="384">
        <f t="shared" si="125"/>
        <v>4.0211432628816821</v>
      </c>
      <c r="F356" s="384">
        <f t="shared" si="128"/>
        <v>4.0211432628816821</v>
      </c>
      <c r="G356" s="110">
        <f t="shared" si="126"/>
        <v>0.1550468604068452</v>
      </c>
      <c r="H356" s="413" t="b">
        <f>Wh_hp&gt;='2021'!Maxi_hp</f>
        <v>0</v>
      </c>
      <c r="I356" s="379">
        <f>IF(H356,Wh_hp,'2021'!Maxi_hp)</f>
        <v>18.567301939285336</v>
      </c>
      <c r="J356" s="85">
        <f>IF(H356,An,'2021'!An_max)</f>
        <v>2019</v>
      </c>
      <c r="K356" s="196">
        <f t="shared" si="129"/>
        <v>44903</v>
      </c>
      <c r="L356" s="147">
        <f>IF(t&lt;Tvie,1-EXP((T0-t)*PertePVj)+'2021'!Pspv,1-EXP((T0-t)*PertePVj)+Pspv)</f>
        <v>3.4357764270720327E-2</v>
      </c>
      <c r="M356" s="847"/>
      <c r="N356" s="847"/>
      <c r="O356" s="48">
        <f>IF(t&lt;Tnet,'2021'!Resal+('2021'!Salim-'2021'!Resal)*(1-EXP(('2021'!Tnet-t)/('2021'!Tau_j))),Resal+(Salim-Resal)*(1-EXP((Tnet-t)/(Tau_j))))*Salcycl</f>
        <v>5.253322639076987E-2</v>
      </c>
      <c r="P356" s="338">
        <f>(INDEX(Models!$BJ356:$BT356,,T356)*(1-R356)+INDEX(Models!$BJ356:$BT356,,T356+1)*R356-ERP_i)*Q356*Ramure*Pc/MaxiM</f>
        <v>5.8315637509361853E-4</v>
      </c>
      <c r="Q356" s="304">
        <f t="shared" si="130"/>
        <v>0.5</v>
      </c>
      <c r="R356" s="176">
        <f t="shared" si="131"/>
        <v>3.4698245323948163E-2</v>
      </c>
      <c r="S356" s="814">
        <f t="shared" si="132"/>
        <v>1</v>
      </c>
      <c r="T356" s="175">
        <f t="shared" si="133"/>
        <v>7</v>
      </c>
      <c r="U356" s="250">
        <f t="shared" si="134"/>
        <v>1.0346982453239482</v>
      </c>
      <c r="V356" s="382">
        <f t="shared" si="135"/>
        <v>23.714472889343977</v>
      </c>
      <c r="W356" s="401">
        <f t="shared" si="136"/>
        <v>0</v>
      </c>
      <c r="X356" s="157">
        <f t="shared" si="137"/>
        <v>44903</v>
      </c>
      <c r="Y356" s="384">
        <f t="shared" si="138"/>
        <v>3.5928245474374751</v>
      </c>
      <c r="Z356" s="384">
        <f t="shared" si="139"/>
        <v>3.7206580392831254</v>
      </c>
      <c r="AA356" s="385">
        <f t="shared" si="140"/>
        <v>4.0211432628816821</v>
      </c>
      <c r="AB356" s="196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7.4726316361884454E-2</v>
      </c>
      <c r="AD356" s="230">
        <f>(INDEX(Models!$BJ356:$BT356,,AH356)*(1-AF356)+INDEX(Models!$BJ356:$BT356,,AH356+1)*AF356-ERP_i)*AE356*Ramure*Pc/MaxiM</f>
        <v>5.8315637509361853E-4</v>
      </c>
      <c r="AE356" s="304">
        <f t="shared" si="142"/>
        <v>0.5</v>
      </c>
      <c r="AF356" s="176">
        <f t="shared" si="143"/>
        <v>3.4698245323948163E-2</v>
      </c>
      <c r="AG356" s="814">
        <f t="shared" si="149"/>
        <v>1</v>
      </c>
      <c r="AH356" s="175">
        <f t="shared" si="144"/>
        <v>7</v>
      </c>
      <c r="AI356" s="224">
        <f t="shared" si="145"/>
        <v>1.0346982453239482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410">
        <v>8.3070000000000004</v>
      </c>
      <c r="C357" s="843"/>
      <c r="D357" s="392">
        <f t="shared" si="127"/>
        <v>8.6027530850687004</v>
      </c>
      <c r="E357" s="384">
        <f t="shared" si="125"/>
        <v>9.0803088603002813</v>
      </c>
      <c r="F357" s="384">
        <f t="shared" si="128"/>
        <v>9.0806995451959285</v>
      </c>
      <c r="G357" s="110">
        <f t="shared" si="126"/>
        <v>0.35206658801097968</v>
      </c>
      <c r="H357" s="413" t="b">
        <f>Wh_hp&gt;='2021'!Maxi_hp</f>
        <v>0</v>
      </c>
      <c r="I357" s="379">
        <f>IF(H357,Wh_hp,'2021'!Maxi_hp)</f>
        <v>10.545859216009614</v>
      </c>
      <c r="J357" s="85">
        <f>IF(H357,An,'2021'!An_max)</f>
        <v>2020</v>
      </c>
      <c r="K357" s="196">
        <f t="shared" si="129"/>
        <v>44904</v>
      </c>
      <c r="L357" s="147">
        <f>IF(t&lt;Tvie,1-EXP((T0-t)*PertePVj)+'2021'!Pspv,1-EXP((T0-t)*PertePVj)+Pspv)</f>
        <v>3.4378888030858513E-2</v>
      </c>
      <c r="M357" s="847"/>
      <c r="N357" s="847"/>
      <c r="O357" s="48">
        <f>IF(t&lt;Tnet,'2021'!Resal+('2021'!Salim-'2021'!Resal)*(1-EXP(('2021'!Tnet-t)/('2021'!Tau_j))),Resal+(Salim-Resal)*(1-EXP((Tnet-t)/(Tau_j))))*Salcycl</f>
        <v>5.2592459417265744E-2</v>
      </c>
      <c r="P357" s="338">
        <f>(INDEX(Models!$BJ357:$BT357,,T357)*(1-R357)+INDEX(Models!$BJ357:$BT357,,T357+1)*R357-ERP_i)*Q357*Ramure*Pc/MaxiM</f>
        <v>5.763442773375749E-4</v>
      </c>
      <c r="Q357" s="304">
        <f t="shared" si="130"/>
        <v>0.5</v>
      </c>
      <c r="R357" s="176">
        <f t="shared" si="131"/>
        <v>3.4705354785364184E-2</v>
      </c>
      <c r="S357" s="814">
        <f t="shared" si="132"/>
        <v>1</v>
      </c>
      <c r="T357" s="175">
        <f t="shared" si="133"/>
        <v>7</v>
      </c>
      <c r="U357" s="250">
        <f t="shared" si="134"/>
        <v>1.0347053547853642</v>
      </c>
      <c r="V357" s="382">
        <f t="shared" si="135"/>
        <v>23.582384121966008</v>
      </c>
      <c r="W357" s="401">
        <f t="shared" si="136"/>
        <v>0</v>
      </c>
      <c r="X357" s="157">
        <f t="shared" si="137"/>
        <v>44904</v>
      </c>
      <c r="Y357" s="384">
        <f t="shared" si="138"/>
        <v>8.1126581009711245</v>
      </c>
      <c r="Z357" s="384">
        <f t="shared" si="139"/>
        <v>8.4014920556442654</v>
      </c>
      <c r="AA357" s="385">
        <f t="shared" si="140"/>
        <v>9.0803088603002813</v>
      </c>
      <c r="AB357" s="196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7.475701709044813E-2</v>
      </c>
      <c r="AD357" s="230">
        <f>(INDEX(Models!$BJ357:$BT357,,AH357)*(1-AF357)+INDEX(Models!$BJ357:$BT357,,AH357+1)*AF357-ERP_i)*AE357*Ramure*Pc/MaxiM</f>
        <v>5.763442773375749E-4</v>
      </c>
      <c r="AE357" s="304">
        <f t="shared" si="142"/>
        <v>0.5</v>
      </c>
      <c r="AF357" s="176">
        <f t="shared" si="143"/>
        <v>3.4705354785364184E-2</v>
      </c>
      <c r="AG357" s="814">
        <f t="shared" si="149"/>
        <v>1</v>
      </c>
      <c r="AH357" s="175">
        <f t="shared" si="144"/>
        <v>7</v>
      </c>
      <c r="AI357" s="224">
        <f t="shared" si="145"/>
        <v>1.0347053547853642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410">
        <v>15.362</v>
      </c>
      <c r="C358" s="843"/>
      <c r="D358" s="392">
        <f t="shared" si="127"/>
        <v>15.909279391285835</v>
      </c>
      <c r="E358" s="384">
        <f t="shared" si="125"/>
        <v>16.793496578407506</v>
      </c>
      <c r="F358" s="384">
        <f t="shared" si="128"/>
        <v>16.798350230133536</v>
      </c>
      <c r="G358" s="110">
        <f t="shared" si="126"/>
        <v>0.65447522802321823</v>
      </c>
      <c r="H358" s="413" t="b">
        <f>Wh_hp&gt;='2021'!Maxi_hp</f>
        <v>0</v>
      </c>
      <c r="I358" s="379">
        <f>IF(H358,Wh_hp,'2021'!Maxi_hp)</f>
        <v>22.599335595679641</v>
      </c>
      <c r="J358" s="85">
        <f>IF(H358,An,'2021'!An_max)</f>
        <v>2019</v>
      </c>
      <c r="K358" s="196">
        <f t="shared" si="129"/>
        <v>44905</v>
      </c>
      <c r="L358" s="147">
        <f>IF(t&lt;Tvie,1-EXP((T0-t)*PertePVj)+'2021'!Pspv,1-EXP((T0-t)*PertePVj)+Pspv)</f>
        <v>3.4400011328332238E-2</v>
      </c>
      <c r="M358" s="847"/>
      <c r="N358" s="847"/>
      <c r="O358" s="48">
        <f>IF(t&lt;Tnet,'2021'!Resal+('2021'!Salim-'2021'!Resal)*(1-EXP(('2021'!Tnet-t)/('2021'!Tau_j))),Resal+(Salim-Resal)*(1-EXP((Tnet-t)/(Tau_j))))*Salcycl</f>
        <v>5.2652357595294727E-2</v>
      </c>
      <c r="P358" s="338">
        <f>(INDEX(Models!$BJ358:$BT358,,T358)*(1-R358)+INDEX(Models!$BJ358:$BT358,,T358+1)*R358-ERP_i)*Q358*Ramure*Pc/MaxiM</f>
        <v>5.7028042283440708E-4</v>
      </c>
      <c r="Q358" s="304">
        <f t="shared" si="130"/>
        <v>0.5</v>
      </c>
      <c r="R358" s="176">
        <f t="shared" si="131"/>
        <v>3.4712178315750908E-2</v>
      </c>
      <c r="S358" s="814">
        <f t="shared" si="132"/>
        <v>1</v>
      </c>
      <c r="T358" s="175">
        <f t="shared" si="133"/>
        <v>7</v>
      </c>
      <c r="U358" s="250">
        <f t="shared" si="134"/>
        <v>1.0347121783157509</v>
      </c>
      <c r="V358" s="382">
        <f t="shared" si="135"/>
        <v>23.465634883557907</v>
      </c>
      <c r="W358" s="401">
        <f t="shared" si="136"/>
        <v>0</v>
      </c>
      <c r="X358" s="157">
        <f t="shared" si="137"/>
        <v>44905</v>
      </c>
      <c r="Y358" s="384">
        <f t="shared" si="138"/>
        <v>15.003040787567052</v>
      </c>
      <c r="Z358" s="384">
        <f t="shared" si="139"/>
        <v>15.537532066674997</v>
      </c>
      <c r="AA358" s="385">
        <f t="shared" si="140"/>
        <v>16.793496578407506</v>
      </c>
      <c r="AB358" s="196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7.4788743718052469E-2</v>
      </c>
      <c r="AD358" s="230">
        <f>(INDEX(Models!$BJ358:$BT358,,AH358)*(1-AF358)+INDEX(Models!$BJ358:$BT358,,AH358+1)*AF358-ERP_i)*AE358*Ramure*Pc/MaxiM</f>
        <v>5.7028042283440708E-4</v>
      </c>
      <c r="AE358" s="304">
        <f t="shared" si="142"/>
        <v>0.5</v>
      </c>
      <c r="AF358" s="176">
        <f t="shared" si="143"/>
        <v>3.4712178315750908E-2</v>
      </c>
      <c r="AG358" s="814">
        <f t="shared" si="149"/>
        <v>1</v>
      </c>
      <c r="AH358" s="175">
        <f t="shared" si="144"/>
        <v>7</v>
      </c>
      <c r="AI358" s="224">
        <f t="shared" si="145"/>
        <v>1.0347121783157509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410">
        <v>16.481999999999999</v>
      </c>
      <c r="C359" s="843"/>
      <c r="D359" s="392">
        <f t="shared" si="127"/>
        <v>17.069553387247524</v>
      </c>
      <c r="E359" s="384">
        <f t="shared" si="125"/>
        <v>18.019408578300915</v>
      </c>
      <c r="F359" s="384">
        <f t="shared" si="128"/>
        <v>18.025308578937228</v>
      </c>
      <c r="G359" s="110">
        <f t="shared" si="126"/>
        <v>0.70533886436343962</v>
      </c>
      <c r="H359" s="413" t="b">
        <f>Wh_hp&gt;='2021'!Maxi_hp</f>
        <v>0</v>
      </c>
      <c r="I359" s="379">
        <f>IF(H359,Wh_hp,'2021'!Maxi_hp)</f>
        <v>18.967198725102847</v>
      </c>
      <c r="J359" s="85">
        <f>IF(H359,An,'2021'!An_max)</f>
        <v>2018</v>
      </c>
      <c r="K359" s="196">
        <f t="shared" si="129"/>
        <v>44906</v>
      </c>
      <c r="L359" s="147">
        <f>IF(t&lt;Tvie,1-EXP((T0-t)*PertePVj)+'2021'!Pspv,1-EXP((T0-t)*PertePVj)+Pspv)</f>
        <v>3.4421134163151491E-2</v>
      </c>
      <c r="M359" s="847"/>
      <c r="N359" s="847"/>
      <c r="O359" s="48">
        <f>IF(t&lt;Tnet,'2021'!Resal+('2021'!Salim-'2021'!Resal)*(1-EXP(('2021'!Tnet-t)/('2021'!Tau_j))),Resal+(Salim-Resal)*(1-EXP((Tnet-t)/(Tau_j))))*Salcycl</f>
        <v>5.2712894928039655E-2</v>
      </c>
      <c r="P359" s="338">
        <f>(INDEX(Models!$BJ359:$BT359,,T359)*(1-R359)+INDEX(Models!$BJ359:$BT359,,T359+1)*R359-ERP_i)*Q359*Ramure*Pc/MaxiM</f>
        <v>5.6502730581957557E-4</v>
      </c>
      <c r="Q359" s="304">
        <f t="shared" si="130"/>
        <v>0.5</v>
      </c>
      <c r="R359" s="176">
        <f t="shared" si="131"/>
        <v>3.4718727402565763E-2</v>
      </c>
      <c r="S359" s="814">
        <f t="shared" si="132"/>
        <v>1</v>
      </c>
      <c r="T359" s="175">
        <f t="shared" si="133"/>
        <v>7</v>
      </c>
      <c r="U359" s="250">
        <f t="shared" si="134"/>
        <v>1.0347187274025658</v>
      </c>
      <c r="V359" s="382">
        <f t="shared" si="135"/>
        <v>23.361935118341062</v>
      </c>
      <c r="W359" s="401">
        <f t="shared" si="136"/>
        <v>0</v>
      </c>
      <c r="X359" s="157">
        <f t="shared" si="137"/>
        <v>44906</v>
      </c>
      <c r="Y359" s="384">
        <f t="shared" si="138"/>
        <v>16.097329590705627</v>
      </c>
      <c r="Z359" s="384">
        <f t="shared" si="139"/>
        <v>16.671170175990113</v>
      </c>
      <c r="AA359" s="385">
        <f t="shared" si="140"/>
        <v>18.019408578300915</v>
      </c>
      <c r="AB359" s="196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7.4821456900331304E-2</v>
      </c>
      <c r="AD359" s="230">
        <f>(INDEX(Models!$BJ359:$BT359,,AH359)*(1-AF359)+INDEX(Models!$BJ359:$BT359,,AH359+1)*AF359-ERP_i)*AE359*Ramure*Pc/MaxiM</f>
        <v>5.6502730581957557E-4</v>
      </c>
      <c r="AE359" s="304">
        <f t="shared" si="142"/>
        <v>0.5</v>
      </c>
      <c r="AF359" s="176">
        <f t="shared" si="143"/>
        <v>3.4718727402565763E-2</v>
      </c>
      <c r="AG359" s="814">
        <f t="shared" si="149"/>
        <v>1</v>
      </c>
      <c r="AH359" s="175">
        <f t="shared" si="144"/>
        <v>7</v>
      </c>
      <c r="AI359" s="224">
        <f t="shared" si="145"/>
        <v>1.0347187274025658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410">
        <v>5.298</v>
      </c>
      <c r="C360" s="843"/>
      <c r="D360" s="392">
        <f t="shared" si="127"/>
        <v>5.4869841144760443</v>
      </c>
      <c r="E360" s="384">
        <f t="shared" si="125"/>
        <v>5.7926876685391901</v>
      </c>
      <c r="F360" s="384">
        <f t="shared" si="128"/>
        <v>5.7926876685391901</v>
      </c>
      <c r="G360" s="110">
        <f t="shared" si="126"/>
        <v>0.22756462310205675</v>
      </c>
      <c r="H360" s="413" t="b">
        <f>Wh_hp&gt;='2021'!Maxi_hp</f>
        <v>0</v>
      </c>
      <c r="I360" s="379">
        <f>IF(H360,Wh_hp,'2021'!Maxi_hp)</f>
        <v>25.182974084445021</v>
      </c>
      <c r="J360" s="85">
        <f>IF(H360,An,'2021'!An_max)</f>
        <v>2021</v>
      </c>
      <c r="K360" s="196">
        <f t="shared" si="129"/>
        <v>44907</v>
      </c>
      <c r="L360" s="147">
        <f>IF(t&lt;Tvie,1-EXP((T0-t)*PertePVj)+'2021'!Pspv,1-EXP((T0-t)*PertePVj)+Pspv)</f>
        <v>3.4442256535326378E-2</v>
      </c>
      <c r="M360" s="847"/>
      <c r="N360" s="847"/>
      <c r="O360" s="48">
        <f>IF(t&lt;Tnet,'2021'!Resal+('2021'!Salim-'2021'!Resal)*(1-EXP(('2021'!Tnet-t)/('2021'!Tau_j))),Resal+(Salim-Resal)*(1-EXP((Tnet-t)/(Tau_j))))*Salcycl</f>
        <v>5.277404402855345E-2</v>
      </c>
      <c r="P360" s="338">
        <f>(INDEX(Models!$BJ360:$BT360,,T360)*(1-R360)+INDEX(Models!$BJ360:$BT360,,T360+1)*R360-ERP_i)*Q360*Ramure*Pc/MaxiM</f>
        <v>5.6066283237195941E-4</v>
      </c>
      <c r="Q360" s="304">
        <f t="shared" si="130"/>
        <v>0.5</v>
      </c>
      <c r="R360" s="176">
        <f t="shared" si="131"/>
        <v>3.4725013072714583E-2</v>
      </c>
      <c r="S360" s="814">
        <f t="shared" si="132"/>
        <v>1</v>
      </c>
      <c r="T360" s="175">
        <f t="shared" si="133"/>
        <v>7</v>
      </c>
      <c r="U360" s="250">
        <f t="shared" si="134"/>
        <v>1.0347250130727146</v>
      </c>
      <c r="V360" s="382">
        <f t="shared" si="135"/>
        <v>23.268245899273243</v>
      </c>
      <c r="W360" s="401">
        <f t="shared" si="136"/>
        <v>0</v>
      </c>
      <c r="X360" s="157">
        <f t="shared" si="137"/>
        <v>44907</v>
      </c>
      <c r="Y360" s="384">
        <f t="shared" si="138"/>
        <v>5.1744967158870399</v>
      </c>
      <c r="Z360" s="384">
        <f t="shared" si="139"/>
        <v>5.3590753643791338</v>
      </c>
      <c r="AA360" s="385">
        <f t="shared" si="140"/>
        <v>5.7926876685391901</v>
      </c>
      <c r="AB360" s="196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7.4855115444089682E-2</v>
      </c>
      <c r="AD360" s="230">
        <f>(INDEX(Models!$BJ360:$BT360,,AH360)*(1-AF360)+INDEX(Models!$BJ360:$BT360,,AH360+1)*AF360-ERP_i)*AE360*Ramure*Pc/MaxiM</f>
        <v>5.6066283237195941E-4</v>
      </c>
      <c r="AE360" s="304">
        <f t="shared" si="142"/>
        <v>0.5</v>
      </c>
      <c r="AF360" s="176">
        <f t="shared" si="143"/>
        <v>3.4725013072714583E-2</v>
      </c>
      <c r="AG360" s="814">
        <f t="shared" si="149"/>
        <v>1</v>
      </c>
      <c r="AH360" s="175">
        <f t="shared" si="144"/>
        <v>7</v>
      </c>
      <c r="AI360" s="224">
        <f t="shared" si="145"/>
        <v>1.0347250130727146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410">
        <v>4.9590000000000005</v>
      </c>
      <c r="C361" s="843"/>
      <c r="D361" s="392">
        <f t="shared" si="127"/>
        <v>5.1360040513148348</v>
      </c>
      <c r="E361" s="384">
        <f t="shared" ref="E361:E379" si="150">Wh_pvt/(1-Psa)</f>
        <v>5.4225063858743683</v>
      </c>
      <c r="F361" s="384">
        <f t="shared" si="128"/>
        <v>5.4225063858743683</v>
      </c>
      <c r="G361" s="110">
        <f t="shared" ref="G361:G379" si="151">+Wh_hp/MaxiM</f>
        <v>0.21377160758570871</v>
      </c>
      <c r="H361" s="413" t="b">
        <f>Wh_hp&gt;='2021'!Maxi_hp</f>
        <v>0</v>
      </c>
      <c r="I361" s="379">
        <f>IF(H361,Wh_hp,'2021'!Maxi_hp)</f>
        <v>25.628630345535896</v>
      </c>
      <c r="J361" s="85">
        <f>IF(H361,An,'2021'!An_max)</f>
        <v>2021</v>
      </c>
      <c r="K361" s="196">
        <f t="shared" si="129"/>
        <v>44908</v>
      </c>
      <c r="L361" s="147">
        <f>IF(t&lt;Tvie,1-EXP((T0-t)*PertePVj)+'2021'!Pspv,1-EXP((T0-t)*PertePVj)+Pspv)</f>
        <v>3.4463378444867222E-2</v>
      </c>
      <c r="M361" s="847"/>
      <c r="N361" s="847"/>
      <c r="O361" s="48">
        <f>IF(t&lt;Tnet,'2021'!Resal+('2021'!Salim-'2021'!Resal)*(1-EXP(('2021'!Tnet-t)/('2021'!Tau_j))),Resal+(Salim-Resal)*(1-EXP((Tnet-t)/(Tau_j))))*Salcycl</f>
        <v>5.2835776331379203E-2</v>
      </c>
      <c r="P361" s="338">
        <f>(INDEX(Models!$BJ361:$BT361,,T361)*(1-R361)+INDEX(Models!$BJ361:$BT361,,T361+1)*R361-ERP_i)*Q361*Ramure*Pc/MaxiM</f>
        <v>5.56666658602032E-4</v>
      </c>
      <c r="Q361" s="304">
        <f t="shared" si="130"/>
        <v>0.5</v>
      </c>
      <c r="R361" s="176">
        <f t="shared" si="131"/>
        <v>3.4731045910940006E-2</v>
      </c>
      <c r="S361" s="814">
        <f t="shared" si="132"/>
        <v>1</v>
      </c>
      <c r="T361" s="175">
        <f t="shared" si="133"/>
        <v>7</v>
      </c>
      <c r="U361" s="250">
        <f t="shared" si="134"/>
        <v>1.03473104591094</v>
      </c>
      <c r="V361" s="382">
        <f t="shared" si="135"/>
        <v>23.18474163156985</v>
      </c>
      <c r="W361" s="401">
        <f t="shared" si="136"/>
        <v>0</v>
      </c>
      <c r="X361" s="157">
        <f t="shared" si="137"/>
        <v>44908</v>
      </c>
      <c r="Y361" s="384">
        <f t="shared" si="138"/>
        <v>4.8435339712332448</v>
      </c>
      <c r="Z361" s="384">
        <f t="shared" si="139"/>
        <v>5.0164166362038669</v>
      </c>
      <c r="AA361" s="385">
        <f t="shared" si="140"/>
        <v>5.4225063858743683</v>
      </c>
      <c r="AB361" s="196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7.4889676613081588E-2</v>
      </c>
      <c r="AD361" s="230">
        <f>(INDEX(Models!$BJ361:$BT361,,AH361)*(1-AF361)+INDEX(Models!$BJ361:$BT361,,AH361+1)*AF361-ERP_i)*AE361*Ramure*Pc/MaxiM</f>
        <v>5.56666658602032E-4</v>
      </c>
      <c r="AE361" s="304">
        <f t="shared" si="142"/>
        <v>0.5</v>
      </c>
      <c r="AF361" s="176">
        <f t="shared" si="143"/>
        <v>3.4731045910940006E-2</v>
      </c>
      <c r="AG361" s="814">
        <f t="shared" si="149"/>
        <v>1</v>
      </c>
      <c r="AH361" s="175">
        <f t="shared" si="144"/>
        <v>7</v>
      </c>
      <c r="AI361" s="224">
        <f t="shared" si="145"/>
        <v>1.03473104591094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410">
        <v>16.100999999999999</v>
      </c>
      <c r="C362" s="843"/>
      <c r="D362" s="392">
        <f t="shared" si="127"/>
        <v>16.676065788892441</v>
      </c>
      <c r="E362" s="384">
        <f t="shared" si="150"/>
        <v>17.607466657178481</v>
      </c>
      <c r="F362" s="384">
        <f t="shared" si="128"/>
        <v>17.612986284081934</v>
      </c>
      <c r="G362" s="110">
        <f t="shared" si="151"/>
        <v>0.69649660629189492</v>
      </c>
      <c r="H362" s="413" t="b">
        <f>Wh_hp&gt;='2021'!Maxi_hp</f>
        <v>0</v>
      </c>
      <c r="I362" s="379">
        <f>IF(H362,Wh_hp,'2021'!Maxi_hp)</f>
        <v>25.793549080224839</v>
      </c>
      <c r="J362" s="85">
        <f>IF(H362,An,'2021'!An_max)</f>
        <v>2021</v>
      </c>
      <c r="K362" s="196">
        <f t="shared" si="129"/>
        <v>44909</v>
      </c>
      <c r="L362" s="147">
        <f>IF(t&lt;Tvie,1-EXP((T0-t)*PertePVj)+'2021'!Pspv,1-EXP((T0-t)*PertePVj)+Pspv)</f>
        <v>3.4484499891783905E-2</v>
      </c>
      <c r="M362" s="847"/>
      <c r="N362" s="847"/>
      <c r="O362" s="48">
        <f>IF(t&lt;Tnet,'2021'!Resal+('2021'!Salim-'2021'!Resal)*(1-EXP(('2021'!Tnet-t)/('2021'!Tau_j))),Resal+(Salim-Resal)*(1-EXP((Tnet-t)/(Tau_j))))*Salcycl</f>
        <v>5.2898062306215556E-2</v>
      </c>
      <c r="P362" s="338">
        <f>(INDEX(Models!$BJ362:$BT362,,T362)*(1-R362)+INDEX(Models!$BJ362:$BT362,,T362+1)*R362-ERP_i)*Q362*Ramure*Pc/MaxiM</f>
        <v>5.530347241697051E-4</v>
      </c>
      <c r="Q362" s="304">
        <f t="shared" si="130"/>
        <v>0.5</v>
      </c>
      <c r="R362" s="176">
        <f t="shared" si="131"/>
        <v>3.473683607748157E-2</v>
      </c>
      <c r="S362" s="814">
        <f t="shared" si="132"/>
        <v>1</v>
      </c>
      <c r="T362" s="175">
        <f t="shared" si="133"/>
        <v>7</v>
      </c>
      <c r="U362" s="250">
        <f t="shared" si="134"/>
        <v>1.0347368360774816</v>
      </c>
      <c r="V362" s="382">
        <f t="shared" si="135"/>
        <v>23.111584503899504</v>
      </c>
      <c r="W362" s="401">
        <f t="shared" si="136"/>
        <v>0</v>
      </c>
      <c r="X362" s="157">
        <f t="shared" si="137"/>
        <v>44909</v>
      </c>
      <c r="Y362" s="384">
        <f t="shared" si="138"/>
        <v>15.726534208728584</v>
      </c>
      <c r="Z362" s="384">
        <f t="shared" si="139"/>
        <v>16.288225519907176</v>
      </c>
      <c r="AA362" s="385">
        <f t="shared" si="140"/>
        <v>17.607466657178481</v>
      </c>
      <c r="AB362" s="196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7.4925096435349947E-2</v>
      </c>
      <c r="AD362" s="230">
        <f>(INDEX(Models!$BJ362:$BT362,,AH362)*(1-AF362)+INDEX(Models!$BJ362:$BT362,,AH362+1)*AF362-ERP_i)*AE362*Ramure*Pc/MaxiM</f>
        <v>5.530347241697051E-4</v>
      </c>
      <c r="AE362" s="304">
        <f t="shared" si="142"/>
        <v>0.5</v>
      </c>
      <c r="AF362" s="176">
        <f t="shared" si="143"/>
        <v>3.473683607748157E-2</v>
      </c>
      <c r="AG362" s="814">
        <f t="shared" si="149"/>
        <v>1</v>
      </c>
      <c r="AH362" s="175">
        <f t="shared" si="144"/>
        <v>7</v>
      </c>
      <c r="AI362" s="224">
        <f t="shared" si="145"/>
        <v>1.0347368360774816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410">
        <v>5.8760000000000003</v>
      </c>
      <c r="C363" s="843"/>
      <c r="D363" s="392">
        <f t="shared" si="127"/>
        <v>6.0860012518476445</v>
      </c>
      <c r="E363" s="384">
        <f t="shared" si="150"/>
        <v>6.4263461453721913</v>
      </c>
      <c r="F363" s="384">
        <f t="shared" si="128"/>
        <v>6.4263461453721913</v>
      </c>
      <c r="G363" s="110">
        <f t="shared" si="151"/>
        <v>0.25479568516014434</v>
      </c>
      <c r="H363" s="413" t="b">
        <f>Wh_hp&gt;='2021'!Maxi_hp</f>
        <v>0</v>
      </c>
      <c r="I363" s="379">
        <f>IF(H363,Wh_hp,'2021'!Maxi_hp)</f>
        <v>25.480565606345994</v>
      </c>
      <c r="J363" s="85">
        <f>IF(H363,An,'2021'!An_max)</f>
        <v>2019</v>
      </c>
      <c r="K363" s="196">
        <f t="shared" si="129"/>
        <v>44910</v>
      </c>
      <c r="L363" s="147">
        <f>IF(t&lt;Tvie,1-EXP((T0-t)*PertePVj)+'2021'!Pspv,1-EXP((T0-t)*PertePVj)+Pspv)</f>
        <v>3.4505620876086752E-2</v>
      </c>
      <c r="M363" s="847"/>
      <c r="N363" s="847"/>
      <c r="O363" s="48">
        <f>IF(t&lt;Tnet,'2021'!Resal+('2021'!Salim-'2021'!Resal)*(1-EXP(('2021'!Tnet-t)/('2021'!Tau_j))),Resal+(Salim-Resal)*(1-EXP((Tnet-t)/(Tau_j))))*Salcycl</f>
        <v>5.2960871671943792E-2</v>
      </c>
      <c r="P363" s="338">
        <f>(INDEX(Models!$BJ363:$BT363,,T363)*(1-R363)+INDEX(Models!$BJ363:$BT363,,T363+1)*R363-ERP_i)*Q363*Ramure*Pc/MaxiM</f>
        <v>5.4976260872930608E-4</v>
      </c>
      <c r="Q363" s="304">
        <f t="shared" si="130"/>
        <v>0.5</v>
      </c>
      <c r="R363" s="176">
        <f t="shared" si="131"/>
        <v>3.4742393325035703E-2</v>
      </c>
      <c r="S363" s="814">
        <f t="shared" si="132"/>
        <v>1</v>
      </c>
      <c r="T363" s="175">
        <f t="shared" si="133"/>
        <v>7</v>
      </c>
      <c r="U363" s="250">
        <f t="shared" si="134"/>
        <v>1.0347423933250357</v>
      </c>
      <c r="V363" s="382">
        <f t="shared" si="135"/>
        <v>23.048936606677426</v>
      </c>
      <c r="W363" s="401">
        <f t="shared" si="136"/>
        <v>0</v>
      </c>
      <c r="X363" s="157">
        <f t="shared" si="137"/>
        <v>44910</v>
      </c>
      <c r="Y363" s="384">
        <f t="shared" si="138"/>
        <v>5.7394959324002048</v>
      </c>
      <c r="Z363" s="384">
        <f t="shared" si="139"/>
        <v>5.9446186912120673</v>
      </c>
      <c r="AA363" s="385">
        <f t="shared" si="140"/>
        <v>6.4263461453721913</v>
      </c>
      <c r="AB363" s="196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7.4961330009749139E-2</v>
      </c>
      <c r="AD363" s="230">
        <f>(INDEX(Models!$BJ363:$BT363,,AH363)*(1-AF363)+INDEX(Models!$BJ363:$BT363,,AH363+1)*AF363-ERP_i)*AE363*Ramure*Pc/MaxiM</f>
        <v>5.4976260872930608E-4</v>
      </c>
      <c r="AE363" s="304">
        <f t="shared" si="142"/>
        <v>0.5</v>
      </c>
      <c r="AF363" s="176">
        <f t="shared" si="143"/>
        <v>3.4742393325035703E-2</v>
      </c>
      <c r="AG363" s="814">
        <f t="shared" si="149"/>
        <v>1</v>
      </c>
      <c r="AH363" s="175">
        <f t="shared" si="144"/>
        <v>7</v>
      </c>
      <c r="AI363" s="224">
        <f t="shared" si="145"/>
        <v>1.0347423933250357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410">
        <v>4.8630000000000004</v>
      </c>
      <c r="C364" s="843"/>
      <c r="D364" s="392">
        <f t="shared" si="127"/>
        <v>5.0369080206742538</v>
      </c>
      <c r="E364" s="384">
        <f t="shared" si="150"/>
        <v>5.3189404420936306</v>
      </c>
      <c r="F364" s="384">
        <f t="shared" si="128"/>
        <v>5.3189404420936306</v>
      </c>
      <c r="G364" s="110">
        <f t="shared" si="151"/>
        <v>0.21134709569200671</v>
      </c>
      <c r="H364" s="413" t="b">
        <f>Wh_hp&gt;='2021'!Maxi_hp</f>
        <v>0</v>
      </c>
      <c r="I364" s="379">
        <f>IF(H364,Wh_hp,'2021'!Maxi_hp)</f>
        <v>25.377084616872267</v>
      </c>
      <c r="J364" s="85">
        <f>IF(H364,An,'2021'!An_max)</f>
        <v>2021</v>
      </c>
      <c r="K364" s="196">
        <f t="shared" si="129"/>
        <v>44911</v>
      </c>
      <c r="L364" s="147">
        <f>IF(t&lt;Tvie,1-EXP((T0-t)*PertePVj)+'2021'!Pspv,1-EXP((T0-t)*PertePVj)+Pspv)</f>
        <v>3.4526741397785866E-2</v>
      </c>
      <c r="M364" s="847"/>
      <c r="N364" s="847"/>
      <c r="O364" s="48">
        <f>IF(t&lt;Tnet,'2021'!Resal+('2021'!Salim-'2021'!Resal)*(1-EXP(('2021'!Tnet-t)/('2021'!Tau_j))),Resal+(Salim-Resal)*(1-EXP((Tnet-t)/(Tau_j))))*Salcycl</f>
        <v>5.3024173609352153E-2</v>
      </c>
      <c r="P364" s="338">
        <f>(INDEX(Models!$BJ364:$BT364,,T364)*(1-R364)+INDEX(Models!$BJ364:$BT364,,T364+1)*R364-ERP_i)*Q364*Ramure*Pc/MaxiM</f>
        <v>5.4684552217261907E-4</v>
      </c>
      <c r="Q364" s="304">
        <f t="shared" si="130"/>
        <v>0.5</v>
      </c>
      <c r="R364" s="176">
        <f t="shared" si="131"/>
        <v>3.4747727015042695E-2</v>
      </c>
      <c r="S364" s="814">
        <f t="shared" si="132"/>
        <v>1</v>
      </c>
      <c r="T364" s="175">
        <f t="shared" si="133"/>
        <v>7</v>
      </c>
      <c r="U364" s="250">
        <f t="shared" si="134"/>
        <v>1.0347477270150427</v>
      </c>
      <c r="V364" s="382">
        <f t="shared" si="135"/>
        <v>22.996959926568302</v>
      </c>
      <c r="W364" s="401">
        <f t="shared" si="136"/>
        <v>0</v>
      </c>
      <c r="X364" s="157">
        <f t="shared" si="137"/>
        <v>44911</v>
      </c>
      <c r="Y364" s="384">
        <f t="shared" si="138"/>
        <v>4.7501562205197017</v>
      </c>
      <c r="Z364" s="384">
        <f t="shared" si="139"/>
        <v>4.9200287819435298</v>
      </c>
      <c r="AA364" s="385">
        <f t="shared" si="140"/>
        <v>5.3189404420936306</v>
      </c>
      <c r="AB364" s="196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7.49983318093108E-2</v>
      </c>
      <c r="AD364" s="230">
        <f>(INDEX(Models!$BJ364:$BT364,,AH364)*(1-AF364)+INDEX(Models!$BJ364:$BT364,,AH364+1)*AF364-ERP_i)*AE364*Ramure*Pc/MaxiM</f>
        <v>5.4684552217261907E-4</v>
      </c>
      <c r="AE364" s="304">
        <f t="shared" si="142"/>
        <v>0.5</v>
      </c>
      <c r="AF364" s="176">
        <f t="shared" si="143"/>
        <v>3.4747727015042695E-2</v>
      </c>
      <c r="AG364" s="814">
        <f t="shared" si="149"/>
        <v>1</v>
      </c>
      <c r="AH364" s="175">
        <f t="shared" si="144"/>
        <v>7</v>
      </c>
      <c r="AI364" s="224">
        <f t="shared" si="145"/>
        <v>1.0347477270150427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410">
        <v>2.8740000000000001</v>
      </c>
      <c r="C365" s="843"/>
      <c r="D365" s="392">
        <f t="shared" si="127"/>
        <v>2.9768435795656716</v>
      </c>
      <c r="E365" s="384">
        <f t="shared" si="150"/>
        <v>3.1437381524563768</v>
      </c>
      <c r="F365" s="384">
        <f t="shared" si="128"/>
        <v>3.1437381524563768</v>
      </c>
      <c r="G365" s="110">
        <f t="shared" si="151"/>
        <v>0.12512888675179765</v>
      </c>
      <c r="H365" s="413" t="b">
        <f>Wh_hp&gt;='2021'!Maxi_hp</f>
        <v>0</v>
      </c>
      <c r="I365" s="379">
        <f>IF(H365,Wh_hp,'2021'!Maxi_hp)</f>
        <v>25.511567876955379</v>
      </c>
      <c r="J365" s="85">
        <f>IF(H365,An,'2021'!An_max)</f>
        <v>2021</v>
      </c>
      <c r="K365" s="196">
        <f t="shared" si="129"/>
        <v>44912</v>
      </c>
      <c r="L365" s="147">
        <f>IF(t&lt;Tvie,1-EXP((T0-t)*PertePVj)+'2021'!Pspv,1-EXP((T0-t)*PertePVj)+Pspv)</f>
        <v>3.454786145689135E-2</v>
      </c>
      <c r="M365" s="847"/>
      <c r="N365" s="847"/>
      <c r="O365" s="48">
        <f>IF(t&lt;Tnet,'2021'!Resal+('2021'!Salim-'2021'!Resal)*(1-EXP(('2021'!Tnet-t)/('2021'!Tau_j))),Resal+(Salim-Resal)*(1-EXP((Tnet-t)/(Tau_j))))*Salcycl</f>
        <v>5.3087936970927847E-2</v>
      </c>
      <c r="P365" s="338">
        <f>(INDEX(Models!$BJ365:$BT365,,T365)*(1-R365)+INDEX(Models!$BJ365:$BT365,,T365+1)*R365-ERP_i)*Q365*Ramure*Pc/MaxiM</f>
        <v>5.4427829488435655E-4</v>
      </c>
      <c r="Q365" s="304">
        <f t="shared" si="130"/>
        <v>0.5</v>
      </c>
      <c r="R365" s="176">
        <f t="shared" si="131"/>
        <v>3.4752846133330184E-2</v>
      </c>
      <c r="S365" s="814">
        <f t="shared" si="132"/>
        <v>1</v>
      </c>
      <c r="T365" s="175">
        <f t="shared" si="133"/>
        <v>7</v>
      </c>
      <c r="U365" s="250">
        <f t="shared" si="134"/>
        <v>1.0347528461333302</v>
      </c>
      <c r="V365" s="382">
        <f t="shared" si="135"/>
        <v>22.955816348611734</v>
      </c>
      <c r="W365" s="401">
        <f t="shared" si="136"/>
        <v>0</v>
      </c>
      <c r="X365" s="157">
        <f t="shared" si="137"/>
        <v>44912</v>
      </c>
      <c r="Y365" s="384">
        <f t="shared" si="138"/>
        <v>2.8073846335974215</v>
      </c>
      <c r="Z365" s="384">
        <f t="shared" si="139"/>
        <v>2.9078444404647907</v>
      </c>
      <c r="AA365" s="385">
        <f t="shared" si="140"/>
        <v>3.1437381524563768</v>
      </c>
      <c r="AB365" s="196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7.5036055979175439E-2</v>
      </c>
      <c r="AD365" s="230">
        <f>(INDEX(Models!$BJ365:$BT365,,AH365)*(1-AF365)+INDEX(Models!$BJ365:$BT365,,AH365+1)*AF365-ERP_i)*AE365*Ramure*Pc/MaxiM</f>
        <v>5.4427829488435655E-4</v>
      </c>
      <c r="AE365" s="304">
        <f t="shared" si="142"/>
        <v>0.5</v>
      </c>
      <c r="AF365" s="176">
        <f t="shared" si="143"/>
        <v>3.4752846133330184E-2</v>
      </c>
      <c r="AG365" s="814">
        <f t="shared" si="149"/>
        <v>1</v>
      </c>
      <c r="AH365" s="175">
        <f t="shared" si="144"/>
        <v>7</v>
      </c>
      <c r="AI365" s="224">
        <f t="shared" si="145"/>
        <v>1.0347528461333302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410">
        <v>19.042999999999999</v>
      </c>
      <c r="C366" s="843"/>
      <c r="D366" s="392">
        <f t="shared" si="127"/>
        <v>19.724868609233663</v>
      </c>
      <c r="E366" s="384">
        <f t="shared" si="150"/>
        <v>20.832141302024457</v>
      </c>
      <c r="F366" s="384">
        <f t="shared" si="128"/>
        <v>20.840708639345607</v>
      </c>
      <c r="G366" s="110">
        <f t="shared" si="151"/>
        <v>0.83053218885434021</v>
      </c>
      <c r="H366" s="413" t="b">
        <f>Wh_hp&gt;='2021'!Maxi_hp</f>
        <v>0</v>
      </c>
      <c r="I366" s="379">
        <f>IF(H366,Wh_hp,'2021'!Maxi_hp)</f>
        <v>25.730204802155043</v>
      </c>
      <c r="J366" s="85">
        <f>IF(H366,An,'2021'!An_max)</f>
        <v>2021</v>
      </c>
      <c r="K366" s="196">
        <f t="shared" si="129"/>
        <v>44913</v>
      </c>
      <c r="L366" s="147">
        <f>IF(t&lt;Tvie,1-EXP((T0-t)*PertePVj)+'2021'!Pspv,1-EXP((T0-t)*PertePVj)+Pspv)</f>
        <v>3.4568981053413307E-2</v>
      </c>
      <c r="M366" s="847"/>
      <c r="N366" s="847"/>
      <c r="O366" s="48">
        <f>IF(t&lt;Tnet,'2021'!Resal+('2021'!Salim-'2021'!Resal)*(1-EXP(('2021'!Tnet-t)/('2021'!Tau_j))),Resal+(Salim-Resal)*(1-EXP((Tnet-t)/(Tau_j))))*Salcycl</f>
        <v>5.3152130486134333E-2</v>
      </c>
      <c r="P366" s="338">
        <f>(INDEX(Models!$BJ366:$BT366,,T366)*(1-R366)+INDEX(Models!$BJ366:$BT366,,T366+1)*R366-ERP_i)*Q366*Ramure*Pc/MaxiM</f>
        <v>5.4228856362445097E-4</v>
      </c>
      <c r="Q366" s="304">
        <f t="shared" si="130"/>
        <v>0.5</v>
      </c>
      <c r="R366" s="176">
        <f t="shared" si="131"/>
        <v>3.4757759305131808E-2</v>
      </c>
      <c r="S366" s="814">
        <f t="shared" si="132"/>
        <v>1</v>
      </c>
      <c r="T366" s="175">
        <f t="shared" si="133"/>
        <v>7</v>
      </c>
      <c r="U366" s="250">
        <f t="shared" si="134"/>
        <v>1.0347577593051318</v>
      </c>
      <c r="V366" s="382">
        <f t="shared" si="135"/>
        <v>22.925662304448778</v>
      </c>
      <c r="W366" s="401">
        <f t="shared" si="136"/>
        <v>0</v>
      </c>
      <c r="X366" s="157">
        <f t="shared" si="137"/>
        <v>44913</v>
      </c>
      <c r="Y366" s="384">
        <f t="shared" si="138"/>
        <v>18.602098277410938</v>
      </c>
      <c r="Z366" s="384">
        <f t="shared" si="139"/>
        <v>19.268179613400338</v>
      </c>
      <c r="AA366" s="385">
        <f t="shared" si="140"/>
        <v>20.832141302024457</v>
      </c>
      <c r="AB366" s="196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7.5074456626891925E-2</v>
      </c>
      <c r="AD366" s="230">
        <f>(INDEX(Models!$BJ366:$BT366,,AH366)*(1-AF366)+INDEX(Models!$BJ366:$BT366,,AH366+1)*AF366-ERP_i)*AE366*Ramure*Pc/MaxiM</f>
        <v>5.4228856362445097E-4</v>
      </c>
      <c r="AE366" s="304">
        <f t="shared" si="142"/>
        <v>0.5</v>
      </c>
      <c r="AF366" s="176">
        <f t="shared" si="143"/>
        <v>3.4757759305131808E-2</v>
      </c>
      <c r="AG366" s="814">
        <f t="shared" si="149"/>
        <v>1</v>
      </c>
      <c r="AH366" s="175">
        <f t="shared" si="144"/>
        <v>7</v>
      </c>
      <c r="AI366" s="224">
        <f t="shared" si="145"/>
        <v>1.0347577593051318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410">
        <v>17.902000000000001</v>
      </c>
      <c r="C367" s="843"/>
      <c r="D367" s="392">
        <f t="shared" si="127"/>
        <v>18.543418711030757</v>
      </c>
      <c r="E367" s="384">
        <f t="shared" si="150"/>
        <v>19.585705790048653</v>
      </c>
      <c r="F367" s="384">
        <f t="shared" si="128"/>
        <v>19.592991564846962</v>
      </c>
      <c r="G367" s="110">
        <f t="shared" si="151"/>
        <v>0.78138731656413851</v>
      </c>
      <c r="H367" s="413" t="b">
        <f>Wh_hp&gt;='2021'!Maxi_hp</f>
        <v>0</v>
      </c>
      <c r="I367" s="379">
        <f>IF(H367,Wh_hp,'2021'!Maxi_hp)</f>
        <v>25.266435662050515</v>
      </c>
      <c r="J367" s="85">
        <f>IF(H367,An,'2021'!An_max)</f>
        <v>2021</v>
      </c>
      <c r="K367" s="196">
        <f t="shared" si="129"/>
        <v>44914</v>
      </c>
      <c r="L367" s="147">
        <f>IF(t&lt;Tvie,1-EXP((T0-t)*PertePVj)+'2021'!Pspv,1-EXP((T0-t)*PertePVj)+Pspv)</f>
        <v>3.4590100187361951E-2</v>
      </c>
      <c r="M367" s="847"/>
      <c r="N367" s="847"/>
      <c r="O367" s="48">
        <f>IF(t&lt;Tnet,'2021'!Resal+('2021'!Salim-'2021'!Resal)*(1-EXP(('2021'!Tnet-t)/('2021'!Tau_j))),Resal+(Salim-Resal)*(1-EXP((Tnet-t)/(Tau_j))))*Salcycl</f>
        <v>5.3216722960653974E-2</v>
      </c>
      <c r="P367" s="338">
        <f>(INDEX(Models!$BJ367:$BT367,,T367)*(1-R367)+INDEX(Models!$BJ367:$BT367,,T367+1)*R367-ERP_i)*Q367*Ramure*Pc/MaxiM</f>
        <v>5.4057928494214823E-4</v>
      </c>
      <c r="Q367" s="304">
        <f t="shared" si="130"/>
        <v>0.5</v>
      </c>
      <c r="R367" s="176">
        <f t="shared" si="131"/>
        <v>3.4762474809511446E-2</v>
      </c>
      <c r="S367" s="814">
        <f t="shared" si="132"/>
        <v>1</v>
      </c>
      <c r="T367" s="175">
        <f t="shared" si="133"/>
        <v>7</v>
      </c>
      <c r="U367" s="250">
        <f t="shared" si="134"/>
        <v>1.0347624748095114</v>
      </c>
      <c r="V367" s="382">
        <f t="shared" si="135"/>
        <v>22.906666151038316</v>
      </c>
      <c r="W367" s="401">
        <f t="shared" si="136"/>
        <v>0</v>
      </c>
      <c r="X367" s="157">
        <f t="shared" si="137"/>
        <v>44914</v>
      </c>
      <c r="Y367" s="384">
        <f t="shared" si="138"/>
        <v>17.48797083505336</v>
      </c>
      <c r="Z367" s="384">
        <f t="shared" si="139"/>
        <v>18.11455511119923</v>
      </c>
      <c r="AA367" s="385">
        <f t="shared" si="140"/>
        <v>19.585705790048653</v>
      </c>
      <c r="AB367" s="196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7.5113488102986847E-2</v>
      </c>
      <c r="AD367" s="230">
        <f>(INDEX(Models!$BJ367:$BT367,,AH367)*(1-AF367)+INDEX(Models!$BJ367:$BT367,,AH367+1)*AF367-ERP_i)*AE367*Ramure*Pc/MaxiM</f>
        <v>5.4057928494214823E-4</v>
      </c>
      <c r="AE367" s="304">
        <f t="shared" si="142"/>
        <v>0.5</v>
      </c>
      <c r="AF367" s="176">
        <f t="shared" si="143"/>
        <v>3.4762474809511446E-2</v>
      </c>
      <c r="AG367" s="814">
        <f t="shared" si="149"/>
        <v>1</v>
      </c>
      <c r="AH367" s="175">
        <f t="shared" si="144"/>
        <v>7</v>
      </c>
      <c r="AI367" s="224">
        <f t="shared" si="145"/>
        <v>1.0347624748095114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410">
        <v>3.5529999999999999</v>
      </c>
      <c r="C368" s="843"/>
      <c r="D368" s="392">
        <f t="shared" si="127"/>
        <v>3.6803825250587163</v>
      </c>
      <c r="E368" s="384">
        <f t="shared" si="150"/>
        <v>3.8875159176609211</v>
      </c>
      <c r="F368" s="384">
        <f t="shared" si="128"/>
        <v>3.8875159176609211</v>
      </c>
      <c r="G368" s="110">
        <f t="shared" si="151"/>
        <v>0.15507603208784365</v>
      </c>
      <c r="H368" s="413" t="b">
        <f>Wh_hp&gt;='2021'!Maxi_hp</f>
        <v>0</v>
      </c>
      <c r="I368" s="379">
        <f>IF(H368,Wh_hp,'2021'!Maxi_hp)</f>
        <v>25.824781167990668</v>
      </c>
      <c r="J368" s="85">
        <f>IF(H368,An,'2021'!An_max)</f>
        <v>2021</v>
      </c>
      <c r="K368" s="196">
        <f t="shared" si="129"/>
        <v>44915</v>
      </c>
      <c r="L368" s="147">
        <f>IF(t&lt;Tvie,1-EXP((T0-t)*PertePVj)+'2021'!Pspv,1-EXP((T0-t)*PertePVj)+Pspv)</f>
        <v>3.4611218858747274E-2</v>
      </c>
      <c r="M368" s="847"/>
      <c r="N368" s="847"/>
      <c r="O368" s="48">
        <f>IF(t&lt;Tnet,'2021'!Resal+('2021'!Salim-'2021'!Resal)*(1-EXP(('2021'!Tnet-t)/('2021'!Tau_j))),Resal+(Salim-Resal)*(1-EXP((Tnet-t)/(Tau_j))))*Salcycl</f>
        <v>5.3281683468150258E-2</v>
      </c>
      <c r="P368" s="338">
        <f>(INDEX(Models!$BJ368:$BT368,,T368)*(1-R368)+INDEX(Models!$BJ368:$BT368,,T368+1)*R368-ERP_i)*Q368*Ramure*Pc/MaxiM</f>
        <v>5.3914401552158648E-4</v>
      </c>
      <c r="Q368" s="304">
        <f t="shared" si="130"/>
        <v>0.5</v>
      </c>
      <c r="R368" s="176">
        <f t="shared" si="131"/>
        <v>3.4767000593214359E-2</v>
      </c>
      <c r="S368" s="814">
        <f t="shared" si="132"/>
        <v>1</v>
      </c>
      <c r="T368" s="175">
        <f t="shared" si="133"/>
        <v>7</v>
      </c>
      <c r="U368" s="250">
        <f t="shared" si="134"/>
        <v>1.0347670005932144</v>
      </c>
      <c r="V368" s="382">
        <f t="shared" si="135"/>
        <v>22.898989440878399</v>
      </c>
      <c r="W368" s="401">
        <f t="shared" si="136"/>
        <v>0</v>
      </c>
      <c r="X368" s="157">
        <f t="shared" si="137"/>
        <v>44915</v>
      </c>
      <c r="Y368" s="384">
        <f t="shared" si="138"/>
        <v>3.4709173358069032</v>
      </c>
      <c r="Z368" s="384">
        <f t="shared" si="139"/>
        <v>3.5953570246628432</v>
      </c>
      <c r="AA368" s="385">
        <f t="shared" si="140"/>
        <v>3.8875159176609211</v>
      </c>
      <c r="AB368" s="196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7.5153105269821427E-2</v>
      </c>
      <c r="AD368" s="230">
        <f>(INDEX(Models!$BJ368:$BT368,,AH368)*(1-AF368)+INDEX(Models!$BJ368:$BT368,,AH368+1)*AF368-ERP_i)*AE368*Ramure*Pc/MaxiM</f>
        <v>5.3914401552158648E-4</v>
      </c>
      <c r="AE368" s="304">
        <f t="shared" si="142"/>
        <v>0.5</v>
      </c>
      <c r="AF368" s="176">
        <f t="shared" si="143"/>
        <v>3.4767000593214359E-2</v>
      </c>
      <c r="AG368" s="814">
        <f t="shared" si="149"/>
        <v>1</v>
      </c>
      <c r="AH368" s="175">
        <f t="shared" si="144"/>
        <v>7</v>
      </c>
      <c r="AI368" s="224">
        <f t="shared" si="145"/>
        <v>1.0347670005932144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410">
        <v>21.161999999999999</v>
      </c>
      <c r="C369" s="843"/>
      <c r="D369" s="392">
        <f t="shared" si="127"/>
        <v>21.921181755475295</v>
      </c>
      <c r="E369" s="384">
        <f t="shared" si="150"/>
        <v>23.156511760749098</v>
      </c>
      <c r="F369" s="384">
        <f t="shared" si="128"/>
        <v>23.167622051420128</v>
      </c>
      <c r="G369" s="110">
        <f t="shared" si="151"/>
        <v>0.9239380828372189</v>
      </c>
      <c r="H369" s="413" t="b">
        <f>Wh_hp&gt;='2021'!Maxi_hp</f>
        <v>1</v>
      </c>
      <c r="I369" s="379">
        <f>IF(H369,Wh_hp,'2021'!Maxi_hp)</f>
        <v>23.167622051420128</v>
      </c>
      <c r="J369" s="85">
        <f>IF(H369,An,'2021'!An_max)</f>
        <v>2022</v>
      </c>
      <c r="K369" s="196">
        <f t="shared" si="129"/>
        <v>44916</v>
      </c>
      <c r="L369" s="147">
        <f>IF(t&lt;Tvie,1-EXP((T0-t)*PertePVj)+'2021'!Pspv,1-EXP((T0-t)*PertePVj)+Pspv)</f>
        <v>3.4632337067579601E-2</v>
      </c>
      <c r="M369" s="847"/>
      <c r="N369" s="847"/>
      <c r="O369" s="48">
        <f>IF(t&lt;Tnet,'2021'!Resal+('2021'!Salim-'2021'!Resal)*(1-EXP(('2021'!Tnet-t)/('2021'!Tau_j))),Resal+(Salim-Resal)*(1-EXP((Tnet-t)/(Tau_j))))*Salcycl</f>
        <v>5.3346981533190993E-2</v>
      </c>
      <c r="P369" s="338">
        <f>(INDEX(Models!$BJ369:$BT369,,T369)*(1-R369)+INDEX(Models!$BJ369:$BT369,,T369+1)*R369-ERP_i)*Q369*Ramure*Pc/MaxiM</f>
        <v>5.3797602492624121E-4</v>
      </c>
      <c r="Q369" s="304">
        <f t="shared" si="130"/>
        <v>0.5</v>
      </c>
      <c r="R369" s="176">
        <f t="shared" si="131"/>
        <v>3.4771344283966554E-2</v>
      </c>
      <c r="S369" s="814">
        <f t="shared" si="132"/>
        <v>1</v>
      </c>
      <c r="T369" s="175">
        <f t="shared" si="133"/>
        <v>7</v>
      </c>
      <c r="U369" s="250">
        <f t="shared" si="134"/>
        <v>1.0347713442839666</v>
      </c>
      <c r="V369" s="382">
        <f t="shared" si="135"/>
        <v>22.902793621837542</v>
      </c>
      <c r="W369" s="401">
        <f t="shared" si="136"/>
        <v>0</v>
      </c>
      <c r="X369" s="157">
        <f t="shared" si="137"/>
        <v>44916</v>
      </c>
      <c r="Y369" s="384">
        <f t="shared" si="138"/>
        <v>20.673636243270419</v>
      </c>
      <c r="Z369" s="384">
        <f t="shared" si="139"/>
        <v>21.415298064233642</v>
      </c>
      <c r="AA369" s="385">
        <f t="shared" si="140"/>
        <v>23.156511760749098</v>
      </c>
      <c r="AB369" s="196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7.5193263756886758E-2</v>
      </c>
      <c r="AD369" s="230">
        <f>(INDEX(Models!$BJ369:$BT369,,AH369)*(1-AF369)+INDEX(Models!$BJ369:$BT369,,AH369+1)*AF369-ERP_i)*AE369*Ramure*Pc/MaxiM</f>
        <v>5.3797602492624121E-4</v>
      </c>
      <c r="AE369" s="304">
        <f t="shared" si="142"/>
        <v>0.5</v>
      </c>
      <c r="AF369" s="176">
        <f t="shared" si="143"/>
        <v>3.4771344283966554E-2</v>
      </c>
      <c r="AG369" s="814">
        <f t="shared" si="149"/>
        <v>1</v>
      </c>
      <c r="AH369" s="175">
        <f t="shared" si="144"/>
        <v>7</v>
      </c>
      <c r="AI369" s="224">
        <f t="shared" si="145"/>
        <v>1.0347713442839666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410">
        <v>18.478999999999999</v>
      </c>
      <c r="C370" s="843"/>
      <c r="D370" s="392">
        <f t="shared" si="127"/>
        <v>19.142348509091121</v>
      </c>
      <c r="E370" s="384">
        <f t="shared" si="150"/>
        <v>20.222483684388688</v>
      </c>
      <c r="F370" s="384">
        <f t="shared" si="128"/>
        <v>20.230342253974886</v>
      </c>
      <c r="G370" s="110">
        <f t="shared" si="151"/>
        <v>0.80618113245940581</v>
      </c>
      <c r="H370" s="413" t="b">
        <f>Wh_hp&gt;='2021'!Maxi_hp</f>
        <v>0</v>
      </c>
      <c r="I370" s="379">
        <f>IF(H370,Wh_hp,'2021'!Maxi_hp)</f>
        <v>25.028510849440355</v>
      </c>
      <c r="J370" s="85">
        <f>IF(H370,An,'2021'!An_max)</f>
        <v>2021</v>
      </c>
      <c r="K370" s="196">
        <f t="shared" si="129"/>
        <v>44917</v>
      </c>
      <c r="L370" s="147">
        <f>IF(t&lt;Tvie,1-EXP((T0-t)*PertePVj)+'2021'!Pspv,1-EXP((T0-t)*PertePVj)+Pspv)</f>
        <v>3.4653454813868924E-2</v>
      </c>
      <c r="M370" s="847"/>
      <c r="N370" s="847"/>
      <c r="O370" s="48">
        <f>IF(t&lt;Tnet,'2021'!Resal+('2021'!Salim-'2021'!Resal)*(1-EXP(('2021'!Tnet-t)/('2021'!Tau_j))),Resal+(Salim-Resal)*(1-EXP((Tnet-t)/(Tau_j))))*Salcycl</f>
        <v>5.3412587304071162E-2</v>
      </c>
      <c r="P370" s="338">
        <f>(INDEX(Models!$BJ370:$BT370,,T370)*(1-R370)+INDEX(Models!$BJ370:$BT370,,T370+1)*R370-ERP_i)*Q370*Ramure*Pc/MaxiM</f>
        <v>5.3706830376295742E-4</v>
      </c>
      <c r="Q370" s="304">
        <f t="shared" si="130"/>
        <v>0.5</v>
      </c>
      <c r="R370" s="176">
        <f t="shared" si="131"/>
        <v>3.4775513203245012E-2</v>
      </c>
      <c r="S370" s="814">
        <f t="shared" si="132"/>
        <v>1</v>
      </c>
      <c r="T370" s="175">
        <f t="shared" si="133"/>
        <v>7</v>
      </c>
      <c r="U370" s="250">
        <f t="shared" si="134"/>
        <v>1.034775513203245</v>
      </c>
      <c r="V370" s="382">
        <f t="shared" si="135"/>
        <v>22.918240028606199</v>
      </c>
      <c r="W370" s="401">
        <f t="shared" si="136"/>
        <v>0</v>
      </c>
      <c r="X370" s="157">
        <f t="shared" si="137"/>
        <v>44917</v>
      </c>
      <c r="Y370" s="384">
        <f t="shared" si="138"/>
        <v>18.053010381723894</v>
      </c>
      <c r="Z370" s="384">
        <f t="shared" si="139"/>
        <v>18.701066960614693</v>
      </c>
      <c r="AA370" s="385">
        <f t="shared" si="140"/>
        <v>20.222483684388688</v>
      </c>
      <c r="AB370" s="196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7.5233920200835497E-2</v>
      </c>
      <c r="AD370" s="230">
        <f>(INDEX(Models!$BJ370:$BT370,,AH370)*(1-AF370)+INDEX(Models!$BJ370:$BT370,,AH370+1)*AF370-ERP_i)*AE370*Ramure*Pc/MaxiM</f>
        <v>5.3706830376295742E-4</v>
      </c>
      <c r="AE370" s="304">
        <f t="shared" si="142"/>
        <v>0.5</v>
      </c>
      <c r="AF370" s="176">
        <f t="shared" si="143"/>
        <v>3.4775513203245012E-2</v>
      </c>
      <c r="AG370" s="814">
        <f t="shared" si="149"/>
        <v>1</v>
      </c>
      <c r="AH370" s="175">
        <f t="shared" si="144"/>
        <v>7</v>
      </c>
      <c r="AI370" s="224">
        <f t="shared" si="145"/>
        <v>1.034775513203245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410">
        <v>19.3</v>
      </c>
      <c r="C371" s="843"/>
      <c r="D371" s="392">
        <f t="shared" si="127"/>
        <v>19.993257653989666</v>
      </c>
      <c r="E371" s="384">
        <f t="shared" si="150"/>
        <v>21.122876824790623</v>
      </c>
      <c r="F371" s="384">
        <f t="shared" si="128"/>
        <v>21.131639372627937</v>
      </c>
      <c r="G371" s="110">
        <f t="shared" si="151"/>
        <v>0.84102145426234332</v>
      </c>
      <c r="H371" s="413" t="b">
        <f>Wh_hp&gt;='2021'!Maxi_hp</f>
        <v>0</v>
      </c>
      <c r="I371" s="379">
        <f>IF(H371,Wh_hp,'2021'!Maxi_hp)</f>
        <v>21.278593952413768</v>
      </c>
      <c r="J371" s="85">
        <f>IF(H371,An,'2021'!An_max)</f>
        <v>2020</v>
      </c>
      <c r="K371" s="196">
        <f t="shared" si="129"/>
        <v>44918</v>
      </c>
      <c r="L371" s="147">
        <f>IF(t&lt;Tvie,1-EXP((T0-t)*PertePVj)+'2021'!Pspv,1-EXP((T0-t)*PertePVj)+Pspv)</f>
        <v>3.4674572097625346E-2</v>
      </c>
      <c r="M371" s="847"/>
      <c r="N371" s="847"/>
      <c r="O371" s="48">
        <f>IF(t&lt;Tnet,'2021'!Resal+('2021'!Salim-'2021'!Resal)*(1-EXP(('2021'!Tnet-t)/('2021'!Tau_j))),Resal+(Salim-Resal)*(1-EXP((Tnet-t)/(Tau_j))))*Salcycl</f>
        <v>5.3478471714382844E-2</v>
      </c>
      <c r="P371" s="338">
        <f>(INDEX(Models!$BJ371:$BT371,,T371)*(1-R371)+INDEX(Models!$BJ371:$BT371,,T371+1)*R371-ERP_i)*Q371*Ramure*Pc/MaxiM</f>
        <v>5.3641206127185836E-4</v>
      </c>
      <c r="Q371" s="304">
        <f t="shared" si="130"/>
        <v>0.5</v>
      </c>
      <c r="R371" s="176">
        <f t="shared" si="131"/>
        <v>3.4775513203245012E-2</v>
      </c>
      <c r="S371" s="814">
        <f t="shared" si="132"/>
        <v>1</v>
      </c>
      <c r="T371" s="175">
        <f t="shared" si="133"/>
        <v>7</v>
      </c>
      <c r="U371" s="250">
        <f t="shared" si="134"/>
        <v>1.034775513203245</v>
      </c>
      <c r="V371" s="382">
        <f t="shared" si="135"/>
        <v>22.945489923065221</v>
      </c>
      <c r="W371" s="401">
        <f t="shared" si="136"/>
        <v>0</v>
      </c>
      <c r="X371" s="157">
        <f t="shared" si="137"/>
        <v>44918</v>
      </c>
      <c r="Y371" s="384">
        <f t="shared" si="138"/>
        <v>18.855558315381966</v>
      </c>
      <c r="Z371" s="384">
        <f t="shared" si="139"/>
        <v>19.532851585971969</v>
      </c>
      <c r="AA371" s="385">
        <f t="shared" si="140"/>
        <v>21.122876824790623</v>
      </c>
      <c r="AB371" s="196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7.5275032468709022E-2</v>
      </c>
      <c r="AD371" s="230">
        <f>(INDEX(Models!$BJ371:$BT371,,AH371)*(1-AF371)+INDEX(Models!$BJ371:$BT371,,AH371+1)*AF371-ERP_i)*AE371*Ramure*Pc/MaxiM</f>
        <v>5.3641206127185836E-4</v>
      </c>
      <c r="AE371" s="304">
        <f t="shared" si="142"/>
        <v>0.5</v>
      </c>
      <c r="AF371" s="176">
        <f t="shared" si="143"/>
        <v>3.4775513203245012E-2</v>
      </c>
      <c r="AG371" s="814">
        <f t="shared" si="149"/>
        <v>1</v>
      </c>
      <c r="AH371" s="175">
        <f t="shared" si="144"/>
        <v>7</v>
      </c>
      <c r="AI371" s="224">
        <f t="shared" si="145"/>
        <v>1.034775513203245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410">
        <v>22.039000000000001</v>
      </c>
      <c r="C372" s="843"/>
      <c r="D372" s="392">
        <f t="shared" si="127"/>
        <v>22.831142207700616</v>
      </c>
      <c r="E372" s="384">
        <f t="shared" si="150"/>
        <v>24.122787368205724</v>
      </c>
      <c r="F372" s="384">
        <f t="shared" si="128"/>
        <v>24.134963342063681</v>
      </c>
      <c r="G372" s="110">
        <f t="shared" si="151"/>
        <v>0.95882483052422862</v>
      </c>
      <c r="H372" s="413" t="b">
        <f>Wh_hp&gt;='2021'!Maxi_hp</f>
        <v>1</v>
      </c>
      <c r="I372" s="379">
        <f>IF(H372,Wh_hp,'2021'!Maxi_hp)</f>
        <v>24.134963342063681</v>
      </c>
      <c r="J372" s="85">
        <f>IF(H372,An,'2021'!An_max)</f>
        <v>2022</v>
      </c>
      <c r="K372" s="196">
        <f t="shared" si="129"/>
        <v>44919</v>
      </c>
      <c r="L372" s="147">
        <f>IF(t&lt;Tvie,1-EXP((T0-t)*PertePVj)+'2021'!Pspv,1-EXP((T0-t)*PertePVj)+Pspv)</f>
        <v>3.4695688918859081E-2</v>
      </c>
      <c r="M372" s="847"/>
      <c r="N372" s="847"/>
      <c r="O372" s="48">
        <f>IF(t&lt;Tnet,'2021'!Resal+('2021'!Salim-'2021'!Resal)*(1-EXP(('2021'!Tnet-t)/('2021'!Tau_j))),Resal+(Salim-Resal)*(1-EXP((Tnet-t)/(Tau_j))))*Salcycl</f>
        <v>5.3544606632296522E-2</v>
      </c>
      <c r="P372" s="338">
        <f>(INDEX(Models!$BJ372:$BT372,,T372)*(1-R372)+INDEX(Models!$BJ372:$BT372,,T372+1)*R372-ERP_i)*Q372*Ramure*Pc/MaxiM</f>
        <v>5.3600053262947765E-4</v>
      </c>
      <c r="Q372" s="304">
        <f t="shared" si="130"/>
        <v>0.5</v>
      </c>
      <c r="R372" s="176">
        <f t="shared" si="131"/>
        <v>3.4775513203245012E-2</v>
      </c>
      <c r="S372" s="814">
        <f t="shared" si="132"/>
        <v>1</v>
      </c>
      <c r="T372" s="175">
        <f t="shared" si="133"/>
        <v>7</v>
      </c>
      <c r="U372" s="250">
        <f t="shared" si="134"/>
        <v>1.034775513203245</v>
      </c>
      <c r="V372" s="382">
        <f t="shared" si="135"/>
        <v>22.984704403298714</v>
      </c>
      <c r="W372" s="401">
        <f t="shared" si="136"/>
        <v>0</v>
      </c>
      <c r="X372" s="157">
        <f t="shared" si="137"/>
        <v>44919</v>
      </c>
      <c r="Y372" s="384">
        <f t="shared" si="138"/>
        <v>21.532021984328356</v>
      </c>
      <c r="Z372" s="384">
        <f t="shared" si="139"/>
        <v>22.305942009326042</v>
      </c>
      <c r="AA372" s="385">
        <f t="shared" si="140"/>
        <v>24.122787368205724</v>
      </c>
      <c r="AB372" s="196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7.5316559862991503E-2</v>
      </c>
      <c r="AD372" s="230">
        <f>(INDEX(Models!$BJ372:$BT372,,AH372)*(1-AF372)+INDEX(Models!$BJ372:$BT372,,AH372+1)*AF372-ERP_i)*AE372*Ramure*Pc/MaxiM</f>
        <v>5.3600053262947765E-4</v>
      </c>
      <c r="AE372" s="304">
        <f t="shared" si="142"/>
        <v>0.5</v>
      </c>
      <c r="AF372" s="176">
        <f t="shared" si="143"/>
        <v>3.4775513203245012E-2</v>
      </c>
      <c r="AG372" s="814">
        <f t="shared" si="149"/>
        <v>1</v>
      </c>
      <c r="AH372" s="175">
        <f t="shared" si="144"/>
        <v>7</v>
      </c>
      <c r="AI372" s="224">
        <f t="shared" si="145"/>
        <v>1.034775513203245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410">
        <v>10.763999999999999</v>
      </c>
      <c r="C373" s="843"/>
      <c r="D373" s="392">
        <f t="shared" si="127"/>
        <v>11.151131666697392</v>
      </c>
      <c r="E373" s="384">
        <f t="shared" si="150"/>
        <v>11.78282001825797</v>
      </c>
      <c r="F373" s="384">
        <f t="shared" si="128"/>
        <v>11.784328637445499</v>
      </c>
      <c r="G373" s="110">
        <f t="shared" si="151"/>
        <v>0.46705984429538183</v>
      </c>
      <c r="H373" s="413" t="b">
        <f>Wh_hp&gt;='2021'!Maxi_hp</f>
        <v>0</v>
      </c>
      <c r="I373" s="379">
        <f>IF(H373,Wh_hp,'2021'!Maxi_hp)</f>
        <v>16.698245889929026</v>
      </c>
      <c r="J373" s="85">
        <f>IF(H373,An,'2021'!An_max)</f>
        <v>2018</v>
      </c>
      <c r="K373" s="196">
        <f t="shared" si="129"/>
        <v>44920</v>
      </c>
      <c r="L373" s="147">
        <f>IF(t&lt;Tvie,1-EXP((T0-t)*PertePVj)+'2021'!Pspv,1-EXP((T0-t)*PertePVj)+Pspv)</f>
        <v>3.4716805277580233E-2</v>
      </c>
      <c r="M373" s="847"/>
      <c r="N373" s="847"/>
      <c r="O373" s="48">
        <f>IF(t&lt;Tnet,'2021'!Resal+('2021'!Salim-'2021'!Resal)*(1-EXP(('2021'!Tnet-t)/('2021'!Tau_j))),Resal+(Salim-Resal)*(1-EXP((Tnet-t)/(Tau_j))))*Salcycl</f>
        <v>5.3610964996643487E-2</v>
      </c>
      <c r="P373" s="338">
        <f>(INDEX(Models!$BJ373:$BT373,,T373)*(1-R373)+INDEX(Models!$BJ373:$BT373,,T373+1)*R373-ERP_i)*Q373*Ramure*Pc/MaxiM</f>
        <v>5.3580361628365113E-4</v>
      </c>
      <c r="Q373" s="304">
        <f t="shared" si="130"/>
        <v>0.5</v>
      </c>
      <c r="R373" s="176">
        <f t="shared" si="131"/>
        <v>3.4775513203245012E-2</v>
      </c>
      <c r="S373" s="814">
        <f t="shared" si="132"/>
        <v>1</v>
      </c>
      <c r="T373" s="175">
        <f t="shared" si="133"/>
        <v>7</v>
      </c>
      <c r="U373" s="250">
        <f t="shared" si="134"/>
        <v>1.034775513203245</v>
      </c>
      <c r="V373" s="382">
        <f t="shared" si="135"/>
        <v>23.036898112571819</v>
      </c>
      <c r="W373" s="401">
        <f t="shared" si="136"/>
        <v>0</v>
      </c>
      <c r="X373" s="157">
        <f t="shared" si="137"/>
        <v>44920</v>
      </c>
      <c r="Y373" s="384">
        <f t="shared" si="138"/>
        <v>10.516649213845618</v>
      </c>
      <c r="Z373" s="384">
        <f t="shared" si="139"/>
        <v>10.89488480825549</v>
      </c>
      <c r="AA373" s="385">
        <f t="shared" si="140"/>
        <v>11.78282001825797</v>
      </c>
      <c r="AB373" s="196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7.5358463307305612E-2</v>
      </c>
      <c r="AD373" s="230">
        <f>(INDEX(Models!$BJ373:$BT373,,AH373)*(1-AF373)+INDEX(Models!$BJ373:$BT373,,AH373+1)*AF373-ERP_i)*AE373*Ramure*Pc/MaxiM</f>
        <v>5.3580361628365113E-4</v>
      </c>
      <c r="AE373" s="304">
        <f t="shared" si="142"/>
        <v>0.5</v>
      </c>
      <c r="AF373" s="176">
        <f t="shared" si="143"/>
        <v>3.4775513203245012E-2</v>
      </c>
      <c r="AG373" s="814">
        <f t="shared" si="149"/>
        <v>1</v>
      </c>
      <c r="AH373" s="175">
        <f t="shared" si="144"/>
        <v>7</v>
      </c>
      <c r="AI373" s="224">
        <f t="shared" si="145"/>
        <v>1.034775513203245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410">
        <v>19.801000000000002</v>
      </c>
      <c r="C374" s="843"/>
      <c r="D374" s="392">
        <f t="shared" si="127"/>
        <v>20.513599813305465</v>
      </c>
      <c r="E374" s="384">
        <f t="shared" si="150"/>
        <v>21.677176931970148</v>
      </c>
      <c r="F374" s="384">
        <f t="shared" si="128"/>
        <v>21.686424318093195</v>
      </c>
      <c r="G374" s="110">
        <f t="shared" si="151"/>
        <v>0.85699530676502045</v>
      </c>
      <c r="H374" s="413" t="b">
        <f>Wh_hp&gt;='2021'!Maxi_hp</f>
        <v>0</v>
      </c>
      <c r="I374" s="379">
        <f>IF(H374,Wh_hp,'2021'!Maxi_hp)</f>
        <v>24.848198087219174</v>
      </c>
      <c r="J374" s="85">
        <f>IF(H374,An,'2021'!An_max)</f>
        <v>2018</v>
      </c>
      <c r="K374" s="196">
        <f t="shared" si="129"/>
        <v>44921</v>
      </c>
      <c r="L374" s="147">
        <f>IF(t&lt;Tvie,1-EXP((T0-t)*PertePVj)+'2021'!Pspv,1-EXP((T0-t)*PertePVj)+Pspv)</f>
        <v>3.4737921173798904E-2</v>
      </c>
      <c r="M374" s="847"/>
      <c r="N374" s="847"/>
      <c r="O374" s="48">
        <f>IF(t&lt;Tnet,'2021'!Resal+('2021'!Salim-'2021'!Resal)*(1-EXP(('2021'!Tnet-t)/('2021'!Tau_j))),Resal+(Salim-Resal)*(1-EXP((Tnet-t)/(Tau_j))))*Salcycl</f>
        <v>5.3677520939020631E-2</v>
      </c>
      <c r="P374" s="338">
        <f>(INDEX(Models!$BJ374:$BT374,,T374)*(1-R374)+INDEX(Models!$BJ374:$BT374,,T374+1)*R374-ERP_i)*Q374*Ramure*Pc/MaxiM</f>
        <v>5.3580210797551475E-4</v>
      </c>
      <c r="Q374" s="304">
        <f t="shared" si="130"/>
        <v>0.5</v>
      </c>
      <c r="R374" s="176">
        <f t="shared" si="131"/>
        <v>3.4775513203245012E-2</v>
      </c>
      <c r="S374" s="814">
        <f t="shared" si="132"/>
        <v>1</v>
      </c>
      <c r="T374" s="175">
        <f t="shared" si="133"/>
        <v>7</v>
      </c>
      <c r="U374" s="250">
        <f t="shared" si="134"/>
        <v>1.034775513203245</v>
      </c>
      <c r="V374" s="382">
        <f t="shared" si="135"/>
        <v>23.102615519277602</v>
      </c>
      <c r="W374" s="401">
        <f t="shared" si="136"/>
        <v>0</v>
      </c>
      <c r="X374" s="157">
        <f t="shared" si="137"/>
        <v>44921</v>
      </c>
      <c r="Y374" s="384">
        <f t="shared" si="138"/>
        <v>19.346460678318124</v>
      </c>
      <c r="Z374" s="384">
        <f t="shared" si="139"/>
        <v>20.04270249779648</v>
      </c>
      <c r="AA374" s="385">
        <f t="shared" si="140"/>
        <v>21.677176931970148</v>
      </c>
      <c r="AB374" s="196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7.5400705511753985E-2</v>
      </c>
      <c r="AD374" s="230">
        <f>(INDEX(Models!$BJ374:$BT374,,AH374)*(1-AF374)+INDEX(Models!$BJ374:$BT374,,AH374+1)*AF374-ERP_i)*AE374*Ramure*Pc/MaxiM</f>
        <v>5.3580210797551475E-4</v>
      </c>
      <c r="AE374" s="304">
        <f t="shared" si="142"/>
        <v>0.5</v>
      </c>
      <c r="AF374" s="176">
        <f t="shared" si="143"/>
        <v>3.4775513203245012E-2</v>
      </c>
      <c r="AG374" s="814">
        <f t="shared" si="149"/>
        <v>1</v>
      </c>
      <c r="AH374" s="175">
        <f t="shared" si="144"/>
        <v>7</v>
      </c>
      <c r="AI374" s="224">
        <f t="shared" si="145"/>
        <v>1.034775513203245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410">
        <v>6.3330000000000002</v>
      </c>
      <c r="C375" s="843"/>
      <c r="D375" s="392">
        <f t="shared" si="127"/>
        <v>6.5610559851726391</v>
      </c>
      <c r="E375" s="384">
        <f t="shared" si="150"/>
        <v>6.9337026321042519</v>
      </c>
      <c r="F375" s="384">
        <f t="shared" si="128"/>
        <v>6.9337026321042519</v>
      </c>
      <c r="G375" s="110">
        <f t="shared" si="151"/>
        <v>0.2730477615380858</v>
      </c>
      <c r="H375" s="413" t="b">
        <f>Wh_hp&gt;='2021'!Maxi_hp</f>
        <v>0</v>
      </c>
      <c r="I375" s="379">
        <f>IF(H375,Wh_hp,'2021'!Maxi_hp)</f>
        <v>25.062175747198527</v>
      </c>
      <c r="J375" s="85">
        <f>IF(H375,An,'2021'!An_max)</f>
        <v>2018</v>
      </c>
      <c r="K375" s="196">
        <f t="shared" si="129"/>
        <v>44922</v>
      </c>
      <c r="L375" s="147">
        <f>IF(t&lt;Tvie,1-EXP((T0-t)*PertePVj)+'2021'!Pspv,1-EXP((T0-t)*PertePVj)+Pspv)</f>
        <v>3.4759036607525308E-2</v>
      </c>
      <c r="M375" s="847"/>
      <c r="N375" s="847"/>
      <c r="O375" s="48">
        <f>IF(t&lt;Tnet,'2021'!Resal+('2021'!Salim-'2021'!Resal)*(1-EXP(('2021'!Tnet-t)/('2021'!Tau_j))),Resal+(Salim-Resal)*(1-EXP((Tnet-t)/(Tau_j))))*Salcycl</f>
        <v>5.3744249891276567E-2</v>
      </c>
      <c r="P375" s="338">
        <f>(INDEX(Models!$BJ375:$BT375,,T375)*(1-R375)+INDEX(Models!$BJ375:$BT375,,T375+1)*R375-ERP_i)*Q375*Ramure*Pc/MaxiM</f>
        <v>5.362871511288232E-4</v>
      </c>
      <c r="Q375" s="304">
        <f t="shared" si="130"/>
        <v>0.5</v>
      </c>
      <c r="R375" s="176">
        <f t="shared" si="131"/>
        <v>3.4775513203245012E-2</v>
      </c>
      <c r="S375" s="814">
        <f t="shared" si="132"/>
        <v>1</v>
      </c>
      <c r="T375" s="175">
        <f t="shared" si="133"/>
        <v>7</v>
      </c>
      <c r="U375" s="250">
        <f t="shared" si="134"/>
        <v>1.034775513203245</v>
      </c>
      <c r="V375" s="382">
        <f t="shared" si="135"/>
        <v>23.181305929105825</v>
      </c>
      <c r="W375" s="401">
        <f t="shared" si="136"/>
        <v>0</v>
      </c>
      <c r="X375" s="157">
        <f t="shared" si="137"/>
        <v>44922</v>
      </c>
      <c r="Y375" s="384">
        <f t="shared" si="138"/>
        <v>6.1877752288454637</v>
      </c>
      <c r="Z375" s="384">
        <f t="shared" si="139"/>
        <v>6.4106015632590436</v>
      </c>
      <c r="AA375" s="385">
        <f t="shared" si="140"/>
        <v>6.9337026321042519</v>
      </c>
      <c r="AB375" s="196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7.5443251117110047E-2</v>
      </c>
      <c r="AD375" s="230">
        <f>(INDEX(Models!$BJ375:$BT375,,AH375)*(1-AF375)+INDEX(Models!$BJ375:$BT375,,AH375+1)*AF375-ERP_i)*AE375*Ramure*Pc/MaxiM</f>
        <v>5.362871511288232E-4</v>
      </c>
      <c r="AE375" s="304">
        <f t="shared" si="142"/>
        <v>0.5</v>
      </c>
      <c r="AF375" s="176">
        <f t="shared" si="143"/>
        <v>3.4775513203245012E-2</v>
      </c>
      <c r="AG375" s="814">
        <f t="shared" si="149"/>
        <v>1</v>
      </c>
      <c r="AH375" s="175">
        <f t="shared" si="144"/>
        <v>7</v>
      </c>
      <c r="AI375" s="224">
        <f t="shared" si="145"/>
        <v>1.034775513203245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410">
        <v>19.34</v>
      </c>
      <c r="C376" s="843"/>
      <c r="D376" s="392">
        <f t="shared" si="127"/>
        <v>20.036885929805138</v>
      </c>
      <c r="E376" s="384">
        <f t="shared" si="150"/>
        <v>21.176412592770575</v>
      </c>
      <c r="F376" s="384">
        <f t="shared" si="128"/>
        <v>21.18504333390667</v>
      </c>
      <c r="G376" s="110">
        <f t="shared" si="151"/>
        <v>0.83091844012632576</v>
      </c>
      <c r="H376" s="413" t="b">
        <f>Wh_hp&gt;='2021'!Maxi_hp</f>
        <v>1</v>
      </c>
      <c r="I376" s="379">
        <f>IF(H376,Wh_hp,'2021'!Maxi_hp)</f>
        <v>21.18504333390667</v>
      </c>
      <c r="J376" s="85">
        <f>IF(H376,An,'2021'!An_max)</f>
        <v>2022</v>
      </c>
      <c r="K376" s="196">
        <f t="shared" si="129"/>
        <v>44923</v>
      </c>
      <c r="L376" s="147">
        <f>IF(t&lt;Tvie,1-EXP((T0-t)*PertePVj)+'2021'!Pspv,1-EXP((T0-t)*PertePVj)+Pspv)</f>
        <v>3.4780151578769548E-2</v>
      </c>
      <c r="M376" s="847"/>
      <c r="N376" s="847"/>
      <c r="O376" s="48">
        <f>IF(t&lt;Tnet,'2021'!Resal+('2021'!Salim-'2021'!Resal)*(1-EXP(('2021'!Tnet-t)/('2021'!Tau_j))),Resal+(Salim-Resal)*(1-EXP((Tnet-t)/(Tau_j))))*Salcycl</f>
        <v>5.3811128677879218E-2</v>
      </c>
      <c r="P376" s="338">
        <f>(INDEX(Models!$BJ376:$BT376,,T376)*(1-R376)+INDEX(Models!$BJ376:$BT376,,T376+1)*R376-ERP_i)*Q376*Ramure*Pc/MaxiM</f>
        <v>5.3703280256655488E-4</v>
      </c>
      <c r="Q376" s="304">
        <f t="shared" si="130"/>
        <v>0.5</v>
      </c>
      <c r="R376" s="176">
        <f t="shared" si="131"/>
        <v>3.4775513203245012E-2</v>
      </c>
      <c r="S376" s="814">
        <f t="shared" si="132"/>
        <v>1</v>
      </c>
      <c r="T376" s="175">
        <f t="shared" si="133"/>
        <v>7</v>
      </c>
      <c r="U376" s="250">
        <f t="shared" si="134"/>
        <v>1.034775513203245</v>
      </c>
      <c r="V376" s="382">
        <f t="shared" si="135"/>
        <v>23.27243072771962</v>
      </c>
      <c r="W376" s="401">
        <f t="shared" si="136"/>
        <v>0</v>
      </c>
      <c r="X376" s="157">
        <f t="shared" si="137"/>
        <v>44923</v>
      </c>
      <c r="Y376" s="384">
        <f t="shared" si="138"/>
        <v>18.896966567330363</v>
      </c>
      <c r="Z376" s="384">
        <f t="shared" si="139"/>
        <v>19.577888496842807</v>
      </c>
      <c r="AA376" s="385">
        <f t="shared" si="140"/>
        <v>21.176412592770575</v>
      </c>
      <c r="AB376" s="196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7.5486066817261083E-2</v>
      </c>
      <c r="AD376" s="230">
        <f>(INDEX(Models!$BJ376:$BT376,,AH376)*(1-AF376)+INDEX(Models!$BJ376:$BT376,,AH376+1)*AF376-ERP_i)*AE376*Ramure*Pc/MaxiM</f>
        <v>5.3703280256655488E-4</v>
      </c>
      <c r="AE376" s="304">
        <f t="shared" si="142"/>
        <v>0.5</v>
      </c>
      <c r="AF376" s="176">
        <f t="shared" si="143"/>
        <v>3.4775513203245012E-2</v>
      </c>
      <c r="AG376" s="814">
        <f t="shared" si="149"/>
        <v>1</v>
      </c>
      <c r="AH376" s="175">
        <f t="shared" si="144"/>
        <v>7</v>
      </c>
      <c r="AI376" s="224">
        <f t="shared" si="145"/>
        <v>1.034775513203245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410">
        <v>10.596</v>
      </c>
      <c r="C377" s="843"/>
      <c r="D377" s="392">
        <f t="shared" si="127"/>
        <v>10.978050040584739</v>
      </c>
      <c r="E377" s="384">
        <f t="shared" si="150"/>
        <v>11.603209325960586</v>
      </c>
      <c r="F377" s="384">
        <f t="shared" si="128"/>
        <v>11.604576675527719</v>
      </c>
      <c r="G377" s="110">
        <f t="shared" si="151"/>
        <v>0.45310565696263294</v>
      </c>
      <c r="H377" s="413" t="b">
        <f>Wh_hp&gt;='2021'!Maxi_hp</f>
        <v>0</v>
      </c>
      <c r="I377" s="379">
        <f>IF(H377,Wh_hp,'2021'!Maxi_hp)</f>
        <v>24.833306177671162</v>
      </c>
      <c r="J377" s="85">
        <f>IF(H377,An,'2021'!An_max)</f>
        <v>2019</v>
      </c>
      <c r="K377" s="196">
        <f t="shared" si="129"/>
        <v>44924</v>
      </c>
      <c r="L377" s="147">
        <f>IF(t&lt;Tvie,1-EXP((T0-t)*PertePVj)+'2021'!Pspv,1-EXP((T0-t)*PertePVj)+Pspv)</f>
        <v>3.4801266087541728E-2</v>
      </c>
      <c r="M377" s="847"/>
      <c r="N377" s="847"/>
      <c r="O377" s="48">
        <f>IF(t&lt;Tnet,'2021'!Resal+('2021'!Salim-'2021'!Resal)*(1-EXP(('2021'!Tnet-t)/('2021'!Tau_j))),Resal+(Salim-Resal)*(1-EXP((Tnet-t)/(Tau_j))))*Salcycl</f>
        <v>5.3878135592808719E-2</v>
      </c>
      <c r="P377" s="338">
        <f>(INDEX(Models!$BJ377:$BT377,,T377)*(1-R377)+INDEX(Models!$BJ377:$BT377,,T377+1)*R377-ERP_i)*Q377*Ramure*Pc/MaxiM</f>
        <v>5.3804303770694421E-4</v>
      </c>
      <c r="Q377" s="304">
        <f t="shared" si="130"/>
        <v>0.5</v>
      </c>
      <c r="R377" s="176">
        <f t="shared" si="131"/>
        <v>3.4775513203245012E-2</v>
      </c>
      <c r="S377" s="814">
        <f t="shared" si="132"/>
        <v>1</v>
      </c>
      <c r="T377" s="175">
        <f t="shared" si="133"/>
        <v>7</v>
      </c>
      <c r="U377" s="250">
        <f t="shared" si="134"/>
        <v>1.034775513203245</v>
      </c>
      <c r="V377" s="382">
        <f t="shared" si="135"/>
        <v>23.375446143807075</v>
      </c>
      <c r="W377" s="401">
        <f t="shared" si="136"/>
        <v>0</v>
      </c>
      <c r="X377" s="157">
        <f t="shared" si="137"/>
        <v>44924</v>
      </c>
      <c r="Y377" s="384">
        <f t="shared" si="138"/>
        <v>10.353521884998051</v>
      </c>
      <c r="Z377" s="384">
        <f t="shared" si="139"/>
        <v>10.726829119459968</v>
      </c>
      <c r="AA377" s="385">
        <f t="shared" si="140"/>
        <v>11.603209325960586</v>
      </c>
      <c r="AB377" s="196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7.5529121459511947E-2</v>
      </c>
      <c r="AD377" s="230">
        <f>(INDEX(Models!$BJ377:$BT377,,AH377)*(1-AF377)+INDEX(Models!$BJ377:$BT377,,AH377+1)*AF377-ERP_i)*AE377*Ramure*Pc/MaxiM</f>
        <v>5.3804303770694421E-4</v>
      </c>
      <c r="AE377" s="304">
        <f t="shared" si="142"/>
        <v>0.5</v>
      </c>
      <c r="AF377" s="176">
        <f t="shared" si="143"/>
        <v>3.4775513203245012E-2</v>
      </c>
      <c r="AG377" s="814">
        <f t="shared" si="149"/>
        <v>1</v>
      </c>
      <c r="AH377" s="175">
        <f t="shared" si="144"/>
        <v>7</v>
      </c>
      <c r="AI377" s="224">
        <f t="shared" si="145"/>
        <v>1.034775513203245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410">
        <v>14.968</v>
      </c>
      <c r="C378" s="843"/>
      <c r="D378" s="392">
        <f t="shared" si="127"/>
        <v>15.508026390081216</v>
      </c>
      <c r="E378" s="384">
        <f t="shared" si="150"/>
        <v>16.392313867283299</v>
      </c>
      <c r="F378" s="384">
        <f t="shared" si="128"/>
        <v>16.396573835703258</v>
      </c>
      <c r="G378" s="110">
        <f t="shared" si="151"/>
        <v>0.637034360156153</v>
      </c>
      <c r="H378" s="413" t="b">
        <f>Wh_hp&gt;='2021'!Maxi_hp</f>
        <v>0</v>
      </c>
      <c r="I378" s="379">
        <f>IF(H378,Wh_hp,'2021'!Maxi_hp)</f>
        <v>25.966265464195352</v>
      </c>
      <c r="J378" s="85">
        <f>IF(H378,An,'2021'!An_max)</f>
        <v>2019</v>
      </c>
      <c r="K378" s="196">
        <f t="shared" si="129"/>
        <v>44925</v>
      </c>
      <c r="L378" s="147">
        <f>IF(t&lt;Tvie,1-EXP((T0-t)*PertePVj)+'2021'!Pspv,1-EXP((T0-t)*PertePVj)+Pspv)</f>
        <v>3.482238013385195E-2</v>
      </c>
      <c r="M378" s="847"/>
      <c r="N378" s="847"/>
      <c r="O378" s="48">
        <f>IF(t&lt;Tnet,'2021'!Resal+('2021'!Salim-'2021'!Resal)*(1-EXP(('2021'!Tnet-t)/('2021'!Tau_j))),Resal+(Salim-Resal)*(1-EXP((Tnet-t)/(Tau_j))))*Salcycl</f>
        <v>5.3945250460765787E-2</v>
      </c>
      <c r="P378" s="338">
        <f>(INDEX(Models!$BJ378:$BT378,,T378)*(1-R378)+INDEX(Models!$BJ378:$BT378,,T378+1)*R378-ERP_i)*Q378*Ramure*Pc/MaxiM</f>
        <v>5.3932136567083871E-4</v>
      </c>
      <c r="Q378" s="304">
        <f t="shared" si="130"/>
        <v>0.5</v>
      </c>
      <c r="R378" s="176">
        <f t="shared" si="131"/>
        <v>3.4775513203245012E-2</v>
      </c>
      <c r="S378" s="814">
        <f t="shared" si="132"/>
        <v>1</v>
      </c>
      <c r="T378" s="175">
        <f t="shared" si="133"/>
        <v>7</v>
      </c>
      <c r="U378" s="250">
        <f t="shared" si="134"/>
        <v>1.034775513203245</v>
      </c>
      <c r="V378" s="382">
        <f t="shared" si="135"/>
        <v>23.489808555604299</v>
      </c>
      <c r="W378" s="401">
        <f t="shared" si="136"/>
        <v>0</v>
      </c>
      <c r="X378" s="157">
        <f t="shared" si="137"/>
        <v>44925</v>
      </c>
      <c r="Y378" s="384">
        <f t="shared" si="138"/>
        <v>14.625826392454096</v>
      </c>
      <c r="Z378" s="384">
        <f t="shared" si="139"/>
        <v>15.153507594262726</v>
      </c>
      <c r="AA378" s="385">
        <f t="shared" si="140"/>
        <v>16.392313867283299</v>
      </c>
      <c r="AB378" s="196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7.557238612256284E-2</v>
      </c>
      <c r="AD378" s="230">
        <f>(INDEX(Models!$BJ378:$BT378,,AH378)*(1-AF378)+INDEX(Models!$BJ378:$BT378,,AH378+1)*AF378-ERP_i)*AE378*Ramure*Pc/MaxiM</f>
        <v>5.3932136567083871E-4</v>
      </c>
      <c r="AE378" s="304">
        <f t="shared" si="142"/>
        <v>0.5</v>
      </c>
      <c r="AF378" s="176">
        <f t="shared" si="143"/>
        <v>3.4775513203245012E-2</v>
      </c>
      <c r="AG378" s="814">
        <f t="shared" si="149"/>
        <v>1</v>
      </c>
      <c r="AH378" s="175">
        <f t="shared" si="144"/>
        <v>7</v>
      </c>
      <c r="AI378" s="224">
        <f t="shared" si="145"/>
        <v>1.034775513203245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410">
        <v>12.058</v>
      </c>
      <c r="C379" s="843"/>
      <c r="D379" s="392">
        <f t="shared" si="127"/>
        <v>12.493310589021991</v>
      </c>
      <c r="E379" s="384">
        <f t="shared" si="150"/>
        <v>13.206633270029572</v>
      </c>
      <c r="F379" s="384">
        <f t="shared" si="128"/>
        <v>13.208782751209</v>
      </c>
      <c r="G379" s="110">
        <f t="shared" si="151"/>
        <v>0.51041510333691542</v>
      </c>
      <c r="H379" s="413" t="b">
        <f>Wh_hp&gt;='2021'!Maxi_hp</f>
        <v>0</v>
      </c>
      <c r="I379" s="379">
        <f>IF(H379,Wh_hp,'2021'!Maxi_hp)</f>
        <v>25.625929752628863</v>
      </c>
      <c r="J379" s="85">
        <f>IF(H379,An,'2021'!An_max)</f>
        <v>2021</v>
      </c>
      <c r="K379" s="196">
        <f t="shared" si="129"/>
        <v>44926</v>
      </c>
      <c r="L379" s="147">
        <f>IF(t&lt;Tvie,1-EXP((T0-t)*PertePVj)+'2021'!Pspv,1-EXP((T0-t)*PertePVj)+Pspv)</f>
        <v>3.4843493717710318E-2</v>
      </c>
      <c r="M379" s="847"/>
      <c r="N379" s="847"/>
      <c r="O379" s="48">
        <f>IF(t&lt;Tnet,'2021'!Resal+('2021'!Salim-'2021'!Resal)*(1-EXP(('2021'!Tnet-t)/('2021'!Tau_j))),Resal+(Salim-Resal)*(1-EXP((Tnet-t)/(Tau_j))))*Salcycl</f>
        <v>5.4012454682629565E-2</v>
      </c>
      <c r="P379" s="338">
        <f>(INDEX(Models!$BJ379:$BT379,,T379)*(1-R379)+INDEX(Models!$BJ379:$BT379,,T379+1)*R379-ERP_i)*Q379*Ramure*Pc/MaxiM</f>
        <v>5.4087085538341822E-4</v>
      </c>
      <c r="Q379" s="305">
        <f t="shared" si="130"/>
        <v>0.5</v>
      </c>
      <c r="R379" s="176">
        <f t="shared" si="131"/>
        <v>3.4775513203245012E-2</v>
      </c>
      <c r="S379" s="814">
        <f t="shared" si="132"/>
        <v>1</v>
      </c>
      <c r="T379" s="175">
        <f t="shared" si="133"/>
        <v>7</v>
      </c>
      <c r="U379" s="306">
        <f t="shared" si="134"/>
        <v>1.034775513203245</v>
      </c>
      <c r="V379" s="382">
        <f t="shared" si="135"/>
        <v>23.614974500607438</v>
      </c>
      <c r="W379" s="401">
        <f t="shared" si="136"/>
        <v>0</v>
      </c>
      <c r="X379" s="157">
        <f t="shared" si="137"/>
        <v>44926</v>
      </c>
      <c r="Y379" s="384">
        <f t="shared" si="138"/>
        <v>11.782633214068833</v>
      </c>
      <c r="Z379" s="384">
        <f t="shared" si="139"/>
        <v>12.208002678710265</v>
      </c>
      <c r="AA379" s="385">
        <f t="shared" si="140"/>
        <v>13.206633270029572</v>
      </c>
      <c r="AB379" s="196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7.5615834172176599E-2</v>
      </c>
      <c r="AD379" s="230">
        <f>(INDEX(Models!$BJ379:$BT379,,AH379)*(1-AF379)+INDEX(Models!$BJ379:$BT379,,AH379+1)*AF379-ERP_i)*AE379*Ramure*Pc/MaxiM</f>
        <v>5.4087085538341822E-4</v>
      </c>
      <c r="AE379" s="305">
        <f t="shared" si="142"/>
        <v>0.5</v>
      </c>
      <c r="AF379" s="176">
        <f t="shared" si="143"/>
        <v>3.4775513203245012E-2</v>
      </c>
      <c r="AG379" s="814">
        <f t="shared" si="149"/>
        <v>1</v>
      </c>
      <c r="AH379" s="175">
        <f t="shared" si="144"/>
        <v>7</v>
      </c>
      <c r="AI379" s="221">
        <f t="shared" si="145"/>
        <v>1.034775513203245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01">
        <f>44.39*0.05</f>
        <v>2.2195</v>
      </c>
      <c r="C380" s="851"/>
      <c r="D380" s="400"/>
      <c r="E380" s="386"/>
      <c r="F380" s="386"/>
      <c r="G380" s="122"/>
      <c r="H380" s="413" t="b">
        <f>Wh_hp&gt;='2021'!Maxi_hp</f>
        <v>0</v>
      </c>
      <c r="I380" s="379">
        <f>IF(H380,Wh_hp,'2021'!Maxi_hp)</f>
        <v>16.672977949317147</v>
      </c>
      <c r="J380" s="85">
        <f>IF(H380,An,'2021'!An_max)</f>
        <v>2020</v>
      </c>
      <c r="K380" s="233"/>
      <c r="L380" s="213"/>
      <c r="M380" s="852"/>
      <c r="N380" s="852"/>
      <c r="O380" s="153"/>
      <c r="P380" s="339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1.528</v>
      </c>
      <c r="C381" s="374"/>
      <c r="D381" s="372">
        <f>MIN(D15:D380)</f>
        <v>1.5709159118908269</v>
      </c>
      <c r="E381" s="372">
        <f>MIN(E15:E380)</f>
        <v>1.6096036898484984</v>
      </c>
      <c r="F381" s="373">
        <f>MIN(F15:F380)</f>
        <v>1.6096036898484984</v>
      </c>
      <c r="G381" s="125">
        <f>+MIN(G15:G380)</f>
        <v>5.7873728632410484E-2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2.7127515943781134E-2</v>
      </c>
      <c r="M381" s="849"/>
      <c r="N381" s="849"/>
      <c r="O381" s="47">
        <f t="shared" si="152"/>
        <v>2.3127670642053701E-2</v>
      </c>
      <c r="P381" s="340">
        <f t="shared" si="152"/>
        <v>1.2782030614918782E-4</v>
      </c>
      <c r="Q381" s="309">
        <f t="shared" si="152"/>
        <v>0.5</v>
      </c>
      <c r="R381" s="310">
        <f t="shared" si="152"/>
        <v>7.4555160481915017E-4</v>
      </c>
      <c r="S381" s="814">
        <f t="shared" si="152"/>
        <v>0</v>
      </c>
      <c r="T381" s="175">
        <f t="shared" si="152"/>
        <v>6</v>
      </c>
      <c r="U381" s="251">
        <f>+MIN(U15:U380)</f>
        <v>0.73477627702494752</v>
      </c>
      <c r="V381" s="372">
        <f>MIN(V15:V380)</f>
        <v>22.898989440878399</v>
      </c>
      <c r="W381" s="391"/>
      <c r="X381" s="112" t="s">
        <v>7</v>
      </c>
      <c r="Y381" s="372">
        <f>MIN(Y15:Y380)</f>
        <v>1.4788498842758138</v>
      </c>
      <c r="Z381" s="372">
        <f>MIN(Z15:Z380)</f>
        <v>1.5203853498081046</v>
      </c>
      <c r="AA381" s="372">
        <f>MIN(AA15:AA380)</f>
        <v>1.6096036898484984</v>
      </c>
      <c r="AB381" s="199" t="s">
        <v>7</v>
      </c>
      <c r="AC381" s="47">
        <f t="shared" ref="AC381:AH381" si="153">MIN(AC15:AC380)</f>
        <v>5.4829326264398598E-2</v>
      </c>
      <c r="AD381" s="167">
        <f t="shared" si="153"/>
        <v>1.2782030614918782E-4</v>
      </c>
      <c r="AE381" s="309">
        <f t="shared" si="153"/>
        <v>0.5</v>
      </c>
      <c r="AF381" s="310">
        <f t="shared" si="153"/>
        <v>7.4555160481915017E-4</v>
      </c>
      <c r="AG381" s="814">
        <f t="shared" si="153"/>
        <v>0</v>
      </c>
      <c r="AH381" s="175">
        <f t="shared" si="153"/>
        <v>6</v>
      </c>
      <c r="AI381" s="225">
        <f>MIN(AI15:AI380)</f>
        <v>0.73477627702494752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30.096792349726805</v>
      </c>
      <c r="C382" s="374"/>
      <c r="D382" s="374">
        <f>AVERAGE(D15:D380)</f>
        <v>31.134660209655536</v>
      </c>
      <c r="E382" s="374">
        <f>AVERAGE(E15:E380)</f>
        <v>32.447691340826459</v>
      </c>
      <c r="F382" s="375">
        <f>AVERAGE(F15:F380)</f>
        <v>32.457020636419443</v>
      </c>
      <c r="G382" s="126">
        <f>AVERAGE(G15:G380)</f>
        <v>0.68037894468534443</v>
      </c>
      <c r="H382" s="94"/>
      <c r="I382" s="375">
        <f>AVERAGE(I15:I380)</f>
        <v>43.581514891200726</v>
      </c>
      <c r="J382" s="59">
        <f>AVERAGE(J15:J380)</f>
        <v>2020.2021857923498</v>
      </c>
      <c r="K382" s="199" t="s">
        <v>8</v>
      </c>
      <c r="L382" s="147">
        <f t="shared" ref="L382:V382" si="154">AVERAGE(L15:L380)</f>
        <v>3.0990617122718684E-2</v>
      </c>
      <c r="M382" s="847"/>
      <c r="N382" s="847"/>
      <c r="O382" s="48">
        <f t="shared" si="154"/>
        <v>4.0472787313135208E-2</v>
      </c>
      <c r="P382" s="168">
        <f t="shared" si="154"/>
        <v>4.1116630232188923E-4</v>
      </c>
      <c r="Q382" s="311">
        <f t="shared" si="154"/>
        <v>0.5</v>
      </c>
      <c r="R382" s="176">
        <f t="shared" si="154"/>
        <v>0.47804890097785863</v>
      </c>
      <c r="S382" s="814">
        <f t="shared" si="154"/>
        <v>0.42465753424657532</v>
      </c>
      <c r="T382" s="175">
        <f t="shared" si="154"/>
        <v>6.4246575342465757</v>
      </c>
      <c r="U382" s="250">
        <f t="shared" si="154"/>
        <v>0.90270643522443428</v>
      </c>
      <c r="V382" s="374">
        <f t="shared" si="154"/>
        <v>43.158724119668001</v>
      </c>
      <c r="W382" s="391"/>
      <c r="X382" s="112" t="s">
        <v>8</v>
      </c>
      <c r="Y382" s="374">
        <f>AVERAGE(Y15:Y380)</f>
        <v>29.321351863070003</v>
      </c>
      <c r="Z382" s="374">
        <f>AVERAGE(Z15:Z380)</f>
        <v>30.25582082937467</v>
      </c>
      <c r="AA382" s="374">
        <f>AVERAGE(AA15:AA380)</f>
        <v>32.447691340826459</v>
      </c>
      <c r="AB382" s="199" t="s">
        <v>8</v>
      </c>
      <c r="AC382" s="48">
        <f t="shared" ref="AC382:AH382" si="155">AVERAGE(AC15:AC380)</f>
        <v>6.7341435527375038E-2</v>
      </c>
      <c r="AD382" s="168">
        <f t="shared" si="155"/>
        <v>4.1116630232188923E-4</v>
      </c>
      <c r="AE382" s="311">
        <f t="shared" si="155"/>
        <v>0.5</v>
      </c>
      <c r="AF382" s="176">
        <f t="shared" si="155"/>
        <v>0.47804890097785863</v>
      </c>
      <c r="AG382" s="814">
        <f t="shared" si="155"/>
        <v>0.42465753424657532</v>
      </c>
      <c r="AH382" s="175">
        <f t="shared" si="155"/>
        <v>6.4246575342465757</v>
      </c>
      <c r="AI382" s="224">
        <f>AVERAGE(AI15:AI380)</f>
        <v>0.90270643522443428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55.942</v>
      </c>
      <c r="C383" s="376"/>
      <c r="D383" s="376">
        <f>MAX(D15:D380)</f>
        <v>57.688353649111832</v>
      </c>
      <c r="E383" s="376">
        <f>MAX(E15:E380)</f>
        <v>59.980816627593278</v>
      </c>
      <c r="F383" s="377">
        <f>MAX(F15:F380)</f>
        <v>60.005838604518864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2022</v>
      </c>
      <c r="K383" s="199" t="s">
        <v>9</v>
      </c>
      <c r="L383" s="148">
        <f t="shared" ref="L383:T383" si="156">MAX(L15:L380)</f>
        <v>3.4843493717710318E-2</v>
      </c>
      <c r="M383" s="850"/>
      <c r="N383" s="850"/>
      <c r="O383" s="49">
        <f t="shared" si="156"/>
        <v>5.4012454682629565E-2</v>
      </c>
      <c r="P383" s="169">
        <f t="shared" si="156"/>
        <v>7.4545036451326304E-4</v>
      </c>
      <c r="Q383" s="312">
        <f t="shared" si="156"/>
        <v>0.5</v>
      </c>
      <c r="R383" s="313">
        <f t="shared" si="156"/>
        <v>0.99948238147668977</v>
      </c>
      <c r="S383" s="815">
        <f t="shared" si="156"/>
        <v>1</v>
      </c>
      <c r="T383" s="232">
        <f t="shared" si="156"/>
        <v>7</v>
      </c>
      <c r="U383" s="252">
        <f>+MAX(U15:U380)</f>
        <v>1.034775513203245</v>
      </c>
      <c r="V383" s="376">
        <f>MAX(V15:V380)</f>
        <v>56.509431224161119</v>
      </c>
      <c r="W383" s="391"/>
      <c r="X383" s="112" t="s">
        <v>9</v>
      </c>
      <c r="Y383" s="376">
        <f>MAX(Y15:Y380)</f>
        <v>54.317852651853435</v>
      </c>
      <c r="Z383" s="376">
        <f>MAX(Z15:Z380)</f>
        <v>56.013504937979832</v>
      </c>
      <c r="AA383" s="376">
        <f>MAX(AA15:AA380)</f>
        <v>59.980816627593278</v>
      </c>
      <c r="AB383" s="199" t="s">
        <v>9</v>
      </c>
      <c r="AC383" s="49">
        <f t="shared" ref="AC383:AH383" si="157">MAX(AC15:AC380)</f>
        <v>7.5615834172176599E-2</v>
      </c>
      <c r="AD383" s="169">
        <f t="shared" si="157"/>
        <v>7.4545036451326304E-4</v>
      </c>
      <c r="AE383" s="312">
        <f t="shared" si="157"/>
        <v>0.5</v>
      </c>
      <c r="AF383" s="313">
        <f t="shared" si="157"/>
        <v>0.99948238147668977</v>
      </c>
      <c r="AG383" s="815">
        <f t="shared" si="157"/>
        <v>1</v>
      </c>
      <c r="AH383" s="232">
        <f t="shared" si="157"/>
        <v>7</v>
      </c>
      <c r="AI383" s="226">
        <f>MAX(AI15:AI380)</f>
        <v>1.034775513203245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86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2023-01-15T14:32:16Z</dcterms:modified>
</cp:coreProperties>
</file>